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ttps://educationgovuk-my.sharepoint.com/personal/emma_ratcliffe_education_gov_uk/Documents/Downloads/"/>
    </mc:Choice>
  </mc:AlternateContent>
  <xr:revisionPtr revIDLastSave="413" documentId="8_{912470A7-FFF5-4164-88DE-01D473067D14}" xr6:coauthVersionLast="47" xr6:coauthVersionMax="47" xr10:uidLastSave="{826BC494-3929-4C13-B764-B1BD6048AD5C}"/>
  <bookViews>
    <workbookView xWindow="-110" yWindow="-110" windowWidth="22780" windowHeight="14540" tabRatio="849" xr2:uid="{DBA92582-E69F-4A20-A56B-FDF32F1510ED}"/>
  </bookViews>
  <sheets>
    <sheet name="ToC" sheetId="14" r:id="rId1"/>
    <sheet name="Guide" sheetId="23" r:id="rId2"/>
    <sheet name="Cover Sheet" sheetId="28" r:id="rId3"/>
    <sheet name="Learners and Staff" sheetId="37" r:id="rId4"/>
    <sheet name="I&amp;E Monthly" sheetId="1" r:id="rId5"/>
    <sheet name="I&amp;E Annual" sheetId="20" r:id="rId6"/>
    <sheet name="I&amp;E Profiles" sheetId="22" r:id="rId7"/>
    <sheet name="Opening Balances" sheetId="16" r:id="rId8"/>
    <sheet name="Investing Inputs" sheetId="26" r:id="rId9"/>
    <sheet name="Loans" sheetId="9" r:id="rId10"/>
    <sheet name="BS Forecasts" sheetId="6" r:id="rId11"/>
    <sheet name="User Template" sheetId="38" r:id="rId12"/>
    <sheet name="Fin Stat" sheetId="30" r:id="rId13"/>
    <sheet name="Ratios" sheetId="32" r:id="rId14"/>
    <sheet name="Financial Health" sheetId="12" r:id="rId15"/>
    <sheet name="Cash Flow Summary" sheetId="33" r:id="rId16"/>
    <sheet name="WC Dashboard" sheetId="36" r:id="rId17"/>
    <sheet name="Dashboard" sheetId="13" r:id="rId18"/>
    <sheet name="Dash Data" sheetId="35" r:id="rId19"/>
    <sheet name="Timeline" sheetId="3" r:id="rId20"/>
    <sheet name="Parameters" sheetId="11" r:id="rId21"/>
    <sheet name="List of Colleges" sheetId="45" state="hidden" r:id="rId22"/>
    <sheet name="Monitoring Guide" sheetId="56" r:id="rId23"/>
    <sheet name="Direct CF" sheetId="53" r:id="rId24"/>
    <sheet name="Cash Profile" sheetId="54" r:id="rId25"/>
    <sheet name="I&amp;E Summary" sheetId="48" r:id="rId26"/>
    <sheet name="I&amp;E variances" sheetId="49" r:id="rId27"/>
    <sheet name="Cash summary" sheetId="50" r:id="rId28"/>
  </sheets>
  <definedNames>
    <definedName name="_xlnm._FilterDatabase" localSheetId="10" hidden="1">'BS Forecasts'!$A$7:$EY$289</definedName>
    <definedName name="_xlnm._FilterDatabase" localSheetId="15" hidden="1">'Cash Flow Summary'!$V$78:$Y$104</definedName>
    <definedName name="_xlnm._FilterDatabase" localSheetId="24" hidden="1">'Cash Profile'!$A$1:$B$3</definedName>
    <definedName name="_xlnm._FilterDatabase" localSheetId="2" hidden="1">'Cover Sheet'!$A$7:$EX$88</definedName>
    <definedName name="_xlnm._FilterDatabase" localSheetId="18" hidden="1">'Dash Data'!$V$11:$Y$95</definedName>
    <definedName name="_xlnm._FilterDatabase" localSheetId="17" hidden="1">Dashboard!$V$98:$Y$146</definedName>
    <definedName name="_xlnm._FilterDatabase" localSheetId="23" hidden="1">'Direct CF'!$A$1:$B$3</definedName>
    <definedName name="_xlnm._FilterDatabase" localSheetId="12" hidden="1">'Fin Stat'!$A$7:$EX$221</definedName>
    <definedName name="_xlnm._FilterDatabase" localSheetId="14" hidden="1">'Financial Health'!$V$14:$Y$35</definedName>
    <definedName name="_xlnm._FilterDatabase" localSheetId="5" hidden="1">'I&amp;E Annual'!$D$1:$D$187</definedName>
    <definedName name="_xlnm._FilterDatabase" localSheetId="4" hidden="1">'I&amp;E Monthly'!$D$1:$D$186</definedName>
    <definedName name="_xlnm._FilterDatabase" localSheetId="6" hidden="1">'I&amp;E Profiles'!$V$98:$Y$181</definedName>
    <definedName name="_xlnm._FilterDatabase" localSheetId="8" hidden="1">'Investing Inputs'!$A$7:$EZ$364</definedName>
    <definedName name="_xlnm._FilterDatabase" localSheetId="3" hidden="1">'Learners and Staff'!$A$7:$EX$25</definedName>
    <definedName name="_xlnm._FilterDatabase" localSheetId="21" hidden="1">'List of Colleges'!$A$1:$E$1</definedName>
    <definedName name="_xlnm._FilterDatabase" localSheetId="9" hidden="1">Loans!$A$7:$EY$1161</definedName>
    <definedName name="_xlnm._FilterDatabase" localSheetId="7" hidden="1">'Opening Balances'!$A$7:$EY$88</definedName>
    <definedName name="_xlnm._FilterDatabase" localSheetId="20" hidden="1">Parameters!$S$8:$Y$221</definedName>
    <definedName name="_xlnm._FilterDatabase" localSheetId="13" hidden="1">Ratios!$A$7:$CS$69</definedName>
    <definedName name="_xlnm._FilterDatabase" localSheetId="19" hidden="1">Timeline!$V$8:$Y$36</definedName>
    <definedName name="_xlnm._FilterDatabase" localSheetId="11" hidden="1">'User Template'!$A$1:$B$3</definedName>
    <definedName name="_xlnm._FilterDatabase" localSheetId="16" hidden="1">'WC Dashboard'!$V$16:$Y$36</definedName>
    <definedName name="al">'I&amp;E Monthly'!$D$8</definedName>
    <definedName name="Annual">Parameters!$D$22</definedName>
    <definedName name="Annual_IE">Parameters!$D$22</definedName>
    <definedName name="CollegeNameInput">'Cover Sheet'!$E$10</definedName>
    <definedName name="creditor_signage" localSheetId="24">'Cash Profile'!$H$14</definedName>
    <definedName name="creditor_signage" localSheetId="2">'Cover Sheet'!$H$13</definedName>
    <definedName name="creditor_signage" localSheetId="17">Dashboard!$H$99</definedName>
    <definedName name="creditor_signage" localSheetId="23">'Direct CF'!$H$16</definedName>
    <definedName name="creditor_signage" localSheetId="12">'Fin Stat'!$H$148</definedName>
    <definedName name="creditor_signage" localSheetId="14">'Financial Health'!$H$15</definedName>
    <definedName name="creditor_signage" localSheetId="6">'I&amp;E Profiles'!$AD$98</definedName>
    <definedName name="creditor_signage" localSheetId="13">Ratios!$H$16</definedName>
    <definedName name="creditor_signage" localSheetId="11">'User Template'!$H$13</definedName>
    <definedName name="creditor_signage" localSheetId="16">'WC Dashboard'!$H$17</definedName>
    <definedName name="creditor_signage">#REF!</definedName>
    <definedName name="debtor_signage" localSheetId="24">'Cash Profile'!$H$13</definedName>
    <definedName name="debtor_signage" localSheetId="2">'Cover Sheet'!$H$12</definedName>
    <definedName name="debtor_signage" localSheetId="17">Dashboard!$H$98</definedName>
    <definedName name="debtor_signage" localSheetId="23">'Direct CF'!$H$15</definedName>
    <definedName name="debtor_signage" localSheetId="14">'Financial Health'!$H$14</definedName>
    <definedName name="debtor_signage" localSheetId="6">'I&amp;E Profiles'!$AD$97</definedName>
    <definedName name="debtor_signage" localSheetId="9">Loans!$P$13</definedName>
    <definedName name="debtor_signage" localSheetId="13">Ratios!$H$15</definedName>
    <definedName name="debtor_signage" localSheetId="11">'User Template'!$H$12</definedName>
    <definedName name="debtor_signage" localSheetId="16">'WC Dashboard'!$H$16</definedName>
    <definedName name="debtor_signage">#REF!</definedName>
    <definedName name="first_FY_month">Parameters!$E$17</definedName>
    <definedName name="last_FY_month">Parameters!$E$18</definedName>
    <definedName name="list_Capex">'Investing Inputs'!$C$8:$C$216</definedName>
    <definedName name="List_YesNo">Parameters!$D$25:$D$26</definedName>
    <definedName name="MetaDataLastRow">OFFSET(#REF!,MAX(1,COUNTA(#REF!)-1),0,1,1)</definedName>
    <definedName name="MetaDataRef">#REF!</definedName>
    <definedName name="MetaDataRefList">OFFSET(#REF!,1,0,MAX(1,COUNTA(#REF!)-1),1)</definedName>
    <definedName name="MetaDataRefSheetList">#REF!</definedName>
    <definedName name="MetaDataSheetList">OFFSET(#REF!,1,0,MAX(1,COUNTA(#REF!)-1),1)</definedName>
    <definedName name="MetaDataTable">#REF!</definedName>
    <definedName name="monetary_units" localSheetId="15">'Cash Flow Summary'!$G$50</definedName>
    <definedName name="monetary_units" localSheetId="24">'Cash Profile'!$G$10</definedName>
    <definedName name="monetary_units" localSheetId="2">'Cover Sheet'!$G$9</definedName>
    <definedName name="monetary_units" localSheetId="23">'Direct CF'!#REF!</definedName>
    <definedName name="monetary_units" localSheetId="12">'Fin Stat'!$G$11</definedName>
    <definedName name="monetary_units" localSheetId="6">'I&amp;E Profiles'!$G$95</definedName>
    <definedName name="monetary_units" localSheetId="8">'Investing Inputs'!$G$9</definedName>
    <definedName name="monetary_units" localSheetId="3">'Learners and Staff'!$G$8</definedName>
    <definedName name="monetary_units" localSheetId="9">Loans!$I$9</definedName>
    <definedName name="monetary_units" localSheetId="13">Ratios!$G$11</definedName>
    <definedName name="monetary_units" localSheetId="11">'User Template'!$G$9</definedName>
    <definedName name="monetary_units" localSheetId="16">'WC Dashboard'!$G$13</definedName>
    <definedName name="monetary_units">#REF!</definedName>
    <definedName name="Monthly">Parameters!$D$21</definedName>
    <definedName name="Monthly_IE">Parameters!$D$21</definedName>
    <definedName name="_xlnm.Print_Area" localSheetId="10">'BS Forecasts'!$A$1:$CJ$289</definedName>
    <definedName name="_xlnm.Print_Area" localSheetId="15">'Cash Flow Summary'!$A$1:$AJ$49,'Cash Flow Summary'!$A$50:$Z$106</definedName>
    <definedName name="_xlnm.Print_Area" localSheetId="24">'Cash Profile'!$A$1:$CJ$32</definedName>
    <definedName name="_xlnm.Print_Area" localSheetId="2">'Cover Sheet'!$A$1:$CQ$88</definedName>
    <definedName name="_xlnm.Print_Area" localSheetId="18">'Dash Data'!$A$1:$CJ$103</definedName>
    <definedName name="_xlnm.Print_Area" localSheetId="17">Dashboard!$A$1:$AJ$94,Dashboard!$A$95:$AM$125,Dashboard!$A$127:$AM$147</definedName>
    <definedName name="_xlnm.Print_Area" localSheetId="23">'Direct CF'!$A$1:$CJ$36</definedName>
    <definedName name="_xlnm.Print_Area" localSheetId="12">'Fin Stat'!$A$1:$Z$212</definedName>
    <definedName name="_xlnm.Print_Area" localSheetId="14">'Financial Health'!$A$1:$CV$35</definedName>
    <definedName name="_xlnm.Print_Area" localSheetId="1">Guide!$A$1:$I$325</definedName>
    <definedName name="_xlnm.Print_Area" localSheetId="5">'I&amp;E Annual'!$A$1:$CJ$186</definedName>
    <definedName name="_xlnm.Print_Area" localSheetId="4">'I&amp;E Monthly'!$A$1:$CJ$186</definedName>
    <definedName name="_xlnm.Print_Area" localSheetId="6">'I&amp;E Profiles'!$A$1:$BW$182</definedName>
    <definedName name="_xlnm.Print_Area" localSheetId="8">'Investing Inputs'!$A$1:$CJ$358</definedName>
    <definedName name="_xlnm.Print_Area" localSheetId="3">'Learners and Staff'!$A$1:$CM$25</definedName>
    <definedName name="_xlnm.Print_Area" localSheetId="9">Loans!$A$1:$CJ$1161</definedName>
    <definedName name="_xlnm.Print_Area" localSheetId="22">'Monitoring Guide'!$A$1:$F$14</definedName>
    <definedName name="_xlnm.Print_Area" localSheetId="7">'Opening Balances'!$A$1:$Y$88</definedName>
    <definedName name="_xlnm.Print_Area" localSheetId="20">Parameters!$A$1:$F$222</definedName>
    <definedName name="_xlnm.Print_Area" localSheetId="13">Ratios!$A$1:$Y$69</definedName>
    <definedName name="_xlnm.Print_Area" localSheetId="19">Timeline!$A$1:$CJ$388</definedName>
    <definedName name="_xlnm.Print_Area" localSheetId="0">ToC!$A$1:$G$48</definedName>
    <definedName name="_xlnm.Print_Area" localSheetId="11">'User Template'!$A$1:$CJ$31</definedName>
    <definedName name="_xlnm.Print_Area" localSheetId="16">'WC Dashboard'!$A$1:$AK$43</definedName>
    <definedName name="_xlnm.Print_Titles" localSheetId="10">'BS Forecasts'!$A:$F,'BS Forecasts'!$1:$7</definedName>
    <definedName name="_xlnm.Print_Titles" localSheetId="15">'Cash Flow Summary'!$A:$F,'Cash Flow Summary'!$1:$6</definedName>
    <definedName name="_xlnm.Print_Titles" localSheetId="24">'Cash Profile'!$A:$F,'Cash Profile'!$1:$7</definedName>
    <definedName name="_xlnm.Print_Titles" localSheetId="2">'Cover Sheet'!$A:$F,'Cover Sheet'!$1:$7</definedName>
    <definedName name="_xlnm.Print_Titles" localSheetId="18">'Dash Data'!$A:$F,'Dash Data'!$1:$7</definedName>
    <definedName name="_xlnm.Print_Titles" localSheetId="17">Dashboard!$A:$F,Dashboard!$1:$7</definedName>
    <definedName name="_xlnm.Print_Titles" localSheetId="23">'Direct CF'!$A:$F,'Direct CF'!$1:$7</definedName>
    <definedName name="_xlnm.Print_Titles" localSheetId="12">'Fin Stat'!$A:$F,'Fin Stat'!$1:$7</definedName>
    <definedName name="_xlnm.Print_Titles" localSheetId="14">'Financial Health'!$A:$D,'Financial Health'!$1:$7</definedName>
    <definedName name="_xlnm.Print_Titles" localSheetId="5">'I&amp;E Annual'!$A:$F,'I&amp;E Annual'!$1:$7</definedName>
    <definedName name="_xlnm.Print_Titles" localSheetId="4">'I&amp;E Monthly'!$A:$F,'I&amp;E Monthly'!$1:$7</definedName>
    <definedName name="_xlnm.Print_Titles" localSheetId="6">'I&amp;E Profiles'!$A:$E,'I&amp;E Profiles'!$1:$7</definedName>
    <definedName name="_xlnm.Print_Titles" localSheetId="8">'Investing Inputs'!$A:$F,'Investing Inputs'!$1:$7</definedName>
    <definedName name="_xlnm.Print_Titles" localSheetId="3">'Learners and Staff'!$A:$F,'Learners and Staff'!$1:$7</definedName>
    <definedName name="_xlnm.Print_Titles" localSheetId="9">Loans!$A:$I,Loans!$1:$7</definedName>
    <definedName name="_xlnm.Print_Titles" localSheetId="7">'Opening Balances'!$A:$D,'Opening Balances'!$1:$7</definedName>
    <definedName name="_xlnm.Print_Titles" localSheetId="20">Parameters!$1:$7</definedName>
    <definedName name="_xlnm.Print_Titles" localSheetId="13">Ratios!$A:$G,Ratios!$1:$7</definedName>
    <definedName name="_xlnm.Print_Titles" localSheetId="19">Timeline!$A:$D,Timeline!$1:$7</definedName>
    <definedName name="_xlnm.Print_Titles" localSheetId="11">'User Template'!$A:$F,'User Template'!$1:$7</definedName>
    <definedName name="_xlnm.Print_Titles" localSheetId="16">'WC Dashboard'!$A:$F,'WC Dashboard'!$1:$7</definedName>
    <definedName name="rounding">Parameters!$D$36</definedName>
    <definedName name="Self_assessment">{"Please enter","Inadequate","Satisfactory","Good","Outstanding"}</definedName>
    <definedName name="tbl_Loans">Loans!$C$11:$U$32</definedName>
    <definedName name="TimeStamp">#REF!</definedName>
    <definedName name="zColLetter">Timeline!$C$35</definedName>
    <definedName name="zYearLabel">Timeline!$C$32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Z163" i="30" l="1"/>
  <c r="CA163" i="30"/>
  <c r="CB163" i="30"/>
  <c r="CC163" i="30"/>
  <c r="CD163" i="30"/>
  <c r="CE163" i="30"/>
  <c r="CF163" i="30"/>
  <c r="CG163" i="30"/>
  <c r="CH163" i="30"/>
  <c r="CI163" i="30"/>
  <c r="D64" i="28"/>
  <c r="V185" i="30" l="1"/>
  <c r="BZ164" i="30" l="1"/>
  <c r="CA164" i="30"/>
  <c r="CB164" i="30"/>
  <c r="CC164" i="30"/>
  <c r="CD164" i="30"/>
  <c r="CE164" i="30"/>
  <c r="CF164" i="30"/>
  <c r="CG164" i="30"/>
  <c r="CH164" i="30"/>
  <c r="CI164" i="30"/>
  <c r="BY164" i="30"/>
  <c r="BZ165" i="30"/>
  <c r="CA165" i="30"/>
  <c r="CB165" i="30"/>
  <c r="CC165" i="30"/>
  <c r="CD165" i="30"/>
  <c r="CE165" i="30"/>
  <c r="CF165" i="30"/>
  <c r="CG165" i="30"/>
  <c r="CH165" i="30"/>
  <c r="CI165" i="30"/>
  <c r="AC164" i="30"/>
  <c r="AD164" i="30"/>
  <c r="AE164" i="30"/>
  <c r="AF164" i="30"/>
  <c r="AG164" i="30"/>
  <c r="AH164" i="30"/>
  <c r="AI164" i="30"/>
  <c r="AJ164" i="30"/>
  <c r="AK164" i="30"/>
  <c r="AL164" i="30"/>
  <c r="AM164" i="30"/>
  <c r="AN164" i="30"/>
  <c r="AO164" i="30"/>
  <c r="AP164" i="30"/>
  <c r="AQ164" i="30"/>
  <c r="AR164" i="30"/>
  <c r="AS164" i="30"/>
  <c r="AT164" i="30"/>
  <c r="AU164" i="30"/>
  <c r="AV164" i="30"/>
  <c r="AW164" i="30"/>
  <c r="AX164" i="30"/>
  <c r="AY164" i="30"/>
  <c r="AZ164" i="30"/>
  <c r="BA164" i="30"/>
  <c r="BB164" i="30"/>
  <c r="BC164" i="30"/>
  <c r="BD164" i="30"/>
  <c r="BE164" i="30"/>
  <c r="BF164" i="30"/>
  <c r="BG164" i="30"/>
  <c r="BH164" i="30"/>
  <c r="BI164" i="30"/>
  <c r="BJ164" i="30"/>
  <c r="AB164" i="30"/>
  <c r="AA164" i="30"/>
  <c r="X164" i="30"/>
  <c r="Y164" i="30"/>
  <c r="W164" i="30"/>
  <c r="BY163" i="30"/>
  <c r="AC163" i="30"/>
  <c r="AD163" i="30"/>
  <c r="AE163" i="30"/>
  <c r="AF163" i="30"/>
  <c r="AG163" i="30"/>
  <c r="AH163" i="30"/>
  <c r="AI163" i="30"/>
  <c r="AJ163" i="30"/>
  <c r="AK163" i="30"/>
  <c r="AL163" i="30"/>
  <c r="AM163" i="30"/>
  <c r="AN163" i="30"/>
  <c r="AO163" i="30"/>
  <c r="AP163" i="30"/>
  <c r="AQ163" i="30"/>
  <c r="AR163" i="30"/>
  <c r="AS163" i="30"/>
  <c r="AT163" i="30"/>
  <c r="AU163" i="30"/>
  <c r="AV163" i="30"/>
  <c r="AW163" i="30"/>
  <c r="AX163" i="30"/>
  <c r="AY163" i="30"/>
  <c r="AZ163" i="30"/>
  <c r="BA163" i="30"/>
  <c r="BB163" i="30"/>
  <c r="BC163" i="30"/>
  <c r="BD163" i="30"/>
  <c r="BE163" i="30"/>
  <c r="BF163" i="30"/>
  <c r="BG163" i="30"/>
  <c r="BH163" i="30"/>
  <c r="BI163" i="30"/>
  <c r="BJ163" i="30"/>
  <c r="AB163" i="30" l="1"/>
  <c r="AA163" i="30"/>
  <c r="X163" i="30"/>
  <c r="Y163" i="30"/>
  <c r="W163" i="30"/>
  <c r="BR186" i="30" l="1"/>
  <c r="BQ186" i="30"/>
  <c r="BP186" i="30"/>
  <c r="BO186" i="30"/>
  <c r="BN186" i="30"/>
  <c r="BM186" i="30"/>
  <c r="BL186" i="30"/>
  <c r="BK186" i="30"/>
  <c r="CO63" i="16" l="1" a="1"/>
  <c r="CO63" i="16" s="1"/>
  <c r="CL63" i="16"/>
  <c r="AA109" i="6" l="1"/>
  <c r="V114" i="6"/>
  <c r="W112" i="6"/>
  <c r="X112" i="6"/>
  <c r="Y112" i="6"/>
  <c r="W113" i="6"/>
  <c r="X113" i="6"/>
  <c r="Y113" i="6"/>
  <c r="X111" i="6"/>
  <c r="Y111" i="6"/>
  <c r="W111" i="6"/>
  <c r="W109" i="6"/>
  <c r="V109" i="6"/>
  <c r="BX109" i="6"/>
  <c r="BX114" i="6"/>
  <c r="EX72" i="28"/>
  <c r="EX81" i="28"/>
  <c r="EX80" i="28"/>
  <c r="EX78" i="28"/>
  <c r="EX77" i="28"/>
  <c r="V132" i="6"/>
  <c r="D318" i="26"/>
  <c r="BX113" i="6"/>
  <c r="BX112" i="6"/>
  <c r="BX111" i="6"/>
  <c r="EZ319" i="26"/>
  <c r="EZ318" i="26"/>
  <c r="A318" i="26" a="1"/>
  <c r="A318" i="26" s="1"/>
  <c r="EZ317" i="26"/>
  <c r="EZ316" i="26"/>
  <c r="EZ315" i="26"/>
  <c r="BX315" i="26"/>
  <c r="DH315" i="26" s="1"/>
  <c r="CY315" i="26" s="1"/>
  <c r="EZ310" i="26"/>
  <c r="EZ54" i="26"/>
  <c r="EZ53" i="26"/>
  <c r="EZ52" i="26"/>
  <c r="EZ51" i="26"/>
  <c r="EZ50" i="26"/>
  <c r="EZ49" i="26"/>
  <c r="EZ48" i="26"/>
  <c r="CI129" i="6" l="1"/>
  <c r="CH129" i="6"/>
  <c r="CG129" i="6"/>
  <c r="CF129" i="6"/>
  <c r="CE129" i="6"/>
  <c r="CD129" i="6"/>
  <c r="CC129" i="6"/>
  <c r="CB129" i="6"/>
  <c r="BX129" i="6"/>
  <c r="CI128" i="6"/>
  <c r="CH128" i="6"/>
  <c r="CG128" i="6"/>
  <c r="CF128" i="6"/>
  <c r="CE128" i="6"/>
  <c r="CD128" i="6"/>
  <c r="CC128" i="6"/>
  <c r="CB128" i="6"/>
  <c r="BX128" i="6"/>
  <c r="CI127" i="6"/>
  <c r="CH127" i="6"/>
  <c r="CG127" i="6"/>
  <c r="CF127" i="6"/>
  <c r="CE127" i="6"/>
  <c r="CD127" i="6"/>
  <c r="CC127" i="6"/>
  <c r="CB127" i="6"/>
  <c r="BX127"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V127" i="6"/>
  <c r="V128" i="6"/>
  <c r="V129" i="6"/>
  <c r="V122" i="6"/>
  <c r="W117" i="6" s="1"/>
  <c r="B112" i="50"/>
  <c r="D112" i="50" s="1"/>
  <c r="B108" i="50"/>
  <c r="D108" i="50" s="1"/>
  <c r="B104" i="50"/>
  <c r="D104" i="50" s="1"/>
  <c r="B100" i="50"/>
  <c r="D100" i="50" s="1"/>
  <c r="B96" i="50"/>
  <c r="D96" i="50" s="1"/>
  <c r="B92" i="50"/>
  <c r="D92" i="50" s="1"/>
  <c r="B88" i="50"/>
  <c r="D88" i="50" s="1"/>
  <c r="B84" i="50"/>
  <c r="D84" i="50" s="1"/>
  <c r="B80" i="50"/>
  <c r="D80" i="50" s="1"/>
  <c r="B76" i="50"/>
  <c r="D76" i="50" s="1"/>
  <c r="B72" i="50"/>
  <c r="D72" i="50" s="1"/>
  <c r="B68" i="50"/>
  <c r="D68" i="50" s="1"/>
  <c r="B64" i="50"/>
  <c r="D64" i="50" s="1"/>
  <c r="B60" i="50"/>
  <c r="D60" i="50" s="1"/>
  <c r="B56" i="50"/>
  <c r="D56" i="50" s="1"/>
  <c r="B52" i="50"/>
  <c r="D52" i="50" s="1"/>
  <c r="AI40" i="50"/>
  <c r="AH40" i="50"/>
  <c r="AG40" i="50"/>
  <c r="AE40" i="50"/>
  <c r="AD40" i="50"/>
  <c r="AC40" i="50"/>
  <c r="AA40" i="50"/>
  <c r="Z40" i="50"/>
  <c r="Y40" i="50"/>
  <c r="W40" i="50"/>
  <c r="V40" i="50"/>
  <c r="U40" i="50"/>
  <c r="N39" i="50"/>
  <c r="M39" i="50"/>
  <c r="L39" i="50"/>
  <c r="N38" i="50"/>
  <c r="M38" i="50"/>
  <c r="L38" i="50"/>
  <c r="N37" i="50"/>
  <c r="M37" i="50"/>
  <c r="L37" i="50"/>
  <c r="N36" i="50"/>
  <c r="M36" i="50"/>
  <c r="L36" i="50"/>
  <c r="N35" i="50"/>
  <c r="M35" i="50"/>
  <c r="L35" i="50"/>
  <c r="N34" i="50"/>
  <c r="N40" i="50" s="1"/>
  <c r="M34" i="50"/>
  <c r="M40" i="50" s="1"/>
  <c r="L34" i="50"/>
  <c r="AI32" i="50"/>
  <c r="AI42" i="50" s="1"/>
  <c r="AH32" i="50"/>
  <c r="AH42" i="50" s="1"/>
  <c r="AG32" i="50"/>
  <c r="AE32" i="50"/>
  <c r="AE42" i="50" s="1"/>
  <c r="AD32" i="50"/>
  <c r="AD42" i="50" s="1"/>
  <c r="AC32" i="50"/>
  <c r="AA32" i="50"/>
  <c r="AA42" i="50" s="1"/>
  <c r="Z32" i="50"/>
  <c r="Y32" i="50"/>
  <c r="Y42" i="50" s="1"/>
  <c r="W32" i="50"/>
  <c r="W42" i="50" s="1"/>
  <c r="V32" i="50"/>
  <c r="U32" i="50"/>
  <c r="U42" i="50" s="1"/>
  <c r="N31" i="50"/>
  <c r="M31" i="50"/>
  <c r="L31" i="50"/>
  <c r="N30" i="50"/>
  <c r="M30" i="50"/>
  <c r="L30" i="50"/>
  <c r="N29" i="50"/>
  <c r="M29" i="50"/>
  <c r="L29" i="50"/>
  <c r="N28" i="50"/>
  <c r="N32" i="50" s="1"/>
  <c r="M28" i="50"/>
  <c r="L28" i="50"/>
  <c r="N27" i="50"/>
  <c r="M27" i="50"/>
  <c r="L27" i="50"/>
  <c r="N26" i="50"/>
  <c r="M26" i="50"/>
  <c r="L26" i="50"/>
  <c r="L32" i="50" s="1"/>
  <c r="N25" i="50"/>
  <c r="M25" i="50"/>
  <c r="L25" i="50"/>
  <c r="AI22" i="50"/>
  <c r="AH22" i="50"/>
  <c r="AG22" i="50"/>
  <c r="AE22" i="50"/>
  <c r="AD22" i="50"/>
  <c r="AC22" i="50"/>
  <c r="AA22" i="50"/>
  <c r="Z22" i="50"/>
  <c r="Y22" i="50"/>
  <c r="W22" i="50"/>
  <c r="V22" i="50"/>
  <c r="U22" i="50"/>
  <c r="N21" i="50"/>
  <c r="M21" i="50"/>
  <c r="M22" i="50" s="1"/>
  <c r="L21" i="50"/>
  <c r="N20" i="50"/>
  <c r="N22" i="50" s="1"/>
  <c r="M20" i="50"/>
  <c r="L20" i="50"/>
  <c r="N19" i="50"/>
  <c r="M19" i="50"/>
  <c r="L19" i="50"/>
  <c r="L22" i="50" s="1"/>
  <c r="AI16" i="50"/>
  <c r="AH16" i="50"/>
  <c r="AG16" i="50"/>
  <c r="AE16" i="50"/>
  <c r="AD16" i="50"/>
  <c r="AC16" i="50"/>
  <c r="AA16" i="50"/>
  <c r="Z16" i="50"/>
  <c r="Y16" i="50"/>
  <c r="W16" i="50"/>
  <c r="V16" i="50"/>
  <c r="U16" i="50"/>
  <c r="N15" i="50"/>
  <c r="M15" i="50"/>
  <c r="L15" i="50"/>
  <c r="N14" i="50"/>
  <c r="M14" i="50"/>
  <c r="L14" i="50"/>
  <c r="N13" i="50"/>
  <c r="M13" i="50"/>
  <c r="L13" i="50"/>
  <c r="N12" i="50"/>
  <c r="N16" i="50" s="1"/>
  <c r="M12" i="50"/>
  <c r="L12" i="50"/>
  <c r="N11" i="50"/>
  <c r="M11" i="50"/>
  <c r="L11" i="50"/>
  <c r="N10" i="50"/>
  <c r="M10" i="50"/>
  <c r="L10" i="50"/>
  <c r="AW5" i="50"/>
  <c r="G5" i="50"/>
  <c r="AW4" i="50"/>
  <c r="AL4" i="50"/>
  <c r="AW3" i="50"/>
  <c r="AL3" i="50"/>
  <c r="D3" i="50"/>
  <c r="AW2" i="50"/>
  <c r="AL2" i="50"/>
  <c r="AL1" i="50"/>
  <c r="B154" i="11"/>
  <c r="B153" i="11"/>
  <c r="B152" i="11"/>
  <c r="B151" i="11"/>
  <c r="B150" i="11"/>
  <c r="B149" i="11"/>
  <c r="B148" i="11"/>
  <c r="B147" i="11"/>
  <c r="B146" i="11"/>
  <c r="B144" i="11"/>
  <c r="F80" i="11"/>
  <c r="D64" i="11"/>
  <c r="D63" i="11"/>
  <c r="D62" i="11"/>
  <c r="BL6" i="11" a="1"/>
  <c r="BL6" i="11" s="1"/>
  <c r="S6" i="11" a="1"/>
  <c r="S6" i="11" s="1"/>
  <c r="Y5" i="11"/>
  <c r="X5" i="11"/>
  <c r="D5" i="11"/>
  <c r="Y4" i="11"/>
  <c r="X4" i="11"/>
  <c r="D4" i="11"/>
  <c r="Y3" i="11"/>
  <c r="X3" i="11"/>
  <c r="D3" i="11"/>
  <c r="A3" i="11" a="1"/>
  <c r="V130" i="6" l="1"/>
  <c r="BY109" i="6"/>
  <c r="N42" i="50"/>
  <c r="Z42" i="50"/>
  <c r="L16" i="50"/>
  <c r="L42" i="50" s="1"/>
  <c r="AC42" i="50"/>
  <c r="M16" i="50"/>
  <c r="M32" i="50"/>
  <c r="M42" i="50" s="1"/>
  <c r="V42" i="50"/>
  <c r="AG42" i="50"/>
  <c r="L40" i="50"/>
  <c r="A3" i="11"/>
  <c r="B2" i="11" a="1"/>
  <c r="W125" i="6" l="1"/>
  <c r="B2" i="11"/>
  <c r="BL1" i="11"/>
  <c r="AA1" i="11"/>
  <c r="X1" i="11"/>
  <c r="S1" i="11"/>
  <c r="D1" i="11"/>
  <c r="D386" i="3"/>
  <c r="EX385" i="3"/>
  <c r="D385" i="3"/>
  <c r="EX384" i="3"/>
  <c r="D384" i="3"/>
  <c r="EX383" i="3"/>
  <c r="D383" i="3"/>
  <c r="EX382" i="3"/>
  <c r="D382" i="3"/>
  <c r="EX381" i="3"/>
  <c r="D381" i="3"/>
  <c r="EX380" i="3"/>
  <c r="D380" i="3"/>
  <c r="EX379" i="3"/>
  <c r="D379" i="3"/>
  <c r="EX378" i="3"/>
  <c r="D378" i="3"/>
  <c r="EX377" i="3"/>
  <c r="D377" i="3"/>
  <c r="EX376" i="3"/>
  <c r="D376" i="3"/>
  <c r="EX375" i="3"/>
  <c r="D375" i="3"/>
  <c r="EX374" i="3"/>
  <c r="D374" i="3"/>
  <c r="EX373" i="3"/>
  <c r="D373" i="3"/>
  <c r="EX372" i="3"/>
  <c r="D372" i="3"/>
  <c r="EX371" i="3"/>
  <c r="D371" i="3"/>
  <c r="EX370" i="3"/>
  <c r="D370" i="3"/>
  <c r="EX369" i="3"/>
  <c r="D369" i="3"/>
  <c r="EX368" i="3"/>
  <c r="D368" i="3"/>
  <c r="EX367" i="3"/>
  <c r="D367" i="3"/>
  <c r="EX366" i="3"/>
  <c r="D366" i="3"/>
  <c r="EX365" i="3"/>
  <c r="EX364" i="3"/>
  <c r="EX363" i="3"/>
  <c r="E363" i="3"/>
  <c r="BP363" i="3" s="1"/>
  <c r="D363" i="3"/>
  <c r="EX362" i="3"/>
  <c r="BU362" i="3"/>
  <c r="BT362" i="3"/>
  <c r="BS362" i="3"/>
  <c r="BR362" i="3"/>
  <c r="BQ362" i="3"/>
  <c r="BP362" i="3"/>
  <c r="BO362" i="3"/>
  <c r="BM362" i="3"/>
  <c r="BL362" i="3"/>
  <c r="BK362" i="3"/>
  <c r="BJ362" i="3"/>
  <c r="BI362" i="3"/>
  <c r="BH362" i="3"/>
  <c r="BG362" i="3"/>
  <c r="BE362" i="3"/>
  <c r="BD362" i="3"/>
  <c r="BC362" i="3"/>
  <c r="BB362" i="3"/>
  <c r="BA362" i="3"/>
  <c r="AZ362" i="3"/>
  <c r="AY362" i="3"/>
  <c r="AW362" i="3"/>
  <c r="AV362" i="3"/>
  <c r="AU362" i="3"/>
  <c r="AT362" i="3"/>
  <c r="AS362" i="3"/>
  <c r="AR362" i="3"/>
  <c r="AQ362" i="3"/>
  <c r="AO362" i="3"/>
  <c r="AN362" i="3"/>
  <c r="AM362" i="3"/>
  <c r="AL362" i="3"/>
  <c r="AK362" i="3"/>
  <c r="AJ362" i="3"/>
  <c r="AI362" i="3"/>
  <c r="AG362" i="3"/>
  <c r="AF362" i="3"/>
  <c r="AE362" i="3"/>
  <c r="AD362" i="3"/>
  <c r="AC362" i="3"/>
  <c r="AB362" i="3"/>
  <c r="AA362" i="3"/>
  <c r="E362" i="3"/>
  <c r="BV362" i="3" s="1"/>
  <c r="D362" i="3"/>
  <c r="EX361" i="3"/>
  <c r="AE361" i="3"/>
  <c r="E361" i="3"/>
  <c r="BQ361" i="3" s="1"/>
  <c r="D361" i="3"/>
  <c r="EX360" i="3"/>
  <c r="BU360" i="3"/>
  <c r="BT360" i="3"/>
  <c r="BS360" i="3"/>
  <c r="BR360" i="3"/>
  <c r="BQ360" i="3"/>
  <c r="BP360" i="3"/>
  <c r="BO360" i="3"/>
  <c r="BM360" i="3"/>
  <c r="BL360" i="3"/>
  <c r="BK360" i="3"/>
  <c r="BJ360" i="3"/>
  <c r="BI360" i="3"/>
  <c r="BH360" i="3"/>
  <c r="BG360" i="3"/>
  <c r="BE360" i="3"/>
  <c r="BD360" i="3"/>
  <c r="BC360" i="3"/>
  <c r="BB360" i="3"/>
  <c r="BA360" i="3"/>
  <c r="AZ360" i="3"/>
  <c r="AY360" i="3"/>
  <c r="AW360" i="3"/>
  <c r="AV360" i="3"/>
  <c r="AU360" i="3"/>
  <c r="AT360" i="3"/>
  <c r="AS360" i="3"/>
  <c r="AR360" i="3"/>
  <c r="AQ360" i="3"/>
  <c r="AO360" i="3"/>
  <c r="AN360" i="3"/>
  <c r="AM360" i="3"/>
  <c r="AL360" i="3"/>
  <c r="AK360" i="3"/>
  <c r="AJ360" i="3"/>
  <c r="AI360" i="3"/>
  <c r="AG360" i="3"/>
  <c r="AF360" i="3"/>
  <c r="AE360" i="3"/>
  <c r="AD360" i="3"/>
  <c r="AC360" i="3"/>
  <c r="AB360" i="3"/>
  <c r="AA360" i="3"/>
  <c r="E360" i="3"/>
  <c r="BV360" i="3" s="1"/>
  <c r="D360" i="3"/>
  <c r="EX359" i="3"/>
  <c r="BS359" i="3"/>
  <c r="BN359" i="3"/>
  <c r="BM359" i="3"/>
  <c r="BL359" i="3"/>
  <c r="BC359" i="3"/>
  <c r="AX359" i="3"/>
  <c r="AW359" i="3"/>
  <c r="AV359" i="3"/>
  <c r="AM359" i="3"/>
  <c r="AH359" i="3"/>
  <c r="AG359" i="3"/>
  <c r="AF359" i="3"/>
  <c r="E359" i="3"/>
  <c r="BU359" i="3" s="1"/>
  <c r="D359" i="3"/>
  <c r="EX358" i="3"/>
  <c r="BU358" i="3"/>
  <c r="BT358" i="3"/>
  <c r="BS358" i="3"/>
  <c r="BR358" i="3"/>
  <c r="BQ358" i="3"/>
  <c r="BP358" i="3"/>
  <c r="BO358" i="3"/>
  <c r="BM358" i="3"/>
  <c r="BL358" i="3"/>
  <c r="BK358" i="3"/>
  <c r="BJ358" i="3"/>
  <c r="BI358" i="3"/>
  <c r="BH358" i="3"/>
  <c r="BG358" i="3"/>
  <c r="BE358" i="3"/>
  <c r="BD358" i="3"/>
  <c r="BC358" i="3"/>
  <c r="BB358" i="3"/>
  <c r="BA358" i="3"/>
  <c r="AZ358" i="3"/>
  <c r="AY358" i="3"/>
  <c r="AW358" i="3"/>
  <c r="AV358" i="3"/>
  <c r="AU358" i="3"/>
  <c r="AT358" i="3"/>
  <c r="AS358" i="3"/>
  <c r="AR358" i="3"/>
  <c r="AQ358" i="3"/>
  <c r="AO358" i="3"/>
  <c r="AN358" i="3"/>
  <c r="AM358" i="3"/>
  <c r="AL358" i="3"/>
  <c r="AK358" i="3"/>
  <c r="AJ358" i="3"/>
  <c r="AI358" i="3"/>
  <c r="AG358" i="3"/>
  <c r="AF358" i="3"/>
  <c r="AE358" i="3"/>
  <c r="AD358" i="3"/>
  <c r="AC358" i="3"/>
  <c r="AB358" i="3"/>
  <c r="AA358" i="3"/>
  <c r="E358" i="3"/>
  <c r="BV358" i="3" s="1"/>
  <c r="D358" i="3"/>
  <c r="EX357" i="3"/>
  <c r="BT357" i="3"/>
  <c r="BS357" i="3"/>
  <c r="BN357" i="3"/>
  <c r="BM357" i="3"/>
  <c r="BD357" i="3"/>
  <c r="BC357" i="3"/>
  <c r="AX357" i="3"/>
  <c r="AW357" i="3"/>
  <c r="AN357" i="3"/>
  <c r="AM357" i="3"/>
  <c r="AH357" i="3"/>
  <c r="AG357" i="3"/>
  <c r="AE357" i="3"/>
  <c r="E357" i="3"/>
  <c r="BU357" i="3" s="1"/>
  <c r="D357" i="3"/>
  <c r="EX356" i="3"/>
  <c r="BU356" i="3"/>
  <c r="BT356" i="3"/>
  <c r="BS356" i="3"/>
  <c r="BR356" i="3"/>
  <c r="BQ356" i="3"/>
  <c r="BP356" i="3"/>
  <c r="BO356" i="3"/>
  <c r="BM356" i="3"/>
  <c r="BL356" i="3"/>
  <c r="BK356" i="3"/>
  <c r="BJ356" i="3"/>
  <c r="BI356" i="3"/>
  <c r="BH356" i="3"/>
  <c r="BG356" i="3"/>
  <c r="BE356" i="3"/>
  <c r="BD356" i="3"/>
  <c r="BC356" i="3"/>
  <c r="BB356" i="3"/>
  <c r="BA356" i="3"/>
  <c r="AZ356" i="3"/>
  <c r="AY356" i="3"/>
  <c r="AW356" i="3"/>
  <c r="AV356" i="3"/>
  <c r="AU356" i="3"/>
  <c r="AT356" i="3"/>
  <c r="AS356" i="3"/>
  <c r="AR356" i="3"/>
  <c r="AQ356" i="3"/>
  <c r="AO356" i="3"/>
  <c r="AN356" i="3"/>
  <c r="AM356" i="3"/>
  <c r="AL356" i="3"/>
  <c r="AK356" i="3"/>
  <c r="AJ356" i="3"/>
  <c r="AI356" i="3"/>
  <c r="AG356" i="3"/>
  <c r="AF356" i="3"/>
  <c r="AE356" i="3"/>
  <c r="AD356" i="3"/>
  <c r="AC356" i="3"/>
  <c r="AB356" i="3"/>
  <c r="AA356" i="3"/>
  <c r="E356" i="3"/>
  <c r="BV356" i="3" s="1"/>
  <c r="D356" i="3"/>
  <c r="EX355" i="3"/>
  <c r="BU355" i="3"/>
  <c r="BT355" i="3"/>
  <c r="BS355" i="3"/>
  <c r="BN355" i="3"/>
  <c r="BL355" i="3"/>
  <c r="BK355" i="3"/>
  <c r="BE355" i="3"/>
  <c r="BD355" i="3"/>
  <c r="BC355" i="3"/>
  <c r="AX355" i="3"/>
  <c r="AV355" i="3"/>
  <c r="AU355" i="3"/>
  <c r="AO355" i="3"/>
  <c r="AN355" i="3"/>
  <c r="AM355" i="3"/>
  <c r="AH355" i="3"/>
  <c r="AF355" i="3"/>
  <c r="AE355" i="3"/>
  <c r="E355" i="3"/>
  <c r="BM355" i="3" s="1"/>
  <c r="D355" i="3"/>
  <c r="EX354" i="3"/>
  <c r="BU354" i="3"/>
  <c r="BT354" i="3"/>
  <c r="BS354" i="3"/>
  <c r="BR354" i="3"/>
  <c r="BQ354" i="3"/>
  <c r="BP354" i="3"/>
  <c r="BO354" i="3"/>
  <c r="BM354" i="3"/>
  <c r="BL354" i="3"/>
  <c r="BK354" i="3"/>
  <c r="BJ354" i="3"/>
  <c r="BI354" i="3"/>
  <c r="BH354" i="3"/>
  <c r="BG354" i="3"/>
  <c r="BE354" i="3"/>
  <c r="BD354" i="3"/>
  <c r="BC354" i="3"/>
  <c r="BB354" i="3"/>
  <c r="BA354" i="3"/>
  <c r="AZ354" i="3"/>
  <c r="AY354" i="3"/>
  <c r="AW354" i="3"/>
  <c r="AV354" i="3"/>
  <c r="AU354" i="3"/>
  <c r="AT354" i="3"/>
  <c r="AS354" i="3"/>
  <c r="AR354" i="3"/>
  <c r="AQ354" i="3"/>
  <c r="AO354" i="3"/>
  <c r="AN354" i="3"/>
  <c r="AM354" i="3"/>
  <c r="AL354" i="3"/>
  <c r="AK354" i="3"/>
  <c r="AJ354" i="3"/>
  <c r="AI354" i="3"/>
  <c r="AG354" i="3"/>
  <c r="AF354" i="3"/>
  <c r="AE354" i="3"/>
  <c r="AD354" i="3"/>
  <c r="AC354" i="3"/>
  <c r="AB354" i="3"/>
  <c r="AA354" i="3"/>
  <c r="E354" i="3"/>
  <c r="BV354" i="3" s="1"/>
  <c r="D354" i="3"/>
  <c r="EX353" i="3"/>
  <c r="BS353" i="3"/>
  <c r="BC353" i="3"/>
  <c r="AM353" i="3"/>
  <c r="E353" i="3"/>
  <c r="BU353" i="3" s="1"/>
  <c r="D353" i="3"/>
  <c r="EX352" i="3"/>
  <c r="BU352" i="3"/>
  <c r="BT352" i="3"/>
  <c r="BS352" i="3"/>
  <c r="BR352" i="3"/>
  <c r="BQ352" i="3"/>
  <c r="BP352" i="3"/>
  <c r="BO352" i="3"/>
  <c r="BM352" i="3"/>
  <c r="BL352" i="3"/>
  <c r="BK352" i="3"/>
  <c r="BJ352" i="3"/>
  <c r="BI352" i="3"/>
  <c r="BH352" i="3"/>
  <c r="BG352" i="3"/>
  <c r="BE352" i="3"/>
  <c r="BD352" i="3"/>
  <c r="BC352" i="3"/>
  <c r="BB352" i="3"/>
  <c r="BA352" i="3"/>
  <c r="AZ352" i="3"/>
  <c r="AY352" i="3"/>
  <c r="AW352" i="3"/>
  <c r="AV352" i="3"/>
  <c r="AU352" i="3"/>
  <c r="AT352" i="3"/>
  <c r="AS352" i="3"/>
  <c r="AR352" i="3"/>
  <c r="AQ352" i="3"/>
  <c r="AO352" i="3"/>
  <c r="AN352" i="3"/>
  <c r="AM352" i="3"/>
  <c r="AL352" i="3"/>
  <c r="AK352" i="3"/>
  <c r="AJ352" i="3"/>
  <c r="AI352" i="3"/>
  <c r="AG352" i="3"/>
  <c r="AF352" i="3"/>
  <c r="AE352" i="3"/>
  <c r="AD352" i="3"/>
  <c r="AC352" i="3"/>
  <c r="AB352" i="3"/>
  <c r="AA352" i="3"/>
  <c r="E352" i="3"/>
  <c r="BV352" i="3" s="1"/>
  <c r="D352" i="3"/>
  <c r="EX351" i="3"/>
  <c r="BT351" i="3"/>
  <c r="BD351" i="3"/>
  <c r="AN351" i="3"/>
  <c r="E351" i="3"/>
  <c r="BS351" i="3" s="1"/>
  <c r="D351" i="3"/>
  <c r="EX350" i="3"/>
  <c r="BU350" i="3"/>
  <c r="BT350" i="3"/>
  <c r="BS350" i="3"/>
  <c r="BR350" i="3"/>
  <c r="BQ350" i="3"/>
  <c r="BP350" i="3"/>
  <c r="BO350" i="3"/>
  <c r="BM350" i="3"/>
  <c r="BL350" i="3"/>
  <c r="BK350" i="3"/>
  <c r="BJ350" i="3"/>
  <c r="BI350" i="3"/>
  <c r="BH350" i="3"/>
  <c r="BG350" i="3"/>
  <c r="BE350" i="3"/>
  <c r="BD350" i="3"/>
  <c r="BC350" i="3"/>
  <c r="BB350" i="3"/>
  <c r="BA350" i="3"/>
  <c r="AZ350" i="3"/>
  <c r="AY350" i="3"/>
  <c r="AW350" i="3"/>
  <c r="AV350" i="3"/>
  <c r="AU350" i="3"/>
  <c r="AT350" i="3"/>
  <c r="AS350" i="3"/>
  <c r="AR350" i="3"/>
  <c r="AQ350" i="3"/>
  <c r="AO350" i="3"/>
  <c r="AN350" i="3"/>
  <c r="AM350" i="3"/>
  <c r="AL350" i="3"/>
  <c r="AK350" i="3"/>
  <c r="AJ350" i="3"/>
  <c r="AI350" i="3"/>
  <c r="AG350" i="3"/>
  <c r="AF350" i="3"/>
  <c r="AE350" i="3"/>
  <c r="AD350" i="3"/>
  <c r="AC350" i="3"/>
  <c r="AB350" i="3"/>
  <c r="AA350" i="3"/>
  <c r="E350" i="3"/>
  <c r="BV350" i="3" s="1"/>
  <c r="D350" i="3"/>
  <c r="EX349" i="3"/>
  <c r="BV349" i="3"/>
  <c r="BU349" i="3"/>
  <c r="BT349" i="3"/>
  <c r="BS349" i="3"/>
  <c r="BP349" i="3"/>
  <c r="BN349" i="3"/>
  <c r="BM349" i="3"/>
  <c r="BL349" i="3"/>
  <c r="BK349" i="3"/>
  <c r="BI349" i="3"/>
  <c r="BH349" i="3"/>
  <c r="BE349" i="3"/>
  <c r="BD349" i="3"/>
  <c r="BC349" i="3"/>
  <c r="BA349" i="3"/>
  <c r="AZ349" i="3"/>
  <c r="AX349" i="3"/>
  <c r="AW349" i="3"/>
  <c r="AU349" i="3"/>
  <c r="AS349" i="3"/>
  <c r="AR349" i="3"/>
  <c r="AP349" i="3"/>
  <c r="AO349" i="3"/>
  <c r="AN349" i="3"/>
  <c r="AM349" i="3"/>
  <c r="AJ349" i="3"/>
  <c r="AH349" i="3"/>
  <c r="AG349" i="3"/>
  <c r="AF349" i="3"/>
  <c r="AE349" i="3"/>
  <c r="AC349" i="3"/>
  <c r="AB349" i="3"/>
  <c r="E349" i="3"/>
  <c r="D349" i="3"/>
  <c r="EX348" i="3"/>
  <c r="BU348" i="3"/>
  <c r="BT348" i="3"/>
  <c r="BS348" i="3"/>
  <c r="BR348" i="3"/>
  <c r="BQ348" i="3"/>
  <c r="BP348" i="3"/>
  <c r="BO348" i="3"/>
  <c r="BM348" i="3"/>
  <c r="BL348" i="3"/>
  <c r="BK348" i="3"/>
  <c r="BJ348" i="3"/>
  <c r="BI348" i="3"/>
  <c r="BH348" i="3"/>
  <c r="BG348" i="3"/>
  <c r="BE348" i="3"/>
  <c r="BD348" i="3"/>
  <c r="BC348" i="3"/>
  <c r="BB348" i="3"/>
  <c r="BA348" i="3"/>
  <c r="AZ348" i="3"/>
  <c r="AY348" i="3"/>
  <c r="AW348" i="3"/>
  <c r="AV348" i="3"/>
  <c r="AU348" i="3"/>
  <c r="AT348" i="3"/>
  <c r="AS348" i="3"/>
  <c r="AR348" i="3"/>
  <c r="AQ348" i="3"/>
  <c r="AO348" i="3"/>
  <c r="AN348" i="3"/>
  <c r="AM348" i="3"/>
  <c r="AL348" i="3"/>
  <c r="AK348" i="3"/>
  <c r="AJ348" i="3"/>
  <c r="AI348" i="3"/>
  <c r="AG348" i="3"/>
  <c r="AF348" i="3"/>
  <c r="AE348" i="3"/>
  <c r="AD348" i="3"/>
  <c r="AC348" i="3"/>
  <c r="AB348" i="3"/>
  <c r="AA348" i="3"/>
  <c r="E348" i="3"/>
  <c r="BV348" i="3" s="1"/>
  <c r="D348" i="3"/>
  <c r="EX347" i="3"/>
  <c r="BV347" i="3"/>
  <c r="BU347" i="3"/>
  <c r="BN347" i="3"/>
  <c r="BM347" i="3"/>
  <c r="BL347" i="3"/>
  <c r="BK347" i="3"/>
  <c r="BD347" i="3"/>
  <c r="BC347" i="3"/>
  <c r="BA347" i="3"/>
  <c r="AZ347" i="3"/>
  <c r="AS347" i="3"/>
  <c r="AR347" i="3"/>
  <c r="AP347" i="3"/>
  <c r="AO347" i="3"/>
  <c r="AH347" i="3"/>
  <c r="AG347" i="3"/>
  <c r="AF347" i="3"/>
  <c r="AE347" i="3"/>
  <c r="E347" i="3"/>
  <c r="BP347" i="3" s="1"/>
  <c r="D347" i="3"/>
  <c r="EX346" i="3"/>
  <c r="BU346" i="3"/>
  <c r="BT346" i="3"/>
  <c r="BS346" i="3"/>
  <c r="BR346" i="3"/>
  <c r="BQ346" i="3"/>
  <c r="BP346" i="3"/>
  <c r="BO346" i="3"/>
  <c r="BM346" i="3"/>
  <c r="BL346" i="3"/>
  <c r="BK346" i="3"/>
  <c r="BJ346" i="3"/>
  <c r="BI346" i="3"/>
  <c r="BH346" i="3"/>
  <c r="BG346" i="3"/>
  <c r="BE346" i="3"/>
  <c r="BD346" i="3"/>
  <c r="BC346" i="3"/>
  <c r="BB346" i="3"/>
  <c r="BA346" i="3"/>
  <c r="AZ346" i="3"/>
  <c r="AY346" i="3"/>
  <c r="AW346" i="3"/>
  <c r="AV346" i="3"/>
  <c r="AU346" i="3"/>
  <c r="AT346" i="3"/>
  <c r="AS346" i="3"/>
  <c r="AR346" i="3"/>
  <c r="AQ346" i="3"/>
  <c r="AO346" i="3"/>
  <c r="AN346" i="3"/>
  <c r="AM346" i="3"/>
  <c r="AL346" i="3"/>
  <c r="AK346" i="3"/>
  <c r="AJ346" i="3"/>
  <c r="AI346" i="3"/>
  <c r="AG346" i="3"/>
  <c r="AF346" i="3"/>
  <c r="AE346" i="3"/>
  <c r="AD346" i="3"/>
  <c r="AC346" i="3"/>
  <c r="AB346" i="3"/>
  <c r="AA346" i="3"/>
  <c r="E346" i="3"/>
  <c r="BV346" i="3" s="1"/>
  <c r="D346" i="3"/>
  <c r="EX345" i="3"/>
  <c r="BV345" i="3"/>
  <c r="BU345" i="3"/>
  <c r="BS345" i="3"/>
  <c r="BQ345" i="3"/>
  <c r="BP345" i="3"/>
  <c r="BO345" i="3"/>
  <c r="BM345" i="3"/>
  <c r="BL345" i="3"/>
  <c r="BI345" i="3"/>
  <c r="BH345" i="3"/>
  <c r="BG345" i="3"/>
  <c r="BF345" i="3"/>
  <c r="BD345" i="3"/>
  <c r="BC345" i="3"/>
  <c r="AZ345" i="3"/>
  <c r="AY345" i="3"/>
  <c r="AX345" i="3"/>
  <c r="AW345" i="3"/>
  <c r="AU345" i="3"/>
  <c r="AS345" i="3"/>
  <c r="AQ345" i="3"/>
  <c r="AP345" i="3"/>
  <c r="AO345" i="3"/>
  <c r="AN345" i="3"/>
  <c r="AK345" i="3"/>
  <c r="AJ345" i="3"/>
  <c r="AH345" i="3"/>
  <c r="AG345" i="3"/>
  <c r="AF345" i="3"/>
  <c r="AE345" i="3"/>
  <c r="AB345" i="3"/>
  <c r="AA345" i="3"/>
  <c r="E345" i="3"/>
  <c r="BN345" i="3" s="1"/>
  <c r="D345" i="3"/>
  <c r="EX344" i="3"/>
  <c r="BU344" i="3"/>
  <c r="BT344" i="3"/>
  <c r="BS344" i="3"/>
  <c r="BR344" i="3"/>
  <c r="BQ344" i="3"/>
  <c r="BP344" i="3"/>
  <c r="BO344" i="3"/>
  <c r="BM344" i="3"/>
  <c r="BL344" i="3"/>
  <c r="BK344" i="3"/>
  <c r="BJ344" i="3"/>
  <c r="BI344" i="3"/>
  <c r="BH344" i="3"/>
  <c r="BG344" i="3"/>
  <c r="BE344" i="3"/>
  <c r="BD344" i="3"/>
  <c r="BC344" i="3"/>
  <c r="BB344" i="3"/>
  <c r="BA344" i="3"/>
  <c r="AZ344" i="3"/>
  <c r="AY344" i="3"/>
  <c r="AW344" i="3"/>
  <c r="AV344" i="3"/>
  <c r="AU344" i="3"/>
  <c r="AT344" i="3"/>
  <c r="AS344" i="3"/>
  <c r="AR344" i="3"/>
  <c r="AQ344" i="3"/>
  <c r="AO344" i="3"/>
  <c r="AN344" i="3"/>
  <c r="AM344" i="3"/>
  <c r="AL344" i="3"/>
  <c r="AK344" i="3"/>
  <c r="AJ344" i="3"/>
  <c r="AI344" i="3"/>
  <c r="AG344" i="3"/>
  <c r="AF344" i="3"/>
  <c r="AE344" i="3"/>
  <c r="AD344" i="3"/>
  <c r="AC344" i="3"/>
  <c r="AB344" i="3"/>
  <c r="AA344" i="3"/>
  <c r="E344" i="3"/>
  <c r="BV344" i="3" s="1"/>
  <c r="D344" i="3"/>
  <c r="EX343" i="3"/>
  <c r="D343" i="3"/>
  <c r="EX342" i="3"/>
  <c r="EX341" i="3"/>
  <c r="EX340" i="3"/>
  <c r="BI340" i="3"/>
  <c r="BD340" i="3"/>
  <c r="BC340" i="3"/>
  <c r="BB340" i="3"/>
  <c r="BA340" i="3"/>
  <c r="AV340" i="3"/>
  <c r="AU340" i="3"/>
  <c r="AT340" i="3"/>
  <c r="AS340" i="3"/>
  <c r="AN340" i="3"/>
  <c r="AM340" i="3"/>
  <c r="AL340" i="3"/>
  <c r="AK340" i="3"/>
  <c r="AF340" i="3"/>
  <c r="AE340" i="3"/>
  <c r="AD340" i="3"/>
  <c r="AC340" i="3"/>
  <c r="E340" i="3"/>
  <c r="BJ340" i="3" s="1"/>
  <c r="D340" i="3"/>
  <c r="EX339" i="3"/>
  <c r="BJ339" i="3"/>
  <c r="BI339" i="3"/>
  <c r="BD339" i="3"/>
  <c r="BC339" i="3"/>
  <c r="BB339" i="3"/>
  <c r="BA339" i="3"/>
  <c r="AV339" i="3"/>
  <c r="AU339" i="3"/>
  <c r="AT339" i="3"/>
  <c r="AS339" i="3"/>
  <c r="AN339" i="3"/>
  <c r="AM339" i="3"/>
  <c r="AL339" i="3"/>
  <c r="AK339" i="3"/>
  <c r="AF339" i="3"/>
  <c r="AE339" i="3"/>
  <c r="AD339" i="3"/>
  <c r="AC339" i="3"/>
  <c r="E339" i="3"/>
  <c r="BG339" i="3" s="1"/>
  <c r="D339" i="3"/>
  <c r="EX338" i="3"/>
  <c r="BJ338" i="3"/>
  <c r="BI338" i="3"/>
  <c r="BD338" i="3"/>
  <c r="BC338" i="3"/>
  <c r="BB338" i="3"/>
  <c r="BA338" i="3"/>
  <c r="AV338" i="3"/>
  <c r="AU338" i="3"/>
  <c r="AT338" i="3"/>
  <c r="AS338" i="3"/>
  <c r="AN338" i="3"/>
  <c r="AM338" i="3"/>
  <c r="AL338" i="3"/>
  <c r="AK338" i="3"/>
  <c r="AF338" i="3"/>
  <c r="AE338" i="3"/>
  <c r="AD338" i="3"/>
  <c r="AC338" i="3"/>
  <c r="E338" i="3"/>
  <c r="BG338" i="3" s="1"/>
  <c r="D338" i="3"/>
  <c r="EX337" i="3"/>
  <c r="BJ337" i="3"/>
  <c r="BI337" i="3"/>
  <c r="BD337" i="3"/>
  <c r="BC337" i="3"/>
  <c r="BB337" i="3"/>
  <c r="BA337" i="3"/>
  <c r="AV337" i="3"/>
  <c r="AU337" i="3"/>
  <c r="AT337" i="3"/>
  <c r="AS337" i="3"/>
  <c r="AN337" i="3"/>
  <c r="AM337" i="3"/>
  <c r="AL337" i="3"/>
  <c r="AK337" i="3"/>
  <c r="AF337" i="3"/>
  <c r="AE337" i="3"/>
  <c r="AD337" i="3"/>
  <c r="AC337" i="3"/>
  <c r="E337" i="3"/>
  <c r="BG337" i="3" s="1"/>
  <c r="D337" i="3"/>
  <c r="EX336" i="3"/>
  <c r="BJ336" i="3"/>
  <c r="BI336" i="3"/>
  <c r="BD336" i="3"/>
  <c r="BC336" i="3"/>
  <c r="BB336" i="3"/>
  <c r="BA336" i="3"/>
  <c r="AV336" i="3"/>
  <c r="AU336" i="3"/>
  <c r="AT336" i="3"/>
  <c r="AS336" i="3"/>
  <c r="AN336" i="3"/>
  <c r="AM336" i="3"/>
  <c r="AL336" i="3"/>
  <c r="AK336" i="3"/>
  <c r="AF336" i="3"/>
  <c r="AE336" i="3"/>
  <c r="AD336" i="3"/>
  <c r="AC336" i="3"/>
  <c r="E336" i="3"/>
  <c r="BG336" i="3" s="1"/>
  <c r="D336" i="3"/>
  <c r="EX335" i="3"/>
  <c r="BJ335" i="3"/>
  <c r="BI335" i="3"/>
  <c r="BD335" i="3"/>
  <c r="BC335" i="3"/>
  <c r="BB335" i="3"/>
  <c r="BA335" i="3"/>
  <c r="AV335" i="3"/>
  <c r="AU335" i="3"/>
  <c r="AT335" i="3"/>
  <c r="AS335" i="3"/>
  <c r="AN335" i="3"/>
  <c r="AM335" i="3"/>
  <c r="AL335" i="3"/>
  <c r="AK335" i="3"/>
  <c r="AF335" i="3"/>
  <c r="AE335" i="3"/>
  <c r="AD335" i="3"/>
  <c r="AC335" i="3"/>
  <c r="E335" i="3"/>
  <c r="BG335" i="3" s="1"/>
  <c r="D335" i="3"/>
  <c r="EX334" i="3"/>
  <c r="AU334" i="3"/>
  <c r="AP334" i="3"/>
  <c r="AD334" i="3"/>
  <c r="E334" i="3"/>
  <c r="AS334" i="3" s="1"/>
  <c r="D334" i="3"/>
  <c r="EX333" i="3"/>
  <c r="BI333" i="3"/>
  <c r="BF333" i="3"/>
  <c r="BD333" i="3"/>
  <c r="BC333" i="3"/>
  <c r="BB333" i="3"/>
  <c r="AX333" i="3"/>
  <c r="AU333" i="3"/>
  <c r="AT333" i="3"/>
  <c r="AS333" i="3"/>
  <c r="AP333" i="3"/>
  <c r="AN333" i="3"/>
  <c r="AL333" i="3"/>
  <c r="AH333" i="3"/>
  <c r="AF333" i="3"/>
  <c r="AE333" i="3"/>
  <c r="AD333" i="3"/>
  <c r="AC333" i="3"/>
  <c r="E333" i="3"/>
  <c r="D333" i="3"/>
  <c r="EX332" i="3"/>
  <c r="BD332" i="3"/>
  <c r="AT332" i="3"/>
  <c r="AL332" i="3"/>
  <c r="AA332" i="3"/>
  <c r="E332" i="3"/>
  <c r="BF332" i="3" s="1"/>
  <c r="D332" i="3"/>
  <c r="EX331" i="3"/>
  <c r="BJ331" i="3"/>
  <c r="BI331" i="3"/>
  <c r="BG331" i="3"/>
  <c r="BD331" i="3"/>
  <c r="BC331" i="3"/>
  <c r="BB331" i="3"/>
  <c r="BA331" i="3"/>
  <c r="AY331" i="3"/>
  <c r="AX331" i="3"/>
  <c r="AV331" i="3"/>
  <c r="AT331" i="3"/>
  <c r="AS331" i="3"/>
  <c r="AQ331" i="3"/>
  <c r="AP331" i="3"/>
  <c r="AN331" i="3"/>
  <c r="AM331" i="3"/>
  <c r="AL331" i="3"/>
  <c r="AI331" i="3"/>
  <c r="AH331" i="3"/>
  <c r="AF331" i="3"/>
  <c r="AE331" i="3"/>
  <c r="AD331" i="3"/>
  <c r="AC331" i="3"/>
  <c r="AA331" i="3"/>
  <c r="E331" i="3"/>
  <c r="D331" i="3"/>
  <c r="EX330" i="3"/>
  <c r="BJ330" i="3"/>
  <c r="BI330" i="3"/>
  <c r="BG330" i="3"/>
  <c r="BF330" i="3"/>
  <c r="AY330" i="3"/>
  <c r="AX330" i="3"/>
  <c r="AV330" i="3"/>
  <c r="AU330" i="3"/>
  <c r="AS330" i="3"/>
  <c r="AP330" i="3"/>
  <c r="AN330" i="3"/>
  <c r="AL330" i="3"/>
  <c r="AK330" i="3"/>
  <c r="AH330" i="3"/>
  <c r="AE330" i="3"/>
  <c r="AD330" i="3"/>
  <c r="AC330" i="3"/>
  <c r="AA330" i="3"/>
  <c r="E330" i="3"/>
  <c r="D330" i="3"/>
  <c r="EX329" i="3"/>
  <c r="BD329" i="3"/>
  <c r="AY329" i="3"/>
  <c r="AQ329" i="3"/>
  <c r="AK329" i="3"/>
  <c r="AA329" i="3"/>
  <c r="E329" i="3"/>
  <c r="BB329" i="3" s="1"/>
  <c r="D329" i="3"/>
  <c r="EX328" i="3"/>
  <c r="BJ328" i="3"/>
  <c r="BI328" i="3"/>
  <c r="BF328" i="3"/>
  <c r="BA328" i="3"/>
  <c r="AY328" i="3"/>
  <c r="AX328" i="3"/>
  <c r="AU328" i="3"/>
  <c r="AS328" i="3"/>
  <c r="AQ328" i="3"/>
  <c r="AM328" i="3"/>
  <c r="AK328" i="3"/>
  <c r="AH328" i="3"/>
  <c r="AF328" i="3"/>
  <c r="AE328" i="3"/>
  <c r="AD328" i="3"/>
  <c r="E328" i="3"/>
  <c r="D328" i="3"/>
  <c r="EX327" i="3"/>
  <c r="BI327" i="3"/>
  <c r="BG327" i="3"/>
  <c r="BF327" i="3"/>
  <c r="BD327" i="3"/>
  <c r="AY327" i="3"/>
  <c r="AU327" i="3"/>
  <c r="AT327" i="3"/>
  <c r="AQ327" i="3"/>
  <c r="AN327" i="3"/>
  <c r="AL327" i="3"/>
  <c r="AF327" i="3"/>
  <c r="AD327" i="3"/>
  <c r="AC327" i="3"/>
  <c r="AA327" i="3"/>
  <c r="E327" i="3"/>
  <c r="D327" i="3"/>
  <c r="EX326" i="3"/>
  <c r="AX326" i="3"/>
  <c r="E326" i="3"/>
  <c r="BF326" i="3" s="1"/>
  <c r="D326" i="3"/>
  <c r="EX325" i="3"/>
  <c r="BJ325" i="3"/>
  <c r="BG325" i="3"/>
  <c r="BF325" i="3"/>
  <c r="BE325" i="3"/>
  <c r="BD325" i="3"/>
  <c r="BC325" i="3"/>
  <c r="BA325" i="3"/>
  <c r="AX325" i="3"/>
  <c r="AW325" i="3"/>
  <c r="AV325" i="3"/>
  <c r="AU325" i="3"/>
  <c r="AT325" i="3"/>
  <c r="AQ325" i="3"/>
  <c r="AO325" i="3"/>
  <c r="AN325" i="3"/>
  <c r="AM325" i="3"/>
  <c r="AL325" i="3"/>
  <c r="AK325" i="3"/>
  <c r="AH325" i="3"/>
  <c r="AF325" i="3"/>
  <c r="AE325" i="3"/>
  <c r="AD325" i="3"/>
  <c r="AC325" i="3"/>
  <c r="AA325" i="3"/>
  <c r="E325" i="3"/>
  <c r="D325" i="3"/>
  <c r="EX324" i="3"/>
  <c r="BJ324" i="3"/>
  <c r="BI324" i="3"/>
  <c r="BG324" i="3"/>
  <c r="BF324" i="3"/>
  <c r="BE324" i="3"/>
  <c r="BD324" i="3"/>
  <c r="BC324" i="3"/>
  <c r="BA324" i="3"/>
  <c r="AY324" i="3"/>
  <c r="AX324" i="3"/>
  <c r="AW324" i="3"/>
  <c r="AV324" i="3"/>
  <c r="AU324" i="3"/>
  <c r="AT324" i="3"/>
  <c r="AQ324" i="3"/>
  <c r="AP324" i="3"/>
  <c r="AO324" i="3"/>
  <c r="AN324" i="3"/>
  <c r="AM324" i="3"/>
  <c r="AL324" i="3"/>
  <c r="AK324" i="3"/>
  <c r="AH324" i="3"/>
  <c r="AG324" i="3"/>
  <c r="AF324" i="3"/>
  <c r="AE324" i="3"/>
  <c r="AD324" i="3"/>
  <c r="AC324" i="3"/>
  <c r="AA324" i="3"/>
  <c r="E324" i="3"/>
  <c r="D324" i="3"/>
  <c r="EX323" i="3"/>
  <c r="BJ323" i="3"/>
  <c r="BI323" i="3"/>
  <c r="BG323" i="3"/>
  <c r="BE323" i="3"/>
  <c r="BC323" i="3"/>
  <c r="BB323" i="3"/>
  <c r="BA323" i="3"/>
  <c r="AX323" i="3"/>
  <c r="AV323" i="3"/>
  <c r="AT323" i="3"/>
  <c r="AS323" i="3"/>
  <c r="AQ323" i="3"/>
  <c r="AP323" i="3"/>
  <c r="AO323" i="3"/>
  <c r="AK323" i="3"/>
  <c r="AI323" i="3"/>
  <c r="AH323" i="3"/>
  <c r="AG323" i="3"/>
  <c r="AF323" i="3"/>
  <c r="AD323" i="3"/>
  <c r="AA323" i="3"/>
  <c r="E323" i="3"/>
  <c r="D323" i="3"/>
  <c r="EX322" i="3"/>
  <c r="BJ322" i="3"/>
  <c r="BG322" i="3"/>
  <c r="BE322" i="3"/>
  <c r="BD322" i="3"/>
  <c r="BC322" i="3"/>
  <c r="BB322" i="3"/>
  <c r="BA322" i="3"/>
  <c r="AV322" i="3"/>
  <c r="AU322" i="3"/>
  <c r="AT322" i="3"/>
  <c r="AS322" i="3"/>
  <c r="AQ322" i="3"/>
  <c r="AO322" i="3"/>
  <c r="AM322" i="3"/>
  <c r="AK322" i="3"/>
  <c r="AI322" i="3"/>
  <c r="AH322" i="3"/>
  <c r="AF322" i="3"/>
  <c r="AD322" i="3"/>
  <c r="AC322" i="3"/>
  <c r="AA322" i="3"/>
  <c r="E322" i="3"/>
  <c r="D322" i="3"/>
  <c r="EX321" i="3"/>
  <c r="BJ321" i="3"/>
  <c r="BG321" i="3"/>
  <c r="BF321" i="3"/>
  <c r="BE321" i="3"/>
  <c r="BD321" i="3"/>
  <c r="BC321" i="3"/>
  <c r="BA321" i="3"/>
  <c r="AX321" i="3"/>
  <c r="AW321" i="3"/>
  <c r="AV321" i="3"/>
  <c r="AU321" i="3"/>
  <c r="AT321" i="3"/>
  <c r="AQ321" i="3"/>
  <c r="AO321" i="3"/>
  <c r="AN321" i="3"/>
  <c r="AM321" i="3"/>
  <c r="AL321" i="3"/>
  <c r="AK321" i="3"/>
  <c r="AH321" i="3"/>
  <c r="AF321" i="3"/>
  <c r="AE321" i="3"/>
  <c r="AD321" i="3"/>
  <c r="AC321" i="3"/>
  <c r="AA321" i="3"/>
  <c r="E321" i="3"/>
  <c r="D321" i="3"/>
  <c r="EX320" i="3"/>
  <c r="D320" i="3"/>
  <c r="EX319" i="3"/>
  <c r="EX318" i="3"/>
  <c r="EX317" i="3"/>
  <c r="AS317" i="3"/>
  <c r="E317" i="3"/>
  <c r="D317" i="3"/>
  <c r="EX316" i="3"/>
  <c r="BF316" i="3"/>
  <c r="BA316" i="3"/>
  <c r="AY316" i="3"/>
  <c r="AV316" i="3"/>
  <c r="AT316" i="3"/>
  <c r="AR316" i="3"/>
  <c r="AK316" i="3"/>
  <c r="AJ316" i="3"/>
  <c r="AI316" i="3"/>
  <c r="AG316" i="3"/>
  <c r="AB316" i="3"/>
  <c r="E316" i="3"/>
  <c r="BI316" i="3" s="1"/>
  <c r="D316" i="3"/>
  <c r="EX315" i="3"/>
  <c r="BI315" i="3"/>
  <c r="BH315" i="3"/>
  <c r="BG315" i="3"/>
  <c r="BF315" i="3"/>
  <c r="BE315" i="3"/>
  <c r="BD315" i="3"/>
  <c r="BB315" i="3"/>
  <c r="AZ315" i="3"/>
  <c r="AY315" i="3"/>
  <c r="AX315" i="3"/>
  <c r="AW315" i="3"/>
  <c r="AV315" i="3"/>
  <c r="AT315" i="3"/>
  <c r="AS315" i="3"/>
  <c r="AQ315" i="3"/>
  <c r="AP315" i="3"/>
  <c r="AO315" i="3"/>
  <c r="AN315" i="3"/>
  <c r="AL315" i="3"/>
  <c r="AK315" i="3"/>
  <c r="AJ315" i="3"/>
  <c r="AH315" i="3"/>
  <c r="AG315" i="3"/>
  <c r="AF315" i="3"/>
  <c r="AD315" i="3"/>
  <c r="AC315" i="3"/>
  <c r="AB315" i="3"/>
  <c r="AA315" i="3"/>
  <c r="E315" i="3"/>
  <c r="D315" i="3"/>
  <c r="EX314" i="3"/>
  <c r="AZ314" i="3"/>
  <c r="AO314" i="3"/>
  <c r="AC314" i="3"/>
  <c r="E314" i="3"/>
  <c r="BG314" i="3" s="1"/>
  <c r="D314" i="3"/>
  <c r="EX313" i="3"/>
  <c r="BF313" i="3"/>
  <c r="E313" i="3"/>
  <c r="D313" i="3"/>
  <c r="EX312" i="3"/>
  <c r="BA312" i="3"/>
  <c r="AQ312" i="3"/>
  <c r="AG312" i="3"/>
  <c r="E312" i="3"/>
  <c r="BE312" i="3" s="1"/>
  <c r="D312" i="3"/>
  <c r="EX311" i="3"/>
  <c r="BH311" i="3"/>
  <c r="BE311" i="3"/>
  <c r="BD311" i="3"/>
  <c r="BA311" i="3"/>
  <c r="AZ311" i="3"/>
  <c r="AX311" i="3"/>
  <c r="AS311" i="3"/>
  <c r="AR311" i="3"/>
  <c r="AQ311" i="3"/>
  <c r="AP311" i="3"/>
  <c r="AN311" i="3"/>
  <c r="AI311" i="3"/>
  <c r="AH311" i="3"/>
  <c r="AG311" i="3"/>
  <c r="AF311" i="3"/>
  <c r="AB311" i="3"/>
  <c r="E311" i="3"/>
  <c r="BI311" i="3" s="1"/>
  <c r="D311" i="3"/>
  <c r="EX310" i="3"/>
  <c r="BI310" i="3"/>
  <c r="BH310" i="3"/>
  <c r="BG310" i="3"/>
  <c r="BE310" i="3"/>
  <c r="BD310" i="3"/>
  <c r="BA310" i="3"/>
  <c r="AZ310" i="3"/>
  <c r="AY310" i="3"/>
  <c r="AX310" i="3"/>
  <c r="AW310" i="3"/>
  <c r="AS310" i="3"/>
  <c r="AR310" i="3"/>
  <c r="AQ310" i="3"/>
  <c r="AP310" i="3"/>
  <c r="AO310" i="3"/>
  <c r="AN310" i="3"/>
  <c r="AK310" i="3"/>
  <c r="AI310" i="3"/>
  <c r="AH310" i="3"/>
  <c r="AG310" i="3"/>
  <c r="AF310" i="3"/>
  <c r="AC310" i="3"/>
  <c r="AB310" i="3"/>
  <c r="AA310" i="3"/>
  <c r="E310" i="3"/>
  <c r="D310" i="3"/>
  <c r="EX309" i="3"/>
  <c r="BF309" i="3"/>
  <c r="BD309" i="3"/>
  <c r="AP309" i="3"/>
  <c r="AJ309" i="3"/>
  <c r="E309" i="3"/>
  <c r="BE309" i="3" s="1"/>
  <c r="D309" i="3"/>
  <c r="EX308" i="3"/>
  <c r="BI308" i="3"/>
  <c r="BG308" i="3"/>
  <c r="BE308" i="3"/>
  <c r="BD308" i="3"/>
  <c r="BA308" i="3"/>
  <c r="AZ308" i="3"/>
  <c r="AY308" i="3"/>
  <c r="AW308" i="3"/>
  <c r="AS308" i="3"/>
  <c r="AR308" i="3"/>
  <c r="AQ308" i="3"/>
  <c r="AP308" i="3"/>
  <c r="AO308" i="3"/>
  <c r="AK308" i="3"/>
  <c r="AI308" i="3"/>
  <c r="AH308" i="3"/>
  <c r="AG308" i="3"/>
  <c r="AF308" i="3"/>
  <c r="AC308" i="3"/>
  <c r="AA308" i="3"/>
  <c r="E308" i="3"/>
  <c r="BH308" i="3" s="1"/>
  <c r="D308" i="3"/>
  <c r="EX307" i="3"/>
  <c r="BI307" i="3"/>
  <c r="BF307" i="3"/>
  <c r="BD307" i="3"/>
  <c r="AY307" i="3"/>
  <c r="AX307" i="3"/>
  <c r="AW307" i="3"/>
  <c r="AV307" i="3"/>
  <c r="AN307" i="3"/>
  <c r="AK307" i="3"/>
  <c r="AJ307" i="3"/>
  <c r="AH307" i="3"/>
  <c r="AC307" i="3"/>
  <c r="AB307" i="3"/>
  <c r="E307" i="3"/>
  <c r="D307" i="3"/>
  <c r="EX306" i="3"/>
  <c r="BF306" i="3"/>
  <c r="BE306" i="3"/>
  <c r="BD306" i="3"/>
  <c r="BA306" i="3"/>
  <c r="AY306" i="3"/>
  <c r="AV306" i="3"/>
  <c r="AQ306" i="3"/>
  <c r="AO306" i="3"/>
  <c r="AJ306" i="3"/>
  <c r="AI306" i="3"/>
  <c r="AH306" i="3"/>
  <c r="AG306" i="3"/>
  <c r="E306" i="3"/>
  <c r="D306" i="3"/>
  <c r="EX305" i="3"/>
  <c r="BF305" i="3"/>
  <c r="BA305" i="3"/>
  <c r="AZ305" i="3"/>
  <c r="AY305" i="3"/>
  <c r="AX305" i="3"/>
  <c r="AV305" i="3"/>
  <c r="AO305" i="3"/>
  <c r="AN305" i="3"/>
  <c r="AJ305" i="3"/>
  <c r="AG305" i="3"/>
  <c r="AF305" i="3"/>
  <c r="AC305" i="3"/>
  <c r="E305" i="3"/>
  <c r="D305" i="3"/>
  <c r="EX304" i="3"/>
  <c r="BF304" i="3"/>
  <c r="BE304" i="3"/>
  <c r="BA304" i="3"/>
  <c r="AX304" i="3"/>
  <c r="AW304" i="3"/>
  <c r="AV304" i="3"/>
  <c r="AN304" i="3"/>
  <c r="AK304" i="3"/>
  <c r="AJ304" i="3"/>
  <c r="AI304" i="3"/>
  <c r="AG304" i="3"/>
  <c r="AB304" i="3"/>
  <c r="E304" i="3"/>
  <c r="D304" i="3"/>
  <c r="EX303" i="3"/>
  <c r="BH303" i="3"/>
  <c r="BE303" i="3"/>
  <c r="BD303" i="3"/>
  <c r="BA303" i="3"/>
  <c r="AZ303" i="3"/>
  <c r="AX303" i="3"/>
  <c r="AS303" i="3"/>
  <c r="AR303" i="3"/>
  <c r="AQ303" i="3"/>
  <c r="AP303" i="3"/>
  <c r="AN303" i="3"/>
  <c r="AI303" i="3"/>
  <c r="AH303" i="3"/>
  <c r="AG303" i="3"/>
  <c r="AF303" i="3"/>
  <c r="AB303" i="3"/>
  <c r="E303" i="3"/>
  <c r="BI303" i="3" s="1"/>
  <c r="D303" i="3"/>
  <c r="EX302" i="3"/>
  <c r="BI302" i="3"/>
  <c r="BH302" i="3"/>
  <c r="BG302" i="3"/>
  <c r="BE302" i="3"/>
  <c r="BD302" i="3"/>
  <c r="BA302" i="3"/>
  <c r="AZ302" i="3"/>
  <c r="AY302" i="3"/>
  <c r="AX302" i="3"/>
  <c r="AW302" i="3"/>
  <c r="AS302" i="3"/>
  <c r="AR302" i="3"/>
  <c r="AQ302" i="3"/>
  <c r="AP302" i="3"/>
  <c r="AO302" i="3"/>
  <c r="AN302" i="3"/>
  <c r="AK302" i="3"/>
  <c r="AI302" i="3"/>
  <c r="AH302" i="3"/>
  <c r="AG302" i="3"/>
  <c r="AF302" i="3"/>
  <c r="AC302" i="3"/>
  <c r="AB302" i="3"/>
  <c r="AA302" i="3"/>
  <c r="E302" i="3"/>
  <c r="D302" i="3"/>
  <c r="EX301" i="3"/>
  <c r="BG301" i="3"/>
  <c r="AW301" i="3"/>
  <c r="AS301" i="3"/>
  <c r="AI301" i="3"/>
  <c r="AF301" i="3"/>
  <c r="E301" i="3"/>
  <c r="AZ301" i="3" s="1"/>
  <c r="D301" i="3"/>
  <c r="EX300" i="3"/>
  <c r="BI300" i="3"/>
  <c r="BG300" i="3"/>
  <c r="BE300" i="3"/>
  <c r="BD300" i="3"/>
  <c r="BA300" i="3"/>
  <c r="AZ300" i="3"/>
  <c r="AY300" i="3"/>
  <c r="AW300" i="3"/>
  <c r="AS300" i="3"/>
  <c r="AR300" i="3"/>
  <c r="AQ300" i="3"/>
  <c r="AP300" i="3"/>
  <c r="AO300" i="3"/>
  <c r="AK300" i="3"/>
  <c r="AI300" i="3"/>
  <c r="AH300" i="3"/>
  <c r="AG300" i="3"/>
  <c r="AF300" i="3"/>
  <c r="AC300" i="3"/>
  <c r="AA300" i="3"/>
  <c r="E300" i="3"/>
  <c r="BH300" i="3" s="1"/>
  <c r="D300" i="3"/>
  <c r="EX299" i="3"/>
  <c r="BI299" i="3"/>
  <c r="BF299" i="3"/>
  <c r="BD299" i="3"/>
  <c r="AZ299" i="3"/>
  <c r="AY299" i="3"/>
  <c r="AP299" i="3"/>
  <c r="AO299" i="3"/>
  <c r="AN299" i="3"/>
  <c r="AK299" i="3"/>
  <c r="AH299" i="3"/>
  <c r="AB299" i="3"/>
  <c r="AA299" i="3"/>
  <c r="E299" i="3"/>
  <c r="D299" i="3"/>
  <c r="EX298" i="3"/>
  <c r="BI298" i="3"/>
  <c r="BG298" i="3"/>
  <c r="BF298" i="3"/>
  <c r="BA298" i="3"/>
  <c r="AY298" i="3"/>
  <c r="AW298" i="3"/>
  <c r="AV298" i="3"/>
  <c r="AS298" i="3"/>
  <c r="AR298" i="3"/>
  <c r="AK298" i="3"/>
  <c r="AJ298" i="3"/>
  <c r="AI298" i="3"/>
  <c r="AH298" i="3"/>
  <c r="AG298" i="3"/>
  <c r="AC298" i="3"/>
  <c r="E298" i="3"/>
  <c r="D298" i="3"/>
  <c r="EX297" i="3"/>
  <c r="D297" i="3"/>
  <c r="EX296" i="3"/>
  <c r="EX295" i="3"/>
  <c r="EX294" i="3"/>
  <c r="D294" i="3"/>
  <c r="EX293" i="3"/>
  <c r="D293" i="3"/>
  <c r="EX292" i="3"/>
  <c r="D292" i="3"/>
  <c r="EX291" i="3"/>
  <c r="D291" i="3"/>
  <c r="EX290" i="3"/>
  <c r="D290" i="3"/>
  <c r="EX289" i="3"/>
  <c r="D289" i="3"/>
  <c r="EX288" i="3"/>
  <c r="D288" i="3"/>
  <c r="EX287" i="3"/>
  <c r="D287" i="3"/>
  <c r="EX286" i="3"/>
  <c r="D286" i="3"/>
  <c r="EX285" i="3"/>
  <c r="D285" i="3"/>
  <c r="EX284" i="3"/>
  <c r="D284" i="3"/>
  <c r="EX283" i="3"/>
  <c r="D283" i="3"/>
  <c r="EX282" i="3"/>
  <c r="D282" i="3"/>
  <c r="EX281" i="3"/>
  <c r="D281" i="3"/>
  <c r="EX280" i="3"/>
  <c r="D280" i="3"/>
  <c r="EX279" i="3"/>
  <c r="D279" i="3"/>
  <c r="EX278" i="3"/>
  <c r="D278" i="3"/>
  <c r="EX277" i="3"/>
  <c r="D277" i="3"/>
  <c r="EX276" i="3"/>
  <c r="D276" i="3"/>
  <c r="EX275" i="3"/>
  <c r="D275" i="3"/>
  <c r="EX274" i="3"/>
  <c r="D274" i="3"/>
  <c r="EX273" i="3"/>
  <c r="EX272" i="3"/>
  <c r="EX271" i="3"/>
  <c r="F271" i="3"/>
  <c r="E271" i="3"/>
  <c r="D271" i="3"/>
  <c r="EX270" i="3"/>
  <c r="F270" i="3"/>
  <c r="E270" i="3"/>
  <c r="D270" i="3"/>
  <c r="EX269" i="3"/>
  <c r="F269" i="3"/>
  <c r="E269" i="3"/>
  <c r="D269" i="3"/>
  <c r="EX268" i="3"/>
  <c r="F268" i="3"/>
  <c r="E268" i="3"/>
  <c r="D268" i="3"/>
  <c r="EX267" i="3"/>
  <c r="F267" i="3"/>
  <c r="E267" i="3"/>
  <c r="D267" i="3"/>
  <c r="EX266" i="3"/>
  <c r="F266" i="3"/>
  <c r="E266" i="3"/>
  <c r="D266" i="3"/>
  <c r="EX265" i="3"/>
  <c r="F265" i="3"/>
  <c r="E265" i="3"/>
  <c r="D265" i="3"/>
  <c r="EX264" i="3"/>
  <c r="F264" i="3"/>
  <c r="E264" i="3"/>
  <c r="D264" i="3"/>
  <c r="EX263" i="3"/>
  <c r="F263" i="3"/>
  <c r="E263" i="3"/>
  <c r="D263" i="3"/>
  <c r="EX262" i="3"/>
  <c r="F262" i="3"/>
  <c r="E262" i="3"/>
  <c r="D262" i="3"/>
  <c r="EX261" i="3"/>
  <c r="F261" i="3"/>
  <c r="E261" i="3"/>
  <c r="D261" i="3"/>
  <c r="EX260" i="3"/>
  <c r="F260" i="3"/>
  <c r="E260" i="3"/>
  <c r="D260" i="3"/>
  <c r="EX259" i="3"/>
  <c r="F259" i="3"/>
  <c r="E259" i="3"/>
  <c r="D259" i="3"/>
  <c r="EX258" i="3"/>
  <c r="F258" i="3"/>
  <c r="E258" i="3"/>
  <c r="D258" i="3"/>
  <c r="EX257" i="3"/>
  <c r="F257" i="3"/>
  <c r="E257" i="3"/>
  <c r="D257" i="3"/>
  <c r="EX256" i="3"/>
  <c r="F256" i="3"/>
  <c r="E256" i="3"/>
  <c r="D256" i="3"/>
  <c r="EX255" i="3"/>
  <c r="F255" i="3"/>
  <c r="E255" i="3"/>
  <c r="D255" i="3"/>
  <c r="EX254" i="3"/>
  <c r="F254" i="3"/>
  <c r="E254" i="3"/>
  <c r="D254" i="3"/>
  <c r="EX253" i="3"/>
  <c r="F253" i="3"/>
  <c r="E253" i="3"/>
  <c r="D253" i="3"/>
  <c r="EX252" i="3"/>
  <c r="F252" i="3"/>
  <c r="E252" i="3"/>
  <c r="D252" i="3"/>
  <c r="EX251" i="3"/>
  <c r="D251" i="3"/>
  <c r="EX250" i="3"/>
  <c r="EX249" i="3"/>
  <c r="EX248" i="3"/>
  <c r="D248" i="3"/>
  <c r="EX247" i="3"/>
  <c r="D247" i="3"/>
  <c r="EX246" i="3"/>
  <c r="D246" i="3"/>
  <c r="EX245" i="3"/>
  <c r="D245" i="3"/>
  <c r="EX244" i="3"/>
  <c r="D244" i="3"/>
  <c r="EX243" i="3"/>
  <c r="D243" i="3"/>
  <c r="EX242" i="3"/>
  <c r="D242" i="3"/>
  <c r="EX241" i="3"/>
  <c r="D241" i="3"/>
  <c r="EX240" i="3"/>
  <c r="D240" i="3"/>
  <c r="EX239" i="3"/>
  <c r="D239" i="3"/>
  <c r="EX238" i="3"/>
  <c r="D238" i="3"/>
  <c r="EX237" i="3"/>
  <c r="D237" i="3"/>
  <c r="EX236" i="3"/>
  <c r="D236" i="3"/>
  <c r="EX235" i="3"/>
  <c r="D235" i="3"/>
  <c r="EX234" i="3"/>
  <c r="D234" i="3"/>
  <c r="EX233" i="3"/>
  <c r="D233" i="3"/>
  <c r="EX232" i="3"/>
  <c r="D232" i="3"/>
  <c r="EX231" i="3"/>
  <c r="D231" i="3"/>
  <c r="EX230" i="3"/>
  <c r="D230" i="3"/>
  <c r="EX229" i="3"/>
  <c r="D229" i="3"/>
  <c r="EX228" i="3"/>
  <c r="D228" i="3"/>
  <c r="EX227" i="3"/>
  <c r="EX226" i="3"/>
  <c r="EX225" i="3"/>
  <c r="F225" i="3"/>
  <c r="E225" i="3"/>
  <c r="D225" i="3"/>
  <c r="EX224" i="3"/>
  <c r="F224" i="3"/>
  <c r="E224" i="3"/>
  <c r="D224" i="3"/>
  <c r="EX223" i="3"/>
  <c r="F223" i="3"/>
  <c r="E223" i="3"/>
  <c r="D223" i="3"/>
  <c r="EX222" i="3"/>
  <c r="F222" i="3"/>
  <c r="E222" i="3"/>
  <c r="D222" i="3"/>
  <c r="EX221" i="3"/>
  <c r="F221" i="3"/>
  <c r="E221" i="3"/>
  <c r="D221" i="3"/>
  <c r="EX220" i="3"/>
  <c r="F220" i="3"/>
  <c r="E220" i="3"/>
  <c r="D220" i="3"/>
  <c r="EX219" i="3"/>
  <c r="F219" i="3"/>
  <c r="E219" i="3"/>
  <c r="D219" i="3"/>
  <c r="EX218" i="3"/>
  <c r="F218" i="3"/>
  <c r="E218" i="3"/>
  <c r="D218" i="3"/>
  <c r="EX217" i="3"/>
  <c r="F217" i="3"/>
  <c r="E217" i="3"/>
  <c r="D217" i="3"/>
  <c r="EX216" i="3"/>
  <c r="F216" i="3"/>
  <c r="E216" i="3"/>
  <c r="D216" i="3"/>
  <c r="EX215" i="3"/>
  <c r="F215" i="3"/>
  <c r="E215" i="3"/>
  <c r="D215" i="3"/>
  <c r="EX214" i="3"/>
  <c r="F214" i="3"/>
  <c r="E214" i="3"/>
  <c r="D214" i="3"/>
  <c r="EX213" i="3"/>
  <c r="F213" i="3"/>
  <c r="E213" i="3"/>
  <c r="D213" i="3"/>
  <c r="EX212" i="3"/>
  <c r="F212" i="3"/>
  <c r="E212" i="3"/>
  <c r="D212" i="3"/>
  <c r="EX211" i="3"/>
  <c r="F211" i="3"/>
  <c r="E211" i="3"/>
  <c r="D211" i="3"/>
  <c r="EX210" i="3"/>
  <c r="F210" i="3"/>
  <c r="E210" i="3"/>
  <c r="D210" i="3"/>
  <c r="EX209" i="3"/>
  <c r="F209" i="3"/>
  <c r="E209" i="3"/>
  <c r="D209" i="3"/>
  <c r="EX208" i="3"/>
  <c r="F208" i="3"/>
  <c r="E208" i="3"/>
  <c r="D208" i="3"/>
  <c r="EX207" i="3"/>
  <c r="F207" i="3"/>
  <c r="E207" i="3"/>
  <c r="D207" i="3"/>
  <c r="EX206" i="3"/>
  <c r="F206" i="3"/>
  <c r="E206" i="3"/>
  <c r="D206" i="3"/>
  <c r="EX205" i="3"/>
  <c r="D205" i="3"/>
  <c r="EX204" i="3"/>
  <c r="EX203" i="3"/>
  <c r="EX202" i="3"/>
  <c r="E202" i="3"/>
  <c r="D202" i="3"/>
  <c r="EX201" i="3"/>
  <c r="E201" i="3"/>
  <c r="D201" i="3"/>
  <c r="EX200" i="3"/>
  <c r="E200" i="3"/>
  <c r="D200" i="3"/>
  <c r="EX199" i="3"/>
  <c r="E199" i="3"/>
  <c r="D199" i="3"/>
  <c r="EX198" i="3"/>
  <c r="E198" i="3"/>
  <c r="D198" i="3"/>
  <c r="EX197" i="3"/>
  <c r="E197" i="3"/>
  <c r="D197" i="3"/>
  <c r="EX196" i="3"/>
  <c r="E196" i="3"/>
  <c r="D196" i="3"/>
  <c r="EX195" i="3"/>
  <c r="E195" i="3"/>
  <c r="D195" i="3"/>
  <c r="EX194" i="3"/>
  <c r="E194" i="3"/>
  <c r="D194" i="3"/>
  <c r="EX193" i="3"/>
  <c r="E193" i="3"/>
  <c r="D193" i="3"/>
  <c r="EX192" i="3"/>
  <c r="E192" i="3"/>
  <c r="D192" i="3"/>
  <c r="EX191" i="3"/>
  <c r="E191" i="3"/>
  <c r="D191" i="3"/>
  <c r="EX190" i="3"/>
  <c r="E190" i="3"/>
  <c r="D190" i="3"/>
  <c r="EX189" i="3"/>
  <c r="E189" i="3"/>
  <c r="D189" i="3"/>
  <c r="EX188" i="3"/>
  <c r="E188" i="3"/>
  <c r="D188" i="3"/>
  <c r="EX187" i="3"/>
  <c r="E187" i="3"/>
  <c r="D187" i="3"/>
  <c r="EX186" i="3"/>
  <c r="E186" i="3"/>
  <c r="D186" i="3"/>
  <c r="EX185" i="3"/>
  <c r="E185" i="3"/>
  <c r="D185" i="3"/>
  <c r="EX184" i="3"/>
  <c r="E184" i="3"/>
  <c r="D184" i="3"/>
  <c r="EX183" i="3"/>
  <c r="E183" i="3"/>
  <c r="D183" i="3"/>
  <c r="EX182" i="3"/>
  <c r="D182" i="3"/>
  <c r="EX181" i="3"/>
  <c r="EX180" i="3"/>
  <c r="EX179" i="3"/>
  <c r="E179" i="3"/>
  <c r="D179" i="3"/>
  <c r="EX178" i="3"/>
  <c r="E178" i="3"/>
  <c r="D178" i="3"/>
  <c r="EX177" i="3"/>
  <c r="E177" i="3"/>
  <c r="D177" i="3"/>
  <c r="EX176" i="3"/>
  <c r="E176" i="3"/>
  <c r="D176" i="3"/>
  <c r="EX175" i="3"/>
  <c r="E175" i="3"/>
  <c r="D175" i="3"/>
  <c r="EX174" i="3"/>
  <c r="E174" i="3"/>
  <c r="D174" i="3"/>
  <c r="EX173" i="3"/>
  <c r="E173" i="3"/>
  <c r="D173" i="3"/>
  <c r="EX172" i="3"/>
  <c r="E172" i="3"/>
  <c r="D172" i="3"/>
  <c r="EX171" i="3"/>
  <c r="E171" i="3"/>
  <c r="D171" i="3"/>
  <c r="EX170" i="3"/>
  <c r="E170" i="3"/>
  <c r="D170" i="3"/>
  <c r="EX169" i="3"/>
  <c r="E169" i="3"/>
  <c r="D169" i="3"/>
  <c r="EX168" i="3"/>
  <c r="E168" i="3"/>
  <c r="D168" i="3"/>
  <c r="EX167" i="3"/>
  <c r="E167" i="3"/>
  <c r="D167" i="3"/>
  <c r="EX166" i="3"/>
  <c r="E166" i="3"/>
  <c r="D166" i="3"/>
  <c r="EX165" i="3"/>
  <c r="E165" i="3"/>
  <c r="D165" i="3"/>
  <c r="EX164" i="3"/>
  <c r="E164" i="3"/>
  <c r="D164" i="3"/>
  <c r="EX163" i="3"/>
  <c r="E163" i="3"/>
  <c r="D163" i="3"/>
  <c r="EX162" i="3"/>
  <c r="E162" i="3"/>
  <c r="D162" i="3"/>
  <c r="EX161" i="3"/>
  <c r="E161" i="3"/>
  <c r="D161" i="3"/>
  <c r="EX160" i="3"/>
  <c r="E160" i="3"/>
  <c r="D160" i="3"/>
  <c r="EX159" i="3"/>
  <c r="D159" i="3"/>
  <c r="EX158" i="3"/>
  <c r="EX157" i="3"/>
  <c r="EX156" i="3"/>
  <c r="E156" i="3"/>
  <c r="D156" i="3"/>
  <c r="EX155" i="3"/>
  <c r="E155" i="3"/>
  <c r="D155" i="3"/>
  <c r="EX154" i="3"/>
  <c r="E154" i="3"/>
  <c r="D154" i="3"/>
  <c r="EX153" i="3"/>
  <c r="E153" i="3"/>
  <c r="D153" i="3"/>
  <c r="EX152" i="3"/>
  <c r="E152" i="3"/>
  <c r="D152" i="3"/>
  <c r="EX151" i="3"/>
  <c r="E151" i="3"/>
  <c r="D151" i="3"/>
  <c r="EX150" i="3"/>
  <c r="E150" i="3"/>
  <c r="D150" i="3"/>
  <c r="EX149" i="3"/>
  <c r="E149" i="3"/>
  <c r="D149" i="3"/>
  <c r="EX148" i="3"/>
  <c r="E148" i="3"/>
  <c r="D148" i="3"/>
  <c r="EX147" i="3"/>
  <c r="E147" i="3"/>
  <c r="D147" i="3"/>
  <c r="EX146" i="3"/>
  <c r="E146" i="3"/>
  <c r="D146" i="3"/>
  <c r="EX145" i="3"/>
  <c r="E145" i="3"/>
  <c r="D145" i="3"/>
  <c r="EX144" i="3"/>
  <c r="E144" i="3"/>
  <c r="D144" i="3"/>
  <c r="EX143" i="3"/>
  <c r="E143" i="3"/>
  <c r="D143" i="3"/>
  <c r="EX142" i="3"/>
  <c r="E142" i="3"/>
  <c r="D142" i="3"/>
  <c r="EX141" i="3"/>
  <c r="E141" i="3"/>
  <c r="D141" i="3"/>
  <c r="EX140" i="3"/>
  <c r="E140" i="3"/>
  <c r="D140" i="3"/>
  <c r="EX139" i="3"/>
  <c r="E139" i="3"/>
  <c r="D139" i="3"/>
  <c r="EX138" i="3"/>
  <c r="E138" i="3"/>
  <c r="D138" i="3"/>
  <c r="EX137" i="3"/>
  <c r="E137" i="3"/>
  <c r="D137" i="3"/>
  <c r="EX136" i="3"/>
  <c r="D136" i="3"/>
  <c r="EX135" i="3"/>
  <c r="EX134" i="3"/>
  <c r="EX133" i="3"/>
  <c r="F133" i="3"/>
  <c r="E133" i="3"/>
  <c r="D133" i="3"/>
  <c r="EX132" i="3"/>
  <c r="F132" i="3"/>
  <c r="E132" i="3"/>
  <c r="D132" i="3"/>
  <c r="EX131" i="3"/>
  <c r="F131" i="3"/>
  <c r="E131" i="3"/>
  <c r="D131" i="3"/>
  <c r="EX130" i="3"/>
  <c r="F130" i="3"/>
  <c r="E130" i="3"/>
  <c r="D130" i="3"/>
  <c r="EX129" i="3"/>
  <c r="F129" i="3"/>
  <c r="E129" i="3"/>
  <c r="D129" i="3"/>
  <c r="EX128" i="3"/>
  <c r="F128" i="3"/>
  <c r="E128" i="3"/>
  <c r="D128" i="3"/>
  <c r="EX127" i="3"/>
  <c r="F127" i="3"/>
  <c r="E127" i="3"/>
  <c r="D127" i="3"/>
  <c r="EX126" i="3"/>
  <c r="F126" i="3"/>
  <c r="E126" i="3"/>
  <c r="D126" i="3"/>
  <c r="EX125" i="3"/>
  <c r="F125" i="3"/>
  <c r="E125" i="3"/>
  <c r="D125" i="3"/>
  <c r="EX124" i="3"/>
  <c r="F124" i="3"/>
  <c r="E124" i="3"/>
  <c r="D124" i="3"/>
  <c r="EX123" i="3"/>
  <c r="F123" i="3"/>
  <c r="E123" i="3"/>
  <c r="D123" i="3"/>
  <c r="EX122" i="3"/>
  <c r="F122" i="3"/>
  <c r="E122" i="3"/>
  <c r="D122" i="3"/>
  <c r="EX121" i="3"/>
  <c r="F121" i="3"/>
  <c r="E121" i="3"/>
  <c r="D121" i="3"/>
  <c r="EX120" i="3"/>
  <c r="F120" i="3"/>
  <c r="E120" i="3"/>
  <c r="D120" i="3"/>
  <c r="EX119" i="3"/>
  <c r="F119" i="3"/>
  <c r="E119" i="3"/>
  <c r="D119" i="3"/>
  <c r="EX118" i="3"/>
  <c r="F118" i="3"/>
  <c r="E118" i="3"/>
  <c r="D118" i="3"/>
  <c r="EX117" i="3"/>
  <c r="F117" i="3"/>
  <c r="E117" i="3"/>
  <c r="D117" i="3"/>
  <c r="EX116" i="3"/>
  <c r="F116" i="3"/>
  <c r="E116" i="3"/>
  <c r="D116" i="3"/>
  <c r="EX115" i="3"/>
  <c r="F115" i="3"/>
  <c r="E115" i="3"/>
  <c r="D115" i="3"/>
  <c r="EX114" i="3"/>
  <c r="F114" i="3"/>
  <c r="E114" i="3"/>
  <c r="D114" i="3"/>
  <c r="EX113" i="3"/>
  <c r="D113" i="3"/>
  <c r="EX112" i="3"/>
  <c r="EX111" i="3"/>
  <c r="EX110" i="3"/>
  <c r="F110" i="3"/>
  <c r="E110" i="3"/>
  <c r="D110" i="3"/>
  <c r="EX109" i="3"/>
  <c r="F109" i="3"/>
  <c r="E109" i="3"/>
  <c r="D109" i="3"/>
  <c r="EX108" i="3"/>
  <c r="F108" i="3"/>
  <c r="E108" i="3"/>
  <c r="D108" i="3"/>
  <c r="EX107" i="3"/>
  <c r="F107" i="3"/>
  <c r="E107" i="3"/>
  <c r="D107" i="3"/>
  <c r="EX106" i="3"/>
  <c r="F106" i="3"/>
  <c r="E106" i="3"/>
  <c r="D106" i="3"/>
  <c r="EX105" i="3"/>
  <c r="F105" i="3"/>
  <c r="E105" i="3"/>
  <c r="D105" i="3"/>
  <c r="EX104" i="3"/>
  <c r="F104" i="3"/>
  <c r="E104" i="3"/>
  <c r="D104" i="3"/>
  <c r="EX103" i="3"/>
  <c r="F103" i="3"/>
  <c r="E103" i="3"/>
  <c r="D103" i="3"/>
  <c r="EX102" i="3"/>
  <c r="F102" i="3"/>
  <c r="E102" i="3"/>
  <c r="D102" i="3"/>
  <c r="EX101" i="3"/>
  <c r="F101" i="3"/>
  <c r="E101" i="3"/>
  <c r="D101" i="3"/>
  <c r="EX100" i="3"/>
  <c r="F100" i="3"/>
  <c r="E100" i="3"/>
  <c r="D100" i="3"/>
  <c r="EX99" i="3"/>
  <c r="F99" i="3"/>
  <c r="E99" i="3"/>
  <c r="D99" i="3"/>
  <c r="EX98" i="3"/>
  <c r="F98" i="3"/>
  <c r="E98" i="3"/>
  <c r="D98" i="3"/>
  <c r="EX97" i="3"/>
  <c r="F97" i="3"/>
  <c r="E97" i="3"/>
  <c r="D97" i="3"/>
  <c r="EX96" i="3"/>
  <c r="F96" i="3"/>
  <c r="E96" i="3"/>
  <c r="D96" i="3"/>
  <c r="EX95" i="3"/>
  <c r="F95" i="3"/>
  <c r="E95" i="3"/>
  <c r="D95" i="3"/>
  <c r="EX94" i="3"/>
  <c r="F94" i="3"/>
  <c r="E94" i="3"/>
  <c r="D94" i="3"/>
  <c r="EX93" i="3"/>
  <c r="F93" i="3"/>
  <c r="E93" i="3"/>
  <c r="D93" i="3"/>
  <c r="EX92" i="3"/>
  <c r="F92" i="3"/>
  <c r="E92" i="3"/>
  <c r="D92" i="3"/>
  <c r="EX91" i="3"/>
  <c r="F91" i="3"/>
  <c r="E91" i="3"/>
  <c r="D91" i="3"/>
  <c r="EX90" i="3"/>
  <c r="D90" i="3"/>
  <c r="EX89" i="3"/>
  <c r="EX88" i="3"/>
  <c r="EX87" i="3"/>
  <c r="F87" i="3"/>
  <c r="E87" i="3"/>
  <c r="D87" i="3"/>
  <c r="EX86" i="3"/>
  <c r="F86" i="3"/>
  <c r="E86" i="3"/>
  <c r="D86" i="3"/>
  <c r="EX85" i="3"/>
  <c r="F85" i="3"/>
  <c r="E85" i="3"/>
  <c r="D85" i="3"/>
  <c r="EX84" i="3"/>
  <c r="F84" i="3"/>
  <c r="E84" i="3"/>
  <c r="D84" i="3"/>
  <c r="EX83" i="3"/>
  <c r="F83" i="3"/>
  <c r="E83" i="3"/>
  <c r="D83" i="3"/>
  <c r="EX82" i="3"/>
  <c r="F82" i="3"/>
  <c r="E82" i="3"/>
  <c r="D82" i="3"/>
  <c r="EX81" i="3"/>
  <c r="F81" i="3"/>
  <c r="E81" i="3"/>
  <c r="D81" i="3"/>
  <c r="EX80" i="3"/>
  <c r="F80" i="3"/>
  <c r="E80" i="3"/>
  <c r="D80" i="3"/>
  <c r="EX79" i="3"/>
  <c r="F79" i="3"/>
  <c r="E79" i="3"/>
  <c r="D79" i="3"/>
  <c r="EX78" i="3"/>
  <c r="F78" i="3"/>
  <c r="E78" i="3"/>
  <c r="D78" i="3"/>
  <c r="EX77" i="3"/>
  <c r="F77" i="3"/>
  <c r="E77" i="3"/>
  <c r="D77" i="3"/>
  <c r="EX76" i="3"/>
  <c r="F76" i="3"/>
  <c r="E76" i="3"/>
  <c r="D76" i="3"/>
  <c r="EX75" i="3"/>
  <c r="F75" i="3"/>
  <c r="E75" i="3"/>
  <c r="D75" i="3"/>
  <c r="EX74" i="3"/>
  <c r="F74" i="3"/>
  <c r="E74" i="3"/>
  <c r="D74" i="3"/>
  <c r="EX73" i="3"/>
  <c r="F73" i="3"/>
  <c r="E73" i="3"/>
  <c r="D73" i="3"/>
  <c r="EX72" i="3"/>
  <c r="F72" i="3"/>
  <c r="E72" i="3"/>
  <c r="D72" i="3"/>
  <c r="EX71" i="3"/>
  <c r="F71" i="3"/>
  <c r="E71" i="3"/>
  <c r="D71" i="3"/>
  <c r="EX70" i="3"/>
  <c r="F70" i="3"/>
  <c r="E70" i="3"/>
  <c r="D70" i="3"/>
  <c r="EX69" i="3"/>
  <c r="F69" i="3"/>
  <c r="E69" i="3"/>
  <c r="D69" i="3"/>
  <c r="EX68" i="3"/>
  <c r="F68" i="3"/>
  <c r="E68" i="3"/>
  <c r="D68" i="3"/>
  <c r="EX67" i="3"/>
  <c r="D67" i="3"/>
  <c r="EX66" i="3"/>
  <c r="EX65" i="3"/>
  <c r="EX64" i="3"/>
  <c r="F64" i="3"/>
  <c r="E64" i="3"/>
  <c r="D64" i="3"/>
  <c r="EX63" i="3"/>
  <c r="F63" i="3"/>
  <c r="E63" i="3"/>
  <c r="D63" i="3"/>
  <c r="EX62" i="3"/>
  <c r="F62" i="3"/>
  <c r="E62" i="3"/>
  <c r="D62" i="3"/>
  <c r="EX61" i="3"/>
  <c r="F61" i="3"/>
  <c r="E61" i="3"/>
  <c r="D61" i="3"/>
  <c r="EX60" i="3"/>
  <c r="F60" i="3"/>
  <c r="E60" i="3"/>
  <c r="D60" i="3"/>
  <c r="EX59" i="3"/>
  <c r="F59" i="3"/>
  <c r="E59" i="3"/>
  <c r="D59" i="3"/>
  <c r="EX58" i="3"/>
  <c r="F58" i="3"/>
  <c r="E58" i="3"/>
  <c r="D58" i="3"/>
  <c r="EX57" i="3"/>
  <c r="F57" i="3"/>
  <c r="E57" i="3"/>
  <c r="D57" i="3"/>
  <c r="EX56" i="3"/>
  <c r="F56" i="3"/>
  <c r="E56" i="3"/>
  <c r="D56" i="3"/>
  <c r="EX55" i="3"/>
  <c r="F55" i="3"/>
  <c r="E55" i="3"/>
  <c r="D55" i="3"/>
  <c r="EX54" i="3"/>
  <c r="F54" i="3"/>
  <c r="E54" i="3"/>
  <c r="D54" i="3"/>
  <c r="EX53" i="3"/>
  <c r="F53" i="3"/>
  <c r="E53" i="3"/>
  <c r="D53" i="3"/>
  <c r="EX52" i="3"/>
  <c r="F52" i="3"/>
  <c r="E52" i="3"/>
  <c r="D52" i="3"/>
  <c r="EX51" i="3"/>
  <c r="F51" i="3"/>
  <c r="E51" i="3"/>
  <c r="D51" i="3"/>
  <c r="EX50" i="3"/>
  <c r="F50" i="3"/>
  <c r="E50" i="3"/>
  <c r="D50" i="3"/>
  <c r="EX49" i="3"/>
  <c r="F49" i="3"/>
  <c r="E49" i="3"/>
  <c r="D49" i="3"/>
  <c r="EX48" i="3"/>
  <c r="F48" i="3"/>
  <c r="E48" i="3"/>
  <c r="D48" i="3"/>
  <c r="EX47" i="3"/>
  <c r="F47" i="3"/>
  <c r="E47" i="3"/>
  <c r="D47" i="3"/>
  <c r="EX46" i="3"/>
  <c r="F46" i="3"/>
  <c r="E46" i="3"/>
  <c r="D46" i="3"/>
  <c r="EX45" i="3"/>
  <c r="F45" i="3"/>
  <c r="E45" i="3"/>
  <c r="D45" i="3"/>
  <c r="EX44" i="3"/>
  <c r="D44" i="3"/>
  <c r="EX43" i="3"/>
  <c r="EX42" i="3"/>
  <c r="EX41" i="3"/>
  <c r="EX40" i="3"/>
  <c r="EX39" i="3"/>
  <c r="EX38" i="3"/>
  <c r="EX37" i="3"/>
  <c r="EX36" i="3"/>
  <c r="EX35" i="3"/>
  <c r="CI35" i="3"/>
  <c r="CH35" i="3"/>
  <c r="CG35" i="3"/>
  <c r="CF35" i="3"/>
  <c r="CE35" i="3"/>
  <c r="CD35" i="3"/>
  <c r="CC35" i="3"/>
  <c r="CB35" i="3"/>
  <c r="CA35" i="3"/>
  <c r="BZ35" i="3"/>
  <c r="BY35" i="3"/>
  <c r="BX35" i="3"/>
  <c r="BV35" i="3"/>
  <c r="BU35"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Y35" i="3"/>
  <c r="X35" i="3"/>
  <c r="W35" i="3"/>
  <c r="V35" i="3"/>
  <c r="U35" i="3"/>
  <c r="T35" i="3"/>
  <c r="S35" i="3"/>
  <c r="R35" i="3"/>
  <c r="Q35" i="3"/>
  <c r="P35" i="3"/>
  <c r="O35" i="3"/>
  <c r="N35" i="3"/>
  <c r="M35" i="3"/>
  <c r="L35" i="3"/>
  <c r="K35" i="3"/>
  <c r="J35" i="3"/>
  <c r="I35" i="3"/>
  <c r="H35" i="3"/>
  <c r="G35" i="3"/>
  <c r="F35" i="3"/>
  <c r="E35" i="3"/>
  <c r="D35" i="3"/>
  <c r="EX34" i="3"/>
  <c r="EX33" i="3"/>
  <c r="EX32" i="3"/>
  <c r="CI32" i="3"/>
  <c r="CH32" i="3"/>
  <c r="CG32" i="3"/>
  <c r="CF32" i="3"/>
  <c r="CE32" i="3"/>
  <c r="CD32" i="3"/>
  <c r="CC32" i="3"/>
  <c r="CB32" i="3"/>
  <c r="CA32" i="3"/>
  <c r="BZ32" i="3"/>
  <c r="BY32" i="3"/>
  <c r="BX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EX31" i="3"/>
  <c r="EX30" i="3"/>
  <c r="X30" i="3"/>
  <c r="Y30" i="3" s="1"/>
  <c r="W30" i="3"/>
  <c r="EX29" i="3"/>
  <c r="EX28" i="3"/>
  <c r="EX27" i="3"/>
  <c r="EX26" i="3"/>
  <c r="EX25" i="3"/>
  <c r="EX24" i="3"/>
  <c r="EX23" i="3"/>
  <c r="EX22" i="3"/>
  <c r="EX21" i="3"/>
  <c r="EX20" i="3"/>
  <c r="EX19" i="3"/>
  <c r="EX18" i="3"/>
  <c r="EX17" i="3"/>
  <c r="EX16" i="3"/>
  <c r="EX15" i="3"/>
  <c r="EX14" i="3"/>
  <c r="W14" i="3"/>
  <c r="X14" i="3" s="1"/>
  <c r="Y14" i="3" s="1"/>
  <c r="EX13" i="3"/>
  <c r="EX12" i="3"/>
  <c r="EX11" i="3"/>
  <c r="EX10" i="3"/>
  <c r="EX9" i="3"/>
  <c r="EX8" i="3"/>
  <c r="BX6" i="3" a="1"/>
  <c r="BX6" i="3" s="1"/>
  <c r="V6" i="3" a="1"/>
  <c r="V6" i="3" s="1"/>
  <c r="A6" i="3" a="1"/>
  <c r="A6" i="3" s="1"/>
  <c r="A3" i="3" a="1"/>
  <c r="BC299" i="3" l="1"/>
  <c r="AU299" i="3"/>
  <c r="AM299" i="3"/>
  <c r="AE299" i="3"/>
  <c r="BJ299" i="3"/>
  <c r="BB299" i="3"/>
  <c r="AT299" i="3"/>
  <c r="AL299" i="3"/>
  <c r="AD299" i="3"/>
  <c r="BA299" i="3"/>
  <c r="AQ299" i="3"/>
  <c r="AG299" i="3"/>
  <c r="BE299" i="3"/>
  <c r="AS299" i="3"/>
  <c r="AI299" i="3"/>
  <c r="BH299" i="3"/>
  <c r="AV299" i="3"/>
  <c r="AF299" i="3"/>
  <c r="BG299" i="3"/>
  <c r="AR299" i="3"/>
  <c r="AC299" i="3"/>
  <c r="AX299" i="3"/>
  <c r="AJ299" i="3"/>
  <c r="AW299" i="3"/>
  <c r="AH301" i="3"/>
  <c r="AV301" i="3"/>
  <c r="AK309" i="3"/>
  <c r="BD317" i="3"/>
  <c r="AV317" i="3"/>
  <c r="AN317" i="3"/>
  <c r="AF317" i="3"/>
  <c r="BG317" i="3"/>
  <c r="AX317" i="3"/>
  <c r="AO317" i="3"/>
  <c r="AE317" i="3"/>
  <c r="BI317" i="3"/>
  <c r="AZ317" i="3"/>
  <c r="AQ317" i="3"/>
  <c r="AH317" i="3"/>
  <c r="BC317" i="3"/>
  <c r="AR317" i="3"/>
  <c r="AD317" i="3"/>
  <c r="BB317" i="3"/>
  <c r="AP317" i="3"/>
  <c r="AC317" i="3"/>
  <c r="BF317" i="3"/>
  <c r="AT317" i="3"/>
  <c r="AI317" i="3"/>
  <c r="BJ317" i="3"/>
  <c r="AM317" i="3"/>
  <c r="BH317" i="3"/>
  <c r="AL317" i="3"/>
  <c r="BE317" i="3"/>
  <c r="AK317" i="3"/>
  <c r="BA317" i="3"/>
  <c r="AJ317" i="3"/>
  <c r="AY317" i="3"/>
  <c r="AG317" i="3"/>
  <c r="AW317" i="3"/>
  <c r="AB317" i="3"/>
  <c r="AU317" i="3"/>
  <c r="AA317" i="3"/>
  <c r="AJ301" i="3"/>
  <c r="AX301" i="3"/>
  <c r="BC309" i="3"/>
  <c r="AU309" i="3"/>
  <c r="AM309" i="3"/>
  <c r="AE309" i="3"/>
  <c r="BJ309" i="3"/>
  <c r="BB309" i="3"/>
  <c r="AT309" i="3"/>
  <c r="AL309" i="3"/>
  <c r="AD309" i="3"/>
  <c r="BI309" i="3"/>
  <c r="AY309" i="3"/>
  <c r="AO309" i="3"/>
  <c r="AC309" i="3"/>
  <c r="BH309" i="3"/>
  <c r="AX309" i="3"/>
  <c r="AN309" i="3"/>
  <c r="AB309" i="3"/>
  <c r="BA309" i="3"/>
  <c r="AQ309" i="3"/>
  <c r="AG309" i="3"/>
  <c r="AR309" i="3"/>
  <c r="BG309" i="3"/>
  <c r="AK301" i="3"/>
  <c r="AA309" i="3"/>
  <c r="AS309" i="3"/>
  <c r="BC301" i="3"/>
  <c r="AU301" i="3"/>
  <c r="AM301" i="3"/>
  <c r="AE301" i="3"/>
  <c r="BJ301" i="3"/>
  <c r="BB301" i="3"/>
  <c r="AT301" i="3"/>
  <c r="AL301" i="3"/>
  <c r="AD301" i="3"/>
  <c r="BI301" i="3"/>
  <c r="AY301" i="3"/>
  <c r="AO301" i="3"/>
  <c r="AC301" i="3"/>
  <c r="BH301" i="3"/>
  <c r="BA301" i="3"/>
  <c r="AQ301" i="3"/>
  <c r="AG301" i="3"/>
  <c r="AN301" i="3"/>
  <c r="BD301" i="3"/>
  <c r="AF309" i="3"/>
  <c r="AV309" i="3"/>
  <c r="BC313" i="3"/>
  <c r="AU313" i="3"/>
  <c r="AM313" i="3"/>
  <c r="AE313" i="3"/>
  <c r="BJ313" i="3"/>
  <c r="BB313" i="3"/>
  <c r="AT313" i="3"/>
  <c r="AL313" i="3"/>
  <c r="AD313" i="3"/>
  <c r="BE313" i="3"/>
  <c r="AS313" i="3"/>
  <c r="AI313" i="3"/>
  <c r="BD313" i="3"/>
  <c r="AR313" i="3"/>
  <c r="AH313" i="3"/>
  <c r="BA313" i="3"/>
  <c r="AQ313" i="3"/>
  <c r="AG313" i="3"/>
  <c r="AZ313" i="3"/>
  <c r="AP313" i="3"/>
  <c r="AF313" i="3"/>
  <c r="BI313" i="3"/>
  <c r="AY313" i="3"/>
  <c r="AO313" i="3"/>
  <c r="AC313" i="3"/>
  <c r="BH313" i="3"/>
  <c r="AX313" i="3"/>
  <c r="AN313" i="3"/>
  <c r="AB313" i="3"/>
  <c r="BG313" i="3"/>
  <c r="AW313" i="3"/>
  <c r="AK313" i="3"/>
  <c r="AA313" i="3"/>
  <c r="BC298" i="3"/>
  <c r="AU298" i="3"/>
  <c r="AM298" i="3"/>
  <c r="AE298" i="3"/>
  <c r="BJ298" i="3"/>
  <c r="BB298" i="3"/>
  <c r="AT298" i="3"/>
  <c r="AL298" i="3"/>
  <c r="AD298" i="3"/>
  <c r="BH298" i="3"/>
  <c r="AX298" i="3"/>
  <c r="AN298" i="3"/>
  <c r="AB298" i="3"/>
  <c r="AZ298" i="3"/>
  <c r="AP298" i="3"/>
  <c r="AF298" i="3"/>
  <c r="AO298" i="3"/>
  <c r="BD298" i="3"/>
  <c r="AA301" i="3"/>
  <c r="AP301" i="3"/>
  <c r="BE301" i="3"/>
  <c r="BC304" i="3"/>
  <c r="AU304" i="3"/>
  <c r="AM304" i="3"/>
  <c r="AE304" i="3"/>
  <c r="BJ304" i="3"/>
  <c r="BB304" i="3"/>
  <c r="AT304" i="3"/>
  <c r="AL304" i="3"/>
  <c r="AD304" i="3"/>
  <c r="AZ304" i="3"/>
  <c r="AP304" i="3"/>
  <c r="AF304" i="3"/>
  <c r="BI304" i="3"/>
  <c r="AY304" i="3"/>
  <c r="AO304" i="3"/>
  <c r="AC304" i="3"/>
  <c r="BD304" i="3"/>
  <c r="AR304" i="3"/>
  <c r="AH304" i="3"/>
  <c r="AQ304" i="3"/>
  <c r="BG304" i="3"/>
  <c r="BC305" i="3"/>
  <c r="AU305" i="3"/>
  <c r="AM305" i="3"/>
  <c r="AE305" i="3"/>
  <c r="BJ305" i="3"/>
  <c r="BB305" i="3"/>
  <c r="AT305" i="3"/>
  <c r="AL305" i="3"/>
  <c r="AD305" i="3"/>
  <c r="BE305" i="3"/>
  <c r="AS305" i="3"/>
  <c r="AI305" i="3"/>
  <c r="BD305" i="3"/>
  <c r="AR305" i="3"/>
  <c r="AH305" i="3"/>
  <c r="BG305" i="3"/>
  <c r="AW305" i="3"/>
  <c r="AK305" i="3"/>
  <c r="AA305" i="3"/>
  <c r="AP305" i="3"/>
  <c r="BH305" i="3"/>
  <c r="BC306" i="3"/>
  <c r="AU306" i="3"/>
  <c r="AM306" i="3"/>
  <c r="AE306" i="3"/>
  <c r="BJ306" i="3"/>
  <c r="BB306" i="3"/>
  <c r="AT306" i="3"/>
  <c r="AL306" i="3"/>
  <c r="AD306" i="3"/>
  <c r="BH306" i="3"/>
  <c r="AX306" i="3"/>
  <c r="AN306" i="3"/>
  <c r="AB306" i="3"/>
  <c r="BG306" i="3"/>
  <c r="AW306" i="3"/>
  <c r="AK306" i="3"/>
  <c r="AA306" i="3"/>
  <c r="AZ306" i="3"/>
  <c r="AP306" i="3"/>
  <c r="AF306" i="3"/>
  <c r="AR306" i="3"/>
  <c r="BI306" i="3"/>
  <c r="BC307" i="3"/>
  <c r="AU307" i="3"/>
  <c r="AM307" i="3"/>
  <c r="AE307" i="3"/>
  <c r="BJ307" i="3"/>
  <c r="BB307" i="3"/>
  <c r="AT307" i="3"/>
  <c r="AL307" i="3"/>
  <c r="AD307" i="3"/>
  <c r="BA307" i="3"/>
  <c r="AQ307" i="3"/>
  <c r="AG307" i="3"/>
  <c r="AZ307" i="3"/>
  <c r="AP307" i="3"/>
  <c r="AF307" i="3"/>
  <c r="BE307" i="3"/>
  <c r="AS307" i="3"/>
  <c r="AI307" i="3"/>
  <c r="AO307" i="3"/>
  <c r="BG307" i="3"/>
  <c r="AH309" i="3"/>
  <c r="AW309" i="3"/>
  <c r="AJ313" i="3"/>
  <c r="AA298" i="3"/>
  <c r="AQ298" i="3"/>
  <c r="BE298" i="3"/>
  <c r="AB301" i="3"/>
  <c r="AR301" i="3"/>
  <c r="BF301" i="3"/>
  <c r="AA304" i="3"/>
  <c r="AS304" i="3"/>
  <c r="BH304" i="3"/>
  <c r="AB305" i="3"/>
  <c r="AQ305" i="3"/>
  <c r="BI305" i="3"/>
  <c r="AC306" i="3"/>
  <c r="AS306" i="3"/>
  <c r="AA307" i="3"/>
  <c r="AR307" i="3"/>
  <c r="BH307" i="3"/>
  <c r="AI309" i="3"/>
  <c r="AZ309" i="3"/>
  <c r="AV313" i="3"/>
  <c r="AB300" i="3"/>
  <c r="AN300" i="3"/>
  <c r="AX300" i="3"/>
  <c r="BC302" i="3"/>
  <c r="AU302" i="3"/>
  <c r="AM302" i="3"/>
  <c r="AE302" i="3"/>
  <c r="BJ302" i="3"/>
  <c r="BB302" i="3"/>
  <c r="AT302" i="3"/>
  <c r="AL302" i="3"/>
  <c r="AD302" i="3"/>
  <c r="AJ302" i="3"/>
  <c r="AV302" i="3"/>
  <c r="BF302" i="3"/>
  <c r="AC303" i="3"/>
  <c r="AO303" i="3"/>
  <c r="AY303" i="3"/>
  <c r="AB308" i="3"/>
  <c r="AN308" i="3"/>
  <c r="AX308" i="3"/>
  <c r="BC310" i="3"/>
  <c r="AU310" i="3"/>
  <c r="AM310" i="3"/>
  <c r="AE310" i="3"/>
  <c r="BJ310" i="3"/>
  <c r="BB310" i="3"/>
  <c r="AT310" i="3"/>
  <c r="AL310" i="3"/>
  <c r="AD310" i="3"/>
  <c r="AJ310" i="3"/>
  <c r="AV310" i="3"/>
  <c r="BF310" i="3"/>
  <c r="AC311" i="3"/>
  <c r="AO311" i="3"/>
  <c r="AY311" i="3"/>
  <c r="AH312" i="3"/>
  <c r="AR312" i="3"/>
  <c r="BD312" i="3"/>
  <c r="AF314" i="3"/>
  <c r="AP314" i="3"/>
  <c r="BA314" i="3"/>
  <c r="AC316" i="3"/>
  <c r="AS316" i="3"/>
  <c r="AI312" i="3"/>
  <c r="AS312" i="3"/>
  <c r="AG314" i="3"/>
  <c r="AQ314" i="3"/>
  <c r="BB314" i="3"/>
  <c r="BC312" i="3"/>
  <c r="AU312" i="3"/>
  <c r="AM312" i="3"/>
  <c r="AE312" i="3"/>
  <c r="BJ312" i="3"/>
  <c r="BB312" i="3"/>
  <c r="AT312" i="3"/>
  <c r="AL312" i="3"/>
  <c r="AD312" i="3"/>
  <c r="AJ312" i="3"/>
  <c r="AV312" i="3"/>
  <c r="BF312" i="3"/>
  <c r="AH314" i="3"/>
  <c r="AR314" i="3"/>
  <c r="BF314" i="3"/>
  <c r="AA312" i="3"/>
  <c r="AK312" i="3"/>
  <c r="AW312" i="3"/>
  <c r="BG312" i="3"/>
  <c r="AI314" i="3"/>
  <c r="AS314" i="3"/>
  <c r="BE326" i="3"/>
  <c r="BH326" i="3"/>
  <c r="AZ326" i="3"/>
  <c r="AR326" i="3"/>
  <c r="AJ326" i="3"/>
  <c r="AB326" i="3"/>
  <c r="BG326" i="3"/>
  <c r="AW326" i="3"/>
  <c r="AN326" i="3"/>
  <c r="AE326" i="3"/>
  <c r="BJ326" i="3"/>
  <c r="AY326" i="3"/>
  <c r="AP326" i="3"/>
  <c r="AG326" i="3"/>
  <c r="BD326" i="3"/>
  <c r="AS326" i="3"/>
  <c r="AF326" i="3"/>
  <c r="BC326" i="3"/>
  <c r="AQ326" i="3"/>
  <c r="AD326" i="3"/>
  <c r="BB326" i="3"/>
  <c r="AO326" i="3"/>
  <c r="AC326" i="3"/>
  <c r="BA326" i="3"/>
  <c r="AM326" i="3"/>
  <c r="AA326" i="3"/>
  <c r="AV326" i="3"/>
  <c r="AK326" i="3"/>
  <c r="BI326" i="3"/>
  <c r="AU326" i="3"/>
  <c r="AI326" i="3"/>
  <c r="AB312" i="3"/>
  <c r="AN312" i="3"/>
  <c r="AX312" i="3"/>
  <c r="BH312" i="3"/>
  <c r="BC314" i="3"/>
  <c r="AU314" i="3"/>
  <c r="BE314" i="3"/>
  <c r="AV314" i="3"/>
  <c r="AM314" i="3"/>
  <c r="AE314" i="3"/>
  <c r="BD314" i="3"/>
  <c r="AT314" i="3"/>
  <c r="AL314" i="3"/>
  <c r="AD314" i="3"/>
  <c r="AJ314" i="3"/>
  <c r="AW314" i="3"/>
  <c r="BH314" i="3"/>
  <c r="AH326" i="3"/>
  <c r="BC303" i="3"/>
  <c r="AU303" i="3"/>
  <c r="AM303" i="3"/>
  <c r="AE303" i="3"/>
  <c r="BJ303" i="3"/>
  <c r="BB303" i="3"/>
  <c r="AT303" i="3"/>
  <c r="AL303" i="3"/>
  <c r="AD303" i="3"/>
  <c r="AJ303" i="3"/>
  <c r="AV303" i="3"/>
  <c r="BF303" i="3"/>
  <c r="BC311" i="3"/>
  <c r="AU311" i="3"/>
  <c r="AM311" i="3"/>
  <c r="AE311" i="3"/>
  <c r="BJ311" i="3"/>
  <c r="BB311" i="3"/>
  <c r="AT311" i="3"/>
  <c r="AL311" i="3"/>
  <c r="AD311" i="3"/>
  <c r="AJ311" i="3"/>
  <c r="AV311" i="3"/>
  <c r="BF311" i="3"/>
  <c r="AC312" i="3"/>
  <c r="AO312" i="3"/>
  <c r="AY312" i="3"/>
  <c r="BI312" i="3"/>
  <c r="AA314" i="3"/>
  <c r="AK314" i="3"/>
  <c r="AX314" i="3"/>
  <c r="BI314" i="3"/>
  <c r="BC316" i="3"/>
  <c r="AU316" i="3"/>
  <c r="AM316" i="3"/>
  <c r="AE316" i="3"/>
  <c r="BE316" i="3"/>
  <c r="BH316" i="3"/>
  <c r="AX316" i="3"/>
  <c r="AO316" i="3"/>
  <c r="AF316" i="3"/>
  <c r="BG316" i="3"/>
  <c r="AW316" i="3"/>
  <c r="AN316" i="3"/>
  <c r="AD316" i="3"/>
  <c r="BJ316" i="3"/>
  <c r="AZ316" i="3"/>
  <c r="AQ316" i="3"/>
  <c r="AH316" i="3"/>
  <c r="AL316" i="3"/>
  <c r="BB316" i="3"/>
  <c r="AL326" i="3"/>
  <c r="BC300" i="3"/>
  <c r="AU300" i="3"/>
  <c r="AM300" i="3"/>
  <c r="AE300" i="3"/>
  <c r="BJ300" i="3"/>
  <c r="BB300" i="3"/>
  <c r="AT300" i="3"/>
  <c r="AL300" i="3"/>
  <c r="AD300" i="3"/>
  <c r="AJ300" i="3"/>
  <c r="AV300" i="3"/>
  <c r="BF300" i="3"/>
  <c r="AA303" i="3"/>
  <c r="AK303" i="3"/>
  <c r="AW303" i="3"/>
  <c r="BG303" i="3"/>
  <c r="BC308" i="3"/>
  <c r="AU308" i="3"/>
  <c r="AM308" i="3"/>
  <c r="AE308" i="3"/>
  <c r="BJ308" i="3"/>
  <c r="BB308" i="3"/>
  <c r="AT308" i="3"/>
  <c r="AL308" i="3"/>
  <c r="AD308" i="3"/>
  <c r="AJ308" i="3"/>
  <c r="AV308" i="3"/>
  <c r="BF308" i="3"/>
  <c r="AA311" i="3"/>
  <c r="AK311" i="3"/>
  <c r="AW311" i="3"/>
  <c r="BG311" i="3"/>
  <c r="AF312" i="3"/>
  <c r="AP312" i="3"/>
  <c r="AZ312" i="3"/>
  <c r="AB314" i="3"/>
  <c r="AN314" i="3"/>
  <c r="AY314" i="3"/>
  <c r="BJ314" i="3"/>
  <c r="AA316" i="3"/>
  <c r="AP316" i="3"/>
  <c r="BD316" i="3"/>
  <c r="AT326" i="3"/>
  <c r="BE327" i="3"/>
  <c r="AW327" i="3"/>
  <c r="AO327" i="3"/>
  <c r="AG327" i="3"/>
  <c r="BH327" i="3"/>
  <c r="AZ327" i="3"/>
  <c r="AR327" i="3"/>
  <c r="AJ327" i="3"/>
  <c r="AB327" i="3"/>
  <c r="BA327" i="3"/>
  <c r="AP327" i="3"/>
  <c r="AE327" i="3"/>
  <c r="BC327" i="3"/>
  <c r="AS327" i="3"/>
  <c r="AH327" i="3"/>
  <c r="AM327" i="3"/>
  <c r="BB327" i="3"/>
  <c r="AL329" i="3"/>
  <c r="AP332" i="3"/>
  <c r="BE329" i="3"/>
  <c r="AW329" i="3"/>
  <c r="AO329" i="3"/>
  <c r="AG329" i="3"/>
  <c r="BH329" i="3"/>
  <c r="AZ329" i="3"/>
  <c r="AR329" i="3"/>
  <c r="AJ329" i="3"/>
  <c r="AB329" i="3"/>
  <c r="BI329" i="3"/>
  <c r="AX329" i="3"/>
  <c r="AM329" i="3"/>
  <c r="AC329" i="3"/>
  <c r="BA329" i="3"/>
  <c r="AP329" i="3"/>
  <c r="AE329" i="3"/>
  <c r="AN329" i="3"/>
  <c r="BC329" i="3"/>
  <c r="BE332" i="3"/>
  <c r="AW332" i="3"/>
  <c r="AO332" i="3"/>
  <c r="AG332" i="3"/>
  <c r="BH332" i="3"/>
  <c r="AZ332" i="3"/>
  <c r="AR332" i="3"/>
  <c r="AJ332" i="3"/>
  <c r="AB332" i="3"/>
  <c r="BJ332" i="3"/>
  <c r="AY332" i="3"/>
  <c r="AN332" i="3"/>
  <c r="AD332" i="3"/>
  <c r="BI332" i="3"/>
  <c r="AX332" i="3"/>
  <c r="AM332" i="3"/>
  <c r="AC332" i="3"/>
  <c r="BB332" i="3"/>
  <c r="AQ332" i="3"/>
  <c r="AF332" i="3"/>
  <c r="AS332" i="3"/>
  <c r="BG332" i="3"/>
  <c r="BG334" i="3"/>
  <c r="AY334" i="3"/>
  <c r="AQ334" i="3"/>
  <c r="AI334" i="3"/>
  <c r="AA334" i="3"/>
  <c r="BF334" i="3"/>
  <c r="AX334" i="3"/>
  <c r="BE334" i="3"/>
  <c r="AW334" i="3"/>
  <c r="AO334" i="3"/>
  <c r="AG334" i="3"/>
  <c r="BH334" i="3"/>
  <c r="AZ334" i="3"/>
  <c r="AR334" i="3"/>
  <c r="AJ334" i="3"/>
  <c r="AB334" i="3"/>
  <c r="BA334" i="3"/>
  <c r="AL334" i="3"/>
  <c r="AV334" i="3"/>
  <c r="AK334" i="3"/>
  <c r="BC334" i="3"/>
  <c r="AN334" i="3"/>
  <c r="AC334" i="3"/>
  <c r="AT334" i="3"/>
  <c r="AD329" i="3"/>
  <c r="AS329" i="3"/>
  <c r="BF329" i="3"/>
  <c r="AE332" i="3"/>
  <c r="AU332" i="3"/>
  <c r="AE334" i="3"/>
  <c r="BB334" i="3"/>
  <c r="AF329" i="3"/>
  <c r="AT329" i="3"/>
  <c r="BG329" i="3"/>
  <c r="AH332" i="3"/>
  <c r="AV332" i="3"/>
  <c r="AF334" i="3"/>
  <c r="BD334" i="3"/>
  <c r="AI327" i="3"/>
  <c r="AV327" i="3"/>
  <c r="BJ327" i="3"/>
  <c r="BE328" i="3"/>
  <c r="AW328" i="3"/>
  <c r="AO328" i="3"/>
  <c r="AG328" i="3"/>
  <c r="BH328" i="3"/>
  <c r="AZ328" i="3"/>
  <c r="AR328" i="3"/>
  <c r="AJ328" i="3"/>
  <c r="AB328" i="3"/>
  <c r="BD328" i="3"/>
  <c r="AT328" i="3"/>
  <c r="AI328" i="3"/>
  <c r="BG328" i="3"/>
  <c r="AV328" i="3"/>
  <c r="AL328" i="3"/>
  <c r="AA328" i="3"/>
  <c r="AN328" i="3"/>
  <c r="BB328" i="3"/>
  <c r="AH329" i="3"/>
  <c r="AU329" i="3"/>
  <c r="BJ329" i="3"/>
  <c r="AI332" i="3"/>
  <c r="BA332" i="3"/>
  <c r="AH334" i="3"/>
  <c r="BI334" i="3"/>
  <c r="BC315" i="3"/>
  <c r="AU315" i="3"/>
  <c r="AM315" i="3"/>
  <c r="AE315" i="3"/>
  <c r="AI315" i="3"/>
  <c r="AR315" i="3"/>
  <c r="BA315" i="3"/>
  <c r="BJ315" i="3"/>
  <c r="BH322" i="3"/>
  <c r="AZ322" i="3"/>
  <c r="AR322" i="3"/>
  <c r="AJ322" i="3"/>
  <c r="AB322" i="3"/>
  <c r="BF322" i="3"/>
  <c r="AW322" i="3"/>
  <c r="AN322" i="3"/>
  <c r="AE322" i="3"/>
  <c r="BI322" i="3"/>
  <c r="AY322" i="3"/>
  <c r="AP322" i="3"/>
  <c r="AG322" i="3"/>
  <c r="AL322" i="3"/>
  <c r="AX322" i="3"/>
  <c r="BH323" i="3"/>
  <c r="AZ323" i="3"/>
  <c r="AR323" i="3"/>
  <c r="AJ323" i="3"/>
  <c r="AB323" i="3"/>
  <c r="BD323" i="3"/>
  <c r="AU323" i="3"/>
  <c r="AL323" i="3"/>
  <c r="AC323" i="3"/>
  <c r="BF323" i="3"/>
  <c r="AW323" i="3"/>
  <c r="AN323" i="3"/>
  <c r="AE323" i="3"/>
  <c r="AM323" i="3"/>
  <c r="AY323" i="3"/>
  <c r="AK327" i="3"/>
  <c r="AX327" i="3"/>
  <c r="AC328" i="3"/>
  <c r="AP328" i="3"/>
  <c r="BC328" i="3"/>
  <c r="AI329" i="3"/>
  <c r="AV329" i="3"/>
  <c r="BE330" i="3"/>
  <c r="AW330" i="3"/>
  <c r="AO330" i="3"/>
  <c r="AG330" i="3"/>
  <c r="BH330" i="3"/>
  <c r="AZ330" i="3"/>
  <c r="AR330" i="3"/>
  <c r="AJ330" i="3"/>
  <c r="AB330" i="3"/>
  <c r="BB330" i="3"/>
  <c r="AQ330" i="3"/>
  <c r="AF330" i="3"/>
  <c r="BA330" i="3"/>
  <c r="BD330" i="3"/>
  <c r="AT330" i="3"/>
  <c r="AI330" i="3"/>
  <c r="AM330" i="3"/>
  <c r="BC330" i="3"/>
  <c r="AK332" i="3"/>
  <c r="BC332" i="3"/>
  <c r="AM334" i="3"/>
  <c r="BJ334" i="3"/>
  <c r="BH321" i="3"/>
  <c r="AZ321" i="3"/>
  <c r="AR321" i="3"/>
  <c r="AJ321" i="3"/>
  <c r="AB321" i="3"/>
  <c r="AI321" i="3"/>
  <c r="AS321" i="3"/>
  <c r="BB321" i="3"/>
  <c r="BH325" i="3"/>
  <c r="AZ325" i="3"/>
  <c r="AR325" i="3"/>
  <c r="AJ325" i="3"/>
  <c r="AB325" i="3"/>
  <c r="AI325" i="3"/>
  <c r="AS325" i="3"/>
  <c r="BB325" i="3"/>
  <c r="BG333" i="3"/>
  <c r="AY333" i="3"/>
  <c r="AQ333" i="3"/>
  <c r="AI333" i="3"/>
  <c r="AA333" i="3"/>
  <c r="BE333" i="3"/>
  <c r="AW333" i="3"/>
  <c r="AO333" i="3"/>
  <c r="AG333" i="3"/>
  <c r="BH333" i="3"/>
  <c r="AZ333" i="3"/>
  <c r="AR333" i="3"/>
  <c r="AJ333" i="3"/>
  <c r="AB333" i="3"/>
  <c r="AM333" i="3"/>
  <c r="BA333" i="3"/>
  <c r="AG321" i="3"/>
  <c r="AP321" i="3"/>
  <c r="AY321" i="3"/>
  <c r="BI321" i="3"/>
  <c r="BH324" i="3"/>
  <c r="AZ324" i="3"/>
  <c r="AR324" i="3"/>
  <c r="AJ324" i="3"/>
  <c r="AB324" i="3"/>
  <c r="AI324" i="3"/>
  <c r="AS324" i="3"/>
  <c r="BB324" i="3"/>
  <c r="AG325" i="3"/>
  <c r="AP325" i="3"/>
  <c r="AY325" i="3"/>
  <c r="BI325" i="3"/>
  <c r="BE331" i="3"/>
  <c r="AW331" i="3"/>
  <c r="AO331" i="3"/>
  <c r="AG331" i="3"/>
  <c r="BH331" i="3"/>
  <c r="AZ331" i="3"/>
  <c r="AR331" i="3"/>
  <c r="AJ331" i="3"/>
  <c r="AB331" i="3"/>
  <c r="AK331" i="3"/>
  <c r="AU331" i="3"/>
  <c r="BF331" i="3"/>
  <c r="AK333" i="3"/>
  <c r="AV333" i="3"/>
  <c r="BJ333" i="3"/>
  <c r="AB335" i="3"/>
  <c r="AJ335" i="3"/>
  <c r="AR335" i="3"/>
  <c r="AZ335" i="3"/>
  <c r="BH335" i="3"/>
  <c r="AB336" i="3"/>
  <c r="AJ336" i="3"/>
  <c r="AR336" i="3"/>
  <c r="AZ336" i="3"/>
  <c r="BH336" i="3"/>
  <c r="AB337" i="3"/>
  <c r="AJ337" i="3"/>
  <c r="AR337" i="3"/>
  <c r="AZ337" i="3"/>
  <c r="BH337" i="3"/>
  <c r="AB338" i="3"/>
  <c r="AJ338" i="3"/>
  <c r="AR338" i="3"/>
  <c r="AZ338" i="3"/>
  <c r="BH338" i="3"/>
  <c r="AB339" i="3"/>
  <c r="AJ339" i="3"/>
  <c r="AR339" i="3"/>
  <c r="AZ339" i="3"/>
  <c r="BH339" i="3"/>
  <c r="AB340" i="3"/>
  <c r="AJ340" i="3"/>
  <c r="AR340" i="3"/>
  <c r="AZ340" i="3"/>
  <c r="BH340" i="3"/>
  <c r="AC345" i="3"/>
  <c r="AM345" i="3"/>
  <c r="AV345" i="3"/>
  <c r="BE345" i="3"/>
  <c r="AC347" i="3"/>
  <c r="AN347" i="3"/>
  <c r="AX347" i="3"/>
  <c r="BI347" i="3"/>
  <c r="BT347" i="3"/>
  <c r="BO349" i="3"/>
  <c r="BG349" i="3"/>
  <c r="AY349" i="3"/>
  <c r="AQ349" i="3"/>
  <c r="AI349" i="3"/>
  <c r="AA349" i="3"/>
  <c r="BR349" i="3"/>
  <c r="BJ349" i="3"/>
  <c r="BB349" i="3"/>
  <c r="AT349" i="3"/>
  <c r="AL349" i="3"/>
  <c r="AD349" i="3"/>
  <c r="AK349" i="3"/>
  <c r="AV349" i="3"/>
  <c r="BF349" i="3"/>
  <c r="BQ349" i="3"/>
  <c r="AM351" i="3"/>
  <c r="BC351" i="3"/>
  <c r="AH353" i="3"/>
  <c r="AX353" i="3"/>
  <c r="BN353" i="3"/>
  <c r="AG355" i="3"/>
  <c r="AW355" i="3"/>
  <c r="AF357" i="3"/>
  <c r="AV357" i="3"/>
  <c r="BL357" i="3"/>
  <c r="AE359" i="3"/>
  <c r="AU359" i="3"/>
  <c r="BK359" i="3"/>
  <c r="BQ351" i="3"/>
  <c r="BI351" i="3"/>
  <c r="BA351" i="3"/>
  <c r="AS351" i="3"/>
  <c r="AK351" i="3"/>
  <c r="AC351" i="3"/>
  <c r="BP351" i="3"/>
  <c r="BH351" i="3"/>
  <c r="AZ351" i="3"/>
  <c r="AR351" i="3"/>
  <c r="AJ351" i="3"/>
  <c r="BO351" i="3"/>
  <c r="BG351" i="3"/>
  <c r="AY351" i="3"/>
  <c r="AQ351" i="3"/>
  <c r="AI351" i="3"/>
  <c r="AA351" i="3"/>
  <c r="BR351" i="3"/>
  <c r="BJ351" i="3"/>
  <c r="BB351" i="3"/>
  <c r="AT351" i="3"/>
  <c r="AL351" i="3"/>
  <c r="AD351" i="3"/>
  <c r="AO351" i="3"/>
  <c r="BE351" i="3"/>
  <c r="BU351" i="3"/>
  <c r="AN353" i="3"/>
  <c r="BD353" i="3"/>
  <c r="BT353" i="3"/>
  <c r="AB351" i="3"/>
  <c r="AP351" i="3"/>
  <c r="BF351" i="3"/>
  <c r="BV351" i="3"/>
  <c r="AO353" i="3"/>
  <c r="BE353" i="3"/>
  <c r="AE351" i="3"/>
  <c r="AU351" i="3"/>
  <c r="BK351" i="3"/>
  <c r="BQ353" i="3"/>
  <c r="BI353" i="3"/>
  <c r="BA353" i="3"/>
  <c r="AS353" i="3"/>
  <c r="AK353" i="3"/>
  <c r="AC353" i="3"/>
  <c r="BP353" i="3"/>
  <c r="BH353" i="3"/>
  <c r="AZ353" i="3"/>
  <c r="AR353" i="3"/>
  <c r="AJ353" i="3"/>
  <c r="AB353" i="3"/>
  <c r="BO353" i="3"/>
  <c r="BG353" i="3"/>
  <c r="AY353" i="3"/>
  <c r="AQ353" i="3"/>
  <c r="AI353" i="3"/>
  <c r="AA353" i="3"/>
  <c r="BR353" i="3"/>
  <c r="BJ353" i="3"/>
  <c r="BB353" i="3"/>
  <c r="AT353" i="3"/>
  <c r="AL353" i="3"/>
  <c r="AD353" i="3"/>
  <c r="AP353" i="3"/>
  <c r="BF353" i="3"/>
  <c r="BV353" i="3"/>
  <c r="AG335" i="3"/>
  <c r="AO335" i="3"/>
  <c r="AW335" i="3"/>
  <c r="BE335" i="3"/>
  <c r="AG336" i="3"/>
  <c r="AO336" i="3"/>
  <c r="AW336" i="3"/>
  <c r="BE336" i="3"/>
  <c r="AG337" i="3"/>
  <c r="AO337" i="3"/>
  <c r="AW337" i="3"/>
  <c r="BE337" i="3"/>
  <c r="AG338" i="3"/>
  <c r="AO338" i="3"/>
  <c r="AW338" i="3"/>
  <c r="BE338" i="3"/>
  <c r="AG339" i="3"/>
  <c r="AO339" i="3"/>
  <c r="AW339" i="3"/>
  <c r="BE339" i="3"/>
  <c r="AG340" i="3"/>
  <c r="AO340" i="3"/>
  <c r="AW340" i="3"/>
  <c r="BE340" i="3"/>
  <c r="BR345" i="3"/>
  <c r="BJ345" i="3"/>
  <c r="BB345" i="3"/>
  <c r="AT345" i="3"/>
  <c r="AL345" i="3"/>
  <c r="AD345" i="3"/>
  <c r="AI345" i="3"/>
  <c r="AR345" i="3"/>
  <c r="BA345" i="3"/>
  <c r="BK345" i="3"/>
  <c r="BT345" i="3"/>
  <c r="AJ347" i="3"/>
  <c r="AU347" i="3"/>
  <c r="BE347" i="3"/>
  <c r="AF351" i="3"/>
  <c r="AV351" i="3"/>
  <c r="BL351" i="3"/>
  <c r="AE353" i="3"/>
  <c r="AU353" i="3"/>
  <c r="BK353" i="3"/>
  <c r="BQ355" i="3"/>
  <c r="BI355" i="3"/>
  <c r="BA355" i="3"/>
  <c r="AS355" i="3"/>
  <c r="AK355" i="3"/>
  <c r="AC355" i="3"/>
  <c r="BP355" i="3"/>
  <c r="BH355" i="3"/>
  <c r="AZ355" i="3"/>
  <c r="AR355" i="3"/>
  <c r="AJ355" i="3"/>
  <c r="AB355" i="3"/>
  <c r="BO355" i="3"/>
  <c r="BG355" i="3"/>
  <c r="AY355" i="3"/>
  <c r="AQ355" i="3"/>
  <c r="AI355" i="3"/>
  <c r="AA355" i="3"/>
  <c r="BR355" i="3"/>
  <c r="BJ355" i="3"/>
  <c r="BB355" i="3"/>
  <c r="AT355" i="3"/>
  <c r="AL355" i="3"/>
  <c r="AD355" i="3"/>
  <c r="AP355" i="3"/>
  <c r="BF355" i="3"/>
  <c r="BV355" i="3"/>
  <c r="AO357" i="3"/>
  <c r="BE357" i="3"/>
  <c r="AN359" i="3"/>
  <c r="BD359" i="3"/>
  <c r="BT359" i="3"/>
  <c r="AH335" i="3"/>
  <c r="AP335" i="3"/>
  <c r="AX335" i="3"/>
  <c r="BF335" i="3"/>
  <c r="AH336" i="3"/>
  <c r="AP336" i="3"/>
  <c r="AX336" i="3"/>
  <c r="BF336" i="3"/>
  <c r="AH337" i="3"/>
  <c r="AP337" i="3"/>
  <c r="AX337" i="3"/>
  <c r="BF337" i="3"/>
  <c r="AH338" i="3"/>
  <c r="AP338" i="3"/>
  <c r="AX338" i="3"/>
  <c r="BF338" i="3"/>
  <c r="AH339" i="3"/>
  <c r="AP339" i="3"/>
  <c r="AX339" i="3"/>
  <c r="BF339" i="3"/>
  <c r="AH340" i="3"/>
  <c r="AP340" i="3"/>
  <c r="AX340" i="3"/>
  <c r="BF340" i="3"/>
  <c r="BO347" i="3"/>
  <c r="BG347" i="3"/>
  <c r="AY347" i="3"/>
  <c r="AQ347" i="3"/>
  <c r="AI347" i="3"/>
  <c r="AA347" i="3"/>
  <c r="BR347" i="3"/>
  <c r="BJ347" i="3"/>
  <c r="BB347" i="3"/>
  <c r="AT347" i="3"/>
  <c r="AL347" i="3"/>
  <c r="AD347" i="3"/>
  <c r="AK347" i="3"/>
  <c r="AV347" i="3"/>
  <c r="BF347" i="3"/>
  <c r="BQ347" i="3"/>
  <c r="AG351" i="3"/>
  <c r="AW351" i="3"/>
  <c r="BM351" i="3"/>
  <c r="AF353" i="3"/>
  <c r="AV353" i="3"/>
  <c r="BL353" i="3"/>
  <c r="BQ357" i="3"/>
  <c r="BI357" i="3"/>
  <c r="BA357" i="3"/>
  <c r="AS357" i="3"/>
  <c r="AK357" i="3"/>
  <c r="AC357" i="3"/>
  <c r="BP357" i="3"/>
  <c r="BH357" i="3"/>
  <c r="AZ357" i="3"/>
  <c r="AR357" i="3"/>
  <c r="AJ357" i="3"/>
  <c r="AB357" i="3"/>
  <c r="BO357" i="3"/>
  <c r="BG357" i="3"/>
  <c r="AY357" i="3"/>
  <c r="AQ357" i="3"/>
  <c r="AI357" i="3"/>
  <c r="AA357" i="3"/>
  <c r="BR357" i="3"/>
  <c r="BJ357" i="3"/>
  <c r="BB357" i="3"/>
  <c r="AT357" i="3"/>
  <c r="AL357" i="3"/>
  <c r="AD357" i="3"/>
  <c r="AP357" i="3"/>
  <c r="BF357" i="3"/>
  <c r="BV357" i="3"/>
  <c r="AO359" i="3"/>
  <c r="BE359" i="3"/>
  <c r="AA335" i="3"/>
  <c r="AI335" i="3"/>
  <c r="AQ335" i="3"/>
  <c r="AY335" i="3"/>
  <c r="AA336" i="3"/>
  <c r="AI336" i="3"/>
  <c r="AQ336" i="3"/>
  <c r="AY336" i="3"/>
  <c r="AA337" i="3"/>
  <c r="AI337" i="3"/>
  <c r="AQ337" i="3"/>
  <c r="AY337" i="3"/>
  <c r="AA338" i="3"/>
  <c r="AI338" i="3"/>
  <c r="AQ338" i="3"/>
  <c r="AY338" i="3"/>
  <c r="AA339" i="3"/>
  <c r="AI339" i="3"/>
  <c r="AQ339" i="3"/>
  <c r="AY339" i="3"/>
  <c r="AA340" i="3"/>
  <c r="AI340" i="3"/>
  <c r="AQ340" i="3"/>
  <c r="AY340" i="3"/>
  <c r="BG340" i="3"/>
  <c r="AB347" i="3"/>
  <c r="AM347" i="3"/>
  <c r="AW347" i="3"/>
  <c r="BH347" i="3"/>
  <c r="BS347" i="3"/>
  <c r="AH351" i="3"/>
  <c r="AX351" i="3"/>
  <c r="BN351" i="3"/>
  <c r="AG353" i="3"/>
  <c r="AW353" i="3"/>
  <c r="BM353" i="3"/>
  <c r="AU357" i="3"/>
  <c r="BK357" i="3"/>
  <c r="BQ359" i="3"/>
  <c r="BI359" i="3"/>
  <c r="BA359" i="3"/>
  <c r="AS359" i="3"/>
  <c r="AK359" i="3"/>
  <c r="AC359" i="3"/>
  <c r="BP359" i="3"/>
  <c r="BH359" i="3"/>
  <c r="AZ359" i="3"/>
  <c r="AR359" i="3"/>
  <c r="AJ359" i="3"/>
  <c r="AB359" i="3"/>
  <c r="BO359" i="3"/>
  <c r="BG359" i="3"/>
  <c r="AY359" i="3"/>
  <c r="AQ359" i="3"/>
  <c r="AI359" i="3"/>
  <c r="AA359" i="3"/>
  <c r="BR359" i="3"/>
  <c r="BJ359" i="3"/>
  <c r="BB359" i="3"/>
  <c r="AT359" i="3"/>
  <c r="AL359" i="3"/>
  <c r="AD359" i="3"/>
  <c r="AP359" i="3"/>
  <c r="BF359" i="3"/>
  <c r="BV359" i="3"/>
  <c r="AH344" i="3"/>
  <c r="AP344" i="3"/>
  <c r="AX344" i="3"/>
  <c r="BF344" i="3"/>
  <c r="BN344" i="3"/>
  <c r="AH346" i="3"/>
  <c r="AP346" i="3"/>
  <c r="AX346" i="3"/>
  <c r="BF346" i="3"/>
  <c r="BN346" i="3"/>
  <c r="AH348" i="3"/>
  <c r="AP348" i="3"/>
  <c r="AX348" i="3"/>
  <c r="BF348" i="3"/>
  <c r="BN348" i="3"/>
  <c r="AH350" i="3"/>
  <c r="AP350" i="3"/>
  <c r="AX350" i="3"/>
  <c r="BF350" i="3"/>
  <c r="BN350" i="3"/>
  <c r="AH352" i="3"/>
  <c r="AP352" i="3"/>
  <c r="AX352" i="3"/>
  <c r="BF352" i="3"/>
  <c r="BN352" i="3"/>
  <c r="AH354" i="3"/>
  <c r="AP354" i="3"/>
  <c r="AX354" i="3"/>
  <c r="BF354" i="3"/>
  <c r="BN354" i="3"/>
  <c r="AH356" i="3"/>
  <c r="AP356" i="3"/>
  <c r="AX356" i="3"/>
  <c r="BF356" i="3"/>
  <c r="BN356" i="3"/>
  <c r="AH358" i="3"/>
  <c r="AP358" i="3"/>
  <c r="AX358" i="3"/>
  <c r="BF358" i="3"/>
  <c r="BN358" i="3"/>
  <c r="AH360" i="3"/>
  <c r="AP360" i="3"/>
  <c r="AX360" i="3"/>
  <c r="BF360" i="3"/>
  <c r="BN360" i="3"/>
  <c r="AD361" i="3"/>
  <c r="AL361" i="3"/>
  <c r="AT361" i="3"/>
  <c r="BB361" i="3"/>
  <c r="BJ361" i="3"/>
  <c r="BR361" i="3"/>
  <c r="AH362" i="3"/>
  <c r="AP362" i="3"/>
  <c r="AX362" i="3"/>
  <c r="BF362" i="3"/>
  <c r="BN362" i="3"/>
  <c r="AD363" i="3"/>
  <c r="AL363" i="3"/>
  <c r="AT363" i="3"/>
  <c r="BC363" i="3"/>
  <c r="BM363" i="3"/>
  <c r="AM361" i="3"/>
  <c r="AU361" i="3"/>
  <c r="BC361" i="3"/>
  <c r="BK361" i="3"/>
  <c r="BS361" i="3"/>
  <c r="AE363" i="3"/>
  <c r="AM363" i="3"/>
  <c r="AU363" i="3"/>
  <c r="BE363" i="3"/>
  <c r="BN363" i="3"/>
  <c r="AF361" i="3"/>
  <c r="AN361" i="3"/>
  <c r="AV361" i="3"/>
  <c r="BD361" i="3"/>
  <c r="BL361" i="3"/>
  <c r="BT361" i="3"/>
  <c r="AF363" i="3"/>
  <c r="AN363" i="3"/>
  <c r="AW363" i="3"/>
  <c r="BF363" i="3"/>
  <c r="BO363" i="3"/>
  <c r="AG361" i="3"/>
  <c r="AO361" i="3"/>
  <c r="AW361" i="3"/>
  <c r="BE361" i="3"/>
  <c r="BM361" i="3"/>
  <c r="BU361" i="3"/>
  <c r="AG363" i="3"/>
  <c r="AO363" i="3"/>
  <c r="AX363" i="3"/>
  <c r="BG363" i="3"/>
  <c r="AH361" i="3"/>
  <c r="AP361" i="3"/>
  <c r="AX361" i="3"/>
  <c r="BF361" i="3"/>
  <c r="BN361" i="3"/>
  <c r="BV361" i="3"/>
  <c r="BQ363" i="3"/>
  <c r="BT363" i="3"/>
  <c r="BL363" i="3"/>
  <c r="BD363" i="3"/>
  <c r="AV363" i="3"/>
  <c r="AH363" i="3"/>
  <c r="AP363" i="3"/>
  <c r="AY363" i="3"/>
  <c r="BH363" i="3"/>
  <c r="BR363" i="3"/>
  <c r="AA361" i="3"/>
  <c r="AI361" i="3"/>
  <c r="AQ361" i="3"/>
  <c r="AY361" i="3"/>
  <c r="BG361" i="3"/>
  <c r="BO361" i="3"/>
  <c r="AA363" i="3"/>
  <c r="AI363" i="3"/>
  <c r="AQ363" i="3"/>
  <c r="AZ363" i="3"/>
  <c r="BI363" i="3"/>
  <c r="BS363" i="3"/>
  <c r="AB361" i="3"/>
  <c r="AJ361" i="3"/>
  <c r="AR361" i="3"/>
  <c r="AZ361" i="3"/>
  <c r="BH361" i="3"/>
  <c r="BP361" i="3"/>
  <c r="AB363" i="3"/>
  <c r="AJ363" i="3"/>
  <c r="AR363" i="3"/>
  <c r="BA363" i="3"/>
  <c r="BJ363" i="3"/>
  <c r="BU363" i="3"/>
  <c r="AC361" i="3"/>
  <c r="AK361" i="3"/>
  <c r="AS361" i="3"/>
  <c r="BA361" i="3"/>
  <c r="BI361" i="3"/>
  <c r="AC363" i="3"/>
  <c r="AK363" i="3"/>
  <c r="AS363" i="3"/>
  <c r="BB363" i="3"/>
  <c r="BK363" i="3"/>
  <c r="BV363" i="3"/>
  <c r="A3" i="3"/>
  <c r="Y2" i="3"/>
  <c r="X2" i="3"/>
  <c r="W2" i="3"/>
  <c r="V2" i="3"/>
  <c r="B2" i="3" a="1"/>
  <c r="B2" i="3" l="1"/>
  <c r="D1" i="3"/>
  <c r="EX99" i="35"/>
  <c r="EX98" i="35"/>
  <c r="EX97" i="35"/>
  <c r="EX96" i="35"/>
  <c r="EX95" i="35"/>
  <c r="EX94" i="35"/>
  <c r="EX93" i="35"/>
  <c r="EX92" i="35"/>
  <c r="EX91" i="35"/>
  <c r="EX90" i="35"/>
  <c r="EX89" i="35"/>
  <c r="D89" i="35"/>
  <c r="EX88" i="35"/>
  <c r="D88" i="35"/>
  <c r="EX87" i="35"/>
  <c r="D87" i="35"/>
  <c r="EX86" i="35"/>
  <c r="EX85" i="35"/>
  <c r="EX84" i="35"/>
  <c r="EX83" i="35"/>
  <c r="EX82" i="35"/>
  <c r="EX81" i="35"/>
  <c r="EX80" i="35"/>
  <c r="EX79" i="35"/>
  <c r="D79" i="35"/>
  <c r="EX78" i="35"/>
  <c r="EX77" i="35"/>
  <c r="D77" i="35"/>
  <c r="EX76" i="35"/>
  <c r="D76" i="35"/>
  <c r="EX75" i="35"/>
  <c r="EX74" i="35"/>
  <c r="EX73" i="35"/>
  <c r="EX72" i="35"/>
  <c r="EX71" i="35"/>
  <c r="EX69" i="35"/>
  <c r="EX68" i="35"/>
  <c r="EX67" i="35"/>
  <c r="EX66" i="35"/>
  <c r="D66" i="35"/>
  <c r="EX65" i="35"/>
  <c r="EX64" i="35"/>
  <c r="EX63" i="35"/>
  <c r="EX62" i="35"/>
  <c r="EX61" i="35"/>
  <c r="EX60" i="35"/>
  <c r="D60" i="35"/>
  <c r="EX59" i="35"/>
  <c r="EX58" i="35"/>
  <c r="Y58" i="35"/>
  <c r="X58" i="35"/>
  <c r="W58" i="35"/>
  <c r="V58" i="35"/>
  <c r="EX57" i="35"/>
  <c r="Y57" i="35"/>
  <c r="X57" i="35"/>
  <c r="W57" i="35"/>
  <c r="V57" i="35"/>
  <c r="EX56" i="35"/>
  <c r="D56" i="35"/>
  <c r="EX55" i="35"/>
  <c r="D55" i="35"/>
  <c r="EX54" i="35"/>
  <c r="EX53" i="35"/>
  <c r="CI53" i="35"/>
  <c r="CH53" i="35"/>
  <c r="CG53" i="35"/>
  <c r="CF53" i="35"/>
  <c r="CE53" i="35"/>
  <c r="CD53" i="35"/>
  <c r="CC53" i="35"/>
  <c r="CB53" i="35"/>
  <c r="CA53" i="35"/>
  <c r="BZ53" i="35"/>
  <c r="BY53" i="35"/>
  <c r="BX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Y53" i="35"/>
  <c r="X53" i="35"/>
  <c r="W53" i="35"/>
  <c r="V53" i="35"/>
  <c r="EX52" i="35"/>
  <c r="CI52" i="35"/>
  <c r="CH52" i="35"/>
  <c r="CG52" i="35"/>
  <c r="CF52" i="35"/>
  <c r="CE52" i="35"/>
  <c r="CD52" i="35"/>
  <c r="CC52" i="35"/>
  <c r="CB52" i="35"/>
  <c r="CA52" i="35"/>
  <c r="BZ52" i="35"/>
  <c r="BY52" i="35"/>
  <c r="BX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Y52" i="35"/>
  <c r="X52" i="35"/>
  <c r="W52" i="35"/>
  <c r="V52" i="35"/>
  <c r="EX51" i="35"/>
  <c r="D51" i="35"/>
  <c r="EX50" i="35"/>
  <c r="EX49" i="35"/>
  <c r="EX48" i="35"/>
  <c r="Y48" i="35"/>
  <c r="X48" i="35"/>
  <c r="W48" i="35"/>
  <c r="V48" i="35"/>
  <c r="EX47" i="35"/>
  <c r="D47" i="35"/>
  <c r="EX46" i="35"/>
  <c r="EX45" i="35"/>
  <c r="Y45" i="35"/>
  <c r="X45" i="35"/>
  <c r="W45" i="35"/>
  <c r="V45" i="35"/>
  <c r="EX44" i="35"/>
  <c r="Y44" i="35"/>
  <c r="X44" i="35"/>
  <c r="W44" i="35"/>
  <c r="V44" i="35"/>
  <c r="EX43" i="35"/>
  <c r="D43" i="35"/>
  <c r="EX42" i="35"/>
  <c r="EX41" i="35"/>
  <c r="Y41" i="35"/>
  <c r="X41" i="35"/>
  <c r="W41" i="35"/>
  <c r="V41" i="35"/>
  <c r="EX40" i="35"/>
  <c r="Y40" i="35"/>
  <c r="X40" i="35"/>
  <c r="W40" i="35"/>
  <c r="V40" i="35"/>
  <c r="EX39" i="35"/>
  <c r="D39" i="35"/>
  <c r="EX38" i="35"/>
  <c r="D38" i="35"/>
  <c r="EX37" i="35"/>
  <c r="EX36" i="35"/>
  <c r="Y36" i="35"/>
  <c r="X36" i="35"/>
  <c r="W36" i="35"/>
  <c r="V36" i="35"/>
  <c r="EX35" i="35"/>
  <c r="D35" i="35"/>
  <c r="EX34" i="35"/>
  <c r="D34" i="35"/>
  <c r="EX33" i="35"/>
  <c r="EX32" i="35"/>
  <c r="D32" i="35"/>
  <c r="EX31" i="35"/>
  <c r="D31" i="35"/>
  <c r="EX30" i="35"/>
  <c r="EX29" i="35"/>
  <c r="EX28" i="35"/>
  <c r="EX27" i="35"/>
  <c r="EX26" i="35"/>
  <c r="EX25" i="35"/>
  <c r="D25" i="35"/>
  <c r="EX24" i="35"/>
  <c r="D24" i="35"/>
  <c r="EX23" i="35"/>
  <c r="D23" i="35"/>
  <c r="EX22" i="35"/>
  <c r="EX21" i="35"/>
  <c r="EX20" i="35"/>
  <c r="EX19" i="35"/>
  <c r="EX18" i="35"/>
  <c r="EX17" i="35"/>
  <c r="EX16" i="35"/>
  <c r="EX15" i="35"/>
  <c r="EX14" i="35"/>
  <c r="EX13" i="35"/>
  <c r="EX12" i="35"/>
  <c r="EX11" i="35"/>
  <c r="EX10" i="35"/>
  <c r="EX9" i="35"/>
  <c r="D9" i="35"/>
  <c r="EX8" i="35"/>
  <c r="BX6" i="35" a="1"/>
  <c r="BX6" i="35" s="1"/>
  <c r="V6" i="35" a="1"/>
  <c r="V6" i="35" s="1"/>
  <c r="A6" i="35" a="1"/>
  <c r="A6" i="35" s="1"/>
  <c r="D5" i="35"/>
  <c r="D4" i="35"/>
  <c r="D3" i="35"/>
  <c r="A3" i="35" a="1"/>
  <c r="A3" i="35" l="1"/>
  <c r="Y2" i="35"/>
  <c r="X2" i="35"/>
  <c r="W2" i="35"/>
  <c r="V2" i="35"/>
  <c r="B2" i="35" a="1"/>
  <c r="B2" i="35" l="1"/>
  <c r="BX1" i="35"/>
  <c r="AA1" i="35"/>
  <c r="V1" i="35"/>
  <c r="D1" i="35"/>
  <c r="EX138" i="13"/>
  <c r="EX137" i="13"/>
  <c r="EX136" i="13"/>
  <c r="EX135" i="13"/>
  <c r="EX134" i="13"/>
  <c r="EX133" i="13"/>
  <c r="EX132" i="13"/>
  <c r="D132" i="13"/>
  <c r="D131" i="13"/>
  <c r="EX131" i="13" s="1"/>
  <c r="D130" i="13"/>
  <c r="EX130" i="13" s="1"/>
  <c r="EX129" i="13"/>
  <c r="EX128" i="13"/>
  <c r="EX127" i="13"/>
  <c r="EX126" i="13"/>
  <c r="C125" i="13"/>
  <c r="EX125" i="13" s="1"/>
  <c r="EX124" i="13"/>
  <c r="EX123" i="13"/>
  <c r="C123" i="13"/>
  <c r="EX122" i="13"/>
  <c r="EX121" i="13"/>
  <c r="EX120" i="13"/>
  <c r="EX119" i="13"/>
  <c r="C119" i="13"/>
  <c r="C118" i="13"/>
  <c r="EX118" i="13" s="1"/>
  <c r="C117" i="13"/>
  <c r="EX117" i="13" s="1"/>
  <c r="EX116" i="13"/>
  <c r="EX115" i="13"/>
  <c r="C115" i="13"/>
  <c r="EX114" i="13"/>
  <c r="C114" i="13"/>
  <c r="EX113" i="13"/>
  <c r="EX112" i="13"/>
  <c r="C111" i="13"/>
  <c r="EX111" i="13" s="1"/>
  <c r="EX110" i="13"/>
  <c r="EX108" i="13"/>
  <c r="D108" i="13" a="1"/>
  <c r="D108" i="13" l="1"/>
  <c r="EX107" i="13"/>
  <c r="EX104" i="13"/>
  <c r="EX100" i="13"/>
  <c r="EX99" i="13"/>
  <c r="EX96" i="13"/>
  <c r="EX95" i="13"/>
  <c r="EX94" i="13"/>
  <c r="EX93" i="13"/>
  <c r="EX92" i="13"/>
  <c r="EX91" i="13"/>
  <c r="EX90" i="13"/>
  <c r="EX89" i="13"/>
  <c r="EX88" i="13"/>
  <c r="EX87" i="13"/>
  <c r="EX86" i="13"/>
  <c r="EX85" i="13"/>
  <c r="EX84" i="13"/>
  <c r="D84" i="13"/>
  <c r="E83" i="13"/>
  <c r="D83" i="13"/>
  <c r="C83" i="13"/>
  <c r="EX83" i="13" s="1"/>
  <c r="EX82" i="13"/>
  <c r="EX81" i="13"/>
  <c r="EX80" i="13"/>
  <c r="EX79" i="13"/>
  <c r="EX78" i="13"/>
  <c r="EX77" i="13"/>
  <c r="EX76" i="13"/>
  <c r="EX75" i="13"/>
  <c r="EX74" i="13"/>
  <c r="EX73" i="13"/>
  <c r="EX72" i="13"/>
  <c r="D72" i="13"/>
  <c r="E71" i="13"/>
  <c r="D71" i="13"/>
  <c r="C71" i="13"/>
  <c r="EX71" i="13" s="1"/>
  <c r="EX70" i="13"/>
  <c r="EX69" i="13"/>
  <c r="EX68" i="13"/>
  <c r="EX67" i="13"/>
  <c r="EX66" i="13"/>
  <c r="EX65" i="13"/>
  <c r="EX64" i="13"/>
  <c r="EX63" i="13"/>
  <c r="EX62" i="13"/>
  <c r="EX61" i="13"/>
  <c r="EX60" i="13"/>
  <c r="EX59" i="13"/>
  <c r="EX58" i="13"/>
  <c r="D57" i="13"/>
  <c r="EX57" i="13" s="1"/>
  <c r="C57" i="13"/>
  <c r="EX56" i="13"/>
  <c r="EX55" i="13"/>
  <c r="EX54" i="13"/>
  <c r="EX53" i="13"/>
  <c r="EX52" i="13"/>
  <c r="EX51" i="13"/>
  <c r="EX50" i="13"/>
  <c r="EX49" i="13"/>
  <c r="EX48" i="13"/>
  <c r="EX47" i="13"/>
  <c r="EX46" i="13"/>
  <c r="D46" i="13"/>
  <c r="E45" i="13"/>
  <c r="D45" i="13"/>
  <c r="C45" i="13"/>
  <c r="EX45" i="13" s="1"/>
  <c r="EX44" i="13"/>
  <c r="EX43" i="13"/>
  <c r="EX42" i="13"/>
  <c r="EX41" i="13"/>
  <c r="EX40" i="13"/>
  <c r="EX39" i="13"/>
  <c r="EX38" i="13"/>
  <c r="EX37" i="13"/>
  <c r="EX36" i="13"/>
  <c r="EX35" i="13"/>
  <c r="EX34" i="13"/>
  <c r="EX33" i="13"/>
  <c r="D33" i="13"/>
  <c r="C32" i="13"/>
  <c r="EX32" i="13" s="1"/>
  <c r="D31" i="13"/>
  <c r="EX31" i="13" s="1"/>
  <c r="C31" i="13"/>
  <c r="EX30" i="13"/>
  <c r="EX29" i="13"/>
  <c r="EX28" i="13"/>
  <c r="EX27" i="13"/>
  <c r="EX26" i="13"/>
  <c r="EX25" i="13"/>
  <c r="EX24" i="13"/>
  <c r="EX23" i="13"/>
  <c r="EX22" i="13"/>
  <c r="EX21" i="13"/>
  <c r="EX20" i="13"/>
  <c r="EX19" i="13"/>
  <c r="E19" i="13"/>
  <c r="D19" i="13"/>
  <c r="C19" i="13"/>
  <c r="D18" i="13"/>
  <c r="EX17" i="13"/>
  <c r="EX16" i="13"/>
  <c r="EX15" i="13"/>
  <c r="D15" i="13"/>
  <c r="C15" i="13"/>
  <c r="C14" i="13"/>
  <c r="EX14" i="13" s="1"/>
  <c r="EX13" i="13"/>
  <c r="EX12" i="13"/>
  <c r="EX11" i="13"/>
  <c r="EX10" i="13"/>
  <c r="EX9" i="13"/>
  <c r="EX8" i="13"/>
  <c r="D5" i="13"/>
  <c r="D4" i="13"/>
  <c r="D3" i="13"/>
  <c r="A3" i="13" a="1"/>
  <c r="A3" i="13" l="1"/>
  <c r="Y2" i="13"/>
  <c r="X2" i="13"/>
  <c r="W2" i="13"/>
  <c r="V2" i="13"/>
  <c r="B2" i="13" a="1"/>
  <c r="B2" i="13" l="1"/>
  <c r="A2" i="13"/>
  <c r="V1" i="13"/>
  <c r="D1" i="13"/>
  <c r="EX42" i="36"/>
  <c r="EX41" i="36"/>
  <c r="EX40" i="36"/>
  <c r="EX39" i="36"/>
  <c r="EX38" i="36"/>
  <c r="EX37" i="36"/>
  <c r="EX36" i="36"/>
  <c r="EX35" i="36"/>
  <c r="EX34" i="36"/>
  <c r="D34" i="36"/>
  <c r="C34" i="36"/>
  <c r="EX33" i="36"/>
  <c r="D33" i="36"/>
  <c r="C33" i="36"/>
  <c r="EX32" i="36"/>
  <c r="C32" i="36"/>
  <c r="EX31" i="36"/>
  <c r="EX30" i="36"/>
  <c r="EX29" i="36"/>
  <c r="EX28" i="36"/>
  <c r="EX27" i="36"/>
  <c r="EX26" i="36"/>
  <c r="EX25" i="36"/>
  <c r="EX24" i="36"/>
  <c r="EX23" i="36"/>
  <c r="EX22" i="36"/>
  <c r="EX21" i="36"/>
  <c r="EX20" i="36"/>
  <c r="EX19" i="36"/>
  <c r="EX18" i="36"/>
  <c r="EX16" i="36"/>
  <c r="EX14" i="36"/>
  <c r="EX12" i="36"/>
  <c r="EX11" i="36"/>
  <c r="EX10" i="36"/>
  <c r="EX9" i="36"/>
  <c r="EX8" i="36"/>
  <c r="A6" i="36" a="1"/>
  <c r="A6" i="36" s="1"/>
  <c r="D5" i="36"/>
  <c r="D4" i="36"/>
  <c r="D3" i="36"/>
  <c r="A3" i="36" a="1"/>
  <c r="A3" i="36" l="1"/>
  <c r="Y2" i="36"/>
  <c r="X2" i="36"/>
  <c r="W2" i="36"/>
  <c r="V2" i="36"/>
  <c r="B2" i="36" a="1"/>
  <c r="B2" i="36" l="1"/>
  <c r="A2" i="36"/>
  <c r="V1" i="36"/>
  <c r="D1" i="36"/>
  <c r="CI103" i="33"/>
  <c r="CH103" i="33"/>
  <c r="CG103" i="33"/>
  <c r="CF103" i="33"/>
  <c r="CE103" i="33"/>
  <c r="CD103" i="33"/>
  <c r="CC103" i="33"/>
  <c r="CB103" i="33"/>
  <c r="BJ103" i="33"/>
  <c r="BI103" i="33"/>
  <c r="BH103" i="33"/>
  <c r="BG103" i="33"/>
  <c r="BF103" i="33"/>
  <c r="BE103" i="33"/>
  <c r="BD103" i="33"/>
  <c r="BC103" i="33"/>
  <c r="BB103" i="33"/>
  <c r="BA103" i="33"/>
  <c r="AZ103" i="33"/>
  <c r="AY103" i="33"/>
  <c r="AX103" i="33"/>
  <c r="AW103" i="33"/>
  <c r="AV103" i="33"/>
  <c r="AU103" i="33"/>
  <c r="AT103" i="33"/>
  <c r="AS103" i="33"/>
  <c r="AR103" i="33"/>
  <c r="AQ103" i="33"/>
  <c r="AP103" i="33"/>
  <c r="AO103" i="33"/>
  <c r="AN103" i="33"/>
  <c r="AM103" i="33"/>
  <c r="AL103" i="33"/>
  <c r="AK103" i="33"/>
  <c r="AJ103" i="33"/>
  <c r="AI103" i="33"/>
  <c r="AH103" i="33"/>
  <c r="AG103" i="33"/>
  <c r="AF103" i="33"/>
  <c r="AE103" i="33"/>
  <c r="AD103" i="33"/>
  <c r="AC103" i="33"/>
  <c r="AB103" i="33"/>
  <c r="AA103" i="33"/>
  <c r="CI102" i="33"/>
  <c r="CH102" i="33"/>
  <c r="CG102" i="33"/>
  <c r="CF102" i="33"/>
  <c r="CE102" i="33"/>
  <c r="CD102" i="33"/>
  <c r="CC102" i="33"/>
  <c r="CB102" i="33"/>
  <c r="BJ102" i="33"/>
  <c r="BI102" i="33"/>
  <c r="BH102" i="33"/>
  <c r="BG102" i="33"/>
  <c r="BF102" i="33"/>
  <c r="BE102" i="33"/>
  <c r="BD102" i="33"/>
  <c r="BC102" i="33"/>
  <c r="BB102" i="33"/>
  <c r="BA102" i="33"/>
  <c r="AZ102" i="33"/>
  <c r="AY102" i="33"/>
  <c r="AX102" i="33"/>
  <c r="AW102" i="33"/>
  <c r="AV102" i="33"/>
  <c r="AU102" i="33"/>
  <c r="AT102" i="33"/>
  <c r="AS102" i="33"/>
  <c r="AR102" i="33"/>
  <c r="AQ102" i="33"/>
  <c r="AP102" i="33"/>
  <c r="AO102" i="33"/>
  <c r="AN102" i="33"/>
  <c r="AM102" i="33"/>
  <c r="AL102" i="33"/>
  <c r="AK102" i="33"/>
  <c r="AJ102" i="33"/>
  <c r="AI102" i="33"/>
  <c r="AH102" i="33"/>
  <c r="AG102" i="33"/>
  <c r="AF102" i="33"/>
  <c r="AE102" i="33"/>
  <c r="AD102" i="33"/>
  <c r="AC102" i="33"/>
  <c r="AB102" i="33"/>
  <c r="AA102" i="33"/>
  <c r="C99" i="33"/>
  <c r="EX99" i="33" s="1"/>
  <c r="C98" i="33"/>
  <c r="EX98" i="33" s="1"/>
  <c r="EX97" i="33"/>
  <c r="EX96" i="33"/>
  <c r="C96" i="33"/>
  <c r="EX95" i="33"/>
  <c r="EX94" i="33"/>
  <c r="EX93" i="33"/>
  <c r="EX92" i="33"/>
  <c r="C92" i="33"/>
  <c r="EX91" i="33"/>
  <c r="EX90" i="33"/>
  <c r="EX89" i="33"/>
  <c r="EX88" i="33"/>
  <c r="C88" i="33"/>
  <c r="C87" i="33"/>
  <c r="C86" i="33"/>
  <c r="EX86" i="33" s="1"/>
  <c r="EX85" i="33"/>
  <c r="C84" i="33"/>
  <c r="EX84" i="33" s="1"/>
  <c r="EX83" i="33"/>
  <c r="C83" i="33"/>
  <c r="EX82" i="33"/>
  <c r="EX81" i="33"/>
  <c r="EX80" i="33"/>
  <c r="EX79" i="33"/>
  <c r="C78" i="33"/>
  <c r="EX78" i="33" s="1"/>
  <c r="C77" i="33"/>
  <c r="EX77" i="33" s="1"/>
  <c r="C76" i="33"/>
  <c r="EX75" i="33"/>
  <c r="C75" i="33"/>
  <c r="EX74" i="33"/>
  <c r="C74" i="33"/>
  <c r="EX73" i="33"/>
  <c r="C72" i="33"/>
  <c r="EX72" i="33" s="1"/>
  <c r="C71" i="33"/>
  <c r="EX71" i="33" s="1"/>
  <c r="EX70" i="33"/>
  <c r="EX69" i="33"/>
  <c r="EX68" i="33"/>
  <c r="C67" i="33"/>
  <c r="EX67" i="33" s="1"/>
  <c r="EX66" i="33"/>
  <c r="EX65" i="33"/>
  <c r="D65" i="33"/>
  <c r="C65" i="33"/>
  <c r="EX64" i="33"/>
  <c r="EX63" i="33"/>
  <c r="EX62" i="33"/>
  <c r="EX61" i="33"/>
  <c r="BV61" i="33"/>
  <c r="BU61" i="33"/>
  <c r="BT61" i="33"/>
  <c r="BS61" i="33"/>
  <c r="BR61" i="33"/>
  <c r="BQ61" i="33"/>
  <c r="BP61" i="33"/>
  <c r="BO61" i="33"/>
  <c r="BN61" i="33"/>
  <c r="BM61" i="33"/>
  <c r="BL61" i="33"/>
  <c r="BK61" i="33"/>
  <c r="EX60" i="33"/>
  <c r="EX59" i="33"/>
  <c r="D58" i="33"/>
  <c r="C58" i="33"/>
  <c r="EX57" i="33"/>
  <c r="D56" i="33"/>
  <c r="C56" i="33"/>
  <c r="EX56" i="33" s="1"/>
  <c r="EX55" i="33"/>
  <c r="EX52" i="33"/>
  <c r="EX51" i="33"/>
  <c r="EX50" i="33"/>
  <c r="EX49" i="33"/>
  <c r="EX48" i="33"/>
  <c r="EX47" i="33"/>
  <c r="EX46" i="33"/>
  <c r="EX45" i="33"/>
  <c r="EX44" i="33"/>
  <c r="EX43" i="33"/>
  <c r="EX42" i="33"/>
  <c r="EX41" i="33"/>
  <c r="EX40" i="33"/>
  <c r="EX39" i="33"/>
  <c r="EX38" i="33"/>
  <c r="EX37" i="33"/>
  <c r="EX36" i="33"/>
  <c r="EX35" i="33"/>
  <c r="EX34" i="33"/>
  <c r="EX33" i="33"/>
  <c r="EX32" i="33"/>
  <c r="EX31" i="33"/>
  <c r="EX30" i="33"/>
  <c r="EX29" i="33"/>
  <c r="EX28" i="33"/>
  <c r="EX27" i="33"/>
  <c r="EX26" i="33"/>
  <c r="EX25" i="33"/>
  <c r="EX24" i="33"/>
  <c r="EX23" i="33"/>
  <c r="EX22" i="33"/>
  <c r="EX21" i="33"/>
  <c r="EX20" i="33"/>
  <c r="EX19" i="33"/>
  <c r="EX18" i="33"/>
  <c r="EX17" i="33"/>
  <c r="EX16" i="33"/>
  <c r="EX15" i="33"/>
  <c r="EX14" i="33"/>
  <c r="EX13" i="33"/>
  <c r="EX12" i="33"/>
  <c r="EX11" i="33"/>
  <c r="EX10" i="33"/>
  <c r="EX9" i="33"/>
  <c r="EX8" i="33"/>
  <c r="BX6" i="33" a="1"/>
  <c r="BX6" i="33" s="1"/>
  <c r="V6" i="33" a="1"/>
  <c r="V6" i="33" s="1"/>
  <c r="A6" i="33" a="1"/>
  <c r="A6" i="33" s="1"/>
  <c r="D5" i="33"/>
  <c r="D4" i="33"/>
  <c r="D3" i="33"/>
  <c r="A3" i="33" a="1"/>
  <c r="A3" i="33" l="1"/>
  <c r="Y2" i="33"/>
  <c r="X2" i="33"/>
  <c r="W2" i="33"/>
  <c r="V2" i="33"/>
  <c r="B2" i="33" a="1"/>
  <c r="B2" i="33" l="1"/>
  <c r="BX1" i="33"/>
  <c r="AA1" i="33"/>
  <c r="V1" i="33"/>
  <c r="D1" i="33"/>
  <c r="EW31" i="12"/>
  <c r="CX31" i="12"/>
  <c r="EW28" i="12"/>
  <c r="CP28" i="12"/>
  <c r="CM28" i="12"/>
  <c r="EW27" i="12"/>
  <c r="CU27" i="12"/>
  <c r="A27" i="12" s="1"/>
  <c r="CP27" i="12"/>
  <c r="CM27" i="12"/>
  <c r="AA27" i="12"/>
  <c r="EW26" i="12"/>
  <c r="CP26" i="12"/>
  <c r="CM26" i="12"/>
  <c r="EW25" i="12"/>
  <c r="EW24" i="12"/>
  <c r="EW23" i="12"/>
  <c r="EW22" i="12"/>
  <c r="EW21" i="12"/>
  <c r="EW20" i="12"/>
  <c r="EW19" i="12"/>
  <c r="EW18" i="12"/>
  <c r="EW17" i="12"/>
  <c r="C16" i="12"/>
  <c r="EW16" i="12" s="1"/>
  <c r="EW15" i="12"/>
  <c r="C15" i="12"/>
  <c r="EW14" i="12"/>
  <c r="C14" i="12"/>
  <c r="EW13" i="12"/>
  <c r="EW12" i="12"/>
  <c r="EW11" i="12"/>
  <c r="EW10" i="12"/>
  <c r="EW9" i="12"/>
  <c r="D9" i="12"/>
  <c r="EW8" i="12"/>
  <c r="BY6" i="12" a="1"/>
  <c r="BY6" i="12" s="1"/>
  <c r="A6" i="12" a="1"/>
  <c r="A6" i="12" s="1"/>
  <c r="D5" i="12"/>
  <c r="D4" i="12"/>
  <c r="D3" i="12"/>
  <c r="A3" i="12" a="1"/>
  <c r="A3" i="12" l="1"/>
  <c r="Y2" i="12"/>
  <c r="X2" i="12"/>
  <c r="W2" i="12"/>
  <c r="V2" i="12"/>
  <c r="B2" i="12" a="1"/>
  <c r="B2" i="12" l="1"/>
  <c r="BY1" i="12"/>
  <c r="AB1" i="12"/>
  <c r="V1" i="12"/>
  <c r="D1" i="12"/>
  <c r="EX66" i="32"/>
  <c r="EX65" i="32"/>
  <c r="EX64" i="32"/>
  <c r="EX63" i="32"/>
  <c r="EX62" i="32"/>
  <c r="EX61" i="32"/>
  <c r="EX60" i="32"/>
  <c r="EX59" i="32"/>
  <c r="EX58" i="32"/>
  <c r="CT58" i="32"/>
  <c r="CS58" i="32"/>
  <c r="CR58" i="32"/>
  <c r="CQ58" i="32"/>
  <c r="EX57" i="32"/>
  <c r="EX56" i="32"/>
  <c r="EX55" i="32"/>
  <c r="EX54" i="32"/>
  <c r="EX53" i="32"/>
  <c r="EX52" i="32"/>
  <c r="EX51" i="32"/>
  <c r="EX50" i="32"/>
  <c r="EX49" i="32"/>
  <c r="CQ49" i="32"/>
  <c r="EX48" i="32"/>
  <c r="EX47" i="32"/>
  <c r="EX46" i="32"/>
  <c r="EX44" i="32"/>
  <c r="EX42" i="32"/>
  <c r="EX41" i="32"/>
  <c r="EX40" i="32"/>
  <c r="EX39" i="32"/>
  <c r="EX38" i="32"/>
  <c r="EX36" i="32"/>
  <c r="EX35" i="32"/>
  <c r="EX34" i="32"/>
  <c r="EX33" i="32"/>
  <c r="EX32" i="32"/>
  <c r="EX31" i="32"/>
  <c r="EX30" i="32"/>
  <c r="EX29" i="32"/>
  <c r="EX28" i="32"/>
  <c r="C27" i="32"/>
  <c r="EX27" i="32" s="1"/>
  <c r="EX26" i="32"/>
  <c r="EX25" i="32"/>
  <c r="EX23" i="32"/>
  <c r="EX22" i="32"/>
  <c r="EX21" i="32"/>
  <c r="EX20" i="32"/>
  <c r="EX19" i="32"/>
  <c r="EX18" i="32"/>
  <c r="EX17" i="32"/>
  <c r="EX16" i="32"/>
  <c r="EX15" i="32"/>
  <c r="EX14" i="32"/>
  <c r="EX13" i="32"/>
  <c r="EX12" i="32"/>
  <c r="EX11" i="32"/>
  <c r="EX10" i="32"/>
  <c r="EX9" i="32"/>
  <c r="EX8" i="32"/>
  <c r="BX6" i="32" a="1"/>
  <c r="BX6" i="32" s="1"/>
  <c r="V6" i="32" a="1"/>
  <c r="V6" i="32" s="1"/>
  <c r="A6" i="32" a="1"/>
  <c r="A6" i="32" s="1"/>
  <c r="D5" i="32"/>
  <c r="D4" i="32"/>
  <c r="D3" i="32"/>
  <c r="A3" i="32" a="1"/>
  <c r="CN58" i="32" l="1"/>
  <c r="A58" i="32" s="1" a="1"/>
  <c r="A58" i="32" s="1"/>
  <c r="A3" i="32"/>
  <c r="Y2" i="32"/>
  <c r="X2" i="32"/>
  <c r="W2" i="32"/>
  <c r="V2" i="32"/>
  <c r="B2" i="32" a="1"/>
  <c r="B2" i="32" l="1"/>
  <c r="BX1" i="32"/>
  <c r="AA1" i="32"/>
  <c r="V1" i="32"/>
  <c r="D1" i="32"/>
  <c r="CI216" i="30"/>
  <c r="CH216" i="30"/>
  <c r="CG216" i="30"/>
  <c r="CF216" i="30"/>
  <c r="CE216" i="30"/>
  <c r="CD216" i="30"/>
  <c r="CC216" i="30"/>
  <c r="CB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A216" i="30" a="1"/>
  <c r="A216" i="30" s="1"/>
  <c r="CI215" i="30"/>
  <c r="CH215" i="30"/>
  <c r="CG215" i="30"/>
  <c r="CF215" i="30"/>
  <c r="CE215" i="30"/>
  <c r="CD215" i="30"/>
  <c r="CC215" i="30"/>
  <c r="CB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A215" i="30" a="1"/>
  <c r="A215" i="30" s="1"/>
  <c r="A214" i="30" a="1"/>
  <c r="A214" i="30" s="1"/>
  <c r="EX212" i="30"/>
  <c r="V212" i="30"/>
  <c r="EX211" i="30"/>
  <c r="EX210" i="30"/>
  <c r="EX209" i="30"/>
  <c r="EX208" i="30"/>
  <c r="EX207" i="30"/>
  <c r="EX206" i="30"/>
  <c r="EX205" i="30"/>
  <c r="CI205" i="30"/>
  <c r="CI87" i="33" s="1"/>
  <c r="CH205" i="30"/>
  <c r="CH87" i="33" s="1"/>
  <c r="CG205" i="30"/>
  <c r="CG87" i="33" s="1"/>
  <c r="CF205" i="30"/>
  <c r="CF87" i="33" s="1"/>
  <c r="CE205" i="30"/>
  <c r="CE87" i="33" s="1"/>
  <c r="CD205" i="30"/>
  <c r="CD87" i="33" s="1"/>
  <c r="CC205" i="30"/>
  <c r="CC87" i="33" s="1"/>
  <c r="CB205" i="30"/>
  <c r="CB87" i="33" s="1"/>
  <c r="BJ205" i="30"/>
  <c r="BJ87" i="33" s="1"/>
  <c r="BI205" i="30"/>
  <c r="BI87" i="33" s="1"/>
  <c r="BH205" i="30"/>
  <c r="BH87" i="33" s="1"/>
  <c r="BG205" i="30"/>
  <c r="BG87" i="33" s="1"/>
  <c r="BF205" i="30"/>
  <c r="BF87" i="33" s="1"/>
  <c r="BE205" i="30"/>
  <c r="BE87" i="33" s="1"/>
  <c r="BD205" i="30"/>
  <c r="BD87" i="33" s="1"/>
  <c r="BC205" i="30"/>
  <c r="BC87" i="33" s="1"/>
  <c r="BB205" i="30"/>
  <c r="BB87" i="33" s="1"/>
  <c r="BA205" i="30"/>
  <c r="BA87" i="33" s="1"/>
  <c r="AZ205" i="30"/>
  <c r="AZ87" i="33" s="1"/>
  <c r="AY205" i="30"/>
  <c r="AY87" i="33" s="1"/>
  <c r="AX205" i="30"/>
  <c r="AX87" i="33" s="1"/>
  <c r="AW205" i="30"/>
  <c r="AW87" i="33" s="1"/>
  <c r="AV205" i="30"/>
  <c r="AV87" i="33" s="1"/>
  <c r="AU205" i="30"/>
  <c r="AU87" i="33" s="1"/>
  <c r="AT205" i="30"/>
  <c r="AT87" i="33" s="1"/>
  <c r="AS205" i="30"/>
  <c r="AS87" i="33" s="1"/>
  <c r="AR205" i="30"/>
  <c r="AR87" i="33" s="1"/>
  <c r="AQ205" i="30"/>
  <c r="AQ87" i="33" s="1"/>
  <c r="AP205" i="30"/>
  <c r="AP87" i="33" s="1"/>
  <c r="AO205" i="30"/>
  <c r="AO87" i="33" s="1"/>
  <c r="AN205" i="30"/>
  <c r="AN87" i="33" s="1"/>
  <c r="AM205" i="30"/>
  <c r="AM87" i="33" s="1"/>
  <c r="AL205" i="30"/>
  <c r="AL87" i="33" s="1"/>
  <c r="AK205" i="30"/>
  <c r="AK87" i="33" s="1"/>
  <c r="AJ205" i="30"/>
  <c r="AJ87" i="33" s="1"/>
  <c r="AI205" i="30"/>
  <c r="AI87" i="33" s="1"/>
  <c r="AH205" i="30"/>
  <c r="AH87" i="33" s="1"/>
  <c r="AG205" i="30"/>
  <c r="AG87" i="33" s="1"/>
  <c r="AF205" i="30"/>
  <c r="AF87" i="33" s="1"/>
  <c r="AE205" i="30"/>
  <c r="AE87" i="33" s="1"/>
  <c r="AD205" i="30"/>
  <c r="AD87" i="33" s="1"/>
  <c r="AC205" i="30"/>
  <c r="AC87" i="33" s="1"/>
  <c r="AB205" i="30"/>
  <c r="AB87" i="33" s="1"/>
  <c r="AA205" i="30"/>
  <c r="AA87" i="33" s="1"/>
  <c r="V205" i="30"/>
  <c r="V87" i="33" s="1"/>
  <c r="E39" i="50" s="1"/>
  <c r="E205" i="30" a="1"/>
  <c r="V119" i="13" l="1"/>
  <c r="V96" i="33"/>
  <c r="BX212" i="30"/>
  <c r="V214" i="30"/>
  <c r="W211" i="30"/>
  <c r="E205" i="30"/>
  <c r="EX204" i="30"/>
  <c r="CI204" i="30"/>
  <c r="CI86" i="33" s="1"/>
  <c r="CH204" i="30"/>
  <c r="CH86" i="33" s="1"/>
  <c r="CG204" i="30"/>
  <c r="CG86" i="33" s="1"/>
  <c r="CF204" i="30"/>
  <c r="CF86" i="33" s="1"/>
  <c r="CE204" i="30"/>
  <c r="CE86" i="33" s="1"/>
  <c r="CD204" i="30"/>
  <c r="CD86" i="33" s="1"/>
  <c r="CC204" i="30"/>
  <c r="CC86" i="33" s="1"/>
  <c r="CB204" i="30"/>
  <c r="CB86" i="33" s="1"/>
  <c r="BJ204" i="30"/>
  <c r="BJ86" i="33" s="1"/>
  <c r="BI204" i="30"/>
  <c r="BI86" i="33" s="1"/>
  <c r="BH204" i="30"/>
  <c r="BH86" i="33" s="1"/>
  <c r="BG204" i="30"/>
  <c r="BG86" i="33" s="1"/>
  <c r="BF204" i="30"/>
  <c r="BF86" i="33" s="1"/>
  <c r="BE204" i="30"/>
  <c r="BE86" i="33" s="1"/>
  <c r="BD204" i="30"/>
  <c r="BD86" i="33" s="1"/>
  <c r="BC204" i="30"/>
  <c r="BC86" i="33" s="1"/>
  <c r="BB204" i="30"/>
  <c r="BB86" i="33" s="1"/>
  <c r="BA204" i="30"/>
  <c r="BA86" i="33" s="1"/>
  <c r="AZ204" i="30"/>
  <c r="AZ86" i="33" s="1"/>
  <c r="AY204" i="30"/>
  <c r="AY86" i="33" s="1"/>
  <c r="AX204" i="30"/>
  <c r="AX86" i="33" s="1"/>
  <c r="AW204" i="30"/>
  <c r="AW86" i="33" s="1"/>
  <c r="AV204" i="30"/>
  <c r="AV86" i="33" s="1"/>
  <c r="AU204" i="30"/>
  <c r="AU86" i="33" s="1"/>
  <c r="AT204" i="30"/>
  <c r="AT86" i="33" s="1"/>
  <c r="AS204" i="30"/>
  <c r="AS86" i="33" s="1"/>
  <c r="AR204" i="30"/>
  <c r="AR86" i="33" s="1"/>
  <c r="AQ204" i="30"/>
  <c r="AQ86" i="33" s="1"/>
  <c r="AP204" i="30"/>
  <c r="AP86" i="33" s="1"/>
  <c r="AO204" i="30"/>
  <c r="AO86" i="33" s="1"/>
  <c r="AN204" i="30"/>
  <c r="AN86" i="33" s="1"/>
  <c r="AM204" i="30"/>
  <c r="AM86" i="33" s="1"/>
  <c r="AL204" i="30"/>
  <c r="AL86" i="33" s="1"/>
  <c r="AK204" i="30"/>
  <c r="AK86" i="33" s="1"/>
  <c r="AJ204" i="30"/>
  <c r="AJ86" i="33" s="1"/>
  <c r="AI204" i="30"/>
  <c r="AI86" i="33" s="1"/>
  <c r="AH204" i="30"/>
  <c r="AH86" i="33" s="1"/>
  <c r="AG204" i="30"/>
  <c r="AG86" i="33" s="1"/>
  <c r="AF204" i="30"/>
  <c r="AF86" i="33" s="1"/>
  <c r="AE204" i="30"/>
  <c r="AE86" i="33" s="1"/>
  <c r="AD204" i="30"/>
  <c r="AD86" i="33" s="1"/>
  <c r="AC204" i="30"/>
  <c r="AC86" i="33" s="1"/>
  <c r="AB204" i="30"/>
  <c r="AB86" i="33" s="1"/>
  <c r="AA204" i="30"/>
  <c r="AA86" i="33" s="1"/>
  <c r="V204" i="30"/>
  <c r="V86" i="33" s="1"/>
  <c r="E38" i="50" s="1"/>
  <c r="E204" i="30" a="1"/>
  <c r="W117" i="13" l="1"/>
  <c r="AA211" i="30"/>
  <c r="BX96" i="33"/>
  <c r="BX101" i="33" s="1"/>
  <c r="BY211" i="30"/>
  <c r="BX214" i="30"/>
  <c r="E44" i="50"/>
  <c r="V101" i="33"/>
  <c r="E204" i="30"/>
  <c r="E203" i="30" a="1"/>
  <c r="L44" i="50" l="1"/>
  <c r="M44" i="50" s="1"/>
  <c r="N44" i="50" s="1"/>
  <c r="E203" i="30"/>
  <c r="D203" i="30"/>
  <c r="EX203" i="30" s="1"/>
  <c r="E202" i="30" a="1"/>
  <c r="E202" i="30" l="1"/>
  <c r="D202" i="30"/>
  <c r="EX202" i="30" s="1"/>
  <c r="EX201" i="30"/>
  <c r="E201" i="30" a="1"/>
  <c r="E201" i="30" l="1"/>
  <c r="EX200" i="30"/>
  <c r="CI200" i="30"/>
  <c r="CI83" i="33" s="1"/>
  <c r="CH200" i="30"/>
  <c r="CH83" i="33" s="1"/>
  <c r="CG200" i="30"/>
  <c r="CG83" i="33" s="1"/>
  <c r="CF200" i="30"/>
  <c r="CF83" i="33" s="1"/>
  <c r="CE200" i="30"/>
  <c r="CE83" i="33" s="1"/>
  <c r="CD200" i="30"/>
  <c r="CD83" i="33" s="1"/>
  <c r="CC200" i="30"/>
  <c r="CC83" i="33" s="1"/>
  <c r="CB200" i="30"/>
  <c r="CB83" i="33" s="1"/>
  <c r="BJ200" i="30"/>
  <c r="BJ83" i="33" s="1"/>
  <c r="BI200" i="30"/>
  <c r="BI83" i="33" s="1"/>
  <c r="BH200" i="30"/>
  <c r="BH83" i="33" s="1"/>
  <c r="BG200" i="30"/>
  <c r="BG83" i="33" s="1"/>
  <c r="BF200" i="30"/>
  <c r="BF83" i="33" s="1"/>
  <c r="BE200" i="30"/>
  <c r="BE83" i="33" s="1"/>
  <c r="BD200" i="30"/>
  <c r="BD83" i="33" s="1"/>
  <c r="BC200" i="30"/>
  <c r="BC83" i="33" s="1"/>
  <c r="BB200" i="30"/>
  <c r="BB83" i="33" s="1"/>
  <c r="BA200" i="30"/>
  <c r="BA83" i="33" s="1"/>
  <c r="AZ200" i="30"/>
  <c r="AZ83" i="33" s="1"/>
  <c r="AY200" i="30"/>
  <c r="AY83" i="33" s="1"/>
  <c r="AX200" i="30"/>
  <c r="AX83" i="33" s="1"/>
  <c r="AW200" i="30"/>
  <c r="AW83" i="33" s="1"/>
  <c r="AV200" i="30"/>
  <c r="AV83" i="33" s="1"/>
  <c r="AU200" i="30"/>
  <c r="AU83" i="33" s="1"/>
  <c r="AT200" i="30"/>
  <c r="AT83" i="33" s="1"/>
  <c r="AS200" i="30"/>
  <c r="AS83" i="33" s="1"/>
  <c r="AR200" i="30"/>
  <c r="AR83" i="33" s="1"/>
  <c r="AQ200" i="30"/>
  <c r="AQ83" i="33" s="1"/>
  <c r="AP200" i="30"/>
  <c r="AP83" i="33" s="1"/>
  <c r="AO200" i="30"/>
  <c r="AO83" i="33" s="1"/>
  <c r="AN200" i="30"/>
  <c r="AN83" i="33" s="1"/>
  <c r="AM200" i="30"/>
  <c r="AM83" i="33" s="1"/>
  <c r="AL200" i="30"/>
  <c r="AL83" i="33" s="1"/>
  <c r="AK200" i="30"/>
  <c r="AK83" i="33" s="1"/>
  <c r="AJ200" i="30"/>
  <c r="AJ83" i="33" s="1"/>
  <c r="AI200" i="30"/>
  <c r="AI83" i="33" s="1"/>
  <c r="AH200" i="30"/>
  <c r="AH83" i="33" s="1"/>
  <c r="AG200" i="30"/>
  <c r="AG83" i="33" s="1"/>
  <c r="AF200" i="30"/>
  <c r="AF83" i="33" s="1"/>
  <c r="AE200" i="30"/>
  <c r="AE83" i="33" s="1"/>
  <c r="AD200" i="30"/>
  <c r="AD83" i="33" s="1"/>
  <c r="AC200" i="30"/>
  <c r="AC83" i="33" s="1"/>
  <c r="AB200" i="30"/>
  <c r="AB83" i="33" s="1"/>
  <c r="AA200" i="30"/>
  <c r="AA83" i="33" s="1"/>
  <c r="V200" i="30"/>
  <c r="V83" i="33" s="1"/>
  <c r="E35" i="50" s="1"/>
  <c r="E200" i="30" a="1"/>
  <c r="E200" i="30" l="1"/>
  <c r="EX199" i="30"/>
  <c r="E199" i="30" a="1"/>
  <c r="E199" i="30" l="1"/>
  <c r="EX198" i="30"/>
  <c r="E198" i="30" a="1"/>
  <c r="E198" i="30" l="1"/>
  <c r="EX197" i="30"/>
  <c r="EX196" i="30"/>
  <c r="EX195" i="30"/>
  <c r="EX194" i="30"/>
  <c r="E194" i="30" a="1"/>
  <c r="E194" i="30" l="1"/>
  <c r="EX193" i="30"/>
  <c r="CI193" i="30"/>
  <c r="CI76" i="33" s="1"/>
  <c r="CH193" i="30"/>
  <c r="CH76" i="33" s="1"/>
  <c r="CG193" i="30"/>
  <c r="CG76" i="33" s="1"/>
  <c r="CF193" i="30"/>
  <c r="CF76" i="33" s="1"/>
  <c r="CE193" i="30"/>
  <c r="CE76" i="33" s="1"/>
  <c r="CD193" i="30"/>
  <c r="CD76" i="33" s="1"/>
  <c r="CC193" i="30"/>
  <c r="CC76" i="33" s="1"/>
  <c r="CB193" i="30"/>
  <c r="CB76" i="33" s="1"/>
  <c r="BJ193" i="30"/>
  <c r="BJ76" i="33" s="1"/>
  <c r="BI193" i="30"/>
  <c r="BI76" i="33" s="1"/>
  <c r="BH193" i="30"/>
  <c r="BH76" i="33" s="1"/>
  <c r="BG193" i="30"/>
  <c r="BG76" i="33" s="1"/>
  <c r="BF193" i="30"/>
  <c r="BF76" i="33" s="1"/>
  <c r="BE193" i="30"/>
  <c r="BE76" i="33" s="1"/>
  <c r="BD193" i="30"/>
  <c r="BD76" i="33" s="1"/>
  <c r="BC193" i="30"/>
  <c r="BC76" i="33" s="1"/>
  <c r="BB193" i="30"/>
  <c r="BB76" i="33" s="1"/>
  <c r="BA193" i="30"/>
  <c r="BA76" i="33" s="1"/>
  <c r="AZ193" i="30"/>
  <c r="AZ76" i="33" s="1"/>
  <c r="AY193" i="30"/>
  <c r="AY76" i="33" s="1"/>
  <c r="AX193" i="30"/>
  <c r="AX76" i="33" s="1"/>
  <c r="AW193" i="30"/>
  <c r="AW76" i="33" s="1"/>
  <c r="AV193" i="30"/>
  <c r="AV76" i="33" s="1"/>
  <c r="AU193" i="30"/>
  <c r="AU76" i="33" s="1"/>
  <c r="AT193" i="30"/>
  <c r="AT76" i="33" s="1"/>
  <c r="AS193" i="30"/>
  <c r="AS76" i="33" s="1"/>
  <c r="AR193" i="30"/>
  <c r="AR76" i="33" s="1"/>
  <c r="AQ193" i="30"/>
  <c r="AQ76" i="33" s="1"/>
  <c r="AP193" i="30"/>
  <c r="AP76" i="33" s="1"/>
  <c r="AO193" i="30"/>
  <c r="AO76" i="33" s="1"/>
  <c r="AN193" i="30"/>
  <c r="AN76" i="33" s="1"/>
  <c r="AM193" i="30"/>
  <c r="AM76" i="33" s="1"/>
  <c r="AL193" i="30"/>
  <c r="AL76" i="33" s="1"/>
  <c r="AK193" i="30"/>
  <c r="AK76" i="33" s="1"/>
  <c r="AJ193" i="30"/>
  <c r="AJ76" i="33" s="1"/>
  <c r="AI193" i="30"/>
  <c r="AI76" i="33" s="1"/>
  <c r="AH193" i="30"/>
  <c r="AH76" i="33" s="1"/>
  <c r="AG193" i="30"/>
  <c r="AG76" i="33" s="1"/>
  <c r="AF193" i="30"/>
  <c r="AF76" i="33" s="1"/>
  <c r="AE193" i="30"/>
  <c r="AE76" i="33" s="1"/>
  <c r="AD193" i="30"/>
  <c r="AD76" i="33" s="1"/>
  <c r="AC193" i="30"/>
  <c r="AC76" i="33" s="1"/>
  <c r="AB193" i="30"/>
  <c r="AB76" i="33" s="1"/>
  <c r="AA193" i="30"/>
  <c r="AA76" i="33" s="1"/>
  <c r="E193" i="30" a="1"/>
  <c r="E193" i="30" l="1"/>
  <c r="EX192" i="30"/>
  <c r="CI192" i="30"/>
  <c r="CI75" i="33" s="1"/>
  <c r="CH192" i="30"/>
  <c r="CH75" i="33" s="1"/>
  <c r="CG192" i="30"/>
  <c r="CG75" i="33" s="1"/>
  <c r="CF192" i="30"/>
  <c r="CF75" i="33" s="1"/>
  <c r="CE192" i="30"/>
  <c r="CE75" i="33" s="1"/>
  <c r="CD192" i="30"/>
  <c r="CD75" i="33" s="1"/>
  <c r="CC192" i="30"/>
  <c r="CC75" i="33" s="1"/>
  <c r="CB192" i="30"/>
  <c r="CB75" i="33" s="1"/>
  <c r="BJ192" i="30"/>
  <c r="BJ75" i="33" s="1"/>
  <c r="BI192" i="30"/>
  <c r="BI75" i="33" s="1"/>
  <c r="BH192" i="30"/>
  <c r="BH75" i="33" s="1"/>
  <c r="BG192" i="30"/>
  <c r="BG75" i="33" s="1"/>
  <c r="BF192" i="30"/>
  <c r="BF75" i="33" s="1"/>
  <c r="BE192" i="30"/>
  <c r="BE75" i="33" s="1"/>
  <c r="BD192" i="30"/>
  <c r="BD75" i="33" s="1"/>
  <c r="BC192" i="30"/>
  <c r="BC75" i="33" s="1"/>
  <c r="BB192" i="30"/>
  <c r="BB75" i="33" s="1"/>
  <c r="BA192" i="30"/>
  <c r="BA75" i="33" s="1"/>
  <c r="AZ192" i="30"/>
  <c r="AZ75" i="33" s="1"/>
  <c r="AY192" i="30"/>
  <c r="AY75" i="33" s="1"/>
  <c r="AX192" i="30"/>
  <c r="AX75" i="33" s="1"/>
  <c r="AW192" i="30"/>
  <c r="AW75" i="33" s="1"/>
  <c r="AV192" i="30"/>
  <c r="AV75" i="33" s="1"/>
  <c r="AU192" i="30"/>
  <c r="AU75" i="33" s="1"/>
  <c r="AT192" i="30"/>
  <c r="AT75" i="33" s="1"/>
  <c r="AS192" i="30"/>
  <c r="AS75" i="33" s="1"/>
  <c r="AR192" i="30"/>
  <c r="AR75" i="33" s="1"/>
  <c r="AQ192" i="30"/>
  <c r="AQ75" i="33" s="1"/>
  <c r="AP192" i="30"/>
  <c r="AP75" i="33" s="1"/>
  <c r="AO192" i="30"/>
  <c r="AO75" i="33" s="1"/>
  <c r="AN192" i="30"/>
  <c r="AN75" i="33" s="1"/>
  <c r="AM192" i="30"/>
  <c r="AM75" i="33" s="1"/>
  <c r="AL192" i="30"/>
  <c r="AL75" i="33" s="1"/>
  <c r="AK192" i="30"/>
  <c r="AK75" i="33" s="1"/>
  <c r="AJ192" i="30"/>
  <c r="AJ75" i="33" s="1"/>
  <c r="AI192" i="30"/>
  <c r="AI75" i="33" s="1"/>
  <c r="AH192" i="30"/>
  <c r="AH75" i="33" s="1"/>
  <c r="AG192" i="30"/>
  <c r="AG75" i="33" s="1"/>
  <c r="AF192" i="30"/>
  <c r="AF75" i="33" s="1"/>
  <c r="AE192" i="30"/>
  <c r="AE75" i="33" s="1"/>
  <c r="AD192" i="30"/>
  <c r="AD75" i="33" s="1"/>
  <c r="AC192" i="30"/>
  <c r="AC75" i="33" s="1"/>
  <c r="AB192" i="30"/>
  <c r="AB75" i="33" s="1"/>
  <c r="AA192" i="30"/>
  <c r="AA75" i="33" s="1"/>
  <c r="V192" i="30"/>
  <c r="V75" i="33" s="1"/>
  <c r="E29" i="50" s="1"/>
  <c r="H192" i="30" a="1"/>
  <c r="H192" i="30" l="1"/>
  <c r="G192" i="30" a="1"/>
  <c r="G192" i="30" l="1"/>
  <c r="F192" i="30" a="1"/>
  <c r="F192" i="30" l="1"/>
  <c r="E192" i="30" a="1"/>
  <c r="E192" i="30" l="1"/>
  <c r="EX191" i="30"/>
  <c r="CI191" i="30"/>
  <c r="CI74" i="33" s="1"/>
  <c r="CH191" i="30"/>
  <c r="CH74" i="33" s="1"/>
  <c r="CG191" i="30"/>
  <c r="CG74" i="33" s="1"/>
  <c r="CF191" i="30"/>
  <c r="CF74" i="33" s="1"/>
  <c r="CE191" i="30"/>
  <c r="CE74" i="33" s="1"/>
  <c r="CD191" i="30"/>
  <c r="CD74" i="33" s="1"/>
  <c r="CC191" i="30"/>
  <c r="CC74" i="33" s="1"/>
  <c r="BJ191" i="30"/>
  <c r="BJ74" i="33" s="1"/>
  <c r="BI191" i="30"/>
  <c r="BI74" i="33" s="1"/>
  <c r="BH191" i="30"/>
  <c r="BH74" i="33" s="1"/>
  <c r="BG191" i="30"/>
  <c r="BG74" i="33" s="1"/>
  <c r="BF191" i="30"/>
  <c r="BF74" i="33" s="1"/>
  <c r="BE191" i="30"/>
  <c r="BE74" i="33" s="1"/>
  <c r="BD191" i="30"/>
  <c r="BD74" i="33" s="1"/>
  <c r="BC191" i="30"/>
  <c r="BC74" i="33" s="1"/>
  <c r="BB191" i="30"/>
  <c r="BB74" i="33" s="1"/>
  <c r="BA191" i="30"/>
  <c r="BA74" i="33" s="1"/>
  <c r="AZ191" i="30"/>
  <c r="AZ74" i="33" s="1"/>
  <c r="AY191" i="30"/>
  <c r="AY74" i="33" s="1"/>
  <c r="AX191" i="30"/>
  <c r="AX74" i="33" s="1"/>
  <c r="AW191" i="30"/>
  <c r="AW74" i="33" s="1"/>
  <c r="AV191" i="30"/>
  <c r="AV74" i="33" s="1"/>
  <c r="AU191" i="30"/>
  <c r="AU74" i="33" s="1"/>
  <c r="AT191" i="30"/>
  <c r="AT74" i="33" s="1"/>
  <c r="AS191" i="30"/>
  <c r="AS74" i="33" s="1"/>
  <c r="AR191" i="30"/>
  <c r="AR74" i="33" s="1"/>
  <c r="AQ191" i="30"/>
  <c r="AQ74" i="33" s="1"/>
  <c r="AP191" i="30"/>
  <c r="AP74" i="33" s="1"/>
  <c r="AO191" i="30"/>
  <c r="AO74" i="33" s="1"/>
  <c r="AN191" i="30"/>
  <c r="AN74" i="33" s="1"/>
  <c r="AM191" i="30"/>
  <c r="AM74" i="33" s="1"/>
  <c r="AL191" i="30"/>
  <c r="AL74" i="33" s="1"/>
  <c r="AK191" i="30"/>
  <c r="AK74" i="33" s="1"/>
  <c r="AJ191" i="30"/>
  <c r="AJ74" i="33" s="1"/>
  <c r="AI191" i="30"/>
  <c r="AI74" i="33" s="1"/>
  <c r="AH191" i="30"/>
  <c r="AH74" i="33" s="1"/>
  <c r="AG191" i="30"/>
  <c r="AG74" i="33" s="1"/>
  <c r="AF191" i="30"/>
  <c r="AF74" i="33" s="1"/>
  <c r="AE191" i="30"/>
  <c r="AE74" i="33" s="1"/>
  <c r="AD191" i="30"/>
  <c r="AD74" i="33" s="1"/>
  <c r="AC191" i="30"/>
  <c r="AC74" i="33" s="1"/>
  <c r="AB191" i="30"/>
  <c r="AB74" i="33" s="1"/>
  <c r="E191" i="30" a="1"/>
  <c r="E191" i="30" l="1"/>
  <c r="EX190" i="30"/>
  <c r="E190" i="30" a="1"/>
  <c r="E190" i="30" l="1"/>
  <c r="EX189" i="30"/>
  <c r="CI189" i="30"/>
  <c r="CH189" i="30"/>
  <c r="CG189" i="30"/>
  <c r="CF189" i="30"/>
  <c r="CE189" i="30"/>
  <c r="CD189" i="30"/>
  <c r="CC189" i="30"/>
  <c r="CB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V189" i="30"/>
  <c r="EX188" i="30"/>
  <c r="G188" i="30" a="1"/>
  <c r="G188" i="30" l="1"/>
  <c r="F188" i="30" a="1"/>
  <c r="F188" i="30" l="1"/>
  <c r="E188" i="30" a="1"/>
  <c r="E188" i="30" l="1"/>
  <c r="EX187" i="30"/>
  <c r="G187" i="30" a="1"/>
  <c r="G187" i="30" l="1"/>
  <c r="F187" i="30" a="1"/>
  <c r="F187" i="30" l="1"/>
  <c r="E187" i="30" a="1"/>
  <c r="E187" i="30" l="1"/>
  <c r="EX186" i="30"/>
  <c r="G186" i="30" a="1"/>
  <c r="G186" i="30" l="1"/>
  <c r="F186" i="30" a="1"/>
  <c r="F186" i="30" l="1"/>
  <c r="E186" i="30" a="1"/>
  <c r="E186" i="30" l="1"/>
  <c r="EX185" i="30"/>
  <c r="G185" i="30" a="1"/>
  <c r="G185" i="30" l="1"/>
  <c r="F185" i="30" a="1"/>
  <c r="F185" i="30" l="1"/>
  <c r="E185" i="30" a="1"/>
  <c r="E185" i="30" l="1"/>
  <c r="EX184" i="30"/>
  <c r="CI184" i="30"/>
  <c r="CI72" i="33" s="1"/>
  <c r="CH184" i="30"/>
  <c r="CH72" i="33" s="1"/>
  <c r="CG184" i="30"/>
  <c r="CG72" i="33" s="1"/>
  <c r="CF184" i="30"/>
  <c r="CF72" i="33" s="1"/>
  <c r="CE184" i="30"/>
  <c r="CE72" i="33" s="1"/>
  <c r="CD184" i="30"/>
  <c r="CD72" i="33" s="1"/>
  <c r="CC184" i="30"/>
  <c r="CC72" i="33" s="1"/>
  <c r="CB184" i="30"/>
  <c r="CB72" i="33" s="1"/>
  <c r="BJ184" i="30"/>
  <c r="BJ72" i="33" s="1"/>
  <c r="BI184" i="30"/>
  <c r="BI72" i="33" s="1"/>
  <c r="BH184" i="30"/>
  <c r="BH72" i="33" s="1"/>
  <c r="BG184" i="30"/>
  <c r="BG72" i="33" s="1"/>
  <c r="BF184" i="30"/>
  <c r="BF72" i="33" s="1"/>
  <c r="BE184" i="30"/>
  <c r="BE72" i="33" s="1"/>
  <c r="BD184" i="30"/>
  <c r="BD72" i="33" s="1"/>
  <c r="BC184" i="30"/>
  <c r="BC72" i="33" s="1"/>
  <c r="BB184" i="30"/>
  <c r="BB72" i="33" s="1"/>
  <c r="BA184" i="30"/>
  <c r="BA72" i="33" s="1"/>
  <c r="AZ184" i="30"/>
  <c r="AZ72" i="33" s="1"/>
  <c r="AY184" i="30"/>
  <c r="AY72" i="33" s="1"/>
  <c r="AX184" i="30"/>
  <c r="AX72" i="33" s="1"/>
  <c r="AW184" i="30"/>
  <c r="AW72" i="33" s="1"/>
  <c r="AV184" i="30"/>
  <c r="AV72" i="33" s="1"/>
  <c r="AU184" i="30"/>
  <c r="AU72" i="33" s="1"/>
  <c r="AT184" i="30"/>
  <c r="AT72" i="33" s="1"/>
  <c r="AS184" i="30"/>
  <c r="AS72" i="33" s="1"/>
  <c r="AR184" i="30"/>
  <c r="AR72" i="33" s="1"/>
  <c r="AQ184" i="30"/>
  <c r="AQ72" i="33" s="1"/>
  <c r="AP184" i="30"/>
  <c r="AP72" i="33" s="1"/>
  <c r="AO184" i="30"/>
  <c r="AO72" i="33" s="1"/>
  <c r="AN184" i="30"/>
  <c r="AN72" i="33" s="1"/>
  <c r="AM184" i="30"/>
  <c r="AM72" i="33" s="1"/>
  <c r="AL184" i="30"/>
  <c r="AL72" i="33" s="1"/>
  <c r="AK184" i="30"/>
  <c r="AK72" i="33" s="1"/>
  <c r="AJ184" i="30"/>
  <c r="AJ72" i="33" s="1"/>
  <c r="AI184" i="30"/>
  <c r="AI72" i="33" s="1"/>
  <c r="AH184" i="30"/>
  <c r="AH72" i="33" s="1"/>
  <c r="AG184" i="30"/>
  <c r="AG72" i="33" s="1"/>
  <c r="AF184" i="30"/>
  <c r="AF72" i="33" s="1"/>
  <c r="AE184" i="30"/>
  <c r="AE72" i="33" s="1"/>
  <c r="AD184" i="30"/>
  <c r="AD72" i="33" s="1"/>
  <c r="AC184" i="30"/>
  <c r="AC72" i="33" s="1"/>
  <c r="AB184" i="30"/>
  <c r="AB72" i="33" s="1"/>
  <c r="AA184" i="30"/>
  <c r="AA72" i="33" s="1"/>
  <c r="V184" i="30"/>
  <c r="V72" i="33" s="1"/>
  <c r="E26" i="50" s="1"/>
  <c r="E184" i="30" a="1"/>
  <c r="E184" i="30" l="1"/>
  <c r="EX183" i="30"/>
  <c r="BV183" i="30"/>
  <c r="BU183" i="30"/>
  <c r="BT183" i="30"/>
  <c r="BS183" i="30"/>
  <c r="BR183" i="30"/>
  <c r="BQ183" i="30"/>
  <c r="BP183" i="30"/>
  <c r="BO183" i="30"/>
  <c r="BN183" i="30"/>
  <c r="BM183" i="30"/>
  <c r="BL183" i="30"/>
  <c r="BK183" i="30"/>
  <c r="E183" i="30" a="1"/>
  <c r="E183" i="30" l="1"/>
  <c r="EX182" i="30"/>
  <c r="EX181" i="30"/>
  <c r="EX180" i="30"/>
  <c r="EX179" i="30"/>
  <c r="G179" i="30" a="1"/>
  <c r="G179" i="30" l="1"/>
  <c r="F179" i="30" a="1"/>
  <c r="F179" i="30" l="1"/>
  <c r="E179" i="30" a="1"/>
  <c r="E179" i="30" l="1"/>
  <c r="EX178" i="30"/>
  <c r="EX177" i="30"/>
  <c r="EX176" i="30"/>
  <c r="EX175" i="30"/>
  <c r="E175" i="30" a="1"/>
  <c r="E175" i="30" l="1"/>
  <c r="EX174" i="30"/>
  <c r="CI174" i="30"/>
  <c r="CH174" i="30"/>
  <c r="CG174" i="30"/>
  <c r="CF174" i="30"/>
  <c r="CE174" i="30"/>
  <c r="CD174" i="30"/>
  <c r="CC174" i="30"/>
  <c r="CB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V174" i="30"/>
  <c r="E174" i="30" a="1"/>
  <c r="E174" i="30" l="1"/>
  <c r="EX173" i="30"/>
  <c r="E173" i="30" a="1"/>
  <c r="E173" i="30" l="1"/>
  <c r="EX172" i="30"/>
  <c r="E172" i="30" a="1"/>
  <c r="E172" i="30" l="1"/>
  <c r="EX171" i="30"/>
  <c r="E171" i="30" a="1"/>
  <c r="E171" i="30" l="1"/>
  <c r="EX170" i="30"/>
  <c r="E170" i="30" a="1"/>
  <c r="E170" i="30" l="1"/>
  <c r="EX169" i="30"/>
  <c r="E169" i="30" a="1"/>
  <c r="E169" i="30" l="1"/>
  <c r="EX168" i="30"/>
  <c r="E168" i="30" a="1"/>
  <c r="E168" i="30" l="1"/>
  <c r="EX167" i="30"/>
  <c r="E167" i="30" a="1"/>
  <c r="E167" i="30" l="1"/>
  <c r="EX166" i="30"/>
  <c r="E166" i="30" a="1"/>
  <c r="E166" i="30" l="1"/>
  <c r="EX165" i="30"/>
  <c r="E165" i="30" a="1"/>
  <c r="E165" i="30" l="1"/>
  <c r="EX164" i="30"/>
  <c r="E164" i="30" a="1"/>
  <c r="E164" i="30" l="1"/>
  <c r="EX163" i="30"/>
  <c r="H163" i="30" a="1"/>
  <c r="H163" i="30" l="1"/>
  <c r="G163" i="30" a="1"/>
  <c r="G163" i="30" l="1"/>
  <c r="F163" i="30" a="1"/>
  <c r="F163" i="30" l="1"/>
  <c r="E163" i="30" a="1"/>
  <c r="E163" i="30" l="1"/>
  <c r="EX162" i="30"/>
  <c r="G162" i="30" a="1"/>
  <c r="G162" i="30" l="1"/>
  <c r="F162" i="30" a="1"/>
  <c r="F162" i="30" l="1"/>
  <c r="E162" i="30" a="1"/>
  <c r="E162" i="30" l="1"/>
  <c r="EX161" i="30"/>
  <c r="E161" i="30" a="1"/>
  <c r="E161" i="30" l="1"/>
  <c r="EX160" i="30"/>
  <c r="EX159" i="30"/>
  <c r="EX158" i="30"/>
  <c r="EX157" i="30"/>
  <c r="E157" i="30" a="1"/>
  <c r="E157" i="30" l="1"/>
  <c r="EX156" i="30"/>
  <c r="EX155" i="30"/>
  <c r="EX154" i="30"/>
  <c r="CI154" i="30"/>
  <c r="CH154" i="30"/>
  <c r="CG154" i="30"/>
  <c r="CF154" i="30"/>
  <c r="CE154" i="30"/>
  <c r="CD154" i="30"/>
  <c r="CC154" i="30"/>
  <c r="CB154" i="30"/>
  <c r="BJ154" i="30"/>
  <c r="BI154" i="30"/>
  <c r="BH154" i="30"/>
  <c r="BG154" i="30"/>
  <c r="BF154" i="30"/>
  <c r="BE154" i="30"/>
  <c r="BD154" i="30"/>
  <c r="BC154" i="30"/>
  <c r="BB154" i="30"/>
  <c r="BA154" i="30"/>
  <c r="AZ154" i="30"/>
  <c r="AY154" i="30"/>
  <c r="AX154" i="30"/>
  <c r="AW154" i="30"/>
  <c r="AV154" i="30"/>
  <c r="AU154" i="30"/>
  <c r="AT154" i="30"/>
  <c r="AS154" i="30"/>
  <c r="AR154" i="30"/>
  <c r="AQ154" i="30"/>
  <c r="AP154" i="30"/>
  <c r="AO154" i="30"/>
  <c r="AN154" i="30"/>
  <c r="AM154" i="30"/>
  <c r="AL154" i="30"/>
  <c r="AK154" i="30"/>
  <c r="AJ154" i="30"/>
  <c r="AI154" i="30"/>
  <c r="AH154" i="30"/>
  <c r="AG154" i="30"/>
  <c r="AF154" i="30"/>
  <c r="AE154" i="30"/>
  <c r="AD154" i="30"/>
  <c r="AC154" i="30"/>
  <c r="AB154" i="30"/>
  <c r="AA154" i="30"/>
  <c r="V154" i="30"/>
  <c r="H155" i="30" a="1"/>
  <c r="E156" i="30" a="1"/>
  <c r="G155" i="30" a="1"/>
  <c r="E155" i="30" a="1"/>
  <c r="F155" i="30" a="1"/>
  <c r="F154" i="30" a="1"/>
  <c r="H155" i="30" l="1"/>
  <c r="E155" i="30"/>
  <c r="E156" i="30"/>
  <c r="F155" i="30"/>
  <c r="G155" i="30"/>
  <c r="F154" i="30"/>
  <c r="EX153" i="30"/>
  <c r="CI153" i="30"/>
  <c r="CH153" i="30"/>
  <c r="CG153" i="30"/>
  <c r="CF153" i="30"/>
  <c r="CE153" i="30"/>
  <c r="CD153" i="30"/>
  <c r="CC153" i="30"/>
  <c r="CB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V153" i="30"/>
  <c r="E154" i="30" a="1"/>
  <c r="E153" i="30" a="1"/>
  <c r="E154" i="30" l="1"/>
  <c r="E153" i="30"/>
  <c r="EX152" i="30"/>
  <c r="CI152" i="30"/>
  <c r="CI57" i="33" s="1"/>
  <c r="CH152" i="30"/>
  <c r="CH57" i="33" s="1"/>
  <c r="CG152" i="30"/>
  <c r="CG57" i="33" s="1"/>
  <c r="CF152" i="30"/>
  <c r="CF57" i="33" s="1"/>
  <c r="CE152" i="30"/>
  <c r="CE57" i="33" s="1"/>
  <c r="CD152" i="30"/>
  <c r="CD57" i="33" s="1"/>
  <c r="CC152" i="30"/>
  <c r="CC57" i="33" s="1"/>
  <c r="CB152" i="30"/>
  <c r="CB57" i="33" s="1"/>
  <c r="BJ152" i="30"/>
  <c r="BJ57" i="33" s="1"/>
  <c r="BI152" i="30"/>
  <c r="BI57" i="33" s="1"/>
  <c r="BH152" i="30"/>
  <c r="BH57" i="33" s="1"/>
  <c r="BG152" i="30"/>
  <c r="BG57" i="33" s="1"/>
  <c r="BF152" i="30"/>
  <c r="BF57" i="33" s="1"/>
  <c r="BE152" i="30"/>
  <c r="BE57" i="33" s="1"/>
  <c r="BD152" i="30"/>
  <c r="BD57" i="33" s="1"/>
  <c r="BC152" i="30"/>
  <c r="BC57" i="33" s="1"/>
  <c r="BB152" i="30"/>
  <c r="BB57" i="33" s="1"/>
  <c r="BA152" i="30"/>
  <c r="BA57" i="33" s="1"/>
  <c r="AZ152" i="30"/>
  <c r="AZ57" i="33" s="1"/>
  <c r="AY152" i="30"/>
  <c r="AY57" i="33" s="1"/>
  <c r="AX152" i="30"/>
  <c r="AX57" i="33" s="1"/>
  <c r="AW152" i="30"/>
  <c r="AW57" i="33" s="1"/>
  <c r="AV152" i="30"/>
  <c r="AV57" i="33" s="1"/>
  <c r="AU152" i="30"/>
  <c r="AU57" i="33" s="1"/>
  <c r="AT152" i="30"/>
  <c r="AT57" i="33" s="1"/>
  <c r="AS152" i="30"/>
  <c r="AS57" i="33" s="1"/>
  <c r="AR152" i="30"/>
  <c r="AR57" i="33" s="1"/>
  <c r="AQ152" i="30"/>
  <c r="AQ57" i="33" s="1"/>
  <c r="AP152" i="30"/>
  <c r="AP57" i="33" s="1"/>
  <c r="AO152" i="30"/>
  <c r="AO57" i="33" s="1"/>
  <c r="AN152" i="30"/>
  <c r="AN57" i="33" s="1"/>
  <c r="AM152" i="30"/>
  <c r="AM57" i="33" s="1"/>
  <c r="AL152" i="30"/>
  <c r="AL57" i="33" s="1"/>
  <c r="AK152" i="30"/>
  <c r="AK57" i="33" s="1"/>
  <c r="AJ152" i="30"/>
  <c r="AJ57" i="33" s="1"/>
  <c r="AI152" i="30"/>
  <c r="AI57" i="33" s="1"/>
  <c r="AH152" i="30"/>
  <c r="AH57" i="33" s="1"/>
  <c r="AG152" i="30"/>
  <c r="AG57" i="33" s="1"/>
  <c r="AF152" i="30"/>
  <c r="AF57" i="33" s="1"/>
  <c r="AE152" i="30"/>
  <c r="AE57" i="33" s="1"/>
  <c r="AD152" i="30"/>
  <c r="AD57" i="33" s="1"/>
  <c r="AC152" i="30"/>
  <c r="AC57" i="33" s="1"/>
  <c r="AB152" i="30"/>
  <c r="AB57" i="33" s="1"/>
  <c r="AA152" i="30"/>
  <c r="AA57" i="33" s="1"/>
  <c r="V152" i="30"/>
  <c r="V57" i="33" s="1"/>
  <c r="E12" i="50" s="1"/>
  <c r="G152" i="30" a="1"/>
  <c r="G152" i="30" l="1"/>
  <c r="EX151" i="30"/>
  <c r="EX150" i="30"/>
  <c r="EX149" i="30"/>
  <c r="EX147" i="30"/>
  <c r="EX146" i="30"/>
  <c r="EX145" i="30"/>
  <c r="BX145" i="30" a="1"/>
  <c r="BX145" i="30" s="1"/>
  <c r="V145" i="30" a="1"/>
  <c r="V145" i="30" s="1"/>
  <c r="EX144" i="30"/>
  <c r="EX143" i="30"/>
  <c r="EX142" i="30"/>
  <c r="EX141" i="30"/>
  <c r="EX140" i="30"/>
  <c r="EX139" i="30"/>
  <c r="EX138" i="30"/>
  <c r="EX137" i="30"/>
  <c r="EX133" i="30"/>
  <c r="CY133" i="30"/>
  <c r="CQ133" i="30" s="1"/>
  <c r="CX133" i="30"/>
  <c r="CW133" i="30"/>
  <c r="CV133" i="30"/>
  <c r="CP133" i="30" s="1"/>
  <c r="EX132" i="30"/>
  <c r="EX131" i="30"/>
  <c r="EX126" i="30"/>
  <c r="CY126" i="30"/>
  <c r="CQ126" i="30" s="1"/>
  <c r="CX126" i="30"/>
  <c r="CW126" i="30"/>
  <c r="CV126" i="30"/>
  <c r="EX125" i="30"/>
  <c r="EX124" i="30"/>
  <c r="EX116" i="30"/>
  <c r="CY116" i="30"/>
  <c r="CQ116" i="30" s="1"/>
  <c r="CX116" i="30"/>
  <c r="CW116" i="30"/>
  <c r="CV116" i="30"/>
  <c r="CP116" i="30" s="1"/>
  <c r="EX115" i="30"/>
  <c r="EX114" i="30"/>
  <c r="EX113" i="30"/>
  <c r="EX112" i="30"/>
  <c r="EX111" i="30"/>
  <c r="EX110" i="30"/>
  <c r="CI109" i="30"/>
  <c r="CH109" i="30"/>
  <c r="CG109" i="30"/>
  <c r="CF109" i="30"/>
  <c r="CE109" i="30"/>
  <c r="CE166" i="30" s="1"/>
  <c r="CD109" i="30"/>
  <c r="CC109" i="30"/>
  <c r="CB109" i="30"/>
  <c r="BJ109" i="30"/>
  <c r="BJ166" i="30" s="1"/>
  <c r="BI109" i="30"/>
  <c r="BH109" i="30"/>
  <c r="BG109" i="30"/>
  <c r="BF109" i="30"/>
  <c r="BE109" i="30"/>
  <c r="BD109" i="30"/>
  <c r="BC109" i="30"/>
  <c r="BB109" i="30"/>
  <c r="BB166" i="30" s="1"/>
  <c r="BA109" i="30"/>
  <c r="AZ109" i="30"/>
  <c r="AY109" i="30"/>
  <c r="AX109" i="30"/>
  <c r="AW109" i="30"/>
  <c r="AV109" i="30"/>
  <c r="AU109" i="30"/>
  <c r="AT109" i="30"/>
  <c r="AT166" i="30" s="1"/>
  <c r="AS109" i="30"/>
  <c r="AR109" i="30"/>
  <c r="AQ109" i="30"/>
  <c r="AP109" i="30"/>
  <c r="AO109" i="30"/>
  <c r="AO166" i="30" s="1"/>
  <c r="AN109" i="30"/>
  <c r="AM109" i="30"/>
  <c r="AL109" i="30"/>
  <c r="AL166" i="30" s="1"/>
  <c r="AK109" i="30"/>
  <c r="AJ109" i="30"/>
  <c r="AI109" i="30"/>
  <c r="AH109" i="30"/>
  <c r="AG109" i="30"/>
  <c r="AF109" i="30"/>
  <c r="AE109" i="30"/>
  <c r="AD109" i="30"/>
  <c r="AD166" i="30" s="1"/>
  <c r="AC109" i="30"/>
  <c r="AB109" i="30"/>
  <c r="AA109" i="30"/>
  <c r="D136" i="30" a="1"/>
  <c r="D127" i="30" a="1"/>
  <c r="D123" i="30" a="1"/>
  <c r="D120" i="30" a="1"/>
  <c r="D129" i="30" a="1"/>
  <c r="D135" i="30" a="1"/>
  <c r="D109" i="30" a="1"/>
  <c r="F152" i="30" a="1"/>
  <c r="D118" i="30" a="1"/>
  <c r="D119" i="30" a="1"/>
  <c r="D134" i="30" a="1"/>
  <c r="D130" i="30" a="1"/>
  <c r="D121" i="30" a="1"/>
  <c r="D128" i="30" a="1"/>
  <c r="E152" i="30" a="1"/>
  <c r="D117" i="30" a="1"/>
  <c r="CP126" i="30" l="1"/>
  <c r="D120" i="30"/>
  <c r="D128" i="30"/>
  <c r="D135" i="30"/>
  <c r="D117" i="30"/>
  <c r="D121" i="30"/>
  <c r="D129" i="30"/>
  <c r="D136" i="30"/>
  <c r="D118" i="30"/>
  <c r="D123" i="30"/>
  <c r="D130" i="30"/>
  <c r="E152" i="30"/>
  <c r="D119" i="30"/>
  <c r="D127" i="30"/>
  <c r="D134" i="30"/>
  <c r="F152" i="30"/>
  <c r="CF166" i="30"/>
  <c r="AN166" i="30"/>
  <c r="AW166" i="30"/>
  <c r="CH166" i="30"/>
  <c r="AH166" i="30"/>
  <c r="AX166" i="30"/>
  <c r="BF166" i="30"/>
  <c r="AQ166" i="30"/>
  <c r="BG166" i="30"/>
  <c r="AB166" i="30"/>
  <c r="AR166" i="30"/>
  <c r="BH166" i="30"/>
  <c r="AC166" i="30"/>
  <c r="AK166" i="30"/>
  <c r="AS166" i="30"/>
  <c r="BA166" i="30"/>
  <c r="BI166" i="30"/>
  <c r="CD166" i="30"/>
  <c r="AM166" i="30"/>
  <c r="BC166" i="30"/>
  <c r="BD166" i="30"/>
  <c r="CG166" i="30"/>
  <c r="AP166" i="30"/>
  <c r="AE166" i="30"/>
  <c r="AF166" i="30"/>
  <c r="BE166" i="30"/>
  <c r="CI166" i="30"/>
  <c r="AY166" i="30"/>
  <c r="AU166" i="30"/>
  <c r="AV166" i="30"/>
  <c r="AG166" i="30"/>
  <c r="AI166" i="30"/>
  <c r="AJ166" i="30"/>
  <c r="AZ166" i="30"/>
  <c r="CC166" i="30"/>
  <c r="D109" i="30"/>
  <c r="CI108" i="30"/>
  <c r="CH108" i="30"/>
  <c r="CG108" i="30"/>
  <c r="CG62" i="33" s="1"/>
  <c r="CF108" i="30"/>
  <c r="CF62" i="33" s="1"/>
  <c r="CE108" i="30"/>
  <c r="CD108" i="30"/>
  <c r="CC108" i="30"/>
  <c r="CB108" i="30"/>
  <c r="BJ108" i="30"/>
  <c r="BI108" i="30"/>
  <c r="BH108" i="30"/>
  <c r="BG108" i="30"/>
  <c r="BF108" i="30"/>
  <c r="BE108" i="30"/>
  <c r="BD108" i="30"/>
  <c r="BD165" i="30" s="1"/>
  <c r="BD62" i="33" s="1"/>
  <c r="BC108" i="30"/>
  <c r="BC165" i="30" s="1"/>
  <c r="BB108" i="30"/>
  <c r="BA108" i="30"/>
  <c r="AZ108" i="30"/>
  <c r="AY108" i="30"/>
  <c r="AY165" i="30" s="1"/>
  <c r="AY62" i="33" s="1"/>
  <c r="AX108" i="30"/>
  <c r="AW108" i="30"/>
  <c r="AV108" i="30"/>
  <c r="AV165" i="30" s="1"/>
  <c r="AV62" i="33" s="1"/>
  <c r="AU108" i="30"/>
  <c r="AU165" i="30" s="1"/>
  <c r="AT108" i="30"/>
  <c r="AS108" i="30"/>
  <c r="AR108" i="30"/>
  <c r="AQ108" i="30"/>
  <c r="AP108" i="30"/>
  <c r="AO108" i="30"/>
  <c r="AO165" i="30" s="1"/>
  <c r="AO62" i="33" s="1"/>
  <c r="AN108" i="30"/>
  <c r="AN165" i="30" s="1"/>
  <c r="AN62" i="33" s="1"/>
  <c r="AM108" i="30"/>
  <c r="AM165" i="30" s="1"/>
  <c r="AM62" i="33" s="1"/>
  <c r="AL108" i="30"/>
  <c r="AK108" i="30"/>
  <c r="AJ108" i="30"/>
  <c r="AI108" i="30"/>
  <c r="AH108" i="30"/>
  <c r="AG108" i="30"/>
  <c r="AF108" i="30"/>
  <c r="AF165" i="30" s="1"/>
  <c r="AF62" i="33" s="1"/>
  <c r="AE108" i="30"/>
  <c r="AE165" i="30" s="1"/>
  <c r="AE62" i="33" s="1"/>
  <c r="AD108" i="30"/>
  <c r="AC108" i="30"/>
  <c r="AB108" i="30"/>
  <c r="AA108" i="30"/>
  <c r="D108" i="30" a="1"/>
  <c r="AG165" i="30" l="1"/>
  <c r="AG62" i="33" s="1"/>
  <c r="BE165" i="30"/>
  <c r="BE62" i="33" s="1"/>
  <c r="AH165" i="30"/>
  <c r="AH62" i="33" s="1"/>
  <c r="AX165" i="30"/>
  <c r="AX62" i="33" s="1"/>
  <c r="AI165" i="30"/>
  <c r="AI62" i="33" s="1"/>
  <c r="AU62" i="33"/>
  <c r="BC62" i="33"/>
  <c r="CI62" i="33"/>
  <c r="AW165" i="30"/>
  <c r="AW62" i="33" s="1"/>
  <c r="BF165" i="30"/>
  <c r="BF62" i="33" s="1"/>
  <c r="BG165" i="30"/>
  <c r="BG62" i="33" s="1"/>
  <c r="AB165" i="30"/>
  <c r="AB62" i="33" s="1"/>
  <c r="AZ165" i="30"/>
  <c r="AZ62" i="33" s="1"/>
  <c r="BH165" i="30"/>
  <c r="BH62" i="33" s="1"/>
  <c r="CC62" i="33"/>
  <c r="CH62" i="33"/>
  <c r="AJ165" i="30"/>
  <c r="AJ62" i="33" s="1"/>
  <c r="AS165" i="30"/>
  <c r="AS62" i="33" s="1"/>
  <c r="CD62" i="33"/>
  <c r="AP165" i="30"/>
  <c r="AP62" i="33" s="1"/>
  <c r="AQ165" i="30"/>
  <c r="AQ62" i="33" s="1"/>
  <c r="AR165" i="30"/>
  <c r="AR62" i="33" s="1"/>
  <c r="AC165" i="30"/>
  <c r="AC62" i="33" s="1"/>
  <c r="AK165" i="30"/>
  <c r="AK62" i="33" s="1"/>
  <c r="BA165" i="30"/>
  <c r="BA62" i="33" s="1"/>
  <c r="BI165" i="30"/>
  <c r="BI62" i="33" s="1"/>
  <c r="AD165" i="30"/>
  <c r="AD62" i="33" s="1"/>
  <c r="AL165" i="30"/>
  <c r="AL62" i="33" s="1"/>
  <c r="AT165" i="30"/>
  <c r="AT62" i="33" s="1"/>
  <c r="BB165" i="30"/>
  <c r="BB62" i="33" s="1"/>
  <c r="BJ165" i="30"/>
  <c r="BJ62" i="33" s="1"/>
  <c r="CE62" i="33"/>
  <c r="D108" i="30"/>
  <c r="CI107" i="30"/>
  <c r="CH107" i="30"/>
  <c r="CG107" i="30"/>
  <c r="CG171" i="30" s="1"/>
  <c r="CF107" i="30"/>
  <c r="CE107" i="30"/>
  <c r="CE171" i="30" s="1"/>
  <c r="CD107" i="30"/>
  <c r="CC107" i="30"/>
  <c r="CB107" i="30"/>
  <c r="BJ107" i="30"/>
  <c r="BJ171" i="30" s="1"/>
  <c r="BI107" i="30"/>
  <c r="BH107" i="30"/>
  <c r="BG107" i="30"/>
  <c r="BF107" i="30"/>
  <c r="BE107" i="30"/>
  <c r="BD107" i="30"/>
  <c r="BD171" i="30" s="1"/>
  <c r="BC107" i="30"/>
  <c r="BB107" i="30"/>
  <c r="BB171" i="30" s="1"/>
  <c r="BA107" i="30"/>
  <c r="AZ107" i="30"/>
  <c r="AY107" i="30"/>
  <c r="AX107" i="30"/>
  <c r="AW107" i="30"/>
  <c r="AV107" i="30"/>
  <c r="AV171" i="30" s="1"/>
  <c r="AU107" i="30"/>
  <c r="AT107" i="30"/>
  <c r="AT171" i="30" s="1"/>
  <c r="AS107" i="30"/>
  <c r="AR107" i="30"/>
  <c r="AQ107" i="30"/>
  <c r="AP107" i="30"/>
  <c r="AO107" i="30"/>
  <c r="AN107" i="30"/>
  <c r="AN171" i="30" s="1"/>
  <c r="AM107" i="30"/>
  <c r="AL107" i="30"/>
  <c r="AL171" i="30" s="1"/>
  <c r="AK107" i="30"/>
  <c r="AJ107" i="30"/>
  <c r="AI107" i="30"/>
  <c r="AH107" i="30"/>
  <c r="AG107" i="30"/>
  <c r="AF107" i="30"/>
  <c r="AF171" i="30" s="1"/>
  <c r="AE107" i="30"/>
  <c r="AD107" i="30"/>
  <c r="AD171" i="30" s="1"/>
  <c r="AC107" i="30"/>
  <c r="AB107" i="30"/>
  <c r="AA107" i="30"/>
  <c r="D107" i="30" a="1"/>
  <c r="AW171" i="30" l="1"/>
  <c r="AX171" i="30"/>
  <c r="BF171" i="30"/>
  <c r="CI171" i="30"/>
  <c r="AB171" i="30"/>
  <c r="AJ171" i="30"/>
  <c r="AR171" i="30"/>
  <c r="AZ171" i="30"/>
  <c r="BH171" i="30"/>
  <c r="CC171" i="30"/>
  <c r="AC171" i="30"/>
  <c r="AK171" i="30"/>
  <c r="AS171" i="30"/>
  <c r="BA171" i="30"/>
  <c r="BI171" i="30"/>
  <c r="CD171" i="30"/>
  <c r="AG171" i="30"/>
  <c r="BE171" i="30"/>
  <c r="AE171" i="30"/>
  <c r="AM171" i="30"/>
  <c r="AU171" i="30"/>
  <c r="BC171" i="30"/>
  <c r="CF171" i="30"/>
  <c r="AO171" i="30"/>
  <c r="AP171" i="30"/>
  <c r="CH171" i="30"/>
  <c r="AH171" i="30"/>
  <c r="AI171" i="30"/>
  <c r="AQ171" i="30"/>
  <c r="AY171" i="30"/>
  <c r="BG171" i="30"/>
  <c r="D107" i="30"/>
  <c r="CI106" i="30"/>
  <c r="CH106" i="30"/>
  <c r="CH169" i="30" s="1"/>
  <c r="CG106" i="30"/>
  <c r="CF106" i="30"/>
  <c r="CE106" i="30"/>
  <c r="CD106" i="30"/>
  <c r="CC106" i="30"/>
  <c r="CC169" i="30" s="1"/>
  <c r="CB106" i="30"/>
  <c r="BJ106" i="30"/>
  <c r="BI106" i="30"/>
  <c r="BI169" i="30" s="1"/>
  <c r="BH106" i="30"/>
  <c r="BH169" i="30" s="1"/>
  <c r="BG106" i="30"/>
  <c r="BG169" i="30" s="1"/>
  <c r="BF106" i="30"/>
  <c r="BE106" i="30"/>
  <c r="BD106" i="30"/>
  <c r="BC106" i="30"/>
  <c r="BB106" i="30"/>
  <c r="BA106" i="30"/>
  <c r="AZ106" i="30"/>
  <c r="AZ169" i="30" s="1"/>
  <c r="AY106" i="30"/>
  <c r="AY169" i="30" s="1"/>
  <c r="AX106" i="30"/>
  <c r="AW106" i="30"/>
  <c r="AW169" i="30" s="1"/>
  <c r="AV106" i="30"/>
  <c r="AU106" i="30"/>
  <c r="AT106" i="30"/>
  <c r="AS106" i="30"/>
  <c r="AS169" i="30" s="1"/>
  <c r="AR106" i="30"/>
  <c r="AR169" i="30" s="1"/>
  <c r="AQ106" i="30"/>
  <c r="AQ169" i="30" s="1"/>
  <c r="AP106" i="30"/>
  <c r="AO106" i="30"/>
  <c r="AN106" i="30"/>
  <c r="AM106" i="30"/>
  <c r="AL106" i="30"/>
  <c r="AK106" i="30"/>
  <c r="AJ106" i="30"/>
  <c r="AJ169" i="30" s="1"/>
  <c r="AI106" i="30"/>
  <c r="AI169" i="30" s="1"/>
  <c r="AH106" i="30"/>
  <c r="AG106" i="30"/>
  <c r="AF106" i="30"/>
  <c r="AE106" i="30"/>
  <c r="AD106" i="30"/>
  <c r="AC106" i="30"/>
  <c r="AB106" i="30"/>
  <c r="AB169" i="30" s="1"/>
  <c r="AA106" i="30"/>
  <c r="D106" i="30" a="1"/>
  <c r="BA169" i="30" l="1"/>
  <c r="AT169" i="30"/>
  <c r="AM169" i="30"/>
  <c r="BC169" i="30"/>
  <c r="AF169" i="30"/>
  <c r="AN169" i="30"/>
  <c r="AG169" i="30"/>
  <c r="AO169" i="30"/>
  <c r="BE169" i="30"/>
  <c r="BB169" i="30"/>
  <c r="AC169" i="30"/>
  <c r="CD169" i="30"/>
  <c r="AD169" i="30"/>
  <c r="CE169" i="30"/>
  <c r="AU169" i="30"/>
  <c r="AV169" i="30"/>
  <c r="BD169" i="30"/>
  <c r="CG169" i="30"/>
  <c r="AL169" i="30"/>
  <c r="CF169" i="30"/>
  <c r="AK169" i="30"/>
  <c r="BJ169" i="30"/>
  <c r="AE169" i="30"/>
  <c r="AH169" i="30"/>
  <c r="AP169" i="30"/>
  <c r="AX169" i="30"/>
  <c r="BF169" i="30"/>
  <c r="CI169" i="30"/>
  <c r="D106" i="30"/>
  <c r="CI105" i="30"/>
  <c r="CH105" i="30"/>
  <c r="CH170" i="30" s="1"/>
  <c r="CG105" i="30"/>
  <c r="CG170" i="30" s="1"/>
  <c r="CF105" i="30"/>
  <c r="CE105" i="30"/>
  <c r="CD105" i="30"/>
  <c r="CC105" i="30"/>
  <c r="CB105" i="30"/>
  <c r="BJ105" i="30"/>
  <c r="BI105" i="30"/>
  <c r="BH105" i="30"/>
  <c r="BG105" i="30"/>
  <c r="BF105" i="30"/>
  <c r="BE105" i="30"/>
  <c r="BE170" i="30" s="1"/>
  <c r="BD105" i="30"/>
  <c r="BD170" i="30" s="1"/>
  <c r="BC105" i="30"/>
  <c r="BB105" i="30"/>
  <c r="BA105" i="30"/>
  <c r="AZ105" i="30"/>
  <c r="AY105" i="30"/>
  <c r="AX105" i="30"/>
  <c r="AW105" i="30"/>
  <c r="AW170" i="30" s="1"/>
  <c r="AV105" i="30"/>
  <c r="AU105" i="30"/>
  <c r="AT105" i="30"/>
  <c r="AS105" i="30"/>
  <c r="AR105" i="30"/>
  <c r="AQ105" i="30"/>
  <c r="AP105" i="30"/>
  <c r="AO105" i="30"/>
  <c r="AO170" i="30" s="1"/>
  <c r="AN105" i="30"/>
  <c r="AM105" i="30"/>
  <c r="AL105" i="30"/>
  <c r="AK105" i="30"/>
  <c r="AJ105" i="30"/>
  <c r="AI105" i="30"/>
  <c r="AH105" i="30"/>
  <c r="AH170" i="30" s="1"/>
  <c r="AG105" i="30"/>
  <c r="AG170" i="30" s="1"/>
  <c r="AF105" i="30"/>
  <c r="AE105" i="30"/>
  <c r="AD105" i="30"/>
  <c r="AC105" i="30"/>
  <c r="AB105" i="30"/>
  <c r="AA105" i="30"/>
  <c r="D105" i="30" a="1"/>
  <c r="AP170" i="30" l="1"/>
  <c r="BF170" i="30"/>
  <c r="AY170" i="30"/>
  <c r="AR170" i="30"/>
  <c r="AK170" i="30"/>
  <c r="CD170" i="30"/>
  <c r="AL170" i="30"/>
  <c r="AF170" i="30"/>
  <c r="AN170" i="30"/>
  <c r="AV170" i="30"/>
  <c r="AI170" i="30"/>
  <c r="AJ170" i="30"/>
  <c r="AX170" i="30"/>
  <c r="BG170" i="30"/>
  <c r="AZ170" i="30"/>
  <c r="BI170" i="30"/>
  <c r="AQ170" i="30"/>
  <c r="AB170" i="30"/>
  <c r="CC170" i="30"/>
  <c r="BA170" i="30"/>
  <c r="AT170" i="30"/>
  <c r="BB170" i="30"/>
  <c r="BJ170" i="30"/>
  <c r="CE170" i="30"/>
  <c r="CI170" i="30"/>
  <c r="BH170" i="30"/>
  <c r="AC170" i="30"/>
  <c r="AS170" i="30"/>
  <c r="AD170" i="30"/>
  <c r="AE170" i="30"/>
  <c r="AM170" i="30"/>
  <c r="AU170" i="30"/>
  <c r="BC170" i="30"/>
  <c r="CF170" i="30"/>
  <c r="D105" i="30"/>
  <c r="CI104" i="30"/>
  <c r="CH104" i="30"/>
  <c r="CG104" i="30"/>
  <c r="CF104" i="30"/>
  <c r="CE104" i="30"/>
  <c r="CD104" i="30"/>
  <c r="CC104" i="30"/>
  <c r="CB104" i="30"/>
  <c r="BJ104" i="30"/>
  <c r="BI104" i="30"/>
  <c r="BH104" i="30"/>
  <c r="BG104" i="30"/>
  <c r="BF104" i="30"/>
  <c r="BE104" i="30"/>
  <c r="BD104" i="30"/>
  <c r="BC104" i="30"/>
  <c r="BB104" i="30"/>
  <c r="BA104" i="30"/>
  <c r="AZ104" i="30"/>
  <c r="AY104" i="30"/>
  <c r="AX104" i="30"/>
  <c r="AW104" i="30"/>
  <c r="AV104" i="30"/>
  <c r="AU104" i="30"/>
  <c r="AT104" i="30"/>
  <c r="AS104" i="30"/>
  <c r="AR104" i="30"/>
  <c r="AQ104" i="30"/>
  <c r="AP104" i="30"/>
  <c r="AO104" i="30"/>
  <c r="AN104" i="30"/>
  <c r="AM104" i="30"/>
  <c r="AL104" i="30"/>
  <c r="AK104" i="30"/>
  <c r="AJ104" i="30"/>
  <c r="AI104" i="30"/>
  <c r="AH104" i="30"/>
  <c r="AG104" i="30"/>
  <c r="AF104" i="30"/>
  <c r="AE104" i="30"/>
  <c r="AD104" i="30"/>
  <c r="AC104" i="30"/>
  <c r="AB104" i="30"/>
  <c r="AA104" i="30"/>
  <c r="CI103" i="30"/>
  <c r="CI173" i="30" s="1"/>
  <c r="CH103" i="30"/>
  <c r="CG103" i="30"/>
  <c r="CF103" i="30"/>
  <c r="CE103" i="30"/>
  <c r="CD103" i="30"/>
  <c r="CC103" i="30"/>
  <c r="CB103" i="30"/>
  <c r="BJ103" i="30"/>
  <c r="BI103" i="30"/>
  <c r="BH103" i="30"/>
  <c r="BG103" i="30"/>
  <c r="BG173" i="30" s="1"/>
  <c r="BF103" i="30"/>
  <c r="BF173" i="30" s="1"/>
  <c r="BE103" i="30"/>
  <c r="BD103" i="30"/>
  <c r="BC103" i="30"/>
  <c r="BB103" i="30"/>
  <c r="BA103" i="30"/>
  <c r="AZ103" i="30"/>
  <c r="AZ173" i="30" s="1"/>
  <c r="AY103" i="30"/>
  <c r="AY173" i="30" s="1"/>
  <c r="AX103" i="30"/>
  <c r="AX173" i="30" s="1"/>
  <c r="AW103" i="30"/>
  <c r="AV103" i="30"/>
  <c r="AU103" i="30"/>
  <c r="AT103" i="30"/>
  <c r="AT173" i="30" s="1"/>
  <c r="AS103" i="30"/>
  <c r="AR103" i="30"/>
  <c r="AQ103" i="30"/>
  <c r="AQ173" i="30" s="1"/>
  <c r="AP103" i="30"/>
  <c r="AP173" i="30" s="1"/>
  <c r="AO103" i="30"/>
  <c r="AN103" i="30"/>
  <c r="AM103" i="30"/>
  <c r="AL103" i="30"/>
  <c r="AK103" i="30"/>
  <c r="AJ103" i="30"/>
  <c r="AI103" i="30"/>
  <c r="AI173" i="30" s="1"/>
  <c r="AH103" i="30"/>
  <c r="AH173" i="30" s="1"/>
  <c r="AG103" i="30"/>
  <c r="AF103" i="30"/>
  <c r="AE103" i="30"/>
  <c r="AD103" i="30"/>
  <c r="AC103" i="30"/>
  <c r="AB103" i="30"/>
  <c r="AA103" i="30"/>
  <c r="D103" i="30" a="1"/>
  <c r="D104" i="30" a="1"/>
  <c r="D104" i="30" l="1"/>
  <c r="AB173" i="30"/>
  <c r="BH173" i="30"/>
  <c r="AS173" i="30"/>
  <c r="AL173" i="30"/>
  <c r="AK173" i="30"/>
  <c r="AR173" i="30"/>
  <c r="CD173" i="30"/>
  <c r="BB173" i="30"/>
  <c r="AU173" i="30"/>
  <c r="CF173" i="30"/>
  <c r="CC173" i="30"/>
  <c r="BI173" i="30"/>
  <c r="AD173" i="30"/>
  <c r="CE173" i="30"/>
  <c r="AE173" i="30"/>
  <c r="AF173" i="30"/>
  <c r="AV173" i="30"/>
  <c r="BD173" i="30"/>
  <c r="CG173" i="30"/>
  <c r="AJ173" i="30"/>
  <c r="AC173" i="30"/>
  <c r="BA173" i="30"/>
  <c r="BJ173" i="30"/>
  <c r="AM173" i="30"/>
  <c r="BC173" i="30"/>
  <c r="AN173" i="30"/>
  <c r="AG173" i="30"/>
  <c r="AO173" i="30"/>
  <c r="AW173" i="30"/>
  <c r="BE173" i="30"/>
  <c r="CH173" i="30"/>
  <c r="D103" i="30"/>
  <c r="CI102" i="30"/>
  <c r="CH102" i="30"/>
  <c r="CG102" i="30"/>
  <c r="CF102" i="30"/>
  <c r="CE102" i="30"/>
  <c r="CD102" i="30"/>
  <c r="CC102" i="30"/>
  <c r="CC172" i="30" s="1"/>
  <c r="CB102" i="30"/>
  <c r="BJ102" i="30"/>
  <c r="BI102" i="30"/>
  <c r="BH102" i="30"/>
  <c r="BH172" i="30" s="1"/>
  <c r="BG102" i="30"/>
  <c r="BG172" i="30" s="1"/>
  <c r="BF102" i="30"/>
  <c r="BE102" i="30"/>
  <c r="BD102" i="30"/>
  <c r="BC102" i="30"/>
  <c r="BC172" i="30" s="1"/>
  <c r="BB102" i="30"/>
  <c r="BA102" i="30"/>
  <c r="AZ102" i="30"/>
  <c r="AZ172" i="30" s="1"/>
  <c r="AY102" i="30"/>
  <c r="AY172" i="30" s="1"/>
  <c r="AX102" i="30"/>
  <c r="AW102" i="30"/>
  <c r="AV102" i="30"/>
  <c r="AU102" i="30"/>
  <c r="AT102" i="30"/>
  <c r="AS102" i="30"/>
  <c r="AR102" i="30"/>
  <c r="AR172" i="30" s="1"/>
  <c r="AQ102" i="30"/>
  <c r="AQ172" i="30" s="1"/>
  <c r="AP102" i="30"/>
  <c r="AO102" i="30"/>
  <c r="AN102" i="30"/>
  <c r="AM102" i="30"/>
  <c r="AL102" i="30"/>
  <c r="AK102" i="30"/>
  <c r="AJ102" i="30"/>
  <c r="AJ172" i="30" s="1"/>
  <c r="AI102" i="30"/>
  <c r="AI172" i="30" s="1"/>
  <c r="AH102" i="30"/>
  <c r="AG102" i="30"/>
  <c r="AF102" i="30"/>
  <c r="AE102" i="30"/>
  <c r="AD102" i="30"/>
  <c r="AC102" i="30"/>
  <c r="AB102" i="30"/>
  <c r="AB172" i="30" s="1"/>
  <c r="AA102" i="30"/>
  <c r="D102" i="30" a="1"/>
  <c r="AK172" i="30" l="1"/>
  <c r="AL172" i="30"/>
  <c r="CE172" i="30"/>
  <c r="AM172" i="30"/>
  <c r="BI172" i="30"/>
  <c r="AD172" i="30"/>
  <c r="CD172" i="30"/>
  <c r="AC172" i="30"/>
  <c r="BB172" i="30"/>
  <c r="AU172" i="30"/>
  <c r="CF172" i="30"/>
  <c r="AF172" i="30"/>
  <c r="AN172" i="30"/>
  <c r="CG172" i="30"/>
  <c r="BA172" i="30"/>
  <c r="AT172" i="30"/>
  <c r="AE172" i="30"/>
  <c r="BD172" i="30"/>
  <c r="AG172" i="30"/>
  <c r="AO172" i="30"/>
  <c r="AW172" i="30"/>
  <c r="BE172" i="30"/>
  <c r="CH172" i="30"/>
  <c r="AS172" i="30"/>
  <c r="BJ172" i="30"/>
  <c r="AV172" i="30"/>
  <c r="AH172" i="30"/>
  <c r="AP172" i="30"/>
  <c r="AX172" i="30"/>
  <c r="BF172" i="30"/>
  <c r="CI172" i="30"/>
  <c r="D102" i="30"/>
  <c r="CI100" i="30"/>
  <c r="CH100" i="30"/>
  <c r="CG100" i="30"/>
  <c r="CF100" i="30"/>
  <c r="CE100" i="30"/>
  <c r="CD100" i="30"/>
  <c r="CC100" i="30"/>
  <c r="CB100" i="30"/>
  <c r="BJ100" i="30"/>
  <c r="BI100" i="30"/>
  <c r="BH100" i="30"/>
  <c r="BG100" i="30"/>
  <c r="BF100" i="30"/>
  <c r="BE100" i="30"/>
  <c r="BD100" i="30"/>
  <c r="BC100" i="30"/>
  <c r="BB100" i="30"/>
  <c r="BA100" i="30"/>
  <c r="AZ100" i="30"/>
  <c r="AY100" i="30"/>
  <c r="AX100" i="30"/>
  <c r="AW100" i="30"/>
  <c r="AV100" i="30"/>
  <c r="AU100" i="30"/>
  <c r="AT100" i="30"/>
  <c r="AS100" i="30"/>
  <c r="AR100" i="30"/>
  <c r="AQ100" i="30"/>
  <c r="AP100" i="30"/>
  <c r="AO100" i="30"/>
  <c r="AN100" i="30"/>
  <c r="AM100" i="30"/>
  <c r="AL100" i="30"/>
  <c r="AK100" i="30"/>
  <c r="AJ100" i="30"/>
  <c r="AI100" i="30"/>
  <c r="AH100" i="30"/>
  <c r="AG100" i="30"/>
  <c r="AF100" i="30"/>
  <c r="AE100" i="30"/>
  <c r="AD100" i="30"/>
  <c r="AC100" i="30"/>
  <c r="AB100" i="30"/>
  <c r="AA100" i="30"/>
  <c r="D101" i="30" a="1"/>
  <c r="D100" i="30" a="1"/>
  <c r="D101" i="30" l="1"/>
  <c r="D100" i="30"/>
  <c r="CI99" i="30"/>
  <c r="CH99" i="30"/>
  <c r="CG99" i="30"/>
  <c r="CF99" i="30"/>
  <c r="CE99" i="30"/>
  <c r="CD99" i="30"/>
  <c r="CC99" i="30"/>
  <c r="CB99" i="30"/>
  <c r="BJ99" i="30"/>
  <c r="BI99" i="30"/>
  <c r="BH99" i="30"/>
  <c r="BG99" i="30"/>
  <c r="BF99" i="30"/>
  <c r="BE99" i="30"/>
  <c r="BD99" i="30"/>
  <c r="BC99" i="30"/>
  <c r="BB99" i="30"/>
  <c r="BA99" i="30"/>
  <c r="AZ99" i="30"/>
  <c r="AY99" i="30"/>
  <c r="AX99" i="30"/>
  <c r="AW99" i="30"/>
  <c r="AV99" i="30"/>
  <c r="AU99" i="30"/>
  <c r="AT99" i="30"/>
  <c r="AS99" i="30"/>
  <c r="AR99" i="30"/>
  <c r="AQ99" i="30"/>
  <c r="AP99" i="30"/>
  <c r="AO99" i="30"/>
  <c r="AN99" i="30"/>
  <c r="AM99" i="30"/>
  <c r="AL99" i="30"/>
  <c r="AK99" i="30"/>
  <c r="AJ99" i="30"/>
  <c r="AI99" i="30"/>
  <c r="AH99" i="30"/>
  <c r="AG99" i="30"/>
  <c r="AF99" i="30"/>
  <c r="AE99" i="30"/>
  <c r="AD99" i="30"/>
  <c r="AC99" i="30"/>
  <c r="AB99" i="30"/>
  <c r="AA99" i="30"/>
  <c r="CI98" i="30"/>
  <c r="CH98" i="30"/>
  <c r="CG98" i="30"/>
  <c r="CF98" i="30"/>
  <c r="CE98" i="30"/>
  <c r="CD98" i="30"/>
  <c r="CC98" i="30"/>
  <c r="CB98" i="30"/>
  <c r="BJ98" i="30"/>
  <c r="BI98" i="30"/>
  <c r="BH98" i="30"/>
  <c r="BG98" i="30"/>
  <c r="BF98" i="30"/>
  <c r="BE98" i="30"/>
  <c r="BD98" i="30"/>
  <c r="BC98" i="30"/>
  <c r="BB98" i="30"/>
  <c r="BA98" i="30"/>
  <c r="AZ98" i="30"/>
  <c r="AY98" i="30"/>
  <c r="AX98" i="30"/>
  <c r="AW98" i="30"/>
  <c r="AV98" i="30"/>
  <c r="AU98" i="30"/>
  <c r="AT98" i="30"/>
  <c r="AS98" i="30"/>
  <c r="AR98" i="30"/>
  <c r="AQ98" i="30"/>
  <c r="AP98" i="30"/>
  <c r="AO98" i="30"/>
  <c r="AN98" i="30"/>
  <c r="AM98" i="30"/>
  <c r="AL98" i="30"/>
  <c r="AK98" i="30"/>
  <c r="AJ98" i="30"/>
  <c r="AI98" i="30"/>
  <c r="AH98" i="30"/>
  <c r="AG98" i="30"/>
  <c r="AF98" i="30"/>
  <c r="AE98" i="30"/>
  <c r="AD98" i="30"/>
  <c r="AC98" i="30"/>
  <c r="AB98" i="30"/>
  <c r="AA98" i="30"/>
  <c r="D99" i="30" a="1"/>
  <c r="D98" i="30" a="1"/>
  <c r="D99" i="30" l="1"/>
  <c r="D98" i="30"/>
  <c r="D17" i="36" s="1"/>
  <c r="CI97" i="30"/>
  <c r="CH97" i="30"/>
  <c r="CG97" i="30"/>
  <c r="CF97" i="30"/>
  <c r="CE97" i="30"/>
  <c r="CD97" i="30"/>
  <c r="CC97" i="30"/>
  <c r="CB97" i="30"/>
  <c r="BJ97" i="30"/>
  <c r="BI97" i="30"/>
  <c r="BH97" i="30"/>
  <c r="BG97" i="30"/>
  <c r="BF97" i="30"/>
  <c r="BE97" i="30"/>
  <c r="BD97" i="30"/>
  <c r="BC97" i="30"/>
  <c r="BB97" i="30"/>
  <c r="BA97" i="30"/>
  <c r="AZ97" i="30"/>
  <c r="AY97" i="30"/>
  <c r="AX97" i="30"/>
  <c r="AW97" i="30"/>
  <c r="AV97" i="30"/>
  <c r="AU97" i="30"/>
  <c r="AT97" i="30"/>
  <c r="AS97" i="30"/>
  <c r="AR97" i="30"/>
  <c r="AQ97" i="30"/>
  <c r="AP97" i="30"/>
  <c r="AO97" i="30"/>
  <c r="AN97" i="30"/>
  <c r="AM97" i="30"/>
  <c r="AL97" i="30"/>
  <c r="AK97" i="30"/>
  <c r="AJ97" i="30"/>
  <c r="AI97" i="30"/>
  <c r="AH97" i="30"/>
  <c r="AG97" i="30"/>
  <c r="AF97" i="30"/>
  <c r="AE97" i="30"/>
  <c r="AD97" i="30"/>
  <c r="AC97" i="30"/>
  <c r="AB97" i="30"/>
  <c r="AA97" i="30"/>
  <c r="CI96" i="30"/>
  <c r="CH96" i="30"/>
  <c r="CG96" i="30"/>
  <c r="CF96" i="30"/>
  <c r="CE96" i="30"/>
  <c r="CD96" i="30"/>
  <c r="CC96" i="30"/>
  <c r="CB96" i="30"/>
  <c r="BJ96" i="30"/>
  <c r="BI96" i="30"/>
  <c r="BH96" i="30"/>
  <c r="BG96" i="30"/>
  <c r="BF96" i="30"/>
  <c r="BE96" i="30"/>
  <c r="BD96" i="30"/>
  <c r="BC96" i="30"/>
  <c r="BB96" i="30"/>
  <c r="BA96" i="30"/>
  <c r="AZ96" i="30"/>
  <c r="AY96" i="30"/>
  <c r="AX96" i="30"/>
  <c r="AW96" i="30"/>
  <c r="AV96" i="30"/>
  <c r="AU96" i="30"/>
  <c r="AT96" i="30"/>
  <c r="AS96" i="30"/>
  <c r="AR96" i="30"/>
  <c r="AQ96" i="30"/>
  <c r="AP96" i="30"/>
  <c r="AO96" i="30"/>
  <c r="AN96" i="30"/>
  <c r="AM96" i="30"/>
  <c r="AL96" i="30"/>
  <c r="AK96" i="30"/>
  <c r="AJ96" i="30"/>
  <c r="AI96" i="30"/>
  <c r="AH96" i="30"/>
  <c r="AG96" i="30"/>
  <c r="AF96" i="30"/>
  <c r="AE96" i="30"/>
  <c r="AD96" i="30"/>
  <c r="AC96" i="30"/>
  <c r="AB96" i="30"/>
  <c r="AA96" i="30"/>
  <c r="CI95" i="30"/>
  <c r="CH95" i="30"/>
  <c r="CG95" i="30"/>
  <c r="CF95" i="30"/>
  <c r="CE95" i="30"/>
  <c r="CD95" i="30"/>
  <c r="CC95" i="30"/>
  <c r="CB95" i="30"/>
  <c r="CI94" i="30"/>
  <c r="CH94" i="30"/>
  <c r="CG94" i="30"/>
  <c r="CF94" i="30"/>
  <c r="CE94" i="30"/>
  <c r="CD94" i="30"/>
  <c r="CC94" i="30"/>
  <c r="CB94" i="30"/>
  <c r="BJ94" i="30"/>
  <c r="BI94" i="30"/>
  <c r="BH94" i="30"/>
  <c r="BG94" i="30"/>
  <c r="BF94" i="30"/>
  <c r="BE94" i="30"/>
  <c r="BD94" i="30"/>
  <c r="BC94" i="30"/>
  <c r="BB94" i="30"/>
  <c r="BA94" i="30"/>
  <c r="AZ94" i="30"/>
  <c r="AY94" i="30"/>
  <c r="AX94" i="30"/>
  <c r="AW94" i="30"/>
  <c r="AV94" i="30"/>
  <c r="AU94" i="30"/>
  <c r="AT94" i="30"/>
  <c r="AS94" i="30"/>
  <c r="AR94" i="30"/>
  <c r="AQ94" i="30"/>
  <c r="AP94" i="30"/>
  <c r="AO94" i="30"/>
  <c r="AN94" i="30"/>
  <c r="AM94" i="30"/>
  <c r="AL94" i="30"/>
  <c r="AK94" i="30"/>
  <c r="AJ94" i="30"/>
  <c r="AI94" i="30"/>
  <c r="AH94" i="30"/>
  <c r="AG94" i="30"/>
  <c r="AF94" i="30"/>
  <c r="AE94" i="30"/>
  <c r="AD94" i="30"/>
  <c r="AC94" i="30"/>
  <c r="AB94" i="30"/>
  <c r="AA94" i="30"/>
  <c r="CI93" i="30"/>
  <c r="CH93" i="30"/>
  <c r="CG93" i="30"/>
  <c r="CF93" i="30"/>
  <c r="CE93" i="30"/>
  <c r="CD93" i="30"/>
  <c r="CC93" i="30"/>
  <c r="CB93" i="30"/>
  <c r="CI92" i="30"/>
  <c r="CH92" i="30"/>
  <c r="CG92" i="30"/>
  <c r="CF92" i="30"/>
  <c r="CE92" i="30"/>
  <c r="CD92" i="30"/>
  <c r="CC92" i="30"/>
  <c r="CB92" i="30"/>
  <c r="EX90" i="30"/>
  <c r="CY90" i="30"/>
  <c r="CQ90" i="30" s="1"/>
  <c r="CX90" i="30"/>
  <c r="CP90" i="30" s="1"/>
  <c r="CW90" i="30"/>
  <c r="CV90" i="30"/>
  <c r="EX89" i="30"/>
  <c r="EX88" i="30"/>
  <c r="BV88" i="30"/>
  <c r="BU88" i="30"/>
  <c r="BT88" i="30"/>
  <c r="BS88" i="30"/>
  <c r="BR88" i="30"/>
  <c r="BQ88" i="30"/>
  <c r="BP88" i="30"/>
  <c r="BO88" i="30"/>
  <c r="BN88" i="30"/>
  <c r="BM88" i="30"/>
  <c r="BL88" i="30"/>
  <c r="BK88" i="30"/>
  <c r="CI86" i="30"/>
  <c r="CH86" i="30"/>
  <c r="CG86" i="30"/>
  <c r="CF86" i="30"/>
  <c r="CE86" i="30"/>
  <c r="CD86" i="30"/>
  <c r="CC86" i="30"/>
  <c r="CB86" i="30"/>
  <c r="BJ86" i="30"/>
  <c r="BI86" i="30"/>
  <c r="BH86" i="30"/>
  <c r="BG86" i="30"/>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CI84" i="30"/>
  <c r="CI175" i="30" s="1"/>
  <c r="CH84" i="30"/>
  <c r="CG84" i="30"/>
  <c r="CF84" i="30"/>
  <c r="CE84" i="30"/>
  <c r="CE175" i="30" s="1"/>
  <c r="CD84" i="30"/>
  <c r="CC84" i="30"/>
  <c r="CB84" i="30"/>
  <c r="BJ84" i="30"/>
  <c r="BI84" i="30"/>
  <c r="BH84" i="30"/>
  <c r="BG84" i="30"/>
  <c r="BG175" i="30" s="1"/>
  <c r="BF84" i="30"/>
  <c r="BF175" i="30" s="1"/>
  <c r="BE84" i="30"/>
  <c r="BD84" i="30"/>
  <c r="BC84" i="30"/>
  <c r="BB84" i="30"/>
  <c r="BA84" i="30"/>
  <c r="AZ84" i="30"/>
  <c r="AY84" i="30"/>
  <c r="AY175" i="30" s="1"/>
  <c r="AX84" i="30"/>
  <c r="AX175" i="30" s="1"/>
  <c r="AW84" i="30"/>
  <c r="AV84" i="30"/>
  <c r="AU84" i="30"/>
  <c r="AT84" i="30"/>
  <c r="AS84" i="30"/>
  <c r="AR84" i="30"/>
  <c r="AQ84" i="30"/>
  <c r="AQ175" i="30" s="1"/>
  <c r="AP84" i="30"/>
  <c r="AP175" i="30" s="1"/>
  <c r="AO84" i="30"/>
  <c r="AN84" i="30"/>
  <c r="AM84" i="30"/>
  <c r="AL84" i="30"/>
  <c r="AK84" i="30"/>
  <c r="AJ84" i="30"/>
  <c r="AI84" i="30"/>
  <c r="AI175" i="30" s="1"/>
  <c r="AH84" i="30"/>
  <c r="AH175" i="30" s="1"/>
  <c r="AG84" i="30"/>
  <c r="AF84" i="30"/>
  <c r="AE84" i="30"/>
  <c r="AD84" i="30"/>
  <c r="AC84" i="30"/>
  <c r="AB84" i="30"/>
  <c r="AA84" i="30"/>
  <c r="D86" i="30" a="1"/>
  <c r="D93" i="30" a="1"/>
  <c r="D84" i="30" a="1"/>
  <c r="D96" i="30" a="1"/>
  <c r="D87" i="30" a="1"/>
  <c r="D95" i="30" a="1"/>
  <c r="D92" i="30" a="1"/>
  <c r="D91" i="30" a="1"/>
  <c r="D94" i="30" a="1"/>
  <c r="D85" i="30" a="1"/>
  <c r="D86" i="30" l="1"/>
  <c r="D93" i="30"/>
  <c r="D95" i="30"/>
  <c r="D94" i="30"/>
  <c r="D96" i="30"/>
  <c r="D91" i="30"/>
  <c r="D85" i="30"/>
  <c r="D87" i="30"/>
  <c r="D92" i="30"/>
  <c r="AJ175" i="30"/>
  <c r="AK175" i="30"/>
  <c r="BA175" i="30"/>
  <c r="AD175" i="30"/>
  <c r="BJ175" i="30"/>
  <c r="AM175" i="30"/>
  <c r="BC175" i="30"/>
  <c r="AR175" i="30"/>
  <c r="BH175" i="30"/>
  <c r="AS175" i="30"/>
  <c r="AL175" i="30"/>
  <c r="AE175" i="30"/>
  <c r="CF175" i="30"/>
  <c r="AB175" i="30"/>
  <c r="CC175" i="30"/>
  <c r="AC175" i="30"/>
  <c r="BI175" i="30"/>
  <c r="AT175" i="30"/>
  <c r="AU175" i="30"/>
  <c r="AF175" i="30"/>
  <c r="AV175" i="30"/>
  <c r="CG175" i="30"/>
  <c r="AZ175" i="30"/>
  <c r="CD175" i="30"/>
  <c r="BB175" i="30"/>
  <c r="AN175" i="30"/>
  <c r="BD175" i="30"/>
  <c r="AG175" i="30"/>
  <c r="AO175" i="30"/>
  <c r="AW175" i="30"/>
  <c r="BE175" i="30"/>
  <c r="CH175" i="30"/>
  <c r="D84" i="30"/>
  <c r="CI83" i="30"/>
  <c r="CI168" i="30" s="1"/>
  <c r="CH83" i="30"/>
  <c r="CG83" i="30"/>
  <c r="CF83" i="30"/>
  <c r="CE83" i="30"/>
  <c r="CD83" i="30"/>
  <c r="CD168" i="30" s="1"/>
  <c r="CC83" i="30"/>
  <c r="CC168" i="30" s="1"/>
  <c r="CB83" i="30"/>
  <c r="BJ83" i="30"/>
  <c r="BI83" i="30"/>
  <c r="BI168" i="30" s="1"/>
  <c r="BH83" i="30"/>
  <c r="BH168" i="30" s="1"/>
  <c r="BG83" i="30"/>
  <c r="BF83" i="30"/>
  <c r="BF168" i="30" s="1"/>
  <c r="BE83" i="30"/>
  <c r="BD83" i="30"/>
  <c r="BC83" i="30"/>
  <c r="BB83" i="30"/>
  <c r="BA83" i="30"/>
  <c r="BA168" i="30" s="1"/>
  <c r="AZ83" i="30"/>
  <c r="AZ168" i="30" s="1"/>
  <c r="AY83" i="30"/>
  <c r="AX83" i="30"/>
  <c r="AX168" i="30" s="1"/>
  <c r="AW83" i="30"/>
  <c r="AV83" i="30"/>
  <c r="AU83" i="30"/>
  <c r="AT83" i="30"/>
  <c r="AS83" i="30"/>
  <c r="AS168" i="30" s="1"/>
  <c r="AR83" i="30"/>
  <c r="AR168" i="30" s="1"/>
  <c r="AQ83" i="30"/>
  <c r="AP83" i="30"/>
  <c r="AP168" i="30" s="1"/>
  <c r="AO83" i="30"/>
  <c r="AN83" i="30"/>
  <c r="AM83" i="30"/>
  <c r="AL83" i="30"/>
  <c r="AK83" i="30"/>
  <c r="AK168" i="30" s="1"/>
  <c r="AJ83" i="30"/>
  <c r="AJ168" i="30" s="1"/>
  <c r="AI83" i="30"/>
  <c r="AH83" i="30"/>
  <c r="AH168" i="30" s="1"/>
  <c r="AG83" i="30"/>
  <c r="AF83" i="30"/>
  <c r="AE83" i="30"/>
  <c r="AD83" i="30"/>
  <c r="AC83" i="30"/>
  <c r="AC168" i="30" s="1"/>
  <c r="AB83" i="30"/>
  <c r="AB168" i="30" s="1"/>
  <c r="AA83" i="30"/>
  <c r="D83" i="30" a="1"/>
  <c r="AD168" i="30" l="1"/>
  <c r="BB168" i="30"/>
  <c r="AM168" i="30"/>
  <c r="AF168" i="30"/>
  <c r="AV168" i="30"/>
  <c r="AG168" i="30"/>
  <c r="AO168" i="30"/>
  <c r="AW168" i="30"/>
  <c r="BE168" i="30"/>
  <c r="CH168" i="30"/>
  <c r="AL168" i="30"/>
  <c r="CE168" i="30"/>
  <c r="AE168" i="30"/>
  <c r="BC168" i="30"/>
  <c r="CF168" i="30"/>
  <c r="BD168" i="30"/>
  <c r="AT168" i="30"/>
  <c r="BJ168" i="30"/>
  <c r="AU168" i="30"/>
  <c r="AN168" i="30"/>
  <c r="CG168" i="30"/>
  <c r="AI168" i="30"/>
  <c r="AQ168" i="30"/>
  <c r="AY168" i="30"/>
  <c r="BG168" i="30"/>
  <c r="D83" i="30"/>
  <c r="CI82" i="30"/>
  <c r="CH82" i="30"/>
  <c r="CG82" i="30"/>
  <c r="CF82" i="30"/>
  <c r="CE82" i="30"/>
  <c r="CE167" i="30" s="1"/>
  <c r="CE63" i="33" s="1"/>
  <c r="CD82" i="30"/>
  <c r="CD167" i="30" s="1"/>
  <c r="CD63" i="33" s="1"/>
  <c r="CC82" i="30"/>
  <c r="CB82" i="30"/>
  <c r="BJ82" i="30"/>
  <c r="BJ167" i="30" s="1"/>
  <c r="BJ63" i="33" s="1"/>
  <c r="BI82" i="30"/>
  <c r="BI167" i="30" s="1"/>
  <c r="BI63" i="33" s="1"/>
  <c r="BH82" i="30"/>
  <c r="BG82" i="30"/>
  <c r="BF82" i="30"/>
  <c r="BE82" i="30"/>
  <c r="BD82" i="30"/>
  <c r="BC82" i="30"/>
  <c r="BB82" i="30"/>
  <c r="BB167" i="30" s="1"/>
  <c r="BB63" i="33" s="1"/>
  <c r="BA82" i="30"/>
  <c r="BA167" i="30" s="1"/>
  <c r="BA63" i="33" s="1"/>
  <c r="AZ82" i="30"/>
  <c r="AY82" i="30"/>
  <c r="AX82" i="30"/>
  <c r="AW82" i="30"/>
  <c r="AV82" i="30"/>
  <c r="AU82" i="30"/>
  <c r="AT82" i="30"/>
  <c r="AT167" i="30" s="1"/>
  <c r="AT63" i="33" s="1"/>
  <c r="AS82" i="30"/>
  <c r="AS167" i="30" s="1"/>
  <c r="AS63" i="33" s="1"/>
  <c r="AR82" i="30"/>
  <c r="AQ82" i="30"/>
  <c r="AP82" i="30"/>
  <c r="AO82" i="30"/>
  <c r="AN82" i="30"/>
  <c r="AM82" i="30"/>
  <c r="AL82" i="30"/>
  <c r="AK82" i="30"/>
  <c r="AK167" i="30" s="1"/>
  <c r="AK63" i="33" s="1"/>
  <c r="AJ82" i="30"/>
  <c r="AI82" i="30"/>
  <c r="AH82" i="30"/>
  <c r="AG82" i="30"/>
  <c r="AF82" i="30"/>
  <c r="AE82" i="30"/>
  <c r="AD82" i="30"/>
  <c r="AC82" i="30"/>
  <c r="AC167" i="30" s="1"/>
  <c r="AC63" i="33" s="1"/>
  <c r="AB82" i="30"/>
  <c r="AA82" i="30"/>
  <c r="D82" i="30" a="1"/>
  <c r="AL167" i="30" l="1"/>
  <c r="AL63" i="33" s="1"/>
  <c r="AE167" i="30"/>
  <c r="AE63" i="33" s="1"/>
  <c r="AU167" i="30"/>
  <c r="AU63" i="33" s="1"/>
  <c r="AN167" i="30"/>
  <c r="AN63" i="33" s="1"/>
  <c r="AG167" i="30"/>
  <c r="AG63" i="33" s="1"/>
  <c r="AW167" i="30"/>
  <c r="AW63" i="33" s="1"/>
  <c r="AH167" i="30"/>
  <c r="AH63" i="33" s="1"/>
  <c r="AP167" i="30"/>
  <c r="AP63" i="33" s="1"/>
  <c r="AX167" i="30"/>
  <c r="AX63" i="33" s="1"/>
  <c r="BF167" i="30"/>
  <c r="BF63" i="33" s="1"/>
  <c r="CI167" i="30"/>
  <c r="CI63" i="33" s="1"/>
  <c r="BC167" i="30"/>
  <c r="BC63" i="33" s="1"/>
  <c r="CF167" i="30"/>
  <c r="CF63" i="33" s="1"/>
  <c r="AF167" i="30"/>
  <c r="AF63" i="33" s="1"/>
  <c r="BD167" i="30"/>
  <c r="BD63" i="33" s="1"/>
  <c r="BE167" i="30"/>
  <c r="BE63" i="33" s="1"/>
  <c r="AQ167" i="30"/>
  <c r="AQ63" i="33" s="1"/>
  <c r="AD167" i="30"/>
  <c r="AD63" i="33" s="1"/>
  <c r="AM167" i="30"/>
  <c r="AM63" i="33" s="1"/>
  <c r="AV167" i="30"/>
  <c r="AV63" i="33" s="1"/>
  <c r="CG167" i="30"/>
  <c r="CG63" i="33" s="1"/>
  <c r="AO167" i="30"/>
  <c r="AO63" i="33" s="1"/>
  <c r="CH167" i="30"/>
  <c r="CH63" i="33" s="1"/>
  <c r="AI167" i="30"/>
  <c r="AI63" i="33" s="1"/>
  <c r="AY167" i="30"/>
  <c r="AY63" i="33" s="1"/>
  <c r="BG167" i="30"/>
  <c r="BG63" i="33" s="1"/>
  <c r="AB167" i="30"/>
  <c r="AB63" i="33" s="1"/>
  <c r="AJ167" i="30"/>
  <c r="AJ63" i="33" s="1"/>
  <c r="AR167" i="30"/>
  <c r="AR63" i="33" s="1"/>
  <c r="AZ167" i="30"/>
  <c r="AZ63" i="33" s="1"/>
  <c r="BH167" i="30"/>
  <c r="BH63" i="33" s="1"/>
  <c r="CC167" i="30"/>
  <c r="CC63" i="33" s="1"/>
  <c r="D82" i="30"/>
  <c r="CI81" i="30"/>
  <c r="CH81" i="30"/>
  <c r="CG81" i="30"/>
  <c r="CF81" i="30"/>
  <c r="CE81" i="30"/>
  <c r="CD81" i="30"/>
  <c r="CC81" i="30"/>
  <c r="CB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CI80" i="30"/>
  <c r="CH80" i="30"/>
  <c r="CG80" i="30"/>
  <c r="CF80" i="30"/>
  <c r="CE80" i="30"/>
  <c r="CD80" i="30"/>
  <c r="CC80" i="30"/>
  <c r="CB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CI79" i="30"/>
  <c r="CH79" i="30"/>
  <c r="CG79" i="30"/>
  <c r="CF79" i="30"/>
  <c r="CE79" i="30"/>
  <c r="CD79" i="30"/>
  <c r="CC79" i="30"/>
  <c r="CB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D79" i="30" a="1"/>
  <c r="D81" i="30" a="1"/>
  <c r="D80" i="30" a="1"/>
  <c r="D81" i="30" l="1"/>
  <c r="D80" i="30"/>
  <c r="AP162" i="30"/>
  <c r="AI162" i="30"/>
  <c r="AR162" i="30"/>
  <c r="BH162" i="30"/>
  <c r="CC162" i="30"/>
  <c r="AS162" i="30"/>
  <c r="AL162" i="30"/>
  <c r="BB162" i="30"/>
  <c r="AM162" i="30"/>
  <c r="AH162" i="30"/>
  <c r="AX162" i="30"/>
  <c r="AQ162" i="30"/>
  <c r="BG162" i="30"/>
  <c r="AJ162" i="30"/>
  <c r="AC162" i="30"/>
  <c r="AK162" i="30"/>
  <c r="BI162" i="30"/>
  <c r="CD162" i="30"/>
  <c r="AD162" i="30"/>
  <c r="BJ162" i="30"/>
  <c r="AE162" i="30"/>
  <c r="AU162" i="30"/>
  <c r="BC162" i="30"/>
  <c r="CF162" i="30"/>
  <c r="BF162" i="30"/>
  <c r="CI162" i="30"/>
  <c r="AY162" i="30"/>
  <c r="AB162" i="30"/>
  <c r="AZ162" i="30"/>
  <c r="BA162" i="30"/>
  <c r="AT162" i="30"/>
  <c r="CE162" i="30"/>
  <c r="AF162" i="30"/>
  <c r="AN162" i="30"/>
  <c r="AV162" i="30"/>
  <c r="BD162" i="30"/>
  <c r="CG162" i="30"/>
  <c r="AG162" i="30"/>
  <c r="AO162" i="30"/>
  <c r="AW162" i="30"/>
  <c r="BE162" i="30"/>
  <c r="CH162" i="30"/>
  <c r="D79" i="30"/>
  <c r="CI78" i="30"/>
  <c r="CH78" i="30"/>
  <c r="CG78" i="30"/>
  <c r="CF78" i="30"/>
  <c r="CE78" i="30"/>
  <c r="CD78" i="30"/>
  <c r="CC78" i="30"/>
  <c r="CB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D78" i="30" a="1"/>
  <c r="CC161" i="30" l="1"/>
  <c r="AK161" i="30"/>
  <c r="AH161" i="30"/>
  <c r="AP161" i="30"/>
  <c r="AX161" i="30"/>
  <c r="BF161" i="30"/>
  <c r="CI161" i="30"/>
  <c r="AQ161" i="30"/>
  <c r="BG161" i="30"/>
  <c r="AJ161" i="30"/>
  <c r="CD161" i="30"/>
  <c r="AI161" i="30"/>
  <c r="AY161" i="30"/>
  <c r="BH161" i="30"/>
  <c r="AB161" i="30"/>
  <c r="AS161" i="30"/>
  <c r="BA161" i="30"/>
  <c r="AL161" i="30"/>
  <c r="AT161" i="30"/>
  <c r="BJ161" i="30"/>
  <c r="AE161" i="30"/>
  <c r="AU161" i="30"/>
  <c r="CF161" i="30"/>
  <c r="AZ161" i="30"/>
  <c r="BI161" i="30"/>
  <c r="AD161" i="30"/>
  <c r="BB161" i="30"/>
  <c r="CE161" i="30"/>
  <c r="AM161" i="30"/>
  <c r="BC161" i="30"/>
  <c r="AV161" i="30"/>
  <c r="AR161" i="30"/>
  <c r="AC161" i="30"/>
  <c r="AF161" i="30"/>
  <c r="AN161" i="30"/>
  <c r="BD161" i="30"/>
  <c r="CG161" i="30"/>
  <c r="AG161" i="30"/>
  <c r="AO161" i="30"/>
  <c r="AW161" i="30"/>
  <c r="BE161" i="30"/>
  <c r="CH161" i="30"/>
  <c r="D15" i="35"/>
  <c r="D15" i="36"/>
  <c r="D78" i="30"/>
  <c r="D77" i="30" a="1"/>
  <c r="D13" i="35" l="1"/>
  <c r="D13" i="36"/>
  <c r="D77" i="30"/>
  <c r="EX76" i="30"/>
  <c r="CY76" i="30"/>
  <c r="CQ76" i="30" s="1"/>
  <c r="CX76" i="30"/>
  <c r="CW76" i="30"/>
  <c r="CV76" i="30"/>
  <c r="CP76" i="30" s="1"/>
  <c r="D76" i="30"/>
  <c r="EX75" i="30"/>
  <c r="EX74" i="30"/>
  <c r="C72" i="30"/>
  <c r="D68" i="30" a="1"/>
  <c r="D72" i="30" a="1"/>
  <c r="D73" i="30" a="1"/>
  <c r="D72" i="30" l="1"/>
  <c r="EX72" i="30" s="1"/>
  <c r="D73" i="30"/>
  <c r="D68" i="30"/>
  <c r="EX66" i="30"/>
  <c r="D66" i="30"/>
  <c r="EX65" i="30"/>
  <c r="EX64" i="30"/>
  <c r="BX64" i="30" a="1"/>
  <c r="BX64" i="30" s="1"/>
  <c r="V64" i="30" a="1"/>
  <c r="V64" i="30" s="1"/>
  <c r="EX63" i="30"/>
  <c r="D62" i="30"/>
  <c r="C62" i="30"/>
  <c r="C45" i="32" s="1"/>
  <c r="EX61" i="30"/>
  <c r="D60" i="30"/>
  <c r="C60" i="30"/>
  <c r="EX60" i="30" s="1"/>
  <c r="EX59" i="30"/>
  <c r="EX58" i="30"/>
  <c r="EX57" i="30"/>
  <c r="D56" i="30"/>
  <c r="C56" i="30"/>
  <c r="C37" i="32" s="1"/>
  <c r="EX37" i="32" s="1"/>
  <c r="EX55" i="30"/>
  <c r="D54" i="30"/>
  <c r="C54" i="30"/>
  <c r="EX54" i="30" s="1"/>
  <c r="D67" i="30" a="1"/>
  <c r="D53" i="30" a="1"/>
  <c r="D67" i="30" l="1"/>
  <c r="C18" i="13"/>
  <c r="EX18" i="13" s="1"/>
  <c r="EX45" i="32"/>
  <c r="EX62" i="30"/>
  <c r="EX56" i="30"/>
  <c r="D53" i="30"/>
  <c r="C53" i="30"/>
  <c r="C52" i="30"/>
  <c r="D52" i="30" a="1"/>
  <c r="D51" i="30" a="1"/>
  <c r="D52" i="30" l="1"/>
  <c r="EX52" i="30" s="1"/>
  <c r="D51" i="30"/>
  <c r="C51" i="30"/>
  <c r="D50" i="30" a="1"/>
  <c r="EX51" i="30" l="1"/>
  <c r="D50" i="30"/>
  <c r="C50" i="30"/>
  <c r="D49" i="30" a="1"/>
  <c r="EX50" i="30" l="1"/>
  <c r="D49" i="30"/>
  <c r="C49" i="30"/>
  <c r="EX48" i="30"/>
  <c r="D47" i="30"/>
  <c r="D54" i="33" s="1"/>
  <c r="C47" i="30"/>
  <c r="EX46" i="30"/>
  <c r="D45" i="30"/>
  <c r="C45" i="30"/>
  <c r="C105" i="13" s="1"/>
  <c r="EX105" i="13" s="1"/>
  <c r="D44" i="30" a="1"/>
  <c r="EX49" i="30" l="1"/>
  <c r="C106" i="13"/>
  <c r="EX106" i="13" s="1"/>
  <c r="C54" i="33"/>
  <c r="EX54" i="33" s="1"/>
  <c r="C148" i="30"/>
  <c r="EX47" i="30"/>
  <c r="EX45" i="30"/>
  <c r="D44" i="30"/>
  <c r="C44" i="30"/>
  <c r="D43" i="30" a="1"/>
  <c r="EX44" i="30" l="1"/>
  <c r="C109" i="13"/>
  <c r="EX109" i="13" s="1"/>
  <c r="EX148" i="30"/>
  <c r="D43" i="30"/>
  <c r="C43" i="30"/>
  <c r="D42" i="30" a="1"/>
  <c r="EX43" i="30" l="1"/>
  <c r="D42" i="30"/>
  <c r="C42" i="30"/>
  <c r="D41" i="30" a="1"/>
  <c r="EX42" i="30" l="1"/>
  <c r="D41" i="30"/>
  <c r="C41" i="30"/>
  <c r="D40" i="30" a="1"/>
  <c r="EX41" i="30" l="1"/>
  <c r="D40" i="30"/>
  <c r="C40" i="30"/>
  <c r="EX39" i="30"/>
  <c r="EX38" i="30"/>
  <c r="EX37" i="30"/>
  <c r="D36" i="30"/>
  <c r="C36" i="30"/>
  <c r="D35" i="30" a="1"/>
  <c r="EX40" i="30" l="1"/>
  <c r="C103" i="13"/>
  <c r="EX103" i="13" s="1"/>
  <c r="C43" i="32"/>
  <c r="EX43" i="32" s="1"/>
  <c r="EX36" i="30"/>
  <c r="D35" i="30"/>
  <c r="C35" i="30"/>
  <c r="D34" i="30" a="1"/>
  <c r="EX35" i="30" l="1"/>
  <c r="D34" i="30"/>
  <c r="C34" i="30"/>
  <c r="EX33" i="30"/>
  <c r="C32" i="30"/>
  <c r="EX32" i="30" s="1"/>
  <c r="EX31" i="30"/>
  <c r="C30" i="30"/>
  <c r="C98" i="13" s="1"/>
  <c r="EX98" i="13" s="1"/>
  <c r="D29" i="30" a="1"/>
  <c r="C101" i="13" l="1"/>
  <c r="EX101" i="13" s="1"/>
  <c r="EX34" i="30"/>
  <c r="EX30" i="30"/>
  <c r="D29" i="30"/>
  <c r="C29" i="30"/>
  <c r="D28" i="30" a="1"/>
  <c r="EX29" i="30" l="1"/>
  <c r="D28" i="30"/>
  <c r="C28" i="30"/>
  <c r="D27" i="30" a="1"/>
  <c r="EX28" i="30" l="1"/>
  <c r="D27" i="30"/>
  <c r="C27" i="30"/>
  <c r="EX26" i="30"/>
  <c r="C24" i="30"/>
  <c r="C97" i="13" s="1"/>
  <c r="EX97" i="13" s="1"/>
  <c r="D23" i="30" a="1"/>
  <c r="EX27" i="30" l="1"/>
  <c r="EX24" i="30"/>
  <c r="C25" i="30"/>
  <c r="EX25" i="30" s="1"/>
  <c r="D23" i="30"/>
  <c r="D75" i="35" s="1"/>
  <c r="C23" i="30"/>
  <c r="D22" i="30" a="1"/>
  <c r="EX23" i="30" l="1"/>
  <c r="D22" i="30"/>
  <c r="D74" i="35" s="1"/>
  <c r="C22" i="30"/>
  <c r="D21" i="30" a="1"/>
  <c r="C102" i="13" l="1"/>
  <c r="EX102" i="13" s="1"/>
  <c r="EX22" i="30"/>
  <c r="D21" i="30"/>
  <c r="D73" i="35" s="1"/>
  <c r="C21" i="30"/>
  <c r="D20" i="30" a="1"/>
  <c r="EX21" i="30" l="1"/>
  <c r="D20" i="30"/>
  <c r="D72" i="35" s="1"/>
  <c r="C20" i="30"/>
  <c r="D19" i="30" a="1"/>
  <c r="EX20" i="30" l="1"/>
  <c r="D19" i="30"/>
  <c r="D71" i="35" s="1"/>
  <c r="C19" i="30"/>
  <c r="D17" i="30" a="1"/>
  <c r="EX19" i="30" l="1"/>
  <c r="D17" i="30"/>
  <c r="D70" i="35" s="1"/>
  <c r="C17" i="30"/>
  <c r="D16" i="30" a="1"/>
  <c r="EX17" i="30" l="1"/>
  <c r="D16" i="30"/>
  <c r="D69" i="35" s="1"/>
  <c r="C16" i="30"/>
  <c r="D15" i="30" a="1"/>
  <c r="EX16" i="30" l="1"/>
  <c r="D15" i="30"/>
  <c r="D68" i="35" s="1"/>
  <c r="C15" i="30"/>
  <c r="D14" i="30" a="1"/>
  <c r="EX15" i="30" l="1"/>
  <c r="D14" i="30"/>
  <c r="D67" i="35" s="1"/>
  <c r="C14" i="30"/>
  <c r="EX13" i="30"/>
  <c r="F13" i="30" a="1"/>
  <c r="EX14" i="30" l="1"/>
  <c r="F13" i="30"/>
  <c r="EX12" i="30"/>
  <c r="EX11" i="30"/>
  <c r="BX11" i="30" a="1"/>
  <c r="BX11" i="30" s="1"/>
  <c r="V11" i="30" a="1"/>
  <c r="V11" i="30" s="1"/>
  <c r="EX10" i="30"/>
  <c r="EX9" i="30"/>
  <c r="EX8" i="30"/>
  <c r="BX6" i="30" a="1"/>
  <c r="BX6" i="30" s="1"/>
  <c r="V6" i="30" a="1"/>
  <c r="V6" i="30" s="1"/>
  <c r="A6" i="30" a="1"/>
  <c r="A6" i="30" s="1"/>
  <c r="D5" i="30"/>
  <c r="B5" i="30" a="1"/>
  <c r="B5" i="30" s="1"/>
  <c r="D4" i="30"/>
  <c r="B4" i="30" a="1"/>
  <c r="B4" i="30" s="1"/>
  <c r="D3" i="30"/>
  <c r="B3" i="30" a="1"/>
  <c r="B3" i="30" s="1"/>
  <c r="Y2" i="30"/>
  <c r="X2" i="30"/>
  <c r="W2" i="30"/>
  <c r="V2" i="30"/>
  <c r="BX1" i="30"/>
  <c r="AA1" i="30"/>
  <c r="V1" i="30"/>
  <c r="D1" i="30"/>
  <c r="D5" i="38"/>
  <c r="D4" i="38"/>
  <c r="D3" i="38"/>
  <c r="Y2" i="38"/>
  <c r="X2" i="38"/>
  <c r="W2" i="38"/>
  <c r="V2" i="38"/>
  <c r="A2" i="38"/>
  <c r="BX1" i="38"/>
  <c r="AA1" i="38"/>
  <c r="V1" i="38"/>
  <c r="D1" i="38"/>
  <c r="BJ287" i="6"/>
  <c r="BI287" i="6"/>
  <c r="BH287" i="6"/>
  <c r="BG287" i="6"/>
  <c r="BF287" i="6"/>
  <c r="BE287" i="6"/>
  <c r="BD287" i="6"/>
  <c r="BC287" i="6"/>
  <c r="BB287" i="6"/>
  <c r="BA287" i="6"/>
  <c r="AZ287" i="6"/>
  <c r="AY287" i="6"/>
  <c r="AX287" i="6"/>
  <c r="AW287" i="6"/>
  <c r="AV287" i="6"/>
  <c r="AU287" i="6"/>
  <c r="AT287" i="6"/>
  <c r="AS287" i="6"/>
  <c r="AR287" i="6"/>
  <c r="AQ287" i="6"/>
  <c r="AP287" i="6"/>
  <c r="AO287" i="6"/>
  <c r="AN287" i="6"/>
  <c r="AM287" i="6"/>
  <c r="AL287" i="6"/>
  <c r="AK287" i="6"/>
  <c r="AJ287" i="6"/>
  <c r="AI287" i="6"/>
  <c r="AH287" i="6"/>
  <c r="AG287" i="6"/>
  <c r="AF287" i="6"/>
  <c r="AE287" i="6"/>
  <c r="AD287" i="6"/>
  <c r="AC287" i="6"/>
  <c r="AB287" i="6"/>
  <c r="AA287" i="6"/>
  <c r="Y287" i="6"/>
  <c r="CA287" i="6" s="1"/>
  <c r="X287" i="6"/>
  <c r="BZ287" i="6" s="1"/>
  <c r="W287" i="6"/>
  <c r="BY287" i="6" s="1"/>
  <c r="EY286" i="6"/>
  <c r="CI286" i="6"/>
  <c r="CH286" i="6"/>
  <c r="CG286" i="6"/>
  <c r="CF286" i="6"/>
  <c r="CE286" i="6"/>
  <c r="CD286" i="6"/>
  <c r="CC286" i="6"/>
  <c r="CB286" i="6"/>
  <c r="V286" i="6"/>
  <c r="V287" i="6" s="1"/>
  <c r="BX287" i="6" s="1"/>
  <c r="EY285" i="6"/>
  <c r="EY284" i="6"/>
  <c r="D284" i="6"/>
  <c r="CC284" i="6" s="1"/>
  <c r="CC258" i="6" s="1"/>
  <c r="EY283" i="6"/>
  <c r="D283" i="6"/>
  <c r="CE283" i="6" s="1"/>
  <c r="CE252" i="6" s="1"/>
  <c r="EY282" i="6"/>
  <c r="D282" i="6"/>
  <c r="CE282" i="6" s="1"/>
  <c r="CE247" i="6" s="1"/>
  <c r="EY281" i="6"/>
  <c r="EY280" i="6"/>
  <c r="EY279" i="6"/>
  <c r="CI279" i="6"/>
  <c r="CH279" i="6"/>
  <c r="CG279" i="6"/>
  <c r="CF279" i="6"/>
  <c r="CE279" i="6"/>
  <c r="CD279" i="6"/>
  <c r="CC279" i="6"/>
  <c r="CB279" i="6"/>
  <c r="BX279" i="6"/>
  <c r="BJ279" i="6"/>
  <c r="BI279" i="6"/>
  <c r="BH279" i="6"/>
  <c r="BG279" i="6"/>
  <c r="BF279" i="6"/>
  <c r="BE279" i="6"/>
  <c r="BD279" i="6"/>
  <c r="BC279" i="6"/>
  <c r="BB279" i="6"/>
  <c r="BA279" i="6"/>
  <c r="AZ279" i="6"/>
  <c r="AY279" i="6"/>
  <c r="AX279" i="6"/>
  <c r="AW279" i="6"/>
  <c r="AV279" i="6"/>
  <c r="AU279" i="6"/>
  <c r="AT279" i="6"/>
  <c r="AS279" i="6"/>
  <c r="AR279" i="6"/>
  <c r="AQ279" i="6"/>
  <c r="AP279" i="6"/>
  <c r="AO279" i="6"/>
  <c r="AN279" i="6"/>
  <c r="AM279" i="6"/>
  <c r="AL279" i="6"/>
  <c r="AK279" i="6"/>
  <c r="AJ279" i="6"/>
  <c r="AI279" i="6"/>
  <c r="AH279" i="6"/>
  <c r="AG279" i="6"/>
  <c r="AF279" i="6"/>
  <c r="AE279" i="6"/>
  <c r="AD279" i="6"/>
  <c r="AC279" i="6"/>
  <c r="AB279" i="6"/>
  <c r="AA279" i="6"/>
  <c r="EY278" i="6"/>
  <c r="EY277" i="6"/>
  <c r="BX277" i="6"/>
  <c r="EY276" i="6"/>
  <c r="EY275" i="6"/>
  <c r="EY274" i="6"/>
  <c r="EY273" i="6"/>
  <c r="CI273" i="6"/>
  <c r="CH273" i="6"/>
  <c r="CG273" i="6"/>
  <c r="CF273" i="6"/>
  <c r="CE273" i="6"/>
  <c r="CD273" i="6"/>
  <c r="CC273" i="6"/>
  <c r="CB273" i="6"/>
  <c r="BJ273" i="6"/>
  <c r="BI273" i="6"/>
  <c r="BH273" i="6"/>
  <c r="BG273" i="6"/>
  <c r="BF273" i="6"/>
  <c r="BE273" i="6"/>
  <c r="BD273" i="6"/>
  <c r="BC273" i="6"/>
  <c r="BB273" i="6"/>
  <c r="BA273" i="6"/>
  <c r="AZ273" i="6"/>
  <c r="AY273" i="6"/>
  <c r="AX273" i="6"/>
  <c r="AW273" i="6"/>
  <c r="AV273" i="6"/>
  <c r="AU273" i="6"/>
  <c r="AT273" i="6"/>
  <c r="AS273" i="6"/>
  <c r="AR273" i="6"/>
  <c r="AQ273" i="6"/>
  <c r="AP273" i="6"/>
  <c r="AO273" i="6"/>
  <c r="AN273" i="6"/>
  <c r="AM273" i="6"/>
  <c r="AL273" i="6"/>
  <c r="AK273" i="6"/>
  <c r="AJ273" i="6"/>
  <c r="AI273" i="6"/>
  <c r="AH273" i="6"/>
  <c r="AG273" i="6"/>
  <c r="AF273" i="6"/>
  <c r="AE273" i="6"/>
  <c r="AD273" i="6"/>
  <c r="AC273" i="6"/>
  <c r="AB273" i="6"/>
  <c r="AA273" i="6"/>
  <c r="EY272" i="6"/>
  <c r="EY271" i="6"/>
  <c r="BX271" i="6"/>
  <c r="BX273" i="6" s="1"/>
  <c r="EY270" i="6"/>
  <c r="EY269" i="6"/>
  <c r="EY268" i="6"/>
  <c r="EY267" i="6"/>
  <c r="CI267" i="6"/>
  <c r="CH267" i="6"/>
  <c r="CG267" i="6"/>
  <c r="CF267" i="6"/>
  <c r="CE267" i="6"/>
  <c r="CD267" i="6"/>
  <c r="CC267" i="6"/>
  <c r="CB267" i="6"/>
  <c r="BJ267" i="6"/>
  <c r="BI267" i="6"/>
  <c r="BH267" i="6"/>
  <c r="BG267" i="6"/>
  <c r="BF267" i="6"/>
  <c r="BE267" i="6"/>
  <c r="BD267" i="6"/>
  <c r="BC267" i="6"/>
  <c r="BB267" i="6"/>
  <c r="BA267" i="6"/>
  <c r="AZ267" i="6"/>
  <c r="AY267" i="6"/>
  <c r="AX267" i="6"/>
  <c r="AW267" i="6"/>
  <c r="AV267" i="6"/>
  <c r="AU267" i="6"/>
  <c r="AT267" i="6"/>
  <c r="AS267" i="6"/>
  <c r="AR267" i="6"/>
  <c r="AQ267" i="6"/>
  <c r="AP267" i="6"/>
  <c r="AO267" i="6"/>
  <c r="AN267" i="6"/>
  <c r="AM267" i="6"/>
  <c r="AL267" i="6"/>
  <c r="AK267" i="6"/>
  <c r="AJ267" i="6"/>
  <c r="AI267" i="6"/>
  <c r="AH267" i="6"/>
  <c r="AG267" i="6"/>
  <c r="AF267" i="6"/>
  <c r="AE267" i="6"/>
  <c r="AD267" i="6"/>
  <c r="AC267" i="6"/>
  <c r="AB267" i="6"/>
  <c r="AA267" i="6"/>
  <c r="D267" i="6"/>
  <c r="EY266" i="6"/>
  <c r="EY265" i="6"/>
  <c r="BX265" i="6"/>
  <c r="BX267" i="6" s="1"/>
  <c r="D265" i="6"/>
  <c r="CD283" i="6" s="1"/>
  <c r="CD252" i="6" s="1"/>
  <c r="EY264" i="6"/>
  <c r="EY263" i="6"/>
  <c r="EY262" i="6"/>
  <c r="EY261" i="6"/>
  <c r="EY260" i="6"/>
  <c r="V259" i="6"/>
  <c r="V136" i="30" s="1"/>
  <c r="C259" i="6"/>
  <c r="C136" i="30" s="1"/>
  <c r="EX136" i="30" s="1"/>
  <c r="EY258" i="6"/>
  <c r="EY257" i="6"/>
  <c r="EY256" i="6"/>
  <c r="AA256" i="6"/>
  <c r="W256" i="6"/>
  <c r="BY256" i="6" s="1"/>
  <c r="V256" i="6"/>
  <c r="C256" i="6"/>
  <c r="EY255" i="6"/>
  <c r="EY254" i="6"/>
  <c r="V253" i="6"/>
  <c r="V135" i="30" s="1"/>
  <c r="C253" i="6"/>
  <c r="C135" i="30" s="1"/>
  <c r="EX135" i="30" s="1"/>
  <c r="EY252" i="6"/>
  <c r="V251" i="6"/>
  <c r="BX251" i="6" s="1"/>
  <c r="C251" i="6"/>
  <c r="EY251" i="6" s="1"/>
  <c r="EY250" i="6"/>
  <c r="EY249" i="6"/>
  <c r="V248" i="6"/>
  <c r="V134" i="30" s="1"/>
  <c r="C248" i="6"/>
  <c r="C134" i="30" s="1"/>
  <c r="EX134" i="30" s="1"/>
  <c r="EY247" i="6"/>
  <c r="EY246" i="6"/>
  <c r="A246" i="6" a="1"/>
  <c r="A246" i="6" s="1"/>
  <c r="W245" i="6"/>
  <c r="AA245" i="6" s="1"/>
  <c r="V245" i="6"/>
  <c r="C245" i="6"/>
  <c r="EY245" i="6" s="1"/>
  <c r="EY244" i="6"/>
  <c r="EY243" i="6"/>
  <c r="V242" i="6"/>
  <c r="V130" i="30" s="1"/>
  <c r="C242" i="6"/>
  <c r="C130" i="30" s="1"/>
  <c r="EX130" i="30" s="1"/>
  <c r="EY241" i="6"/>
  <c r="BX241" i="6"/>
  <c r="BX174" i="30" s="1"/>
  <c r="CY174" i="30" s="1"/>
  <c r="CQ174" i="30" s="1"/>
  <c r="EY240" i="6"/>
  <c r="BX240" i="6"/>
  <c r="EY239" i="6"/>
  <c r="BY239" i="6"/>
  <c r="W239" i="6"/>
  <c r="V239" i="6"/>
  <c r="C239" i="6"/>
  <c r="EY238" i="6"/>
  <c r="EY237" i="6"/>
  <c r="V236" i="6"/>
  <c r="V129" i="30" s="1"/>
  <c r="C236" i="6"/>
  <c r="C129" i="30" s="1"/>
  <c r="EX129" i="30" s="1"/>
  <c r="EY235" i="6"/>
  <c r="BX235" i="6"/>
  <c r="EY234" i="6"/>
  <c r="BX234" i="6"/>
  <c r="EY233" i="6"/>
  <c r="BX233" i="6"/>
  <c r="EY232" i="6"/>
  <c r="BX232" i="6"/>
  <c r="EY231" i="6"/>
  <c r="BX231" i="6"/>
  <c r="EY230" i="6"/>
  <c r="BX230" i="6"/>
  <c r="AA229" i="6"/>
  <c r="AA236" i="6" s="1"/>
  <c r="W229" i="6"/>
  <c r="BY229" i="6" s="1"/>
  <c r="V229" i="6"/>
  <c r="C229" i="6"/>
  <c r="EY229" i="6" s="1"/>
  <c r="EY228" i="6"/>
  <c r="EY227" i="6"/>
  <c r="V226" i="6"/>
  <c r="BX226" i="6" s="1"/>
  <c r="BX128" i="30" s="1"/>
  <c r="C226" i="6"/>
  <c r="C128" i="30" s="1"/>
  <c r="EX128" i="30" s="1"/>
  <c r="EY225" i="6"/>
  <c r="BX225" i="6"/>
  <c r="EY224" i="6"/>
  <c r="BX224" i="6"/>
  <c r="EY223" i="6"/>
  <c r="BX223" i="6"/>
  <c r="EY222" i="6"/>
  <c r="BX222" i="6"/>
  <c r="EY221" i="6"/>
  <c r="BX221" i="6"/>
  <c r="EY220" i="6"/>
  <c r="W220" i="6"/>
  <c r="V220" i="6"/>
  <c r="C220" i="6"/>
  <c r="EY219" i="6"/>
  <c r="EY218" i="6"/>
  <c r="EY217" i="6"/>
  <c r="V217" i="6"/>
  <c r="V127" i="30" s="1"/>
  <c r="C217" i="6"/>
  <c r="C127" i="30" s="1"/>
  <c r="EX127" i="30" s="1"/>
  <c r="EY216" i="6"/>
  <c r="BX216" i="6"/>
  <c r="EY215" i="6"/>
  <c r="BX215" i="6"/>
  <c r="BX154" i="30" s="1"/>
  <c r="CY154" i="30" s="1"/>
  <c r="CQ154" i="30" s="1"/>
  <c r="EY214" i="6"/>
  <c r="BX214" i="6"/>
  <c r="EY213" i="6"/>
  <c r="BX213" i="6"/>
  <c r="EY212" i="6"/>
  <c r="BX212" i="6"/>
  <c r="EY211" i="6"/>
  <c r="BX211" i="6"/>
  <c r="EY210" i="6"/>
  <c r="BX210" i="6"/>
  <c r="EY209" i="6"/>
  <c r="BX209" i="6"/>
  <c r="BX153" i="30" s="1"/>
  <c r="CY153" i="30" s="1"/>
  <c r="CQ153" i="30" s="1"/>
  <c r="EY208" i="6"/>
  <c r="BX208" i="6"/>
  <c r="EY207" i="6"/>
  <c r="BX207" i="6"/>
  <c r="W206" i="6"/>
  <c r="AA206" i="6" s="1"/>
  <c r="AA217" i="6" s="1"/>
  <c r="V206" i="6"/>
  <c r="C206" i="6"/>
  <c r="EY206" i="6" s="1"/>
  <c r="EY205" i="6"/>
  <c r="EY204" i="6"/>
  <c r="EY203" i="6"/>
  <c r="V203" i="6"/>
  <c r="C203" i="6"/>
  <c r="C109" i="30" s="1"/>
  <c r="EX109" i="30" s="1"/>
  <c r="EY202" i="6"/>
  <c r="EY201" i="6"/>
  <c r="BX200" i="6"/>
  <c r="BX108" i="30" s="1"/>
  <c r="V200" i="6"/>
  <c r="V108" i="30" s="1"/>
  <c r="C200" i="6"/>
  <c r="C108" i="30" s="1"/>
  <c r="EX108" i="30" s="1"/>
  <c r="EY199" i="6"/>
  <c r="EY198" i="6"/>
  <c r="BX197" i="6"/>
  <c r="BX107" i="30" s="1"/>
  <c r="V197" i="6"/>
  <c r="C197" i="6"/>
  <c r="C107" i="30" s="1"/>
  <c r="EX107" i="30" s="1"/>
  <c r="EY196" i="6"/>
  <c r="EY195" i="6"/>
  <c r="EY194" i="6"/>
  <c r="V194" i="6"/>
  <c r="C194" i="6"/>
  <c r="C106" i="30" s="1"/>
  <c r="EX106" i="30" s="1"/>
  <c r="EY193" i="6"/>
  <c r="EY192" i="6"/>
  <c r="V191" i="6"/>
  <c r="V105" i="30" s="1"/>
  <c r="C191" i="6"/>
  <c r="EY190" i="6"/>
  <c r="EY189" i="6"/>
  <c r="V188" i="6"/>
  <c r="C188" i="6"/>
  <c r="C104" i="30" s="1"/>
  <c r="EX104" i="30" s="1"/>
  <c r="EY187" i="6"/>
  <c r="EY186" i="6"/>
  <c r="V185" i="6"/>
  <c r="V103" i="30" s="1"/>
  <c r="C185" i="6"/>
  <c r="C103" i="30" s="1"/>
  <c r="EX103" i="30" s="1"/>
  <c r="EY184" i="6"/>
  <c r="EY183" i="6"/>
  <c r="BX182" i="6"/>
  <c r="BX102" i="30" s="1"/>
  <c r="V182" i="6"/>
  <c r="V102" i="30" s="1"/>
  <c r="C182" i="6"/>
  <c r="C102" i="30" s="1"/>
  <c r="EX102" i="30" s="1"/>
  <c r="EY181" i="6"/>
  <c r="EY180" i="6"/>
  <c r="C179" i="6"/>
  <c r="C101" i="30" s="1"/>
  <c r="EX101" i="30" s="1"/>
  <c r="EY178" i="6"/>
  <c r="EY177" i="6"/>
  <c r="EY176" i="6"/>
  <c r="CI176" i="6"/>
  <c r="CI123" i="30" s="1"/>
  <c r="CH176" i="6"/>
  <c r="CH123" i="30" s="1"/>
  <c r="CG176" i="6"/>
  <c r="CG123" i="30" s="1"/>
  <c r="CF176" i="6"/>
  <c r="CF123" i="30" s="1"/>
  <c r="CE176" i="6"/>
  <c r="CE123" i="30" s="1"/>
  <c r="CD176" i="6"/>
  <c r="CD123" i="30" s="1"/>
  <c r="CC176" i="6"/>
  <c r="CC123" i="30" s="1"/>
  <c r="CB176" i="6"/>
  <c r="CB123" i="30" s="1"/>
  <c r="BJ176" i="6"/>
  <c r="BJ123" i="30" s="1"/>
  <c r="BI176" i="6"/>
  <c r="BI123" i="30" s="1"/>
  <c r="BH176" i="6"/>
  <c r="BH123" i="30" s="1"/>
  <c r="BG176" i="6"/>
  <c r="BG123" i="30" s="1"/>
  <c r="BF176" i="6"/>
  <c r="BF123" i="30" s="1"/>
  <c r="BE176" i="6"/>
  <c r="BE123" i="30" s="1"/>
  <c r="BD176" i="6"/>
  <c r="BD123" i="30" s="1"/>
  <c r="BC176" i="6"/>
  <c r="BC123" i="30" s="1"/>
  <c r="BB176" i="6"/>
  <c r="BB123" i="30" s="1"/>
  <c r="BA176" i="6"/>
  <c r="BA123" i="30" s="1"/>
  <c r="AZ176" i="6"/>
  <c r="AZ123" i="30" s="1"/>
  <c r="AY176" i="6"/>
  <c r="AY123" i="30" s="1"/>
  <c r="AX176" i="6"/>
  <c r="AX123" i="30" s="1"/>
  <c r="AW176" i="6"/>
  <c r="AW123" i="30" s="1"/>
  <c r="AV176" i="6"/>
  <c r="AV123" i="30" s="1"/>
  <c r="AU176" i="6"/>
  <c r="AU123" i="30" s="1"/>
  <c r="AT176" i="6"/>
  <c r="AT123" i="30" s="1"/>
  <c r="AS176" i="6"/>
  <c r="AS123" i="30" s="1"/>
  <c r="AR176" i="6"/>
  <c r="AR123" i="30" s="1"/>
  <c r="AQ176" i="6"/>
  <c r="AQ123" i="30" s="1"/>
  <c r="AP176" i="6"/>
  <c r="AP123" i="30" s="1"/>
  <c r="AO176" i="6"/>
  <c r="AO123" i="30" s="1"/>
  <c r="AN176" i="6"/>
  <c r="AN123" i="30" s="1"/>
  <c r="AM176" i="6"/>
  <c r="AM123" i="30" s="1"/>
  <c r="AL176" i="6"/>
  <c r="AL123" i="30" s="1"/>
  <c r="AK176" i="6"/>
  <c r="AK123" i="30" s="1"/>
  <c r="AJ176" i="6"/>
  <c r="AJ123" i="30" s="1"/>
  <c r="AI176" i="6"/>
  <c r="AI123" i="30" s="1"/>
  <c r="AH176" i="6"/>
  <c r="AH123" i="30" s="1"/>
  <c r="AG176" i="6"/>
  <c r="AG123" i="30" s="1"/>
  <c r="AF176" i="6"/>
  <c r="AF123" i="30" s="1"/>
  <c r="AE176" i="6"/>
  <c r="AE123" i="30" s="1"/>
  <c r="AD176" i="6"/>
  <c r="AD123" i="30" s="1"/>
  <c r="AC176" i="6"/>
  <c r="AC123" i="30" s="1"/>
  <c r="AB176" i="6"/>
  <c r="AB123" i="30" s="1"/>
  <c r="AA176" i="6"/>
  <c r="AA123" i="30" s="1"/>
  <c r="C176" i="6"/>
  <c r="C123" i="30" s="1"/>
  <c r="EX123" i="30" s="1"/>
  <c r="V175" i="6"/>
  <c r="V100" i="30" s="1"/>
  <c r="C175" i="6"/>
  <c r="EY174" i="6"/>
  <c r="EY173" i="6"/>
  <c r="V173" i="6"/>
  <c r="BX173" i="6" s="1"/>
  <c r="EY172" i="6"/>
  <c r="EY171" i="6"/>
  <c r="BX170" i="6"/>
  <c r="BX99" i="30" s="1"/>
  <c r="V170" i="6"/>
  <c r="V99" i="30" s="1"/>
  <c r="C170" i="6"/>
  <c r="EY169" i="6"/>
  <c r="EY168" i="6"/>
  <c r="V167" i="6"/>
  <c r="C167" i="6"/>
  <c r="C98" i="30" s="1"/>
  <c r="EY166" i="6"/>
  <c r="CI164" i="6"/>
  <c r="CI122" i="30" s="1"/>
  <c r="CH164" i="6"/>
  <c r="CH122" i="30" s="1"/>
  <c r="CG164" i="6"/>
  <c r="CG122" i="30" s="1"/>
  <c r="CF164" i="6"/>
  <c r="CF122" i="30" s="1"/>
  <c r="CE164" i="6"/>
  <c r="CE122" i="30" s="1"/>
  <c r="CD164" i="6"/>
  <c r="CD122" i="30" s="1"/>
  <c r="CC164" i="6"/>
  <c r="CC122" i="30" s="1"/>
  <c r="CB164" i="6"/>
  <c r="CB122" i="30" s="1"/>
  <c r="BJ164" i="6"/>
  <c r="BJ122" i="30" s="1"/>
  <c r="BI164" i="6"/>
  <c r="BI122" i="30" s="1"/>
  <c r="BH164" i="6"/>
  <c r="BH122" i="30" s="1"/>
  <c r="BG164" i="6"/>
  <c r="BG122" i="30" s="1"/>
  <c r="BF164" i="6"/>
  <c r="BF122" i="30" s="1"/>
  <c r="BE164" i="6"/>
  <c r="BE122" i="30" s="1"/>
  <c r="BD164" i="6"/>
  <c r="BD122" i="30" s="1"/>
  <c r="BC164" i="6"/>
  <c r="BC122" i="30" s="1"/>
  <c r="BB164" i="6"/>
  <c r="BB122" i="30" s="1"/>
  <c r="BA164" i="6"/>
  <c r="BA122" i="30" s="1"/>
  <c r="AZ164" i="6"/>
  <c r="AZ122" i="30" s="1"/>
  <c r="AY164" i="6"/>
  <c r="AY122" i="30" s="1"/>
  <c r="AX164" i="6"/>
  <c r="AX122" i="30" s="1"/>
  <c r="AW164" i="6"/>
  <c r="AW122" i="30" s="1"/>
  <c r="AV164" i="6"/>
  <c r="AV122" i="30" s="1"/>
  <c r="AU164" i="6"/>
  <c r="AU122" i="30" s="1"/>
  <c r="AT164" i="6"/>
  <c r="AT122" i="30" s="1"/>
  <c r="AS164" i="6"/>
  <c r="AS122" i="30" s="1"/>
  <c r="AR164" i="6"/>
  <c r="AR122" i="30" s="1"/>
  <c r="AQ164" i="6"/>
  <c r="AQ122" i="30" s="1"/>
  <c r="AP164" i="6"/>
  <c r="AP122" i="30" s="1"/>
  <c r="AO164" i="6"/>
  <c r="AO122" i="30" s="1"/>
  <c r="AN164" i="6"/>
  <c r="AN122" i="30" s="1"/>
  <c r="AM164" i="6"/>
  <c r="AM122" i="30" s="1"/>
  <c r="AL164" i="6"/>
  <c r="AL122" i="30" s="1"/>
  <c r="AK164" i="6"/>
  <c r="AK122" i="30" s="1"/>
  <c r="AJ164" i="6"/>
  <c r="AJ122" i="30" s="1"/>
  <c r="AI164" i="6"/>
  <c r="AI122" i="30" s="1"/>
  <c r="AH164" i="6"/>
  <c r="AH122" i="30" s="1"/>
  <c r="AG164" i="6"/>
  <c r="AG122" i="30" s="1"/>
  <c r="AF164" i="6"/>
  <c r="AF122" i="30" s="1"/>
  <c r="AE164" i="6"/>
  <c r="AE122" i="30" s="1"/>
  <c r="AD164" i="6"/>
  <c r="AD122" i="30" s="1"/>
  <c r="AC164" i="6"/>
  <c r="AC122" i="30" s="1"/>
  <c r="AB164" i="6"/>
  <c r="AB122" i="30" s="1"/>
  <c r="AA164" i="6"/>
  <c r="AA122" i="30" s="1"/>
  <c r="V164" i="6"/>
  <c r="V122" i="30" s="1"/>
  <c r="BX163" i="6"/>
  <c r="BX97" i="30" s="1"/>
  <c r="V163" i="6"/>
  <c r="V161" i="6"/>
  <c r="EY159" i="6"/>
  <c r="EY158" i="6"/>
  <c r="C158" i="6"/>
  <c r="C121" i="30" s="1"/>
  <c r="EX121" i="30" s="1"/>
  <c r="EY157" i="6"/>
  <c r="BX157" i="6"/>
  <c r="BX96" i="30" s="1"/>
  <c r="V157" i="6"/>
  <c r="V96" i="30" s="1"/>
  <c r="C157" i="6"/>
  <c r="C96" i="30" s="1"/>
  <c r="EX96" i="30" s="1"/>
  <c r="EY156" i="6"/>
  <c r="EY155" i="6"/>
  <c r="V155" i="6"/>
  <c r="V158" i="6" s="1"/>
  <c r="V121" i="30" s="1"/>
  <c r="EY154" i="6"/>
  <c r="BX154" i="6"/>
  <c r="EY153" i="6"/>
  <c r="BX153" i="6"/>
  <c r="EY152" i="6"/>
  <c r="BX152" i="6"/>
  <c r="EY151" i="6"/>
  <c r="BX151" i="6"/>
  <c r="EY150" i="6"/>
  <c r="BX150" i="6"/>
  <c r="EY149" i="6"/>
  <c r="BX149" i="6"/>
  <c r="EY148" i="6"/>
  <c r="BX148" i="6"/>
  <c r="EY147" i="6"/>
  <c r="BX147" i="6"/>
  <c r="EY146" i="6"/>
  <c r="BX146" i="6"/>
  <c r="EY145" i="6"/>
  <c r="BX145" i="6"/>
  <c r="EY144" i="6"/>
  <c r="BX144" i="6"/>
  <c r="EY143" i="6"/>
  <c r="BX143" i="6"/>
  <c r="EY142" i="6"/>
  <c r="BX142" i="6"/>
  <c r="AA142" i="6"/>
  <c r="AA155" i="6" s="1"/>
  <c r="W142" i="6"/>
  <c r="V142" i="6"/>
  <c r="EY141" i="6"/>
  <c r="EY140" i="6"/>
  <c r="C139" i="6"/>
  <c r="V138" i="6"/>
  <c r="V95" i="30" s="1"/>
  <c r="C138" i="6"/>
  <c r="C95" i="30" s="1"/>
  <c r="EX95" i="30" s="1"/>
  <c r="EY137" i="6"/>
  <c r="EY136" i="6"/>
  <c r="EY135" i="6"/>
  <c r="EY134" i="6"/>
  <c r="C133" i="6"/>
  <c r="C119" i="30" s="1"/>
  <c r="EX119" i="30" s="1"/>
  <c r="V94" i="30"/>
  <c r="C132" i="6"/>
  <c r="EY130" i="6"/>
  <c r="EY129" i="6"/>
  <c r="BX200" i="30"/>
  <c r="EY128" i="6"/>
  <c r="BX204" i="30"/>
  <c r="EY127" i="6"/>
  <c r="EY126" i="6"/>
  <c r="EY125" i="6"/>
  <c r="EY124" i="6"/>
  <c r="EY123" i="6"/>
  <c r="EY122" i="6"/>
  <c r="BX122" i="6"/>
  <c r="BX130" i="6" s="1"/>
  <c r="EY121" i="6"/>
  <c r="BX121" i="6"/>
  <c r="EY120" i="6"/>
  <c r="BX120" i="6"/>
  <c r="EY119" i="6"/>
  <c r="BX119" i="6"/>
  <c r="EY118" i="6"/>
  <c r="EY117" i="6"/>
  <c r="V117" i="6"/>
  <c r="EY116" i="6"/>
  <c r="EY115" i="6"/>
  <c r="EY114" i="6"/>
  <c r="EY113" i="6"/>
  <c r="EY112" i="6"/>
  <c r="EY111" i="6"/>
  <c r="EY110" i="6"/>
  <c r="EY109" i="6"/>
  <c r="EY108" i="6"/>
  <c r="EY107" i="6"/>
  <c r="C106" i="6"/>
  <c r="V105" i="6"/>
  <c r="V93" i="30" s="1"/>
  <c r="C105" i="6"/>
  <c r="C93" i="30" s="1"/>
  <c r="EX93" i="30" s="1"/>
  <c r="EY104" i="6"/>
  <c r="EY103" i="6"/>
  <c r="EY102" i="6"/>
  <c r="EY101" i="6"/>
  <c r="EY100" i="6"/>
  <c r="C100" i="6"/>
  <c r="C117" i="30" s="1"/>
  <c r="EX117" i="30" s="1"/>
  <c r="V99" i="6"/>
  <c r="V92" i="30" s="1"/>
  <c r="C99" i="6"/>
  <c r="C92" i="30" s="1"/>
  <c r="EX92" i="30" s="1"/>
  <c r="EY98" i="6"/>
  <c r="EY97" i="6"/>
  <c r="EY96" i="6"/>
  <c r="EY95" i="6"/>
  <c r="EY94" i="6"/>
  <c r="C94" i="6"/>
  <c r="C91" i="30" s="1"/>
  <c r="EX91" i="30" s="1"/>
  <c r="EY93" i="6"/>
  <c r="EY92" i="6"/>
  <c r="EY91" i="6"/>
  <c r="EY90" i="6"/>
  <c r="CI89" i="6"/>
  <c r="CI87" i="30" s="1"/>
  <c r="CH89" i="6"/>
  <c r="CH87" i="30" s="1"/>
  <c r="CG89" i="6"/>
  <c r="CG87" i="30" s="1"/>
  <c r="CF89" i="6"/>
  <c r="CF87" i="30" s="1"/>
  <c r="CE89" i="6"/>
  <c r="CE87" i="30" s="1"/>
  <c r="CD89" i="6"/>
  <c r="CD87" i="30" s="1"/>
  <c r="CC89" i="6"/>
  <c r="CC87" i="30" s="1"/>
  <c r="CB89" i="6"/>
  <c r="CB87" i="30" s="1"/>
  <c r="BJ89" i="6"/>
  <c r="BJ87" i="30" s="1"/>
  <c r="BI89" i="6"/>
  <c r="BI87" i="30" s="1"/>
  <c r="BH89" i="6"/>
  <c r="BH87" i="30" s="1"/>
  <c r="BG89" i="6"/>
  <c r="BG87" i="30" s="1"/>
  <c r="BF89" i="6"/>
  <c r="BF87" i="30" s="1"/>
  <c r="BE89" i="6"/>
  <c r="BE87" i="30" s="1"/>
  <c r="BD89" i="6"/>
  <c r="BD87" i="30" s="1"/>
  <c r="BC89" i="6"/>
  <c r="BC87" i="30" s="1"/>
  <c r="BB89" i="6"/>
  <c r="BB87" i="30" s="1"/>
  <c r="BA89" i="6"/>
  <c r="BA87" i="30" s="1"/>
  <c r="AZ89" i="6"/>
  <c r="AZ87" i="30" s="1"/>
  <c r="AY89" i="6"/>
  <c r="AY87" i="30" s="1"/>
  <c r="AX89" i="6"/>
  <c r="AX87" i="30" s="1"/>
  <c r="AW89" i="6"/>
  <c r="AW87" i="30" s="1"/>
  <c r="AV89" i="6"/>
  <c r="AV87" i="30" s="1"/>
  <c r="AU89" i="6"/>
  <c r="AU87" i="30" s="1"/>
  <c r="AT89" i="6"/>
  <c r="AT87" i="30" s="1"/>
  <c r="AS89" i="6"/>
  <c r="AS87" i="30" s="1"/>
  <c r="AR89" i="6"/>
  <c r="AR87" i="30" s="1"/>
  <c r="AQ89" i="6"/>
  <c r="AQ87" i="30" s="1"/>
  <c r="AP89" i="6"/>
  <c r="AP87" i="30" s="1"/>
  <c r="AO89" i="6"/>
  <c r="AO87" i="30" s="1"/>
  <c r="AN89" i="6"/>
  <c r="AN87" i="30" s="1"/>
  <c r="AM89" i="6"/>
  <c r="AM87" i="30" s="1"/>
  <c r="AL89" i="6"/>
  <c r="AL87" i="30" s="1"/>
  <c r="AK89" i="6"/>
  <c r="AK87" i="30" s="1"/>
  <c r="AJ89" i="6"/>
  <c r="AJ87" i="30" s="1"/>
  <c r="AI89" i="6"/>
  <c r="AI87" i="30" s="1"/>
  <c r="AH89" i="6"/>
  <c r="AH87" i="30" s="1"/>
  <c r="AG89" i="6"/>
  <c r="AG87" i="30" s="1"/>
  <c r="AF89" i="6"/>
  <c r="AF87" i="30" s="1"/>
  <c r="AE89" i="6"/>
  <c r="AE87" i="30" s="1"/>
  <c r="AD89" i="6"/>
  <c r="AD87" i="30" s="1"/>
  <c r="AC89" i="6"/>
  <c r="AC87" i="30" s="1"/>
  <c r="AB89" i="6"/>
  <c r="AB87" i="30" s="1"/>
  <c r="AA89" i="6"/>
  <c r="AA87" i="30" s="1"/>
  <c r="C89" i="6"/>
  <c r="C87" i="30" s="1"/>
  <c r="A89" i="6" a="1"/>
  <c r="A89" i="6" s="1"/>
  <c r="EY88" i="6"/>
  <c r="EY87" i="6"/>
  <c r="EY86" i="6"/>
  <c r="BX86" i="6"/>
  <c r="V86" i="6"/>
  <c r="C86" i="6"/>
  <c r="C86" i="30" s="1"/>
  <c r="EX86" i="30" s="1"/>
  <c r="EY85" i="6"/>
  <c r="EY84" i="6"/>
  <c r="EY83" i="6"/>
  <c r="BX83" i="6"/>
  <c r="V83" i="6"/>
  <c r="C83" i="6"/>
  <c r="C85" i="30" s="1"/>
  <c r="EX85" i="30" s="1"/>
  <c r="EY82" i="6"/>
  <c r="BX82" i="6"/>
  <c r="BX205" i="30" s="1"/>
  <c r="EY81" i="6"/>
  <c r="EY80" i="6"/>
  <c r="EY79" i="6"/>
  <c r="BX79" i="6"/>
  <c r="V79" i="6"/>
  <c r="C79" i="6"/>
  <c r="C84" i="30" s="1"/>
  <c r="EX84" i="30" s="1"/>
  <c r="EY78" i="6"/>
  <c r="EY77" i="6"/>
  <c r="EY76" i="6"/>
  <c r="BX76" i="6"/>
  <c r="BX83" i="30" s="1"/>
  <c r="V76" i="6"/>
  <c r="V83" i="30" s="1"/>
  <c r="C76" i="6"/>
  <c r="C83" i="30" s="1"/>
  <c r="EX83" i="30" s="1"/>
  <c r="EY75" i="6"/>
  <c r="EY74" i="6"/>
  <c r="BX73" i="6"/>
  <c r="BX82" i="30" s="1"/>
  <c r="V73" i="6"/>
  <c r="V82" i="30" s="1"/>
  <c r="C73" i="6"/>
  <c r="C82" i="30" s="1"/>
  <c r="EX82" i="30" s="1"/>
  <c r="EY72" i="6"/>
  <c r="EY71" i="6"/>
  <c r="EY70" i="6"/>
  <c r="V70" i="6"/>
  <c r="V81" i="30" s="1"/>
  <c r="C70" i="6"/>
  <c r="C81" i="30" s="1"/>
  <c r="EX81" i="30" s="1"/>
  <c r="EY69" i="6"/>
  <c r="CI69" i="6"/>
  <c r="CH69" i="6"/>
  <c r="CG69" i="6"/>
  <c r="CF69" i="6"/>
  <c r="CE69" i="6"/>
  <c r="CD69" i="6"/>
  <c r="CC69" i="6"/>
  <c r="CB69" i="6"/>
  <c r="BJ69" i="6"/>
  <c r="BJ68" i="6" s="1"/>
  <c r="BI69" i="6"/>
  <c r="BH69" i="6"/>
  <c r="BG69" i="6"/>
  <c r="BF69" i="6"/>
  <c r="BE69" i="6"/>
  <c r="BD69" i="6"/>
  <c r="BC69" i="6"/>
  <c r="BB69" i="6"/>
  <c r="BA69" i="6"/>
  <c r="AZ69" i="6"/>
  <c r="AY69" i="6"/>
  <c r="AX69" i="6"/>
  <c r="AW69" i="6"/>
  <c r="AV69" i="6"/>
  <c r="AU69" i="6"/>
  <c r="AT69" i="6"/>
  <c r="AT68" i="6" s="1"/>
  <c r="AS69" i="6"/>
  <c r="AR69" i="6"/>
  <c r="AQ69" i="6"/>
  <c r="AP69" i="6"/>
  <c r="AO69" i="6"/>
  <c r="AN69" i="6"/>
  <c r="AM69" i="6"/>
  <c r="AL69" i="6"/>
  <c r="AK69" i="6"/>
  <c r="AJ69" i="6"/>
  <c r="AI69" i="6"/>
  <c r="AH69" i="6"/>
  <c r="AG69" i="6"/>
  <c r="AF69" i="6"/>
  <c r="AE69" i="6"/>
  <c r="AD69" i="6"/>
  <c r="AD68" i="6" s="1"/>
  <c r="AC69" i="6"/>
  <c r="AB69" i="6"/>
  <c r="AA69" i="6"/>
  <c r="V69" i="6"/>
  <c r="EY68" i="6"/>
  <c r="CI68" i="6"/>
  <c r="CC68" i="6"/>
  <c r="BF68" i="6"/>
  <c r="BD68" i="6"/>
  <c r="AX68" i="6"/>
  <c r="AV68" i="6"/>
  <c r="AP68" i="6"/>
  <c r="AN68" i="6"/>
  <c r="AH68" i="6"/>
  <c r="AF68" i="6"/>
  <c r="CI67" i="6"/>
  <c r="CH67" i="6"/>
  <c r="CH68" i="6" s="1"/>
  <c r="CG67" i="6"/>
  <c r="CG68" i="6" s="1"/>
  <c r="CF67" i="6"/>
  <c r="CF68" i="6" s="1"/>
  <c r="CE67" i="6"/>
  <c r="CE68" i="6" s="1"/>
  <c r="CD67" i="6"/>
  <c r="CD68" i="6" s="1"/>
  <c r="CC67" i="6"/>
  <c r="BY67" i="6"/>
  <c r="BJ67" i="6"/>
  <c r="BI67" i="6"/>
  <c r="BI68" i="6" s="1"/>
  <c r="BH67" i="6"/>
  <c r="BH68" i="6" s="1"/>
  <c r="BG67" i="6"/>
  <c r="BG68" i="6" s="1"/>
  <c r="BF67" i="6"/>
  <c r="BE67" i="6"/>
  <c r="BE68" i="6" s="1"/>
  <c r="BD67" i="6"/>
  <c r="BC67" i="6"/>
  <c r="BC68" i="6" s="1"/>
  <c r="BB67" i="6"/>
  <c r="BB68" i="6" s="1"/>
  <c r="BA67" i="6"/>
  <c r="BA68" i="6" s="1"/>
  <c r="AZ67" i="6"/>
  <c r="AZ68" i="6" s="1"/>
  <c r="AY67" i="6"/>
  <c r="AY68" i="6" s="1"/>
  <c r="AX67" i="6"/>
  <c r="AW67" i="6"/>
  <c r="AW68" i="6" s="1"/>
  <c r="AV67" i="6"/>
  <c r="AU67" i="6"/>
  <c r="AU68" i="6" s="1"/>
  <c r="AT67" i="6"/>
  <c r="AS67" i="6"/>
  <c r="AS68" i="6" s="1"/>
  <c r="AR67" i="6"/>
  <c r="AR68" i="6" s="1"/>
  <c r="AQ67" i="6"/>
  <c r="AQ68" i="6" s="1"/>
  <c r="AP67" i="6"/>
  <c r="AO67" i="6"/>
  <c r="AO68" i="6" s="1"/>
  <c r="AN67" i="6"/>
  <c r="AM67" i="6"/>
  <c r="AM68" i="6" s="1"/>
  <c r="AL67" i="6"/>
  <c r="AL68" i="6" s="1"/>
  <c r="AK67" i="6"/>
  <c r="AK68" i="6" s="1"/>
  <c r="AJ67" i="6"/>
  <c r="AJ68" i="6" s="1"/>
  <c r="AI67" i="6"/>
  <c r="AI68" i="6" s="1"/>
  <c r="AH67" i="6"/>
  <c r="AG67" i="6"/>
  <c r="AG68" i="6" s="1"/>
  <c r="AF67" i="6"/>
  <c r="AE67" i="6"/>
  <c r="AE68" i="6" s="1"/>
  <c r="AD67" i="6"/>
  <c r="AC67" i="6"/>
  <c r="AC68" i="6" s="1"/>
  <c r="AB67" i="6"/>
  <c r="AB68" i="6" s="1"/>
  <c r="W67" i="6"/>
  <c r="V67" i="6"/>
  <c r="BX67" i="6" s="1"/>
  <c r="C67" i="6"/>
  <c r="EY67" i="6" s="1"/>
  <c r="EY66" i="6"/>
  <c r="EY65" i="6"/>
  <c r="BX64" i="6"/>
  <c r="BX80" i="30" s="1"/>
  <c r="V64" i="6"/>
  <c r="V80" i="30" s="1"/>
  <c r="C64" i="6"/>
  <c r="EY63" i="6"/>
  <c r="BX63" i="6"/>
  <c r="EY62" i="6"/>
  <c r="EY61" i="6"/>
  <c r="EY60" i="6"/>
  <c r="BX60" i="6"/>
  <c r="BX79" i="30" s="1"/>
  <c r="V60" i="6"/>
  <c r="V79" i="30" s="1"/>
  <c r="C60" i="6"/>
  <c r="C79" i="30" s="1"/>
  <c r="EY59" i="6"/>
  <c r="BX59" i="6"/>
  <c r="BX69" i="6" s="1"/>
  <c r="EY58" i="6"/>
  <c r="EY57" i="6"/>
  <c r="EY56" i="6"/>
  <c r="V56" i="6"/>
  <c r="C56" i="6"/>
  <c r="C78" i="30" s="1"/>
  <c r="EY55" i="6"/>
  <c r="BX55" i="6"/>
  <c r="EY54" i="6"/>
  <c r="EY53" i="6"/>
  <c r="C52" i="6"/>
  <c r="C77" i="30" s="1"/>
  <c r="EX77" i="30" s="1"/>
  <c r="EY51" i="6"/>
  <c r="EY50" i="6"/>
  <c r="EY49" i="6"/>
  <c r="EY48" i="6"/>
  <c r="CI47" i="6"/>
  <c r="CI73" i="30" s="1"/>
  <c r="CH47" i="6"/>
  <c r="CH73" i="30" s="1"/>
  <c r="CG47" i="6"/>
  <c r="CG73" i="30" s="1"/>
  <c r="CF47" i="6"/>
  <c r="CF73" i="30" s="1"/>
  <c r="CE47" i="6"/>
  <c r="CE73" i="30" s="1"/>
  <c r="CD47" i="6"/>
  <c r="CD73" i="30" s="1"/>
  <c r="CC47" i="6"/>
  <c r="CC73" i="30" s="1"/>
  <c r="CB47" i="6"/>
  <c r="CB73" i="30" s="1"/>
  <c r="BJ47" i="6"/>
  <c r="BJ73" i="30" s="1"/>
  <c r="BI47" i="6"/>
  <c r="BI73" i="30" s="1"/>
  <c r="BH47" i="6"/>
  <c r="BH73" i="30" s="1"/>
  <c r="BG47" i="6"/>
  <c r="BG73" i="30" s="1"/>
  <c r="BF47" i="6"/>
  <c r="BF73" i="30" s="1"/>
  <c r="BE47" i="6"/>
  <c r="BE73" i="30" s="1"/>
  <c r="BD47" i="6"/>
  <c r="BD73" i="30" s="1"/>
  <c r="BC47" i="6"/>
  <c r="BC73" i="30" s="1"/>
  <c r="BB47" i="6"/>
  <c r="BB73" i="30" s="1"/>
  <c r="BA47" i="6"/>
  <c r="BA73" i="30" s="1"/>
  <c r="AZ47" i="6"/>
  <c r="AZ73" i="30" s="1"/>
  <c r="AY47" i="6"/>
  <c r="AY73" i="30" s="1"/>
  <c r="AX47" i="6"/>
  <c r="AX73" i="30" s="1"/>
  <c r="AW47" i="6"/>
  <c r="AW73" i="30" s="1"/>
  <c r="AV47" i="6"/>
  <c r="AV73" i="30" s="1"/>
  <c r="AU47" i="6"/>
  <c r="AU73" i="30" s="1"/>
  <c r="AT47" i="6"/>
  <c r="AT73" i="30" s="1"/>
  <c r="AS47" i="6"/>
  <c r="AS73" i="30" s="1"/>
  <c r="AR47" i="6"/>
  <c r="AR73" i="30" s="1"/>
  <c r="AQ47" i="6"/>
  <c r="AQ73" i="30" s="1"/>
  <c r="AP47" i="6"/>
  <c r="AP73" i="30" s="1"/>
  <c r="AO47" i="6"/>
  <c r="AO73" i="30" s="1"/>
  <c r="AN47" i="6"/>
  <c r="AN73" i="30" s="1"/>
  <c r="AM47" i="6"/>
  <c r="AM73" i="30" s="1"/>
  <c r="AL47" i="6"/>
  <c r="AL73" i="30" s="1"/>
  <c r="AK47" i="6"/>
  <c r="AK73" i="30" s="1"/>
  <c r="AJ47" i="6"/>
  <c r="AJ73" i="30" s="1"/>
  <c r="AI47" i="6"/>
  <c r="AI73" i="30" s="1"/>
  <c r="AH47" i="6"/>
  <c r="AH73" i="30" s="1"/>
  <c r="AG47" i="6"/>
  <c r="AG73" i="30" s="1"/>
  <c r="AF47" i="6"/>
  <c r="AF73" i="30" s="1"/>
  <c r="AE47" i="6"/>
  <c r="AE73" i="30" s="1"/>
  <c r="AD47" i="6"/>
  <c r="AD73" i="30" s="1"/>
  <c r="AC47" i="6"/>
  <c r="AC73" i="30" s="1"/>
  <c r="AB47" i="6"/>
  <c r="AB73" i="30" s="1"/>
  <c r="AA47" i="6"/>
  <c r="AA73" i="30" s="1"/>
  <c r="C47" i="6"/>
  <c r="C73" i="30" s="1"/>
  <c r="EX73" i="30" s="1"/>
  <c r="A47" i="6" a="1"/>
  <c r="A47" i="6" s="1"/>
  <c r="EY46" i="6"/>
  <c r="EY45" i="6"/>
  <c r="EY44" i="6"/>
  <c r="V44" i="6"/>
  <c r="V72" i="30" s="1"/>
  <c r="EY43" i="6"/>
  <c r="BX43" i="6"/>
  <c r="EY42" i="6"/>
  <c r="EY41" i="6"/>
  <c r="BY40" i="6"/>
  <c r="BX40" i="6"/>
  <c r="AA40" i="6"/>
  <c r="W40" i="6"/>
  <c r="V40" i="6"/>
  <c r="C40" i="6"/>
  <c r="EY40" i="6" s="1"/>
  <c r="EY39" i="6"/>
  <c r="EY38" i="6"/>
  <c r="C37" i="6"/>
  <c r="C71" i="30" s="1"/>
  <c r="EY36" i="6"/>
  <c r="EY35" i="6"/>
  <c r="C34" i="6"/>
  <c r="C70" i="30" s="1"/>
  <c r="EY33" i="6"/>
  <c r="EY32" i="6"/>
  <c r="C31" i="6"/>
  <c r="C69" i="30" s="1"/>
  <c r="EY30" i="6"/>
  <c r="EY29" i="6"/>
  <c r="C28" i="6"/>
  <c r="C68" i="30" s="1"/>
  <c r="EX68" i="30" s="1"/>
  <c r="EY27" i="6"/>
  <c r="EY26" i="6"/>
  <c r="C25" i="6"/>
  <c r="C67" i="30" s="1"/>
  <c r="EX67" i="30" s="1"/>
  <c r="EY24" i="6"/>
  <c r="EY23" i="6"/>
  <c r="EY22" i="6"/>
  <c r="EY21" i="6"/>
  <c r="EY20" i="6"/>
  <c r="EY19" i="6"/>
  <c r="EY18" i="6"/>
  <c r="EY17" i="6"/>
  <c r="EY16" i="6"/>
  <c r="EY15" i="6"/>
  <c r="EY14" i="6"/>
  <c r="BN14" i="6"/>
  <c r="BM14" i="6"/>
  <c r="BL14" i="6"/>
  <c r="BK14" i="6"/>
  <c r="EY13" i="6"/>
  <c r="EY12" i="6"/>
  <c r="EY11" i="6"/>
  <c r="EY10" i="6"/>
  <c r="EY9" i="6"/>
  <c r="EY8" i="6"/>
  <c r="BX6" i="6" a="1"/>
  <c r="BX6" i="6" s="1"/>
  <c r="V6" i="6" a="1"/>
  <c r="V6" i="6" s="1"/>
  <c r="A6" i="6" a="1"/>
  <c r="A6" i="6" s="1"/>
  <c r="D5" i="6"/>
  <c r="C5" i="6" a="1"/>
  <c r="C5" i="6" s="1"/>
  <c r="B5" i="6" a="1"/>
  <c r="B5" i="6" s="1"/>
  <c r="D4" i="6"/>
  <c r="B4" i="6" a="1"/>
  <c r="B4" i="6" s="1"/>
  <c r="D3" i="6"/>
  <c r="B3" i="6" a="1"/>
  <c r="B3" i="6" s="1"/>
  <c r="B2" i="38" a="1"/>
  <c r="E13" i="30" a="1"/>
  <c r="B2" i="30" a="1"/>
  <c r="A3" i="38" a="1"/>
  <c r="A3" i="30" a="1"/>
  <c r="A3" i="6" a="1"/>
  <c r="BX117" i="6" l="1"/>
  <c r="BX125" i="6" s="1"/>
  <c r="V125" i="6"/>
  <c r="EY25" i="6"/>
  <c r="EY52" i="6"/>
  <c r="A3" i="30"/>
  <c r="A3" i="38"/>
  <c r="B2" i="30"/>
  <c r="E13" i="30"/>
  <c r="B2" i="38"/>
  <c r="CB287" i="6"/>
  <c r="EY28" i="6"/>
  <c r="V78" i="30"/>
  <c r="AA67" i="6"/>
  <c r="AA68" i="6" s="1"/>
  <c r="BX102" i="33"/>
  <c r="BX215" i="30"/>
  <c r="BX84" i="30"/>
  <c r="C118" i="30"/>
  <c r="EX118" i="30" s="1"/>
  <c r="EY106" i="6"/>
  <c r="C80" i="30"/>
  <c r="EX80" i="30" s="1"/>
  <c r="EY64" i="6"/>
  <c r="AA127" i="30"/>
  <c r="AB206" i="6"/>
  <c r="AB217" i="6" s="1"/>
  <c r="EY47" i="6"/>
  <c r="BX56" i="6"/>
  <c r="BX78" i="30" s="1"/>
  <c r="C15" i="36"/>
  <c r="EX15" i="36" s="1"/>
  <c r="EX79" i="30"/>
  <c r="AB142" i="6"/>
  <c r="AB155" i="6" s="1"/>
  <c r="AA158" i="6"/>
  <c r="AA121" i="30" s="1"/>
  <c r="V102" i="33"/>
  <c r="V215" i="30"/>
  <c r="V84" i="30"/>
  <c r="CY72" i="30"/>
  <c r="CQ72" i="30" s="1"/>
  <c r="BX44" i="6"/>
  <c r="BX72" i="30" s="1"/>
  <c r="C13" i="36"/>
  <c r="EX13" i="36" s="1"/>
  <c r="EX78" i="30"/>
  <c r="CY79" i="30"/>
  <c r="CQ79" i="30" s="1"/>
  <c r="AA162" i="30"/>
  <c r="CY80" i="30"/>
  <c r="CQ80" i="30" s="1"/>
  <c r="BX70" i="6"/>
  <c r="CY83" i="30"/>
  <c r="CQ83" i="30" s="1"/>
  <c r="AA168" i="30"/>
  <c r="EY89" i="6"/>
  <c r="BX83" i="33"/>
  <c r="CY200" i="30"/>
  <c r="CQ200" i="30" s="1"/>
  <c r="BX132" i="6"/>
  <c r="BX94" i="30" s="1"/>
  <c r="EY133" i="6"/>
  <c r="EY167" i="6"/>
  <c r="V176" i="6"/>
  <c r="EY179" i="6"/>
  <c r="BX185" i="6"/>
  <c r="BX103" i="30" s="1"/>
  <c r="V107" i="30"/>
  <c r="EY197" i="6"/>
  <c r="BX206" i="6"/>
  <c r="AF61" i="33"/>
  <c r="AN61" i="33"/>
  <c r="AV61" i="33"/>
  <c r="BD61" i="33"/>
  <c r="CG61" i="33"/>
  <c r="BY206" i="6"/>
  <c r="V68" i="6"/>
  <c r="EY73" i="6"/>
  <c r="V103" i="33"/>
  <c r="V216" i="30"/>
  <c r="AA191" i="30"/>
  <c r="AA74" i="33" s="1"/>
  <c r="V86" i="30"/>
  <c r="EY105" i="6"/>
  <c r="AA117" i="6"/>
  <c r="V133" i="6"/>
  <c r="EY138" i="6"/>
  <c r="BX161" i="6"/>
  <c r="BX164" i="6" s="1"/>
  <c r="BX122" i="30" s="1"/>
  <c r="CY122" i="30" s="1"/>
  <c r="CQ122" i="30" s="1"/>
  <c r="V97" i="30"/>
  <c r="CY97" i="30" s="1"/>
  <c r="CQ97" i="30" s="1"/>
  <c r="C100" i="30"/>
  <c r="EX100" i="30" s="1"/>
  <c r="EY175" i="6"/>
  <c r="AA220" i="6"/>
  <c r="AA226" i="6" s="1"/>
  <c r="EY99" i="6"/>
  <c r="BX86" i="33"/>
  <c r="CY204" i="30"/>
  <c r="CQ204" i="30" s="1"/>
  <c r="AH61" i="33"/>
  <c r="AP61" i="33"/>
  <c r="AX61" i="33"/>
  <c r="BF61" i="33"/>
  <c r="CI61" i="33"/>
  <c r="C105" i="30"/>
  <c r="EX105" i="30" s="1"/>
  <c r="EY191" i="6"/>
  <c r="V106" i="30"/>
  <c r="BX87" i="33"/>
  <c r="CY205" i="30"/>
  <c r="CQ205" i="30" s="1"/>
  <c r="C94" i="30"/>
  <c r="EX94" i="30" s="1"/>
  <c r="EY132" i="6"/>
  <c r="C120" i="30"/>
  <c r="EX120" i="30" s="1"/>
  <c r="EY139" i="6"/>
  <c r="BY142" i="6"/>
  <c r="CY103" i="30"/>
  <c r="CQ103" i="30" s="1"/>
  <c r="AA173" i="30"/>
  <c r="V104" i="30"/>
  <c r="BX188" i="6"/>
  <c r="BX104" i="30" s="1"/>
  <c r="CY105" i="30"/>
  <c r="CQ105" i="30" s="1"/>
  <c r="AA170" i="30"/>
  <c r="V109" i="30"/>
  <c r="BX203" i="6"/>
  <c r="BX109" i="30" s="1"/>
  <c r="V128" i="30"/>
  <c r="CY128" i="30" s="1"/>
  <c r="CQ128" i="30" s="1"/>
  <c r="CY94" i="30"/>
  <c r="CQ94" i="30" s="1"/>
  <c r="C17" i="36"/>
  <c r="EX17" i="36" s="1"/>
  <c r="EX98" i="30"/>
  <c r="C99" i="30"/>
  <c r="EX99" i="30" s="1"/>
  <c r="EY170" i="6"/>
  <c r="AB61" i="33"/>
  <c r="AJ61" i="33"/>
  <c r="AR61" i="33"/>
  <c r="AZ61" i="33"/>
  <c r="BH61" i="33"/>
  <c r="CC61" i="33"/>
  <c r="CY102" i="30"/>
  <c r="CQ102" i="30" s="1"/>
  <c r="AA172" i="30"/>
  <c r="BX220" i="6"/>
  <c r="BX103" i="33"/>
  <c r="BX216" i="30"/>
  <c r="BX86" i="30"/>
  <c r="BX155" i="6"/>
  <c r="BX158" i="6" s="1"/>
  <c r="BX121" i="30" s="1"/>
  <c r="CY121" i="30" s="1"/>
  <c r="CQ121" i="30" s="1"/>
  <c r="V98" i="30"/>
  <c r="BX167" i="6"/>
  <c r="BX98" i="30" s="1"/>
  <c r="CY99" i="30"/>
  <c r="CQ99" i="30" s="1"/>
  <c r="BX175" i="6"/>
  <c r="BX100" i="30" s="1"/>
  <c r="CY100" i="30" s="1"/>
  <c r="CQ100" i="30" s="1"/>
  <c r="EY185" i="6"/>
  <c r="EY188" i="6"/>
  <c r="BX194" i="6"/>
  <c r="BX106" i="30" s="1"/>
  <c r="EY200" i="6"/>
  <c r="BY220" i="6"/>
  <c r="AA129" i="30"/>
  <c r="AB229" i="6"/>
  <c r="AB236" i="6" s="1"/>
  <c r="CY82" i="30"/>
  <c r="CQ82" i="30" s="1"/>
  <c r="AA167" i="30"/>
  <c r="V19" i="32"/>
  <c r="V85" i="30"/>
  <c r="BX19" i="32"/>
  <c r="BX85" i="30"/>
  <c r="BY117" i="6"/>
  <c r="BY125" i="6" s="1"/>
  <c r="CY96" i="30"/>
  <c r="CQ96" i="30" s="1"/>
  <c r="AD61" i="33"/>
  <c r="AL61" i="33"/>
  <c r="AT61" i="33"/>
  <c r="BB61" i="33"/>
  <c r="BJ61" i="33"/>
  <c r="CE61" i="33"/>
  <c r="EY182" i="6"/>
  <c r="BX191" i="6"/>
  <c r="BX105" i="30" s="1"/>
  <c r="BX229" i="6"/>
  <c r="AA239" i="6"/>
  <c r="AA242" i="6" s="1"/>
  <c r="BX192" i="30"/>
  <c r="BX184" i="30"/>
  <c r="CY108" i="30"/>
  <c r="CQ108" i="30" s="1"/>
  <c r="AA165" i="30"/>
  <c r="V252" i="6"/>
  <c r="EY253" i="6"/>
  <c r="BX259" i="6"/>
  <c r="BX136" i="30" s="1"/>
  <c r="CY136" i="30" s="1"/>
  <c r="CQ136" i="30" s="1"/>
  <c r="AE282" i="6"/>
  <c r="AE247" i="6" s="1"/>
  <c r="AM282" i="6"/>
  <c r="AM247" i="6" s="1"/>
  <c r="AU282" i="6"/>
  <c r="AU247" i="6" s="1"/>
  <c r="BC282" i="6"/>
  <c r="BC247" i="6" s="1"/>
  <c r="CF282" i="6"/>
  <c r="CF247" i="6" s="1"/>
  <c r="AD283" i="6"/>
  <c r="AD252" i="6" s="1"/>
  <c r="AL283" i="6"/>
  <c r="AL252" i="6" s="1"/>
  <c r="AT283" i="6"/>
  <c r="AT252" i="6" s="1"/>
  <c r="BB283" i="6"/>
  <c r="BB252" i="6" s="1"/>
  <c r="BJ283" i="6"/>
  <c r="BJ252" i="6" s="1"/>
  <c r="AC284" i="6"/>
  <c r="AC258" i="6" s="1"/>
  <c r="AK284" i="6"/>
  <c r="AK258" i="6" s="1"/>
  <c r="AS284" i="6"/>
  <c r="AS258" i="6" s="1"/>
  <c r="BA284" i="6"/>
  <c r="BA258" i="6" s="1"/>
  <c r="BI284" i="6"/>
  <c r="BI258" i="6" s="1"/>
  <c r="CD284" i="6"/>
  <c r="CD258" i="6" s="1"/>
  <c r="CC287" i="6"/>
  <c r="BX239" i="6"/>
  <c r="W251" i="6"/>
  <c r="AF282" i="6"/>
  <c r="AF247" i="6" s="1"/>
  <c r="AN282" i="6"/>
  <c r="AN247" i="6" s="1"/>
  <c r="AV282" i="6"/>
  <c r="AV247" i="6" s="1"/>
  <c r="BD282" i="6"/>
  <c r="BD247" i="6" s="1"/>
  <c r="CG282" i="6"/>
  <c r="CG247" i="6" s="1"/>
  <c r="AE283" i="6"/>
  <c r="AE252" i="6" s="1"/>
  <c r="AM283" i="6"/>
  <c r="AM252" i="6" s="1"/>
  <c r="AU283" i="6"/>
  <c r="AU252" i="6" s="1"/>
  <c r="BC283" i="6"/>
  <c r="BC252" i="6" s="1"/>
  <c r="CF283" i="6"/>
  <c r="CF252" i="6" s="1"/>
  <c r="AD284" i="6"/>
  <c r="AD258" i="6" s="1"/>
  <c r="AL284" i="6"/>
  <c r="AL258" i="6" s="1"/>
  <c r="AT284" i="6"/>
  <c r="AT258" i="6" s="1"/>
  <c r="BB284" i="6"/>
  <c r="BB258" i="6" s="1"/>
  <c r="BJ284" i="6"/>
  <c r="BJ258" i="6" s="1"/>
  <c r="CE284" i="6"/>
  <c r="CE258" i="6" s="1"/>
  <c r="EY248" i="6"/>
  <c r="BX253" i="6"/>
  <c r="BX135" i="30" s="1"/>
  <c r="CY135" i="30" s="1"/>
  <c r="CQ135" i="30" s="1"/>
  <c r="AG282" i="6"/>
  <c r="AG247" i="6" s="1"/>
  <c r="AO282" i="6"/>
  <c r="AO247" i="6" s="1"/>
  <c r="AW282" i="6"/>
  <c r="AW247" i="6" s="1"/>
  <c r="BE282" i="6"/>
  <c r="BE247" i="6" s="1"/>
  <c r="CH282" i="6"/>
  <c r="CH247" i="6" s="1"/>
  <c r="W283" i="6"/>
  <c r="W252" i="6" s="1"/>
  <c r="AF283" i="6"/>
  <c r="AF252" i="6" s="1"/>
  <c r="AN283" i="6"/>
  <c r="AN252" i="6" s="1"/>
  <c r="AV283" i="6"/>
  <c r="AV252" i="6" s="1"/>
  <c r="BD283" i="6"/>
  <c r="BD252" i="6" s="1"/>
  <c r="BY283" i="6"/>
  <c r="BY252" i="6" s="1"/>
  <c r="CG283" i="6"/>
  <c r="CG252" i="6" s="1"/>
  <c r="AE284" i="6"/>
  <c r="AE258" i="6" s="1"/>
  <c r="AM284" i="6"/>
  <c r="AM258" i="6" s="1"/>
  <c r="AU284" i="6"/>
  <c r="AU258" i="6" s="1"/>
  <c r="BC284" i="6"/>
  <c r="BC258" i="6" s="1"/>
  <c r="CF284" i="6"/>
  <c r="CF258" i="6" s="1"/>
  <c r="EY236" i="6"/>
  <c r="BX245" i="6"/>
  <c r="AH282" i="6"/>
  <c r="AH247" i="6" s="1"/>
  <c r="AP282" i="6"/>
  <c r="AP247" i="6" s="1"/>
  <c r="AX282" i="6"/>
  <c r="AX247" i="6" s="1"/>
  <c r="BF282" i="6"/>
  <c r="BF247" i="6" s="1"/>
  <c r="CI282" i="6"/>
  <c r="CI247" i="6" s="1"/>
  <c r="X283" i="6"/>
  <c r="X252" i="6" s="1"/>
  <c r="AG283" i="6"/>
  <c r="AG252" i="6" s="1"/>
  <c r="AO283" i="6"/>
  <c r="AO252" i="6" s="1"/>
  <c r="AW283" i="6"/>
  <c r="AW252" i="6" s="1"/>
  <c r="BE283" i="6"/>
  <c r="BE252" i="6" s="1"/>
  <c r="BZ283" i="6"/>
  <c r="BZ252" i="6" s="1"/>
  <c r="CH283" i="6"/>
  <c r="CH252" i="6" s="1"/>
  <c r="AF284" i="6"/>
  <c r="AF258" i="6" s="1"/>
  <c r="AN284" i="6"/>
  <c r="AN258" i="6" s="1"/>
  <c r="AV284" i="6"/>
  <c r="AV258" i="6" s="1"/>
  <c r="BD284" i="6"/>
  <c r="BD258" i="6" s="1"/>
  <c r="CG284" i="6"/>
  <c r="CG258" i="6" s="1"/>
  <c r="EY226" i="6"/>
  <c r="BY245" i="6"/>
  <c r="BX248" i="6"/>
  <c r="BX134" i="30" s="1"/>
  <c r="AA282" i="6"/>
  <c r="AA247" i="6" s="1"/>
  <c r="AI282" i="6"/>
  <c r="AI247" i="6" s="1"/>
  <c r="AQ282" i="6"/>
  <c r="AQ247" i="6" s="1"/>
  <c r="AY282" i="6"/>
  <c r="AY247" i="6" s="1"/>
  <c r="BG282" i="6"/>
  <c r="BG247" i="6" s="1"/>
  <c r="CB282" i="6"/>
  <c r="CB247" i="6" s="1"/>
  <c r="Y283" i="6"/>
  <c r="Y252" i="6" s="1"/>
  <c r="AH283" i="6"/>
  <c r="AH252" i="6" s="1"/>
  <c r="AP283" i="6"/>
  <c r="AP252" i="6" s="1"/>
  <c r="AX283" i="6"/>
  <c r="AX252" i="6" s="1"/>
  <c r="BF283" i="6"/>
  <c r="BF252" i="6" s="1"/>
  <c r="CA283" i="6"/>
  <c r="CA252" i="6" s="1"/>
  <c r="CI283" i="6"/>
  <c r="CI252" i="6" s="1"/>
  <c r="AG284" i="6"/>
  <c r="AG258" i="6" s="1"/>
  <c r="AO284" i="6"/>
  <c r="AO258" i="6" s="1"/>
  <c r="AW284" i="6"/>
  <c r="AW258" i="6" s="1"/>
  <c r="BE284" i="6"/>
  <c r="BE258" i="6" s="1"/>
  <c r="CH284" i="6"/>
  <c r="CH258" i="6" s="1"/>
  <c r="BX152" i="30"/>
  <c r="BX217" i="6"/>
  <c r="BX127" i="30" s="1"/>
  <c r="BX236" i="6"/>
  <c r="BX129" i="30" s="1"/>
  <c r="CY129" i="30" s="1"/>
  <c r="CQ129" i="30" s="1"/>
  <c r="EY242" i="6"/>
  <c r="AB282" i="6"/>
  <c r="AB247" i="6" s="1"/>
  <c r="AJ282" i="6"/>
  <c r="AJ247" i="6" s="1"/>
  <c r="AR282" i="6"/>
  <c r="AR247" i="6" s="1"/>
  <c r="AZ282" i="6"/>
  <c r="AZ247" i="6" s="1"/>
  <c r="BH282" i="6"/>
  <c r="BH247" i="6" s="1"/>
  <c r="CC282" i="6"/>
  <c r="CC247" i="6" s="1"/>
  <c r="AA283" i="6"/>
  <c r="AA252" i="6" s="1"/>
  <c r="AI283" i="6"/>
  <c r="AI252" i="6" s="1"/>
  <c r="AQ283" i="6"/>
  <c r="AQ252" i="6" s="1"/>
  <c r="AY283" i="6"/>
  <c r="AY252" i="6" s="1"/>
  <c r="BG283" i="6"/>
  <c r="BG252" i="6" s="1"/>
  <c r="CB283" i="6"/>
  <c r="CB252" i="6" s="1"/>
  <c r="AH284" i="6"/>
  <c r="AH258" i="6" s="1"/>
  <c r="AP284" i="6"/>
  <c r="AP258" i="6" s="1"/>
  <c r="AX284" i="6"/>
  <c r="AX258" i="6" s="1"/>
  <c r="BF284" i="6"/>
  <c r="BF258" i="6" s="1"/>
  <c r="CI284" i="6"/>
  <c r="CI258" i="6" s="1"/>
  <c r="BX256" i="6"/>
  <c r="EY259" i="6"/>
  <c r="AC282" i="6"/>
  <c r="AC247" i="6" s="1"/>
  <c r="AK282" i="6"/>
  <c r="AK247" i="6" s="1"/>
  <c r="AS282" i="6"/>
  <c r="AS247" i="6" s="1"/>
  <c r="BA282" i="6"/>
  <c r="BA247" i="6" s="1"/>
  <c r="BI282" i="6"/>
  <c r="BI247" i="6" s="1"/>
  <c r="CD282" i="6"/>
  <c r="CD247" i="6" s="1"/>
  <c r="AB283" i="6"/>
  <c r="AB252" i="6" s="1"/>
  <c r="AJ283" i="6"/>
  <c r="AJ252" i="6" s="1"/>
  <c r="AR283" i="6"/>
  <c r="AR252" i="6" s="1"/>
  <c r="AZ283" i="6"/>
  <c r="AZ252" i="6" s="1"/>
  <c r="BH283" i="6"/>
  <c r="BH252" i="6" s="1"/>
  <c r="CC283" i="6"/>
  <c r="CC252" i="6" s="1"/>
  <c r="AA284" i="6"/>
  <c r="AA258" i="6" s="1"/>
  <c r="AI284" i="6"/>
  <c r="AI258" i="6" s="1"/>
  <c r="AQ284" i="6"/>
  <c r="AQ258" i="6" s="1"/>
  <c r="AY284" i="6"/>
  <c r="AY258" i="6" s="1"/>
  <c r="BG284" i="6"/>
  <c r="BG258" i="6" s="1"/>
  <c r="CB284" i="6"/>
  <c r="CB258" i="6" s="1"/>
  <c r="CY130" i="30"/>
  <c r="CQ130" i="30" s="1"/>
  <c r="BX242" i="6"/>
  <c r="BX130" i="30" s="1"/>
  <c r="AD282" i="6"/>
  <c r="AD247" i="6" s="1"/>
  <c r="AL282" i="6"/>
  <c r="AL247" i="6" s="1"/>
  <c r="AT282" i="6"/>
  <c r="AT247" i="6" s="1"/>
  <c r="BB282" i="6"/>
  <c r="BB247" i="6" s="1"/>
  <c r="BJ282" i="6"/>
  <c r="BJ247" i="6" s="1"/>
  <c r="AC283" i="6"/>
  <c r="AC252" i="6" s="1"/>
  <c r="AK283" i="6"/>
  <c r="AK252" i="6" s="1"/>
  <c r="AS283" i="6"/>
  <c r="AS252" i="6" s="1"/>
  <c r="BA283" i="6"/>
  <c r="BA252" i="6" s="1"/>
  <c r="BI283" i="6"/>
  <c r="BI252" i="6" s="1"/>
  <c r="AB284" i="6"/>
  <c r="AB258" i="6" s="1"/>
  <c r="AJ284" i="6"/>
  <c r="AJ258" i="6" s="1"/>
  <c r="AR284" i="6"/>
  <c r="AR258" i="6" s="1"/>
  <c r="AZ284" i="6"/>
  <c r="AZ258" i="6" s="1"/>
  <c r="BH284" i="6"/>
  <c r="BH258" i="6" s="1"/>
  <c r="A3" i="6"/>
  <c r="Y2" i="6"/>
  <c r="X2" i="6"/>
  <c r="W2" i="6"/>
  <c r="V2" i="6"/>
  <c r="B2" i="6" a="1"/>
  <c r="CS252" i="6" l="1"/>
  <c r="A252" i="6" s="1" a="1"/>
  <c r="A252" i="6" s="1"/>
  <c r="V283" i="6"/>
  <c r="BX252" i="6"/>
  <c r="BX283" i="6" s="1"/>
  <c r="AB129" i="30"/>
  <c r="AC229" i="6"/>
  <c r="AC236" i="6" s="1"/>
  <c r="CD61" i="33"/>
  <c r="CH61" i="33"/>
  <c r="CY107" i="30"/>
  <c r="CQ107" i="30" s="1"/>
  <c r="AA171" i="30"/>
  <c r="V123" i="30"/>
  <c r="BE61" i="33"/>
  <c r="BX176" i="6"/>
  <c r="BX123" i="30" s="1"/>
  <c r="BX72" i="33"/>
  <c r="CY184" i="30"/>
  <c r="CQ184" i="30" s="1"/>
  <c r="BX75" i="33"/>
  <c r="CY192" i="30"/>
  <c r="CQ192" i="30" s="1"/>
  <c r="CQ19" i="32"/>
  <c r="BA61" i="33"/>
  <c r="AW61" i="33"/>
  <c r="AO61" i="33"/>
  <c r="CF61" i="33"/>
  <c r="CY78" i="30"/>
  <c r="CQ78" i="30" s="1"/>
  <c r="AA161" i="30"/>
  <c r="BI61" i="33"/>
  <c r="CY85" i="30"/>
  <c r="CQ85" i="30" s="1"/>
  <c r="AS61" i="33"/>
  <c r="CY98" i="30"/>
  <c r="CQ98" i="30" s="1"/>
  <c r="CY127" i="30"/>
  <c r="CQ127" i="30" s="1"/>
  <c r="CY134" i="30"/>
  <c r="CQ134" i="30" s="1"/>
  <c r="BG61" i="33"/>
  <c r="AK61" i="33"/>
  <c r="CY104" i="30"/>
  <c r="CQ104" i="30" s="1"/>
  <c r="AG61" i="33"/>
  <c r="BC61" i="33"/>
  <c r="CY84" i="30"/>
  <c r="CQ84" i="30" s="1"/>
  <c r="AA175" i="30"/>
  <c r="AC142" i="6"/>
  <c r="AC155" i="6" s="1"/>
  <c r="AB158" i="6"/>
  <c r="AB121" i="30" s="1"/>
  <c r="AY61" i="33"/>
  <c r="AA130" i="30"/>
  <c r="AB239" i="6"/>
  <c r="AB242" i="6" s="1"/>
  <c r="AA63" i="33"/>
  <c r="AC61" i="33"/>
  <c r="CY86" i="30"/>
  <c r="CQ86" i="30" s="1"/>
  <c r="AU61" i="33"/>
  <c r="V217" i="30"/>
  <c r="BX133" i="6"/>
  <c r="BX119" i="30" s="1"/>
  <c r="BX217" i="30"/>
  <c r="BX57" i="33"/>
  <c r="CY152" i="30"/>
  <c r="CQ152" i="30" s="1"/>
  <c r="AQ61" i="33"/>
  <c r="CY109" i="30"/>
  <c r="CQ109" i="30" s="1"/>
  <c r="AA166" i="30"/>
  <c r="AA62" i="33" s="1"/>
  <c r="CY106" i="30"/>
  <c r="CQ106" i="30" s="1"/>
  <c r="AA169" i="30"/>
  <c r="AA128" i="30"/>
  <c r="AB220" i="6"/>
  <c r="AB226" i="6" s="1"/>
  <c r="V119" i="30"/>
  <c r="AM61" i="33"/>
  <c r="V104" i="33"/>
  <c r="BX104" i="33"/>
  <c r="AA251" i="6"/>
  <c r="AA253" i="6" s="1"/>
  <c r="W253" i="6"/>
  <c r="BY251" i="6"/>
  <c r="BY253" i="6" s="1"/>
  <c r="BY135" i="30" s="1"/>
  <c r="AI61" i="33"/>
  <c r="AE61" i="33"/>
  <c r="BX81" i="30"/>
  <c r="CY81" i="30" s="1"/>
  <c r="CQ81" i="30" s="1"/>
  <c r="BX68" i="6"/>
  <c r="AB127" i="30"/>
  <c r="AC206" i="6"/>
  <c r="AC217" i="6" s="1"/>
  <c r="B2" i="6"/>
  <c r="BX1" i="6"/>
  <c r="AA1" i="6"/>
  <c r="V1" i="6"/>
  <c r="D1" i="6"/>
  <c r="CC1159" i="9"/>
  <c r="CB1159" i="9"/>
  <c r="BJ1159" i="9"/>
  <c r="BI1159" i="9"/>
  <c r="BH1159" i="9"/>
  <c r="BG1159" i="9"/>
  <c r="BF1159" i="9"/>
  <c r="BE1159" i="9"/>
  <c r="BD1159" i="9"/>
  <c r="BC1159" i="9"/>
  <c r="BB1159" i="9"/>
  <c r="BA1159" i="9"/>
  <c r="AZ1159" i="9"/>
  <c r="AY1159" i="9"/>
  <c r="AX1159" i="9"/>
  <c r="AW1159" i="9"/>
  <c r="AV1159" i="9"/>
  <c r="AU1159" i="9"/>
  <c r="AT1159" i="9"/>
  <c r="AS1159" i="9"/>
  <c r="AR1159" i="9"/>
  <c r="AQ1159" i="9"/>
  <c r="AP1159" i="9"/>
  <c r="AO1159" i="9"/>
  <c r="AN1159" i="9"/>
  <c r="AM1159" i="9"/>
  <c r="AL1159" i="9"/>
  <c r="AK1159" i="9"/>
  <c r="AJ1159" i="9"/>
  <c r="AI1159" i="9"/>
  <c r="AH1159" i="9"/>
  <c r="AG1159" i="9"/>
  <c r="AF1159" i="9"/>
  <c r="AE1159" i="9"/>
  <c r="AD1159" i="9"/>
  <c r="AC1159" i="9"/>
  <c r="AB1159" i="9"/>
  <c r="AA1159" i="9"/>
  <c r="Y1159" i="9"/>
  <c r="CA1159" i="9" s="1"/>
  <c r="X1159" i="9"/>
  <c r="BZ1159" i="9" s="1"/>
  <c r="W1159" i="9"/>
  <c r="BY1159" i="9" s="1"/>
  <c r="V1159" i="9"/>
  <c r="BX1159" i="9" s="1"/>
  <c r="G1159" i="9"/>
  <c r="EY1158" i="9"/>
  <c r="CI1158" i="9"/>
  <c r="CH1158" i="9"/>
  <c r="CG1158" i="9"/>
  <c r="CF1158" i="9"/>
  <c r="CE1158" i="9"/>
  <c r="CD1158" i="9"/>
  <c r="CC1158" i="9"/>
  <c r="V1158" i="9"/>
  <c r="EY1157" i="9"/>
  <c r="EY1156" i="9"/>
  <c r="EY1155" i="9"/>
  <c r="EY1154" i="9"/>
  <c r="EY1153" i="9"/>
  <c r="EY1152" i="9"/>
  <c r="EY1151" i="9"/>
  <c r="EY1150" i="9"/>
  <c r="EY1149" i="9"/>
  <c r="EY1148" i="9"/>
  <c r="EY1147" i="9"/>
  <c r="EY1146" i="9"/>
  <c r="EY1145" i="9"/>
  <c r="EY1144" i="9"/>
  <c r="CI1144" i="9"/>
  <c r="CH1144" i="9"/>
  <c r="CG1144" i="9"/>
  <c r="CF1144" i="9"/>
  <c r="CE1144" i="9"/>
  <c r="CD1144" i="9"/>
  <c r="CC1144" i="9"/>
  <c r="CB1144" i="9"/>
  <c r="BX1144" i="9"/>
  <c r="BX138" i="6" s="1"/>
  <c r="BX95" i="30" s="1"/>
  <c r="CY95" i="30" s="1"/>
  <c r="CQ95" i="30" s="1"/>
  <c r="V1144" i="9"/>
  <c r="EY1143" i="9"/>
  <c r="EY1142" i="9"/>
  <c r="EY1141" i="9"/>
  <c r="EY1140" i="9"/>
  <c r="EY1139" i="9"/>
  <c r="EY1138" i="9"/>
  <c r="EY1137" i="9"/>
  <c r="EY1136" i="9"/>
  <c r="EY1135" i="9"/>
  <c r="EY1134" i="9"/>
  <c r="EY1133" i="9"/>
  <c r="EY1132" i="9"/>
  <c r="EY1131" i="9"/>
  <c r="EY1130" i="9"/>
  <c r="EY1129" i="9"/>
  <c r="EY1128" i="9"/>
  <c r="EY1127" i="9"/>
  <c r="EY1126" i="9"/>
  <c r="EY1125" i="9"/>
  <c r="EY1124" i="9"/>
  <c r="EY1123" i="9"/>
  <c r="EY1122" i="9"/>
  <c r="EY1121" i="9"/>
  <c r="EY1120" i="9"/>
  <c r="EY1119" i="9"/>
  <c r="EY1118" i="9"/>
  <c r="EY1117" i="9"/>
  <c r="EY1116" i="9"/>
  <c r="EY1115" i="9"/>
  <c r="EY1114" i="9"/>
  <c r="EY1113" i="9"/>
  <c r="EY1112" i="9"/>
  <c r="EY1111" i="9"/>
  <c r="EY1110" i="9"/>
  <c r="EY1109" i="9"/>
  <c r="EY1108" i="9"/>
  <c r="EY1107" i="9"/>
  <c r="EY1106" i="9"/>
  <c r="EY1105" i="9"/>
  <c r="EY1104" i="9"/>
  <c r="EY1103" i="9"/>
  <c r="EY1102" i="9"/>
  <c r="CI1102" i="9"/>
  <c r="CH1102" i="9"/>
  <c r="CG1102" i="9"/>
  <c r="CF1102" i="9"/>
  <c r="CE1102" i="9"/>
  <c r="CD1102" i="9"/>
  <c r="CC1102" i="9"/>
  <c r="CB1102" i="9"/>
  <c r="EY1101" i="9"/>
  <c r="BX1101" i="9"/>
  <c r="BX105" i="6" s="1"/>
  <c r="BX93" i="30" s="1"/>
  <c r="CY93" i="30" s="1"/>
  <c r="CQ93" i="30" s="1"/>
  <c r="V1101" i="9"/>
  <c r="EY1100" i="9"/>
  <c r="BX1100" i="9"/>
  <c r="BX99" i="6" s="1"/>
  <c r="BX92" i="30" s="1"/>
  <c r="CY92" i="30" s="1"/>
  <c r="CQ92" i="30" s="1"/>
  <c r="V1100" i="9"/>
  <c r="EY1099" i="9"/>
  <c r="BX1099" i="9"/>
  <c r="BX1102" i="9" s="1"/>
  <c r="V1099" i="9"/>
  <c r="V1102" i="9" s="1"/>
  <c r="EY1098" i="9"/>
  <c r="EY1097" i="9"/>
  <c r="EY1096" i="9"/>
  <c r="EY1095" i="9"/>
  <c r="EY1094" i="9"/>
  <c r="EY1093" i="9"/>
  <c r="EY1092" i="9"/>
  <c r="EY1091" i="9"/>
  <c r="EY1090" i="9"/>
  <c r="EY1089" i="9"/>
  <c r="D1088" i="9"/>
  <c r="C1088" i="9"/>
  <c r="B1088" i="9" a="1"/>
  <c r="B1088" i="9" s="1"/>
  <c r="D1087" i="9"/>
  <c r="C1087" i="9"/>
  <c r="B1087" i="9" a="1"/>
  <c r="B1087" i="9" s="1"/>
  <c r="EY1087" i="9" s="1"/>
  <c r="D1086" i="9"/>
  <c r="C1086" i="9"/>
  <c r="B1086" i="9" a="1"/>
  <c r="B1086" i="9" s="1"/>
  <c r="D1085" i="9"/>
  <c r="C1085" i="9"/>
  <c r="B1085" i="9" a="1"/>
  <c r="B1085" i="9" s="1"/>
  <c r="D1084" i="9"/>
  <c r="C1084" i="9"/>
  <c r="B1084" i="9" a="1"/>
  <c r="B1084" i="9" s="1"/>
  <c r="EY1084" i="9" s="1"/>
  <c r="D1083" i="9"/>
  <c r="C1083" i="9"/>
  <c r="B1083" i="9" a="1"/>
  <c r="B1083" i="9" s="1"/>
  <c r="EY1083" i="9" s="1"/>
  <c r="D1082" i="9"/>
  <c r="C1082" i="9"/>
  <c r="B1082" i="9" a="1"/>
  <c r="B1082" i="9" s="1"/>
  <c r="EY1082" i="9" s="1"/>
  <c r="D1081" i="9"/>
  <c r="C1081" i="9"/>
  <c r="B1081" i="9" a="1"/>
  <c r="B1081" i="9" s="1"/>
  <c r="EY1081" i="9" s="1"/>
  <c r="D1080" i="9"/>
  <c r="C1080" i="9"/>
  <c r="B1080" i="9" a="1"/>
  <c r="B1080" i="9" s="1"/>
  <c r="EY1080" i="9" s="1"/>
  <c r="D1079" i="9"/>
  <c r="C1079" i="9"/>
  <c r="B1079" i="9" a="1"/>
  <c r="B1079" i="9" s="1"/>
  <c r="EY1079" i="9" s="1"/>
  <c r="D1078" i="9"/>
  <c r="C1078" i="9"/>
  <c r="B1078" i="9" a="1"/>
  <c r="B1078" i="9" s="1"/>
  <c r="EY1078" i="9" s="1"/>
  <c r="D1077" i="9"/>
  <c r="C1077" i="9"/>
  <c r="B1077" i="9" a="1"/>
  <c r="B1077" i="9" s="1"/>
  <c r="EY1077" i="9" s="1"/>
  <c r="D1076" i="9"/>
  <c r="C1076" i="9"/>
  <c r="B1076" i="9" a="1"/>
  <c r="B1076" i="9" s="1"/>
  <c r="EY1076" i="9" s="1"/>
  <c r="D1075" i="9"/>
  <c r="C1075" i="9"/>
  <c r="B1075" i="9" a="1"/>
  <c r="B1075" i="9" s="1"/>
  <c r="EY1075" i="9" s="1"/>
  <c r="D1074" i="9"/>
  <c r="C1074" i="9"/>
  <c r="B1074" i="9" a="1"/>
  <c r="B1074" i="9" s="1"/>
  <c r="EY1074" i="9" s="1"/>
  <c r="D1073" i="9"/>
  <c r="C1073" i="9"/>
  <c r="B1073" i="9" a="1"/>
  <c r="B1073" i="9" s="1"/>
  <c r="EY1073" i="9" s="1"/>
  <c r="D1072" i="9"/>
  <c r="C1072" i="9"/>
  <c r="B1072" i="9" a="1"/>
  <c r="B1072" i="9" s="1"/>
  <c r="EY1072" i="9" s="1"/>
  <c r="D1071" i="9"/>
  <c r="C1071" i="9"/>
  <c r="B1071" i="9" a="1"/>
  <c r="B1071" i="9" s="1"/>
  <c r="EY1071" i="9" s="1"/>
  <c r="D1070" i="9"/>
  <c r="C1070" i="9"/>
  <c r="B1070" i="9" a="1"/>
  <c r="B1070" i="9" s="1"/>
  <c r="EY1070" i="9" s="1"/>
  <c r="D1069" i="9"/>
  <c r="C1069" i="9"/>
  <c r="B1069" i="9" a="1"/>
  <c r="B1069" i="9" s="1"/>
  <c r="EY1069" i="9" s="1"/>
  <c r="EY1068" i="9"/>
  <c r="EY1067" i="9"/>
  <c r="EY1066" i="9"/>
  <c r="EY1065" i="9"/>
  <c r="D1065" i="9"/>
  <c r="B1065" i="9" a="1"/>
  <c r="B1065" i="9" s="1"/>
  <c r="EY1064" i="9"/>
  <c r="D1064" i="9"/>
  <c r="B1064" i="9" a="1"/>
  <c r="B1064" i="9" s="1"/>
  <c r="EY1063" i="9"/>
  <c r="D1063" i="9"/>
  <c r="B1063" i="9" a="1"/>
  <c r="B1063" i="9" s="1"/>
  <c r="EY1062" i="9"/>
  <c r="D1062" i="9"/>
  <c r="B1062" i="9" a="1"/>
  <c r="B1062" i="9" s="1"/>
  <c r="EY1061" i="9"/>
  <c r="D1061" i="9"/>
  <c r="B1061" i="9" a="1"/>
  <c r="B1061" i="9" s="1"/>
  <c r="EY1060" i="9"/>
  <c r="D1060" i="9"/>
  <c r="B1060" i="9" a="1"/>
  <c r="B1060" i="9" s="1"/>
  <c r="EY1059" i="9"/>
  <c r="D1059" i="9"/>
  <c r="B1059" i="9" a="1"/>
  <c r="B1059" i="9" s="1"/>
  <c r="EY1058" i="9"/>
  <c r="D1058" i="9"/>
  <c r="B1058" i="9" a="1"/>
  <c r="B1058" i="9" s="1"/>
  <c r="EY1057" i="9"/>
  <c r="D1057" i="9"/>
  <c r="B1057" i="9" a="1"/>
  <c r="B1057" i="9" s="1"/>
  <c r="EY1056" i="9"/>
  <c r="D1056" i="9"/>
  <c r="B1056" i="9" a="1"/>
  <c r="B1056" i="9" s="1"/>
  <c r="EY1055" i="9"/>
  <c r="D1055" i="9"/>
  <c r="B1055" i="9" a="1"/>
  <c r="B1055" i="9" s="1"/>
  <c r="EY1054" i="9"/>
  <c r="D1054" i="9"/>
  <c r="B1054" i="9" a="1"/>
  <c r="B1054" i="9" s="1"/>
  <c r="EY1053" i="9"/>
  <c r="D1053" i="9"/>
  <c r="B1053" i="9" a="1"/>
  <c r="B1053" i="9" s="1"/>
  <c r="EY1052" i="9"/>
  <c r="D1052" i="9"/>
  <c r="B1052" i="9" a="1"/>
  <c r="B1052" i="9" s="1"/>
  <c r="EY1051" i="9"/>
  <c r="D1051" i="9"/>
  <c r="B1051" i="9" a="1"/>
  <c r="B1051" i="9" s="1"/>
  <c r="EY1050" i="9"/>
  <c r="D1050" i="9"/>
  <c r="B1050" i="9" a="1"/>
  <c r="B1050" i="9" s="1"/>
  <c r="EY1049" i="9"/>
  <c r="D1049" i="9"/>
  <c r="B1049" i="9" a="1"/>
  <c r="B1049" i="9" s="1"/>
  <c r="EY1048" i="9"/>
  <c r="D1048" i="9"/>
  <c r="B1048" i="9" a="1"/>
  <c r="B1048" i="9" s="1"/>
  <c r="EY1047" i="9"/>
  <c r="D1047" i="9"/>
  <c r="B1047" i="9" a="1"/>
  <c r="B1047" i="9" s="1"/>
  <c r="EY1046" i="9"/>
  <c r="D1046" i="9"/>
  <c r="B1046" i="9" a="1"/>
  <c r="B1046" i="9" s="1"/>
  <c r="EY1045" i="9"/>
  <c r="EY1044" i="9"/>
  <c r="EY1043" i="9"/>
  <c r="EY1042" i="9"/>
  <c r="D1042" i="9"/>
  <c r="B1042" i="9" a="1"/>
  <c r="B1042" i="9" s="1"/>
  <c r="EY1041" i="9"/>
  <c r="D1041" i="9"/>
  <c r="B1041" i="9" a="1"/>
  <c r="B1041" i="9" s="1"/>
  <c r="EY1040" i="9"/>
  <c r="D1040" i="9"/>
  <c r="B1040" i="9" a="1"/>
  <c r="B1040" i="9" s="1"/>
  <c r="EY1039" i="9"/>
  <c r="D1039" i="9"/>
  <c r="B1039" i="9" a="1"/>
  <c r="B1039" i="9" s="1"/>
  <c r="EY1038" i="9"/>
  <c r="D1038" i="9"/>
  <c r="B1038" i="9" a="1"/>
  <c r="B1038" i="9" s="1"/>
  <c r="EY1037" i="9"/>
  <c r="D1037" i="9"/>
  <c r="B1037" i="9" a="1"/>
  <c r="B1037" i="9" s="1"/>
  <c r="EY1036" i="9"/>
  <c r="D1036" i="9"/>
  <c r="B1036" i="9" a="1"/>
  <c r="B1036" i="9" s="1"/>
  <c r="EY1035" i="9"/>
  <c r="D1035" i="9"/>
  <c r="B1035" i="9" a="1"/>
  <c r="B1035" i="9" s="1"/>
  <c r="EY1034" i="9"/>
  <c r="D1034" i="9"/>
  <c r="B1034" i="9" a="1"/>
  <c r="B1034" i="9" s="1"/>
  <c r="EY1033" i="9"/>
  <c r="D1033" i="9"/>
  <c r="B1033" i="9" a="1"/>
  <c r="B1033" i="9" s="1"/>
  <c r="EY1032" i="9"/>
  <c r="D1032" i="9"/>
  <c r="B1032" i="9" a="1"/>
  <c r="B1032" i="9" s="1"/>
  <c r="EY1031" i="9"/>
  <c r="D1031" i="9"/>
  <c r="B1031" i="9" a="1"/>
  <c r="B1031" i="9" s="1"/>
  <c r="EY1030" i="9"/>
  <c r="D1030" i="9"/>
  <c r="B1030" i="9" a="1"/>
  <c r="B1030" i="9" s="1"/>
  <c r="EY1029" i="9"/>
  <c r="D1029" i="9"/>
  <c r="B1029" i="9" a="1"/>
  <c r="B1029" i="9" s="1"/>
  <c r="EY1028" i="9"/>
  <c r="D1028" i="9"/>
  <c r="B1028" i="9" a="1"/>
  <c r="B1028" i="9" s="1"/>
  <c r="EY1027" i="9"/>
  <c r="D1027" i="9"/>
  <c r="B1027" i="9" a="1"/>
  <c r="B1027" i="9" s="1"/>
  <c r="EY1026" i="9"/>
  <c r="D1026" i="9"/>
  <c r="B1026" i="9" a="1"/>
  <c r="B1026" i="9" s="1"/>
  <c r="EY1025" i="9"/>
  <c r="D1025" i="9"/>
  <c r="B1025" i="9" a="1"/>
  <c r="B1025" i="9" s="1"/>
  <c r="EY1024" i="9"/>
  <c r="D1024" i="9"/>
  <c r="B1024" i="9" a="1"/>
  <c r="B1024" i="9" s="1"/>
  <c r="EY1023" i="9"/>
  <c r="D1023" i="9"/>
  <c r="B1023" i="9" a="1"/>
  <c r="B1023" i="9" s="1"/>
  <c r="EY1022" i="9"/>
  <c r="EY1021" i="9"/>
  <c r="EY1020" i="9"/>
  <c r="EY1019" i="9"/>
  <c r="D1019" i="9"/>
  <c r="B1019" i="9" a="1"/>
  <c r="B1019" i="9" s="1"/>
  <c r="EY1018" i="9"/>
  <c r="D1018" i="9"/>
  <c r="B1018" i="9" a="1"/>
  <c r="B1018" i="9" s="1"/>
  <c r="EY1017" i="9"/>
  <c r="D1017" i="9"/>
  <c r="B1017" i="9" a="1"/>
  <c r="B1017" i="9" s="1"/>
  <c r="EY1016" i="9"/>
  <c r="D1016" i="9"/>
  <c r="B1016" i="9" a="1"/>
  <c r="B1016" i="9" s="1"/>
  <c r="EY1015" i="9"/>
  <c r="D1015" i="9"/>
  <c r="B1015" i="9" a="1"/>
  <c r="B1015" i="9" s="1"/>
  <c r="EY1014" i="9"/>
  <c r="D1014" i="9"/>
  <c r="B1014" i="9" a="1"/>
  <c r="B1014" i="9" s="1"/>
  <c r="EY1013" i="9"/>
  <c r="D1013" i="9"/>
  <c r="B1013" i="9" a="1"/>
  <c r="B1013" i="9" s="1"/>
  <c r="EY1012" i="9"/>
  <c r="D1012" i="9"/>
  <c r="B1012" i="9" a="1"/>
  <c r="B1012" i="9" s="1"/>
  <c r="EY1011" i="9"/>
  <c r="D1011" i="9"/>
  <c r="B1011" i="9" a="1"/>
  <c r="B1011" i="9" s="1"/>
  <c r="EY1010" i="9"/>
  <c r="D1010" i="9"/>
  <c r="B1010" i="9" a="1"/>
  <c r="B1010" i="9" s="1"/>
  <c r="EY1009" i="9"/>
  <c r="D1009" i="9"/>
  <c r="B1009" i="9" a="1"/>
  <c r="B1009" i="9" s="1"/>
  <c r="EY1008" i="9"/>
  <c r="D1008" i="9"/>
  <c r="B1008" i="9" a="1"/>
  <c r="B1008" i="9" s="1"/>
  <c r="EY1007" i="9"/>
  <c r="D1007" i="9"/>
  <c r="B1007" i="9" a="1"/>
  <c r="B1007" i="9" s="1"/>
  <c r="EY1006" i="9"/>
  <c r="D1006" i="9"/>
  <c r="B1006" i="9" a="1"/>
  <c r="B1006" i="9" s="1"/>
  <c r="EY1005" i="9"/>
  <c r="D1005" i="9"/>
  <c r="B1005" i="9" a="1"/>
  <c r="B1005" i="9" s="1"/>
  <c r="EY1004" i="9"/>
  <c r="D1004" i="9"/>
  <c r="B1004" i="9" a="1"/>
  <c r="B1004" i="9" s="1"/>
  <c r="EY1003" i="9"/>
  <c r="D1003" i="9"/>
  <c r="B1003" i="9" a="1"/>
  <c r="B1003" i="9" s="1"/>
  <c r="EY1002" i="9"/>
  <c r="D1002" i="9"/>
  <c r="B1002" i="9" a="1"/>
  <c r="B1002" i="9" s="1"/>
  <c r="EY1001" i="9"/>
  <c r="D1001" i="9"/>
  <c r="B1001" i="9" a="1"/>
  <c r="B1001" i="9" s="1"/>
  <c r="EY1000" i="9"/>
  <c r="D1000" i="9"/>
  <c r="B1000" i="9" a="1"/>
  <c r="B1000" i="9" s="1"/>
  <c r="EY999" i="9"/>
  <c r="E999" i="9"/>
  <c r="D999" i="9"/>
  <c r="EY998" i="9"/>
  <c r="D998" i="9"/>
  <c r="EY997" i="9"/>
  <c r="EY996" i="9"/>
  <c r="CI996" i="9"/>
  <c r="CH996" i="9"/>
  <c r="CG996" i="9"/>
  <c r="CF996" i="9"/>
  <c r="CE996" i="9"/>
  <c r="CD996" i="9"/>
  <c r="CC996" i="9"/>
  <c r="BV996" i="9"/>
  <c r="BU996" i="9"/>
  <c r="BT996" i="9"/>
  <c r="BS996" i="9"/>
  <c r="BR996" i="9"/>
  <c r="BQ996" i="9"/>
  <c r="BP996" i="9"/>
  <c r="BO996" i="9"/>
  <c r="BN996" i="9"/>
  <c r="BM996" i="9"/>
  <c r="BL996" i="9"/>
  <c r="BK996" i="9"/>
  <c r="BJ996" i="9"/>
  <c r="BI996" i="9"/>
  <c r="BH996" i="9"/>
  <c r="BG996" i="9"/>
  <c r="BF996" i="9"/>
  <c r="BE996" i="9"/>
  <c r="BD996" i="9"/>
  <c r="BC996" i="9"/>
  <c r="BB996" i="9"/>
  <c r="BA996" i="9"/>
  <c r="AZ996" i="9"/>
  <c r="AY996" i="9"/>
  <c r="AX996" i="9"/>
  <c r="AW996" i="9"/>
  <c r="AV996" i="9"/>
  <c r="AU996" i="9"/>
  <c r="AT996" i="9"/>
  <c r="AS996" i="9"/>
  <c r="AR996" i="9"/>
  <c r="AQ996" i="9"/>
  <c r="AP996" i="9"/>
  <c r="AO996" i="9"/>
  <c r="AN996" i="9"/>
  <c r="AM996" i="9"/>
  <c r="AL996" i="9"/>
  <c r="AK996" i="9"/>
  <c r="AJ996" i="9"/>
  <c r="AI996" i="9"/>
  <c r="AH996" i="9"/>
  <c r="AG996" i="9"/>
  <c r="AF996" i="9"/>
  <c r="AE996" i="9"/>
  <c r="AD996" i="9"/>
  <c r="AC996" i="9"/>
  <c r="AB996" i="9"/>
  <c r="AA996" i="9"/>
  <c r="V996" i="9"/>
  <c r="D996" i="9"/>
  <c r="B996" i="9" a="1"/>
  <c r="B996" i="9" s="1"/>
  <c r="EY995" i="9"/>
  <c r="CI995" i="9"/>
  <c r="CH995" i="9"/>
  <c r="CG995" i="9"/>
  <c r="CF995" i="9"/>
  <c r="CE995" i="9"/>
  <c r="CD995" i="9"/>
  <c r="CC995" i="9"/>
  <c r="BV995" i="9"/>
  <c r="BU995" i="9"/>
  <c r="BT995" i="9"/>
  <c r="BS995" i="9"/>
  <c r="BR995" i="9"/>
  <c r="BQ995" i="9"/>
  <c r="BP995" i="9"/>
  <c r="BO995" i="9"/>
  <c r="BN995" i="9"/>
  <c r="BM995" i="9"/>
  <c r="BL995" i="9"/>
  <c r="BK995" i="9"/>
  <c r="BJ995" i="9"/>
  <c r="BI995" i="9"/>
  <c r="BH995" i="9"/>
  <c r="BG995" i="9"/>
  <c r="BF995" i="9"/>
  <c r="BE995" i="9"/>
  <c r="BD995" i="9"/>
  <c r="BC995" i="9"/>
  <c r="BB995" i="9"/>
  <c r="BA995" i="9"/>
  <c r="AZ995" i="9"/>
  <c r="AY995" i="9"/>
  <c r="AX995" i="9"/>
  <c r="AW995" i="9"/>
  <c r="AV995" i="9"/>
  <c r="AU995" i="9"/>
  <c r="AT995" i="9"/>
  <c r="AS995" i="9"/>
  <c r="AR995" i="9"/>
  <c r="AQ995" i="9"/>
  <c r="AP995" i="9"/>
  <c r="AO995" i="9"/>
  <c r="AN995" i="9"/>
  <c r="AM995" i="9"/>
  <c r="AL995" i="9"/>
  <c r="AK995" i="9"/>
  <c r="AJ995" i="9"/>
  <c r="AI995" i="9"/>
  <c r="AH995" i="9"/>
  <c r="AG995" i="9"/>
  <c r="AF995" i="9"/>
  <c r="AE995" i="9"/>
  <c r="AD995" i="9"/>
  <c r="AC995" i="9"/>
  <c r="AB995" i="9"/>
  <c r="AA995" i="9"/>
  <c r="V995" i="9"/>
  <c r="D995" i="9"/>
  <c r="B995" i="9" a="1"/>
  <c r="B995" i="9" s="1"/>
  <c r="EY994" i="9"/>
  <c r="CI994" i="9"/>
  <c r="CH994" i="9"/>
  <c r="CG994" i="9"/>
  <c r="CF994" i="9"/>
  <c r="CE994" i="9"/>
  <c r="CD994" i="9"/>
  <c r="CC994" i="9"/>
  <c r="BV994" i="9"/>
  <c r="BU994" i="9"/>
  <c r="BT994" i="9"/>
  <c r="BS994" i="9"/>
  <c r="BR994" i="9"/>
  <c r="BQ994" i="9"/>
  <c r="BP994" i="9"/>
  <c r="BO994" i="9"/>
  <c r="BN994" i="9"/>
  <c r="BM994" i="9"/>
  <c r="BL994" i="9"/>
  <c r="BK994" i="9"/>
  <c r="BJ994" i="9"/>
  <c r="BI994" i="9"/>
  <c r="BH994" i="9"/>
  <c r="BG994" i="9"/>
  <c r="BF994" i="9"/>
  <c r="BE994" i="9"/>
  <c r="BD994" i="9"/>
  <c r="BC994" i="9"/>
  <c r="BB994" i="9"/>
  <c r="BA994" i="9"/>
  <c r="AZ994" i="9"/>
  <c r="AY994" i="9"/>
  <c r="AX994" i="9"/>
  <c r="AW994" i="9"/>
  <c r="AV994" i="9"/>
  <c r="AU994" i="9"/>
  <c r="AT994" i="9"/>
  <c r="AS994" i="9"/>
  <c r="AR994" i="9"/>
  <c r="AQ994" i="9"/>
  <c r="AP994" i="9"/>
  <c r="AO994" i="9"/>
  <c r="AN994" i="9"/>
  <c r="AM994" i="9"/>
  <c r="AL994" i="9"/>
  <c r="AK994" i="9"/>
  <c r="AJ994" i="9"/>
  <c r="AI994" i="9"/>
  <c r="AH994" i="9"/>
  <c r="AG994" i="9"/>
  <c r="AF994" i="9"/>
  <c r="AE994" i="9"/>
  <c r="AD994" i="9"/>
  <c r="AC994" i="9"/>
  <c r="AB994" i="9"/>
  <c r="AA994" i="9"/>
  <c r="V994" i="9"/>
  <c r="D994" i="9"/>
  <c r="B994" i="9" a="1"/>
  <c r="B994" i="9" s="1"/>
  <c r="EY993" i="9"/>
  <c r="CI993" i="9"/>
  <c r="CH993" i="9"/>
  <c r="CG993" i="9"/>
  <c r="CF993" i="9"/>
  <c r="CE993" i="9"/>
  <c r="CD993" i="9"/>
  <c r="CC993" i="9"/>
  <c r="BV993" i="9"/>
  <c r="BU993" i="9"/>
  <c r="BT993" i="9"/>
  <c r="BS993" i="9"/>
  <c r="BR993" i="9"/>
  <c r="BQ993" i="9"/>
  <c r="BP993" i="9"/>
  <c r="BO993" i="9"/>
  <c r="BN993" i="9"/>
  <c r="BM993" i="9"/>
  <c r="BL993" i="9"/>
  <c r="BK993" i="9"/>
  <c r="BJ993" i="9"/>
  <c r="BI993" i="9"/>
  <c r="BH993" i="9"/>
  <c r="BG993" i="9"/>
  <c r="BF993" i="9"/>
  <c r="BE993" i="9"/>
  <c r="BD993" i="9"/>
  <c r="BC993" i="9"/>
  <c r="BB993" i="9"/>
  <c r="BA993" i="9"/>
  <c r="AZ993" i="9"/>
  <c r="AY993" i="9"/>
  <c r="AX993" i="9"/>
  <c r="AW993" i="9"/>
  <c r="AV993" i="9"/>
  <c r="AU993" i="9"/>
  <c r="AT993" i="9"/>
  <c r="AS993" i="9"/>
  <c r="AR993" i="9"/>
  <c r="AQ993" i="9"/>
  <c r="AP993" i="9"/>
  <c r="AO993" i="9"/>
  <c r="AN993" i="9"/>
  <c r="AM993" i="9"/>
  <c r="AL993" i="9"/>
  <c r="AK993" i="9"/>
  <c r="AJ993" i="9"/>
  <c r="AI993" i="9"/>
  <c r="AH993" i="9"/>
  <c r="AG993" i="9"/>
  <c r="AF993" i="9"/>
  <c r="AE993" i="9"/>
  <c r="AD993" i="9"/>
  <c r="AC993" i="9"/>
  <c r="AB993" i="9"/>
  <c r="AA993" i="9"/>
  <c r="V993" i="9"/>
  <c r="D993" i="9"/>
  <c r="B993" i="9" a="1"/>
  <c r="B993" i="9" s="1"/>
  <c r="EY992" i="9"/>
  <c r="CI992" i="9"/>
  <c r="CH992" i="9"/>
  <c r="CG992" i="9"/>
  <c r="CF992" i="9"/>
  <c r="CE992" i="9"/>
  <c r="CD992" i="9"/>
  <c r="CC992" i="9"/>
  <c r="BV992" i="9"/>
  <c r="BU992" i="9"/>
  <c r="BT992" i="9"/>
  <c r="BS992" i="9"/>
  <c r="BR992" i="9"/>
  <c r="BQ992" i="9"/>
  <c r="BP992" i="9"/>
  <c r="BO992" i="9"/>
  <c r="BN992" i="9"/>
  <c r="BM992" i="9"/>
  <c r="BL992" i="9"/>
  <c r="BK992" i="9"/>
  <c r="BJ992" i="9"/>
  <c r="BI992" i="9"/>
  <c r="BH992" i="9"/>
  <c r="BG992" i="9"/>
  <c r="BF992" i="9"/>
  <c r="BE992" i="9"/>
  <c r="BD992" i="9"/>
  <c r="BC992" i="9"/>
  <c r="BB992" i="9"/>
  <c r="BA992" i="9"/>
  <c r="AZ992" i="9"/>
  <c r="AY992" i="9"/>
  <c r="AX992" i="9"/>
  <c r="AW992" i="9"/>
  <c r="AV992" i="9"/>
  <c r="AU992" i="9"/>
  <c r="AT992" i="9"/>
  <c r="AS992" i="9"/>
  <c r="AR992" i="9"/>
  <c r="AQ992" i="9"/>
  <c r="AP992" i="9"/>
  <c r="AO992" i="9"/>
  <c r="AN992" i="9"/>
  <c r="AM992" i="9"/>
  <c r="AL992" i="9"/>
  <c r="AK992" i="9"/>
  <c r="AJ992" i="9"/>
  <c r="AI992" i="9"/>
  <c r="AH992" i="9"/>
  <c r="AG992" i="9"/>
  <c r="AF992" i="9"/>
  <c r="AE992" i="9"/>
  <c r="AD992" i="9"/>
  <c r="AC992" i="9"/>
  <c r="AB992" i="9"/>
  <c r="AA992" i="9"/>
  <c r="V992" i="9"/>
  <c r="D992" i="9"/>
  <c r="B992" i="9" a="1"/>
  <c r="B992" i="9" s="1"/>
  <c r="EY991" i="9"/>
  <c r="CI991" i="9"/>
  <c r="CH991" i="9"/>
  <c r="CG991" i="9"/>
  <c r="CF991" i="9"/>
  <c r="CE991" i="9"/>
  <c r="CD991" i="9"/>
  <c r="CC991" i="9"/>
  <c r="BV991" i="9"/>
  <c r="BU991" i="9"/>
  <c r="BT991" i="9"/>
  <c r="BS991" i="9"/>
  <c r="BR991" i="9"/>
  <c r="BQ991" i="9"/>
  <c r="BP991" i="9"/>
  <c r="BO991" i="9"/>
  <c r="BN991" i="9"/>
  <c r="BM991" i="9"/>
  <c r="BL991" i="9"/>
  <c r="BK991" i="9"/>
  <c r="BJ991" i="9"/>
  <c r="BI991" i="9"/>
  <c r="BH991" i="9"/>
  <c r="BG991" i="9"/>
  <c r="BF991" i="9"/>
  <c r="BE991" i="9"/>
  <c r="BD991" i="9"/>
  <c r="BC991" i="9"/>
  <c r="BB991" i="9"/>
  <c r="BA991" i="9"/>
  <c r="AZ991" i="9"/>
  <c r="AY991" i="9"/>
  <c r="AX991" i="9"/>
  <c r="AW991" i="9"/>
  <c r="AV991" i="9"/>
  <c r="AU991" i="9"/>
  <c r="AT991" i="9"/>
  <c r="AS991" i="9"/>
  <c r="AR991" i="9"/>
  <c r="AQ991" i="9"/>
  <c r="AP991" i="9"/>
  <c r="AO991" i="9"/>
  <c r="AN991" i="9"/>
  <c r="AM991" i="9"/>
  <c r="AL991" i="9"/>
  <c r="AK991" i="9"/>
  <c r="AJ991" i="9"/>
  <c r="AI991" i="9"/>
  <c r="AH991" i="9"/>
  <c r="AG991" i="9"/>
  <c r="AF991" i="9"/>
  <c r="AE991" i="9"/>
  <c r="AD991" i="9"/>
  <c r="AC991" i="9"/>
  <c r="AB991" i="9"/>
  <c r="AA991" i="9"/>
  <c r="V991" i="9"/>
  <c r="D991" i="9"/>
  <c r="B991" i="9" a="1"/>
  <c r="B991" i="9" s="1"/>
  <c r="EY990" i="9"/>
  <c r="CI990" i="9"/>
  <c r="CH990" i="9"/>
  <c r="CG990" i="9"/>
  <c r="CF990" i="9"/>
  <c r="CE990" i="9"/>
  <c r="CD990" i="9"/>
  <c r="CC990" i="9"/>
  <c r="BV990" i="9"/>
  <c r="BU990" i="9"/>
  <c r="BT990" i="9"/>
  <c r="BS990" i="9"/>
  <c r="BR990" i="9"/>
  <c r="BQ990" i="9"/>
  <c r="BP990" i="9"/>
  <c r="BO990" i="9"/>
  <c r="BN990" i="9"/>
  <c r="BM990" i="9"/>
  <c r="BL990" i="9"/>
  <c r="BK990" i="9"/>
  <c r="BJ990" i="9"/>
  <c r="BI990" i="9"/>
  <c r="BH990" i="9"/>
  <c r="BG990" i="9"/>
  <c r="BF990" i="9"/>
  <c r="BE990" i="9"/>
  <c r="BD990" i="9"/>
  <c r="BC990" i="9"/>
  <c r="BB990" i="9"/>
  <c r="BA990" i="9"/>
  <c r="AZ990" i="9"/>
  <c r="AY990" i="9"/>
  <c r="AX990" i="9"/>
  <c r="AW990" i="9"/>
  <c r="AV990" i="9"/>
  <c r="AU990" i="9"/>
  <c r="AT990" i="9"/>
  <c r="AS990" i="9"/>
  <c r="AR990" i="9"/>
  <c r="AQ990" i="9"/>
  <c r="AP990" i="9"/>
  <c r="AO990" i="9"/>
  <c r="AN990" i="9"/>
  <c r="AM990" i="9"/>
  <c r="AL990" i="9"/>
  <c r="AK990" i="9"/>
  <c r="AJ990" i="9"/>
  <c r="AI990" i="9"/>
  <c r="AH990" i="9"/>
  <c r="AG990" i="9"/>
  <c r="AF990" i="9"/>
  <c r="AE990" i="9"/>
  <c r="AD990" i="9"/>
  <c r="AC990" i="9"/>
  <c r="AB990" i="9"/>
  <c r="AA990" i="9"/>
  <c r="V990" i="9"/>
  <c r="D990" i="9"/>
  <c r="B990" i="9" a="1"/>
  <c r="B990" i="9" s="1"/>
  <c r="EY989" i="9"/>
  <c r="CI989" i="9"/>
  <c r="CH989" i="9"/>
  <c r="CG989" i="9"/>
  <c r="CF989" i="9"/>
  <c r="CE989" i="9"/>
  <c r="CD989" i="9"/>
  <c r="CC989" i="9"/>
  <c r="BV989" i="9"/>
  <c r="BU989" i="9"/>
  <c r="BT989" i="9"/>
  <c r="BS989" i="9"/>
  <c r="BR989" i="9"/>
  <c r="BQ989" i="9"/>
  <c r="BP989" i="9"/>
  <c r="BO989" i="9"/>
  <c r="BN989" i="9"/>
  <c r="BM989" i="9"/>
  <c r="BL989" i="9"/>
  <c r="BK989" i="9"/>
  <c r="BJ989" i="9"/>
  <c r="BI989" i="9"/>
  <c r="BH989" i="9"/>
  <c r="BG989" i="9"/>
  <c r="BF989" i="9"/>
  <c r="BE989" i="9"/>
  <c r="BD989" i="9"/>
  <c r="BC989" i="9"/>
  <c r="BB989" i="9"/>
  <c r="BA989" i="9"/>
  <c r="AZ989" i="9"/>
  <c r="AY989" i="9"/>
  <c r="AX989" i="9"/>
  <c r="AW989" i="9"/>
  <c r="AV989" i="9"/>
  <c r="AU989" i="9"/>
  <c r="AT989" i="9"/>
  <c r="AS989" i="9"/>
  <c r="AR989" i="9"/>
  <c r="AQ989" i="9"/>
  <c r="AP989" i="9"/>
  <c r="AO989" i="9"/>
  <c r="AN989" i="9"/>
  <c r="AM989" i="9"/>
  <c r="AL989" i="9"/>
  <c r="AK989" i="9"/>
  <c r="AJ989" i="9"/>
  <c r="AI989" i="9"/>
  <c r="AH989" i="9"/>
  <c r="AG989" i="9"/>
  <c r="AF989" i="9"/>
  <c r="AE989" i="9"/>
  <c r="AD989" i="9"/>
  <c r="AC989" i="9"/>
  <c r="AB989" i="9"/>
  <c r="AA989" i="9"/>
  <c r="V989" i="9"/>
  <c r="D989" i="9"/>
  <c r="B989" i="9" a="1"/>
  <c r="B989" i="9" s="1"/>
  <c r="EY988" i="9"/>
  <c r="CI988" i="9"/>
  <c r="CH988" i="9"/>
  <c r="CG988" i="9"/>
  <c r="CF988" i="9"/>
  <c r="CE988" i="9"/>
  <c r="CD988" i="9"/>
  <c r="CC988" i="9"/>
  <c r="BV988" i="9"/>
  <c r="BU988" i="9"/>
  <c r="BT988" i="9"/>
  <c r="BS988" i="9"/>
  <c r="BR988" i="9"/>
  <c r="BQ988" i="9"/>
  <c r="BP988" i="9"/>
  <c r="BO988" i="9"/>
  <c r="BN988" i="9"/>
  <c r="BM988" i="9"/>
  <c r="BL988" i="9"/>
  <c r="BK988" i="9"/>
  <c r="BJ988" i="9"/>
  <c r="BI988" i="9"/>
  <c r="BH988" i="9"/>
  <c r="BG988" i="9"/>
  <c r="BF988" i="9"/>
  <c r="BE988" i="9"/>
  <c r="BD988" i="9"/>
  <c r="BC988" i="9"/>
  <c r="BB988" i="9"/>
  <c r="BA988" i="9"/>
  <c r="AZ988" i="9"/>
  <c r="AY988" i="9"/>
  <c r="AX988" i="9"/>
  <c r="AW988" i="9"/>
  <c r="AV988" i="9"/>
  <c r="AU988" i="9"/>
  <c r="AT988" i="9"/>
  <c r="AS988" i="9"/>
  <c r="AR988" i="9"/>
  <c r="AQ988" i="9"/>
  <c r="AP988" i="9"/>
  <c r="AO988" i="9"/>
  <c r="AN988" i="9"/>
  <c r="AM988" i="9"/>
  <c r="AL988" i="9"/>
  <c r="AK988" i="9"/>
  <c r="AJ988" i="9"/>
  <c r="AI988" i="9"/>
  <c r="AH988" i="9"/>
  <c r="AG988" i="9"/>
  <c r="AF988" i="9"/>
  <c r="AE988" i="9"/>
  <c r="AD988" i="9"/>
  <c r="AC988" i="9"/>
  <c r="AB988" i="9"/>
  <c r="AA988" i="9"/>
  <c r="V988" i="9"/>
  <c r="D988" i="9"/>
  <c r="B988" i="9" a="1"/>
  <c r="B988" i="9" s="1"/>
  <c r="EY987" i="9"/>
  <c r="CI987" i="9"/>
  <c r="CH987" i="9"/>
  <c r="CG987" i="9"/>
  <c r="CF987" i="9"/>
  <c r="CE987" i="9"/>
  <c r="CD987" i="9"/>
  <c r="CC987" i="9"/>
  <c r="BV987" i="9"/>
  <c r="BU987" i="9"/>
  <c r="BT987" i="9"/>
  <c r="BS987" i="9"/>
  <c r="BR987" i="9"/>
  <c r="BQ987" i="9"/>
  <c r="BP987" i="9"/>
  <c r="BO987" i="9"/>
  <c r="BN987" i="9"/>
  <c r="BM987" i="9"/>
  <c r="BL987" i="9"/>
  <c r="BK987" i="9"/>
  <c r="BJ987" i="9"/>
  <c r="BI987" i="9"/>
  <c r="BH987" i="9"/>
  <c r="BG987" i="9"/>
  <c r="BF987" i="9"/>
  <c r="BE987" i="9"/>
  <c r="BD987" i="9"/>
  <c r="BC987" i="9"/>
  <c r="BB987" i="9"/>
  <c r="BA987" i="9"/>
  <c r="AZ987" i="9"/>
  <c r="AY987" i="9"/>
  <c r="AX987" i="9"/>
  <c r="AW987" i="9"/>
  <c r="AV987" i="9"/>
  <c r="AU987" i="9"/>
  <c r="AT987" i="9"/>
  <c r="AS987" i="9"/>
  <c r="AR987" i="9"/>
  <c r="AQ987" i="9"/>
  <c r="AP987" i="9"/>
  <c r="AO987" i="9"/>
  <c r="AN987" i="9"/>
  <c r="AM987" i="9"/>
  <c r="AL987" i="9"/>
  <c r="AK987" i="9"/>
  <c r="AJ987" i="9"/>
  <c r="AI987" i="9"/>
  <c r="AH987" i="9"/>
  <c r="AG987" i="9"/>
  <c r="AF987" i="9"/>
  <c r="AE987" i="9"/>
  <c r="AD987" i="9"/>
  <c r="AC987" i="9"/>
  <c r="AB987" i="9"/>
  <c r="AA987" i="9"/>
  <c r="V987" i="9"/>
  <c r="D987" i="9"/>
  <c r="B987" i="9" a="1"/>
  <c r="B987" i="9" s="1"/>
  <c r="EY986" i="9"/>
  <c r="CI986" i="9"/>
  <c r="CH986" i="9"/>
  <c r="CG986" i="9"/>
  <c r="CF986" i="9"/>
  <c r="CE986" i="9"/>
  <c r="CD986" i="9"/>
  <c r="CC986" i="9"/>
  <c r="BV986" i="9"/>
  <c r="BU986" i="9"/>
  <c r="BT986" i="9"/>
  <c r="BS986" i="9"/>
  <c r="BR986" i="9"/>
  <c r="BQ986" i="9"/>
  <c r="BP986" i="9"/>
  <c r="BO986" i="9"/>
  <c r="BN986" i="9"/>
  <c r="BM986" i="9"/>
  <c r="BL986" i="9"/>
  <c r="BK986" i="9"/>
  <c r="BJ986" i="9"/>
  <c r="BI986" i="9"/>
  <c r="BH986" i="9"/>
  <c r="BG986" i="9"/>
  <c r="BF986" i="9"/>
  <c r="BE986" i="9"/>
  <c r="BD986" i="9"/>
  <c r="BC986" i="9"/>
  <c r="BB986" i="9"/>
  <c r="BA986" i="9"/>
  <c r="AZ986" i="9"/>
  <c r="AY986" i="9"/>
  <c r="AX986" i="9"/>
  <c r="AW986" i="9"/>
  <c r="AV986" i="9"/>
  <c r="AU986" i="9"/>
  <c r="AT986" i="9"/>
  <c r="AS986" i="9"/>
  <c r="AR986" i="9"/>
  <c r="AQ986" i="9"/>
  <c r="AP986" i="9"/>
  <c r="AO986" i="9"/>
  <c r="AN986" i="9"/>
  <c r="AM986" i="9"/>
  <c r="AL986" i="9"/>
  <c r="AK986" i="9"/>
  <c r="AJ986" i="9"/>
  <c r="AI986" i="9"/>
  <c r="AH986" i="9"/>
  <c r="AG986" i="9"/>
  <c r="AF986" i="9"/>
  <c r="AE986" i="9"/>
  <c r="AD986" i="9"/>
  <c r="AC986" i="9"/>
  <c r="AB986" i="9"/>
  <c r="AA986" i="9"/>
  <c r="V986" i="9"/>
  <c r="D986" i="9"/>
  <c r="B986" i="9" a="1"/>
  <c r="B986" i="9" s="1"/>
  <c r="EY985" i="9"/>
  <c r="CI985" i="9"/>
  <c r="CH985" i="9"/>
  <c r="CG985" i="9"/>
  <c r="CF985" i="9"/>
  <c r="CE985" i="9"/>
  <c r="CD985" i="9"/>
  <c r="CC985" i="9"/>
  <c r="BV985" i="9"/>
  <c r="BU985" i="9"/>
  <c r="BT985" i="9"/>
  <c r="BS985" i="9"/>
  <c r="BR985" i="9"/>
  <c r="BQ985" i="9"/>
  <c r="BP985" i="9"/>
  <c r="BO985" i="9"/>
  <c r="BN985" i="9"/>
  <c r="BM985" i="9"/>
  <c r="BL985" i="9"/>
  <c r="BK985" i="9"/>
  <c r="BJ985" i="9"/>
  <c r="BI985" i="9"/>
  <c r="BH985" i="9"/>
  <c r="BG985" i="9"/>
  <c r="BF985" i="9"/>
  <c r="BE985" i="9"/>
  <c r="BD985" i="9"/>
  <c r="BC985" i="9"/>
  <c r="BB985" i="9"/>
  <c r="BA985" i="9"/>
  <c r="AZ985" i="9"/>
  <c r="AY985" i="9"/>
  <c r="AX985" i="9"/>
  <c r="AW985" i="9"/>
  <c r="AV985" i="9"/>
  <c r="AU985" i="9"/>
  <c r="AT985" i="9"/>
  <c r="AS985" i="9"/>
  <c r="AR985" i="9"/>
  <c r="AQ985" i="9"/>
  <c r="AP985" i="9"/>
  <c r="AO985" i="9"/>
  <c r="AN985" i="9"/>
  <c r="AM985" i="9"/>
  <c r="AL985" i="9"/>
  <c r="AK985" i="9"/>
  <c r="AJ985" i="9"/>
  <c r="AI985" i="9"/>
  <c r="AH985" i="9"/>
  <c r="AG985" i="9"/>
  <c r="AF985" i="9"/>
  <c r="AE985" i="9"/>
  <c r="AD985" i="9"/>
  <c r="AC985" i="9"/>
  <c r="AB985" i="9"/>
  <c r="AA985" i="9"/>
  <c r="V985" i="9"/>
  <c r="D985" i="9"/>
  <c r="B985" i="9" a="1"/>
  <c r="B985" i="9" s="1"/>
  <c r="EY984" i="9"/>
  <c r="CI984" i="9"/>
  <c r="CH984" i="9"/>
  <c r="CG984" i="9"/>
  <c r="CF984" i="9"/>
  <c r="CE984" i="9"/>
  <c r="CD984" i="9"/>
  <c r="CC984" i="9"/>
  <c r="BV984" i="9"/>
  <c r="BU984" i="9"/>
  <c r="BT984" i="9"/>
  <c r="BS984" i="9"/>
  <c r="BR984" i="9"/>
  <c r="BQ984" i="9"/>
  <c r="BP984" i="9"/>
  <c r="BO984" i="9"/>
  <c r="BN984" i="9"/>
  <c r="BM984" i="9"/>
  <c r="BL984" i="9"/>
  <c r="BK984" i="9"/>
  <c r="BJ984" i="9"/>
  <c r="BI984" i="9"/>
  <c r="BH984" i="9"/>
  <c r="BG984" i="9"/>
  <c r="BF984" i="9"/>
  <c r="BE984" i="9"/>
  <c r="BD984" i="9"/>
  <c r="BC984" i="9"/>
  <c r="BB984" i="9"/>
  <c r="BA984" i="9"/>
  <c r="AZ984" i="9"/>
  <c r="AY984" i="9"/>
  <c r="AX984" i="9"/>
  <c r="AW984" i="9"/>
  <c r="AV984" i="9"/>
  <c r="AU984" i="9"/>
  <c r="AT984" i="9"/>
  <c r="AS984" i="9"/>
  <c r="AR984" i="9"/>
  <c r="AQ984" i="9"/>
  <c r="AP984" i="9"/>
  <c r="AO984" i="9"/>
  <c r="AN984" i="9"/>
  <c r="AM984" i="9"/>
  <c r="AL984" i="9"/>
  <c r="AK984" i="9"/>
  <c r="AJ984" i="9"/>
  <c r="AI984" i="9"/>
  <c r="AH984" i="9"/>
  <c r="AG984" i="9"/>
  <c r="AF984" i="9"/>
  <c r="AE984" i="9"/>
  <c r="AD984" i="9"/>
  <c r="AC984" i="9"/>
  <c r="AB984" i="9"/>
  <c r="AA984" i="9"/>
  <c r="V984" i="9"/>
  <c r="D984" i="9"/>
  <c r="B984" i="9" a="1"/>
  <c r="B984" i="9" s="1"/>
  <c r="EY983" i="9"/>
  <c r="CI983" i="9"/>
  <c r="CH983" i="9"/>
  <c r="CG983" i="9"/>
  <c r="CF983" i="9"/>
  <c r="CE983" i="9"/>
  <c r="CD983" i="9"/>
  <c r="CC983" i="9"/>
  <c r="BV983" i="9"/>
  <c r="BU983" i="9"/>
  <c r="BT983" i="9"/>
  <c r="BS983" i="9"/>
  <c r="BR983" i="9"/>
  <c r="BQ983" i="9"/>
  <c r="BP983" i="9"/>
  <c r="BO983" i="9"/>
  <c r="BN983" i="9"/>
  <c r="BM983" i="9"/>
  <c r="BL983" i="9"/>
  <c r="BK983" i="9"/>
  <c r="BJ983" i="9"/>
  <c r="BI983" i="9"/>
  <c r="BH983" i="9"/>
  <c r="BG983" i="9"/>
  <c r="BF983" i="9"/>
  <c r="BE983" i="9"/>
  <c r="BD983" i="9"/>
  <c r="BC983" i="9"/>
  <c r="BB983" i="9"/>
  <c r="BA983" i="9"/>
  <c r="AZ983" i="9"/>
  <c r="AY983" i="9"/>
  <c r="AX983" i="9"/>
  <c r="AW983" i="9"/>
  <c r="AV983" i="9"/>
  <c r="AU983" i="9"/>
  <c r="AT983" i="9"/>
  <c r="AS983" i="9"/>
  <c r="AR983" i="9"/>
  <c r="AQ983" i="9"/>
  <c r="AP983" i="9"/>
  <c r="AO983" i="9"/>
  <c r="AN983" i="9"/>
  <c r="AM983" i="9"/>
  <c r="AL983" i="9"/>
  <c r="AK983" i="9"/>
  <c r="AJ983" i="9"/>
  <c r="AI983" i="9"/>
  <c r="AH983" i="9"/>
  <c r="AG983" i="9"/>
  <c r="AF983" i="9"/>
  <c r="AE983" i="9"/>
  <c r="AD983" i="9"/>
  <c r="AC983" i="9"/>
  <c r="AB983" i="9"/>
  <c r="AA983" i="9"/>
  <c r="V983" i="9"/>
  <c r="D983" i="9"/>
  <c r="B983" i="9" a="1"/>
  <c r="B983" i="9" s="1"/>
  <c r="EY982" i="9"/>
  <c r="CI982" i="9"/>
  <c r="CH982" i="9"/>
  <c r="CG982" i="9"/>
  <c r="CF982" i="9"/>
  <c r="CE982" i="9"/>
  <c r="CD982" i="9"/>
  <c r="CC982" i="9"/>
  <c r="BV982" i="9"/>
  <c r="BU982" i="9"/>
  <c r="BT982" i="9"/>
  <c r="BS982" i="9"/>
  <c r="BR982" i="9"/>
  <c r="BQ982" i="9"/>
  <c r="BP982" i="9"/>
  <c r="BO982" i="9"/>
  <c r="BN982" i="9"/>
  <c r="BM982" i="9"/>
  <c r="BL982" i="9"/>
  <c r="BK982" i="9"/>
  <c r="BJ982" i="9"/>
  <c r="BI982" i="9"/>
  <c r="BH982" i="9"/>
  <c r="BG982" i="9"/>
  <c r="BF982" i="9"/>
  <c r="BE982" i="9"/>
  <c r="BD982" i="9"/>
  <c r="BC982" i="9"/>
  <c r="BB982" i="9"/>
  <c r="BA982" i="9"/>
  <c r="AZ982" i="9"/>
  <c r="AY982" i="9"/>
  <c r="AX982" i="9"/>
  <c r="AW982" i="9"/>
  <c r="AV982" i="9"/>
  <c r="AU982" i="9"/>
  <c r="AT982" i="9"/>
  <c r="AS982" i="9"/>
  <c r="AR982" i="9"/>
  <c r="AQ982" i="9"/>
  <c r="AP982" i="9"/>
  <c r="AO982" i="9"/>
  <c r="AN982" i="9"/>
  <c r="AM982" i="9"/>
  <c r="AL982" i="9"/>
  <c r="AK982" i="9"/>
  <c r="AJ982" i="9"/>
  <c r="AI982" i="9"/>
  <c r="AH982" i="9"/>
  <c r="AG982" i="9"/>
  <c r="AF982" i="9"/>
  <c r="AE982" i="9"/>
  <c r="AD982" i="9"/>
  <c r="AC982" i="9"/>
  <c r="AB982" i="9"/>
  <c r="AA982" i="9"/>
  <c r="V982" i="9"/>
  <c r="D982" i="9"/>
  <c r="B982" i="9" a="1"/>
  <c r="B982" i="9" s="1"/>
  <c r="EY981" i="9"/>
  <c r="CI981" i="9"/>
  <c r="CH981" i="9"/>
  <c r="CG981" i="9"/>
  <c r="CF981" i="9"/>
  <c r="CE981" i="9"/>
  <c r="CD981" i="9"/>
  <c r="CC981" i="9"/>
  <c r="BV981" i="9"/>
  <c r="BU981" i="9"/>
  <c r="BT981" i="9"/>
  <c r="BS981" i="9"/>
  <c r="BR981" i="9"/>
  <c r="BQ981" i="9"/>
  <c r="BP981" i="9"/>
  <c r="BO981" i="9"/>
  <c r="BN981" i="9"/>
  <c r="BM981" i="9"/>
  <c r="BL981" i="9"/>
  <c r="BK981" i="9"/>
  <c r="BJ981" i="9"/>
  <c r="BI981" i="9"/>
  <c r="BH981" i="9"/>
  <c r="BG981" i="9"/>
  <c r="BF981" i="9"/>
  <c r="BE981" i="9"/>
  <c r="BD981" i="9"/>
  <c r="BC981" i="9"/>
  <c r="BB981" i="9"/>
  <c r="BA981" i="9"/>
  <c r="AZ981" i="9"/>
  <c r="AY981" i="9"/>
  <c r="AX981" i="9"/>
  <c r="AW981" i="9"/>
  <c r="AV981" i="9"/>
  <c r="AU981" i="9"/>
  <c r="AT981" i="9"/>
  <c r="AS981" i="9"/>
  <c r="AR981" i="9"/>
  <c r="AQ981" i="9"/>
  <c r="AP981" i="9"/>
  <c r="AO981" i="9"/>
  <c r="AN981" i="9"/>
  <c r="AM981" i="9"/>
  <c r="AL981" i="9"/>
  <c r="AK981" i="9"/>
  <c r="AJ981" i="9"/>
  <c r="AI981" i="9"/>
  <c r="AH981" i="9"/>
  <c r="AG981" i="9"/>
  <c r="AF981" i="9"/>
  <c r="AE981" i="9"/>
  <c r="AD981" i="9"/>
  <c r="AC981" i="9"/>
  <c r="AB981" i="9"/>
  <c r="AA981" i="9"/>
  <c r="V981" i="9"/>
  <c r="D981" i="9"/>
  <c r="B981" i="9" a="1"/>
  <c r="B981" i="9" s="1"/>
  <c r="EY980" i="9"/>
  <c r="CI980" i="9"/>
  <c r="CH980" i="9"/>
  <c r="CG980" i="9"/>
  <c r="CF980" i="9"/>
  <c r="CE980" i="9"/>
  <c r="CD980" i="9"/>
  <c r="CC980" i="9"/>
  <c r="BV980" i="9"/>
  <c r="BU980" i="9"/>
  <c r="BT980" i="9"/>
  <c r="BS980" i="9"/>
  <c r="BR980" i="9"/>
  <c r="BQ980" i="9"/>
  <c r="BP980" i="9"/>
  <c r="BO980" i="9"/>
  <c r="BN980" i="9"/>
  <c r="BM980" i="9"/>
  <c r="BL980" i="9"/>
  <c r="BK980" i="9"/>
  <c r="BJ980" i="9"/>
  <c r="BI980" i="9"/>
  <c r="BH980" i="9"/>
  <c r="BG980" i="9"/>
  <c r="BF980" i="9"/>
  <c r="BE980" i="9"/>
  <c r="BD980" i="9"/>
  <c r="BC980" i="9"/>
  <c r="BB980" i="9"/>
  <c r="BA980" i="9"/>
  <c r="AZ980" i="9"/>
  <c r="AY980" i="9"/>
  <c r="AX980" i="9"/>
  <c r="AW980" i="9"/>
  <c r="AV980" i="9"/>
  <c r="AU980" i="9"/>
  <c r="AT980" i="9"/>
  <c r="AS980" i="9"/>
  <c r="AR980" i="9"/>
  <c r="AQ980" i="9"/>
  <c r="AP980" i="9"/>
  <c r="AO980" i="9"/>
  <c r="AN980" i="9"/>
  <c r="AM980" i="9"/>
  <c r="AL980" i="9"/>
  <c r="AK980" i="9"/>
  <c r="AJ980" i="9"/>
  <c r="AI980" i="9"/>
  <c r="AH980" i="9"/>
  <c r="AG980" i="9"/>
  <c r="AF980" i="9"/>
  <c r="AE980" i="9"/>
  <c r="AD980" i="9"/>
  <c r="AC980" i="9"/>
  <c r="AB980" i="9"/>
  <c r="AA980" i="9"/>
  <c r="V980" i="9"/>
  <c r="D980" i="9"/>
  <c r="B980" i="9" a="1"/>
  <c r="B980" i="9" s="1"/>
  <c r="EY979" i="9"/>
  <c r="CI979" i="9"/>
  <c r="CH979" i="9"/>
  <c r="CG979" i="9"/>
  <c r="CF979" i="9"/>
  <c r="CE979" i="9"/>
  <c r="CD979" i="9"/>
  <c r="CC979" i="9"/>
  <c r="BV979" i="9"/>
  <c r="BU979" i="9"/>
  <c r="BT979" i="9"/>
  <c r="BS979" i="9"/>
  <c r="BR979" i="9"/>
  <c r="BQ979" i="9"/>
  <c r="BP979" i="9"/>
  <c r="BO979" i="9"/>
  <c r="BN979" i="9"/>
  <c r="BM979" i="9"/>
  <c r="BL979" i="9"/>
  <c r="BK979" i="9"/>
  <c r="BJ979" i="9"/>
  <c r="BI979" i="9"/>
  <c r="BH979" i="9"/>
  <c r="BG979" i="9"/>
  <c r="BF979" i="9"/>
  <c r="BE979" i="9"/>
  <c r="BD979" i="9"/>
  <c r="BC979" i="9"/>
  <c r="BB979" i="9"/>
  <c r="BA979" i="9"/>
  <c r="AZ979" i="9"/>
  <c r="AY979" i="9"/>
  <c r="AX979" i="9"/>
  <c r="AW979" i="9"/>
  <c r="AV979" i="9"/>
  <c r="AU979" i="9"/>
  <c r="AT979" i="9"/>
  <c r="AS979" i="9"/>
  <c r="AR979" i="9"/>
  <c r="AQ979" i="9"/>
  <c r="AP979" i="9"/>
  <c r="AO979" i="9"/>
  <c r="AN979" i="9"/>
  <c r="AM979" i="9"/>
  <c r="AL979" i="9"/>
  <c r="AK979" i="9"/>
  <c r="AJ979" i="9"/>
  <c r="AI979" i="9"/>
  <c r="AH979" i="9"/>
  <c r="AG979" i="9"/>
  <c r="AF979" i="9"/>
  <c r="AE979" i="9"/>
  <c r="AD979" i="9"/>
  <c r="AC979" i="9"/>
  <c r="AB979" i="9"/>
  <c r="AA979" i="9"/>
  <c r="V979" i="9"/>
  <c r="D979" i="9"/>
  <c r="B979" i="9" a="1"/>
  <c r="B979" i="9" s="1"/>
  <c r="EY978" i="9"/>
  <c r="CI978" i="9"/>
  <c r="CH978" i="9"/>
  <c r="CG978" i="9"/>
  <c r="CF978" i="9"/>
  <c r="CE978" i="9"/>
  <c r="CD978" i="9"/>
  <c r="CC978" i="9"/>
  <c r="BV978" i="9"/>
  <c r="BU978" i="9"/>
  <c r="BT978" i="9"/>
  <c r="BS978" i="9"/>
  <c r="BR978" i="9"/>
  <c r="BQ978" i="9"/>
  <c r="BP978" i="9"/>
  <c r="BO978" i="9"/>
  <c r="BN978" i="9"/>
  <c r="BM978" i="9"/>
  <c r="BL978" i="9"/>
  <c r="BK978" i="9"/>
  <c r="BJ978" i="9"/>
  <c r="BI978" i="9"/>
  <c r="BH978" i="9"/>
  <c r="BG978" i="9"/>
  <c r="BF978" i="9"/>
  <c r="BE978" i="9"/>
  <c r="BD978" i="9"/>
  <c r="BC978" i="9"/>
  <c r="BB978" i="9"/>
  <c r="BA978" i="9"/>
  <c r="AZ978" i="9"/>
  <c r="AY978" i="9"/>
  <c r="AX978" i="9"/>
  <c r="AW978" i="9"/>
  <c r="AV978" i="9"/>
  <c r="AU978" i="9"/>
  <c r="AT978" i="9"/>
  <c r="AS978" i="9"/>
  <c r="AR978" i="9"/>
  <c r="AQ978" i="9"/>
  <c r="AP978" i="9"/>
  <c r="AO978" i="9"/>
  <c r="AN978" i="9"/>
  <c r="AM978" i="9"/>
  <c r="AL978" i="9"/>
  <c r="AK978" i="9"/>
  <c r="AJ978" i="9"/>
  <c r="AI978" i="9"/>
  <c r="AH978" i="9"/>
  <c r="AG978" i="9"/>
  <c r="AF978" i="9"/>
  <c r="AE978" i="9"/>
  <c r="AD978" i="9"/>
  <c r="AC978" i="9"/>
  <c r="AB978" i="9"/>
  <c r="AA978" i="9"/>
  <c r="V978" i="9"/>
  <c r="D978" i="9"/>
  <c r="B978" i="9" a="1"/>
  <c r="B978" i="9" s="1"/>
  <c r="EY977" i="9"/>
  <c r="CI977" i="9"/>
  <c r="CH977" i="9"/>
  <c r="CG977" i="9"/>
  <c r="CF977" i="9"/>
  <c r="CE977" i="9"/>
  <c r="CD977" i="9"/>
  <c r="CC977" i="9"/>
  <c r="BV977" i="9"/>
  <c r="BU977" i="9"/>
  <c r="BT977" i="9"/>
  <c r="BS977" i="9"/>
  <c r="BR977" i="9"/>
  <c r="BQ977" i="9"/>
  <c r="BP977" i="9"/>
  <c r="BO977" i="9"/>
  <c r="BN977" i="9"/>
  <c r="BM977" i="9"/>
  <c r="BL977" i="9"/>
  <c r="BK977" i="9"/>
  <c r="BJ977" i="9"/>
  <c r="BI977" i="9"/>
  <c r="BH977" i="9"/>
  <c r="BG977" i="9"/>
  <c r="BF977" i="9"/>
  <c r="BE977" i="9"/>
  <c r="BD977" i="9"/>
  <c r="BC977" i="9"/>
  <c r="BB977" i="9"/>
  <c r="BA977" i="9"/>
  <c r="AZ977" i="9"/>
  <c r="AY977" i="9"/>
  <c r="AX977" i="9"/>
  <c r="AW977" i="9"/>
  <c r="AV977" i="9"/>
  <c r="AU977" i="9"/>
  <c r="AT977" i="9"/>
  <c r="AS977" i="9"/>
  <c r="AR977" i="9"/>
  <c r="AQ977" i="9"/>
  <c r="AP977" i="9"/>
  <c r="AO977" i="9"/>
  <c r="AN977" i="9"/>
  <c r="AM977" i="9"/>
  <c r="AL977" i="9"/>
  <c r="AK977" i="9"/>
  <c r="AJ977" i="9"/>
  <c r="AI977" i="9"/>
  <c r="AH977" i="9"/>
  <c r="AG977" i="9"/>
  <c r="AF977" i="9"/>
  <c r="AE977" i="9"/>
  <c r="AD977" i="9"/>
  <c r="AC977" i="9"/>
  <c r="AB977" i="9"/>
  <c r="AA977" i="9"/>
  <c r="V977" i="9"/>
  <c r="D977" i="9"/>
  <c r="B977" i="9" a="1"/>
  <c r="B977" i="9" s="1"/>
  <c r="EY976" i="9"/>
  <c r="E976" i="9"/>
  <c r="D976" i="9"/>
  <c r="EY975" i="9"/>
  <c r="D975" i="9"/>
  <c r="EY974" i="9"/>
  <c r="D973" i="9"/>
  <c r="B973" i="9" a="1"/>
  <c r="B973" i="9" s="1"/>
  <c r="EY973" i="9" s="1"/>
  <c r="D972" i="9"/>
  <c r="B972" i="9" a="1"/>
  <c r="B972" i="9" s="1"/>
  <c r="EY972" i="9" s="1"/>
  <c r="D971" i="9"/>
  <c r="B971" i="9" a="1"/>
  <c r="B971" i="9" s="1"/>
  <c r="EY971" i="9" s="1"/>
  <c r="D970" i="9"/>
  <c r="B970" i="9" a="1"/>
  <c r="B970" i="9" s="1"/>
  <c r="EY970" i="9" s="1"/>
  <c r="D969" i="9"/>
  <c r="B969" i="9" a="1"/>
  <c r="B969" i="9" s="1"/>
  <c r="EY969" i="9" s="1"/>
  <c r="D968" i="9"/>
  <c r="B968" i="9" a="1"/>
  <c r="B968" i="9" s="1"/>
  <c r="EY968" i="9" s="1"/>
  <c r="D967" i="9"/>
  <c r="B967" i="9" a="1"/>
  <c r="B967" i="9" s="1"/>
  <c r="EY967" i="9" s="1"/>
  <c r="D966" i="9"/>
  <c r="B966" i="9" a="1"/>
  <c r="B966" i="9" s="1"/>
  <c r="EY966" i="9" s="1"/>
  <c r="D965" i="9"/>
  <c r="B965" i="9" a="1"/>
  <c r="B965" i="9" s="1"/>
  <c r="EY965" i="9" s="1"/>
  <c r="D964" i="9"/>
  <c r="B964" i="9" a="1"/>
  <c r="B964" i="9" s="1"/>
  <c r="EY964" i="9" s="1"/>
  <c r="D963" i="9"/>
  <c r="B963" i="9" a="1"/>
  <c r="B963" i="9" s="1"/>
  <c r="EY963" i="9" s="1"/>
  <c r="D962" i="9"/>
  <c r="B962" i="9" a="1"/>
  <c r="B962" i="9" s="1"/>
  <c r="EY962" i="9" s="1"/>
  <c r="D961" i="9"/>
  <c r="B961" i="9" a="1"/>
  <c r="B961" i="9" s="1"/>
  <c r="EY961" i="9" s="1"/>
  <c r="D960" i="9"/>
  <c r="B960" i="9" a="1"/>
  <c r="B960" i="9" s="1"/>
  <c r="EY960" i="9" s="1"/>
  <c r="D959" i="9"/>
  <c r="B959" i="9" a="1"/>
  <c r="B959" i="9" s="1"/>
  <c r="EY959" i="9" s="1"/>
  <c r="D958" i="9"/>
  <c r="B958" i="9" a="1"/>
  <c r="B958" i="9" s="1"/>
  <c r="EY958" i="9" s="1"/>
  <c r="D957" i="9"/>
  <c r="B957" i="9" a="1"/>
  <c r="B957" i="9" s="1"/>
  <c r="EY957" i="9" s="1"/>
  <c r="D956" i="9"/>
  <c r="B956" i="9" a="1"/>
  <c r="B956" i="9" s="1"/>
  <c r="EY956" i="9" s="1"/>
  <c r="D955" i="9"/>
  <c r="B955" i="9" a="1"/>
  <c r="B955" i="9" s="1"/>
  <c r="EY955" i="9" s="1"/>
  <c r="D954" i="9"/>
  <c r="B954" i="9" a="1"/>
  <c r="B954" i="9" s="1"/>
  <c r="EY954" i="9" s="1"/>
  <c r="EY953" i="9"/>
  <c r="E953" i="9"/>
  <c r="D953" i="9"/>
  <c r="EY952" i="9"/>
  <c r="EY951" i="9"/>
  <c r="EY950" i="9"/>
  <c r="D950" i="9"/>
  <c r="B950" i="9" a="1"/>
  <c r="B950" i="9" s="1"/>
  <c r="EY949" i="9"/>
  <c r="D949" i="9"/>
  <c r="B949" i="9" a="1"/>
  <c r="B949" i="9" s="1"/>
  <c r="EY948" i="9"/>
  <c r="D948" i="9"/>
  <c r="B948" i="9" a="1"/>
  <c r="B948" i="9" s="1"/>
  <c r="EY947" i="9"/>
  <c r="D947" i="9"/>
  <c r="B947" i="9" a="1"/>
  <c r="B947" i="9" s="1"/>
  <c r="EY946" i="9"/>
  <c r="D946" i="9"/>
  <c r="B946" i="9" a="1"/>
  <c r="B946" i="9" s="1"/>
  <c r="EY945" i="9"/>
  <c r="D945" i="9"/>
  <c r="B945" i="9" a="1"/>
  <c r="B945" i="9" s="1"/>
  <c r="EY944" i="9"/>
  <c r="D944" i="9"/>
  <c r="B944" i="9" a="1"/>
  <c r="B944" i="9" s="1"/>
  <c r="EY943" i="9"/>
  <c r="D943" i="9"/>
  <c r="B943" i="9" a="1"/>
  <c r="B943" i="9" s="1"/>
  <c r="EY942" i="9"/>
  <c r="D942" i="9"/>
  <c r="B942" i="9" a="1"/>
  <c r="B942" i="9" s="1"/>
  <c r="EY941" i="9"/>
  <c r="D941" i="9"/>
  <c r="B941" i="9" a="1"/>
  <c r="B941" i="9" s="1"/>
  <c r="EY940" i="9"/>
  <c r="D940" i="9"/>
  <c r="B940" i="9" a="1"/>
  <c r="B940" i="9" s="1"/>
  <c r="EY939" i="9"/>
  <c r="D939" i="9"/>
  <c r="B939" i="9" a="1"/>
  <c r="B939" i="9" s="1"/>
  <c r="EY938" i="9"/>
  <c r="D938" i="9"/>
  <c r="B938" i="9" a="1"/>
  <c r="B938" i="9" s="1"/>
  <c r="EY937" i="9"/>
  <c r="D937" i="9"/>
  <c r="B937" i="9" a="1"/>
  <c r="B937" i="9" s="1"/>
  <c r="EY936" i="9"/>
  <c r="D936" i="9"/>
  <c r="B936" i="9" a="1"/>
  <c r="B936" i="9" s="1"/>
  <c r="EY935" i="9"/>
  <c r="D935" i="9"/>
  <c r="B935" i="9" a="1"/>
  <c r="B935" i="9" s="1"/>
  <c r="EY934" i="9"/>
  <c r="D934" i="9"/>
  <c r="B934" i="9" a="1"/>
  <c r="B934" i="9" s="1"/>
  <c r="EY933" i="9"/>
  <c r="D933" i="9"/>
  <c r="B933" i="9" a="1"/>
  <c r="B933" i="9" s="1"/>
  <c r="EY932" i="9"/>
  <c r="D932" i="9"/>
  <c r="B932" i="9" a="1"/>
  <c r="B932" i="9" s="1"/>
  <c r="EY931" i="9"/>
  <c r="D931" i="9"/>
  <c r="B931" i="9" a="1"/>
  <c r="B931" i="9" s="1"/>
  <c r="EY930" i="9"/>
  <c r="E930" i="9"/>
  <c r="D930" i="9"/>
  <c r="EY929" i="9"/>
  <c r="EY928" i="9"/>
  <c r="EY927" i="9"/>
  <c r="D927" i="9"/>
  <c r="B927" i="9" a="1"/>
  <c r="B927" i="9" s="1"/>
  <c r="EY926" i="9"/>
  <c r="D926" i="9"/>
  <c r="B926" i="9" a="1"/>
  <c r="B926" i="9" s="1"/>
  <c r="EY925" i="9"/>
  <c r="D925" i="9"/>
  <c r="B925" i="9" a="1"/>
  <c r="B925" i="9" s="1"/>
  <c r="EY924" i="9"/>
  <c r="D924" i="9"/>
  <c r="B924" i="9" a="1"/>
  <c r="B924" i="9" s="1"/>
  <c r="EY923" i="9"/>
  <c r="D923" i="9"/>
  <c r="B923" i="9" a="1"/>
  <c r="B923" i="9" s="1"/>
  <c r="EY922" i="9"/>
  <c r="D922" i="9"/>
  <c r="B922" i="9" a="1"/>
  <c r="B922" i="9" s="1"/>
  <c r="EY921" i="9"/>
  <c r="D921" i="9"/>
  <c r="B921" i="9" a="1"/>
  <c r="B921" i="9" s="1"/>
  <c r="EY920" i="9"/>
  <c r="D920" i="9"/>
  <c r="B920" i="9" a="1"/>
  <c r="B920" i="9" s="1"/>
  <c r="EY919" i="9"/>
  <c r="D919" i="9"/>
  <c r="B919" i="9" a="1"/>
  <c r="B919" i="9" s="1"/>
  <c r="EY918" i="9"/>
  <c r="D918" i="9"/>
  <c r="B918" i="9" a="1"/>
  <c r="B918" i="9" s="1"/>
  <c r="EY917" i="9"/>
  <c r="D917" i="9"/>
  <c r="B917" i="9" a="1"/>
  <c r="B917" i="9" s="1"/>
  <c r="EY916" i="9"/>
  <c r="D916" i="9"/>
  <c r="B916" i="9" a="1"/>
  <c r="B916" i="9" s="1"/>
  <c r="EY915" i="9"/>
  <c r="D915" i="9"/>
  <c r="B915" i="9" a="1"/>
  <c r="B915" i="9" s="1"/>
  <c r="EY914" i="9"/>
  <c r="D914" i="9"/>
  <c r="B914" i="9" a="1"/>
  <c r="B914" i="9" s="1"/>
  <c r="EY913" i="9"/>
  <c r="D913" i="9"/>
  <c r="B913" i="9" a="1"/>
  <c r="B913" i="9" s="1"/>
  <c r="EY912" i="9"/>
  <c r="D912" i="9"/>
  <c r="B912" i="9" a="1"/>
  <c r="B912" i="9" s="1"/>
  <c r="EY911" i="9"/>
  <c r="D911" i="9"/>
  <c r="B911" i="9" a="1"/>
  <c r="B911" i="9" s="1"/>
  <c r="EY910" i="9"/>
  <c r="D910" i="9"/>
  <c r="B910" i="9" a="1"/>
  <c r="B910" i="9" s="1"/>
  <c r="EY909" i="9"/>
  <c r="D909" i="9"/>
  <c r="B909" i="9" a="1"/>
  <c r="B909" i="9" s="1"/>
  <c r="EY908" i="9"/>
  <c r="D908" i="9"/>
  <c r="B908" i="9" a="1"/>
  <c r="B908" i="9" s="1"/>
  <c r="EY907" i="9"/>
  <c r="E907" i="9"/>
  <c r="D907" i="9"/>
  <c r="EY906" i="9"/>
  <c r="EY905" i="9"/>
  <c r="EY904" i="9"/>
  <c r="EY903" i="9"/>
  <c r="G902" i="9"/>
  <c r="D902" i="9"/>
  <c r="B902" i="9" a="1"/>
  <c r="B902" i="9" s="1"/>
  <c r="EY902" i="9" s="1"/>
  <c r="G901" i="9"/>
  <c r="D901" i="9"/>
  <c r="B901" i="9" a="1"/>
  <c r="B901" i="9" s="1"/>
  <c r="EY901" i="9" s="1"/>
  <c r="G900" i="9"/>
  <c r="D900" i="9"/>
  <c r="B900" i="9" a="1"/>
  <c r="B900" i="9" s="1"/>
  <c r="EY900" i="9" s="1"/>
  <c r="G899" i="9"/>
  <c r="D899" i="9"/>
  <c r="B899" i="9" a="1"/>
  <c r="B899" i="9" s="1"/>
  <c r="EY899" i="9" s="1"/>
  <c r="G898" i="9"/>
  <c r="D898" i="9"/>
  <c r="B898" i="9" a="1"/>
  <c r="B898" i="9" s="1"/>
  <c r="EY898" i="9" s="1"/>
  <c r="G897" i="9"/>
  <c r="D897" i="9"/>
  <c r="B897" i="9" a="1"/>
  <c r="B897" i="9" s="1"/>
  <c r="EY897" i="9" s="1"/>
  <c r="G896" i="9"/>
  <c r="D896" i="9"/>
  <c r="B896" i="9" a="1"/>
  <c r="B896" i="9" s="1"/>
  <c r="EY896" i="9" s="1"/>
  <c r="G895" i="9"/>
  <c r="D895" i="9"/>
  <c r="B895" i="9" a="1"/>
  <c r="B895" i="9" s="1"/>
  <c r="EY895" i="9" s="1"/>
  <c r="G894" i="9"/>
  <c r="D894" i="9"/>
  <c r="B894" i="9" a="1"/>
  <c r="B894" i="9" s="1"/>
  <c r="EY894" i="9" s="1"/>
  <c r="G893" i="9"/>
  <c r="D893" i="9"/>
  <c r="B893" i="9" a="1"/>
  <c r="B893" i="9" s="1"/>
  <c r="EY893" i="9" s="1"/>
  <c r="G892" i="9"/>
  <c r="D892" i="9"/>
  <c r="B892" i="9" a="1"/>
  <c r="B892" i="9" s="1"/>
  <c r="EY892" i="9" s="1"/>
  <c r="G891" i="9"/>
  <c r="D891" i="9"/>
  <c r="B891" i="9" a="1"/>
  <c r="B891" i="9" s="1"/>
  <c r="EY891" i="9" s="1"/>
  <c r="G890" i="9"/>
  <c r="D890" i="9"/>
  <c r="B890" i="9" a="1"/>
  <c r="B890" i="9" s="1"/>
  <c r="EY890" i="9" s="1"/>
  <c r="G889" i="9"/>
  <c r="D889" i="9"/>
  <c r="B889" i="9" a="1"/>
  <c r="B889" i="9" s="1"/>
  <c r="EY889" i="9" s="1"/>
  <c r="G888" i="9"/>
  <c r="D888" i="9"/>
  <c r="B888" i="9" a="1"/>
  <c r="B888" i="9" s="1"/>
  <c r="EY888" i="9" s="1"/>
  <c r="G887" i="9"/>
  <c r="D887" i="9"/>
  <c r="B887" i="9" a="1"/>
  <c r="B887" i="9" s="1"/>
  <c r="EY887" i="9" s="1"/>
  <c r="G886" i="9"/>
  <c r="D886" i="9"/>
  <c r="B886" i="9" a="1"/>
  <c r="B886" i="9" s="1"/>
  <c r="EY886" i="9" s="1"/>
  <c r="G885" i="9"/>
  <c r="D885" i="9"/>
  <c r="B885" i="9" a="1"/>
  <c r="B885" i="9" s="1"/>
  <c r="EY885" i="9" s="1"/>
  <c r="G884" i="9"/>
  <c r="D884" i="9"/>
  <c r="B884" i="9" a="1"/>
  <c r="B884" i="9" s="1"/>
  <c r="EY884" i="9" s="1"/>
  <c r="G883" i="9"/>
  <c r="D883" i="9"/>
  <c r="B883" i="9" a="1"/>
  <c r="B883" i="9" s="1"/>
  <c r="EY883" i="9" s="1"/>
  <c r="EY882" i="9"/>
  <c r="EY881" i="9"/>
  <c r="EY880" i="9"/>
  <c r="G879" i="9"/>
  <c r="D879" i="9"/>
  <c r="B879" i="9" a="1"/>
  <c r="B879" i="9" s="1"/>
  <c r="EY879" i="9" s="1"/>
  <c r="G878" i="9"/>
  <c r="D878" i="9"/>
  <c r="B878" i="9" a="1"/>
  <c r="B878" i="9" s="1"/>
  <c r="EY878" i="9" s="1"/>
  <c r="G877" i="9"/>
  <c r="D877" i="9"/>
  <c r="B877" i="9" a="1"/>
  <c r="B877" i="9" s="1"/>
  <c r="EY877" i="9" s="1"/>
  <c r="G876" i="9"/>
  <c r="D876" i="9"/>
  <c r="B876" i="9" a="1"/>
  <c r="B876" i="9" s="1"/>
  <c r="EY876" i="9" s="1"/>
  <c r="G875" i="9"/>
  <c r="D875" i="9"/>
  <c r="B875" i="9" a="1"/>
  <c r="B875" i="9" s="1"/>
  <c r="EY875" i="9" s="1"/>
  <c r="G874" i="9"/>
  <c r="D874" i="9"/>
  <c r="B874" i="9" a="1"/>
  <c r="B874" i="9" s="1"/>
  <c r="EY874" i="9" s="1"/>
  <c r="G873" i="9"/>
  <c r="D873" i="9"/>
  <c r="B873" i="9" a="1"/>
  <c r="B873" i="9" s="1"/>
  <c r="EY873" i="9" s="1"/>
  <c r="G872" i="9"/>
  <c r="D872" i="9"/>
  <c r="B872" i="9" a="1"/>
  <c r="B872" i="9" s="1"/>
  <c r="EY872" i="9" s="1"/>
  <c r="G871" i="9"/>
  <c r="D871" i="9"/>
  <c r="B871" i="9" a="1"/>
  <c r="B871" i="9" s="1"/>
  <c r="EY871" i="9" s="1"/>
  <c r="G870" i="9"/>
  <c r="D870" i="9"/>
  <c r="B870" i="9" a="1"/>
  <c r="B870" i="9" s="1"/>
  <c r="EY870" i="9" s="1"/>
  <c r="G869" i="9"/>
  <c r="D869" i="9"/>
  <c r="B869" i="9" a="1"/>
  <c r="B869" i="9" s="1"/>
  <c r="EY869" i="9" s="1"/>
  <c r="G868" i="9"/>
  <c r="D868" i="9"/>
  <c r="B868" i="9" a="1"/>
  <c r="B868" i="9" s="1"/>
  <c r="EY868" i="9" s="1"/>
  <c r="G867" i="9"/>
  <c r="D867" i="9"/>
  <c r="B867" i="9" a="1"/>
  <c r="B867" i="9" s="1"/>
  <c r="EY867" i="9" s="1"/>
  <c r="G866" i="9"/>
  <c r="D866" i="9"/>
  <c r="B866" i="9" a="1"/>
  <c r="B866" i="9" s="1"/>
  <c r="EY866" i="9" s="1"/>
  <c r="G865" i="9"/>
  <c r="D865" i="9"/>
  <c r="B865" i="9" a="1"/>
  <c r="B865" i="9" s="1"/>
  <c r="EY865" i="9" s="1"/>
  <c r="G864" i="9"/>
  <c r="D864" i="9"/>
  <c r="B864" i="9" a="1"/>
  <c r="B864" i="9" s="1"/>
  <c r="EY864" i="9" s="1"/>
  <c r="G863" i="9"/>
  <c r="D863" i="9"/>
  <c r="B863" i="9" a="1"/>
  <c r="B863" i="9" s="1"/>
  <c r="EY863" i="9" s="1"/>
  <c r="G862" i="9"/>
  <c r="D862" i="9"/>
  <c r="B862" i="9" a="1"/>
  <c r="B862" i="9" s="1"/>
  <c r="EY862" i="9" s="1"/>
  <c r="G861" i="9"/>
  <c r="D861" i="9"/>
  <c r="B861" i="9" a="1"/>
  <c r="B861" i="9" s="1"/>
  <c r="EY861" i="9" s="1"/>
  <c r="G860" i="9"/>
  <c r="D860" i="9"/>
  <c r="B860" i="9" a="1"/>
  <c r="B860" i="9" s="1"/>
  <c r="EY860" i="9" s="1"/>
  <c r="EY859" i="9"/>
  <c r="EY858" i="9"/>
  <c r="EY857" i="9"/>
  <c r="G856" i="9"/>
  <c r="D856" i="9"/>
  <c r="B856" i="9" a="1"/>
  <c r="B856" i="9" s="1"/>
  <c r="EY856" i="9" s="1"/>
  <c r="G855" i="9"/>
  <c r="D855" i="9"/>
  <c r="B855" i="9" a="1"/>
  <c r="B855" i="9" s="1"/>
  <c r="EY855" i="9" s="1"/>
  <c r="G854" i="9"/>
  <c r="D854" i="9"/>
  <c r="B854" i="9" a="1"/>
  <c r="B854" i="9" s="1"/>
  <c r="EY854" i="9" s="1"/>
  <c r="G853" i="9"/>
  <c r="D853" i="9"/>
  <c r="B853" i="9" a="1"/>
  <c r="B853" i="9" s="1"/>
  <c r="EY853" i="9" s="1"/>
  <c r="G852" i="9"/>
  <c r="D852" i="9"/>
  <c r="B852" i="9" a="1"/>
  <c r="B852" i="9" s="1"/>
  <c r="EY852" i="9" s="1"/>
  <c r="G851" i="9"/>
  <c r="D851" i="9"/>
  <c r="B851" i="9" a="1"/>
  <c r="B851" i="9" s="1"/>
  <c r="EY851" i="9" s="1"/>
  <c r="G850" i="9"/>
  <c r="D850" i="9"/>
  <c r="B850" i="9" a="1"/>
  <c r="B850" i="9" s="1"/>
  <c r="EY850" i="9" s="1"/>
  <c r="G849" i="9"/>
  <c r="D849" i="9"/>
  <c r="B849" i="9" a="1"/>
  <c r="B849" i="9" s="1"/>
  <c r="EY849" i="9" s="1"/>
  <c r="G848" i="9"/>
  <c r="D848" i="9"/>
  <c r="B848" i="9" a="1"/>
  <c r="B848" i="9" s="1"/>
  <c r="EY848" i="9" s="1"/>
  <c r="G847" i="9"/>
  <c r="D847" i="9"/>
  <c r="B847" i="9" a="1"/>
  <c r="B847" i="9" s="1"/>
  <c r="EY847" i="9" s="1"/>
  <c r="G846" i="9"/>
  <c r="D846" i="9"/>
  <c r="B846" i="9" a="1"/>
  <c r="B846" i="9" s="1"/>
  <c r="EY846" i="9" s="1"/>
  <c r="G845" i="9"/>
  <c r="D845" i="9"/>
  <c r="B845" i="9" a="1"/>
  <c r="B845" i="9" s="1"/>
  <c r="EY845" i="9" s="1"/>
  <c r="G844" i="9"/>
  <c r="D844" i="9"/>
  <c r="B844" i="9" a="1"/>
  <c r="B844" i="9" s="1"/>
  <c r="EY844" i="9" s="1"/>
  <c r="G843" i="9"/>
  <c r="D843" i="9"/>
  <c r="B843" i="9" a="1"/>
  <c r="B843" i="9" s="1"/>
  <c r="EY843" i="9" s="1"/>
  <c r="G842" i="9"/>
  <c r="D842" i="9"/>
  <c r="B842" i="9" a="1"/>
  <c r="B842" i="9" s="1"/>
  <c r="EY842" i="9" s="1"/>
  <c r="G841" i="9"/>
  <c r="D841" i="9"/>
  <c r="B841" i="9" a="1"/>
  <c r="B841" i="9" s="1"/>
  <c r="EY841" i="9" s="1"/>
  <c r="G840" i="9"/>
  <c r="D840" i="9"/>
  <c r="B840" i="9" a="1"/>
  <c r="B840" i="9" s="1"/>
  <c r="EY840" i="9" s="1"/>
  <c r="G839" i="9"/>
  <c r="D839" i="9"/>
  <c r="B839" i="9" a="1"/>
  <c r="B839" i="9" s="1"/>
  <c r="EY839" i="9" s="1"/>
  <c r="G838" i="9"/>
  <c r="D838" i="9"/>
  <c r="B838" i="9" a="1"/>
  <c r="B838" i="9" s="1"/>
  <c r="EY838" i="9" s="1"/>
  <c r="G837" i="9"/>
  <c r="D837" i="9"/>
  <c r="B837" i="9" a="1"/>
  <c r="B837" i="9" s="1"/>
  <c r="EY837" i="9" s="1"/>
  <c r="EY836" i="9"/>
  <c r="EY835" i="9"/>
  <c r="EY834" i="9"/>
  <c r="EY833" i="9"/>
  <c r="EY832" i="9"/>
  <c r="EY831" i="9"/>
  <c r="EY830" i="9"/>
  <c r="EY829" i="9"/>
  <c r="V829" i="9"/>
  <c r="BX829" i="9" s="1"/>
  <c r="G829" i="9"/>
  <c r="D829" i="9"/>
  <c r="B829" i="9" a="1"/>
  <c r="B829" i="9" s="1"/>
  <c r="EY828" i="9"/>
  <c r="V828" i="9"/>
  <c r="BX828" i="9" s="1"/>
  <c r="G828" i="9"/>
  <c r="D828" i="9"/>
  <c r="B828" i="9" a="1"/>
  <c r="B828" i="9" s="1"/>
  <c r="EY827" i="9"/>
  <c r="G827" i="9"/>
  <c r="V827" i="9" s="1"/>
  <c r="BX827" i="9" s="1"/>
  <c r="D827" i="9"/>
  <c r="B827" i="9" a="1"/>
  <c r="B827" i="9" s="1"/>
  <c r="EY826" i="9"/>
  <c r="G826" i="9"/>
  <c r="V826" i="9" s="1"/>
  <c r="BX826" i="9" s="1"/>
  <c r="D826" i="9"/>
  <c r="B826" i="9" a="1"/>
  <c r="B826" i="9" s="1"/>
  <c r="EY825" i="9"/>
  <c r="G825" i="9"/>
  <c r="V825" i="9" s="1"/>
  <c r="BX825" i="9" s="1"/>
  <c r="D825" i="9"/>
  <c r="B825" i="9" a="1"/>
  <c r="B825" i="9" s="1"/>
  <c r="EY824" i="9"/>
  <c r="G824" i="9"/>
  <c r="V824" i="9" s="1"/>
  <c r="BX824" i="9" s="1"/>
  <c r="D824" i="9"/>
  <c r="B824" i="9" a="1"/>
  <c r="B824" i="9" s="1"/>
  <c r="EY823" i="9"/>
  <c r="BX823" i="9"/>
  <c r="V823" i="9"/>
  <c r="G823" i="9"/>
  <c r="D823" i="9"/>
  <c r="B823" i="9" a="1"/>
  <c r="B823" i="9" s="1"/>
  <c r="EY822" i="9"/>
  <c r="G822" i="9"/>
  <c r="V822" i="9" s="1"/>
  <c r="BX822" i="9" s="1"/>
  <c r="D822" i="9"/>
  <c r="B822" i="9" a="1"/>
  <c r="B822" i="9" s="1"/>
  <c r="EY821" i="9"/>
  <c r="V821" i="9"/>
  <c r="BX821" i="9" s="1"/>
  <c r="G821" i="9"/>
  <c r="D821" i="9"/>
  <c r="B821" i="9" a="1"/>
  <c r="B821" i="9" s="1"/>
  <c r="EY820" i="9"/>
  <c r="G820" i="9"/>
  <c r="V820" i="9" s="1"/>
  <c r="BX820" i="9" s="1"/>
  <c r="D820" i="9"/>
  <c r="B820" i="9" a="1"/>
  <c r="B820" i="9" s="1"/>
  <c r="EY819" i="9"/>
  <c r="V819" i="9"/>
  <c r="BX819" i="9" s="1"/>
  <c r="G819" i="9"/>
  <c r="D819" i="9"/>
  <c r="B819" i="9" a="1"/>
  <c r="B819" i="9" s="1"/>
  <c r="EY818" i="9"/>
  <c r="V818" i="9"/>
  <c r="BX818" i="9" s="1"/>
  <c r="G818" i="9"/>
  <c r="D818" i="9"/>
  <c r="B818" i="9" a="1"/>
  <c r="B818" i="9" s="1"/>
  <c r="EY817" i="9"/>
  <c r="G817" i="9"/>
  <c r="V817" i="9" s="1"/>
  <c r="BX817" i="9" s="1"/>
  <c r="D817" i="9"/>
  <c r="B817" i="9" a="1"/>
  <c r="B817" i="9" s="1"/>
  <c r="EY816" i="9"/>
  <c r="BX816" i="9"/>
  <c r="G816" i="9"/>
  <c r="V816" i="9" s="1"/>
  <c r="D816" i="9"/>
  <c r="B816" i="9" a="1"/>
  <c r="B816" i="9" s="1"/>
  <c r="EY815" i="9"/>
  <c r="BX815" i="9"/>
  <c r="V815" i="9"/>
  <c r="G815" i="9"/>
  <c r="D815" i="9"/>
  <c r="B815" i="9" a="1"/>
  <c r="B815" i="9" s="1"/>
  <c r="EY814" i="9"/>
  <c r="G814" i="9"/>
  <c r="V814" i="9" s="1"/>
  <c r="BX814" i="9" s="1"/>
  <c r="D814" i="9"/>
  <c r="B814" i="9" a="1"/>
  <c r="B814" i="9" s="1"/>
  <c r="EY813" i="9"/>
  <c r="V813" i="9"/>
  <c r="BX813" i="9" s="1"/>
  <c r="G813" i="9"/>
  <c r="D813" i="9"/>
  <c r="B813" i="9" a="1"/>
  <c r="B813" i="9" s="1"/>
  <c r="EY812" i="9"/>
  <c r="G812" i="9"/>
  <c r="V812" i="9" s="1"/>
  <c r="BX812" i="9" s="1"/>
  <c r="D812" i="9"/>
  <c r="B812" i="9" a="1"/>
  <c r="B812" i="9" s="1"/>
  <c r="EY811" i="9"/>
  <c r="G811" i="9"/>
  <c r="V811" i="9" s="1"/>
  <c r="BX811" i="9" s="1"/>
  <c r="D811" i="9"/>
  <c r="B811" i="9" a="1"/>
  <c r="B811" i="9" s="1"/>
  <c r="EY810" i="9"/>
  <c r="G810" i="9"/>
  <c r="V810" i="9" s="1"/>
  <c r="BX810" i="9" s="1"/>
  <c r="D810" i="9"/>
  <c r="B810" i="9" a="1"/>
  <c r="B810" i="9" s="1"/>
  <c r="EY809" i="9"/>
  <c r="E809" i="9"/>
  <c r="D809" i="9"/>
  <c r="EY808" i="9"/>
  <c r="EY807" i="9"/>
  <c r="EY806" i="9"/>
  <c r="H806" i="9"/>
  <c r="D806" i="9"/>
  <c r="B806" i="9" a="1"/>
  <c r="B806" i="9" s="1"/>
  <c r="EY805" i="9"/>
  <c r="H805" i="9"/>
  <c r="D805" i="9"/>
  <c r="B805" i="9" a="1"/>
  <c r="B805" i="9" s="1"/>
  <c r="EY804" i="9"/>
  <c r="H804" i="9"/>
  <c r="D804" i="9"/>
  <c r="B804" i="9" a="1"/>
  <c r="B804" i="9" s="1"/>
  <c r="EY803" i="9"/>
  <c r="H803" i="9"/>
  <c r="D803" i="9"/>
  <c r="B803" i="9" a="1"/>
  <c r="B803" i="9" s="1"/>
  <c r="EY802" i="9"/>
  <c r="H802" i="9"/>
  <c r="D802" i="9"/>
  <c r="B802" i="9" a="1"/>
  <c r="B802" i="9" s="1"/>
  <c r="EY801" i="9"/>
  <c r="H801" i="9"/>
  <c r="D801" i="9"/>
  <c r="B801" i="9" a="1"/>
  <c r="B801" i="9" s="1"/>
  <c r="EY800" i="9"/>
  <c r="H800" i="9"/>
  <c r="D800" i="9"/>
  <c r="B800" i="9" a="1"/>
  <c r="B800" i="9" s="1"/>
  <c r="EY799" i="9"/>
  <c r="H799" i="9"/>
  <c r="D799" i="9"/>
  <c r="B799" i="9" a="1"/>
  <c r="B799" i="9" s="1"/>
  <c r="EY798" i="9"/>
  <c r="H798" i="9"/>
  <c r="D798" i="9"/>
  <c r="B798" i="9" a="1"/>
  <c r="B798" i="9" s="1"/>
  <c r="EY797" i="9"/>
  <c r="H797" i="9"/>
  <c r="D797" i="9"/>
  <c r="B797" i="9" a="1"/>
  <c r="B797" i="9" s="1"/>
  <c r="EY796" i="9"/>
  <c r="H796" i="9"/>
  <c r="D796" i="9"/>
  <c r="B796" i="9" a="1"/>
  <c r="B796" i="9" s="1"/>
  <c r="EY795" i="9"/>
  <c r="H795" i="9"/>
  <c r="D795" i="9"/>
  <c r="B795" i="9" a="1"/>
  <c r="B795" i="9" s="1"/>
  <c r="EY794" i="9"/>
  <c r="H794" i="9"/>
  <c r="D794" i="9"/>
  <c r="B794" i="9" a="1"/>
  <c r="B794" i="9" s="1"/>
  <c r="EY793" i="9"/>
  <c r="H793" i="9"/>
  <c r="D793" i="9"/>
  <c r="B793" i="9" a="1"/>
  <c r="B793" i="9" s="1"/>
  <c r="EY792" i="9"/>
  <c r="H792" i="9"/>
  <c r="D792" i="9"/>
  <c r="B792" i="9" a="1"/>
  <c r="B792" i="9" s="1"/>
  <c r="EY791" i="9"/>
  <c r="H791" i="9"/>
  <c r="D791" i="9"/>
  <c r="B791" i="9" a="1"/>
  <c r="B791" i="9" s="1"/>
  <c r="EY790" i="9"/>
  <c r="H790" i="9"/>
  <c r="D790" i="9"/>
  <c r="B790" i="9" a="1"/>
  <c r="B790" i="9" s="1"/>
  <c r="EY789" i="9"/>
  <c r="H789" i="9"/>
  <c r="D789" i="9"/>
  <c r="B789" i="9" a="1"/>
  <c r="B789" i="9" s="1"/>
  <c r="EY788" i="9"/>
  <c r="H788" i="9"/>
  <c r="D788" i="9"/>
  <c r="B788" i="9" a="1"/>
  <c r="B788" i="9" s="1"/>
  <c r="EY787" i="9"/>
  <c r="H787" i="9"/>
  <c r="D787" i="9"/>
  <c r="B787" i="9" a="1"/>
  <c r="B787" i="9" s="1"/>
  <c r="EY786" i="9"/>
  <c r="E786" i="9"/>
  <c r="D786" i="9"/>
  <c r="EY785" i="9"/>
  <c r="EY784" i="9"/>
  <c r="EY783" i="9"/>
  <c r="D783" i="9"/>
  <c r="B783" i="9" a="1"/>
  <c r="B783" i="9" s="1"/>
  <c r="EY782" i="9"/>
  <c r="D782" i="9"/>
  <c r="B782" i="9" a="1"/>
  <c r="B782" i="9" s="1"/>
  <c r="EY781" i="9"/>
  <c r="D781" i="9"/>
  <c r="B781" i="9" a="1"/>
  <c r="B781" i="9" s="1"/>
  <c r="EY780" i="9"/>
  <c r="D780" i="9"/>
  <c r="B780" i="9" a="1"/>
  <c r="B780" i="9" s="1"/>
  <c r="EY779" i="9"/>
  <c r="D779" i="9"/>
  <c r="B779" i="9" a="1"/>
  <c r="B779" i="9" s="1"/>
  <c r="EY778" i="9"/>
  <c r="D778" i="9"/>
  <c r="B778" i="9" a="1"/>
  <c r="B778" i="9" s="1"/>
  <c r="EY777" i="9"/>
  <c r="D777" i="9"/>
  <c r="B777" i="9" a="1"/>
  <c r="B777" i="9" s="1"/>
  <c r="EY776" i="9"/>
  <c r="D776" i="9"/>
  <c r="B776" i="9" a="1"/>
  <c r="B776" i="9" s="1"/>
  <c r="EY775" i="9"/>
  <c r="D775" i="9"/>
  <c r="B775" i="9" a="1"/>
  <c r="B775" i="9" s="1"/>
  <c r="EY774" i="9"/>
  <c r="D774" i="9"/>
  <c r="B774" i="9" a="1"/>
  <c r="B774" i="9" s="1"/>
  <c r="EY773" i="9"/>
  <c r="D773" i="9"/>
  <c r="B773" i="9" a="1"/>
  <c r="B773" i="9" s="1"/>
  <c r="EY772" i="9"/>
  <c r="D772" i="9"/>
  <c r="B772" i="9" a="1"/>
  <c r="B772" i="9" s="1"/>
  <c r="EY771" i="9"/>
  <c r="D771" i="9"/>
  <c r="B771" i="9" a="1"/>
  <c r="B771" i="9" s="1"/>
  <c r="EY770" i="9"/>
  <c r="D770" i="9"/>
  <c r="B770" i="9" a="1"/>
  <c r="B770" i="9" s="1"/>
  <c r="EY769" i="9"/>
  <c r="D769" i="9"/>
  <c r="B769" i="9" a="1"/>
  <c r="B769" i="9" s="1"/>
  <c r="EY768" i="9"/>
  <c r="D768" i="9"/>
  <c r="B768" i="9" a="1"/>
  <c r="B768" i="9" s="1"/>
  <c r="EY767" i="9"/>
  <c r="D767" i="9"/>
  <c r="B767" i="9" a="1"/>
  <c r="B767" i="9" s="1"/>
  <c r="EY766" i="9"/>
  <c r="D766" i="9"/>
  <c r="B766" i="9" a="1"/>
  <c r="B766" i="9" s="1"/>
  <c r="EY765" i="9"/>
  <c r="D765" i="9"/>
  <c r="B765" i="9" a="1"/>
  <c r="B765" i="9" s="1"/>
  <c r="EY764" i="9"/>
  <c r="D764" i="9"/>
  <c r="B764" i="9" a="1"/>
  <c r="B764" i="9" s="1"/>
  <c r="EY763" i="9"/>
  <c r="E763" i="9"/>
  <c r="D763" i="9"/>
  <c r="EY762" i="9"/>
  <c r="EY761" i="9"/>
  <c r="EY760" i="9"/>
  <c r="D760" i="9"/>
  <c r="B760" i="9" a="1"/>
  <c r="B760" i="9" s="1"/>
  <c r="EY759" i="9"/>
  <c r="D759" i="9"/>
  <c r="B759" i="9" a="1"/>
  <c r="B759" i="9" s="1"/>
  <c r="EY758" i="9"/>
  <c r="D758" i="9"/>
  <c r="B758" i="9" a="1"/>
  <c r="B758" i="9" s="1"/>
  <c r="EY757" i="9"/>
  <c r="D757" i="9"/>
  <c r="B757" i="9" a="1"/>
  <c r="B757" i="9" s="1"/>
  <c r="EY756" i="9"/>
  <c r="D756" i="9"/>
  <c r="B756" i="9" a="1"/>
  <c r="B756" i="9" s="1"/>
  <c r="EY755" i="9"/>
  <c r="D755" i="9"/>
  <c r="B755" i="9" a="1"/>
  <c r="B755" i="9" s="1"/>
  <c r="EY754" i="9"/>
  <c r="D754" i="9"/>
  <c r="B754" i="9" a="1"/>
  <c r="B754" i="9" s="1"/>
  <c r="EY753" i="9"/>
  <c r="D753" i="9"/>
  <c r="B753" i="9" a="1"/>
  <c r="B753" i="9" s="1"/>
  <c r="EY752" i="9"/>
  <c r="D752" i="9"/>
  <c r="B752" i="9" a="1"/>
  <c r="B752" i="9" s="1"/>
  <c r="EY751" i="9"/>
  <c r="D751" i="9"/>
  <c r="B751" i="9" a="1"/>
  <c r="B751" i="9" s="1"/>
  <c r="EY750" i="9"/>
  <c r="D750" i="9"/>
  <c r="B750" i="9" a="1"/>
  <c r="B750" i="9" s="1"/>
  <c r="EY749" i="9"/>
  <c r="D749" i="9"/>
  <c r="B749" i="9" a="1"/>
  <c r="B749" i="9" s="1"/>
  <c r="EY748" i="9"/>
  <c r="D748" i="9"/>
  <c r="B748" i="9" a="1"/>
  <c r="B748" i="9" s="1"/>
  <c r="EY747" i="9"/>
  <c r="D747" i="9"/>
  <c r="B747" i="9" a="1"/>
  <c r="B747" i="9" s="1"/>
  <c r="EY746" i="9"/>
  <c r="D746" i="9"/>
  <c r="B746" i="9" a="1"/>
  <c r="B746" i="9" s="1"/>
  <c r="EY745" i="9"/>
  <c r="D745" i="9"/>
  <c r="B745" i="9" a="1"/>
  <c r="B745" i="9" s="1"/>
  <c r="EY744" i="9"/>
  <c r="D744" i="9"/>
  <c r="B744" i="9" a="1"/>
  <c r="B744" i="9" s="1"/>
  <c r="EY743" i="9"/>
  <c r="D743" i="9"/>
  <c r="B743" i="9" a="1"/>
  <c r="B743" i="9" s="1"/>
  <c r="EY742" i="9"/>
  <c r="D742" i="9"/>
  <c r="B742" i="9" a="1"/>
  <c r="B742" i="9" s="1"/>
  <c r="EY741" i="9"/>
  <c r="D741" i="9"/>
  <c r="B741" i="9" a="1"/>
  <c r="B741" i="9" s="1"/>
  <c r="EY740" i="9"/>
  <c r="E740" i="9"/>
  <c r="D740" i="9"/>
  <c r="EY739" i="9"/>
  <c r="EY738" i="9"/>
  <c r="EY737" i="9"/>
  <c r="G737" i="9"/>
  <c r="D737" i="9"/>
  <c r="B737" i="9" a="1"/>
  <c r="B737" i="9" s="1"/>
  <c r="EY736" i="9"/>
  <c r="G736" i="9"/>
  <c r="D736" i="9"/>
  <c r="B736" i="9" a="1"/>
  <c r="B736" i="9" s="1"/>
  <c r="EY735" i="9"/>
  <c r="G735" i="9"/>
  <c r="D735" i="9"/>
  <c r="B735" i="9" a="1"/>
  <c r="B735" i="9" s="1"/>
  <c r="EY734" i="9"/>
  <c r="G734" i="9"/>
  <c r="D734" i="9"/>
  <c r="B734" i="9" a="1"/>
  <c r="B734" i="9" s="1"/>
  <c r="EY733" i="9"/>
  <c r="G733" i="9"/>
  <c r="D733" i="9"/>
  <c r="B733" i="9" a="1"/>
  <c r="B733" i="9" s="1"/>
  <c r="EY732" i="9"/>
  <c r="G732" i="9"/>
  <c r="D732" i="9"/>
  <c r="B732" i="9" a="1"/>
  <c r="B732" i="9" s="1"/>
  <c r="EY731" i="9"/>
  <c r="G731" i="9"/>
  <c r="D731" i="9"/>
  <c r="B731" i="9" a="1"/>
  <c r="B731" i="9" s="1"/>
  <c r="EY730" i="9"/>
  <c r="G730" i="9"/>
  <c r="D730" i="9"/>
  <c r="B730" i="9" a="1"/>
  <c r="B730" i="9" s="1"/>
  <c r="EY729" i="9"/>
  <c r="G729" i="9"/>
  <c r="D729" i="9"/>
  <c r="B729" i="9" a="1"/>
  <c r="B729" i="9" s="1"/>
  <c r="EY728" i="9"/>
  <c r="G728" i="9"/>
  <c r="D728" i="9"/>
  <c r="B728" i="9" a="1"/>
  <c r="B728" i="9" s="1"/>
  <c r="EY727" i="9"/>
  <c r="G727" i="9"/>
  <c r="D727" i="9"/>
  <c r="B727" i="9" a="1"/>
  <c r="B727" i="9" s="1"/>
  <c r="EY726" i="9"/>
  <c r="G726" i="9"/>
  <c r="D726" i="9"/>
  <c r="B726" i="9" a="1"/>
  <c r="B726" i="9" s="1"/>
  <c r="EY725" i="9"/>
  <c r="G725" i="9"/>
  <c r="D725" i="9"/>
  <c r="B725" i="9" a="1"/>
  <c r="B725" i="9" s="1"/>
  <c r="EY724" i="9"/>
  <c r="G724" i="9"/>
  <c r="D724" i="9"/>
  <c r="B724" i="9" a="1"/>
  <c r="B724" i="9" s="1"/>
  <c r="EY723" i="9"/>
  <c r="G723" i="9"/>
  <c r="D723" i="9"/>
  <c r="B723" i="9" a="1"/>
  <c r="B723" i="9" s="1"/>
  <c r="EY722" i="9"/>
  <c r="G722" i="9"/>
  <c r="D722" i="9"/>
  <c r="B722" i="9" a="1"/>
  <c r="B722" i="9" s="1"/>
  <c r="EY721" i="9"/>
  <c r="G721" i="9"/>
  <c r="D721" i="9"/>
  <c r="B721" i="9" a="1"/>
  <c r="B721" i="9" s="1"/>
  <c r="EY720" i="9"/>
  <c r="G720" i="9"/>
  <c r="D720" i="9"/>
  <c r="B720" i="9" a="1"/>
  <c r="B720" i="9" s="1"/>
  <c r="EY719" i="9"/>
  <c r="G719" i="9"/>
  <c r="D719" i="9"/>
  <c r="B719" i="9" a="1"/>
  <c r="B719" i="9" s="1"/>
  <c r="EY718" i="9"/>
  <c r="G718" i="9"/>
  <c r="D718" i="9"/>
  <c r="B718" i="9" a="1"/>
  <c r="B718" i="9" s="1"/>
  <c r="EY717" i="9"/>
  <c r="E717" i="9"/>
  <c r="D717" i="9"/>
  <c r="EY716" i="9"/>
  <c r="EY715" i="9"/>
  <c r="EY714" i="9"/>
  <c r="CW714" i="9"/>
  <c r="H714" i="9"/>
  <c r="G714" i="9"/>
  <c r="D714" i="9"/>
  <c r="B714" i="9" a="1"/>
  <c r="B714" i="9" s="1"/>
  <c r="A714" i="9" a="1"/>
  <c r="A714" i="9" s="1"/>
  <c r="EY713" i="9"/>
  <c r="CW713" i="9"/>
  <c r="A713" i="9" s="1" a="1"/>
  <c r="A713" i="9" s="1"/>
  <c r="H713" i="9"/>
  <c r="G713" i="9"/>
  <c r="D713" i="9"/>
  <c r="B713" i="9" a="1"/>
  <c r="B713" i="9" s="1"/>
  <c r="EY712" i="9"/>
  <c r="CW712" i="9"/>
  <c r="H712" i="9"/>
  <c r="G712" i="9"/>
  <c r="D712" i="9"/>
  <c r="B712" i="9" a="1"/>
  <c r="B712" i="9" s="1"/>
  <c r="A712" i="9" a="1"/>
  <c r="A712" i="9" s="1"/>
  <c r="EY711" i="9"/>
  <c r="H711" i="9"/>
  <c r="G711" i="9"/>
  <c r="D711" i="9"/>
  <c r="B711" i="9" a="1"/>
  <c r="B711" i="9" s="1"/>
  <c r="EY710" i="9"/>
  <c r="H710" i="9"/>
  <c r="G710" i="9"/>
  <c r="D710" i="9"/>
  <c r="B710" i="9" a="1"/>
  <c r="B710" i="9" s="1"/>
  <c r="EY709" i="9"/>
  <c r="CW709" i="9"/>
  <c r="H709" i="9"/>
  <c r="G709" i="9"/>
  <c r="D709" i="9"/>
  <c r="B709" i="9" a="1"/>
  <c r="B709" i="9" s="1"/>
  <c r="A709" i="9" a="1"/>
  <c r="A709" i="9" s="1"/>
  <c r="EY708" i="9"/>
  <c r="H708" i="9"/>
  <c r="G708" i="9"/>
  <c r="D708" i="9"/>
  <c r="B708" i="9" a="1"/>
  <c r="B708" i="9" s="1"/>
  <c r="EY707" i="9"/>
  <c r="CW707" i="9"/>
  <c r="H707" i="9"/>
  <c r="G707" i="9"/>
  <c r="D707" i="9"/>
  <c r="B707" i="9" a="1"/>
  <c r="B707" i="9" s="1"/>
  <c r="A707" i="9" a="1"/>
  <c r="A707" i="9" s="1"/>
  <c r="EY706" i="9"/>
  <c r="H706" i="9"/>
  <c r="CW706" i="9" s="1"/>
  <c r="A706" i="9" s="1" a="1"/>
  <c r="A706" i="9" s="1"/>
  <c r="G706" i="9"/>
  <c r="D706" i="9"/>
  <c r="B706" i="9" a="1"/>
  <c r="B706" i="9" s="1"/>
  <c r="EY705" i="9"/>
  <c r="H705" i="9"/>
  <c r="G705" i="9"/>
  <c r="D705" i="9"/>
  <c r="B705" i="9" a="1"/>
  <c r="B705" i="9" s="1"/>
  <c r="EY704" i="9"/>
  <c r="CW704" i="9"/>
  <c r="H704" i="9"/>
  <c r="G704" i="9"/>
  <c r="D704" i="9"/>
  <c r="B704" i="9" a="1"/>
  <c r="B704" i="9" s="1"/>
  <c r="A704" i="9" a="1"/>
  <c r="A704" i="9" s="1"/>
  <c r="EY703" i="9"/>
  <c r="H703" i="9"/>
  <c r="G703" i="9"/>
  <c r="D703" i="9"/>
  <c r="B703" i="9" a="1"/>
  <c r="B703" i="9" s="1"/>
  <c r="EY702" i="9"/>
  <c r="H702" i="9"/>
  <c r="G702" i="9"/>
  <c r="D702" i="9"/>
  <c r="B702" i="9" a="1"/>
  <c r="B702" i="9" s="1"/>
  <c r="EY701" i="9"/>
  <c r="CW701" i="9"/>
  <c r="H701" i="9"/>
  <c r="G701" i="9"/>
  <c r="D701" i="9"/>
  <c r="B701" i="9" a="1"/>
  <c r="B701" i="9" s="1"/>
  <c r="A701" i="9" a="1"/>
  <c r="A701" i="9" s="1"/>
  <c r="EY700" i="9"/>
  <c r="H700" i="9"/>
  <c r="G700" i="9"/>
  <c r="D700" i="9"/>
  <c r="B700" i="9" a="1"/>
  <c r="B700" i="9" s="1"/>
  <c r="EY699" i="9"/>
  <c r="CW699" i="9"/>
  <c r="H699" i="9"/>
  <c r="G699" i="9"/>
  <c r="D699" i="9"/>
  <c r="B699" i="9" a="1"/>
  <c r="B699" i="9" s="1"/>
  <c r="A699" i="9" a="1"/>
  <c r="A699" i="9" s="1"/>
  <c r="EY698" i="9"/>
  <c r="H698" i="9"/>
  <c r="G698" i="9"/>
  <c r="D698" i="9"/>
  <c r="B698" i="9" a="1"/>
  <c r="B698" i="9" s="1"/>
  <c r="EY697" i="9"/>
  <c r="H697" i="9"/>
  <c r="G697" i="9"/>
  <c r="D697" i="9"/>
  <c r="B697" i="9" a="1"/>
  <c r="B697" i="9" s="1"/>
  <c r="EY696" i="9"/>
  <c r="H696" i="9"/>
  <c r="CW696" i="9" s="1"/>
  <c r="A696" i="9" s="1" a="1"/>
  <c r="A696" i="9" s="1"/>
  <c r="G696" i="9"/>
  <c r="D696" i="9"/>
  <c r="B696" i="9" a="1"/>
  <c r="B696" i="9" s="1"/>
  <c r="EY695" i="9"/>
  <c r="H695" i="9"/>
  <c r="G695" i="9"/>
  <c r="D695" i="9"/>
  <c r="B695" i="9" a="1"/>
  <c r="B695" i="9" s="1"/>
  <c r="EY694" i="9"/>
  <c r="E694" i="9"/>
  <c r="D694" i="9"/>
  <c r="EY693" i="9"/>
  <c r="EY692" i="9"/>
  <c r="EY691" i="9"/>
  <c r="G691" i="9"/>
  <c r="BV691" i="9" s="1"/>
  <c r="D691" i="9"/>
  <c r="B691" i="9" a="1"/>
  <c r="B691" i="9" s="1"/>
  <c r="EY690" i="9"/>
  <c r="BQ690" i="9"/>
  <c r="BH690" i="9"/>
  <c r="AY690" i="9"/>
  <c r="AP690" i="9"/>
  <c r="AG690" i="9"/>
  <c r="G690" i="9"/>
  <c r="BR690" i="9" s="1"/>
  <c r="D690" i="9"/>
  <c r="B690" i="9" a="1"/>
  <c r="B690" i="9" s="1"/>
  <c r="EY689" i="9"/>
  <c r="BQ689" i="9"/>
  <c r="BH689" i="9"/>
  <c r="AY689" i="9"/>
  <c r="AP689" i="9"/>
  <c r="G689" i="9"/>
  <c r="BS689" i="9" s="1"/>
  <c r="D689" i="9"/>
  <c r="B689" i="9" a="1"/>
  <c r="B689" i="9" s="1"/>
  <c r="EY688" i="9"/>
  <c r="G688" i="9"/>
  <c r="BR688" i="9" s="1"/>
  <c r="D688" i="9"/>
  <c r="B688" i="9" a="1"/>
  <c r="B688" i="9" s="1"/>
  <c r="EY687" i="9"/>
  <c r="BQ687" i="9"/>
  <c r="BM687" i="9"/>
  <c r="BH687" i="9"/>
  <c r="BD687" i="9"/>
  <c r="AY687" i="9"/>
  <c r="AU687" i="9"/>
  <c r="AO687" i="9"/>
  <c r="AL687" i="9"/>
  <c r="AF687" i="9"/>
  <c r="AC687" i="9"/>
  <c r="G687" i="9"/>
  <c r="BV687" i="9" s="1"/>
  <c r="D687" i="9"/>
  <c r="B687" i="9" a="1"/>
  <c r="B687" i="9" s="1"/>
  <c r="EY686" i="9"/>
  <c r="BP686" i="9"/>
  <c r="AQ686" i="9"/>
  <c r="AE686" i="9"/>
  <c r="G686" i="9"/>
  <c r="BQ686" i="9" s="1"/>
  <c r="D686" i="9"/>
  <c r="B686" i="9" a="1"/>
  <c r="B686" i="9" s="1"/>
  <c r="EY685" i="9"/>
  <c r="BS685" i="9"/>
  <c r="BG685" i="9"/>
  <c r="AZ685" i="9"/>
  <c r="AX685" i="9"/>
  <c r="AQ685" i="9"/>
  <c r="AO685" i="9"/>
  <c r="AH685" i="9"/>
  <c r="G685" i="9"/>
  <c r="BQ685" i="9" s="1"/>
  <c r="D685" i="9"/>
  <c r="B685" i="9" a="1"/>
  <c r="B685" i="9" s="1"/>
  <c r="EY684" i="9"/>
  <c r="BS684" i="9"/>
  <c r="BR684" i="9"/>
  <c r="BQ684" i="9"/>
  <c r="BI684" i="9"/>
  <c r="BG684" i="9"/>
  <c r="BF684" i="9"/>
  <c r="BA684" i="9"/>
  <c r="AY684" i="9"/>
  <c r="AX684" i="9"/>
  <c r="AP684" i="9"/>
  <c r="AO684" i="9"/>
  <c r="AN684" i="9"/>
  <c r="AH684" i="9"/>
  <c r="AG684" i="9"/>
  <c r="AF684" i="9"/>
  <c r="G684" i="9"/>
  <c r="BN684" i="9" s="1"/>
  <c r="D684" i="9"/>
  <c r="B684" i="9" a="1"/>
  <c r="B684" i="9" s="1"/>
  <c r="EY683" i="9"/>
  <c r="G683" i="9"/>
  <c r="BV683" i="9" s="1"/>
  <c r="D683" i="9"/>
  <c r="B683" i="9" a="1"/>
  <c r="B683" i="9" s="1"/>
  <c r="EY682" i="9"/>
  <c r="G682" i="9"/>
  <c r="BN682" i="9" s="1"/>
  <c r="D682" i="9"/>
  <c r="B682" i="9" a="1"/>
  <c r="B682" i="9" s="1"/>
  <c r="EY681" i="9"/>
  <c r="G681" i="9"/>
  <c r="BN681" i="9" s="1"/>
  <c r="D681" i="9"/>
  <c r="B681" i="9" a="1"/>
  <c r="B681" i="9" s="1"/>
  <c r="EY680" i="9"/>
  <c r="BO680" i="9"/>
  <c r="BC680" i="9"/>
  <c r="AP680" i="9"/>
  <c r="AE680" i="9"/>
  <c r="G680" i="9"/>
  <c r="BV680" i="9" s="1"/>
  <c r="D680" i="9"/>
  <c r="B680" i="9" a="1"/>
  <c r="B680" i="9" s="1"/>
  <c r="EY679" i="9"/>
  <c r="BU679" i="9"/>
  <c r="BT679" i="9"/>
  <c r="BR679" i="9"/>
  <c r="BQ679" i="9"/>
  <c r="BP679" i="9"/>
  <c r="BO679" i="9"/>
  <c r="BM679" i="9"/>
  <c r="BL679" i="9"/>
  <c r="BK679" i="9"/>
  <c r="BI679" i="9"/>
  <c r="BH679" i="9"/>
  <c r="BG679" i="9"/>
  <c r="BE679" i="9"/>
  <c r="BD679" i="9"/>
  <c r="BC679" i="9"/>
  <c r="BB679" i="9"/>
  <c r="AZ679" i="9"/>
  <c r="AY679" i="9"/>
  <c r="AW679" i="9"/>
  <c r="AV679" i="9"/>
  <c r="AU679" i="9"/>
  <c r="AT679" i="9"/>
  <c r="AS679" i="9"/>
  <c r="AQ679" i="9"/>
  <c r="AO679" i="9"/>
  <c r="AN679" i="9"/>
  <c r="AM679" i="9"/>
  <c r="AL679" i="9"/>
  <c r="AK679" i="9"/>
  <c r="AJ679" i="9"/>
  <c r="AG679" i="9"/>
  <c r="AF679" i="9"/>
  <c r="AE679" i="9"/>
  <c r="AD679" i="9"/>
  <c r="AC679" i="9"/>
  <c r="AB679" i="9"/>
  <c r="AA679" i="9"/>
  <c r="G679" i="9"/>
  <c r="BV679" i="9" s="1"/>
  <c r="D679" i="9"/>
  <c r="B679" i="9" a="1"/>
  <c r="B679" i="9" s="1"/>
  <c r="EY678" i="9"/>
  <c r="BP678" i="9"/>
  <c r="BK678" i="9"/>
  <c r="BE678" i="9"/>
  <c r="AY678" i="9"/>
  <c r="AQ678" i="9"/>
  <c r="AM678" i="9"/>
  <c r="AE678" i="9"/>
  <c r="AA678" i="9"/>
  <c r="G678" i="9"/>
  <c r="BV678" i="9" s="1"/>
  <c r="D678" i="9"/>
  <c r="B678" i="9" a="1"/>
  <c r="B678" i="9" s="1"/>
  <c r="EY677" i="9"/>
  <c r="BU677" i="9"/>
  <c r="BP677" i="9"/>
  <c r="BO677" i="9"/>
  <c r="BN677" i="9"/>
  <c r="BL677" i="9"/>
  <c r="BH677" i="9"/>
  <c r="BE677" i="9"/>
  <c r="BC677" i="9"/>
  <c r="AZ677" i="9"/>
  <c r="AY677" i="9"/>
  <c r="AW677" i="9"/>
  <c r="AQ677" i="9"/>
  <c r="AP677" i="9"/>
  <c r="AO677" i="9"/>
  <c r="AN677" i="9"/>
  <c r="AJ677" i="9"/>
  <c r="AF677" i="9"/>
  <c r="AE677" i="9"/>
  <c r="AC677" i="9"/>
  <c r="AA677" i="9"/>
  <c r="G677" i="9"/>
  <c r="BV677" i="9" s="1"/>
  <c r="D677" i="9"/>
  <c r="B677" i="9" a="1"/>
  <c r="B677" i="9" s="1"/>
  <c r="EY676" i="9"/>
  <c r="BV676" i="9"/>
  <c r="BM676" i="9"/>
  <c r="BF676" i="9"/>
  <c r="AW676" i="9"/>
  <c r="AP676" i="9"/>
  <c r="AG676" i="9"/>
  <c r="AD676" i="9"/>
  <c r="G676" i="9"/>
  <c r="BS676" i="9" s="1"/>
  <c r="D676" i="9"/>
  <c r="B676" i="9" a="1"/>
  <c r="B676" i="9" s="1"/>
  <c r="EY675" i="9"/>
  <c r="BM675" i="9"/>
  <c r="BD675" i="9"/>
  <c r="AU675" i="9"/>
  <c r="AL675" i="9"/>
  <c r="AC675" i="9"/>
  <c r="G675" i="9"/>
  <c r="BV675" i="9" s="1"/>
  <c r="D675" i="9"/>
  <c r="B675" i="9" a="1"/>
  <c r="B675" i="9" s="1"/>
  <c r="EY674" i="9"/>
  <c r="BP674" i="9"/>
  <c r="BM674" i="9"/>
  <c r="BF674" i="9"/>
  <c r="AX674" i="9"/>
  <c r="AT674" i="9"/>
  <c r="AM674" i="9"/>
  <c r="AE674" i="9"/>
  <c r="AB674" i="9"/>
  <c r="G674" i="9"/>
  <c r="BR674" i="9" s="1"/>
  <c r="D674" i="9"/>
  <c r="B674" i="9" a="1"/>
  <c r="B674" i="9" s="1"/>
  <c r="EY673" i="9"/>
  <c r="BV673" i="9"/>
  <c r="BN673" i="9"/>
  <c r="BD673" i="9"/>
  <c r="AV673" i="9"/>
  <c r="AK673" i="9"/>
  <c r="AC673" i="9"/>
  <c r="G673" i="9"/>
  <c r="BS673" i="9" s="1"/>
  <c r="D673" i="9"/>
  <c r="B673" i="9" a="1"/>
  <c r="B673" i="9" s="1"/>
  <c r="EY672" i="9"/>
  <c r="BS672" i="9"/>
  <c r="BM672" i="9"/>
  <c r="BI672" i="9"/>
  <c r="BC672" i="9"/>
  <c r="AX672" i="9"/>
  <c r="AQ672" i="9"/>
  <c r="AN672" i="9"/>
  <c r="AG672" i="9"/>
  <c r="AD672" i="9"/>
  <c r="AA672" i="9"/>
  <c r="G672" i="9"/>
  <c r="BV672" i="9" s="1"/>
  <c r="D672" i="9"/>
  <c r="B672" i="9" a="1"/>
  <c r="B672" i="9" s="1"/>
  <c r="EY671" i="9"/>
  <c r="E671" i="9"/>
  <c r="D671" i="9"/>
  <c r="EY670" i="9"/>
  <c r="EY669" i="9"/>
  <c r="EY668" i="9"/>
  <c r="BQ668" i="9"/>
  <c r="BH668" i="9"/>
  <c r="AY668" i="9"/>
  <c r="AP668" i="9"/>
  <c r="AG668" i="9"/>
  <c r="H668" i="9"/>
  <c r="BR668" i="9" s="1"/>
  <c r="G668" i="9"/>
  <c r="D668" i="9"/>
  <c r="B668" i="9" a="1"/>
  <c r="B668" i="9" s="1"/>
  <c r="EY667" i="9"/>
  <c r="H667" i="9"/>
  <c r="BQ667" i="9" s="1"/>
  <c r="G667" i="9"/>
  <c r="BV667" i="9" s="1"/>
  <c r="D667" i="9"/>
  <c r="B667" i="9" a="1"/>
  <c r="B667" i="9" s="1"/>
  <c r="EY666" i="9"/>
  <c r="H666" i="9"/>
  <c r="BS666" i="9" s="1"/>
  <c r="G666" i="9"/>
  <c r="D666" i="9"/>
  <c r="B666" i="9" a="1"/>
  <c r="B666" i="9" s="1"/>
  <c r="EY665" i="9"/>
  <c r="H665" i="9"/>
  <c r="BS665" i="9" s="1"/>
  <c r="G665" i="9"/>
  <c r="D665" i="9"/>
  <c r="B665" i="9" a="1"/>
  <c r="B665" i="9" s="1"/>
  <c r="EY664" i="9"/>
  <c r="BV664" i="9"/>
  <c r="BU664" i="9"/>
  <c r="BP664" i="9"/>
  <c r="BN664" i="9"/>
  <c r="BM664" i="9"/>
  <c r="BL664" i="9"/>
  <c r="BF664" i="9"/>
  <c r="BE664" i="9"/>
  <c r="BD664" i="9"/>
  <c r="BC664" i="9"/>
  <c r="AW664" i="9"/>
  <c r="AV664" i="9"/>
  <c r="AU664" i="9"/>
  <c r="AT664" i="9"/>
  <c r="AN664" i="9"/>
  <c r="AM664" i="9"/>
  <c r="AL664" i="9"/>
  <c r="AK664" i="9"/>
  <c r="AE664" i="9"/>
  <c r="AD664" i="9"/>
  <c r="AC664" i="9"/>
  <c r="AB664" i="9"/>
  <c r="H664" i="9"/>
  <c r="G664" i="9"/>
  <c r="BS664" i="9" s="1"/>
  <c r="D664" i="9"/>
  <c r="B664" i="9" a="1"/>
  <c r="B664" i="9" s="1"/>
  <c r="EY663" i="9"/>
  <c r="BU663" i="9"/>
  <c r="BS663" i="9"/>
  <c r="BP663" i="9"/>
  <c r="BO663" i="9"/>
  <c r="BM663" i="9"/>
  <c r="BL663" i="9"/>
  <c r="BJ663" i="9"/>
  <c r="BG663" i="9"/>
  <c r="BE663" i="9"/>
  <c r="BD663" i="9"/>
  <c r="BC663" i="9"/>
  <c r="BA663" i="9"/>
  <c r="AW663" i="9"/>
  <c r="AV663" i="9"/>
  <c r="AU663" i="9"/>
  <c r="AT663" i="9"/>
  <c r="AR663" i="9"/>
  <c r="AN663" i="9"/>
  <c r="AM663" i="9"/>
  <c r="AL663" i="9"/>
  <c r="AK663" i="9"/>
  <c r="AI663" i="9"/>
  <c r="AE663" i="9"/>
  <c r="AD663" i="9"/>
  <c r="AC663" i="9"/>
  <c r="AB663" i="9"/>
  <c r="H663" i="9"/>
  <c r="BV663" i="9" s="1"/>
  <c r="G663" i="9"/>
  <c r="BR663" i="9" s="1"/>
  <c r="D663" i="9"/>
  <c r="B663" i="9" a="1"/>
  <c r="B663" i="9" s="1"/>
  <c r="EY662" i="9"/>
  <c r="BT662" i="9"/>
  <c r="BQ662" i="9"/>
  <c r="BP662" i="9"/>
  <c r="BO662" i="9"/>
  <c r="BN662" i="9"/>
  <c r="BK662" i="9"/>
  <c r="BH662" i="9"/>
  <c r="BG662" i="9"/>
  <c r="BF662" i="9"/>
  <c r="BD662" i="9"/>
  <c r="BB662" i="9"/>
  <c r="AY662" i="9"/>
  <c r="AX662" i="9"/>
  <c r="AV662" i="9"/>
  <c r="AU662" i="9"/>
  <c r="AS662" i="9"/>
  <c r="AP662" i="9"/>
  <c r="AN662" i="9"/>
  <c r="AM662" i="9"/>
  <c r="AL662" i="9"/>
  <c r="AJ662" i="9"/>
  <c r="AF662" i="9"/>
  <c r="AE662" i="9"/>
  <c r="AD662" i="9"/>
  <c r="AC662" i="9"/>
  <c r="AA662" i="9"/>
  <c r="H662" i="9"/>
  <c r="BR662" i="9" s="1"/>
  <c r="G662" i="9"/>
  <c r="D662" i="9"/>
  <c r="B662" i="9" a="1"/>
  <c r="B662" i="9" s="1"/>
  <c r="EY661" i="9"/>
  <c r="BO661" i="9"/>
  <c r="BF661" i="9"/>
  <c r="AW661" i="9"/>
  <c r="AM661" i="9"/>
  <c r="AD661" i="9"/>
  <c r="H661" i="9"/>
  <c r="BN661" i="9" s="1"/>
  <c r="G661" i="9"/>
  <c r="BV661" i="9" s="1"/>
  <c r="D661" i="9"/>
  <c r="B661" i="9" a="1"/>
  <c r="B661" i="9" s="1"/>
  <c r="EY660" i="9"/>
  <c r="BO660" i="9"/>
  <c r="BF660" i="9"/>
  <c r="AW660" i="9"/>
  <c r="AN660" i="9"/>
  <c r="AD660" i="9"/>
  <c r="H660" i="9"/>
  <c r="BN660" i="9" s="1"/>
  <c r="G660" i="9"/>
  <c r="BV660" i="9" s="1"/>
  <c r="D660" i="9"/>
  <c r="B660" i="9" a="1"/>
  <c r="B660" i="9" s="1"/>
  <c r="EY659" i="9"/>
  <c r="BP659" i="9"/>
  <c r="BG659" i="9"/>
  <c r="AX659" i="9"/>
  <c r="AO659" i="9"/>
  <c r="AF659" i="9"/>
  <c r="H659" i="9"/>
  <c r="BS659" i="9" s="1"/>
  <c r="G659" i="9"/>
  <c r="D659" i="9"/>
  <c r="B659" i="9" a="1"/>
  <c r="B659" i="9" s="1"/>
  <c r="EY658" i="9"/>
  <c r="BR658" i="9"/>
  <c r="BH658" i="9"/>
  <c r="AY658" i="9"/>
  <c r="AP658" i="9"/>
  <c r="AG658" i="9"/>
  <c r="H658" i="9"/>
  <c r="BS658" i="9" s="1"/>
  <c r="G658" i="9"/>
  <c r="D658" i="9"/>
  <c r="B658" i="9" a="1"/>
  <c r="B658" i="9" s="1"/>
  <c r="EY657" i="9"/>
  <c r="BR657" i="9"/>
  <c r="BI657" i="9"/>
  <c r="AY657" i="9"/>
  <c r="AP657" i="9"/>
  <c r="AG657" i="9"/>
  <c r="H657" i="9"/>
  <c r="BS657" i="9" s="1"/>
  <c r="G657" i="9"/>
  <c r="D657" i="9"/>
  <c r="B657" i="9" a="1"/>
  <c r="B657" i="9" s="1"/>
  <c r="EY656" i="9"/>
  <c r="BA656" i="9"/>
  <c r="H656" i="9"/>
  <c r="G656" i="9"/>
  <c r="BS656" i="9" s="1"/>
  <c r="D656" i="9"/>
  <c r="B656" i="9" a="1"/>
  <c r="B656" i="9" s="1"/>
  <c r="EY655" i="9"/>
  <c r="BU655" i="9"/>
  <c r="BT655" i="9"/>
  <c r="BS655" i="9"/>
  <c r="BQ655" i="9"/>
  <c r="BP655" i="9"/>
  <c r="BO655" i="9"/>
  <c r="BM655" i="9"/>
  <c r="BL655" i="9"/>
  <c r="BK655" i="9"/>
  <c r="BJ655" i="9"/>
  <c r="BH655" i="9"/>
  <c r="BG655" i="9"/>
  <c r="BE655" i="9"/>
  <c r="BD655" i="9"/>
  <c r="BC655" i="9"/>
  <c r="BB655" i="9"/>
  <c r="BA655" i="9"/>
  <c r="AY655" i="9"/>
  <c r="AW655" i="9"/>
  <c r="AV655" i="9"/>
  <c r="AU655" i="9"/>
  <c r="AT655" i="9"/>
  <c r="AS655" i="9"/>
  <c r="AR655" i="9"/>
  <c r="AO655" i="9"/>
  <c r="AN655" i="9"/>
  <c r="AM655" i="9"/>
  <c r="AL655" i="9"/>
  <c r="AK655" i="9"/>
  <c r="AJ655" i="9"/>
  <c r="AI655" i="9"/>
  <c r="AF655" i="9"/>
  <c r="AE655" i="9"/>
  <c r="AD655" i="9"/>
  <c r="AC655" i="9"/>
  <c r="AB655" i="9"/>
  <c r="AA655" i="9"/>
  <c r="H655" i="9"/>
  <c r="BV655" i="9" s="1"/>
  <c r="G655" i="9"/>
  <c r="BR655" i="9" s="1"/>
  <c r="D655" i="9"/>
  <c r="B655" i="9" a="1"/>
  <c r="B655" i="9" s="1"/>
  <c r="EY654" i="9"/>
  <c r="BV654" i="9"/>
  <c r="BT654" i="9"/>
  <c r="BR654" i="9"/>
  <c r="BQ654" i="9"/>
  <c r="BP654" i="9"/>
  <c r="BO654" i="9"/>
  <c r="BN654" i="9"/>
  <c r="BL654" i="9"/>
  <c r="BK654" i="9"/>
  <c r="BI654" i="9"/>
  <c r="BH654" i="9"/>
  <c r="BG654" i="9"/>
  <c r="BF654" i="9"/>
  <c r="BD654" i="9"/>
  <c r="BC654" i="9"/>
  <c r="BB654" i="9"/>
  <c r="AZ654" i="9"/>
  <c r="AY654" i="9"/>
  <c r="AX654" i="9"/>
  <c r="AV654" i="9"/>
  <c r="AU654" i="9"/>
  <c r="AT654" i="9"/>
  <c r="AS654" i="9"/>
  <c r="AQ654" i="9"/>
  <c r="AP654" i="9"/>
  <c r="AN654" i="9"/>
  <c r="AM654" i="9"/>
  <c r="AL654" i="9"/>
  <c r="AK654" i="9"/>
  <c r="AJ654" i="9"/>
  <c r="AH654" i="9"/>
  <c r="AF654" i="9"/>
  <c r="AE654" i="9"/>
  <c r="AD654" i="9"/>
  <c r="AC654" i="9"/>
  <c r="AB654" i="9"/>
  <c r="AA654" i="9"/>
  <c r="H654" i="9"/>
  <c r="G654" i="9"/>
  <c r="D654" i="9"/>
  <c r="B654" i="9" a="1"/>
  <c r="B654" i="9" s="1"/>
  <c r="EY653" i="9"/>
  <c r="BV653" i="9"/>
  <c r="BP653" i="9"/>
  <c r="BO653" i="9"/>
  <c r="BN653" i="9"/>
  <c r="BM653" i="9"/>
  <c r="BG653" i="9"/>
  <c r="BF653" i="9"/>
  <c r="BE653" i="9"/>
  <c r="BC653" i="9"/>
  <c r="AX653" i="9"/>
  <c r="AW653" i="9"/>
  <c r="AU653" i="9"/>
  <c r="AT653" i="9"/>
  <c r="AO653" i="9"/>
  <c r="AM653" i="9"/>
  <c r="AL653" i="9"/>
  <c r="AK653" i="9"/>
  <c r="AE653" i="9"/>
  <c r="AD653" i="9"/>
  <c r="AC653" i="9"/>
  <c r="AB653" i="9"/>
  <c r="H653" i="9"/>
  <c r="BR653" i="9" s="1"/>
  <c r="G653" i="9"/>
  <c r="D653" i="9"/>
  <c r="B653" i="9" a="1"/>
  <c r="B653" i="9" s="1"/>
  <c r="EY652" i="9"/>
  <c r="BV652" i="9"/>
  <c r="BP652" i="9"/>
  <c r="BO652" i="9"/>
  <c r="BN652" i="9"/>
  <c r="BM652" i="9"/>
  <c r="BG652" i="9"/>
  <c r="BF652" i="9"/>
  <c r="BE652" i="9"/>
  <c r="BD652" i="9"/>
  <c r="AX652" i="9"/>
  <c r="AW652" i="9"/>
  <c r="AV652" i="9"/>
  <c r="AT652" i="9"/>
  <c r="AO652" i="9"/>
  <c r="AN652" i="9"/>
  <c r="AL652" i="9"/>
  <c r="AK652" i="9"/>
  <c r="AF652" i="9"/>
  <c r="AD652" i="9"/>
  <c r="AC652" i="9"/>
  <c r="AB652" i="9"/>
  <c r="H652" i="9"/>
  <c r="BR652" i="9" s="1"/>
  <c r="G652" i="9"/>
  <c r="D652" i="9"/>
  <c r="B652" i="9" a="1"/>
  <c r="B652" i="9" s="1"/>
  <c r="EY651" i="9"/>
  <c r="BU651" i="9"/>
  <c r="BQ651" i="9"/>
  <c r="BP651" i="9"/>
  <c r="BO651" i="9"/>
  <c r="BN651" i="9"/>
  <c r="BL651" i="9"/>
  <c r="BH651" i="9"/>
  <c r="BG651" i="9"/>
  <c r="BF651" i="9"/>
  <c r="BE651" i="9"/>
  <c r="BC651" i="9"/>
  <c r="AY651" i="9"/>
  <c r="AX651" i="9"/>
  <c r="AW651" i="9"/>
  <c r="AV651" i="9"/>
  <c r="AS651" i="9"/>
  <c r="AP651" i="9"/>
  <c r="AO651" i="9"/>
  <c r="AN651" i="9"/>
  <c r="AM651" i="9"/>
  <c r="AJ651" i="9"/>
  <c r="AG651" i="9"/>
  <c r="AF651" i="9"/>
  <c r="AE651" i="9"/>
  <c r="AC651" i="9"/>
  <c r="AA651" i="9"/>
  <c r="H651" i="9"/>
  <c r="BS651" i="9" s="1"/>
  <c r="G651" i="9"/>
  <c r="D651" i="9"/>
  <c r="B651" i="9" a="1"/>
  <c r="B651" i="9" s="1"/>
  <c r="EY650" i="9"/>
  <c r="BO650" i="9"/>
  <c r="BF650" i="9"/>
  <c r="AW650" i="9"/>
  <c r="AN650" i="9"/>
  <c r="AE650" i="9"/>
  <c r="H650" i="9"/>
  <c r="BN650" i="9" s="1"/>
  <c r="G650" i="9"/>
  <c r="BV650" i="9" s="1"/>
  <c r="D650" i="9"/>
  <c r="B650" i="9" a="1"/>
  <c r="B650" i="9" s="1"/>
  <c r="EY649" i="9"/>
  <c r="BO649" i="9"/>
  <c r="BF649" i="9"/>
  <c r="AW649" i="9"/>
  <c r="AN649" i="9"/>
  <c r="AE649" i="9"/>
  <c r="H649" i="9"/>
  <c r="BN649" i="9" s="1"/>
  <c r="G649" i="9"/>
  <c r="BV649" i="9" s="1"/>
  <c r="D649" i="9"/>
  <c r="B649" i="9" a="1"/>
  <c r="B649" i="9" s="1"/>
  <c r="EY648" i="9"/>
  <c r="E648" i="9"/>
  <c r="D648" i="9"/>
  <c r="EY647" i="9"/>
  <c r="EY646" i="9"/>
  <c r="EY645" i="9"/>
  <c r="EY644" i="9"/>
  <c r="EY643" i="9"/>
  <c r="CI643" i="9"/>
  <c r="CH643" i="9"/>
  <c r="CG643" i="9"/>
  <c r="CF643" i="9"/>
  <c r="CE643" i="9"/>
  <c r="CD643" i="9"/>
  <c r="CC643" i="9"/>
  <c r="BV643" i="9"/>
  <c r="BU643" i="9"/>
  <c r="BT643" i="9"/>
  <c r="BS643" i="9"/>
  <c r="BR643" i="9"/>
  <c r="BQ643" i="9"/>
  <c r="BP643" i="9"/>
  <c r="BO643" i="9"/>
  <c r="BN643" i="9"/>
  <c r="BM643" i="9"/>
  <c r="BL643" i="9"/>
  <c r="BK643" i="9"/>
  <c r="BJ643" i="9"/>
  <c r="BI643" i="9"/>
  <c r="BH643" i="9"/>
  <c r="BG643" i="9"/>
  <c r="BF643" i="9"/>
  <c r="BE643" i="9"/>
  <c r="BD643" i="9"/>
  <c r="BC643" i="9"/>
  <c r="BB643" i="9"/>
  <c r="BA643" i="9"/>
  <c r="AZ643" i="9"/>
  <c r="AY643" i="9"/>
  <c r="AX643" i="9"/>
  <c r="AW643" i="9"/>
  <c r="AV643" i="9"/>
  <c r="AU643" i="9"/>
  <c r="AT643" i="9"/>
  <c r="AS643" i="9"/>
  <c r="AR643" i="9"/>
  <c r="AQ643" i="9"/>
  <c r="AP643" i="9"/>
  <c r="AO643" i="9"/>
  <c r="AN643" i="9"/>
  <c r="AM643" i="9"/>
  <c r="AL643" i="9"/>
  <c r="AK643" i="9"/>
  <c r="AJ643" i="9"/>
  <c r="AI643" i="9"/>
  <c r="AH643" i="9"/>
  <c r="AG643" i="9"/>
  <c r="AF643" i="9"/>
  <c r="AE643" i="9"/>
  <c r="AD643" i="9"/>
  <c r="AC643" i="9"/>
  <c r="AB643" i="9"/>
  <c r="AA643" i="9"/>
  <c r="V643" i="9"/>
  <c r="D643" i="9"/>
  <c r="B643" i="9" a="1"/>
  <c r="B643" i="9" s="1"/>
  <c r="EY642" i="9"/>
  <c r="CI642" i="9"/>
  <c r="CH642" i="9"/>
  <c r="CG642" i="9"/>
  <c r="CF642" i="9"/>
  <c r="CE642" i="9"/>
  <c r="CD642" i="9"/>
  <c r="CC642" i="9"/>
  <c r="BV642" i="9"/>
  <c r="BU642" i="9"/>
  <c r="BT642" i="9"/>
  <c r="BS642" i="9"/>
  <c r="BR642" i="9"/>
  <c r="BQ642" i="9"/>
  <c r="BP642" i="9"/>
  <c r="BO642" i="9"/>
  <c r="BN642" i="9"/>
  <c r="BM642" i="9"/>
  <c r="BL642" i="9"/>
  <c r="BK642" i="9"/>
  <c r="BJ642" i="9"/>
  <c r="BI642" i="9"/>
  <c r="BH642" i="9"/>
  <c r="BG642" i="9"/>
  <c r="BF642" i="9"/>
  <c r="BE642" i="9"/>
  <c r="BD642" i="9"/>
  <c r="BC642" i="9"/>
  <c r="BB642" i="9"/>
  <c r="BA642" i="9"/>
  <c r="AZ642" i="9"/>
  <c r="AY642" i="9"/>
  <c r="AX642" i="9"/>
  <c r="AW642" i="9"/>
  <c r="AV642" i="9"/>
  <c r="AU642" i="9"/>
  <c r="AT642" i="9"/>
  <c r="AS642" i="9"/>
  <c r="AR642" i="9"/>
  <c r="AQ642" i="9"/>
  <c r="AP642" i="9"/>
  <c r="AO642" i="9"/>
  <c r="AN642" i="9"/>
  <c r="AM642" i="9"/>
  <c r="AL642" i="9"/>
  <c r="AK642" i="9"/>
  <c r="AJ642" i="9"/>
  <c r="AI642" i="9"/>
  <c r="AH642" i="9"/>
  <c r="AG642" i="9"/>
  <c r="AF642" i="9"/>
  <c r="AE642" i="9"/>
  <c r="AD642" i="9"/>
  <c r="AC642" i="9"/>
  <c r="AB642" i="9"/>
  <c r="AA642" i="9"/>
  <c r="V642" i="9"/>
  <c r="D642" i="9"/>
  <c r="B642" i="9" a="1"/>
  <c r="B642" i="9" s="1"/>
  <c r="EY641" i="9"/>
  <c r="CI641" i="9"/>
  <c r="CH641" i="9"/>
  <c r="CG641" i="9"/>
  <c r="CF641" i="9"/>
  <c r="CE641" i="9"/>
  <c r="CD641" i="9"/>
  <c r="CC641" i="9"/>
  <c r="BV641" i="9"/>
  <c r="BU641" i="9"/>
  <c r="BT641" i="9"/>
  <c r="BS641" i="9"/>
  <c r="BR641" i="9"/>
  <c r="BQ641" i="9"/>
  <c r="BP641" i="9"/>
  <c r="BO641" i="9"/>
  <c r="BN641" i="9"/>
  <c r="BM641" i="9"/>
  <c r="BL641" i="9"/>
  <c r="BK641" i="9"/>
  <c r="BJ641" i="9"/>
  <c r="BI641" i="9"/>
  <c r="BH641" i="9"/>
  <c r="BG641" i="9"/>
  <c r="BF641" i="9"/>
  <c r="BE641" i="9"/>
  <c r="BD641" i="9"/>
  <c r="BC641" i="9"/>
  <c r="BB641" i="9"/>
  <c r="BA641" i="9"/>
  <c r="AZ641" i="9"/>
  <c r="AY641" i="9"/>
  <c r="AX641" i="9"/>
  <c r="AW641" i="9"/>
  <c r="AV641" i="9"/>
  <c r="AU641" i="9"/>
  <c r="AT641" i="9"/>
  <c r="AS641" i="9"/>
  <c r="AR641" i="9"/>
  <c r="AQ641" i="9"/>
  <c r="AP641" i="9"/>
  <c r="AO641" i="9"/>
  <c r="AN641" i="9"/>
  <c r="AM641" i="9"/>
  <c r="AL641" i="9"/>
  <c r="AK641" i="9"/>
  <c r="AJ641" i="9"/>
  <c r="AI641" i="9"/>
  <c r="AH641" i="9"/>
  <c r="AG641" i="9"/>
  <c r="AF641" i="9"/>
  <c r="AE641" i="9"/>
  <c r="AD641" i="9"/>
  <c r="AC641" i="9"/>
  <c r="AB641" i="9"/>
  <c r="AA641" i="9"/>
  <c r="V641" i="9"/>
  <c r="D641" i="9"/>
  <c r="B641" i="9" a="1"/>
  <c r="B641" i="9" s="1"/>
  <c r="EY640" i="9"/>
  <c r="CI640" i="9"/>
  <c r="CH640" i="9"/>
  <c r="CG640" i="9"/>
  <c r="CF640" i="9"/>
  <c r="CE640" i="9"/>
  <c r="CD640" i="9"/>
  <c r="CC640" i="9"/>
  <c r="BV640" i="9"/>
  <c r="BU640" i="9"/>
  <c r="BT640" i="9"/>
  <c r="BS640" i="9"/>
  <c r="BR640" i="9"/>
  <c r="BQ640" i="9"/>
  <c r="BP640" i="9"/>
  <c r="BO640" i="9"/>
  <c r="BN640" i="9"/>
  <c r="BM640" i="9"/>
  <c r="BL640" i="9"/>
  <c r="BK640" i="9"/>
  <c r="BJ640" i="9"/>
  <c r="BI640" i="9"/>
  <c r="BH640" i="9"/>
  <c r="BG640" i="9"/>
  <c r="BF640" i="9"/>
  <c r="BE640" i="9"/>
  <c r="BD640" i="9"/>
  <c r="BC640" i="9"/>
  <c r="BB640" i="9"/>
  <c r="BA640" i="9"/>
  <c r="AZ640" i="9"/>
  <c r="AY640" i="9"/>
  <c r="AX640" i="9"/>
  <c r="AW640" i="9"/>
  <c r="AV640" i="9"/>
  <c r="AU640" i="9"/>
  <c r="AT640" i="9"/>
  <c r="AS640" i="9"/>
  <c r="AR640" i="9"/>
  <c r="AQ640" i="9"/>
  <c r="AP640" i="9"/>
  <c r="AO640" i="9"/>
  <c r="AN640" i="9"/>
  <c r="AM640" i="9"/>
  <c r="AL640" i="9"/>
  <c r="AK640" i="9"/>
  <c r="AJ640" i="9"/>
  <c r="AI640" i="9"/>
  <c r="AH640" i="9"/>
  <c r="AG640" i="9"/>
  <c r="AF640" i="9"/>
  <c r="AE640" i="9"/>
  <c r="AD640" i="9"/>
  <c r="AC640" i="9"/>
  <c r="AB640" i="9"/>
  <c r="AA640" i="9"/>
  <c r="V640" i="9"/>
  <c r="D640" i="9"/>
  <c r="B640" i="9" a="1"/>
  <c r="B640" i="9" s="1"/>
  <c r="EY639" i="9"/>
  <c r="CI639" i="9"/>
  <c r="CH639" i="9"/>
  <c r="CG639" i="9"/>
  <c r="CF639" i="9"/>
  <c r="CE639" i="9"/>
  <c r="CD639" i="9"/>
  <c r="CC639" i="9"/>
  <c r="BV639" i="9"/>
  <c r="BU639" i="9"/>
  <c r="BT639" i="9"/>
  <c r="BS639" i="9"/>
  <c r="BR639" i="9"/>
  <c r="BQ639" i="9"/>
  <c r="BP639" i="9"/>
  <c r="BO639" i="9"/>
  <c r="BN639" i="9"/>
  <c r="BM639" i="9"/>
  <c r="BL639" i="9"/>
  <c r="BK639" i="9"/>
  <c r="BJ639" i="9"/>
  <c r="BI639" i="9"/>
  <c r="BH639" i="9"/>
  <c r="BG639" i="9"/>
  <c r="BF639" i="9"/>
  <c r="BE639" i="9"/>
  <c r="BD639" i="9"/>
  <c r="BC639" i="9"/>
  <c r="BB639" i="9"/>
  <c r="BA639" i="9"/>
  <c r="AZ639" i="9"/>
  <c r="AY639" i="9"/>
  <c r="AX639" i="9"/>
  <c r="AW639" i="9"/>
  <c r="AV639" i="9"/>
  <c r="AU639" i="9"/>
  <c r="AT639" i="9"/>
  <c r="AS639" i="9"/>
  <c r="AR639" i="9"/>
  <c r="AQ639" i="9"/>
  <c r="AP639" i="9"/>
  <c r="AO639" i="9"/>
  <c r="AN639" i="9"/>
  <c r="AM639" i="9"/>
  <c r="AL639" i="9"/>
  <c r="AK639" i="9"/>
  <c r="AJ639" i="9"/>
  <c r="AI639" i="9"/>
  <c r="AH639" i="9"/>
  <c r="AG639" i="9"/>
  <c r="AF639" i="9"/>
  <c r="AE639" i="9"/>
  <c r="AD639" i="9"/>
  <c r="AC639" i="9"/>
  <c r="AB639" i="9"/>
  <c r="AA639" i="9"/>
  <c r="V639" i="9"/>
  <c r="D639" i="9"/>
  <c r="B639" i="9" a="1"/>
  <c r="B639" i="9" s="1"/>
  <c r="EY638" i="9"/>
  <c r="CI638" i="9"/>
  <c r="CH638" i="9"/>
  <c r="CG638" i="9"/>
  <c r="CF638" i="9"/>
  <c r="CE638" i="9"/>
  <c r="CD638" i="9"/>
  <c r="CC638" i="9"/>
  <c r="BV638" i="9"/>
  <c r="BU638" i="9"/>
  <c r="BT638" i="9"/>
  <c r="BS638" i="9"/>
  <c r="BR638" i="9"/>
  <c r="BQ638" i="9"/>
  <c r="BP638" i="9"/>
  <c r="BO638" i="9"/>
  <c r="BN638" i="9"/>
  <c r="BM638" i="9"/>
  <c r="BL638" i="9"/>
  <c r="BK638" i="9"/>
  <c r="BJ638" i="9"/>
  <c r="BI638" i="9"/>
  <c r="BH638" i="9"/>
  <c r="BG638" i="9"/>
  <c r="BF638" i="9"/>
  <c r="BE638" i="9"/>
  <c r="BD638" i="9"/>
  <c r="BC638" i="9"/>
  <c r="BB638" i="9"/>
  <c r="BA638" i="9"/>
  <c r="AZ638" i="9"/>
  <c r="AY638" i="9"/>
  <c r="AX638" i="9"/>
  <c r="AW638" i="9"/>
  <c r="AV638" i="9"/>
  <c r="AU638" i="9"/>
  <c r="AT638" i="9"/>
  <c r="AS638" i="9"/>
  <c r="AR638" i="9"/>
  <c r="AQ638" i="9"/>
  <c r="AP638" i="9"/>
  <c r="AO638" i="9"/>
  <c r="AN638" i="9"/>
  <c r="AM638" i="9"/>
  <c r="AL638" i="9"/>
  <c r="AK638" i="9"/>
  <c r="AJ638" i="9"/>
  <c r="AI638" i="9"/>
  <c r="AH638" i="9"/>
  <c r="AG638" i="9"/>
  <c r="AF638" i="9"/>
  <c r="AE638" i="9"/>
  <c r="AD638" i="9"/>
  <c r="AC638" i="9"/>
  <c r="AB638" i="9"/>
  <c r="AA638" i="9"/>
  <c r="V638" i="9"/>
  <c r="D638" i="9"/>
  <c r="B638" i="9" a="1"/>
  <c r="B638" i="9" s="1"/>
  <c r="EY637" i="9"/>
  <c r="CI637" i="9"/>
  <c r="CH637" i="9"/>
  <c r="CG637" i="9"/>
  <c r="CF637" i="9"/>
  <c r="CE637" i="9"/>
  <c r="CD637" i="9"/>
  <c r="CC637" i="9"/>
  <c r="BV637" i="9"/>
  <c r="BU637" i="9"/>
  <c r="BT637" i="9"/>
  <c r="BS637" i="9"/>
  <c r="BR637" i="9"/>
  <c r="BQ637" i="9"/>
  <c r="BP637" i="9"/>
  <c r="BO637" i="9"/>
  <c r="BN637" i="9"/>
  <c r="BM637" i="9"/>
  <c r="BL637" i="9"/>
  <c r="BK637" i="9"/>
  <c r="BJ637" i="9"/>
  <c r="BI637" i="9"/>
  <c r="BH637" i="9"/>
  <c r="BG637" i="9"/>
  <c r="BF637" i="9"/>
  <c r="BE637" i="9"/>
  <c r="BD637" i="9"/>
  <c r="BC637" i="9"/>
  <c r="BB637" i="9"/>
  <c r="BA637" i="9"/>
  <c r="AZ637" i="9"/>
  <c r="AY637" i="9"/>
  <c r="AX637" i="9"/>
  <c r="AW637" i="9"/>
  <c r="AV637" i="9"/>
  <c r="AU637" i="9"/>
  <c r="AT637" i="9"/>
  <c r="AS637" i="9"/>
  <c r="AR637" i="9"/>
  <c r="AQ637" i="9"/>
  <c r="AP637" i="9"/>
  <c r="AO637" i="9"/>
  <c r="AN637" i="9"/>
  <c r="AM637" i="9"/>
  <c r="AL637" i="9"/>
  <c r="AK637" i="9"/>
  <c r="AJ637" i="9"/>
  <c r="AI637" i="9"/>
  <c r="AH637" i="9"/>
  <c r="AG637" i="9"/>
  <c r="AF637" i="9"/>
  <c r="AE637" i="9"/>
  <c r="AD637" i="9"/>
  <c r="AC637" i="9"/>
  <c r="AB637" i="9"/>
  <c r="AA637" i="9"/>
  <c r="V637" i="9"/>
  <c r="D637" i="9"/>
  <c r="B637" i="9" a="1"/>
  <c r="B637" i="9" s="1"/>
  <c r="EY636" i="9"/>
  <c r="CI636" i="9"/>
  <c r="CH636" i="9"/>
  <c r="CG636" i="9"/>
  <c r="CF636" i="9"/>
  <c r="CE636" i="9"/>
  <c r="CD636" i="9"/>
  <c r="CC636" i="9"/>
  <c r="BV636" i="9"/>
  <c r="BU636" i="9"/>
  <c r="BT636" i="9"/>
  <c r="BS636" i="9"/>
  <c r="BR636" i="9"/>
  <c r="BQ636" i="9"/>
  <c r="BP636" i="9"/>
  <c r="BO636" i="9"/>
  <c r="BN636" i="9"/>
  <c r="BM636" i="9"/>
  <c r="BL636" i="9"/>
  <c r="BK636" i="9"/>
  <c r="BJ636" i="9"/>
  <c r="BI636" i="9"/>
  <c r="BH636" i="9"/>
  <c r="BG636" i="9"/>
  <c r="BF636" i="9"/>
  <c r="BE636" i="9"/>
  <c r="BD636" i="9"/>
  <c r="BC636" i="9"/>
  <c r="BB636" i="9"/>
  <c r="BA636" i="9"/>
  <c r="AZ636" i="9"/>
  <c r="AY636" i="9"/>
  <c r="AX636" i="9"/>
  <c r="AW636" i="9"/>
  <c r="AV636" i="9"/>
  <c r="AU636" i="9"/>
  <c r="AT636" i="9"/>
  <c r="AS636" i="9"/>
  <c r="AR636" i="9"/>
  <c r="AQ636" i="9"/>
  <c r="AP636" i="9"/>
  <c r="AO636" i="9"/>
  <c r="AN636" i="9"/>
  <c r="AM636" i="9"/>
  <c r="AL636" i="9"/>
  <c r="AK636" i="9"/>
  <c r="AJ636" i="9"/>
  <c r="AI636" i="9"/>
  <c r="AH636" i="9"/>
  <c r="AG636" i="9"/>
  <c r="AF636" i="9"/>
  <c r="AE636" i="9"/>
  <c r="AD636" i="9"/>
  <c r="AC636" i="9"/>
  <c r="AB636" i="9"/>
  <c r="AA636" i="9"/>
  <c r="V636" i="9"/>
  <c r="D636" i="9"/>
  <c r="B636" i="9" a="1"/>
  <c r="B636" i="9" s="1"/>
  <c r="EY635" i="9"/>
  <c r="CI635" i="9"/>
  <c r="CH635" i="9"/>
  <c r="CG635" i="9"/>
  <c r="CF635" i="9"/>
  <c r="CE635" i="9"/>
  <c r="CD635" i="9"/>
  <c r="CC635" i="9"/>
  <c r="BV635" i="9"/>
  <c r="BU635" i="9"/>
  <c r="BT635" i="9"/>
  <c r="BS635" i="9"/>
  <c r="BR635" i="9"/>
  <c r="BQ635" i="9"/>
  <c r="BP635" i="9"/>
  <c r="BO635" i="9"/>
  <c r="BN635" i="9"/>
  <c r="BM635" i="9"/>
  <c r="BL635" i="9"/>
  <c r="BK635" i="9"/>
  <c r="BJ635" i="9"/>
  <c r="BI635" i="9"/>
  <c r="BH635" i="9"/>
  <c r="BG635" i="9"/>
  <c r="BF635" i="9"/>
  <c r="BE635" i="9"/>
  <c r="BD635" i="9"/>
  <c r="BC635" i="9"/>
  <c r="BB635" i="9"/>
  <c r="BA635" i="9"/>
  <c r="AZ635" i="9"/>
  <c r="AY635" i="9"/>
  <c r="AX635" i="9"/>
  <c r="AW635" i="9"/>
  <c r="AV635" i="9"/>
  <c r="AU635" i="9"/>
  <c r="AT635" i="9"/>
  <c r="AS635" i="9"/>
  <c r="AR635" i="9"/>
  <c r="AQ635" i="9"/>
  <c r="AP635" i="9"/>
  <c r="AO635" i="9"/>
  <c r="AN635" i="9"/>
  <c r="AM635" i="9"/>
  <c r="AL635" i="9"/>
  <c r="AK635" i="9"/>
  <c r="AJ635" i="9"/>
  <c r="AI635" i="9"/>
  <c r="AH635" i="9"/>
  <c r="AG635" i="9"/>
  <c r="AF635" i="9"/>
  <c r="AE635" i="9"/>
  <c r="AD635" i="9"/>
  <c r="AC635" i="9"/>
  <c r="AB635" i="9"/>
  <c r="AA635" i="9"/>
  <c r="V635" i="9"/>
  <c r="D635" i="9"/>
  <c r="B635" i="9" a="1"/>
  <c r="B635" i="9" s="1"/>
  <c r="EY634" i="9"/>
  <c r="CI634" i="9"/>
  <c r="CH634" i="9"/>
  <c r="CG634" i="9"/>
  <c r="CF634" i="9"/>
  <c r="CE634" i="9"/>
  <c r="CD634" i="9"/>
  <c r="CC634" i="9"/>
  <c r="BV634" i="9"/>
  <c r="BU634" i="9"/>
  <c r="BT634" i="9"/>
  <c r="BS634" i="9"/>
  <c r="BR634" i="9"/>
  <c r="BQ634" i="9"/>
  <c r="BP634" i="9"/>
  <c r="BO634" i="9"/>
  <c r="BN634" i="9"/>
  <c r="BM634" i="9"/>
  <c r="BL634" i="9"/>
  <c r="BK634" i="9"/>
  <c r="BJ634" i="9"/>
  <c r="BI634" i="9"/>
  <c r="BH634" i="9"/>
  <c r="BG634" i="9"/>
  <c r="BF634" i="9"/>
  <c r="BE634" i="9"/>
  <c r="BD634" i="9"/>
  <c r="BC634" i="9"/>
  <c r="BB634" i="9"/>
  <c r="BA634" i="9"/>
  <c r="AZ634" i="9"/>
  <c r="AY634" i="9"/>
  <c r="AX634" i="9"/>
  <c r="AW634" i="9"/>
  <c r="AV634" i="9"/>
  <c r="AU634" i="9"/>
  <c r="AT634" i="9"/>
  <c r="AS634" i="9"/>
  <c r="AR634" i="9"/>
  <c r="AQ634" i="9"/>
  <c r="AP634" i="9"/>
  <c r="AO634" i="9"/>
  <c r="AN634" i="9"/>
  <c r="AM634" i="9"/>
  <c r="AL634" i="9"/>
  <c r="AK634" i="9"/>
  <c r="AJ634" i="9"/>
  <c r="AI634" i="9"/>
  <c r="AH634" i="9"/>
  <c r="AG634" i="9"/>
  <c r="AF634" i="9"/>
  <c r="AE634" i="9"/>
  <c r="AD634" i="9"/>
  <c r="AC634" i="9"/>
  <c r="AB634" i="9"/>
  <c r="AA634" i="9"/>
  <c r="V634" i="9"/>
  <c r="D634" i="9"/>
  <c r="B634" i="9" a="1"/>
  <c r="B634" i="9" s="1"/>
  <c r="EY633" i="9"/>
  <c r="CI633" i="9"/>
  <c r="CH633" i="9"/>
  <c r="CG633" i="9"/>
  <c r="CF633" i="9"/>
  <c r="CE633" i="9"/>
  <c r="CD633" i="9"/>
  <c r="CC633" i="9"/>
  <c r="BV633" i="9"/>
  <c r="BU633" i="9"/>
  <c r="BT633" i="9"/>
  <c r="BS633" i="9"/>
  <c r="BR633" i="9"/>
  <c r="BQ633" i="9"/>
  <c r="BP633" i="9"/>
  <c r="BO633" i="9"/>
  <c r="BN633" i="9"/>
  <c r="BM633" i="9"/>
  <c r="BL633" i="9"/>
  <c r="BK633" i="9"/>
  <c r="BJ633" i="9"/>
  <c r="BI633" i="9"/>
  <c r="BH633" i="9"/>
  <c r="BG633" i="9"/>
  <c r="BF633" i="9"/>
  <c r="BE633" i="9"/>
  <c r="BD633" i="9"/>
  <c r="BC633" i="9"/>
  <c r="BB633" i="9"/>
  <c r="BA633" i="9"/>
  <c r="AZ633" i="9"/>
  <c r="AY633" i="9"/>
  <c r="AX633" i="9"/>
  <c r="AW633" i="9"/>
  <c r="AV633" i="9"/>
  <c r="AU633" i="9"/>
  <c r="AT633" i="9"/>
  <c r="AS633" i="9"/>
  <c r="AR633" i="9"/>
  <c r="AQ633" i="9"/>
  <c r="AP633" i="9"/>
  <c r="AO633" i="9"/>
  <c r="AN633" i="9"/>
  <c r="AM633" i="9"/>
  <c r="AL633" i="9"/>
  <c r="AK633" i="9"/>
  <c r="AJ633" i="9"/>
  <c r="AI633" i="9"/>
  <c r="AH633" i="9"/>
  <c r="AG633" i="9"/>
  <c r="AF633" i="9"/>
  <c r="AE633" i="9"/>
  <c r="AD633" i="9"/>
  <c r="AC633" i="9"/>
  <c r="AB633" i="9"/>
  <c r="AA633" i="9"/>
  <c r="V633" i="9"/>
  <c r="D633" i="9"/>
  <c r="B633" i="9" a="1"/>
  <c r="B633" i="9" s="1"/>
  <c r="EY632" i="9"/>
  <c r="CI632" i="9"/>
  <c r="CH632" i="9"/>
  <c r="CG632" i="9"/>
  <c r="CF632" i="9"/>
  <c r="CE632" i="9"/>
  <c r="CD632" i="9"/>
  <c r="CC632" i="9"/>
  <c r="BV632" i="9"/>
  <c r="BU632" i="9"/>
  <c r="BT632" i="9"/>
  <c r="BS632" i="9"/>
  <c r="BR632" i="9"/>
  <c r="BQ632" i="9"/>
  <c r="BP632" i="9"/>
  <c r="BO632" i="9"/>
  <c r="BN632" i="9"/>
  <c r="BM632" i="9"/>
  <c r="BL632" i="9"/>
  <c r="BK632" i="9"/>
  <c r="BJ632" i="9"/>
  <c r="BI632" i="9"/>
  <c r="BH632" i="9"/>
  <c r="BG632" i="9"/>
  <c r="BF632" i="9"/>
  <c r="BE632" i="9"/>
  <c r="BD632" i="9"/>
  <c r="BC632" i="9"/>
  <c r="BB632" i="9"/>
  <c r="BA632" i="9"/>
  <c r="AZ632" i="9"/>
  <c r="AY632" i="9"/>
  <c r="AX632" i="9"/>
  <c r="AW632" i="9"/>
  <c r="AV632" i="9"/>
  <c r="AU632" i="9"/>
  <c r="AT632" i="9"/>
  <c r="AS632" i="9"/>
  <c r="AR632" i="9"/>
  <c r="AQ632" i="9"/>
  <c r="AP632" i="9"/>
  <c r="AO632" i="9"/>
  <c r="AN632" i="9"/>
  <c r="AM632" i="9"/>
  <c r="AL632" i="9"/>
  <c r="AK632" i="9"/>
  <c r="AJ632" i="9"/>
  <c r="AI632" i="9"/>
  <c r="AH632" i="9"/>
  <c r="AG632" i="9"/>
  <c r="AF632" i="9"/>
  <c r="AE632" i="9"/>
  <c r="AD632" i="9"/>
  <c r="AC632" i="9"/>
  <c r="AB632" i="9"/>
  <c r="AA632" i="9"/>
  <c r="V632" i="9"/>
  <c r="D632" i="9"/>
  <c r="B632" i="9" a="1"/>
  <c r="B632" i="9" s="1"/>
  <c r="EY631" i="9"/>
  <c r="CI631" i="9"/>
  <c r="CH631" i="9"/>
  <c r="CG631" i="9"/>
  <c r="CF631" i="9"/>
  <c r="CE631" i="9"/>
  <c r="CD631" i="9"/>
  <c r="CC631" i="9"/>
  <c r="BV631" i="9"/>
  <c r="BU631" i="9"/>
  <c r="BT631" i="9"/>
  <c r="BS631" i="9"/>
  <c r="BR631" i="9"/>
  <c r="BQ631" i="9"/>
  <c r="BP631" i="9"/>
  <c r="BO631" i="9"/>
  <c r="BN631" i="9"/>
  <c r="BM631" i="9"/>
  <c r="BL631" i="9"/>
  <c r="BK631" i="9"/>
  <c r="BJ631" i="9"/>
  <c r="BI631" i="9"/>
  <c r="BH631" i="9"/>
  <c r="BG631" i="9"/>
  <c r="BF631" i="9"/>
  <c r="BE631" i="9"/>
  <c r="BD631" i="9"/>
  <c r="BC631" i="9"/>
  <c r="BB631" i="9"/>
  <c r="BA631" i="9"/>
  <c r="AZ631" i="9"/>
  <c r="AY631" i="9"/>
  <c r="AX631" i="9"/>
  <c r="AW631" i="9"/>
  <c r="AV631" i="9"/>
  <c r="AU631" i="9"/>
  <c r="AT631" i="9"/>
  <c r="AS631" i="9"/>
  <c r="AR631" i="9"/>
  <c r="AQ631" i="9"/>
  <c r="AP631" i="9"/>
  <c r="AO631" i="9"/>
  <c r="AN631" i="9"/>
  <c r="AM631" i="9"/>
  <c r="AL631" i="9"/>
  <c r="AK631" i="9"/>
  <c r="AJ631" i="9"/>
  <c r="AI631" i="9"/>
  <c r="AH631" i="9"/>
  <c r="AG631" i="9"/>
  <c r="AF631" i="9"/>
  <c r="AE631" i="9"/>
  <c r="AD631" i="9"/>
  <c r="AC631" i="9"/>
  <c r="AB631" i="9"/>
  <c r="AA631" i="9"/>
  <c r="V631" i="9"/>
  <c r="D631" i="9"/>
  <c r="B631" i="9" a="1"/>
  <c r="B631" i="9" s="1"/>
  <c r="EY630" i="9"/>
  <c r="CI630" i="9"/>
  <c r="CH630" i="9"/>
  <c r="CG630" i="9"/>
  <c r="CF630" i="9"/>
  <c r="CE630" i="9"/>
  <c r="CD630" i="9"/>
  <c r="CC630" i="9"/>
  <c r="BV630" i="9"/>
  <c r="BU630" i="9"/>
  <c r="BT630" i="9"/>
  <c r="BS630" i="9"/>
  <c r="BR630" i="9"/>
  <c r="BQ630" i="9"/>
  <c r="BP630" i="9"/>
  <c r="BO630" i="9"/>
  <c r="BN630" i="9"/>
  <c r="BM630" i="9"/>
  <c r="BL630" i="9"/>
  <c r="BK630" i="9"/>
  <c r="BJ630" i="9"/>
  <c r="BI630" i="9"/>
  <c r="BH630" i="9"/>
  <c r="BG630" i="9"/>
  <c r="BF630" i="9"/>
  <c r="BE630" i="9"/>
  <c r="BD630" i="9"/>
  <c r="BC630" i="9"/>
  <c r="BB630" i="9"/>
  <c r="BA630" i="9"/>
  <c r="AZ630" i="9"/>
  <c r="AY630" i="9"/>
  <c r="AX630" i="9"/>
  <c r="AW630" i="9"/>
  <c r="AV630" i="9"/>
  <c r="AU630" i="9"/>
  <c r="AT630" i="9"/>
  <c r="AS630" i="9"/>
  <c r="AR630" i="9"/>
  <c r="AQ630" i="9"/>
  <c r="AP630" i="9"/>
  <c r="AO630" i="9"/>
  <c r="AN630" i="9"/>
  <c r="AM630" i="9"/>
  <c r="AL630" i="9"/>
  <c r="AK630" i="9"/>
  <c r="AJ630" i="9"/>
  <c r="AI630" i="9"/>
  <c r="AH630" i="9"/>
  <c r="AG630" i="9"/>
  <c r="AF630" i="9"/>
  <c r="AE630" i="9"/>
  <c r="AD630" i="9"/>
  <c r="AC630" i="9"/>
  <c r="AB630" i="9"/>
  <c r="AA630" i="9"/>
  <c r="V630" i="9"/>
  <c r="D630" i="9"/>
  <c r="B630" i="9" a="1"/>
  <c r="B630" i="9" s="1"/>
  <c r="EY629" i="9"/>
  <c r="CI629" i="9"/>
  <c r="CH629" i="9"/>
  <c r="CG629" i="9"/>
  <c r="CF629" i="9"/>
  <c r="CE629" i="9"/>
  <c r="CD629" i="9"/>
  <c r="CC629" i="9"/>
  <c r="BV629" i="9"/>
  <c r="BU629" i="9"/>
  <c r="BT629" i="9"/>
  <c r="BS629" i="9"/>
  <c r="BR629" i="9"/>
  <c r="BQ629" i="9"/>
  <c r="BP629" i="9"/>
  <c r="BO629" i="9"/>
  <c r="BN629" i="9"/>
  <c r="BM629" i="9"/>
  <c r="BL629" i="9"/>
  <c r="BK629" i="9"/>
  <c r="BJ629" i="9"/>
  <c r="BI629" i="9"/>
  <c r="BH629" i="9"/>
  <c r="BG629" i="9"/>
  <c r="BF629" i="9"/>
  <c r="BE629" i="9"/>
  <c r="BD629" i="9"/>
  <c r="BC629" i="9"/>
  <c r="BB629" i="9"/>
  <c r="BA629" i="9"/>
  <c r="AZ629" i="9"/>
  <c r="AY629" i="9"/>
  <c r="AX629" i="9"/>
  <c r="AW629" i="9"/>
  <c r="AV629" i="9"/>
  <c r="AU629" i="9"/>
  <c r="AT629" i="9"/>
  <c r="AS629" i="9"/>
  <c r="AR629" i="9"/>
  <c r="AQ629" i="9"/>
  <c r="AP629" i="9"/>
  <c r="AO629" i="9"/>
  <c r="AN629" i="9"/>
  <c r="AM629" i="9"/>
  <c r="AL629" i="9"/>
  <c r="AK629" i="9"/>
  <c r="AJ629" i="9"/>
  <c r="AI629" i="9"/>
  <c r="AH629" i="9"/>
  <c r="AG629" i="9"/>
  <c r="AF629" i="9"/>
  <c r="AE629" i="9"/>
  <c r="AD629" i="9"/>
  <c r="AC629" i="9"/>
  <c r="AB629" i="9"/>
  <c r="AA629" i="9"/>
  <c r="V629" i="9"/>
  <c r="D629" i="9"/>
  <c r="B629" i="9" a="1"/>
  <c r="B629" i="9" s="1"/>
  <c r="EY628" i="9"/>
  <c r="CI628" i="9"/>
  <c r="CH628" i="9"/>
  <c r="CG628" i="9"/>
  <c r="CF628" i="9"/>
  <c r="CE628" i="9"/>
  <c r="CD628" i="9"/>
  <c r="CC628" i="9"/>
  <c r="BV628" i="9"/>
  <c r="BU628" i="9"/>
  <c r="BT628" i="9"/>
  <c r="BS628" i="9"/>
  <c r="BR628" i="9"/>
  <c r="BQ628" i="9"/>
  <c r="BP628" i="9"/>
  <c r="BO628" i="9"/>
  <c r="BN628" i="9"/>
  <c r="BM628" i="9"/>
  <c r="BL628" i="9"/>
  <c r="BK628" i="9"/>
  <c r="BJ628" i="9"/>
  <c r="BI628" i="9"/>
  <c r="BH628" i="9"/>
  <c r="BG628" i="9"/>
  <c r="BF628" i="9"/>
  <c r="BE628" i="9"/>
  <c r="BD628" i="9"/>
  <c r="BC628" i="9"/>
  <c r="BB628" i="9"/>
  <c r="BA628" i="9"/>
  <c r="AZ628" i="9"/>
  <c r="AY628" i="9"/>
  <c r="AX628" i="9"/>
  <c r="AW628" i="9"/>
  <c r="AV628" i="9"/>
  <c r="AU628" i="9"/>
  <c r="AT628" i="9"/>
  <c r="AS628" i="9"/>
  <c r="AR628" i="9"/>
  <c r="AQ628" i="9"/>
  <c r="AP628" i="9"/>
  <c r="AO628" i="9"/>
  <c r="AN628" i="9"/>
  <c r="AM628" i="9"/>
  <c r="AL628" i="9"/>
  <c r="AK628" i="9"/>
  <c r="AJ628" i="9"/>
  <c r="AI628" i="9"/>
  <c r="AH628" i="9"/>
  <c r="AG628" i="9"/>
  <c r="AF628" i="9"/>
  <c r="AE628" i="9"/>
  <c r="AD628" i="9"/>
  <c r="AC628" i="9"/>
  <c r="AB628" i="9"/>
  <c r="AA628" i="9"/>
  <c r="V628" i="9"/>
  <c r="D628" i="9"/>
  <c r="B628" i="9" a="1"/>
  <c r="B628" i="9" s="1"/>
  <c r="EY627" i="9"/>
  <c r="CI627" i="9"/>
  <c r="CH627" i="9"/>
  <c r="CG627" i="9"/>
  <c r="CF627" i="9"/>
  <c r="CE627" i="9"/>
  <c r="CD627" i="9"/>
  <c r="CC627" i="9"/>
  <c r="BV627" i="9"/>
  <c r="BU627" i="9"/>
  <c r="BT627" i="9"/>
  <c r="BS627" i="9"/>
  <c r="BR627" i="9"/>
  <c r="BQ627" i="9"/>
  <c r="BP627" i="9"/>
  <c r="BO627" i="9"/>
  <c r="BN627" i="9"/>
  <c r="BM627" i="9"/>
  <c r="BL627" i="9"/>
  <c r="BK627" i="9"/>
  <c r="BJ627" i="9"/>
  <c r="BI627" i="9"/>
  <c r="BH627" i="9"/>
  <c r="BG627" i="9"/>
  <c r="BF627" i="9"/>
  <c r="BE627" i="9"/>
  <c r="BD627" i="9"/>
  <c r="BC627" i="9"/>
  <c r="BB627" i="9"/>
  <c r="BA627" i="9"/>
  <c r="AZ627" i="9"/>
  <c r="AY627" i="9"/>
  <c r="AX627" i="9"/>
  <c r="AW627" i="9"/>
  <c r="AV627" i="9"/>
  <c r="AU627" i="9"/>
  <c r="AT627" i="9"/>
  <c r="AS627" i="9"/>
  <c r="AR627" i="9"/>
  <c r="AQ627" i="9"/>
  <c r="AP627" i="9"/>
  <c r="AO627" i="9"/>
  <c r="AN627" i="9"/>
  <c r="AM627" i="9"/>
  <c r="AL627" i="9"/>
  <c r="AK627" i="9"/>
  <c r="AJ627" i="9"/>
  <c r="AI627" i="9"/>
  <c r="AH627" i="9"/>
  <c r="AG627" i="9"/>
  <c r="AF627" i="9"/>
  <c r="AE627" i="9"/>
  <c r="AD627" i="9"/>
  <c r="AC627" i="9"/>
  <c r="AB627" i="9"/>
  <c r="AA627" i="9"/>
  <c r="V627" i="9"/>
  <c r="D627" i="9"/>
  <c r="B627" i="9" a="1"/>
  <c r="B627" i="9" s="1"/>
  <c r="EY626" i="9"/>
  <c r="CI626" i="9"/>
  <c r="CH626" i="9"/>
  <c r="CG626" i="9"/>
  <c r="CF626" i="9"/>
  <c r="CE626" i="9"/>
  <c r="CD626" i="9"/>
  <c r="CC626" i="9"/>
  <c r="BV626" i="9"/>
  <c r="BU626" i="9"/>
  <c r="BT626"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V626" i="9"/>
  <c r="D626" i="9"/>
  <c r="B626" i="9" a="1"/>
  <c r="B626" i="9" s="1"/>
  <c r="EY625" i="9"/>
  <c r="CI625" i="9"/>
  <c r="CH625" i="9"/>
  <c r="CG625" i="9"/>
  <c r="CF625" i="9"/>
  <c r="CE625" i="9"/>
  <c r="CD625" i="9"/>
  <c r="CC625" i="9"/>
  <c r="BV625" i="9"/>
  <c r="BU625" i="9"/>
  <c r="BT625"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V625" i="9"/>
  <c r="D625" i="9"/>
  <c r="B625" i="9" a="1"/>
  <c r="B625" i="9" s="1"/>
  <c r="EY624" i="9"/>
  <c r="CI624" i="9"/>
  <c r="CH624" i="9"/>
  <c r="CG624" i="9"/>
  <c r="CF624" i="9"/>
  <c r="CE624" i="9"/>
  <c r="CD624" i="9"/>
  <c r="CC624" i="9"/>
  <c r="BV624" i="9"/>
  <c r="BU624" i="9"/>
  <c r="BT624" i="9"/>
  <c r="BS624" i="9"/>
  <c r="BR624" i="9"/>
  <c r="BQ624" i="9"/>
  <c r="BP624" i="9"/>
  <c r="BO624" i="9"/>
  <c r="BN624" i="9"/>
  <c r="BM624" i="9"/>
  <c r="BL624" i="9"/>
  <c r="BK624" i="9"/>
  <c r="BJ624" i="9"/>
  <c r="BI624" i="9"/>
  <c r="BH624" i="9"/>
  <c r="BG624" i="9"/>
  <c r="BF624" i="9"/>
  <c r="BE624" i="9"/>
  <c r="BD624" i="9"/>
  <c r="BC624" i="9"/>
  <c r="BB624" i="9"/>
  <c r="BA624" i="9"/>
  <c r="AZ624" i="9"/>
  <c r="AY624" i="9"/>
  <c r="AX624" i="9"/>
  <c r="AW624" i="9"/>
  <c r="AV624" i="9"/>
  <c r="AU624" i="9"/>
  <c r="AT624" i="9"/>
  <c r="AS624" i="9"/>
  <c r="AR624" i="9"/>
  <c r="AQ624" i="9"/>
  <c r="AP624" i="9"/>
  <c r="AO624" i="9"/>
  <c r="AN624" i="9"/>
  <c r="AM624" i="9"/>
  <c r="AL624" i="9"/>
  <c r="AK624" i="9"/>
  <c r="AJ624" i="9"/>
  <c r="AI624" i="9"/>
  <c r="AH624" i="9"/>
  <c r="AG624" i="9"/>
  <c r="AF624" i="9"/>
  <c r="AE624" i="9"/>
  <c r="AD624" i="9"/>
  <c r="AC624" i="9"/>
  <c r="AB624" i="9"/>
  <c r="AA624" i="9"/>
  <c r="V624" i="9"/>
  <c r="D624" i="9"/>
  <c r="B624" i="9" a="1"/>
  <c r="B624" i="9" s="1"/>
  <c r="EY623" i="9"/>
  <c r="E623" i="9"/>
  <c r="D623" i="9"/>
  <c r="EY622" i="9"/>
  <c r="D622" i="9"/>
  <c r="EY621" i="9"/>
  <c r="EY620" i="9"/>
  <c r="D620" i="9"/>
  <c r="B620" i="9" a="1"/>
  <c r="B620" i="9" s="1"/>
  <c r="EY619" i="9"/>
  <c r="D619" i="9"/>
  <c r="B619" i="9" a="1"/>
  <c r="B619" i="9" s="1"/>
  <c r="EY618" i="9"/>
  <c r="D618" i="9"/>
  <c r="B618" i="9" a="1"/>
  <c r="B618" i="9" s="1"/>
  <c r="EY617" i="9"/>
  <c r="D617" i="9"/>
  <c r="B617" i="9" a="1"/>
  <c r="B617" i="9" s="1"/>
  <c r="EY616" i="9"/>
  <c r="D616" i="9"/>
  <c r="B616" i="9" a="1"/>
  <c r="B616" i="9" s="1"/>
  <c r="EY615" i="9"/>
  <c r="D615" i="9"/>
  <c r="B615" i="9" a="1"/>
  <c r="B615" i="9" s="1"/>
  <c r="EY614" i="9"/>
  <c r="D614" i="9"/>
  <c r="B614" i="9" a="1"/>
  <c r="B614" i="9" s="1"/>
  <c r="EY613" i="9"/>
  <c r="D613" i="9"/>
  <c r="B613" i="9" a="1"/>
  <c r="B613" i="9" s="1"/>
  <c r="EY612" i="9"/>
  <c r="D612" i="9"/>
  <c r="B612" i="9" a="1"/>
  <c r="B612" i="9" s="1"/>
  <c r="EY611" i="9"/>
  <c r="D611" i="9"/>
  <c r="B611" i="9" a="1"/>
  <c r="B611" i="9" s="1"/>
  <c r="EY610" i="9"/>
  <c r="D610" i="9"/>
  <c r="B610" i="9" a="1"/>
  <c r="B610" i="9" s="1"/>
  <c r="EY609" i="9"/>
  <c r="D609" i="9"/>
  <c r="B609" i="9" a="1"/>
  <c r="B609" i="9" s="1"/>
  <c r="EY608" i="9"/>
  <c r="D608" i="9"/>
  <c r="B608" i="9" a="1"/>
  <c r="B608" i="9" s="1"/>
  <c r="EY607" i="9"/>
  <c r="D607" i="9"/>
  <c r="B607" i="9" a="1"/>
  <c r="B607" i="9" s="1"/>
  <c r="EY606" i="9"/>
  <c r="D606" i="9"/>
  <c r="B606" i="9" a="1"/>
  <c r="B606" i="9" s="1"/>
  <c r="EY605" i="9"/>
  <c r="D605" i="9"/>
  <c r="B605" i="9" a="1"/>
  <c r="B605" i="9" s="1"/>
  <c r="EY604" i="9"/>
  <c r="D604" i="9"/>
  <c r="B604" i="9" a="1"/>
  <c r="B604" i="9" s="1"/>
  <c r="EY603" i="9"/>
  <c r="D603" i="9"/>
  <c r="B603" i="9" a="1"/>
  <c r="B603" i="9" s="1"/>
  <c r="EY602" i="9"/>
  <c r="D602" i="9"/>
  <c r="B602" i="9" a="1"/>
  <c r="B602" i="9" s="1"/>
  <c r="EY601" i="9"/>
  <c r="D601" i="9"/>
  <c r="B601" i="9" a="1"/>
  <c r="B601" i="9" s="1"/>
  <c r="EY600" i="9"/>
  <c r="E600" i="9"/>
  <c r="D600" i="9"/>
  <c r="EY599" i="9"/>
  <c r="D599" i="9"/>
  <c r="EY598" i="9"/>
  <c r="EY597" i="9"/>
  <c r="CI597" i="9"/>
  <c r="CI879" i="9" s="1"/>
  <c r="CH597" i="9"/>
  <c r="CH879" i="9" s="1"/>
  <c r="CG597" i="9"/>
  <c r="CG879" i="9" s="1"/>
  <c r="CF597" i="9"/>
  <c r="CF879" i="9" s="1"/>
  <c r="CE597" i="9"/>
  <c r="CE879" i="9" s="1"/>
  <c r="CD597" i="9"/>
  <c r="CD879" i="9" s="1"/>
  <c r="CC597" i="9"/>
  <c r="CC879" i="9" s="1"/>
  <c r="BV597" i="9"/>
  <c r="BV879" i="9" s="1"/>
  <c r="BU597" i="9"/>
  <c r="BU879" i="9" s="1"/>
  <c r="BT597" i="9"/>
  <c r="BT879" i="9" s="1"/>
  <c r="BS597" i="9"/>
  <c r="BS879" i="9" s="1"/>
  <c r="BR597" i="9"/>
  <c r="BQ597" i="9"/>
  <c r="BQ879" i="9" s="1"/>
  <c r="BP597" i="9"/>
  <c r="BP879" i="9" s="1"/>
  <c r="BO597" i="9"/>
  <c r="BO879" i="9" s="1"/>
  <c r="BN597" i="9"/>
  <c r="BN879" i="9" s="1"/>
  <c r="BM597" i="9"/>
  <c r="BM879" i="9" s="1"/>
  <c r="BL597" i="9"/>
  <c r="BL879" i="9" s="1"/>
  <c r="BK597" i="9"/>
  <c r="BK879" i="9" s="1"/>
  <c r="BJ597" i="9"/>
  <c r="BI597" i="9"/>
  <c r="BI879" i="9" s="1"/>
  <c r="BH597" i="9"/>
  <c r="BH879" i="9" s="1"/>
  <c r="BG597" i="9"/>
  <c r="BG879" i="9" s="1"/>
  <c r="BF597" i="9"/>
  <c r="BF879" i="9" s="1"/>
  <c r="BE597" i="9"/>
  <c r="BE879" i="9" s="1"/>
  <c r="BD597" i="9"/>
  <c r="BD879" i="9" s="1"/>
  <c r="BC597" i="9"/>
  <c r="BC879" i="9" s="1"/>
  <c r="BB597" i="9"/>
  <c r="BA597" i="9"/>
  <c r="BA879" i="9" s="1"/>
  <c r="AZ597" i="9"/>
  <c r="AZ879" i="9" s="1"/>
  <c r="AY597" i="9"/>
  <c r="AY879" i="9" s="1"/>
  <c r="AX597" i="9"/>
  <c r="AX879" i="9" s="1"/>
  <c r="AW597" i="9"/>
  <c r="AW879" i="9" s="1"/>
  <c r="AV597" i="9"/>
  <c r="AV879" i="9" s="1"/>
  <c r="AU597" i="9"/>
  <c r="AU879" i="9" s="1"/>
  <c r="AT597" i="9"/>
  <c r="AS597" i="9"/>
  <c r="AS879" i="9" s="1"/>
  <c r="AR597" i="9"/>
  <c r="AR879" i="9" s="1"/>
  <c r="AQ597" i="9"/>
  <c r="AQ879" i="9" s="1"/>
  <c r="AP597" i="9"/>
  <c r="AP879" i="9" s="1"/>
  <c r="AO597" i="9"/>
  <c r="AO879" i="9" s="1"/>
  <c r="AN597" i="9"/>
  <c r="AN879" i="9" s="1"/>
  <c r="AM597" i="9"/>
  <c r="AM879" i="9" s="1"/>
  <c r="AL597" i="9"/>
  <c r="AK597" i="9"/>
  <c r="AK879" i="9" s="1"/>
  <c r="AJ597" i="9"/>
  <c r="AJ879" i="9" s="1"/>
  <c r="AI597" i="9"/>
  <c r="AI879" i="9" s="1"/>
  <c r="AH597" i="9"/>
  <c r="AH879" i="9" s="1"/>
  <c r="AG597" i="9"/>
  <c r="AG879" i="9" s="1"/>
  <c r="AF597" i="9"/>
  <c r="AF879" i="9" s="1"/>
  <c r="AE597" i="9"/>
  <c r="AE879" i="9" s="1"/>
  <c r="AD597" i="9"/>
  <c r="AC597" i="9"/>
  <c r="AC879" i="9" s="1"/>
  <c r="AB597" i="9"/>
  <c r="AB879" i="9" s="1"/>
  <c r="AA597" i="9"/>
  <c r="AA879" i="9" s="1"/>
  <c r="V597" i="9"/>
  <c r="D597" i="9"/>
  <c r="B597" i="9" a="1"/>
  <c r="B597" i="9" s="1"/>
  <c r="EY596" i="9"/>
  <c r="CI596" i="9"/>
  <c r="CI878" i="9" s="1"/>
  <c r="CH596" i="9"/>
  <c r="CH878" i="9" s="1"/>
  <c r="CG596" i="9"/>
  <c r="CG878" i="9" s="1"/>
  <c r="CF596" i="9"/>
  <c r="CF878" i="9" s="1"/>
  <c r="CE596" i="9"/>
  <c r="CE878" i="9" s="1"/>
  <c r="CD596" i="9"/>
  <c r="CD878" i="9" s="1"/>
  <c r="CC596" i="9"/>
  <c r="CC878" i="9" s="1"/>
  <c r="BV596" i="9"/>
  <c r="BU596" i="9"/>
  <c r="BT596" i="9"/>
  <c r="BS596" i="9"/>
  <c r="BS878" i="9" s="1"/>
  <c r="BR596" i="9"/>
  <c r="BQ596" i="9"/>
  <c r="BQ878" i="9" s="1"/>
  <c r="BP596" i="9"/>
  <c r="BO596" i="9"/>
  <c r="BN596" i="9"/>
  <c r="BM596" i="9"/>
  <c r="BL596" i="9"/>
  <c r="BK596" i="9"/>
  <c r="BJ596" i="9"/>
  <c r="BJ878" i="9" s="1"/>
  <c r="BI596" i="9"/>
  <c r="BH596" i="9"/>
  <c r="BG596" i="9"/>
  <c r="BG878" i="9" s="1"/>
  <c r="BF596" i="9"/>
  <c r="BE596" i="9"/>
  <c r="BD596" i="9"/>
  <c r="BC596" i="9"/>
  <c r="BB596" i="9"/>
  <c r="BA596" i="9"/>
  <c r="BA878" i="9" s="1"/>
  <c r="AZ596" i="9"/>
  <c r="AY596" i="9"/>
  <c r="AX596" i="9"/>
  <c r="AX878" i="9" s="1"/>
  <c r="AW596" i="9"/>
  <c r="AV596" i="9"/>
  <c r="AU596" i="9"/>
  <c r="AT596" i="9"/>
  <c r="AS596" i="9"/>
  <c r="AR596" i="9"/>
  <c r="AQ596" i="9"/>
  <c r="AQ878" i="9" s="1"/>
  <c r="AP596" i="9"/>
  <c r="AO596" i="9"/>
  <c r="AO878" i="9" s="1"/>
  <c r="AN596" i="9"/>
  <c r="AM596" i="9"/>
  <c r="AL596" i="9"/>
  <c r="AK596" i="9"/>
  <c r="AJ596" i="9"/>
  <c r="AI596" i="9"/>
  <c r="AH596" i="9"/>
  <c r="AH878" i="9" s="1"/>
  <c r="AG596" i="9"/>
  <c r="AF596" i="9"/>
  <c r="AF878" i="9" s="1"/>
  <c r="AE596" i="9"/>
  <c r="AD596" i="9"/>
  <c r="AC596" i="9"/>
  <c r="AB596" i="9"/>
  <c r="AA596" i="9"/>
  <c r="V596" i="9"/>
  <c r="D596" i="9"/>
  <c r="B596" i="9" a="1"/>
  <c r="B596" i="9" s="1"/>
  <c r="EY595" i="9"/>
  <c r="CI595" i="9"/>
  <c r="CI877" i="9" s="1"/>
  <c r="CH595" i="9"/>
  <c r="CH877" i="9" s="1"/>
  <c r="CG595" i="9"/>
  <c r="CG877" i="9" s="1"/>
  <c r="CF595" i="9"/>
  <c r="CF877" i="9" s="1"/>
  <c r="CE595" i="9"/>
  <c r="CE877" i="9" s="1"/>
  <c r="CD595" i="9"/>
  <c r="CD877" i="9" s="1"/>
  <c r="CC595" i="9"/>
  <c r="CC877" i="9" s="1"/>
  <c r="BV595" i="9"/>
  <c r="BU595" i="9"/>
  <c r="BT595" i="9"/>
  <c r="BS595" i="9"/>
  <c r="BR595" i="9"/>
  <c r="BQ595" i="9"/>
  <c r="BQ877" i="9" s="1"/>
  <c r="BP595" i="9"/>
  <c r="BO595" i="9"/>
  <c r="BO877" i="9" s="1"/>
  <c r="BN595" i="9"/>
  <c r="BM595" i="9"/>
  <c r="BL595" i="9"/>
  <c r="BK595" i="9"/>
  <c r="BJ595" i="9"/>
  <c r="BI595" i="9"/>
  <c r="BH595" i="9"/>
  <c r="BH877" i="9" s="1"/>
  <c r="BG595" i="9"/>
  <c r="BF595" i="9"/>
  <c r="BE595" i="9"/>
  <c r="BE877" i="9" s="1"/>
  <c r="BD595" i="9"/>
  <c r="BC595" i="9"/>
  <c r="BB595" i="9"/>
  <c r="BA595" i="9"/>
  <c r="AZ595" i="9"/>
  <c r="AY595" i="9"/>
  <c r="AY877" i="9" s="1"/>
  <c r="AX595" i="9"/>
  <c r="AW595" i="9"/>
  <c r="AV595" i="9"/>
  <c r="AV877" i="9" s="1"/>
  <c r="AU595" i="9"/>
  <c r="AT595" i="9"/>
  <c r="AS595" i="9"/>
  <c r="AR595" i="9"/>
  <c r="AQ595" i="9"/>
  <c r="AP595" i="9"/>
  <c r="AO595" i="9"/>
  <c r="AO877" i="9" s="1"/>
  <c r="AN595" i="9"/>
  <c r="AM595" i="9"/>
  <c r="AM877" i="9" s="1"/>
  <c r="AL595" i="9"/>
  <c r="AK595" i="9"/>
  <c r="AJ595" i="9"/>
  <c r="AI595" i="9"/>
  <c r="AH595" i="9"/>
  <c r="AG595" i="9"/>
  <c r="AF595" i="9"/>
  <c r="AF877" i="9" s="1"/>
  <c r="AE595" i="9"/>
  <c r="AD595" i="9"/>
  <c r="AD877" i="9" s="1"/>
  <c r="AC595" i="9"/>
  <c r="AB595" i="9"/>
  <c r="AA595" i="9"/>
  <c r="V595" i="9"/>
  <c r="D595" i="9"/>
  <c r="B595" i="9" a="1"/>
  <c r="B595" i="9" s="1"/>
  <c r="EY594" i="9"/>
  <c r="CI594" i="9"/>
  <c r="CI876" i="9" s="1"/>
  <c r="CH594" i="9"/>
  <c r="CH876" i="9" s="1"/>
  <c r="CG594" i="9"/>
  <c r="CG876" i="9" s="1"/>
  <c r="CF594" i="9"/>
  <c r="CF876" i="9" s="1"/>
  <c r="CE594" i="9"/>
  <c r="CE876" i="9" s="1"/>
  <c r="CD594" i="9"/>
  <c r="CD876" i="9" s="1"/>
  <c r="CC594" i="9"/>
  <c r="CC876" i="9" s="1"/>
  <c r="BV594" i="9"/>
  <c r="BV876" i="9" s="1"/>
  <c r="BU594" i="9"/>
  <c r="BU876" i="9" s="1"/>
  <c r="BT594" i="9"/>
  <c r="BS594" i="9"/>
  <c r="BS876" i="9" s="1"/>
  <c r="BR594" i="9"/>
  <c r="BQ594" i="9"/>
  <c r="BQ876" i="9" s="1"/>
  <c r="BP594" i="9"/>
  <c r="BO594" i="9"/>
  <c r="BO876" i="9" s="1"/>
  <c r="BN594" i="9"/>
  <c r="BN876" i="9" s="1"/>
  <c r="BM594" i="9"/>
  <c r="BM876" i="9" s="1"/>
  <c r="BL594" i="9"/>
  <c r="BK594" i="9"/>
  <c r="BK876" i="9" s="1"/>
  <c r="BJ594" i="9"/>
  <c r="BJ876" i="9" s="1"/>
  <c r="BI594" i="9"/>
  <c r="BH594" i="9"/>
  <c r="BH876" i="9" s="1"/>
  <c r="BG594" i="9"/>
  <c r="BF594" i="9"/>
  <c r="BF876" i="9" s="1"/>
  <c r="BE594" i="9"/>
  <c r="BE876" i="9" s="1"/>
  <c r="BD594" i="9"/>
  <c r="BC594" i="9"/>
  <c r="BC876" i="9" s="1"/>
  <c r="BB594" i="9"/>
  <c r="BB876" i="9" s="1"/>
  <c r="BA594" i="9"/>
  <c r="BA876" i="9" s="1"/>
  <c r="AZ594" i="9"/>
  <c r="AY594" i="9"/>
  <c r="AY876" i="9" s="1"/>
  <c r="AX594" i="9"/>
  <c r="AW594" i="9"/>
  <c r="AW876" i="9" s="1"/>
  <c r="AV594" i="9"/>
  <c r="AU594" i="9"/>
  <c r="AU876" i="9" s="1"/>
  <c r="AT594" i="9"/>
  <c r="AT876" i="9" s="1"/>
  <c r="AS594" i="9"/>
  <c r="AS876" i="9" s="1"/>
  <c r="AR594" i="9"/>
  <c r="AR876" i="9" s="1"/>
  <c r="AQ594" i="9"/>
  <c r="AP594" i="9"/>
  <c r="AP876" i="9" s="1"/>
  <c r="AO594" i="9"/>
  <c r="AN594" i="9"/>
  <c r="AM594" i="9"/>
  <c r="AM876" i="9" s="1"/>
  <c r="AL594" i="9"/>
  <c r="AL876" i="9" s="1"/>
  <c r="AK594" i="9"/>
  <c r="AK876" i="9" s="1"/>
  <c r="AJ594" i="9"/>
  <c r="AJ876" i="9" s="1"/>
  <c r="AI594" i="9"/>
  <c r="AI876" i="9" s="1"/>
  <c r="AH594" i="9"/>
  <c r="AG594" i="9"/>
  <c r="AG876" i="9" s="1"/>
  <c r="AF594" i="9"/>
  <c r="AE594" i="9"/>
  <c r="AD594" i="9"/>
  <c r="AD876" i="9" s="1"/>
  <c r="AC594" i="9"/>
  <c r="AC876" i="9" s="1"/>
  <c r="AB594" i="9"/>
  <c r="AB876" i="9" s="1"/>
  <c r="AA594" i="9"/>
  <c r="AA876" i="9" s="1"/>
  <c r="V594" i="9"/>
  <c r="D594" i="9"/>
  <c r="B594" i="9" a="1"/>
  <c r="B594" i="9" s="1"/>
  <c r="EY593" i="9"/>
  <c r="CI593" i="9"/>
  <c r="CI875" i="9" s="1"/>
  <c r="CH593" i="9"/>
  <c r="CH875" i="9" s="1"/>
  <c r="CG593" i="9"/>
  <c r="CG875" i="9" s="1"/>
  <c r="CF593" i="9"/>
  <c r="CF875" i="9" s="1"/>
  <c r="CE593" i="9"/>
  <c r="CE875" i="9" s="1"/>
  <c r="CD593" i="9"/>
  <c r="CD875" i="9" s="1"/>
  <c r="CC593" i="9"/>
  <c r="CC875" i="9" s="1"/>
  <c r="BV593" i="9"/>
  <c r="BV875" i="9" s="1"/>
  <c r="BU593" i="9"/>
  <c r="BU875" i="9" s="1"/>
  <c r="BT593" i="9"/>
  <c r="BT875" i="9" s="1"/>
  <c r="BS593" i="9"/>
  <c r="BS875" i="9" s="1"/>
  <c r="BR593" i="9"/>
  <c r="BQ593" i="9"/>
  <c r="BQ875" i="9" s="1"/>
  <c r="BP593" i="9"/>
  <c r="BP875" i="9" s="1"/>
  <c r="BO593" i="9"/>
  <c r="BO875" i="9" s="1"/>
  <c r="BN593" i="9"/>
  <c r="BN875" i="9" s="1"/>
  <c r="BM593" i="9"/>
  <c r="BM875" i="9" s="1"/>
  <c r="BL593" i="9"/>
  <c r="BL875" i="9" s="1"/>
  <c r="BK593" i="9"/>
  <c r="BK875" i="9" s="1"/>
  <c r="BJ593" i="9"/>
  <c r="BI593" i="9"/>
  <c r="BI875" i="9" s="1"/>
  <c r="BH593" i="9"/>
  <c r="BH875" i="9" s="1"/>
  <c r="BG593" i="9"/>
  <c r="BG875" i="9" s="1"/>
  <c r="BF593" i="9"/>
  <c r="BF875" i="9" s="1"/>
  <c r="BE593" i="9"/>
  <c r="BE875" i="9" s="1"/>
  <c r="BD593" i="9"/>
  <c r="BD875" i="9" s="1"/>
  <c r="BC593" i="9"/>
  <c r="BC875" i="9" s="1"/>
  <c r="BB593" i="9"/>
  <c r="BA593" i="9"/>
  <c r="BA875" i="9" s="1"/>
  <c r="AZ593" i="9"/>
  <c r="AZ875" i="9" s="1"/>
  <c r="AY593" i="9"/>
  <c r="AY875" i="9" s="1"/>
  <c r="AX593" i="9"/>
  <c r="AX875" i="9" s="1"/>
  <c r="AW593" i="9"/>
  <c r="AW875" i="9" s="1"/>
  <c r="AV593" i="9"/>
  <c r="AV875" i="9" s="1"/>
  <c r="AU593" i="9"/>
  <c r="AU875" i="9" s="1"/>
  <c r="AT593" i="9"/>
  <c r="AS593" i="9"/>
  <c r="AS875" i="9" s="1"/>
  <c r="AR593" i="9"/>
  <c r="AR875" i="9" s="1"/>
  <c r="AQ593" i="9"/>
  <c r="AQ875" i="9" s="1"/>
  <c r="AP593" i="9"/>
  <c r="AP875" i="9" s="1"/>
  <c r="AO593" i="9"/>
  <c r="AO875" i="9" s="1"/>
  <c r="AN593" i="9"/>
  <c r="AN875" i="9" s="1"/>
  <c r="AM593" i="9"/>
  <c r="AM875" i="9" s="1"/>
  <c r="AL593" i="9"/>
  <c r="AK593" i="9"/>
  <c r="AK875" i="9" s="1"/>
  <c r="AJ593" i="9"/>
  <c r="AJ875" i="9" s="1"/>
  <c r="AI593" i="9"/>
  <c r="AI875" i="9" s="1"/>
  <c r="AH593" i="9"/>
  <c r="AH875" i="9" s="1"/>
  <c r="AG593" i="9"/>
  <c r="AG875" i="9" s="1"/>
  <c r="AF593" i="9"/>
  <c r="AF875" i="9" s="1"/>
  <c r="AE593" i="9"/>
  <c r="AE875" i="9" s="1"/>
  <c r="AD593" i="9"/>
  <c r="AC593" i="9"/>
  <c r="AC875" i="9" s="1"/>
  <c r="AB593" i="9"/>
  <c r="AB875" i="9" s="1"/>
  <c r="AA593" i="9"/>
  <c r="AA875" i="9" s="1"/>
  <c r="V593" i="9"/>
  <c r="D593" i="9"/>
  <c r="B593" i="9" a="1"/>
  <c r="B593" i="9" s="1"/>
  <c r="EY592" i="9"/>
  <c r="CI592" i="9"/>
  <c r="CI874" i="9" s="1"/>
  <c r="CH592" i="9"/>
  <c r="CH874" i="9" s="1"/>
  <c r="CG592" i="9"/>
  <c r="CG874" i="9" s="1"/>
  <c r="CF592" i="9"/>
  <c r="CF874" i="9" s="1"/>
  <c r="CE592" i="9"/>
  <c r="CE874" i="9" s="1"/>
  <c r="CD592" i="9"/>
  <c r="CD874" i="9" s="1"/>
  <c r="CC592" i="9"/>
  <c r="CC874" i="9" s="1"/>
  <c r="BV592" i="9"/>
  <c r="BU592" i="9"/>
  <c r="BT592" i="9"/>
  <c r="BS592" i="9"/>
  <c r="BR592" i="9"/>
  <c r="BR874" i="9" s="1"/>
  <c r="BQ592" i="9"/>
  <c r="BP592" i="9"/>
  <c r="BO592" i="9"/>
  <c r="BN592" i="9"/>
  <c r="BM592" i="9"/>
  <c r="BL592" i="9"/>
  <c r="BK592" i="9"/>
  <c r="BJ592" i="9"/>
  <c r="BI592" i="9"/>
  <c r="BI874" i="9" s="1"/>
  <c r="BH592" i="9"/>
  <c r="BG592" i="9"/>
  <c r="BF592" i="9"/>
  <c r="BE592" i="9"/>
  <c r="BD592" i="9"/>
  <c r="BC592" i="9"/>
  <c r="BB592" i="9"/>
  <c r="BA592" i="9"/>
  <c r="AZ592" i="9"/>
  <c r="AY592" i="9"/>
  <c r="AY874" i="9" s="1"/>
  <c r="AX592" i="9"/>
  <c r="AW592" i="9"/>
  <c r="AV592" i="9"/>
  <c r="AU592" i="9"/>
  <c r="AT592" i="9"/>
  <c r="AS592" i="9"/>
  <c r="AR592" i="9"/>
  <c r="AQ592" i="9"/>
  <c r="AP592" i="9"/>
  <c r="AP874" i="9" s="1"/>
  <c r="AO592" i="9"/>
  <c r="AN592" i="9"/>
  <c r="AM592" i="9"/>
  <c r="AL592" i="9"/>
  <c r="AK592" i="9"/>
  <c r="AJ592" i="9"/>
  <c r="AI592" i="9"/>
  <c r="AH592" i="9"/>
  <c r="AG592" i="9"/>
  <c r="AG874" i="9" s="1"/>
  <c r="AF592" i="9"/>
  <c r="AE592" i="9"/>
  <c r="AD592" i="9"/>
  <c r="AC592" i="9"/>
  <c r="AB592" i="9"/>
  <c r="AA592" i="9"/>
  <c r="V592" i="9"/>
  <c r="D592" i="9"/>
  <c r="B592" i="9" a="1"/>
  <c r="B592" i="9" s="1"/>
  <c r="EY591" i="9"/>
  <c r="CI591" i="9"/>
  <c r="CI873" i="9" s="1"/>
  <c r="CH591" i="9"/>
  <c r="CH873" i="9" s="1"/>
  <c r="CG591" i="9"/>
  <c r="CG873" i="9" s="1"/>
  <c r="CF591" i="9"/>
  <c r="CF873" i="9" s="1"/>
  <c r="CE591" i="9"/>
  <c r="CE873" i="9" s="1"/>
  <c r="CD591" i="9"/>
  <c r="CD873" i="9" s="1"/>
  <c r="CC591" i="9"/>
  <c r="CC873" i="9" s="1"/>
  <c r="BV591" i="9"/>
  <c r="BU591" i="9"/>
  <c r="BT591" i="9"/>
  <c r="BS591" i="9"/>
  <c r="BR591" i="9"/>
  <c r="BQ591" i="9"/>
  <c r="BP591" i="9"/>
  <c r="BO591" i="9"/>
  <c r="BN591" i="9"/>
  <c r="BM591" i="9"/>
  <c r="BL591" i="9"/>
  <c r="BK591" i="9"/>
  <c r="BJ591" i="9"/>
  <c r="BI591" i="9"/>
  <c r="BH591" i="9"/>
  <c r="BG591" i="9"/>
  <c r="BF591" i="9"/>
  <c r="BE591" i="9"/>
  <c r="BD591" i="9"/>
  <c r="BC591" i="9"/>
  <c r="BB591" i="9"/>
  <c r="BA591" i="9"/>
  <c r="AZ591" i="9"/>
  <c r="AY591" i="9"/>
  <c r="AX591" i="9"/>
  <c r="AW591" i="9"/>
  <c r="AV591" i="9"/>
  <c r="AU591" i="9"/>
  <c r="AT591" i="9"/>
  <c r="AS591" i="9"/>
  <c r="AR591" i="9"/>
  <c r="AQ591" i="9"/>
  <c r="AP591" i="9"/>
  <c r="AO591" i="9"/>
  <c r="AN591" i="9"/>
  <c r="AM591" i="9"/>
  <c r="AL591" i="9"/>
  <c r="AK591" i="9"/>
  <c r="AJ591" i="9"/>
  <c r="AI591" i="9"/>
  <c r="AH591" i="9"/>
  <c r="AG591" i="9"/>
  <c r="AF591" i="9"/>
  <c r="AE591" i="9"/>
  <c r="AD591" i="9"/>
  <c r="AC591" i="9"/>
  <c r="AB591" i="9"/>
  <c r="AA591" i="9"/>
  <c r="V591" i="9"/>
  <c r="D591" i="9"/>
  <c r="B591" i="9" a="1"/>
  <c r="B591" i="9" s="1"/>
  <c r="EY590" i="9"/>
  <c r="CI590" i="9"/>
  <c r="CI872" i="9" s="1"/>
  <c r="CH590" i="9"/>
  <c r="CH872" i="9" s="1"/>
  <c r="CG590" i="9"/>
  <c r="CG872" i="9" s="1"/>
  <c r="CF590" i="9"/>
  <c r="CF872" i="9" s="1"/>
  <c r="CE590" i="9"/>
  <c r="CE872" i="9" s="1"/>
  <c r="CD590" i="9"/>
  <c r="CD872" i="9" s="1"/>
  <c r="CC590" i="9"/>
  <c r="CC872" i="9" s="1"/>
  <c r="BV590" i="9"/>
  <c r="BV872" i="9" s="1"/>
  <c r="BU590" i="9"/>
  <c r="BU872" i="9" s="1"/>
  <c r="BT590" i="9"/>
  <c r="BS590" i="9"/>
  <c r="BS872" i="9" s="1"/>
  <c r="BR590" i="9"/>
  <c r="BR872" i="9" s="1"/>
  <c r="BQ590" i="9"/>
  <c r="BP590" i="9"/>
  <c r="BO590" i="9"/>
  <c r="BN590" i="9"/>
  <c r="BM590" i="9"/>
  <c r="BM872" i="9" s="1"/>
  <c r="BL590" i="9"/>
  <c r="BK590" i="9"/>
  <c r="BK872" i="9" s="1"/>
  <c r="BJ590" i="9"/>
  <c r="BJ872" i="9" s="1"/>
  <c r="BI590" i="9"/>
  <c r="BI872" i="9" s="1"/>
  <c r="BH590" i="9"/>
  <c r="BG590" i="9"/>
  <c r="BF590" i="9"/>
  <c r="BE590" i="9"/>
  <c r="BD590" i="9"/>
  <c r="BC590" i="9"/>
  <c r="BC872" i="9" s="1"/>
  <c r="BB590" i="9"/>
  <c r="BB872" i="9" s="1"/>
  <c r="BA590" i="9"/>
  <c r="BA872" i="9" s="1"/>
  <c r="AZ590" i="9"/>
  <c r="AZ872" i="9" s="1"/>
  <c r="AY590" i="9"/>
  <c r="AX590" i="9"/>
  <c r="AW590" i="9"/>
  <c r="AV590" i="9"/>
  <c r="AU590" i="9"/>
  <c r="AT590" i="9"/>
  <c r="AT872" i="9" s="1"/>
  <c r="AS590" i="9"/>
  <c r="AS872" i="9" s="1"/>
  <c r="AR590" i="9"/>
  <c r="AR872" i="9" s="1"/>
  <c r="AQ590" i="9"/>
  <c r="AQ872" i="9" s="1"/>
  <c r="AP590" i="9"/>
  <c r="AO590" i="9"/>
  <c r="AN590" i="9"/>
  <c r="AM590" i="9"/>
  <c r="AL590" i="9"/>
  <c r="AK590" i="9"/>
  <c r="AK872" i="9" s="1"/>
  <c r="AJ590" i="9"/>
  <c r="AJ872" i="9" s="1"/>
  <c r="AI590" i="9"/>
  <c r="AI872" i="9" s="1"/>
  <c r="AH590" i="9"/>
  <c r="AH872" i="9" s="1"/>
  <c r="AG590" i="9"/>
  <c r="AF590" i="9"/>
  <c r="AE590" i="9"/>
  <c r="AD590" i="9"/>
  <c r="AC590" i="9"/>
  <c r="AB590" i="9"/>
  <c r="AB872" i="9" s="1"/>
  <c r="AA590" i="9"/>
  <c r="AA872" i="9" s="1"/>
  <c r="V590" i="9"/>
  <c r="D590" i="9"/>
  <c r="B590" i="9" a="1"/>
  <c r="B590" i="9" s="1"/>
  <c r="EY589" i="9"/>
  <c r="CI589" i="9"/>
  <c r="CI871" i="9" s="1"/>
  <c r="CH589" i="9"/>
  <c r="CH871" i="9" s="1"/>
  <c r="CG589" i="9"/>
  <c r="CG871" i="9" s="1"/>
  <c r="CF589" i="9"/>
  <c r="CF871" i="9" s="1"/>
  <c r="CE589" i="9"/>
  <c r="CE871" i="9" s="1"/>
  <c r="CD589" i="9"/>
  <c r="CD871" i="9" s="1"/>
  <c r="CC589" i="9"/>
  <c r="CC871" i="9" s="1"/>
  <c r="BV589" i="9"/>
  <c r="BV871" i="9" s="1"/>
  <c r="BU589" i="9"/>
  <c r="BU871" i="9" s="1"/>
  <c r="BT589" i="9"/>
  <c r="BT871" i="9" s="1"/>
  <c r="BS589" i="9"/>
  <c r="BS871" i="9" s="1"/>
  <c r="BR589" i="9"/>
  <c r="BQ589" i="9"/>
  <c r="BQ871" i="9" s="1"/>
  <c r="BP589" i="9"/>
  <c r="BP871" i="9" s="1"/>
  <c r="BO589" i="9"/>
  <c r="BO871" i="9" s="1"/>
  <c r="BN589" i="9"/>
  <c r="BN871" i="9" s="1"/>
  <c r="BM589" i="9"/>
  <c r="BM871" i="9" s="1"/>
  <c r="BL589" i="9"/>
  <c r="BL871" i="9" s="1"/>
  <c r="BK589" i="9"/>
  <c r="BK871" i="9" s="1"/>
  <c r="BJ589" i="9"/>
  <c r="BI589" i="9"/>
  <c r="BI871" i="9" s="1"/>
  <c r="BH589" i="9"/>
  <c r="BH871" i="9" s="1"/>
  <c r="BG589" i="9"/>
  <c r="BG871" i="9" s="1"/>
  <c r="BF589" i="9"/>
  <c r="BF871" i="9" s="1"/>
  <c r="BE589" i="9"/>
  <c r="BE871" i="9" s="1"/>
  <c r="BD589" i="9"/>
  <c r="BD871" i="9" s="1"/>
  <c r="BC589" i="9"/>
  <c r="BC871" i="9" s="1"/>
  <c r="BB589" i="9"/>
  <c r="BA589" i="9"/>
  <c r="BA871" i="9" s="1"/>
  <c r="AZ589" i="9"/>
  <c r="AZ871" i="9" s="1"/>
  <c r="AY589" i="9"/>
  <c r="AY871" i="9" s="1"/>
  <c r="AX589" i="9"/>
  <c r="AX871" i="9" s="1"/>
  <c r="AW589" i="9"/>
  <c r="AW871" i="9" s="1"/>
  <c r="AV589" i="9"/>
  <c r="AV871" i="9" s="1"/>
  <c r="AU589" i="9"/>
  <c r="AU871" i="9" s="1"/>
  <c r="AT589" i="9"/>
  <c r="AS589" i="9"/>
  <c r="AS871" i="9" s="1"/>
  <c r="AR589" i="9"/>
  <c r="AR871" i="9" s="1"/>
  <c r="AQ589" i="9"/>
  <c r="AQ871" i="9" s="1"/>
  <c r="AP589" i="9"/>
  <c r="AP871" i="9" s="1"/>
  <c r="AO589" i="9"/>
  <c r="AO871" i="9" s="1"/>
  <c r="AN589" i="9"/>
  <c r="AN871" i="9" s="1"/>
  <c r="AM589" i="9"/>
  <c r="AM871" i="9" s="1"/>
  <c r="AL589" i="9"/>
  <c r="AK589" i="9"/>
  <c r="AK871" i="9" s="1"/>
  <c r="AJ589" i="9"/>
  <c r="AJ871" i="9" s="1"/>
  <c r="AI589" i="9"/>
  <c r="AI871" i="9" s="1"/>
  <c r="AH589" i="9"/>
  <c r="AH871" i="9" s="1"/>
  <c r="AG589" i="9"/>
  <c r="AG871" i="9" s="1"/>
  <c r="AF589" i="9"/>
  <c r="AF871" i="9" s="1"/>
  <c r="AE589" i="9"/>
  <c r="AE871" i="9" s="1"/>
  <c r="AD589" i="9"/>
  <c r="AC589" i="9"/>
  <c r="AC871" i="9" s="1"/>
  <c r="AB589" i="9"/>
  <c r="AB871" i="9" s="1"/>
  <c r="AA589" i="9"/>
  <c r="AA871" i="9" s="1"/>
  <c r="V589" i="9"/>
  <c r="D589" i="9"/>
  <c r="B589" i="9" a="1"/>
  <c r="B589" i="9" s="1"/>
  <c r="EY588" i="9"/>
  <c r="CI588" i="9"/>
  <c r="CI870" i="9" s="1"/>
  <c r="CH588" i="9"/>
  <c r="CH870" i="9" s="1"/>
  <c r="CG588" i="9"/>
  <c r="CG870" i="9" s="1"/>
  <c r="CF588" i="9"/>
  <c r="CF870" i="9" s="1"/>
  <c r="CE588" i="9"/>
  <c r="CE870" i="9" s="1"/>
  <c r="CD588" i="9"/>
  <c r="CD870" i="9" s="1"/>
  <c r="CC588" i="9"/>
  <c r="CC870" i="9" s="1"/>
  <c r="BV588" i="9"/>
  <c r="BU588" i="9"/>
  <c r="BT588" i="9"/>
  <c r="BS588" i="9"/>
  <c r="BR588" i="9"/>
  <c r="BQ588" i="9"/>
  <c r="BQ870" i="9" s="1"/>
  <c r="BP588" i="9"/>
  <c r="BO588" i="9"/>
  <c r="BN588" i="9"/>
  <c r="BM588" i="9"/>
  <c r="BL588" i="9"/>
  <c r="BK588" i="9"/>
  <c r="BJ588" i="9"/>
  <c r="BI588" i="9"/>
  <c r="BH588" i="9"/>
  <c r="BG588" i="9"/>
  <c r="BG870" i="9" s="1"/>
  <c r="BF588" i="9"/>
  <c r="BE588" i="9"/>
  <c r="BD588" i="9"/>
  <c r="BC588" i="9"/>
  <c r="BB588" i="9"/>
  <c r="BA588" i="9"/>
  <c r="AZ588" i="9"/>
  <c r="AY588" i="9"/>
  <c r="AX588" i="9"/>
  <c r="AX870" i="9" s="1"/>
  <c r="AW588" i="9"/>
  <c r="AV588" i="9"/>
  <c r="AU588" i="9"/>
  <c r="AT588" i="9"/>
  <c r="AS588" i="9"/>
  <c r="AR588" i="9"/>
  <c r="AQ588" i="9"/>
  <c r="AP588" i="9"/>
  <c r="AO588" i="9"/>
  <c r="AO870" i="9" s="1"/>
  <c r="AN588" i="9"/>
  <c r="AM588" i="9"/>
  <c r="AL588" i="9"/>
  <c r="AK588" i="9"/>
  <c r="AJ588" i="9"/>
  <c r="AI588" i="9"/>
  <c r="AH588" i="9"/>
  <c r="AG588" i="9"/>
  <c r="AF588" i="9"/>
  <c r="AF870" i="9" s="1"/>
  <c r="AE588" i="9"/>
  <c r="AD588" i="9"/>
  <c r="AC588" i="9"/>
  <c r="AB588" i="9"/>
  <c r="AA588" i="9"/>
  <c r="V588" i="9"/>
  <c r="D588" i="9"/>
  <c r="B588" i="9" a="1"/>
  <c r="B588" i="9" s="1"/>
  <c r="EY587" i="9"/>
  <c r="CI587" i="9"/>
  <c r="CI869" i="9" s="1"/>
  <c r="CH587" i="9"/>
  <c r="CH869" i="9" s="1"/>
  <c r="CG587" i="9"/>
  <c r="CG869" i="9" s="1"/>
  <c r="CF587" i="9"/>
  <c r="CF869" i="9" s="1"/>
  <c r="CE587" i="9"/>
  <c r="CE869" i="9" s="1"/>
  <c r="CD587" i="9"/>
  <c r="CD869" i="9" s="1"/>
  <c r="CC587" i="9"/>
  <c r="CC869" i="9" s="1"/>
  <c r="BV587" i="9"/>
  <c r="BU587" i="9"/>
  <c r="BU869" i="9" s="1"/>
  <c r="BT587" i="9"/>
  <c r="BT869" i="9" s="1"/>
  <c r="BS587" i="9"/>
  <c r="BR587" i="9"/>
  <c r="BR869" i="9" s="1"/>
  <c r="BQ587" i="9"/>
  <c r="BP587" i="9"/>
  <c r="BO587" i="9"/>
  <c r="BO869" i="9" s="1"/>
  <c r="BN587" i="9"/>
  <c r="BM587" i="9"/>
  <c r="BM869" i="9" s="1"/>
  <c r="BL587" i="9"/>
  <c r="BL869" i="9" s="1"/>
  <c r="BK587" i="9"/>
  <c r="BK869" i="9" s="1"/>
  <c r="BJ587" i="9"/>
  <c r="BI587" i="9"/>
  <c r="BI869" i="9" s="1"/>
  <c r="BH587" i="9"/>
  <c r="BG587" i="9"/>
  <c r="BF587" i="9"/>
  <c r="BE587" i="9"/>
  <c r="BE869" i="9" s="1"/>
  <c r="BD587" i="9"/>
  <c r="BD869" i="9" s="1"/>
  <c r="BC587" i="9"/>
  <c r="BC869" i="9" s="1"/>
  <c r="BB587" i="9"/>
  <c r="BB869" i="9" s="1"/>
  <c r="BA587" i="9"/>
  <c r="AZ587" i="9"/>
  <c r="AZ869" i="9" s="1"/>
  <c r="AY587" i="9"/>
  <c r="AX587" i="9"/>
  <c r="AW587" i="9"/>
  <c r="AV587" i="9"/>
  <c r="AV869" i="9" s="1"/>
  <c r="AU587" i="9"/>
  <c r="AU869" i="9" s="1"/>
  <c r="AT587" i="9"/>
  <c r="AT869" i="9" s="1"/>
  <c r="AS587" i="9"/>
  <c r="AS869" i="9" s="1"/>
  <c r="AR587" i="9"/>
  <c r="AQ587" i="9"/>
  <c r="AQ869" i="9" s="1"/>
  <c r="AP587" i="9"/>
  <c r="AO587" i="9"/>
  <c r="AN587" i="9"/>
  <c r="AM587" i="9"/>
  <c r="AM869" i="9" s="1"/>
  <c r="AL587" i="9"/>
  <c r="AL869" i="9" s="1"/>
  <c r="AK587" i="9"/>
  <c r="AK869" i="9" s="1"/>
  <c r="AJ587" i="9"/>
  <c r="AJ869" i="9" s="1"/>
  <c r="AI587" i="9"/>
  <c r="AH587" i="9"/>
  <c r="AG587" i="9"/>
  <c r="AG869" i="9" s="1"/>
  <c r="AF587" i="9"/>
  <c r="AE587" i="9"/>
  <c r="AD587" i="9"/>
  <c r="AD869" i="9" s="1"/>
  <c r="AC587" i="9"/>
  <c r="AC869" i="9" s="1"/>
  <c r="AB587" i="9"/>
  <c r="AB869" i="9" s="1"/>
  <c r="AA587" i="9"/>
  <c r="AA869" i="9" s="1"/>
  <c r="V587" i="9"/>
  <c r="D587" i="9"/>
  <c r="B587" i="9" a="1"/>
  <c r="B587" i="9" s="1"/>
  <c r="EY586" i="9"/>
  <c r="CI586" i="9"/>
  <c r="CI868" i="9" s="1"/>
  <c r="CH586" i="9"/>
  <c r="CH868" i="9" s="1"/>
  <c r="CG586" i="9"/>
  <c r="CG868" i="9" s="1"/>
  <c r="CF586" i="9"/>
  <c r="CF868" i="9" s="1"/>
  <c r="CE586" i="9"/>
  <c r="CE868" i="9" s="1"/>
  <c r="CD586" i="9"/>
  <c r="CD868" i="9" s="1"/>
  <c r="CC586" i="9"/>
  <c r="CC868" i="9" s="1"/>
  <c r="BV586" i="9"/>
  <c r="BV868" i="9" s="1"/>
  <c r="BU586" i="9"/>
  <c r="BU868" i="9" s="1"/>
  <c r="BT586" i="9"/>
  <c r="BS586" i="9"/>
  <c r="BS868" i="9" s="1"/>
  <c r="BR586" i="9"/>
  <c r="BR868" i="9" s="1"/>
  <c r="BQ586" i="9"/>
  <c r="BQ868" i="9" s="1"/>
  <c r="BP586" i="9"/>
  <c r="BO586" i="9"/>
  <c r="BO868" i="9" s="1"/>
  <c r="BN586" i="9"/>
  <c r="BN868" i="9" s="1"/>
  <c r="BM586" i="9"/>
  <c r="BM868" i="9" s="1"/>
  <c r="BL586" i="9"/>
  <c r="BK586" i="9"/>
  <c r="BK868" i="9" s="1"/>
  <c r="BJ586" i="9"/>
  <c r="BJ868" i="9" s="1"/>
  <c r="BI586" i="9"/>
  <c r="BI868" i="9" s="1"/>
  <c r="BH586" i="9"/>
  <c r="BH868" i="9" s="1"/>
  <c r="BG586" i="9"/>
  <c r="BF586" i="9"/>
  <c r="BF868" i="9" s="1"/>
  <c r="BE586" i="9"/>
  <c r="BE868" i="9" s="1"/>
  <c r="BD586" i="9"/>
  <c r="BC586" i="9"/>
  <c r="BC868" i="9" s="1"/>
  <c r="BB586" i="9"/>
  <c r="BB868" i="9" s="1"/>
  <c r="BA586" i="9"/>
  <c r="BA868" i="9" s="1"/>
  <c r="AZ586" i="9"/>
  <c r="AZ868" i="9" s="1"/>
  <c r="AY586" i="9"/>
  <c r="AY868" i="9" s="1"/>
  <c r="AX586" i="9"/>
  <c r="AW586" i="9"/>
  <c r="AW868" i="9" s="1"/>
  <c r="AV586" i="9"/>
  <c r="AU586" i="9"/>
  <c r="AU868" i="9" s="1"/>
  <c r="AT586" i="9"/>
  <c r="AT868" i="9" s="1"/>
  <c r="AS586" i="9"/>
  <c r="AS868" i="9" s="1"/>
  <c r="AR586" i="9"/>
  <c r="AR868" i="9" s="1"/>
  <c r="AQ586" i="9"/>
  <c r="AQ868" i="9" s="1"/>
  <c r="AP586" i="9"/>
  <c r="AP868" i="9" s="1"/>
  <c r="AO586" i="9"/>
  <c r="AN586" i="9"/>
  <c r="AM586" i="9"/>
  <c r="AM868" i="9" s="1"/>
  <c r="AL586" i="9"/>
  <c r="AL868" i="9" s="1"/>
  <c r="AK586" i="9"/>
  <c r="AK868" i="9" s="1"/>
  <c r="AJ586" i="9"/>
  <c r="AJ868" i="9" s="1"/>
  <c r="AI586" i="9"/>
  <c r="AI868" i="9" s="1"/>
  <c r="AH586" i="9"/>
  <c r="AH868" i="9" s="1"/>
  <c r="AG586" i="9"/>
  <c r="AG868" i="9" s="1"/>
  <c r="AF586" i="9"/>
  <c r="AE586" i="9"/>
  <c r="AD586" i="9"/>
  <c r="AD868" i="9" s="1"/>
  <c r="AC586" i="9"/>
  <c r="AC868" i="9" s="1"/>
  <c r="AB586" i="9"/>
  <c r="AB868" i="9" s="1"/>
  <c r="AA586" i="9"/>
  <c r="AA868" i="9" s="1"/>
  <c r="V586" i="9"/>
  <c r="D586" i="9"/>
  <c r="B586" i="9" a="1"/>
  <c r="B586" i="9" s="1"/>
  <c r="EY585" i="9"/>
  <c r="CI585" i="9"/>
  <c r="CI867" i="9" s="1"/>
  <c r="CH585" i="9"/>
  <c r="CH867" i="9" s="1"/>
  <c r="CG585" i="9"/>
  <c r="CG867" i="9" s="1"/>
  <c r="CF585" i="9"/>
  <c r="CF867" i="9" s="1"/>
  <c r="CE585" i="9"/>
  <c r="CE867" i="9" s="1"/>
  <c r="CD585" i="9"/>
  <c r="CD867" i="9" s="1"/>
  <c r="CC585" i="9"/>
  <c r="CC867" i="9" s="1"/>
  <c r="BV585" i="9"/>
  <c r="BV867" i="9" s="1"/>
  <c r="BU585" i="9"/>
  <c r="BU867" i="9" s="1"/>
  <c r="BT585" i="9"/>
  <c r="BT867" i="9" s="1"/>
  <c r="BS585" i="9"/>
  <c r="BS867" i="9" s="1"/>
  <c r="BR585" i="9"/>
  <c r="BQ585" i="9"/>
  <c r="BQ867" i="9" s="1"/>
  <c r="BP585" i="9"/>
  <c r="BP867" i="9" s="1"/>
  <c r="BO585" i="9"/>
  <c r="BO867" i="9" s="1"/>
  <c r="BN585" i="9"/>
  <c r="BN867" i="9" s="1"/>
  <c r="BM585" i="9"/>
  <c r="BM867" i="9" s="1"/>
  <c r="BL585" i="9"/>
  <c r="BL867" i="9" s="1"/>
  <c r="BK585" i="9"/>
  <c r="BK867" i="9" s="1"/>
  <c r="BJ585" i="9"/>
  <c r="BI585" i="9"/>
  <c r="BI867" i="9" s="1"/>
  <c r="BH585" i="9"/>
  <c r="BH867" i="9" s="1"/>
  <c r="BG585" i="9"/>
  <c r="BG867" i="9" s="1"/>
  <c r="BF585" i="9"/>
  <c r="BF867" i="9" s="1"/>
  <c r="BE585" i="9"/>
  <c r="BE867" i="9" s="1"/>
  <c r="BD585" i="9"/>
  <c r="BD867" i="9" s="1"/>
  <c r="BC585" i="9"/>
  <c r="BC867" i="9" s="1"/>
  <c r="BB585" i="9"/>
  <c r="BA585" i="9"/>
  <c r="BA867" i="9" s="1"/>
  <c r="AZ585" i="9"/>
  <c r="AZ867" i="9" s="1"/>
  <c r="AY585" i="9"/>
  <c r="AY867" i="9" s="1"/>
  <c r="AX585" i="9"/>
  <c r="AX867" i="9" s="1"/>
  <c r="AW585" i="9"/>
  <c r="AW867" i="9" s="1"/>
  <c r="AV585" i="9"/>
  <c r="AV867" i="9" s="1"/>
  <c r="AU585" i="9"/>
  <c r="AU867" i="9" s="1"/>
  <c r="AT585" i="9"/>
  <c r="AS585" i="9"/>
  <c r="AS867" i="9" s="1"/>
  <c r="AR585" i="9"/>
  <c r="AR867" i="9" s="1"/>
  <c r="AQ585" i="9"/>
  <c r="AQ867" i="9" s="1"/>
  <c r="AP585" i="9"/>
  <c r="AP867" i="9" s="1"/>
  <c r="AO585" i="9"/>
  <c r="AO867" i="9" s="1"/>
  <c r="AN585" i="9"/>
  <c r="AN867" i="9" s="1"/>
  <c r="AM585" i="9"/>
  <c r="AM867" i="9" s="1"/>
  <c r="AL585" i="9"/>
  <c r="AK585" i="9"/>
  <c r="AK867" i="9" s="1"/>
  <c r="AJ585" i="9"/>
  <c r="AJ867" i="9" s="1"/>
  <c r="AI585" i="9"/>
  <c r="AI867" i="9" s="1"/>
  <c r="AH585" i="9"/>
  <c r="AH867" i="9" s="1"/>
  <c r="AG585" i="9"/>
  <c r="AG867" i="9" s="1"/>
  <c r="AF585" i="9"/>
  <c r="AF867" i="9" s="1"/>
  <c r="AE585" i="9"/>
  <c r="AE867" i="9" s="1"/>
  <c r="AD585" i="9"/>
  <c r="AC585" i="9"/>
  <c r="AC867" i="9" s="1"/>
  <c r="AB585" i="9"/>
  <c r="AB867" i="9" s="1"/>
  <c r="AA585" i="9"/>
  <c r="AA867" i="9" s="1"/>
  <c r="V585" i="9"/>
  <c r="D585" i="9"/>
  <c r="B585" i="9" a="1"/>
  <c r="B585" i="9" s="1"/>
  <c r="EY584" i="9"/>
  <c r="CI584" i="9"/>
  <c r="CI866" i="9" s="1"/>
  <c r="CH584" i="9"/>
  <c r="CH866" i="9" s="1"/>
  <c r="CG584" i="9"/>
  <c r="CG866" i="9" s="1"/>
  <c r="CF584" i="9"/>
  <c r="CF866" i="9" s="1"/>
  <c r="CE584" i="9"/>
  <c r="CE866" i="9" s="1"/>
  <c r="CD584" i="9"/>
  <c r="CD866" i="9" s="1"/>
  <c r="CC584" i="9"/>
  <c r="CC866" i="9" s="1"/>
  <c r="BV584" i="9"/>
  <c r="BU584" i="9"/>
  <c r="BT584" i="9"/>
  <c r="BS584" i="9"/>
  <c r="BR584" i="9"/>
  <c r="BQ584" i="9"/>
  <c r="BP584" i="9"/>
  <c r="BO584" i="9"/>
  <c r="BN584" i="9"/>
  <c r="BM584" i="9"/>
  <c r="BL584" i="9"/>
  <c r="BK584" i="9"/>
  <c r="BJ584" i="9"/>
  <c r="BI584" i="9"/>
  <c r="BH584" i="9"/>
  <c r="BG584" i="9"/>
  <c r="BF584" i="9"/>
  <c r="BE584" i="9"/>
  <c r="BD584" i="9"/>
  <c r="BC584" i="9"/>
  <c r="BB584" i="9"/>
  <c r="BA584" i="9"/>
  <c r="AZ584" i="9"/>
  <c r="AY584" i="9"/>
  <c r="AX584" i="9"/>
  <c r="AW584" i="9"/>
  <c r="AV584" i="9"/>
  <c r="AU584" i="9"/>
  <c r="AT584" i="9"/>
  <c r="AS584" i="9"/>
  <c r="AR584" i="9"/>
  <c r="AQ584" i="9"/>
  <c r="AP584" i="9"/>
  <c r="AO584" i="9"/>
  <c r="AN584" i="9"/>
  <c r="AM584" i="9"/>
  <c r="AL584" i="9"/>
  <c r="AK584" i="9"/>
  <c r="AJ584" i="9"/>
  <c r="AI584" i="9"/>
  <c r="AH584" i="9"/>
  <c r="AG584" i="9"/>
  <c r="AF584" i="9"/>
  <c r="AE584" i="9"/>
  <c r="AD584" i="9"/>
  <c r="AC584" i="9"/>
  <c r="AB584" i="9"/>
  <c r="AA584" i="9"/>
  <c r="V584" i="9"/>
  <c r="D584" i="9"/>
  <c r="B584" i="9" a="1"/>
  <c r="B584" i="9" s="1"/>
  <c r="EY583" i="9"/>
  <c r="CI583" i="9"/>
  <c r="CI865" i="9" s="1"/>
  <c r="CH583" i="9"/>
  <c r="CH865" i="9" s="1"/>
  <c r="CG583" i="9"/>
  <c r="CG865" i="9" s="1"/>
  <c r="CF583" i="9"/>
  <c r="CF865" i="9" s="1"/>
  <c r="CE583" i="9"/>
  <c r="CE865" i="9" s="1"/>
  <c r="CD583" i="9"/>
  <c r="CD865" i="9" s="1"/>
  <c r="CC583" i="9"/>
  <c r="CC865" i="9" s="1"/>
  <c r="BV583" i="9"/>
  <c r="BU583" i="9"/>
  <c r="BU865" i="9" s="1"/>
  <c r="BT583" i="9"/>
  <c r="BT865" i="9" s="1"/>
  <c r="BS583" i="9"/>
  <c r="BS865" i="9" s="1"/>
  <c r="BR583" i="9"/>
  <c r="BQ583" i="9"/>
  <c r="BQ865" i="9" s="1"/>
  <c r="BP583" i="9"/>
  <c r="BO583" i="9"/>
  <c r="BO865" i="9" s="1"/>
  <c r="BN583" i="9"/>
  <c r="BM583" i="9"/>
  <c r="BM865" i="9" s="1"/>
  <c r="BL583" i="9"/>
  <c r="BL865" i="9" s="1"/>
  <c r="BK583" i="9"/>
  <c r="BK865" i="9" s="1"/>
  <c r="BJ583" i="9"/>
  <c r="BJ865" i="9" s="1"/>
  <c r="BI583" i="9"/>
  <c r="BH583" i="9"/>
  <c r="BH865" i="9" s="1"/>
  <c r="BG583" i="9"/>
  <c r="BF583" i="9"/>
  <c r="BE583" i="9"/>
  <c r="BE865" i="9" s="1"/>
  <c r="BD583" i="9"/>
  <c r="BD865" i="9" s="1"/>
  <c r="BC583" i="9"/>
  <c r="BC865" i="9" s="1"/>
  <c r="BB583" i="9"/>
  <c r="BB865" i="9" s="1"/>
  <c r="BA583" i="9"/>
  <c r="BA865" i="9" s="1"/>
  <c r="AZ583" i="9"/>
  <c r="AY583" i="9"/>
  <c r="AY865" i="9" s="1"/>
  <c r="AX583" i="9"/>
  <c r="AW583" i="9"/>
  <c r="AV583" i="9"/>
  <c r="AV865" i="9" s="1"/>
  <c r="AU583" i="9"/>
  <c r="AU865" i="9" s="1"/>
  <c r="AT583" i="9"/>
  <c r="AT865" i="9" s="1"/>
  <c r="AS583" i="9"/>
  <c r="AS865" i="9" s="1"/>
  <c r="AR583" i="9"/>
  <c r="AR865" i="9" s="1"/>
  <c r="AQ583" i="9"/>
  <c r="AP583" i="9"/>
  <c r="AO583" i="9"/>
  <c r="AO865" i="9" s="1"/>
  <c r="AN583" i="9"/>
  <c r="AM583" i="9"/>
  <c r="AM865" i="9" s="1"/>
  <c r="AL583" i="9"/>
  <c r="AL865" i="9" s="1"/>
  <c r="AK583" i="9"/>
  <c r="AK865" i="9" s="1"/>
  <c r="AJ583" i="9"/>
  <c r="AJ865" i="9" s="1"/>
  <c r="AI583" i="9"/>
  <c r="AI865" i="9" s="1"/>
  <c r="AH583" i="9"/>
  <c r="AG583" i="9"/>
  <c r="AF583" i="9"/>
  <c r="AF865" i="9" s="1"/>
  <c r="AE583" i="9"/>
  <c r="AD583" i="9"/>
  <c r="AD865" i="9" s="1"/>
  <c r="AC583" i="9"/>
  <c r="AC865" i="9" s="1"/>
  <c r="AB583" i="9"/>
  <c r="AB865" i="9" s="1"/>
  <c r="AA583" i="9"/>
  <c r="AA865" i="9" s="1"/>
  <c r="V583" i="9"/>
  <c r="D583" i="9"/>
  <c r="B583" i="9" a="1"/>
  <c r="B583" i="9" s="1"/>
  <c r="EY582" i="9"/>
  <c r="CI582" i="9"/>
  <c r="CI864" i="9" s="1"/>
  <c r="CH582" i="9"/>
  <c r="CH864" i="9" s="1"/>
  <c r="CG582" i="9"/>
  <c r="CG864" i="9" s="1"/>
  <c r="CF582" i="9"/>
  <c r="CF864" i="9" s="1"/>
  <c r="CE582" i="9"/>
  <c r="CE864" i="9" s="1"/>
  <c r="CD582" i="9"/>
  <c r="CD864" i="9" s="1"/>
  <c r="CC582" i="9"/>
  <c r="CC864" i="9" s="1"/>
  <c r="BV582" i="9"/>
  <c r="BU582" i="9"/>
  <c r="BT582" i="9"/>
  <c r="BS582" i="9"/>
  <c r="BS864" i="9" s="1"/>
  <c r="BR582" i="9"/>
  <c r="BQ582" i="9"/>
  <c r="BP582" i="9"/>
  <c r="BO582" i="9"/>
  <c r="BN582" i="9"/>
  <c r="BM582" i="9"/>
  <c r="BL582" i="9"/>
  <c r="BK582" i="9"/>
  <c r="BJ582" i="9"/>
  <c r="BJ864" i="9" s="1"/>
  <c r="BI582" i="9"/>
  <c r="BH582" i="9"/>
  <c r="BG582" i="9"/>
  <c r="BF582" i="9"/>
  <c r="BE582" i="9"/>
  <c r="BD582" i="9"/>
  <c r="BC582" i="9"/>
  <c r="BB582" i="9"/>
  <c r="BA582" i="9"/>
  <c r="BA864" i="9" s="1"/>
  <c r="AZ582" i="9"/>
  <c r="AY582" i="9"/>
  <c r="AX582" i="9"/>
  <c r="AW582" i="9"/>
  <c r="AV582" i="9"/>
  <c r="AU582" i="9"/>
  <c r="AT582" i="9"/>
  <c r="AS582" i="9"/>
  <c r="AR582" i="9"/>
  <c r="AR864" i="9" s="1"/>
  <c r="AQ582" i="9"/>
  <c r="AQ864" i="9" s="1"/>
  <c r="AP582" i="9"/>
  <c r="AO582" i="9"/>
  <c r="AN582" i="9"/>
  <c r="AM582" i="9"/>
  <c r="AL582" i="9"/>
  <c r="AK582" i="9"/>
  <c r="AJ582" i="9"/>
  <c r="AI582" i="9"/>
  <c r="AI864" i="9" s="1"/>
  <c r="AH582" i="9"/>
  <c r="AH864" i="9" s="1"/>
  <c r="AG582" i="9"/>
  <c r="AF582" i="9"/>
  <c r="AE582" i="9"/>
  <c r="AD582" i="9"/>
  <c r="AC582" i="9"/>
  <c r="AB582" i="9"/>
  <c r="AA582" i="9"/>
  <c r="V582" i="9"/>
  <c r="D582" i="9"/>
  <c r="B582" i="9" a="1"/>
  <c r="B582" i="9" s="1"/>
  <c r="EY581" i="9"/>
  <c r="CI581" i="9"/>
  <c r="CI863" i="9" s="1"/>
  <c r="CH581" i="9"/>
  <c r="CH863" i="9" s="1"/>
  <c r="CG581" i="9"/>
  <c r="CG863" i="9" s="1"/>
  <c r="CF581" i="9"/>
  <c r="CF863" i="9" s="1"/>
  <c r="CE581" i="9"/>
  <c r="CE863" i="9" s="1"/>
  <c r="CD581" i="9"/>
  <c r="CD863" i="9" s="1"/>
  <c r="CC581" i="9"/>
  <c r="CC863" i="9" s="1"/>
  <c r="BV581" i="9"/>
  <c r="BV863" i="9" s="1"/>
  <c r="BU581" i="9"/>
  <c r="BU863" i="9" s="1"/>
  <c r="BT581" i="9"/>
  <c r="BT863" i="9" s="1"/>
  <c r="BS581" i="9"/>
  <c r="BS863" i="9" s="1"/>
  <c r="BR581" i="9"/>
  <c r="BQ581" i="9"/>
  <c r="BQ863" i="9" s="1"/>
  <c r="BP581" i="9"/>
  <c r="BP863" i="9" s="1"/>
  <c r="BO581" i="9"/>
  <c r="BO863" i="9" s="1"/>
  <c r="BN581" i="9"/>
  <c r="BN863" i="9" s="1"/>
  <c r="BM581" i="9"/>
  <c r="BM863" i="9" s="1"/>
  <c r="BL581" i="9"/>
  <c r="BL863" i="9" s="1"/>
  <c r="BK581" i="9"/>
  <c r="BK863" i="9" s="1"/>
  <c r="BJ581" i="9"/>
  <c r="BI581" i="9"/>
  <c r="BI863" i="9" s="1"/>
  <c r="BH581" i="9"/>
  <c r="BH863" i="9" s="1"/>
  <c r="BG581" i="9"/>
  <c r="BG863" i="9" s="1"/>
  <c r="BF581" i="9"/>
  <c r="BF863" i="9" s="1"/>
  <c r="BE581" i="9"/>
  <c r="BE863" i="9" s="1"/>
  <c r="BD581" i="9"/>
  <c r="BD863" i="9" s="1"/>
  <c r="BC581" i="9"/>
  <c r="BC863" i="9" s="1"/>
  <c r="BB581" i="9"/>
  <c r="BA581" i="9"/>
  <c r="BA863" i="9" s="1"/>
  <c r="AZ581" i="9"/>
  <c r="AZ863" i="9" s="1"/>
  <c r="AY581" i="9"/>
  <c r="AY863" i="9" s="1"/>
  <c r="AX581" i="9"/>
  <c r="AX863" i="9" s="1"/>
  <c r="AW581" i="9"/>
  <c r="AW863" i="9" s="1"/>
  <c r="AV581" i="9"/>
  <c r="AV863" i="9" s="1"/>
  <c r="AU581" i="9"/>
  <c r="AU863" i="9" s="1"/>
  <c r="AT581" i="9"/>
  <c r="AS581" i="9"/>
  <c r="AS863" i="9" s="1"/>
  <c r="AR581" i="9"/>
  <c r="AR863" i="9" s="1"/>
  <c r="AQ581" i="9"/>
  <c r="AQ863" i="9" s="1"/>
  <c r="AP581" i="9"/>
  <c r="AP863" i="9" s="1"/>
  <c r="AO581" i="9"/>
  <c r="AO863" i="9" s="1"/>
  <c r="AN581" i="9"/>
  <c r="AN863" i="9" s="1"/>
  <c r="AM581" i="9"/>
  <c r="AM863" i="9" s="1"/>
  <c r="AL581" i="9"/>
  <c r="AK581" i="9"/>
  <c r="AK863" i="9" s="1"/>
  <c r="AJ581" i="9"/>
  <c r="AJ863" i="9" s="1"/>
  <c r="AI581" i="9"/>
  <c r="AI863" i="9" s="1"/>
  <c r="AH581" i="9"/>
  <c r="AH863" i="9" s="1"/>
  <c r="AG581" i="9"/>
  <c r="AG863" i="9" s="1"/>
  <c r="AF581" i="9"/>
  <c r="AF863" i="9" s="1"/>
  <c r="AE581" i="9"/>
  <c r="AE863" i="9" s="1"/>
  <c r="AD581" i="9"/>
  <c r="AC581" i="9"/>
  <c r="AC863" i="9" s="1"/>
  <c r="AB581" i="9"/>
  <c r="AB863" i="9" s="1"/>
  <c r="AA581" i="9"/>
  <c r="AA863" i="9" s="1"/>
  <c r="V581" i="9"/>
  <c r="D581" i="9"/>
  <c r="B581" i="9" a="1"/>
  <c r="B581" i="9" s="1"/>
  <c r="EY580" i="9"/>
  <c r="CI580" i="9"/>
  <c r="CI862" i="9" s="1"/>
  <c r="CH580" i="9"/>
  <c r="CH862" i="9" s="1"/>
  <c r="CG580" i="9"/>
  <c r="CG862" i="9" s="1"/>
  <c r="CF580" i="9"/>
  <c r="CF862" i="9" s="1"/>
  <c r="CE580" i="9"/>
  <c r="CE862" i="9" s="1"/>
  <c r="CD580" i="9"/>
  <c r="CD862" i="9" s="1"/>
  <c r="CC580" i="9"/>
  <c r="CC862" i="9" s="1"/>
  <c r="BV580" i="9"/>
  <c r="BV862" i="9" s="1"/>
  <c r="BU580" i="9"/>
  <c r="BU862" i="9" s="1"/>
  <c r="BT580" i="9"/>
  <c r="BT862" i="9" s="1"/>
  <c r="BS580" i="9"/>
  <c r="BR580" i="9"/>
  <c r="BQ580" i="9"/>
  <c r="BP580" i="9"/>
  <c r="BO580" i="9"/>
  <c r="BN580" i="9"/>
  <c r="BN862" i="9" s="1"/>
  <c r="BM580" i="9"/>
  <c r="BM862" i="9" s="1"/>
  <c r="BL580" i="9"/>
  <c r="BL862" i="9" s="1"/>
  <c r="BK580" i="9"/>
  <c r="BK862" i="9" s="1"/>
  <c r="BJ580" i="9"/>
  <c r="BI580" i="9"/>
  <c r="BH580" i="9"/>
  <c r="BG580" i="9"/>
  <c r="BF580" i="9"/>
  <c r="BE580" i="9"/>
  <c r="BE862" i="9" s="1"/>
  <c r="BD580" i="9"/>
  <c r="BD862" i="9" s="1"/>
  <c r="BC580" i="9"/>
  <c r="BC862" i="9" s="1"/>
  <c r="BB580" i="9"/>
  <c r="BB862" i="9" s="1"/>
  <c r="BA580" i="9"/>
  <c r="AZ580" i="9"/>
  <c r="AY580" i="9"/>
  <c r="AX580" i="9"/>
  <c r="AW580" i="9"/>
  <c r="AV580" i="9"/>
  <c r="AV862" i="9" s="1"/>
  <c r="AU580" i="9"/>
  <c r="AU862" i="9" s="1"/>
  <c r="AT580" i="9"/>
  <c r="AT862" i="9" s="1"/>
  <c r="AS580" i="9"/>
  <c r="AS862" i="9" s="1"/>
  <c r="AR580" i="9"/>
  <c r="AQ580" i="9"/>
  <c r="AP580" i="9"/>
  <c r="AO580" i="9"/>
  <c r="AN580" i="9"/>
  <c r="AM580" i="9"/>
  <c r="AM862" i="9" s="1"/>
  <c r="AL580" i="9"/>
  <c r="AL862" i="9" s="1"/>
  <c r="AK580" i="9"/>
  <c r="AK862" i="9" s="1"/>
  <c r="AJ580" i="9"/>
  <c r="AI580" i="9"/>
  <c r="AI862" i="9" s="1"/>
  <c r="AH580" i="9"/>
  <c r="AG580" i="9"/>
  <c r="AF580" i="9"/>
  <c r="AE580" i="9"/>
  <c r="AD580" i="9"/>
  <c r="AD862" i="9" s="1"/>
  <c r="AC580" i="9"/>
  <c r="AC862" i="9" s="1"/>
  <c r="AB580" i="9"/>
  <c r="AA580" i="9"/>
  <c r="AA862" i="9" s="1"/>
  <c r="V580" i="9"/>
  <c r="D580" i="9"/>
  <c r="B580" i="9" a="1"/>
  <c r="B580" i="9" s="1"/>
  <c r="EY579" i="9"/>
  <c r="CI579" i="9"/>
  <c r="CI861" i="9" s="1"/>
  <c r="CH579" i="9"/>
  <c r="CH861" i="9" s="1"/>
  <c r="CG579" i="9"/>
  <c r="CG861" i="9" s="1"/>
  <c r="CF579" i="9"/>
  <c r="CF861" i="9" s="1"/>
  <c r="CE579" i="9"/>
  <c r="CE861" i="9" s="1"/>
  <c r="CD579" i="9"/>
  <c r="CD861" i="9" s="1"/>
  <c r="CC579" i="9"/>
  <c r="CC861" i="9" s="1"/>
  <c r="BV579" i="9"/>
  <c r="BU579" i="9"/>
  <c r="BU861" i="9" s="1"/>
  <c r="BT579" i="9"/>
  <c r="BT861" i="9" s="1"/>
  <c r="BS579" i="9"/>
  <c r="BS861" i="9" s="1"/>
  <c r="BR579" i="9"/>
  <c r="BR861" i="9" s="1"/>
  <c r="BQ579" i="9"/>
  <c r="BP579" i="9"/>
  <c r="BO579" i="9"/>
  <c r="BN579" i="9"/>
  <c r="BM579" i="9"/>
  <c r="BL579" i="9"/>
  <c r="BL861" i="9" s="1"/>
  <c r="BK579" i="9"/>
  <c r="BK861" i="9" s="1"/>
  <c r="BJ579" i="9"/>
  <c r="BJ861" i="9" s="1"/>
  <c r="BI579" i="9"/>
  <c r="BI861" i="9" s="1"/>
  <c r="BH579" i="9"/>
  <c r="BG579" i="9"/>
  <c r="BF579" i="9"/>
  <c r="BE579" i="9"/>
  <c r="BD579" i="9"/>
  <c r="BC579" i="9"/>
  <c r="BC861" i="9" s="1"/>
  <c r="BB579" i="9"/>
  <c r="BB861" i="9" s="1"/>
  <c r="BA579" i="9"/>
  <c r="BA861" i="9" s="1"/>
  <c r="AZ579" i="9"/>
  <c r="AZ861" i="9" s="1"/>
  <c r="AY579" i="9"/>
  <c r="AX579" i="9"/>
  <c r="AW579" i="9"/>
  <c r="AV579" i="9"/>
  <c r="AU579" i="9"/>
  <c r="AT579" i="9"/>
  <c r="AT861" i="9" s="1"/>
  <c r="AS579" i="9"/>
  <c r="AS861" i="9" s="1"/>
  <c r="AR579" i="9"/>
  <c r="AR861" i="9" s="1"/>
  <c r="AQ579" i="9"/>
  <c r="AQ861" i="9" s="1"/>
  <c r="AP579" i="9"/>
  <c r="AO579" i="9"/>
  <c r="AN579" i="9"/>
  <c r="AM579" i="9"/>
  <c r="AL579" i="9"/>
  <c r="AK579" i="9"/>
  <c r="AK861" i="9" s="1"/>
  <c r="AJ579" i="9"/>
  <c r="AJ861" i="9" s="1"/>
  <c r="AI579" i="9"/>
  <c r="AI861" i="9" s="1"/>
  <c r="AH579" i="9"/>
  <c r="AG579" i="9"/>
  <c r="AG861" i="9" s="1"/>
  <c r="AF579" i="9"/>
  <c r="AE579" i="9"/>
  <c r="AD579" i="9"/>
  <c r="AC579" i="9"/>
  <c r="AC861" i="9" s="1"/>
  <c r="AB579" i="9"/>
  <c r="AB861" i="9" s="1"/>
  <c r="AA579" i="9"/>
  <c r="AA861" i="9" s="1"/>
  <c r="V579" i="9"/>
  <c r="D579" i="9"/>
  <c r="B579" i="9" a="1"/>
  <c r="B579" i="9" s="1"/>
  <c r="EY578" i="9"/>
  <c r="CI578" i="9"/>
  <c r="CI860" i="9" s="1"/>
  <c r="CH578" i="9"/>
  <c r="CH860" i="9" s="1"/>
  <c r="CG578" i="9"/>
  <c r="CG860" i="9" s="1"/>
  <c r="CF578" i="9"/>
  <c r="CF860" i="9" s="1"/>
  <c r="CE578" i="9"/>
  <c r="CE860" i="9" s="1"/>
  <c r="CD578" i="9"/>
  <c r="CD860" i="9" s="1"/>
  <c r="CC578" i="9"/>
  <c r="CC860" i="9" s="1"/>
  <c r="BV578" i="9"/>
  <c r="BU578" i="9"/>
  <c r="BT578" i="9"/>
  <c r="BS578" i="9"/>
  <c r="BR578" i="9"/>
  <c r="BR860" i="9" s="1"/>
  <c r="BQ578" i="9"/>
  <c r="BP578" i="9"/>
  <c r="BO578" i="9"/>
  <c r="BN578" i="9"/>
  <c r="BM578" i="9"/>
  <c r="BL578" i="9"/>
  <c r="BK578" i="9"/>
  <c r="BJ578" i="9"/>
  <c r="BI578" i="9"/>
  <c r="BI860" i="9" s="1"/>
  <c r="BH578" i="9"/>
  <c r="BG578" i="9"/>
  <c r="BF578" i="9"/>
  <c r="BE578" i="9"/>
  <c r="BD578" i="9"/>
  <c r="BC578" i="9"/>
  <c r="BB578" i="9"/>
  <c r="BA578" i="9"/>
  <c r="AZ578" i="9"/>
  <c r="AZ860" i="9" s="1"/>
  <c r="AY578" i="9"/>
  <c r="AX578" i="9"/>
  <c r="AW578" i="9"/>
  <c r="AV578" i="9"/>
  <c r="AU578" i="9"/>
  <c r="AT578" i="9"/>
  <c r="AS578" i="9"/>
  <c r="AR578" i="9"/>
  <c r="AQ578" i="9"/>
  <c r="AQ860" i="9" s="1"/>
  <c r="AP578" i="9"/>
  <c r="AO578" i="9"/>
  <c r="AN578" i="9"/>
  <c r="AM578" i="9"/>
  <c r="AL578" i="9"/>
  <c r="AK578" i="9"/>
  <c r="AJ578" i="9"/>
  <c r="AI578" i="9"/>
  <c r="AH578" i="9"/>
  <c r="AH860" i="9" s="1"/>
  <c r="AG578" i="9"/>
  <c r="AF578" i="9"/>
  <c r="AE578" i="9"/>
  <c r="AD578" i="9"/>
  <c r="AC578" i="9"/>
  <c r="AB578" i="9"/>
  <c r="AA578" i="9"/>
  <c r="V578" i="9"/>
  <c r="D578" i="9"/>
  <c r="B578" i="9" a="1"/>
  <c r="B578" i="9" s="1"/>
  <c r="EY577" i="9"/>
  <c r="E577" i="9"/>
  <c r="D577" i="9"/>
  <c r="EY576" i="9"/>
  <c r="D576" i="9"/>
  <c r="EY575" i="9"/>
  <c r="EY574" i="9"/>
  <c r="CI574" i="9"/>
  <c r="CI856" i="9" s="1"/>
  <c r="CH574" i="9"/>
  <c r="CH856" i="9" s="1"/>
  <c r="CG574" i="9"/>
  <c r="CG856" i="9" s="1"/>
  <c r="CF574" i="9"/>
  <c r="CF856" i="9" s="1"/>
  <c r="CE574" i="9"/>
  <c r="CE856" i="9" s="1"/>
  <c r="CD574" i="9"/>
  <c r="CD856" i="9" s="1"/>
  <c r="CC574" i="9"/>
  <c r="CC856" i="9" s="1"/>
  <c r="BV574" i="9"/>
  <c r="BU574" i="9"/>
  <c r="BT574" i="9"/>
  <c r="BS574" i="9"/>
  <c r="BS856" i="9" s="1"/>
  <c r="BR574" i="9"/>
  <c r="BQ574" i="9"/>
  <c r="BQ856" i="9" s="1"/>
  <c r="BP574" i="9"/>
  <c r="BO574" i="9"/>
  <c r="BN574" i="9"/>
  <c r="BM574" i="9"/>
  <c r="BL574" i="9"/>
  <c r="BK574" i="9"/>
  <c r="BJ574" i="9"/>
  <c r="BJ856" i="9" s="1"/>
  <c r="BI574" i="9"/>
  <c r="BH574" i="9"/>
  <c r="BH856" i="9" s="1"/>
  <c r="BG574" i="9"/>
  <c r="BF574" i="9"/>
  <c r="BE574" i="9"/>
  <c r="BD574" i="9"/>
  <c r="BC574" i="9"/>
  <c r="BB574" i="9"/>
  <c r="BA574" i="9"/>
  <c r="BA856" i="9" s="1"/>
  <c r="AZ574" i="9"/>
  <c r="AY574" i="9"/>
  <c r="AY856" i="9" s="1"/>
  <c r="AX574" i="9"/>
  <c r="AW574" i="9"/>
  <c r="AV574" i="9"/>
  <c r="AU574" i="9"/>
  <c r="AT574" i="9"/>
  <c r="AS574" i="9"/>
  <c r="AR574" i="9"/>
  <c r="AR856" i="9" s="1"/>
  <c r="AQ574" i="9"/>
  <c r="AP574" i="9"/>
  <c r="AP856" i="9" s="1"/>
  <c r="AO574" i="9"/>
  <c r="AN574" i="9"/>
  <c r="AM574" i="9"/>
  <c r="AL574" i="9"/>
  <c r="AK574" i="9"/>
  <c r="AJ574" i="9"/>
  <c r="AI574" i="9"/>
  <c r="AI856" i="9" s="1"/>
  <c r="AH574" i="9"/>
  <c r="AG574" i="9"/>
  <c r="AF574" i="9"/>
  <c r="AF856" i="9" s="1"/>
  <c r="AE574" i="9"/>
  <c r="AD574" i="9"/>
  <c r="AC574" i="9"/>
  <c r="AB574" i="9"/>
  <c r="AA574" i="9"/>
  <c r="V574" i="9"/>
  <c r="D574" i="9"/>
  <c r="B574" i="9" a="1"/>
  <c r="B574" i="9" s="1"/>
  <c r="EY573" i="9"/>
  <c r="CI573" i="9"/>
  <c r="CI855" i="9" s="1"/>
  <c r="CH573" i="9"/>
  <c r="CH855" i="9" s="1"/>
  <c r="CG573" i="9"/>
  <c r="CG855" i="9" s="1"/>
  <c r="CF573" i="9"/>
  <c r="CF855" i="9" s="1"/>
  <c r="CE573" i="9"/>
  <c r="CE855" i="9" s="1"/>
  <c r="CD573" i="9"/>
  <c r="CD855" i="9" s="1"/>
  <c r="CC573" i="9"/>
  <c r="CC855" i="9" s="1"/>
  <c r="BV573" i="9"/>
  <c r="BU573" i="9"/>
  <c r="BT573" i="9"/>
  <c r="BS573" i="9"/>
  <c r="BR573" i="9"/>
  <c r="BQ573" i="9"/>
  <c r="BP573" i="9"/>
  <c r="BO573" i="9"/>
  <c r="BN573" i="9"/>
  <c r="BM573" i="9"/>
  <c r="BL573" i="9"/>
  <c r="BK573" i="9"/>
  <c r="BJ573" i="9"/>
  <c r="BI573" i="9"/>
  <c r="BH573" i="9"/>
  <c r="BG573" i="9"/>
  <c r="BF573" i="9"/>
  <c r="BE573" i="9"/>
  <c r="BD573" i="9"/>
  <c r="BC573" i="9"/>
  <c r="BB573" i="9"/>
  <c r="BA573" i="9"/>
  <c r="AZ573" i="9"/>
  <c r="AY573" i="9"/>
  <c r="AX573" i="9"/>
  <c r="AW573" i="9"/>
  <c r="AV573" i="9"/>
  <c r="AU573" i="9"/>
  <c r="AT573" i="9"/>
  <c r="AS573" i="9"/>
  <c r="AR573" i="9"/>
  <c r="AQ573" i="9"/>
  <c r="AP573" i="9"/>
  <c r="AO573" i="9"/>
  <c r="AN573" i="9"/>
  <c r="AM573" i="9"/>
  <c r="AL573" i="9"/>
  <c r="AK573" i="9"/>
  <c r="AJ573" i="9"/>
  <c r="AI573" i="9"/>
  <c r="AH573" i="9"/>
  <c r="AG573" i="9"/>
  <c r="AF573" i="9"/>
  <c r="AE573" i="9"/>
  <c r="AD573" i="9"/>
  <c r="AC573" i="9"/>
  <c r="AB573" i="9"/>
  <c r="AA573" i="9"/>
  <c r="V573" i="9"/>
  <c r="V713" i="9" s="1"/>
  <c r="BX713" i="9" s="1"/>
  <c r="D573" i="9"/>
  <c r="B573" i="9" a="1"/>
  <c r="B573" i="9" s="1"/>
  <c r="EY572" i="9"/>
  <c r="CI572" i="9"/>
  <c r="CI854" i="9" s="1"/>
  <c r="CH572" i="9"/>
  <c r="CH854" i="9" s="1"/>
  <c r="CG572" i="9"/>
  <c r="CG854" i="9" s="1"/>
  <c r="CF572" i="9"/>
  <c r="CF854" i="9" s="1"/>
  <c r="CE572" i="9"/>
  <c r="CE854" i="9" s="1"/>
  <c r="CD572" i="9"/>
  <c r="CD854" i="9" s="1"/>
  <c r="CC572" i="9"/>
  <c r="CC854" i="9" s="1"/>
  <c r="BV572" i="9"/>
  <c r="BV854" i="9" s="1"/>
  <c r="BU572" i="9"/>
  <c r="BU854" i="9" s="1"/>
  <c r="BT572" i="9"/>
  <c r="BT854" i="9" s="1"/>
  <c r="BS572" i="9"/>
  <c r="BS854" i="9" s="1"/>
  <c r="BR572" i="9"/>
  <c r="BQ572" i="9"/>
  <c r="BP572" i="9"/>
  <c r="BP854" i="9" s="1"/>
  <c r="BO572" i="9"/>
  <c r="BN572" i="9"/>
  <c r="BN854" i="9" s="1"/>
  <c r="BM572" i="9"/>
  <c r="BM854" i="9" s="1"/>
  <c r="BL572" i="9"/>
  <c r="BL854" i="9" s="1"/>
  <c r="BK572" i="9"/>
  <c r="BK854" i="9" s="1"/>
  <c r="BJ572" i="9"/>
  <c r="BJ854" i="9" s="1"/>
  <c r="BI572" i="9"/>
  <c r="BH572" i="9"/>
  <c r="BG572" i="9"/>
  <c r="BG854" i="9" s="1"/>
  <c r="BF572" i="9"/>
  <c r="BE572" i="9"/>
  <c r="BE854" i="9" s="1"/>
  <c r="BD572" i="9"/>
  <c r="BD854" i="9" s="1"/>
  <c r="BC572" i="9"/>
  <c r="BC854" i="9" s="1"/>
  <c r="BB572" i="9"/>
  <c r="BB854" i="9" s="1"/>
  <c r="BA572" i="9"/>
  <c r="AZ572" i="9"/>
  <c r="AZ854" i="9" s="1"/>
  <c r="AY572" i="9"/>
  <c r="AX572" i="9"/>
  <c r="AX854" i="9" s="1"/>
  <c r="AW572" i="9"/>
  <c r="AV572" i="9"/>
  <c r="AV854" i="9" s="1"/>
  <c r="AU572" i="9"/>
  <c r="AU854" i="9" s="1"/>
  <c r="AT572" i="9"/>
  <c r="AT854" i="9" s="1"/>
  <c r="AS572" i="9"/>
  <c r="AR572" i="9"/>
  <c r="AR854" i="9" s="1"/>
  <c r="AQ572" i="9"/>
  <c r="AQ854" i="9" s="1"/>
  <c r="AP572" i="9"/>
  <c r="AO572" i="9"/>
  <c r="AO854" i="9" s="1"/>
  <c r="AN572" i="9"/>
  <c r="AM572" i="9"/>
  <c r="AM854" i="9" s="1"/>
  <c r="AL572" i="9"/>
  <c r="AL854" i="9" s="1"/>
  <c r="AK572" i="9"/>
  <c r="AJ572" i="9"/>
  <c r="AJ854" i="9" s="1"/>
  <c r="AI572" i="9"/>
  <c r="AI854" i="9" s="1"/>
  <c r="AH572" i="9"/>
  <c r="AH854" i="9" s="1"/>
  <c r="AG572" i="9"/>
  <c r="AF572" i="9"/>
  <c r="AF854" i="9" s="1"/>
  <c r="AE572" i="9"/>
  <c r="AD572" i="9"/>
  <c r="AD854" i="9" s="1"/>
  <c r="AC572" i="9"/>
  <c r="AB572" i="9"/>
  <c r="AB854" i="9" s="1"/>
  <c r="AA572" i="9"/>
  <c r="AA854" i="9" s="1"/>
  <c r="V572" i="9"/>
  <c r="D572" i="9"/>
  <c r="B572" i="9" a="1"/>
  <c r="B572" i="9" s="1"/>
  <c r="EY571" i="9"/>
  <c r="CI571" i="9"/>
  <c r="CI853" i="9" s="1"/>
  <c r="CH571" i="9"/>
  <c r="CH853" i="9" s="1"/>
  <c r="CG571" i="9"/>
  <c r="CG853" i="9" s="1"/>
  <c r="CF571" i="9"/>
  <c r="CF853" i="9" s="1"/>
  <c r="CE571" i="9"/>
  <c r="CE853" i="9" s="1"/>
  <c r="CD571" i="9"/>
  <c r="CD853" i="9" s="1"/>
  <c r="CC571" i="9"/>
  <c r="CC853" i="9" s="1"/>
  <c r="BV571" i="9"/>
  <c r="BU571" i="9"/>
  <c r="BT571" i="9"/>
  <c r="BS571" i="9"/>
  <c r="BS853" i="9" s="1"/>
  <c r="BR571" i="9"/>
  <c r="BQ571" i="9"/>
  <c r="BP571" i="9"/>
  <c r="BO571" i="9"/>
  <c r="BN571" i="9"/>
  <c r="BM571" i="9"/>
  <c r="BL571" i="9"/>
  <c r="BK571" i="9"/>
  <c r="BJ571" i="9"/>
  <c r="BJ853" i="9" s="1"/>
  <c r="BI571" i="9"/>
  <c r="BH571" i="9"/>
  <c r="BH853" i="9" s="1"/>
  <c r="BG571" i="9"/>
  <c r="BF571" i="9"/>
  <c r="BE571" i="9"/>
  <c r="BD571" i="9"/>
  <c r="BC571" i="9"/>
  <c r="BB571" i="9"/>
  <c r="BA571" i="9"/>
  <c r="BA853" i="9" s="1"/>
  <c r="AZ571" i="9"/>
  <c r="AY571" i="9"/>
  <c r="AX571" i="9"/>
  <c r="AX853" i="9" s="1"/>
  <c r="AW571" i="9"/>
  <c r="AV571" i="9"/>
  <c r="AU571" i="9"/>
  <c r="AT571" i="9"/>
  <c r="AS571" i="9"/>
  <c r="AR571" i="9"/>
  <c r="AR853" i="9" s="1"/>
  <c r="AQ571" i="9"/>
  <c r="AP571" i="9"/>
  <c r="AO571" i="9"/>
  <c r="AO853" i="9" s="1"/>
  <c r="AN571" i="9"/>
  <c r="AM571" i="9"/>
  <c r="AL571" i="9"/>
  <c r="AK571" i="9"/>
  <c r="AJ571" i="9"/>
  <c r="AI571" i="9"/>
  <c r="AH571" i="9"/>
  <c r="AH853" i="9" s="1"/>
  <c r="AG571" i="9"/>
  <c r="AF571" i="9"/>
  <c r="AF853" i="9" s="1"/>
  <c r="AE571" i="9"/>
  <c r="AD571" i="9"/>
  <c r="AC571" i="9"/>
  <c r="AB571" i="9"/>
  <c r="AA571" i="9"/>
  <c r="V571" i="9"/>
  <c r="D571" i="9"/>
  <c r="B571" i="9" a="1"/>
  <c r="B571" i="9" s="1"/>
  <c r="EY570" i="9"/>
  <c r="CI570" i="9"/>
  <c r="CI852" i="9" s="1"/>
  <c r="CH570" i="9"/>
  <c r="CH852" i="9" s="1"/>
  <c r="CG570" i="9"/>
  <c r="CG852" i="9" s="1"/>
  <c r="CF570" i="9"/>
  <c r="CF852" i="9" s="1"/>
  <c r="CE570" i="9"/>
  <c r="CE852" i="9" s="1"/>
  <c r="CD570" i="9"/>
  <c r="CD852" i="9" s="1"/>
  <c r="CC570" i="9"/>
  <c r="CC852" i="9" s="1"/>
  <c r="BV570" i="9"/>
  <c r="BU570" i="9"/>
  <c r="BT570" i="9"/>
  <c r="BS570" i="9"/>
  <c r="BR570" i="9"/>
  <c r="BQ570" i="9"/>
  <c r="BQ852" i="9" s="1"/>
  <c r="BP570" i="9"/>
  <c r="BO570" i="9"/>
  <c r="BO852" i="9" s="1"/>
  <c r="BN570" i="9"/>
  <c r="BM570" i="9"/>
  <c r="BL570" i="9"/>
  <c r="BK570" i="9"/>
  <c r="BJ570" i="9"/>
  <c r="BI570" i="9"/>
  <c r="BH570" i="9"/>
  <c r="BH852" i="9" s="1"/>
  <c r="BG570" i="9"/>
  <c r="BF570" i="9"/>
  <c r="BF852" i="9" s="1"/>
  <c r="BE570" i="9"/>
  <c r="BD570" i="9"/>
  <c r="BC570" i="9"/>
  <c r="BB570" i="9"/>
  <c r="BA570" i="9"/>
  <c r="AZ570" i="9"/>
  <c r="AY570" i="9"/>
  <c r="AY852" i="9" s="1"/>
  <c r="AX570" i="9"/>
  <c r="AW570" i="9"/>
  <c r="AV570" i="9"/>
  <c r="AV852" i="9" s="1"/>
  <c r="AU570" i="9"/>
  <c r="AT570" i="9"/>
  <c r="AS570" i="9"/>
  <c r="AR570" i="9"/>
  <c r="AQ570" i="9"/>
  <c r="AP570" i="9"/>
  <c r="AP852" i="9" s="1"/>
  <c r="AO570" i="9"/>
  <c r="AN570" i="9"/>
  <c r="AM570" i="9"/>
  <c r="AM852" i="9" s="1"/>
  <c r="AL570" i="9"/>
  <c r="AK570" i="9"/>
  <c r="AJ570" i="9"/>
  <c r="AI570" i="9"/>
  <c r="AH570" i="9"/>
  <c r="AG570" i="9"/>
  <c r="AF570" i="9"/>
  <c r="AF852" i="9" s="1"/>
  <c r="AE570" i="9"/>
  <c r="AD570" i="9"/>
  <c r="AD852" i="9" s="1"/>
  <c r="AC570" i="9"/>
  <c r="AB570" i="9"/>
  <c r="AA570" i="9"/>
  <c r="V570" i="9"/>
  <c r="V852" i="9" s="1"/>
  <c r="D570" i="9"/>
  <c r="B570" i="9" a="1"/>
  <c r="B570" i="9" s="1"/>
  <c r="EY569" i="9"/>
  <c r="CI569" i="9"/>
  <c r="CI851" i="9" s="1"/>
  <c r="CH569" i="9"/>
  <c r="CH851" i="9" s="1"/>
  <c r="CG569" i="9"/>
  <c r="CG851" i="9" s="1"/>
  <c r="CF569" i="9"/>
  <c r="CF851" i="9" s="1"/>
  <c r="CE569" i="9"/>
  <c r="CE851" i="9" s="1"/>
  <c r="CD569" i="9"/>
  <c r="CD851" i="9" s="1"/>
  <c r="CC569" i="9"/>
  <c r="CC851" i="9" s="1"/>
  <c r="BV569" i="9"/>
  <c r="BV851" i="9" s="1"/>
  <c r="BU569" i="9"/>
  <c r="BU851" i="9" s="1"/>
  <c r="BT569" i="9"/>
  <c r="BT851" i="9" s="1"/>
  <c r="BS569" i="9"/>
  <c r="BR569" i="9"/>
  <c r="BQ569" i="9"/>
  <c r="BQ851" i="9" s="1"/>
  <c r="BP569" i="9"/>
  <c r="BO569" i="9"/>
  <c r="BO851" i="9" s="1"/>
  <c r="BN569" i="9"/>
  <c r="BN851" i="9" s="1"/>
  <c r="BM569" i="9"/>
  <c r="BM851" i="9" s="1"/>
  <c r="BL569" i="9"/>
  <c r="BL851" i="9" s="1"/>
  <c r="BK569" i="9"/>
  <c r="BJ569" i="9"/>
  <c r="BJ851" i="9" s="1"/>
  <c r="BI569" i="9"/>
  <c r="BH569" i="9"/>
  <c r="BH851" i="9" s="1"/>
  <c r="BG569" i="9"/>
  <c r="BF569" i="9"/>
  <c r="BF851" i="9" s="1"/>
  <c r="BE569" i="9"/>
  <c r="BE851" i="9" s="1"/>
  <c r="BD569" i="9"/>
  <c r="BD851" i="9" s="1"/>
  <c r="BC569" i="9"/>
  <c r="BB569" i="9"/>
  <c r="BB851" i="9" s="1"/>
  <c r="BA569" i="9"/>
  <c r="BA851" i="9" s="1"/>
  <c r="AZ569" i="9"/>
  <c r="AY569" i="9"/>
  <c r="AY851" i="9" s="1"/>
  <c r="AX569" i="9"/>
  <c r="AW569" i="9"/>
  <c r="AW851" i="9" s="1"/>
  <c r="AV569" i="9"/>
  <c r="AV851" i="9" s="1"/>
  <c r="AU569" i="9"/>
  <c r="AT569" i="9"/>
  <c r="AT851" i="9" s="1"/>
  <c r="AS569" i="9"/>
  <c r="AS851" i="9" s="1"/>
  <c r="AR569" i="9"/>
  <c r="AR851" i="9" s="1"/>
  <c r="AQ569" i="9"/>
  <c r="AP569" i="9"/>
  <c r="AP851" i="9" s="1"/>
  <c r="AO569" i="9"/>
  <c r="AN569" i="9"/>
  <c r="AN851" i="9" s="1"/>
  <c r="AM569" i="9"/>
  <c r="AL569" i="9"/>
  <c r="AL851" i="9" s="1"/>
  <c r="AK569" i="9"/>
  <c r="AK851" i="9" s="1"/>
  <c r="AJ569" i="9"/>
  <c r="AJ851" i="9" s="1"/>
  <c r="AI569" i="9"/>
  <c r="AI851" i="9" s="1"/>
  <c r="AH569" i="9"/>
  <c r="AG569" i="9"/>
  <c r="AG851" i="9" s="1"/>
  <c r="AF569" i="9"/>
  <c r="AE569" i="9"/>
  <c r="AD569" i="9"/>
  <c r="AD851" i="9" s="1"/>
  <c r="AC569" i="9"/>
  <c r="AC851" i="9" s="1"/>
  <c r="AB569" i="9"/>
  <c r="AB851" i="9" s="1"/>
  <c r="AA569" i="9"/>
  <c r="AA851" i="9" s="1"/>
  <c r="V569" i="9"/>
  <c r="V709" i="9" s="1"/>
  <c r="BX709" i="9" s="1"/>
  <c r="D569" i="9"/>
  <c r="B569" i="9" a="1"/>
  <c r="B569" i="9" s="1"/>
  <c r="EY568" i="9"/>
  <c r="CI568" i="9"/>
  <c r="CI850" i="9" s="1"/>
  <c r="CH568" i="9"/>
  <c r="CH850" i="9" s="1"/>
  <c r="CG568" i="9"/>
  <c r="CG850" i="9" s="1"/>
  <c r="CF568" i="9"/>
  <c r="CF850" i="9" s="1"/>
  <c r="CE568" i="9"/>
  <c r="CE850" i="9" s="1"/>
  <c r="CD568" i="9"/>
  <c r="CD850" i="9" s="1"/>
  <c r="CC568" i="9"/>
  <c r="CC850" i="9" s="1"/>
  <c r="BV568" i="9"/>
  <c r="BV850" i="9" s="1"/>
  <c r="BU568" i="9"/>
  <c r="BU850" i="9" s="1"/>
  <c r="BT568" i="9"/>
  <c r="BT850" i="9" s="1"/>
  <c r="BS568" i="9"/>
  <c r="BS850" i="9" s="1"/>
  <c r="BR568" i="9"/>
  <c r="BR850" i="9" s="1"/>
  <c r="BQ568" i="9"/>
  <c r="BP568" i="9"/>
  <c r="BP850" i="9" s="1"/>
  <c r="BO568" i="9"/>
  <c r="BN568" i="9"/>
  <c r="BN850" i="9" s="1"/>
  <c r="BM568" i="9"/>
  <c r="BM850" i="9" s="1"/>
  <c r="BL568" i="9"/>
  <c r="BL850" i="9" s="1"/>
  <c r="BK568" i="9"/>
  <c r="BK850" i="9" s="1"/>
  <c r="BJ568" i="9"/>
  <c r="BJ850" i="9" s="1"/>
  <c r="BI568" i="9"/>
  <c r="BH568" i="9"/>
  <c r="BH850" i="9" s="1"/>
  <c r="BG568" i="9"/>
  <c r="BG850" i="9" s="1"/>
  <c r="BF568" i="9"/>
  <c r="BE568" i="9"/>
  <c r="BE850" i="9" s="1"/>
  <c r="BD568" i="9"/>
  <c r="BD850" i="9" s="1"/>
  <c r="BC568" i="9"/>
  <c r="BC850" i="9" s="1"/>
  <c r="BB568" i="9"/>
  <c r="BB850" i="9" s="1"/>
  <c r="BA568" i="9"/>
  <c r="AZ568" i="9"/>
  <c r="AZ850" i="9" s="1"/>
  <c r="AY568" i="9"/>
  <c r="AY850" i="9" s="1"/>
  <c r="AX568" i="9"/>
  <c r="AX850" i="9" s="1"/>
  <c r="AW568" i="9"/>
  <c r="AV568" i="9"/>
  <c r="AV850" i="9" s="1"/>
  <c r="AU568" i="9"/>
  <c r="AU850" i="9" s="1"/>
  <c r="AT568" i="9"/>
  <c r="AT850" i="9" s="1"/>
  <c r="AS568" i="9"/>
  <c r="AR568" i="9"/>
  <c r="AR850" i="9" s="1"/>
  <c r="AQ568" i="9"/>
  <c r="AQ850" i="9" s="1"/>
  <c r="AP568" i="9"/>
  <c r="AP850" i="9" s="1"/>
  <c r="AO568" i="9"/>
  <c r="AO850" i="9" s="1"/>
  <c r="AN568" i="9"/>
  <c r="AM568" i="9"/>
  <c r="AM850" i="9" s="1"/>
  <c r="AL568" i="9"/>
  <c r="AL850" i="9" s="1"/>
  <c r="AK568" i="9"/>
  <c r="AJ568" i="9"/>
  <c r="AJ850" i="9" s="1"/>
  <c r="AI568" i="9"/>
  <c r="AI850" i="9" s="1"/>
  <c r="AH568" i="9"/>
  <c r="AH850" i="9" s="1"/>
  <c r="AG568" i="9"/>
  <c r="AG850" i="9" s="1"/>
  <c r="AF568" i="9"/>
  <c r="AF850" i="9" s="1"/>
  <c r="AE568" i="9"/>
  <c r="AD568" i="9"/>
  <c r="AD850" i="9" s="1"/>
  <c r="AC568" i="9"/>
  <c r="AB568" i="9"/>
  <c r="AB850" i="9" s="1"/>
  <c r="AA568" i="9"/>
  <c r="AA850" i="9" s="1"/>
  <c r="V568" i="9"/>
  <c r="D568" i="9"/>
  <c r="B568" i="9" a="1"/>
  <c r="B568" i="9" s="1"/>
  <c r="EY567" i="9"/>
  <c r="CI567" i="9"/>
  <c r="CI849" i="9" s="1"/>
  <c r="CH567" i="9"/>
  <c r="CH849" i="9" s="1"/>
  <c r="CG567" i="9"/>
  <c r="CG849" i="9" s="1"/>
  <c r="CF567" i="9"/>
  <c r="CF849" i="9" s="1"/>
  <c r="CE567" i="9"/>
  <c r="CE849" i="9" s="1"/>
  <c r="CD567" i="9"/>
  <c r="CD849" i="9" s="1"/>
  <c r="CC567" i="9"/>
  <c r="CC849" i="9" s="1"/>
  <c r="BV567" i="9"/>
  <c r="BU567" i="9"/>
  <c r="BT567" i="9"/>
  <c r="BS567" i="9"/>
  <c r="BR567" i="9"/>
  <c r="BQ567" i="9"/>
  <c r="BQ849" i="9" s="1"/>
  <c r="BP567" i="9"/>
  <c r="BO567" i="9"/>
  <c r="BN567" i="9"/>
  <c r="BM567" i="9"/>
  <c r="BL567" i="9"/>
  <c r="BK567" i="9"/>
  <c r="BJ567" i="9"/>
  <c r="BI567" i="9"/>
  <c r="BH567" i="9"/>
  <c r="BH849" i="9" s="1"/>
  <c r="BG567" i="9"/>
  <c r="BF567" i="9"/>
  <c r="BE567" i="9"/>
  <c r="BD567" i="9"/>
  <c r="BC567" i="9"/>
  <c r="BB567" i="9"/>
  <c r="BA567" i="9"/>
  <c r="AZ567" i="9"/>
  <c r="AY567" i="9"/>
  <c r="AX567" i="9"/>
  <c r="AX849" i="9" s="1"/>
  <c r="AW567" i="9"/>
  <c r="AV567" i="9"/>
  <c r="AU567" i="9"/>
  <c r="AT567" i="9"/>
  <c r="AS567" i="9"/>
  <c r="AR567" i="9"/>
  <c r="AQ567" i="9"/>
  <c r="AP567" i="9"/>
  <c r="AO567" i="9"/>
  <c r="AO849" i="9" s="1"/>
  <c r="AN567" i="9"/>
  <c r="AM567" i="9"/>
  <c r="AL567" i="9"/>
  <c r="AK567" i="9"/>
  <c r="AJ567" i="9"/>
  <c r="AI567" i="9"/>
  <c r="AH567" i="9"/>
  <c r="AG567" i="9"/>
  <c r="AF567" i="9"/>
  <c r="AF849" i="9" s="1"/>
  <c r="AE567" i="9"/>
  <c r="AD567" i="9"/>
  <c r="AD849" i="9" s="1"/>
  <c r="AC567" i="9"/>
  <c r="AB567" i="9"/>
  <c r="AA567" i="9"/>
  <c r="V567" i="9"/>
  <c r="D567" i="9"/>
  <c r="B567" i="9" a="1"/>
  <c r="B567" i="9" s="1"/>
  <c r="EY566" i="9"/>
  <c r="CI566" i="9"/>
  <c r="CI848" i="9" s="1"/>
  <c r="CH566" i="9"/>
  <c r="CH848" i="9" s="1"/>
  <c r="CG566" i="9"/>
  <c r="CG848" i="9" s="1"/>
  <c r="CF566" i="9"/>
  <c r="CF848" i="9" s="1"/>
  <c r="CE566" i="9"/>
  <c r="CE848" i="9" s="1"/>
  <c r="CD566" i="9"/>
  <c r="CD848" i="9" s="1"/>
  <c r="CC566" i="9"/>
  <c r="CC848" i="9" s="1"/>
  <c r="BV566" i="9"/>
  <c r="BV848" i="9" s="1"/>
  <c r="BU566" i="9"/>
  <c r="BT566" i="9"/>
  <c r="BT848" i="9" s="1"/>
  <c r="BS566" i="9"/>
  <c r="BR566" i="9"/>
  <c r="BQ566" i="9"/>
  <c r="BP566" i="9"/>
  <c r="BO566" i="9"/>
  <c r="BO848" i="9" s="1"/>
  <c r="BN566" i="9"/>
  <c r="BN848" i="9" s="1"/>
  <c r="BM566" i="9"/>
  <c r="BL566" i="9"/>
  <c r="BL848" i="9" s="1"/>
  <c r="BK566" i="9"/>
  <c r="BK848" i="9" s="1"/>
  <c r="BJ566" i="9"/>
  <c r="BI566" i="9"/>
  <c r="BH566" i="9"/>
  <c r="BG566" i="9"/>
  <c r="BF566" i="9"/>
  <c r="BF848" i="9" s="1"/>
  <c r="BE566" i="9"/>
  <c r="BD566" i="9"/>
  <c r="BD848" i="9" s="1"/>
  <c r="BC566" i="9"/>
  <c r="BC848" i="9" s="1"/>
  <c r="BB566" i="9"/>
  <c r="BB848" i="9" s="1"/>
  <c r="BA566" i="9"/>
  <c r="AZ566" i="9"/>
  <c r="AY566" i="9"/>
  <c r="AX566" i="9"/>
  <c r="AW566" i="9"/>
  <c r="AV566" i="9"/>
  <c r="AV848" i="9" s="1"/>
  <c r="AU566" i="9"/>
  <c r="AU848" i="9" s="1"/>
  <c r="AT566" i="9"/>
  <c r="AT848" i="9" s="1"/>
  <c r="AS566" i="9"/>
  <c r="AS848" i="9" s="1"/>
  <c r="AR566" i="9"/>
  <c r="AQ566" i="9"/>
  <c r="AP566" i="9"/>
  <c r="AO566" i="9"/>
  <c r="AN566" i="9"/>
  <c r="AM566" i="9"/>
  <c r="AM848" i="9" s="1"/>
  <c r="AL566" i="9"/>
  <c r="AL848" i="9" s="1"/>
  <c r="AK566" i="9"/>
  <c r="AK848" i="9" s="1"/>
  <c r="AJ566" i="9"/>
  <c r="AJ848" i="9" s="1"/>
  <c r="AI566" i="9"/>
  <c r="AH566" i="9"/>
  <c r="AG566" i="9"/>
  <c r="AF566" i="9"/>
  <c r="AE566" i="9"/>
  <c r="AD566" i="9"/>
  <c r="AD848" i="9" s="1"/>
  <c r="AC566" i="9"/>
  <c r="AC848" i="9" s="1"/>
  <c r="AB566" i="9"/>
  <c r="AB848" i="9" s="1"/>
  <c r="AA566" i="9"/>
  <c r="AA848" i="9" s="1"/>
  <c r="V566" i="9"/>
  <c r="V706" i="9" s="1"/>
  <c r="BX706" i="9" s="1"/>
  <c r="D566" i="9"/>
  <c r="B566" i="9" a="1"/>
  <c r="B566" i="9" s="1"/>
  <c r="EY565" i="9"/>
  <c r="CI565" i="9"/>
  <c r="CI847" i="9" s="1"/>
  <c r="CH565" i="9"/>
  <c r="CH847" i="9" s="1"/>
  <c r="CG565" i="9"/>
  <c r="CG847" i="9" s="1"/>
  <c r="CF565" i="9"/>
  <c r="CF847" i="9" s="1"/>
  <c r="CE565" i="9"/>
  <c r="CE847" i="9" s="1"/>
  <c r="CD565" i="9"/>
  <c r="CD847" i="9" s="1"/>
  <c r="CC565" i="9"/>
  <c r="CC847" i="9" s="1"/>
  <c r="BV565" i="9"/>
  <c r="BV847" i="9" s="1"/>
  <c r="BU565" i="9"/>
  <c r="BU847" i="9" s="1"/>
  <c r="BT565" i="9"/>
  <c r="BT847" i="9" s="1"/>
  <c r="BS565" i="9"/>
  <c r="BR565" i="9"/>
  <c r="BR847" i="9" s="1"/>
  <c r="BQ565" i="9"/>
  <c r="BQ847" i="9" s="1"/>
  <c r="BP565" i="9"/>
  <c r="BO565" i="9"/>
  <c r="BO847" i="9" s="1"/>
  <c r="BN565" i="9"/>
  <c r="BN847" i="9" s="1"/>
  <c r="BM565" i="9"/>
  <c r="BM847" i="9" s="1"/>
  <c r="BL565" i="9"/>
  <c r="BL847" i="9" s="1"/>
  <c r="BK565" i="9"/>
  <c r="BJ565" i="9"/>
  <c r="BJ847" i="9" s="1"/>
  <c r="BI565" i="9"/>
  <c r="BI847" i="9" s="1"/>
  <c r="BH565" i="9"/>
  <c r="BH847" i="9" s="1"/>
  <c r="BG565" i="9"/>
  <c r="BF565" i="9"/>
  <c r="BF847" i="9" s="1"/>
  <c r="BE565" i="9"/>
  <c r="BE847" i="9" s="1"/>
  <c r="BD565" i="9"/>
  <c r="BD847" i="9" s="1"/>
  <c r="BC565" i="9"/>
  <c r="BB565" i="9"/>
  <c r="BB847" i="9" s="1"/>
  <c r="BA565" i="9"/>
  <c r="BA847" i="9" s="1"/>
  <c r="AZ565" i="9"/>
  <c r="AZ847" i="9" s="1"/>
  <c r="AY565" i="9"/>
  <c r="AY847" i="9" s="1"/>
  <c r="AX565" i="9"/>
  <c r="AW565" i="9"/>
  <c r="AW847" i="9" s="1"/>
  <c r="AV565" i="9"/>
  <c r="AV847" i="9" s="1"/>
  <c r="AU565" i="9"/>
  <c r="AT565" i="9"/>
  <c r="AT847" i="9" s="1"/>
  <c r="AS565" i="9"/>
  <c r="AS847" i="9" s="1"/>
  <c r="AR565" i="9"/>
  <c r="AR847" i="9" s="1"/>
  <c r="AQ565" i="9"/>
  <c r="AQ847" i="9" s="1"/>
  <c r="AP565" i="9"/>
  <c r="AP847" i="9" s="1"/>
  <c r="AO565" i="9"/>
  <c r="AN565" i="9"/>
  <c r="AN847" i="9" s="1"/>
  <c r="AM565" i="9"/>
  <c r="AL565" i="9"/>
  <c r="AL847" i="9" s="1"/>
  <c r="AK565" i="9"/>
  <c r="AK847" i="9" s="1"/>
  <c r="AJ565" i="9"/>
  <c r="AJ847" i="9" s="1"/>
  <c r="AI565" i="9"/>
  <c r="AI847" i="9" s="1"/>
  <c r="AH565" i="9"/>
  <c r="AH847" i="9" s="1"/>
  <c r="AG565" i="9"/>
  <c r="AG847" i="9" s="1"/>
  <c r="AF565" i="9"/>
  <c r="AE565" i="9"/>
  <c r="AD565" i="9"/>
  <c r="AD847" i="9" s="1"/>
  <c r="AC565" i="9"/>
  <c r="AC847" i="9" s="1"/>
  <c r="AB565" i="9"/>
  <c r="AB847" i="9" s="1"/>
  <c r="AA565" i="9"/>
  <c r="AA847" i="9" s="1"/>
  <c r="V565" i="9"/>
  <c r="V705" i="9" s="1"/>
  <c r="BX705" i="9" s="1"/>
  <c r="D565" i="9"/>
  <c r="B565" i="9" a="1"/>
  <c r="B565" i="9" s="1"/>
  <c r="EY564" i="9"/>
  <c r="CI564" i="9"/>
  <c r="CI846" i="9" s="1"/>
  <c r="CH564" i="9"/>
  <c r="CH846" i="9" s="1"/>
  <c r="CG564" i="9"/>
  <c r="CG846" i="9" s="1"/>
  <c r="CF564" i="9"/>
  <c r="CF846" i="9" s="1"/>
  <c r="CE564" i="9"/>
  <c r="CE846" i="9" s="1"/>
  <c r="CD564" i="9"/>
  <c r="CD846" i="9" s="1"/>
  <c r="CC564" i="9"/>
  <c r="CC846" i="9" s="1"/>
  <c r="BV564" i="9"/>
  <c r="BU564" i="9"/>
  <c r="BT564" i="9"/>
  <c r="BS564" i="9"/>
  <c r="BR564" i="9"/>
  <c r="BR846" i="9" s="1"/>
  <c r="BQ564" i="9"/>
  <c r="BP564" i="9"/>
  <c r="BO564" i="9"/>
  <c r="BN564" i="9"/>
  <c r="BM564" i="9"/>
  <c r="BL564" i="9"/>
  <c r="BK564" i="9"/>
  <c r="BJ564" i="9"/>
  <c r="BI564" i="9"/>
  <c r="BH564" i="9"/>
  <c r="BG564" i="9"/>
  <c r="BF564" i="9"/>
  <c r="BE564" i="9"/>
  <c r="BD564" i="9"/>
  <c r="BC564" i="9"/>
  <c r="BB564" i="9"/>
  <c r="BA564" i="9"/>
  <c r="AZ564" i="9"/>
  <c r="AY564" i="9"/>
  <c r="AY846" i="9" s="1"/>
  <c r="AX564" i="9"/>
  <c r="AW564" i="9"/>
  <c r="AV564" i="9"/>
  <c r="AU564" i="9"/>
  <c r="AT564" i="9"/>
  <c r="AS564" i="9"/>
  <c r="AR564" i="9"/>
  <c r="AQ564" i="9"/>
  <c r="AP564" i="9"/>
  <c r="AO564" i="9"/>
  <c r="AN564" i="9"/>
  <c r="AM564" i="9"/>
  <c r="AL564" i="9"/>
  <c r="AK564" i="9"/>
  <c r="AJ564" i="9"/>
  <c r="AI564" i="9"/>
  <c r="AH564" i="9"/>
  <c r="AG564" i="9"/>
  <c r="AG846" i="9" s="1"/>
  <c r="AF564" i="9"/>
  <c r="AE564" i="9"/>
  <c r="AD564" i="9"/>
  <c r="AC564" i="9"/>
  <c r="AB564" i="9"/>
  <c r="AA564" i="9"/>
  <c r="V564" i="9"/>
  <c r="V704" i="9" s="1"/>
  <c r="BX704" i="9" s="1"/>
  <c r="D564" i="9"/>
  <c r="B564" i="9" a="1"/>
  <c r="B564" i="9" s="1"/>
  <c r="EY563" i="9"/>
  <c r="CI563" i="9"/>
  <c r="CI845" i="9" s="1"/>
  <c r="CH563" i="9"/>
  <c r="CH845" i="9" s="1"/>
  <c r="CG563" i="9"/>
  <c r="CG845" i="9" s="1"/>
  <c r="CF563" i="9"/>
  <c r="CF845" i="9" s="1"/>
  <c r="CE563" i="9"/>
  <c r="CE845" i="9" s="1"/>
  <c r="CD563" i="9"/>
  <c r="CD845" i="9" s="1"/>
  <c r="CC563" i="9"/>
  <c r="CC845" i="9" s="1"/>
  <c r="BV563" i="9"/>
  <c r="BV845" i="9" s="1"/>
  <c r="BU563" i="9"/>
  <c r="BU845" i="9" s="1"/>
  <c r="BT563" i="9"/>
  <c r="BS563" i="9"/>
  <c r="BS845" i="9" s="1"/>
  <c r="BR563" i="9"/>
  <c r="BQ563" i="9"/>
  <c r="BQ845" i="9" s="1"/>
  <c r="BP563" i="9"/>
  <c r="BP845" i="9" s="1"/>
  <c r="BO563" i="9"/>
  <c r="BO845" i="9" s="1"/>
  <c r="BN563" i="9"/>
  <c r="BN845" i="9" s="1"/>
  <c r="BM563" i="9"/>
  <c r="BM845" i="9" s="1"/>
  <c r="BL563" i="9"/>
  <c r="BK563" i="9"/>
  <c r="BK845" i="9" s="1"/>
  <c r="BJ563" i="9"/>
  <c r="BI563" i="9"/>
  <c r="BI845" i="9" s="1"/>
  <c r="BH563" i="9"/>
  <c r="BH845" i="9" s="1"/>
  <c r="BG563" i="9"/>
  <c r="BG845" i="9" s="1"/>
  <c r="BF563" i="9"/>
  <c r="BF845" i="9" s="1"/>
  <c r="BE563" i="9"/>
  <c r="BE845" i="9" s="1"/>
  <c r="BD563" i="9"/>
  <c r="BC563" i="9"/>
  <c r="BC845" i="9" s="1"/>
  <c r="BB563" i="9"/>
  <c r="BA563" i="9"/>
  <c r="BA845" i="9" s="1"/>
  <c r="AZ563" i="9"/>
  <c r="AZ845" i="9" s="1"/>
  <c r="AY563" i="9"/>
  <c r="AY845" i="9" s="1"/>
  <c r="AX563" i="9"/>
  <c r="AX845" i="9" s="1"/>
  <c r="AW563" i="9"/>
  <c r="AW845" i="9" s="1"/>
  <c r="AV563" i="9"/>
  <c r="AU563" i="9"/>
  <c r="AU845" i="9" s="1"/>
  <c r="AT563" i="9"/>
  <c r="AS563" i="9"/>
  <c r="AS845" i="9" s="1"/>
  <c r="AR563" i="9"/>
  <c r="AR845" i="9" s="1"/>
  <c r="AQ563" i="9"/>
  <c r="AQ845" i="9" s="1"/>
  <c r="AP563" i="9"/>
  <c r="AP845" i="9" s="1"/>
  <c r="AO563" i="9"/>
  <c r="AO845" i="9" s="1"/>
  <c r="AN563" i="9"/>
  <c r="AM563" i="9"/>
  <c r="AM845" i="9" s="1"/>
  <c r="AL563" i="9"/>
  <c r="AK563" i="9"/>
  <c r="AK845" i="9" s="1"/>
  <c r="AJ563" i="9"/>
  <c r="AJ845" i="9" s="1"/>
  <c r="AI563" i="9"/>
  <c r="AI845" i="9" s="1"/>
  <c r="AH563" i="9"/>
  <c r="AH845" i="9" s="1"/>
  <c r="AG563" i="9"/>
  <c r="AG845" i="9" s="1"/>
  <c r="AF563" i="9"/>
  <c r="AE563" i="9"/>
  <c r="AE845" i="9" s="1"/>
  <c r="AD563" i="9"/>
  <c r="AC563" i="9"/>
  <c r="AC845" i="9" s="1"/>
  <c r="AB563" i="9"/>
  <c r="AB845" i="9" s="1"/>
  <c r="AA563" i="9"/>
  <c r="AA845" i="9" s="1"/>
  <c r="V563" i="9"/>
  <c r="D563" i="9"/>
  <c r="B563" i="9" a="1"/>
  <c r="B563" i="9" s="1"/>
  <c r="EY562" i="9"/>
  <c r="CI562" i="9"/>
  <c r="CI844" i="9" s="1"/>
  <c r="CH562" i="9"/>
  <c r="CH844" i="9" s="1"/>
  <c r="CG562" i="9"/>
  <c r="CG844" i="9" s="1"/>
  <c r="CF562" i="9"/>
  <c r="CF844" i="9" s="1"/>
  <c r="CE562" i="9"/>
  <c r="CE844" i="9" s="1"/>
  <c r="CD562" i="9"/>
  <c r="CD844" i="9" s="1"/>
  <c r="CC562" i="9"/>
  <c r="CC844" i="9" s="1"/>
  <c r="BV562" i="9"/>
  <c r="BV844" i="9" s="1"/>
  <c r="BU562" i="9"/>
  <c r="BU844" i="9" s="1"/>
  <c r="BT562" i="9"/>
  <c r="BT844" i="9" s="1"/>
  <c r="BS562" i="9"/>
  <c r="BS844" i="9" s="1"/>
  <c r="BR562" i="9"/>
  <c r="BQ562" i="9"/>
  <c r="BQ844" i="9" s="1"/>
  <c r="BP562" i="9"/>
  <c r="BP844" i="9" s="1"/>
  <c r="BO562" i="9"/>
  <c r="BO844" i="9" s="1"/>
  <c r="BN562" i="9"/>
  <c r="BN844" i="9" s="1"/>
  <c r="BM562" i="9"/>
  <c r="BM844" i="9" s="1"/>
  <c r="BL562" i="9"/>
  <c r="BL844" i="9" s="1"/>
  <c r="BK562" i="9"/>
  <c r="BK844" i="9" s="1"/>
  <c r="BJ562" i="9"/>
  <c r="BI562" i="9"/>
  <c r="BI844" i="9" s="1"/>
  <c r="BH562" i="9"/>
  <c r="BH844" i="9" s="1"/>
  <c r="BG562" i="9"/>
  <c r="BG844" i="9" s="1"/>
  <c r="BF562" i="9"/>
  <c r="BF844" i="9" s="1"/>
  <c r="BE562" i="9"/>
  <c r="BE844" i="9" s="1"/>
  <c r="BD562" i="9"/>
  <c r="BD844" i="9" s="1"/>
  <c r="BC562" i="9"/>
  <c r="BC844" i="9" s="1"/>
  <c r="BB562" i="9"/>
  <c r="BA562" i="9"/>
  <c r="BA844" i="9" s="1"/>
  <c r="AZ562" i="9"/>
  <c r="AZ844" i="9" s="1"/>
  <c r="AY562" i="9"/>
  <c r="AY844" i="9" s="1"/>
  <c r="AX562" i="9"/>
  <c r="AX844" i="9" s="1"/>
  <c r="AW562" i="9"/>
  <c r="AW844" i="9" s="1"/>
  <c r="AV562" i="9"/>
  <c r="AV844" i="9" s="1"/>
  <c r="AU562" i="9"/>
  <c r="AU844" i="9" s="1"/>
  <c r="AT562" i="9"/>
  <c r="AS562" i="9"/>
  <c r="AS844" i="9" s="1"/>
  <c r="AR562" i="9"/>
  <c r="AR844" i="9" s="1"/>
  <c r="AQ562" i="9"/>
  <c r="AQ844" i="9" s="1"/>
  <c r="AP562" i="9"/>
  <c r="AP844" i="9" s="1"/>
  <c r="AO562" i="9"/>
  <c r="AO844" i="9" s="1"/>
  <c r="AN562" i="9"/>
  <c r="AN844" i="9" s="1"/>
  <c r="AM562" i="9"/>
  <c r="AM844" i="9" s="1"/>
  <c r="AL562" i="9"/>
  <c r="AK562" i="9"/>
  <c r="AK844" i="9" s="1"/>
  <c r="AJ562" i="9"/>
  <c r="AJ844" i="9" s="1"/>
  <c r="AI562" i="9"/>
  <c r="AI844" i="9" s="1"/>
  <c r="AH562" i="9"/>
  <c r="AH844" i="9" s="1"/>
  <c r="AG562" i="9"/>
  <c r="AG844" i="9" s="1"/>
  <c r="AF562" i="9"/>
  <c r="AF844" i="9" s="1"/>
  <c r="AE562" i="9"/>
  <c r="AE844" i="9" s="1"/>
  <c r="AD562" i="9"/>
  <c r="AC562" i="9"/>
  <c r="AC844" i="9" s="1"/>
  <c r="AB562" i="9"/>
  <c r="AB844" i="9" s="1"/>
  <c r="AA562" i="9"/>
  <c r="AA844" i="9" s="1"/>
  <c r="V562" i="9"/>
  <c r="V844" i="9" s="1"/>
  <c r="D562" i="9"/>
  <c r="B562" i="9" a="1"/>
  <c r="B562" i="9" s="1"/>
  <c r="EY561" i="9"/>
  <c r="CI561" i="9"/>
  <c r="CI843" i="9" s="1"/>
  <c r="CH561" i="9"/>
  <c r="CH843" i="9" s="1"/>
  <c r="CG561" i="9"/>
  <c r="CG843" i="9" s="1"/>
  <c r="CF561" i="9"/>
  <c r="CF843" i="9" s="1"/>
  <c r="CE561" i="9"/>
  <c r="CE843" i="9" s="1"/>
  <c r="CD561" i="9"/>
  <c r="CD843" i="9" s="1"/>
  <c r="CC561" i="9"/>
  <c r="CC843" i="9" s="1"/>
  <c r="BV561" i="9"/>
  <c r="BU561" i="9"/>
  <c r="BT561" i="9"/>
  <c r="BS561" i="9"/>
  <c r="BR561" i="9"/>
  <c r="BQ561" i="9"/>
  <c r="BQ843" i="9" s="1"/>
  <c r="BP561" i="9"/>
  <c r="BO561" i="9"/>
  <c r="BN561" i="9"/>
  <c r="BM561" i="9"/>
  <c r="BL561" i="9"/>
  <c r="BL843" i="9" s="1"/>
  <c r="BK561" i="9"/>
  <c r="BK843" i="9" s="1"/>
  <c r="BJ561" i="9"/>
  <c r="BJ843" i="9" s="1"/>
  <c r="BI561" i="9"/>
  <c r="BH561" i="9"/>
  <c r="BG561" i="9"/>
  <c r="BF561" i="9"/>
  <c r="BE561" i="9"/>
  <c r="BD561" i="9"/>
  <c r="BC561" i="9"/>
  <c r="BB561" i="9"/>
  <c r="BA561" i="9"/>
  <c r="BA843" i="9" s="1"/>
  <c r="AZ561" i="9"/>
  <c r="AY561" i="9"/>
  <c r="AX561" i="9"/>
  <c r="AW561" i="9"/>
  <c r="AV561" i="9"/>
  <c r="AV843" i="9" s="1"/>
  <c r="AU561" i="9"/>
  <c r="AU843" i="9" s="1"/>
  <c r="AT561" i="9"/>
  <c r="AT843" i="9" s="1"/>
  <c r="AS561" i="9"/>
  <c r="AR561" i="9"/>
  <c r="AQ561" i="9"/>
  <c r="AP561" i="9"/>
  <c r="AO561" i="9"/>
  <c r="AN561" i="9"/>
  <c r="AM561" i="9"/>
  <c r="AL561" i="9"/>
  <c r="AK561" i="9"/>
  <c r="AK843" i="9" s="1"/>
  <c r="AJ561" i="9"/>
  <c r="AI561" i="9"/>
  <c r="AH561" i="9"/>
  <c r="AG561" i="9"/>
  <c r="AF561" i="9"/>
  <c r="AF843" i="9" s="1"/>
  <c r="AE561" i="9"/>
  <c r="AE843" i="9" s="1"/>
  <c r="AD561" i="9"/>
  <c r="AD843" i="9" s="1"/>
  <c r="AC561" i="9"/>
  <c r="AB561" i="9"/>
  <c r="AA561" i="9"/>
  <c r="V561" i="9"/>
  <c r="V701" i="9" s="1"/>
  <c r="BX701" i="9" s="1"/>
  <c r="D561" i="9"/>
  <c r="B561" i="9" a="1"/>
  <c r="B561" i="9" s="1"/>
  <c r="EY560" i="9"/>
  <c r="CI560" i="9"/>
  <c r="CI842" i="9" s="1"/>
  <c r="CH560" i="9"/>
  <c r="CH842" i="9" s="1"/>
  <c r="CG560" i="9"/>
  <c r="CG842" i="9" s="1"/>
  <c r="CF560" i="9"/>
  <c r="CF842" i="9" s="1"/>
  <c r="CE560" i="9"/>
  <c r="CE842" i="9" s="1"/>
  <c r="CD560" i="9"/>
  <c r="CD842" i="9" s="1"/>
  <c r="CC560" i="9"/>
  <c r="CC842" i="9" s="1"/>
  <c r="BV560" i="9"/>
  <c r="BU560" i="9"/>
  <c r="BT560" i="9"/>
  <c r="BS560" i="9"/>
  <c r="BR560" i="9"/>
  <c r="BQ560" i="9"/>
  <c r="BP560" i="9"/>
  <c r="BO560" i="9"/>
  <c r="BN560" i="9"/>
  <c r="BM560" i="9"/>
  <c r="BL560" i="9"/>
  <c r="BK560" i="9"/>
  <c r="BJ560" i="9"/>
  <c r="BI560" i="9"/>
  <c r="BH560" i="9"/>
  <c r="BG560" i="9"/>
  <c r="BF560" i="9"/>
  <c r="BE560" i="9"/>
  <c r="BD560" i="9"/>
  <c r="BC560" i="9"/>
  <c r="BB560" i="9"/>
  <c r="BA560" i="9"/>
  <c r="AZ560" i="9"/>
  <c r="AY560" i="9"/>
  <c r="AX560" i="9"/>
  <c r="AW560" i="9"/>
  <c r="AV560" i="9"/>
  <c r="AU560" i="9"/>
  <c r="AT560" i="9"/>
  <c r="AS560" i="9"/>
  <c r="AR560" i="9"/>
  <c r="AQ560" i="9"/>
  <c r="AP560" i="9"/>
  <c r="AO560" i="9"/>
  <c r="AN560" i="9"/>
  <c r="AM560" i="9"/>
  <c r="AL560" i="9"/>
  <c r="AK560" i="9"/>
  <c r="AJ560" i="9"/>
  <c r="AI560" i="9"/>
  <c r="AH560" i="9"/>
  <c r="AG560" i="9"/>
  <c r="AF560" i="9"/>
  <c r="AE560" i="9"/>
  <c r="AD560" i="9"/>
  <c r="AC560" i="9"/>
  <c r="AB560" i="9"/>
  <c r="AA560" i="9"/>
  <c r="V560" i="9"/>
  <c r="V700" i="9" s="1"/>
  <c r="BX700" i="9" s="1"/>
  <c r="D560" i="9"/>
  <c r="B560" i="9" a="1"/>
  <c r="B560" i="9" s="1"/>
  <c r="EY559" i="9"/>
  <c r="CI559" i="9"/>
  <c r="CI841" i="9" s="1"/>
  <c r="CH559" i="9"/>
  <c r="CH841" i="9" s="1"/>
  <c r="CG559" i="9"/>
  <c r="CG841" i="9" s="1"/>
  <c r="CF559" i="9"/>
  <c r="CF841" i="9" s="1"/>
  <c r="CE559" i="9"/>
  <c r="CE841" i="9" s="1"/>
  <c r="CD559" i="9"/>
  <c r="CD841" i="9" s="1"/>
  <c r="CC559" i="9"/>
  <c r="CC841" i="9" s="1"/>
  <c r="BV559" i="9"/>
  <c r="BV841" i="9" s="1"/>
  <c r="BU559" i="9"/>
  <c r="BU841" i="9" s="1"/>
  <c r="BT559" i="9"/>
  <c r="BS559" i="9"/>
  <c r="BS841" i="9" s="1"/>
  <c r="BR559" i="9"/>
  <c r="BQ559" i="9"/>
  <c r="BQ841" i="9" s="1"/>
  <c r="BP559" i="9"/>
  <c r="BP841" i="9" s="1"/>
  <c r="BO559" i="9"/>
  <c r="BO841" i="9" s="1"/>
  <c r="BN559" i="9"/>
  <c r="BN841" i="9" s="1"/>
  <c r="BM559" i="9"/>
  <c r="BM841" i="9" s="1"/>
  <c r="BL559" i="9"/>
  <c r="BK559" i="9"/>
  <c r="BK841" i="9" s="1"/>
  <c r="BJ559" i="9"/>
  <c r="BI559" i="9"/>
  <c r="BI841" i="9" s="1"/>
  <c r="BH559" i="9"/>
  <c r="BH841" i="9" s="1"/>
  <c r="BG559" i="9"/>
  <c r="BG841" i="9" s="1"/>
  <c r="BF559" i="9"/>
  <c r="BF841" i="9" s="1"/>
  <c r="BE559" i="9"/>
  <c r="BE841" i="9" s="1"/>
  <c r="BD559" i="9"/>
  <c r="BC559" i="9"/>
  <c r="BC841" i="9" s="1"/>
  <c r="BB559" i="9"/>
  <c r="BA559" i="9"/>
  <c r="BA841" i="9" s="1"/>
  <c r="AZ559" i="9"/>
  <c r="AZ841" i="9" s="1"/>
  <c r="AY559" i="9"/>
  <c r="AY841" i="9" s="1"/>
  <c r="AX559" i="9"/>
  <c r="AX841" i="9" s="1"/>
  <c r="AW559" i="9"/>
  <c r="AW841" i="9" s="1"/>
  <c r="AV559" i="9"/>
  <c r="AU559" i="9"/>
  <c r="AU841" i="9" s="1"/>
  <c r="AT559" i="9"/>
  <c r="AS559" i="9"/>
  <c r="AS841" i="9" s="1"/>
  <c r="AR559" i="9"/>
  <c r="AR841" i="9" s="1"/>
  <c r="AQ559" i="9"/>
  <c r="AQ841" i="9" s="1"/>
  <c r="AP559" i="9"/>
  <c r="AP841" i="9" s="1"/>
  <c r="AO559" i="9"/>
  <c r="AO841" i="9" s="1"/>
  <c r="AN559" i="9"/>
  <c r="AM559" i="9"/>
  <c r="AM841" i="9" s="1"/>
  <c r="AL559" i="9"/>
  <c r="AK559" i="9"/>
  <c r="AK841" i="9" s="1"/>
  <c r="AJ559" i="9"/>
  <c r="AJ841" i="9" s="1"/>
  <c r="AI559" i="9"/>
  <c r="AI841" i="9" s="1"/>
  <c r="AH559" i="9"/>
  <c r="AH841" i="9" s="1"/>
  <c r="AG559" i="9"/>
  <c r="AG841" i="9" s="1"/>
  <c r="AF559" i="9"/>
  <c r="AE559" i="9"/>
  <c r="AE841" i="9" s="1"/>
  <c r="AD559" i="9"/>
  <c r="AC559" i="9"/>
  <c r="AC841" i="9" s="1"/>
  <c r="AB559" i="9"/>
  <c r="AB841" i="9" s="1"/>
  <c r="AA559" i="9"/>
  <c r="AA841" i="9" s="1"/>
  <c r="V559" i="9"/>
  <c r="D559" i="9"/>
  <c r="B559" i="9" a="1"/>
  <c r="B559" i="9" s="1"/>
  <c r="EY558" i="9"/>
  <c r="CI558" i="9"/>
  <c r="CI840" i="9" s="1"/>
  <c r="CH558" i="9"/>
  <c r="CH840" i="9" s="1"/>
  <c r="CG558" i="9"/>
  <c r="CG840" i="9" s="1"/>
  <c r="CF558" i="9"/>
  <c r="CF840" i="9" s="1"/>
  <c r="CE558" i="9"/>
  <c r="CE840" i="9" s="1"/>
  <c r="CD558" i="9"/>
  <c r="CD840" i="9" s="1"/>
  <c r="CC558" i="9"/>
  <c r="CC840" i="9" s="1"/>
  <c r="BV558" i="9"/>
  <c r="BV840" i="9" s="1"/>
  <c r="BU558" i="9"/>
  <c r="BU840" i="9" s="1"/>
  <c r="BT558" i="9"/>
  <c r="BT840" i="9" s="1"/>
  <c r="BS558" i="9"/>
  <c r="BS840" i="9" s="1"/>
  <c r="BR558" i="9"/>
  <c r="BQ558" i="9"/>
  <c r="BQ840" i="9" s="1"/>
  <c r="BP558" i="9"/>
  <c r="BP840" i="9" s="1"/>
  <c r="BO558" i="9"/>
  <c r="BO840" i="9" s="1"/>
  <c r="BN558" i="9"/>
  <c r="BN840" i="9" s="1"/>
  <c r="BM558" i="9"/>
  <c r="BM840" i="9" s="1"/>
  <c r="BL558" i="9"/>
  <c r="BL840" i="9" s="1"/>
  <c r="BK558" i="9"/>
  <c r="BK840" i="9" s="1"/>
  <c r="BJ558" i="9"/>
  <c r="BI558" i="9"/>
  <c r="BI840" i="9" s="1"/>
  <c r="BH558" i="9"/>
  <c r="BH840" i="9" s="1"/>
  <c r="BG558" i="9"/>
  <c r="BG840" i="9" s="1"/>
  <c r="BF558" i="9"/>
  <c r="BF840" i="9" s="1"/>
  <c r="BE558" i="9"/>
  <c r="BE840" i="9" s="1"/>
  <c r="BD558" i="9"/>
  <c r="BD840" i="9" s="1"/>
  <c r="BC558" i="9"/>
  <c r="BC840" i="9" s="1"/>
  <c r="BB558" i="9"/>
  <c r="BA558" i="9"/>
  <c r="BA840" i="9" s="1"/>
  <c r="AZ558" i="9"/>
  <c r="AZ840" i="9" s="1"/>
  <c r="AY558" i="9"/>
  <c r="AY840" i="9" s="1"/>
  <c r="AX558" i="9"/>
  <c r="AX840" i="9" s="1"/>
  <c r="AW558" i="9"/>
  <c r="AW840" i="9" s="1"/>
  <c r="AV558" i="9"/>
  <c r="AV840" i="9" s="1"/>
  <c r="AU558" i="9"/>
  <c r="AU840" i="9" s="1"/>
  <c r="AT558" i="9"/>
  <c r="AS558" i="9"/>
  <c r="AS840" i="9" s="1"/>
  <c r="AR558" i="9"/>
  <c r="AR840" i="9" s="1"/>
  <c r="AQ558" i="9"/>
  <c r="AQ840" i="9" s="1"/>
  <c r="AP558" i="9"/>
  <c r="AP840" i="9" s="1"/>
  <c r="AO558" i="9"/>
  <c r="AO840" i="9" s="1"/>
  <c r="AN558" i="9"/>
  <c r="AN840" i="9" s="1"/>
  <c r="AM558" i="9"/>
  <c r="AM840" i="9" s="1"/>
  <c r="AL558" i="9"/>
  <c r="AK558" i="9"/>
  <c r="AK840" i="9" s="1"/>
  <c r="AJ558" i="9"/>
  <c r="AJ840" i="9" s="1"/>
  <c r="AI558" i="9"/>
  <c r="AI840" i="9" s="1"/>
  <c r="AH558" i="9"/>
  <c r="AH840" i="9" s="1"/>
  <c r="AG558" i="9"/>
  <c r="AG840" i="9" s="1"/>
  <c r="AF558" i="9"/>
  <c r="AF840" i="9" s="1"/>
  <c r="AE558" i="9"/>
  <c r="AE840" i="9" s="1"/>
  <c r="AD558" i="9"/>
  <c r="AC558" i="9"/>
  <c r="AC840" i="9" s="1"/>
  <c r="AB558" i="9"/>
  <c r="AB840" i="9" s="1"/>
  <c r="AA558" i="9"/>
  <c r="AA840" i="9" s="1"/>
  <c r="V558" i="9"/>
  <c r="D558" i="9"/>
  <c r="B558" i="9" a="1"/>
  <c r="B558" i="9" s="1"/>
  <c r="EY557" i="9"/>
  <c r="CI557" i="9"/>
  <c r="CI839" i="9" s="1"/>
  <c r="CH557" i="9"/>
  <c r="CH839" i="9" s="1"/>
  <c r="CG557" i="9"/>
  <c r="CG839" i="9" s="1"/>
  <c r="CF557" i="9"/>
  <c r="CF839" i="9" s="1"/>
  <c r="CE557" i="9"/>
  <c r="CE839" i="9" s="1"/>
  <c r="CD557" i="9"/>
  <c r="CD839" i="9" s="1"/>
  <c r="CC557" i="9"/>
  <c r="CC839" i="9" s="1"/>
  <c r="BV557" i="9"/>
  <c r="BU557" i="9"/>
  <c r="BT557" i="9"/>
  <c r="BS557" i="9"/>
  <c r="BR557" i="9"/>
  <c r="BQ557" i="9"/>
  <c r="BP557" i="9"/>
  <c r="BO557" i="9"/>
  <c r="BN557" i="9"/>
  <c r="BM557" i="9"/>
  <c r="BL557" i="9"/>
  <c r="BK557" i="9"/>
  <c r="BJ557" i="9"/>
  <c r="BI557" i="9"/>
  <c r="BH557" i="9"/>
  <c r="BG557" i="9"/>
  <c r="BF557" i="9"/>
  <c r="BE557" i="9"/>
  <c r="BD557" i="9"/>
  <c r="BC557" i="9"/>
  <c r="BB557" i="9"/>
  <c r="BA557" i="9"/>
  <c r="AZ557" i="9"/>
  <c r="AY557" i="9"/>
  <c r="AX557" i="9"/>
  <c r="AW557" i="9"/>
  <c r="AV557" i="9"/>
  <c r="AU557" i="9"/>
  <c r="AT557" i="9"/>
  <c r="AS557" i="9"/>
  <c r="AR557" i="9"/>
  <c r="AQ557" i="9"/>
  <c r="AP557" i="9"/>
  <c r="AO557" i="9"/>
  <c r="AN557" i="9"/>
  <c r="AM557" i="9"/>
  <c r="AL557" i="9"/>
  <c r="AK557" i="9"/>
  <c r="AJ557" i="9"/>
  <c r="AI557" i="9"/>
  <c r="AH557" i="9"/>
  <c r="AG557" i="9"/>
  <c r="AF557" i="9"/>
  <c r="AE557" i="9"/>
  <c r="AD557" i="9"/>
  <c r="AC557" i="9"/>
  <c r="AB557" i="9"/>
  <c r="AA557" i="9"/>
  <c r="V557" i="9"/>
  <c r="V697" i="9" s="1"/>
  <c r="BX697" i="9" s="1"/>
  <c r="D557" i="9"/>
  <c r="B557" i="9" a="1"/>
  <c r="B557" i="9" s="1"/>
  <c r="EY556" i="9"/>
  <c r="CI556" i="9"/>
  <c r="CI838" i="9" s="1"/>
  <c r="CH556" i="9"/>
  <c r="CH838" i="9" s="1"/>
  <c r="CG556" i="9"/>
  <c r="CG838" i="9" s="1"/>
  <c r="CF556" i="9"/>
  <c r="CF838" i="9" s="1"/>
  <c r="CE556" i="9"/>
  <c r="CE838" i="9" s="1"/>
  <c r="CD556" i="9"/>
  <c r="CD838" i="9" s="1"/>
  <c r="CC556" i="9"/>
  <c r="CC838" i="9" s="1"/>
  <c r="BV556" i="9"/>
  <c r="BU556" i="9"/>
  <c r="BT556" i="9"/>
  <c r="BS556" i="9"/>
  <c r="BR556" i="9"/>
  <c r="BQ556" i="9"/>
  <c r="BQ838" i="9" s="1"/>
  <c r="BP556" i="9"/>
  <c r="BP838" i="9" s="1"/>
  <c r="BO556" i="9"/>
  <c r="BO838" i="9" s="1"/>
  <c r="BN556" i="9"/>
  <c r="BM556" i="9"/>
  <c r="BL556" i="9"/>
  <c r="BK556" i="9"/>
  <c r="BJ556" i="9"/>
  <c r="BJ838" i="9" s="1"/>
  <c r="BI556" i="9"/>
  <c r="BI838" i="9" s="1"/>
  <c r="BH556" i="9"/>
  <c r="BH838" i="9" s="1"/>
  <c r="BG556" i="9"/>
  <c r="BF556" i="9"/>
  <c r="BE556" i="9"/>
  <c r="BD556" i="9"/>
  <c r="BC556" i="9"/>
  <c r="BB556" i="9"/>
  <c r="BA556" i="9"/>
  <c r="BA838" i="9" s="1"/>
  <c r="AZ556" i="9"/>
  <c r="AZ838" i="9" s="1"/>
  <c r="AY556" i="9"/>
  <c r="AY838" i="9" s="1"/>
  <c r="AX556" i="9"/>
  <c r="AW556" i="9"/>
  <c r="AV556" i="9"/>
  <c r="AU556" i="9"/>
  <c r="AT556" i="9"/>
  <c r="AT838" i="9" s="1"/>
  <c r="AS556" i="9"/>
  <c r="AS838" i="9" s="1"/>
  <c r="AR556" i="9"/>
  <c r="AR838" i="9" s="1"/>
  <c r="AQ556" i="9"/>
  <c r="AP556" i="9"/>
  <c r="AO556" i="9"/>
  <c r="AN556" i="9"/>
  <c r="AM556" i="9"/>
  <c r="AL556" i="9"/>
  <c r="AK556" i="9"/>
  <c r="AK838" i="9" s="1"/>
  <c r="AJ556" i="9"/>
  <c r="AJ838" i="9" s="1"/>
  <c r="AI556" i="9"/>
  <c r="AI838" i="9" s="1"/>
  <c r="AH556" i="9"/>
  <c r="AG556" i="9"/>
  <c r="AF556" i="9"/>
  <c r="AE556" i="9"/>
  <c r="AD556" i="9"/>
  <c r="AD838" i="9" s="1"/>
  <c r="AC556" i="9"/>
  <c r="AC838" i="9" s="1"/>
  <c r="AB556" i="9"/>
  <c r="AB838" i="9" s="1"/>
  <c r="AA556" i="9"/>
  <c r="V556" i="9"/>
  <c r="V696" i="9" s="1"/>
  <c r="BX696" i="9" s="1"/>
  <c r="D556" i="9"/>
  <c r="B556" i="9" a="1"/>
  <c r="B556" i="9" s="1"/>
  <c r="EY555" i="9"/>
  <c r="CI555" i="9"/>
  <c r="CI837" i="9" s="1"/>
  <c r="CH555" i="9"/>
  <c r="CH837" i="9" s="1"/>
  <c r="CG555" i="9"/>
  <c r="CG837" i="9" s="1"/>
  <c r="CF555" i="9"/>
  <c r="CF837" i="9" s="1"/>
  <c r="CE555" i="9"/>
  <c r="CE837" i="9" s="1"/>
  <c r="CD555" i="9"/>
  <c r="CD837" i="9" s="1"/>
  <c r="CC555" i="9"/>
  <c r="CC837" i="9" s="1"/>
  <c r="BV555" i="9"/>
  <c r="BV837" i="9" s="1"/>
  <c r="BU555" i="9"/>
  <c r="BU837" i="9" s="1"/>
  <c r="BT555" i="9"/>
  <c r="BS555" i="9"/>
  <c r="BS837" i="9" s="1"/>
  <c r="BR555" i="9"/>
  <c r="BQ555" i="9"/>
  <c r="BQ837" i="9" s="1"/>
  <c r="BP555" i="9"/>
  <c r="BP837" i="9" s="1"/>
  <c r="BO555" i="9"/>
  <c r="BO837" i="9" s="1"/>
  <c r="BN555" i="9"/>
  <c r="BN837" i="9" s="1"/>
  <c r="BM555" i="9"/>
  <c r="BM837" i="9" s="1"/>
  <c r="BL555" i="9"/>
  <c r="BK555" i="9"/>
  <c r="BK837" i="9" s="1"/>
  <c r="BJ555" i="9"/>
  <c r="BI555" i="9"/>
  <c r="BI837" i="9" s="1"/>
  <c r="BH555" i="9"/>
  <c r="BH837" i="9" s="1"/>
  <c r="BG555" i="9"/>
  <c r="BG837" i="9" s="1"/>
  <c r="BF555" i="9"/>
  <c r="BF837" i="9" s="1"/>
  <c r="BE555" i="9"/>
  <c r="BE837" i="9" s="1"/>
  <c r="BD555" i="9"/>
  <c r="BC555" i="9"/>
  <c r="BC837" i="9" s="1"/>
  <c r="BB555" i="9"/>
  <c r="BA555" i="9"/>
  <c r="BA837" i="9" s="1"/>
  <c r="AZ555" i="9"/>
  <c r="AZ837" i="9" s="1"/>
  <c r="AY555" i="9"/>
  <c r="AY837" i="9" s="1"/>
  <c r="AX555" i="9"/>
  <c r="AX837" i="9" s="1"/>
  <c r="AW555" i="9"/>
  <c r="AW837" i="9" s="1"/>
  <c r="AV555" i="9"/>
  <c r="AU555" i="9"/>
  <c r="AU837" i="9" s="1"/>
  <c r="AT555" i="9"/>
  <c r="AS555" i="9"/>
  <c r="AS837" i="9" s="1"/>
  <c r="AR555" i="9"/>
  <c r="AR837" i="9" s="1"/>
  <c r="AQ555" i="9"/>
  <c r="AQ837" i="9" s="1"/>
  <c r="AP555" i="9"/>
  <c r="AP837" i="9" s="1"/>
  <c r="AO555" i="9"/>
  <c r="AO837" i="9" s="1"/>
  <c r="AN555" i="9"/>
  <c r="AM555" i="9"/>
  <c r="AM837" i="9" s="1"/>
  <c r="AL555" i="9"/>
  <c r="AK555" i="9"/>
  <c r="AK837" i="9" s="1"/>
  <c r="AJ555" i="9"/>
  <c r="AJ837" i="9" s="1"/>
  <c r="AI555" i="9"/>
  <c r="AI837" i="9" s="1"/>
  <c r="AH555" i="9"/>
  <c r="AH837" i="9" s="1"/>
  <c r="AG555" i="9"/>
  <c r="AG837" i="9" s="1"/>
  <c r="AF555" i="9"/>
  <c r="AE555" i="9"/>
  <c r="AE837" i="9" s="1"/>
  <c r="AD555" i="9"/>
  <c r="AC555" i="9"/>
  <c r="AC837" i="9" s="1"/>
  <c r="AB555" i="9"/>
  <c r="AB837" i="9" s="1"/>
  <c r="AA555" i="9"/>
  <c r="AA837" i="9" s="1"/>
  <c r="V555" i="9"/>
  <c r="D555" i="9"/>
  <c r="B555" i="9" a="1"/>
  <c r="B555" i="9" s="1"/>
  <c r="EY554" i="9"/>
  <c r="E554" i="9"/>
  <c r="D554" i="9"/>
  <c r="EY553" i="9"/>
  <c r="D553" i="9"/>
  <c r="EY552" i="9"/>
  <c r="EY551" i="9"/>
  <c r="V551" i="9"/>
  <c r="D551" i="9"/>
  <c r="B551" i="9" a="1"/>
  <c r="B551" i="9" s="1"/>
  <c r="EY550" i="9"/>
  <c r="V550" i="9"/>
  <c r="D550" i="9"/>
  <c r="B550" i="9" a="1"/>
  <c r="B550" i="9" s="1"/>
  <c r="EY549" i="9"/>
  <c r="V549" i="9"/>
  <c r="D549" i="9"/>
  <c r="B549" i="9" a="1"/>
  <c r="B549" i="9" s="1"/>
  <c r="EY548" i="9"/>
  <c r="V548" i="9"/>
  <c r="D548" i="9"/>
  <c r="B548" i="9" a="1"/>
  <c r="B548" i="9" s="1"/>
  <c r="EY547" i="9"/>
  <c r="V547" i="9"/>
  <c r="D547" i="9"/>
  <c r="B547" i="9" a="1"/>
  <c r="B547" i="9" s="1"/>
  <c r="EY546" i="9"/>
  <c r="V546" i="9"/>
  <c r="D546" i="9"/>
  <c r="B546" i="9" a="1"/>
  <c r="B546" i="9" s="1"/>
  <c r="EY545" i="9"/>
  <c r="V545" i="9"/>
  <c r="D545" i="9"/>
  <c r="B545" i="9" a="1"/>
  <c r="B545" i="9" s="1"/>
  <c r="EY544" i="9"/>
  <c r="V544" i="9"/>
  <c r="D544" i="9"/>
  <c r="B544" i="9" a="1"/>
  <c r="B544" i="9" s="1"/>
  <c r="EY543" i="9"/>
  <c r="V543" i="9"/>
  <c r="D543" i="9"/>
  <c r="B543" i="9" a="1"/>
  <c r="B543" i="9" s="1"/>
  <c r="EY542" i="9"/>
  <c r="V542" i="9"/>
  <c r="D542" i="9"/>
  <c r="B542" i="9" a="1"/>
  <c r="B542" i="9" s="1"/>
  <c r="EY541" i="9"/>
  <c r="V541" i="9"/>
  <c r="D541" i="9"/>
  <c r="B541" i="9" a="1"/>
  <c r="B541" i="9" s="1"/>
  <c r="EY540" i="9"/>
  <c r="V540" i="9"/>
  <c r="D540" i="9"/>
  <c r="B540" i="9" a="1"/>
  <c r="B540" i="9" s="1"/>
  <c r="EY539" i="9"/>
  <c r="V539" i="9"/>
  <c r="D539" i="9"/>
  <c r="B539" i="9" a="1"/>
  <c r="B539" i="9" s="1"/>
  <c r="EY538" i="9"/>
  <c r="V538" i="9"/>
  <c r="D538" i="9"/>
  <c r="B538" i="9" a="1"/>
  <c r="B538" i="9" s="1"/>
  <c r="EY537" i="9"/>
  <c r="V537" i="9"/>
  <c r="D537" i="9"/>
  <c r="B537" i="9" a="1"/>
  <c r="B537" i="9" s="1"/>
  <c r="EY536" i="9"/>
  <c r="V536" i="9"/>
  <c r="D536" i="9"/>
  <c r="B536" i="9" a="1"/>
  <c r="B536" i="9" s="1"/>
  <c r="EY535" i="9"/>
  <c r="V535" i="9"/>
  <c r="D535" i="9"/>
  <c r="B535" i="9" a="1"/>
  <c r="B535" i="9" s="1"/>
  <c r="EY534" i="9"/>
  <c r="V534" i="9"/>
  <c r="D534" i="9"/>
  <c r="B534" i="9" a="1"/>
  <c r="B534" i="9" s="1"/>
  <c r="EY533" i="9"/>
  <c r="V533" i="9"/>
  <c r="D533" i="9"/>
  <c r="B533" i="9" a="1"/>
  <c r="B533" i="9" s="1"/>
  <c r="EY532" i="9"/>
  <c r="V532" i="9"/>
  <c r="D532" i="9"/>
  <c r="B532" i="9" a="1"/>
  <c r="B532" i="9" s="1"/>
  <c r="EY531" i="9"/>
  <c r="E531" i="9"/>
  <c r="D531" i="9"/>
  <c r="EY530" i="9"/>
  <c r="D530" i="9"/>
  <c r="EY529" i="9"/>
  <c r="EY528" i="9"/>
  <c r="D528" i="9"/>
  <c r="B528" i="9" a="1"/>
  <c r="B528" i="9" s="1"/>
  <c r="EY527" i="9"/>
  <c r="D527" i="9"/>
  <c r="B527" i="9" a="1"/>
  <c r="B527" i="9" s="1"/>
  <c r="EY526" i="9"/>
  <c r="D526" i="9"/>
  <c r="B526" i="9" a="1"/>
  <c r="B526" i="9" s="1"/>
  <c r="EY525" i="9"/>
  <c r="D525" i="9"/>
  <c r="B525" i="9" a="1"/>
  <c r="B525" i="9" s="1"/>
  <c r="EY524" i="9"/>
  <c r="D524" i="9"/>
  <c r="B524" i="9" a="1"/>
  <c r="B524" i="9" s="1"/>
  <c r="EY523" i="9"/>
  <c r="D523" i="9"/>
  <c r="B523" i="9" a="1"/>
  <c r="B523" i="9" s="1"/>
  <c r="EY522" i="9"/>
  <c r="D522" i="9"/>
  <c r="B522" i="9" a="1"/>
  <c r="B522" i="9" s="1"/>
  <c r="EY521" i="9"/>
  <c r="D521" i="9"/>
  <c r="B521" i="9" a="1"/>
  <c r="B521" i="9" s="1"/>
  <c r="EY520" i="9"/>
  <c r="D520" i="9"/>
  <c r="B520" i="9" a="1"/>
  <c r="B520" i="9" s="1"/>
  <c r="EY519" i="9"/>
  <c r="D519" i="9"/>
  <c r="B519" i="9" a="1"/>
  <c r="B519" i="9" s="1"/>
  <c r="EY518" i="9"/>
  <c r="D518" i="9"/>
  <c r="B518" i="9" a="1"/>
  <c r="B518" i="9" s="1"/>
  <c r="EY517" i="9"/>
  <c r="D517" i="9"/>
  <c r="B517" i="9" a="1"/>
  <c r="B517" i="9" s="1"/>
  <c r="EY516" i="9"/>
  <c r="D516" i="9"/>
  <c r="B516" i="9" a="1"/>
  <c r="B516" i="9" s="1"/>
  <c r="EY515" i="9"/>
  <c r="D515" i="9"/>
  <c r="B515" i="9" a="1"/>
  <c r="B515" i="9" s="1"/>
  <c r="EY514" i="9"/>
  <c r="D514" i="9"/>
  <c r="B514" i="9" a="1"/>
  <c r="B514" i="9" s="1"/>
  <c r="EY513" i="9"/>
  <c r="D513" i="9"/>
  <c r="B513" i="9" a="1"/>
  <c r="B513" i="9" s="1"/>
  <c r="EY512" i="9"/>
  <c r="D512" i="9"/>
  <c r="B512" i="9" a="1"/>
  <c r="B512" i="9" s="1"/>
  <c r="EY511" i="9"/>
  <c r="D511" i="9"/>
  <c r="B511" i="9" a="1"/>
  <c r="B511" i="9" s="1"/>
  <c r="EY510" i="9"/>
  <c r="D510" i="9"/>
  <c r="B510" i="9" a="1"/>
  <c r="B510" i="9" s="1"/>
  <c r="EY509" i="9"/>
  <c r="D509" i="9"/>
  <c r="B509" i="9" a="1"/>
  <c r="B509" i="9" s="1"/>
  <c r="EY508" i="9"/>
  <c r="E508" i="9"/>
  <c r="D508" i="9"/>
  <c r="EY507" i="9"/>
  <c r="D507" i="9"/>
  <c r="EY506" i="9"/>
  <c r="EY505" i="9"/>
  <c r="CI505" i="9"/>
  <c r="CH505" i="9"/>
  <c r="CG505" i="9"/>
  <c r="CF505" i="9"/>
  <c r="CE505" i="9"/>
  <c r="CD505" i="9"/>
  <c r="CC505" i="9"/>
  <c r="BV505" i="9"/>
  <c r="BU505" i="9"/>
  <c r="BT505"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V505" i="9"/>
  <c r="D505" i="9"/>
  <c r="B505" i="9" a="1"/>
  <c r="B505" i="9" s="1"/>
  <c r="EY504" i="9"/>
  <c r="CI504" i="9"/>
  <c r="CH504" i="9"/>
  <c r="CG504" i="9"/>
  <c r="CF504" i="9"/>
  <c r="CE504" i="9"/>
  <c r="CD504" i="9"/>
  <c r="CC504" i="9"/>
  <c r="BV504" i="9"/>
  <c r="BU504" i="9"/>
  <c r="BT504" i="9"/>
  <c r="BS504" i="9"/>
  <c r="BR504" i="9"/>
  <c r="BQ504" i="9"/>
  <c r="BP504" i="9"/>
  <c r="BO504" i="9"/>
  <c r="BN504" i="9"/>
  <c r="BM504" i="9"/>
  <c r="BL504" i="9"/>
  <c r="BK504" i="9"/>
  <c r="BJ504" i="9"/>
  <c r="BI504" i="9"/>
  <c r="BH504" i="9"/>
  <c r="BG504" i="9"/>
  <c r="BF504" i="9"/>
  <c r="BE504" i="9"/>
  <c r="BD504" i="9"/>
  <c r="BC504" i="9"/>
  <c r="BB504" i="9"/>
  <c r="BA504" i="9"/>
  <c r="AZ504" i="9"/>
  <c r="AY504" i="9"/>
  <c r="AX504" i="9"/>
  <c r="AW504" i="9"/>
  <c r="AV504" i="9"/>
  <c r="AU504" i="9"/>
  <c r="AT504" i="9"/>
  <c r="AS504" i="9"/>
  <c r="AR504" i="9"/>
  <c r="AQ504" i="9"/>
  <c r="AP504" i="9"/>
  <c r="AO504" i="9"/>
  <c r="AN504" i="9"/>
  <c r="AM504" i="9"/>
  <c r="AL504" i="9"/>
  <c r="AK504" i="9"/>
  <c r="AJ504" i="9"/>
  <c r="AI504" i="9"/>
  <c r="AH504" i="9"/>
  <c r="AG504" i="9"/>
  <c r="AF504" i="9"/>
  <c r="AE504" i="9"/>
  <c r="AD504" i="9"/>
  <c r="AC504" i="9"/>
  <c r="AB504" i="9"/>
  <c r="AA504" i="9"/>
  <c r="V504" i="9"/>
  <c r="D504" i="9"/>
  <c r="B504" i="9" a="1"/>
  <c r="B504" i="9" s="1"/>
  <c r="EY503" i="9"/>
  <c r="CI503" i="9"/>
  <c r="CH503" i="9"/>
  <c r="CG503" i="9"/>
  <c r="CF503" i="9"/>
  <c r="CE503" i="9"/>
  <c r="CD503" i="9"/>
  <c r="CC503" i="9"/>
  <c r="BV503" i="9"/>
  <c r="BU503" i="9"/>
  <c r="BT503" i="9"/>
  <c r="BS503" i="9"/>
  <c r="BR503" i="9"/>
  <c r="BQ503" i="9"/>
  <c r="BP503" i="9"/>
  <c r="BO503" i="9"/>
  <c r="BN503" i="9"/>
  <c r="BM503" i="9"/>
  <c r="BL503" i="9"/>
  <c r="BK503" i="9"/>
  <c r="BJ503" i="9"/>
  <c r="BI503" i="9"/>
  <c r="BH503" i="9"/>
  <c r="BG503" i="9"/>
  <c r="BF503" i="9"/>
  <c r="BE503" i="9"/>
  <c r="BD503" i="9"/>
  <c r="BC503" i="9"/>
  <c r="BB503" i="9"/>
  <c r="BA503" i="9"/>
  <c r="AZ503" i="9"/>
  <c r="AY503" i="9"/>
  <c r="AX503" i="9"/>
  <c r="AW503" i="9"/>
  <c r="AV503" i="9"/>
  <c r="AU503" i="9"/>
  <c r="AT503" i="9"/>
  <c r="AS503" i="9"/>
  <c r="AR503" i="9"/>
  <c r="AQ503" i="9"/>
  <c r="AP503" i="9"/>
  <c r="AO503" i="9"/>
  <c r="AN503" i="9"/>
  <c r="AM503" i="9"/>
  <c r="AL503" i="9"/>
  <c r="AK503" i="9"/>
  <c r="AJ503" i="9"/>
  <c r="AI503" i="9"/>
  <c r="AH503" i="9"/>
  <c r="AG503" i="9"/>
  <c r="AF503" i="9"/>
  <c r="AE503" i="9"/>
  <c r="AD503" i="9"/>
  <c r="AC503" i="9"/>
  <c r="AB503" i="9"/>
  <c r="AA503" i="9"/>
  <c r="V503" i="9"/>
  <c r="D503" i="9"/>
  <c r="B503" i="9" a="1"/>
  <c r="B503" i="9" s="1"/>
  <c r="EY502" i="9"/>
  <c r="CI502" i="9"/>
  <c r="CH502" i="9"/>
  <c r="CG502" i="9"/>
  <c r="CF502" i="9"/>
  <c r="CE502" i="9"/>
  <c r="CD502" i="9"/>
  <c r="CC502" i="9"/>
  <c r="BV502" i="9"/>
  <c r="BU502" i="9"/>
  <c r="BT502" i="9"/>
  <c r="BS502" i="9"/>
  <c r="BR502" i="9"/>
  <c r="BQ502" i="9"/>
  <c r="BP502" i="9"/>
  <c r="BO502" i="9"/>
  <c r="BN502" i="9"/>
  <c r="BM502" i="9"/>
  <c r="BL502" i="9"/>
  <c r="BK502" i="9"/>
  <c r="BJ502" i="9"/>
  <c r="BI502" i="9"/>
  <c r="BH502" i="9"/>
  <c r="BG502" i="9"/>
  <c r="BF502" i="9"/>
  <c r="BE502" i="9"/>
  <c r="BD502" i="9"/>
  <c r="BC502" i="9"/>
  <c r="BB502" i="9"/>
  <c r="BA502" i="9"/>
  <c r="AZ502" i="9"/>
  <c r="AY502" i="9"/>
  <c r="AX502" i="9"/>
  <c r="AW502" i="9"/>
  <c r="AV502" i="9"/>
  <c r="AU502" i="9"/>
  <c r="AT502" i="9"/>
  <c r="AS502" i="9"/>
  <c r="AR502" i="9"/>
  <c r="AQ502" i="9"/>
  <c r="AP502" i="9"/>
  <c r="AO502" i="9"/>
  <c r="AN502" i="9"/>
  <c r="AM502" i="9"/>
  <c r="AL502" i="9"/>
  <c r="AK502" i="9"/>
  <c r="AJ502" i="9"/>
  <c r="AI502" i="9"/>
  <c r="AH502" i="9"/>
  <c r="AG502" i="9"/>
  <c r="AF502" i="9"/>
  <c r="AE502" i="9"/>
  <c r="AD502" i="9"/>
  <c r="AC502" i="9"/>
  <c r="AB502" i="9"/>
  <c r="AA502" i="9"/>
  <c r="V502" i="9"/>
  <c r="D502" i="9"/>
  <c r="B502" i="9" a="1"/>
  <c r="B502" i="9" s="1"/>
  <c r="EY501" i="9"/>
  <c r="CI501" i="9"/>
  <c r="CH501" i="9"/>
  <c r="CG501" i="9"/>
  <c r="CF501" i="9"/>
  <c r="CE501" i="9"/>
  <c r="CD501" i="9"/>
  <c r="CC501" i="9"/>
  <c r="BV501" i="9"/>
  <c r="BU501" i="9"/>
  <c r="BT501" i="9"/>
  <c r="BS501" i="9"/>
  <c r="BR501" i="9"/>
  <c r="BQ501" i="9"/>
  <c r="BP501" i="9"/>
  <c r="BO501" i="9"/>
  <c r="BN501" i="9"/>
  <c r="BM501" i="9"/>
  <c r="BL501" i="9"/>
  <c r="BK501" i="9"/>
  <c r="BJ501" i="9"/>
  <c r="BI501" i="9"/>
  <c r="BH501" i="9"/>
  <c r="BG501" i="9"/>
  <c r="BF501" i="9"/>
  <c r="BE501" i="9"/>
  <c r="BD501" i="9"/>
  <c r="BC501" i="9"/>
  <c r="BB501" i="9"/>
  <c r="BA501" i="9"/>
  <c r="AZ501" i="9"/>
  <c r="AY501" i="9"/>
  <c r="AX501" i="9"/>
  <c r="AW501" i="9"/>
  <c r="AV501" i="9"/>
  <c r="AU501" i="9"/>
  <c r="AT501" i="9"/>
  <c r="AS501" i="9"/>
  <c r="AR501" i="9"/>
  <c r="AQ501" i="9"/>
  <c r="AP501" i="9"/>
  <c r="AO501" i="9"/>
  <c r="AN501" i="9"/>
  <c r="AM501" i="9"/>
  <c r="AL501" i="9"/>
  <c r="AK501" i="9"/>
  <c r="AJ501" i="9"/>
  <c r="AI501" i="9"/>
  <c r="AH501" i="9"/>
  <c r="AG501" i="9"/>
  <c r="AF501" i="9"/>
  <c r="AE501" i="9"/>
  <c r="AD501" i="9"/>
  <c r="AC501" i="9"/>
  <c r="AB501" i="9"/>
  <c r="AA501" i="9"/>
  <c r="V501" i="9"/>
  <c r="D501" i="9"/>
  <c r="B501" i="9" a="1"/>
  <c r="B501" i="9" s="1"/>
  <c r="EY500" i="9"/>
  <c r="CI500" i="9"/>
  <c r="CH500" i="9"/>
  <c r="CG500" i="9"/>
  <c r="CF500" i="9"/>
  <c r="CE500" i="9"/>
  <c r="CD500" i="9"/>
  <c r="CC500" i="9"/>
  <c r="BV500" i="9"/>
  <c r="BU500" i="9"/>
  <c r="BT500" i="9"/>
  <c r="BS500" i="9"/>
  <c r="BR500" i="9"/>
  <c r="BQ500" i="9"/>
  <c r="BP500" i="9"/>
  <c r="BO500" i="9"/>
  <c r="BN500" i="9"/>
  <c r="BM500" i="9"/>
  <c r="BL500" i="9"/>
  <c r="BK500" i="9"/>
  <c r="BJ500" i="9"/>
  <c r="BI500" i="9"/>
  <c r="BH500" i="9"/>
  <c r="BG500" i="9"/>
  <c r="BF500" i="9"/>
  <c r="BE500" i="9"/>
  <c r="BD500" i="9"/>
  <c r="BC500" i="9"/>
  <c r="BB500" i="9"/>
  <c r="BA500" i="9"/>
  <c r="AZ500" i="9"/>
  <c r="AY500" i="9"/>
  <c r="AX500" i="9"/>
  <c r="AW500" i="9"/>
  <c r="AV500" i="9"/>
  <c r="AU500" i="9"/>
  <c r="AT500" i="9"/>
  <c r="AS500" i="9"/>
  <c r="AR500" i="9"/>
  <c r="AQ500" i="9"/>
  <c r="AP500" i="9"/>
  <c r="AO500" i="9"/>
  <c r="AN500" i="9"/>
  <c r="AM500" i="9"/>
  <c r="AL500" i="9"/>
  <c r="AK500" i="9"/>
  <c r="AJ500" i="9"/>
  <c r="AI500" i="9"/>
  <c r="AH500" i="9"/>
  <c r="AG500" i="9"/>
  <c r="AF500" i="9"/>
  <c r="AE500" i="9"/>
  <c r="AD500" i="9"/>
  <c r="AC500" i="9"/>
  <c r="AB500" i="9"/>
  <c r="AA500" i="9"/>
  <c r="V500" i="9"/>
  <c r="D500" i="9"/>
  <c r="B500" i="9" a="1"/>
  <c r="B500" i="9" s="1"/>
  <c r="EY499" i="9"/>
  <c r="CI499" i="9"/>
  <c r="CH499" i="9"/>
  <c r="CG499" i="9"/>
  <c r="CF499" i="9"/>
  <c r="CE499" i="9"/>
  <c r="CD499" i="9"/>
  <c r="CC499" i="9"/>
  <c r="BV499" i="9"/>
  <c r="BU499" i="9"/>
  <c r="BT499" i="9"/>
  <c r="BS499" i="9"/>
  <c r="BR499" i="9"/>
  <c r="BQ499" i="9"/>
  <c r="BP499" i="9"/>
  <c r="BO499" i="9"/>
  <c r="BN499" i="9"/>
  <c r="BM499" i="9"/>
  <c r="BL499" i="9"/>
  <c r="BK499" i="9"/>
  <c r="BJ499" i="9"/>
  <c r="BI499" i="9"/>
  <c r="BH499" i="9"/>
  <c r="BG499" i="9"/>
  <c r="BF499" i="9"/>
  <c r="BE499" i="9"/>
  <c r="BD499" i="9"/>
  <c r="BC499" i="9"/>
  <c r="BB499" i="9"/>
  <c r="BA499" i="9"/>
  <c r="AZ499" i="9"/>
  <c r="AY499" i="9"/>
  <c r="AX499" i="9"/>
  <c r="AW499" i="9"/>
  <c r="AV499" i="9"/>
  <c r="AU499" i="9"/>
  <c r="AT499" i="9"/>
  <c r="AS499" i="9"/>
  <c r="AR499" i="9"/>
  <c r="AQ499" i="9"/>
  <c r="AP499" i="9"/>
  <c r="AO499" i="9"/>
  <c r="AN499" i="9"/>
  <c r="AM499" i="9"/>
  <c r="AL499" i="9"/>
  <c r="AK499" i="9"/>
  <c r="AJ499" i="9"/>
  <c r="AI499" i="9"/>
  <c r="AH499" i="9"/>
  <c r="AG499" i="9"/>
  <c r="AF499" i="9"/>
  <c r="AE499" i="9"/>
  <c r="AD499" i="9"/>
  <c r="AC499" i="9"/>
  <c r="AB499" i="9"/>
  <c r="AA499" i="9"/>
  <c r="V499" i="9"/>
  <c r="D499" i="9"/>
  <c r="B499" i="9" a="1"/>
  <c r="B499" i="9" s="1"/>
  <c r="EY498" i="9"/>
  <c r="CI498" i="9"/>
  <c r="CH498" i="9"/>
  <c r="CG498" i="9"/>
  <c r="CF498" i="9"/>
  <c r="CE498" i="9"/>
  <c r="CD498" i="9"/>
  <c r="CC498" i="9"/>
  <c r="BV498" i="9"/>
  <c r="BU498" i="9"/>
  <c r="BT498" i="9"/>
  <c r="BS498" i="9"/>
  <c r="BR498" i="9"/>
  <c r="BQ498" i="9"/>
  <c r="BP498" i="9"/>
  <c r="BO498" i="9"/>
  <c r="BN498" i="9"/>
  <c r="BM498" i="9"/>
  <c r="BL498" i="9"/>
  <c r="BK498" i="9"/>
  <c r="BJ498" i="9"/>
  <c r="BI498" i="9"/>
  <c r="BH498" i="9"/>
  <c r="BG498" i="9"/>
  <c r="BF498" i="9"/>
  <c r="BE498" i="9"/>
  <c r="BD498" i="9"/>
  <c r="BC498" i="9"/>
  <c r="BB498" i="9"/>
  <c r="BA498" i="9"/>
  <c r="AZ498" i="9"/>
  <c r="AY498" i="9"/>
  <c r="AX498" i="9"/>
  <c r="AW498" i="9"/>
  <c r="AV498" i="9"/>
  <c r="AU498" i="9"/>
  <c r="AT498" i="9"/>
  <c r="AS498" i="9"/>
  <c r="AR498" i="9"/>
  <c r="AQ498" i="9"/>
  <c r="AP498" i="9"/>
  <c r="AO498" i="9"/>
  <c r="AN498" i="9"/>
  <c r="AM498" i="9"/>
  <c r="AL498" i="9"/>
  <c r="AK498" i="9"/>
  <c r="AJ498" i="9"/>
  <c r="AI498" i="9"/>
  <c r="AH498" i="9"/>
  <c r="AG498" i="9"/>
  <c r="AF498" i="9"/>
  <c r="AE498" i="9"/>
  <c r="AD498" i="9"/>
  <c r="AC498" i="9"/>
  <c r="AB498" i="9"/>
  <c r="AA498" i="9"/>
  <c r="V498" i="9"/>
  <c r="D498" i="9"/>
  <c r="B498" i="9" a="1"/>
  <c r="B498" i="9" s="1"/>
  <c r="EY497" i="9"/>
  <c r="CI497" i="9"/>
  <c r="CH497" i="9"/>
  <c r="CG497" i="9"/>
  <c r="CF497" i="9"/>
  <c r="CE497" i="9"/>
  <c r="CD497" i="9"/>
  <c r="CC497" i="9"/>
  <c r="BV497" i="9"/>
  <c r="BU497" i="9"/>
  <c r="BT497" i="9"/>
  <c r="BS497" i="9"/>
  <c r="BR497" i="9"/>
  <c r="BQ497" i="9"/>
  <c r="BP497" i="9"/>
  <c r="BO497" i="9"/>
  <c r="BN497" i="9"/>
  <c r="BM497" i="9"/>
  <c r="BL497" i="9"/>
  <c r="BK497" i="9"/>
  <c r="BJ497" i="9"/>
  <c r="BI497" i="9"/>
  <c r="BH497" i="9"/>
  <c r="BG497" i="9"/>
  <c r="BF497" i="9"/>
  <c r="BE497" i="9"/>
  <c r="BD497" i="9"/>
  <c r="BC497" i="9"/>
  <c r="BB497" i="9"/>
  <c r="BA497" i="9"/>
  <c r="AZ497" i="9"/>
  <c r="AY497" i="9"/>
  <c r="AX497" i="9"/>
  <c r="AW497" i="9"/>
  <c r="AV497" i="9"/>
  <c r="AU497" i="9"/>
  <c r="AT497" i="9"/>
  <c r="AS497" i="9"/>
  <c r="AR497" i="9"/>
  <c r="AQ497" i="9"/>
  <c r="AP497" i="9"/>
  <c r="AO497" i="9"/>
  <c r="AN497" i="9"/>
  <c r="AM497" i="9"/>
  <c r="AL497" i="9"/>
  <c r="AK497" i="9"/>
  <c r="AJ497" i="9"/>
  <c r="AI497" i="9"/>
  <c r="AH497" i="9"/>
  <c r="AG497" i="9"/>
  <c r="AF497" i="9"/>
  <c r="AE497" i="9"/>
  <c r="AD497" i="9"/>
  <c r="AC497" i="9"/>
  <c r="AB497" i="9"/>
  <c r="AA497" i="9"/>
  <c r="V497" i="9"/>
  <c r="D497" i="9"/>
  <c r="B497" i="9" a="1"/>
  <c r="B497" i="9" s="1"/>
  <c r="EY496" i="9"/>
  <c r="CI496" i="9"/>
  <c r="CH496" i="9"/>
  <c r="CG496" i="9"/>
  <c r="CF496" i="9"/>
  <c r="CE496" i="9"/>
  <c r="CD496" i="9"/>
  <c r="CC496" i="9"/>
  <c r="BV496" i="9"/>
  <c r="BU496" i="9"/>
  <c r="BT496" i="9"/>
  <c r="BS496" i="9"/>
  <c r="BR496" i="9"/>
  <c r="BQ496" i="9"/>
  <c r="BP496" i="9"/>
  <c r="BO496" i="9"/>
  <c r="BN496" i="9"/>
  <c r="BM496" i="9"/>
  <c r="BL496" i="9"/>
  <c r="BK496" i="9"/>
  <c r="BJ496" i="9"/>
  <c r="BI496" i="9"/>
  <c r="BH496" i="9"/>
  <c r="BG496" i="9"/>
  <c r="BF496" i="9"/>
  <c r="BE496" i="9"/>
  <c r="BD496" i="9"/>
  <c r="BC496" i="9"/>
  <c r="BB496" i="9"/>
  <c r="BA496" i="9"/>
  <c r="AZ496" i="9"/>
  <c r="AY496" i="9"/>
  <c r="AX496" i="9"/>
  <c r="AW496" i="9"/>
  <c r="AV496" i="9"/>
  <c r="AU496" i="9"/>
  <c r="AT496" i="9"/>
  <c r="AS496" i="9"/>
  <c r="AR496" i="9"/>
  <c r="AQ496" i="9"/>
  <c r="AP496" i="9"/>
  <c r="AO496" i="9"/>
  <c r="AN496" i="9"/>
  <c r="AM496" i="9"/>
  <c r="AL496" i="9"/>
  <c r="AK496" i="9"/>
  <c r="AJ496" i="9"/>
  <c r="AI496" i="9"/>
  <c r="AH496" i="9"/>
  <c r="AG496" i="9"/>
  <c r="AF496" i="9"/>
  <c r="AE496" i="9"/>
  <c r="AD496" i="9"/>
  <c r="AC496" i="9"/>
  <c r="AB496" i="9"/>
  <c r="AA496" i="9"/>
  <c r="V496" i="9"/>
  <c r="D496" i="9"/>
  <c r="B496" i="9" a="1"/>
  <c r="B496" i="9" s="1"/>
  <c r="EY495" i="9"/>
  <c r="CI495" i="9"/>
  <c r="CH495" i="9"/>
  <c r="CG495" i="9"/>
  <c r="CF495" i="9"/>
  <c r="CE495" i="9"/>
  <c r="CD495" i="9"/>
  <c r="CC495" i="9"/>
  <c r="BV495" i="9"/>
  <c r="BU495" i="9"/>
  <c r="BT495" i="9"/>
  <c r="BS495" i="9"/>
  <c r="BR495" i="9"/>
  <c r="BQ495" i="9"/>
  <c r="BP495" i="9"/>
  <c r="BO495" i="9"/>
  <c r="BN495" i="9"/>
  <c r="BM495" i="9"/>
  <c r="BL495" i="9"/>
  <c r="BK495" i="9"/>
  <c r="BJ495" i="9"/>
  <c r="BI495" i="9"/>
  <c r="BH495" i="9"/>
  <c r="BG495" i="9"/>
  <c r="BF495" i="9"/>
  <c r="BE495" i="9"/>
  <c r="BD495" i="9"/>
  <c r="BC495" i="9"/>
  <c r="BB495" i="9"/>
  <c r="BA495" i="9"/>
  <c r="AZ495" i="9"/>
  <c r="AY495" i="9"/>
  <c r="AX495" i="9"/>
  <c r="AW495" i="9"/>
  <c r="AV495" i="9"/>
  <c r="AU495" i="9"/>
  <c r="AT495" i="9"/>
  <c r="AS495" i="9"/>
  <c r="AR495" i="9"/>
  <c r="AQ495" i="9"/>
  <c r="AP495" i="9"/>
  <c r="AO495" i="9"/>
  <c r="AN495" i="9"/>
  <c r="AM495" i="9"/>
  <c r="AL495" i="9"/>
  <c r="AK495" i="9"/>
  <c r="AJ495" i="9"/>
  <c r="AI495" i="9"/>
  <c r="AH495" i="9"/>
  <c r="AG495" i="9"/>
  <c r="AF495" i="9"/>
  <c r="AE495" i="9"/>
  <c r="AD495" i="9"/>
  <c r="AC495" i="9"/>
  <c r="AB495" i="9"/>
  <c r="AA495" i="9"/>
  <c r="V495" i="9"/>
  <c r="D495" i="9"/>
  <c r="B495" i="9" a="1"/>
  <c r="B495" i="9" s="1"/>
  <c r="EY494" i="9"/>
  <c r="CI494" i="9"/>
  <c r="CH494" i="9"/>
  <c r="CG494" i="9"/>
  <c r="CF494" i="9"/>
  <c r="CE494" i="9"/>
  <c r="CD494" i="9"/>
  <c r="CC494" i="9"/>
  <c r="BV494" i="9"/>
  <c r="BU494" i="9"/>
  <c r="BT494" i="9"/>
  <c r="BS494" i="9"/>
  <c r="BR494" i="9"/>
  <c r="BQ494" i="9"/>
  <c r="BP494" i="9"/>
  <c r="BO494" i="9"/>
  <c r="BN494" i="9"/>
  <c r="BM494" i="9"/>
  <c r="BL494" i="9"/>
  <c r="BK494" i="9"/>
  <c r="BJ494" i="9"/>
  <c r="BI494" i="9"/>
  <c r="BH494" i="9"/>
  <c r="BG494" i="9"/>
  <c r="BF494" i="9"/>
  <c r="BE494" i="9"/>
  <c r="BD494" i="9"/>
  <c r="BC494" i="9"/>
  <c r="BB494" i="9"/>
  <c r="BA494" i="9"/>
  <c r="AZ494" i="9"/>
  <c r="AY494" i="9"/>
  <c r="AX494" i="9"/>
  <c r="AW494" i="9"/>
  <c r="AV494" i="9"/>
  <c r="AU494" i="9"/>
  <c r="AT494" i="9"/>
  <c r="AS494" i="9"/>
  <c r="AR494" i="9"/>
  <c r="AQ494" i="9"/>
  <c r="AP494" i="9"/>
  <c r="AO494" i="9"/>
  <c r="AN494" i="9"/>
  <c r="AM494" i="9"/>
  <c r="AL494" i="9"/>
  <c r="AK494" i="9"/>
  <c r="AJ494" i="9"/>
  <c r="AI494" i="9"/>
  <c r="AH494" i="9"/>
  <c r="AG494" i="9"/>
  <c r="AF494" i="9"/>
  <c r="AE494" i="9"/>
  <c r="AD494" i="9"/>
  <c r="AC494" i="9"/>
  <c r="AB494" i="9"/>
  <c r="AA494" i="9"/>
  <c r="V494" i="9"/>
  <c r="D494" i="9"/>
  <c r="B494" i="9" a="1"/>
  <c r="B494" i="9" s="1"/>
  <c r="EY493" i="9"/>
  <c r="CI493" i="9"/>
  <c r="CH493" i="9"/>
  <c r="CG493" i="9"/>
  <c r="CF493" i="9"/>
  <c r="CE493" i="9"/>
  <c r="CD493" i="9"/>
  <c r="CC493" i="9"/>
  <c r="BV493" i="9"/>
  <c r="BU493" i="9"/>
  <c r="BT493" i="9"/>
  <c r="BS493" i="9"/>
  <c r="BR493" i="9"/>
  <c r="BQ493" i="9"/>
  <c r="BP493" i="9"/>
  <c r="BO493" i="9"/>
  <c r="BN493" i="9"/>
  <c r="BM493" i="9"/>
  <c r="BL493" i="9"/>
  <c r="BK493" i="9"/>
  <c r="BJ493" i="9"/>
  <c r="BI493" i="9"/>
  <c r="BH493" i="9"/>
  <c r="BG493" i="9"/>
  <c r="BF493" i="9"/>
  <c r="BE493" i="9"/>
  <c r="BD493" i="9"/>
  <c r="BC493" i="9"/>
  <c r="BB493" i="9"/>
  <c r="BA493" i="9"/>
  <c r="AZ493" i="9"/>
  <c r="AY493" i="9"/>
  <c r="AX493" i="9"/>
  <c r="AW493" i="9"/>
  <c r="AV493" i="9"/>
  <c r="AU493" i="9"/>
  <c r="AT493" i="9"/>
  <c r="AS493" i="9"/>
  <c r="AR493" i="9"/>
  <c r="AQ493" i="9"/>
  <c r="AP493" i="9"/>
  <c r="AO493" i="9"/>
  <c r="AN493" i="9"/>
  <c r="AM493" i="9"/>
  <c r="AL493" i="9"/>
  <c r="AK493" i="9"/>
  <c r="AJ493" i="9"/>
  <c r="AI493" i="9"/>
  <c r="AH493" i="9"/>
  <c r="AG493" i="9"/>
  <c r="AF493" i="9"/>
  <c r="AE493" i="9"/>
  <c r="AD493" i="9"/>
  <c r="AC493" i="9"/>
  <c r="AB493" i="9"/>
  <c r="AA493" i="9"/>
  <c r="V493" i="9"/>
  <c r="D493" i="9"/>
  <c r="B493" i="9" a="1"/>
  <c r="B493" i="9" s="1"/>
  <c r="EY492" i="9"/>
  <c r="CI492" i="9"/>
  <c r="CH492" i="9"/>
  <c r="CG492" i="9"/>
  <c r="CF492" i="9"/>
  <c r="CE492" i="9"/>
  <c r="CD492" i="9"/>
  <c r="CC492" i="9"/>
  <c r="BV492" i="9"/>
  <c r="BU492" i="9"/>
  <c r="BT492" i="9"/>
  <c r="BS492" i="9"/>
  <c r="BR492" i="9"/>
  <c r="BQ492" i="9"/>
  <c r="BP492" i="9"/>
  <c r="BO492" i="9"/>
  <c r="BN492" i="9"/>
  <c r="BM492" i="9"/>
  <c r="BL492" i="9"/>
  <c r="BK492" i="9"/>
  <c r="BJ492" i="9"/>
  <c r="BI492" i="9"/>
  <c r="BH492" i="9"/>
  <c r="BG492" i="9"/>
  <c r="BF492" i="9"/>
  <c r="BE492" i="9"/>
  <c r="BD492" i="9"/>
  <c r="BC492" i="9"/>
  <c r="BB492" i="9"/>
  <c r="BA492" i="9"/>
  <c r="AZ492" i="9"/>
  <c r="AY492" i="9"/>
  <c r="AX492" i="9"/>
  <c r="AW492" i="9"/>
  <c r="AV492" i="9"/>
  <c r="AU492" i="9"/>
  <c r="AT492" i="9"/>
  <c r="AS492" i="9"/>
  <c r="AR492" i="9"/>
  <c r="AQ492" i="9"/>
  <c r="AP492" i="9"/>
  <c r="AO492" i="9"/>
  <c r="AN492" i="9"/>
  <c r="AM492" i="9"/>
  <c r="AL492" i="9"/>
  <c r="AK492" i="9"/>
  <c r="AJ492" i="9"/>
  <c r="AI492" i="9"/>
  <c r="AH492" i="9"/>
  <c r="AG492" i="9"/>
  <c r="AF492" i="9"/>
  <c r="AE492" i="9"/>
  <c r="AD492" i="9"/>
  <c r="AC492" i="9"/>
  <c r="AB492" i="9"/>
  <c r="AA492" i="9"/>
  <c r="V492" i="9"/>
  <c r="D492" i="9"/>
  <c r="B492" i="9" a="1"/>
  <c r="B492" i="9" s="1"/>
  <c r="EY491" i="9"/>
  <c r="CI491" i="9"/>
  <c r="CH491" i="9"/>
  <c r="CG491" i="9"/>
  <c r="CF491" i="9"/>
  <c r="CE491" i="9"/>
  <c r="CD491" i="9"/>
  <c r="CC491" i="9"/>
  <c r="BV491" i="9"/>
  <c r="BU491" i="9"/>
  <c r="BT491" i="9"/>
  <c r="BS491" i="9"/>
  <c r="BR491" i="9"/>
  <c r="BQ491" i="9"/>
  <c r="BP491" i="9"/>
  <c r="BO491" i="9"/>
  <c r="BN491" i="9"/>
  <c r="BM491" i="9"/>
  <c r="BL491" i="9"/>
  <c r="BK491" i="9"/>
  <c r="BJ491" i="9"/>
  <c r="BI491" i="9"/>
  <c r="BH491" i="9"/>
  <c r="BG491" i="9"/>
  <c r="BF491" i="9"/>
  <c r="BE491" i="9"/>
  <c r="BD491" i="9"/>
  <c r="BC491" i="9"/>
  <c r="BB491" i="9"/>
  <c r="BA491" i="9"/>
  <c r="AZ491" i="9"/>
  <c r="AY491" i="9"/>
  <c r="AX491" i="9"/>
  <c r="AW491" i="9"/>
  <c r="AV491" i="9"/>
  <c r="AU491" i="9"/>
  <c r="AT491" i="9"/>
  <c r="AS491" i="9"/>
  <c r="AR491" i="9"/>
  <c r="AQ491" i="9"/>
  <c r="AP491" i="9"/>
  <c r="AO491" i="9"/>
  <c r="AN491" i="9"/>
  <c r="AM491" i="9"/>
  <c r="AL491" i="9"/>
  <c r="AK491" i="9"/>
  <c r="AJ491" i="9"/>
  <c r="AI491" i="9"/>
  <c r="AH491" i="9"/>
  <c r="AG491" i="9"/>
  <c r="AF491" i="9"/>
  <c r="AE491" i="9"/>
  <c r="AD491" i="9"/>
  <c r="AC491" i="9"/>
  <c r="AB491" i="9"/>
  <c r="AA491" i="9"/>
  <c r="V491" i="9"/>
  <c r="D491" i="9"/>
  <c r="B491" i="9" a="1"/>
  <c r="B491" i="9" s="1"/>
  <c r="EY490" i="9"/>
  <c r="CI490" i="9"/>
  <c r="CH490" i="9"/>
  <c r="CG490" i="9"/>
  <c r="CF490" i="9"/>
  <c r="CE490" i="9"/>
  <c r="CD490" i="9"/>
  <c r="CC490" i="9"/>
  <c r="BV490" i="9"/>
  <c r="BU490" i="9"/>
  <c r="BT490" i="9"/>
  <c r="BS490" i="9"/>
  <c r="BR490" i="9"/>
  <c r="BQ490" i="9"/>
  <c r="BP490" i="9"/>
  <c r="BO490" i="9"/>
  <c r="BN490" i="9"/>
  <c r="BM490" i="9"/>
  <c r="BL490" i="9"/>
  <c r="BK490" i="9"/>
  <c r="BJ490" i="9"/>
  <c r="BI490" i="9"/>
  <c r="BH490" i="9"/>
  <c r="BG490" i="9"/>
  <c r="BF490" i="9"/>
  <c r="BE490" i="9"/>
  <c r="BD490" i="9"/>
  <c r="BC490" i="9"/>
  <c r="BB490" i="9"/>
  <c r="BA490" i="9"/>
  <c r="AZ490" i="9"/>
  <c r="AY490" i="9"/>
  <c r="AX490" i="9"/>
  <c r="AW490" i="9"/>
  <c r="AV490" i="9"/>
  <c r="AU490" i="9"/>
  <c r="AT490" i="9"/>
  <c r="AS490" i="9"/>
  <c r="AR490" i="9"/>
  <c r="AQ490" i="9"/>
  <c r="AP490" i="9"/>
  <c r="AO490" i="9"/>
  <c r="AN490" i="9"/>
  <c r="AM490" i="9"/>
  <c r="AL490" i="9"/>
  <c r="AK490" i="9"/>
  <c r="AJ490" i="9"/>
  <c r="AI490" i="9"/>
  <c r="AH490" i="9"/>
  <c r="AG490" i="9"/>
  <c r="AF490" i="9"/>
  <c r="AE490" i="9"/>
  <c r="AD490" i="9"/>
  <c r="AC490" i="9"/>
  <c r="AB490" i="9"/>
  <c r="AA490" i="9"/>
  <c r="V490" i="9"/>
  <c r="D490" i="9"/>
  <c r="B490" i="9" a="1"/>
  <c r="B490" i="9" s="1"/>
  <c r="EY489" i="9"/>
  <c r="CI489" i="9"/>
  <c r="CH489" i="9"/>
  <c r="CG489" i="9"/>
  <c r="CF489" i="9"/>
  <c r="CE489" i="9"/>
  <c r="CD489" i="9"/>
  <c r="CC489" i="9"/>
  <c r="BV489" i="9"/>
  <c r="BU489" i="9"/>
  <c r="BT489" i="9"/>
  <c r="BS489" i="9"/>
  <c r="BR489" i="9"/>
  <c r="BQ489" i="9"/>
  <c r="BP489" i="9"/>
  <c r="BO489" i="9"/>
  <c r="BN489" i="9"/>
  <c r="BM489" i="9"/>
  <c r="BL489" i="9"/>
  <c r="BK489" i="9"/>
  <c r="BJ489" i="9"/>
  <c r="BI489" i="9"/>
  <c r="BH489" i="9"/>
  <c r="BG489" i="9"/>
  <c r="BF489" i="9"/>
  <c r="BE489" i="9"/>
  <c r="BD489" i="9"/>
  <c r="BC489" i="9"/>
  <c r="BB489" i="9"/>
  <c r="BA489" i="9"/>
  <c r="AZ489" i="9"/>
  <c r="AY489" i="9"/>
  <c r="AX489" i="9"/>
  <c r="AW489" i="9"/>
  <c r="AV489" i="9"/>
  <c r="AU489" i="9"/>
  <c r="AT489" i="9"/>
  <c r="AS489" i="9"/>
  <c r="AR489" i="9"/>
  <c r="AQ489" i="9"/>
  <c r="AP489" i="9"/>
  <c r="AO489" i="9"/>
  <c r="AN489" i="9"/>
  <c r="AM489" i="9"/>
  <c r="AL489" i="9"/>
  <c r="AK489" i="9"/>
  <c r="AJ489" i="9"/>
  <c r="AI489" i="9"/>
  <c r="AH489" i="9"/>
  <c r="AG489" i="9"/>
  <c r="AF489" i="9"/>
  <c r="AE489" i="9"/>
  <c r="AD489" i="9"/>
  <c r="AC489" i="9"/>
  <c r="AB489" i="9"/>
  <c r="AA489" i="9"/>
  <c r="V489" i="9"/>
  <c r="D489" i="9"/>
  <c r="B489" i="9" a="1"/>
  <c r="B489" i="9" s="1"/>
  <c r="EY488" i="9"/>
  <c r="CI488" i="9"/>
  <c r="CH488" i="9"/>
  <c r="CG488" i="9"/>
  <c r="CF488" i="9"/>
  <c r="CE488" i="9"/>
  <c r="CD488" i="9"/>
  <c r="CC488" i="9"/>
  <c r="BV488" i="9"/>
  <c r="BU488" i="9"/>
  <c r="BT488" i="9"/>
  <c r="BS488" i="9"/>
  <c r="BR488" i="9"/>
  <c r="BQ488" i="9"/>
  <c r="BP488" i="9"/>
  <c r="BO488" i="9"/>
  <c r="BN488" i="9"/>
  <c r="BM488" i="9"/>
  <c r="BL488" i="9"/>
  <c r="BK488" i="9"/>
  <c r="BJ488" i="9"/>
  <c r="BI488" i="9"/>
  <c r="BH488" i="9"/>
  <c r="BG488" i="9"/>
  <c r="BF488" i="9"/>
  <c r="BE488" i="9"/>
  <c r="BD488" i="9"/>
  <c r="BC488" i="9"/>
  <c r="BB488" i="9"/>
  <c r="BA488" i="9"/>
  <c r="AZ488" i="9"/>
  <c r="AY488" i="9"/>
  <c r="AX488" i="9"/>
  <c r="AW488" i="9"/>
  <c r="AV488" i="9"/>
  <c r="AU488" i="9"/>
  <c r="AT488" i="9"/>
  <c r="AS488" i="9"/>
  <c r="AR488" i="9"/>
  <c r="AQ488" i="9"/>
  <c r="AP488" i="9"/>
  <c r="AO488" i="9"/>
  <c r="AN488" i="9"/>
  <c r="AM488" i="9"/>
  <c r="AL488" i="9"/>
  <c r="AK488" i="9"/>
  <c r="AJ488" i="9"/>
  <c r="AI488" i="9"/>
  <c r="AH488" i="9"/>
  <c r="AG488" i="9"/>
  <c r="AF488" i="9"/>
  <c r="AE488" i="9"/>
  <c r="AD488" i="9"/>
  <c r="AC488" i="9"/>
  <c r="AB488" i="9"/>
  <c r="AA488" i="9"/>
  <c r="V488" i="9"/>
  <c r="D488" i="9"/>
  <c r="B488" i="9" a="1"/>
  <c r="B488" i="9" s="1"/>
  <c r="EY487" i="9"/>
  <c r="CI487" i="9"/>
  <c r="CH487" i="9"/>
  <c r="CG487" i="9"/>
  <c r="CF487" i="9"/>
  <c r="CE487" i="9"/>
  <c r="CD487" i="9"/>
  <c r="CC487" i="9"/>
  <c r="BV487" i="9"/>
  <c r="BU487" i="9"/>
  <c r="BT487" i="9"/>
  <c r="BS487" i="9"/>
  <c r="BR487" i="9"/>
  <c r="BQ487" i="9"/>
  <c r="BP487" i="9"/>
  <c r="BO487" i="9"/>
  <c r="BN487" i="9"/>
  <c r="BM487" i="9"/>
  <c r="BL487" i="9"/>
  <c r="BK487" i="9"/>
  <c r="BJ487" i="9"/>
  <c r="BI487" i="9"/>
  <c r="BH487" i="9"/>
  <c r="BG487" i="9"/>
  <c r="BF487" i="9"/>
  <c r="BE487" i="9"/>
  <c r="BD487" i="9"/>
  <c r="BC487" i="9"/>
  <c r="BB487" i="9"/>
  <c r="BA487" i="9"/>
  <c r="AZ487" i="9"/>
  <c r="AY487" i="9"/>
  <c r="AX487" i="9"/>
  <c r="AW487" i="9"/>
  <c r="AV487" i="9"/>
  <c r="AU487" i="9"/>
  <c r="AT487" i="9"/>
  <c r="AS487" i="9"/>
  <c r="AR487" i="9"/>
  <c r="AQ487" i="9"/>
  <c r="AP487" i="9"/>
  <c r="AO487" i="9"/>
  <c r="AN487" i="9"/>
  <c r="AM487" i="9"/>
  <c r="AL487" i="9"/>
  <c r="AK487" i="9"/>
  <c r="AJ487" i="9"/>
  <c r="AI487" i="9"/>
  <c r="AH487" i="9"/>
  <c r="AG487" i="9"/>
  <c r="AF487" i="9"/>
  <c r="AE487" i="9"/>
  <c r="AD487" i="9"/>
  <c r="AC487" i="9"/>
  <c r="AB487" i="9"/>
  <c r="AA487" i="9"/>
  <c r="V487" i="9"/>
  <c r="D487" i="9"/>
  <c r="B487" i="9" a="1"/>
  <c r="B487" i="9" s="1"/>
  <c r="EY486" i="9"/>
  <c r="CI486" i="9"/>
  <c r="CH486" i="9"/>
  <c r="CG486" i="9"/>
  <c r="CF486" i="9"/>
  <c r="CE486" i="9"/>
  <c r="CD486" i="9"/>
  <c r="CC486" i="9"/>
  <c r="BV486" i="9"/>
  <c r="BU486" i="9"/>
  <c r="BT486" i="9"/>
  <c r="BS486" i="9"/>
  <c r="BR486" i="9"/>
  <c r="BQ486" i="9"/>
  <c r="BP486" i="9"/>
  <c r="BO486" i="9"/>
  <c r="BN486" i="9"/>
  <c r="BM486" i="9"/>
  <c r="BL486" i="9"/>
  <c r="BK486" i="9"/>
  <c r="BJ486" i="9"/>
  <c r="BI486" i="9"/>
  <c r="BH486" i="9"/>
  <c r="BG486" i="9"/>
  <c r="BF486" i="9"/>
  <c r="BE486" i="9"/>
  <c r="BD486" i="9"/>
  <c r="BC486" i="9"/>
  <c r="BB486" i="9"/>
  <c r="BA486" i="9"/>
  <c r="AZ486" i="9"/>
  <c r="AY486" i="9"/>
  <c r="AX486" i="9"/>
  <c r="AW486" i="9"/>
  <c r="AV486" i="9"/>
  <c r="AU486" i="9"/>
  <c r="AT486" i="9"/>
  <c r="AS486" i="9"/>
  <c r="AR486" i="9"/>
  <c r="AQ486" i="9"/>
  <c r="AP486" i="9"/>
  <c r="AO486" i="9"/>
  <c r="AN486" i="9"/>
  <c r="AM486" i="9"/>
  <c r="AL486" i="9"/>
  <c r="AK486" i="9"/>
  <c r="AJ486" i="9"/>
  <c r="AI486" i="9"/>
  <c r="AH486" i="9"/>
  <c r="AG486" i="9"/>
  <c r="AF486" i="9"/>
  <c r="AE486" i="9"/>
  <c r="AD486" i="9"/>
  <c r="AC486" i="9"/>
  <c r="AB486" i="9"/>
  <c r="AA486" i="9"/>
  <c r="V486" i="9"/>
  <c r="D486" i="9"/>
  <c r="B486" i="9" a="1"/>
  <c r="B486" i="9" s="1"/>
  <c r="EY485" i="9"/>
  <c r="E485" i="9"/>
  <c r="D485" i="9"/>
  <c r="EY484" i="9"/>
  <c r="EY483" i="9"/>
  <c r="EY482" i="9"/>
  <c r="CI482" i="9"/>
  <c r="CH482" i="9"/>
  <c r="CG482" i="9"/>
  <c r="CF482" i="9"/>
  <c r="CE482" i="9"/>
  <c r="CD482" i="9"/>
  <c r="CC482" i="9"/>
  <c r="BV482" i="9"/>
  <c r="BU482" i="9"/>
  <c r="BT482" i="9"/>
  <c r="BS482" i="9"/>
  <c r="BR482" i="9"/>
  <c r="BQ482" i="9"/>
  <c r="BP482" i="9"/>
  <c r="BO482" i="9"/>
  <c r="BN482" i="9"/>
  <c r="BM482" i="9"/>
  <c r="BL482" i="9"/>
  <c r="BK482" i="9"/>
  <c r="BJ482" i="9"/>
  <c r="BI482" i="9"/>
  <c r="BH482" i="9"/>
  <c r="BG482" i="9"/>
  <c r="BF482" i="9"/>
  <c r="BE482" i="9"/>
  <c r="BD482" i="9"/>
  <c r="BC482" i="9"/>
  <c r="BB482" i="9"/>
  <c r="BA482" i="9"/>
  <c r="AZ482" i="9"/>
  <c r="AY482" i="9"/>
  <c r="AX482" i="9"/>
  <c r="AW482" i="9"/>
  <c r="AV482" i="9"/>
  <c r="AU482" i="9"/>
  <c r="AT482" i="9"/>
  <c r="AS482" i="9"/>
  <c r="AR482" i="9"/>
  <c r="AQ482" i="9"/>
  <c r="AP482" i="9"/>
  <c r="AO482" i="9"/>
  <c r="AN482" i="9"/>
  <c r="AM482" i="9"/>
  <c r="AL482" i="9"/>
  <c r="AK482" i="9"/>
  <c r="AJ482" i="9"/>
  <c r="AI482" i="9"/>
  <c r="AH482" i="9"/>
  <c r="AG482" i="9"/>
  <c r="AF482" i="9"/>
  <c r="AE482" i="9"/>
  <c r="AD482" i="9"/>
  <c r="AC482" i="9"/>
  <c r="AB482" i="9"/>
  <c r="AA482" i="9"/>
  <c r="V482" i="9"/>
  <c r="D482" i="9"/>
  <c r="B482" i="9" a="1"/>
  <c r="B482" i="9" s="1"/>
  <c r="EY481" i="9"/>
  <c r="CI481" i="9"/>
  <c r="CH481" i="9"/>
  <c r="CG481" i="9"/>
  <c r="CF481" i="9"/>
  <c r="CE481" i="9"/>
  <c r="CD481" i="9"/>
  <c r="CC481" i="9"/>
  <c r="BV481" i="9"/>
  <c r="BU481" i="9"/>
  <c r="BT481" i="9"/>
  <c r="BS481" i="9"/>
  <c r="BR481" i="9"/>
  <c r="BQ481" i="9"/>
  <c r="BP481" i="9"/>
  <c r="BO481" i="9"/>
  <c r="BN481" i="9"/>
  <c r="BM481" i="9"/>
  <c r="BL481" i="9"/>
  <c r="BK481" i="9"/>
  <c r="BJ481" i="9"/>
  <c r="BI481" i="9"/>
  <c r="BH481" i="9"/>
  <c r="BG481" i="9"/>
  <c r="BF481" i="9"/>
  <c r="BE481" i="9"/>
  <c r="BD481" i="9"/>
  <c r="BC481" i="9"/>
  <c r="BB481" i="9"/>
  <c r="BA481" i="9"/>
  <c r="AZ481" i="9"/>
  <c r="AY481" i="9"/>
  <c r="AX481" i="9"/>
  <c r="AW481" i="9"/>
  <c r="AV481" i="9"/>
  <c r="AU481" i="9"/>
  <c r="AT481" i="9"/>
  <c r="AS481" i="9"/>
  <c r="AR481" i="9"/>
  <c r="AQ481" i="9"/>
  <c r="AP481" i="9"/>
  <c r="AO481" i="9"/>
  <c r="AN481" i="9"/>
  <c r="AM481" i="9"/>
  <c r="AL481" i="9"/>
  <c r="AK481" i="9"/>
  <c r="AJ481" i="9"/>
  <c r="AI481" i="9"/>
  <c r="AH481" i="9"/>
  <c r="AG481" i="9"/>
  <c r="AF481" i="9"/>
  <c r="AE481" i="9"/>
  <c r="AD481" i="9"/>
  <c r="AC481" i="9"/>
  <c r="AB481" i="9"/>
  <c r="AA481" i="9"/>
  <c r="V481" i="9"/>
  <c r="D481" i="9"/>
  <c r="B481" i="9" a="1"/>
  <c r="B481" i="9" s="1"/>
  <c r="EY480" i="9"/>
  <c r="CI480" i="9"/>
  <c r="CH480" i="9"/>
  <c r="CG480" i="9"/>
  <c r="CF480" i="9"/>
  <c r="CE480" i="9"/>
  <c r="CD480" i="9"/>
  <c r="CC480" i="9"/>
  <c r="BV480" i="9"/>
  <c r="BU480" i="9"/>
  <c r="BT480" i="9"/>
  <c r="BS480" i="9"/>
  <c r="BR480" i="9"/>
  <c r="BQ480" i="9"/>
  <c r="BP480" i="9"/>
  <c r="BO480" i="9"/>
  <c r="BN480" i="9"/>
  <c r="BM480" i="9"/>
  <c r="BL480" i="9"/>
  <c r="BK480" i="9"/>
  <c r="BJ480" i="9"/>
  <c r="BI480" i="9"/>
  <c r="BH480" i="9"/>
  <c r="BG480" i="9"/>
  <c r="BF480" i="9"/>
  <c r="BE480" i="9"/>
  <c r="BD480" i="9"/>
  <c r="BC480" i="9"/>
  <c r="BB480" i="9"/>
  <c r="BA480" i="9"/>
  <c r="AZ480" i="9"/>
  <c r="AY480" i="9"/>
  <c r="AX480" i="9"/>
  <c r="AW480" i="9"/>
  <c r="AV480" i="9"/>
  <c r="AU480" i="9"/>
  <c r="AT480" i="9"/>
  <c r="AS480" i="9"/>
  <c r="AR480" i="9"/>
  <c r="AQ480" i="9"/>
  <c r="AP480" i="9"/>
  <c r="AO480" i="9"/>
  <c r="AN480" i="9"/>
  <c r="AM480" i="9"/>
  <c r="AL480" i="9"/>
  <c r="AK480" i="9"/>
  <c r="AJ480" i="9"/>
  <c r="AI480" i="9"/>
  <c r="AH480" i="9"/>
  <c r="AG480" i="9"/>
  <c r="AF480" i="9"/>
  <c r="AE480" i="9"/>
  <c r="AD480" i="9"/>
  <c r="AC480" i="9"/>
  <c r="AB480" i="9"/>
  <c r="AA480" i="9"/>
  <c r="V480" i="9"/>
  <c r="D480" i="9"/>
  <c r="B480" i="9" a="1"/>
  <c r="B480" i="9" s="1"/>
  <c r="EY479" i="9"/>
  <c r="CI479" i="9"/>
  <c r="CH479" i="9"/>
  <c r="CG479" i="9"/>
  <c r="CF479" i="9"/>
  <c r="CE479" i="9"/>
  <c r="CD479" i="9"/>
  <c r="CC479" i="9"/>
  <c r="BV479" i="9"/>
  <c r="BU479" i="9"/>
  <c r="BT479" i="9"/>
  <c r="BS479" i="9"/>
  <c r="BR479" i="9"/>
  <c r="BQ479" i="9"/>
  <c r="BP479" i="9"/>
  <c r="BO479" i="9"/>
  <c r="BN479" i="9"/>
  <c r="BM479" i="9"/>
  <c r="BL479" i="9"/>
  <c r="BK479" i="9"/>
  <c r="BJ479" i="9"/>
  <c r="BI479" i="9"/>
  <c r="BH479" i="9"/>
  <c r="BG479" i="9"/>
  <c r="BF479" i="9"/>
  <c r="BE479" i="9"/>
  <c r="BD479" i="9"/>
  <c r="BC479" i="9"/>
  <c r="BB479" i="9"/>
  <c r="BA479" i="9"/>
  <c r="AZ479" i="9"/>
  <c r="AY479" i="9"/>
  <c r="AX479" i="9"/>
  <c r="AW479" i="9"/>
  <c r="AV479" i="9"/>
  <c r="AU479" i="9"/>
  <c r="AT479" i="9"/>
  <c r="AS479" i="9"/>
  <c r="AR479" i="9"/>
  <c r="AQ479" i="9"/>
  <c r="AP479" i="9"/>
  <c r="AO479" i="9"/>
  <c r="AN479" i="9"/>
  <c r="AM479" i="9"/>
  <c r="AL479" i="9"/>
  <c r="AK479" i="9"/>
  <c r="AJ479" i="9"/>
  <c r="AI479" i="9"/>
  <c r="AH479" i="9"/>
  <c r="AG479" i="9"/>
  <c r="AF479" i="9"/>
  <c r="AE479" i="9"/>
  <c r="AD479" i="9"/>
  <c r="AC479" i="9"/>
  <c r="AB479" i="9"/>
  <c r="AA479" i="9"/>
  <c r="V479" i="9"/>
  <c r="D479" i="9"/>
  <c r="B479" i="9" a="1"/>
  <c r="B479" i="9" s="1"/>
  <c r="EY478" i="9"/>
  <c r="CI478" i="9"/>
  <c r="CH478" i="9"/>
  <c r="CG478" i="9"/>
  <c r="CF478" i="9"/>
  <c r="CE478" i="9"/>
  <c r="CD478" i="9"/>
  <c r="CC478" i="9"/>
  <c r="BV478" i="9"/>
  <c r="BU478" i="9"/>
  <c r="BT478" i="9"/>
  <c r="BS478" i="9"/>
  <c r="BR478" i="9"/>
  <c r="BQ478" i="9"/>
  <c r="BP478" i="9"/>
  <c r="BO478" i="9"/>
  <c r="BN478" i="9"/>
  <c r="BM478" i="9"/>
  <c r="BL478" i="9"/>
  <c r="BK478" i="9"/>
  <c r="BJ478" i="9"/>
  <c r="BI478" i="9"/>
  <c r="BH478" i="9"/>
  <c r="BG478" i="9"/>
  <c r="BF478" i="9"/>
  <c r="BE478" i="9"/>
  <c r="BD478" i="9"/>
  <c r="BC478" i="9"/>
  <c r="BB478" i="9"/>
  <c r="BA478" i="9"/>
  <c r="AZ478" i="9"/>
  <c r="AY478" i="9"/>
  <c r="AX478" i="9"/>
  <c r="AW478" i="9"/>
  <c r="AV478" i="9"/>
  <c r="AU478" i="9"/>
  <c r="AT478" i="9"/>
  <c r="AS478" i="9"/>
  <c r="AR478" i="9"/>
  <c r="AQ478" i="9"/>
  <c r="AP478" i="9"/>
  <c r="AO478" i="9"/>
  <c r="AN478" i="9"/>
  <c r="AM478" i="9"/>
  <c r="AL478" i="9"/>
  <c r="AK478" i="9"/>
  <c r="AJ478" i="9"/>
  <c r="AI478" i="9"/>
  <c r="AH478" i="9"/>
  <c r="AG478" i="9"/>
  <c r="AF478" i="9"/>
  <c r="AE478" i="9"/>
  <c r="AD478" i="9"/>
  <c r="AC478" i="9"/>
  <c r="AB478" i="9"/>
  <c r="AA478" i="9"/>
  <c r="V478" i="9"/>
  <c r="D478" i="9"/>
  <c r="B478" i="9" a="1"/>
  <c r="B478" i="9" s="1"/>
  <c r="EY477" i="9"/>
  <c r="CI477" i="9"/>
  <c r="CH477" i="9"/>
  <c r="CG477" i="9"/>
  <c r="CF477" i="9"/>
  <c r="CE477" i="9"/>
  <c r="CD477" i="9"/>
  <c r="CC477" i="9"/>
  <c r="BV477" i="9"/>
  <c r="BU477" i="9"/>
  <c r="BT477" i="9"/>
  <c r="BS477" i="9"/>
  <c r="BR477" i="9"/>
  <c r="BQ477" i="9"/>
  <c r="BP477" i="9"/>
  <c r="BO477" i="9"/>
  <c r="BN477" i="9"/>
  <c r="BM477" i="9"/>
  <c r="BL477" i="9"/>
  <c r="BK477" i="9"/>
  <c r="BJ477" i="9"/>
  <c r="BI477" i="9"/>
  <c r="BH477" i="9"/>
  <c r="BG477" i="9"/>
  <c r="BF477" i="9"/>
  <c r="BE477" i="9"/>
  <c r="BD477" i="9"/>
  <c r="BC477" i="9"/>
  <c r="BB477" i="9"/>
  <c r="BA477" i="9"/>
  <c r="AZ477" i="9"/>
  <c r="AY477" i="9"/>
  <c r="AX477" i="9"/>
  <c r="AW477" i="9"/>
  <c r="AV477" i="9"/>
  <c r="AU477" i="9"/>
  <c r="AT477" i="9"/>
  <c r="AS477" i="9"/>
  <c r="AR477" i="9"/>
  <c r="AQ477" i="9"/>
  <c r="AP477" i="9"/>
  <c r="AO477" i="9"/>
  <c r="AN477" i="9"/>
  <c r="AM477" i="9"/>
  <c r="AL477" i="9"/>
  <c r="AK477" i="9"/>
  <c r="AJ477" i="9"/>
  <c r="AI477" i="9"/>
  <c r="AH477" i="9"/>
  <c r="AG477" i="9"/>
  <c r="AF477" i="9"/>
  <c r="AE477" i="9"/>
  <c r="AD477" i="9"/>
  <c r="AC477" i="9"/>
  <c r="AB477" i="9"/>
  <c r="AA477" i="9"/>
  <c r="V477" i="9"/>
  <c r="D477" i="9"/>
  <c r="B477" i="9" a="1"/>
  <c r="B477" i="9" s="1"/>
  <c r="EY476" i="9"/>
  <c r="CI476" i="9"/>
  <c r="CH476" i="9"/>
  <c r="CG476" i="9"/>
  <c r="CF476" i="9"/>
  <c r="CE476" i="9"/>
  <c r="CD476" i="9"/>
  <c r="CC476" i="9"/>
  <c r="BV476" i="9"/>
  <c r="BU476" i="9"/>
  <c r="BT476" i="9"/>
  <c r="BS476" i="9"/>
  <c r="BR476" i="9"/>
  <c r="BQ476" i="9"/>
  <c r="BP476" i="9"/>
  <c r="BO476" i="9"/>
  <c r="BN476" i="9"/>
  <c r="BM476" i="9"/>
  <c r="BL476" i="9"/>
  <c r="BK476" i="9"/>
  <c r="BJ476" i="9"/>
  <c r="BI476" i="9"/>
  <c r="BH476" i="9"/>
  <c r="BG476" i="9"/>
  <c r="BF476" i="9"/>
  <c r="BE476" i="9"/>
  <c r="BD476" i="9"/>
  <c r="BC476" i="9"/>
  <c r="BB476" i="9"/>
  <c r="BA476" i="9"/>
  <c r="AZ476" i="9"/>
  <c r="AY476" i="9"/>
  <c r="AX476" i="9"/>
  <c r="AW476" i="9"/>
  <c r="AV476" i="9"/>
  <c r="AU476" i="9"/>
  <c r="AT476" i="9"/>
  <c r="AS476" i="9"/>
  <c r="AR476" i="9"/>
  <c r="AQ476" i="9"/>
  <c r="AP476" i="9"/>
  <c r="AO476" i="9"/>
  <c r="AN476" i="9"/>
  <c r="AM476" i="9"/>
  <c r="AL476" i="9"/>
  <c r="AK476" i="9"/>
  <c r="AJ476" i="9"/>
  <c r="AI476" i="9"/>
  <c r="AH476" i="9"/>
  <c r="AG476" i="9"/>
  <c r="AF476" i="9"/>
  <c r="AE476" i="9"/>
  <c r="AD476" i="9"/>
  <c r="AC476" i="9"/>
  <c r="AB476" i="9"/>
  <c r="AA476" i="9"/>
  <c r="V476" i="9"/>
  <c r="D476" i="9"/>
  <c r="B476" i="9" a="1"/>
  <c r="B476" i="9" s="1"/>
  <c r="EY475" i="9"/>
  <c r="CI475" i="9"/>
  <c r="CH475" i="9"/>
  <c r="CG475" i="9"/>
  <c r="CF475" i="9"/>
  <c r="CE475" i="9"/>
  <c r="CD475" i="9"/>
  <c r="CC475" i="9"/>
  <c r="BV475" i="9"/>
  <c r="BU475" i="9"/>
  <c r="BT475" i="9"/>
  <c r="BS475" i="9"/>
  <c r="BR475" i="9"/>
  <c r="BQ475" i="9"/>
  <c r="BP475" i="9"/>
  <c r="BO475" i="9"/>
  <c r="BN475" i="9"/>
  <c r="BM475" i="9"/>
  <c r="BL475" i="9"/>
  <c r="BK475" i="9"/>
  <c r="BJ475" i="9"/>
  <c r="BI475" i="9"/>
  <c r="BH475" i="9"/>
  <c r="BG475" i="9"/>
  <c r="BF475" i="9"/>
  <c r="BE475" i="9"/>
  <c r="BD475" i="9"/>
  <c r="BC475" i="9"/>
  <c r="BB475" i="9"/>
  <c r="BA475" i="9"/>
  <c r="AZ475" i="9"/>
  <c r="AY475" i="9"/>
  <c r="AX475" i="9"/>
  <c r="AW475" i="9"/>
  <c r="AV475" i="9"/>
  <c r="AU475" i="9"/>
  <c r="AT475" i="9"/>
  <c r="AS475" i="9"/>
  <c r="AR475" i="9"/>
  <c r="AQ475" i="9"/>
  <c r="AP475" i="9"/>
  <c r="AO475" i="9"/>
  <c r="AN475" i="9"/>
  <c r="AM475" i="9"/>
  <c r="AL475" i="9"/>
  <c r="AK475" i="9"/>
  <c r="AJ475" i="9"/>
  <c r="AI475" i="9"/>
  <c r="AH475" i="9"/>
  <c r="AG475" i="9"/>
  <c r="AF475" i="9"/>
  <c r="AE475" i="9"/>
  <c r="AD475" i="9"/>
  <c r="AC475" i="9"/>
  <c r="AB475" i="9"/>
  <c r="AA475" i="9"/>
  <c r="V475" i="9"/>
  <c r="D475" i="9"/>
  <c r="B475" i="9" a="1"/>
  <c r="B475" i="9" s="1"/>
  <c r="EY474" i="9"/>
  <c r="CI474" i="9"/>
  <c r="CH474" i="9"/>
  <c r="CG474" i="9"/>
  <c r="CF474" i="9"/>
  <c r="CE474" i="9"/>
  <c r="CD474" i="9"/>
  <c r="CC474" i="9"/>
  <c r="BV474" i="9"/>
  <c r="BU474" i="9"/>
  <c r="BT474" i="9"/>
  <c r="BS474" i="9"/>
  <c r="BR474" i="9"/>
  <c r="BQ474" i="9"/>
  <c r="BP474" i="9"/>
  <c r="BO474" i="9"/>
  <c r="BN474" i="9"/>
  <c r="BM474" i="9"/>
  <c r="BL474" i="9"/>
  <c r="BK474" i="9"/>
  <c r="BJ474" i="9"/>
  <c r="BI474" i="9"/>
  <c r="BH474" i="9"/>
  <c r="BG474" i="9"/>
  <c r="BF474" i="9"/>
  <c r="BE474" i="9"/>
  <c r="BD474" i="9"/>
  <c r="BC474" i="9"/>
  <c r="BB474" i="9"/>
  <c r="BA474" i="9"/>
  <c r="AZ474" i="9"/>
  <c r="AY474" i="9"/>
  <c r="AX474" i="9"/>
  <c r="AW474" i="9"/>
  <c r="AV474" i="9"/>
  <c r="AU474" i="9"/>
  <c r="AT474" i="9"/>
  <c r="AS474" i="9"/>
  <c r="AR474" i="9"/>
  <c r="AQ474" i="9"/>
  <c r="AP474" i="9"/>
  <c r="AO474" i="9"/>
  <c r="AN474" i="9"/>
  <c r="AM474" i="9"/>
  <c r="AL474" i="9"/>
  <c r="AK474" i="9"/>
  <c r="AJ474" i="9"/>
  <c r="AI474" i="9"/>
  <c r="AH474" i="9"/>
  <c r="AG474" i="9"/>
  <c r="AF474" i="9"/>
  <c r="AE474" i="9"/>
  <c r="AD474" i="9"/>
  <c r="AC474" i="9"/>
  <c r="AB474" i="9"/>
  <c r="AA474" i="9"/>
  <c r="V474" i="9"/>
  <c r="D474" i="9"/>
  <c r="B474" i="9" a="1"/>
  <c r="B474" i="9" s="1"/>
  <c r="EY473" i="9"/>
  <c r="CI473" i="9"/>
  <c r="CH473" i="9"/>
  <c r="CG473" i="9"/>
  <c r="CF473" i="9"/>
  <c r="CE473" i="9"/>
  <c r="CD473" i="9"/>
  <c r="CC473" i="9"/>
  <c r="BV473" i="9"/>
  <c r="BU473" i="9"/>
  <c r="BT473" i="9"/>
  <c r="BS473" i="9"/>
  <c r="BR473" i="9"/>
  <c r="BQ473" i="9"/>
  <c r="BP473" i="9"/>
  <c r="BO473" i="9"/>
  <c r="BN473" i="9"/>
  <c r="BM473" i="9"/>
  <c r="BL473" i="9"/>
  <c r="BK473" i="9"/>
  <c r="BJ473" i="9"/>
  <c r="BI473" i="9"/>
  <c r="BH473" i="9"/>
  <c r="BG473" i="9"/>
  <c r="BF473" i="9"/>
  <c r="BE473" i="9"/>
  <c r="BD473" i="9"/>
  <c r="BC473" i="9"/>
  <c r="BB473" i="9"/>
  <c r="BA473" i="9"/>
  <c r="AZ473" i="9"/>
  <c r="AY473" i="9"/>
  <c r="AX473" i="9"/>
  <c r="AW473" i="9"/>
  <c r="AV473" i="9"/>
  <c r="AU473" i="9"/>
  <c r="AT473" i="9"/>
  <c r="AS473" i="9"/>
  <c r="AR473" i="9"/>
  <c r="AQ473" i="9"/>
  <c r="AP473" i="9"/>
  <c r="AO473" i="9"/>
  <c r="AN473" i="9"/>
  <c r="AM473" i="9"/>
  <c r="AL473" i="9"/>
  <c r="AK473" i="9"/>
  <c r="AJ473" i="9"/>
  <c r="AI473" i="9"/>
  <c r="AH473" i="9"/>
  <c r="AG473" i="9"/>
  <c r="AF473" i="9"/>
  <c r="AE473" i="9"/>
  <c r="AD473" i="9"/>
  <c r="AC473" i="9"/>
  <c r="AB473" i="9"/>
  <c r="AA473" i="9"/>
  <c r="V473" i="9"/>
  <c r="D473" i="9"/>
  <c r="B473" i="9" a="1"/>
  <c r="B473" i="9" s="1"/>
  <c r="EY472" i="9"/>
  <c r="CI472" i="9"/>
  <c r="CH472" i="9"/>
  <c r="CG472" i="9"/>
  <c r="CF472" i="9"/>
  <c r="CE472" i="9"/>
  <c r="CD472" i="9"/>
  <c r="CC472" i="9"/>
  <c r="BV472" i="9"/>
  <c r="BU472" i="9"/>
  <c r="BT472" i="9"/>
  <c r="BS472" i="9"/>
  <c r="BR472" i="9"/>
  <c r="BQ472" i="9"/>
  <c r="BP472" i="9"/>
  <c r="BO472" i="9"/>
  <c r="BN472" i="9"/>
  <c r="BM472" i="9"/>
  <c r="BL472" i="9"/>
  <c r="BK472" i="9"/>
  <c r="BJ472" i="9"/>
  <c r="BI472" i="9"/>
  <c r="BH472" i="9"/>
  <c r="BG472" i="9"/>
  <c r="BF472" i="9"/>
  <c r="BE472" i="9"/>
  <c r="BD472" i="9"/>
  <c r="BC472" i="9"/>
  <c r="BB472" i="9"/>
  <c r="BA472" i="9"/>
  <c r="AZ472" i="9"/>
  <c r="AY472" i="9"/>
  <c r="AX472" i="9"/>
  <c r="AW472" i="9"/>
  <c r="AV472" i="9"/>
  <c r="AU472" i="9"/>
  <c r="AT472" i="9"/>
  <c r="AS472" i="9"/>
  <c r="AR472" i="9"/>
  <c r="AQ472" i="9"/>
  <c r="AP472" i="9"/>
  <c r="AO472" i="9"/>
  <c r="AN472" i="9"/>
  <c r="AM472" i="9"/>
  <c r="AL472" i="9"/>
  <c r="AK472" i="9"/>
  <c r="AJ472" i="9"/>
  <c r="AI472" i="9"/>
  <c r="AH472" i="9"/>
  <c r="AG472" i="9"/>
  <c r="AF472" i="9"/>
  <c r="AE472" i="9"/>
  <c r="AD472" i="9"/>
  <c r="AC472" i="9"/>
  <c r="AB472" i="9"/>
  <c r="AA472" i="9"/>
  <c r="V472" i="9"/>
  <c r="D472" i="9"/>
  <c r="B472" i="9" a="1"/>
  <c r="B472" i="9" s="1"/>
  <c r="EY471" i="9"/>
  <c r="CI471" i="9"/>
  <c r="CH471" i="9"/>
  <c r="CG471" i="9"/>
  <c r="CF471" i="9"/>
  <c r="CE471" i="9"/>
  <c r="CD471" i="9"/>
  <c r="CC471" i="9"/>
  <c r="BV471" i="9"/>
  <c r="BU471" i="9"/>
  <c r="BT471" i="9"/>
  <c r="BS471" i="9"/>
  <c r="BR471" i="9"/>
  <c r="BQ471" i="9"/>
  <c r="BP471" i="9"/>
  <c r="BO471" i="9"/>
  <c r="BN471" i="9"/>
  <c r="BM471" i="9"/>
  <c r="BL471" i="9"/>
  <c r="BK471" i="9"/>
  <c r="BJ471" i="9"/>
  <c r="BI471" i="9"/>
  <c r="BH471" i="9"/>
  <c r="BG471" i="9"/>
  <c r="BF471" i="9"/>
  <c r="BE471" i="9"/>
  <c r="BD471" i="9"/>
  <c r="BC471" i="9"/>
  <c r="BB471" i="9"/>
  <c r="BA471" i="9"/>
  <c r="AZ471" i="9"/>
  <c r="AY471" i="9"/>
  <c r="AX471" i="9"/>
  <c r="AW471" i="9"/>
  <c r="AV471" i="9"/>
  <c r="AU471" i="9"/>
  <c r="AT471" i="9"/>
  <c r="AS471" i="9"/>
  <c r="AR471" i="9"/>
  <c r="AQ471" i="9"/>
  <c r="AP471" i="9"/>
  <c r="AO471" i="9"/>
  <c r="AN471" i="9"/>
  <c r="AM471" i="9"/>
  <c r="AL471" i="9"/>
  <c r="AK471" i="9"/>
  <c r="AJ471" i="9"/>
  <c r="AI471" i="9"/>
  <c r="AH471" i="9"/>
  <c r="AG471" i="9"/>
  <c r="AF471" i="9"/>
  <c r="AE471" i="9"/>
  <c r="AD471" i="9"/>
  <c r="AC471" i="9"/>
  <c r="AB471" i="9"/>
  <c r="AA471" i="9"/>
  <c r="V471" i="9"/>
  <c r="D471" i="9"/>
  <c r="B471" i="9" a="1"/>
  <c r="B471" i="9" s="1"/>
  <c r="EY470" i="9"/>
  <c r="CI470" i="9"/>
  <c r="CH470" i="9"/>
  <c r="CG470" i="9"/>
  <c r="CF470" i="9"/>
  <c r="CE470" i="9"/>
  <c r="CD470" i="9"/>
  <c r="CC470" i="9"/>
  <c r="BV470" i="9"/>
  <c r="BU470" i="9"/>
  <c r="BT470"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V470" i="9"/>
  <c r="D470" i="9"/>
  <c r="B470" i="9" a="1"/>
  <c r="B470" i="9" s="1"/>
  <c r="EY469" i="9"/>
  <c r="CI469" i="9"/>
  <c r="CH469" i="9"/>
  <c r="CG469" i="9"/>
  <c r="CF469" i="9"/>
  <c r="CE469" i="9"/>
  <c r="CD469" i="9"/>
  <c r="CC469" i="9"/>
  <c r="BV469" i="9"/>
  <c r="BU469" i="9"/>
  <c r="BT469"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V469" i="9"/>
  <c r="D469" i="9"/>
  <c r="B469" i="9" a="1"/>
  <c r="B469" i="9" s="1"/>
  <c r="EY468" i="9"/>
  <c r="CI468" i="9"/>
  <c r="CH468" i="9"/>
  <c r="CG468" i="9"/>
  <c r="CF468" i="9"/>
  <c r="CE468" i="9"/>
  <c r="CD468" i="9"/>
  <c r="CC468" i="9"/>
  <c r="BV468" i="9"/>
  <c r="BU468" i="9"/>
  <c r="BT468" i="9"/>
  <c r="BS468" i="9"/>
  <c r="BR468" i="9"/>
  <c r="BQ468" i="9"/>
  <c r="BP468" i="9"/>
  <c r="BO468" i="9"/>
  <c r="BN468" i="9"/>
  <c r="BM468" i="9"/>
  <c r="BL468" i="9"/>
  <c r="BK468" i="9"/>
  <c r="BJ468" i="9"/>
  <c r="BI468" i="9"/>
  <c r="BH468" i="9"/>
  <c r="BG468" i="9"/>
  <c r="BF468" i="9"/>
  <c r="BE468" i="9"/>
  <c r="BD468" i="9"/>
  <c r="BC468" i="9"/>
  <c r="BB468" i="9"/>
  <c r="BA468" i="9"/>
  <c r="AZ468" i="9"/>
  <c r="AY468" i="9"/>
  <c r="AX468" i="9"/>
  <c r="AW468" i="9"/>
  <c r="AV468" i="9"/>
  <c r="AU468" i="9"/>
  <c r="AT468" i="9"/>
  <c r="AS468" i="9"/>
  <c r="AR468" i="9"/>
  <c r="AQ468" i="9"/>
  <c r="AP468" i="9"/>
  <c r="AO468" i="9"/>
  <c r="AN468" i="9"/>
  <c r="AM468" i="9"/>
  <c r="AL468" i="9"/>
  <c r="AK468" i="9"/>
  <c r="AJ468" i="9"/>
  <c r="AI468" i="9"/>
  <c r="AH468" i="9"/>
  <c r="AG468" i="9"/>
  <c r="AF468" i="9"/>
  <c r="AE468" i="9"/>
  <c r="AD468" i="9"/>
  <c r="AC468" i="9"/>
  <c r="AB468" i="9"/>
  <c r="AA468" i="9"/>
  <c r="V468" i="9"/>
  <c r="D468" i="9"/>
  <c r="B468" i="9" a="1"/>
  <c r="B468" i="9" s="1"/>
  <c r="EY467" i="9"/>
  <c r="CI467" i="9"/>
  <c r="CH467" i="9"/>
  <c r="CG467" i="9"/>
  <c r="CF467" i="9"/>
  <c r="CE467" i="9"/>
  <c r="CD467" i="9"/>
  <c r="CC467" i="9"/>
  <c r="BV467" i="9"/>
  <c r="BU467" i="9"/>
  <c r="BT467" i="9"/>
  <c r="BS467" i="9"/>
  <c r="BR467" i="9"/>
  <c r="BQ467" i="9"/>
  <c r="BP467" i="9"/>
  <c r="BO467" i="9"/>
  <c r="BN467" i="9"/>
  <c r="BM467" i="9"/>
  <c r="BL467" i="9"/>
  <c r="BK467" i="9"/>
  <c r="BJ467" i="9"/>
  <c r="BI467" i="9"/>
  <c r="BH467" i="9"/>
  <c r="BG467" i="9"/>
  <c r="BF467" i="9"/>
  <c r="BE467" i="9"/>
  <c r="BD467" i="9"/>
  <c r="BC467" i="9"/>
  <c r="BB467" i="9"/>
  <c r="BA467" i="9"/>
  <c r="AZ467" i="9"/>
  <c r="AY467" i="9"/>
  <c r="AX467" i="9"/>
  <c r="AW467" i="9"/>
  <c r="AV467" i="9"/>
  <c r="AU467" i="9"/>
  <c r="AT467" i="9"/>
  <c r="AS467" i="9"/>
  <c r="AR467" i="9"/>
  <c r="AQ467" i="9"/>
  <c r="AP467" i="9"/>
  <c r="AO467" i="9"/>
  <c r="AN467" i="9"/>
  <c r="AM467" i="9"/>
  <c r="AL467" i="9"/>
  <c r="AK467" i="9"/>
  <c r="AJ467" i="9"/>
  <c r="AI467" i="9"/>
  <c r="AH467" i="9"/>
  <c r="AG467" i="9"/>
  <c r="AF467" i="9"/>
  <c r="AE467" i="9"/>
  <c r="AD467" i="9"/>
  <c r="AC467" i="9"/>
  <c r="AB467" i="9"/>
  <c r="AA467" i="9"/>
  <c r="V467" i="9"/>
  <c r="D467" i="9"/>
  <c r="B467" i="9" a="1"/>
  <c r="B467" i="9" s="1"/>
  <c r="EY466" i="9"/>
  <c r="CI466" i="9"/>
  <c r="CH466" i="9"/>
  <c r="CG466" i="9"/>
  <c r="CF466" i="9"/>
  <c r="CE466" i="9"/>
  <c r="CD466" i="9"/>
  <c r="CC466" i="9"/>
  <c r="BV466" i="9"/>
  <c r="BU466" i="9"/>
  <c r="BT466" i="9"/>
  <c r="BS466" i="9"/>
  <c r="BR466" i="9"/>
  <c r="BQ466" i="9"/>
  <c r="BP466" i="9"/>
  <c r="BO466" i="9"/>
  <c r="BN466" i="9"/>
  <c r="BM466" i="9"/>
  <c r="BL466" i="9"/>
  <c r="BK466" i="9"/>
  <c r="BJ466" i="9"/>
  <c r="BI466" i="9"/>
  <c r="BH466" i="9"/>
  <c r="BG466" i="9"/>
  <c r="BF466" i="9"/>
  <c r="BE466" i="9"/>
  <c r="BD466" i="9"/>
  <c r="BC466" i="9"/>
  <c r="BB466" i="9"/>
  <c r="BA466" i="9"/>
  <c r="AZ466" i="9"/>
  <c r="AY466" i="9"/>
  <c r="AX466" i="9"/>
  <c r="AW466" i="9"/>
  <c r="AV466" i="9"/>
  <c r="AU466" i="9"/>
  <c r="AT466" i="9"/>
  <c r="AS466" i="9"/>
  <c r="AR466" i="9"/>
  <c r="AQ466" i="9"/>
  <c r="AP466" i="9"/>
  <c r="AO466" i="9"/>
  <c r="AN466" i="9"/>
  <c r="AM466" i="9"/>
  <c r="AL466" i="9"/>
  <c r="AK466" i="9"/>
  <c r="AJ466" i="9"/>
  <c r="AI466" i="9"/>
  <c r="AH466" i="9"/>
  <c r="AG466" i="9"/>
  <c r="AF466" i="9"/>
  <c r="AE466" i="9"/>
  <c r="AD466" i="9"/>
  <c r="AC466" i="9"/>
  <c r="AB466" i="9"/>
  <c r="AA466" i="9"/>
  <c r="V466" i="9"/>
  <c r="D466" i="9"/>
  <c r="B466" i="9" a="1"/>
  <c r="B466" i="9" s="1"/>
  <c r="EY465" i="9"/>
  <c r="CI465" i="9"/>
  <c r="CH465" i="9"/>
  <c r="CG465" i="9"/>
  <c r="CF465" i="9"/>
  <c r="CE465" i="9"/>
  <c r="CD465" i="9"/>
  <c r="CC465" i="9"/>
  <c r="BV465" i="9"/>
  <c r="BU465" i="9"/>
  <c r="BT465" i="9"/>
  <c r="BS465" i="9"/>
  <c r="BR465" i="9"/>
  <c r="BQ465" i="9"/>
  <c r="BP465" i="9"/>
  <c r="BO465" i="9"/>
  <c r="BN465" i="9"/>
  <c r="BM465" i="9"/>
  <c r="BL465" i="9"/>
  <c r="BK465" i="9"/>
  <c r="BJ465" i="9"/>
  <c r="BI465" i="9"/>
  <c r="BH465" i="9"/>
  <c r="BG465" i="9"/>
  <c r="BF465" i="9"/>
  <c r="BE465" i="9"/>
  <c r="BD465" i="9"/>
  <c r="BC465" i="9"/>
  <c r="BB465" i="9"/>
  <c r="BA465" i="9"/>
  <c r="AZ465" i="9"/>
  <c r="AY465" i="9"/>
  <c r="AX465" i="9"/>
  <c r="AW465" i="9"/>
  <c r="AV465" i="9"/>
  <c r="AU465" i="9"/>
  <c r="AT465" i="9"/>
  <c r="AS465" i="9"/>
  <c r="AR465" i="9"/>
  <c r="AQ465" i="9"/>
  <c r="AP465" i="9"/>
  <c r="AO465" i="9"/>
  <c r="AN465" i="9"/>
  <c r="AM465" i="9"/>
  <c r="AL465" i="9"/>
  <c r="AK465" i="9"/>
  <c r="AJ465" i="9"/>
  <c r="AI465" i="9"/>
  <c r="AH465" i="9"/>
  <c r="AG465" i="9"/>
  <c r="AF465" i="9"/>
  <c r="AE465" i="9"/>
  <c r="AD465" i="9"/>
  <c r="AC465" i="9"/>
  <c r="AB465" i="9"/>
  <c r="AA465" i="9"/>
  <c r="V465" i="9"/>
  <c r="D465" i="9"/>
  <c r="B465" i="9" a="1"/>
  <c r="B465" i="9" s="1"/>
  <c r="EY464" i="9"/>
  <c r="CI464" i="9"/>
  <c r="CH464" i="9"/>
  <c r="CG464" i="9"/>
  <c r="CF464" i="9"/>
  <c r="CE464" i="9"/>
  <c r="CD464" i="9"/>
  <c r="CC464" i="9"/>
  <c r="BV464" i="9"/>
  <c r="BU464" i="9"/>
  <c r="BT464" i="9"/>
  <c r="BS464" i="9"/>
  <c r="BR464" i="9"/>
  <c r="BQ464" i="9"/>
  <c r="BP464" i="9"/>
  <c r="BO464" i="9"/>
  <c r="BN464" i="9"/>
  <c r="BM464" i="9"/>
  <c r="BL464" i="9"/>
  <c r="BK464" i="9"/>
  <c r="BJ464" i="9"/>
  <c r="BI464" i="9"/>
  <c r="BH464" i="9"/>
  <c r="BG464" i="9"/>
  <c r="BF464" i="9"/>
  <c r="BE464" i="9"/>
  <c r="BD464" i="9"/>
  <c r="BC464" i="9"/>
  <c r="BB464" i="9"/>
  <c r="BA464" i="9"/>
  <c r="AZ464" i="9"/>
  <c r="AY464" i="9"/>
  <c r="AX464" i="9"/>
  <c r="AW464" i="9"/>
  <c r="AV464" i="9"/>
  <c r="AU464" i="9"/>
  <c r="AT464" i="9"/>
  <c r="AS464" i="9"/>
  <c r="AR464" i="9"/>
  <c r="AQ464" i="9"/>
  <c r="AP464" i="9"/>
  <c r="AO464" i="9"/>
  <c r="AN464" i="9"/>
  <c r="AM464" i="9"/>
  <c r="AL464" i="9"/>
  <c r="AK464" i="9"/>
  <c r="AJ464" i="9"/>
  <c r="AI464" i="9"/>
  <c r="AH464" i="9"/>
  <c r="AG464" i="9"/>
  <c r="AF464" i="9"/>
  <c r="AE464" i="9"/>
  <c r="AD464" i="9"/>
  <c r="AC464" i="9"/>
  <c r="AB464" i="9"/>
  <c r="AA464" i="9"/>
  <c r="V464" i="9"/>
  <c r="D464" i="9"/>
  <c r="B464" i="9" a="1"/>
  <c r="B464" i="9" s="1"/>
  <c r="EY463" i="9"/>
  <c r="CI463" i="9"/>
  <c r="CH463" i="9"/>
  <c r="CG463" i="9"/>
  <c r="CF463" i="9"/>
  <c r="CE463" i="9"/>
  <c r="CD463" i="9"/>
  <c r="CC463" i="9"/>
  <c r="BV463" i="9"/>
  <c r="BU463" i="9"/>
  <c r="BT463" i="9"/>
  <c r="BS463" i="9"/>
  <c r="BR463" i="9"/>
  <c r="BQ463" i="9"/>
  <c r="BP463" i="9"/>
  <c r="BO463" i="9"/>
  <c r="BN463" i="9"/>
  <c r="BM463" i="9"/>
  <c r="BL463" i="9"/>
  <c r="BK463" i="9"/>
  <c r="BJ463" i="9"/>
  <c r="BI463" i="9"/>
  <c r="BH463" i="9"/>
  <c r="BG463" i="9"/>
  <c r="BF463" i="9"/>
  <c r="BE463" i="9"/>
  <c r="BD463" i="9"/>
  <c r="BC463" i="9"/>
  <c r="BB463" i="9"/>
  <c r="BA463" i="9"/>
  <c r="AZ463" i="9"/>
  <c r="AY463" i="9"/>
  <c r="AX463" i="9"/>
  <c r="AW463" i="9"/>
  <c r="AV463" i="9"/>
  <c r="AU463" i="9"/>
  <c r="AT463" i="9"/>
  <c r="AS463" i="9"/>
  <c r="AR463" i="9"/>
  <c r="AQ463" i="9"/>
  <c r="AP463" i="9"/>
  <c r="AO463" i="9"/>
  <c r="AN463" i="9"/>
  <c r="AM463" i="9"/>
  <c r="AL463" i="9"/>
  <c r="AK463" i="9"/>
  <c r="AJ463" i="9"/>
  <c r="AI463" i="9"/>
  <c r="AH463" i="9"/>
  <c r="AG463" i="9"/>
  <c r="AF463" i="9"/>
  <c r="AE463" i="9"/>
  <c r="AD463" i="9"/>
  <c r="AC463" i="9"/>
  <c r="AB463" i="9"/>
  <c r="AA463" i="9"/>
  <c r="V463" i="9"/>
  <c r="D463" i="9"/>
  <c r="B463" i="9" a="1"/>
  <c r="B463" i="9" s="1"/>
  <c r="EY462" i="9"/>
  <c r="E462" i="9"/>
  <c r="D462" i="9"/>
  <c r="EY461" i="9"/>
  <c r="D461" i="9"/>
  <c r="EY460" i="9"/>
  <c r="EY459" i="9"/>
  <c r="V459" i="9"/>
  <c r="D459" i="9"/>
  <c r="B459" i="9" a="1"/>
  <c r="B459" i="9" s="1"/>
  <c r="EY458" i="9"/>
  <c r="BX458" i="9"/>
  <c r="V458" i="9"/>
  <c r="D458" i="9"/>
  <c r="B458" i="9" a="1"/>
  <c r="B458" i="9" s="1"/>
  <c r="EY457" i="9"/>
  <c r="V457" i="9"/>
  <c r="D457" i="9"/>
  <c r="B457" i="9" a="1"/>
  <c r="B457" i="9" s="1"/>
  <c r="EY456" i="9"/>
  <c r="V456" i="9"/>
  <c r="D456" i="9"/>
  <c r="B456" i="9" a="1"/>
  <c r="B456" i="9" s="1"/>
  <c r="EY455" i="9"/>
  <c r="V455" i="9"/>
  <c r="D455" i="9"/>
  <c r="B455" i="9" a="1"/>
  <c r="B455" i="9" s="1"/>
  <c r="EY454" i="9"/>
  <c r="V454" i="9"/>
  <c r="D454" i="9"/>
  <c r="B454" i="9" a="1"/>
  <c r="B454" i="9" s="1"/>
  <c r="EY453" i="9"/>
  <c r="V453" i="9"/>
  <c r="D453" i="9"/>
  <c r="B453" i="9" a="1"/>
  <c r="B453" i="9" s="1"/>
  <c r="EY452" i="9"/>
  <c r="V452" i="9"/>
  <c r="D452" i="9"/>
  <c r="B452" i="9" a="1"/>
  <c r="B452" i="9" s="1"/>
  <c r="EY451" i="9"/>
  <c r="V451" i="9"/>
  <c r="D451" i="9"/>
  <c r="B451" i="9" a="1"/>
  <c r="B451" i="9" s="1"/>
  <c r="EY450" i="9"/>
  <c r="V450" i="9"/>
  <c r="D450" i="9"/>
  <c r="B450" i="9" a="1"/>
  <c r="B450" i="9" s="1"/>
  <c r="EY449" i="9"/>
  <c r="V449" i="9"/>
  <c r="D449" i="9"/>
  <c r="B449" i="9" a="1"/>
  <c r="B449" i="9" s="1"/>
  <c r="EY448" i="9"/>
  <c r="V448" i="9"/>
  <c r="D448" i="9"/>
  <c r="B448" i="9" a="1"/>
  <c r="B448" i="9" s="1"/>
  <c r="EY447" i="9"/>
  <c r="V447" i="9"/>
  <c r="D447" i="9"/>
  <c r="B447" i="9" a="1"/>
  <c r="B447" i="9" s="1"/>
  <c r="EY446" i="9"/>
  <c r="V446" i="9"/>
  <c r="D446" i="9"/>
  <c r="B446" i="9" a="1"/>
  <c r="B446" i="9" s="1"/>
  <c r="EY445" i="9"/>
  <c r="V445" i="9"/>
  <c r="D445" i="9"/>
  <c r="B445" i="9" a="1"/>
  <c r="B445" i="9" s="1"/>
  <c r="EY444" i="9"/>
  <c r="V444" i="9"/>
  <c r="D444" i="9"/>
  <c r="B444" i="9" a="1"/>
  <c r="B444" i="9" s="1"/>
  <c r="EY443" i="9"/>
  <c r="V443" i="9"/>
  <c r="D443" i="9"/>
  <c r="B443" i="9" a="1"/>
  <c r="B443" i="9" s="1"/>
  <c r="EY442" i="9"/>
  <c r="V442" i="9"/>
  <c r="D442" i="9"/>
  <c r="B442" i="9" a="1"/>
  <c r="B442" i="9" s="1"/>
  <c r="EY441" i="9"/>
  <c r="V441" i="9"/>
  <c r="D441" i="9"/>
  <c r="B441" i="9" a="1"/>
  <c r="B441" i="9" s="1"/>
  <c r="EY440" i="9"/>
  <c r="V440" i="9"/>
  <c r="D440" i="9"/>
  <c r="B440" i="9" a="1"/>
  <c r="B440" i="9" s="1"/>
  <c r="EY439" i="9"/>
  <c r="E439" i="9"/>
  <c r="D439" i="9"/>
  <c r="EY438" i="9"/>
  <c r="D438" i="9"/>
  <c r="EY437" i="9"/>
  <c r="EY436" i="9"/>
  <c r="EY435" i="9"/>
  <c r="DG435" i="9"/>
  <c r="EY434" i="9"/>
  <c r="DG434" i="9"/>
  <c r="G434" i="9"/>
  <c r="E434" i="9"/>
  <c r="EY433" i="9"/>
  <c r="DG433" i="9"/>
  <c r="EY432" i="9"/>
  <c r="DG432" i="9"/>
  <c r="BX432" i="9"/>
  <c r="BX643" i="9" s="1"/>
  <c r="EY431" i="9"/>
  <c r="EY430" i="9"/>
  <c r="DG430" i="9"/>
  <c r="BX430" i="9"/>
  <c r="BX620" i="9" s="1"/>
  <c r="V430" i="9"/>
  <c r="V620" i="9" s="1"/>
  <c r="EY429" i="9"/>
  <c r="DG429" i="9"/>
  <c r="BX429" i="9"/>
  <c r="BX597" i="9" s="1"/>
  <c r="BX879" i="9" s="1"/>
  <c r="EY428" i="9"/>
  <c r="DG428" i="9"/>
  <c r="BX428" i="9"/>
  <c r="BX574" i="9" s="1"/>
  <c r="EY427" i="9"/>
  <c r="DG427" i="9"/>
  <c r="BX427" i="9"/>
  <c r="BX551" i="9" s="1"/>
  <c r="W427" i="9"/>
  <c r="W551" i="9" s="1"/>
  <c r="EY426" i="9"/>
  <c r="DG426" i="9"/>
  <c r="EY425" i="9"/>
  <c r="DG425" i="9"/>
  <c r="G425" i="9"/>
  <c r="EY424" i="9"/>
  <c r="DG424" i="9"/>
  <c r="G424" i="9"/>
  <c r="EY423" i="9"/>
  <c r="DG423" i="9"/>
  <c r="EY422" i="9"/>
  <c r="DG422" i="9"/>
  <c r="BX422" i="9"/>
  <c r="AA422" i="9"/>
  <c r="V422" i="9"/>
  <c r="V1019" i="9" s="1"/>
  <c r="EY421" i="9"/>
  <c r="DG421" i="9"/>
  <c r="BX421" i="9"/>
  <c r="EY420" i="9"/>
  <c r="DG420" i="9"/>
  <c r="BX420" i="9"/>
  <c r="EY419" i="9"/>
  <c r="DG419" i="9"/>
  <c r="BX419" i="9"/>
  <c r="BX482" i="9" s="1"/>
  <c r="EY418" i="9"/>
  <c r="DG418" i="9"/>
  <c r="BX418" i="9"/>
  <c r="BX459" i="9" s="1"/>
  <c r="AA418" i="9"/>
  <c r="AA459" i="9" s="1"/>
  <c r="W418" i="9"/>
  <c r="EY417" i="9"/>
  <c r="DG417" i="9"/>
  <c r="EY416" i="9"/>
  <c r="DG416" i="9"/>
  <c r="EY415" i="9"/>
  <c r="DG415" i="9"/>
  <c r="G415" i="9"/>
  <c r="E415" i="9"/>
  <c r="EY414" i="9"/>
  <c r="DG414" i="9"/>
  <c r="EY413" i="9"/>
  <c r="DG413" i="9"/>
  <c r="BX413" i="9"/>
  <c r="BX642" i="9" s="1"/>
  <c r="EY412" i="9"/>
  <c r="DG412" i="9"/>
  <c r="EY411" i="9"/>
  <c r="DG411" i="9"/>
  <c r="V411" i="9"/>
  <c r="EY410" i="9"/>
  <c r="DG410" i="9"/>
  <c r="BX410" i="9"/>
  <c r="BX596" i="9" s="1"/>
  <c r="EY409" i="9"/>
  <c r="DG409" i="9"/>
  <c r="BX409" i="9"/>
  <c r="BX573" i="9" s="1"/>
  <c r="EY408" i="9"/>
  <c r="DG408" i="9"/>
  <c r="BX408" i="9"/>
  <c r="BX550" i="9" s="1"/>
  <c r="EY407" i="9"/>
  <c r="DG407" i="9"/>
  <c r="EY406" i="9"/>
  <c r="DG406" i="9"/>
  <c r="G406" i="9"/>
  <c r="EY405" i="9"/>
  <c r="DG405" i="9"/>
  <c r="G405" i="9"/>
  <c r="EY404" i="9"/>
  <c r="DG404" i="9"/>
  <c r="EY403" i="9"/>
  <c r="DG403" i="9"/>
  <c r="V403" i="9"/>
  <c r="V405" i="9" s="1"/>
  <c r="EY402" i="9"/>
  <c r="DG402" i="9"/>
  <c r="BX402" i="9"/>
  <c r="EY401" i="9"/>
  <c r="DG401" i="9"/>
  <c r="BX401" i="9"/>
  <c r="EY400" i="9"/>
  <c r="DG400" i="9"/>
  <c r="BX400" i="9"/>
  <c r="BX481" i="9" s="1"/>
  <c r="EY399" i="9"/>
  <c r="DG399" i="9"/>
  <c r="BX399" i="9"/>
  <c r="W399" i="9"/>
  <c r="BY399" i="9" s="1"/>
  <c r="BY458" i="9" s="1"/>
  <c r="EY398" i="9"/>
  <c r="DG398" i="9"/>
  <c r="EY397" i="9"/>
  <c r="DG397" i="9"/>
  <c r="EY396" i="9"/>
  <c r="DG396" i="9"/>
  <c r="G396" i="9"/>
  <c r="E396" i="9"/>
  <c r="EY395" i="9"/>
  <c r="DG395" i="9"/>
  <c r="EY394" i="9"/>
  <c r="DG394" i="9"/>
  <c r="BX394" i="9"/>
  <c r="BX641" i="9" s="1"/>
  <c r="EY393" i="9"/>
  <c r="DG393" i="9"/>
  <c r="EY392" i="9"/>
  <c r="DG392" i="9"/>
  <c r="BX392" i="9"/>
  <c r="BX618" i="9" s="1"/>
  <c r="BX900" i="9" s="1"/>
  <c r="V392" i="9"/>
  <c r="V618" i="9" s="1"/>
  <c r="EY391" i="9"/>
  <c r="DG391" i="9"/>
  <c r="BX391" i="9"/>
  <c r="BX595" i="9" s="1"/>
  <c r="EY390" i="9"/>
  <c r="DG390" i="9"/>
  <c r="BX390" i="9"/>
  <c r="BX572" i="9" s="1"/>
  <c r="BX854" i="9" s="1"/>
  <c r="EY389" i="9"/>
  <c r="DG389" i="9"/>
  <c r="BY389" i="9"/>
  <c r="BY549" i="9" s="1"/>
  <c r="BX389" i="9"/>
  <c r="BX549" i="9" s="1"/>
  <c r="W389" i="9"/>
  <c r="EY388" i="9"/>
  <c r="DG388" i="9"/>
  <c r="EY387" i="9"/>
  <c r="DG387" i="9"/>
  <c r="G387" i="9"/>
  <c r="EY386" i="9"/>
  <c r="DG386" i="9"/>
  <c r="G386" i="9"/>
  <c r="EY385" i="9"/>
  <c r="DG385" i="9"/>
  <c r="EY384" i="9"/>
  <c r="DG384" i="9"/>
  <c r="V384" i="9"/>
  <c r="V386" i="9" s="1"/>
  <c r="EY383" i="9"/>
  <c r="DG383" i="9"/>
  <c r="BX383" i="9"/>
  <c r="EY382" i="9"/>
  <c r="DG382" i="9"/>
  <c r="BX382" i="9"/>
  <c r="BX994" i="9" s="1"/>
  <c r="EY381" i="9"/>
  <c r="DG381" i="9"/>
  <c r="BX381" i="9"/>
  <c r="EY380" i="9"/>
  <c r="DG380" i="9"/>
  <c r="BX380" i="9"/>
  <c r="BX457" i="9" s="1"/>
  <c r="W380" i="9"/>
  <c r="EY379" i="9"/>
  <c r="DG379" i="9"/>
  <c r="EY378" i="9"/>
  <c r="DG378" i="9"/>
  <c r="EY377" i="9"/>
  <c r="DG377" i="9"/>
  <c r="G377" i="9"/>
  <c r="E377" i="9"/>
  <c r="EY376" i="9"/>
  <c r="DG376" i="9"/>
  <c r="EY375" i="9"/>
  <c r="DG375" i="9"/>
  <c r="BX375" i="9"/>
  <c r="BX640" i="9" s="1"/>
  <c r="EY374" i="9"/>
  <c r="DG374" i="9"/>
  <c r="EY373" i="9"/>
  <c r="DG373" i="9"/>
  <c r="BX373" i="9"/>
  <c r="BX617" i="9" s="1"/>
  <c r="BX899" i="9" s="1"/>
  <c r="V373" i="9"/>
  <c r="V617" i="9" s="1"/>
  <c r="V899" i="9" s="1"/>
  <c r="EY372" i="9"/>
  <c r="DG372" i="9"/>
  <c r="BX372" i="9"/>
  <c r="BX594" i="9" s="1"/>
  <c r="BX876" i="9" s="1"/>
  <c r="EY371" i="9"/>
  <c r="DG371" i="9"/>
  <c r="BX371" i="9"/>
  <c r="EY370" i="9"/>
  <c r="DG370" i="9"/>
  <c r="BX370" i="9"/>
  <c r="BX548" i="9" s="1"/>
  <c r="W370" i="9"/>
  <c r="EY369" i="9"/>
  <c r="DG369" i="9"/>
  <c r="EY368" i="9"/>
  <c r="DG368" i="9"/>
  <c r="G368" i="9"/>
  <c r="EY367" i="9"/>
  <c r="DG367" i="9"/>
  <c r="V367" i="9"/>
  <c r="G367" i="9"/>
  <c r="EY366" i="9"/>
  <c r="DG366" i="9"/>
  <c r="EY365" i="9"/>
  <c r="DG365" i="9"/>
  <c r="BX365" i="9"/>
  <c r="V365" i="9"/>
  <c r="EY364" i="9"/>
  <c r="DG364" i="9"/>
  <c r="BX364" i="9"/>
  <c r="EY363" i="9"/>
  <c r="DG363" i="9"/>
  <c r="BX363" i="9"/>
  <c r="BX993" i="9" s="1"/>
  <c r="EY362" i="9"/>
  <c r="DG362" i="9"/>
  <c r="BX362" i="9"/>
  <c r="EY361" i="9"/>
  <c r="DG361" i="9"/>
  <c r="BX361" i="9"/>
  <c r="BX456" i="9" s="1"/>
  <c r="W361" i="9"/>
  <c r="EY360" i="9"/>
  <c r="DG360" i="9"/>
  <c r="EY359" i="9"/>
  <c r="DG359" i="9"/>
  <c r="EY358" i="9"/>
  <c r="DG358" i="9"/>
  <c r="G358" i="9"/>
  <c r="E358" i="9"/>
  <c r="EY357" i="9"/>
  <c r="DG357" i="9"/>
  <c r="EY356" i="9"/>
  <c r="DG356" i="9"/>
  <c r="BX356" i="9"/>
  <c r="BX639" i="9" s="1"/>
  <c r="EY355" i="9"/>
  <c r="DG355" i="9"/>
  <c r="EY354" i="9"/>
  <c r="DG354" i="9"/>
  <c r="V354" i="9"/>
  <c r="EY353" i="9"/>
  <c r="DG353" i="9"/>
  <c r="BX353" i="9"/>
  <c r="BX593" i="9" s="1"/>
  <c r="BX875" i="9" s="1"/>
  <c r="EY352" i="9"/>
  <c r="DG352" i="9"/>
  <c r="BX352" i="9"/>
  <c r="EY351" i="9"/>
  <c r="DG351" i="9"/>
  <c r="BX351" i="9"/>
  <c r="BX547" i="9" s="1"/>
  <c r="EY350" i="9"/>
  <c r="DG350" i="9"/>
  <c r="EY349" i="9"/>
  <c r="DG349" i="9"/>
  <c r="G349" i="9"/>
  <c r="EY348" i="9"/>
  <c r="DG348" i="9"/>
  <c r="BX348" i="9"/>
  <c r="G348" i="9"/>
  <c r="EY347" i="9"/>
  <c r="DG347" i="9"/>
  <c r="EY346" i="9"/>
  <c r="DG346" i="9"/>
  <c r="BX346" i="9"/>
  <c r="V346" i="9"/>
  <c r="EY345" i="9"/>
  <c r="DG345" i="9"/>
  <c r="BX345" i="9"/>
  <c r="EY344" i="9"/>
  <c r="DG344" i="9"/>
  <c r="BX344" i="9"/>
  <c r="EY343" i="9"/>
  <c r="DG343" i="9"/>
  <c r="BX343" i="9"/>
  <c r="BX478" i="9" s="1"/>
  <c r="EY342" i="9"/>
  <c r="DG342" i="9"/>
  <c r="BX342" i="9"/>
  <c r="BX455" i="9" s="1"/>
  <c r="EY341" i="9"/>
  <c r="DG341" i="9"/>
  <c r="EY340" i="9"/>
  <c r="DG340" i="9"/>
  <c r="EY339" i="9"/>
  <c r="DG339" i="9"/>
  <c r="G339" i="9"/>
  <c r="E339" i="9"/>
  <c r="EY338" i="9"/>
  <c r="DG338" i="9"/>
  <c r="EY337" i="9"/>
  <c r="DG337" i="9"/>
  <c r="BX337" i="9"/>
  <c r="EY336" i="9"/>
  <c r="DG336" i="9"/>
  <c r="EY335" i="9"/>
  <c r="DG335" i="9"/>
  <c r="V335" i="9"/>
  <c r="EY334" i="9"/>
  <c r="DG334" i="9"/>
  <c r="BX334" i="9"/>
  <c r="EY333" i="9"/>
  <c r="DG333" i="9"/>
  <c r="BX333" i="9"/>
  <c r="BX569" i="9" s="1"/>
  <c r="BX851" i="9" s="1"/>
  <c r="EY332" i="9"/>
  <c r="DG332" i="9"/>
  <c r="BX332" i="9"/>
  <c r="BX546" i="9" s="1"/>
  <c r="EY331" i="9"/>
  <c r="DG331" i="9"/>
  <c r="EY330" i="9"/>
  <c r="DG330" i="9"/>
  <c r="G330" i="9"/>
  <c r="EY329" i="9"/>
  <c r="DG329" i="9"/>
  <c r="G329" i="9"/>
  <c r="V329" i="9" s="1"/>
  <c r="EY328" i="9"/>
  <c r="DG328" i="9"/>
  <c r="EY327" i="9"/>
  <c r="DG327" i="9"/>
  <c r="BX327" i="9"/>
  <c r="V327" i="9"/>
  <c r="EY326" i="9"/>
  <c r="DG326" i="9"/>
  <c r="BX326" i="9"/>
  <c r="EY325" i="9"/>
  <c r="DG325" i="9"/>
  <c r="BX325" i="9"/>
  <c r="EY324" i="9"/>
  <c r="DG324" i="9"/>
  <c r="BX324" i="9"/>
  <c r="BX477" i="9" s="1"/>
  <c r="EY323" i="9"/>
  <c r="DG323" i="9"/>
  <c r="BX323" i="9"/>
  <c r="BX454" i="9" s="1"/>
  <c r="W323" i="9"/>
  <c r="EY322" i="9"/>
  <c r="DG322" i="9"/>
  <c r="EY321" i="9"/>
  <c r="DG321" i="9"/>
  <c r="EY320" i="9"/>
  <c r="DG320" i="9"/>
  <c r="G320" i="9"/>
  <c r="E320" i="9"/>
  <c r="EY319" i="9"/>
  <c r="DG319" i="9"/>
  <c r="EY318" i="9"/>
  <c r="DG318" i="9"/>
  <c r="BX318" i="9"/>
  <c r="EY317" i="9"/>
  <c r="DG317" i="9"/>
  <c r="EY316" i="9"/>
  <c r="DG316" i="9"/>
  <c r="V316" i="9"/>
  <c r="EY315" i="9"/>
  <c r="DG315" i="9"/>
  <c r="BX315" i="9"/>
  <c r="BX591" i="9" s="1"/>
  <c r="EY314" i="9"/>
  <c r="DG314" i="9"/>
  <c r="BX314" i="9"/>
  <c r="BX568" i="9" s="1"/>
  <c r="BX850" i="9" s="1"/>
  <c r="EY313" i="9"/>
  <c r="DG313" i="9"/>
  <c r="BX313" i="9"/>
  <c r="BX545" i="9" s="1"/>
  <c r="W313" i="9"/>
  <c r="W545" i="9" s="1"/>
  <c r="EY312" i="9"/>
  <c r="DG312" i="9"/>
  <c r="EY311" i="9"/>
  <c r="DG311" i="9"/>
  <c r="G311" i="9"/>
  <c r="EY310" i="9"/>
  <c r="DG310" i="9"/>
  <c r="V310" i="9"/>
  <c r="G310" i="9"/>
  <c r="EY309" i="9"/>
  <c r="DG309" i="9"/>
  <c r="EY308" i="9"/>
  <c r="DG308" i="9"/>
  <c r="BX308" i="9"/>
  <c r="V308" i="9"/>
  <c r="EY307" i="9"/>
  <c r="DG307" i="9"/>
  <c r="BX307" i="9"/>
  <c r="EY306" i="9"/>
  <c r="DG306" i="9"/>
  <c r="BX306" i="9"/>
  <c r="EY305" i="9"/>
  <c r="DG305" i="9"/>
  <c r="BX305" i="9"/>
  <c r="BX476" i="9" s="1"/>
  <c r="EY304" i="9"/>
  <c r="DG304" i="9"/>
  <c r="BX304" i="9"/>
  <c r="BX453" i="9" s="1"/>
  <c r="EY303" i="9"/>
  <c r="DG303" i="9"/>
  <c r="EY302" i="9"/>
  <c r="DG302" i="9"/>
  <c r="EY301" i="9"/>
  <c r="DG301" i="9"/>
  <c r="G301" i="9"/>
  <c r="E301" i="9"/>
  <c r="EY300" i="9"/>
  <c r="DG300" i="9"/>
  <c r="EY299" i="9"/>
  <c r="DG299" i="9"/>
  <c r="BX299" i="9"/>
  <c r="EY298" i="9"/>
  <c r="DG298" i="9"/>
  <c r="EY297" i="9"/>
  <c r="DG297" i="9"/>
  <c r="V297" i="9"/>
  <c r="BX297" i="9" s="1"/>
  <c r="BX613" i="9" s="1"/>
  <c r="EY296" i="9"/>
  <c r="DG296" i="9"/>
  <c r="BX296" i="9"/>
  <c r="EY295" i="9"/>
  <c r="DG295" i="9"/>
  <c r="BX295" i="9"/>
  <c r="BX567" i="9" s="1"/>
  <c r="EY294" i="9"/>
  <c r="DG294" i="9"/>
  <c r="BX294" i="9"/>
  <c r="BX544" i="9" s="1"/>
  <c r="EY293" i="9"/>
  <c r="DG293" i="9"/>
  <c r="EY292" i="9"/>
  <c r="DG292" i="9"/>
  <c r="G292" i="9"/>
  <c r="EY291" i="9"/>
  <c r="DG291" i="9"/>
  <c r="G291" i="9"/>
  <c r="EY290" i="9"/>
  <c r="DG290" i="9"/>
  <c r="EY289" i="9"/>
  <c r="DG289" i="9"/>
  <c r="V289" i="9"/>
  <c r="V291" i="9" s="1"/>
  <c r="EY288" i="9"/>
  <c r="DG288" i="9"/>
  <c r="BX288" i="9"/>
  <c r="EY287" i="9"/>
  <c r="DG287" i="9"/>
  <c r="BX287" i="9"/>
  <c r="EY286" i="9"/>
  <c r="DG286" i="9"/>
  <c r="BX286" i="9"/>
  <c r="BX475" i="9" s="1"/>
  <c r="EY285" i="9"/>
  <c r="DG285" i="9"/>
  <c r="BY285" i="9"/>
  <c r="BY452" i="9" s="1"/>
  <c r="BX285" i="9"/>
  <c r="BX452" i="9" s="1"/>
  <c r="W285" i="9"/>
  <c r="W452" i="9" s="1"/>
  <c r="EY284" i="9"/>
  <c r="DG284" i="9"/>
  <c r="EY283" i="9"/>
  <c r="DG283" i="9"/>
  <c r="EY282" i="9"/>
  <c r="DG282" i="9"/>
  <c r="G282" i="9"/>
  <c r="E282" i="9"/>
  <c r="EY281" i="9"/>
  <c r="DG281" i="9"/>
  <c r="EY280" i="9"/>
  <c r="DG280" i="9"/>
  <c r="BX280" i="9"/>
  <c r="BX635" i="9" s="1"/>
  <c r="EY279" i="9"/>
  <c r="DG279" i="9"/>
  <c r="EY278" i="9"/>
  <c r="DG278" i="9"/>
  <c r="BX278" i="9"/>
  <c r="BX612" i="9" s="1"/>
  <c r="BX894" i="9" s="1"/>
  <c r="V278" i="9"/>
  <c r="V612" i="9" s="1"/>
  <c r="V894" i="9" s="1"/>
  <c r="EY277" i="9"/>
  <c r="DG277" i="9"/>
  <c r="BX277" i="9"/>
  <c r="BX589" i="9" s="1"/>
  <c r="BX871" i="9" s="1"/>
  <c r="EY276" i="9"/>
  <c r="DG276" i="9"/>
  <c r="BX276" i="9"/>
  <c r="BX566" i="9" s="1"/>
  <c r="BX848" i="9" s="1"/>
  <c r="EY275" i="9"/>
  <c r="DG275" i="9"/>
  <c r="BX275" i="9"/>
  <c r="BX543" i="9" s="1"/>
  <c r="W275" i="9"/>
  <c r="W543" i="9" s="1"/>
  <c r="EY274" i="9"/>
  <c r="DG274" i="9"/>
  <c r="EY273" i="9"/>
  <c r="DG273" i="9"/>
  <c r="G273" i="9"/>
  <c r="EY272" i="9"/>
  <c r="DG272" i="9"/>
  <c r="V272" i="9"/>
  <c r="G272" i="9"/>
  <c r="EY271" i="9"/>
  <c r="DG271" i="9"/>
  <c r="EY270" i="9"/>
  <c r="DG270" i="9"/>
  <c r="BX270" i="9"/>
  <c r="V270" i="9"/>
  <c r="EY269" i="9"/>
  <c r="DG269" i="9"/>
  <c r="BX269" i="9"/>
  <c r="EY268" i="9"/>
  <c r="DG268" i="9"/>
  <c r="BX268" i="9"/>
  <c r="EY267" i="9"/>
  <c r="DG267" i="9"/>
  <c r="BX267" i="9"/>
  <c r="EY266" i="9"/>
  <c r="DG266" i="9"/>
  <c r="BX266" i="9"/>
  <c r="BX451" i="9" s="1"/>
  <c r="W266" i="9"/>
  <c r="EY265" i="9"/>
  <c r="DG265" i="9"/>
  <c r="EY264" i="9"/>
  <c r="DG264" i="9"/>
  <c r="EY263" i="9"/>
  <c r="DG263" i="9"/>
  <c r="G263" i="9"/>
  <c r="E263" i="9"/>
  <c r="EY262" i="9"/>
  <c r="DG262" i="9"/>
  <c r="EY261" i="9"/>
  <c r="DG261" i="9"/>
  <c r="BX261" i="9"/>
  <c r="BX634" i="9" s="1"/>
  <c r="EY260" i="9"/>
  <c r="DG260" i="9"/>
  <c r="EY259" i="9"/>
  <c r="DG259" i="9"/>
  <c r="BX259" i="9"/>
  <c r="BX611" i="9" s="1"/>
  <c r="BX893" i="9" s="1"/>
  <c r="V259" i="9"/>
  <c r="V611" i="9" s="1"/>
  <c r="V893" i="9" s="1"/>
  <c r="EY258" i="9"/>
  <c r="DG258" i="9"/>
  <c r="BX258" i="9"/>
  <c r="BX588" i="9" s="1"/>
  <c r="EY257" i="9"/>
  <c r="DG257" i="9"/>
  <c r="BX257" i="9"/>
  <c r="BX565" i="9" s="1"/>
  <c r="BX847" i="9" s="1"/>
  <c r="EY256" i="9"/>
  <c r="DG256" i="9"/>
  <c r="BX256" i="9"/>
  <c r="BX542" i="9" s="1"/>
  <c r="EY255" i="9"/>
  <c r="DG255" i="9"/>
  <c r="EY254" i="9"/>
  <c r="DG254" i="9"/>
  <c r="G254" i="9"/>
  <c r="EY253" i="9"/>
  <c r="DG253" i="9"/>
  <c r="G253" i="9"/>
  <c r="V253" i="9" s="1"/>
  <c r="EY252" i="9"/>
  <c r="DG252" i="9"/>
  <c r="EY251" i="9"/>
  <c r="DG251" i="9"/>
  <c r="V251" i="9"/>
  <c r="EY250" i="9"/>
  <c r="DG250" i="9"/>
  <c r="BX250" i="9"/>
  <c r="EY249" i="9"/>
  <c r="DG249" i="9"/>
  <c r="BX249" i="9"/>
  <c r="EY248" i="9"/>
  <c r="DG248" i="9"/>
  <c r="BX248" i="9"/>
  <c r="BX473" i="9" s="1"/>
  <c r="EY247" i="9"/>
  <c r="DG247" i="9"/>
  <c r="BY247" i="9"/>
  <c r="BY450" i="9" s="1"/>
  <c r="BX247" i="9"/>
  <c r="BX450" i="9" s="1"/>
  <c r="W247" i="9"/>
  <c r="EY246" i="9"/>
  <c r="DG246" i="9"/>
  <c r="EY245" i="9"/>
  <c r="DG245" i="9"/>
  <c r="EY244" i="9"/>
  <c r="DG244" i="9"/>
  <c r="G244" i="9"/>
  <c r="E244" i="9"/>
  <c r="EY243" i="9"/>
  <c r="DG243" i="9"/>
  <c r="EY242" i="9"/>
  <c r="DG242" i="9"/>
  <c r="BX242" i="9"/>
  <c r="BX633" i="9" s="1"/>
  <c r="EY241" i="9"/>
  <c r="DG241" i="9"/>
  <c r="EY240" i="9"/>
  <c r="DG240" i="9"/>
  <c r="BX240" i="9"/>
  <c r="BX610" i="9" s="1"/>
  <c r="V240" i="9"/>
  <c r="V610" i="9" s="1"/>
  <c r="V892" i="9" s="1"/>
  <c r="EY239" i="9"/>
  <c r="DG239" i="9"/>
  <c r="BX239" i="9"/>
  <c r="BX587" i="9" s="1"/>
  <c r="BX869" i="9" s="1"/>
  <c r="EY238" i="9"/>
  <c r="DG238" i="9"/>
  <c r="BX238" i="9"/>
  <c r="BX564" i="9" s="1"/>
  <c r="EY237" i="9"/>
  <c r="DG237" i="9"/>
  <c r="BY237" i="9"/>
  <c r="BY541" i="9" s="1"/>
  <c r="BX237" i="9"/>
  <c r="BX541" i="9" s="1"/>
  <c r="W237" i="9"/>
  <c r="EY236" i="9"/>
  <c r="DG236" i="9"/>
  <c r="EY235" i="9"/>
  <c r="DG235" i="9"/>
  <c r="G235" i="9"/>
  <c r="EY234" i="9"/>
  <c r="DG234" i="9"/>
  <c r="V234" i="9"/>
  <c r="G234" i="9"/>
  <c r="EY233" i="9"/>
  <c r="DG233" i="9"/>
  <c r="EY232" i="9"/>
  <c r="DG232" i="9"/>
  <c r="BX232" i="9"/>
  <c r="V232" i="9"/>
  <c r="EY231" i="9"/>
  <c r="DG231" i="9"/>
  <c r="BX231" i="9"/>
  <c r="EY230" i="9"/>
  <c r="DG230" i="9"/>
  <c r="BX230" i="9"/>
  <c r="BX986" i="9" s="1"/>
  <c r="EY229" i="9"/>
  <c r="DG229" i="9"/>
  <c r="BX229" i="9"/>
  <c r="EY228" i="9"/>
  <c r="DG228" i="9"/>
  <c r="BX228" i="9"/>
  <c r="BX449" i="9" s="1"/>
  <c r="W228" i="9"/>
  <c r="EY227" i="9"/>
  <c r="DG227" i="9"/>
  <c r="EY226" i="9"/>
  <c r="DG226" i="9"/>
  <c r="EY225" i="9"/>
  <c r="DG225" i="9"/>
  <c r="G225" i="9"/>
  <c r="E225" i="9"/>
  <c r="EY224" i="9"/>
  <c r="DG224" i="9"/>
  <c r="EY223" i="9"/>
  <c r="DG223" i="9"/>
  <c r="BX223" i="9"/>
  <c r="BX632" i="9" s="1"/>
  <c r="EY222" i="9"/>
  <c r="DG222" i="9"/>
  <c r="EY221" i="9"/>
  <c r="DG221" i="9"/>
  <c r="BX221" i="9"/>
  <c r="BX609" i="9" s="1"/>
  <c r="V221" i="9"/>
  <c r="V609" i="9" s="1"/>
  <c r="EY220" i="9"/>
  <c r="DG220" i="9"/>
  <c r="BX220" i="9"/>
  <c r="BX586" i="9" s="1"/>
  <c r="BX868" i="9" s="1"/>
  <c r="EY219" i="9"/>
  <c r="DG219" i="9"/>
  <c r="BX219" i="9"/>
  <c r="EY218" i="9"/>
  <c r="DG218" i="9"/>
  <c r="BX218" i="9"/>
  <c r="BX540" i="9" s="1"/>
  <c r="AA218" i="9"/>
  <c r="AA540" i="9" s="1"/>
  <c r="W218" i="9"/>
  <c r="EY217" i="9"/>
  <c r="DG217" i="9"/>
  <c r="EY216" i="9"/>
  <c r="DG216" i="9"/>
  <c r="G216" i="9"/>
  <c r="EY215" i="9"/>
  <c r="DG215" i="9"/>
  <c r="V215" i="9"/>
  <c r="G215" i="9"/>
  <c r="EY214" i="9"/>
  <c r="DG214" i="9"/>
  <c r="EY213" i="9"/>
  <c r="DG213" i="9"/>
  <c r="BX213" i="9"/>
  <c r="BX215" i="9" s="1"/>
  <c r="V213" i="9"/>
  <c r="EY212" i="9"/>
  <c r="DG212" i="9"/>
  <c r="BX212" i="9"/>
  <c r="EY211" i="9"/>
  <c r="DG211" i="9"/>
  <c r="BX211" i="9"/>
  <c r="EY210" i="9"/>
  <c r="DG210" i="9"/>
  <c r="BX210" i="9"/>
  <c r="BX471" i="9" s="1"/>
  <c r="EY209" i="9"/>
  <c r="DG209" i="9"/>
  <c r="BX209" i="9"/>
  <c r="BX448" i="9" s="1"/>
  <c r="W209" i="9"/>
  <c r="W448" i="9" s="1"/>
  <c r="EY208" i="9"/>
  <c r="DG208" i="9"/>
  <c r="EY207" i="9"/>
  <c r="DG207" i="9"/>
  <c r="EY206" i="9"/>
  <c r="DG206" i="9"/>
  <c r="G206" i="9"/>
  <c r="E206" i="9"/>
  <c r="EY205" i="9"/>
  <c r="DG205" i="9"/>
  <c r="EY204" i="9"/>
  <c r="DG204" i="9"/>
  <c r="BX204" i="9"/>
  <c r="BX631" i="9" s="1"/>
  <c r="EY203" i="9"/>
  <c r="DG203" i="9"/>
  <c r="EY202" i="9"/>
  <c r="DG202" i="9"/>
  <c r="V202" i="9"/>
  <c r="V608" i="9" s="1"/>
  <c r="V890" i="9" s="1"/>
  <c r="EY201" i="9"/>
  <c r="DG201" i="9"/>
  <c r="BX201" i="9"/>
  <c r="BX585" i="9" s="1"/>
  <c r="BX867" i="9" s="1"/>
  <c r="EY200" i="9"/>
  <c r="DG200" i="9"/>
  <c r="BX200" i="9"/>
  <c r="BX562" i="9" s="1"/>
  <c r="BX844" i="9" s="1"/>
  <c r="EY199" i="9"/>
  <c r="DG199" i="9"/>
  <c r="BX199" i="9"/>
  <c r="BX539" i="9" s="1"/>
  <c r="EY198" i="9"/>
  <c r="DG198" i="9"/>
  <c r="EY197" i="9"/>
  <c r="DG197" i="9"/>
  <c r="G197" i="9"/>
  <c r="EY196" i="9"/>
  <c r="DG196" i="9"/>
  <c r="BX196" i="9"/>
  <c r="V196" i="9"/>
  <c r="G196" i="9"/>
  <c r="EY195" i="9"/>
  <c r="DG195" i="9"/>
  <c r="EY194" i="9"/>
  <c r="DG194" i="9"/>
  <c r="V194" i="9"/>
  <c r="BX194" i="9" s="1"/>
  <c r="EY193" i="9"/>
  <c r="DG193" i="9"/>
  <c r="BX193" i="9"/>
  <c r="EY192" i="9"/>
  <c r="DG192" i="9"/>
  <c r="BX192" i="9"/>
  <c r="EY191" i="9"/>
  <c r="DG191" i="9"/>
  <c r="BX191" i="9"/>
  <c r="BX470" i="9" s="1"/>
  <c r="EY190" i="9"/>
  <c r="DG190" i="9"/>
  <c r="BX190" i="9"/>
  <c r="BX447" i="9" s="1"/>
  <c r="EY189" i="9"/>
  <c r="DG189" i="9"/>
  <c r="EY188" i="9"/>
  <c r="DG188" i="9"/>
  <c r="EY187" i="9"/>
  <c r="DG187" i="9"/>
  <c r="G187" i="9"/>
  <c r="E187" i="9"/>
  <c r="EY186" i="9"/>
  <c r="DG186" i="9"/>
  <c r="EY185" i="9"/>
  <c r="DG185" i="9"/>
  <c r="BX185" i="9"/>
  <c r="BX630" i="9" s="1"/>
  <c r="EY184" i="9"/>
  <c r="DG184" i="9"/>
  <c r="EY183" i="9"/>
  <c r="DG183" i="9"/>
  <c r="BX183" i="9"/>
  <c r="BX607" i="9" s="1"/>
  <c r="BX889" i="9" s="1"/>
  <c r="V183" i="9"/>
  <c r="V607" i="9" s="1"/>
  <c r="V889" i="9" s="1"/>
  <c r="EY182" i="9"/>
  <c r="DG182" i="9"/>
  <c r="BX182" i="9"/>
  <c r="BX584" i="9" s="1"/>
  <c r="EY181" i="9"/>
  <c r="DG181" i="9"/>
  <c r="BX181" i="9"/>
  <c r="BX561" i="9" s="1"/>
  <c r="EY180" i="9"/>
  <c r="DG180" i="9"/>
  <c r="BY180" i="9"/>
  <c r="BY538" i="9" s="1"/>
  <c r="BX180" i="9"/>
  <c r="BX538" i="9" s="1"/>
  <c r="W180" i="9"/>
  <c r="W538" i="9" s="1"/>
  <c r="EY179" i="9"/>
  <c r="DG179" i="9"/>
  <c r="EY178" i="9"/>
  <c r="DG178" i="9"/>
  <c r="G178" i="9"/>
  <c r="EY177" i="9"/>
  <c r="DG177" i="9"/>
  <c r="G177" i="9"/>
  <c r="EY176" i="9"/>
  <c r="DG176" i="9"/>
  <c r="EY175" i="9"/>
  <c r="DG175" i="9"/>
  <c r="V175" i="9"/>
  <c r="V177" i="9" s="1"/>
  <c r="EY174" i="9"/>
  <c r="DG174" i="9"/>
  <c r="BX174" i="9"/>
  <c r="EY173" i="9"/>
  <c r="DG173" i="9"/>
  <c r="BX173" i="9"/>
  <c r="EY172" i="9"/>
  <c r="DG172" i="9"/>
  <c r="BX172" i="9"/>
  <c r="EY171" i="9"/>
  <c r="DG171" i="9"/>
  <c r="BX171" i="9"/>
  <c r="BX446" i="9" s="1"/>
  <c r="EY170" i="9"/>
  <c r="DG170" i="9"/>
  <c r="EY169" i="9"/>
  <c r="DG169" i="9"/>
  <c r="EY168" i="9"/>
  <c r="DG168" i="9"/>
  <c r="G168" i="9"/>
  <c r="E168" i="9"/>
  <c r="EY167" i="9"/>
  <c r="DG167" i="9"/>
  <c r="EY166" i="9"/>
  <c r="DG166" i="9"/>
  <c r="BX166" i="9"/>
  <c r="BX629" i="9" s="1"/>
  <c r="EY165" i="9"/>
  <c r="DG165" i="9"/>
  <c r="EY164" i="9"/>
  <c r="DG164" i="9"/>
  <c r="V164" i="9"/>
  <c r="V606" i="9" s="1"/>
  <c r="EY163" i="9"/>
  <c r="DG163" i="9"/>
  <c r="BX163" i="9"/>
  <c r="BX583" i="9" s="1"/>
  <c r="BX865" i="9" s="1"/>
  <c r="EY162" i="9"/>
  <c r="DG162" i="9"/>
  <c r="BX162" i="9"/>
  <c r="EY161" i="9"/>
  <c r="DG161" i="9"/>
  <c r="BX161" i="9"/>
  <c r="BX537" i="9" s="1"/>
  <c r="EY160" i="9"/>
  <c r="DG160" i="9"/>
  <c r="EY159" i="9"/>
  <c r="DG159" i="9"/>
  <c r="G159" i="9"/>
  <c r="EY158" i="9"/>
  <c r="DG158" i="9"/>
  <c r="G158" i="9"/>
  <c r="EY157" i="9"/>
  <c r="DG157" i="9"/>
  <c r="EY156" i="9"/>
  <c r="DG156" i="9"/>
  <c r="V156" i="9"/>
  <c r="EY155" i="9"/>
  <c r="DG155" i="9"/>
  <c r="BX155" i="9"/>
  <c r="EY154" i="9"/>
  <c r="DG154" i="9"/>
  <c r="BX154" i="9"/>
  <c r="EY153" i="9"/>
  <c r="DG153" i="9"/>
  <c r="BX153" i="9"/>
  <c r="BX468" i="9" s="1"/>
  <c r="EY152" i="9"/>
  <c r="DG152" i="9"/>
  <c r="BX152" i="9"/>
  <c r="BX445" i="9" s="1"/>
  <c r="W152" i="9"/>
  <c r="EY151" i="9"/>
  <c r="DG151" i="9"/>
  <c r="EY150" i="9"/>
  <c r="DG150" i="9"/>
  <c r="EY149" i="9"/>
  <c r="DG149" i="9"/>
  <c r="G149" i="9"/>
  <c r="E149" i="9"/>
  <c r="EY148" i="9"/>
  <c r="DG148" i="9"/>
  <c r="EY147" i="9"/>
  <c r="DG147" i="9"/>
  <c r="BX147" i="9"/>
  <c r="BX628" i="9" s="1"/>
  <c r="EY146" i="9"/>
  <c r="DG146" i="9"/>
  <c r="EY145" i="9"/>
  <c r="DG145" i="9"/>
  <c r="BX145" i="9"/>
  <c r="BX605" i="9" s="1"/>
  <c r="BX887" i="9" s="1"/>
  <c r="V145" i="9"/>
  <c r="V605" i="9" s="1"/>
  <c r="EY144" i="9"/>
  <c r="DG144" i="9"/>
  <c r="BX144" i="9"/>
  <c r="BX582" i="9" s="1"/>
  <c r="EY143" i="9"/>
  <c r="DG143" i="9"/>
  <c r="BX143" i="9"/>
  <c r="BX559" i="9" s="1"/>
  <c r="BX841" i="9" s="1"/>
  <c r="EY142" i="9"/>
  <c r="DG142" i="9"/>
  <c r="BY142" i="9"/>
  <c r="BY536" i="9" s="1"/>
  <c r="BX142" i="9"/>
  <c r="BX536" i="9" s="1"/>
  <c r="W142" i="9"/>
  <c r="EY141" i="9"/>
  <c r="DG141" i="9"/>
  <c r="EY140" i="9"/>
  <c r="DG140" i="9"/>
  <c r="G140" i="9"/>
  <c r="EY139" i="9"/>
  <c r="DG139" i="9"/>
  <c r="G139" i="9"/>
  <c r="EY138" i="9"/>
  <c r="DG138" i="9"/>
  <c r="EY137" i="9"/>
  <c r="DG137" i="9"/>
  <c r="V137" i="9"/>
  <c r="EY136" i="9"/>
  <c r="DG136" i="9"/>
  <c r="BX136" i="9"/>
  <c r="EY135" i="9"/>
  <c r="DG135" i="9"/>
  <c r="BX135" i="9"/>
  <c r="EY134" i="9"/>
  <c r="DG134" i="9"/>
  <c r="BX134" i="9"/>
  <c r="EY133" i="9"/>
  <c r="DG133" i="9"/>
  <c r="BX133" i="9"/>
  <c r="BX444" i="9" s="1"/>
  <c r="W133" i="9"/>
  <c r="EY132" i="9"/>
  <c r="DG132" i="9"/>
  <c r="EY131" i="9"/>
  <c r="DG131" i="9"/>
  <c r="EY130" i="9"/>
  <c r="DG130" i="9"/>
  <c r="G130" i="9"/>
  <c r="E130" i="9"/>
  <c r="EY129" i="9"/>
  <c r="DG129" i="9"/>
  <c r="EY128" i="9"/>
  <c r="DG128" i="9"/>
  <c r="BX128" i="9"/>
  <c r="BX627" i="9" s="1"/>
  <c r="EY127" i="9"/>
  <c r="DG127" i="9"/>
  <c r="EY126" i="9"/>
  <c r="DG126" i="9"/>
  <c r="BX126" i="9"/>
  <c r="BX604" i="9" s="1"/>
  <c r="V126" i="9"/>
  <c r="V604" i="9" s="1"/>
  <c r="V886" i="9" s="1"/>
  <c r="EY125" i="9"/>
  <c r="DG125" i="9"/>
  <c r="BX125" i="9"/>
  <c r="BX581" i="9" s="1"/>
  <c r="BX863" i="9" s="1"/>
  <c r="EY124" i="9"/>
  <c r="DG124" i="9"/>
  <c r="BX124" i="9"/>
  <c r="EY123" i="9"/>
  <c r="DG123" i="9"/>
  <c r="BX123" i="9"/>
  <c r="BX535" i="9" s="1"/>
  <c r="W123" i="9"/>
  <c r="EY122" i="9"/>
  <c r="DG122" i="9"/>
  <c r="EY121" i="9"/>
  <c r="DG121" i="9"/>
  <c r="G121" i="9"/>
  <c r="EY120" i="9"/>
  <c r="DG120" i="9"/>
  <c r="V120" i="9"/>
  <c r="G120" i="9"/>
  <c r="EY119" i="9"/>
  <c r="DG119" i="9"/>
  <c r="EY118" i="9"/>
  <c r="DG118" i="9"/>
  <c r="BX118" i="9"/>
  <c r="BX120" i="9" s="1"/>
  <c r="V118" i="9"/>
  <c r="EY117" i="9"/>
  <c r="DG117" i="9"/>
  <c r="BX117" i="9"/>
  <c r="EY116" i="9"/>
  <c r="DG116" i="9"/>
  <c r="BX116" i="9"/>
  <c r="BX980" i="9" s="1"/>
  <c r="EY115" i="9"/>
  <c r="DG115" i="9"/>
  <c r="BX115" i="9"/>
  <c r="EY114" i="9"/>
  <c r="DG114" i="9"/>
  <c r="BX114" i="9"/>
  <c r="BX443" i="9" s="1"/>
  <c r="W114" i="9"/>
  <c r="EY113" i="9"/>
  <c r="DG113" i="9"/>
  <c r="EY112" i="9"/>
  <c r="DG112" i="9"/>
  <c r="EY111" i="9"/>
  <c r="DG111" i="9"/>
  <c r="G111" i="9"/>
  <c r="E111" i="9"/>
  <c r="EY110" i="9"/>
  <c r="DG110" i="9"/>
  <c r="EY109" i="9"/>
  <c r="DG109" i="9"/>
  <c r="BX109" i="9"/>
  <c r="BX626" i="9" s="1"/>
  <c r="EY108" i="9"/>
  <c r="DG108" i="9"/>
  <c r="EY107" i="9"/>
  <c r="DG107" i="9"/>
  <c r="V107" i="9"/>
  <c r="EY106" i="9"/>
  <c r="DG106" i="9"/>
  <c r="BX106" i="9"/>
  <c r="BX580" i="9" s="1"/>
  <c r="BX862" i="9" s="1"/>
  <c r="EY105" i="9"/>
  <c r="DG105" i="9"/>
  <c r="BX105" i="9"/>
  <c r="EY104" i="9"/>
  <c r="DG104" i="9"/>
  <c r="BX104" i="9"/>
  <c r="BX534" i="9" s="1"/>
  <c r="EY103" i="9"/>
  <c r="DG103" i="9"/>
  <c r="EY102" i="9"/>
  <c r="DG102" i="9"/>
  <c r="G102" i="9"/>
  <c r="EY101" i="9"/>
  <c r="DG101" i="9"/>
  <c r="BX101" i="9"/>
  <c r="V101" i="9"/>
  <c r="G101" i="9"/>
  <c r="EY100" i="9"/>
  <c r="DG100" i="9"/>
  <c r="EY99" i="9"/>
  <c r="DG99" i="9"/>
  <c r="BX99" i="9"/>
  <c r="V99" i="9"/>
  <c r="EY98" i="9"/>
  <c r="DG98" i="9"/>
  <c r="BX98" i="9"/>
  <c r="EY97" i="9"/>
  <c r="DG97" i="9"/>
  <c r="BX97" i="9"/>
  <c r="EY96" i="9"/>
  <c r="DG96" i="9"/>
  <c r="BX96" i="9"/>
  <c r="BX465" i="9" s="1"/>
  <c r="EY95" i="9"/>
  <c r="DG95" i="9"/>
  <c r="BX95" i="9"/>
  <c r="BX442" i="9" s="1"/>
  <c r="EY94" i="9"/>
  <c r="DG94" i="9"/>
  <c r="EY93" i="9"/>
  <c r="DG93" i="9"/>
  <c r="EY92" i="9"/>
  <c r="DG92" i="9"/>
  <c r="G92" i="9"/>
  <c r="E92" i="9"/>
  <c r="EY91" i="9"/>
  <c r="DG91" i="9"/>
  <c r="EY90" i="9"/>
  <c r="DG90" i="9"/>
  <c r="BX90" i="9"/>
  <c r="EY89" i="9"/>
  <c r="DG89" i="9"/>
  <c r="EY88" i="9"/>
  <c r="DG88" i="9"/>
  <c r="BX88" i="9"/>
  <c r="BX602" i="9" s="1"/>
  <c r="BX884" i="9" s="1"/>
  <c r="V88" i="9"/>
  <c r="EY87" i="9"/>
  <c r="DG87" i="9"/>
  <c r="BX87" i="9"/>
  <c r="EY86" i="9"/>
  <c r="DG86" i="9"/>
  <c r="BX86" i="9"/>
  <c r="BX556" i="9" s="1"/>
  <c r="EY85" i="9"/>
  <c r="DG85" i="9"/>
  <c r="BX85" i="9"/>
  <c r="BX533" i="9" s="1"/>
  <c r="EY84" i="9"/>
  <c r="DG84" i="9"/>
  <c r="EY83" i="9"/>
  <c r="DG83" i="9"/>
  <c r="G83" i="9"/>
  <c r="EY82" i="9"/>
  <c r="DG82" i="9"/>
  <c r="G82" i="9"/>
  <c r="EY81" i="9"/>
  <c r="DG81" i="9"/>
  <c r="EY80" i="9"/>
  <c r="DG80" i="9"/>
  <c r="V80" i="9"/>
  <c r="EY79" i="9"/>
  <c r="DG79" i="9"/>
  <c r="BX79" i="9"/>
  <c r="EY78" i="9"/>
  <c r="DG78" i="9"/>
  <c r="BX78" i="9"/>
  <c r="EY77" i="9"/>
  <c r="DG77" i="9"/>
  <c r="BX77" i="9"/>
  <c r="BX464" i="9" s="1"/>
  <c r="EY76" i="9"/>
  <c r="DG76" i="9"/>
  <c r="BX76" i="9"/>
  <c r="BX441" i="9" s="1"/>
  <c r="EY75" i="9"/>
  <c r="DG75" i="9"/>
  <c r="EY74" i="9"/>
  <c r="DG74" i="9"/>
  <c r="EY73" i="9"/>
  <c r="DG73" i="9"/>
  <c r="G73" i="9"/>
  <c r="E73" i="9"/>
  <c r="EY72" i="9"/>
  <c r="DG72" i="9"/>
  <c r="EY71" i="9"/>
  <c r="DG71" i="9"/>
  <c r="BX71" i="9"/>
  <c r="BX624" i="9" s="1"/>
  <c r="EY70" i="9"/>
  <c r="DG70" i="9"/>
  <c r="EY69" i="9"/>
  <c r="DG69" i="9"/>
  <c r="BX69" i="9"/>
  <c r="BX601" i="9" s="1"/>
  <c r="V69" i="9"/>
  <c r="V601" i="9" s="1"/>
  <c r="EY68" i="9"/>
  <c r="DG68" i="9"/>
  <c r="BX68" i="9"/>
  <c r="BX578" i="9" s="1"/>
  <c r="EY67" i="9"/>
  <c r="DG67" i="9"/>
  <c r="BX67" i="9"/>
  <c r="BX555" i="9" s="1"/>
  <c r="BX837" i="9" s="1"/>
  <c r="EY66" i="9"/>
  <c r="DG66" i="9"/>
  <c r="BX66" i="9"/>
  <c r="BX532" i="9" s="1"/>
  <c r="EY65" i="9"/>
  <c r="DG65" i="9"/>
  <c r="EY64" i="9"/>
  <c r="DG64" i="9"/>
  <c r="G64" i="9"/>
  <c r="EY63" i="9"/>
  <c r="DG63" i="9"/>
  <c r="G63" i="9"/>
  <c r="V63" i="9" s="1"/>
  <c r="EY62" i="9"/>
  <c r="DG62" i="9"/>
  <c r="EY61" i="9"/>
  <c r="DG61" i="9"/>
  <c r="BX61" i="9"/>
  <c r="V61" i="9"/>
  <c r="EY60" i="9"/>
  <c r="DG60" i="9"/>
  <c r="BX60" i="9"/>
  <c r="EY59" i="9"/>
  <c r="DG59" i="9"/>
  <c r="BX59" i="9"/>
  <c r="EY58" i="9"/>
  <c r="DG58" i="9"/>
  <c r="BX58" i="9"/>
  <c r="BX463" i="9" s="1"/>
  <c r="EY57" i="9"/>
  <c r="DG57" i="9"/>
  <c r="BX57" i="9"/>
  <c r="BX440" i="9" s="1"/>
  <c r="W57" i="9"/>
  <c r="W440" i="9" s="1"/>
  <c r="EY56" i="9"/>
  <c r="EY55" i="9"/>
  <c r="EY54" i="9"/>
  <c r="EY53" i="9"/>
  <c r="EY52" i="9"/>
  <c r="I52" i="9"/>
  <c r="EY51" i="9"/>
  <c r="H51" i="9"/>
  <c r="E51" i="9"/>
  <c r="EY50" i="9"/>
  <c r="H50" i="9"/>
  <c r="E50" i="9"/>
  <c r="EY49" i="9"/>
  <c r="H49" i="9"/>
  <c r="H52" i="9" s="1"/>
  <c r="E49" i="9"/>
  <c r="EY48" i="9"/>
  <c r="EY47" i="9"/>
  <c r="EY46" i="9"/>
  <c r="EY45" i="9"/>
  <c r="A45" i="9" a="1"/>
  <c r="A45" i="9" s="1"/>
  <c r="EY43" i="9"/>
  <c r="E43" i="9"/>
  <c r="H43" i="9" s="1"/>
  <c r="A43" i="9" a="1"/>
  <c r="A43" i="9" s="1"/>
  <c r="E42" i="9"/>
  <c r="I42" i="9" s="1"/>
  <c r="E41" i="9"/>
  <c r="I41" i="9" s="1"/>
  <c r="G40" i="9"/>
  <c r="E40" i="9"/>
  <c r="I40" i="9" s="1"/>
  <c r="E37" i="9"/>
  <c r="G37" i="9" s="1"/>
  <c r="E36" i="9"/>
  <c r="I36" i="9" s="1"/>
  <c r="EY35" i="9"/>
  <c r="E35" i="9"/>
  <c r="G35" i="9" s="1"/>
  <c r="A35" i="9" a="1"/>
  <c r="A35" i="9" s="1"/>
  <c r="EY33" i="9"/>
  <c r="E33" i="9"/>
  <c r="I33" i="9" s="1"/>
  <c r="A33" i="9" a="1"/>
  <c r="A33" i="9" s="1"/>
  <c r="CY32" i="9" a="1"/>
  <c r="CY32" i="9"/>
  <c r="CW32" i="9"/>
  <c r="CV32" i="9"/>
  <c r="CT32" i="9"/>
  <c r="CS32" i="9"/>
  <c r="CR32" i="9"/>
  <c r="CQ32" i="9"/>
  <c r="CP32" i="9"/>
  <c r="F32" i="9"/>
  <c r="B32" i="9" a="1"/>
  <c r="B32" i="9" s="1"/>
  <c r="EY32" i="9" s="1"/>
  <c r="CY31" i="9" a="1"/>
  <c r="CY31" i="9" s="1"/>
  <c r="CW31" i="9"/>
  <c r="CV31" i="9"/>
  <c r="CT31" i="9"/>
  <c r="CS31" i="9"/>
  <c r="CR31" i="9"/>
  <c r="CQ31" i="9"/>
  <c r="CP31" i="9"/>
  <c r="F31" i="9"/>
  <c r="B31" i="9" a="1"/>
  <c r="B31" i="9" s="1"/>
  <c r="EY31" i="9" s="1"/>
  <c r="CY30" i="9" a="1"/>
  <c r="CY30" i="9"/>
  <c r="CW30" i="9"/>
  <c r="CV30" i="9"/>
  <c r="CT30" i="9"/>
  <c r="CS30" i="9"/>
  <c r="CR30" i="9"/>
  <c r="CQ30" i="9"/>
  <c r="CP30" i="9"/>
  <c r="F30" i="9"/>
  <c r="B30" i="9" a="1"/>
  <c r="B30" i="9" s="1"/>
  <c r="CY29" i="9" a="1"/>
  <c r="CY29" i="9"/>
  <c r="CW29" i="9"/>
  <c r="CV29" i="9"/>
  <c r="CT29" i="9"/>
  <c r="CS29" i="9"/>
  <c r="CR29" i="9"/>
  <c r="CQ29" i="9"/>
  <c r="CP29" i="9"/>
  <c r="F29" i="9"/>
  <c r="B29" i="9" a="1"/>
  <c r="B29" i="9" s="1"/>
  <c r="EY29" i="9" s="1"/>
  <c r="CY28" i="9" a="1"/>
  <c r="CY28" i="9"/>
  <c r="CW28" i="9"/>
  <c r="CV28" i="9"/>
  <c r="CT28" i="9"/>
  <c r="CS28" i="9"/>
  <c r="CR28" i="9"/>
  <c r="CQ28" i="9"/>
  <c r="CP28" i="9"/>
  <c r="F28" i="9"/>
  <c r="B28" i="9" a="1"/>
  <c r="B28" i="9" s="1"/>
  <c r="EY28" i="9" s="1"/>
  <c r="CY27" i="9" a="1"/>
  <c r="CY27" i="9"/>
  <c r="CW27" i="9"/>
  <c r="CV27" i="9"/>
  <c r="CT27" i="9"/>
  <c r="CS27" i="9"/>
  <c r="CR27" i="9"/>
  <c r="CQ27" i="9"/>
  <c r="CP27" i="9"/>
  <c r="F27" i="9"/>
  <c r="B27" i="9" a="1"/>
  <c r="B27" i="9" s="1"/>
  <c r="EY27" i="9" s="1"/>
  <c r="CY26" i="9" a="1"/>
  <c r="CY26" i="9"/>
  <c r="CW26" i="9"/>
  <c r="CV26" i="9"/>
  <c r="CT26" i="9"/>
  <c r="CS26" i="9"/>
  <c r="CR26" i="9"/>
  <c r="CQ26" i="9"/>
  <c r="CP26" i="9"/>
  <c r="F26" i="9"/>
  <c r="B26" i="9" a="1"/>
  <c r="B26" i="9" s="1"/>
  <c r="CY25" i="9" a="1"/>
  <c r="CY25" i="9"/>
  <c r="CW25" i="9"/>
  <c r="CV25" i="9"/>
  <c r="CT25" i="9"/>
  <c r="CS25" i="9"/>
  <c r="CR25" i="9"/>
  <c r="CQ25" i="9"/>
  <c r="CP25" i="9"/>
  <c r="F25" i="9"/>
  <c r="B25" i="9" a="1"/>
  <c r="B25" i="9" s="1"/>
  <c r="EY25" i="9" s="1"/>
  <c r="CY24" i="9" a="1"/>
  <c r="CY24" i="9"/>
  <c r="CW24" i="9"/>
  <c r="CV24" i="9"/>
  <c r="CT24" i="9"/>
  <c r="CS24" i="9"/>
  <c r="CR24" i="9"/>
  <c r="CQ24" i="9"/>
  <c r="CP24" i="9"/>
  <c r="F24" i="9"/>
  <c r="B24" i="9" a="1"/>
  <c r="B24" i="9" s="1"/>
  <c r="EY24" i="9" s="1"/>
  <c r="CY23" i="9" a="1"/>
  <c r="CY23" i="9"/>
  <c r="CW23" i="9"/>
  <c r="CV23" i="9"/>
  <c r="CT23" i="9"/>
  <c r="CS23" i="9"/>
  <c r="CR23" i="9"/>
  <c r="CQ23" i="9"/>
  <c r="CP23" i="9"/>
  <c r="F23" i="9"/>
  <c r="B23" i="9" a="1"/>
  <c r="B23" i="9" s="1"/>
  <c r="CY22" i="9" a="1"/>
  <c r="CY22" i="9"/>
  <c r="CW22" i="9"/>
  <c r="CV22" i="9"/>
  <c r="CT22" i="9"/>
  <c r="CS22" i="9"/>
  <c r="CR22" i="9"/>
  <c r="CQ22" i="9"/>
  <c r="CP22" i="9"/>
  <c r="F22" i="9"/>
  <c r="B22" i="9" a="1"/>
  <c r="B22" i="9" s="1"/>
  <c r="CY21" i="9" a="1"/>
  <c r="CY21" i="9"/>
  <c r="CW21" i="9"/>
  <c r="CV21" i="9"/>
  <c r="CT21" i="9"/>
  <c r="CS21" i="9"/>
  <c r="CR21" i="9"/>
  <c r="CQ21" i="9"/>
  <c r="CP21" i="9"/>
  <c r="F21" i="9"/>
  <c r="B21" i="9" a="1"/>
  <c r="B21" i="9" s="1"/>
  <c r="EY21" i="9" s="1"/>
  <c r="CY20" i="9" a="1"/>
  <c r="CY20" i="9"/>
  <c r="CW20" i="9"/>
  <c r="CV20" i="9"/>
  <c r="CT20" i="9"/>
  <c r="CS20" i="9"/>
  <c r="CR20" i="9"/>
  <c r="CQ20" i="9"/>
  <c r="CP20" i="9"/>
  <c r="F20" i="9"/>
  <c r="B20" i="9" a="1"/>
  <c r="B20" i="9" s="1"/>
  <c r="EY20" i="9" s="1"/>
  <c r="CY19" i="9" a="1"/>
  <c r="CY19" i="9"/>
  <c r="CW19" i="9"/>
  <c r="CV19" i="9"/>
  <c r="CT19" i="9"/>
  <c r="CS19" i="9"/>
  <c r="CR19" i="9"/>
  <c r="CQ19" i="9"/>
  <c r="CP19" i="9"/>
  <c r="F19" i="9"/>
  <c r="B19" i="9" a="1"/>
  <c r="B19" i="9" s="1"/>
  <c r="CY18" i="9" a="1"/>
  <c r="CY18" i="9"/>
  <c r="CW18" i="9"/>
  <c r="CV18" i="9"/>
  <c r="CT18" i="9"/>
  <c r="CS18" i="9"/>
  <c r="CR18" i="9"/>
  <c r="CQ18" i="9"/>
  <c r="CP18" i="9"/>
  <c r="F18" i="9"/>
  <c r="B18" i="9" a="1"/>
  <c r="B18" i="9" s="1"/>
  <c r="EY18" i="9" s="1"/>
  <c r="CY17" i="9" a="1"/>
  <c r="CY17" i="9"/>
  <c r="CW17" i="9"/>
  <c r="CV17" i="9"/>
  <c r="CT17" i="9"/>
  <c r="CS17" i="9"/>
  <c r="CR17" i="9"/>
  <c r="CQ17" i="9"/>
  <c r="CP17" i="9"/>
  <c r="F17" i="9"/>
  <c r="B17" i="9" a="1"/>
  <c r="B17" i="9" s="1"/>
  <c r="EY17" i="9" s="1"/>
  <c r="CY16" i="9" a="1"/>
  <c r="CY16" i="9"/>
  <c r="CW16" i="9"/>
  <c r="CV16" i="9"/>
  <c r="CT16" i="9"/>
  <c r="CS16" i="9"/>
  <c r="CR16" i="9"/>
  <c r="CQ16" i="9"/>
  <c r="CP16" i="9"/>
  <c r="F16" i="9"/>
  <c r="B16" i="9" a="1"/>
  <c r="B16" i="9" s="1"/>
  <c r="EY16" i="9" s="1"/>
  <c r="CY15" i="9" a="1"/>
  <c r="CY15" i="9"/>
  <c r="CW15" i="9"/>
  <c r="CV15" i="9"/>
  <c r="CT15" i="9"/>
  <c r="CS15" i="9"/>
  <c r="CR15" i="9"/>
  <c r="CQ15" i="9"/>
  <c r="CP15" i="9"/>
  <c r="F15" i="9"/>
  <c r="B15" i="9" a="1"/>
  <c r="B15" i="9" s="1"/>
  <c r="CY14" i="9" a="1"/>
  <c r="CY14" i="9"/>
  <c r="CW14" i="9"/>
  <c r="CV14" i="9"/>
  <c r="CT14" i="9"/>
  <c r="CS14" i="9"/>
  <c r="CR14" i="9"/>
  <c r="CQ14" i="9"/>
  <c r="CP14" i="9"/>
  <c r="F14" i="9"/>
  <c r="B14" i="9" a="1"/>
  <c r="B14" i="9" s="1"/>
  <c r="CY13" i="9" a="1"/>
  <c r="CY13" i="9"/>
  <c r="CW13" i="9"/>
  <c r="CV13" i="9"/>
  <c r="CT13" i="9"/>
  <c r="CS13" i="9"/>
  <c r="CR13" i="9"/>
  <c r="CQ13" i="9"/>
  <c r="CP13" i="9"/>
  <c r="F13" i="9"/>
  <c r="B13" i="9" a="1"/>
  <c r="B13" i="9" s="1"/>
  <c r="EY13" i="9" s="1"/>
  <c r="EY12" i="9"/>
  <c r="EY11" i="9"/>
  <c r="EY10" i="9"/>
  <c r="EY9" i="9"/>
  <c r="EY8" i="9"/>
  <c r="BX6" i="9" a="1"/>
  <c r="BX6" i="9" s="1"/>
  <c r="V6" i="9" a="1"/>
  <c r="V6" i="9" s="1"/>
  <c r="A6" i="9" a="1"/>
  <c r="A6" i="9" s="1"/>
  <c r="D5" i="9"/>
  <c r="C5" i="9" a="1"/>
  <c r="C5" i="9" s="1"/>
  <c r="B5" i="9" a="1"/>
  <c r="B5" i="9" s="1"/>
  <c r="D4" i="9"/>
  <c r="C4" i="9" a="1"/>
  <c r="C4" i="9" s="1"/>
  <c r="B4" i="9" a="1"/>
  <c r="B4" i="9" s="1"/>
  <c r="D3" i="9"/>
  <c r="C3" i="9" a="1"/>
  <c r="C3" i="9" s="1"/>
  <c r="B3" i="9" a="1"/>
  <c r="B3" i="9" s="1"/>
  <c r="A3" i="9" a="1"/>
  <c r="AI683" i="9" l="1"/>
  <c r="H40" i="9"/>
  <c r="AH672" i="9"/>
  <c r="AT672" i="9"/>
  <c r="BD672" i="9"/>
  <c r="BN672" i="9"/>
  <c r="AM673" i="9"/>
  <c r="BE673" i="9"/>
  <c r="AK674" i="9"/>
  <c r="BC674" i="9"/>
  <c r="BV674" i="9"/>
  <c r="AD675" i="9"/>
  <c r="AM675" i="9"/>
  <c r="AV675" i="9"/>
  <c r="BE675" i="9"/>
  <c r="BO675" i="9"/>
  <c r="AL676" i="9"/>
  <c r="AX676" i="9"/>
  <c r="BN676" i="9"/>
  <c r="AM677" i="9"/>
  <c r="AX677" i="9"/>
  <c r="BI677" i="9"/>
  <c r="AG678" i="9"/>
  <c r="AS678" i="9"/>
  <c r="BF678" i="9"/>
  <c r="BQ678" i="9"/>
  <c r="AF680" i="9"/>
  <c r="AQ680" i="9"/>
  <c r="BE680" i="9"/>
  <c r="BQ680" i="9"/>
  <c r="AE681" i="9"/>
  <c r="AW681" i="9"/>
  <c r="BO681" i="9"/>
  <c r="AD682" i="9"/>
  <c r="AW682" i="9"/>
  <c r="BO682" i="9"/>
  <c r="AA683" i="9"/>
  <c r="AJ683" i="9"/>
  <c r="AS683" i="9"/>
  <c r="BB683" i="9"/>
  <c r="BK683" i="9"/>
  <c r="BT683" i="9"/>
  <c r="AX686" i="9"/>
  <c r="AG687" i="9"/>
  <c r="AQ687" i="9"/>
  <c r="AZ687" i="9"/>
  <c r="BI687" i="9"/>
  <c r="BR687" i="9"/>
  <c r="AF688" i="9"/>
  <c r="BQ688" i="9"/>
  <c r="AA691" i="9"/>
  <c r="AJ691" i="9"/>
  <c r="AS691" i="9"/>
  <c r="BB691" i="9"/>
  <c r="BK691" i="9"/>
  <c r="BT691" i="9"/>
  <c r="BS683" i="9"/>
  <c r="BJ688" i="9"/>
  <c r="AI691" i="9"/>
  <c r="AK672" i="9"/>
  <c r="AU672" i="9"/>
  <c r="BE672" i="9"/>
  <c r="BO672" i="9"/>
  <c r="AN673" i="9"/>
  <c r="BF673" i="9"/>
  <c r="AL674" i="9"/>
  <c r="BE674" i="9"/>
  <c r="AE675" i="9"/>
  <c r="AN675" i="9"/>
  <c r="AW675" i="9"/>
  <c r="BG675" i="9"/>
  <c r="BP675" i="9"/>
  <c r="AM676" i="9"/>
  <c r="AY676" i="9"/>
  <c r="BO676" i="9"/>
  <c r="AH678" i="9"/>
  <c r="AU678" i="9"/>
  <c r="BG678" i="9"/>
  <c r="BR678" i="9"/>
  <c r="AG680" i="9"/>
  <c r="AT680" i="9"/>
  <c r="BF680" i="9"/>
  <c r="BR680" i="9"/>
  <c r="AF681" i="9"/>
  <c r="AX681" i="9"/>
  <c r="BP681" i="9"/>
  <c r="AE682" i="9"/>
  <c r="AX682" i="9"/>
  <c r="BP682" i="9"/>
  <c r="AB683" i="9"/>
  <c r="AK683" i="9"/>
  <c r="AT683" i="9"/>
  <c r="BC683" i="9"/>
  <c r="BL683" i="9"/>
  <c r="BU683" i="9"/>
  <c r="AZ686" i="9"/>
  <c r="AI687" i="9"/>
  <c r="AR687" i="9"/>
  <c r="BA687" i="9"/>
  <c r="BJ687" i="9"/>
  <c r="BS687" i="9"/>
  <c r="AH688" i="9"/>
  <c r="BS688" i="9"/>
  <c r="AB691" i="9"/>
  <c r="AK691" i="9"/>
  <c r="AT691" i="9"/>
  <c r="BC691" i="9"/>
  <c r="BL691" i="9"/>
  <c r="BU691" i="9"/>
  <c r="BI682" i="9"/>
  <c r="AR683" i="9"/>
  <c r="AR691" i="9"/>
  <c r="BJ691" i="9"/>
  <c r="BS691" i="9"/>
  <c r="AL672" i="9"/>
  <c r="AV672" i="9"/>
  <c r="BF672" i="9"/>
  <c r="BQ672" i="9"/>
  <c r="AO673" i="9"/>
  <c r="BG673" i="9"/>
  <c r="AF675" i="9"/>
  <c r="AO675" i="9"/>
  <c r="AY675" i="9"/>
  <c r="BH675" i="9"/>
  <c r="BQ675" i="9"/>
  <c r="AN676" i="9"/>
  <c r="BD676" i="9"/>
  <c r="BQ676" i="9"/>
  <c r="AJ678" i="9"/>
  <c r="AW678" i="9"/>
  <c r="BH678" i="9"/>
  <c r="BU678" i="9"/>
  <c r="AH680" i="9"/>
  <c r="AV680" i="9"/>
  <c r="BG680" i="9"/>
  <c r="BS680" i="9"/>
  <c r="AG681" i="9"/>
  <c r="AY681" i="9"/>
  <c r="BQ681" i="9"/>
  <c r="AG682" i="9"/>
  <c r="AY682" i="9"/>
  <c r="BQ682" i="9"/>
  <c r="AC683" i="9"/>
  <c r="AL683" i="9"/>
  <c r="AU683" i="9"/>
  <c r="BD683" i="9"/>
  <c r="BM683" i="9"/>
  <c r="BG686" i="9"/>
  <c r="AA687" i="9"/>
  <c r="AJ687" i="9"/>
  <c r="AS687" i="9"/>
  <c r="BB687" i="9"/>
  <c r="BK687" i="9"/>
  <c r="BT687" i="9"/>
  <c r="AO688" i="9"/>
  <c r="AC691" i="9"/>
  <c r="AL691" i="9"/>
  <c r="AU691" i="9"/>
  <c r="BD691" i="9"/>
  <c r="BM691" i="9"/>
  <c r="AQ681" i="9"/>
  <c r="AQ682" i="9"/>
  <c r="BJ683" i="9"/>
  <c r="BA691" i="9"/>
  <c r="AC672" i="9"/>
  <c r="AM672" i="9"/>
  <c r="AW672" i="9"/>
  <c r="BG672" i="9"/>
  <c r="BR672" i="9"/>
  <c r="AB673" i="9"/>
  <c r="AU673" i="9"/>
  <c r="BM673" i="9"/>
  <c r="AO674" i="9"/>
  <c r="BG674" i="9"/>
  <c r="AG675" i="9"/>
  <c r="AQ675" i="9"/>
  <c r="AZ675" i="9"/>
  <c r="BI675" i="9"/>
  <c r="BR675" i="9"/>
  <c r="AC676" i="9"/>
  <c r="AO676" i="9"/>
  <c r="BE676" i="9"/>
  <c r="BR676" i="9"/>
  <c r="AL678" i="9"/>
  <c r="AX678" i="9"/>
  <c r="BI678" i="9"/>
  <c r="AK680" i="9"/>
  <c r="AW680" i="9"/>
  <c r="BI680" i="9"/>
  <c r="BU680" i="9"/>
  <c r="AH681" i="9"/>
  <c r="AZ681" i="9"/>
  <c r="BS681" i="9"/>
  <c r="AH682" i="9"/>
  <c r="AZ682" i="9"/>
  <c r="BR682" i="9"/>
  <c r="AD683" i="9"/>
  <c r="AM683" i="9"/>
  <c r="AV683" i="9"/>
  <c r="BE683" i="9"/>
  <c r="BO683" i="9"/>
  <c r="BI686" i="9"/>
  <c r="AB687" i="9"/>
  <c r="AK687" i="9"/>
  <c r="AT687" i="9"/>
  <c r="BC687" i="9"/>
  <c r="BL687" i="9"/>
  <c r="BU687" i="9"/>
  <c r="AQ688" i="9"/>
  <c r="AD691" i="9"/>
  <c r="AM691" i="9"/>
  <c r="AV691" i="9"/>
  <c r="BE691" i="9"/>
  <c r="BO691" i="9"/>
  <c r="BI681" i="9"/>
  <c r="BA683" i="9"/>
  <c r="AI675" i="9"/>
  <c r="AR675" i="9"/>
  <c r="BA675" i="9"/>
  <c r="BJ675" i="9"/>
  <c r="BS675" i="9"/>
  <c r="AM680" i="9"/>
  <c r="AX680" i="9"/>
  <c r="BJ680" i="9"/>
  <c r="AN681" i="9"/>
  <c r="BF681" i="9"/>
  <c r="AM682" i="9"/>
  <c r="BF682" i="9"/>
  <c r="AE683" i="9"/>
  <c r="AN683" i="9"/>
  <c r="AW683" i="9"/>
  <c r="BG683" i="9"/>
  <c r="BP683" i="9"/>
  <c r="AX688" i="9"/>
  <c r="AE691" i="9"/>
  <c r="AN691" i="9"/>
  <c r="AW691" i="9"/>
  <c r="BG691" i="9"/>
  <c r="BP691" i="9"/>
  <c r="G33" i="9"/>
  <c r="H33" i="9"/>
  <c r="I43" i="9"/>
  <c r="I44" i="9" s="1"/>
  <c r="AE672" i="9"/>
  <c r="AO672" i="9"/>
  <c r="AY672" i="9"/>
  <c r="BJ672" i="9"/>
  <c r="BU672" i="9"/>
  <c r="AE673" i="9"/>
  <c r="AW673" i="9"/>
  <c r="BO673" i="9"/>
  <c r="AC674" i="9"/>
  <c r="AU674" i="9"/>
  <c r="BN674" i="9"/>
  <c r="AA675" i="9"/>
  <c r="AJ675" i="9"/>
  <c r="AS675" i="9"/>
  <c r="BB675" i="9"/>
  <c r="BK675" i="9"/>
  <c r="BT675" i="9"/>
  <c r="AE676" i="9"/>
  <c r="AU676" i="9"/>
  <c r="BG676" i="9"/>
  <c r="AG677" i="9"/>
  <c r="AS677" i="9"/>
  <c r="BF677" i="9"/>
  <c r="BQ677" i="9"/>
  <c r="AC678" i="9"/>
  <c r="AO678" i="9"/>
  <c r="AZ678" i="9"/>
  <c r="BN678" i="9"/>
  <c r="AA680" i="9"/>
  <c r="AN680" i="9"/>
  <c r="AY680" i="9"/>
  <c r="BL680" i="9"/>
  <c r="AO681" i="9"/>
  <c r="BG681" i="9"/>
  <c r="AO682" i="9"/>
  <c r="BG682" i="9"/>
  <c r="AF683" i="9"/>
  <c r="AO683" i="9"/>
  <c r="AY683" i="9"/>
  <c r="BH683" i="9"/>
  <c r="BQ683" i="9"/>
  <c r="AQ684" i="9"/>
  <c r="BJ684" i="9"/>
  <c r="BI685" i="9"/>
  <c r="AH686" i="9"/>
  <c r="BR686" i="9"/>
  <c r="AD687" i="9"/>
  <c r="AM687" i="9"/>
  <c r="AV687" i="9"/>
  <c r="BE687" i="9"/>
  <c r="BO687" i="9"/>
  <c r="BA688" i="9"/>
  <c r="AF691" i="9"/>
  <c r="AO691" i="9"/>
  <c r="AY691" i="9"/>
  <c r="BH691" i="9"/>
  <c r="BQ691" i="9"/>
  <c r="AF672" i="9"/>
  <c r="AP672" i="9"/>
  <c r="BA672" i="9"/>
  <c r="BL672" i="9"/>
  <c r="AF673" i="9"/>
  <c r="AX673" i="9"/>
  <c r="BP673" i="9"/>
  <c r="AD674" i="9"/>
  <c r="AW674" i="9"/>
  <c r="BO674" i="9"/>
  <c r="AB675" i="9"/>
  <c r="AK675" i="9"/>
  <c r="AT675" i="9"/>
  <c r="BC675" i="9"/>
  <c r="BL675" i="9"/>
  <c r="BU675" i="9"/>
  <c r="AF676" i="9"/>
  <c r="AV676" i="9"/>
  <c r="BI676" i="9"/>
  <c r="AH677" i="9"/>
  <c r="AV677" i="9"/>
  <c r="BG677" i="9"/>
  <c r="BS677" i="9"/>
  <c r="AD678" i="9"/>
  <c r="AP678" i="9"/>
  <c r="BB678" i="9"/>
  <c r="BO678" i="9"/>
  <c r="AI679" i="9"/>
  <c r="AR679" i="9"/>
  <c r="BA679" i="9"/>
  <c r="BJ679" i="9"/>
  <c r="BS679" i="9"/>
  <c r="AD680" i="9"/>
  <c r="AO680" i="9"/>
  <c r="BA680" i="9"/>
  <c r="BN680" i="9"/>
  <c r="AP681" i="9"/>
  <c r="BH681" i="9"/>
  <c r="AP682" i="9"/>
  <c r="BH682" i="9"/>
  <c r="AG683" i="9"/>
  <c r="AQ683" i="9"/>
  <c r="AZ683" i="9"/>
  <c r="BI683" i="9"/>
  <c r="BR683" i="9"/>
  <c r="AE684" i="9"/>
  <c r="AW684" i="9"/>
  <c r="BO684" i="9"/>
  <c r="AF685" i="9"/>
  <c r="BP685" i="9"/>
  <c r="AO686" i="9"/>
  <c r="AE687" i="9"/>
  <c r="AN687" i="9"/>
  <c r="AW687" i="9"/>
  <c r="BG687" i="9"/>
  <c r="BP687" i="9"/>
  <c r="BG688" i="9"/>
  <c r="AG689" i="9"/>
  <c r="AG691" i="9"/>
  <c r="AQ691" i="9"/>
  <c r="AZ691" i="9"/>
  <c r="BI691" i="9"/>
  <c r="BR691" i="9"/>
  <c r="EY1088" i="9"/>
  <c r="EY1086" i="9"/>
  <c r="CY119" i="30"/>
  <c r="CQ119" i="30" s="1"/>
  <c r="EY1085" i="9"/>
  <c r="E370" i="3"/>
  <c r="E1072" i="9"/>
  <c r="E1049" i="9"/>
  <c r="E980" i="9"/>
  <c r="E1026" i="9"/>
  <c r="E1003" i="9"/>
  <c r="E934" i="9"/>
  <c r="E957" i="9"/>
  <c r="E911" i="9"/>
  <c r="E886" i="9"/>
  <c r="E840" i="9"/>
  <c r="E863" i="9"/>
  <c r="E813" i="9"/>
  <c r="E767" i="9"/>
  <c r="E790" i="9"/>
  <c r="E675" i="9"/>
  <c r="E627" i="9"/>
  <c r="E652" i="9"/>
  <c r="E744" i="9"/>
  <c r="E721" i="9"/>
  <c r="E698" i="9"/>
  <c r="E604" i="9"/>
  <c r="E512" i="9"/>
  <c r="E581" i="9"/>
  <c r="E558" i="9"/>
  <c r="E535" i="9"/>
  <c r="E489" i="9"/>
  <c r="E466" i="9"/>
  <c r="E443" i="9"/>
  <c r="BX466" i="9"/>
  <c r="B369" i="3"/>
  <c r="B346" i="3"/>
  <c r="B323" i="3"/>
  <c r="B300" i="3"/>
  <c r="B277" i="3"/>
  <c r="B254" i="3"/>
  <c r="B208" i="3"/>
  <c r="B231" i="3"/>
  <c r="B185" i="3"/>
  <c r="B162" i="3"/>
  <c r="B139" i="3"/>
  <c r="B93" i="3"/>
  <c r="B116" i="3"/>
  <c r="B47" i="3"/>
  <c r="B70" i="3"/>
  <c r="B373" i="3"/>
  <c r="B350" i="3"/>
  <c r="B327" i="3"/>
  <c r="B304" i="3"/>
  <c r="B281" i="3"/>
  <c r="B258" i="3"/>
  <c r="B212" i="3"/>
  <c r="B235" i="3"/>
  <c r="B189" i="3"/>
  <c r="B166" i="3"/>
  <c r="B143" i="3"/>
  <c r="B74" i="3"/>
  <c r="B120" i="3"/>
  <c r="B97" i="3"/>
  <c r="B51" i="3"/>
  <c r="B377" i="3"/>
  <c r="B354" i="3"/>
  <c r="B331" i="3"/>
  <c r="B308" i="3"/>
  <c r="B239" i="3"/>
  <c r="B285" i="3"/>
  <c r="B262" i="3"/>
  <c r="B216" i="3"/>
  <c r="B170" i="3"/>
  <c r="B193" i="3"/>
  <c r="B147" i="3"/>
  <c r="B124" i="3"/>
  <c r="B78" i="3"/>
  <c r="B101" i="3"/>
  <c r="B55" i="3"/>
  <c r="B381" i="3"/>
  <c r="B358" i="3"/>
  <c r="B335" i="3"/>
  <c r="B312" i="3"/>
  <c r="B289" i="3"/>
  <c r="B266" i="3"/>
  <c r="B243" i="3"/>
  <c r="B220" i="3"/>
  <c r="B174" i="3"/>
  <c r="B197" i="3"/>
  <c r="B151" i="3"/>
  <c r="B128" i="3"/>
  <c r="B105" i="3"/>
  <c r="B82" i="3"/>
  <c r="B59" i="3"/>
  <c r="B385" i="3"/>
  <c r="B362" i="3"/>
  <c r="B339" i="3"/>
  <c r="B293" i="3"/>
  <c r="B316" i="3"/>
  <c r="B270" i="3"/>
  <c r="B224" i="3"/>
  <c r="B247" i="3"/>
  <c r="B201" i="3"/>
  <c r="B155" i="3"/>
  <c r="B178" i="3"/>
  <c r="B132" i="3"/>
  <c r="B63" i="3"/>
  <c r="B86" i="3"/>
  <c r="B109" i="3"/>
  <c r="G36" i="9"/>
  <c r="G42" i="9"/>
  <c r="BY57" i="9"/>
  <c r="BY440" i="9" s="1"/>
  <c r="BX979" i="9"/>
  <c r="BX488" i="9"/>
  <c r="V603" i="9"/>
  <c r="V885" i="9" s="1"/>
  <c r="BX107" i="9"/>
  <c r="BX603" i="9" s="1"/>
  <c r="V1004" i="9"/>
  <c r="V513" i="9"/>
  <c r="BX137" i="9"/>
  <c r="V139" i="9"/>
  <c r="BX982" i="9"/>
  <c r="BX491" i="9"/>
  <c r="V1005" i="9"/>
  <c r="V514" i="9"/>
  <c r="BX156" i="9"/>
  <c r="W161" i="9"/>
  <c r="BX164" i="9"/>
  <c r="BX606" i="9" s="1"/>
  <c r="E374" i="3"/>
  <c r="E1076" i="9"/>
  <c r="E1053" i="9"/>
  <c r="E1007" i="9"/>
  <c r="E984" i="9"/>
  <c r="E1030" i="9"/>
  <c r="E915" i="9"/>
  <c r="E961" i="9"/>
  <c r="E938" i="9"/>
  <c r="E844" i="9"/>
  <c r="E890" i="9"/>
  <c r="E867" i="9"/>
  <c r="E817" i="9"/>
  <c r="E794" i="9"/>
  <c r="E748" i="9"/>
  <c r="E771" i="9"/>
  <c r="E702" i="9"/>
  <c r="E725" i="9"/>
  <c r="E679" i="9"/>
  <c r="E656" i="9"/>
  <c r="E631" i="9"/>
  <c r="E447" i="9"/>
  <c r="E539" i="9"/>
  <c r="E516" i="9"/>
  <c r="E585" i="9"/>
  <c r="E562" i="9"/>
  <c r="E493" i="9"/>
  <c r="E608" i="9"/>
  <c r="E470" i="9"/>
  <c r="E373" i="3"/>
  <c r="E1075" i="9"/>
  <c r="E1052" i="9"/>
  <c r="E1029" i="9"/>
  <c r="E983" i="9"/>
  <c r="E1006" i="9"/>
  <c r="E937" i="9"/>
  <c r="E960" i="9"/>
  <c r="E914" i="9"/>
  <c r="E889" i="9"/>
  <c r="E866" i="9"/>
  <c r="E770" i="9"/>
  <c r="E816" i="9"/>
  <c r="E793" i="9"/>
  <c r="E843" i="9"/>
  <c r="E655" i="9"/>
  <c r="E724" i="9"/>
  <c r="E678" i="9"/>
  <c r="E630" i="9"/>
  <c r="E701" i="9"/>
  <c r="E747" i="9"/>
  <c r="E584" i="9"/>
  <c r="E515" i="9"/>
  <c r="E561" i="9"/>
  <c r="E607" i="9"/>
  <c r="E538" i="9"/>
  <c r="E469" i="9"/>
  <c r="E446" i="9"/>
  <c r="E492" i="9"/>
  <c r="E377" i="3"/>
  <c r="E1079" i="9"/>
  <c r="E1056" i="9"/>
  <c r="E964" i="9"/>
  <c r="E1010" i="9"/>
  <c r="E1033" i="9"/>
  <c r="E987" i="9"/>
  <c r="E918" i="9"/>
  <c r="E941" i="9"/>
  <c r="E847" i="9"/>
  <c r="E870" i="9"/>
  <c r="E893" i="9"/>
  <c r="E820" i="9"/>
  <c r="E774" i="9"/>
  <c r="E797" i="9"/>
  <c r="E728" i="9"/>
  <c r="E634" i="9"/>
  <c r="E751" i="9"/>
  <c r="E611" i="9"/>
  <c r="E588" i="9"/>
  <c r="E682" i="9"/>
  <c r="E659" i="9"/>
  <c r="E705" i="9"/>
  <c r="E473" i="9"/>
  <c r="E565" i="9"/>
  <c r="E542" i="9"/>
  <c r="E519" i="9"/>
  <c r="E496" i="9"/>
  <c r="E450" i="9"/>
  <c r="E381" i="3"/>
  <c r="E1083" i="9"/>
  <c r="E1060" i="9"/>
  <c r="E991" i="9"/>
  <c r="E1014" i="9"/>
  <c r="E1037" i="9"/>
  <c r="E968" i="9"/>
  <c r="E945" i="9"/>
  <c r="E922" i="9"/>
  <c r="E897" i="9"/>
  <c r="E851" i="9"/>
  <c r="E874" i="9"/>
  <c r="E778" i="9"/>
  <c r="E755" i="9"/>
  <c r="E801" i="9"/>
  <c r="E824" i="9"/>
  <c r="E709" i="9"/>
  <c r="E663" i="9"/>
  <c r="E732" i="9"/>
  <c r="E638" i="9"/>
  <c r="E686" i="9"/>
  <c r="E615" i="9"/>
  <c r="E523" i="9"/>
  <c r="E500" i="9"/>
  <c r="E592" i="9"/>
  <c r="E569" i="9"/>
  <c r="E477" i="9"/>
  <c r="E546" i="9"/>
  <c r="E454" i="9"/>
  <c r="E385" i="3"/>
  <c r="E1087" i="9"/>
  <c r="E1064" i="9"/>
  <c r="E1041" i="9"/>
  <c r="E995" i="9"/>
  <c r="E1018" i="9"/>
  <c r="E926" i="9"/>
  <c r="E972" i="9"/>
  <c r="E949" i="9"/>
  <c r="E901" i="9"/>
  <c r="E855" i="9"/>
  <c r="E878" i="9"/>
  <c r="E828" i="9"/>
  <c r="E782" i="9"/>
  <c r="E759" i="9"/>
  <c r="E736" i="9"/>
  <c r="E805" i="9"/>
  <c r="E642" i="9"/>
  <c r="E619" i="9"/>
  <c r="E596" i="9"/>
  <c r="E713" i="9"/>
  <c r="E690" i="9"/>
  <c r="E667" i="9"/>
  <c r="E481" i="9"/>
  <c r="E550" i="9"/>
  <c r="E573" i="9"/>
  <c r="E527" i="9"/>
  <c r="E504" i="9"/>
  <c r="E458" i="9"/>
  <c r="H36" i="9"/>
  <c r="H42" i="9"/>
  <c r="BX1000" i="9"/>
  <c r="BX509" i="9"/>
  <c r="BX63" i="9"/>
  <c r="BX579" i="9"/>
  <c r="W443" i="9"/>
  <c r="BY114" i="9"/>
  <c r="BY443" i="9" s="1"/>
  <c r="B368" i="3"/>
  <c r="B322" i="3"/>
  <c r="B345" i="3"/>
  <c r="B299" i="3"/>
  <c r="B276" i="3"/>
  <c r="B253" i="3"/>
  <c r="B184" i="3"/>
  <c r="B207" i="3"/>
  <c r="B115" i="3"/>
  <c r="B161" i="3"/>
  <c r="B230" i="3"/>
  <c r="B138" i="3"/>
  <c r="B92" i="3"/>
  <c r="B46" i="3"/>
  <c r="B69" i="3"/>
  <c r="B376" i="3"/>
  <c r="B353" i="3"/>
  <c r="B330" i="3"/>
  <c r="B307" i="3"/>
  <c r="B284" i="3"/>
  <c r="B238" i="3"/>
  <c r="B261" i="3"/>
  <c r="B192" i="3"/>
  <c r="B169" i="3"/>
  <c r="B215" i="3"/>
  <c r="B146" i="3"/>
  <c r="B123" i="3"/>
  <c r="B77" i="3"/>
  <c r="B100" i="3"/>
  <c r="B54" i="3"/>
  <c r="BX1003" i="9"/>
  <c r="BX512" i="9"/>
  <c r="V1006" i="9"/>
  <c r="V515" i="9"/>
  <c r="BX175" i="9"/>
  <c r="B380" i="3"/>
  <c r="B357" i="3"/>
  <c r="B334" i="3"/>
  <c r="B288" i="3"/>
  <c r="B265" i="3"/>
  <c r="B311" i="3"/>
  <c r="B219" i="3"/>
  <c r="B242" i="3"/>
  <c r="B173" i="3"/>
  <c r="B196" i="3"/>
  <c r="B150" i="3"/>
  <c r="B127" i="3"/>
  <c r="B104" i="3"/>
  <c r="B58" i="3"/>
  <c r="B81" i="3"/>
  <c r="EY15" i="9"/>
  <c r="BX1002" i="9"/>
  <c r="BX511" i="9"/>
  <c r="BX467" i="9"/>
  <c r="W451" i="9"/>
  <c r="BY266" i="9"/>
  <c r="BY451" i="9" s="1"/>
  <c r="AA266" i="9"/>
  <c r="BX637" i="9"/>
  <c r="V1001" i="9"/>
  <c r="V510" i="9"/>
  <c r="B367" i="3"/>
  <c r="B344" i="3"/>
  <c r="B321" i="3"/>
  <c r="B275" i="3"/>
  <c r="B252" i="3"/>
  <c r="B229" i="3"/>
  <c r="B206" i="3"/>
  <c r="B183" i="3"/>
  <c r="B160" i="3"/>
  <c r="B137" i="3"/>
  <c r="B91" i="3"/>
  <c r="B68" i="3"/>
  <c r="B45" i="3"/>
  <c r="B114" i="3"/>
  <c r="B298" i="3"/>
  <c r="B379" i="3"/>
  <c r="B356" i="3"/>
  <c r="B333" i="3"/>
  <c r="B310" i="3"/>
  <c r="B287" i="3"/>
  <c r="B264" i="3"/>
  <c r="B218" i="3"/>
  <c r="B241" i="3"/>
  <c r="B195" i="3"/>
  <c r="B172" i="3"/>
  <c r="B103" i="3"/>
  <c r="B149" i="3"/>
  <c r="B126" i="3"/>
  <c r="B80" i="3"/>
  <c r="B57" i="3"/>
  <c r="B383" i="3"/>
  <c r="B360" i="3"/>
  <c r="B337" i="3"/>
  <c r="B314" i="3"/>
  <c r="B268" i="3"/>
  <c r="B291" i="3"/>
  <c r="B245" i="3"/>
  <c r="B222" i="3"/>
  <c r="B199" i="3"/>
  <c r="B176" i="3"/>
  <c r="B153" i="3"/>
  <c r="B84" i="3"/>
  <c r="B61" i="3"/>
  <c r="B130" i="3"/>
  <c r="B107" i="3"/>
  <c r="H35" i="9"/>
  <c r="G41" i="9"/>
  <c r="BX80" i="9"/>
  <c r="V1002" i="9"/>
  <c r="V511" i="9"/>
  <c r="W95" i="9"/>
  <c r="AA114" i="9"/>
  <c r="BX558" i="9"/>
  <c r="BX840" i="9" s="1"/>
  <c r="W445" i="9"/>
  <c r="AA152" i="9"/>
  <c r="BX1009" i="9"/>
  <c r="BX518" i="9"/>
  <c r="BX234" i="9"/>
  <c r="BX1019" i="9"/>
  <c r="BX528" i="9"/>
  <c r="BX424" i="9"/>
  <c r="E378" i="3"/>
  <c r="E1080" i="9"/>
  <c r="E1034" i="9"/>
  <c r="E1057" i="9"/>
  <c r="E988" i="9"/>
  <c r="E1011" i="9"/>
  <c r="E965" i="9"/>
  <c r="E942" i="9"/>
  <c r="E919" i="9"/>
  <c r="E894" i="9"/>
  <c r="E821" i="9"/>
  <c r="E871" i="9"/>
  <c r="E775" i="9"/>
  <c r="E752" i="9"/>
  <c r="E798" i="9"/>
  <c r="E848" i="9"/>
  <c r="E706" i="9"/>
  <c r="E683" i="9"/>
  <c r="E660" i="9"/>
  <c r="E729" i="9"/>
  <c r="E635" i="9"/>
  <c r="E520" i="9"/>
  <c r="E612" i="9"/>
  <c r="E543" i="9"/>
  <c r="E474" i="9"/>
  <c r="E566" i="9"/>
  <c r="E589" i="9"/>
  <c r="E451" i="9"/>
  <c r="E497" i="9"/>
  <c r="E386" i="3"/>
  <c r="E1088" i="9"/>
  <c r="E1065" i="9"/>
  <c r="E1042" i="9"/>
  <c r="E1019" i="9"/>
  <c r="E996" i="9"/>
  <c r="E950" i="9"/>
  <c r="E973" i="9"/>
  <c r="E927" i="9"/>
  <c r="E829" i="9"/>
  <c r="E879" i="9"/>
  <c r="E902" i="9"/>
  <c r="E856" i="9"/>
  <c r="E783" i="9"/>
  <c r="E806" i="9"/>
  <c r="E714" i="9"/>
  <c r="E737" i="9"/>
  <c r="E643" i="9"/>
  <c r="E760" i="9"/>
  <c r="E691" i="9"/>
  <c r="E668" i="9"/>
  <c r="E528" i="9"/>
  <c r="E574" i="9"/>
  <c r="E505" i="9"/>
  <c r="E551" i="9"/>
  <c r="E620" i="9"/>
  <c r="E597" i="9"/>
  <c r="E459" i="9"/>
  <c r="E482" i="9"/>
  <c r="BX978" i="9"/>
  <c r="BX487" i="9"/>
  <c r="BX560" i="9"/>
  <c r="W454" i="9"/>
  <c r="BY323" i="9"/>
  <c r="BY454" i="9" s="1"/>
  <c r="AA323" i="9"/>
  <c r="E369" i="3"/>
  <c r="E1071" i="9"/>
  <c r="E1048" i="9"/>
  <c r="E1025" i="9"/>
  <c r="E1002" i="9"/>
  <c r="E956" i="9"/>
  <c r="E910" i="9"/>
  <c r="E979" i="9"/>
  <c r="E933" i="9"/>
  <c r="E862" i="9"/>
  <c r="E885" i="9"/>
  <c r="E812" i="9"/>
  <c r="E766" i="9"/>
  <c r="E743" i="9"/>
  <c r="E720" i="9"/>
  <c r="E839" i="9"/>
  <c r="E789" i="9"/>
  <c r="E697" i="9"/>
  <c r="E603" i="9"/>
  <c r="E674" i="9"/>
  <c r="E580" i="9"/>
  <c r="E651" i="9"/>
  <c r="E557" i="9"/>
  <c r="E465" i="9"/>
  <c r="E626" i="9"/>
  <c r="E534" i="9"/>
  <c r="E511" i="9"/>
  <c r="E442" i="9"/>
  <c r="E488" i="9"/>
  <c r="B384" i="3"/>
  <c r="B361" i="3"/>
  <c r="B338" i="3"/>
  <c r="B315" i="3"/>
  <c r="B292" i="3"/>
  <c r="B269" i="3"/>
  <c r="B246" i="3"/>
  <c r="B177" i="3"/>
  <c r="B223" i="3"/>
  <c r="B200" i="3"/>
  <c r="B108" i="3"/>
  <c r="B85" i="3"/>
  <c r="B154" i="3"/>
  <c r="B131" i="3"/>
  <c r="B62" i="3"/>
  <c r="I35" i="9"/>
  <c r="W444" i="9"/>
  <c r="BY133" i="9"/>
  <c r="BY444" i="9" s="1"/>
  <c r="AA133" i="9"/>
  <c r="BY152" i="9"/>
  <c r="BY445" i="9" s="1"/>
  <c r="BX469" i="9"/>
  <c r="BX479" i="9"/>
  <c r="E382" i="3"/>
  <c r="E1084" i="9"/>
  <c r="E1061" i="9"/>
  <c r="E969" i="9"/>
  <c r="E1038" i="9"/>
  <c r="E1015" i="9"/>
  <c r="E992" i="9"/>
  <c r="E898" i="9"/>
  <c r="E946" i="9"/>
  <c r="E923" i="9"/>
  <c r="E875" i="9"/>
  <c r="E852" i="9"/>
  <c r="E733" i="9"/>
  <c r="E802" i="9"/>
  <c r="E779" i="9"/>
  <c r="E825" i="9"/>
  <c r="E664" i="9"/>
  <c r="E593" i="9"/>
  <c r="E687" i="9"/>
  <c r="E756" i="9"/>
  <c r="E710" i="9"/>
  <c r="E639" i="9"/>
  <c r="E616" i="9"/>
  <c r="E570" i="9"/>
  <c r="E455" i="9"/>
  <c r="E547" i="9"/>
  <c r="E524" i="9"/>
  <c r="E501" i="9"/>
  <c r="E478" i="9"/>
  <c r="B372" i="3"/>
  <c r="B349" i="3"/>
  <c r="B326" i="3"/>
  <c r="B303" i="3"/>
  <c r="B257" i="3"/>
  <c r="B280" i="3"/>
  <c r="B211" i="3"/>
  <c r="B234" i="3"/>
  <c r="B188" i="3"/>
  <c r="B165" i="3"/>
  <c r="B142" i="3"/>
  <c r="B119" i="3"/>
  <c r="B73" i="3"/>
  <c r="B96" i="3"/>
  <c r="B50" i="3"/>
  <c r="E368" i="3"/>
  <c r="E1070" i="9"/>
  <c r="E1047" i="9"/>
  <c r="E978" i="9"/>
  <c r="E1024" i="9"/>
  <c r="E1001" i="9"/>
  <c r="E955" i="9"/>
  <c r="E932" i="9"/>
  <c r="E909" i="9"/>
  <c r="E861" i="9"/>
  <c r="E884" i="9"/>
  <c r="E788" i="9"/>
  <c r="E838" i="9"/>
  <c r="E811" i="9"/>
  <c r="E742" i="9"/>
  <c r="E719" i="9"/>
  <c r="E673" i="9"/>
  <c r="E696" i="9"/>
  <c r="E650" i="9"/>
  <c r="E765" i="9"/>
  <c r="E533" i="9"/>
  <c r="E625" i="9"/>
  <c r="E602" i="9"/>
  <c r="E510" i="9"/>
  <c r="E579" i="9"/>
  <c r="E556" i="9"/>
  <c r="E464" i="9"/>
  <c r="E441" i="9"/>
  <c r="E487" i="9"/>
  <c r="E372" i="3"/>
  <c r="E1074" i="9"/>
  <c r="E959" i="9"/>
  <c r="E1028" i="9"/>
  <c r="E1005" i="9"/>
  <c r="E1051" i="9"/>
  <c r="E936" i="9"/>
  <c r="E982" i="9"/>
  <c r="E913" i="9"/>
  <c r="E865" i="9"/>
  <c r="E888" i="9"/>
  <c r="E792" i="9"/>
  <c r="E769" i="9"/>
  <c r="E815" i="9"/>
  <c r="E842" i="9"/>
  <c r="E700" i="9"/>
  <c r="E654" i="9"/>
  <c r="E606" i="9"/>
  <c r="E677" i="9"/>
  <c r="E723" i="9"/>
  <c r="E746" i="9"/>
  <c r="E629" i="9"/>
  <c r="E491" i="9"/>
  <c r="E468" i="9"/>
  <c r="E537" i="9"/>
  <c r="E583" i="9"/>
  <c r="E560" i="9"/>
  <c r="E514" i="9"/>
  <c r="E445" i="9"/>
  <c r="EY19" i="9"/>
  <c r="E376" i="3"/>
  <c r="E1078" i="9"/>
  <c r="E1032" i="9"/>
  <c r="E1009" i="9"/>
  <c r="E1055" i="9"/>
  <c r="E963" i="9"/>
  <c r="E986" i="9"/>
  <c r="E892" i="9"/>
  <c r="E940" i="9"/>
  <c r="E846" i="9"/>
  <c r="E917" i="9"/>
  <c r="E869" i="9"/>
  <c r="E796" i="9"/>
  <c r="E819" i="9"/>
  <c r="E750" i="9"/>
  <c r="E773" i="9"/>
  <c r="E727" i="9"/>
  <c r="E704" i="9"/>
  <c r="E681" i="9"/>
  <c r="E541" i="9"/>
  <c r="E633" i="9"/>
  <c r="E518" i="9"/>
  <c r="E658" i="9"/>
  <c r="E587" i="9"/>
  <c r="E564" i="9"/>
  <c r="E495" i="9"/>
  <c r="E472" i="9"/>
  <c r="E449" i="9"/>
  <c r="E610" i="9"/>
  <c r="EY23" i="9"/>
  <c r="E380" i="3"/>
  <c r="E1082" i="9"/>
  <c r="E1059" i="9"/>
  <c r="E1036" i="9"/>
  <c r="E990" i="9"/>
  <c r="E1013" i="9"/>
  <c r="E921" i="9"/>
  <c r="E967" i="9"/>
  <c r="E944" i="9"/>
  <c r="E850" i="9"/>
  <c r="E896" i="9"/>
  <c r="E873" i="9"/>
  <c r="E777" i="9"/>
  <c r="E823" i="9"/>
  <c r="E800" i="9"/>
  <c r="E754" i="9"/>
  <c r="E614" i="9"/>
  <c r="E662" i="9"/>
  <c r="E685" i="9"/>
  <c r="E731" i="9"/>
  <c r="E708" i="9"/>
  <c r="E637" i="9"/>
  <c r="E568" i="9"/>
  <c r="E499" i="9"/>
  <c r="E476" i="9"/>
  <c r="E545" i="9"/>
  <c r="E522" i="9"/>
  <c r="E591" i="9"/>
  <c r="E453" i="9"/>
  <c r="E384" i="3"/>
  <c r="E1086" i="9"/>
  <c r="E1040" i="9"/>
  <c r="E1063" i="9"/>
  <c r="E1017" i="9"/>
  <c r="E994" i="9"/>
  <c r="E948" i="9"/>
  <c r="E971" i="9"/>
  <c r="E925" i="9"/>
  <c r="E854" i="9"/>
  <c r="E900" i="9"/>
  <c r="E877" i="9"/>
  <c r="E804" i="9"/>
  <c r="E712" i="9"/>
  <c r="E827" i="9"/>
  <c r="E781" i="9"/>
  <c r="E735" i="9"/>
  <c r="E666" i="9"/>
  <c r="E641" i="9"/>
  <c r="E758" i="9"/>
  <c r="E689" i="9"/>
  <c r="E572" i="9"/>
  <c r="E549" i="9"/>
  <c r="E526" i="9"/>
  <c r="E618" i="9"/>
  <c r="E595" i="9"/>
  <c r="E503" i="9"/>
  <c r="E480" i="9"/>
  <c r="E457" i="9"/>
  <c r="B371" i="3"/>
  <c r="B348" i="3"/>
  <c r="B325" i="3"/>
  <c r="B302" i="3"/>
  <c r="B279" i="3"/>
  <c r="B256" i="3"/>
  <c r="B233" i="3"/>
  <c r="B187" i="3"/>
  <c r="B210" i="3"/>
  <c r="B164" i="3"/>
  <c r="B141" i="3"/>
  <c r="B118" i="3"/>
  <c r="B95" i="3"/>
  <c r="B72" i="3"/>
  <c r="B49" i="3"/>
  <c r="B375" i="3"/>
  <c r="B352" i="3"/>
  <c r="B329" i="3"/>
  <c r="B283" i="3"/>
  <c r="B306" i="3"/>
  <c r="B260" i="3"/>
  <c r="B237" i="3"/>
  <c r="B214" i="3"/>
  <c r="B145" i="3"/>
  <c r="B168" i="3"/>
  <c r="B191" i="3"/>
  <c r="B76" i="3"/>
  <c r="B53" i="3"/>
  <c r="B99" i="3"/>
  <c r="B122" i="3"/>
  <c r="BX977" i="9"/>
  <c r="BX486" i="9"/>
  <c r="V1000" i="9"/>
  <c r="V509" i="9"/>
  <c r="BX557" i="9"/>
  <c r="E367" i="3"/>
  <c r="E1069" i="9"/>
  <c r="E1046" i="9"/>
  <c r="E954" i="9"/>
  <c r="E1023" i="9"/>
  <c r="E1000" i="9"/>
  <c r="E931" i="9"/>
  <c r="E977" i="9"/>
  <c r="E883" i="9"/>
  <c r="E908" i="9"/>
  <c r="E837" i="9"/>
  <c r="E860" i="9"/>
  <c r="E810" i="9"/>
  <c r="E764" i="9"/>
  <c r="E787" i="9"/>
  <c r="E718" i="9"/>
  <c r="E672" i="9"/>
  <c r="E624" i="9"/>
  <c r="E601" i="9"/>
  <c r="E741" i="9"/>
  <c r="E649" i="9"/>
  <c r="E695" i="9"/>
  <c r="E555" i="9"/>
  <c r="E486" i="9"/>
  <c r="E532" i="9"/>
  <c r="E463" i="9"/>
  <c r="E440" i="9"/>
  <c r="E578" i="9"/>
  <c r="E509" i="9"/>
  <c r="EY14" i="9"/>
  <c r="E371" i="3"/>
  <c r="E1073" i="9"/>
  <c r="E1004" i="9"/>
  <c r="E1027" i="9"/>
  <c r="E1050" i="9"/>
  <c r="E958" i="9"/>
  <c r="E981" i="9"/>
  <c r="E935" i="9"/>
  <c r="E887" i="9"/>
  <c r="E912" i="9"/>
  <c r="E814" i="9"/>
  <c r="E841" i="9"/>
  <c r="E864" i="9"/>
  <c r="E791" i="9"/>
  <c r="E722" i="9"/>
  <c r="E768" i="9"/>
  <c r="E745" i="9"/>
  <c r="E699" i="9"/>
  <c r="E653" i="9"/>
  <c r="E676" i="9"/>
  <c r="E559" i="9"/>
  <c r="E444" i="9"/>
  <c r="E628" i="9"/>
  <c r="E582" i="9"/>
  <c r="E536" i="9"/>
  <c r="E513" i="9"/>
  <c r="E605" i="9"/>
  <c r="E467" i="9"/>
  <c r="E490" i="9"/>
  <c r="E375" i="3"/>
  <c r="E1077" i="9"/>
  <c r="E1054" i="9"/>
  <c r="E962" i="9"/>
  <c r="E1031" i="9"/>
  <c r="E1008" i="9"/>
  <c r="E985" i="9"/>
  <c r="E916" i="9"/>
  <c r="E939" i="9"/>
  <c r="E868" i="9"/>
  <c r="E845" i="9"/>
  <c r="E891" i="9"/>
  <c r="E818" i="9"/>
  <c r="E795" i="9"/>
  <c r="E772" i="9"/>
  <c r="E726" i="9"/>
  <c r="E632" i="9"/>
  <c r="E680" i="9"/>
  <c r="E609" i="9"/>
  <c r="E703" i="9"/>
  <c r="E749" i="9"/>
  <c r="E657" i="9"/>
  <c r="E586" i="9"/>
  <c r="E494" i="9"/>
  <c r="E563" i="9"/>
  <c r="E540" i="9"/>
  <c r="E448" i="9"/>
  <c r="E517" i="9"/>
  <c r="E471" i="9"/>
  <c r="EY22" i="9"/>
  <c r="E379" i="3"/>
  <c r="E1081" i="9"/>
  <c r="E1058" i="9"/>
  <c r="E1035" i="9"/>
  <c r="E1012" i="9"/>
  <c r="E989" i="9"/>
  <c r="E966" i="9"/>
  <c r="E920" i="9"/>
  <c r="E895" i="9"/>
  <c r="E943" i="9"/>
  <c r="E872" i="9"/>
  <c r="E822" i="9"/>
  <c r="E849" i="9"/>
  <c r="E730" i="9"/>
  <c r="E776" i="9"/>
  <c r="E799" i="9"/>
  <c r="E707" i="9"/>
  <c r="E661" i="9"/>
  <c r="E753" i="9"/>
  <c r="E567" i="9"/>
  <c r="E684" i="9"/>
  <c r="E636" i="9"/>
  <c r="E452" i="9"/>
  <c r="E613" i="9"/>
  <c r="E544" i="9"/>
  <c r="E590" i="9"/>
  <c r="E521" i="9"/>
  <c r="E475" i="9"/>
  <c r="E498" i="9"/>
  <c r="EY26" i="9"/>
  <c r="E383" i="3"/>
  <c r="E1085" i="9"/>
  <c r="E1062" i="9"/>
  <c r="E1039" i="9"/>
  <c r="E970" i="9"/>
  <c r="E993" i="9"/>
  <c r="E1016" i="9"/>
  <c r="E947" i="9"/>
  <c r="E899" i="9"/>
  <c r="E924" i="9"/>
  <c r="E876" i="9"/>
  <c r="E853" i="9"/>
  <c r="E757" i="9"/>
  <c r="E826" i="9"/>
  <c r="E803" i="9"/>
  <c r="E780" i="9"/>
  <c r="E665" i="9"/>
  <c r="E734" i="9"/>
  <c r="E617" i="9"/>
  <c r="E711" i="9"/>
  <c r="E640" i="9"/>
  <c r="E688" i="9"/>
  <c r="E502" i="9"/>
  <c r="E571" i="9"/>
  <c r="E548" i="9"/>
  <c r="E525" i="9"/>
  <c r="E479" i="9"/>
  <c r="E594" i="9"/>
  <c r="E456" i="9"/>
  <c r="EY30" i="9"/>
  <c r="H41" i="9"/>
  <c r="H44" i="9" s="1"/>
  <c r="G43" i="9"/>
  <c r="AA57" i="9"/>
  <c r="W66" i="9"/>
  <c r="B370" i="3"/>
  <c r="B347" i="3"/>
  <c r="B324" i="3"/>
  <c r="B301" i="3"/>
  <c r="B232" i="3"/>
  <c r="B278" i="3"/>
  <c r="B209" i="3"/>
  <c r="B255" i="3"/>
  <c r="B186" i="3"/>
  <c r="B163" i="3"/>
  <c r="B140" i="3"/>
  <c r="B117" i="3"/>
  <c r="B94" i="3"/>
  <c r="B71" i="3"/>
  <c r="B48" i="3"/>
  <c r="B374" i="3"/>
  <c r="B351" i="3"/>
  <c r="B328" i="3"/>
  <c r="B305" i="3"/>
  <c r="B282" i="3"/>
  <c r="B259" i="3"/>
  <c r="B213" i="3"/>
  <c r="B236" i="3"/>
  <c r="B167" i="3"/>
  <c r="B190" i="3"/>
  <c r="B144" i="3"/>
  <c r="B121" i="3"/>
  <c r="B98" i="3"/>
  <c r="B75" i="3"/>
  <c r="B52" i="3"/>
  <c r="B378" i="3"/>
  <c r="B355" i="3"/>
  <c r="B332" i="3"/>
  <c r="B286" i="3"/>
  <c r="B309" i="3"/>
  <c r="B240" i="3"/>
  <c r="B263" i="3"/>
  <c r="B194" i="3"/>
  <c r="B217" i="3"/>
  <c r="B171" i="3"/>
  <c r="B148" i="3"/>
  <c r="B102" i="3"/>
  <c r="B125" i="3"/>
  <c r="B79" i="3"/>
  <c r="B56" i="3"/>
  <c r="B382" i="3"/>
  <c r="B359" i="3"/>
  <c r="B336" i="3"/>
  <c r="B290" i="3"/>
  <c r="B313" i="3"/>
  <c r="B267" i="3"/>
  <c r="B221" i="3"/>
  <c r="B244" i="3"/>
  <c r="B198" i="3"/>
  <c r="B152" i="3"/>
  <c r="B175" i="3"/>
  <c r="B129" i="3"/>
  <c r="B106" i="3"/>
  <c r="B83" i="3"/>
  <c r="B60" i="3"/>
  <c r="B386" i="3"/>
  <c r="B363" i="3"/>
  <c r="B340" i="3"/>
  <c r="B317" i="3"/>
  <c r="B271" i="3"/>
  <c r="B294" i="3"/>
  <c r="B248" i="3"/>
  <c r="B225" i="3"/>
  <c r="B202" i="3"/>
  <c r="B179" i="3"/>
  <c r="B156" i="3"/>
  <c r="B133" i="3"/>
  <c r="B110" i="3"/>
  <c r="B87" i="3"/>
  <c r="B64" i="3"/>
  <c r="J49" i="9"/>
  <c r="CN49" i="9" s="1"/>
  <c r="A49" i="9" s="1" a="1"/>
  <c r="A49" i="9" s="1"/>
  <c r="W76" i="9"/>
  <c r="V82" i="9"/>
  <c r="V602" i="9"/>
  <c r="W85" i="9"/>
  <c r="BX625" i="9"/>
  <c r="W104" i="9"/>
  <c r="W535" i="9"/>
  <c r="BY123" i="9"/>
  <c r="BY535" i="9" s="1"/>
  <c r="AA123" i="9"/>
  <c r="W536" i="9"/>
  <c r="AA142" i="9"/>
  <c r="V158" i="9"/>
  <c r="W171" i="9"/>
  <c r="BX1007" i="9"/>
  <c r="BX516" i="9"/>
  <c r="BX474" i="9"/>
  <c r="BX1016" i="9"/>
  <c r="BX525" i="9"/>
  <c r="BX367" i="9"/>
  <c r="V1003" i="9"/>
  <c r="V512" i="9"/>
  <c r="BX983" i="9"/>
  <c r="BX492" i="9"/>
  <c r="AA180" i="9"/>
  <c r="AA221" i="9"/>
  <c r="BX472" i="9"/>
  <c r="BX988" i="9"/>
  <c r="BX497" i="9"/>
  <c r="V1011" i="9"/>
  <c r="V520" i="9"/>
  <c r="BX289" i="9"/>
  <c r="AA313" i="9"/>
  <c r="V614" i="9"/>
  <c r="V896" i="9" s="1"/>
  <c r="BX316" i="9"/>
  <c r="BX614" i="9" s="1"/>
  <c r="BX896" i="9" s="1"/>
  <c r="BX984" i="9"/>
  <c r="BX493" i="9"/>
  <c r="BY209" i="9"/>
  <c r="BY448" i="9" s="1"/>
  <c r="BY228" i="9"/>
  <c r="BY449" i="9" s="1"/>
  <c r="W449" i="9"/>
  <c r="V1009" i="9"/>
  <c r="V518" i="9"/>
  <c r="W541" i="9"/>
  <c r="AA237" i="9"/>
  <c r="V619" i="9"/>
  <c r="V901" i="9" s="1"/>
  <c r="W408" i="9"/>
  <c r="BX411" i="9"/>
  <c r="BX619" i="9" s="1"/>
  <c r="BX901" i="9" s="1"/>
  <c r="AA1019" i="9"/>
  <c r="AA528" i="9"/>
  <c r="AA424" i="9"/>
  <c r="AB418" i="9"/>
  <c r="BX1008" i="9"/>
  <c r="BX517" i="9"/>
  <c r="V613" i="9"/>
  <c r="W294" i="9"/>
  <c r="BX636" i="9"/>
  <c r="BY361" i="9"/>
  <c r="BY456" i="9" s="1"/>
  <c r="W456" i="9"/>
  <c r="W458" i="9"/>
  <c r="AA399" i="9"/>
  <c r="AA275" i="9"/>
  <c r="BX989" i="9"/>
  <c r="BX498" i="9"/>
  <c r="V1012" i="9"/>
  <c r="V521" i="9"/>
  <c r="BX1013" i="9"/>
  <c r="BX522" i="9"/>
  <c r="BX310" i="9"/>
  <c r="BX592" i="9"/>
  <c r="BX874" i="9" s="1"/>
  <c r="BX570" i="9"/>
  <c r="BX480" i="9"/>
  <c r="BX995" i="9"/>
  <c r="BX504" i="9"/>
  <c r="V1007" i="9"/>
  <c r="V516" i="9"/>
  <c r="V1008" i="9"/>
  <c r="V517" i="9"/>
  <c r="AA228" i="9"/>
  <c r="W450" i="9"/>
  <c r="AA247" i="9"/>
  <c r="V1010" i="9"/>
  <c r="V519" i="9"/>
  <c r="BX251" i="9"/>
  <c r="AA285" i="9"/>
  <c r="BX329" i="9"/>
  <c r="V615" i="9"/>
  <c r="V897" i="9" s="1"/>
  <c r="W332" i="9"/>
  <c r="BX335" i="9"/>
  <c r="BX615" i="9" s="1"/>
  <c r="BX897" i="9" s="1"/>
  <c r="BX638" i="9"/>
  <c r="V616" i="9"/>
  <c r="V898" i="9" s="1"/>
  <c r="BX354" i="9"/>
  <c r="BX616" i="9" s="1"/>
  <c r="BX898" i="9" s="1"/>
  <c r="BX571" i="9"/>
  <c r="W190" i="9"/>
  <c r="BX202" i="9"/>
  <c r="BX608" i="9" s="1"/>
  <c r="BX985" i="9"/>
  <c r="BX494" i="9"/>
  <c r="BX563" i="9"/>
  <c r="BX845" i="9" s="1"/>
  <c r="BX987" i="9"/>
  <c r="BX496" i="9"/>
  <c r="W256" i="9"/>
  <c r="BX1011" i="9"/>
  <c r="BX520" i="9"/>
  <c r="BX272" i="9"/>
  <c r="BX590" i="9"/>
  <c r="BX990" i="9"/>
  <c r="BX499" i="9"/>
  <c r="V1013" i="9"/>
  <c r="V522" i="9"/>
  <c r="W304" i="9"/>
  <c r="BY313" i="9"/>
  <c r="BY545" i="9" s="1"/>
  <c r="BX991" i="9"/>
  <c r="BX500" i="9"/>
  <c r="BX992" i="9"/>
  <c r="BX501" i="9"/>
  <c r="V1015" i="9"/>
  <c r="V524" i="9"/>
  <c r="V348" i="9"/>
  <c r="W342" i="9"/>
  <c r="AA361" i="9"/>
  <c r="BY380" i="9"/>
  <c r="BY457" i="9" s="1"/>
  <c r="AA380" i="9"/>
  <c r="W457" i="9"/>
  <c r="BX981" i="9"/>
  <c r="BX490" i="9"/>
  <c r="W199" i="9"/>
  <c r="AA209" i="9"/>
  <c r="W540" i="9"/>
  <c r="BY218" i="9"/>
  <c r="BY540" i="9" s="1"/>
  <c r="BY275" i="9"/>
  <c r="BY543" i="9" s="1"/>
  <c r="BX1014" i="9"/>
  <c r="BX523" i="9"/>
  <c r="BX1015" i="9"/>
  <c r="BX524" i="9"/>
  <c r="W351" i="9"/>
  <c r="W548" i="9"/>
  <c r="BY370" i="9"/>
  <c r="BY548" i="9" s="1"/>
  <c r="AA370" i="9"/>
  <c r="W549" i="9"/>
  <c r="AA389" i="9"/>
  <c r="BX489" i="9"/>
  <c r="V1016" i="9"/>
  <c r="V525" i="9"/>
  <c r="BY418" i="9"/>
  <c r="BY459" i="9" s="1"/>
  <c r="BX996" i="9"/>
  <c r="BX505" i="9"/>
  <c r="AA427" i="9"/>
  <c r="BY427" i="9"/>
  <c r="BY551" i="9" s="1"/>
  <c r="BX503" i="9"/>
  <c r="V528" i="9"/>
  <c r="V1017" i="9"/>
  <c r="V526" i="9"/>
  <c r="V1018" i="9"/>
  <c r="V527" i="9"/>
  <c r="V424" i="9"/>
  <c r="BX502" i="9"/>
  <c r="W459" i="9"/>
  <c r="V837" i="9"/>
  <c r="V695" i="9"/>
  <c r="BX695" i="9" s="1"/>
  <c r="BX384" i="9"/>
  <c r="V850" i="9"/>
  <c r="V708" i="9"/>
  <c r="BX708" i="9" s="1"/>
  <c r="V854" i="9"/>
  <c r="V712" i="9"/>
  <c r="BX712" i="9" s="1"/>
  <c r="V1014" i="9"/>
  <c r="V523" i="9"/>
  <c r="BX403" i="9"/>
  <c r="BX495" i="9"/>
  <c r="V764" i="9"/>
  <c r="BX764" i="9" s="1"/>
  <c r="V787" i="9"/>
  <c r="BX787" i="9" s="1"/>
  <c r="V871" i="9"/>
  <c r="V798" i="9"/>
  <c r="BX798" i="9" s="1"/>
  <c r="V775" i="9"/>
  <c r="BX775" i="9" s="1"/>
  <c r="V876" i="9"/>
  <c r="V803" i="9"/>
  <c r="BX803" i="9" s="1"/>
  <c r="V780" i="9"/>
  <c r="BX780" i="9" s="1"/>
  <c r="BJ656" i="9"/>
  <c r="V796" i="9"/>
  <c r="BX796" i="9" s="1"/>
  <c r="V773" i="9"/>
  <c r="BX773" i="9" s="1"/>
  <c r="V877" i="9"/>
  <c r="V804" i="9"/>
  <c r="BX804" i="9" s="1"/>
  <c r="V781" i="9"/>
  <c r="BX781" i="9" s="1"/>
  <c r="V840" i="9"/>
  <c r="V698" i="9"/>
  <c r="BX698" i="9" s="1"/>
  <c r="V863" i="9"/>
  <c r="V790" i="9"/>
  <c r="BX790" i="9" s="1"/>
  <c r="V767" i="9"/>
  <c r="BX767" i="9" s="1"/>
  <c r="V867" i="9"/>
  <c r="V771" i="9"/>
  <c r="BX771" i="9" s="1"/>
  <c r="V794" i="9"/>
  <c r="BX794" i="9" s="1"/>
  <c r="V849" i="9"/>
  <c r="V707" i="9"/>
  <c r="BX707" i="9" s="1"/>
  <c r="V853" i="9"/>
  <c r="V711" i="9"/>
  <c r="BX711" i="9" s="1"/>
  <c r="V765" i="9"/>
  <c r="BX765" i="9" s="1"/>
  <c r="V788" i="9"/>
  <c r="BX788" i="9" s="1"/>
  <c r="V874" i="9"/>
  <c r="V801" i="9"/>
  <c r="BX801" i="9" s="1"/>
  <c r="V778" i="9"/>
  <c r="BX778" i="9" s="1"/>
  <c r="V879" i="9"/>
  <c r="V806" i="9"/>
  <c r="BX806" i="9" s="1"/>
  <c r="V783" i="9"/>
  <c r="BX783" i="9" s="1"/>
  <c r="BV656" i="9"/>
  <c r="BM656" i="9"/>
  <c r="BD656" i="9"/>
  <c r="AU656" i="9"/>
  <c r="AL656" i="9"/>
  <c r="AC656" i="9"/>
  <c r="BU656" i="9"/>
  <c r="BL656" i="9"/>
  <c r="BC656" i="9"/>
  <c r="AT656" i="9"/>
  <c r="AK656" i="9"/>
  <c r="AB656" i="9"/>
  <c r="V870" i="9"/>
  <c r="V797" i="9"/>
  <c r="BX797" i="9" s="1"/>
  <c r="V774" i="9"/>
  <c r="BX774" i="9" s="1"/>
  <c r="V776" i="9"/>
  <c r="BX776" i="9" s="1"/>
  <c r="V799" i="9"/>
  <c r="BX799" i="9" s="1"/>
  <c r="BR656" i="9"/>
  <c r="V841" i="9"/>
  <c r="V699" i="9"/>
  <c r="BX699" i="9" s="1"/>
  <c r="V845" i="9"/>
  <c r="V703" i="9"/>
  <c r="BX703" i="9" s="1"/>
  <c r="V875" i="9"/>
  <c r="V802" i="9"/>
  <c r="BX802" i="9" s="1"/>
  <c r="V779" i="9"/>
  <c r="BX779" i="9" s="1"/>
  <c r="AH656" i="9"/>
  <c r="V856" i="9"/>
  <c r="V714" i="9"/>
  <c r="BX714" i="9" s="1"/>
  <c r="V766" i="9"/>
  <c r="BX766" i="9" s="1"/>
  <c r="V789" i="9"/>
  <c r="BX789" i="9" s="1"/>
  <c r="V791" i="9"/>
  <c r="BX791" i="9" s="1"/>
  <c r="V768" i="9"/>
  <c r="BX768" i="9" s="1"/>
  <c r="V770" i="9"/>
  <c r="BX770" i="9" s="1"/>
  <c r="V793" i="9"/>
  <c r="BX793" i="9" s="1"/>
  <c r="V868" i="9"/>
  <c r="V772" i="9"/>
  <c r="BX772" i="9" s="1"/>
  <c r="V795" i="9"/>
  <c r="BX795" i="9" s="1"/>
  <c r="AR656" i="9"/>
  <c r="AD649" i="9"/>
  <c r="AM649" i="9"/>
  <c r="AV649" i="9"/>
  <c r="BE649" i="9"/>
  <c r="AD650" i="9"/>
  <c r="AM650" i="9"/>
  <c r="AV650" i="9"/>
  <c r="BE650" i="9"/>
  <c r="AB651" i="9"/>
  <c r="AK651" i="9"/>
  <c r="AU651" i="9"/>
  <c r="BD651" i="9"/>
  <c r="BM651" i="9"/>
  <c r="BV651" i="9"/>
  <c r="AA652" i="9"/>
  <c r="AJ652" i="9"/>
  <c r="AS652" i="9"/>
  <c r="BB652" i="9"/>
  <c r="BL652" i="9"/>
  <c r="BU652" i="9"/>
  <c r="AA653" i="9"/>
  <c r="AJ653" i="9"/>
  <c r="AS653" i="9"/>
  <c r="BB653" i="9"/>
  <c r="BK653" i="9"/>
  <c r="BU653" i="9"/>
  <c r="BU654" i="9"/>
  <c r="BM654" i="9"/>
  <c r="BE654" i="9"/>
  <c r="AW654" i="9"/>
  <c r="AO654" i="9"/>
  <c r="AG654" i="9"/>
  <c r="AI654" i="9"/>
  <c r="AR654" i="9"/>
  <c r="BA654" i="9"/>
  <c r="BJ654" i="9"/>
  <c r="BS654" i="9"/>
  <c r="AG655" i="9"/>
  <c r="AQ655" i="9"/>
  <c r="AZ655" i="9"/>
  <c r="BI655" i="9"/>
  <c r="AG656" i="9"/>
  <c r="AP656" i="9"/>
  <c r="AZ656" i="9"/>
  <c r="BI656" i="9"/>
  <c r="AF657" i="9"/>
  <c r="AO657" i="9"/>
  <c r="AX657" i="9"/>
  <c r="BG657" i="9"/>
  <c r="BQ657" i="9"/>
  <c r="AF658" i="9"/>
  <c r="AO658" i="9"/>
  <c r="AX658" i="9"/>
  <c r="BG658" i="9"/>
  <c r="BP658" i="9"/>
  <c r="AE659" i="9"/>
  <c r="AN659" i="9"/>
  <c r="AW659" i="9"/>
  <c r="BF659" i="9"/>
  <c r="BO659" i="9"/>
  <c r="AC660" i="9"/>
  <c r="AL660" i="9"/>
  <c r="AV660" i="9"/>
  <c r="BE660" i="9"/>
  <c r="AC661" i="9"/>
  <c r="AL661" i="9"/>
  <c r="AU661" i="9"/>
  <c r="BE661" i="9"/>
  <c r="AB662" i="9"/>
  <c r="AK662" i="9"/>
  <c r="AT662" i="9"/>
  <c r="BC662" i="9"/>
  <c r="BL662" i="9"/>
  <c r="BV662" i="9"/>
  <c r="AA663" i="9"/>
  <c r="AJ663" i="9"/>
  <c r="AS663" i="9"/>
  <c r="BB663" i="9"/>
  <c r="BK663" i="9"/>
  <c r="BT663" i="9"/>
  <c r="BO664" i="9"/>
  <c r="BG664" i="9"/>
  <c r="AY664" i="9"/>
  <c r="AQ664" i="9"/>
  <c r="AI664" i="9"/>
  <c r="AA664" i="9"/>
  <c r="AJ664" i="9"/>
  <c r="AS664" i="9"/>
  <c r="BB664" i="9"/>
  <c r="BK664" i="9"/>
  <c r="BT664" i="9"/>
  <c r="AH665" i="9"/>
  <c r="AQ665" i="9"/>
  <c r="BA665" i="9"/>
  <c r="BJ665" i="9"/>
  <c r="AH666" i="9"/>
  <c r="AQ666" i="9"/>
  <c r="AZ666" i="9"/>
  <c r="BJ666" i="9"/>
  <c r="AG667" i="9"/>
  <c r="AP667" i="9"/>
  <c r="AY667" i="9"/>
  <c r="BH667" i="9"/>
  <c r="AF668" i="9"/>
  <c r="AO668" i="9"/>
  <c r="AX668" i="9"/>
  <c r="BG668" i="9"/>
  <c r="BP668" i="9"/>
  <c r="BP672" i="9"/>
  <c r="BH672" i="9"/>
  <c r="AZ672" i="9"/>
  <c r="AR672" i="9"/>
  <c r="AJ672" i="9"/>
  <c r="AB672" i="9"/>
  <c r="AI672" i="9"/>
  <c r="AS672" i="9"/>
  <c r="BB672" i="9"/>
  <c r="BK672" i="9"/>
  <c r="BT672" i="9"/>
  <c r="AA673" i="9"/>
  <c r="AJ673" i="9"/>
  <c r="AS673" i="9"/>
  <c r="BC673" i="9"/>
  <c r="BL673" i="9"/>
  <c r="BU673" i="9"/>
  <c r="AA674" i="9"/>
  <c r="AJ674" i="9"/>
  <c r="AS674" i="9"/>
  <c r="BB674" i="9"/>
  <c r="BK674" i="9"/>
  <c r="BU674" i="9"/>
  <c r="AA676" i="9"/>
  <c r="AK676" i="9"/>
  <c r="AT676" i="9"/>
  <c r="BC676" i="9"/>
  <c r="BL676" i="9"/>
  <c r="BU676" i="9"/>
  <c r="AB677" i="9"/>
  <c r="AK677" i="9"/>
  <c r="AU677" i="9"/>
  <c r="BD677" i="9"/>
  <c r="BM677" i="9"/>
  <c r="AB678" i="9"/>
  <c r="AK678" i="9"/>
  <c r="AT678" i="9"/>
  <c r="BC678" i="9"/>
  <c r="BM678" i="9"/>
  <c r="AC680" i="9"/>
  <c r="AL680" i="9"/>
  <c r="AU680" i="9"/>
  <c r="BD680" i="9"/>
  <c r="BM680" i="9"/>
  <c r="AC681" i="9"/>
  <c r="AM681" i="9"/>
  <c r="AV681" i="9"/>
  <c r="BE681" i="9"/>
  <c r="AC682" i="9"/>
  <c r="AL682" i="9"/>
  <c r="AU682" i="9"/>
  <c r="BE682" i="9"/>
  <c r="AD684" i="9"/>
  <c r="AM684" i="9"/>
  <c r="AV684" i="9"/>
  <c r="BE684" i="9"/>
  <c r="AE685" i="9"/>
  <c r="AN685" i="9"/>
  <c r="AW685" i="9"/>
  <c r="BF685" i="9"/>
  <c r="BO685" i="9"/>
  <c r="AD686" i="9"/>
  <c r="AM686" i="9"/>
  <c r="AW686" i="9"/>
  <c r="BF686" i="9"/>
  <c r="BO686" i="9"/>
  <c r="AE688" i="9"/>
  <c r="AN688" i="9"/>
  <c r="AW688" i="9"/>
  <c r="BF688" i="9"/>
  <c r="BO688" i="9"/>
  <c r="AF689" i="9"/>
  <c r="AO689" i="9"/>
  <c r="AX689" i="9"/>
  <c r="BG689" i="9"/>
  <c r="BP689" i="9"/>
  <c r="AE690" i="9"/>
  <c r="AO690" i="9"/>
  <c r="AX690" i="9"/>
  <c r="BG690" i="9"/>
  <c r="BP690" i="9"/>
  <c r="F195" i="3"/>
  <c r="F172" i="3"/>
  <c r="F149" i="3"/>
  <c r="F177" i="3"/>
  <c r="F200" i="3"/>
  <c r="F154" i="3"/>
  <c r="BQ839" i="9"/>
  <c r="BP665" i="9"/>
  <c r="BH665" i="9"/>
  <c r="AZ665" i="9"/>
  <c r="AR665" i="9"/>
  <c r="AJ665" i="9"/>
  <c r="AB665" i="9"/>
  <c r="AI665" i="9"/>
  <c r="AS665" i="9"/>
  <c r="BB665" i="9"/>
  <c r="BK665" i="9"/>
  <c r="BT665" i="9"/>
  <c r="BQ666" i="9"/>
  <c r="BI666" i="9"/>
  <c r="BA666" i="9"/>
  <c r="AS666" i="9"/>
  <c r="AK666" i="9"/>
  <c r="AC666" i="9"/>
  <c r="AI666" i="9"/>
  <c r="AR666" i="9"/>
  <c r="BB666" i="9"/>
  <c r="BK666" i="9"/>
  <c r="BT666" i="9"/>
  <c r="AH667" i="9"/>
  <c r="AQ667" i="9"/>
  <c r="AZ667" i="9"/>
  <c r="BI667" i="9"/>
  <c r="BS667" i="9"/>
  <c r="F185" i="3"/>
  <c r="F162" i="3"/>
  <c r="F139" i="3"/>
  <c r="F188" i="3"/>
  <c r="F165" i="3"/>
  <c r="F142" i="3"/>
  <c r="F190" i="3"/>
  <c r="F167" i="3"/>
  <c r="F144" i="3"/>
  <c r="AF649" i="9"/>
  <c r="AO649" i="9"/>
  <c r="AX649" i="9"/>
  <c r="BG649" i="9"/>
  <c r="BQ649" i="9"/>
  <c r="AF650" i="9"/>
  <c r="AO650" i="9"/>
  <c r="AX650" i="9"/>
  <c r="BG650" i="9"/>
  <c r="BP650" i="9"/>
  <c r="BO656" i="9"/>
  <c r="BG656" i="9"/>
  <c r="AY656" i="9"/>
  <c r="AQ656" i="9"/>
  <c r="AI656" i="9"/>
  <c r="AA656" i="9"/>
  <c r="AJ656" i="9"/>
  <c r="AS656" i="9"/>
  <c r="BB656" i="9"/>
  <c r="BK656" i="9"/>
  <c r="BT656" i="9"/>
  <c r="AH657" i="9"/>
  <c r="AQ657" i="9"/>
  <c r="BA657" i="9"/>
  <c r="BJ657" i="9"/>
  <c r="AH658" i="9"/>
  <c r="AQ658" i="9"/>
  <c r="AZ658" i="9"/>
  <c r="BJ658" i="9"/>
  <c r="AG659" i="9"/>
  <c r="AP659" i="9"/>
  <c r="AY659" i="9"/>
  <c r="BH659" i="9"/>
  <c r="BQ659" i="9"/>
  <c r="AF660" i="9"/>
  <c r="AO660" i="9"/>
  <c r="AX660" i="9"/>
  <c r="BG660" i="9"/>
  <c r="BP660" i="9"/>
  <c r="AE661" i="9"/>
  <c r="AO661" i="9"/>
  <c r="AX661" i="9"/>
  <c r="BG661" i="9"/>
  <c r="BP661" i="9"/>
  <c r="AA665" i="9"/>
  <c r="AK665" i="9"/>
  <c r="AT665" i="9"/>
  <c r="BC665" i="9"/>
  <c r="BL665" i="9"/>
  <c r="BU665" i="9"/>
  <c r="AA666" i="9"/>
  <c r="AJ666" i="9"/>
  <c r="AT666" i="9"/>
  <c r="BC666" i="9"/>
  <c r="BL666" i="9"/>
  <c r="BU666" i="9"/>
  <c r="BR667" i="9"/>
  <c r="BJ667" i="9"/>
  <c r="BB667" i="9"/>
  <c r="AT667" i="9"/>
  <c r="AL667" i="9"/>
  <c r="AD667" i="9"/>
  <c r="AI667" i="9"/>
  <c r="AR667" i="9"/>
  <c r="BA667" i="9"/>
  <c r="BK667" i="9"/>
  <c r="BT667" i="9"/>
  <c r="AH668" i="9"/>
  <c r="AQ668" i="9"/>
  <c r="AZ668" i="9"/>
  <c r="BI668" i="9"/>
  <c r="AG685" i="9"/>
  <c r="AP685" i="9"/>
  <c r="AY685" i="9"/>
  <c r="BH685" i="9"/>
  <c r="AG686" i="9"/>
  <c r="AP686" i="9"/>
  <c r="AY686" i="9"/>
  <c r="BH686" i="9"/>
  <c r="AG688" i="9"/>
  <c r="AP688" i="9"/>
  <c r="AY688" i="9"/>
  <c r="BI688" i="9"/>
  <c r="AH689" i="9"/>
  <c r="AQ689" i="9"/>
  <c r="AZ689" i="9"/>
  <c r="BI689" i="9"/>
  <c r="AH690" i="9"/>
  <c r="AQ690" i="9"/>
  <c r="AZ690" i="9"/>
  <c r="BI690" i="9"/>
  <c r="F183" i="3"/>
  <c r="F160" i="3"/>
  <c r="F137" i="3"/>
  <c r="CW695" i="9"/>
  <c r="A695" i="9" s="1" a="1"/>
  <c r="A695" i="9" s="1"/>
  <c r="V702" i="9"/>
  <c r="BX702" i="9" s="1"/>
  <c r="AG649" i="9"/>
  <c r="AP649" i="9"/>
  <c r="AY649" i="9"/>
  <c r="BI649" i="9"/>
  <c r="BR649" i="9"/>
  <c r="AG650" i="9"/>
  <c r="AP650" i="9"/>
  <c r="AY650" i="9"/>
  <c r="BH650" i="9"/>
  <c r="BR650" i="9"/>
  <c r="BP657" i="9"/>
  <c r="BH657" i="9"/>
  <c r="AZ657" i="9"/>
  <c r="AR657" i="9"/>
  <c r="AJ657" i="9"/>
  <c r="AB657" i="9"/>
  <c r="AI657" i="9"/>
  <c r="AS657" i="9"/>
  <c r="BB657" i="9"/>
  <c r="BK657" i="9"/>
  <c r="BT657" i="9"/>
  <c r="BQ658" i="9"/>
  <c r="BI658" i="9"/>
  <c r="BA658" i="9"/>
  <c r="AS658" i="9"/>
  <c r="AK658" i="9"/>
  <c r="AC658" i="9"/>
  <c r="AI658" i="9"/>
  <c r="AR658" i="9"/>
  <c r="BB658" i="9"/>
  <c r="BK658" i="9"/>
  <c r="BT658" i="9"/>
  <c r="AH659" i="9"/>
  <c r="AQ659" i="9"/>
  <c r="AZ659" i="9"/>
  <c r="BI659" i="9"/>
  <c r="AG660" i="9"/>
  <c r="AP660" i="9"/>
  <c r="AY660" i="9"/>
  <c r="BH660" i="9"/>
  <c r="BQ660" i="9"/>
  <c r="AG661" i="9"/>
  <c r="AP661" i="9"/>
  <c r="AY661" i="9"/>
  <c r="BH661" i="9"/>
  <c r="BQ661" i="9"/>
  <c r="AC665" i="9"/>
  <c r="AL665" i="9"/>
  <c r="AU665" i="9"/>
  <c r="BD665" i="9"/>
  <c r="BM665" i="9"/>
  <c r="BV665" i="9"/>
  <c r="AB666" i="9"/>
  <c r="AL666" i="9"/>
  <c r="AU666" i="9"/>
  <c r="BD666" i="9"/>
  <c r="BM666" i="9"/>
  <c r="BV666" i="9"/>
  <c r="AA667" i="9"/>
  <c r="AJ667" i="9"/>
  <c r="AS667" i="9"/>
  <c r="BC667" i="9"/>
  <c r="BL667" i="9"/>
  <c r="BU667" i="9"/>
  <c r="BS668" i="9"/>
  <c r="BK668" i="9"/>
  <c r="BC668" i="9"/>
  <c r="AU668" i="9"/>
  <c r="AM668" i="9"/>
  <c r="AE668" i="9"/>
  <c r="AI668" i="9"/>
  <c r="AR668" i="9"/>
  <c r="BA668" i="9"/>
  <c r="BJ668" i="9"/>
  <c r="BT668" i="9"/>
  <c r="BR689" i="9"/>
  <c r="BJ689" i="9"/>
  <c r="BB689" i="9"/>
  <c r="AT689" i="9"/>
  <c r="AL689" i="9"/>
  <c r="AD689" i="9"/>
  <c r="AI689" i="9"/>
  <c r="AR689" i="9"/>
  <c r="BA689" i="9"/>
  <c r="BK689" i="9"/>
  <c r="BT689" i="9"/>
  <c r="BT690" i="9"/>
  <c r="BL690" i="9"/>
  <c r="BD690" i="9"/>
  <c r="AV690" i="9"/>
  <c r="AN690" i="9"/>
  <c r="AF690" i="9"/>
  <c r="AI690" i="9"/>
  <c r="AR690" i="9"/>
  <c r="BA690" i="9"/>
  <c r="BJ690" i="9"/>
  <c r="BS690" i="9"/>
  <c r="F193" i="3"/>
  <c r="F170" i="3"/>
  <c r="F147" i="3"/>
  <c r="F150" i="3"/>
  <c r="F173" i="3"/>
  <c r="F196" i="3"/>
  <c r="F198" i="3"/>
  <c r="F175" i="3"/>
  <c r="F152" i="3"/>
  <c r="AH649" i="9"/>
  <c r="AQ649" i="9"/>
  <c r="BA649" i="9"/>
  <c r="BJ649" i="9"/>
  <c r="BS649" i="9"/>
  <c r="AH650" i="9"/>
  <c r="AQ650" i="9"/>
  <c r="AZ650" i="9"/>
  <c r="BJ650" i="9"/>
  <c r="BS650" i="9"/>
  <c r="AA657" i="9"/>
  <c r="AK657" i="9"/>
  <c r="AT657" i="9"/>
  <c r="BC657" i="9"/>
  <c r="BL657" i="9"/>
  <c r="BU657" i="9"/>
  <c r="AA658" i="9"/>
  <c r="AJ658" i="9"/>
  <c r="AT658" i="9"/>
  <c r="BC658" i="9"/>
  <c r="BL658" i="9"/>
  <c r="BU658" i="9"/>
  <c r="BR659" i="9"/>
  <c r="BJ659" i="9"/>
  <c r="BB659" i="9"/>
  <c r="AT659" i="9"/>
  <c r="AL659" i="9"/>
  <c r="AD659" i="9"/>
  <c r="AI659" i="9"/>
  <c r="AR659" i="9"/>
  <c r="BA659" i="9"/>
  <c r="BK659" i="9"/>
  <c r="BT659" i="9"/>
  <c r="AH660" i="9"/>
  <c r="AQ660" i="9"/>
  <c r="AZ660" i="9"/>
  <c r="BI660" i="9"/>
  <c r="BR660" i="9"/>
  <c r="AH661" i="9"/>
  <c r="AQ661" i="9"/>
  <c r="AZ661" i="9"/>
  <c r="BI661" i="9"/>
  <c r="BR661" i="9"/>
  <c r="AD665" i="9"/>
  <c r="AM665" i="9"/>
  <c r="AV665" i="9"/>
  <c r="BE665" i="9"/>
  <c r="BN665" i="9"/>
  <c r="AD666" i="9"/>
  <c r="AM666" i="9"/>
  <c r="AV666" i="9"/>
  <c r="BE666" i="9"/>
  <c r="BN666" i="9"/>
  <c r="AB667" i="9"/>
  <c r="AK667" i="9"/>
  <c r="AU667" i="9"/>
  <c r="BD667" i="9"/>
  <c r="BM667" i="9"/>
  <c r="AA668" i="9"/>
  <c r="AJ668" i="9"/>
  <c r="AS668" i="9"/>
  <c r="BB668" i="9"/>
  <c r="BL668" i="9"/>
  <c r="BU668" i="9"/>
  <c r="BR685" i="9"/>
  <c r="BJ685" i="9"/>
  <c r="BB685" i="9"/>
  <c r="AT685" i="9"/>
  <c r="AL685" i="9"/>
  <c r="AD685" i="9"/>
  <c r="AI685" i="9"/>
  <c r="AR685" i="9"/>
  <c r="BA685" i="9"/>
  <c r="BK685" i="9"/>
  <c r="BT685" i="9"/>
  <c r="BT686" i="9"/>
  <c r="BL686" i="9"/>
  <c r="BD686" i="9"/>
  <c r="AV686" i="9"/>
  <c r="AN686" i="9"/>
  <c r="AF686" i="9"/>
  <c r="AI686" i="9"/>
  <c r="AR686" i="9"/>
  <c r="BA686" i="9"/>
  <c r="BJ686" i="9"/>
  <c r="BS686" i="9"/>
  <c r="BP688" i="9"/>
  <c r="BH688" i="9"/>
  <c r="AZ688" i="9"/>
  <c r="AR688" i="9"/>
  <c r="AJ688" i="9"/>
  <c r="AB688" i="9"/>
  <c r="AI688" i="9"/>
  <c r="AS688" i="9"/>
  <c r="BB688" i="9"/>
  <c r="BK688" i="9"/>
  <c r="BT688" i="9"/>
  <c r="AA689" i="9"/>
  <c r="AJ689" i="9"/>
  <c r="AS689" i="9"/>
  <c r="BC689" i="9"/>
  <c r="BL689" i="9"/>
  <c r="BU689" i="9"/>
  <c r="AA690" i="9"/>
  <c r="AJ690" i="9"/>
  <c r="AS690" i="9"/>
  <c r="BB690" i="9"/>
  <c r="BK690" i="9"/>
  <c r="BU690" i="9"/>
  <c r="CW697" i="9"/>
  <c r="A697" i="9" s="1" a="1"/>
  <c r="A697" i="9" s="1"/>
  <c r="F163" i="3"/>
  <c r="F186" i="3"/>
  <c r="F140" i="3"/>
  <c r="CW700" i="9"/>
  <c r="A700" i="9" s="1" a="1"/>
  <c r="A700" i="9" s="1"/>
  <c r="CW702" i="9"/>
  <c r="A702" i="9" s="1" a="1"/>
  <c r="A702" i="9" s="1"/>
  <c r="F191" i="3"/>
  <c r="F168" i="3"/>
  <c r="F145" i="3"/>
  <c r="CW703" i="9"/>
  <c r="A703" i="9" s="1" a="1"/>
  <c r="A703" i="9" s="1"/>
  <c r="V710" i="9"/>
  <c r="BX710" i="9" s="1"/>
  <c r="BQ842" i="9"/>
  <c r="BX846" i="9"/>
  <c r="V865" i="9"/>
  <c r="V792" i="9"/>
  <c r="BX792" i="9" s="1"/>
  <c r="V769" i="9"/>
  <c r="BX769" i="9" s="1"/>
  <c r="V800" i="9"/>
  <c r="BX800" i="9" s="1"/>
  <c r="V777" i="9"/>
  <c r="BX777" i="9" s="1"/>
  <c r="BP649" i="9"/>
  <c r="BH649" i="9"/>
  <c r="AZ649" i="9"/>
  <c r="AR649" i="9"/>
  <c r="AJ649" i="9"/>
  <c r="AB649" i="9"/>
  <c r="AI649" i="9"/>
  <c r="AS649" i="9"/>
  <c r="BB649" i="9"/>
  <c r="BK649" i="9"/>
  <c r="BT649" i="9"/>
  <c r="BQ650" i="9"/>
  <c r="BI650" i="9"/>
  <c r="BA650" i="9"/>
  <c r="AS650" i="9"/>
  <c r="AK650" i="9"/>
  <c r="AC650" i="9"/>
  <c r="AI650" i="9"/>
  <c r="AR650" i="9"/>
  <c r="BB650" i="9"/>
  <c r="BK650" i="9"/>
  <c r="BT650" i="9"/>
  <c r="AH651" i="9"/>
  <c r="AQ651" i="9"/>
  <c r="AZ651" i="9"/>
  <c r="BI651" i="9"/>
  <c r="AG652" i="9"/>
  <c r="AP652" i="9"/>
  <c r="AY652" i="9"/>
  <c r="BH652" i="9"/>
  <c r="BQ652" i="9"/>
  <c r="AG653" i="9"/>
  <c r="AP653" i="9"/>
  <c r="AY653" i="9"/>
  <c r="BH653" i="9"/>
  <c r="BQ653" i="9"/>
  <c r="AD656" i="9"/>
  <c r="AM656" i="9"/>
  <c r="AV656" i="9"/>
  <c r="BE656" i="9"/>
  <c r="BN656" i="9"/>
  <c r="AC657" i="9"/>
  <c r="AL657" i="9"/>
  <c r="AU657" i="9"/>
  <c r="BD657" i="9"/>
  <c r="BM657" i="9"/>
  <c r="BV657" i="9"/>
  <c r="AB658" i="9"/>
  <c r="AL658" i="9"/>
  <c r="AU658" i="9"/>
  <c r="BD658" i="9"/>
  <c r="BM658" i="9"/>
  <c r="BV658" i="9"/>
  <c r="AA659" i="9"/>
  <c r="AJ659" i="9"/>
  <c r="AS659" i="9"/>
  <c r="BC659" i="9"/>
  <c r="BL659" i="9"/>
  <c r="BU659" i="9"/>
  <c r="BS660" i="9"/>
  <c r="BK660" i="9"/>
  <c r="BC660" i="9"/>
  <c r="AU660" i="9"/>
  <c r="AM660" i="9"/>
  <c r="AE660" i="9"/>
  <c r="AI660" i="9"/>
  <c r="AR660" i="9"/>
  <c r="BA660" i="9"/>
  <c r="BJ660" i="9"/>
  <c r="BT660" i="9"/>
  <c r="BT661" i="9"/>
  <c r="BL661" i="9"/>
  <c r="BD661" i="9"/>
  <c r="AV661" i="9"/>
  <c r="AN661" i="9"/>
  <c r="AF661" i="9"/>
  <c r="AI661" i="9"/>
  <c r="AR661" i="9"/>
  <c r="BA661" i="9"/>
  <c r="BJ661" i="9"/>
  <c r="BS661" i="9"/>
  <c r="AH662" i="9"/>
  <c r="AQ662" i="9"/>
  <c r="AZ662" i="9"/>
  <c r="BI662" i="9"/>
  <c r="AF663" i="9"/>
  <c r="AO663" i="9"/>
  <c r="AY663" i="9"/>
  <c r="BH663" i="9"/>
  <c r="BQ663" i="9"/>
  <c r="AF664" i="9"/>
  <c r="AO664" i="9"/>
  <c r="AX664" i="9"/>
  <c r="BH664" i="9"/>
  <c r="BQ664" i="9"/>
  <c r="AE665" i="9"/>
  <c r="AN665" i="9"/>
  <c r="AW665" i="9"/>
  <c r="BF665" i="9"/>
  <c r="BO665" i="9"/>
  <c r="AE666" i="9"/>
  <c r="AN666" i="9"/>
  <c r="AW666" i="9"/>
  <c r="BF666" i="9"/>
  <c r="BO666" i="9"/>
  <c r="AC667" i="9"/>
  <c r="AM667" i="9"/>
  <c r="AV667" i="9"/>
  <c r="BE667" i="9"/>
  <c r="BN667" i="9"/>
  <c r="AB668" i="9"/>
  <c r="AK668" i="9"/>
  <c r="AT668" i="9"/>
  <c r="BD668" i="9"/>
  <c r="BM668" i="9"/>
  <c r="BV668" i="9"/>
  <c r="AG673" i="9"/>
  <c r="AP673" i="9"/>
  <c r="AY673" i="9"/>
  <c r="BH673" i="9"/>
  <c r="BQ673" i="9"/>
  <c r="AG674" i="9"/>
  <c r="AP674" i="9"/>
  <c r="AY674" i="9"/>
  <c r="BH674" i="9"/>
  <c r="BQ674" i="9"/>
  <c r="BR681" i="9"/>
  <c r="BJ681" i="9"/>
  <c r="BB681" i="9"/>
  <c r="AT681" i="9"/>
  <c r="AL681" i="9"/>
  <c r="AD681" i="9"/>
  <c r="AI681" i="9"/>
  <c r="AR681" i="9"/>
  <c r="BA681" i="9"/>
  <c r="BK681" i="9"/>
  <c r="BT681" i="9"/>
  <c r="BT682" i="9"/>
  <c r="BL682" i="9"/>
  <c r="BD682" i="9"/>
  <c r="AV682" i="9"/>
  <c r="AN682" i="9"/>
  <c r="AF682" i="9"/>
  <c r="AI682" i="9"/>
  <c r="AR682" i="9"/>
  <c r="BA682" i="9"/>
  <c r="BJ682" i="9"/>
  <c r="BS682" i="9"/>
  <c r="BP684" i="9"/>
  <c r="BH684" i="9"/>
  <c r="AZ684" i="9"/>
  <c r="AR684" i="9"/>
  <c r="AJ684" i="9"/>
  <c r="AB684" i="9"/>
  <c r="AI684" i="9"/>
  <c r="AS684" i="9"/>
  <c r="BB684" i="9"/>
  <c r="BK684" i="9"/>
  <c r="BT684" i="9"/>
  <c r="AA685" i="9"/>
  <c r="AJ685" i="9"/>
  <c r="AS685" i="9"/>
  <c r="BC685" i="9"/>
  <c r="BL685" i="9"/>
  <c r="BU685" i="9"/>
  <c r="AA686" i="9"/>
  <c r="AJ686" i="9"/>
  <c r="AS686" i="9"/>
  <c r="BB686" i="9"/>
  <c r="BK686" i="9"/>
  <c r="BU686" i="9"/>
  <c r="AA688" i="9"/>
  <c r="AK688" i="9"/>
  <c r="AT688" i="9"/>
  <c r="BC688" i="9"/>
  <c r="BL688" i="9"/>
  <c r="BU688" i="9"/>
  <c r="AB689" i="9"/>
  <c r="AK689" i="9"/>
  <c r="AU689" i="9"/>
  <c r="BD689" i="9"/>
  <c r="BM689" i="9"/>
  <c r="BV689" i="9"/>
  <c r="AB690" i="9"/>
  <c r="AK690" i="9"/>
  <c r="AT690" i="9"/>
  <c r="BC690" i="9"/>
  <c r="BM690" i="9"/>
  <c r="BV690" i="9"/>
  <c r="F161" i="3"/>
  <c r="F184" i="3"/>
  <c r="F138" i="3"/>
  <c r="F178" i="3"/>
  <c r="F201" i="3"/>
  <c r="F155" i="3"/>
  <c r="BX838" i="9"/>
  <c r="V878" i="9"/>
  <c r="V782" i="9"/>
  <c r="BX782" i="9" s="1"/>
  <c r="V805" i="9"/>
  <c r="BX805" i="9" s="1"/>
  <c r="AA649" i="9"/>
  <c r="AK649" i="9"/>
  <c r="AT649" i="9"/>
  <c r="BC649" i="9"/>
  <c r="BL649" i="9"/>
  <c r="BU649" i="9"/>
  <c r="AA650" i="9"/>
  <c r="AJ650" i="9"/>
  <c r="AT650" i="9"/>
  <c r="BC650" i="9"/>
  <c r="BL650" i="9"/>
  <c r="BU650" i="9"/>
  <c r="BR651" i="9"/>
  <c r="BJ651" i="9"/>
  <c r="BB651" i="9"/>
  <c r="AT651" i="9"/>
  <c r="AL651" i="9"/>
  <c r="AD651" i="9"/>
  <c r="AI651" i="9"/>
  <c r="AR651" i="9"/>
  <c r="BA651" i="9"/>
  <c r="BK651" i="9"/>
  <c r="BT651" i="9"/>
  <c r="AH652" i="9"/>
  <c r="AQ652" i="9"/>
  <c r="AZ652" i="9"/>
  <c r="BI652" i="9"/>
  <c r="AH653" i="9"/>
  <c r="AQ653" i="9"/>
  <c r="AZ653" i="9"/>
  <c r="BI653" i="9"/>
  <c r="AE656" i="9"/>
  <c r="AN656" i="9"/>
  <c r="AW656" i="9"/>
  <c r="BF656" i="9"/>
  <c r="BP656" i="9"/>
  <c r="AD657" i="9"/>
  <c r="AM657" i="9"/>
  <c r="AV657" i="9"/>
  <c r="BE657" i="9"/>
  <c r="BN657" i="9"/>
  <c r="AD658" i="9"/>
  <c r="AM658" i="9"/>
  <c r="AV658" i="9"/>
  <c r="BE658" i="9"/>
  <c r="BN658" i="9"/>
  <c r="AB659" i="9"/>
  <c r="AK659" i="9"/>
  <c r="AU659" i="9"/>
  <c r="BD659" i="9"/>
  <c r="BM659" i="9"/>
  <c r="BV659" i="9"/>
  <c r="AA660" i="9"/>
  <c r="AJ660" i="9"/>
  <c r="AS660" i="9"/>
  <c r="BB660" i="9"/>
  <c r="BL660" i="9"/>
  <c r="BU660" i="9"/>
  <c r="AA661" i="9"/>
  <c r="AJ661" i="9"/>
  <c r="AS661" i="9"/>
  <c r="BB661" i="9"/>
  <c r="BK661" i="9"/>
  <c r="BU661" i="9"/>
  <c r="BU662" i="9"/>
  <c r="BM662" i="9"/>
  <c r="BE662" i="9"/>
  <c r="AW662" i="9"/>
  <c r="AO662" i="9"/>
  <c r="AG662" i="9"/>
  <c r="AI662" i="9"/>
  <c r="AR662" i="9"/>
  <c r="BA662" i="9"/>
  <c r="BJ662" i="9"/>
  <c r="BS662" i="9"/>
  <c r="AG663" i="9"/>
  <c r="AQ663" i="9"/>
  <c r="AZ663" i="9"/>
  <c r="BI663" i="9"/>
  <c r="AG664" i="9"/>
  <c r="AP664" i="9"/>
  <c r="AZ664" i="9"/>
  <c r="BI664" i="9"/>
  <c r="BR664" i="9"/>
  <c r="AF665" i="9"/>
  <c r="AO665" i="9"/>
  <c r="AX665" i="9"/>
  <c r="BG665" i="9"/>
  <c r="BQ665" i="9"/>
  <c r="AF666" i="9"/>
  <c r="AO666" i="9"/>
  <c r="AX666" i="9"/>
  <c r="BG666" i="9"/>
  <c r="BP666" i="9"/>
  <c r="AE667" i="9"/>
  <c r="AN667" i="9"/>
  <c r="AW667" i="9"/>
  <c r="BF667" i="9"/>
  <c r="BO667" i="9"/>
  <c r="AC668" i="9"/>
  <c r="AL668" i="9"/>
  <c r="AV668" i="9"/>
  <c r="BE668" i="9"/>
  <c r="BN668" i="9"/>
  <c r="AH673" i="9"/>
  <c r="AQ673" i="9"/>
  <c r="AZ673" i="9"/>
  <c r="BI673" i="9"/>
  <c r="AH674" i="9"/>
  <c r="AQ674" i="9"/>
  <c r="AZ674" i="9"/>
  <c r="BI674" i="9"/>
  <c r="AH676" i="9"/>
  <c r="AQ676" i="9"/>
  <c r="BA676" i="9"/>
  <c r="BJ676" i="9"/>
  <c r="BR677" i="9"/>
  <c r="BJ677" i="9"/>
  <c r="BB677" i="9"/>
  <c r="AT677" i="9"/>
  <c r="AL677" i="9"/>
  <c r="AD677" i="9"/>
  <c r="AI677" i="9"/>
  <c r="AR677" i="9"/>
  <c r="BA677" i="9"/>
  <c r="BK677" i="9"/>
  <c r="BT677" i="9"/>
  <c r="BT678" i="9"/>
  <c r="BL678" i="9"/>
  <c r="BD678" i="9"/>
  <c r="AV678" i="9"/>
  <c r="AN678" i="9"/>
  <c r="AF678" i="9"/>
  <c r="AI678" i="9"/>
  <c r="AR678" i="9"/>
  <c r="BA678" i="9"/>
  <c r="BJ678" i="9"/>
  <c r="BS678" i="9"/>
  <c r="BP680" i="9"/>
  <c r="BH680" i="9"/>
  <c r="AZ680" i="9"/>
  <c r="AR680" i="9"/>
  <c r="AJ680" i="9"/>
  <c r="AB680" i="9"/>
  <c r="AI680" i="9"/>
  <c r="AS680" i="9"/>
  <c r="BB680" i="9"/>
  <c r="BK680" i="9"/>
  <c r="BT680" i="9"/>
  <c r="AA681" i="9"/>
  <c r="AJ681" i="9"/>
  <c r="AS681" i="9"/>
  <c r="BC681" i="9"/>
  <c r="BL681" i="9"/>
  <c r="BU681" i="9"/>
  <c r="AA682" i="9"/>
  <c r="AJ682" i="9"/>
  <c r="AS682" i="9"/>
  <c r="BB682" i="9"/>
  <c r="BK682" i="9"/>
  <c r="BU682" i="9"/>
  <c r="AA684" i="9"/>
  <c r="AK684" i="9"/>
  <c r="AT684" i="9"/>
  <c r="BC684" i="9"/>
  <c r="BL684" i="9"/>
  <c r="BU684" i="9"/>
  <c r="AB685" i="9"/>
  <c r="AK685" i="9"/>
  <c r="AU685" i="9"/>
  <c r="BD685" i="9"/>
  <c r="BM685" i="9"/>
  <c r="BV685" i="9"/>
  <c r="AB686" i="9"/>
  <c r="AK686" i="9"/>
  <c r="AT686" i="9"/>
  <c r="BC686" i="9"/>
  <c r="BM686" i="9"/>
  <c r="BV686" i="9"/>
  <c r="AC688" i="9"/>
  <c r="AL688" i="9"/>
  <c r="AU688" i="9"/>
  <c r="BD688" i="9"/>
  <c r="BM688" i="9"/>
  <c r="BV688" i="9"/>
  <c r="AC689" i="9"/>
  <c r="AM689" i="9"/>
  <c r="AV689" i="9"/>
  <c r="BE689" i="9"/>
  <c r="BN689" i="9"/>
  <c r="AC690" i="9"/>
  <c r="AL690" i="9"/>
  <c r="AU690" i="9"/>
  <c r="BE690" i="9"/>
  <c r="BN690" i="9"/>
  <c r="CW698" i="9"/>
  <c r="A698" i="9" s="1" a="1"/>
  <c r="A698" i="9" s="1"/>
  <c r="F187" i="3"/>
  <c r="F164" i="3"/>
  <c r="F141" i="3"/>
  <c r="CW705" i="9"/>
  <c r="A705" i="9" s="1" a="1"/>
  <c r="A705" i="9" s="1"/>
  <c r="F194" i="3"/>
  <c r="F171" i="3"/>
  <c r="F148" i="3"/>
  <c r="CW708" i="9"/>
  <c r="A708" i="9" s="1" a="1"/>
  <c r="A708" i="9" s="1"/>
  <c r="CW710" i="9"/>
  <c r="A710" i="9" s="1" a="1"/>
  <c r="A710" i="9" s="1"/>
  <c r="F199" i="3"/>
  <c r="F176" i="3"/>
  <c r="F153" i="3"/>
  <c r="CW711" i="9"/>
  <c r="A711" i="9" s="1" a="1"/>
  <c r="A711" i="9" s="1"/>
  <c r="AC649" i="9"/>
  <c r="AL649" i="9"/>
  <c r="AU649" i="9"/>
  <c r="BD649" i="9"/>
  <c r="BM649" i="9"/>
  <c r="AB650" i="9"/>
  <c r="AL650" i="9"/>
  <c r="AU650" i="9"/>
  <c r="BD650" i="9"/>
  <c r="BM650" i="9"/>
  <c r="BS652" i="9"/>
  <c r="BK652" i="9"/>
  <c r="BC652" i="9"/>
  <c r="AU652" i="9"/>
  <c r="AM652" i="9"/>
  <c r="AE652" i="9"/>
  <c r="AI652" i="9"/>
  <c r="AR652" i="9"/>
  <c r="BA652" i="9"/>
  <c r="BJ652" i="9"/>
  <c r="BT652" i="9"/>
  <c r="BT653" i="9"/>
  <c r="BL653" i="9"/>
  <c r="BD653" i="9"/>
  <c r="AV653" i="9"/>
  <c r="AN653" i="9"/>
  <c r="AF653" i="9"/>
  <c r="AI653" i="9"/>
  <c r="AR653" i="9"/>
  <c r="BA653" i="9"/>
  <c r="BJ653" i="9"/>
  <c r="BS653" i="9"/>
  <c r="AF656" i="9"/>
  <c r="AO656" i="9"/>
  <c r="AX656" i="9"/>
  <c r="BH656" i="9"/>
  <c r="BQ656" i="9"/>
  <c r="AE657" i="9"/>
  <c r="AN657" i="9"/>
  <c r="AW657" i="9"/>
  <c r="BF657" i="9"/>
  <c r="BO657" i="9"/>
  <c r="AE658" i="9"/>
  <c r="AN658" i="9"/>
  <c r="AW658" i="9"/>
  <c r="BF658" i="9"/>
  <c r="BO658" i="9"/>
  <c r="AC659" i="9"/>
  <c r="AM659" i="9"/>
  <c r="AV659" i="9"/>
  <c r="BE659" i="9"/>
  <c r="BN659" i="9"/>
  <c r="AB660" i="9"/>
  <c r="AK660" i="9"/>
  <c r="AT660" i="9"/>
  <c r="BD660" i="9"/>
  <c r="BM660" i="9"/>
  <c r="AB661" i="9"/>
  <c r="AK661" i="9"/>
  <c r="AT661" i="9"/>
  <c r="BC661" i="9"/>
  <c r="BM661" i="9"/>
  <c r="AH664" i="9"/>
  <c r="AR664" i="9"/>
  <c r="BA664" i="9"/>
  <c r="BJ664" i="9"/>
  <c r="AG665" i="9"/>
  <c r="AP665" i="9"/>
  <c r="AY665" i="9"/>
  <c r="BI665" i="9"/>
  <c r="BR665" i="9"/>
  <c r="AG666" i="9"/>
  <c r="AP666" i="9"/>
  <c r="AY666" i="9"/>
  <c r="BH666" i="9"/>
  <c r="BR666" i="9"/>
  <c r="AF667" i="9"/>
  <c r="AO667" i="9"/>
  <c r="AX667" i="9"/>
  <c r="BG667" i="9"/>
  <c r="BP667" i="9"/>
  <c r="AD668" i="9"/>
  <c r="AN668" i="9"/>
  <c r="AW668" i="9"/>
  <c r="BF668" i="9"/>
  <c r="BO668" i="9"/>
  <c r="BR673" i="9"/>
  <c r="BJ673" i="9"/>
  <c r="BB673" i="9"/>
  <c r="AT673" i="9"/>
  <c r="AL673" i="9"/>
  <c r="AD673" i="9"/>
  <c r="AI673" i="9"/>
  <c r="AR673" i="9"/>
  <c r="BA673" i="9"/>
  <c r="BK673" i="9"/>
  <c r="BT673" i="9"/>
  <c r="BT674" i="9"/>
  <c r="BL674" i="9"/>
  <c r="BD674" i="9"/>
  <c r="AV674" i="9"/>
  <c r="AN674" i="9"/>
  <c r="AF674" i="9"/>
  <c r="AI674" i="9"/>
  <c r="AR674" i="9"/>
  <c r="BA674" i="9"/>
  <c r="BJ674" i="9"/>
  <c r="BS674" i="9"/>
  <c r="BP676" i="9"/>
  <c r="BH676" i="9"/>
  <c r="AZ676" i="9"/>
  <c r="AR676" i="9"/>
  <c r="AJ676" i="9"/>
  <c r="AB676" i="9"/>
  <c r="AI676" i="9"/>
  <c r="AS676" i="9"/>
  <c r="BB676" i="9"/>
  <c r="BK676" i="9"/>
  <c r="BT676" i="9"/>
  <c r="AB681" i="9"/>
  <c r="AK681" i="9"/>
  <c r="AU681" i="9"/>
  <c r="BD681" i="9"/>
  <c r="BM681" i="9"/>
  <c r="BV681" i="9"/>
  <c r="AB682" i="9"/>
  <c r="AK682" i="9"/>
  <c r="AT682" i="9"/>
  <c r="BC682" i="9"/>
  <c r="BM682" i="9"/>
  <c r="BV682" i="9"/>
  <c r="AC684" i="9"/>
  <c r="AL684" i="9"/>
  <c r="AU684" i="9"/>
  <c r="BD684" i="9"/>
  <c r="BM684" i="9"/>
  <c r="BV684" i="9"/>
  <c r="AC685" i="9"/>
  <c r="AM685" i="9"/>
  <c r="AV685" i="9"/>
  <c r="BE685" i="9"/>
  <c r="BN685" i="9"/>
  <c r="AC686" i="9"/>
  <c r="AL686" i="9"/>
  <c r="AU686" i="9"/>
  <c r="BE686" i="9"/>
  <c r="BN686" i="9"/>
  <c r="AD688" i="9"/>
  <c r="AM688" i="9"/>
  <c r="AV688" i="9"/>
  <c r="BE688" i="9"/>
  <c r="BN688" i="9"/>
  <c r="AE689" i="9"/>
  <c r="AN689" i="9"/>
  <c r="AW689" i="9"/>
  <c r="BF689" i="9"/>
  <c r="BO689" i="9"/>
  <c r="AD690" i="9"/>
  <c r="AM690" i="9"/>
  <c r="AW690" i="9"/>
  <c r="BF690" i="9"/>
  <c r="BO690" i="9"/>
  <c r="F192" i="3"/>
  <c r="F146" i="3"/>
  <c r="F169" i="3"/>
  <c r="AH655" i="9"/>
  <c r="AP655" i="9"/>
  <c r="AX655" i="9"/>
  <c r="BF655" i="9"/>
  <c r="BN655" i="9"/>
  <c r="AH663" i="9"/>
  <c r="AP663" i="9"/>
  <c r="AX663" i="9"/>
  <c r="BF663" i="9"/>
  <c r="BN663" i="9"/>
  <c r="AH675" i="9"/>
  <c r="AP675" i="9"/>
  <c r="AX675" i="9"/>
  <c r="BF675" i="9"/>
  <c r="BN675" i="9"/>
  <c r="AH679" i="9"/>
  <c r="AP679" i="9"/>
  <c r="AX679" i="9"/>
  <c r="BF679" i="9"/>
  <c r="BN679" i="9"/>
  <c r="AH683" i="9"/>
  <c r="AP683" i="9"/>
  <c r="AX683" i="9"/>
  <c r="BF683" i="9"/>
  <c r="BN683" i="9"/>
  <c r="AH687" i="9"/>
  <c r="AP687" i="9"/>
  <c r="AX687" i="9"/>
  <c r="BF687" i="9"/>
  <c r="BN687" i="9"/>
  <c r="AH691" i="9"/>
  <c r="AP691" i="9"/>
  <c r="AX691" i="9"/>
  <c r="BF691" i="9"/>
  <c r="BN691" i="9"/>
  <c r="F143" i="3"/>
  <c r="F189" i="3"/>
  <c r="F166" i="3"/>
  <c r="F197" i="3"/>
  <c r="F174" i="3"/>
  <c r="F151" i="3"/>
  <c r="AA838" i="9"/>
  <c r="AQ838" i="9"/>
  <c r="BG838" i="9"/>
  <c r="AE839" i="9"/>
  <c r="AU839" i="9"/>
  <c r="BK839" i="9"/>
  <c r="AK842" i="9"/>
  <c r="BA842" i="9"/>
  <c r="AC843" i="9"/>
  <c r="AS843" i="9"/>
  <c r="BI843" i="9"/>
  <c r="AF846" i="9"/>
  <c r="AX846" i="9"/>
  <c r="BP846" i="9"/>
  <c r="BX878" i="9"/>
  <c r="AF839" i="9"/>
  <c r="AV839" i="9"/>
  <c r="BL839" i="9"/>
  <c r="BU842" i="9"/>
  <c r="BM842" i="9"/>
  <c r="BE842" i="9"/>
  <c r="AW842" i="9"/>
  <c r="AO842" i="9"/>
  <c r="AG842" i="9"/>
  <c r="BT842" i="9"/>
  <c r="BL842" i="9"/>
  <c r="BD842" i="9"/>
  <c r="AV842" i="9"/>
  <c r="AN842" i="9"/>
  <c r="AF842" i="9"/>
  <c r="BS842" i="9"/>
  <c r="BK842" i="9"/>
  <c r="BC842" i="9"/>
  <c r="AU842" i="9"/>
  <c r="AM842" i="9"/>
  <c r="AE842" i="9"/>
  <c r="V842" i="9"/>
  <c r="BV842" i="9"/>
  <c r="BN842" i="9"/>
  <c r="BF842" i="9"/>
  <c r="AX842" i="9"/>
  <c r="AP842" i="9"/>
  <c r="AH842" i="9"/>
  <c r="AL842" i="9"/>
  <c r="BB842" i="9"/>
  <c r="BR842" i="9"/>
  <c r="BX870" i="9"/>
  <c r="AK839" i="9"/>
  <c r="BA839" i="9"/>
  <c r="AA842" i="9"/>
  <c r="AQ842" i="9"/>
  <c r="BG842" i="9"/>
  <c r="BX842" i="9"/>
  <c r="AM846" i="9"/>
  <c r="BE846" i="9"/>
  <c r="BR851" i="9"/>
  <c r="BX839" i="9"/>
  <c r="BO839" i="9"/>
  <c r="BG839" i="9"/>
  <c r="AY839" i="9"/>
  <c r="AQ839" i="9"/>
  <c r="AI839" i="9"/>
  <c r="AA839" i="9"/>
  <c r="BV839" i="9"/>
  <c r="BN839" i="9"/>
  <c r="BF839" i="9"/>
  <c r="AX839" i="9"/>
  <c r="AP839" i="9"/>
  <c r="AH839" i="9"/>
  <c r="BU839" i="9"/>
  <c r="BM839" i="9"/>
  <c r="BE839" i="9"/>
  <c r="AW839" i="9"/>
  <c r="AO839" i="9"/>
  <c r="AG839" i="9"/>
  <c r="BP839" i="9"/>
  <c r="BH839" i="9"/>
  <c r="AZ839" i="9"/>
  <c r="AR839" i="9"/>
  <c r="AJ839" i="9"/>
  <c r="AB839" i="9"/>
  <c r="AL839" i="9"/>
  <c r="BB839" i="9"/>
  <c r="BR839" i="9"/>
  <c r="AB842" i="9"/>
  <c r="AR842" i="9"/>
  <c r="BH842" i="9"/>
  <c r="BQ846" i="9"/>
  <c r="BI846" i="9"/>
  <c r="BA846" i="9"/>
  <c r="AS846" i="9"/>
  <c r="AK846" i="9"/>
  <c r="AC846" i="9"/>
  <c r="BU846" i="9"/>
  <c r="BL846" i="9"/>
  <c r="BC846" i="9"/>
  <c r="AT846" i="9"/>
  <c r="AJ846" i="9"/>
  <c r="AA846" i="9"/>
  <c r="BT846" i="9"/>
  <c r="BK846" i="9"/>
  <c r="BB846" i="9"/>
  <c r="AR846" i="9"/>
  <c r="AI846" i="9"/>
  <c r="BS846" i="9"/>
  <c r="BJ846" i="9"/>
  <c r="AZ846" i="9"/>
  <c r="AQ846" i="9"/>
  <c r="AH846" i="9"/>
  <c r="BV846" i="9"/>
  <c r="BM846" i="9"/>
  <c r="BD846" i="9"/>
  <c r="AU846" i="9"/>
  <c r="AL846" i="9"/>
  <c r="AB846" i="9"/>
  <c r="AN846" i="9"/>
  <c r="BF846" i="9"/>
  <c r="BS862" i="9"/>
  <c r="BX866" i="9"/>
  <c r="BX877" i="9"/>
  <c r="BX883" i="9"/>
  <c r="V839" i="9"/>
  <c r="AM839" i="9"/>
  <c r="BC839" i="9"/>
  <c r="BS839" i="9"/>
  <c r="AC842" i="9"/>
  <c r="AS842" i="9"/>
  <c r="BI842" i="9"/>
  <c r="V846" i="9"/>
  <c r="AO846" i="9"/>
  <c r="BG846" i="9"/>
  <c r="BS848" i="9"/>
  <c r="AN839" i="9"/>
  <c r="BD839" i="9"/>
  <c r="BT839" i="9"/>
  <c r="AD842" i="9"/>
  <c r="AT842" i="9"/>
  <c r="BJ842" i="9"/>
  <c r="BX843" i="9"/>
  <c r="BO843" i="9"/>
  <c r="BG843" i="9"/>
  <c r="AY843" i="9"/>
  <c r="AQ843" i="9"/>
  <c r="AI843" i="9"/>
  <c r="AA843" i="9"/>
  <c r="BV843" i="9"/>
  <c r="BN843" i="9"/>
  <c r="BF843" i="9"/>
  <c r="AX843" i="9"/>
  <c r="AP843" i="9"/>
  <c r="AH843" i="9"/>
  <c r="BU843" i="9"/>
  <c r="BM843" i="9"/>
  <c r="BE843" i="9"/>
  <c r="AW843" i="9"/>
  <c r="AO843" i="9"/>
  <c r="AG843" i="9"/>
  <c r="BP843" i="9"/>
  <c r="BH843" i="9"/>
  <c r="AZ843" i="9"/>
  <c r="AR843" i="9"/>
  <c r="AJ843" i="9"/>
  <c r="AB843" i="9"/>
  <c r="AL843" i="9"/>
  <c r="BB843" i="9"/>
  <c r="BR843" i="9"/>
  <c r="AP846" i="9"/>
  <c r="BH846" i="9"/>
  <c r="BS869" i="9"/>
  <c r="AC839" i="9"/>
  <c r="AS839" i="9"/>
  <c r="BI839" i="9"/>
  <c r="AI842" i="9"/>
  <c r="AY842" i="9"/>
  <c r="BO842" i="9"/>
  <c r="V843" i="9"/>
  <c r="AM843" i="9"/>
  <c r="BC843" i="9"/>
  <c r="BS843" i="9"/>
  <c r="AD846" i="9"/>
  <c r="AV846" i="9"/>
  <c r="BN846" i="9"/>
  <c r="BX852" i="9"/>
  <c r="F202" i="3"/>
  <c r="F179" i="3"/>
  <c r="F156" i="3"/>
  <c r="BU838" i="9"/>
  <c r="BM838" i="9"/>
  <c r="BE838" i="9"/>
  <c r="AW838" i="9"/>
  <c r="AO838" i="9"/>
  <c r="AG838" i="9"/>
  <c r="BT838" i="9"/>
  <c r="BL838" i="9"/>
  <c r="BD838" i="9"/>
  <c r="AV838" i="9"/>
  <c r="AN838" i="9"/>
  <c r="AF838" i="9"/>
  <c r="BS838" i="9"/>
  <c r="BK838" i="9"/>
  <c r="BC838" i="9"/>
  <c r="AU838" i="9"/>
  <c r="AM838" i="9"/>
  <c r="AE838" i="9"/>
  <c r="V838" i="9"/>
  <c r="BV838" i="9"/>
  <c r="BN838" i="9"/>
  <c r="BF838" i="9"/>
  <c r="AX838" i="9"/>
  <c r="AP838" i="9"/>
  <c r="AH838" i="9"/>
  <c r="AL838" i="9"/>
  <c r="BB838" i="9"/>
  <c r="BR838" i="9"/>
  <c r="AD839" i="9"/>
  <c r="AT839" i="9"/>
  <c r="BJ839" i="9"/>
  <c r="AJ842" i="9"/>
  <c r="AZ842" i="9"/>
  <c r="BP842" i="9"/>
  <c r="AN843" i="9"/>
  <c r="BD843" i="9"/>
  <c r="BT843" i="9"/>
  <c r="AE846" i="9"/>
  <c r="AW846" i="9"/>
  <c r="BO846" i="9"/>
  <c r="AF837" i="9"/>
  <c r="AN837" i="9"/>
  <c r="AV837" i="9"/>
  <c r="BD837" i="9"/>
  <c r="BL837" i="9"/>
  <c r="BT837" i="9"/>
  <c r="AD840" i="9"/>
  <c r="AL840" i="9"/>
  <c r="AT840" i="9"/>
  <c r="BB840" i="9"/>
  <c r="BJ840" i="9"/>
  <c r="BR840" i="9"/>
  <c r="AF841" i="9"/>
  <c r="AN841" i="9"/>
  <c r="AV841" i="9"/>
  <c r="BD841" i="9"/>
  <c r="BL841" i="9"/>
  <c r="BT841" i="9"/>
  <c r="AD844" i="9"/>
  <c r="AL844" i="9"/>
  <c r="AT844" i="9"/>
  <c r="BB844" i="9"/>
  <c r="BJ844" i="9"/>
  <c r="BR844" i="9"/>
  <c r="AF845" i="9"/>
  <c r="AN845" i="9"/>
  <c r="AV845" i="9"/>
  <c r="BD845" i="9"/>
  <c r="BL845" i="9"/>
  <c r="BT845" i="9"/>
  <c r="BS847" i="9"/>
  <c r="BK847" i="9"/>
  <c r="BC847" i="9"/>
  <c r="AU847" i="9"/>
  <c r="AM847" i="9"/>
  <c r="AE847" i="9"/>
  <c r="V847" i="9"/>
  <c r="AF847" i="9"/>
  <c r="AO847" i="9"/>
  <c r="AX847" i="9"/>
  <c r="BG847" i="9"/>
  <c r="BP847" i="9"/>
  <c r="AI848" i="9"/>
  <c r="AR848" i="9"/>
  <c r="BA848" i="9"/>
  <c r="BJ848" i="9"/>
  <c r="AB849" i="9"/>
  <c r="AK849" i="9"/>
  <c r="AT849" i="9"/>
  <c r="BC849" i="9"/>
  <c r="BL849" i="9"/>
  <c r="BU849" i="9"/>
  <c r="BQ850" i="9"/>
  <c r="BI850" i="9"/>
  <c r="BA850" i="9"/>
  <c r="AS850" i="9"/>
  <c r="AK850" i="9"/>
  <c r="AC850" i="9"/>
  <c r="AE850" i="9"/>
  <c r="AN850" i="9"/>
  <c r="AW850" i="9"/>
  <c r="BF850" i="9"/>
  <c r="BO850" i="9"/>
  <c r="AH851" i="9"/>
  <c r="AQ851" i="9"/>
  <c r="AZ851" i="9"/>
  <c r="BI851" i="9"/>
  <c r="AB852" i="9"/>
  <c r="AK852" i="9"/>
  <c r="AT852" i="9"/>
  <c r="BC852" i="9"/>
  <c r="BL852" i="9"/>
  <c r="BV852" i="9"/>
  <c r="AD853" i="9"/>
  <c r="AM853" i="9"/>
  <c r="AV853" i="9"/>
  <c r="BE853" i="9"/>
  <c r="BN853" i="9"/>
  <c r="AG854" i="9"/>
  <c r="AP854" i="9"/>
  <c r="AY854" i="9"/>
  <c r="BH854" i="9"/>
  <c r="BR854" i="9"/>
  <c r="AA855" i="9"/>
  <c r="AJ855" i="9"/>
  <c r="AS855" i="9"/>
  <c r="BB855" i="9"/>
  <c r="BL855" i="9"/>
  <c r="BU855" i="9"/>
  <c r="AD856" i="9"/>
  <c r="AM856" i="9"/>
  <c r="AV856" i="9"/>
  <c r="BF856" i="9"/>
  <c r="BO856" i="9"/>
  <c r="AC860" i="9"/>
  <c r="AL860" i="9"/>
  <c r="AU860" i="9"/>
  <c r="BE860" i="9"/>
  <c r="BN860" i="9"/>
  <c r="BX860" i="9"/>
  <c r="V861" i="9"/>
  <c r="AF861" i="9"/>
  <c r="AO861" i="9"/>
  <c r="AY861" i="9"/>
  <c r="BH861" i="9"/>
  <c r="BQ861" i="9"/>
  <c r="AH862" i="9"/>
  <c r="AQ862" i="9"/>
  <c r="BA862" i="9"/>
  <c r="BJ862" i="9"/>
  <c r="AD864" i="9"/>
  <c r="AM864" i="9"/>
  <c r="AW864" i="9"/>
  <c r="BF864" i="9"/>
  <c r="BO864" i="9"/>
  <c r="AG865" i="9"/>
  <c r="AQ865" i="9"/>
  <c r="AZ865" i="9"/>
  <c r="BI865" i="9"/>
  <c r="BR865" i="9"/>
  <c r="AI866" i="9"/>
  <c r="AS866" i="9"/>
  <c r="BB866" i="9"/>
  <c r="BK866" i="9"/>
  <c r="BT866" i="9"/>
  <c r="BT868" i="9"/>
  <c r="BL868" i="9"/>
  <c r="BD868" i="9"/>
  <c r="AV868" i="9"/>
  <c r="AN868" i="9"/>
  <c r="AF868" i="9"/>
  <c r="AE868" i="9"/>
  <c r="AO868" i="9"/>
  <c r="AX868" i="9"/>
  <c r="BG868" i="9"/>
  <c r="BP868" i="9"/>
  <c r="AI869" i="9"/>
  <c r="AR869" i="9"/>
  <c r="BA869" i="9"/>
  <c r="BJ869" i="9"/>
  <c r="AA870" i="9"/>
  <c r="AK870" i="9"/>
  <c r="AT870" i="9"/>
  <c r="BC870" i="9"/>
  <c r="BL870" i="9"/>
  <c r="BU870" i="9"/>
  <c r="V872" i="9"/>
  <c r="AG872" i="9"/>
  <c r="AP872" i="9"/>
  <c r="AY872" i="9"/>
  <c r="BH872" i="9"/>
  <c r="BQ872" i="9"/>
  <c r="AA873" i="9"/>
  <c r="AJ873" i="9"/>
  <c r="AS873" i="9"/>
  <c r="BB873" i="9"/>
  <c r="BK873" i="9"/>
  <c r="BT873" i="9"/>
  <c r="AC874" i="9"/>
  <c r="AL874" i="9"/>
  <c r="AU874" i="9"/>
  <c r="BD874" i="9"/>
  <c r="BM874" i="9"/>
  <c r="BV874" i="9"/>
  <c r="AH876" i="9"/>
  <c r="AQ876" i="9"/>
  <c r="AZ876" i="9"/>
  <c r="BI876" i="9"/>
  <c r="BR876" i="9"/>
  <c r="AB877" i="9"/>
  <c r="AK877" i="9"/>
  <c r="AT877" i="9"/>
  <c r="BC877" i="9"/>
  <c r="BL877" i="9"/>
  <c r="BU877" i="9"/>
  <c r="AD878" i="9"/>
  <c r="AM878" i="9"/>
  <c r="AV878" i="9"/>
  <c r="BE878" i="9"/>
  <c r="BN878" i="9"/>
  <c r="V883" i="9"/>
  <c r="BX885" i="9"/>
  <c r="BX886" i="9"/>
  <c r="V895" i="9"/>
  <c r="AC849" i="9"/>
  <c r="AL849" i="9"/>
  <c r="AU849" i="9"/>
  <c r="BD849" i="9"/>
  <c r="BM849" i="9"/>
  <c r="BV849" i="9"/>
  <c r="AC852" i="9"/>
  <c r="AL852" i="9"/>
  <c r="AU852" i="9"/>
  <c r="BD852" i="9"/>
  <c r="BN852" i="9"/>
  <c r="BX853" i="9"/>
  <c r="BO853" i="9"/>
  <c r="BG853" i="9"/>
  <c r="AY853" i="9"/>
  <c r="AQ853" i="9"/>
  <c r="AI853" i="9"/>
  <c r="AA853" i="9"/>
  <c r="AE853" i="9"/>
  <c r="AN853" i="9"/>
  <c r="AW853" i="9"/>
  <c r="BF853" i="9"/>
  <c r="BP853" i="9"/>
  <c r="AB855" i="9"/>
  <c r="AK855" i="9"/>
  <c r="AT855" i="9"/>
  <c r="BD855" i="9"/>
  <c r="BM855" i="9"/>
  <c r="BV855" i="9"/>
  <c r="BU856" i="9"/>
  <c r="BM856" i="9"/>
  <c r="BE856" i="9"/>
  <c r="AW856" i="9"/>
  <c r="AO856" i="9"/>
  <c r="AG856" i="9"/>
  <c r="AE856" i="9"/>
  <c r="AN856" i="9"/>
  <c r="AX856" i="9"/>
  <c r="BG856" i="9"/>
  <c r="BP856" i="9"/>
  <c r="AD860" i="9"/>
  <c r="AM860" i="9"/>
  <c r="AW860" i="9"/>
  <c r="BF860" i="9"/>
  <c r="BO860" i="9"/>
  <c r="BT864" i="9"/>
  <c r="BL864" i="9"/>
  <c r="BD864" i="9"/>
  <c r="AV864" i="9"/>
  <c r="AN864" i="9"/>
  <c r="AF864" i="9"/>
  <c r="AE864" i="9"/>
  <c r="AO864" i="9"/>
  <c r="AX864" i="9"/>
  <c r="BG864" i="9"/>
  <c r="BP864" i="9"/>
  <c r="AA866" i="9"/>
  <c r="AK866" i="9"/>
  <c r="AT866" i="9"/>
  <c r="BC866" i="9"/>
  <c r="BL866" i="9"/>
  <c r="BU866" i="9"/>
  <c r="AC870" i="9"/>
  <c r="AL870" i="9"/>
  <c r="AU870" i="9"/>
  <c r="BD870" i="9"/>
  <c r="BM870" i="9"/>
  <c r="BV870" i="9"/>
  <c r="AB873" i="9"/>
  <c r="AK873" i="9"/>
  <c r="AT873" i="9"/>
  <c r="BC873" i="9"/>
  <c r="BL873" i="9"/>
  <c r="BU873" i="9"/>
  <c r="AD874" i="9"/>
  <c r="AM874" i="9"/>
  <c r="AV874" i="9"/>
  <c r="BE874" i="9"/>
  <c r="BN874" i="9"/>
  <c r="AC877" i="9"/>
  <c r="AL877" i="9"/>
  <c r="AU877" i="9"/>
  <c r="BD877" i="9"/>
  <c r="BM877" i="9"/>
  <c r="BP878" i="9"/>
  <c r="BH878" i="9"/>
  <c r="AZ878" i="9"/>
  <c r="AR878" i="9"/>
  <c r="AJ878" i="9"/>
  <c r="AB878" i="9"/>
  <c r="AE878" i="9"/>
  <c r="AN878" i="9"/>
  <c r="AW878" i="9"/>
  <c r="BF878" i="9"/>
  <c r="BO878" i="9"/>
  <c r="BX888" i="9"/>
  <c r="BX892" i="9"/>
  <c r="AM849" i="9"/>
  <c r="AV849" i="9"/>
  <c r="BE849" i="9"/>
  <c r="BN849" i="9"/>
  <c r="BQ853" i="9"/>
  <c r="AC855" i="9"/>
  <c r="AL855" i="9"/>
  <c r="AV855" i="9"/>
  <c r="BE855" i="9"/>
  <c r="BN855" i="9"/>
  <c r="BX855" i="9"/>
  <c r="BT860" i="9"/>
  <c r="BL860" i="9"/>
  <c r="BD860" i="9"/>
  <c r="AV860" i="9"/>
  <c r="AN860" i="9"/>
  <c r="AF860" i="9"/>
  <c r="AE860" i="9"/>
  <c r="AO860" i="9"/>
  <c r="AX860" i="9"/>
  <c r="BG860" i="9"/>
  <c r="BP860" i="9"/>
  <c r="V864" i="9"/>
  <c r="AG864" i="9"/>
  <c r="AP864" i="9"/>
  <c r="AY864" i="9"/>
  <c r="BH864" i="9"/>
  <c r="BQ864" i="9"/>
  <c r="AC866" i="9"/>
  <c r="AL866" i="9"/>
  <c r="AU866" i="9"/>
  <c r="BD866" i="9"/>
  <c r="BM866" i="9"/>
  <c r="BV866" i="9"/>
  <c r="AD870" i="9"/>
  <c r="AM870" i="9"/>
  <c r="AV870" i="9"/>
  <c r="BE870" i="9"/>
  <c r="BN870" i="9"/>
  <c r="AC873" i="9"/>
  <c r="AL873" i="9"/>
  <c r="AU873" i="9"/>
  <c r="BD873" i="9"/>
  <c r="BM873" i="9"/>
  <c r="BX873" i="9"/>
  <c r="BP874" i="9"/>
  <c r="BH874" i="9"/>
  <c r="AZ874" i="9"/>
  <c r="AR874" i="9"/>
  <c r="AJ874" i="9"/>
  <c r="AB874" i="9"/>
  <c r="AE874" i="9"/>
  <c r="AN874" i="9"/>
  <c r="AW874" i="9"/>
  <c r="BF874" i="9"/>
  <c r="BO874" i="9"/>
  <c r="BX891" i="9"/>
  <c r="V891" i="9"/>
  <c r="BX849" i="9"/>
  <c r="BO849" i="9"/>
  <c r="BG849" i="9"/>
  <c r="AY849" i="9"/>
  <c r="AQ849" i="9"/>
  <c r="AI849" i="9"/>
  <c r="AA849" i="9"/>
  <c r="AE849" i="9"/>
  <c r="AN849" i="9"/>
  <c r="AW849" i="9"/>
  <c r="BF849" i="9"/>
  <c r="BP849" i="9"/>
  <c r="BU852" i="9"/>
  <c r="BM852" i="9"/>
  <c r="BE852" i="9"/>
  <c r="AW852" i="9"/>
  <c r="AO852" i="9"/>
  <c r="AG852" i="9"/>
  <c r="AE852" i="9"/>
  <c r="AN852" i="9"/>
  <c r="AX852" i="9"/>
  <c r="BG852" i="9"/>
  <c r="BP852" i="9"/>
  <c r="AG853" i="9"/>
  <c r="AP853" i="9"/>
  <c r="AZ853" i="9"/>
  <c r="BI853" i="9"/>
  <c r="BR853" i="9"/>
  <c r="AD855" i="9"/>
  <c r="AN855" i="9"/>
  <c r="AW855" i="9"/>
  <c r="BF855" i="9"/>
  <c r="BO855" i="9"/>
  <c r="AH856" i="9"/>
  <c r="AQ856" i="9"/>
  <c r="AZ856" i="9"/>
  <c r="BI856" i="9"/>
  <c r="BR856" i="9"/>
  <c r="V860" i="9"/>
  <c r="AG860" i="9"/>
  <c r="AP860" i="9"/>
  <c r="AY860" i="9"/>
  <c r="BH860" i="9"/>
  <c r="BQ860" i="9"/>
  <c r="AZ864" i="9"/>
  <c r="BI864" i="9"/>
  <c r="BR864" i="9"/>
  <c r="AD866" i="9"/>
  <c r="AM866" i="9"/>
  <c r="AV866" i="9"/>
  <c r="BE866" i="9"/>
  <c r="BN866" i="9"/>
  <c r="BP870" i="9"/>
  <c r="BH870" i="9"/>
  <c r="AZ870" i="9"/>
  <c r="AR870" i="9"/>
  <c r="AJ870" i="9"/>
  <c r="AB870" i="9"/>
  <c r="AE870" i="9"/>
  <c r="AN870" i="9"/>
  <c r="AW870" i="9"/>
  <c r="BF870" i="9"/>
  <c r="BO870" i="9"/>
  <c r="AD873" i="9"/>
  <c r="AM873" i="9"/>
  <c r="AV873" i="9"/>
  <c r="BE873" i="9"/>
  <c r="BO873" i="9"/>
  <c r="AF874" i="9"/>
  <c r="AO874" i="9"/>
  <c r="AX874" i="9"/>
  <c r="BG874" i="9"/>
  <c r="BQ874" i="9"/>
  <c r="BV877" i="9"/>
  <c r="BN877" i="9"/>
  <c r="BF877" i="9"/>
  <c r="AX877" i="9"/>
  <c r="AP877" i="9"/>
  <c r="AH877" i="9"/>
  <c r="AE877" i="9"/>
  <c r="AN877" i="9"/>
  <c r="AW877" i="9"/>
  <c r="BG877" i="9"/>
  <c r="BP877" i="9"/>
  <c r="AG878" i="9"/>
  <c r="AP878" i="9"/>
  <c r="AY878" i="9"/>
  <c r="BI878" i="9"/>
  <c r="BR878" i="9"/>
  <c r="V888" i="9"/>
  <c r="BX890" i="9"/>
  <c r="BS855" i="9"/>
  <c r="BK855" i="9"/>
  <c r="BC855" i="9"/>
  <c r="AU855" i="9"/>
  <c r="AM855" i="9"/>
  <c r="AE855" i="9"/>
  <c r="V855" i="9"/>
  <c r="AF855" i="9"/>
  <c r="AO855" i="9"/>
  <c r="AX855" i="9"/>
  <c r="BG855" i="9"/>
  <c r="BP855" i="9"/>
  <c r="BP866" i="9"/>
  <c r="BH866" i="9"/>
  <c r="AZ866" i="9"/>
  <c r="AR866" i="9"/>
  <c r="AJ866" i="9"/>
  <c r="AB866" i="9"/>
  <c r="AE866" i="9"/>
  <c r="AN866" i="9"/>
  <c r="AW866" i="9"/>
  <c r="BF866" i="9"/>
  <c r="BO866" i="9"/>
  <c r="BV873" i="9"/>
  <c r="BN873" i="9"/>
  <c r="BF873" i="9"/>
  <c r="AX873" i="9"/>
  <c r="AP873" i="9"/>
  <c r="AH873" i="9"/>
  <c r="AE873" i="9"/>
  <c r="AN873" i="9"/>
  <c r="AW873" i="9"/>
  <c r="BG873" i="9"/>
  <c r="BP873" i="9"/>
  <c r="BU848" i="9"/>
  <c r="BM848" i="9"/>
  <c r="BE848" i="9"/>
  <c r="AW848" i="9"/>
  <c r="AO848" i="9"/>
  <c r="AG848" i="9"/>
  <c r="AE848" i="9"/>
  <c r="AN848" i="9"/>
  <c r="AX848" i="9"/>
  <c r="BG848" i="9"/>
  <c r="BP848" i="9"/>
  <c r="AG849" i="9"/>
  <c r="AP849" i="9"/>
  <c r="AZ849" i="9"/>
  <c r="BI849" i="9"/>
  <c r="BR849" i="9"/>
  <c r="AH852" i="9"/>
  <c r="AQ852" i="9"/>
  <c r="AZ852" i="9"/>
  <c r="BI852" i="9"/>
  <c r="BR852" i="9"/>
  <c r="AJ853" i="9"/>
  <c r="AS853" i="9"/>
  <c r="BB853" i="9"/>
  <c r="BK853" i="9"/>
  <c r="BT853" i="9"/>
  <c r="AG855" i="9"/>
  <c r="AP855" i="9"/>
  <c r="AY855" i="9"/>
  <c r="BH855" i="9"/>
  <c r="BQ855" i="9"/>
  <c r="AA856" i="9"/>
  <c r="AJ856" i="9"/>
  <c r="AS856" i="9"/>
  <c r="BB856" i="9"/>
  <c r="BK856" i="9"/>
  <c r="BT856" i="9"/>
  <c r="AI860" i="9"/>
  <c r="AR860" i="9"/>
  <c r="BA860" i="9"/>
  <c r="BJ860" i="9"/>
  <c r="BS860" i="9"/>
  <c r="AL861" i="9"/>
  <c r="AU861" i="9"/>
  <c r="BD861" i="9"/>
  <c r="BM861" i="9"/>
  <c r="BX861" i="9"/>
  <c r="BP862" i="9"/>
  <c r="BH862" i="9"/>
  <c r="AZ862" i="9"/>
  <c r="AR862" i="9"/>
  <c r="AJ862" i="9"/>
  <c r="AB862" i="9"/>
  <c r="AE862" i="9"/>
  <c r="AN862" i="9"/>
  <c r="AW862" i="9"/>
  <c r="BF862" i="9"/>
  <c r="BO862" i="9"/>
  <c r="AA864" i="9"/>
  <c r="AJ864" i="9"/>
  <c r="AS864" i="9"/>
  <c r="BB864" i="9"/>
  <c r="BK864" i="9"/>
  <c r="BU864" i="9"/>
  <c r="V866" i="9"/>
  <c r="AF866" i="9"/>
  <c r="AO866" i="9"/>
  <c r="AX866" i="9"/>
  <c r="BG866" i="9"/>
  <c r="BQ866" i="9"/>
  <c r="BV869" i="9"/>
  <c r="BN869" i="9"/>
  <c r="BF869" i="9"/>
  <c r="AX869" i="9"/>
  <c r="AP869" i="9"/>
  <c r="AH869" i="9"/>
  <c r="AE869" i="9"/>
  <c r="AN869" i="9"/>
  <c r="AW869" i="9"/>
  <c r="BG869" i="9"/>
  <c r="BP869" i="9"/>
  <c r="AG870" i="9"/>
  <c r="AP870" i="9"/>
  <c r="AY870" i="9"/>
  <c r="BI870" i="9"/>
  <c r="BR870" i="9"/>
  <c r="AC872" i="9"/>
  <c r="AL872" i="9"/>
  <c r="AU872" i="9"/>
  <c r="BE872" i="9"/>
  <c r="BN872" i="9"/>
  <c r="BX872" i="9"/>
  <c r="V873" i="9"/>
  <c r="AF873" i="9"/>
  <c r="AO873" i="9"/>
  <c r="AY873" i="9"/>
  <c r="BH873" i="9"/>
  <c r="BQ873" i="9"/>
  <c r="AH874" i="9"/>
  <c r="AQ874" i="9"/>
  <c r="BA874" i="9"/>
  <c r="BJ874" i="9"/>
  <c r="BS874" i="9"/>
  <c r="AG877" i="9"/>
  <c r="AQ877" i="9"/>
  <c r="AZ877" i="9"/>
  <c r="BI877" i="9"/>
  <c r="BR877" i="9"/>
  <c r="AI878" i="9"/>
  <c r="AS878" i="9"/>
  <c r="BB878" i="9"/>
  <c r="BK878" i="9"/>
  <c r="BT878" i="9"/>
  <c r="V884" i="9"/>
  <c r="V900" i="9"/>
  <c r="AD837" i="9"/>
  <c r="AL837" i="9"/>
  <c r="AT837" i="9"/>
  <c r="BB837" i="9"/>
  <c r="BJ837" i="9"/>
  <c r="BR837" i="9"/>
  <c r="AD841" i="9"/>
  <c r="AL841" i="9"/>
  <c r="AT841" i="9"/>
  <c r="BB841" i="9"/>
  <c r="BJ841" i="9"/>
  <c r="BR841" i="9"/>
  <c r="AD845" i="9"/>
  <c r="AL845" i="9"/>
  <c r="AT845" i="9"/>
  <c r="BB845" i="9"/>
  <c r="BJ845" i="9"/>
  <c r="BR845" i="9"/>
  <c r="V848" i="9"/>
  <c r="AF848" i="9"/>
  <c r="AP848" i="9"/>
  <c r="AY848" i="9"/>
  <c r="BH848" i="9"/>
  <c r="BQ848" i="9"/>
  <c r="AH849" i="9"/>
  <c r="AR849" i="9"/>
  <c r="BA849" i="9"/>
  <c r="BJ849" i="9"/>
  <c r="BS849" i="9"/>
  <c r="BS851" i="9"/>
  <c r="BK851" i="9"/>
  <c r="BC851" i="9"/>
  <c r="AU851" i="9"/>
  <c r="AM851" i="9"/>
  <c r="AE851" i="9"/>
  <c r="V851" i="9"/>
  <c r="AF851" i="9"/>
  <c r="AO851" i="9"/>
  <c r="AX851" i="9"/>
  <c r="BG851" i="9"/>
  <c r="BP851" i="9"/>
  <c r="AI852" i="9"/>
  <c r="AR852" i="9"/>
  <c r="BA852" i="9"/>
  <c r="BJ852" i="9"/>
  <c r="BS852" i="9"/>
  <c r="AB853" i="9"/>
  <c r="AK853" i="9"/>
  <c r="AT853" i="9"/>
  <c r="BC853" i="9"/>
  <c r="BL853" i="9"/>
  <c r="BU853" i="9"/>
  <c r="BQ854" i="9"/>
  <c r="BI854" i="9"/>
  <c r="BA854" i="9"/>
  <c r="AS854" i="9"/>
  <c r="AK854" i="9"/>
  <c r="AC854" i="9"/>
  <c r="AE854" i="9"/>
  <c r="AN854" i="9"/>
  <c r="AW854" i="9"/>
  <c r="BF854" i="9"/>
  <c r="BO854" i="9"/>
  <c r="AH855" i="9"/>
  <c r="AQ855" i="9"/>
  <c r="AZ855" i="9"/>
  <c r="BI855" i="9"/>
  <c r="BR855" i="9"/>
  <c r="AB856" i="9"/>
  <c r="AK856" i="9"/>
  <c r="AT856" i="9"/>
  <c r="BC856" i="9"/>
  <c r="BL856" i="9"/>
  <c r="BV856" i="9"/>
  <c r="AA860" i="9"/>
  <c r="AJ860" i="9"/>
  <c r="AS860" i="9"/>
  <c r="BB860" i="9"/>
  <c r="BK860" i="9"/>
  <c r="BU860" i="9"/>
  <c r="AD861" i="9"/>
  <c r="AM861" i="9"/>
  <c r="AV861" i="9"/>
  <c r="BE861" i="9"/>
  <c r="BO861" i="9"/>
  <c r="V862" i="9"/>
  <c r="AF862" i="9"/>
  <c r="AO862" i="9"/>
  <c r="AX862" i="9"/>
  <c r="BG862" i="9"/>
  <c r="BQ862" i="9"/>
  <c r="AB864" i="9"/>
  <c r="AK864" i="9"/>
  <c r="AT864" i="9"/>
  <c r="BC864" i="9"/>
  <c r="BM864" i="9"/>
  <c r="BV864" i="9"/>
  <c r="BV865" i="9"/>
  <c r="BN865" i="9"/>
  <c r="BF865" i="9"/>
  <c r="AX865" i="9"/>
  <c r="AP865" i="9"/>
  <c r="AH865" i="9"/>
  <c r="AE865" i="9"/>
  <c r="AN865" i="9"/>
  <c r="AW865" i="9"/>
  <c r="BG865" i="9"/>
  <c r="BP865" i="9"/>
  <c r="AG866" i="9"/>
  <c r="AP866" i="9"/>
  <c r="AY866" i="9"/>
  <c r="BI866" i="9"/>
  <c r="BR866" i="9"/>
  <c r="V869" i="9"/>
  <c r="AF869" i="9"/>
  <c r="AO869" i="9"/>
  <c r="AY869" i="9"/>
  <c r="BH869" i="9"/>
  <c r="BQ869" i="9"/>
  <c r="AH870" i="9"/>
  <c r="AQ870" i="9"/>
  <c r="BA870" i="9"/>
  <c r="BJ870" i="9"/>
  <c r="BS870" i="9"/>
  <c r="AD872" i="9"/>
  <c r="AM872" i="9"/>
  <c r="AW872" i="9"/>
  <c r="BF872" i="9"/>
  <c r="BO872" i="9"/>
  <c r="AG873" i="9"/>
  <c r="AQ873" i="9"/>
  <c r="AZ873" i="9"/>
  <c r="BI873" i="9"/>
  <c r="BR873" i="9"/>
  <c r="AI874" i="9"/>
  <c r="AS874" i="9"/>
  <c r="BB874" i="9"/>
  <c r="BK874" i="9"/>
  <c r="BT874" i="9"/>
  <c r="BT876" i="9"/>
  <c r="BL876" i="9"/>
  <c r="BD876" i="9"/>
  <c r="AV876" i="9"/>
  <c r="AN876" i="9"/>
  <c r="AF876" i="9"/>
  <c r="AE876" i="9"/>
  <c r="AO876" i="9"/>
  <c r="AX876" i="9"/>
  <c r="BG876" i="9"/>
  <c r="BP876" i="9"/>
  <c r="AI877" i="9"/>
  <c r="AR877" i="9"/>
  <c r="BA877" i="9"/>
  <c r="BJ877" i="9"/>
  <c r="BS877" i="9"/>
  <c r="AA878" i="9"/>
  <c r="AK878" i="9"/>
  <c r="AT878" i="9"/>
  <c r="BC878" i="9"/>
  <c r="BL878" i="9"/>
  <c r="BU878" i="9"/>
  <c r="V887" i="9"/>
  <c r="BX902" i="9"/>
  <c r="AH848" i="9"/>
  <c r="AQ848" i="9"/>
  <c r="AZ848" i="9"/>
  <c r="BI848" i="9"/>
  <c r="BR848" i="9"/>
  <c r="AJ849" i="9"/>
  <c r="AS849" i="9"/>
  <c r="BB849" i="9"/>
  <c r="BK849" i="9"/>
  <c r="BT849" i="9"/>
  <c r="AA852" i="9"/>
  <c r="AJ852" i="9"/>
  <c r="AS852" i="9"/>
  <c r="BB852" i="9"/>
  <c r="BK852" i="9"/>
  <c r="BT852" i="9"/>
  <c r="AC853" i="9"/>
  <c r="AL853" i="9"/>
  <c r="AU853" i="9"/>
  <c r="BD853" i="9"/>
  <c r="BM853" i="9"/>
  <c r="BV853" i="9"/>
  <c r="AI855" i="9"/>
  <c r="AR855" i="9"/>
  <c r="BA855" i="9"/>
  <c r="BJ855" i="9"/>
  <c r="BT855" i="9"/>
  <c r="AC856" i="9"/>
  <c r="AL856" i="9"/>
  <c r="AU856" i="9"/>
  <c r="BD856" i="9"/>
  <c r="BN856" i="9"/>
  <c r="BX856" i="9"/>
  <c r="AB860" i="9"/>
  <c r="AK860" i="9"/>
  <c r="AT860" i="9"/>
  <c r="BC860" i="9"/>
  <c r="BM860" i="9"/>
  <c r="BV860" i="9"/>
  <c r="BV861" i="9"/>
  <c r="BN861" i="9"/>
  <c r="BF861" i="9"/>
  <c r="AX861" i="9"/>
  <c r="AP861" i="9"/>
  <c r="AH861" i="9"/>
  <c r="AE861" i="9"/>
  <c r="AN861" i="9"/>
  <c r="AW861" i="9"/>
  <c r="BG861" i="9"/>
  <c r="BP861" i="9"/>
  <c r="AG862" i="9"/>
  <c r="AP862" i="9"/>
  <c r="AY862" i="9"/>
  <c r="BI862" i="9"/>
  <c r="BR862" i="9"/>
  <c r="AC864" i="9"/>
  <c r="AL864" i="9"/>
  <c r="AU864" i="9"/>
  <c r="BE864" i="9"/>
  <c r="BN864" i="9"/>
  <c r="BX864" i="9"/>
  <c r="AH866" i="9"/>
  <c r="AQ866" i="9"/>
  <c r="BA866" i="9"/>
  <c r="BJ866" i="9"/>
  <c r="BS866" i="9"/>
  <c r="AI870" i="9"/>
  <c r="AS870" i="9"/>
  <c r="BB870" i="9"/>
  <c r="BK870" i="9"/>
  <c r="BT870" i="9"/>
  <c r="BT872" i="9"/>
  <c r="BL872" i="9"/>
  <c r="BD872" i="9"/>
  <c r="AV872" i="9"/>
  <c r="AN872" i="9"/>
  <c r="AF872" i="9"/>
  <c r="AE872" i="9"/>
  <c r="AO872" i="9"/>
  <c r="AX872" i="9"/>
  <c r="BG872" i="9"/>
  <c r="BP872" i="9"/>
  <c r="AI873" i="9"/>
  <c r="AR873" i="9"/>
  <c r="BA873" i="9"/>
  <c r="BJ873" i="9"/>
  <c r="BS873" i="9"/>
  <c r="AA874" i="9"/>
  <c r="AK874" i="9"/>
  <c r="AT874" i="9"/>
  <c r="BC874" i="9"/>
  <c r="BL874" i="9"/>
  <c r="BU874" i="9"/>
  <c r="AA877" i="9"/>
  <c r="AJ877" i="9"/>
  <c r="AS877" i="9"/>
  <c r="BB877" i="9"/>
  <c r="BK877" i="9"/>
  <c r="BT877" i="9"/>
  <c r="AC878" i="9"/>
  <c r="AL878" i="9"/>
  <c r="AU878" i="9"/>
  <c r="BD878" i="9"/>
  <c r="BM878" i="9"/>
  <c r="BV878" i="9"/>
  <c r="BX895" i="9"/>
  <c r="AD863" i="9"/>
  <c r="AL863" i="9"/>
  <c r="AT863" i="9"/>
  <c r="BB863" i="9"/>
  <c r="BJ863" i="9"/>
  <c r="BR863" i="9"/>
  <c r="AD867" i="9"/>
  <c r="AL867" i="9"/>
  <c r="AT867" i="9"/>
  <c r="BB867" i="9"/>
  <c r="BJ867" i="9"/>
  <c r="BR867" i="9"/>
  <c r="AD871" i="9"/>
  <c r="AL871" i="9"/>
  <c r="AT871" i="9"/>
  <c r="BB871" i="9"/>
  <c r="BJ871" i="9"/>
  <c r="BR871" i="9"/>
  <c r="AD875" i="9"/>
  <c r="AL875" i="9"/>
  <c r="AT875" i="9"/>
  <c r="BB875" i="9"/>
  <c r="BJ875" i="9"/>
  <c r="BR875" i="9"/>
  <c r="AD879" i="9"/>
  <c r="AL879" i="9"/>
  <c r="AT879" i="9"/>
  <c r="BB879" i="9"/>
  <c r="BJ879" i="9"/>
  <c r="BR879" i="9"/>
  <c r="V902" i="9"/>
  <c r="W135" i="30"/>
  <c r="X251" i="6"/>
  <c r="AC129" i="30"/>
  <c r="AD229" i="6"/>
  <c r="AD236" i="6" s="1"/>
  <c r="AA135" i="30"/>
  <c r="AB251" i="6"/>
  <c r="AB253" i="6" s="1"/>
  <c r="CY123" i="30"/>
  <c r="CQ123" i="30" s="1"/>
  <c r="AA61" i="33"/>
  <c r="AB128" i="30"/>
  <c r="AC220" i="6"/>
  <c r="AC226" i="6" s="1"/>
  <c r="AD142" i="6"/>
  <c r="AD155" i="6" s="1"/>
  <c r="AC158" i="6"/>
  <c r="AC121" i="30" s="1"/>
  <c r="CS283" i="6"/>
  <c r="A283" i="6" s="1" a="1"/>
  <c r="A283" i="6" s="1"/>
  <c r="AC127" i="30"/>
  <c r="AD206" i="6"/>
  <c r="AD217" i="6" s="1"/>
  <c r="AB130" i="30"/>
  <c r="AC239" i="6"/>
  <c r="AC242" i="6" s="1"/>
  <c r="A3" i="9"/>
  <c r="Y2" i="9"/>
  <c r="X2" i="9"/>
  <c r="W2" i="9"/>
  <c r="V2" i="9"/>
  <c r="B2" i="9" a="1"/>
  <c r="G44" i="9" l="1"/>
  <c r="J51" i="9"/>
  <c r="CN51" i="9" s="1"/>
  <c r="A51" i="9" s="1" a="1"/>
  <c r="A51" i="9" s="1"/>
  <c r="AD129" i="30"/>
  <c r="AE229" i="6"/>
  <c r="AE236" i="6" s="1"/>
  <c r="AA548" i="9"/>
  <c r="AA373" i="9"/>
  <c r="W453" i="9"/>
  <c r="AA304" i="9"/>
  <c r="BY304" i="9"/>
  <c r="BY453" i="9" s="1"/>
  <c r="AA251" i="9"/>
  <c r="AA450" i="9"/>
  <c r="AA536" i="9"/>
  <c r="AA145" i="9"/>
  <c r="BS371" i="3"/>
  <c r="BK371" i="3"/>
  <c r="BC371" i="3"/>
  <c r="AU371" i="3"/>
  <c r="AM371" i="3"/>
  <c r="AE371" i="3"/>
  <c r="BR371" i="3"/>
  <c r="BJ371" i="3"/>
  <c r="BB371" i="3"/>
  <c r="AT371" i="3"/>
  <c r="AL371" i="3"/>
  <c r="AD371" i="3"/>
  <c r="BQ371" i="3"/>
  <c r="BI371" i="3"/>
  <c r="BA371" i="3"/>
  <c r="AS371" i="3"/>
  <c r="AK371" i="3"/>
  <c r="AC371" i="3"/>
  <c r="BT371" i="3"/>
  <c r="BL371" i="3"/>
  <c r="BD371" i="3"/>
  <c r="AV371" i="3"/>
  <c r="AN371" i="3"/>
  <c r="AF371" i="3"/>
  <c r="BH371" i="3"/>
  <c r="AR371" i="3"/>
  <c r="AB371" i="3"/>
  <c r="BG371" i="3"/>
  <c r="AQ371" i="3"/>
  <c r="AA371" i="3"/>
  <c r="BV371" i="3"/>
  <c r="BF371" i="3"/>
  <c r="AP371" i="3"/>
  <c r="BU371" i="3"/>
  <c r="BE371" i="3"/>
  <c r="AO371" i="3"/>
  <c r="BP371" i="3"/>
  <c r="AZ371" i="3"/>
  <c r="AJ371" i="3"/>
  <c r="BO371" i="3"/>
  <c r="AY371" i="3"/>
  <c r="AI371" i="3"/>
  <c r="BN371" i="3"/>
  <c r="AX371" i="3"/>
  <c r="AH371" i="3"/>
  <c r="BM371" i="3"/>
  <c r="AW371" i="3"/>
  <c r="AG371" i="3"/>
  <c r="BO372" i="3"/>
  <c r="BG372" i="3"/>
  <c r="AY372" i="3"/>
  <c r="AQ372" i="3"/>
  <c r="AI372" i="3"/>
  <c r="AA372" i="3"/>
  <c r="BV372" i="3"/>
  <c r="BN372" i="3"/>
  <c r="BF372" i="3"/>
  <c r="AX372" i="3"/>
  <c r="AP372" i="3"/>
  <c r="AH372" i="3"/>
  <c r="BU372" i="3"/>
  <c r="BM372" i="3"/>
  <c r="BE372" i="3"/>
  <c r="AW372" i="3"/>
  <c r="AO372" i="3"/>
  <c r="AG372" i="3"/>
  <c r="BP372" i="3"/>
  <c r="BH372" i="3"/>
  <c r="AZ372" i="3"/>
  <c r="AR372" i="3"/>
  <c r="AJ372" i="3"/>
  <c r="AB372" i="3"/>
  <c r="BK372" i="3"/>
  <c r="AU372" i="3"/>
  <c r="AE372" i="3"/>
  <c r="BJ372" i="3"/>
  <c r="AT372" i="3"/>
  <c r="AD372" i="3"/>
  <c r="BI372" i="3"/>
  <c r="AS372" i="3"/>
  <c r="AC372" i="3"/>
  <c r="BT372" i="3"/>
  <c r="BD372" i="3"/>
  <c r="AN372" i="3"/>
  <c r="BS372" i="3"/>
  <c r="BC372" i="3"/>
  <c r="AM372" i="3"/>
  <c r="BR372" i="3"/>
  <c r="BB372" i="3"/>
  <c r="AL372" i="3"/>
  <c r="BQ372" i="3"/>
  <c r="BA372" i="3"/>
  <c r="AK372" i="3"/>
  <c r="BL372" i="3"/>
  <c r="AV372" i="3"/>
  <c r="AF372" i="3"/>
  <c r="AA156" i="9"/>
  <c r="AA445" i="9"/>
  <c r="BX1001" i="9"/>
  <c r="BX510" i="9"/>
  <c r="BX82" i="9"/>
  <c r="BO385" i="3"/>
  <c r="BG385" i="3"/>
  <c r="AY385" i="3"/>
  <c r="AQ385" i="3"/>
  <c r="AI385" i="3"/>
  <c r="AA385" i="3"/>
  <c r="BV385" i="3"/>
  <c r="BN385" i="3"/>
  <c r="BF385" i="3"/>
  <c r="AX385" i="3"/>
  <c r="AP385" i="3"/>
  <c r="AH385" i="3"/>
  <c r="BU385" i="3"/>
  <c r="BM385" i="3"/>
  <c r="BE385" i="3"/>
  <c r="AW385" i="3"/>
  <c r="AO385" i="3"/>
  <c r="AG385" i="3"/>
  <c r="BT385" i="3"/>
  <c r="BL385" i="3"/>
  <c r="BD385" i="3"/>
  <c r="AV385" i="3"/>
  <c r="AN385" i="3"/>
  <c r="AF385" i="3"/>
  <c r="BS385" i="3"/>
  <c r="BK385" i="3"/>
  <c r="BC385" i="3"/>
  <c r="AU385" i="3"/>
  <c r="AM385" i="3"/>
  <c r="AE385" i="3"/>
  <c r="BR385" i="3"/>
  <c r="BJ385" i="3"/>
  <c r="BB385" i="3"/>
  <c r="AT385" i="3"/>
  <c r="AL385" i="3"/>
  <c r="AD385" i="3"/>
  <c r="BQ385" i="3"/>
  <c r="BI385" i="3"/>
  <c r="BA385" i="3"/>
  <c r="AS385" i="3"/>
  <c r="AK385" i="3"/>
  <c r="AC385" i="3"/>
  <c r="BP385" i="3"/>
  <c r="BH385" i="3"/>
  <c r="AZ385" i="3"/>
  <c r="AR385" i="3"/>
  <c r="AJ385" i="3"/>
  <c r="AB385" i="3"/>
  <c r="W537" i="9"/>
  <c r="BY161" i="9"/>
  <c r="BY537" i="9" s="1"/>
  <c r="AA161" i="9"/>
  <c r="BX1004" i="9"/>
  <c r="BX513" i="9"/>
  <c r="BX139" i="9"/>
  <c r="AA403" i="9"/>
  <c r="AA458" i="9"/>
  <c r="AA294" i="9"/>
  <c r="W544" i="9"/>
  <c r="BY294" i="9"/>
  <c r="BY544" i="9" s="1"/>
  <c r="AA541" i="9"/>
  <c r="AA240" i="9"/>
  <c r="W534" i="9"/>
  <c r="BY104" i="9"/>
  <c r="BY534" i="9" s="1"/>
  <c r="AA104" i="9"/>
  <c r="BS382" i="3"/>
  <c r="BK382" i="3"/>
  <c r="BC382" i="3"/>
  <c r="AU382" i="3"/>
  <c r="AM382" i="3"/>
  <c r="AE382" i="3"/>
  <c r="BR382" i="3"/>
  <c r="BJ382" i="3"/>
  <c r="BB382" i="3"/>
  <c r="AT382" i="3"/>
  <c r="AL382" i="3"/>
  <c r="AD382" i="3"/>
  <c r="BQ382" i="3"/>
  <c r="BI382" i="3"/>
  <c r="BA382" i="3"/>
  <c r="AS382" i="3"/>
  <c r="AK382" i="3"/>
  <c r="AC382" i="3"/>
  <c r="BP382" i="3"/>
  <c r="BH382" i="3"/>
  <c r="AZ382" i="3"/>
  <c r="AR382" i="3"/>
  <c r="AJ382" i="3"/>
  <c r="AB382" i="3"/>
  <c r="BO382" i="3"/>
  <c r="BG382" i="3"/>
  <c r="BV382" i="3"/>
  <c r="BN382" i="3"/>
  <c r="BF382" i="3"/>
  <c r="AX382" i="3"/>
  <c r="AP382" i="3"/>
  <c r="BU382" i="3"/>
  <c r="BM382" i="3"/>
  <c r="BE382" i="3"/>
  <c r="AW382" i="3"/>
  <c r="AO382" i="3"/>
  <c r="AG382" i="3"/>
  <c r="BT382" i="3"/>
  <c r="BL382" i="3"/>
  <c r="BD382" i="3"/>
  <c r="AV382" i="3"/>
  <c r="AN382" i="3"/>
  <c r="AF382" i="3"/>
  <c r="AI382" i="3"/>
  <c r="AH382" i="3"/>
  <c r="AA382" i="3"/>
  <c r="AY382" i="3"/>
  <c r="AQ382" i="3"/>
  <c r="BX1006" i="9"/>
  <c r="BX515" i="9"/>
  <c r="BX177" i="9"/>
  <c r="BX1005" i="9"/>
  <c r="BX514" i="9"/>
  <c r="BX158" i="9"/>
  <c r="AC128" i="30"/>
  <c r="AD220" i="6"/>
  <c r="AD226" i="6" s="1"/>
  <c r="AA448" i="9"/>
  <c r="AA213" i="9"/>
  <c r="AA384" i="9"/>
  <c r="AA457" i="9"/>
  <c r="W447" i="9"/>
  <c r="BY190" i="9"/>
  <c r="BY447" i="9" s="1"/>
  <c r="AA190" i="9"/>
  <c r="CH1095" i="9"/>
  <c r="BZ1095" i="9"/>
  <c r="BQ1095" i="9"/>
  <c r="BI1095" i="9"/>
  <c r="BA1095" i="9"/>
  <c r="AS1095" i="9"/>
  <c r="AK1095" i="9"/>
  <c r="AC1095" i="9"/>
  <c r="CI1094" i="9"/>
  <c r="CA1094" i="9"/>
  <c r="BR1094" i="9"/>
  <c r="BJ1094" i="9"/>
  <c r="BB1094" i="9"/>
  <c r="AT1094" i="9"/>
  <c r="AL1094" i="9"/>
  <c r="AD1094" i="9"/>
  <c r="CB1093" i="9"/>
  <c r="BS1093" i="9"/>
  <c r="BK1093" i="9"/>
  <c r="BC1093" i="9"/>
  <c r="AU1093" i="9"/>
  <c r="AM1093" i="9"/>
  <c r="AE1093" i="9"/>
  <c r="V1093" i="9"/>
  <c r="CI1095" i="9"/>
  <c r="BY1095" i="9"/>
  <c r="BO1095" i="9"/>
  <c r="BF1095" i="9"/>
  <c r="AW1095" i="9"/>
  <c r="AN1095" i="9"/>
  <c r="AE1095" i="9"/>
  <c r="BZ1094" i="9"/>
  <c r="BP1094" i="9"/>
  <c r="BG1094" i="9"/>
  <c r="AX1094" i="9"/>
  <c r="AO1094" i="9"/>
  <c r="AF1094" i="9"/>
  <c r="V1094" i="9"/>
  <c r="CC1093" i="9"/>
  <c r="BR1093" i="9"/>
  <c r="BI1093" i="9"/>
  <c r="AZ1093" i="9"/>
  <c r="AQ1093" i="9"/>
  <c r="AH1093" i="9"/>
  <c r="X1093" i="9"/>
  <c r="CG1095" i="9"/>
  <c r="BX1095" i="9"/>
  <c r="BN1095" i="9"/>
  <c r="BE1095" i="9"/>
  <c r="AV1095" i="9"/>
  <c r="AM1095" i="9"/>
  <c r="AD1095" i="9"/>
  <c r="CH1094" i="9"/>
  <c r="BY1094" i="9"/>
  <c r="BO1094" i="9"/>
  <c r="BF1094" i="9"/>
  <c r="AW1094" i="9"/>
  <c r="AN1094" i="9"/>
  <c r="AE1094" i="9"/>
  <c r="CA1093" i="9"/>
  <c r="BQ1093" i="9"/>
  <c r="BH1093" i="9"/>
  <c r="AY1093" i="9"/>
  <c r="AP1093" i="9"/>
  <c r="AG1093" i="9"/>
  <c r="W1093" i="9"/>
  <c r="CF1095" i="9"/>
  <c r="BV1095" i="9"/>
  <c r="BM1095" i="9"/>
  <c r="BD1095" i="9"/>
  <c r="AU1095" i="9"/>
  <c r="AL1095" i="9"/>
  <c r="AB1095" i="9"/>
  <c r="CG1094" i="9"/>
  <c r="BX1094" i="9"/>
  <c r="BN1094" i="9"/>
  <c r="BE1094" i="9"/>
  <c r="AV1094" i="9"/>
  <c r="AM1094" i="9"/>
  <c r="AC1094" i="9"/>
  <c r="CI1093" i="9"/>
  <c r="BZ1093" i="9"/>
  <c r="BP1093" i="9"/>
  <c r="BG1093" i="9"/>
  <c r="AX1093" i="9"/>
  <c r="AO1093" i="9"/>
  <c r="AF1093" i="9"/>
  <c r="CE1095" i="9"/>
  <c r="BU1095" i="9"/>
  <c r="BL1095" i="9"/>
  <c r="BC1095" i="9"/>
  <c r="AT1095" i="9"/>
  <c r="AJ1095" i="9"/>
  <c r="AA1095" i="9"/>
  <c r="CF1094" i="9"/>
  <c r="BV1094" i="9"/>
  <c r="BM1094" i="9"/>
  <c r="BD1094" i="9"/>
  <c r="AU1094" i="9"/>
  <c r="AK1094" i="9"/>
  <c r="AB1094" i="9"/>
  <c r="CH1093" i="9"/>
  <c r="BY1093" i="9"/>
  <c r="BO1093" i="9"/>
  <c r="BF1093" i="9"/>
  <c r="AW1093" i="9"/>
  <c r="AN1093" i="9"/>
  <c r="AD1093" i="9"/>
  <c r="CD1095" i="9"/>
  <c r="BT1095" i="9"/>
  <c r="BK1095" i="9"/>
  <c r="BB1095" i="9"/>
  <c r="AR1095" i="9"/>
  <c r="AI1095" i="9"/>
  <c r="Y1095" i="9"/>
  <c r="CE1094" i="9"/>
  <c r="BU1094" i="9"/>
  <c r="BL1094" i="9"/>
  <c r="BC1094" i="9"/>
  <c r="AS1094" i="9"/>
  <c r="AJ1094" i="9"/>
  <c r="AA1094" i="9"/>
  <c r="CG1093" i="9"/>
  <c r="BX1093" i="9"/>
  <c r="BN1093" i="9"/>
  <c r="BE1093" i="9"/>
  <c r="AV1093" i="9"/>
  <c r="AL1093" i="9"/>
  <c r="AC1093" i="9"/>
  <c r="CC1095" i="9"/>
  <c r="BS1095" i="9"/>
  <c r="BJ1095" i="9"/>
  <c r="AZ1095" i="9"/>
  <c r="AQ1095" i="9"/>
  <c r="AH1095" i="9"/>
  <c r="X1095" i="9"/>
  <c r="CD1094" i="9"/>
  <c r="BT1094" i="9"/>
  <c r="BK1094" i="9"/>
  <c r="BA1094" i="9"/>
  <c r="AR1094" i="9"/>
  <c r="AI1094" i="9"/>
  <c r="Y1094" i="9"/>
  <c r="CF1093" i="9"/>
  <c r="BV1093" i="9"/>
  <c r="BM1093" i="9"/>
  <c r="BD1093" i="9"/>
  <c r="AT1093" i="9"/>
  <c r="AK1093" i="9"/>
  <c r="AB1093" i="9"/>
  <c r="CB1095" i="9"/>
  <c r="BR1095" i="9"/>
  <c r="BH1095" i="9"/>
  <c r="AY1095" i="9"/>
  <c r="AP1095" i="9"/>
  <c r="AG1095" i="9"/>
  <c r="W1095" i="9"/>
  <c r="CC1094" i="9"/>
  <c r="BS1094" i="9"/>
  <c r="BI1094" i="9"/>
  <c r="AZ1094" i="9"/>
  <c r="AQ1094" i="9"/>
  <c r="AH1094" i="9"/>
  <c r="X1094" i="9"/>
  <c r="CE1093" i="9"/>
  <c r="BU1093" i="9"/>
  <c r="BL1093" i="9"/>
  <c r="BL1096" i="9" s="1"/>
  <c r="BB1093" i="9"/>
  <c r="AS1093" i="9"/>
  <c r="AJ1093" i="9"/>
  <c r="AA1093" i="9"/>
  <c r="CA1095" i="9"/>
  <c r="BP1095" i="9"/>
  <c r="BG1095" i="9"/>
  <c r="AX1095" i="9"/>
  <c r="AO1095" i="9"/>
  <c r="AF1095" i="9"/>
  <c r="V1095" i="9"/>
  <c r="CB1094" i="9"/>
  <c r="BQ1094" i="9"/>
  <c r="BH1094" i="9"/>
  <c r="AY1094" i="9"/>
  <c r="AP1094" i="9"/>
  <c r="AG1094" i="9"/>
  <c r="W1094" i="9"/>
  <c r="CD1093" i="9"/>
  <c r="BT1093" i="9"/>
  <c r="BT1096" i="9" s="1"/>
  <c r="BJ1093" i="9"/>
  <c r="BA1093" i="9"/>
  <c r="AR1093" i="9"/>
  <c r="AI1093" i="9"/>
  <c r="Y1093" i="9"/>
  <c r="BR376" i="3"/>
  <c r="BJ376" i="3"/>
  <c r="BB376" i="3"/>
  <c r="AT376" i="3"/>
  <c r="AL376" i="3"/>
  <c r="AD376" i="3"/>
  <c r="BQ376" i="3"/>
  <c r="BI376" i="3"/>
  <c r="BA376" i="3"/>
  <c r="AS376" i="3"/>
  <c r="AK376" i="3"/>
  <c r="AC376" i="3"/>
  <c r="BT376" i="3"/>
  <c r="BL376" i="3"/>
  <c r="BD376" i="3"/>
  <c r="AV376" i="3"/>
  <c r="AN376" i="3"/>
  <c r="AF376" i="3"/>
  <c r="BM376" i="3"/>
  <c r="AY376" i="3"/>
  <c r="AM376" i="3"/>
  <c r="BK376" i="3"/>
  <c r="AX376" i="3"/>
  <c r="AJ376" i="3"/>
  <c r="BV376" i="3"/>
  <c r="BH376" i="3"/>
  <c r="AW376" i="3"/>
  <c r="AI376" i="3"/>
  <c r="BU376" i="3"/>
  <c r="BG376" i="3"/>
  <c r="AU376" i="3"/>
  <c r="AH376" i="3"/>
  <c r="BS376" i="3"/>
  <c r="BF376" i="3"/>
  <c r="AR376" i="3"/>
  <c r="AG376" i="3"/>
  <c r="BP376" i="3"/>
  <c r="BE376" i="3"/>
  <c r="AQ376" i="3"/>
  <c r="AE376" i="3"/>
  <c r="BO376" i="3"/>
  <c r="BC376" i="3"/>
  <c r="AP376" i="3"/>
  <c r="AB376" i="3"/>
  <c r="BN376" i="3"/>
  <c r="AZ376" i="3"/>
  <c r="AO376" i="3"/>
  <c r="AA376" i="3"/>
  <c r="BS386" i="3"/>
  <c r="BK386" i="3"/>
  <c r="BC386" i="3"/>
  <c r="AU386" i="3"/>
  <c r="AM386" i="3"/>
  <c r="AE386" i="3"/>
  <c r="BR386" i="3"/>
  <c r="BJ386" i="3"/>
  <c r="BB386" i="3"/>
  <c r="AT386" i="3"/>
  <c r="AL386" i="3"/>
  <c r="AD386" i="3"/>
  <c r="BQ386" i="3"/>
  <c r="BI386" i="3"/>
  <c r="BA386" i="3"/>
  <c r="AS386" i="3"/>
  <c r="AK386" i="3"/>
  <c r="AC386" i="3"/>
  <c r="BP386" i="3"/>
  <c r="BH386" i="3"/>
  <c r="AZ386" i="3"/>
  <c r="AR386" i="3"/>
  <c r="AJ386" i="3"/>
  <c r="AB386" i="3"/>
  <c r="BO386" i="3"/>
  <c r="BG386" i="3"/>
  <c r="AY386" i="3"/>
  <c r="AQ386" i="3"/>
  <c r="AI386" i="3"/>
  <c r="AA386" i="3"/>
  <c r="BV386" i="3"/>
  <c r="BN386" i="3"/>
  <c r="BF386" i="3"/>
  <c r="AX386" i="3"/>
  <c r="AP386" i="3"/>
  <c r="AH386" i="3"/>
  <c r="BU386" i="3"/>
  <c r="BM386" i="3"/>
  <c r="BE386" i="3"/>
  <c r="AW386" i="3"/>
  <c r="AO386" i="3"/>
  <c r="AG386" i="3"/>
  <c r="BT386" i="3"/>
  <c r="BL386" i="3"/>
  <c r="BD386" i="3"/>
  <c r="AV386" i="3"/>
  <c r="AN386" i="3"/>
  <c r="AF386" i="3"/>
  <c r="BO377" i="3"/>
  <c r="BG377" i="3"/>
  <c r="BV377" i="3"/>
  <c r="BN377" i="3"/>
  <c r="BF377" i="3"/>
  <c r="AX377" i="3"/>
  <c r="AP377" i="3"/>
  <c r="AH377" i="3"/>
  <c r="BU377" i="3"/>
  <c r="BM377" i="3"/>
  <c r="BE377" i="3"/>
  <c r="AW377" i="3"/>
  <c r="AO377" i="3"/>
  <c r="AG377" i="3"/>
  <c r="BP377" i="3"/>
  <c r="BH377" i="3"/>
  <c r="AZ377" i="3"/>
  <c r="AR377" i="3"/>
  <c r="AJ377" i="3"/>
  <c r="AB377" i="3"/>
  <c r="BR377" i="3"/>
  <c r="BB377" i="3"/>
  <c r="AN377" i="3"/>
  <c r="AC377" i="3"/>
  <c r="BQ377" i="3"/>
  <c r="BA377" i="3"/>
  <c r="AM377" i="3"/>
  <c r="AA377" i="3"/>
  <c r="BL377" i="3"/>
  <c r="AY377" i="3"/>
  <c r="AL377" i="3"/>
  <c r="BK377" i="3"/>
  <c r="AV377" i="3"/>
  <c r="AK377" i="3"/>
  <c r="BJ377" i="3"/>
  <c r="AU377" i="3"/>
  <c r="AI377" i="3"/>
  <c r="BI377" i="3"/>
  <c r="AT377" i="3"/>
  <c r="AF377" i="3"/>
  <c r="BT377" i="3"/>
  <c r="BD377" i="3"/>
  <c r="AS377" i="3"/>
  <c r="AE377" i="3"/>
  <c r="BS377" i="3"/>
  <c r="BC377" i="3"/>
  <c r="AQ377" i="3"/>
  <c r="AD377" i="3"/>
  <c r="AC130" i="30"/>
  <c r="AD239" i="6"/>
  <c r="AD242" i="6" s="1"/>
  <c r="AE142" i="6"/>
  <c r="AE155" i="6" s="1"/>
  <c r="AD158" i="6"/>
  <c r="AD121" i="30" s="1"/>
  <c r="AD127" i="30"/>
  <c r="AE206" i="6"/>
  <c r="AE217" i="6" s="1"/>
  <c r="X253" i="6"/>
  <c r="BZ251" i="6"/>
  <c r="BZ253" i="6" s="1"/>
  <c r="BZ135" i="30" s="1"/>
  <c r="AA551" i="9"/>
  <c r="AA430" i="9"/>
  <c r="BU375" i="3"/>
  <c r="BM375" i="3"/>
  <c r="BP375" i="3"/>
  <c r="BV375" i="3"/>
  <c r="BK375" i="3"/>
  <c r="BC375" i="3"/>
  <c r="AU375" i="3"/>
  <c r="AM375" i="3"/>
  <c r="AE375" i="3"/>
  <c r="BT375" i="3"/>
  <c r="BJ375" i="3"/>
  <c r="BB375" i="3"/>
  <c r="AT375" i="3"/>
  <c r="AL375" i="3"/>
  <c r="AD375" i="3"/>
  <c r="BS375" i="3"/>
  <c r="BI375" i="3"/>
  <c r="BA375" i="3"/>
  <c r="AS375" i="3"/>
  <c r="AK375" i="3"/>
  <c r="AC375" i="3"/>
  <c r="BR375" i="3"/>
  <c r="BH375" i="3"/>
  <c r="AZ375" i="3"/>
  <c r="AR375" i="3"/>
  <c r="AJ375" i="3"/>
  <c r="AB375" i="3"/>
  <c r="BQ375" i="3"/>
  <c r="BG375" i="3"/>
  <c r="AY375" i="3"/>
  <c r="AQ375" i="3"/>
  <c r="AI375" i="3"/>
  <c r="AA375" i="3"/>
  <c r="BO375" i="3"/>
  <c r="BF375" i="3"/>
  <c r="AX375" i="3"/>
  <c r="AP375" i="3"/>
  <c r="AH375" i="3"/>
  <c r="BN375" i="3"/>
  <c r="BE375" i="3"/>
  <c r="AW375" i="3"/>
  <c r="AO375" i="3"/>
  <c r="AG375" i="3"/>
  <c r="BL375" i="3"/>
  <c r="BD375" i="3"/>
  <c r="AV375" i="3"/>
  <c r="AN375" i="3"/>
  <c r="AF375" i="3"/>
  <c r="CG1125" i="9"/>
  <c r="BY1125" i="9"/>
  <c r="BP1125" i="9"/>
  <c r="BH1125" i="9"/>
  <c r="AZ1125" i="9"/>
  <c r="AR1125" i="9"/>
  <c r="AJ1125" i="9"/>
  <c r="AB1125" i="9"/>
  <c r="CH1124" i="9"/>
  <c r="BZ1124" i="9"/>
  <c r="BQ1124" i="9"/>
  <c r="BI1124" i="9"/>
  <c r="BA1124" i="9"/>
  <c r="AS1124" i="9"/>
  <c r="AK1124" i="9"/>
  <c r="AC1124" i="9"/>
  <c r="CI1123" i="9"/>
  <c r="CA1123" i="9"/>
  <c r="BR1123" i="9"/>
  <c r="BJ1123" i="9"/>
  <c r="BB1123" i="9"/>
  <c r="AT1123" i="9"/>
  <c r="AL1123" i="9"/>
  <c r="AD1123" i="9"/>
  <c r="CF1125" i="9"/>
  <c r="BX1125" i="9"/>
  <c r="BO1125" i="9"/>
  <c r="BG1125" i="9"/>
  <c r="AY1125" i="9"/>
  <c r="AQ1125" i="9"/>
  <c r="AI1125" i="9"/>
  <c r="AA1125" i="9"/>
  <c r="CG1124" i="9"/>
  <c r="BY1124" i="9"/>
  <c r="BP1124" i="9"/>
  <c r="BH1124" i="9"/>
  <c r="AZ1124" i="9"/>
  <c r="AR1124" i="9"/>
  <c r="AJ1124" i="9"/>
  <c r="AB1124" i="9"/>
  <c r="CH1123" i="9"/>
  <c r="BZ1123" i="9"/>
  <c r="BQ1123" i="9"/>
  <c r="BI1123" i="9"/>
  <c r="BA1123" i="9"/>
  <c r="AS1123" i="9"/>
  <c r="AK1123" i="9"/>
  <c r="AC1123" i="9"/>
  <c r="CE1125" i="9"/>
  <c r="BV1125" i="9"/>
  <c r="BN1125" i="9"/>
  <c r="BF1125" i="9"/>
  <c r="AX1125" i="9"/>
  <c r="AP1125" i="9"/>
  <c r="AH1125" i="9"/>
  <c r="Y1125" i="9"/>
  <c r="CF1124" i="9"/>
  <c r="BX1124" i="9"/>
  <c r="BO1124" i="9"/>
  <c r="BG1124" i="9"/>
  <c r="AY1124" i="9"/>
  <c r="AQ1124" i="9"/>
  <c r="AI1124" i="9"/>
  <c r="AA1124" i="9"/>
  <c r="CG1123" i="9"/>
  <c r="CG1126" i="9" s="1"/>
  <c r="CG198" i="30" s="1"/>
  <c r="BY1123" i="9"/>
  <c r="BY1126" i="9" s="1"/>
  <c r="BY198" i="30" s="1"/>
  <c r="BP1123" i="9"/>
  <c r="BP1126" i="9" s="1"/>
  <c r="BH1123" i="9"/>
  <c r="BH1126" i="9" s="1"/>
  <c r="BH198" i="30" s="1"/>
  <c r="AZ1123" i="9"/>
  <c r="AZ1126" i="9" s="1"/>
  <c r="AZ198" i="30" s="1"/>
  <c r="AR1123" i="9"/>
  <c r="AR1126" i="9" s="1"/>
  <c r="AR198" i="30" s="1"/>
  <c r="AJ1123" i="9"/>
  <c r="AJ1126" i="9" s="1"/>
  <c r="AJ198" i="30" s="1"/>
  <c r="AB1123" i="9"/>
  <c r="AB1126" i="9" s="1"/>
  <c r="AB198" i="30" s="1"/>
  <c r="CD1125" i="9"/>
  <c r="BU1125" i="9"/>
  <c r="BM1125" i="9"/>
  <c r="BE1125" i="9"/>
  <c r="AW1125" i="9"/>
  <c r="AO1125" i="9"/>
  <c r="AG1125" i="9"/>
  <c r="X1125" i="9"/>
  <c r="CE1124" i="9"/>
  <c r="BV1124" i="9"/>
  <c r="BN1124" i="9"/>
  <c r="BF1124" i="9"/>
  <c r="AX1124" i="9"/>
  <c r="AP1124" i="9"/>
  <c r="AH1124" i="9"/>
  <c r="Y1124" i="9"/>
  <c r="CF1123" i="9"/>
  <c r="CF1126" i="9" s="1"/>
  <c r="CF198" i="30" s="1"/>
  <c r="BX1123" i="9"/>
  <c r="BX1126" i="9" s="1"/>
  <c r="BX198" i="30" s="1"/>
  <c r="BO1123" i="9"/>
  <c r="BO1126" i="9" s="1"/>
  <c r="BG1123" i="9"/>
  <c r="BG1126" i="9" s="1"/>
  <c r="BG198" i="30" s="1"/>
  <c r="AY1123" i="9"/>
  <c r="AY1126" i="9" s="1"/>
  <c r="AY198" i="30" s="1"/>
  <c r="AQ1123" i="9"/>
  <c r="AQ1126" i="9" s="1"/>
  <c r="AQ198" i="30" s="1"/>
  <c r="AI1123" i="9"/>
  <c r="AI1126" i="9" s="1"/>
  <c r="AI198" i="30" s="1"/>
  <c r="AA1123" i="9"/>
  <c r="AA1126" i="9" s="1"/>
  <c r="AA198" i="30" s="1"/>
  <c r="CC1125" i="9"/>
  <c r="BT1125" i="9"/>
  <c r="BL1125" i="9"/>
  <c r="BD1125" i="9"/>
  <c r="AV1125" i="9"/>
  <c r="AN1125" i="9"/>
  <c r="AF1125" i="9"/>
  <c r="W1125" i="9"/>
  <c r="CD1124" i="9"/>
  <c r="BU1124" i="9"/>
  <c r="BM1124" i="9"/>
  <c r="BE1124" i="9"/>
  <c r="AW1124" i="9"/>
  <c r="AO1124" i="9"/>
  <c r="AG1124" i="9"/>
  <c r="X1124" i="9"/>
  <c r="CE1123" i="9"/>
  <c r="CE1126" i="9" s="1"/>
  <c r="CE198" i="30" s="1"/>
  <c r="BV1123" i="9"/>
  <c r="BV1126" i="9" s="1"/>
  <c r="BN1123" i="9"/>
  <c r="BN1126" i="9" s="1"/>
  <c r="BF1123" i="9"/>
  <c r="BF1126" i="9" s="1"/>
  <c r="BF198" i="30" s="1"/>
  <c r="AX1123" i="9"/>
  <c r="AX1126" i="9" s="1"/>
  <c r="AX198" i="30" s="1"/>
  <c r="AP1123" i="9"/>
  <c r="AP1126" i="9" s="1"/>
  <c r="AP198" i="30" s="1"/>
  <c r="AH1123" i="9"/>
  <c r="AH1126" i="9" s="1"/>
  <c r="AH198" i="30" s="1"/>
  <c r="Y1123" i="9"/>
  <c r="Y1126" i="9" s="1"/>
  <c r="Y198" i="30" s="1"/>
  <c r="CB1125" i="9"/>
  <c r="BS1125" i="9"/>
  <c r="BK1125" i="9"/>
  <c r="BC1125" i="9"/>
  <c r="AU1125" i="9"/>
  <c r="AM1125" i="9"/>
  <c r="AE1125" i="9"/>
  <c r="V1125" i="9"/>
  <c r="CC1124" i="9"/>
  <c r="BT1124" i="9"/>
  <c r="BL1124" i="9"/>
  <c r="BD1124" i="9"/>
  <c r="AV1124" i="9"/>
  <c r="AN1124" i="9"/>
  <c r="AF1124" i="9"/>
  <c r="W1124" i="9"/>
  <c r="CD1123" i="9"/>
  <c r="CD1126" i="9" s="1"/>
  <c r="CD198" i="30" s="1"/>
  <c r="BU1123" i="9"/>
  <c r="BU1126" i="9" s="1"/>
  <c r="BM1123" i="9"/>
  <c r="BM1126" i="9" s="1"/>
  <c r="BE1123" i="9"/>
  <c r="BE1126" i="9" s="1"/>
  <c r="BE198" i="30" s="1"/>
  <c r="AW1123" i="9"/>
  <c r="AW1126" i="9" s="1"/>
  <c r="AW198" i="30" s="1"/>
  <c r="AO1123" i="9"/>
  <c r="AO1126" i="9" s="1"/>
  <c r="AO198" i="30" s="1"/>
  <c r="AG1123" i="9"/>
  <c r="AG1126" i="9" s="1"/>
  <c r="AG198" i="30" s="1"/>
  <c r="X1123" i="9"/>
  <c r="X1126" i="9" s="1"/>
  <c r="X198" i="30" s="1"/>
  <c r="CI1125" i="9"/>
  <c r="CA1125" i="9"/>
  <c r="BR1125" i="9"/>
  <c r="BJ1125" i="9"/>
  <c r="BB1125" i="9"/>
  <c r="AT1125" i="9"/>
  <c r="AL1125" i="9"/>
  <c r="AD1125" i="9"/>
  <c r="CB1124" i="9"/>
  <c r="BS1124" i="9"/>
  <c r="BK1124" i="9"/>
  <c r="BC1124" i="9"/>
  <c r="AU1124" i="9"/>
  <c r="AM1124" i="9"/>
  <c r="AE1124" i="9"/>
  <c r="V1124" i="9"/>
  <c r="CC1123" i="9"/>
  <c r="CC1126" i="9" s="1"/>
  <c r="CC198" i="30" s="1"/>
  <c r="BT1123" i="9"/>
  <c r="BT1126" i="9" s="1"/>
  <c r="BL1123" i="9"/>
  <c r="BL1126" i="9" s="1"/>
  <c r="BD1123" i="9"/>
  <c r="BD1126" i="9" s="1"/>
  <c r="BD198" i="30" s="1"/>
  <c r="AV1123" i="9"/>
  <c r="AV1126" i="9" s="1"/>
  <c r="AV198" i="30" s="1"/>
  <c r="AN1123" i="9"/>
  <c r="AN1126" i="9" s="1"/>
  <c r="AN198" i="30" s="1"/>
  <c r="AF1123" i="9"/>
  <c r="AF1126" i="9" s="1"/>
  <c r="AF198" i="30" s="1"/>
  <c r="W1123" i="9"/>
  <c r="W1126" i="9" s="1"/>
  <c r="W198" i="30" s="1"/>
  <c r="CH1125" i="9"/>
  <c r="BZ1125" i="9"/>
  <c r="BQ1125" i="9"/>
  <c r="BI1125" i="9"/>
  <c r="BA1125" i="9"/>
  <c r="AS1125" i="9"/>
  <c r="AK1125" i="9"/>
  <c r="AC1125" i="9"/>
  <c r="CI1124" i="9"/>
  <c r="CA1124" i="9"/>
  <c r="BR1124" i="9"/>
  <c r="BJ1124" i="9"/>
  <c r="BB1124" i="9"/>
  <c r="AT1124" i="9"/>
  <c r="AL1124" i="9"/>
  <c r="AD1124" i="9"/>
  <c r="CB1123" i="9"/>
  <c r="CB1126" i="9" s="1"/>
  <c r="CB198" i="30" s="1"/>
  <c r="BS1123" i="9"/>
  <c r="BS1126" i="9" s="1"/>
  <c r="BK1123" i="9"/>
  <c r="BK1126" i="9" s="1"/>
  <c r="BC1123" i="9"/>
  <c r="BC1126" i="9" s="1"/>
  <c r="BC198" i="30" s="1"/>
  <c r="AU1123" i="9"/>
  <c r="AU1126" i="9" s="1"/>
  <c r="AU198" i="30" s="1"/>
  <c r="AM1123" i="9"/>
  <c r="AM1126" i="9" s="1"/>
  <c r="AM198" i="30" s="1"/>
  <c r="AE1123" i="9"/>
  <c r="AE1126" i="9" s="1"/>
  <c r="AE198" i="30" s="1"/>
  <c r="V1123" i="9"/>
  <c r="V1126" i="9" s="1"/>
  <c r="V198" i="30" s="1"/>
  <c r="BO1101" i="9"/>
  <c r="BG1101" i="9"/>
  <c r="BG105" i="6" s="1"/>
  <c r="BG93" i="30" s="1"/>
  <c r="BS1101" i="9"/>
  <c r="BK1101" i="9"/>
  <c r="BC1101" i="9"/>
  <c r="BC105" i="6" s="1"/>
  <c r="BC93" i="30" s="1"/>
  <c r="AU1101" i="9"/>
  <c r="AU105" i="6" s="1"/>
  <c r="AU93" i="30" s="1"/>
  <c r="AM1101" i="9"/>
  <c r="AM105" i="6" s="1"/>
  <c r="AM93" i="30" s="1"/>
  <c r="AE1101" i="9"/>
  <c r="AE105" i="6" s="1"/>
  <c r="AE93" i="30" s="1"/>
  <c r="BT1100" i="9"/>
  <c r="BL1100" i="9"/>
  <c r="BD1100" i="9"/>
  <c r="BD99" i="6" s="1"/>
  <c r="BD92" i="30" s="1"/>
  <c r="AV1100" i="9"/>
  <c r="AV99" i="6" s="1"/>
  <c r="AV92" i="30" s="1"/>
  <c r="AN1100" i="9"/>
  <c r="AN99" i="6" s="1"/>
  <c r="AN92" i="30" s="1"/>
  <c r="AF1100" i="9"/>
  <c r="AF99" i="6" s="1"/>
  <c r="AF92" i="30" s="1"/>
  <c r="W1100" i="9"/>
  <c r="W99" i="6" s="1"/>
  <c r="BU1099" i="9"/>
  <c r="BM1099" i="9"/>
  <c r="BE1099" i="9"/>
  <c r="AW1099" i="9"/>
  <c r="AO1099" i="9"/>
  <c r="AG1099" i="9"/>
  <c r="X1099" i="9"/>
  <c r="CA1101" i="9"/>
  <c r="CA105" i="6" s="1"/>
  <c r="CA93" i="30" s="1"/>
  <c r="BQ1101" i="9"/>
  <c r="BF1101" i="9"/>
  <c r="BF105" i="6" s="1"/>
  <c r="BF93" i="30" s="1"/>
  <c r="AW1101" i="9"/>
  <c r="AW105" i="6" s="1"/>
  <c r="AW93" i="30" s="1"/>
  <c r="AN1101" i="9"/>
  <c r="AN105" i="6" s="1"/>
  <c r="AN93" i="30" s="1"/>
  <c r="AD1101" i="9"/>
  <c r="AD105" i="6" s="1"/>
  <c r="AD93" i="30" s="1"/>
  <c r="BR1100" i="9"/>
  <c r="BI1100" i="9"/>
  <c r="BI99" i="6" s="1"/>
  <c r="BI92" i="30" s="1"/>
  <c r="AZ1100" i="9"/>
  <c r="AZ99" i="6" s="1"/>
  <c r="AZ92" i="30" s="1"/>
  <c r="AQ1100" i="9"/>
  <c r="AQ99" i="6" s="1"/>
  <c r="AQ92" i="30" s="1"/>
  <c r="AH1100" i="9"/>
  <c r="AH99" i="6" s="1"/>
  <c r="AH92" i="30" s="1"/>
  <c r="X1100" i="9"/>
  <c r="X99" i="6" s="1"/>
  <c r="X92" i="30" s="1"/>
  <c r="BT1099" i="9"/>
  <c r="BK1099" i="9"/>
  <c r="BB1099" i="9"/>
  <c r="AS1099" i="9"/>
  <c r="AJ1099" i="9"/>
  <c r="AA1099" i="9"/>
  <c r="BZ1101" i="9"/>
  <c r="BZ105" i="6" s="1"/>
  <c r="BZ93" i="30" s="1"/>
  <c r="BP1101" i="9"/>
  <c r="BE1101" i="9"/>
  <c r="BE105" i="6" s="1"/>
  <c r="BE93" i="30" s="1"/>
  <c r="AV1101" i="9"/>
  <c r="AV105" i="6" s="1"/>
  <c r="AV93" i="30" s="1"/>
  <c r="AL1101" i="9"/>
  <c r="AL105" i="6" s="1"/>
  <c r="AL93" i="30" s="1"/>
  <c r="AC1101" i="9"/>
  <c r="AC105" i="6" s="1"/>
  <c r="AC93" i="30" s="1"/>
  <c r="CA1100" i="9"/>
  <c r="CA99" i="6" s="1"/>
  <c r="CA92" i="30" s="1"/>
  <c r="BQ1100" i="9"/>
  <c r="BH1100" i="9"/>
  <c r="BH99" i="6" s="1"/>
  <c r="BH92" i="30" s="1"/>
  <c r="AY1100" i="9"/>
  <c r="AY99" i="6" s="1"/>
  <c r="AY92" i="30" s="1"/>
  <c r="AP1100" i="9"/>
  <c r="AP99" i="6" s="1"/>
  <c r="AP92" i="30" s="1"/>
  <c r="AG1100" i="9"/>
  <c r="AG99" i="6" s="1"/>
  <c r="AG92" i="30" s="1"/>
  <c r="BS1099" i="9"/>
  <c r="BJ1099" i="9"/>
  <c r="BA1099" i="9"/>
  <c r="AR1099" i="9"/>
  <c r="AI1099" i="9"/>
  <c r="Y1099" i="9"/>
  <c r="BY1101" i="9"/>
  <c r="BY105" i="6" s="1"/>
  <c r="BY93" i="30" s="1"/>
  <c r="BN1101" i="9"/>
  <c r="BD1101" i="9"/>
  <c r="BD105" i="6" s="1"/>
  <c r="BD93" i="30" s="1"/>
  <c r="AT1101" i="9"/>
  <c r="AT105" i="6" s="1"/>
  <c r="AT93" i="30" s="1"/>
  <c r="AK1101" i="9"/>
  <c r="AK105" i="6" s="1"/>
  <c r="AK93" i="30" s="1"/>
  <c r="AB1101" i="9"/>
  <c r="AB105" i="6" s="1"/>
  <c r="AB93" i="30" s="1"/>
  <c r="BZ1100" i="9"/>
  <c r="BZ99" i="6" s="1"/>
  <c r="BZ92" i="30" s="1"/>
  <c r="BP1100" i="9"/>
  <c r="BG1100" i="9"/>
  <c r="BG99" i="6" s="1"/>
  <c r="BG92" i="30" s="1"/>
  <c r="AX1100" i="9"/>
  <c r="AX99" i="6" s="1"/>
  <c r="AX92" i="30" s="1"/>
  <c r="AO1100" i="9"/>
  <c r="AO99" i="6" s="1"/>
  <c r="AO92" i="30" s="1"/>
  <c r="AE1100" i="9"/>
  <c r="AE99" i="6" s="1"/>
  <c r="AE92" i="30" s="1"/>
  <c r="BR1099" i="9"/>
  <c r="BI1099" i="9"/>
  <c r="AZ1099" i="9"/>
  <c r="AQ1099" i="9"/>
  <c r="AH1099" i="9"/>
  <c r="W1099" i="9"/>
  <c r="BM1101" i="9"/>
  <c r="BB1101" i="9"/>
  <c r="BB105" i="6" s="1"/>
  <c r="BB93" i="30" s="1"/>
  <c r="AS1101" i="9"/>
  <c r="AS105" i="6" s="1"/>
  <c r="AS93" i="30" s="1"/>
  <c r="AJ1101" i="9"/>
  <c r="AJ105" i="6" s="1"/>
  <c r="AJ93" i="30" s="1"/>
  <c r="AA1101" i="9"/>
  <c r="AA105" i="6" s="1"/>
  <c r="AA93" i="30" s="1"/>
  <c r="BY1100" i="9"/>
  <c r="BY99" i="6" s="1"/>
  <c r="BY92" i="30" s="1"/>
  <c r="BO1100" i="9"/>
  <c r="BF1100" i="9"/>
  <c r="BF99" i="6" s="1"/>
  <c r="BF92" i="30" s="1"/>
  <c r="AW1100" i="9"/>
  <c r="AW99" i="6" s="1"/>
  <c r="AW92" i="30" s="1"/>
  <c r="AM1100" i="9"/>
  <c r="AM99" i="6" s="1"/>
  <c r="AM92" i="30" s="1"/>
  <c r="AD1100" i="9"/>
  <c r="AD99" i="6" s="1"/>
  <c r="AD92" i="30" s="1"/>
  <c r="CA1099" i="9"/>
  <c r="BQ1099" i="9"/>
  <c r="BH1099" i="9"/>
  <c r="AY1099" i="9"/>
  <c r="AP1099" i="9"/>
  <c r="AF1099" i="9"/>
  <c r="BV1101" i="9"/>
  <c r="BL1101" i="9"/>
  <c r="BA1101" i="9"/>
  <c r="BA105" i="6" s="1"/>
  <c r="BA93" i="30" s="1"/>
  <c r="AR1101" i="9"/>
  <c r="AR105" i="6" s="1"/>
  <c r="AR93" i="30" s="1"/>
  <c r="AI1101" i="9"/>
  <c r="AI105" i="6" s="1"/>
  <c r="AI93" i="30" s="1"/>
  <c r="Y1101" i="9"/>
  <c r="Y105" i="6" s="1"/>
  <c r="Y93" i="30" s="1"/>
  <c r="BN1100" i="9"/>
  <c r="BE1100" i="9"/>
  <c r="BE99" i="6" s="1"/>
  <c r="BE92" i="30" s="1"/>
  <c r="AU1100" i="9"/>
  <c r="AU99" i="6" s="1"/>
  <c r="AU92" i="30" s="1"/>
  <c r="AL1100" i="9"/>
  <c r="AL99" i="6" s="1"/>
  <c r="AL92" i="30" s="1"/>
  <c r="AC1100" i="9"/>
  <c r="AC99" i="6" s="1"/>
  <c r="AC92" i="30" s="1"/>
  <c r="BZ1099" i="9"/>
  <c r="BZ1102" i="9" s="1"/>
  <c r="BP1099" i="9"/>
  <c r="BP1102" i="9" s="1"/>
  <c r="BG1099" i="9"/>
  <c r="BG1102" i="9" s="1"/>
  <c r="AX1099" i="9"/>
  <c r="AN1099" i="9"/>
  <c r="AE1099" i="9"/>
  <c r="BU1101" i="9"/>
  <c r="BJ1101" i="9"/>
  <c r="BJ105" i="6" s="1"/>
  <c r="BJ93" i="30" s="1"/>
  <c r="AZ1101" i="9"/>
  <c r="AZ105" i="6" s="1"/>
  <c r="AZ93" i="30" s="1"/>
  <c r="AQ1101" i="9"/>
  <c r="AQ105" i="6" s="1"/>
  <c r="AQ93" i="30" s="1"/>
  <c r="AH1101" i="9"/>
  <c r="AH105" i="6" s="1"/>
  <c r="AH93" i="30" s="1"/>
  <c r="X1101" i="9"/>
  <c r="X105" i="6" s="1"/>
  <c r="X93" i="30" s="1"/>
  <c r="BV1100" i="9"/>
  <c r="BM1100" i="9"/>
  <c r="BC1100" i="9"/>
  <c r="BC99" i="6" s="1"/>
  <c r="BC92" i="30" s="1"/>
  <c r="AT1100" i="9"/>
  <c r="AT99" i="6" s="1"/>
  <c r="AT92" i="30" s="1"/>
  <c r="AK1100" i="9"/>
  <c r="AK99" i="6" s="1"/>
  <c r="AK92" i="30" s="1"/>
  <c r="AB1100" i="9"/>
  <c r="AB99" i="6" s="1"/>
  <c r="AB92" i="30" s="1"/>
  <c r="BY1099" i="9"/>
  <c r="BY1102" i="9" s="1"/>
  <c r="BO1099" i="9"/>
  <c r="BO1102" i="9" s="1"/>
  <c r="BF1099" i="9"/>
  <c r="AV1099" i="9"/>
  <c r="AV1102" i="9" s="1"/>
  <c r="AM1099" i="9"/>
  <c r="AD1099" i="9"/>
  <c r="AD1102" i="9" s="1"/>
  <c r="BT1101" i="9"/>
  <c r="BI1101" i="9"/>
  <c r="BI105" i="6" s="1"/>
  <c r="BI93" i="30" s="1"/>
  <c r="AY1101" i="9"/>
  <c r="AY105" i="6" s="1"/>
  <c r="AY93" i="30" s="1"/>
  <c r="AP1101" i="9"/>
  <c r="AP105" i="6" s="1"/>
  <c r="AP93" i="30" s="1"/>
  <c r="AG1101" i="9"/>
  <c r="AG105" i="6" s="1"/>
  <c r="AG93" i="30" s="1"/>
  <c r="W1101" i="9"/>
  <c r="W105" i="6" s="1"/>
  <c r="BU1100" i="9"/>
  <c r="BK1100" i="9"/>
  <c r="BB1100" i="9"/>
  <c r="BB99" i="6" s="1"/>
  <c r="BB92" i="30" s="1"/>
  <c r="AS1100" i="9"/>
  <c r="AS99" i="6" s="1"/>
  <c r="AS92" i="30" s="1"/>
  <c r="AJ1100" i="9"/>
  <c r="AJ99" i="6" s="1"/>
  <c r="AJ92" i="30" s="1"/>
  <c r="AA1100" i="9"/>
  <c r="AA99" i="6" s="1"/>
  <c r="AA92" i="30" s="1"/>
  <c r="BN1099" i="9"/>
  <c r="BD1099" i="9"/>
  <c r="AU1099" i="9"/>
  <c r="AL1099" i="9"/>
  <c r="AL1102" i="9" s="1"/>
  <c r="AC1099" i="9"/>
  <c r="BR1101" i="9"/>
  <c r="BH1101" i="9"/>
  <c r="BH105" i="6" s="1"/>
  <c r="BH93" i="30" s="1"/>
  <c r="AX1101" i="9"/>
  <c r="AX105" i="6" s="1"/>
  <c r="AX93" i="30" s="1"/>
  <c r="AO1101" i="9"/>
  <c r="AO105" i="6" s="1"/>
  <c r="AO93" i="30" s="1"/>
  <c r="AF1101" i="9"/>
  <c r="AF105" i="6" s="1"/>
  <c r="AF93" i="30" s="1"/>
  <c r="BS1100" i="9"/>
  <c r="BJ1100" i="9"/>
  <c r="BJ99" i="6" s="1"/>
  <c r="BJ92" i="30" s="1"/>
  <c r="BA1100" i="9"/>
  <c r="BA99" i="6" s="1"/>
  <c r="BA92" i="30" s="1"/>
  <c r="AR1100" i="9"/>
  <c r="AR99" i="6" s="1"/>
  <c r="AR92" i="30" s="1"/>
  <c r="AI1100" i="9"/>
  <c r="AI99" i="6" s="1"/>
  <c r="AI92" i="30" s="1"/>
  <c r="Y1100" i="9"/>
  <c r="Y99" i="6" s="1"/>
  <c r="Y92" i="30" s="1"/>
  <c r="BV1099" i="9"/>
  <c r="BL1099" i="9"/>
  <c r="BC1099" i="9"/>
  <c r="AT1099" i="9"/>
  <c r="AK1099" i="9"/>
  <c r="AK1102" i="9" s="1"/>
  <c r="AB1099" i="9"/>
  <c r="W539" i="9"/>
  <c r="BY199" i="9"/>
  <c r="BY539" i="9" s="1"/>
  <c r="AA199" i="9"/>
  <c r="AA456" i="9"/>
  <c r="AA365" i="9"/>
  <c r="W542" i="9"/>
  <c r="BY256" i="9"/>
  <c r="BY542" i="9" s="1"/>
  <c r="AA256" i="9"/>
  <c r="AA452" i="9"/>
  <c r="AA289" i="9"/>
  <c r="AA449" i="9"/>
  <c r="AA232" i="9"/>
  <c r="AA543" i="9"/>
  <c r="AA278" i="9"/>
  <c r="W550" i="9"/>
  <c r="BY408" i="9"/>
  <c r="BY550" i="9" s="1"/>
  <c r="AA408" i="9"/>
  <c r="AA535" i="9"/>
  <c r="AA126" i="9"/>
  <c r="W533" i="9"/>
  <c r="BY85" i="9"/>
  <c r="BY533" i="9" s="1"/>
  <c r="AA85" i="9"/>
  <c r="W532" i="9"/>
  <c r="BY66" i="9"/>
  <c r="BY532" i="9" s="1"/>
  <c r="AA66" i="9"/>
  <c r="CI1131" i="9"/>
  <c r="CA1131" i="9"/>
  <c r="BR1131" i="9"/>
  <c r="BJ1131" i="9"/>
  <c r="BB1131" i="9"/>
  <c r="AT1131" i="9"/>
  <c r="AL1131" i="9"/>
  <c r="AD1131" i="9"/>
  <c r="CB1130" i="9"/>
  <c r="BS1130" i="9"/>
  <c r="BK1130" i="9"/>
  <c r="BC1130" i="9"/>
  <c r="AU1130" i="9"/>
  <c r="AM1130" i="9"/>
  <c r="AE1130" i="9"/>
  <c r="V1130" i="9"/>
  <c r="CC1129" i="9"/>
  <c r="BT1129" i="9"/>
  <c r="BL1129" i="9"/>
  <c r="BD1129" i="9"/>
  <c r="AV1129" i="9"/>
  <c r="AN1129" i="9"/>
  <c r="AF1129" i="9"/>
  <c r="W1129" i="9"/>
  <c r="CH1131" i="9"/>
  <c r="BZ1131" i="9"/>
  <c r="BQ1131" i="9"/>
  <c r="BI1131" i="9"/>
  <c r="BA1131" i="9"/>
  <c r="AS1131" i="9"/>
  <c r="AK1131" i="9"/>
  <c r="AC1131" i="9"/>
  <c r="CI1130" i="9"/>
  <c r="CA1130" i="9"/>
  <c r="BR1130" i="9"/>
  <c r="BJ1130" i="9"/>
  <c r="BB1130" i="9"/>
  <c r="AT1130" i="9"/>
  <c r="AL1130" i="9"/>
  <c r="AD1130" i="9"/>
  <c r="CB1129" i="9"/>
  <c r="BS1129" i="9"/>
  <c r="BK1129" i="9"/>
  <c r="BC1129" i="9"/>
  <c r="AU1129" i="9"/>
  <c r="AM1129" i="9"/>
  <c r="AE1129" i="9"/>
  <c r="V1129" i="9"/>
  <c r="CG1131" i="9"/>
  <c r="BY1131" i="9"/>
  <c r="BP1131" i="9"/>
  <c r="BH1131" i="9"/>
  <c r="AZ1131" i="9"/>
  <c r="AR1131" i="9"/>
  <c r="AJ1131" i="9"/>
  <c r="AB1131" i="9"/>
  <c r="CH1130" i="9"/>
  <c r="BZ1130" i="9"/>
  <c r="BQ1130" i="9"/>
  <c r="BI1130" i="9"/>
  <c r="BA1130" i="9"/>
  <c r="AS1130" i="9"/>
  <c r="AK1130" i="9"/>
  <c r="AC1130" i="9"/>
  <c r="CI1129" i="9"/>
  <c r="CI1132" i="9" s="1"/>
  <c r="CA1129" i="9"/>
  <c r="CA1132" i="9" s="1"/>
  <c r="BR1129" i="9"/>
  <c r="BR1132" i="9" s="1"/>
  <c r="BJ1129" i="9"/>
  <c r="BJ1132" i="9" s="1"/>
  <c r="BB1129" i="9"/>
  <c r="BB1132" i="9" s="1"/>
  <c r="AT1129" i="9"/>
  <c r="AT1132" i="9" s="1"/>
  <c r="AL1129" i="9"/>
  <c r="AL1132" i="9" s="1"/>
  <c r="AD1129" i="9"/>
  <c r="AD1132" i="9" s="1"/>
  <c r="CF1131" i="9"/>
  <c r="BX1131" i="9"/>
  <c r="BO1131" i="9"/>
  <c r="BG1131" i="9"/>
  <c r="AY1131" i="9"/>
  <c r="AQ1131" i="9"/>
  <c r="AI1131" i="9"/>
  <c r="AA1131" i="9"/>
  <c r="CG1130" i="9"/>
  <c r="BY1130" i="9"/>
  <c r="BP1130" i="9"/>
  <c r="BH1130" i="9"/>
  <c r="AZ1130" i="9"/>
  <c r="AR1130" i="9"/>
  <c r="AJ1130" i="9"/>
  <c r="AB1130" i="9"/>
  <c r="CH1129" i="9"/>
  <c r="CH1132" i="9" s="1"/>
  <c r="BZ1129" i="9"/>
  <c r="BZ1132" i="9" s="1"/>
  <c r="BQ1129" i="9"/>
  <c r="BQ1132" i="9" s="1"/>
  <c r="BI1129" i="9"/>
  <c r="BI1132" i="9" s="1"/>
  <c r="BA1129" i="9"/>
  <c r="BA1132" i="9" s="1"/>
  <c r="AS1129" i="9"/>
  <c r="AS1132" i="9" s="1"/>
  <c r="AK1129" i="9"/>
  <c r="AK1132" i="9" s="1"/>
  <c r="AC1129" i="9"/>
  <c r="AC1132" i="9" s="1"/>
  <c r="CE1131" i="9"/>
  <c r="BV1131" i="9"/>
  <c r="BN1131" i="9"/>
  <c r="BF1131" i="9"/>
  <c r="AX1131" i="9"/>
  <c r="AP1131" i="9"/>
  <c r="AH1131" i="9"/>
  <c r="Y1131" i="9"/>
  <c r="CF1130" i="9"/>
  <c r="BX1130" i="9"/>
  <c r="BO1130" i="9"/>
  <c r="BG1130" i="9"/>
  <c r="AY1130" i="9"/>
  <c r="AQ1130" i="9"/>
  <c r="AI1130" i="9"/>
  <c r="AA1130" i="9"/>
  <c r="CG1129" i="9"/>
  <c r="CG1132" i="9" s="1"/>
  <c r="BY1129" i="9"/>
  <c r="BY1132" i="9" s="1"/>
  <c r="BP1129" i="9"/>
  <c r="BP1132" i="9" s="1"/>
  <c r="BH1129" i="9"/>
  <c r="BH1132" i="9" s="1"/>
  <c r="AZ1129" i="9"/>
  <c r="AZ1132" i="9" s="1"/>
  <c r="AR1129" i="9"/>
  <c r="AR1132" i="9" s="1"/>
  <c r="AJ1129" i="9"/>
  <c r="AJ1132" i="9" s="1"/>
  <c r="AB1129" i="9"/>
  <c r="AB1132" i="9" s="1"/>
  <c r="CD1131" i="9"/>
  <c r="BU1131" i="9"/>
  <c r="BM1131" i="9"/>
  <c r="BE1131" i="9"/>
  <c r="AW1131" i="9"/>
  <c r="AO1131" i="9"/>
  <c r="AG1131" i="9"/>
  <c r="X1131" i="9"/>
  <c r="CE1130" i="9"/>
  <c r="BV1130" i="9"/>
  <c r="BN1130" i="9"/>
  <c r="BF1130" i="9"/>
  <c r="AX1130" i="9"/>
  <c r="AP1130" i="9"/>
  <c r="AH1130" i="9"/>
  <c r="Y1130" i="9"/>
  <c r="CF1129" i="9"/>
  <c r="CF1132" i="9" s="1"/>
  <c r="BX1129" i="9"/>
  <c r="BX1132" i="9" s="1"/>
  <c r="BO1129" i="9"/>
  <c r="BO1132" i="9" s="1"/>
  <c r="BG1129" i="9"/>
  <c r="BG1132" i="9" s="1"/>
  <c r="AY1129" i="9"/>
  <c r="AY1132" i="9" s="1"/>
  <c r="AQ1129" i="9"/>
  <c r="AQ1132" i="9" s="1"/>
  <c r="AI1129" i="9"/>
  <c r="AI1132" i="9" s="1"/>
  <c r="AA1129" i="9"/>
  <c r="AA1132" i="9" s="1"/>
  <c r="CC1131" i="9"/>
  <c r="BT1131" i="9"/>
  <c r="BL1131" i="9"/>
  <c r="BD1131" i="9"/>
  <c r="AV1131" i="9"/>
  <c r="AN1131" i="9"/>
  <c r="AF1131" i="9"/>
  <c r="W1131" i="9"/>
  <c r="CD1130" i="9"/>
  <c r="BU1130" i="9"/>
  <c r="BM1130" i="9"/>
  <c r="BE1130" i="9"/>
  <c r="AW1130" i="9"/>
  <c r="AO1130" i="9"/>
  <c r="AG1130" i="9"/>
  <c r="X1130" i="9"/>
  <c r="CE1129" i="9"/>
  <c r="CE1132" i="9" s="1"/>
  <c r="BV1129" i="9"/>
  <c r="BV1132" i="9" s="1"/>
  <c r="BN1129" i="9"/>
  <c r="BN1132" i="9" s="1"/>
  <c r="BF1129" i="9"/>
  <c r="BF1132" i="9" s="1"/>
  <c r="AX1129" i="9"/>
  <c r="AX1132" i="9" s="1"/>
  <c r="AP1129" i="9"/>
  <c r="AP1132" i="9" s="1"/>
  <c r="AH1129" i="9"/>
  <c r="AH1132" i="9" s="1"/>
  <c r="Y1129" i="9"/>
  <c r="Y1132" i="9" s="1"/>
  <c r="CB1131" i="9"/>
  <c r="BS1131" i="9"/>
  <c r="BK1131" i="9"/>
  <c r="BC1131" i="9"/>
  <c r="AU1131" i="9"/>
  <c r="AM1131" i="9"/>
  <c r="AE1131" i="9"/>
  <c r="V1131" i="9"/>
  <c r="CC1130" i="9"/>
  <c r="BT1130" i="9"/>
  <c r="BL1130" i="9"/>
  <c r="BD1130" i="9"/>
  <c r="AV1130" i="9"/>
  <c r="AN1130" i="9"/>
  <c r="AF1130" i="9"/>
  <c r="W1130" i="9"/>
  <c r="CD1129" i="9"/>
  <c r="CD1132" i="9" s="1"/>
  <c r="BU1129" i="9"/>
  <c r="BU1132" i="9" s="1"/>
  <c r="BM1129" i="9"/>
  <c r="BM1132" i="9" s="1"/>
  <c r="BE1129" i="9"/>
  <c r="BE1132" i="9" s="1"/>
  <c r="AW1129" i="9"/>
  <c r="AW1132" i="9" s="1"/>
  <c r="AO1129" i="9"/>
  <c r="AO1132" i="9" s="1"/>
  <c r="AG1129" i="9"/>
  <c r="AG1132" i="9" s="1"/>
  <c r="X1129" i="9"/>
  <c r="X1132" i="9" s="1"/>
  <c r="BS380" i="3"/>
  <c r="BK380" i="3"/>
  <c r="BC380" i="3"/>
  <c r="AU380" i="3"/>
  <c r="AM380" i="3"/>
  <c r="AE380" i="3"/>
  <c r="BR380" i="3"/>
  <c r="BJ380" i="3"/>
  <c r="BB380" i="3"/>
  <c r="AT380" i="3"/>
  <c r="AL380" i="3"/>
  <c r="AD380" i="3"/>
  <c r="BQ380" i="3"/>
  <c r="BI380" i="3"/>
  <c r="BA380" i="3"/>
  <c r="AS380" i="3"/>
  <c r="AK380" i="3"/>
  <c r="AC380" i="3"/>
  <c r="BT380" i="3"/>
  <c r="BL380" i="3"/>
  <c r="BD380" i="3"/>
  <c r="AV380" i="3"/>
  <c r="AN380" i="3"/>
  <c r="AF380" i="3"/>
  <c r="BG380" i="3"/>
  <c r="AQ380" i="3"/>
  <c r="AA380" i="3"/>
  <c r="BV380" i="3"/>
  <c r="BF380" i="3"/>
  <c r="AP380" i="3"/>
  <c r="BU380" i="3"/>
  <c r="BE380" i="3"/>
  <c r="AO380" i="3"/>
  <c r="BP380" i="3"/>
  <c r="AZ380" i="3"/>
  <c r="AJ380" i="3"/>
  <c r="BO380" i="3"/>
  <c r="AY380" i="3"/>
  <c r="AI380" i="3"/>
  <c r="BN380" i="3"/>
  <c r="AX380" i="3"/>
  <c r="AH380" i="3"/>
  <c r="BM380" i="3"/>
  <c r="AW380" i="3"/>
  <c r="AG380" i="3"/>
  <c r="BH380" i="3"/>
  <c r="AR380" i="3"/>
  <c r="AB380" i="3"/>
  <c r="AA444" i="9"/>
  <c r="AA137" i="9"/>
  <c r="BS369" i="3"/>
  <c r="BK369" i="3"/>
  <c r="BC369" i="3"/>
  <c r="AU369" i="3"/>
  <c r="AM369" i="3"/>
  <c r="AE369" i="3"/>
  <c r="BR369" i="3"/>
  <c r="BJ369" i="3"/>
  <c r="BB369" i="3"/>
  <c r="AT369" i="3"/>
  <c r="AL369" i="3"/>
  <c r="AD369" i="3"/>
  <c r="BQ369" i="3"/>
  <c r="BI369" i="3"/>
  <c r="BA369" i="3"/>
  <c r="AS369" i="3"/>
  <c r="AK369" i="3"/>
  <c r="AC369" i="3"/>
  <c r="BT369" i="3"/>
  <c r="BL369" i="3"/>
  <c r="BD369" i="3"/>
  <c r="AV369" i="3"/>
  <c r="AN369" i="3"/>
  <c r="AF369" i="3"/>
  <c r="BV369" i="3"/>
  <c r="BF369" i="3"/>
  <c r="AP369" i="3"/>
  <c r="BU369" i="3"/>
  <c r="BE369" i="3"/>
  <c r="AO369" i="3"/>
  <c r="BP369" i="3"/>
  <c r="AZ369" i="3"/>
  <c r="AJ369" i="3"/>
  <c r="BO369" i="3"/>
  <c r="AY369" i="3"/>
  <c r="AI369" i="3"/>
  <c r="BN369" i="3"/>
  <c r="AX369" i="3"/>
  <c r="AH369" i="3"/>
  <c r="BM369" i="3"/>
  <c r="AW369" i="3"/>
  <c r="AG369" i="3"/>
  <c r="BH369" i="3"/>
  <c r="AR369" i="3"/>
  <c r="AB369" i="3"/>
  <c r="BG369" i="3"/>
  <c r="AQ369" i="3"/>
  <c r="AA369" i="3"/>
  <c r="AA443" i="9"/>
  <c r="AA118" i="9"/>
  <c r="BO370" i="3"/>
  <c r="BG370" i="3"/>
  <c r="AY370" i="3"/>
  <c r="AQ370" i="3"/>
  <c r="AI370" i="3"/>
  <c r="AA370" i="3"/>
  <c r="BV370" i="3"/>
  <c r="BN370" i="3"/>
  <c r="BF370" i="3"/>
  <c r="AX370" i="3"/>
  <c r="AP370" i="3"/>
  <c r="AH370" i="3"/>
  <c r="BU370" i="3"/>
  <c r="BM370" i="3"/>
  <c r="BE370" i="3"/>
  <c r="AW370" i="3"/>
  <c r="AO370" i="3"/>
  <c r="AG370" i="3"/>
  <c r="BP370" i="3"/>
  <c r="BH370" i="3"/>
  <c r="AZ370" i="3"/>
  <c r="AR370" i="3"/>
  <c r="AJ370" i="3"/>
  <c r="AB370" i="3"/>
  <c r="BI370" i="3"/>
  <c r="AS370" i="3"/>
  <c r="AC370" i="3"/>
  <c r="BT370" i="3"/>
  <c r="BD370" i="3"/>
  <c r="AN370" i="3"/>
  <c r="BS370" i="3"/>
  <c r="BC370" i="3"/>
  <c r="AM370" i="3"/>
  <c r="BR370" i="3"/>
  <c r="BB370" i="3"/>
  <c r="AL370" i="3"/>
  <c r="BQ370" i="3"/>
  <c r="BA370" i="3"/>
  <c r="AK370" i="3"/>
  <c r="BL370" i="3"/>
  <c r="AV370" i="3"/>
  <c r="AF370" i="3"/>
  <c r="BK370" i="3"/>
  <c r="AU370" i="3"/>
  <c r="AE370" i="3"/>
  <c r="BJ370" i="3"/>
  <c r="AT370" i="3"/>
  <c r="AD370" i="3"/>
  <c r="BX1018" i="9"/>
  <c r="BX527" i="9"/>
  <c r="BX405" i="9"/>
  <c r="BX1017" i="9"/>
  <c r="BX526" i="9"/>
  <c r="BX386" i="9"/>
  <c r="AA549" i="9"/>
  <c r="AA392" i="9"/>
  <c r="W547" i="9"/>
  <c r="BY351" i="9"/>
  <c r="BY547" i="9" s="1"/>
  <c r="AA351" i="9"/>
  <c r="W455" i="9"/>
  <c r="AA342" i="9"/>
  <c r="BY342" i="9"/>
  <c r="BY455" i="9" s="1"/>
  <c r="BX1010" i="9"/>
  <c r="BX519" i="9"/>
  <c r="BX253" i="9"/>
  <c r="AA316" i="9"/>
  <c r="AA545" i="9"/>
  <c r="AA609" i="9"/>
  <c r="AA891" i="9" s="1"/>
  <c r="AB218" i="9"/>
  <c r="W446" i="9"/>
  <c r="BY171" i="9"/>
  <c r="BY446" i="9" s="1"/>
  <c r="AA171" i="9"/>
  <c r="BO379" i="3"/>
  <c r="BG379" i="3"/>
  <c r="AY379" i="3"/>
  <c r="AQ379" i="3"/>
  <c r="AI379" i="3"/>
  <c r="AA379" i="3"/>
  <c r="BV379" i="3"/>
  <c r="BN379" i="3"/>
  <c r="BF379" i="3"/>
  <c r="AX379" i="3"/>
  <c r="AP379" i="3"/>
  <c r="AH379" i="3"/>
  <c r="BU379" i="3"/>
  <c r="BM379" i="3"/>
  <c r="BE379" i="3"/>
  <c r="AW379" i="3"/>
  <c r="AO379" i="3"/>
  <c r="AG379" i="3"/>
  <c r="BP379" i="3"/>
  <c r="BH379" i="3"/>
  <c r="AZ379" i="3"/>
  <c r="AR379" i="3"/>
  <c r="AJ379" i="3"/>
  <c r="AB379" i="3"/>
  <c r="BT379" i="3"/>
  <c r="BD379" i="3"/>
  <c r="AN379" i="3"/>
  <c r="BS379" i="3"/>
  <c r="BC379" i="3"/>
  <c r="AM379" i="3"/>
  <c r="BR379" i="3"/>
  <c r="BB379" i="3"/>
  <c r="AL379" i="3"/>
  <c r="BQ379" i="3"/>
  <c r="BA379" i="3"/>
  <c r="AK379" i="3"/>
  <c r="BL379" i="3"/>
  <c r="AV379" i="3"/>
  <c r="AF379" i="3"/>
  <c r="BK379" i="3"/>
  <c r="AU379" i="3"/>
  <c r="AE379" i="3"/>
  <c r="BJ379" i="3"/>
  <c r="AT379" i="3"/>
  <c r="AD379" i="3"/>
  <c r="BI379" i="3"/>
  <c r="AS379" i="3"/>
  <c r="AC379" i="3"/>
  <c r="CI1107" i="9"/>
  <c r="CA1107" i="9"/>
  <c r="BR1107" i="9"/>
  <c r="BJ1107" i="9"/>
  <c r="BB1107" i="9"/>
  <c r="AT1107" i="9"/>
  <c r="AL1107" i="9"/>
  <c r="AD1107" i="9"/>
  <c r="CB1106" i="9"/>
  <c r="BS1106" i="9"/>
  <c r="BK1106" i="9"/>
  <c r="BC1106" i="9"/>
  <c r="AU1106" i="9"/>
  <c r="AM1106" i="9"/>
  <c r="AE1106" i="9"/>
  <c r="V1106" i="9"/>
  <c r="CC1105" i="9"/>
  <c r="CC1108" i="9" s="1"/>
  <c r="CC201" i="30" s="1"/>
  <c r="CC84" i="33" s="1"/>
  <c r="BT1105" i="9"/>
  <c r="BL1105" i="9"/>
  <c r="BD1105" i="9"/>
  <c r="AV1105" i="9"/>
  <c r="AN1105" i="9"/>
  <c r="AF1105" i="9"/>
  <c r="W1105" i="9"/>
  <c r="CH1107" i="9"/>
  <c r="BZ1107" i="9"/>
  <c r="BQ1107" i="9"/>
  <c r="BI1107" i="9"/>
  <c r="BA1107" i="9"/>
  <c r="AS1107" i="9"/>
  <c r="AK1107" i="9"/>
  <c r="AC1107" i="9"/>
  <c r="CI1106" i="9"/>
  <c r="CA1106" i="9"/>
  <c r="BR1106" i="9"/>
  <c r="BJ1106" i="9"/>
  <c r="BB1106" i="9"/>
  <c r="AT1106" i="9"/>
  <c r="AL1106" i="9"/>
  <c r="AD1106" i="9"/>
  <c r="CB1105" i="9"/>
  <c r="BS1105" i="9"/>
  <c r="BK1105" i="9"/>
  <c r="BC1105" i="9"/>
  <c r="AU1105" i="9"/>
  <c r="AM1105" i="9"/>
  <c r="AM1108" i="9" s="1"/>
  <c r="AM201" i="30" s="1"/>
  <c r="AM84" i="33" s="1"/>
  <c r="AE1105" i="9"/>
  <c r="V1105" i="9"/>
  <c r="CF1107" i="9"/>
  <c r="BX1107" i="9"/>
  <c r="BO1107" i="9"/>
  <c r="BG1107" i="9"/>
  <c r="AY1107" i="9"/>
  <c r="AQ1107" i="9"/>
  <c r="AI1107" i="9"/>
  <c r="AA1107" i="9"/>
  <c r="CG1106" i="9"/>
  <c r="BY1106" i="9"/>
  <c r="BP1106" i="9"/>
  <c r="BH1106" i="9"/>
  <c r="AZ1106" i="9"/>
  <c r="AR1106" i="9"/>
  <c r="AJ1106" i="9"/>
  <c r="AB1106" i="9"/>
  <c r="CH1105" i="9"/>
  <c r="CH1108" i="9" s="1"/>
  <c r="CH201" i="30" s="1"/>
  <c r="CH84" i="33" s="1"/>
  <c r="BZ1105" i="9"/>
  <c r="BQ1105" i="9"/>
  <c r="BI1105" i="9"/>
  <c r="CD1107" i="9"/>
  <c r="BU1107" i="9"/>
  <c r="BM1107" i="9"/>
  <c r="BE1107" i="9"/>
  <c r="AW1107" i="9"/>
  <c r="AO1107" i="9"/>
  <c r="AG1107" i="9"/>
  <c r="X1107" i="9"/>
  <c r="CE1106" i="9"/>
  <c r="BV1106" i="9"/>
  <c r="BN1106" i="9"/>
  <c r="BF1106" i="9"/>
  <c r="AX1106" i="9"/>
  <c r="AP1106" i="9"/>
  <c r="AH1106" i="9"/>
  <c r="Y1106" i="9"/>
  <c r="CF1105" i="9"/>
  <c r="BX1105" i="9"/>
  <c r="BO1105" i="9"/>
  <c r="BG1105" i="9"/>
  <c r="AY1105" i="9"/>
  <c r="AY1108" i="9" s="1"/>
  <c r="AY201" i="30" s="1"/>
  <c r="AY84" i="33" s="1"/>
  <c r="AQ1105" i="9"/>
  <c r="AI1105" i="9"/>
  <c r="AA1105" i="9"/>
  <c r="BT1107" i="9"/>
  <c r="BD1107" i="9"/>
  <c r="AN1107" i="9"/>
  <c r="W1107" i="9"/>
  <c r="BX1106" i="9"/>
  <c r="BG1106" i="9"/>
  <c r="AQ1106" i="9"/>
  <c r="AA1106" i="9"/>
  <c r="CA1105" i="9"/>
  <c r="BJ1105" i="9"/>
  <c r="BJ1108" i="9" s="1"/>
  <c r="BJ201" i="30" s="1"/>
  <c r="BJ84" i="33" s="1"/>
  <c r="AW1105" i="9"/>
  <c r="AJ1105" i="9"/>
  <c r="BS1107" i="9"/>
  <c r="BC1107" i="9"/>
  <c r="AM1107" i="9"/>
  <c r="V1107" i="9"/>
  <c r="BU1106" i="9"/>
  <c r="BE1106" i="9"/>
  <c r="AO1106" i="9"/>
  <c r="X1106" i="9"/>
  <c r="BY1105" i="9"/>
  <c r="BH1105" i="9"/>
  <c r="AT1105" i="9"/>
  <c r="AH1105" i="9"/>
  <c r="CG1107" i="9"/>
  <c r="BP1107" i="9"/>
  <c r="AZ1107" i="9"/>
  <c r="AJ1107" i="9"/>
  <c r="BT1106" i="9"/>
  <c r="BD1106" i="9"/>
  <c r="AN1106" i="9"/>
  <c r="W1106" i="9"/>
  <c r="BV1105" i="9"/>
  <c r="BF1105" i="9"/>
  <c r="AS1105" i="9"/>
  <c r="AG1105" i="9"/>
  <c r="CE1107" i="9"/>
  <c r="BN1107" i="9"/>
  <c r="AX1107" i="9"/>
  <c r="AH1107" i="9"/>
  <c r="CH1106" i="9"/>
  <c r="BQ1106" i="9"/>
  <c r="BA1106" i="9"/>
  <c r="AK1106" i="9"/>
  <c r="BU1105" i="9"/>
  <c r="BU1108" i="9" s="1"/>
  <c r="BE1105" i="9"/>
  <c r="AR1105" i="9"/>
  <c r="AD1105" i="9"/>
  <c r="CC1107" i="9"/>
  <c r="BL1107" i="9"/>
  <c r="AV1107" i="9"/>
  <c r="AF1107" i="9"/>
  <c r="CF1106" i="9"/>
  <c r="BO1106" i="9"/>
  <c r="AY1106" i="9"/>
  <c r="AI1106" i="9"/>
  <c r="CI1105" i="9"/>
  <c r="BR1105" i="9"/>
  <c r="BR1108" i="9" s="1"/>
  <c r="BB1105" i="9"/>
  <c r="BB1108" i="9" s="1"/>
  <c r="BB201" i="30" s="1"/>
  <c r="BB84" i="33" s="1"/>
  <c r="AP1105" i="9"/>
  <c r="AC1105" i="9"/>
  <c r="AC1108" i="9" s="1"/>
  <c r="AC201" i="30" s="1"/>
  <c r="AC84" i="33" s="1"/>
  <c r="CB1107" i="9"/>
  <c r="BK1107" i="9"/>
  <c r="AU1107" i="9"/>
  <c r="AE1107" i="9"/>
  <c r="CD1106" i="9"/>
  <c r="BM1106" i="9"/>
  <c r="AW1106" i="9"/>
  <c r="AG1106" i="9"/>
  <c r="CG1105" i="9"/>
  <c r="BP1105" i="9"/>
  <c r="BA1105" i="9"/>
  <c r="AO1105" i="9"/>
  <c r="AB1105" i="9"/>
  <c r="BY1107" i="9"/>
  <c r="BH1107" i="9"/>
  <c r="AR1107" i="9"/>
  <c r="AB1107" i="9"/>
  <c r="CC1106" i="9"/>
  <c r="BL1106" i="9"/>
  <c r="AV1106" i="9"/>
  <c r="AF1106" i="9"/>
  <c r="CE1105" i="9"/>
  <c r="BN1105" i="9"/>
  <c r="AZ1105" i="9"/>
  <c r="AZ1108" i="9" s="1"/>
  <c r="AZ201" i="30" s="1"/>
  <c r="AZ84" i="33" s="1"/>
  <c r="AL1105" i="9"/>
  <c r="Y1105" i="9"/>
  <c r="BV1107" i="9"/>
  <c r="BF1107" i="9"/>
  <c r="AP1107" i="9"/>
  <c r="Y1107" i="9"/>
  <c r="BZ1106" i="9"/>
  <c r="BI1106" i="9"/>
  <c r="AS1106" i="9"/>
  <c r="AC1106" i="9"/>
  <c r="CD1105" i="9"/>
  <c r="BM1105" i="9"/>
  <c r="AX1105" i="9"/>
  <c r="AK1105" i="9"/>
  <c r="AK1108" i="9" s="1"/>
  <c r="AK201" i="30" s="1"/>
  <c r="AK84" i="33" s="1"/>
  <c r="X1105" i="9"/>
  <c r="CE1149" i="9"/>
  <c r="CE1155" i="9" s="1"/>
  <c r="BV1149" i="9"/>
  <c r="BN1149" i="9"/>
  <c r="BF1149" i="9"/>
  <c r="AX1149" i="9"/>
  <c r="AP1149" i="9"/>
  <c r="AH1149" i="9"/>
  <c r="Y1149" i="9"/>
  <c r="CF1148" i="9"/>
  <c r="CF1154" i="9" s="1"/>
  <c r="BX1148" i="9"/>
  <c r="BO1148" i="9"/>
  <c r="BG1148" i="9"/>
  <c r="AY1148" i="9"/>
  <c r="AQ1148" i="9"/>
  <c r="AI1148" i="9"/>
  <c r="AA1148" i="9"/>
  <c r="CG1147" i="9"/>
  <c r="BY1147" i="9"/>
  <c r="BP1147" i="9"/>
  <c r="BH1147" i="9"/>
  <c r="AZ1147" i="9"/>
  <c r="AR1147" i="9"/>
  <c r="AJ1147" i="9"/>
  <c r="AB1147" i="9"/>
  <c r="CD1149" i="9"/>
  <c r="CD1155" i="9" s="1"/>
  <c r="BU1149" i="9"/>
  <c r="BM1149" i="9"/>
  <c r="BE1149" i="9"/>
  <c r="AW1149" i="9"/>
  <c r="AO1149" i="9"/>
  <c r="AG1149" i="9"/>
  <c r="X1149" i="9"/>
  <c r="CE1148" i="9"/>
  <c r="CE1154" i="9" s="1"/>
  <c r="BV1148" i="9"/>
  <c r="BN1148" i="9"/>
  <c r="BF1148" i="9"/>
  <c r="AX1148" i="9"/>
  <c r="AP1148" i="9"/>
  <c r="AH1148" i="9"/>
  <c r="Y1148" i="9"/>
  <c r="CF1147" i="9"/>
  <c r="BX1147" i="9"/>
  <c r="BO1147" i="9"/>
  <c r="BG1147" i="9"/>
  <c r="AY1147" i="9"/>
  <c r="AQ1147" i="9"/>
  <c r="AI1147" i="9"/>
  <c r="AA1147" i="9"/>
  <c r="CC1149" i="9"/>
  <c r="CC1155" i="9" s="1"/>
  <c r="BT1149" i="9"/>
  <c r="BL1149" i="9"/>
  <c r="BD1149" i="9"/>
  <c r="AV1149" i="9"/>
  <c r="AN1149" i="9"/>
  <c r="AF1149" i="9"/>
  <c r="W1149" i="9"/>
  <c r="CD1148" i="9"/>
  <c r="CD1154" i="9" s="1"/>
  <c r="BU1148" i="9"/>
  <c r="BM1148" i="9"/>
  <c r="BE1148" i="9"/>
  <c r="AW1148" i="9"/>
  <c r="AO1148" i="9"/>
  <c r="AG1148" i="9"/>
  <c r="X1148" i="9"/>
  <c r="CE1147" i="9"/>
  <c r="BV1147" i="9"/>
  <c r="BN1147" i="9"/>
  <c r="BF1147" i="9"/>
  <c r="AX1147" i="9"/>
  <c r="AP1147" i="9"/>
  <c r="AH1147" i="9"/>
  <c r="Y1147" i="9"/>
  <c r="CB1149" i="9"/>
  <c r="BS1149" i="9"/>
  <c r="BK1149" i="9"/>
  <c r="BC1149" i="9"/>
  <c r="AU1149" i="9"/>
  <c r="AM1149" i="9"/>
  <c r="AE1149" i="9"/>
  <c r="V1149" i="9"/>
  <c r="CC1148" i="9"/>
  <c r="CC1154" i="9" s="1"/>
  <c r="BT1148" i="9"/>
  <c r="BL1148" i="9"/>
  <c r="BD1148" i="9"/>
  <c r="AV1148" i="9"/>
  <c r="AN1148" i="9"/>
  <c r="AF1148" i="9"/>
  <c r="W1148" i="9"/>
  <c r="CD1147" i="9"/>
  <c r="BU1147" i="9"/>
  <c r="BM1147" i="9"/>
  <c r="BE1147" i="9"/>
  <c r="AW1147" i="9"/>
  <c r="AO1147" i="9"/>
  <c r="AG1147" i="9"/>
  <c r="X1147" i="9"/>
  <c r="CI1149" i="9"/>
  <c r="CI1155" i="9" s="1"/>
  <c r="CA1149" i="9"/>
  <c r="BR1149" i="9"/>
  <c r="BJ1149" i="9"/>
  <c r="BB1149" i="9"/>
  <c r="AT1149" i="9"/>
  <c r="AL1149" i="9"/>
  <c r="AD1149" i="9"/>
  <c r="AD1155" i="9" s="1"/>
  <c r="CB1148" i="9"/>
  <c r="BS1148" i="9"/>
  <c r="BK1148" i="9"/>
  <c r="BC1148" i="9"/>
  <c r="AU1148" i="9"/>
  <c r="AM1148" i="9"/>
  <c r="AE1148" i="9"/>
  <c r="V1148" i="9"/>
  <c r="V1154" i="9" s="1"/>
  <c r="CC1147" i="9"/>
  <c r="BT1147" i="9"/>
  <c r="BL1147" i="9"/>
  <c r="BD1147" i="9"/>
  <c r="AV1147" i="9"/>
  <c r="AN1147" i="9"/>
  <c r="AF1147" i="9"/>
  <c r="W1147" i="9"/>
  <c r="CH1149" i="9"/>
  <c r="CH1155" i="9" s="1"/>
  <c r="BZ1149" i="9"/>
  <c r="BQ1149" i="9"/>
  <c r="BI1149" i="9"/>
  <c r="BA1149" i="9"/>
  <c r="AS1149" i="9"/>
  <c r="AK1149" i="9"/>
  <c r="AC1149" i="9"/>
  <c r="AC1155" i="9" s="1"/>
  <c r="CI1148" i="9"/>
  <c r="CI1154" i="9" s="1"/>
  <c r="CA1148" i="9"/>
  <c r="BR1148" i="9"/>
  <c r="BJ1148" i="9"/>
  <c r="BB1148" i="9"/>
  <c r="AT1148" i="9"/>
  <c r="AL1148" i="9"/>
  <c r="AD1148" i="9"/>
  <c r="AD1154" i="9" s="1"/>
  <c r="CB1147" i="9"/>
  <c r="BS1147" i="9"/>
  <c r="BK1147" i="9"/>
  <c r="BC1147" i="9"/>
  <c r="AU1147" i="9"/>
  <c r="AM1147" i="9"/>
  <c r="AE1147" i="9"/>
  <c r="V1147" i="9"/>
  <c r="CG1149" i="9"/>
  <c r="CG1155" i="9" s="1"/>
  <c r="BY1149" i="9"/>
  <c r="BP1149" i="9"/>
  <c r="BH1149" i="9"/>
  <c r="AZ1149" i="9"/>
  <c r="AR1149" i="9"/>
  <c r="AJ1149" i="9"/>
  <c r="AB1149" i="9"/>
  <c r="CH1148" i="9"/>
  <c r="CH1154" i="9" s="1"/>
  <c r="BZ1148" i="9"/>
  <c r="BQ1148" i="9"/>
  <c r="BI1148" i="9"/>
  <c r="BA1148" i="9"/>
  <c r="AS1148" i="9"/>
  <c r="AK1148" i="9"/>
  <c r="AC1148" i="9"/>
  <c r="CI1147" i="9"/>
  <c r="CA1147" i="9"/>
  <c r="BR1147" i="9"/>
  <c r="BJ1147" i="9"/>
  <c r="BB1147" i="9"/>
  <c r="AT1147" i="9"/>
  <c r="AL1147" i="9"/>
  <c r="AD1147" i="9"/>
  <c r="CF1149" i="9"/>
  <c r="CF1155" i="9" s="1"/>
  <c r="BX1149" i="9"/>
  <c r="BX1155" i="9" s="1"/>
  <c r="BO1149" i="9"/>
  <c r="BG1149" i="9"/>
  <c r="AY1149" i="9"/>
  <c r="AQ1149" i="9"/>
  <c r="AI1149" i="9"/>
  <c r="AA1149" i="9"/>
  <c r="CG1148" i="9"/>
  <c r="CG1154" i="9" s="1"/>
  <c r="BY1148" i="9"/>
  <c r="BP1148" i="9"/>
  <c r="BH1148" i="9"/>
  <c r="AZ1148" i="9"/>
  <c r="AR1148" i="9"/>
  <c r="AJ1148" i="9"/>
  <c r="AB1148" i="9"/>
  <c r="CH1147" i="9"/>
  <c r="BZ1147" i="9"/>
  <c r="BQ1147" i="9"/>
  <c r="BI1147" i="9"/>
  <c r="BA1147" i="9"/>
  <c r="AS1147" i="9"/>
  <c r="AK1147" i="9"/>
  <c r="AC1147" i="9"/>
  <c r="BS1143" i="9"/>
  <c r="BK1143" i="9"/>
  <c r="BC1143" i="9"/>
  <c r="AU1143" i="9"/>
  <c r="AM1143" i="9"/>
  <c r="AE1143" i="9"/>
  <c r="BR1142" i="9"/>
  <c r="BJ1142" i="9"/>
  <c r="BB1142" i="9"/>
  <c r="AT1142" i="9"/>
  <c r="AL1142" i="9"/>
  <c r="AD1142" i="9"/>
  <c r="CA1141" i="9"/>
  <c r="BQ1141" i="9"/>
  <c r="BI1141" i="9"/>
  <c r="BA1141" i="9"/>
  <c r="AS1141" i="9"/>
  <c r="AK1141" i="9"/>
  <c r="AC1141" i="9"/>
  <c r="BR1143" i="9"/>
  <c r="BJ1143" i="9"/>
  <c r="BB1143" i="9"/>
  <c r="AT1143" i="9"/>
  <c r="AL1143" i="9"/>
  <c r="AD1143" i="9"/>
  <c r="CA1142" i="9"/>
  <c r="BQ1142" i="9"/>
  <c r="BI1142" i="9"/>
  <c r="BA1142" i="9"/>
  <c r="AS1142" i="9"/>
  <c r="AK1142" i="9"/>
  <c r="AC1142" i="9"/>
  <c r="BZ1141" i="9"/>
  <c r="BP1141" i="9"/>
  <c r="BH1141" i="9"/>
  <c r="AZ1141" i="9"/>
  <c r="AR1141" i="9"/>
  <c r="AJ1141" i="9"/>
  <c r="AB1141" i="9"/>
  <c r="CA1143" i="9"/>
  <c r="BQ1143" i="9"/>
  <c r="BI1143" i="9"/>
  <c r="BA1143" i="9"/>
  <c r="AS1143" i="9"/>
  <c r="AK1143" i="9"/>
  <c r="AC1143" i="9"/>
  <c r="BZ1142" i="9"/>
  <c r="BP1142" i="9"/>
  <c r="BH1142" i="9"/>
  <c r="AZ1142" i="9"/>
  <c r="AR1142" i="9"/>
  <c r="AJ1142" i="9"/>
  <c r="AB1142" i="9"/>
  <c r="BY1141" i="9"/>
  <c r="BO1141" i="9"/>
  <c r="BG1141" i="9"/>
  <c r="AY1141" i="9"/>
  <c r="AQ1141" i="9"/>
  <c r="AI1141" i="9"/>
  <c r="AA1141" i="9"/>
  <c r="BZ1143" i="9"/>
  <c r="BP1143" i="9"/>
  <c r="BH1143" i="9"/>
  <c r="AZ1143" i="9"/>
  <c r="AR1143" i="9"/>
  <c r="AJ1143" i="9"/>
  <c r="AB1143" i="9"/>
  <c r="BY1142" i="9"/>
  <c r="BO1142" i="9"/>
  <c r="BG1142" i="9"/>
  <c r="AY1142" i="9"/>
  <c r="AQ1142" i="9"/>
  <c r="AI1142" i="9"/>
  <c r="AA1142" i="9"/>
  <c r="BV1141" i="9"/>
  <c r="BN1141" i="9"/>
  <c r="BF1141" i="9"/>
  <c r="AX1141" i="9"/>
  <c r="AP1141" i="9"/>
  <c r="AH1141" i="9"/>
  <c r="Y1141" i="9"/>
  <c r="BY1143" i="9"/>
  <c r="BO1143" i="9"/>
  <c r="BG1143" i="9"/>
  <c r="AY1143" i="9"/>
  <c r="AQ1143" i="9"/>
  <c r="AI1143" i="9"/>
  <c r="AA1143" i="9"/>
  <c r="BV1142" i="9"/>
  <c r="BN1142" i="9"/>
  <c r="BF1142" i="9"/>
  <c r="AX1142" i="9"/>
  <c r="AP1142" i="9"/>
  <c r="AH1142" i="9"/>
  <c r="Y1142" i="9"/>
  <c r="BU1141" i="9"/>
  <c r="BM1141" i="9"/>
  <c r="BE1141" i="9"/>
  <c r="AW1141" i="9"/>
  <c r="AO1141" i="9"/>
  <c r="AG1141" i="9"/>
  <c r="X1141" i="9"/>
  <c r="BV1143" i="9"/>
  <c r="BN1143" i="9"/>
  <c r="BF1143" i="9"/>
  <c r="AX1143" i="9"/>
  <c r="AP1143" i="9"/>
  <c r="AH1143" i="9"/>
  <c r="Y1143" i="9"/>
  <c r="BU1142" i="9"/>
  <c r="BM1142" i="9"/>
  <c r="BE1142" i="9"/>
  <c r="AW1142" i="9"/>
  <c r="AO1142" i="9"/>
  <c r="AG1142" i="9"/>
  <c r="X1142" i="9"/>
  <c r="BT1141" i="9"/>
  <c r="BL1141" i="9"/>
  <c r="BD1141" i="9"/>
  <c r="AV1141" i="9"/>
  <c r="AN1141" i="9"/>
  <c r="AF1141" i="9"/>
  <c r="W1141" i="9"/>
  <c r="BU1143" i="9"/>
  <c r="BM1143" i="9"/>
  <c r="BE1143" i="9"/>
  <c r="AW1143" i="9"/>
  <c r="AO1143" i="9"/>
  <c r="AG1143" i="9"/>
  <c r="X1143" i="9"/>
  <c r="BT1142" i="9"/>
  <c r="BL1142" i="9"/>
  <c r="BD1142" i="9"/>
  <c r="AV1142" i="9"/>
  <c r="AN1142" i="9"/>
  <c r="AF1142" i="9"/>
  <c r="W1142" i="9"/>
  <c r="BS1141" i="9"/>
  <c r="BK1141" i="9"/>
  <c r="BC1141" i="9"/>
  <c r="AU1141" i="9"/>
  <c r="AM1141" i="9"/>
  <c r="AE1141" i="9"/>
  <c r="BT1143" i="9"/>
  <c r="BL1143" i="9"/>
  <c r="BD1143" i="9"/>
  <c r="AV1143" i="9"/>
  <c r="AN1143" i="9"/>
  <c r="AF1143" i="9"/>
  <c r="W1143" i="9"/>
  <c r="BS1142" i="9"/>
  <c r="BK1142" i="9"/>
  <c r="BC1142" i="9"/>
  <c r="AU1142" i="9"/>
  <c r="AM1142" i="9"/>
  <c r="AE1142" i="9"/>
  <c r="BR1141" i="9"/>
  <c r="BR1144" i="9" s="1"/>
  <c r="BJ1141" i="9"/>
  <c r="BB1141" i="9"/>
  <c r="AT1141" i="9"/>
  <c r="AL1141" i="9"/>
  <c r="AD1141" i="9"/>
  <c r="BO368" i="3"/>
  <c r="BG368" i="3"/>
  <c r="AY368" i="3"/>
  <c r="AQ368" i="3"/>
  <c r="AI368" i="3"/>
  <c r="AA368" i="3"/>
  <c r="BV368" i="3"/>
  <c r="BN368" i="3"/>
  <c r="BF368" i="3"/>
  <c r="AX368" i="3"/>
  <c r="AP368" i="3"/>
  <c r="AH368" i="3"/>
  <c r="BU368" i="3"/>
  <c r="BM368" i="3"/>
  <c r="BE368" i="3"/>
  <c r="AW368" i="3"/>
  <c r="AO368" i="3"/>
  <c r="AG368" i="3"/>
  <c r="BP368" i="3"/>
  <c r="BH368" i="3"/>
  <c r="AZ368" i="3"/>
  <c r="AR368" i="3"/>
  <c r="AJ368" i="3"/>
  <c r="AB368" i="3"/>
  <c r="BS368" i="3"/>
  <c r="BC368" i="3"/>
  <c r="AM368" i="3"/>
  <c r="BR368" i="3"/>
  <c r="BB368" i="3"/>
  <c r="AL368" i="3"/>
  <c r="BQ368" i="3"/>
  <c r="BA368" i="3"/>
  <c r="AK368" i="3"/>
  <c r="BL368" i="3"/>
  <c r="AV368" i="3"/>
  <c r="AF368" i="3"/>
  <c r="BK368" i="3"/>
  <c r="AU368" i="3"/>
  <c r="AE368" i="3"/>
  <c r="BJ368" i="3"/>
  <c r="AT368" i="3"/>
  <c r="AD368" i="3"/>
  <c r="BI368" i="3"/>
  <c r="AS368" i="3"/>
  <c r="AC368" i="3"/>
  <c r="BT368" i="3"/>
  <c r="BD368" i="3"/>
  <c r="AN368" i="3"/>
  <c r="W442" i="9"/>
  <c r="BY95" i="9"/>
  <c r="BY442" i="9" s="1"/>
  <c r="AA95" i="9"/>
  <c r="BO381" i="3"/>
  <c r="BG381" i="3"/>
  <c r="AY381" i="3"/>
  <c r="AQ381" i="3"/>
  <c r="AI381" i="3"/>
  <c r="AA381" i="3"/>
  <c r="BV381" i="3"/>
  <c r="BN381" i="3"/>
  <c r="BF381" i="3"/>
  <c r="AX381" i="3"/>
  <c r="AP381" i="3"/>
  <c r="AH381" i="3"/>
  <c r="BU381" i="3"/>
  <c r="BM381" i="3"/>
  <c r="BE381" i="3"/>
  <c r="AW381" i="3"/>
  <c r="AO381" i="3"/>
  <c r="AG381" i="3"/>
  <c r="BP381" i="3"/>
  <c r="BH381" i="3"/>
  <c r="AZ381" i="3"/>
  <c r="AR381" i="3"/>
  <c r="AJ381" i="3"/>
  <c r="AB381" i="3"/>
  <c r="BJ381" i="3"/>
  <c r="AT381" i="3"/>
  <c r="AD381" i="3"/>
  <c r="BI381" i="3"/>
  <c r="AS381" i="3"/>
  <c r="AC381" i="3"/>
  <c r="BT381" i="3"/>
  <c r="BD381" i="3"/>
  <c r="AN381" i="3"/>
  <c r="BS381" i="3"/>
  <c r="BC381" i="3"/>
  <c r="AM381" i="3"/>
  <c r="BR381" i="3"/>
  <c r="BB381" i="3"/>
  <c r="AL381" i="3"/>
  <c r="BQ381" i="3"/>
  <c r="BA381" i="3"/>
  <c r="AK381" i="3"/>
  <c r="BL381" i="3"/>
  <c r="AV381" i="3"/>
  <c r="AF381" i="3"/>
  <c r="BK381" i="3"/>
  <c r="AU381" i="3"/>
  <c r="AE381" i="3"/>
  <c r="BO374" i="3"/>
  <c r="BG374" i="3"/>
  <c r="AY374" i="3"/>
  <c r="AQ374" i="3"/>
  <c r="AI374" i="3"/>
  <c r="AA374" i="3"/>
  <c r="BV374" i="3"/>
  <c r="BN374" i="3"/>
  <c r="BF374" i="3"/>
  <c r="AX374" i="3"/>
  <c r="AP374" i="3"/>
  <c r="AH374" i="3"/>
  <c r="BU374" i="3"/>
  <c r="BM374" i="3"/>
  <c r="BE374" i="3"/>
  <c r="AW374" i="3"/>
  <c r="AO374" i="3"/>
  <c r="AG374" i="3"/>
  <c r="BT374" i="3"/>
  <c r="BL374" i="3"/>
  <c r="BD374" i="3"/>
  <c r="AV374" i="3"/>
  <c r="AN374" i="3"/>
  <c r="AF374" i="3"/>
  <c r="BS374" i="3"/>
  <c r="BK374" i="3"/>
  <c r="BC374" i="3"/>
  <c r="AU374" i="3"/>
  <c r="AM374" i="3"/>
  <c r="AE374" i="3"/>
  <c r="BR374" i="3"/>
  <c r="BJ374" i="3"/>
  <c r="BB374" i="3"/>
  <c r="AT374" i="3"/>
  <c r="AL374" i="3"/>
  <c r="AD374" i="3"/>
  <c r="BQ374" i="3"/>
  <c r="BI374" i="3"/>
  <c r="BA374" i="3"/>
  <c r="AS374" i="3"/>
  <c r="AK374" i="3"/>
  <c r="AC374" i="3"/>
  <c r="BP374" i="3"/>
  <c r="BH374" i="3"/>
  <c r="AZ374" i="3"/>
  <c r="AR374" i="3"/>
  <c r="AJ374" i="3"/>
  <c r="AB374" i="3"/>
  <c r="CV135" i="30"/>
  <c r="AB135" i="30"/>
  <c r="AC251" i="6"/>
  <c r="AC253" i="6" s="1"/>
  <c r="W546" i="9"/>
  <c r="AA332" i="9"/>
  <c r="BY332" i="9"/>
  <c r="BY546" i="9" s="1"/>
  <c r="BX1012" i="9"/>
  <c r="BX521" i="9"/>
  <c r="BX291" i="9"/>
  <c r="AA538" i="9"/>
  <c r="AA183" i="9"/>
  <c r="CC1137" i="9"/>
  <c r="BT1137" i="9"/>
  <c r="BL1137" i="9"/>
  <c r="BD1137" i="9"/>
  <c r="AV1137" i="9"/>
  <c r="AN1137" i="9"/>
  <c r="AF1137" i="9"/>
  <c r="W1137" i="9"/>
  <c r="CD1136" i="9"/>
  <c r="BU1136" i="9"/>
  <c r="BM1136" i="9"/>
  <c r="BE1136" i="9"/>
  <c r="AW1136" i="9"/>
  <c r="AO1136" i="9"/>
  <c r="AG1136" i="9"/>
  <c r="X1136" i="9"/>
  <c r="CE1135" i="9"/>
  <c r="BV1135" i="9"/>
  <c r="BN1135" i="9"/>
  <c r="BF1135" i="9"/>
  <c r="AX1135" i="9"/>
  <c r="AP1135" i="9"/>
  <c r="AH1135" i="9"/>
  <c r="Y1135" i="9"/>
  <c r="CB1137" i="9"/>
  <c r="BS1137" i="9"/>
  <c r="BK1137" i="9"/>
  <c r="BC1137" i="9"/>
  <c r="AU1137" i="9"/>
  <c r="AM1137" i="9"/>
  <c r="AE1137" i="9"/>
  <c r="V1137" i="9"/>
  <c r="CC1136" i="9"/>
  <c r="BT1136" i="9"/>
  <c r="BL1136" i="9"/>
  <c r="BD1136" i="9"/>
  <c r="AV1136" i="9"/>
  <c r="AN1136" i="9"/>
  <c r="AF1136" i="9"/>
  <c r="W1136" i="9"/>
  <c r="CD1135" i="9"/>
  <c r="BU1135" i="9"/>
  <c r="BM1135" i="9"/>
  <c r="BE1135" i="9"/>
  <c r="AW1135" i="9"/>
  <c r="AO1135" i="9"/>
  <c r="AG1135" i="9"/>
  <c r="X1135" i="9"/>
  <c r="CI1137" i="9"/>
  <c r="CA1137" i="9"/>
  <c r="BR1137" i="9"/>
  <c r="BJ1137" i="9"/>
  <c r="BB1137" i="9"/>
  <c r="AT1137" i="9"/>
  <c r="AL1137" i="9"/>
  <c r="AD1137" i="9"/>
  <c r="CB1136" i="9"/>
  <c r="BS1136" i="9"/>
  <c r="BK1136" i="9"/>
  <c r="BC1136" i="9"/>
  <c r="AU1136" i="9"/>
  <c r="AM1136" i="9"/>
  <c r="AE1136" i="9"/>
  <c r="V1136" i="9"/>
  <c r="CC1135" i="9"/>
  <c r="BT1135" i="9"/>
  <c r="BT1138" i="9" s="1"/>
  <c r="BL1135" i="9"/>
  <c r="BL1138" i="9" s="1"/>
  <c r="BD1135" i="9"/>
  <c r="AV1135" i="9"/>
  <c r="AV1138" i="9" s="1"/>
  <c r="AV136" i="6" s="1"/>
  <c r="AN1135" i="9"/>
  <c r="AF1135" i="9"/>
  <c r="AF1138" i="9" s="1"/>
  <c r="AF136" i="6" s="1"/>
  <c r="W1135" i="9"/>
  <c r="W1138" i="9" s="1"/>
  <c r="W136" i="6" s="1"/>
  <c r="CH1137" i="9"/>
  <c r="BZ1137" i="9"/>
  <c r="BQ1137" i="9"/>
  <c r="BI1137" i="9"/>
  <c r="BA1137" i="9"/>
  <c r="AS1137" i="9"/>
  <c r="AK1137" i="9"/>
  <c r="AC1137" i="9"/>
  <c r="CI1136" i="9"/>
  <c r="CA1136" i="9"/>
  <c r="BR1136" i="9"/>
  <c r="BJ1136" i="9"/>
  <c r="BB1136" i="9"/>
  <c r="AT1136" i="9"/>
  <c r="AL1136" i="9"/>
  <c r="AD1136" i="9"/>
  <c r="CB1135" i="9"/>
  <c r="BS1135" i="9"/>
  <c r="BS1138" i="9" s="1"/>
  <c r="BK1135" i="9"/>
  <c r="BK1138" i="9" s="1"/>
  <c r="BC1135" i="9"/>
  <c r="BC1138" i="9" s="1"/>
  <c r="BC136" i="6" s="1"/>
  <c r="AU1135" i="9"/>
  <c r="AU1138" i="9" s="1"/>
  <c r="AU136" i="6" s="1"/>
  <c r="AM1135" i="9"/>
  <c r="AE1135" i="9"/>
  <c r="AE1138" i="9" s="1"/>
  <c r="AE136" i="6" s="1"/>
  <c r="V1135" i="9"/>
  <c r="V1138" i="9" s="1"/>
  <c r="V136" i="6" s="1"/>
  <c r="CG1137" i="9"/>
  <c r="BY1137" i="9"/>
  <c r="BP1137" i="9"/>
  <c r="BH1137" i="9"/>
  <c r="AZ1137" i="9"/>
  <c r="AR1137" i="9"/>
  <c r="AJ1137" i="9"/>
  <c r="AB1137" i="9"/>
  <c r="CH1136" i="9"/>
  <c r="BZ1136" i="9"/>
  <c r="BQ1136" i="9"/>
  <c r="BI1136" i="9"/>
  <c r="BA1136" i="9"/>
  <c r="AS1136" i="9"/>
  <c r="AK1136" i="9"/>
  <c r="AC1136" i="9"/>
  <c r="CI1135" i="9"/>
  <c r="CI1138" i="9" s="1"/>
  <c r="CI136" i="6" s="1"/>
  <c r="CI139" i="6" s="1"/>
  <c r="CI120" i="30" s="1"/>
  <c r="CA1135" i="9"/>
  <c r="CA1138" i="9" s="1"/>
  <c r="CA136" i="6" s="1"/>
  <c r="BR1135" i="9"/>
  <c r="BR1138" i="9" s="1"/>
  <c r="BJ1135" i="9"/>
  <c r="BJ1138" i="9" s="1"/>
  <c r="BJ136" i="6" s="1"/>
  <c r="BB1135" i="9"/>
  <c r="BB1138" i="9" s="1"/>
  <c r="BB136" i="6" s="1"/>
  <c r="AT1135" i="9"/>
  <c r="AT1138" i="9" s="1"/>
  <c r="AT136" i="6" s="1"/>
  <c r="AL1135" i="9"/>
  <c r="AL1138" i="9" s="1"/>
  <c r="AL136" i="6" s="1"/>
  <c r="AD1135" i="9"/>
  <c r="AD1138" i="9" s="1"/>
  <c r="AD136" i="6" s="1"/>
  <c r="CF1137" i="9"/>
  <c r="BX1137" i="9"/>
  <c r="BO1137" i="9"/>
  <c r="BG1137" i="9"/>
  <c r="AY1137" i="9"/>
  <c r="AQ1137" i="9"/>
  <c r="AI1137" i="9"/>
  <c r="AA1137" i="9"/>
  <c r="CG1136" i="9"/>
  <c r="BY1136" i="9"/>
  <c r="BP1136" i="9"/>
  <c r="BH1136" i="9"/>
  <c r="AZ1136" i="9"/>
  <c r="AR1136" i="9"/>
  <c r="AJ1136" i="9"/>
  <c r="AB1136" i="9"/>
  <c r="CH1135" i="9"/>
  <c r="CH1138" i="9" s="1"/>
  <c r="CH136" i="6" s="1"/>
  <c r="CH139" i="6" s="1"/>
  <c r="CH120" i="30" s="1"/>
  <c r="BZ1135" i="9"/>
  <c r="BZ1138" i="9" s="1"/>
  <c r="BZ136" i="6" s="1"/>
  <c r="BQ1135" i="9"/>
  <c r="BQ1138" i="9" s="1"/>
  <c r="BI1135" i="9"/>
  <c r="BA1135" i="9"/>
  <c r="AS1135" i="9"/>
  <c r="AS1138" i="9" s="1"/>
  <c r="AS136" i="6" s="1"/>
  <c r="AK1135" i="9"/>
  <c r="AK1138" i="9" s="1"/>
  <c r="AK136" i="6" s="1"/>
  <c r="AC1135" i="9"/>
  <c r="AC1138" i="9" s="1"/>
  <c r="AC136" i="6" s="1"/>
  <c r="CE1137" i="9"/>
  <c r="BV1137" i="9"/>
  <c r="BN1137" i="9"/>
  <c r="BF1137" i="9"/>
  <c r="AX1137" i="9"/>
  <c r="AP1137" i="9"/>
  <c r="AH1137" i="9"/>
  <c r="Y1137" i="9"/>
  <c r="CF1136" i="9"/>
  <c r="BX1136" i="9"/>
  <c r="BO1136" i="9"/>
  <c r="BG1136" i="9"/>
  <c r="AY1136" i="9"/>
  <c r="AQ1136" i="9"/>
  <c r="AI1136" i="9"/>
  <c r="AA1136" i="9"/>
  <c r="CG1135" i="9"/>
  <c r="CG1138" i="9" s="1"/>
  <c r="CG136" i="6" s="1"/>
  <c r="CG139" i="6" s="1"/>
  <c r="CG120" i="30" s="1"/>
  <c r="BY1135" i="9"/>
  <c r="BY1138" i="9" s="1"/>
  <c r="BY136" i="6" s="1"/>
  <c r="BP1135" i="9"/>
  <c r="BP1138" i="9" s="1"/>
  <c r="BH1135" i="9"/>
  <c r="BH1138" i="9" s="1"/>
  <c r="BH136" i="6" s="1"/>
  <c r="AZ1135" i="9"/>
  <c r="AZ1138" i="9" s="1"/>
  <c r="AZ136" i="6" s="1"/>
  <c r="AR1135" i="9"/>
  <c r="AR1138" i="9" s="1"/>
  <c r="AR136" i="6" s="1"/>
  <c r="AJ1135" i="9"/>
  <c r="AJ1138" i="9" s="1"/>
  <c r="AJ136" i="6" s="1"/>
  <c r="AB1135" i="9"/>
  <c r="AB1138" i="9" s="1"/>
  <c r="AB136" i="6" s="1"/>
  <c r="CD1137" i="9"/>
  <c r="BU1137" i="9"/>
  <c r="BM1137" i="9"/>
  <c r="BE1137" i="9"/>
  <c r="AW1137" i="9"/>
  <c r="AO1137" i="9"/>
  <c r="AG1137" i="9"/>
  <c r="X1137" i="9"/>
  <c r="CE1136" i="9"/>
  <c r="BV1136" i="9"/>
  <c r="BN1136" i="9"/>
  <c r="BF1136" i="9"/>
  <c r="AX1136" i="9"/>
  <c r="AP1136" i="9"/>
  <c r="AH1136" i="9"/>
  <c r="Y1136" i="9"/>
  <c r="CF1135" i="9"/>
  <c r="CF1138" i="9" s="1"/>
  <c r="CF136" i="6" s="1"/>
  <c r="CF139" i="6" s="1"/>
  <c r="CF120" i="30" s="1"/>
  <c r="BX1135" i="9"/>
  <c r="BX1138" i="9" s="1"/>
  <c r="BX136" i="6" s="1"/>
  <c r="BX139" i="6" s="1"/>
  <c r="BX120" i="30" s="1"/>
  <c r="BO1135" i="9"/>
  <c r="BG1135" i="9"/>
  <c r="BG1138" i="9" s="1"/>
  <c r="BG136" i="6" s="1"/>
  <c r="AY1135" i="9"/>
  <c r="AQ1135" i="9"/>
  <c r="AQ1138" i="9" s="1"/>
  <c r="AQ136" i="6" s="1"/>
  <c r="AI1135" i="9"/>
  <c r="AI1138" i="9" s="1"/>
  <c r="AI136" i="6" s="1"/>
  <c r="AA1135" i="9"/>
  <c r="AA1138" i="9" s="1"/>
  <c r="AA136" i="6" s="1"/>
  <c r="BQ367" i="3"/>
  <c r="BI367" i="3"/>
  <c r="BA367" i="3"/>
  <c r="AS367" i="3"/>
  <c r="AK367" i="3"/>
  <c r="AC367" i="3"/>
  <c r="BT367" i="3"/>
  <c r="BL367" i="3"/>
  <c r="BD367" i="3"/>
  <c r="AV367" i="3"/>
  <c r="AN367" i="3"/>
  <c r="AF367" i="3"/>
  <c r="BU367" i="3"/>
  <c r="BJ367" i="3"/>
  <c r="AY367" i="3"/>
  <c r="AO367" i="3"/>
  <c r="AD367" i="3"/>
  <c r="BS367" i="3"/>
  <c r="BH367" i="3"/>
  <c r="AX367" i="3"/>
  <c r="AM367" i="3"/>
  <c r="AB367" i="3"/>
  <c r="BR367" i="3"/>
  <c r="BG367" i="3"/>
  <c r="AW367" i="3"/>
  <c r="AL367" i="3"/>
  <c r="AA367" i="3"/>
  <c r="BP367" i="3"/>
  <c r="BF367" i="3"/>
  <c r="AU367" i="3"/>
  <c r="AJ367" i="3"/>
  <c r="BO367" i="3"/>
  <c r="BE367" i="3"/>
  <c r="AT367" i="3"/>
  <c r="AI367" i="3"/>
  <c r="BN367" i="3"/>
  <c r="BC367" i="3"/>
  <c r="AR367" i="3"/>
  <c r="AH367" i="3"/>
  <c r="BM367" i="3"/>
  <c r="BB367" i="3"/>
  <c r="AQ367" i="3"/>
  <c r="AG367" i="3"/>
  <c r="BV367" i="3"/>
  <c r="BK367" i="3"/>
  <c r="AZ367" i="3"/>
  <c r="AP367" i="3"/>
  <c r="AE367" i="3"/>
  <c r="AA454" i="9"/>
  <c r="AA327" i="9"/>
  <c r="AA451" i="9"/>
  <c r="AA270" i="9"/>
  <c r="AB459" i="9"/>
  <c r="AB422" i="9"/>
  <c r="W441" i="9"/>
  <c r="BY76" i="9"/>
  <c r="BY441" i="9" s="1"/>
  <c r="AA76" i="9"/>
  <c r="AA440" i="9"/>
  <c r="AA61" i="9"/>
  <c r="BO383" i="3"/>
  <c r="BG383" i="3"/>
  <c r="AY383" i="3"/>
  <c r="AQ383" i="3"/>
  <c r="AI383" i="3"/>
  <c r="AA383" i="3"/>
  <c r="BV383" i="3"/>
  <c r="BN383" i="3"/>
  <c r="BF383" i="3"/>
  <c r="AX383" i="3"/>
  <c r="AP383" i="3"/>
  <c r="AH383" i="3"/>
  <c r="BU383" i="3"/>
  <c r="BM383" i="3"/>
  <c r="BE383" i="3"/>
  <c r="AW383" i="3"/>
  <c r="AO383" i="3"/>
  <c r="AG383" i="3"/>
  <c r="BT383" i="3"/>
  <c r="BL383" i="3"/>
  <c r="BD383" i="3"/>
  <c r="AV383" i="3"/>
  <c r="AN383" i="3"/>
  <c r="AF383" i="3"/>
  <c r="BS383" i="3"/>
  <c r="BK383" i="3"/>
  <c r="BC383" i="3"/>
  <c r="AU383" i="3"/>
  <c r="AM383" i="3"/>
  <c r="AE383" i="3"/>
  <c r="BR383" i="3"/>
  <c r="BJ383" i="3"/>
  <c r="BB383" i="3"/>
  <c r="AT383" i="3"/>
  <c r="AL383" i="3"/>
  <c r="AD383" i="3"/>
  <c r="BQ383" i="3"/>
  <c r="BI383" i="3"/>
  <c r="BA383" i="3"/>
  <c r="AS383" i="3"/>
  <c r="AK383" i="3"/>
  <c r="AC383" i="3"/>
  <c r="BP383" i="3"/>
  <c r="BH383" i="3"/>
  <c r="AZ383" i="3"/>
  <c r="AR383" i="3"/>
  <c r="AJ383" i="3"/>
  <c r="AB383" i="3"/>
  <c r="BN1118" i="9"/>
  <c r="AP1118" i="9"/>
  <c r="AM1118" i="9"/>
  <c r="AS1119" i="9"/>
  <c r="AT1118" i="9"/>
  <c r="AZ1119" i="9"/>
  <c r="BA1118" i="9"/>
  <c r="CC1113" i="9"/>
  <c r="CC1119" i="9" s="1"/>
  <c r="BT1113" i="9"/>
  <c r="BT1119" i="9" s="1"/>
  <c r="BL1113" i="9"/>
  <c r="BL1119" i="9" s="1"/>
  <c r="BD1113" i="9"/>
  <c r="BD1119" i="9" s="1"/>
  <c r="AV1113" i="9"/>
  <c r="AV1119" i="9" s="1"/>
  <c r="AN1113" i="9"/>
  <c r="AN1119" i="9" s="1"/>
  <c r="AF1113" i="9"/>
  <c r="AF1119" i="9" s="1"/>
  <c r="W1113" i="9"/>
  <c r="W1119" i="9" s="1"/>
  <c r="CD1112" i="9"/>
  <c r="CD1118" i="9" s="1"/>
  <c r="BU1112" i="9"/>
  <c r="BU1118" i="9" s="1"/>
  <c r="BM1112" i="9"/>
  <c r="BM1118" i="9" s="1"/>
  <c r="BE1112" i="9"/>
  <c r="BE1118" i="9" s="1"/>
  <c r="AW1112" i="9"/>
  <c r="AW1118" i="9" s="1"/>
  <c r="AO1112" i="9"/>
  <c r="AO1118" i="9" s="1"/>
  <c r="AG1112" i="9"/>
  <c r="AG1118" i="9" s="1"/>
  <c r="X1112" i="9"/>
  <c r="X1118" i="9" s="1"/>
  <c r="CE1111" i="9"/>
  <c r="BV1111" i="9"/>
  <c r="BN1111" i="9"/>
  <c r="BF1111" i="9"/>
  <c r="AX1111" i="9"/>
  <c r="AP1111" i="9"/>
  <c r="AH1111" i="9"/>
  <c r="Y1111" i="9"/>
  <c r="CB1113" i="9"/>
  <c r="CB1119" i="9" s="1"/>
  <c r="BS1113" i="9"/>
  <c r="BS1119" i="9" s="1"/>
  <c r="BK1113" i="9"/>
  <c r="BK1119" i="9" s="1"/>
  <c r="BC1113" i="9"/>
  <c r="BC1119" i="9" s="1"/>
  <c r="AU1113" i="9"/>
  <c r="AU1119" i="9" s="1"/>
  <c r="AM1113" i="9"/>
  <c r="AM1119" i="9" s="1"/>
  <c r="AE1113" i="9"/>
  <c r="AE1119" i="9" s="1"/>
  <c r="V1113" i="9"/>
  <c r="V1119" i="9" s="1"/>
  <c r="CC1112" i="9"/>
  <c r="CC1118" i="9" s="1"/>
  <c r="BT1112" i="9"/>
  <c r="BT1118" i="9" s="1"/>
  <c r="BL1112" i="9"/>
  <c r="BL1118" i="9" s="1"/>
  <c r="BD1112" i="9"/>
  <c r="BD1118" i="9" s="1"/>
  <c r="AV1112" i="9"/>
  <c r="AV1118" i="9" s="1"/>
  <c r="AN1112" i="9"/>
  <c r="AN1118" i="9" s="1"/>
  <c r="AF1112" i="9"/>
  <c r="AF1118" i="9" s="1"/>
  <c r="W1112" i="9"/>
  <c r="W1118" i="9" s="1"/>
  <c r="CD1111" i="9"/>
  <c r="BU1111" i="9"/>
  <c r="BM1111" i="9"/>
  <c r="BE1111" i="9"/>
  <c r="AW1111" i="9"/>
  <c r="AO1111" i="9"/>
  <c r="AO1114" i="9" s="1"/>
  <c r="AO202" i="30" s="1"/>
  <c r="AG1111" i="9"/>
  <c r="X1111" i="9"/>
  <c r="CI1113" i="9"/>
  <c r="CI1119" i="9" s="1"/>
  <c r="CA1113" i="9"/>
  <c r="CA1119" i="9" s="1"/>
  <c r="BR1113" i="9"/>
  <c r="BR1119" i="9" s="1"/>
  <c r="BJ1113" i="9"/>
  <c r="BJ1119" i="9" s="1"/>
  <c r="BB1113" i="9"/>
  <c r="BB1119" i="9" s="1"/>
  <c r="AT1113" i="9"/>
  <c r="AT1119" i="9" s="1"/>
  <c r="AL1113" i="9"/>
  <c r="AL1119" i="9" s="1"/>
  <c r="AD1113" i="9"/>
  <c r="AD1119" i="9" s="1"/>
  <c r="CB1112" i="9"/>
  <c r="CB1118" i="9" s="1"/>
  <c r="BS1112" i="9"/>
  <c r="BS1118" i="9" s="1"/>
  <c r="BK1112" i="9"/>
  <c r="BK1118" i="9" s="1"/>
  <c r="CH1113" i="9"/>
  <c r="CH1119" i="9" s="1"/>
  <c r="BZ1113" i="9"/>
  <c r="BZ1119" i="9" s="1"/>
  <c r="BQ1113" i="9"/>
  <c r="BQ1119" i="9" s="1"/>
  <c r="BI1113" i="9"/>
  <c r="BI1119" i="9" s="1"/>
  <c r="BA1113" i="9"/>
  <c r="BA1119" i="9" s="1"/>
  <c r="AS1113" i="9"/>
  <c r="AK1113" i="9"/>
  <c r="AK1119" i="9" s="1"/>
  <c r="AC1113" i="9"/>
  <c r="AC1119" i="9" s="1"/>
  <c r="CI1112" i="9"/>
  <c r="CI1118" i="9" s="1"/>
  <c r="CA1112" i="9"/>
  <c r="CA1118" i="9" s="1"/>
  <c r="BR1112" i="9"/>
  <c r="BR1118" i="9" s="1"/>
  <c r="BJ1112" i="9"/>
  <c r="BJ1118" i="9" s="1"/>
  <c r="BB1112" i="9"/>
  <c r="BB1118" i="9" s="1"/>
  <c r="AT1112" i="9"/>
  <c r="AL1112" i="9"/>
  <c r="AL1118" i="9" s="1"/>
  <c r="AD1112" i="9"/>
  <c r="AD1118" i="9" s="1"/>
  <c r="CB1111" i="9"/>
  <c r="BS1111" i="9"/>
  <c r="BS1114" i="9" s="1"/>
  <c r="BK1111" i="9"/>
  <c r="BC1111" i="9"/>
  <c r="BC1114" i="9" s="1"/>
  <c r="BC202" i="30" s="1"/>
  <c r="AU1111" i="9"/>
  <c r="AU1117" i="9" s="1"/>
  <c r="AM1111" i="9"/>
  <c r="AM1117" i="9" s="1"/>
  <c r="AE1111" i="9"/>
  <c r="AE1117" i="9" s="1"/>
  <c r="V1111" i="9"/>
  <c r="CG1113" i="9"/>
  <c r="CG1119" i="9" s="1"/>
  <c r="BY1113" i="9"/>
  <c r="BY1119" i="9" s="1"/>
  <c r="BP1113" i="9"/>
  <c r="BP1119" i="9" s="1"/>
  <c r="BH1113" i="9"/>
  <c r="BH1119" i="9" s="1"/>
  <c r="AZ1113" i="9"/>
  <c r="AR1113" i="9"/>
  <c r="AR1119" i="9" s="1"/>
  <c r="AJ1113" i="9"/>
  <c r="AJ1119" i="9" s="1"/>
  <c r="AB1113" i="9"/>
  <c r="AB1119" i="9" s="1"/>
  <c r="CH1112" i="9"/>
  <c r="CH1118" i="9" s="1"/>
  <c r="BZ1112" i="9"/>
  <c r="BZ1118" i="9" s="1"/>
  <c r="BQ1112" i="9"/>
  <c r="BQ1118" i="9" s="1"/>
  <c r="BI1112" i="9"/>
  <c r="BI1118" i="9" s="1"/>
  <c r="BA1112" i="9"/>
  <c r="AS1112" i="9"/>
  <c r="AS1118" i="9" s="1"/>
  <c r="AK1112" i="9"/>
  <c r="AK1118" i="9" s="1"/>
  <c r="AC1112" i="9"/>
  <c r="AC1118" i="9" s="1"/>
  <c r="CI1111" i="9"/>
  <c r="CA1111" i="9"/>
  <c r="BR1111" i="9"/>
  <c r="BR1114" i="9" s="1"/>
  <c r="BJ1111" i="9"/>
  <c r="BJ1114" i="9" s="1"/>
  <c r="BJ202" i="30" s="1"/>
  <c r="BB1111" i="9"/>
  <c r="BB1117" i="9" s="1"/>
  <c r="CF1113" i="9"/>
  <c r="CF1119" i="9" s="1"/>
  <c r="BX1113" i="9"/>
  <c r="BX1119" i="9" s="1"/>
  <c r="BO1113" i="9"/>
  <c r="BO1119" i="9" s="1"/>
  <c r="BG1113" i="9"/>
  <c r="BG1119" i="9" s="1"/>
  <c r="AY1113" i="9"/>
  <c r="AY1119" i="9" s="1"/>
  <c r="AQ1113" i="9"/>
  <c r="AQ1119" i="9" s="1"/>
  <c r="AI1113" i="9"/>
  <c r="AI1119" i="9" s="1"/>
  <c r="AA1113" i="9"/>
  <c r="AA1119" i="9" s="1"/>
  <c r="CG1112" i="9"/>
  <c r="CG1118" i="9" s="1"/>
  <c r="BY1112" i="9"/>
  <c r="BY1118" i="9" s="1"/>
  <c r="BP1112" i="9"/>
  <c r="BP1118" i="9" s="1"/>
  <c r="BH1112" i="9"/>
  <c r="BH1118" i="9" s="1"/>
  <c r="AZ1112" i="9"/>
  <c r="AZ1118" i="9" s="1"/>
  <c r="AR1112" i="9"/>
  <c r="AR1118" i="9" s="1"/>
  <c r="AJ1112" i="9"/>
  <c r="AJ1118" i="9" s="1"/>
  <c r="AB1112" i="9"/>
  <c r="AB1118" i="9" s="1"/>
  <c r="CH1111" i="9"/>
  <c r="BZ1111" i="9"/>
  <c r="BQ1111" i="9"/>
  <c r="BI1111" i="9"/>
  <c r="BA1111" i="9"/>
  <c r="BA1114" i="9" s="1"/>
  <c r="BA202" i="30" s="1"/>
  <c r="AS1111" i="9"/>
  <c r="AS1114" i="9" s="1"/>
  <c r="AS202" i="30" s="1"/>
  <c r="AK1111" i="9"/>
  <c r="AC1111" i="9"/>
  <c r="CE1113" i="9"/>
  <c r="CE1119" i="9" s="1"/>
  <c r="BV1113" i="9"/>
  <c r="BV1119" i="9" s="1"/>
  <c r="BN1113" i="9"/>
  <c r="BN1119" i="9" s="1"/>
  <c r="BF1113" i="9"/>
  <c r="BF1119" i="9" s="1"/>
  <c r="AX1113" i="9"/>
  <c r="AX1119" i="9" s="1"/>
  <c r="AP1113" i="9"/>
  <c r="AP1119" i="9" s="1"/>
  <c r="AH1113" i="9"/>
  <c r="AH1119" i="9" s="1"/>
  <c r="Y1113" i="9"/>
  <c r="Y1119" i="9" s="1"/>
  <c r="CF1112" i="9"/>
  <c r="CF1118" i="9" s="1"/>
  <c r="BX1112" i="9"/>
  <c r="BX1118" i="9" s="1"/>
  <c r="BO1112" i="9"/>
  <c r="BO1118" i="9" s="1"/>
  <c r="BG1112" i="9"/>
  <c r="BG1118" i="9" s="1"/>
  <c r="AY1112" i="9"/>
  <c r="AY1118" i="9" s="1"/>
  <c r="AQ1112" i="9"/>
  <c r="AQ1118" i="9" s="1"/>
  <c r="AI1112" i="9"/>
  <c r="AI1118" i="9" s="1"/>
  <c r="AA1112" i="9"/>
  <c r="AA1118" i="9" s="1"/>
  <c r="CG1111" i="9"/>
  <c r="BY1111" i="9"/>
  <c r="BP1111" i="9"/>
  <c r="BH1111" i="9"/>
  <c r="AZ1111" i="9"/>
  <c r="AR1111" i="9"/>
  <c r="AR1114" i="9" s="1"/>
  <c r="AR202" i="30" s="1"/>
  <c r="CD1113" i="9"/>
  <c r="CD1119" i="9" s="1"/>
  <c r="BU1113" i="9"/>
  <c r="BU1119" i="9" s="1"/>
  <c r="BM1113" i="9"/>
  <c r="BM1119" i="9" s="1"/>
  <c r="BE1113" i="9"/>
  <c r="BE1119" i="9" s="1"/>
  <c r="AW1113" i="9"/>
  <c r="AW1119" i="9" s="1"/>
  <c r="AO1113" i="9"/>
  <c r="AO1119" i="9" s="1"/>
  <c r="AG1113" i="9"/>
  <c r="AG1119" i="9" s="1"/>
  <c r="X1113" i="9"/>
  <c r="X1119" i="9" s="1"/>
  <c r="CE1112" i="9"/>
  <c r="CE1118" i="9" s="1"/>
  <c r="BV1112" i="9"/>
  <c r="BV1118" i="9" s="1"/>
  <c r="BN1112" i="9"/>
  <c r="BF1112" i="9"/>
  <c r="BF1118" i="9" s="1"/>
  <c r="AX1112" i="9"/>
  <c r="AX1118" i="9" s="1"/>
  <c r="AP1112" i="9"/>
  <c r="AH1112" i="9"/>
  <c r="AH1118" i="9" s="1"/>
  <c r="Y1112" i="9"/>
  <c r="Y1118" i="9" s="1"/>
  <c r="CF1111" i="9"/>
  <c r="BX1111" i="9"/>
  <c r="BO1111" i="9"/>
  <c r="BO1117" i="9" s="1"/>
  <c r="BG1111" i="9"/>
  <c r="BG1117" i="9" s="1"/>
  <c r="AY1111" i="9"/>
  <c r="AY1117" i="9" s="1"/>
  <c r="BC1112" i="9"/>
  <c r="BC1118" i="9" s="1"/>
  <c r="BL1111" i="9"/>
  <c r="BL1114" i="9" s="1"/>
  <c r="AI1111" i="9"/>
  <c r="AI1117" i="9" s="1"/>
  <c r="AI1120" i="9" s="1"/>
  <c r="AI203" i="30" s="1"/>
  <c r="AU1112" i="9"/>
  <c r="AU1118" i="9" s="1"/>
  <c r="BD1111" i="9"/>
  <c r="AF1111" i="9"/>
  <c r="AF1117" i="9" s="1"/>
  <c r="AM1112" i="9"/>
  <c r="AV1111" i="9"/>
  <c r="AV1117" i="9" s="1"/>
  <c r="AD1111" i="9"/>
  <c r="AE1112" i="9"/>
  <c r="AE1118" i="9" s="1"/>
  <c r="AT1111" i="9"/>
  <c r="AT1114" i="9" s="1"/>
  <c r="AT202" i="30" s="1"/>
  <c r="AB1111" i="9"/>
  <c r="V1112" i="9"/>
  <c r="V1118" i="9" s="1"/>
  <c r="AQ1111" i="9"/>
  <c r="AQ1117" i="9" s="1"/>
  <c r="AA1111" i="9"/>
  <c r="AA1117" i="9" s="1"/>
  <c r="AA1120" i="9" s="1"/>
  <c r="AA203" i="30" s="1"/>
  <c r="AN1111" i="9"/>
  <c r="AN1117" i="9" s="1"/>
  <c r="W1111" i="9"/>
  <c r="CC1111" i="9"/>
  <c r="CC1114" i="9" s="1"/>
  <c r="CC202" i="30" s="1"/>
  <c r="AL1111" i="9"/>
  <c r="BT1111" i="9"/>
  <c r="AJ1111" i="9"/>
  <c r="AJ1117" i="9" s="1"/>
  <c r="BS384" i="3"/>
  <c r="BK384" i="3"/>
  <c r="BC384" i="3"/>
  <c r="AU384" i="3"/>
  <c r="AM384" i="3"/>
  <c r="AE384" i="3"/>
  <c r="BR384" i="3"/>
  <c r="BJ384" i="3"/>
  <c r="BB384" i="3"/>
  <c r="AT384" i="3"/>
  <c r="AL384" i="3"/>
  <c r="AD384" i="3"/>
  <c r="BQ384" i="3"/>
  <c r="BI384" i="3"/>
  <c r="BA384" i="3"/>
  <c r="AS384" i="3"/>
  <c r="AK384" i="3"/>
  <c r="AC384" i="3"/>
  <c r="BP384" i="3"/>
  <c r="BH384" i="3"/>
  <c r="AZ384" i="3"/>
  <c r="AR384" i="3"/>
  <c r="AJ384" i="3"/>
  <c r="AB384" i="3"/>
  <c r="BO384" i="3"/>
  <c r="BG384" i="3"/>
  <c r="AY384" i="3"/>
  <c r="AQ384" i="3"/>
  <c r="AI384" i="3"/>
  <c r="AA384" i="3"/>
  <c r="BV384" i="3"/>
  <c r="BN384" i="3"/>
  <c r="BF384" i="3"/>
  <c r="AX384" i="3"/>
  <c r="AP384" i="3"/>
  <c r="AH384" i="3"/>
  <c r="BU384" i="3"/>
  <c r="BM384" i="3"/>
  <c r="BE384" i="3"/>
  <c r="AW384" i="3"/>
  <c r="AO384" i="3"/>
  <c r="AG384" i="3"/>
  <c r="BT384" i="3"/>
  <c r="BL384" i="3"/>
  <c r="BD384" i="3"/>
  <c r="AV384" i="3"/>
  <c r="AN384" i="3"/>
  <c r="AF384" i="3"/>
  <c r="BS378" i="3"/>
  <c r="BK378" i="3"/>
  <c r="BC378" i="3"/>
  <c r="AU378" i="3"/>
  <c r="AM378" i="3"/>
  <c r="AE378" i="3"/>
  <c r="BR378" i="3"/>
  <c r="BJ378" i="3"/>
  <c r="BB378" i="3"/>
  <c r="AT378" i="3"/>
  <c r="AL378" i="3"/>
  <c r="AD378" i="3"/>
  <c r="BQ378" i="3"/>
  <c r="BI378" i="3"/>
  <c r="BA378" i="3"/>
  <c r="AS378" i="3"/>
  <c r="AK378" i="3"/>
  <c r="AC378" i="3"/>
  <c r="BT378" i="3"/>
  <c r="BL378" i="3"/>
  <c r="BD378" i="3"/>
  <c r="AV378" i="3"/>
  <c r="AN378" i="3"/>
  <c r="AF378" i="3"/>
  <c r="BU378" i="3"/>
  <c r="BE378" i="3"/>
  <c r="AO378" i="3"/>
  <c r="BP378" i="3"/>
  <c r="AZ378" i="3"/>
  <c r="AJ378" i="3"/>
  <c r="BO378" i="3"/>
  <c r="AY378" i="3"/>
  <c r="AI378" i="3"/>
  <c r="BN378" i="3"/>
  <c r="AX378" i="3"/>
  <c r="AH378" i="3"/>
  <c r="BM378" i="3"/>
  <c r="AW378" i="3"/>
  <c r="AG378" i="3"/>
  <c r="BH378" i="3"/>
  <c r="AR378" i="3"/>
  <c r="AB378" i="3"/>
  <c r="BG378" i="3"/>
  <c r="AQ378" i="3"/>
  <c r="AA378" i="3"/>
  <c r="BV378" i="3"/>
  <c r="BF378" i="3"/>
  <c r="AP378" i="3"/>
  <c r="BS373" i="3"/>
  <c r="BK373" i="3"/>
  <c r="BC373" i="3"/>
  <c r="AU373" i="3"/>
  <c r="AM373" i="3"/>
  <c r="AE373" i="3"/>
  <c r="BR373" i="3"/>
  <c r="BJ373" i="3"/>
  <c r="BB373" i="3"/>
  <c r="AT373" i="3"/>
  <c r="AL373" i="3"/>
  <c r="AD373" i="3"/>
  <c r="BQ373" i="3"/>
  <c r="BI373" i="3"/>
  <c r="BA373" i="3"/>
  <c r="AS373" i="3"/>
  <c r="AK373" i="3"/>
  <c r="AC373" i="3"/>
  <c r="BT373" i="3"/>
  <c r="BL373" i="3"/>
  <c r="BD373" i="3"/>
  <c r="AV373" i="3"/>
  <c r="AN373" i="3"/>
  <c r="AF373" i="3"/>
  <c r="BN373" i="3"/>
  <c r="AX373" i="3"/>
  <c r="AH373" i="3"/>
  <c r="BM373" i="3"/>
  <c r="AW373" i="3"/>
  <c r="AG373" i="3"/>
  <c r="BH373" i="3"/>
  <c r="AR373" i="3"/>
  <c r="AB373" i="3"/>
  <c r="BG373" i="3"/>
  <c r="AQ373" i="3"/>
  <c r="AA373" i="3"/>
  <c r="BV373" i="3"/>
  <c r="BF373" i="3"/>
  <c r="AP373" i="3"/>
  <c r="BU373" i="3"/>
  <c r="BE373" i="3"/>
  <c r="AO373" i="3"/>
  <c r="BP373" i="3"/>
  <c r="AZ373" i="3"/>
  <c r="AJ373" i="3"/>
  <c r="BO373" i="3"/>
  <c r="AY373" i="3"/>
  <c r="AI373" i="3"/>
  <c r="B2" i="9"/>
  <c r="BX1" i="9"/>
  <c r="AA1" i="9"/>
  <c r="V1" i="9"/>
  <c r="D1" i="9"/>
  <c r="BJ356" i="26"/>
  <c r="BI356" i="26"/>
  <c r="BH356" i="26"/>
  <c r="BG356" i="26"/>
  <c r="BF356" i="26"/>
  <c r="BE356" i="26"/>
  <c r="BD356" i="26"/>
  <c r="BC356" i="26"/>
  <c r="BB356" i="26"/>
  <c r="BA356" i="26"/>
  <c r="AZ356" i="26"/>
  <c r="AY356" i="26"/>
  <c r="AX356" i="26"/>
  <c r="AW356" i="26"/>
  <c r="AV356" i="26"/>
  <c r="AU356" i="26"/>
  <c r="AT356" i="26"/>
  <c r="AS356" i="26"/>
  <c r="AR356" i="26"/>
  <c r="AQ356" i="26"/>
  <c r="AP356" i="26"/>
  <c r="AO356" i="26"/>
  <c r="AN356" i="26"/>
  <c r="AM356" i="26"/>
  <c r="AL356" i="26"/>
  <c r="AK356" i="26"/>
  <c r="AJ356" i="26"/>
  <c r="AI356" i="26"/>
  <c r="AH356" i="26"/>
  <c r="AG356" i="26"/>
  <c r="AF356" i="26"/>
  <c r="AE356" i="26"/>
  <c r="AD356" i="26"/>
  <c r="AC356" i="26"/>
  <c r="AB356" i="26"/>
  <c r="AA356" i="26"/>
  <c r="Y356" i="26"/>
  <c r="CA356" i="26" s="1"/>
  <c r="X356" i="26"/>
  <c r="BZ356" i="26" s="1"/>
  <c r="W356" i="26"/>
  <c r="BY356" i="26" s="1"/>
  <c r="F356" i="26"/>
  <c r="EZ355" i="26"/>
  <c r="CI355" i="26"/>
  <c r="CH355" i="26"/>
  <c r="CG355" i="26"/>
  <c r="CF355" i="26"/>
  <c r="CE355" i="26"/>
  <c r="CD355" i="26"/>
  <c r="CC355" i="26"/>
  <c r="CB355" i="26"/>
  <c r="V355" i="26"/>
  <c r="EZ354" i="26"/>
  <c r="EZ353" i="26"/>
  <c r="CY353" i="26"/>
  <c r="CX353" i="26"/>
  <c r="CW353" i="26"/>
  <c r="EZ352" i="26"/>
  <c r="CY352" i="26"/>
  <c r="CX352" i="26"/>
  <c r="CW352" i="26"/>
  <c r="EZ351" i="26"/>
  <c r="CY351" i="26"/>
  <c r="CX351" i="26"/>
  <c r="CW351" i="26"/>
  <c r="EZ350" i="26"/>
  <c r="CY350" i="26"/>
  <c r="CX350" i="26"/>
  <c r="CW350" i="26"/>
  <c r="EZ349" i="26"/>
  <c r="CY349" i="26"/>
  <c r="CX349" i="26"/>
  <c r="CW349" i="26"/>
  <c r="EZ348" i="26"/>
  <c r="EZ347" i="26"/>
  <c r="EZ346" i="26"/>
  <c r="CY346" i="26"/>
  <c r="CX346" i="26"/>
  <c r="CW346" i="26"/>
  <c r="CI346" i="26"/>
  <c r="CH346" i="26"/>
  <c r="CG346" i="26"/>
  <c r="CF346" i="26"/>
  <c r="CE346" i="26"/>
  <c r="CD346" i="26"/>
  <c r="CC346" i="26"/>
  <c r="CB346" i="26"/>
  <c r="BJ346" i="26"/>
  <c r="BI346" i="26"/>
  <c r="BH346" i="26"/>
  <c r="BG346" i="26"/>
  <c r="BF346" i="26"/>
  <c r="BE346" i="26"/>
  <c r="BD346" i="26"/>
  <c r="BC346" i="26"/>
  <c r="BB346" i="26"/>
  <c r="BA346" i="26"/>
  <c r="AZ346" i="26"/>
  <c r="AY346" i="26"/>
  <c r="AX346" i="26"/>
  <c r="AW346" i="26"/>
  <c r="AV346" i="26"/>
  <c r="AU346" i="26"/>
  <c r="AT346" i="26"/>
  <c r="AS346" i="26"/>
  <c r="AR346" i="26"/>
  <c r="AQ346" i="26"/>
  <c r="AP346" i="26"/>
  <c r="AO346" i="26"/>
  <c r="AN346" i="26"/>
  <c r="AM346" i="26"/>
  <c r="AL346" i="26"/>
  <c r="AK346" i="26"/>
  <c r="AJ346" i="26"/>
  <c r="AI346" i="26"/>
  <c r="AH346" i="26"/>
  <c r="AG346" i="26"/>
  <c r="AF346" i="26"/>
  <c r="AE346" i="26"/>
  <c r="AD346" i="26"/>
  <c r="AC346" i="26"/>
  <c r="AB346" i="26"/>
  <c r="AA346" i="26"/>
  <c r="V346" i="26"/>
  <c r="EZ345" i="26"/>
  <c r="EZ344" i="26"/>
  <c r="CY344" i="26"/>
  <c r="CX344" i="26"/>
  <c r="CW344" i="26"/>
  <c r="BX344" i="26"/>
  <c r="BX346" i="26" s="1"/>
  <c r="EZ343" i="26"/>
  <c r="EZ342" i="26"/>
  <c r="EZ341" i="26"/>
  <c r="EZ340" i="26"/>
  <c r="CI340" i="26"/>
  <c r="CH340" i="26"/>
  <c r="CG340" i="26"/>
  <c r="CF340" i="26"/>
  <c r="CE340" i="26"/>
  <c r="CD340" i="26"/>
  <c r="CC340" i="26"/>
  <c r="CB340" i="26"/>
  <c r="BJ340" i="26"/>
  <c r="BI340" i="26"/>
  <c r="BH340" i="26"/>
  <c r="BG340" i="26"/>
  <c r="BF340" i="26"/>
  <c r="BE340" i="26"/>
  <c r="BD340" i="26"/>
  <c r="BC340" i="26"/>
  <c r="BB340" i="26"/>
  <c r="BA340" i="26"/>
  <c r="AZ340" i="26"/>
  <c r="AY340" i="26"/>
  <c r="AX340" i="26"/>
  <c r="AW340" i="26"/>
  <c r="AV340" i="26"/>
  <c r="AU340" i="26"/>
  <c r="AT340" i="26"/>
  <c r="AS340" i="26"/>
  <c r="AR340" i="26"/>
  <c r="AQ340" i="26"/>
  <c r="AP340" i="26"/>
  <c r="AO340" i="26"/>
  <c r="AN340" i="26"/>
  <c r="AM340" i="26"/>
  <c r="AL340" i="26"/>
  <c r="AK340" i="26"/>
  <c r="AJ340" i="26"/>
  <c r="AI340" i="26"/>
  <c r="AH340" i="26"/>
  <c r="AG340" i="26"/>
  <c r="AF340" i="26"/>
  <c r="AE340" i="26"/>
  <c r="AD340" i="26"/>
  <c r="AC340" i="26"/>
  <c r="AB340" i="26"/>
  <c r="AA340" i="26"/>
  <c r="V340" i="26"/>
  <c r="EZ339" i="26"/>
  <c r="EZ338" i="26"/>
  <c r="BX338" i="26"/>
  <c r="DH338" i="26" s="1"/>
  <c r="CY338" i="26" s="1"/>
  <c r="EZ337" i="26"/>
  <c r="EZ336" i="26"/>
  <c r="EZ335" i="26"/>
  <c r="EZ334" i="26"/>
  <c r="CI334" i="26"/>
  <c r="CH334" i="26"/>
  <c r="CG334" i="26"/>
  <c r="CF334" i="26"/>
  <c r="CE334" i="26"/>
  <c r="CD334" i="26"/>
  <c r="CC334" i="26"/>
  <c r="CB334" i="26"/>
  <c r="BJ334" i="26"/>
  <c r="BI334" i="26"/>
  <c r="BH334" i="26"/>
  <c r="BG334" i="26"/>
  <c r="BF334" i="26"/>
  <c r="BE334" i="26"/>
  <c r="BD334" i="26"/>
  <c r="BC334" i="26"/>
  <c r="BB334" i="26"/>
  <c r="BA334" i="26"/>
  <c r="AZ334" i="26"/>
  <c r="AY334" i="26"/>
  <c r="AX334" i="26"/>
  <c r="AW334" i="26"/>
  <c r="AV334" i="26"/>
  <c r="AU334" i="26"/>
  <c r="AT334" i="26"/>
  <c r="AS334" i="26"/>
  <c r="AR334" i="26"/>
  <c r="AQ334" i="26"/>
  <c r="AP334" i="26"/>
  <c r="AO334" i="26"/>
  <c r="AN334" i="26"/>
  <c r="AM334" i="26"/>
  <c r="AL334" i="26"/>
  <c r="AK334" i="26"/>
  <c r="AJ334" i="26"/>
  <c r="AI334" i="26"/>
  <c r="AH334" i="26"/>
  <c r="AG334" i="26"/>
  <c r="AF334" i="26"/>
  <c r="AE334" i="26"/>
  <c r="AD334" i="26"/>
  <c r="AC334" i="26"/>
  <c r="AB334" i="26"/>
  <c r="AA334" i="26"/>
  <c r="V334" i="26"/>
  <c r="EZ333" i="26"/>
  <c r="EZ332" i="26"/>
  <c r="BX332" i="26"/>
  <c r="DH332" i="26" s="1"/>
  <c r="CY332" i="26" s="1"/>
  <c r="EZ331" i="26"/>
  <c r="EZ330" i="26"/>
  <c r="EZ329" i="26"/>
  <c r="EZ328" i="26"/>
  <c r="EZ327" i="26"/>
  <c r="EZ326" i="26"/>
  <c r="EZ320" i="26"/>
  <c r="EZ309" i="26"/>
  <c r="EZ308" i="26"/>
  <c r="D308" i="26"/>
  <c r="A308" i="26" a="1"/>
  <c r="A308" i="26" s="1"/>
  <c r="EZ307" i="26"/>
  <c r="EZ306" i="26"/>
  <c r="EZ305" i="26"/>
  <c r="BX305" i="26"/>
  <c r="DH305" i="26" s="1"/>
  <c r="CY305" i="26" s="1"/>
  <c r="EZ300" i="26"/>
  <c r="EZ299" i="26"/>
  <c r="EZ298" i="26"/>
  <c r="V298" i="26"/>
  <c r="BX298" i="26" s="1"/>
  <c r="BX179" i="6" s="1"/>
  <c r="BX101" i="30" s="1"/>
  <c r="BX297" i="26"/>
  <c r="DH297" i="26" s="1"/>
  <c r="CY297" i="26" s="1"/>
  <c r="BX296" i="26"/>
  <c r="DH296" i="26" s="1"/>
  <c r="CY296" i="26" s="1"/>
  <c r="BX295" i="26"/>
  <c r="DH295" i="26" s="1"/>
  <c r="CY295" i="26" s="1"/>
  <c r="BX294" i="26"/>
  <c r="DH294" i="26" s="1"/>
  <c r="CY294" i="26" s="1"/>
  <c r="V293" i="26"/>
  <c r="BX293" i="26" s="1"/>
  <c r="C293" i="26"/>
  <c r="EZ293" i="26" s="1"/>
  <c r="EZ292" i="26"/>
  <c r="EZ291" i="26"/>
  <c r="EZ290" i="26"/>
  <c r="EZ289" i="26"/>
  <c r="V288" i="26"/>
  <c r="BX286" i="26"/>
  <c r="DH286" i="26" s="1"/>
  <c r="CY286" i="26" s="1"/>
  <c r="V283" i="26"/>
  <c r="BX283" i="26" s="1"/>
  <c r="C283" i="26"/>
  <c r="EZ283" i="26" s="1"/>
  <c r="EZ282" i="26"/>
  <c r="D282" i="26"/>
  <c r="EZ281" i="26"/>
  <c r="EZ280" i="26"/>
  <c r="EZ279" i="26"/>
  <c r="V278" i="26"/>
  <c r="BX277" i="26"/>
  <c r="DH277" i="26" s="1"/>
  <c r="CY277" i="26" s="1"/>
  <c r="V274" i="26"/>
  <c r="BX274" i="26" s="1"/>
  <c r="C274" i="26"/>
  <c r="EZ274" i="26" s="1"/>
  <c r="EZ273" i="26"/>
  <c r="D273" i="26"/>
  <c r="EZ277" i="26" s="1"/>
  <c r="EZ272" i="26"/>
  <c r="EZ271" i="26"/>
  <c r="EZ270" i="26"/>
  <c r="V269" i="26"/>
  <c r="BX267" i="26"/>
  <c r="DH267" i="26" s="1"/>
  <c r="CY267" i="26" s="1"/>
  <c r="DH263" i="26"/>
  <c r="CY263" i="26" s="1"/>
  <c r="BX263" i="26"/>
  <c r="BX189" i="30" s="1"/>
  <c r="CY189" i="30" s="1"/>
  <c r="CQ189" i="30" s="1"/>
  <c r="V262" i="26"/>
  <c r="BX262" i="26" s="1"/>
  <c r="C262" i="26"/>
  <c r="EZ261" i="26"/>
  <c r="D261" i="26"/>
  <c r="EZ267" i="26" s="1"/>
  <c r="EZ260" i="26"/>
  <c r="EZ259" i="26"/>
  <c r="EZ258" i="26"/>
  <c r="V257" i="26"/>
  <c r="BX255" i="26"/>
  <c r="DH255" i="26" s="1"/>
  <c r="CY255" i="26" s="1"/>
  <c r="BX254" i="26"/>
  <c r="DH254" i="26" s="1"/>
  <c r="CY254" i="26" s="1"/>
  <c r="V248" i="26"/>
  <c r="BX248" i="26" s="1"/>
  <c r="C248" i="26"/>
  <c r="EZ247" i="26"/>
  <c r="D247" i="26"/>
  <c r="EZ254" i="26" s="1"/>
  <c r="EZ246" i="26"/>
  <c r="EZ245" i="26"/>
  <c r="EZ244" i="26"/>
  <c r="V243" i="26"/>
  <c r="EZ242" i="26"/>
  <c r="BX241" i="26"/>
  <c r="DH241" i="26" s="1"/>
  <c r="CY241" i="26" s="1"/>
  <c r="BX240" i="26"/>
  <c r="DH240" i="26" s="1"/>
  <c r="CY240" i="26" s="1"/>
  <c r="W234" i="26"/>
  <c r="BY234" i="26" s="1"/>
  <c r="V234" i="26"/>
  <c r="BX234" i="26" s="1"/>
  <c r="C234" i="26"/>
  <c r="EZ234" i="26" s="1"/>
  <c r="EZ233" i="26"/>
  <c r="D233" i="26"/>
  <c r="EZ243" i="26" s="1"/>
  <c r="EZ232" i="26"/>
  <c r="EZ231" i="26"/>
  <c r="EZ230" i="26"/>
  <c r="V229" i="26"/>
  <c r="BX227" i="26"/>
  <c r="DH227" i="26" s="1"/>
  <c r="CY227" i="26" s="1"/>
  <c r="BX226" i="26"/>
  <c r="DH226" i="26" s="1"/>
  <c r="CY226" i="26" s="1"/>
  <c r="V220" i="26"/>
  <c r="BX220" i="26" s="1"/>
  <c r="C220" i="26"/>
  <c r="EZ219" i="26"/>
  <c r="D219" i="26"/>
  <c r="EZ229" i="26" s="1"/>
  <c r="EZ218" i="26"/>
  <c r="EZ217" i="26"/>
  <c r="EZ216" i="26"/>
  <c r="EZ215" i="26"/>
  <c r="EZ214" i="26"/>
  <c r="EZ213" i="26"/>
  <c r="EZ212" i="26"/>
  <c r="EZ211" i="26"/>
  <c r="EZ210" i="26"/>
  <c r="EZ209" i="26"/>
  <c r="G209" i="26"/>
  <c r="F209" i="26"/>
  <c r="E209" i="26"/>
  <c r="D209" i="26"/>
  <c r="EZ208" i="26"/>
  <c r="G208" i="26"/>
  <c r="F208" i="26"/>
  <c r="E208" i="26"/>
  <c r="D208" i="26"/>
  <c r="EZ207" i="26"/>
  <c r="G207" i="26"/>
  <c r="F207" i="26"/>
  <c r="E207" i="26"/>
  <c r="D207" i="26"/>
  <c r="EZ206" i="26"/>
  <c r="G206" i="26"/>
  <c r="F206" i="26"/>
  <c r="E206" i="26"/>
  <c r="D206" i="26"/>
  <c r="EZ205" i="26"/>
  <c r="G205" i="26"/>
  <c r="F205" i="26"/>
  <c r="E205" i="26"/>
  <c r="D205" i="26"/>
  <c r="EZ204" i="26"/>
  <c r="G204" i="26"/>
  <c r="F204" i="26"/>
  <c r="E204" i="26"/>
  <c r="D204" i="26"/>
  <c r="EZ203" i="26"/>
  <c r="G203" i="26"/>
  <c r="F203" i="26"/>
  <c r="E203" i="26"/>
  <c r="D203" i="26"/>
  <c r="EZ202" i="26"/>
  <c r="G202" i="26"/>
  <c r="F202" i="26"/>
  <c r="E202" i="26"/>
  <c r="D202" i="26"/>
  <c r="EZ201" i="26"/>
  <c r="G201" i="26"/>
  <c r="F201" i="26"/>
  <c r="E201" i="26"/>
  <c r="D201" i="26"/>
  <c r="EZ200" i="26"/>
  <c r="G200" i="26"/>
  <c r="F200" i="26"/>
  <c r="E200" i="26"/>
  <c r="D200" i="26"/>
  <c r="EZ199" i="26"/>
  <c r="G199" i="26"/>
  <c r="F199" i="26"/>
  <c r="E199" i="26"/>
  <c r="D199" i="26"/>
  <c r="EZ198" i="26"/>
  <c r="G198" i="26"/>
  <c r="F198" i="26"/>
  <c r="E198" i="26"/>
  <c r="D198" i="26"/>
  <c r="EZ197" i="26"/>
  <c r="G197" i="26"/>
  <c r="F197" i="26"/>
  <c r="E197" i="26"/>
  <c r="D197" i="26"/>
  <c r="EZ196" i="26"/>
  <c r="G196" i="26"/>
  <c r="F196" i="26"/>
  <c r="E196" i="26"/>
  <c r="D196" i="26"/>
  <c r="EZ195" i="26"/>
  <c r="G195" i="26"/>
  <c r="F195" i="26"/>
  <c r="E195" i="26"/>
  <c r="D195" i="26"/>
  <c r="EZ194" i="26"/>
  <c r="EZ193" i="26"/>
  <c r="EZ192" i="26"/>
  <c r="EZ191" i="26"/>
  <c r="CL191" i="26"/>
  <c r="EZ190" i="26"/>
  <c r="CL190" i="26"/>
  <c r="EZ189" i="26"/>
  <c r="CL189" i="26"/>
  <c r="EZ188" i="26"/>
  <c r="CL188" i="26"/>
  <c r="EZ187" i="26"/>
  <c r="CL187" i="26"/>
  <c r="EZ186" i="26"/>
  <c r="CL186" i="26"/>
  <c r="EZ185" i="26"/>
  <c r="G185" i="26"/>
  <c r="CL185" i="26" s="1"/>
  <c r="F185" i="26"/>
  <c r="E185" i="26"/>
  <c r="D185" i="26"/>
  <c r="EZ184" i="26"/>
  <c r="G184" i="26"/>
  <c r="CL184" i="26" s="1"/>
  <c r="F184" i="26"/>
  <c r="E184" i="26"/>
  <c r="D184" i="26"/>
  <c r="EZ183" i="26"/>
  <c r="G183" i="26"/>
  <c r="CL183" i="26" s="1"/>
  <c r="F183" i="26"/>
  <c r="E183" i="26"/>
  <c r="D183" i="26"/>
  <c r="EZ182" i="26"/>
  <c r="G182" i="26"/>
  <c r="CL182" i="26" s="1"/>
  <c r="F182" i="26"/>
  <c r="E182" i="26"/>
  <c r="D182" i="26"/>
  <c r="EZ181" i="26"/>
  <c r="G181" i="26"/>
  <c r="CL181" i="26" s="1"/>
  <c r="F181" i="26"/>
  <c r="E181" i="26"/>
  <c r="D181" i="26"/>
  <c r="EZ180" i="26"/>
  <c r="G180" i="26"/>
  <c r="CL180" i="26" s="1"/>
  <c r="F180" i="26"/>
  <c r="E180" i="26"/>
  <c r="D180" i="26"/>
  <c r="EZ179" i="26"/>
  <c r="G179" i="26"/>
  <c r="CL179" i="26" s="1"/>
  <c r="F179" i="26"/>
  <c r="E179" i="26"/>
  <c r="D179" i="26"/>
  <c r="EZ178" i="26"/>
  <c r="G178" i="26"/>
  <c r="CL178" i="26" s="1"/>
  <c r="F178" i="26"/>
  <c r="E178" i="26"/>
  <c r="D178" i="26"/>
  <c r="EZ177" i="26"/>
  <c r="G177" i="26"/>
  <c r="CL177" i="26" s="1"/>
  <c r="F177" i="26"/>
  <c r="E177" i="26"/>
  <c r="D177" i="26"/>
  <c r="EZ176" i="26"/>
  <c r="G176" i="26"/>
  <c r="CL176" i="26" s="1"/>
  <c r="F176" i="26"/>
  <c r="E176" i="26"/>
  <c r="D176" i="26"/>
  <c r="EZ175" i="26"/>
  <c r="G175" i="26"/>
  <c r="CL175" i="26" s="1"/>
  <c r="F175" i="26"/>
  <c r="E175" i="26"/>
  <c r="D175" i="26"/>
  <c r="EZ174" i="26"/>
  <c r="G174" i="26"/>
  <c r="CL174" i="26" s="1"/>
  <c r="F174" i="26"/>
  <c r="E174" i="26"/>
  <c r="D174" i="26"/>
  <c r="EZ173" i="26"/>
  <c r="G173" i="26"/>
  <c r="CL173" i="26" s="1"/>
  <c r="F173" i="26"/>
  <c r="E173" i="26"/>
  <c r="D173" i="26"/>
  <c r="EZ172" i="26"/>
  <c r="G172" i="26"/>
  <c r="CL172" i="26" s="1"/>
  <c r="F172" i="26"/>
  <c r="E172" i="26"/>
  <c r="D172" i="26"/>
  <c r="EZ171" i="26"/>
  <c r="G171" i="26"/>
  <c r="CL171" i="26" s="1"/>
  <c r="F171" i="26"/>
  <c r="E171" i="26"/>
  <c r="D171" i="26"/>
  <c r="EZ170" i="26"/>
  <c r="EZ169" i="26"/>
  <c r="EZ168" i="26"/>
  <c r="EZ167" i="26"/>
  <c r="V167" i="26"/>
  <c r="V183" i="30" s="1"/>
  <c r="EZ166" i="26"/>
  <c r="CU166" i="26" a="1"/>
  <c r="CU166" i="26" s="1"/>
  <c r="BX166" i="26"/>
  <c r="DH166" i="26" s="1"/>
  <c r="CY166" i="26" s="1"/>
  <c r="EZ165" i="26"/>
  <c r="CU165" i="26" a="1"/>
  <c r="CU165" i="26" s="1"/>
  <c r="BX165" i="26"/>
  <c r="DH165" i="26" s="1"/>
  <c r="CY165" i="26" s="1"/>
  <c r="EZ164" i="26"/>
  <c r="EZ163" i="26"/>
  <c r="EZ162" i="26"/>
  <c r="EZ161" i="26"/>
  <c r="CI161" i="26"/>
  <c r="CH161" i="26"/>
  <c r="CG161" i="26"/>
  <c r="CF161" i="26"/>
  <c r="CE161" i="26"/>
  <c r="CD161" i="26"/>
  <c r="CC161" i="26"/>
  <c r="CB161" i="26"/>
  <c r="BJ161" i="26"/>
  <c r="BI161" i="26"/>
  <c r="BH161" i="26"/>
  <c r="BG161" i="26"/>
  <c r="BF161" i="26"/>
  <c r="BF166" i="26" s="1"/>
  <c r="BE161" i="26"/>
  <c r="BD161" i="26"/>
  <c r="BE166" i="26" s="1"/>
  <c r="BC161" i="26"/>
  <c r="BB161" i="26"/>
  <c r="BA161" i="26"/>
  <c r="AZ161" i="26"/>
  <c r="AY161" i="26"/>
  <c r="AX161" i="26"/>
  <c r="AX166" i="26" s="1"/>
  <c r="AW161" i="26"/>
  <c r="AV161" i="26"/>
  <c r="AU161" i="26"/>
  <c r="AT161" i="26"/>
  <c r="AS161" i="26"/>
  <c r="AR161" i="26"/>
  <c r="AQ161" i="26"/>
  <c r="AP161" i="26"/>
  <c r="AO161" i="26"/>
  <c r="AN161" i="26"/>
  <c r="AM161" i="26"/>
  <c r="AL161" i="26"/>
  <c r="AK161" i="26"/>
  <c r="AJ161" i="26"/>
  <c r="AI161" i="26"/>
  <c r="AH161" i="26"/>
  <c r="AG161" i="26"/>
  <c r="AF161" i="26"/>
  <c r="AE161" i="26"/>
  <c r="AD161" i="26"/>
  <c r="AC161" i="26"/>
  <c r="AB161" i="26"/>
  <c r="AA161" i="26"/>
  <c r="EZ160" i="26"/>
  <c r="V160" i="26"/>
  <c r="BX160" i="26" s="1"/>
  <c r="EZ159" i="26"/>
  <c r="V159" i="26"/>
  <c r="EZ158" i="26"/>
  <c r="EZ157" i="26"/>
  <c r="CL157" i="26"/>
  <c r="EZ156" i="26"/>
  <c r="CL156" i="26"/>
  <c r="EZ155" i="26"/>
  <c r="CL155" i="26"/>
  <c r="EZ154" i="26"/>
  <c r="CL154" i="26"/>
  <c r="EZ153" i="26"/>
  <c r="CL153" i="26"/>
  <c r="EZ152" i="26"/>
  <c r="CL152" i="26"/>
  <c r="EZ151" i="26"/>
  <c r="CU151" i="26" a="1"/>
  <c r="CU151" i="26" s="1"/>
  <c r="CQ151" i="26"/>
  <c r="CN151" i="26"/>
  <c r="CL151" i="26"/>
  <c r="EZ150" i="26"/>
  <c r="CU150" i="26" a="1"/>
  <c r="CU150" i="26" s="1"/>
  <c r="CQ150" i="26"/>
  <c r="CN150" i="26"/>
  <c r="CL150" i="26"/>
  <c r="EZ149" i="26"/>
  <c r="CU149" i="26" a="1"/>
  <c r="CU149" i="26" s="1"/>
  <c r="CQ149" i="26"/>
  <c r="CN149" i="26"/>
  <c r="CL149" i="26"/>
  <c r="EZ148" i="26"/>
  <c r="CU148" i="26" a="1"/>
  <c r="CU148" i="26" s="1"/>
  <c r="CQ148" i="26"/>
  <c r="CN148" i="26"/>
  <c r="CL148" i="26"/>
  <c r="EZ147" i="26"/>
  <c r="CU147" i="26" a="1"/>
  <c r="CU147" i="26" s="1"/>
  <c r="CQ147" i="26"/>
  <c r="CN147" i="26"/>
  <c r="CL147" i="26"/>
  <c r="EZ146" i="26"/>
  <c r="CU146" i="26" a="1"/>
  <c r="CU146" i="26" s="1"/>
  <c r="CQ146" i="26"/>
  <c r="CN146" i="26"/>
  <c r="CL146" i="26"/>
  <c r="EZ145" i="26"/>
  <c r="CU145" i="26" a="1"/>
  <c r="CU145" i="26" s="1"/>
  <c r="CQ145" i="26"/>
  <c r="CN145" i="26"/>
  <c r="CL145" i="26"/>
  <c r="EZ144" i="26"/>
  <c r="CU144" i="26" a="1"/>
  <c r="CU144" i="26" s="1"/>
  <c r="CQ144" i="26"/>
  <c r="CN144" i="26"/>
  <c r="CL144" i="26"/>
  <c r="EZ143" i="26"/>
  <c r="CU143" i="26" a="1"/>
  <c r="CU143" i="26" s="1"/>
  <c r="CQ143" i="26"/>
  <c r="CN143" i="26"/>
  <c r="CL143" i="26"/>
  <c r="EZ142" i="26"/>
  <c r="CU142" i="26" a="1"/>
  <c r="CU142" i="26" s="1"/>
  <c r="CQ142" i="26"/>
  <c r="CN142" i="26"/>
  <c r="CL142" i="26"/>
  <c r="EZ141" i="26"/>
  <c r="CU141" i="26" a="1"/>
  <c r="CU141" i="26" s="1"/>
  <c r="CQ141" i="26"/>
  <c r="CN141" i="26"/>
  <c r="CL141" i="26"/>
  <c r="EZ140" i="26"/>
  <c r="CU140" i="26" a="1"/>
  <c r="CU140" i="26" s="1"/>
  <c r="CQ140" i="26"/>
  <c r="CN140" i="26"/>
  <c r="CL140" i="26"/>
  <c r="EZ139" i="26"/>
  <c r="CU139" i="26" a="1"/>
  <c r="CU139" i="26" s="1"/>
  <c r="CQ139" i="26"/>
  <c r="CN139" i="26"/>
  <c r="CL139" i="26"/>
  <c r="EZ138" i="26"/>
  <c r="CU138" i="26" a="1"/>
  <c r="CU138" i="26" s="1"/>
  <c r="CQ138" i="26"/>
  <c r="CN138" i="26"/>
  <c r="CL138" i="26"/>
  <c r="EZ137" i="26"/>
  <c r="CU137" i="26" a="1"/>
  <c r="CU137" i="26" s="1"/>
  <c r="CQ137" i="26"/>
  <c r="CN137" i="26"/>
  <c r="CL137" i="26"/>
  <c r="EZ136" i="26"/>
  <c r="EZ135" i="26"/>
  <c r="EZ134" i="26"/>
  <c r="EZ133" i="26"/>
  <c r="EZ132" i="26"/>
  <c r="EZ131" i="26"/>
  <c r="EZ130" i="26"/>
  <c r="CL130" i="26"/>
  <c r="EZ129" i="26"/>
  <c r="CL129" i="26"/>
  <c r="EZ128" i="26"/>
  <c r="CL128" i="26"/>
  <c r="EZ127" i="26"/>
  <c r="CL127" i="26"/>
  <c r="EZ126" i="26"/>
  <c r="CL126" i="26"/>
  <c r="EZ125" i="26"/>
  <c r="CU125" i="26" a="1"/>
  <c r="CU125" i="26"/>
  <c r="CQ125" i="26"/>
  <c r="CN125" i="26"/>
  <c r="CL125" i="26"/>
  <c r="EZ124" i="26"/>
  <c r="CU124" i="26" a="1"/>
  <c r="CU124" i="26" s="1"/>
  <c r="CQ124" i="26"/>
  <c r="CN124" i="26"/>
  <c r="CL124" i="26"/>
  <c r="EZ123" i="26"/>
  <c r="CU123" i="26" a="1"/>
  <c r="CU123" i="26" s="1"/>
  <c r="CQ123" i="26"/>
  <c r="CN123" i="26"/>
  <c r="CL123" i="26"/>
  <c r="EZ122" i="26"/>
  <c r="CU122" i="26" a="1"/>
  <c r="CU122" i="26" s="1"/>
  <c r="CQ122" i="26"/>
  <c r="CN122" i="26"/>
  <c r="CL122" i="26"/>
  <c r="EZ121" i="26"/>
  <c r="CU121" i="26" a="1"/>
  <c r="CU121" i="26" s="1"/>
  <c r="CQ121" i="26"/>
  <c r="CN121" i="26"/>
  <c r="CL121" i="26"/>
  <c r="EZ120" i="26"/>
  <c r="CU120" i="26" a="1"/>
  <c r="CU120" i="26" s="1"/>
  <c r="CQ120" i="26"/>
  <c r="CN120" i="26"/>
  <c r="CL120" i="26"/>
  <c r="EZ119" i="26"/>
  <c r="CU119" i="26" a="1"/>
  <c r="CU119" i="26"/>
  <c r="CQ119" i="26"/>
  <c r="CN119" i="26"/>
  <c r="CL119" i="26"/>
  <c r="EZ118" i="26"/>
  <c r="CU118" i="26" a="1"/>
  <c r="CU118" i="26" s="1"/>
  <c r="CQ118" i="26"/>
  <c r="CN118" i="26"/>
  <c r="CL118" i="26"/>
  <c r="EZ117" i="26"/>
  <c r="CU117" i="26" a="1"/>
  <c r="CU117" i="26" s="1"/>
  <c r="CQ117" i="26"/>
  <c r="CN117" i="26"/>
  <c r="CL117" i="26"/>
  <c r="EZ116" i="26"/>
  <c r="CU116" i="26" a="1"/>
  <c r="CU116" i="26" s="1"/>
  <c r="CQ116" i="26"/>
  <c r="CN116" i="26"/>
  <c r="CL116" i="26"/>
  <c r="EZ115" i="26"/>
  <c r="CU115" i="26" a="1"/>
  <c r="CU115" i="26" s="1"/>
  <c r="CQ115" i="26"/>
  <c r="CN115" i="26"/>
  <c r="CL115" i="26"/>
  <c r="EZ114" i="26"/>
  <c r="CU114" i="26" a="1"/>
  <c r="CU114" i="26" s="1"/>
  <c r="CQ114" i="26"/>
  <c r="CN114" i="26"/>
  <c r="CL114" i="26"/>
  <c r="EZ113" i="26"/>
  <c r="CU113" i="26" a="1"/>
  <c r="CU113" i="26" s="1"/>
  <c r="CQ113" i="26"/>
  <c r="CN113" i="26"/>
  <c r="CL113" i="26"/>
  <c r="EZ112" i="26"/>
  <c r="CU112" i="26" a="1"/>
  <c r="CU112" i="26" s="1"/>
  <c r="CQ112" i="26"/>
  <c r="CN112" i="26"/>
  <c r="CL112" i="26"/>
  <c r="EZ111" i="26"/>
  <c r="CU111" i="26" a="1"/>
  <c r="CU111" i="26" s="1"/>
  <c r="CQ111" i="26"/>
  <c r="CN111" i="26"/>
  <c r="CL111" i="26"/>
  <c r="EZ110" i="26"/>
  <c r="EZ109" i="26"/>
  <c r="EZ108" i="26"/>
  <c r="EZ107" i="26"/>
  <c r="EZ106" i="26"/>
  <c r="EZ105" i="26"/>
  <c r="EZ104" i="26"/>
  <c r="EZ103" i="26"/>
  <c r="EZ102" i="26"/>
  <c r="EZ101" i="26"/>
  <c r="EZ100" i="26"/>
  <c r="EZ99" i="26"/>
  <c r="CU99" i="26" a="1"/>
  <c r="CU99" i="26" s="1"/>
  <c r="CQ99" i="26"/>
  <c r="CN99" i="26"/>
  <c r="EZ98" i="26"/>
  <c r="CU98" i="26" a="1"/>
  <c r="CU98" i="26" s="1"/>
  <c r="CQ98" i="26"/>
  <c r="CN98" i="26"/>
  <c r="EZ97" i="26"/>
  <c r="CU97" i="26" a="1"/>
  <c r="CU97" i="26" s="1"/>
  <c r="CQ97" i="26"/>
  <c r="CN97" i="26"/>
  <c r="EZ96" i="26"/>
  <c r="CU96" i="26" a="1"/>
  <c r="CU96" i="26" s="1"/>
  <c r="CQ96" i="26"/>
  <c r="CN96" i="26"/>
  <c r="EZ95" i="26"/>
  <c r="CU95" i="26" a="1"/>
  <c r="CU95" i="26" s="1"/>
  <c r="CQ95" i="26"/>
  <c r="CN95" i="26"/>
  <c r="EZ94" i="26"/>
  <c r="CU94" i="26" a="1"/>
  <c r="CU94" i="26" s="1"/>
  <c r="CQ94" i="26"/>
  <c r="CN94" i="26"/>
  <c r="EZ93" i="26"/>
  <c r="CU93" i="26" a="1"/>
  <c r="CU93" i="26" s="1"/>
  <c r="CQ93" i="26"/>
  <c r="CN93" i="26"/>
  <c r="EZ92" i="26"/>
  <c r="CU92" i="26" a="1"/>
  <c r="CU92" i="26" s="1"/>
  <c r="CQ92" i="26"/>
  <c r="CN92" i="26"/>
  <c r="EZ91" i="26"/>
  <c r="CU91" i="26" a="1"/>
  <c r="CU91" i="26" s="1"/>
  <c r="CQ91" i="26"/>
  <c r="CN91" i="26"/>
  <c r="EZ90" i="26"/>
  <c r="CU90" i="26" a="1"/>
  <c r="CU90" i="26" s="1"/>
  <c r="CQ90" i="26"/>
  <c r="CN90" i="26"/>
  <c r="EZ89" i="26"/>
  <c r="CU89" i="26" a="1"/>
  <c r="CU89" i="26" s="1"/>
  <c r="CQ89" i="26"/>
  <c r="CN89" i="26"/>
  <c r="EZ88" i="26"/>
  <c r="CU88" i="26" a="1"/>
  <c r="CU88" i="26" s="1"/>
  <c r="CQ88" i="26"/>
  <c r="CN88" i="26"/>
  <c r="EZ87" i="26"/>
  <c r="CU87" i="26" a="1"/>
  <c r="CU87" i="26" s="1"/>
  <c r="CQ87" i="26"/>
  <c r="CN87" i="26"/>
  <c r="EZ86" i="26"/>
  <c r="CU86" i="26" a="1"/>
  <c r="CU86" i="26" s="1"/>
  <c r="CQ86" i="26"/>
  <c r="CN86" i="26"/>
  <c r="EZ85" i="26"/>
  <c r="CU85" i="26" a="1"/>
  <c r="CU85" i="26" s="1"/>
  <c r="CQ85" i="26"/>
  <c r="CN85" i="26"/>
  <c r="EZ84" i="26"/>
  <c r="EZ83" i="26"/>
  <c r="EZ82" i="26"/>
  <c r="EZ81" i="26"/>
  <c r="EZ80" i="26"/>
  <c r="EZ79" i="26"/>
  <c r="EZ78" i="26"/>
  <c r="CL78" i="26"/>
  <c r="EZ77" i="26"/>
  <c r="CL77" i="26"/>
  <c r="EZ76" i="26"/>
  <c r="CL76" i="26"/>
  <c r="EZ75" i="26"/>
  <c r="CL75" i="26"/>
  <c r="EZ74" i="26"/>
  <c r="CQ74" i="26"/>
  <c r="CN74" i="26"/>
  <c r="CL74" i="26"/>
  <c r="EZ73" i="26"/>
  <c r="CQ73" i="26"/>
  <c r="CN73" i="26"/>
  <c r="CL73" i="26"/>
  <c r="EZ72" i="26"/>
  <c r="CQ72" i="26"/>
  <c r="CN72" i="26"/>
  <c r="CL72" i="26"/>
  <c r="EZ71" i="26"/>
  <c r="CQ71" i="26"/>
  <c r="CN71" i="26"/>
  <c r="CL71" i="26"/>
  <c r="EZ70" i="26"/>
  <c r="CQ70" i="26"/>
  <c r="CN70" i="26"/>
  <c r="CL70" i="26"/>
  <c r="EZ69" i="26"/>
  <c r="CQ69" i="26"/>
  <c r="CN69" i="26"/>
  <c r="CL69" i="26"/>
  <c r="EZ68" i="26"/>
  <c r="CQ68" i="26"/>
  <c r="CN68" i="26"/>
  <c r="CL68" i="26"/>
  <c r="EZ67" i="26"/>
  <c r="CQ67" i="26"/>
  <c r="CN67" i="26"/>
  <c r="CL67" i="26"/>
  <c r="EZ66" i="26"/>
  <c r="CQ66" i="26"/>
  <c r="CN66" i="26"/>
  <c r="CL66" i="26"/>
  <c r="EZ65" i="26"/>
  <c r="CQ65" i="26"/>
  <c r="CN65" i="26"/>
  <c r="CL65" i="26"/>
  <c r="EZ64" i="26"/>
  <c r="CQ64" i="26"/>
  <c r="CN64" i="26"/>
  <c r="CL64" i="26"/>
  <c r="EZ63" i="26"/>
  <c r="CQ63" i="26"/>
  <c r="CN63" i="26"/>
  <c r="CL63" i="26"/>
  <c r="EZ62" i="26"/>
  <c r="CQ62" i="26"/>
  <c r="CN62" i="26"/>
  <c r="CL62" i="26"/>
  <c r="EZ61" i="26"/>
  <c r="CQ61" i="26"/>
  <c r="CN61" i="26"/>
  <c r="CL61" i="26"/>
  <c r="EZ60" i="26"/>
  <c r="CU60" i="26" a="1"/>
  <c r="CU60" i="26" s="1"/>
  <c r="CQ60" i="26"/>
  <c r="CN60" i="26"/>
  <c r="CL60" i="26"/>
  <c r="EZ59" i="26"/>
  <c r="EZ58" i="26"/>
  <c r="EZ57" i="26"/>
  <c r="EZ56" i="26"/>
  <c r="EZ55" i="26"/>
  <c r="EZ47" i="26"/>
  <c r="EZ46" i="26"/>
  <c r="EZ45" i="26"/>
  <c r="EZ44" i="26"/>
  <c r="EZ43" i="26"/>
  <c r="EZ42" i="26"/>
  <c r="EZ41" i="26"/>
  <c r="E41" i="26"/>
  <c r="EZ40" i="26"/>
  <c r="EZ39" i="26"/>
  <c r="EZ38" i="26"/>
  <c r="EZ37" i="26"/>
  <c r="EZ36" i="26"/>
  <c r="EZ35" i="26"/>
  <c r="EZ34" i="26"/>
  <c r="E34" i="26"/>
  <c r="EZ33" i="26"/>
  <c r="EZ32" i="26"/>
  <c r="EZ31" i="26"/>
  <c r="EZ30" i="26"/>
  <c r="EZ29" i="26"/>
  <c r="EZ28" i="26"/>
  <c r="EZ27" i="26"/>
  <c r="CN27" i="26"/>
  <c r="BX27" i="26"/>
  <c r="EZ26" i="26"/>
  <c r="CN26" i="26"/>
  <c r="BX26" i="26"/>
  <c r="DH26" i="26" s="1"/>
  <c r="CY26" i="26" s="1"/>
  <c r="EZ25" i="26"/>
  <c r="CN25" i="26"/>
  <c r="BX25" i="26"/>
  <c r="EZ24" i="26"/>
  <c r="CN24" i="26"/>
  <c r="BX24" i="26"/>
  <c r="DH24" i="26" s="1"/>
  <c r="CY24" i="26" s="1"/>
  <c r="EZ23" i="26"/>
  <c r="CN23" i="26"/>
  <c r="BX23" i="26"/>
  <c r="EZ22" i="26"/>
  <c r="CN22" i="26"/>
  <c r="BX22" i="26"/>
  <c r="DH22" i="26" s="1"/>
  <c r="CY22" i="26" s="1"/>
  <c r="EZ21" i="26"/>
  <c r="CN21" i="26"/>
  <c r="BX21" i="26"/>
  <c r="EZ20" i="26"/>
  <c r="CN20" i="26"/>
  <c r="BX20" i="26"/>
  <c r="DH20" i="26" s="1"/>
  <c r="CY20" i="26" s="1"/>
  <c r="EZ19" i="26"/>
  <c r="CN19" i="26"/>
  <c r="BX19" i="26"/>
  <c r="DH19" i="26" s="1"/>
  <c r="CY19" i="26" s="1"/>
  <c r="EZ18" i="26"/>
  <c r="CN18" i="26"/>
  <c r="BX18" i="26"/>
  <c r="DH18" i="26" s="1"/>
  <c r="CY18" i="26" s="1"/>
  <c r="EZ17" i="26"/>
  <c r="CN17" i="26"/>
  <c r="BX17" i="26"/>
  <c r="EZ16" i="26"/>
  <c r="CN16" i="26"/>
  <c r="BX16" i="26"/>
  <c r="DH16" i="26" s="1"/>
  <c r="CY16" i="26" s="1"/>
  <c r="EZ15" i="26"/>
  <c r="CN15" i="26"/>
  <c r="BX15" i="26"/>
  <c r="DH15" i="26" s="1"/>
  <c r="CY15" i="26" s="1"/>
  <c r="EZ14" i="26"/>
  <c r="CN14" i="26"/>
  <c r="BX14" i="26"/>
  <c r="DH14" i="26" s="1"/>
  <c r="CY14" i="26" s="1"/>
  <c r="EZ13" i="26"/>
  <c r="CN13" i="26"/>
  <c r="BX13" i="26"/>
  <c r="DH13" i="26" s="1"/>
  <c r="CY13" i="26" s="1"/>
  <c r="EZ12" i="26"/>
  <c r="EZ11" i="26"/>
  <c r="EZ10" i="26"/>
  <c r="EZ9" i="26"/>
  <c r="EZ8" i="26"/>
  <c r="BX6" i="26" a="1"/>
  <c r="BX6" i="26" s="1"/>
  <c r="V6" i="26" a="1"/>
  <c r="V6" i="26" s="1"/>
  <c r="A6" i="26" a="1"/>
  <c r="A6" i="26" s="1"/>
  <c r="D5" i="26"/>
  <c r="C5" i="26" a="1"/>
  <c r="C5" i="26" s="1"/>
  <c r="B5" i="26" a="1"/>
  <c r="B5" i="26" s="1"/>
  <c r="D4" i="26"/>
  <c r="C4" i="26" a="1"/>
  <c r="C4" i="26" s="1"/>
  <c r="B4" i="26" a="1"/>
  <c r="B4" i="26" s="1"/>
  <c r="D3" i="26"/>
  <c r="C3" i="26" a="1"/>
  <c r="C3" i="26" s="1"/>
  <c r="B3" i="26" a="1"/>
  <c r="B3" i="26" s="1"/>
  <c r="E189" i="30" a="1"/>
  <c r="A3" i="26" a="1"/>
  <c r="AT1102" i="9" l="1"/>
  <c r="A346" i="26" a="1"/>
  <c r="A346" i="26" s="1"/>
  <c r="AL166" i="26"/>
  <c r="AT166" i="26"/>
  <c r="EZ240" i="26"/>
  <c r="AQ1155" i="9"/>
  <c r="AS1154" i="9"/>
  <c r="AR1155" i="9"/>
  <c r="AT1154" i="9"/>
  <c r="AS1155" i="9"/>
  <c r="AM1154" i="9"/>
  <c r="AT1155" i="9"/>
  <c r="BO1138" i="9"/>
  <c r="AB1154" i="9"/>
  <c r="AA1155" i="9"/>
  <c r="AC1154" i="9"/>
  <c r="AB1155" i="9"/>
  <c r="BD1138" i="9"/>
  <c r="BD136" i="6" s="1"/>
  <c r="AJ1154" i="9"/>
  <c r="AI1155" i="9"/>
  <c r="AK1154" i="9"/>
  <c r="AJ1155" i="9"/>
  <c r="AL1154" i="9"/>
  <c r="AK1155" i="9"/>
  <c r="AE1154" i="9"/>
  <c r="AL1155" i="9"/>
  <c r="BI1138" i="9"/>
  <c r="BI136" i="6" s="1"/>
  <c r="AU1144" i="9"/>
  <c r="AU138" i="6" s="1"/>
  <c r="AU95" i="30" s="1"/>
  <c r="CA1144" i="9"/>
  <c r="CA138" i="6" s="1"/>
  <c r="BI1102" i="9"/>
  <c r="AM1138" i="9"/>
  <c r="AM136" i="6" s="1"/>
  <c r="BA1138" i="9"/>
  <c r="BA136" i="6" s="1"/>
  <c r="BP1154" i="9"/>
  <c r="BO1155" i="9"/>
  <c r="BQ1154" i="9"/>
  <c r="BP1155" i="9"/>
  <c r="BR1154" i="9"/>
  <c r="BQ1155" i="9"/>
  <c r="BK1154" i="9"/>
  <c r="BR1155" i="9"/>
  <c r="BN1154" i="9"/>
  <c r="BM1155" i="9"/>
  <c r="BO1154" i="9"/>
  <c r="BN1155" i="9"/>
  <c r="BH1154" i="9"/>
  <c r="BG1155" i="9"/>
  <c r="BI1154" i="9"/>
  <c r="BH1155" i="9"/>
  <c r="BJ1154" i="9"/>
  <c r="BI1155" i="9"/>
  <c r="BC1154" i="9"/>
  <c r="BJ1155" i="9"/>
  <c r="BG1154" i="9"/>
  <c r="BF1155" i="9"/>
  <c r="AR1154" i="9"/>
  <c r="AO1154" i="9"/>
  <c r="AP1154" i="9"/>
  <c r="AO1155" i="9"/>
  <c r="AQ1154" i="9"/>
  <c r="AP1155" i="9"/>
  <c r="BL1154" i="9"/>
  <c r="BK1155" i="9"/>
  <c r="BM1154" i="9"/>
  <c r="BL1155" i="9"/>
  <c r="AN1154" i="9"/>
  <c r="AM1155" i="9"/>
  <c r="AN1155" i="9"/>
  <c r="CA1114" i="9"/>
  <c r="CA202" i="30" s="1"/>
  <c r="AF1154" i="9"/>
  <c r="AE1155" i="9"/>
  <c r="AG1154" i="9"/>
  <c r="AF1155" i="9"/>
  <c r="AH1154" i="9"/>
  <c r="AG1155" i="9"/>
  <c r="AI1154" i="9"/>
  <c r="AH1155" i="9"/>
  <c r="BD1154" i="9"/>
  <c r="BC1155" i="9"/>
  <c r="BE1154" i="9"/>
  <c r="BD1155" i="9"/>
  <c r="BF1154" i="9"/>
  <c r="BE1155" i="9"/>
  <c r="AN1138" i="9"/>
  <c r="AN136" i="6" s="1"/>
  <c r="CB1154" i="9"/>
  <c r="CB1155" i="9"/>
  <c r="AY1138" i="9"/>
  <c r="AY136" i="6" s="1"/>
  <c r="BY1154" i="9"/>
  <c r="BZ1154" i="9"/>
  <c r="BY1155" i="9"/>
  <c r="CA1154" i="9"/>
  <c r="BZ1155" i="9"/>
  <c r="BS1154" i="9"/>
  <c r="CA1155" i="9"/>
  <c r="CB1108" i="9"/>
  <c r="CB201" i="30" s="1"/>
  <c r="CB84" i="33" s="1"/>
  <c r="CC1138" i="9"/>
  <c r="CC136" i="6" s="1"/>
  <c r="CC139" i="6" s="1"/>
  <c r="CC120" i="30" s="1"/>
  <c r="AX1108" i="9"/>
  <c r="AX201" i="30" s="1"/>
  <c r="AX84" i="33" s="1"/>
  <c r="CB1138" i="9"/>
  <c r="CB136" i="6" s="1"/>
  <c r="CB139" i="6" s="1"/>
  <c r="CB120" i="30" s="1"/>
  <c r="AO1102" i="9"/>
  <c r="BX1114" i="9"/>
  <c r="BX202" i="30" s="1"/>
  <c r="BC1144" i="9"/>
  <c r="BC138" i="6" s="1"/>
  <c r="AO1144" i="9"/>
  <c r="AO138" i="6" s="1"/>
  <c r="AO95" i="30" s="1"/>
  <c r="BN1144" i="9"/>
  <c r="AA1144" i="9"/>
  <c r="AA138" i="6" s="1"/>
  <c r="AA95" i="30" s="1"/>
  <c r="AZ1144" i="9"/>
  <c r="AZ138" i="6" s="1"/>
  <c r="AZ95" i="30" s="1"/>
  <c r="AW1102" i="9"/>
  <c r="BT1114" i="9"/>
  <c r="AB1114" i="9"/>
  <c r="AB202" i="30" s="1"/>
  <c r="CF1114" i="9"/>
  <c r="CF202" i="30" s="1"/>
  <c r="AK1114" i="9"/>
  <c r="AK202" i="30" s="1"/>
  <c r="BK1144" i="9"/>
  <c r="W1144" i="9"/>
  <c r="W138" i="6" s="1"/>
  <c r="AW1144" i="9"/>
  <c r="AW138" i="6" s="1"/>
  <c r="AW95" i="30" s="1"/>
  <c r="BV1144" i="9"/>
  <c r="AI1144" i="9"/>
  <c r="AI138" i="6" s="1"/>
  <c r="AI95" i="30" s="1"/>
  <c r="BH1144" i="9"/>
  <c r="BH138" i="6" s="1"/>
  <c r="AC1144" i="9"/>
  <c r="AC138" i="6" s="1"/>
  <c r="AC95" i="30" s="1"/>
  <c r="AL1114" i="9"/>
  <c r="AL202" i="30" s="1"/>
  <c r="BK1114" i="9"/>
  <c r="BS1144" i="9"/>
  <c r="BE1144" i="9"/>
  <c r="BE138" i="6" s="1"/>
  <c r="BE95" i="30" s="1"/>
  <c r="AQ1144" i="9"/>
  <c r="AQ138" i="6" s="1"/>
  <c r="AQ95" i="30" s="1"/>
  <c r="BP1144" i="9"/>
  <c r="BT1154" i="9"/>
  <c r="BS1155" i="9"/>
  <c r="BU1154" i="9"/>
  <c r="BT1155" i="9"/>
  <c r="BV1154" i="9"/>
  <c r="BU1155" i="9"/>
  <c r="BX1154" i="9"/>
  <c r="BV1155" i="9"/>
  <c r="AC1102" i="9"/>
  <c r="BQ1102" i="9"/>
  <c r="AI1102" i="9"/>
  <c r="BP1096" i="9"/>
  <c r="AW1114" i="9"/>
  <c r="AW202" i="30" s="1"/>
  <c r="W1114" i="9"/>
  <c r="W202" i="30" s="1"/>
  <c r="AD1114" i="9"/>
  <c r="AD202" i="30" s="1"/>
  <c r="CI1114" i="9"/>
  <c r="CI202" i="30" s="1"/>
  <c r="CB1114" i="9"/>
  <c r="CB202" i="30" s="1"/>
  <c r="BE1114" i="9"/>
  <c r="BE202" i="30" s="1"/>
  <c r="W1154" i="9"/>
  <c r="V1155" i="9"/>
  <c r="X1154" i="9"/>
  <c r="W1155" i="9"/>
  <c r="Y1154" i="9"/>
  <c r="X1155" i="9"/>
  <c r="AA1154" i="9"/>
  <c r="Y1155" i="9"/>
  <c r="X1108" i="9"/>
  <c r="X201" i="30" s="1"/>
  <c r="BN1108" i="9"/>
  <c r="AP1108" i="9"/>
  <c r="AP201" i="30" s="1"/>
  <c r="AP84" i="33" s="1"/>
  <c r="AG1108" i="9"/>
  <c r="AG201" i="30" s="1"/>
  <c r="AG84" i="33" s="1"/>
  <c r="BG1108" i="9"/>
  <c r="BG201" i="30" s="1"/>
  <c r="BG84" i="33" s="1"/>
  <c r="V1108" i="9"/>
  <c r="V201" i="30" s="1"/>
  <c r="BC1102" i="9"/>
  <c r="AU1102" i="9"/>
  <c r="AM1102" i="9"/>
  <c r="BR1102" i="9"/>
  <c r="AJ1102" i="9"/>
  <c r="AZ1114" i="9"/>
  <c r="AZ202" i="30" s="1"/>
  <c r="V1114" i="9"/>
  <c r="V202" i="30" s="1"/>
  <c r="BM1114" i="9"/>
  <c r="CE1108" i="9"/>
  <c r="CE201" i="30" s="1"/>
  <c r="CE84" i="33" s="1"/>
  <c r="AS1108" i="9"/>
  <c r="AS201" i="30" s="1"/>
  <c r="AS84" i="33" s="1"/>
  <c r="BO1108" i="9"/>
  <c r="AE1108" i="9"/>
  <c r="AE201" i="30" s="1"/>
  <c r="AE84" i="33" s="1"/>
  <c r="BD1102" i="9"/>
  <c r="BO1096" i="9"/>
  <c r="AY166" i="26"/>
  <c r="V161" i="26"/>
  <c r="EZ269" i="26"/>
  <c r="AO166" i="26"/>
  <c r="EZ263" i="26"/>
  <c r="EZ264" i="26"/>
  <c r="EZ266" i="26"/>
  <c r="AQ166" i="26"/>
  <c r="EZ235" i="26"/>
  <c r="EZ262" i="26"/>
  <c r="AI166" i="26"/>
  <c r="EZ237" i="26"/>
  <c r="EZ268" i="26"/>
  <c r="A353" i="26" a="1"/>
  <c r="A353" i="26" s="1"/>
  <c r="AC166" i="26"/>
  <c r="AJ166" i="26"/>
  <c r="AR166" i="26"/>
  <c r="BI166" i="26"/>
  <c r="EZ238" i="26"/>
  <c r="EZ276" i="26"/>
  <c r="BX288" i="26"/>
  <c r="DH288" i="26" s="1"/>
  <c r="CY288" i="26" s="1"/>
  <c r="CI166" i="26"/>
  <c r="A350" i="26" a="1"/>
  <c r="A350" i="26" s="1"/>
  <c r="A352" i="26" a="1"/>
  <c r="A352" i="26" s="1"/>
  <c r="BX257" i="26"/>
  <c r="DH257" i="26" s="1"/>
  <c r="CY257" i="26" s="1"/>
  <c r="EZ278" i="26"/>
  <c r="A349" i="26" a="1"/>
  <c r="A349" i="26" s="1"/>
  <c r="AG166" i="26"/>
  <c r="EZ221" i="26"/>
  <c r="AH166" i="26"/>
  <c r="AP166" i="26"/>
  <c r="EZ236" i="26"/>
  <c r="EZ241" i="26"/>
  <c r="EZ248" i="26"/>
  <c r="BX340" i="26"/>
  <c r="DH340" i="26" s="1"/>
  <c r="CY340" i="26" s="1"/>
  <c r="A351" i="26" a="1"/>
  <c r="A351" i="26" s="1"/>
  <c r="CF356" i="26"/>
  <c r="CB356" i="26"/>
  <c r="CC356" i="26"/>
  <c r="CI356" i="26"/>
  <c r="E189" i="30"/>
  <c r="DH17" i="26"/>
  <c r="CY17" i="26" s="1"/>
  <c r="DH21" i="26"/>
  <c r="CY21" i="26" s="1"/>
  <c r="V47" i="6"/>
  <c r="DH160" i="26"/>
  <c r="CY160" i="26" s="1"/>
  <c r="AB166" i="26"/>
  <c r="CC166" i="26"/>
  <c r="BX167" i="26"/>
  <c r="BX183" i="30" s="1"/>
  <c r="BX47" i="6"/>
  <c r="BX73" i="30" s="1"/>
  <c r="AA166" i="26"/>
  <c r="CD166" i="26"/>
  <c r="CE166" i="26"/>
  <c r="BA166" i="26"/>
  <c r="AZ166" i="26"/>
  <c r="CF166" i="26"/>
  <c r="DH23" i="26"/>
  <c r="CY23" i="26" s="1"/>
  <c r="DH25" i="26"/>
  <c r="CY25" i="26" s="1"/>
  <c r="V89" i="6"/>
  <c r="BX159" i="26"/>
  <c r="DH159" i="26" s="1"/>
  <c r="CY159" i="26" s="1"/>
  <c r="AK166" i="26"/>
  <c r="BH166" i="26"/>
  <c r="AD166" i="26"/>
  <c r="BB166" i="26"/>
  <c r="BJ166" i="26"/>
  <c r="DH27" i="26"/>
  <c r="CY27" i="26" s="1"/>
  <c r="AE166" i="26"/>
  <c r="AM166" i="26"/>
  <c r="AU166" i="26"/>
  <c r="BC166" i="26"/>
  <c r="AS166" i="26"/>
  <c r="AW166" i="26"/>
  <c r="BG166" i="26"/>
  <c r="V71" i="33"/>
  <c r="E25" i="50" s="1"/>
  <c r="CY183" i="30"/>
  <c r="CQ183" i="30" s="1"/>
  <c r="AA234" i="26"/>
  <c r="V28" i="6"/>
  <c r="BX243" i="26"/>
  <c r="DH243" i="26" s="1"/>
  <c r="CY243" i="26" s="1"/>
  <c r="BX278" i="26"/>
  <c r="DH278" i="26" s="1"/>
  <c r="CY278" i="26" s="1"/>
  <c r="W283" i="26"/>
  <c r="EZ228" i="26"/>
  <c r="D48" i="11"/>
  <c r="D41" i="11"/>
  <c r="D30" i="6"/>
  <c r="EZ251" i="26"/>
  <c r="EZ256" i="26"/>
  <c r="EZ252" i="26"/>
  <c r="EZ255" i="26"/>
  <c r="EZ253" i="26"/>
  <c r="V37" i="6"/>
  <c r="EZ257" i="26"/>
  <c r="BX269" i="26"/>
  <c r="W274" i="26"/>
  <c r="AF166" i="26"/>
  <c r="AN166" i="26"/>
  <c r="AV166" i="26"/>
  <c r="BD166" i="26"/>
  <c r="CG166" i="26"/>
  <c r="CH166" i="26"/>
  <c r="EZ222" i="26"/>
  <c r="BX229" i="26"/>
  <c r="V31" i="6"/>
  <c r="W248" i="26"/>
  <c r="EZ224" i="26"/>
  <c r="BX31" i="6"/>
  <c r="BX69" i="30" s="1"/>
  <c r="W262" i="26"/>
  <c r="D49" i="11"/>
  <c r="EZ286" i="26"/>
  <c r="EZ284" i="26"/>
  <c r="EZ285" i="26"/>
  <c r="EZ287" i="26"/>
  <c r="EZ288" i="26"/>
  <c r="V25" i="6"/>
  <c r="W220" i="26"/>
  <c r="EZ249" i="26"/>
  <c r="V52" i="6"/>
  <c r="V179" i="6"/>
  <c r="DH298" i="26"/>
  <c r="CY298" i="26" s="1"/>
  <c r="W293" i="26"/>
  <c r="D39" i="11"/>
  <c r="D45" i="11"/>
  <c r="EZ223" i="26"/>
  <c r="EZ227" i="26"/>
  <c r="EZ225" i="26"/>
  <c r="BX52" i="6"/>
  <c r="EZ220" i="26"/>
  <c r="EZ226" i="26"/>
  <c r="EZ250" i="26"/>
  <c r="V34" i="6"/>
  <c r="EZ265" i="26"/>
  <c r="EZ275" i="26"/>
  <c r="CG356" i="26"/>
  <c r="AQ1114" i="9"/>
  <c r="AQ202" i="30" s="1"/>
  <c r="AF1114" i="9"/>
  <c r="AF202" i="30" s="1"/>
  <c r="BO1114" i="9"/>
  <c r="CG1114" i="9"/>
  <c r="CG202" i="30" s="1"/>
  <c r="CG85" i="33" s="1"/>
  <c r="CH1114" i="9"/>
  <c r="CH202" i="30" s="1"/>
  <c r="AM1114" i="9"/>
  <c r="AM202" i="30" s="1"/>
  <c r="CD1114" i="9"/>
  <c r="CD202" i="30" s="1"/>
  <c r="CD85" i="33" s="1"/>
  <c r="CE1114" i="9"/>
  <c r="CE202" i="30" s="1"/>
  <c r="CE85" i="33" s="1"/>
  <c r="CH1117" i="9"/>
  <c r="CH1120" i="9" s="1"/>
  <c r="CH203" i="30" s="1"/>
  <c r="CI1117" i="9"/>
  <c r="CI1120" i="9" s="1"/>
  <c r="CI203" i="30" s="1"/>
  <c r="CB1117" i="9"/>
  <c r="CB1120" i="9" s="1"/>
  <c r="CB203" i="30" s="1"/>
  <c r="CC1117" i="9"/>
  <c r="CC1120" i="9" s="1"/>
  <c r="CC203" i="30" s="1"/>
  <c r="CD1117" i="9"/>
  <c r="CD1120" i="9" s="1"/>
  <c r="CD203" i="30" s="1"/>
  <c r="CE1117" i="9"/>
  <c r="CE1120" i="9" s="1"/>
  <c r="CE203" i="30" s="1"/>
  <c r="CF1117" i="9"/>
  <c r="CF1120" i="9" s="1"/>
  <c r="CF203" i="30" s="1"/>
  <c r="CF85" i="33" s="1"/>
  <c r="CG1117" i="9"/>
  <c r="CG1120" i="9" s="1"/>
  <c r="CG203" i="30" s="1"/>
  <c r="AB1019" i="9"/>
  <c r="AB528" i="9"/>
  <c r="AC418" i="9"/>
  <c r="AB424" i="9"/>
  <c r="AO1138" i="9"/>
  <c r="AO136" i="6" s="1"/>
  <c r="AP1138" i="9"/>
  <c r="AP136" i="6" s="1"/>
  <c r="AA607" i="9"/>
  <c r="AA889" i="9" s="1"/>
  <c r="AB180" i="9"/>
  <c r="BB1144" i="9"/>
  <c r="BB138" i="6" s="1"/>
  <c r="BB95" i="30" s="1"/>
  <c r="AE1144" i="9"/>
  <c r="AE138" i="6" s="1"/>
  <c r="AE95" i="30" s="1"/>
  <c r="BD1144" i="9"/>
  <c r="BD138" i="6" s="1"/>
  <c r="BD95" i="30" s="1"/>
  <c r="AP1144" i="9"/>
  <c r="AP138" i="6" s="1"/>
  <c r="AP95" i="30" s="1"/>
  <c r="BO1144" i="9"/>
  <c r="AB1144" i="9"/>
  <c r="AB138" i="6" s="1"/>
  <c r="AB95" i="30" s="1"/>
  <c r="BI1144" i="9"/>
  <c r="BI138" i="6" s="1"/>
  <c r="BI95" i="30" s="1"/>
  <c r="BQ1153" i="9"/>
  <c r="BQ1156" i="9" s="1"/>
  <c r="BQ1150" i="9"/>
  <c r="BR1153" i="9"/>
  <c r="BR1150" i="9"/>
  <c r="BK1150" i="9"/>
  <c r="BK1153" i="9"/>
  <c r="BL1150" i="9"/>
  <c r="BL1153" i="9"/>
  <c r="BM1150" i="9"/>
  <c r="BM1153" i="9"/>
  <c r="BN1153" i="9"/>
  <c r="BN1150" i="9"/>
  <c r="BO1153" i="9"/>
  <c r="BO1150" i="9"/>
  <c r="BP1153" i="9"/>
  <c r="BP1150" i="9"/>
  <c r="Y1108" i="9"/>
  <c r="Y201" i="30" s="1"/>
  <c r="BP1108" i="9"/>
  <c r="AR1108" i="9"/>
  <c r="AR201" i="30" s="1"/>
  <c r="AR84" i="33" s="1"/>
  <c r="AT1108" i="9"/>
  <c r="AT201" i="30" s="1"/>
  <c r="AT84" i="33" s="1"/>
  <c r="AI1108" i="9"/>
  <c r="AI201" i="30" s="1"/>
  <c r="AI84" i="33" s="1"/>
  <c r="BQ1108" i="9"/>
  <c r="BK1108" i="9"/>
  <c r="BL1108" i="9"/>
  <c r="AA446" i="9"/>
  <c r="AA175" i="9"/>
  <c r="AA547" i="9"/>
  <c r="AA354" i="9"/>
  <c r="AA1004" i="9"/>
  <c r="AA513" i="9"/>
  <c r="AB133" i="9"/>
  <c r="AA139" i="9"/>
  <c r="BS1132" i="9"/>
  <c r="BT1132" i="9"/>
  <c r="AA533" i="9"/>
  <c r="AA88" i="9"/>
  <c r="AA539" i="9"/>
  <c r="AA202" i="9"/>
  <c r="CX93" i="30"/>
  <c r="AY1102" i="9"/>
  <c r="AH1102" i="9"/>
  <c r="BT1102" i="9"/>
  <c r="BQ1126" i="9"/>
  <c r="BR1126" i="9"/>
  <c r="X135" i="30"/>
  <c r="Y251" i="6"/>
  <c r="BJ87" i="35"/>
  <c r="BJ94" i="6"/>
  <c r="BJ1096" i="9"/>
  <c r="CA89" i="35"/>
  <c r="CA103" i="6"/>
  <c r="CA106" i="6" s="1"/>
  <c r="CA118" i="30" s="1"/>
  <c r="X88" i="35"/>
  <c r="X97" i="6"/>
  <c r="X100" i="6" s="1"/>
  <c r="X117" i="30" s="1"/>
  <c r="AG89" i="35"/>
  <c r="AG103" i="6"/>
  <c r="AG106" i="6" s="1"/>
  <c r="AG118" i="30" s="1"/>
  <c r="AT87" i="35"/>
  <c r="AT94" i="6"/>
  <c r="AT1096" i="9"/>
  <c r="BA88" i="35"/>
  <c r="BA97" i="6"/>
  <c r="BA100" i="6" s="1"/>
  <c r="BA117" i="30" s="1"/>
  <c r="BJ89" i="35"/>
  <c r="BJ103" i="6"/>
  <c r="BJ106" i="6" s="1"/>
  <c r="BJ118" i="30" s="1"/>
  <c r="BX87" i="35"/>
  <c r="BX94" i="6"/>
  <c r="BX1096" i="9"/>
  <c r="CE88" i="35"/>
  <c r="CE97" i="6"/>
  <c r="CE100" i="6" s="1"/>
  <c r="CE117" i="30" s="1"/>
  <c r="AD87" i="35"/>
  <c r="AD94" i="6"/>
  <c r="AD1096" i="9"/>
  <c r="AK88" i="35"/>
  <c r="AK97" i="6"/>
  <c r="AK100" i="6" s="1"/>
  <c r="AK117" i="30" s="1"/>
  <c r="AT89" i="35"/>
  <c r="AT103" i="6"/>
  <c r="AT106" i="6" s="1"/>
  <c r="AT118" i="30" s="1"/>
  <c r="BG87" i="35"/>
  <c r="BG94" i="6"/>
  <c r="BG1096" i="9"/>
  <c r="CA87" i="35"/>
  <c r="CA94" i="6"/>
  <c r="CA1096" i="9"/>
  <c r="AD89" i="35"/>
  <c r="AD103" i="6"/>
  <c r="AD106" i="6" s="1"/>
  <c r="AD118" i="30" s="1"/>
  <c r="AH87" i="35"/>
  <c r="AH94" i="6"/>
  <c r="AH1096" i="9"/>
  <c r="AO88" i="35"/>
  <c r="AO97" i="6"/>
  <c r="AO100" i="6" s="1"/>
  <c r="AO117" i="30" s="1"/>
  <c r="BF89" i="35"/>
  <c r="BF103" i="6"/>
  <c r="BF106" i="6" s="1"/>
  <c r="BF118" i="30" s="1"/>
  <c r="BC87" i="35"/>
  <c r="BC94" i="6"/>
  <c r="BC1096" i="9"/>
  <c r="BJ88" i="35"/>
  <c r="BJ97" i="6"/>
  <c r="BJ100" i="6" s="1"/>
  <c r="BJ117" i="30" s="1"/>
  <c r="BI89" i="35"/>
  <c r="BI103" i="6"/>
  <c r="BI106" i="6" s="1"/>
  <c r="BI118" i="30" s="1"/>
  <c r="AA1008" i="9"/>
  <c r="AA517" i="9"/>
  <c r="AA215" i="9"/>
  <c r="AB209" i="9"/>
  <c r="AA544" i="9"/>
  <c r="AA297" i="9"/>
  <c r="BX334" i="26"/>
  <c r="DH334" i="26" s="1"/>
  <c r="CY334" i="26" s="1"/>
  <c r="CH356" i="26"/>
  <c r="AJ1114" i="9"/>
  <c r="AJ202" i="30" s="1"/>
  <c r="BD1114" i="9"/>
  <c r="BD202" i="30" s="1"/>
  <c r="AC1114" i="9"/>
  <c r="AC202" i="30" s="1"/>
  <c r="AC85" i="33" s="1"/>
  <c r="BB1114" i="9"/>
  <c r="BB202" i="30" s="1"/>
  <c r="AU1114" i="9"/>
  <c r="AU202" i="30" s="1"/>
  <c r="X1114" i="9"/>
  <c r="X202" i="30" s="1"/>
  <c r="Y1114" i="9"/>
  <c r="Y202" i="30" s="1"/>
  <c r="AC1117" i="9"/>
  <c r="AC1120" i="9" s="1"/>
  <c r="AC203" i="30" s="1"/>
  <c r="AD1117" i="9"/>
  <c r="AD1120" i="9" s="1"/>
  <c r="AD203" i="30" s="1"/>
  <c r="V1117" i="9"/>
  <c r="V1120" i="9" s="1"/>
  <c r="V203" i="30" s="1"/>
  <c r="W1117" i="9"/>
  <c r="W1120" i="9" s="1"/>
  <c r="W203" i="30" s="1"/>
  <c r="X1117" i="9"/>
  <c r="X1120" i="9" s="1"/>
  <c r="X203" i="30" s="1"/>
  <c r="Y1117" i="9"/>
  <c r="Y1120" i="9" s="1"/>
  <c r="Y203" i="30" s="1"/>
  <c r="AB1117" i="9"/>
  <c r="AB1120" i="9" s="1"/>
  <c r="AB203" i="30" s="1"/>
  <c r="AA1000" i="9"/>
  <c r="AA509" i="9"/>
  <c r="AA63" i="9"/>
  <c r="AB57" i="9"/>
  <c r="AZ139" i="6"/>
  <c r="AZ120" i="30" s="1"/>
  <c r="BB139" i="6"/>
  <c r="BB120" i="30" s="1"/>
  <c r="AU139" i="6"/>
  <c r="AU120" i="30" s="1"/>
  <c r="AW1138" i="9"/>
  <c r="AW136" i="6" s="1"/>
  <c r="AX1138" i="9"/>
  <c r="AX136" i="6" s="1"/>
  <c r="BJ1144" i="9"/>
  <c r="BJ138" i="6" s="1"/>
  <c r="BJ95" i="30" s="1"/>
  <c r="AM1144" i="9"/>
  <c r="AM138" i="6" s="1"/>
  <c r="AM95" i="30" s="1"/>
  <c r="BL1144" i="9"/>
  <c r="X1144" i="9"/>
  <c r="X138" i="6" s="1"/>
  <c r="X95" i="30" s="1"/>
  <c r="AX1144" i="9"/>
  <c r="AX138" i="6" s="1"/>
  <c r="AX95" i="30" s="1"/>
  <c r="BY1144" i="9"/>
  <c r="BY138" i="6" s="1"/>
  <c r="BY95" i="30" s="1"/>
  <c r="AJ1144" i="9"/>
  <c r="AJ138" i="6" s="1"/>
  <c r="AJ95" i="30" s="1"/>
  <c r="BQ1144" i="9"/>
  <c r="BZ1153" i="9"/>
  <c r="BZ1150" i="9"/>
  <c r="BZ199" i="30" s="1"/>
  <c r="CA1153" i="9"/>
  <c r="CA1150" i="9"/>
  <c r="CA199" i="30" s="1"/>
  <c r="BS1150" i="9"/>
  <c r="BS1153" i="9"/>
  <c r="BT1150" i="9"/>
  <c r="BT1153" i="9"/>
  <c r="BU1150" i="9"/>
  <c r="BU1153" i="9"/>
  <c r="BV1153" i="9"/>
  <c r="BV1150" i="9"/>
  <c r="BX1153" i="9"/>
  <c r="BX1156" i="9" s="1"/>
  <c r="BX1150" i="9"/>
  <c r="BX199" i="30" s="1"/>
  <c r="BX82" i="33" s="1"/>
  <c r="BY1153" i="9"/>
  <c r="BY1156" i="9" s="1"/>
  <c r="BY1150" i="9"/>
  <c r="BY199" i="30" s="1"/>
  <c r="BY82" i="33" s="1"/>
  <c r="AL1108" i="9"/>
  <c r="AL201" i="30" s="1"/>
  <c r="AL84" i="33" s="1"/>
  <c r="CG1108" i="9"/>
  <c r="CG201" i="30" s="1"/>
  <c r="CG84" i="33" s="1"/>
  <c r="BE1108" i="9"/>
  <c r="BE201" i="30" s="1"/>
  <c r="BE84" i="33" s="1"/>
  <c r="BH1108" i="9"/>
  <c r="BH201" i="30" s="1"/>
  <c r="BH84" i="33" s="1"/>
  <c r="AQ1108" i="9"/>
  <c r="AQ201" i="30" s="1"/>
  <c r="AQ84" i="33" s="1"/>
  <c r="BZ1108" i="9"/>
  <c r="BZ201" i="30" s="1"/>
  <c r="BZ84" i="33" s="1"/>
  <c r="BS1108" i="9"/>
  <c r="BT1108" i="9"/>
  <c r="CB1132" i="9"/>
  <c r="CC1132" i="9"/>
  <c r="AA542" i="9"/>
  <c r="AA259" i="9"/>
  <c r="AB1102" i="9"/>
  <c r="BH1102" i="9"/>
  <c r="AQ1102" i="9"/>
  <c r="Y1102" i="9"/>
  <c r="CW92" i="30"/>
  <c r="BE1102" i="9"/>
  <c r="BZ1126" i="9"/>
  <c r="BZ198" i="30" s="1"/>
  <c r="CW198" i="30" s="1"/>
  <c r="CA1126" i="9"/>
  <c r="CA198" i="30" s="1"/>
  <c r="CX198" i="30" s="1"/>
  <c r="AE127" i="30"/>
  <c r="AF206" i="6"/>
  <c r="AF217" i="6" s="1"/>
  <c r="CB88" i="35"/>
  <c r="CB97" i="6"/>
  <c r="CB100" i="6" s="1"/>
  <c r="CB117" i="30" s="1"/>
  <c r="AA87" i="35"/>
  <c r="AA94" i="6"/>
  <c r="AA1096" i="9"/>
  <c r="AH88" i="35"/>
  <c r="AH97" i="6"/>
  <c r="AH100" i="6" s="1"/>
  <c r="AH117" i="30" s="1"/>
  <c r="AP89" i="35"/>
  <c r="AP103" i="6"/>
  <c r="AP106" i="6" s="1"/>
  <c r="AP118" i="30" s="1"/>
  <c r="BD87" i="35"/>
  <c r="BD94" i="6"/>
  <c r="BD1096" i="9"/>
  <c r="CG87" i="35"/>
  <c r="CG94" i="6"/>
  <c r="CG1096" i="9"/>
  <c r="Y89" i="35"/>
  <c r="Y103" i="6"/>
  <c r="Y106" i="6" s="1"/>
  <c r="Y118" i="30" s="1"/>
  <c r="AN87" i="35"/>
  <c r="AN94" i="6"/>
  <c r="AN1096" i="9"/>
  <c r="AU88" i="35"/>
  <c r="AU97" i="6"/>
  <c r="AU100" i="6" s="1"/>
  <c r="AU117" i="30" s="1"/>
  <c r="BC89" i="35"/>
  <c r="BC103" i="6"/>
  <c r="BC106" i="6" s="1"/>
  <c r="BC118" i="30" s="1"/>
  <c r="BX88" i="35"/>
  <c r="BX97" i="6"/>
  <c r="BX100" i="6" s="1"/>
  <c r="BX117" i="30" s="1"/>
  <c r="CF89" i="35"/>
  <c r="CF103" i="6"/>
  <c r="CF106" i="6" s="1"/>
  <c r="CF118" i="30" s="1"/>
  <c r="AE88" i="35"/>
  <c r="AE97" i="6"/>
  <c r="AE100" i="6" s="1"/>
  <c r="AE117" i="30" s="1"/>
  <c r="AM89" i="35"/>
  <c r="AM103" i="6"/>
  <c r="AM106" i="6" s="1"/>
  <c r="AM118" i="30" s="1"/>
  <c r="AQ87" i="35"/>
  <c r="AQ94" i="6"/>
  <c r="AQ1096" i="9"/>
  <c r="AX88" i="35"/>
  <c r="AX97" i="6"/>
  <c r="AX100" i="6" s="1"/>
  <c r="AX117" i="30" s="1"/>
  <c r="BK1096" i="9"/>
  <c r="AA447" i="9"/>
  <c r="AA194" i="9"/>
  <c r="AA1010" i="9"/>
  <c r="AA519" i="9"/>
  <c r="AA253" i="9"/>
  <c r="AB247" i="9"/>
  <c r="AE129" i="30"/>
  <c r="AF229" i="6"/>
  <c r="AF236" i="6" s="1"/>
  <c r="AB85" i="33"/>
  <c r="AK85" i="33"/>
  <c r="AG1114" i="9"/>
  <c r="AG202" i="30" s="1"/>
  <c r="AH1114" i="9"/>
  <c r="AH202" i="30" s="1"/>
  <c r="AK1117" i="9"/>
  <c r="AK1120" i="9" s="1"/>
  <c r="AK203" i="30" s="1"/>
  <c r="AL1117" i="9"/>
  <c r="AL1120" i="9" s="1"/>
  <c r="AL203" i="30" s="1"/>
  <c r="AE1120" i="9"/>
  <c r="AE203" i="30" s="1"/>
  <c r="AF1120" i="9"/>
  <c r="AF203" i="30" s="1"/>
  <c r="AG1117" i="9"/>
  <c r="AG1120" i="9" s="1"/>
  <c r="AG203" i="30" s="1"/>
  <c r="AH1117" i="9"/>
  <c r="AH1120" i="9" s="1"/>
  <c r="AH203" i="30" s="1"/>
  <c r="AJ1120" i="9"/>
  <c r="AJ203" i="30" s="1"/>
  <c r="AA1011" i="9"/>
  <c r="AA520" i="9"/>
  <c r="AA272" i="9"/>
  <c r="AB266" i="9"/>
  <c r="BI139" i="6"/>
  <c r="BI120" i="30" s="1"/>
  <c r="BJ139" i="6"/>
  <c r="BJ120" i="30" s="1"/>
  <c r="BE1138" i="9"/>
  <c r="BE136" i="6" s="1"/>
  <c r="BE139" i="6" s="1"/>
  <c r="BE120" i="30" s="1"/>
  <c r="BF1138" i="9"/>
  <c r="BF136" i="6" s="1"/>
  <c r="BT1144" i="9"/>
  <c r="AG1144" i="9"/>
  <c r="AG138" i="6" s="1"/>
  <c r="AG95" i="30" s="1"/>
  <c r="BF1144" i="9"/>
  <c r="BF138" i="6" s="1"/>
  <c r="BF95" i="30" s="1"/>
  <c r="AR1144" i="9"/>
  <c r="AR138" i="6" s="1"/>
  <c r="AR95" i="30" s="1"/>
  <c r="CH1153" i="9"/>
  <c r="CH1156" i="9" s="1"/>
  <c r="CH1150" i="9"/>
  <c r="CH199" i="30" s="1"/>
  <c r="CI1153" i="9"/>
  <c r="CI1156" i="9" s="1"/>
  <c r="CI1150" i="9"/>
  <c r="CI199" i="30" s="1"/>
  <c r="CB1150" i="9"/>
  <c r="CB199" i="30" s="1"/>
  <c r="CB82" i="33" s="1"/>
  <c r="CB1153" i="9"/>
  <c r="CC1150" i="9"/>
  <c r="CC199" i="30" s="1"/>
  <c r="CC82" i="33" s="1"/>
  <c r="CC1153" i="9"/>
  <c r="CC1156" i="9" s="1"/>
  <c r="CD1150" i="9"/>
  <c r="CD199" i="30" s="1"/>
  <c r="CD1153" i="9"/>
  <c r="CD1156" i="9" s="1"/>
  <c r="CE1153" i="9"/>
  <c r="CE1156" i="9" s="1"/>
  <c r="CE1150" i="9"/>
  <c r="CE199" i="30" s="1"/>
  <c r="CF1153" i="9"/>
  <c r="CF1156" i="9" s="1"/>
  <c r="CF1150" i="9"/>
  <c r="CF199" i="30" s="1"/>
  <c r="CF82" i="33" s="1"/>
  <c r="CG1153" i="9"/>
  <c r="CG1156" i="9" s="1"/>
  <c r="CG1150" i="9"/>
  <c r="CG199" i="30" s="1"/>
  <c r="CG82" i="33" s="1"/>
  <c r="BY1108" i="9"/>
  <c r="BY201" i="30" s="1"/>
  <c r="BY84" i="33" s="1"/>
  <c r="V1132" i="9"/>
  <c r="W1132" i="9"/>
  <c r="AA532" i="9"/>
  <c r="AA69" i="9"/>
  <c r="AZ1102" i="9"/>
  <c r="BM1102" i="9"/>
  <c r="CD82" i="33"/>
  <c r="CH1126" i="9"/>
  <c r="CH198" i="30" s="1"/>
  <c r="CI1126" i="9"/>
  <c r="CI198" i="30" s="1"/>
  <c r="CD87" i="35"/>
  <c r="CD94" i="6"/>
  <c r="CD1096" i="9"/>
  <c r="V89" i="35"/>
  <c r="V103" i="6"/>
  <c r="AJ87" i="35"/>
  <c r="AJ94" i="6"/>
  <c r="AJ1096" i="9"/>
  <c r="AQ88" i="35"/>
  <c r="AQ97" i="6"/>
  <c r="AQ100" i="6" s="1"/>
  <c r="AQ117" i="30" s="1"/>
  <c r="AY89" i="35"/>
  <c r="AY103" i="6"/>
  <c r="AY106" i="6" s="1"/>
  <c r="AY118" i="30" s="1"/>
  <c r="BM1096" i="9"/>
  <c r="CC89" i="35"/>
  <c r="CC103" i="6"/>
  <c r="CC106" i="6" s="1"/>
  <c r="CC118" i="30" s="1"/>
  <c r="AA88" i="35"/>
  <c r="AA97" i="6"/>
  <c r="AA100" i="6" s="1"/>
  <c r="AA117" i="30" s="1"/>
  <c r="AI89" i="35"/>
  <c r="AI103" i="6"/>
  <c r="AI106" i="6" s="1"/>
  <c r="AI118" i="30" s="1"/>
  <c r="AW87" i="35"/>
  <c r="AW94" i="6"/>
  <c r="AW1096" i="9"/>
  <c r="BD88" i="35"/>
  <c r="BD97" i="6"/>
  <c r="BD100" i="6" s="1"/>
  <c r="BD117" i="30" s="1"/>
  <c r="BZ87" i="35"/>
  <c r="BZ94" i="6"/>
  <c r="BZ1096" i="9"/>
  <c r="CG88" i="35"/>
  <c r="CG97" i="6"/>
  <c r="CG100" i="6" s="1"/>
  <c r="CG117" i="30" s="1"/>
  <c r="W87" i="35"/>
  <c r="W94" i="6"/>
  <c r="W1096" i="9"/>
  <c r="AN88" i="35"/>
  <c r="AN97" i="6"/>
  <c r="AN100" i="6" s="1"/>
  <c r="AN117" i="30" s="1"/>
  <c r="AV89" i="35"/>
  <c r="AV103" i="6"/>
  <c r="AV106" i="6" s="1"/>
  <c r="AV118" i="30" s="1"/>
  <c r="AZ87" i="35"/>
  <c r="AZ94" i="6"/>
  <c r="AZ1096" i="9"/>
  <c r="BG88" i="35"/>
  <c r="BG97" i="6"/>
  <c r="BG100" i="6" s="1"/>
  <c r="BG117" i="30" s="1"/>
  <c r="BY89" i="35"/>
  <c r="BY103" i="6"/>
  <c r="BY106" i="6" s="1"/>
  <c r="BY118" i="30" s="1"/>
  <c r="BS1096" i="9"/>
  <c r="CA88" i="35"/>
  <c r="CA97" i="6"/>
  <c r="CA100" i="6" s="1"/>
  <c r="CA117" i="30" s="1"/>
  <c r="BZ89" i="35"/>
  <c r="BZ103" i="6"/>
  <c r="BZ106" i="6" s="1"/>
  <c r="BZ118" i="30" s="1"/>
  <c r="AD128" i="30"/>
  <c r="AE220" i="6"/>
  <c r="AE226" i="6" s="1"/>
  <c r="AL85" i="33"/>
  <c r="AT85" i="33"/>
  <c r="AI1114" i="9"/>
  <c r="AI202" i="30" s="1"/>
  <c r="AI85" i="33" s="1"/>
  <c r="AP1114" i="9"/>
  <c r="AP202" i="30" s="1"/>
  <c r="AP85" i="33" s="1"/>
  <c r="AS1117" i="9"/>
  <c r="AS1120" i="9" s="1"/>
  <c r="AS203" i="30" s="1"/>
  <c r="AS85" i="33" s="1"/>
  <c r="AT1117" i="9"/>
  <c r="AT1120" i="9" s="1"/>
  <c r="AT203" i="30" s="1"/>
  <c r="AM1120" i="9"/>
  <c r="AM203" i="30" s="1"/>
  <c r="AN1120" i="9"/>
  <c r="AN203" i="30" s="1"/>
  <c r="AO1117" i="9"/>
  <c r="AO1120" i="9" s="1"/>
  <c r="AO203" i="30" s="1"/>
  <c r="AO85" i="33" s="1"/>
  <c r="AP1117" i="9"/>
  <c r="AP1120" i="9" s="1"/>
  <c r="AP203" i="30" s="1"/>
  <c r="AQ1120" i="9"/>
  <c r="AQ203" i="30" s="1"/>
  <c r="AR1117" i="9"/>
  <c r="AR1120" i="9" s="1"/>
  <c r="AR203" i="30" s="1"/>
  <c r="AR85" i="33" s="1"/>
  <c r="AA441" i="9"/>
  <c r="AA80" i="9"/>
  <c r="BM1138" i="9"/>
  <c r="BN1138" i="9"/>
  <c r="AC135" i="30"/>
  <c r="AD251" i="6"/>
  <c r="AD253" i="6" s="1"/>
  <c r="AC1153" i="9"/>
  <c r="AC1156" i="9" s="1"/>
  <c r="AC1150" i="9"/>
  <c r="AC199" i="30" s="1"/>
  <c r="AD1153" i="9"/>
  <c r="AD1156" i="9" s="1"/>
  <c r="AD1150" i="9"/>
  <c r="AD199" i="30" s="1"/>
  <c r="V1150" i="9"/>
  <c r="V199" i="30" s="1"/>
  <c r="V1153" i="9"/>
  <c r="V1156" i="9" s="1"/>
  <c r="W1150" i="9"/>
  <c r="W199" i="30" s="1"/>
  <c r="W1153" i="9"/>
  <c r="X1150" i="9"/>
  <c r="X199" i="30" s="1"/>
  <c r="X82" i="33" s="1"/>
  <c r="I34" i="50" s="1"/>
  <c r="X1153" i="9"/>
  <c r="Y1153" i="9"/>
  <c r="Y1150" i="9"/>
  <c r="Y199" i="30" s="1"/>
  <c r="AA1153" i="9"/>
  <c r="AA1150" i="9"/>
  <c r="AA199" i="30" s="1"/>
  <c r="AA82" i="33" s="1"/>
  <c r="AB1153" i="9"/>
  <c r="AB1156" i="9" s="1"/>
  <c r="AB1150" i="9"/>
  <c r="AB199" i="30" s="1"/>
  <c r="X84" i="33"/>
  <c r="I36" i="50" s="1"/>
  <c r="Q36" i="50" s="1"/>
  <c r="G101" i="50" s="1"/>
  <c r="AJ1108" i="9"/>
  <c r="AJ201" i="30" s="1"/>
  <c r="AJ84" i="33" s="1"/>
  <c r="V84" i="33"/>
  <c r="E36" i="50" s="1"/>
  <c r="W1108" i="9"/>
  <c r="W201" i="30" s="1"/>
  <c r="AE1132" i="9"/>
  <c r="AF1132" i="9"/>
  <c r="AA612" i="9"/>
  <c r="AA894" i="9" s="1"/>
  <c r="AB275" i="9"/>
  <c r="CA1102" i="9"/>
  <c r="AR1102" i="9"/>
  <c r="AA1102" i="9"/>
  <c r="BU1102" i="9"/>
  <c r="CY198" i="30"/>
  <c r="CQ198" i="30" s="1"/>
  <c r="CV198" i="30"/>
  <c r="AB82" i="33"/>
  <c r="AC1126" i="9"/>
  <c r="AC198" i="30" s="1"/>
  <c r="AD1126" i="9"/>
  <c r="AD198" i="30" s="1"/>
  <c r="AA620" i="9"/>
  <c r="AA902" i="9" s="1"/>
  <c r="AB427" i="9"/>
  <c r="W88" i="35"/>
  <c r="W97" i="6"/>
  <c r="W100" i="6" s="1"/>
  <c r="W117" i="30" s="1"/>
  <c r="AF89" i="35"/>
  <c r="AF103" i="6"/>
  <c r="AF106" i="6" s="1"/>
  <c r="AF118" i="30" s="1"/>
  <c r="AS87" i="35"/>
  <c r="AS94" i="6"/>
  <c r="AS1096" i="9"/>
  <c r="AZ88" i="35"/>
  <c r="AZ97" i="6"/>
  <c r="AZ100" i="6" s="1"/>
  <c r="AZ117" i="30" s="1"/>
  <c r="BH89" i="35"/>
  <c r="BH103" i="6"/>
  <c r="BH106" i="6" s="1"/>
  <c r="BH118" i="30" s="1"/>
  <c r="BV1096" i="9"/>
  <c r="CD88" i="35"/>
  <c r="CD97" i="6"/>
  <c r="CD100" i="6" s="1"/>
  <c r="CD117" i="30" s="1"/>
  <c r="AC87" i="35"/>
  <c r="AC94" i="6"/>
  <c r="AC1096" i="9"/>
  <c r="AJ88" i="35"/>
  <c r="AJ97" i="6"/>
  <c r="AJ100" i="6" s="1"/>
  <c r="AJ117" i="30" s="1"/>
  <c r="AR89" i="35"/>
  <c r="AR103" i="6"/>
  <c r="AR106" i="6" s="1"/>
  <c r="AR118" i="30" s="1"/>
  <c r="BF87" i="35"/>
  <c r="BF94" i="6"/>
  <c r="BF1096" i="9"/>
  <c r="CI87" i="35"/>
  <c r="CI94" i="6"/>
  <c r="CI1096" i="9"/>
  <c r="AB89" i="35"/>
  <c r="AB103" i="6"/>
  <c r="AB106" i="6" s="1"/>
  <c r="AB118" i="30" s="1"/>
  <c r="AG87" i="35"/>
  <c r="AG94" i="6"/>
  <c r="AG1096" i="9"/>
  <c r="AW88" i="35"/>
  <c r="AW97" i="6"/>
  <c r="AW100" i="6" s="1"/>
  <c r="AW117" i="30" s="1"/>
  <c r="BE89" i="35"/>
  <c r="BE103" i="6"/>
  <c r="BE106" i="6" s="1"/>
  <c r="BE118" i="30" s="1"/>
  <c r="BI87" i="35"/>
  <c r="BI94" i="6"/>
  <c r="BI1096" i="9"/>
  <c r="CI89" i="35"/>
  <c r="CI103" i="6"/>
  <c r="CI106" i="6" s="1"/>
  <c r="CI118" i="30" s="1"/>
  <c r="CB87" i="35"/>
  <c r="CB94" i="6"/>
  <c r="CB1096" i="9"/>
  <c r="CI88" i="35"/>
  <c r="CI97" i="6"/>
  <c r="CI100" i="6" s="1"/>
  <c r="CI117" i="30" s="1"/>
  <c r="CH89" i="35"/>
  <c r="CH103" i="6"/>
  <c r="CH106" i="6" s="1"/>
  <c r="CH118" i="30" s="1"/>
  <c r="AA610" i="9"/>
  <c r="AA892" i="9" s="1"/>
  <c r="AB237" i="9"/>
  <c r="AA1018" i="9"/>
  <c r="AA527" i="9"/>
  <c r="AA405" i="9"/>
  <c r="AB399" i="9"/>
  <c r="AA453" i="9"/>
  <c r="AA308" i="9"/>
  <c r="CC85" i="33"/>
  <c r="BA85" i="33"/>
  <c r="AX1114" i="9"/>
  <c r="AX202" i="30" s="1"/>
  <c r="AX85" i="33" s="1"/>
  <c r="BA1117" i="9"/>
  <c r="BA1120" i="9" s="1"/>
  <c r="BA203" i="30" s="1"/>
  <c r="BB1120" i="9"/>
  <c r="BB203" i="30" s="1"/>
  <c r="AU1120" i="9"/>
  <c r="AU203" i="30" s="1"/>
  <c r="AV1120" i="9"/>
  <c r="AV203" i="30" s="1"/>
  <c r="AW1117" i="9"/>
  <c r="AW1120" i="9" s="1"/>
  <c r="AW203" i="30" s="1"/>
  <c r="AW85" i="33" s="1"/>
  <c r="AX1117" i="9"/>
  <c r="AX1120" i="9" s="1"/>
  <c r="AX203" i="30" s="1"/>
  <c r="AY1120" i="9"/>
  <c r="AY203" i="30" s="1"/>
  <c r="AZ1117" i="9"/>
  <c r="AZ1120" i="9" s="1"/>
  <c r="AZ203" i="30" s="1"/>
  <c r="AZ85" i="33" s="1"/>
  <c r="AA1014" i="9"/>
  <c r="AA523" i="9"/>
  <c r="AA329" i="9"/>
  <c r="AB323" i="9"/>
  <c r="BU1138" i="9"/>
  <c r="BV1138" i="9"/>
  <c r="AA442" i="9"/>
  <c r="AA99" i="9"/>
  <c r="W95" i="30"/>
  <c r="AK1153" i="9"/>
  <c r="AK1156" i="9" s="1"/>
  <c r="AK1150" i="9"/>
  <c r="AK199" i="30" s="1"/>
  <c r="AL1153" i="9"/>
  <c r="AL1150" i="9"/>
  <c r="AL199" i="30" s="1"/>
  <c r="AE1150" i="9"/>
  <c r="AE199" i="30" s="1"/>
  <c r="AE82" i="33" s="1"/>
  <c r="AE1153" i="9"/>
  <c r="AE1156" i="9" s="1"/>
  <c r="AF1150" i="9"/>
  <c r="AF199" i="30" s="1"/>
  <c r="AF82" i="33" s="1"/>
  <c r="AF1153" i="9"/>
  <c r="AG1150" i="9"/>
  <c r="AG199" i="30" s="1"/>
  <c r="AG82" i="33" s="1"/>
  <c r="AG1153" i="9"/>
  <c r="AH1153" i="9"/>
  <c r="AH1150" i="9"/>
  <c r="AH199" i="30" s="1"/>
  <c r="AI1153" i="9"/>
  <c r="AI1150" i="9"/>
  <c r="AI199" i="30" s="1"/>
  <c r="AI82" i="33" s="1"/>
  <c r="AJ1153" i="9"/>
  <c r="AJ1156" i="9" s="1"/>
  <c r="AJ1150" i="9"/>
  <c r="AJ199" i="30" s="1"/>
  <c r="AJ82" i="33" s="1"/>
  <c r="AW1108" i="9"/>
  <c r="AW201" i="30" s="1"/>
  <c r="AW84" i="33" s="1"/>
  <c r="AF1108" i="9"/>
  <c r="AF201" i="30" s="1"/>
  <c r="AF84" i="33" s="1"/>
  <c r="AB540" i="9"/>
  <c r="AB221" i="9"/>
  <c r="AA455" i="9"/>
  <c r="AA346" i="9"/>
  <c r="AM1132" i="9"/>
  <c r="AN1132" i="9"/>
  <c r="AA604" i="9"/>
  <c r="AA886" i="9" s="1"/>
  <c r="AB123" i="9"/>
  <c r="BA1102" i="9"/>
  <c r="W92" i="30"/>
  <c r="CO99" i="6" a="1"/>
  <c r="CO99" i="6" s="1"/>
  <c r="CS99" i="6"/>
  <c r="AH82" i="33"/>
  <c r="AK1126" i="9"/>
  <c r="AK198" i="30" s="1"/>
  <c r="AL1126" i="9"/>
  <c r="AL198" i="30" s="1"/>
  <c r="AE158" i="6"/>
  <c r="AE121" i="30" s="1"/>
  <c r="AF142" i="6"/>
  <c r="AF155" i="6" s="1"/>
  <c r="Y87" i="35"/>
  <c r="Y94" i="6"/>
  <c r="Y1096" i="9"/>
  <c r="AG88" i="35"/>
  <c r="AG97" i="6"/>
  <c r="AG100" i="6" s="1"/>
  <c r="AG117" i="30" s="1"/>
  <c r="AO89" i="35"/>
  <c r="AO103" i="6"/>
  <c r="AO106" i="6" s="1"/>
  <c r="AO118" i="30" s="1"/>
  <c r="BB87" i="35"/>
  <c r="BB94" i="6"/>
  <c r="BB1096" i="9"/>
  <c r="BI88" i="35"/>
  <c r="BI97" i="6"/>
  <c r="BI100" i="6" s="1"/>
  <c r="BI117" i="30" s="1"/>
  <c r="CF87" i="35"/>
  <c r="CF94" i="6"/>
  <c r="CF1096" i="9"/>
  <c r="X89" i="35"/>
  <c r="X103" i="6"/>
  <c r="X106" i="6" s="1"/>
  <c r="X118" i="30" s="1"/>
  <c r="AL87" i="35"/>
  <c r="AL94" i="6"/>
  <c r="AL1096" i="9"/>
  <c r="AS88" i="35"/>
  <c r="AS97" i="6"/>
  <c r="AS100" i="6" s="1"/>
  <c r="AS117" i="30" s="1"/>
  <c r="BB89" i="35"/>
  <c r="BB103" i="6"/>
  <c r="BB106" i="6" s="1"/>
  <c r="BB118" i="30" s="1"/>
  <c r="CE89" i="35"/>
  <c r="CE103" i="6"/>
  <c r="CE106" i="6" s="1"/>
  <c r="CE118" i="30" s="1"/>
  <c r="AC88" i="35"/>
  <c r="AC97" i="6"/>
  <c r="AC100" i="6" s="1"/>
  <c r="AC117" i="30" s="1"/>
  <c r="AL89" i="35"/>
  <c r="AL103" i="6"/>
  <c r="AL106" i="6" s="1"/>
  <c r="AL118" i="30" s="1"/>
  <c r="AP87" i="35"/>
  <c r="AP94" i="6"/>
  <c r="AP1096" i="9"/>
  <c r="BF88" i="35"/>
  <c r="BF97" i="6"/>
  <c r="BF100" i="6" s="1"/>
  <c r="BF117" i="30" s="1"/>
  <c r="BR1096" i="9"/>
  <c r="BZ88" i="35"/>
  <c r="BZ97" i="6"/>
  <c r="BZ100" i="6" s="1"/>
  <c r="BZ117" i="30" s="1"/>
  <c r="V87" i="35"/>
  <c r="V94" i="6"/>
  <c r="V1096" i="9"/>
  <c r="AD88" i="35"/>
  <c r="AD97" i="6"/>
  <c r="AD100" i="6" s="1"/>
  <c r="AD117" i="30" s="1"/>
  <c r="AC89" i="35"/>
  <c r="AC103" i="6"/>
  <c r="AC106" i="6" s="1"/>
  <c r="AC118" i="30" s="1"/>
  <c r="CD356" i="26"/>
  <c r="AD85" i="33"/>
  <c r="BH1114" i="9"/>
  <c r="BH202" i="30" s="1"/>
  <c r="BI1114" i="9"/>
  <c r="BI202" i="30" s="1"/>
  <c r="BI85" i="33" s="1"/>
  <c r="CI85" i="33"/>
  <c r="CB85" i="33"/>
  <c r="BE85" i="33"/>
  <c r="BF1114" i="9"/>
  <c r="BF202" i="30" s="1"/>
  <c r="BI1117" i="9"/>
  <c r="BI1120" i="9" s="1"/>
  <c r="BI203" i="30" s="1"/>
  <c r="BJ1117" i="9"/>
  <c r="BJ1120" i="9" s="1"/>
  <c r="BJ203" i="30" s="1"/>
  <c r="BJ85" i="33" s="1"/>
  <c r="BC1117" i="9"/>
  <c r="BC1120" i="9" s="1"/>
  <c r="BC203" i="30" s="1"/>
  <c r="BC85" i="33" s="1"/>
  <c r="BD1117" i="9"/>
  <c r="BD1120" i="9" s="1"/>
  <c r="BD203" i="30" s="1"/>
  <c r="BE1117" i="9"/>
  <c r="BE1120" i="9" s="1"/>
  <c r="BE203" i="30" s="1"/>
  <c r="BF1117" i="9"/>
  <c r="BF1120" i="9" s="1"/>
  <c r="BF203" i="30" s="1"/>
  <c r="BG1120" i="9"/>
  <c r="BG203" i="30" s="1"/>
  <c r="BH1117" i="9"/>
  <c r="BH1120" i="9" s="1"/>
  <c r="BH203" i="30" s="1"/>
  <c r="CD1138" i="9"/>
  <c r="CD136" i="6" s="1"/>
  <c r="CD139" i="6" s="1"/>
  <c r="CD120" i="30" s="1"/>
  <c r="CE1138" i="9"/>
  <c r="CE136" i="6" s="1"/>
  <c r="CE139" i="6" s="1"/>
  <c r="CE120" i="30" s="1"/>
  <c r="AD1144" i="9"/>
  <c r="AD138" i="6" s="1"/>
  <c r="AD95" i="30" s="1"/>
  <c r="AF1144" i="9"/>
  <c r="AF138" i="6" s="1"/>
  <c r="AF95" i="30" s="1"/>
  <c r="AK1144" i="9"/>
  <c r="AK138" i="6" s="1"/>
  <c r="AK95" i="30" s="1"/>
  <c r="AS1153" i="9"/>
  <c r="AS1156" i="9" s="1"/>
  <c r="AS1150" i="9"/>
  <c r="AS199" i="30" s="1"/>
  <c r="AT1153" i="9"/>
  <c r="AT1156" i="9" s="1"/>
  <c r="AT1150" i="9"/>
  <c r="AT199" i="30" s="1"/>
  <c r="AM1150" i="9"/>
  <c r="AM199" i="30" s="1"/>
  <c r="AM82" i="33" s="1"/>
  <c r="AM1153" i="9"/>
  <c r="AN1150" i="9"/>
  <c r="AN199" i="30" s="1"/>
  <c r="AN82" i="33" s="1"/>
  <c r="AN1153" i="9"/>
  <c r="AO1150" i="9"/>
  <c r="AO199" i="30" s="1"/>
  <c r="AO82" i="33" s="1"/>
  <c r="AO1153" i="9"/>
  <c r="AO1156" i="9" s="1"/>
  <c r="AP1153" i="9"/>
  <c r="AP1150" i="9"/>
  <c r="AP199" i="30" s="1"/>
  <c r="AQ1153" i="9"/>
  <c r="AQ1150" i="9"/>
  <c r="AQ199" i="30" s="1"/>
  <c r="AR1153" i="9"/>
  <c r="AR1156" i="9" s="1"/>
  <c r="AR1150" i="9"/>
  <c r="AR199" i="30" s="1"/>
  <c r="AR82" i="33" s="1"/>
  <c r="AB1108" i="9"/>
  <c r="AB201" i="30" s="1"/>
  <c r="AB84" i="33" s="1"/>
  <c r="BF1108" i="9"/>
  <c r="BF201" i="30" s="1"/>
  <c r="BF84" i="33" s="1"/>
  <c r="BX1108" i="9"/>
  <c r="BX201" i="30" s="1"/>
  <c r="BX84" i="33" s="1"/>
  <c r="AN1108" i="9"/>
  <c r="AN201" i="30" s="1"/>
  <c r="AN84" i="33" s="1"/>
  <c r="AA618" i="9"/>
  <c r="AA900" i="9" s="1"/>
  <c r="AB389" i="9"/>
  <c r="AU1132" i="9"/>
  <c r="AV1132" i="9"/>
  <c r="AA1009" i="9"/>
  <c r="AA518" i="9"/>
  <c r="AB228" i="9"/>
  <c r="AA234" i="9"/>
  <c r="BL1102" i="9"/>
  <c r="W93" i="30"/>
  <c r="CS105" i="6"/>
  <c r="CO105" i="6" a="1"/>
  <c r="CO105" i="6" s="1"/>
  <c r="A105" i="6" s="1" a="1"/>
  <c r="A105" i="6" s="1"/>
  <c r="AE1102" i="9"/>
  <c r="BJ1102" i="9"/>
  <c r="AS1102" i="9"/>
  <c r="X1102" i="9"/>
  <c r="AP82" i="33"/>
  <c r="AQ82" i="33"/>
  <c r="AS1126" i="9"/>
  <c r="AS198" i="30" s="1"/>
  <c r="AT1126" i="9"/>
  <c r="AT198" i="30" s="1"/>
  <c r="AD130" i="30"/>
  <c r="AE239" i="6"/>
  <c r="AE242" i="6" s="1"/>
  <c r="AI87" i="35"/>
  <c r="AI94" i="6"/>
  <c r="AI1096" i="9"/>
  <c r="AP88" i="35"/>
  <c r="AP97" i="6"/>
  <c r="AP100" i="6" s="1"/>
  <c r="AP117" i="30" s="1"/>
  <c r="AX89" i="35"/>
  <c r="AX103" i="6"/>
  <c r="AX106" i="6" s="1"/>
  <c r="AX118" i="30" s="1"/>
  <c r="CB89" i="35"/>
  <c r="CB103" i="6"/>
  <c r="CB106" i="6" s="1"/>
  <c r="CB118" i="30" s="1"/>
  <c r="Y88" i="35"/>
  <c r="Y97" i="6"/>
  <c r="Y100" i="6" s="1"/>
  <c r="Y117" i="30" s="1"/>
  <c r="AH89" i="35"/>
  <c r="AH103" i="6"/>
  <c r="AH106" i="6" s="1"/>
  <c r="AH118" i="30" s="1"/>
  <c r="AV87" i="35"/>
  <c r="AV94" i="6"/>
  <c r="AV1096" i="9"/>
  <c r="BC88" i="35"/>
  <c r="BC97" i="6"/>
  <c r="BC100" i="6" s="1"/>
  <c r="BC117" i="30" s="1"/>
  <c r="BY87" i="35"/>
  <c r="BY94" i="6"/>
  <c r="BY1096" i="9"/>
  <c r="CF88" i="35"/>
  <c r="CF97" i="6"/>
  <c r="CF100" i="6" s="1"/>
  <c r="CF117" i="30" s="1"/>
  <c r="AF87" i="35"/>
  <c r="AF94" i="6"/>
  <c r="AF1096" i="9"/>
  <c r="AM88" i="35"/>
  <c r="AM97" i="6"/>
  <c r="AM100" i="6" s="1"/>
  <c r="AM117" i="30" s="1"/>
  <c r="AU89" i="35"/>
  <c r="AU103" i="6"/>
  <c r="AU106" i="6" s="1"/>
  <c r="AU118" i="30" s="1"/>
  <c r="AY87" i="35"/>
  <c r="AY94" i="6"/>
  <c r="AY1096" i="9"/>
  <c r="BX89" i="35"/>
  <c r="BX103" i="6"/>
  <c r="BX106" i="6" s="1"/>
  <c r="BX118" i="30" s="1"/>
  <c r="CC87" i="35"/>
  <c r="CC94" i="6"/>
  <c r="CC1096" i="9"/>
  <c r="AE89" i="35"/>
  <c r="AE103" i="6"/>
  <c r="AE106" i="6" s="1"/>
  <c r="AE118" i="30" s="1"/>
  <c r="AE87" i="35"/>
  <c r="AE94" i="6"/>
  <c r="AE1096" i="9"/>
  <c r="AL88" i="35"/>
  <c r="AL97" i="6"/>
  <c r="AL100" i="6" s="1"/>
  <c r="AL117" i="30" s="1"/>
  <c r="AK89" i="35"/>
  <c r="AK103" i="6"/>
  <c r="AK106" i="6" s="1"/>
  <c r="AK118" i="30" s="1"/>
  <c r="AA537" i="9"/>
  <c r="AA164" i="9"/>
  <c r="AA1005" i="9"/>
  <c r="AA514" i="9"/>
  <c r="AA158" i="9"/>
  <c r="AB152" i="9"/>
  <c r="CE356" i="26"/>
  <c r="AN1114" i="9"/>
  <c r="AN202" i="30" s="1"/>
  <c r="AN85" i="33" s="1"/>
  <c r="AV1114" i="9"/>
  <c r="AV202" i="30" s="1"/>
  <c r="AY1114" i="9"/>
  <c r="AY202" i="30" s="1"/>
  <c r="AY85" i="33" s="1"/>
  <c r="BP1114" i="9"/>
  <c r="BQ1114" i="9"/>
  <c r="V85" i="33"/>
  <c r="E37" i="50" s="1"/>
  <c r="CY202" i="30"/>
  <c r="CQ202" i="30" s="1"/>
  <c r="BN1114" i="9"/>
  <c r="BQ1117" i="9"/>
  <c r="BQ1120" i="9" s="1"/>
  <c r="BR1117" i="9"/>
  <c r="BR1120" i="9" s="1"/>
  <c r="BK1117" i="9"/>
  <c r="BK1120" i="9" s="1"/>
  <c r="BL1117" i="9"/>
  <c r="BL1120" i="9" s="1"/>
  <c r="BM1117" i="9"/>
  <c r="BM1120" i="9" s="1"/>
  <c r="BN1117" i="9"/>
  <c r="BN1120" i="9" s="1"/>
  <c r="BO1120" i="9"/>
  <c r="BP1117" i="9"/>
  <c r="BP1120" i="9" s="1"/>
  <c r="AB139" i="6"/>
  <c r="AB120" i="30" s="1"/>
  <c r="AC139" i="6"/>
  <c r="AC120" i="30" s="1"/>
  <c r="V139" i="6"/>
  <c r="W139" i="6"/>
  <c r="W120" i="30" s="1"/>
  <c r="X1138" i="9"/>
  <c r="X136" i="6" s="1"/>
  <c r="X139" i="6" s="1"/>
  <c r="X120" i="30" s="1"/>
  <c r="Y1138" i="9"/>
  <c r="Y136" i="6" s="1"/>
  <c r="AA546" i="9"/>
  <c r="AA335" i="9"/>
  <c r="AL1144" i="9"/>
  <c r="AL138" i="6" s="1"/>
  <c r="AL95" i="30" s="1"/>
  <c r="AN1144" i="9"/>
  <c r="AN138" i="6" s="1"/>
  <c r="AN95" i="30" s="1"/>
  <c r="BM1144" i="9"/>
  <c r="Y1144" i="9"/>
  <c r="Y138" i="6" s="1"/>
  <c r="Y95" i="30" s="1"/>
  <c r="AY1144" i="9"/>
  <c r="AY138" i="6" s="1"/>
  <c r="AY95" i="30" s="1"/>
  <c r="BZ1144" i="9"/>
  <c r="BZ138" i="6" s="1"/>
  <c r="BZ95" i="30" s="1"/>
  <c r="AS1144" i="9"/>
  <c r="AS138" i="6" s="1"/>
  <c r="AS95" i="30" s="1"/>
  <c r="BA1153" i="9"/>
  <c r="BA1150" i="9"/>
  <c r="BA199" i="30" s="1"/>
  <c r="AZ1154" i="9"/>
  <c r="AY1155" i="9"/>
  <c r="BB1153" i="9"/>
  <c r="BB1150" i="9"/>
  <c r="BB199" i="30" s="1"/>
  <c r="BA1154" i="9"/>
  <c r="AZ1155" i="9"/>
  <c r="AU1150" i="9"/>
  <c r="AU199" i="30" s="1"/>
  <c r="AU1153" i="9"/>
  <c r="BB1154" i="9"/>
  <c r="BA1155" i="9"/>
  <c r="AV1150" i="9"/>
  <c r="AV199" i="30" s="1"/>
  <c r="AV82" i="33" s="1"/>
  <c r="AV1153" i="9"/>
  <c r="AU1154" i="9"/>
  <c r="BB1155" i="9"/>
  <c r="AW1150" i="9"/>
  <c r="AW199" i="30" s="1"/>
  <c r="AW1153" i="9"/>
  <c r="AV1154" i="9"/>
  <c r="AU1155" i="9"/>
  <c r="AX1153" i="9"/>
  <c r="AX1150" i="9"/>
  <c r="AX199" i="30" s="1"/>
  <c r="AX82" i="33" s="1"/>
  <c r="AW1154" i="9"/>
  <c r="AV1155" i="9"/>
  <c r="AY1153" i="9"/>
  <c r="AY1150" i="9"/>
  <c r="AY199" i="30" s="1"/>
  <c r="AX1154" i="9"/>
  <c r="AW1155" i="9"/>
  <c r="AZ1153" i="9"/>
  <c r="AZ1150" i="9"/>
  <c r="AZ199" i="30" s="1"/>
  <c r="AZ82" i="33" s="1"/>
  <c r="AY1154" i="9"/>
  <c r="AX1155" i="9"/>
  <c r="BM1108" i="9"/>
  <c r="AO1108" i="9"/>
  <c r="AO201" i="30" s="1"/>
  <c r="AO84" i="33" s="1"/>
  <c r="CI1108" i="9"/>
  <c r="CI201" i="30" s="1"/>
  <c r="CI84" i="33" s="1"/>
  <c r="BV1108" i="9"/>
  <c r="CA1108" i="9"/>
  <c r="CA201" i="30" s="1"/>
  <c r="CA84" i="33" s="1"/>
  <c r="CF1108" i="9"/>
  <c r="CF201" i="30" s="1"/>
  <c r="CF84" i="33" s="1"/>
  <c r="AU1108" i="9"/>
  <c r="AU201" i="30" s="1"/>
  <c r="AU84" i="33" s="1"/>
  <c r="AV1108" i="9"/>
  <c r="AV201" i="30" s="1"/>
  <c r="AV84" i="33" s="1"/>
  <c r="AA1003" i="9"/>
  <c r="AA512" i="9"/>
  <c r="AB114" i="9"/>
  <c r="AA120" i="9"/>
  <c r="BC1132" i="9"/>
  <c r="BD1132" i="9"/>
  <c r="AA550" i="9"/>
  <c r="AA411" i="9"/>
  <c r="AA1016" i="9"/>
  <c r="AA525" i="9"/>
  <c r="AB361" i="9"/>
  <c r="AA367" i="9"/>
  <c r="BV1102" i="9"/>
  <c r="BN1102" i="9"/>
  <c r="BF1102" i="9"/>
  <c r="AN1102" i="9"/>
  <c r="AF1102" i="9"/>
  <c r="BS1102" i="9"/>
  <c r="BB1102" i="9"/>
  <c r="AG1102" i="9"/>
  <c r="AU82" i="33"/>
  <c r="AW82" i="33"/>
  <c r="AY82" i="33"/>
  <c r="BA1126" i="9"/>
  <c r="BA198" i="30" s="1"/>
  <c r="BB1126" i="9"/>
  <c r="BB198" i="30" s="1"/>
  <c r="AR87" i="35"/>
  <c r="AR94" i="6"/>
  <c r="AR1096" i="9"/>
  <c r="AY88" i="35"/>
  <c r="AY97" i="6"/>
  <c r="AY100" i="6" s="1"/>
  <c r="AY117" i="30" s="1"/>
  <c r="BG89" i="35"/>
  <c r="BG103" i="6"/>
  <c r="BG106" i="6" s="1"/>
  <c r="BG118" i="30" s="1"/>
  <c r="BU1096" i="9"/>
  <c r="CC88" i="35"/>
  <c r="CC97" i="6"/>
  <c r="CC100" i="6" s="1"/>
  <c r="CC117" i="30" s="1"/>
  <c r="AB87" i="35"/>
  <c r="AB94" i="6"/>
  <c r="AB1096" i="9"/>
  <c r="AI88" i="35"/>
  <c r="AI97" i="6"/>
  <c r="AI100" i="6" s="1"/>
  <c r="AI117" i="30" s="1"/>
  <c r="AQ89" i="35"/>
  <c r="AQ103" i="6"/>
  <c r="AQ106" i="6" s="1"/>
  <c r="AQ118" i="30" s="1"/>
  <c r="BE87" i="35"/>
  <c r="BE94" i="6"/>
  <c r="BE1096" i="9"/>
  <c r="CH87" i="35"/>
  <c r="CH94" i="6"/>
  <c r="CH1096" i="9"/>
  <c r="AA89" i="35"/>
  <c r="AA103" i="6"/>
  <c r="AA106" i="6" s="1"/>
  <c r="AA118" i="30" s="1"/>
  <c r="AO87" i="35"/>
  <c r="AO94" i="6"/>
  <c r="AO1096" i="9"/>
  <c r="AV88" i="35"/>
  <c r="AV97" i="6"/>
  <c r="AV100" i="6" s="1"/>
  <c r="AV117" i="30" s="1"/>
  <c r="BD89" i="35"/>
  <c r="BD103" i="6"/>
  <c r="BD106" i="6" s="1"/>
  <c r="BD118" i="30" s="1"/>
  <c r="BH87" i="35"/>
  <c r="BH94" i="6"/>
  <c r="BH1096" i="9"/>
  <c r="BY88" i="35"/>
  <c r="BY97" i="6"/>
  <c r="BY100" i="6" s="1"/>
  <c r="BY117" i="30" s="1"/>
  <c r="CG89" i="35"/>
  <c r="CG103" i="6"/>
  <c r="CG106" i="6" s="1"/>
  <c r="CG118" i="30" s="1"/>
  <c r="V88" i="35"/>
  <c r="V97" i="6"/>
  <c r="AN89" i="35"/>
  <c r="AN103" i="6"/>
  <c r="AN106" i="6" s="1"/>
  <c r="AN118" i="30" s="1"/>
  <c r="AM87" i="35"/>
  <c r="AM94" i="6"/>
  <c r="AM1096" i="9"/>
  <c r="AT88" i="35"/>
  <c r="AT97" i="6"/>
  <c r="AT100" i="6" s="1"/>
  <c r="AT117" i="30" s="1"/>
  <c r="AS89" i="35"/>
  <c r="AS103" i="6"/>
  <c r="AS106" i="6" s="1"/>
  <c r="AS118" i="30" s="1"/>
  <c r="AA534" i="9"/>
  <c r="AA107" i="9"/>
  <c r="AA605" i="9"/>
  <c r="AA887" i="9" s="1"/>
  <c r="AB142" i="9"/>
  <c r="D46" i="11"/>
  <c r="D40" i="11"/>
  <c r="EZ239" i="26"/>
  <c r="D47" i="11"/>
  <c r="D36" i="6"/>
  <c r="D42" i="11"/>
  <c r="D33" i="6"/>
  <c r="V356" i="26"/>
  <c r="BX356" i="26" s="1"/>
  <c r="AA1114" i="9"/>
  <c r="AA202" i="30" s="1"/>
  <c r="AA85" i="33" s="1"/>
  <c r="BG1114" i="9"/>
  <c r="BG202" i="30" s="1"/>
  <c r="BY1114" i="9"/>
  <c r="BY202" i="30" s="1"/>
  <c r="BZ1114" i="9"/>
  <c r="BZ202" i="30" s="1"/>
  <c r="AE1114" i="9"/>
  <c r="AE202" i="30" s="1"/>
  <c r="AE85" i="33" s="1"/>
  <c r="BU1114" i="9"/>
  <c r="BV1114" i="9"/>
  <c r="BZ1117" i="9"/>
  <c r="BZ1120" i="9" s="1"/>
  <c r="BZ203" i="30" s="1"/>
  <c r="CA1117" i="9"/>
  <c r="CA1120" i="9" s="1"/>
  <c r="CA203" i="30" s="1"/>
  <c r="BS1117" i="9"/>
  <c r="BS1120" i="9" s="1"/>
  <c r="BT1117" i="9"/>
  <c r="BT1120" i="9" s="1"/>
  <c r="BU1117" i="9"/>
  <c r="BU1120" i="9" s="1"/>
  <c r="BV1117" i="9"/>
  <c r="BV1120" i="9" s="1"/>
  <c r="BX1117" i="9"/>
  <c r="BX1120" i="9" s="1"/>
  <c r="BX203" i="30" s="1"/>
  <c r="BX85" i="33" s="1"/>
  <c r="BY1117" i="9"/>
  <c r="BY1120" i="9" s="1"/>
  <c r="BY203" i="30" s="1"/>
  <c r="AJ139" i="6"/>
  <c r="AJ120" i="30" s="1"/>
  <c r="AK139" i="6"/>
  <c r="AK120" i="30" s="1"/>
  <c r="AE139" i="6"/>
  <c r="AE120" i="30" s="1"/>
  <c r="AG1138" i="9"/>
  <c r="AG136" i="6" s="1"/>
  <c r="AG139" i="6" s="1"/>
  <c r="AG120" i="30" s="1"/>
  <c r="AH1138" i="9"/>
  <c r="AH136" i="6" s="1"/>
  <c r="AT1144" i="9"/>
  <c r="AT138" i="6" s="1"/>
  <c r="AT95" i="30" s="1"/>
  <c r="AV1144" i="9"/>
  <c r="AV138" i="6" s="1"/>
  <c r="AV95" i="30" s="1"/>
  <c r="BU1144" i="9"/>
  <c r="AH1144" i="9"/>
  <c r="AH138" i="6" s="1"/>
  <c r="AH95" i="30" s="1"/>
  <c r="BG1144" i="9"/>
  <c r="BG138" i="6" s="1"/>
  <c r="BG95" i="30" s="1"/>
  <c r="BA1144" i="9"/>
  <c r="BA138" i="6" s="1"/>
  <c r="BA95" i="30" s="1"/>
  <c r="BI1153" i="9"/>
  <c r="BI1156" i="9" s="1"/>
  <c r="BI1150" i="9"/>
  <c r="BI199" i="30" s="1"/>
  <c r="BJ1153" i="9"/>
  <c r="BJ1150" i="9"/>
  <c r="BJ199" i="30" s="1"/>
  <c r="BC1150" i="9"/>
  <c r="BC199" i="30" s="1"/>
  <c r="BC82" i="33" s="1"/>
  <c r="BC1153" i="9"/>
  <c r="BD1150" i="9"/>
  <c r="BD199" i="30" s="1"/>
  <c r="BD1153" i="9"/>
  <c r="BD1156" i="9" s="1"/>
  <c r="BE1150" i="9"/>
  <c r="BE199" i="30" s="1"/>
  <c r="BE1153" i="9"/>
  <c r="BF1153" i="9"/>
  <c r="BF1156" i="9" s="1"/>
  <c r="BF1150" i="9"/>
  <c r="BF199" i="30" s="1"/>
  <c r="BF82" i="33" s="1"/>
  <c r="BG1153" i="9"/>
  <c r="BG1156" i="9" s="1"/>
  <c r="BG1150" i="9"/>
  <c r="BG199" i="30" s="1"/>
  <c r="BG82" i="33" s="1"/>
  <c r="BH1153" i="9"/>
  <c r="BH1156" i="9" s="1"/>
  <c r="BH1150" i="9"/>
  <c r="BH199" i="30" s="1"/>
  <c r="CD1108" i="9"/>
  <c r="CD201" i="30" s="1"/>
  <c r="CD84" i="33" s="1"/>
  <c r="BA1108" i="9"/>
  <c r="BA201" i="30" s="1"/>
  <c r="BA84" i="33" s="1"/>
  <c r="AD1108" i="9"/>
  <c r="AD201" i="30" s="1"/>
  <c r="AD84" i="33" s="1"/>
  <c r="AH1108" i="9"/>
  <c r="AH201" i="30" s="1"/>
  <c r="AH84" i="33" s="1"/>
  <c r="AA1108" i="9"/>
  <c r="AA201" i="30" s="1"/>
  <c r="AA84" i="33" s="1"/>
  <c r="BI1108" i="9"/>
  <c r="BI201" i="30" s="1"/>
  <c r="BI84" i="33" s="1"/>
  <c r="BC1108" i="9"/>
  <c r="BC201" i="30" s="1"/>
  <c r="BC84" i="33" s="1"/>
  <c r="BD1108" i="9"/>
  <c r="BD201" i="30" s="1"/>
  <c r="BD84" i="33" s="1"/>
  <c r="AA614" i="9"/>
  <c r="AA896" i="9" s="1"/>
  <c r="AB313" i="9"/>
  <c r="BK1132" i="9"/>
  <c r="BL1132" i="9"/>
  <c r="AA1012" i="9"/>
  <c r="AA521" i="9"/>
  <c r="AA291" i="9"/>
  <c r="AB285" i="9"/>
  <c r="CX92" i="30"/>
  <c r="CW93" i="30"/>
  <c r="AX1102" i="9"/>
  <c r="AP1102" i="9"/>
  <c r="W1102" i="9"/>
  <c r="BK1102" i="9"/>
  <c r="BD82" i="33"/>
  <c r="BE82" i="33"/>
  <c r="BH82" i="33"/>
  <c r="BI1126" i="9"/>
  <c r="BI198" i="30" s="1"/>
  <c r="BJ1126" i="9"/>
  <c r="BJ198" i="30" s="1"/>
  <c r="BA87" i="35"/>
  <c r="BA94" i="6"/>
  <c r="BA1096" i="9"/>
  <c r="BH88" i="35"/>
  <c r="BH97" i="6"/>
  <c r="BH100" i="6" s="1"/>
  <c r="BH117" i="30" s="1"/>
  <c r="CE87" i="35"/>
  <c r="CE94" i="6"/>
  <c r="CE1096" i="9"/>
  <c r="W89" i="35"/>
  <c r="W103" i="6"/>
  <c r="W106" i="6" s="1"/>
  <c r="W118" i="30" s="1"/>
  <c r="AK87" i="35"/>
  <c r="AK94" i="6"/>
  <c r="AK1096" i="9"/>
  <c r="AR88" i="35"/>
  <c r="AR97" i="6"/>
  <c r="AR100" i="6" s="1"/>
  <c r="AR117" i="30" s="1"/>
  <c r="AZ89" i="35"/>
  <c r="AZ103" i="6"/>
  <c r="AZ106" i="6" s="1"/>
  <c r="AZ118" i="30" s="1"/>
  <c r="BN1096" i="9"/>
  <c r="CD89" i="35"/>
  <c r="CD103" i="6"/>
  <c r="CD106" i="6" s="1"/>
  <c r="CD118" i="30" s="1"/>
  <c r="AB88" i="35"/>
  <c r="AB97" i="6"/>
  <c r="AB100" i="6" s="1"/>
  <c r="AB117" i="30" s="1"/>
  <c r="AJ89" i="35"/>
  <c r="AJ103" i="6"/>
  <c r="AJ106" i="6" s="1"/>
  <c r="AJ118" i="30" s="1"/>
  <c r="AX87" i="35"/>
  <c r="AX94" i="6"/>
  <c r="AX1096" i="9"/>
  <c r="BE88" i="35"/>
  <c r="BE97" i="6"/>
  <c r="BE100" i="6" s="1"/>
  <c r="BE117" i="30" s="1"/>
  <c r="BQ1096" i="9"/>
  <c r="CH88" i="35"/>
  <c r="CH97" i="6"/>
  <c r="CH100" i="6" s="1"/>
  <c r="CH117" i="30" s="1"/>
  <c r="X87" i="35"/>
  <c r="X94" i="6"/>
  <c r="X1096" i="9"/>
  <c r="AF88" i="35"/>
  <c r="AF97" i="6"/>
  <c r="AF100" i="6" s="1"/>
  <c r="AF117" i="30" s="1"/>
  <c r="AW89" i="35"/>
  <c r="AW103" i="6"/>
  <c r="AW106" i="6" s="1"/>
  <c r="AW118" i="30" s="1"/>
  <c r="AU87" i="35"/>
  <c r="AU94" i="6"/>
  <c r="AU1096" i="9"/>
  <c r="BB88" i="35"/>
  <c r="BB97" i="6"/>
  <c r="BB100" i="6" s="1"/>
  <c r="BB117" i="30" s="1"/>
  <c r="BA89" i="35"/>
  <c r="BA103" i="6"/>
  <c r="BA106" i="6" s="1"/>
  <c r="BA118" i="30" s="1"/>
  <c r="AA1017" i="9"/>
  <c r="AA526" i="9"/>
  <c r="AB380" i="9"/>
  <c r="AA386" i="9"/>
  <c r="AA617" i="9"/>
  <c r="AA899" i="9" s="1"/>
  <c r="AB370" i="9"/>
  <c r="A3" i="26"/>
  <c r="Y2" i="26"/>
  <c r="X2" i="26"/>
  <c r="W2" i="26"/>
  <c r="V2" i="26"/>
  <c r="D71" i="30" a="1"/>
  <c r="B2" i="26" a="1"/>
  <c r="D70" i="30" a="1"/>
  <c r="D69" i="30" a="1"/>
  <c r="AO139" i="6" l="1"/>
  <c r="AO120" i="30" s="1"/>
  <c r="BY139" i="6"/>
  <c r="BY120" i="30" s="1"/>
  <c r="AD139" i="6"/>
  <c r="AD120" i="30" s="1"/>
  <c r="AA1156" i="9"/>
  <c r="AL1156" i="9"/>
  <c r="BO1156" i="9"/>
  <c r="BN1156" i="9"/>
  <c r="BR1156" i="9"/>
  <c r="AF1156" i="9"/>
  <c r="BL1156" i="9"/>
  <c r="BH95" i="30"/>
  <c r="BH139" i="6"/>
  <c r="BH120" i="30" s="1"/>
  <c r="BC95" i="30"/>
  <c r="BC139" i="6"/>
  <c r="BC120" i="30" s="1"/>
  <c r="CA95" i="30"/>
  <c r="CA139" i="6"/>
  <c r="CA120" i="30" s="1"/>
  <c r="BT1156" i="9"/>
  <c r="BP1156" i="9"/>
  <c r="BK1156" i="9"/>
  <c r="BM1156" i="9"/>
  <c r="AN1156" i="9"/>
  <c r="BC1156" i="9"/>
  <c r="AM1156" i="9"/>
  <c r="AH1156" i="9"/>
  <c r="AQ1156" i="9"/>
  <c r="AG1156" i="9"/>
  <c r="BJ1156" i="9"/>
  <c r="CA85" i="33"/>
  <c r="AI1156" i="9"/>
  <c r="BE1156" i="9"/>
  <c r="AP1156" i="9"/>
  <c r="W85" i="33"/>
  <c r="H37" i="50" s="1"/>
  <c r="P37" i="50" s="1"/>
  <c r="G104" i="50" s="1"/>
  <c r="CB1156" i="9"/>
  <c r="W1156" i="9"/>
  <c r="BZ1156" i="9"/>
  <c r="X1156" i="9"/>
  <c r="BV1156" i="9"/>
  <c r="CA1156" i="9"/>
  <c r="BS1156" i="9"/>
  <c r="Y1156" i="9"/>
  <c r="BZ85" i="33"/>
  <c r="AL139" i="6"/>
  <c r="AL120" i="30" s="1"/>
  <c r="BG85" i="33"/>
  <c r="BD139" i="6"/>
  <c r="BD120" i="30" s="1"/>
  <c r="AW139" i="6"/>
  <c r="AW120" i="30" s="1"/>
  <c r="CY199" i="30"/>
  <c r="CQ199" i="30" s="1"/>
  <c r="AZ1156" i="9"/>
  <c r="AX1156" i="9"/>
  <c r="CS136" i="6"/>
  <c r="A136" i="6" s="1" a="1"/>
  <c r="A136" i="6" s="1"/>
  <c r="BU1156" i="9"/>
  <c r="CW201" i="30"/>
  <c r="BF139" i="6"/>
  <c r="BF120" i="30" s="1"/>
  <c r="AA139" i="6"/>
  <c r="AA120" i="30" s="1"/>
  <c r="AQ139" i="6"/>
  <c r="AQ120" i="30" s="1"/>
  <c r="BY85" i="33"/>
  <c r="A99" i="6" a="1"/>
  <c r="A99" i="6" s="1"/>
  <c r="AG85" i="33"/>
  <c r="AI139" i="6"/>
  <c r="AI120" i="30" s="1"/>
  <c r="E51" i="26"/>
  <c r="D313" i="26"/>
  <c r="EZ313" i="26" s="1"/>
  <c r="E52" i="26"/>
  <c r="D314" i="26"/>
  <c r="EZ314" i="26" s="1"/>
  <c r="E50" i="26"/>
  <c r="D312" i="26"/>
  <c r="EZ312" i="26" s="1"/>
  <c r="E49" i="26"/>
  <c r="D311" i="26"/>
  <c r="EZ311" i="26" s="1"/>
  <c r="D70" i="30"/>
  <c r="EX70" i="30" s="1"/>
  <c r="D69" i="30"/>
  <c r="EX69" i="30" s="1"/>
  <c r="D71" i="30"/>
  <c r="EX71" i="30" s="1"/>
  <c r="Q34" i="50"/>
  <c r="G93" i="50" s="1"/>
  <c r="AX91" i="30"/>
  <c r="AB452" i="9"/>
  <c r="AB289" i="9"/>
  <c r="BB82" i="33"/>
  <c r="AF91" i="30"/>
  <c r="AI91" i="30"/>
  <c r="CV93" i="30"/>
  <c r="CP93" i="30" s="1"/>
  <c r="AB549" i="9"/>
  <c r="AB392" i="9"/>
  <c r="CF91" i="30"/>
  <c r="AA1002" i="9"/>
  <c r="AA511" i="9"/>
  <c r="AA101" i="9"/>
  <c r="AB95" i="9"/>
  <c r="AA1013" i="9"/>
  <c r="AA522" i="9"/>
  <c r="AA310" i="9"/>
  <c r="AB304" i="9"/>
  <c r="AC91" i="30"/>
  <c r="W84" i="33"/>
  <c r="H36" i="50" s="1"/>
  <c r="P36" i="50" s="1"/>
  <c r="G100" i="50" s="1"/>
  <c r="CV201" i="30"/>
  <c r="CV199" i="30"/>
  <c r="AZ91" i="30"/>
  <c r="AJ91" i="30"/>
  <c r="CE82" i="33"/>
  <c r="AB451" i="9"/>
  <c r="AB270" i="9"/>
  <c r="CX118" i="30"/>
  <c r="Y85" i="33"/>
  <c r="J37" i="50" s="1"/>
  <c r="R37" i="50" s="1"/>
  <c r="G106" i="50" s="1"/>
  <c r="CX202" i="30"/>
  <c r="BX91" i="30"/>
  <c r="AT139" i="6"/>
  <c r="AT120" i="30" s="1"/>
  <c r="V69" i="30"/>
  <c r="CY69" i="30" s="1"/>
  <c r="CQ69" i="30" s="1"/>
  <c r="AK91" i="30"/>
  <c r="X91" i="30"/>
  <c r="AB545" i="9"/>
  <c r="AB316" i="9"/>
  <c r="AB457" i="9"/>
  <c r="AB384" i="9"/>
  <c r="CV118" i="30"/>
  <c r="BA91" i="30"/>
  <c r="AW1156" i="9"/>
  <c r="AU1156" i="9"/>
  <c r="AA606" i="9"/>
  <c r="AA888" i="9" s="1"/>
  <c r="AB161" i="9"/>
  <c r="AF139" i="6"/>
  <c r="AF120" i="30" s="1"/>
  <c r="D302" i="26"/>
  <c r="EZ302" i="26" s="1"/>
  <c r="E36" i="26"/>
  <c r="E76" i="26"/>
  <c r="E43" i="26"/>
  <c r="E29" i="26"/>
  <c r="AB536" i="9"/>
  <c r="AB145" i="9"/>
  <c r="BA82" i="33"/>
  <c r="AY1156" i="9"/>
  <c r="BA1156" i="9"/>
  <c r="AA615" i="9"/>
  <c r="AA897" i="9" s="1"/>
  <c r="AB332" i="9"/>
  <c r="AV85" i="33"/>
  <c r="AY91" i="30"/>
  <c r="BH85" i="33"/>
  <c r="AL82" i="33"/>
  <c r="CV92" i="30"/>
  <c r="CP92" i="30" s="1"/>
  <c r="AB609" i="9"/>
  <c r="AB891" i="9" s="1"/>
  <c r="AC218" i="9"/>
  <c r="AG91" i="30"/>
  <c r="BF91" i="30"/>
  <c r="AB551" i="9"/>
  <c r="AB430" i="9"/>
  <c r="CP198" i="30"/>
  <c r="CY201" i="30"/>
  <c r="CQ201" i="30" s="1"/>
  <c r="CI82" i="33"/>
  <c r="AA601" i="9"/>
  <c r="AA883" i="9" s="1"/>
  <c r="AB66" i="9"/>
  <c r="AA1007" i="9"/>
  <c r="AA516" i="9"/>
  <c r="AB190" i="9"/>
  <c r="AA196" i="9"/>
  <c r="AA611" i="9"/>
  <c r="AA893" i="9" s="1"/>
  <c r="AB256" i="9"/>
  <c r="CW95" i="30"/>
  <c r="X85" i="33"/>
  <c r="I37" i="50" s="1"/>
  <c r="Q37" i="50" s="1"/>
  <c r="G105" i="50" s="1"/>
  <c r="CW202" i="30"/>
  <c r="CA91" i="30"/>
  <c r="BJ91" i="30"/>
  <c r="AA1006" i="9"/>
  <c r="AA515" i="9"/>
  <c r="AA177" i="9"/>
  <c r="AB171" i="9"/>
  <c r="AS139" i="6"/>
  <c r="AS120" i="30" s="1"/>
  <c r="AM85" i="33"/>
  <c r="BX77" i="30"/>
  <c r="BX25" i="6"/>
  <c r="V68" i="30"/>
  <c r="BX89" i="6"/>
  <c r="BX87" i="30" s="1"/>
  <c r="BX161" i="26"/>
  <c r="BJ82" i="33"/>
  <c r="D322" i="26"/>
  <c r="D350" i="26"/>
  <c r="E211" i="26"/>
  <c r="E187" i="26"/>
  <c r="D295" i="26"/>
  <c r="EZ295" i="26" s="1"/>
  <c r="E101" i="26"/>
  <c r="E127" i="26"/>
  <c r="E153" i="26"/>
  <c r="AM91" i="30"/>
  <c r="CH91" i="30"/>
  <c r="AA619" i="9"/>
  <c r="AA901" i="9" s="1"/>
  <c r="AB408" i="9"/>
  <c r="AV91" i="30"/>
  <c r="AE130" i="30"/>
  <c r="AF239" i="6"/>
  <c r="AF242" i="6" s="1"/>
  <c r="AL91" i="30"/>
  <c r="AK82" i="33"/>
  <c r="AB458" i="9"/>
  <c r="AB403" i="9"/>
  <c r="BI91" i="30"/>
  <c r="AS91" i="30"/>
  <c r="AW91" i="30"/>
  <c r="V106" i="6"/>
  <c r="CS103" i="6"/>
  <c r="A103" i="6" s="1" a="1"/>
  <c r="A103" i="6" s="1"/>
  <c r="CH82" i="33"/>
  <c r="AF127" i="30"/>
  <c r="AG206" i="6"/>
  <c r="AG217" i="6" s="1"/>
  <c r="BA139" i="6"/>
  <c r="BA120" i="30" s="1"/>
  <c r="CX203" i="30"/>
  <c r="AU85" i="33"/>
  <c r="AA613" i="9"/>
  <c r="AA895" i="9" s="1"/>
  <c r="AB294" i="9"/>
  <c r="Y84" i="33"/>
  <c r="J36" i="50" s="1"/>
  <c r="R36" i="50" s="1"/>
  <c r="G102" i="50" s="1"/>
  <c r="CX201" i="30"/>
  <c r="AB538" i="9"/>
  <c r="AB183" i="9"/>
  <c r="AR139" i="6"/>
  <c r="AR120" i="30" s="1"/>
  <c r="CH85" i="33"/>
  <c r="D353" i="26"/>
  <c r="D325" i="26"/>
  <c r="E190" i="26"/>
  <c r="E156" i="26"/>
  <c r="E214" i="26"/>
  <c r="V87" i="30"/>
  <c r="DH229" i="26"/>
  <c r="CY229" i="26" s="1"/>
  <c r="CE91" i="30"/>
  <c r="BI82" i="33"/>
  <c r="AA603" i="9"/>
  <c r="AA885" i="9" s="1"/>
  <c r="AB104" i="9"/>
  <c r="Y139" i="6"/>
  <c r="Y120" i="30" s="1"/>
  <c r="AB449" i="9"/>
  <c r="AB232" i="9"/>
  <c r="AB535" i="9"/>
  <c r="AB126" i="9"/>
  <c r="AD82" i="33"/>
  <c r="CX199" i="30"/>
  <c r="AA1001" i="9"/>
  <c r="AA510" i="9"/>
  <c r="AA82" i="9"/>
  <c r="AB76" i="9"/>
  <c r="AF129" i="30"/>
  <c r="AG229" i="6"/>
  <c r="AG236" i="6" s="1"/>
  <c r="CW203" i="30"/>
  <c r="BB85" i="33"/>
  <c r="AD91" i="30"/>
  <c r="CW117" i="30"/>
  <c r="V70" i="30"/>
  <c r="BY293" i="26"/>
  <c r="AA293" i="26"/>
  <c r="AA298" i="26" s="1"/>
  <c r="BY220" i="26"/>
  <c r="AA220" i="26"/>
  <c r="AA262" i="26"/>
  <c r="BY262" i="26"/>
  <c r="AA274" i="26"/>
  <c r="BY274" i="26"/>
  <c r="BX71" i="33"/>
  <c r="EY34" i="6"/>
  <c r="AB91" i="30"/>
  <c r="AV1156" i="9"/>
  <c r="AB445" i="9"/>
  <c r="AB156" i="9"/>
  <c r="CC91" i="30"/>
  <c r="AT82" i="33"/>
  <c r="BF85" i="33"/>
  <c r="CV202" i="30"/>
  <c r="V91" i="30"/>
  <c r="CS94" i="6"/>
  <c r="A94" i="6" s="1" a="1"/>
  <c r="A94" i="6" s="1"/>
  <c r="CW118" i="30"/>
  <c r="Y91" i="30"/>
  <c r="BZ139" i="6"/>
  <c r="BZ120" i="30" s="1"/>
  <c r="CW120" i="30" s="1"/>
  <c r="AC82" i="33"/>
  <c r="Y82" i="33"/>
  <c r="J34" i="50" s="1"/>
  <c r="W82" i="33"/>
  <c r="H34" i="50" s="1"/>
  <c r="AB543" i="9"/>
  <c r="AB278" i="9"/>
  <c r="AE128" i="30"/>
  <c r="AF220" i="6"/>
  <c r="AF226" i="6" s="1"/>
  <c r="AH85" i="33"/>
  <c r="CG91" i="30"/>
  <c r="CA82" i="33"/>
  <c r="AY139" i="6"/>
  <c r="AY120" i="30" s="1"/>
  <c r="CV203" i="30"/>
  <c r="AB213" i="9"/>
  <c r="AB448" i="9"/>
  <c r="AH91" i="30"/>
  <c r="BG91" i="30"/>
  <c r="Y253" i="6"/>
  <c r="CA251" i="6"/>
  <c r="CA253" i="6" s="1"/>
  <c r="AB444" i="9"/>
  <c r="AB137" i="9"/>
  <c r="AP139" i="6"/>
  <c r="AP120" i="30" s="1"/>
  <c r="AC459" i="9"/>
  <c r="AC422" i="9"/>
  <c r="V67" i="30"/>
  <c r="BX37" i="6"/>
  <c r="BX71" i="30" s="1"/>
  <c r="DH269" i="26"/>
  <c r="CY269" i="26" s="1"/>
  <c r="AA283" i="26"/>
  <c r="BY283" i="26"/>
  <c r="V73" i="30"/>
  <c r="CY73" i="30" s="1"/>
  <c r="CQ73" i="30" s="1"/>
  <c r="D304" i="26"/>
  <c r="EZ304" i="26" s="1"/>
  <c r="E31" i="26"/>
  <c r="E45" i="26"/>
  <c r="E38" i="26"/>
  <c r="AO91" i="30"/>
  <c r="BE91" i="30"/>
  <c r="BB1156" i="9"/>
  <c r="CX95" i="30"/>
  <c r="CV120" i="30"/>
  <c r="BY91" i="30"/>
  <c r="AS82" i="33"/>
  <c r="AP91" i="30"/>
  <c r="BB91" i="30"/>
  <c r="CO138" i="6" a="1"/>
  <c r="CO138" i="6" s="1"/>
  <c r="CB91" i="30"/>
  <c r="BZ91" i="30"/>
  <c r="AB450" i="9"/>
  <c r="AB251" i="9"/>
  <c r="BZ82" i="33"/>
  <c r="AX139" i="6"/>
  <c r="AX120" i="30" s="1"/>
  <c r="AB440" i="9"/>
  <c r="AB61" i="9"/>
  <c r="CY203" i="30"/>
  <c r="CQ203" i="30" s="1"/>
  <c r="BC91" i="30"/>
  <c r="CW135" i="30"/>
  <c r="AA608" i="9"/>
  <c r="AA890" i="9" s="1"/>
  <c r="AB199" i="9"/>
  <c r="AF85" i="33"/>
  <c r="D294" i="26"/>
  <c r="EZ294" i="26" s="1"/>
  <c r="CO145" i="26"/>
  <c r="CO137" i="26"/>
  <c r="D349" i="26"/>
  <c r="D321" i="26"/>
  <c r="E186" i="26"/>
  <c r="CO149" i="26"/>
  <c r="E210" i="26"/>
  <c r="E152" i="26"/>
  <c r="CO151" i="26"/>
  <c r="CO139" i="26"/>
  <c r="CO122" i="26"/>
  <c r="CO114" i="26"/>
  <c r="CO97" i="26"/>
  <c r="CO93" i="26"/>
  <c r="CO89" i="26"/>
  <c r="CO85" i="26"/>
  <c r="CO74" i="26"/>
  <c r="CO66" i="26"/>
  <c r="CO138" i="26"/>
  <c r="CO116" i="26"/>
  <c r="CO92" i="26"/>
  <c r="CO86" i="26"/>
  <c r="CO60" i="26"/>
  <c r="CO123" i="26"/>
  <c r="CO99" i="26"/>
  <c r="CO71" i="26"/>
  <c r="CO141" i="26"/>
  <c r="CO140" i="26"/>
  <c r="CO124" i="26"/>
  <c r="CO117" i="26"/>
  <c r="E100" i="26"/>
  <c r="CO96" i="26"/>
  <c r="CO90" i="26"/>
  <c r="CO73" i="26"/>
  <c r="CO72" i="26"/>
  <c r="CO67" i="26"/>
  <c r="CO61" i="26"/>
  <c r="CO144" i="26"/>
  <c r="CO142" i="26"/>
  <c r="CO118" i="26"/>
  <c r="CO111" i="26"/>
  <c r="CO87" i="26"/>
  <c r="CO68" i="26"/>
  <c r="E126" i="26"/>
  <c r="CO125" i="26"/>
  <c r="CO113" i="26"/>
  <c r="CO112" i="26"/>
  <c r="CO94" i="26"/>
  <c r="CO62" i="26"/>
  <c r="CO150" i="26"/>
  <c r="CO148" i="26"/>
  <c r="CO119" i="26"/>
  <c r="CO91" i="26"/>
  <c r="CO69" i="26"/>
  <c r="CO147" i="26"/>
  <c r="CO143" i="26"/>
  <c r="CO121" i="26"/>
  <c r="CO120" i="26"/>
  <c r="CO98" i="26"/>
  <c r="CO88" i="26"/>
  <c r="CO63" i="26"/>
  <c r="CO146" i="26"/>
  <c r="CO115" i="26"/>
  <c r="CO95" i="26"/>
  <c r="CO70" i="26"/>
  <c r="CO65" i="26"/>
  <c r="CO64" i="26"/>
  <c r="V101" i="30"/>
  <c r="CY101" i="30" s="1"/>
  <c r="CQ101" i="30" s="1"/>
  <c r="EY31" i="6"/>
  <c r="BX34" i="6"/>
  <c r="BX70" i="30" s="1"/>
  <c r="AB548" i="9"/>
  <c r="AB373" i="9"/>
  <c r="EY37" i="6"/>
  <c r="V100" i="6"/>
  <c r="CS97" i="6"/>
  <c r="A97" i="6" s="1" a="1"/>
  <c r="A97" i="6" s="1"/>
  <c r="BH91" i="30"/>
  <c r="AR91" i="30"/>
  <c r="CX117" i="30"/>
  <c r="CS138" i="6"/>
  <c r="AB454" i="9"/>
  <c r="AB327" i="9"/>
  <c r="AB541" i="9"/>
  <c r="AB240" i="9"/>
  <c r="CI91" i="30"/>
  <c r="CV117" i="30"/>
  <c r="CW199" i="30"/>
  <c r="CD91" i="30"/>
  <c r="AN91" i="30"/>
  <c r="AA91" i="30"/>
  <c r="BD85" i="33"/>
  <c r="AN139" i="6"/>
  <c r="AN120" i="30" s="1"/>
  <c r="AQ85" i="33"/>
  <c r="D301" i="26"/>
  <c r="EZ301" i="26" s="1"/>
  <c r="E28" i="26"/>
  <c r="E42" i="26"/>
  <c r="E75" i="26"/>
  <c r="E35" i="26"/>
  <c r="D303" i="26"/>
  <c r="EZ303" i="26" s="1"/>
  <c r="E37" i="26"/>
  <c r="E44" i="26"/>
  <c r="E30" i="26"/>
  <c r="E77" i="26"/>
  <c r="AU91" i="30"/>
  <c r="AH139" i="6"/>
  <c r="AH120" i="30" s="1"/>
  <c r="D323" i="26"/>
  <c r="EZ323" i="26" s="1"/>
  <c r="D296" i="26"/>
  <c r="EZ296" i="26" s="1"/>
  <c r="D351" i="26"/>
  <c r="E212" i="26"/>
  <c r="E188" i="26"/>
  <c r="E154" i="26"/>
  <c r="E128" i="26"/>
  <c r="E102" i="26"/>
  <c r="AB456" i="9"/>
  <c r="AB365" i="9"/>
  <c r="AB118" i="9"/>
  <c r="AB443" i="9"/>
  <c r="V120" i="30"/>
  <c r="CY120" i="30" s="1"/>
  <c r="CQ120" i="30" s="1"/>
  <c r="CS139" i="6"/>
  <c r="A139" i="6" s="1" a="1"/>
  <c r="A139" i="6" s="1"/>
  <c r="AE91" i="30"/>
  <c r="AF158" i="6"/>
  <c r="AF121" i="30" s="1"/>
  <c r="AG142" i="6"/>
  <c r="AG155" i="6" s="1"/>
  <c r="AA1015" i="9"/>
  <c r="AA524" i="9"/>
  <c r="AA348" i="9"/>
  <c r="AB342" i="9"/>
  <c r="CV95" i="30"/>
  <c r="V82" i="33"/>
  <c r="E34" i="50" s="1"/>
  <c r="E40" i="50" s="1"/>
  <c r="AD135" i="30"/>
  <c r="AE251" i="6"/>
  <c r="AE253" i="6" s="1"/>
  <c r="W91" i="30"/>
  <c r="BG139" i="6"/>
  <c r="BG120" i="30" s="1"/>
  <c r="AQ91" i="30"/>
  <c r="BD91" i="30"/>
  <c r="AV139" i="6"/>
  <c r="AV120" i="30" s="1"/>
  <c r="AJ85" i="33"/>
  <c r="AT91" i="30"/>
  <c r="AA602" i="9"/>
  <c r="AA884" i="9" s="1"/>
  <c r="AB85" i="9"/>
  <c r="AA616" i="9"/>
  <c r="AA898" i="9" s="1"/>
  <c r="AB351" i="9"/>
  <c r="AM139" i="6"/>
  <c r="AM120" i="30" s="1"/>
  <c r="V77" i="30"/>
  <c r="BY248" i="26"/>
  <c r="AA248" i="26"/>
  <c r="V71" i="30"/>
  <c r="CY71" i="30" s="1"/>
  <c r="CQ71" i="30" s="1"/>
  <c r="D352" i="26"/>
  <c r="D324" i="26"/>
  <c r="E189" i="26"/>
  <c r="E213" i="26"/>
  <c r="D297" i="26"/>
  <c r="EZ297" i="26" s="1"/>
  <c r="E129" i="26"/>
  <c r="E103" i="26"/>
  <c r="E155" i="26"/>
  <c r="BX28" i="6"/>
  <c r="BX68" i="30" s="1"/>
  <c r="B2" i="26"/>
  <c r="BX1" i="26"/>
  <c r="AA1" i="26"/>
  <c r="V1" i="26"/>
  <c r="D1" i="26"/>
  <c r="EY83" i="16"/>
  <c r="EY82" i="16"/>
  <c r="EY81" i="16"/>
  <c r="W81" i="16"/>
  <c r="V81" i="16"/>
  <c r="EY80" i="16"/>
  <c r="CO80" i="16" a="1"/>
  <c r="CO80" i="16"/>
  <c r="CL80" i="16"/>
  <c r="EY79" i="16"/>
  <c r="CO79" i="16" a="1"/>
  <c r="CO79" i="16" s="1"/>
  <c r="CL79" i="16"/>
  <c r="EY78" i="16"/>
  <c r="CO78" i="16" a="1"/>
  <c r="CO78" i="16"/>
  <c r="CL78" i="16"/>
  <c r="EY77" i="16"/>
  <c r="EY76" i="16"/>
  <c r="EY75" i="16"/>
  <c r="W75" i="16"/>
  <c r="CO75" i="16" s="1" a="1"/>
  <c r="CO75" i="16" s="1"/>
  <c r="V75" i="16"/>
  <c r="CL75" i="16" s="1"/>
  <c r="EY74" i="16"/>
  <c r="CO74" i="16" a="1"/>
  <c r="CO74" i="16" s="1"/>
  <c r="CL74" i="16"/>
  <c r="EY73" i="16"/>
  <c r="CO73" i="16" a="1"/>
  <c r="CO73" i="16"/>
  <c r="CL73" i="16"/>
  <c r="EY72" i="16"/>
  <c r="CO72" i="16" a="1"/>
  <c r="CO72" i="16" s="1"/>
  <c r="CL72" i="16"/>
  <c r="EY71" i="16"/>
  <c r="CO71" i="16" a="1"/>
  <c r="CO71" i="16"/>
  <c r="CL71" i="16"/>
  <c r="EY70" i="16"/>
  <c r="EY69" i="16"/>
  <c r="EY68" i="16"/>
  <c r="W68" i="16"/>
  <c r="V68" i="16"/>
  <c r="CL68" i="16" s="1"/>
  <c r="EY67" i="16"/>
  <c r="CO67" i="16" a="1"/>
  <c r="CO67" i="16" s="1"/>
  <c r="CL67" i="16"/>
  <c r="EY66" i="16"/>
  <c r="CO66" i="16" a="1"/>
  <c r="CO66" i="16"/>
  <c r="CL66" i="16"/>
  <c r="EY65" i="16"/>
  <c r="CO65" i="16" a="1"/>
  <c r="CO65" i="16" s="1"/>
  <c r="CL65" i="16"/>
  <c r="EY64" i="16"/>
  <c r="CO64" i="16" a="1"/>
  <c r="CO64" i="16"/>
  <c r="CL64" i="16"/>
  <c r="EY62" i="16"/>
  <c r="CO62" i="16" a="1"/>
  <c r="CO62" i="16" s="1"/>
  <c r="CL62" i="16"/>
  <c r="EY61" i="16"/>
  <c r="CO61" i="16" a="1"/>
  <c r="CO61" i="16"/>
  <c r="CL61" i="16"/>
  <c r="EY60" i="16"/>
  <c r="CO60" i="16" a="1"/>
  <c r="CO60" i="16" s="1"/>
  <c r="CL60" i="16"/>
  <c r="EY59" i="16"/>
  <c r="EY58" i="16"/>
  <c r="EY57" i="16"/>
  <c r="W57" i="16"/>
  <c r="V57" i="16"/>
  <c r="CO57" i="16" s="1" a="1"/>
  <c r="CO57" i="16" s="1"/>
  <c r="EY56" i="16"/>
  <c r="CO56" i="16" a="1"/>
  <c r="CO56" i="16"/>
  <c r="CL56" i="16"/>
  <c r="EY55" i="16"/>
  <c r="CO55" i="16" a="1"/>
  <c r="CO55" i="16" s="1"/>
  <c r="CL55" i="16"/>
  <c r="EY54" i="16"/>
  <c r="CO54" i="16" a="1"/>
  <c r="CO54" i="16"/>
  <c r="CL54" i="16"/>
  <c r="EY53" i="16"/>
  <c r="CO53" i="16" a="1"/>
  <c r="CO53" i="16" s="1"/>
  <c r="CL53" i="16"/>
  <c r="EY52" i="16"/>
  <c r="CO52" i="16" a="1"/>
  <c r="CO52" i="16"/>
  <c r="CL52" i="16"/>
  <c r="EY51" i="16"/>
  <c r="CO51" i="16" a="1"/>
  <c r="CO51" i="16" s="1"/>
  <c r="CL51" i="16"/>
  <c r="EY50" i="16"/>
  <c r="CO50" i="16" a="1"/>
  <c r="CO50" i="16"/>
  <c r="CL50" i="16"/>
  <c r="EY49" i="16"/>
  <c r="CO49" i="16" a="1"/>
  <c r="CO49" i="16" s="1"/>
  <c r="CL49" i="16"/>
  <c r="EY48" i="16"/>
  <c r="CO48" i="16" a="1"/>
  <c r="CO48" i="16"/>
  <c r="CL48" i="16"/>
  <c r="EY47" i="16"/>
  <c r="CO47" i="16" a="1"/>
  <c r="CO47" i="16" s="1"/>
  <c r="CL47" i="16"/>
  <c r="EY46" i="16"/>
  <c r="CO46" i="16" a="1"/>
  <c r="CO46" i="16"/>
  <c r="CL46" i="16"/>
  <c r="EY45" i="16"/>
  <c r="CO45" i="16" a="1"/>
  <c r="CO45" i="16" s="1"/>
  <c r="CL45" i="16"/>
  <c r="EY44" i="16"/>
  <c r="CO44" i="16" a="1"/>
  <c r="CO44" i="16"/>
  <c r="CL44" i="16"/>
  <c r="EY43" i="16"/>
  <c r="CO43" i="16" a="1"/>
  <c r="CO43" i="16" s="1"/>
  <c r="CL43" i="16"/>
  <c r="EY42" i="16"/>
  <c r="CO42" i="16" a="1"/>
  <c r="CO42" i="16" s="1"/>
  <c r="CL42" i="16"/>
  <c r="CO41" i="16" a="1"/>
  <c r="CO41" i="16" s="1"/>
  <c r="CL41" i="16"/>
  <c r="EY40" i="16"/>
  <c r="CO40" i="16" a="1"/>
  <c r="CO40" i="16"/>
  <c r="CL40" i="16"/>
  <c r="EY39" i="16"/>
  <c r="CO39" i="16" a="1"/>
  <c r="CO39" i="16"/>
  <c r="CL39" i="16"/>
  <c r="EY38" i="16"/>
  <c r="CO38" i="16" a="1"/>
  <c r="CO38" i="16"/>
  <c r="CL38" i="16"/>
  <c r="EY37" i="16"/>
  <c r="CO37" i="16" a="1"/>
  <c r="CO37" i="16"/>
  <c r="CL37" i="16"/>
  <c r="EY36" i="16"/>
  <c r="EY35" i="16"/>
  <c r="EY34" i="16"/>
  <c r="EY33" i="16"/>
  <c r="EY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EY31" i="16"/>
  <c r="CO31" i="16" a="1"/>
  <c r="CO31" i="16" s="1"/>
  <c r="CL31" i="16"/>
  <c r="EY30" i="16"/>
  <c r="CO30" i="16" a="1"/>
  <c r="CO30" i="16"/>
  <c r="CL30" i="16"/>
  <c r="EY29" i="16"/>
  <c r="CO29" i="16" a="1"/>
  <c r="CO29" i="16" s="1"/>
  <c r="CL29" i="16"/>
  <c r="EY28" i="16"/>
  <c r="CO28" i="16" a="1"/>
  <c r="CO28" i="16"/>
  <c r="CL28" i="16"/>
  <c r="EY27" i="16"/>
  <c r="CO27" i="16" a="1"/>
  <c r="CO27" i="16" s="1"/>
  <c r="CL27" i="16"/>
  <c r="EY26" i="16"/>
  <c r="CO26" i="16" a="1"/>
  <c r="CO26" i="16"/>
  <c r="CL26" i="16"/>
  <c r="EY25" i="16"/>
  <c r="CO25" i="16" a="1"/>
  <c r="CO25" i="16" s="1"/>
  <c r="CL25" i="16"/>
  <c r="EY24" i="16"/>
  <c r="CO24" i="16" a="1"/>
  <c r="CO24" i="16"/>
  <c r="CL24" i="16"/>
  <c r="EY23" i="16"/>
  <c r="CO23" i="16" a="1"/>
  <c r="CO23" i="16" s="1"/>
  <c r="CL23" i="16"/>
  <c r="EY22" i="16"/>
  <c r="CO22" i="16" a="1"/>
  <c r="CO22" i="16"/>
  <c r="CL22" i="16"/>
  <c r="EY21" i="16"/>
  <c r="CO21" i="16" a="1"/>
  <c r="CO21" i="16" s="1"/>
  <c r="CL21" i="16"/>
  <c r="EY20" i="16"/>
  <c r="EY19" i="16"/>
  <c r="EY18" i="16"/>
  <c r="EY17" i="16"/>
  <c r="W17" i="16"/>
  <c r="V17" i="16"/>
  <c r="EY16" i="16"/>
  <c r="CO16" i="16" a="1"/>
  <c r="CO16" i="16"/>
  <c r="CL16" i="16"/>
  <c r="EY15" i="16"/>
  <c r="CO15" i="16" a="1"/>
  <c r="CO15" i="16" s="1"/>
  <c r="CL15" i="16"/>
  <c r="EY14" i="16"/>
  <c r="CO14" i="16" a="1"/>
  <c r="CO14" i="16"/>
  <c r="CL14" i="16"/>
  <c r="EY13" i="16"/>
  <c r="CO13" i="16" a="1"/>
  <c r="CO13" i="16" s="1"/>
  <c r="CL13" i="16"/>
  <c r="EY12" i="16"/>
  <c r="CO12" i="16" a="1"/>
  <c r="CO12" i="16"/>
  <c r="CL12" i="16"/>
  <c r="EY11" i="16"/>
  <c r="CO11" i="16" a="1"/>
  <c r="CO11" i="16" s="1"/>
  <c r="CL11" i="16"/>
  <c r="EY10" i="16"/>
  <c r="CO10" i="16" a="1"/>
  <c r="CO10" i="16"/>
  <c r="CL10" i="16"/>
  <c r="EY9" i="16"/>
  <c r="EY8" i="16"/>
  <c r="BX6" i="16" a="1"/>
  <c r="BX6" i="16" s="1"/>
  <c r="B6" i="16" a="1"/>
  <c r="B6" i="16" s="1"/>
  <c r="A6" i="16" a="1"/>
  <c r="A6" i="16" s="1"/>
  <c r="D5" i="16"/>
  <c r="D4" i="16"/>
  <c r="B4" i="16" a="1"/>
  <c r="B4" i="16" s="1"/>
  <c r="D3" i="16"/>
  <c r="B3" i="16" a="1"/>
  <c r="B3" i="16" s="1"/>
  <c r="H49" i="30" a="1"/>
  <c r="F49" i="30" a="1"/>
  <c r="G49" i="30" a="1"/>
  <c r="E49" i="30" a="1"/>
  <c r="A3" i="16" a="1"/>
  <c r="CL57" i="16" l="1"/>
  <c r="W83" i="16"/>
  <c r="W84" i="16" s="1"/>
  <c r="CE51" i="26"/>
  <c r="CE313" i="26" s="1"/>
  <c r="BD51" i="26"/>
  <c r="BD313" i="26" s="1"/>
  <c r="AV51" i="26"/>
  <c r="AV313" i="26" s="1"/>
  <c r="AN51" i="26"/>
  <c r="AN313" i="26" s="1"/>
  <c r="AF51" i="26"/>
  <c r="AF313" i="26" s="1"/>
  <c r="BF51" i="26"/>
  <c r="BF313" i="26" s="1"/>
  <c r="CF51" i="26"/>
  <c r="CF313" i="26" s="1"/>
  <c r="BX51" i="26"/>
  <c r="BX313" i="26" s="1"/>
  <c r="AO51" i="26"/>
  <c r="AO313" i="26" s="1"/>
  <c r="CD51" i="26"/>
  <c r="CD313" i="26" s="1"/>
  <c r="BC51" i="26"/>
  <c r="BC313" i="26" s="1"/>
  <c r="AU51" i="26"/>
  <c r="AU313" i="26" s="1"/>
  <c r="AM51" i="26"/>
  <c r="AM313" i="26" s="1"/>
  <c r="AE51" i="26"/>
  <c r="AE313" i="26" s="1"/>
  <c r="CG51" i="26"/>
  <c r="CG313" i="26" s="1"/>
  <c r="AP51" i="26"/>
  <c r="AP313" i="26" s="1"/>
  <c r="AW51" i="26"/>
  <c r="AW313" i="26" s="1"/>
  <c r="CC51" i="26"/>
  <c r="CC313" i="26" s="1"/>
  <c r="BJ51" i="26"/>
  <c r="BJ313" i="26" s="1"/>
  <c r="BB51" i="26"/>
  <c r="BB313" i="26" s="1"/>
  <c r="AT51" i="26"/>
  <c r="AT313" i="26" s="1"/>
  <c r="AL51" i="26"/>
  <c r="AL313" i="26" s="1"/>
  <c r="AD51" i="26"/>
  <c r="AD313" i="26" s="1"/>
  <c r="AX51" i="26"/>
  <c r="AX313" i="26" s="1"/>
  <c r="AG51" i="26"/>
  <c r="AG313" i="26" s="1"/>
  <c r="CB51" i="26"/>
  <c r="CB313" i="26" s="1"/>
  <c r="BI51" i="26"/>
  <c r="BI313" i="26" s="1"/>
  <c r="BA51" i="26"/>
  <c r="BA313" i="26" s="1"/>
  <c r="AS51" i="26"/>
  <c r="AS313" i="26" s="1"/>
  <c r="AK51" i="26"/>
  <c r="AK313" i="26" s="1"/>
  <c r="AC51" i="26"/>
  <c r="AC313" i="26" s="1"/>
  <c r="AH51" i="26"/>
  <c r="AH313" i="26" s="1"/>
  <c r="CI51" i="26"/>
  <c r="CI313" i="26" s="1"/>
  <c r="BH51" i="26"/>
  <c r="BH313" i="26" s="1"/>
  <c r="AZ51" i="26"/>
  <c r="AZ313" i="26" s="1"/>
  <c r="AR51" i="26"/>
  <c r="AR313" i="26" s="1"/>
  <c r="AJ51" i="26"/>
  <c r="AJ313" i="26" s="1"/>
  <c r="AB51" i="26"/>
  <c r="AB313" i="26" s="1"/>
  <c r="CH51" i="26"/>
  <c r="CH313" i="26" s="1"/>
  <c r="BG51" i="26"/>
  <c r="BG313" i="26" s="1"/>
  <c r="AY51" i="26"/>
  <c r="AY313" i="26" s="1"/>
  <c r="AQ51" i="26"/>
  <c r="AQ313" i="26" s="1"/>
  <c r="AI51" i="26"/>
  <c r="AI313" i="26" s="1"/>
  <c r="AA51" i="26"/>
  <c r="AA313" i="26" s="1"/>
  <c r="V51" i="26"/>
  <c r="V313" i="26" s="1"/>
  <c r="BE51" i="26"/>
  <c r="BE313" i="26" s="1"/>
  <c r="CE49" i="26"/>
  <c r="BC49" i="26"/>
  <c r="AU49" i="26"/>
  <c r="AM49" i="26"/>
  <c r="AE49" i="26"/>
  <c r="CG49" i="26"/>
  <c r="AW49" i="26"/>
  <c r="CF49" i="26"/>
  <c r="AV49" i="26"/>
  <c r="CD49" i="26"/>
  <c r="BB49" i="26"/>
  <c r="AT49" i="26"/>
  <c r="AL49" i="26"/>
  <c r="AD49" i="26"/>
  <c r="AG49" i="26"/>
  <c r="BD49" i="26"/>
  <c r="AN49" i="26"/>
  <c r="CC49" i="26"/>
  <c r="BI49" i="26"/>
  <c r="BA49" i="26"/>
  <c r="AS49" i="26"/>
  <c r="AK49" i="26"/>
  <c r="AC49" i="26"/>
  <c r="BE49" i="26"/>
  <c r="AF49" i="26"/>
  <c r="CB49" i="26"/>
  <c r="BH49" i="26"/>
  <c r="AZ49" i="26"/>
  <c r="AR49" i="26"/>
  <c r="AJ49" i="26"/>
  <c r="AB49" i="26"/>
  <c r="AO49" i="26"/>
  <c r="CI49" i="26"/>
  <c r="BX49" i="26"/>
  <c r="BG49" i="26"/>
  <c r="AY49" i="26"/>
  <c r="AQ49" i="26"/>
  <c r="AI49" i="26"/>
  <c r="AA49" i="26"/>
  <c r="Y49" i="26"/>
  <c r="Y311" i="26" s="1"/>
  <c r="CH49" i="26"/>
  <c r="BJ49" i="26"/>
  <c r="BF49" i="26"/>
  <c r="AX49" i="26"/>
  <c r="AP49" i="26"/>
  <c r="AH49" i="26"/>
  <c r="V49" i="26"/>
  <c r="CI50" i="26"/>
  <c r="CI312" i="26" s="1"/>
  <c r="CA50" i="26"/>
  <c r="CA312" i="26" s="1"/>
  <c r="BH50" i="26"/>
  <c r="BH312" i="26" s="1"/>
  <c r="AZ50" i="26"/>
  <c r="AZ312" i="26" s="1"/>
  <c r="AR50" i="26"/>
  <c r="AR312" i="26" s="1"/>
  <c r="AJ50" i="26"/>
  <c r="AJ312" i="26" s="1"/>
  <c r="AB50" i="26"/>
  <c r="AB312" i="26" s="1"/>
  <c r="W50" i="26"/>
  <c r="W312" i="26" s="1"/>
  <c r="BJ50" i="26"/>
  <c r="BJ312" i="26" s="1"/>
  <c r="AD50" i="26"/>
  <c r="AD312" i="26" s="1"/>
  <c r="Y50" i="26"/>
  <c r="Y312" i="26" s="1"/>
  <c r="CB50" i="26"/>
  <c r="CB312" i="26" s="1"/>
  <c r="BI50" i="26"/>
  <c r="BI312" i="26" s="1"/>
  <c r="AC50" i="26"/>
  <c r="AC312" i="26" s="1"/>
  <c r="X50" i="26"/>
  <c r="X312" i="26" s="1"/>
  <c r="CH50" i="26"/>
  <c r="CH312" i="26" s="1"/>
  <c r="BZ50" i="26"/>
  <c r="BZ312" i="26" s="1"/>
  <c r="BG50" i="26"/>
  <c r="BG312" i="26" s="1"/>
  <c r="AY50" i="26"/>
  <c r="AY312" i="26" s="1"/>
  <c r="AQ50" i="26"/>
  <c r="AQ312" i="26" s="1"/>
  <c r="AI50" i="26"/>
  <c r="AI312" i="26" s="1"/>
  <c r="AA50" i="26"/>
  <c r="AA312" i="26" s="1"/>
  <c r="V50" i="26"/>
  <c r="V312" i="26" s="1"/>
  <c r="AT50" i="26"/>
  <c r="AT312" i="26" s="1"/>
  <c r="BA50" i="26"/>
  <c r="BA312" i="26" s="1"/>
  <c r="CG50" i="26"/>
  <c r="CG312" i="26" s="1"/>
  <c r="BY50" i="26"/>
  <c r="BY312" i="26" s="1"/>
  <c r="BF50" i="26"/>
  <c r="BF312" i="26" s="1"/>
  <c r="AX50" i="26"/>
  <c r="AX312" i="26" s="1"/>
  <c r="AP50" i="26"/>
  <c r="AP312" i="26" s="1"/>
  <c r="AH50" i="26"/>
  <c r="AH312" i="26" s="1"/>
  <c r="BB50" i="26"/>
  <c r="BB312" i="26" s="1"/>
  <c r="CF50" i="26"/>
  <c r="CF312" i="26" s="1"/>
  <c r="BX50" i="26"/>
  <c r="BX312" i="26" s="1"/>
  <c r="BE50" i="26"/>
  <c r="BE312" i="26" s="1"/>
  <c r="AW50" i="26"/>
  <c r="AW312" i="26" s="1"/>
  <c r="AO50" i="26"/>
  <c r="AO312" i="26" s="1"/>
  <c r="AG50" i="26"/>
  <c r="AG312" i="26" s="1"/>
  <c r="CC50" i="26"/>
  <c r="CC312" i="26" s="1"/>
  <c r="AL50" i="26"/>
  <c r="AL312" i="26" s="1"/>
  <c r="AK50" i="26"/>
  <c r="AK312" i="26" s="1"/>
  <c r="CE50" i="26"/>
  <c r="CE312" i="26" s="1"/>
  <c r="BD50" i="26"/>
  <c r="BD312" i="26" s="1"/>
  <c r="AV50" i="26"/>
  <c r="AV312" i="26" s="1"/>
  <c r="AN50" i="26"/>
  <c r="AN312" i="26" s="1"/>
  <c r="AF50" i="26"/>
  <c r="AF312" i="26" s="1"/>
  <c r="CD50" i="26"/>
  <c r="CD312" i="26" s="1"/>
  <c r="BC50" i="26"/>
  <c r="BC312" i="26" s="1"/>
  <c r="AU50" i="26"/>
  <c r="AU312" i="26" s="1"/>
  <c r="AM50" i="26"/>
  <c r="AM312" i="26" s="1"/>
  <c r="AE50" i="26"/>
  <c r="AE312" i="26" s="1"/>
  <c r="AS50" i="26"/>
  <c r="AS312" i="26" s="1"/>
  <c r="CI52" i="26"/>
  <c r="CI314" i="26" s="1"/>
  <c r="CA52" i="26"/>
  <c r="CA314" i="26" s="1"/>
  <c r="BH52" i="26"/>
  <c r="BH314" i="26" s="1"/>
  <c r="AZ52" i="26"/>
  <c r="AZ314" i="26" s="1"/>
  <c r="AR52" i="26"/>
  <c r="AR314" i="26" s="1"/>
  <c r="AJ52" i="26"/>
  <c r="AJ314" i="26" s="1"/>
  <c r="AB52" i="26"/>
  <c r="AB314" i="26" s="1"/>
  <c r="W52" i="26"/>
  <c r="W314" i="26" s="1"/>
  <c r="CB52" i="26"/>
  <c r="CB314" i="26" s="1"/>
  <c r="BA52" i="26"/>
  <c r="BA314" i="26" s="1"/>
  <c r="AS52" i="26"/>
  <c r="AS314" i="26" s="1"/>
  <c r="AK52" i="26"/>
  <c r="AK314" i="26" s="1"/>
  <c r="CH52" i="26"/>
  <c r="CH314" i="26" s="1"/>
  <c r="BZ52" i="26"/>
  <c r="BZ314" i="26" s="1"/>
  <c r="BG52" i="26"/>
  <c r="BG314" i="26" s="1"/>
  <c r="AY52" i="26"/>
  <c r="AY314" i="26" s="1"/>
  <c r="AQ52" i="26"/>
  <c r="AQ314" i="26" s="1"/>
  <c r="AI52" i="26"/>
  <c r="AI314" i="26" s="1"/>
  <c r="AA52" i="26"/>
  <c r="AA314" i="26" s="1"/>
  <c r="V52" i="26"/>
  <c r="V314" i="26" s="1"/>
  <c r="AT52" i="26"/>
  <c r="AT314" i="26" s="1"/>
  <c r="BI52" i="26"/>
  <c r="BI314" i="26" s="1"/>
  <c r="CG52" i="26"/>
  <c r="CG314" i="26" s="1"/>
  <c r="BY52" i="26"/>
  <c r="BY314" i="26" s="1"/>
  <c r="BF52" i="26"/>
  <c r="BF314" i="26" s="1"/>
  <c r="AX52" i="26"/>
  <c r="AX314" i="26" s="1"/>
  <c r="AP52" i="26"/>
  <c r="AP314" i="26" s="1"/>
  <c r="AH52" i="26"/>
  <c r="AH314" i="26" s="1"/>
  <c r="CC52" i="26"/>
  <c r="CC314" i="26" s="1"/>
  <c r="BJ52" i="26"/>
  <c r="BJ314" i="26" s="1"/>
  <c r="Y52" i="26"/>
  <c r="Y314" i="26" s="1"/>
  <c r="CF52" i="26"/>
  <c r="CF314" i="26" s="1"/>
  <c r="BX52" i="26"/>
  <c r="BX314" i="26" s="1"/>
  <c r="BE52" i="26"/>
  <c r="BE314" i="26" s="1"/>
  <c r="AW52" i="26"/>
  <c r="AW314" i="26" s="1"/>
  <c r="AO52" i="26"/>
  <c r="AO314" i="26" s="1"/>
  <c r="AG52" i="26"/>
  <c r="AG314" i="26" s="1"/>
  <c r="AL52" i="26"/>
  <c r="AL314" i="26" s="1"/>
  <c r="AC52" i="26"/>
  <c r="AC314" i="26" s="1"/>
  <c r="CE52" i="26"/>
  <c r="CE314" i="26" s="1"/>
  <c r="BD52" i="26"/>
  <c r="BD314" i="26" s="1"/>
  <c r="AV52" i="26"/>
  <c r="AV314" i="26" s="1"/>
  <c r="AN52" i="26"/>
  <c r="AN314" i="26" s="1"/>
  <c r="AF52" i="26"/>
  <c r="AF314" i="26" s="1"/>
  <c r="CD52" i="26"/>
  <c r="CD314" i="26" s="1"/>
  <c r="BC52" i="26"/>
  <c r="BC314" i="26" s="1"/>
  <c r="AU52" i="26"/>
  <c r="AU314" i="26" s="1"/>
  <c r="AM52" i="26"/>
  <c r="AM314" i="26" s="1"/>
  <c r="AE52" i="26"/>
  <c r="AE314" i="26" s="1"/>
  <c r="BB52" i="26"/>
  <c r="BB314" i="26" s="1"/>
  <c r="AD52" i="26"/>
  <c r="AD314" i="26" s="1"/>
  <c r="X52" i="26"/>
  <c r="X314" i="26" s="1"/>
  <c r="V83" i="16"/>
  <c r="V84" i="16" s="1"/>
  <c r="CO68" i="16" a="1"/>
  <c r="CO68" i="16" s="1"/>
  <c r="CP95" i="30"/>
  <c r="CP202" i="30"/>
  <c r="CP203" i="30"/>
  <c r="CY87" i="30"/>
  <c r="CQ87" i="30" s="1"/>
  <c r="F49" i="30"/>
  <c r="G49" i="30"/>
  <c r="E49" i="30"/>
  <c r="H49" i="30"/>
  <c r="CH213" i="26"/>
  <c r="CH324" i="26" s="1"/>
  <c r="BZ213" i="26"/>
  <c r="BE213" i="26"/>
  <c r="BE324" i="26" s="1"/>
  <c r="AW213" i="26"/>
  <c r="AW324" i="26" s="1"/>
  <c r="AO213" i="26"/>
  <c r="AO324" i="26" s="1"/>
  <c r="AG213" i="26"/>
  <c r="AG324" i="26" s="1"/>
  <c r="X213" i="26"/>
  <c r="CI213" i="26"/>
  <c r="CI324" i="26" s="1"/>
  <c r="CA213" i="26"/>
  <c r="BF213" i="26"/>
  <c r="BF324" i="26" s="1"/>
  <c r="AX213" i="26"/>
  <c r="AX324" i="26" s="1"/>
  <c r="AP213" i="26"/>
  <c r="AP324" i="26" s="1"/>
  <c r="AH213" i="26"/>
  <c r="AH324" i="26" s="1"/>
  <c r="Y213" i="26"/>
  <c r="BY213" i="26"/>
  <c r="BB213" i="26"/>
  <c r="BB324" i="26" s="1"/>
  <c r="AR213" i="26"/>
  <c r="AR324" i="26" s="1"/>
  <c r="AF213" i="26"/>
  <c r="AF324" i="26" s="1"/>
  <c r="BX213" i="26"/>
  <c r="BX324" i="26" s="1"/>
  <c r="BA213" i="26"/>
  <c r="BA324" i="26" s="1"/>
  <c r="AQ213" i="26"/>
  <c r="AQ324" i="26" s="1"/>
  <c r="AE213" i="26"/>
  <c r="AE324" i="26" s="1"/>
  <c r="CG213" i="26"/>
  <c r="CG324" i="26" s="1"/>
  <c r="BJ213" i="26"/>
  <c r="BJ324" i="26" s="1"/>
  <c r="AZ213" i="26"/>
  <c r="AZ324" i="26" s="1"/>
  <c r="AN213" i="26"/>
  <c r="AN324" i="26" s="1"/>
  <c r="AD213" i="26"/>
  <c r="AD324" i="26" s="1"/>
  <c r="CF213" i="26"/>
  <c r="CF324" i="26" s="1"/>
  <c r="BI213" i="26"/>
  <c r="BI324" i="26" s="1"/>
  <c r="AY213" i="26"/>
  <c r="AY324" i="26" s="1"/>
  <c r="AM213" i="26"/>
  <c r="AM324" i="26" s="1"/>
  <c r="AC213" i="26"/>
  <c r="AC324" i="26" s="1"/>
  <c r="CE213" i="26"/>
  <c r="CE324" i="26" s="1"/>
  <c r="BH213" i="26"/>
  <c r="BH324" i="26" s="1"/>
  <c r="AV213" i="26"/>
  <c r="AV324" i="26" s="1"/>
  <c r="AL213" i="26"/>
  <c r="AL324" i="26" s="1"/>
  <c r="AB213" i="26"/>
  <c r="AB324" i="26" s="1"/>
  <c r="CD213" i="26"/>
  <c r="CD324" i="26" s="1"/>
  <c r="BG213" i="26"/>
  <c r="BG324" i="26" s="1"/>
  <c r="AU213" i="26"/>
  <c r="AU324" i="26" s="1"/>
  <c r="AK213" i="26"/>
  <c r="AK324" i="26" s="1"/>
  <c r="AA213" i="26"/>
  <c r="AA324" i="26" s="1"/>
  <c r="CC213" i="26"/>
  <c r="CC324" i="26" s="1"/>
  <c r="BD213" i="26"/>
  <c r="BD324" i="26" s="1"/>
  <c r="AT213" i="26"/>
  <c r="AT324" i="26" s="1"/>
  <c r="AJ213" i="26"/>
  <c r="AJ324" i="26" s="1"/>
  <c r="W213" i="26"/>
  <c r="CB213" i="26"/>
  <c r="CB324" i="26" s="1"/>
  <c r="BC213" i="26"/>
  <c r="BC324" i="26" s="1"/>
  <c r="AS213" i="26"/>
  <c r="AS324" i="26" s="1"/>
  <c r="AI213" i="26"/>
  <c r="AI324" i="26" s="1"/>
  <c r="V213" i="26"/>
  <c r="AB455" i="9"/>
  <c r="AB346" i="9"/>
  <c r="AB1003" i="9"/>
  <c r="AB512" i="9"/>
  <c r="AB120" i="9"/>
  <c r="AC114" i="9"/>
  <c r="CB212" i="26"/>
  <c r="CB323" i="26" s="1"/>
  <c r="BG212" i="26"/>
  <c r="BG323" i="26" s="1"/>
  <c r="AY212" i="26"/>
  <c r="AY323" i="26" s="1"/>
  <c r="AQ212" i="26"/>
  <c r="AQ323" i="26" s="1"/>
  <c r="AI212" i="26"/>
  <c r="AI323" i="26" s="1"/>
  <c r="AA212" i="26"/>
  <c r="AA323" i="26" s="1"/>
  <c r="CC212" i="26"/>
  <c r="CC323" i="26" s="1"/>
  <c r="BH212" i="26"/>
  <c r="BH323" i="26" s="1"/>
  <c r="AZ212" i="26"/>
  <c r="AZ323" i="26" s="1"/>
  <c r="AR212" i="26"/>
  <c r="AR323" i="26" s="1"/>
  <c r="AJ212" i="26"/>
  <c r="AJ323" i="26" s="1"/>
  <c r="AB212" i="26"/>
  <c r="AB323" i="26" s="1"/>
  <c r="CA212" i="26"/>
  <c r="BD212" i="26"/>
  <c r="BD323" i="26" s="1"/>
  <c r="AT212" i="26"/>
  <c r="AT323" i="26" s="1"/>
  <c r="AH212" i="26"/>
  <c r="AH323" i="26" s="1"/>
  <c r="W212" i="26"/>
  <c r="BZ212" i="26"/>
  <c r="BC212" i="26"/>
  <c r="BC323" i="26" s="1"/>
  <c r="AS212" i="26"/>
  <c r="AS323" i="26" s="1"/>
  <c r="AG212" i="26"/>
  <c r="AG323" i="26" s="1"/>
  <c r="V212" i="26"/>
  <c r="CI212" i="26"/>
  <c r="CI323" i="26" s="1"/>
  <c r="BY212" i="26"/>
  <c r="BB212" i="26"/>
  <c r="BB323" i="26" s="1"/>
  <c r="AP212" i="26"/>
  <c r="AP323" i="26" s="1"/>
  <c r="AF212" i="26"/>
  <c r="AF323" i="26" s="1"/>
  <c r="CH212" i="26"/>
  <c r="CH323" i="26" s="1"/>
  <c r="BX212" i="26"/>
  <c r="BX323" i="26" s="1"/>
  <c r="BA212" i="26"/>
  <c r="BA323" i="26" s="1"/>
  <c r="AO212" i="26"/>
  <c r="AO323" i="26" s="1"/>
  <c r="AE212" i="26"/>
  <c r="AE323" i="26" s="1"/>
  <c r="CG212" i="26"/>
  <c r="CG323" i="26" s="1"/>
  <c r="BJ212" i="26"/>
  <c r="BJ323" i="26" s="1"/>
  <c r="AX212" i="26"/>
  <c r="AX323" i="26" s="1"/>
  <c r="AN212" i="26"/>
  <c r="AN323" i="26" s="1"/>
  <c r="AD212" i="26"/>
  <c r="AD323" i="26" s="1"/>
  <c r="CF212" i="26"/>
  <c r="CF323" i="26" s="1"/>
  <c r="BI212" i="26"/>
  <c r="BI323" i="26" s="1"/>
  <c r="AW212" i="26"/>
  <c r="AW323" i="26" s="1"/>
  <c r="AM212" i="26"/>
  <c r="AM323" i="26" s="1"/>
  <c r="AC212" i="26"/>
  <c r="AC323" i="26" s="1"/>
  <c r="CE212" i="26"/>
  <c r="CE323" i="26" s="1"/>
  <c r="BF212" i="26"/>
  <c r="BF323" i="26" s="1"/>
  <c r="AV212" i="26"/>
  <c r="AV323" i="26" s="1"/>
  <c r="AL212" i="26"/>
  <c r="AL323" i="26" s="1"/>
  <c r="Y212" i="26"/>
  <c r="CD212" i="26"/>
  <c r="CD323" i="26" s="1"/>
  <c r="BE212" i="26"/>
  <c r="BE323" i="26" s="1"/>
  <c r="AU212" i="26"/>
  <c r="AU323" i="26" s="1"/>
  <c r="AK212" i="26"/>
  <c r="AK323" i="26" s="1"/>
  <c r="X212" i="26"/>
  <c r="CG30" i="26"/>
  <c r="BD30" i="26"/>
  <c r="AV30" i="26"/>
  <c r="AN30" i="26"/>
  <c r="AF30" i="26"/>
  <c r="AL30" i="26"/>
  <c r="BC30" i="26"/>
  <c r="BG30" i="26"/>
  <c r="AK30" i="26"/>
  <c r="BA30" i="26"/>
  <c r="CH30" i="26"/>
  <c r="BX30" i="26"/>
  <c r="BB30" i="26"/>
  <c r="AS30" i="26"/>
  <c r="AJ30" i="26"/>
  <c r="AA30" i="26"/>
  <c r="AR30" i="26"/>
  <c r="AX30" i="26"/>
  <c r="CF30" i="26"/>
  <c r="AQ30" i="26"/>
  <c r="AO30" i="26"/>
  <c r="CD30" i="26"/>
  <c r="BH30" i="26"/>
  <c r="AY30" i="26"/>
  <c r="AP30" i="26"/>
  <c r="AG30" i="26"/>
  <c r="V30" i="26"/>
  <c r="CC30" i="26"/>
  <c r="CB30" i="26"/>
  <c r="BF30" i="26"/>
  <c r="AW30" i="26"/>
  <c r="AM30" i="26"/>
  <c r="AD30" i="26"/>
  <c r="BE30" i="26"/>
  <c r="AU30" i="26"/>
  <c r="AC30" i="26"/>
  <c r="CI30" i="26"/>
  <c r="AT30" i="26"/>
  <c r="AB30" i="26"/>
  <c r="BJ30" i="26"/>
  <c r="AI30" i="26"/>
  <c r="CE30" i="26"/>
  <c r="BI30" i="26"/>
  <c r="AZ30" i="26"/>
  <c r="AH30" i="26"/>
  <c r="AE30" i="26"/>
  <c r="CP117" i="30"/>
  <c r="AB1010" i="9"/>
  <c r="AB253" i="9"/>
  <c r="AB519" i="9"/>
  <c r="AC247" i="9"/>
  <c r="AC1019" i="9"/>
  <c r="AC528" i="9"/>
  <c r="AD418" i="9"/>
  <c r="AC424" i="9"/>
  <c r="AG129" i="30"/>
  <c r="AH229" i="6"/>
  <c r="AH236" i="6" s="1"/>
  <c r="CC350" i="26"/>
  <c r="CC242" i="26" s="1"/>
  <c r="BH350" i="26"/>
  <c r="BH242" i="26" s="1"/>
  <c r="AZ350" i="26"/>
  <c r="AZ242" i="26" s="1"/>
  <c r="AR350" i="26"/>
  <c r="AR242" i="26" s="1"/>
  <c r="AJ350" i="26"/>
  <c r="AJ242" i="26" s="1"/>
  <c r="AB350" i="26"/>
  <c r="AB242" i="26" s="1"/>
  <c r="CB350" i="26"/>
  <c r="CB242" i="26" s="1"/>
  <c r="BG350" i="26"/>
  <c r="BG242" i="26" s="1"/>
  <c r="AY350" i="26"/>
  <c r="AY242" i="26" s="1"/>
  <c r="AQ350" i="26"/>
  <c r="AQ242" i="26" s="1"/>
  <c r="AI350" i="26"/>
  <c r="AI242" i="26" s="1"/>
  <c r="AA350" i="26"/>
  <c r="AA242" i="26" s="1"/>
  <c r="CI350" i="26"/>
  <c r="CI242" i="26" s="1"/>
  <c r="CA350" i="26"/>
  <c r="CA242" i="26" s="1"/>
  <c r="BF350" i="26"/>
  <c r="BF242" i="26" s="1"/>
  <c r="AX350" i="26"/>
  <c r="AX242" i="26" s="1"/>
  <c r="AP350" i="26"/>
  <c r="AP242" i="26" s="1"/>
  <c r="AH350" i="26"/>
  <c r="AH242" i="26" s="1"/>
  <c r="Y350" i="26"/>
  <c r="Y242" i="26" s="1"/>
  <c r="CH350" i="26"/>
  <c r="CH242" i="26" s="1"/>
  <c r="BZ350" i="26"/>
  <c r="BZ242" i="26" s="1"/>
  <c r="BE350" i="26"/>
  <c r="BE242" i="26" s="1"/>
  <c r="AW350" i="26"/>
  <c r="AW242" i="26" s="1"/>
  <c r="AO350" i="26"/>
  <c r="AO242" i="26" s="1"/>
  <c r="AG350" i="26"/>
  <c r="AG242" i="26" s="1"/>
  <c r="X350" i="26"/>
  <c r="X242" i="26" s="1"/>
  <c r="CG350" i="26"/>
  <c r="CG242" i="26" s="1"/>
  <c r="BY350" i="26"/>
  <c r="BY242" i="26" s="1"/>
  <c r="BD350" i="26"/>
  <c r="BD242" i="26" s="1"/>
  <c r="AV350" i="26"/>
  <c r="AV242" i="26" s="1"/>
  <c r="AN350" i="26"/>
  <c r="AN242" i="26" s="1"/>
  <c r="AF350" i="26"/>
  <c r="AF242" i="26" s="1"/>
  <c r="W350" i="26"/>
  <c r="W242" i="26" s="1"/>
  <c r="CF350" i="26"/>
  <c r="CF242" i="26" s="1"/>
  <c r="BX350" i="26"/>
  <c r="BX242" i="26" s="1"/>
  <c r="BC350" i="26"/>
  <c r="BC242" i="26" s="1"/>
  <c r="AU350" i="26"/>
  <c r="AU242" i="26" s="1"/>
  <c r="AM350" i="26"/>
  <c r="AM242" i="26" s="1"/>
  <c r="AE350" i="26"/>
  <c r="AE242" i="26" s="1"/>
  <c r="V350" i="26"/>
  <c r="V242" i="26" s="1"/>
  <c r="CE350" i="26"/>
  <c r="CE242" i="26" s="1"/>
  <c r="BJ350" i="26"/>
  <c r="BJ242" i="26" s="1"/>
  <c r="BB350" i="26"/>
  <c r="BB242" i="26" s="1"/>
  <c r="AT350" i="26"/>
  <c r="AT242" i="26" s="1"/>
  <c r="AL350" i="26"/>
  <c r="AL242" i="26" s="1"/>
  <c r="AD350" i="26"/>
  <c r="AD242" i="26" s="1"/>
  <c r="CD350" i="26"/>
  <c r="CD242" i="26" s="1"/>
  <c r="BI350" i="26"/>
  <c r="BI242" i="26" s="1"/>
  <c r="BA350" i="26"/>
  <c r="BA242" i="26" s="1"/>
  <c r="AS350" i="26"/>
  <c r="AS242" i="26" s="1"/>
  <c r="AK350" i="26"/>
  <c r="AK242" i="26" s="1"/>
  <c r="AC350" i="26"/>
  <c r="AC242" i="26" s="1"/>
  <c r="AB446" i="9"/>
  <c r="AB175" i="9"/>
  <c r="AB605" i="9"/>
  <c r="AB887" i="9" s="1"/>
  <c r="AC142" i="9"/>
  <c r="CW91" i="30"/>
  <c r="CE189" i="26"/>
  <c r="CE253" i="26" s="1"/>
  <c r="BJ189" i="26"/>
  <c r="BJ253" i="26" s="1"/>
  <c r="BB189" i="26"/>
  <c r="BB253" i="26" s="1"/>
  <c r="AT189" i="26"/>
  <c r="AT253" i="26" s="1"/>
  <c r="AL189" i="26"/>
  <c r="AL253" i="26" s="1"/>
  <c r="AD189" i="26"/>
  <c r="AD253" i="26" s="1"/>
  <c r="CF189" i="26"/>
  <c r="CF253" i="26" s="1"/>
  <c r="BX189" i="26"/>
  <c r="BX253" i="26" s="1"/>
  <c r="BC189" i="26"/>
  <c r="BC253" i="26" s="1"/>
  <c r="AU189" i="26"/>
  <c r="AU253" i="26" s="1"/>
  <c r="AM189" i="26"/>
  <c r="AM253" i="26" s="1"/>
  <c r="AE189" i="26"/>
  <c r="AE253" i="26" s="1"/>
  <c r="V189" i="26"/>
  <c r="CD189" i="26"/>
  <c r="CD253" i="26" s="1"/>
  <c r="BG189" i="26"/>
  <c r="BG253" i="26" s="1"/>
  <c r="AW189" i="26"/>
  <c r="AW253" i="26" s="1"/>
  <c r="AK189" i="26"/>
  <c r="AK253" i="26" s="1"/>
  <c r="AA189" i="26"/>
  <c r="AA253" i="26" s="1"/>
  <c r="CC189" i="26"/>
  <c r="CC253" i="26" s="1"/>
  <c r="BF189" i="26"/>
  <c r="BF253" i="26" s="1"/>
  <c r="AV189" i="26"/>
  <c r="AV253" i="26" s="1"/>
  <c r="AJ189" i="26"/>
  <c r="AJ253" i="26" s="1"/>
  <c r="Y189" i="26"/>
  <c r="CB189" i="26"/>
  <c r="CB253" i="26" s="1"/>
  <c r="BE189" i="26"/>
  <c r="BE253" i="26" s="1"/>
  <c r="AS189" i="26"/>
  <c r="AS253" i="26" s="1"/>
  <c r="AI189" i="26"/>
  <c r="AI253" i="26" s="1"/>
  <c r="X189" i="26"/>
  <c r="CA189" i="26"/>
  <c r="BD189" i="26"/>
  <c r="BD253" i="26" s="1"/>
  <c r="AR189" i="26"/>
  <c r="AR253" i="26" s="1"/>
  <c r="AH189" i="26"/>
  <c r="AH253" i="26" s="1"/>
  <c r="W189" i="26"/>
  <c r="BZ189" i="26"/>
  <c r="BA189" i="26"/>
  <c r="BA253" i="26" s="1"/>
  <c r="AQ189" i="26"/>
  <c r="AQ253" i="26" s="1"/>
  <c r="AG189" i="26"/>
  <c r="AG253" i="26" s="1"/>
  <c r="CI189" i="26"/>
  <c r="CI253" i="26" s="1"/>
  <c r="BY189" i="26"/>
  <c r="AZ189" i="26"/>
  <c r="AZ253" i="26" s="1"/>
  <c r="AP189" i="26"/>
  <c r="AP253" i="26" s="1"/>
  <c r="AF189" i="26"/>
  <c r="AF253" i="26" s="1"/>
  <c r="CH189" i="26"/>
  <c r="CH253" i="26" s="1"/>
  <c r="BI189" i="26"/>
  <c r="BI253" i="26" s="1"/>
  <c r="AY189" i="26"/>
  <c r="AY253" i="26" s="1"/>
  <c r="AO189" i="26"/>
  <c r="AO253" i="26" s="1"/>
  <c r="AC189" i="26"/>
  <c r="AC253" i="26" s="1"/>
  <c r="CG189" i="26"/>
  <c r="CG253" i="26" s="1"/>
  <c r="BH189" i="26"/>
  <c r="BH253" i="26" s="1"/>
  <c r="AX189" i="26"/>
  <c r="AX253" i="26" s="1"/>
  <c r="AN189" i="26"/>
  <c r="AN253" i="26" s="1"/>
  <c r="AB189" i="26"/>
  <c r="AB253" i="26" s="1"/>
  <c r="AB1016" i="9"/>
  <c r="AB525" i="9"/>
  <c r="AC361" i="9"/>
  <c r="AB367" i="9"/>
  <c r="CH351" i="26"/>
  <c r="CH268" i="26" s="1"/>
  <c r="BZ351" i="26"/>
  <c r="BZ268" i="26" s="1"/>
  <c r="BE351" i="26"/>
  <c r="BE268" i="26" s="1"/>
  <c r="AW351" i="26"/>
  <c r="AW268" i="26" s="1"/>
  <c r="AO351" i="26"/>
  <c r="AO268" i="26" s="1"/>
  <c r="AG351" i="26"/>
  <c r="AG268" i="26" s="1"/>
  <c r="X351" i="26"/>
  <c r="X268" i="26" s="1"/>
  <c r="CG351" i="26"/>
  <c r="CG268" i="26" s="1"/>
  <c r="BY351" i="26"/>
  <c r="BY268" i="26" s="1"/>
  <c r="BD351" i="26"/>
  <c r="BD268" i="26" s="1"/>
  <c r="AV351" i="26"/>
  <c r="AV268" i="26" s="1"/>
  <c r="AN351" i="26"/>
  <c r="AN268" i="26" s="1"/>
  <c r="AF351" i="26"/>
  <c r="AF268" i="26" s="1"/>
  <c r="W351" i="26"/>
  <c r="W268" i="26" s="1"/>
  <c r="CF351" i="26"/>
  <c r="CF268" i="26" s="1"/>
  <c r="BX351" i="26"/>
  <c r="BX268" i="26" s="1"/>
  <c r="BC351" i="26"/>
  <c r="BC268" i="26" s="1"/>
  <c r="AU351" i="26"/>
  <c r="AU268" i="26" s="1"/>
  <c r="AM351" i="26"/>
  <c r="AM268" i="26" s="1"/>
  <c r="AE351" i="26"/>
  <c r="AE268" i="26" s="1"/>
  <c r="V351" i="26"/>
  <c r="V268" i="26" s="1"/>
  <c r="CE351" i="26"/>
  <c r="CE268" i="26" s="1"/>
  <c r="BJ351" i="26"/>
  <c r="BJ268" i="26" s="1"/>
  <c r="BB351" i="26"/>
  <c r="BB268" i="26" s="1"/>
  <c r="AT351" i="26"/>
  <c r="AT268" i="26" s="1"/>
  <c r="AL351" i="26"/>
  <c r="AL268" i="26" s="1"/>
  <c r="AD351" i="26"/>
  <c r="AD268" i="26" s="1"/>
  <c r="CD351" i="26"/>
  <c r="CD268" i="26" s="1"/>
  <c r="BI351" i="26"/>
  <c r="BI268" i="26" s="1"/>
  <c r="BA351" i="26"/>
  <c r="BA268" i="26" s="1"/>
  <c r="AS351" i="26"/>
  <c r="AS268" i="26" s="1"/>
  <c r="AK351" i="26"/>
  <c r="AK268" i="26" s="1"/>
  <c r="AC351" i="26"/>
  <c r="AC268" i="26" s="1"/>
  <c r="CC351" i="26"/>
  <c r="CC268" i="26" s="1"/>
  <c r="BH351" i="26"/>
  <c r="BH268" i="26" s="1"/>
  <c r="AZ351" i="26"/>
  <c r="AZ268" i="26" s="1"/>
  <c r="AR351" i="26"/>
  <c r="AR268" i="26" s="1"/>
  <c r="AJ351" i="26"/>
  <c r="AJ268" i="26" s="1"/>
  <c r="AB351" i="26"/>
  <c r="AB268" i="26" s="1"/>
  <c r="CB351" i="26"/>
  <c r="CB268" i="26" s="1"/>
  <c r="BG351" i="26"/>
  <c r="BG268" i="26" s="1"/>
  <c r="AY351" i="26"/>
  <c r="AY268" i="26" s="1"/>
  <c r="AQ351" i="26"/>
  <c r="AQ268" i="26" s="1"/>
  <c r="AI351" i="26"/>
  <c r="AI268" i="26" s="1"/>
  <c r="AA351" i="26"/>
  <c r="AA268" i="26" s="1"/>
  <c r="CI351" i="26"/>
  <c r="CI268" i="26" s="1"/>
  <c r="CA351" i="26"/>
  <c r="CA268" i="26" s="1"/>
  <c r="BF351" i="26"/>
  <c r="BF268" i="26" s="1"/>
  <c r="AX351" i="26"/>
  <c r="AX268" i="26" s="1"/>
  <c r="AP351" i="26"/>
  <c r="AP268" i="26" s="1"/>
  <c r="AH351" i="26"/>
  <c r="AH268" i="26" s="1"/>
  <c r="Y351" i="26"/>
  <c r="Y268" i="26" s="1"/>
  <c r="CD44" i="26"/>
  <c r="CD303" i="26" s="1"/>
  <c r="BI44" i="26"/>
  <c r="BI303" i="26" s="1"/>
  <c r="BA44" i="26"/>
  <c r="BA303" i="26" s="1"/>
  <c r="AS44" i="26"/>
  <c r="AS303" i="26" s="1"/>
  <c r="AK44" i="26"/>
  <c r="AK303" i="26" s="1"/>
  <c r="AC44" i="26"/>
  <c r="AC303" i="26" s="1"/>
  <c r="BD44" i="26"/>
  <c r="BD303" i="26" s="1"/>
  <c r="AU44" i="26"/>
  <c r="AU303" i="26" s="1"/>
  <c r="AL44" i="26"/>
  <c r="AL303" i="26" s="1"/>
  <c r="BC44" i="26"/>
  <c r="BC303" i="26" s="1"/>
  <c r="AJ44" i="26"/>
  <c r="AJ303" i="26" s="1"/>
  <c r="CF44" i="26"/>
  <c r="CF303" i="26" s="1"/>
  <c r="CE44" i="26"/>
  <c r="CE303" i="26" s="1"/>
  <c r="AG44" i="26"/>
  <c r="AG303" i="26" s="1"/>
  <c r="AN44" i="26"/>
  <c r="AN303" i="26" s="1"/>
  <c r="BJ44" i="26"/>
  <c r="BJ303" i="26" s="1"/>
  <c r="CG44" i="26"/>
  <c r="CG303" i="26" s="1"/>
  <c r="BX44" i="26"/>
  <c r="BX303" i="26" s="1"/>
  <c r="BB44" i="26"/>
  <c r="BB303" i="26" s="1"/>
  <c r="AR44" i="26"/>
  <c r="AR303" i="26" s="1"/>
  <c r="AI44" i="26"/>
  <c r="AI303" i="26" s="1"/>
  <c r="AH44" i="26"/>
  <c r="AH303" i="26" s="1"/>
  <c r="BH44" i="26"/>
  <c r="BH303" i="26" s="1"/>
  <c r="AP44" i="26"/>
  <c r="AP303" i="26" s="1"/>
  <c r="AE44" i="26"/>
  <c r="AE303" i="26" s="1"/>
  <c r="CB44" i="26"/>
  <c r="CB303" i="26" s="1"/>
  <c r="CC44" i="26"/>
  <c r="CC303" i="26" s="1"/>
  <c r="BG44" i="26"/>
  <c r="BG303" i="26" s="1"/>
  <c r="AX44" i="26"/>
  <c r="AX303" i="26" s="1"/>
  <c r="AO44" i="26"/>
  <c r="AO303" i="26" s="1"/>
  <c r="AF44" i="26"/>
  <c r="AF303" i="26" s="1"/>
  <c r="V44" i="26"/>
  <c r="BF44" i="26"/>
  <c r="BF303" i="26" s="1"/>
  <c r="AW44" i="26"/>
  <c r="AW303" i="26" s="1"/>
  <c r="BE44" i="26"/>
  <c r="BE303" i="26" s="1"/>
  <c r="AV44" i="26"/>
  <c r="AV303" i="26" s="1"/>
  <c r="AM44" i="26"/>
  <c r="AM303" i="26" s="1"/>
  <c r="AD44" i="26"/>
  <c r="AD303" i="26" s="1"/>
  <c r="CI44" i="26"/>
  <c r="CI303" i="26" s="1"/>
  <c r="AB44" i="26"/>
  <c r="AB303" i="26" s="1"/>
  <c r="CH44" i="26"/>
  <c r="CH303" i="26" s="1"/>
  <c r="AT44" i="26"/>
  <c r="AT303" i="26" s="1"/>
  <c r="AA44" i="26"/>
  <c r="AA303" i="26" s="1"/>
  <c r="AZ44" i="26"/>
  <c r="AZ303" i="26" s="1"/>
  <c r="AQ44" i="26"/>
  <c r="AQ303" i="26" s="1"/>
  <c r="AY44" i="26"/>
  <c r="AY303" i="26" s="1"/>
  <c r="CB152" i="26"/>
  <c r="BG152" i="26"/>
  <c r="AY152" i="26"/>
  <c r="AQ152" i="26"/>
  <c r="AI152" i="26"/>
  <c r="AA152" i="26"/>
  <c r="CH152" i="26"/>
  <c r="BY152" i="26"/>
  <c r="BC152" i="26"/>
  <c r="AT152" i="26"/>
  <c r="AK152" i="26"/>
  <c r="AB152" i="26"/>
  <c r="CF152" i="26"/>
  <c r="BJ152" i="26"/>
  <c r="BA152" i="26"/>
  <c r="AR152" i="26"/>
  <c r="AH152" i="26"/>
  <c r="X152" i="26"/>
  <c r="CC152" i="26"/>
  <c r="BF152" i="26"/>
  <c r="AW152" i="26"/>
  <c r="AN152" i="26"/>
  <c r="AE152" i="26"/>
  <c r="CA152" i="26"/>
  <c r="AZ152" i="26"/>
  <c r="AL152" i="26"/>
  <c r="V152" i="26"/>
  <c r="BZ152" i="26"/>
  <c r="AX152" i="26"/>
  <c r="AJ152" i="26"/>
  <c r="BX152" i="26"/>
  <c r="AV152" i="26"/>
  <c r="AG152" i="26"/>
  <c r="BI152" i="26"/>
  <c r="AU152" i="26"/>
  <c r="AF152" i="26"/>
  <c r="CI152" i="26"/>
  <c r="BH152" i="26"/>
  <c r="AS152" i="26"/>
  <c r="AD152" i="26"/>
  <c r="CG152" i="26"/>
  <c r="BE152" i="26"/>
  <c r="AP152" i="26"/>
  <c r="AC152" i="26"/>
  <c r="CE152" i="26"/>
  <c r="BD152" i="26"/>
  <c r="AO152" i="26"/>
  <c r="Y152" i="26"/>
  <c r="CD152" i="26"/>
  <c r="BB152" i="26"/>
  <c r="AM152" i="26"/>
  <c r="W152" i="26"/>
  <c r="CB38" i="26"/>
  <c r="BG38" i="26"/>
  <c r="AY38" i="26"/>
  <c r="AQ38" i="26"/>
  <c r="AI38" i="26"/>
  <c r="AA38" i="26"/>
  <c r="BA38" i="26"/>
  <c r="AP38" i="26"/>
  <c r="AE38" i="26"/>
  <c r="AV38" i="26"/>
  <c r="AT38" i="26"/>
  <c r="BI38" i="26"/>
  <c r="AW38" i="26"/>
  <c r="CD38" i="26"/>
  <c r="BH38" i="26"/>
  <c r="AX38" i="26"/>
  <c r="AO38" i="26"/>
  <c r="AF38" i="26"/>
  <c r="V38" i="26"/>
  <c r="BF38" i="26"/>
  <c r="AB38" i="26"/>
  <c r="CC38" i="26"/>
  <c r="BC38" i="26"/>
  <c r="CA38" i="26"/>
  <c r="BY38" i="26"/>
  <c r="CI38" i="26"/>
  <c r="BZ38" i="26"/>
  <c r="BD38" i="26"/>
  <c r="AU38" i="26"/>
  <c r="AL38" i="26"/>
  <c r="AC38" i="26"/>
  <c r="CG38" i="26"/>
  <c r="BX38" i="26"/>
  <c r="BB38" i="26"/>
  <c r="AS38" i="26"/>
  <c r="AJ38" i="26"/>
  <c r="Y38" i="26"/>
  <c r="CF38" i="26"/>
  <c r="BJ38" i="26"/>
  <c r="AR38" i="26"/>
  <c r="AH38" i="26"/>
  <c r="X38" i="26"/>
  <c r="CE38" i="26"/>
  <c r="AZ38" i="26"/>
  <c r="AG38" i="26"/>
  <c r="W38" i="26"/>
  <c r="AN38" i="26"/>
  <c r="BE38" i="26"/>
  <c r="AM38" i="26"/>
  <c r="AD38" i="26"/>
  <c r="CH38" i="26"/>
  <c r="AK38" i="26"/>
  <c r="AF128" i="30"/>
  <c r="AG220" i="6"/>
  <c r="AG226" i="6" s="1"/>
  <c r="CY91" i="30"/>
  <c r="CQ91" i="30" s="1"/>
  <c r="AB1009" i="9"/>
  <c r="AB518" i="9"/>
  <c r="AC228" i="9"/>
  <c r="AB234" i="9"/>
  <c r="AB607" i="9"/>
  <c r="AB889" i="9" s="1"/>
  <c r="AC180" i="9"/>
  <c r="EZ322" i="26"/>
  <c r="CY68" i="30"/>
  <c r="CQ68" i="30" s="1"/>
  <c r="AB447" i="9"/>
  <c r="AB194" i="9"/>
  <c r="AC540" i="9"/>
  <c r="AC221" i="9"/>
  <c r="AB453" i="9"/>
  <c r="AB308" i="9"/>
  <c r="EZ324" i="26"/>
  <c r="CE37" i="26"/>
  <c r="BJ37" i="26"/>
  <c r="BB37" i="26"/>
  <c r="AT37" i="26"/>
  <c r="AL37" i="26"/>
  <c r="AD37" i="26"/>
  <c r="CA37" i="26"/>
  <c r="AC37" i="26"/>
  <c r="BZ37" i="26"/>
  <c r="AB37" i="26"/>
  <c r="BA37" i="26"/>
  <c r="BA187" i="30" s="1"/>
  <c r="AZ37" i="26"/>
  <c r="X37" i="26"/>
  <c r="AI37" i="26"/>
  <c r="CH37" i="26"/>
  <c r="BY37" i="26"/>
  <c r="BC37" i="26"/>
  <c r="AS37" i="26"/>
  <c r="AJ37" i="26"/>
  <c r="AA37" i="26"/>
  <c r="CG37" i="26"/>
  <c r="AH37" i="26"/>
  <c r="AX37" i="26"/>
  <c r="BI37" i="26"/>
  <c r="AF37" i="26"/>
  <c r="CF37" i="26"/>
  <c r="AQ37" i="26"/>
  <c r="BG37" i="26"/>
  <c r="CD37" i="26"/>
  <c r="BH37" i="26"/>
  <c r="AY37" i="26"/>
  <c r="AP37" i="26"/>
  <c r="AG37" i="26"/>
  <c r="W37" i="26"/>
  <c r="CC37" i="26"/>
  <c r="V37" i="26"/>
  <c r="CB37" i="26"/>
  <c r="BF37" i="26"/>
  <c r="AW37" i="26"/>
  <c r="AN37" i="26"/>
  <c r="AE37" i="26"/>
  <c r="AE187" i="30" s="1"/>
  <c r="BE37" i="26"/>
  <c r="BE187" i="30" s="1"/>
  <c r="AV37" i="26"/>
  <c r="AM37" i="26"/>
  <c r="CI37" i="26"/>
  <c r="BD37" i="26"/>
  <c r="AU37" i="26"/>
  <c r="AK37" i="26"/>
  <c r="BX37" i="26"/>
  <c r="AR37" i="26"/>
  <c r="Y37" i="26"/>
  <c r="AO37" i="26"/>
  <c r="CH100" i="26"/>
  <c r="BZ100" i="26"/>
  <c r="BE100" i="26"/>
  <c r="AW100" i="26"/>
  <c r="AO100" i="26"/>
  <c r="AG100" i="26"/>
  <c r="X100" i="26"/>
  <c r="CE100" i="26"/>
  <c r="BI100" i="26"/>
  <c r="AZ100" i="26"/>
  <c r="AQ100" i="26"/>
  <c r="AH100" i="26"/>
  <c r="W100" i="26"/>
  <c r="CD100" i="26"/>
  <c r="BH100" i="26"/>
  <c r="AY100" i="26"/>
  <c r="AP100" i="26"/>
  <c r="AF100" i="26"/>
  <c r="V100" i="26"/>
  <c r="CC100" i="26"/>
  <c r="BG100" i="26"/>
  <c r="AX100" i="26"/>
  <c r="AN100" i="26"/>
  <c r="AE100" i="26"/>
  <c r="CB100" i="26"/>
  <c r="BF100" i="26"/>
  <c r="AV100" i="26"/>
  <c r="AM100" i="26"/>
  <c r="AD100" i="26"/>
  <c r="CA100" i="26"/>
  <c r="BD100" i="26"/>
  <c r="AU100" i="26"/>
  <c r="AL100" i="26"/>
  <c r="AC100" i="26"/>
  <c r="CI100" i="26"/>
  <c r="BY100" i="26"/>
  <c r="BC100" i="26"/>
  <c r="AT100" i="26"/>
  <c r="AK100" i="26"/>
  <c r="AB100" i="26"/>
  <c r="CG100" i="26"/>
  <c r="BX100" i="26"/>
  <c r="BB100" i="26"/>
  <c r="AS100" i="26"/>
  <c r="AJ100" i="26"/>
  <c r="AA100" i="26"/>
  <c r="CF100" i="26"/>
  <c r="BJ100" i="26"/>
  <c r="BA100" i="26"/>
  <c r="AR100" i="26"/>
  <c r="AI100" i="26"/>
  <c r="Y100" i="26"/>
  <c r="CF210" i="26"/>
  <c r="BX210" i="26"/>
  <c r="BC210" i="26"/>
  <c r="AU210" i="26"/>
  <c r="AM210" i="26"/>
  <c r="AE210" i="26"/>
  <c r="V210" i="26"/>
  <c r="CG210" i="26"/>
  <c r="BY210" i="26"/>
  <c r="BD210" i="26"/>
  <c r="AV210" i="26"/>
  <c r="AN210" i="26"/>
  <c r="AF210" i="26"/>
  <c r="W210" i="26"/>
  <c r="CH210" i="26"/>
  <c r="BI210" i="26"/>
  <c r="AY210" i="26"/>
  <c r="AO210" i="26"/>
  <c r="AC210" i="26"/>
  <c r="CE210" i="26"/>
  <c r="BH210" i="26"/>
  <c r="AX210" i="26"/>
  <c r="AL210" i="26"/>
  <c r="AB210" i="26"/>
  <c r="CD210" i="26"/>
  <c r="BG210" i="26"/>
  <c r="AW210" i="26"/>
  <c r="AK210" i="26"/>
  <c r="AA210" i="26"/>
  <c r="CC210" i="26"/>
  <c r="BF210" i="26"/>
  <c r="AT210" i="26"/>
  <c r="AJ210" i="26"/>
  <c r="Y210" i="26"/>
  <c r="CB210" i="26"/>
  <c r="BE210" i="26"/>
  <c r="AS210" i="26"/>
  <c r="AI210" i="26"/>
  <c r="X210" i="26"/>
  <c r="CA210" i="26"/>
  <c r="BB210" i="26"/>
  <c r="AR210" i="26"/>
  <c r="AH210" i="26"/>
  <c r="BZ210" i="26"/>
  <c r="BA210" i="26"/>
  <c r="AQ210" i="26"/>
  <c r="AG210" i="26"/>
  <c r="CI210" i="26"/>
  <c r="BJ210" i="26"/>
  <c r="AZ210" i="26"/>
  <c r="AP210" i="26"/>
  <c r="AD210" i="26"/>
  <c r="CI45" i="26"/>
  <c r="CI304" i="26" s="1"/>
  <c r="CA45" i="26"/>
  <c r="BF45" i="26"/>
  <c r="BF304" i="26" s="1"/>
  <c r="AX45" i="26"/>
  <c r="AX304" i="26" s="1"/>
  <c r="AP45" i="26"/>
  <c r="AP304" i="26" s="1"/>
  <c r="AH45" i="26"/>
  <c r="AH304" i="26" s="1"/>
  <c r="Y45" i="26"/>
  <c r="BJ45" i="26"/>
  <c r="BJ304" i="26" s="1"/>
  <c r="X45" i="26"/>
  <c r="AZ45" i="26"/>
  <c r="AZ304" i="26" s="1"/>
  <c r="CC45" i="26"/>
  <c r="CC304" i="26" s="1"/>
  <c r="BE45" i="26"/>
  <c r="BE304" i="26" s="1"/>
  <c r="CH45" i="26"/>
  <c r="CH304" i="26" s="1"/>
  <c r="AW45" i="26"/>
  <c r="AW304" i="26" s="1"/>
  <c r="CD45" i="26"/>
  <c r="CD304" i="26" s="1"/>
  <c r="BH45" i="26"/>
  <c r="BH304" i="26" s="1"/>
  <c r="AY45" i="26"/>
  <c r="AY304" i="26" s="1"/>
  <c r="AO45" i="26"/>
  <c r="AO304" i="26" s="1"/>
  <c r="AF45" i="26"/>
  <c r="AF304" i="26" s="1"/>
  <c r="V45" i="26"/>
  <c r="AE45" i="26"/>
  <c r="AE304" i="26" s="1"/>
  <c r="AM45" i="26"/>
  <c r="AM304" i="26" s="1"/>
  <c r="BY45" i="26"/>
  <c r="BC45" i="26"/>
  <c r="BC304" i="26" s="1"/>
  <c r="AB45" i="26"/>
  <c r="AB304" i="26" s="1"/>
  <c r="BZ45" i="26"/>
  <c r="BD45" i="26"/>
  <c r="BD304" i="26" s="1"/>
  <c r="AU45" i="26"/>
  <c r="AU304" i="26" s="1"/>
  <c r="AL45" i="26"/>
  <c r="AL304" i="26" s="1"/>
  <c r="AC45" i="26"/>
  <c r="AC304" i="26" s="1"/>
  <c r="AT45" i="26"/>
  <c r="AT304" i="26" s="1"/>
  <c r="AK45" i="26"/>
  <c r="AK304" i="26" s="1"/>
  <c r="CG45" i="26"/>
  <c r="CG304" i="26" s="1"/>
  <c r="BX45" i="26"/>
  <c r="BX304" i="26" s="1"/>
  <c r="BB45" i="26"/>
  <c r="BB304" i="26" s="1"/>
  <c r="AS45" i="26"/>
  <c r="AS304" i="26" s="1"/>
  <c r="AJ45" i="26"/>
  <c r="AJ304" i="26" s="1"/>
  <c r="AA45" i="26"/>
  <c r="AA304" i="26" s="1"/>
  <c r="CF45" i="26"/>
  <c r="CF304" i="26" s="1"/>
  <c r="BA45" i="26"/>
  <c r="BA304" i="26" s="1"/>
  <c r="AR45" i="26"/>
  <c r="AR304" i="26" s="1"/>
  <c r="AI45" i="26"/>
  <c r="AI304" i="26" s="1"/>
  <c r="CE45" i="26"/>
  <c r="CE304" i="26" s="1"/>
  <c r="BI45" i="26"/>
  <c r="BI304" i="26" s="1"/>
  <c r="AQ45" i="26"/>
  <c r="AQ304" i="26" s="1"/>
  <c r="AG45" i="26"/>
  <c r="AG304" i="26" s="1"/>
  <c r="W45" i="26"/>
  <c r="BG45" i="26"/>
  <c r="BG304" i="26" s="1"/>
  <c r="AN45" i="26"/>
  <c r="AN304" i="26" s="1"/>
  <c r="CB45" i="26"/>
  <c r="CB304" i="26" s="1"/>
  <c r="AV45" i="26"/>
  <c r="AV304" i="26" s="1"/>
  <c r="AD45" i="26"/>
  <c r="AD304" i="26" s="1"/>
  <c r="AB1005" i="9"/>
  <c r="AB514" i="9"/>
  <c r="AB158" i="9"/>
  <c r="AC152" i="9"/>
  <c r="CY70" i="30"/>
  <c r="CQ70" i="30" s="1"/>
  <c r="CF214" i="26"/>
  <c r="CF325" i="26" s="1"/>
  <c r="BX214" i="26"/>
  <c r="BX325" i="26" s="1"/>
  <c r="BC214" i="26"/>
  <c r="BC325" i="26" s="1"/>
  <c r="AU214" i="26"/>
  <c r="AU325" i="26" s="1"/>
  <c r="AM214" i="26"/>
  <c r="AM325" i="26" s="1"/>
  <c r="AE214" i="26"/>
  <c r="AE325" i="26" s="1"/>
  <c r="V214" i="26"/>
  <c r="CG214" i="26"/>
  <c r="CG325" i="26" s="1"/>
  <c r="BY214" i="26"/>
  <c r="BD214" i="26"/>
  <c r="BD325" i="26" s="1"/>
  <c r="AV214" i="26"/>
  <c r="AV325" i="26" s="1"/>
  <c r="AN214" i="26"/>
  <c r="AN325" i="26" s="1"/>
  <c r="AF214" i="26"/>
  <c r="AF325" i="26" s="1"/>
  <c r="W214" i="26"/>
  <c r="CI214" i="26"/>
  <c r="CI325" i="26" s="1"/>
  <c r="BJ214" i="26"/>
  <c r="BJ325" i="26" s="1"/>
  <c r="AZ214" i="26"/>
  <c r="AZ325" i="26" s="1"/>
  <c r="AP214" i="26"/>
  <c r="AP325" i="26" s="1"/>
  <c r="AD214" i="26"/>
  <c r="AD325" i="26" s="1"/>
  <c r="CH214" i="26"/>
  <c r="CH325" i="26" s="1"/>
  <c r="BI214" i="26"/>
  <c r="BI325" i="26" s="1"/>
  <c r="AY214" i="26"/>
  <c r="AY325" i="26" s="1"/>
  <c r="AO214" i="26"/>
  <c r="AO325" i="26" s="1"/>
  <c r="AC214" i="26"/>
  <c r="AC325" i="26" s="1"/>
  <c r="CE214" i="26"/>
  <c r="CE325" i="26" s="1"/>
  <c r="BH214" i="26"/>
  <c r="BH325" i="26" s="1"/>
  <c r="AX214" i="26"/>
  <c r="AX325" i="26" s="1"/>
  <c r="AL214" i="26"/>
  <c r="AL325" i="26" s="1"/>
  <c r="AB214" i="26"/>
  <c r="AB325" i="26" s="1"/>
  <c r="CD214" i="26"/>
  <c r="CD325" i="26" s="1"/>
  <c r="BG214" i="26"/>
  <c r="BG325" i="26" s="1"/>
  <c r="AW214" i="26"/>
  <c r="AW325" i="26" s="1"/>
  <c r="AK214" i="26"/>
  <c r="AK325" i="26" s="1"/>
  <c r="AA214" i="26"/>
  <c r="AA325" i="26" s="1"/>
  <c r="CC214" i="26"/>
  <c r="CC325" i="26" s="1"/>
  <c r="BF214" i="26"/>
  <c r="BF325" i="26" s="1"/>
  <c r="AT214" i="26"/>
  <c r="AT325" i="26" s="1"/>
  <c r="AJ214" i="26"/>
  <c r="AJ325" i="26" s="1"/>
  <c r="Y214" i="26"/>
  <c r="CB214" i="26"/>
  <c r="CB325" i="26" s="1"/>
  <c r="BE214" i="26"/>
  <c r="BE325" i="26" s="1"/>
  <c r="AS214" i="26"/>
  <c r="AS325" i="26" s="1"/>
  <c r="AI214" i="26"/>
  <c r="AI325" i="26" s="1"/>
  <c r="X214" i="26"/>
  <c r="CA214" i="26"/>
  <c r="BB214" i="26"/>
  <c r="BB325" i="26" s="1"/>
  <c r="AR214" i="26"/>
  <c r="AR325" i="26" s="1"/>
  <c r="AH214" i="26"/>
  <c r="AH325" i="26" s="1"/>
  <c r="BZ214" i="26"/>
  <c r="BA214" i="26"/>
  <c r="BA325" i="26" s="1"/>
  <c r="AQ214" i="26"/>
  <c r="AQ325" i="26" s="1"/>
  <c r="AG214" i="26"/>
  <c r="AG325" i="26" s="1"/>
  <c r="V118" i="30"/>
  <c r="CY118" i="30" s="1"/>
  <c r="CQ118" i="30" s="1"/>
  <c r="CS106" i="6"/>
  <c r="A106" i="6" s="1" a="1"/>
  <c r="A106" i="6" s="1"/>
  <c r="AB550" i="9"/>
  <c r="AB411" i="9"/>
  <c r="CG153" i="26"/>
  <c r="BY153" i="26"/>
  <c r="BD153" i="26"/>
  <c r="AV153" i="26"/>
  <c r="AN153" i="26"/>
  <c r="AF153" i="26"/>
  <c r="W153" i="26"/>
  <c r="CD153" i="26"/>
  <c r="BH153" i="26"/>
  <c r="AY153" i="26"/>
  <c r="AP153" i="26"/>
  <c r="AG153" i="26"/>
  <c r="V153" i="26"/>
  <c r="CC153" i="26"/>
  <c r="BG153" i="26"/>
  <c r="AX153" i="26"/>
  <c r="AO153" i="26"/>
  <c r="CB153" i="26"/>
  <c r="BF153" i="26"/>
  <c r="AW153" i="26"/>
  <c r="AM153" i="26"/>
  <c r="AD153" i="26"/>
  <c r="CH153" i="26"/>
  <c r="BX153" i="26"/>
  <c r="BB153" i="26"/>
  <c r="AS153" i="26"/>
  <c r="AJ153" i="26"/>
  <c r="AA153" i="26"/>
  <c r="BJ153" i="26"/>
  <c r="AR153" i="26"/>
  <c r="AB153" i="26"/>
  <c r="BI153" i="26"/>
  <c r="AQ153" i="26"/>
  <c r="Y153" i="26"/>
  <c r="BE153" i="26"/>
  <c r="AL153" i="26"/>
  <c r="X153" i="26"/>
  <c r="CI153" i="26"/>
  <c r="BC153" i="26"/>
  <c r="AK153" i="26"/>
  <c r="CF153" i="26"/>
  <c r="BA153" i="26"/>
  <c r="AI153" i="26"/>
  <c r="CE153" i="26"/>
  <c r="AZ153" i="26"/>
  <c r="AH153" i="26"/>
  <c r="CA153" i="26"/>
  <c r="AU153" i="26"/>
  <c r="AE153" i="26"/>
  <c r="BZ153" i="26"/>
  <c r="AT153" i="26"/>
  <c r="AC153" i="26"/>
  <c r="AB620" i="9"/>
  <c r="AB902" i="9" s="1"/>
  <c r="AC427" i="9"/>
  <c r="CB29" i="26"/>
  <c r="BG29" i="26"/>
  <c r="AY29" i="26"/>
  <c r="AQ29" i="26"/>
  <c r="AI29" i="26"/>
  <c r="AA29" i="26"/>
  <c r="AX29" i="26"/>
  <c r="AF29" i="26"/>
  <c r="AN29" i="26"/>
  <c r="AH29" i="26"/>
  <c r="CC29" i="26"/>
  <c r="AE29" i="26"/>
  <c r="AC29" i="26"/>
  <c r="CA29" i="26"/>
  <c r="BE29" i="26"/>
  <c r="AV29" i="26"/>
  <c r="AM29" i="26"/>
  <c r="AD29" i="26"/>
  <c r="BD29" i="26"/>
  <c r="X29" i="26"/>
  <c r="CH29" i="26"/>
  <c r="AB29" i="26"/>
  <c r="CF29" i="26"/>
  <c r="BC29" i="26"/>
  <c r="BJ29" i="26"/>
  <c r="CG29" i="26"/>
  <c r="BX29" i="26"/>
  <c r="BB29" i="26"/>
  <c r="AS29" i="26"/>
  <c r="AJ29" i="26"/>
  <c r="Y29" i="26"/>
  <c r="BA29" i="26"/>
  <c r="CE29" i="26"/>
  <c r="BI29" i="26"/>
  <c r="AZ29" i="26"/>
  <c r="AP29" i="26"/>
  <c r="AG29" i="26"/>
  <c r="W29" i="26"/>
  <c r="CD29" i="26"/>
  <c r="BH29" i="26"/>
  <c r="AO29" i="26"/>
  <c r="V29" i="26"/>
  <c r="BF29" i="26"/>
  <c r="AW29" i="26"/>
  <c r="CI29" i="26"/>
  <c r="BZ29" i="26"/>
  <c r="AU29" i="26"/>
  <c r="AL29" i="26"/>
  <c r="BY29" i="26"/>
  <c r="AT29" i="26"/>
  <c r="AK29" i="26"/>
  <c r="AR29" i="26"/>
  <c r="AB537" i="9"/>
  <c r="AB164" i="9"/>
  <c r="CP118" i="30"/>
  <c r="AB1011" i="9"/>
  <c r="AB520" i="9"/>
  <c r="AB272" i="9"/>
  <c r="AC266" i="9"/>
  <c r="CE352" i="26"/>
  <c r="CE256" i="26" s="1"/>
  <c r="BJ352" i="26"/>
  <c r="BJ256" i="26" s="1"/>
  <c r="BB352" i="26"/>
  <c r="BB256" i="26" s="1"/>
  <c r="AT352" i="26"/>
  <c r="AT256" i="26" s="1"/>
  <c r="AL352" i="26"/>
  <c r="AL256" i="26" s="1"/>
  <c r="AD352" i="26"/>
  <c r="AD256" i="26" s="1"/>
  <c r="CD352" i="26"/>
  <c r="CD256" i="26" s="1"/>
  <c r="BI352" i="26"/>
  <c r="BI256" i="26" s="1"/>
  <c r="BA352" i="26"/>
  <c r="BA256" i="26" s="1"/>
  <c r="AS352" i="26"/>
  <c r="AS256" i="26" s="1"/>
  <c r="AK352" i="26"/>
  <c r="AK256" i="26" s="1"/>
  <c r="AC352" i="26"/>
  <c r="AC256" i="26" s="1"/>
  <c r="CC352" i="26"/>
  <c r="CC256" i="26" s="1"/>
  <c r="BH352" i="26"/>
  <c r="BH256" i="26" s="1"/>
  <c r="AZ352" i="26"/>
  <c r="AZ256" i="26" s="1"/>
  <c r="AR352" i="26"/>
  <c r="AR256" i="26" s="1"/>
  <c r="AJ352" i="26"/>
  <c r="AJ256" i="26" s="1"/>
  <c r="AB352" i="26"/>
  <c r="AB256" i="26" s="1"/>
  <c r="CB352" i="26"/>
  <c r="CB256" i="26" s="1"/>
  <c r="BG352" i="26"/>
  <c r="BG256" i="26" s="1"/>
  <c r="AY352" i="26"/>
  <c r="AY256" i="26" s="1"/>
  <c r="AQ352" i="26"/>
  <c r="AQ256" i="26" s="1"/>
  <c r="AI352" i="26"/>
  <c r="AI256" i="26" s="1"/>
  <c r="AA352" i="26"/>
  <c r="AA256" i="26" s="1"/>
  <c r="CI352" i="26"/>
  <c r="CI256" i="26" s="1"/>
  <c r="CA352" i="26"/>
  <c r="CA256" i="26" s="1"/>
  <c r="BF352" i="26"/>
  <c r="BF256" i="26" s="1"/>
  <c r="AX352" i="26"/>
  <c r="AX256" i="26" s="1"/>
  <c r="AP352" i="26"/>
  <c r="AP256" i="26" s="1"/>
  <c r="AH352" i="26"/>
  <c r="AH256" i="26" s="1"/>
  <c r="Y352" i="26"/>
  <c r="Y256" i="26" s="1"/>
  <c r="CH352" i="26"/>
  <c r="CH256" i="26" s="1"/>
  <c r="BZ352" i="26"/>
  <c r="BZ256" i="26" s="1"/>
  <c r="BE352" i="26"/>
  <c r="BE256" i="26" s="1"/>
  <c r="AW352" i="26"/>
  <c r="AW256" i="26" s="1"/>
  <c r="AO352" i="26"/>
  <c r="AO256" i="26" s="1"/>
  <c r="AG352" i="26"/>
  <c r="AG256" i="26" s="1"/>
  <c r="X352" i="26"/>
  <c r="X256" i="26" s="1"/>
  <c r="CG352" i="26"/>
  <c r="CG256" i="26" s="1"/>
  <c r="BY352" i="26"/>
  <c r="BY256" i="26" s="1"/>
  <c r="BD352" i="26"/>
  <c r="BD256" i="26" s="1"/>
  <c r="AV352" i="26"/>
  <c r="AV256" i="26" s="1"/>
  <c r="AN352" i="26"/>
  <c r="AN256" i="26" s="1"/>
  <c r="AF352" i="26"/>
  <c r="AF256" i="26" s="1"/>
  <c r="W352" i="26"/>
  <c r="W256" i="26" s="1"/>
  <c r="CF352" i="26"/>
  <c r="CF256" i="26" s="1"/>
  <c r="BX352" i="26"/>
  <c r="BX256" i="26" s="1"/>
  <c r="BC352" i="26"/>
  <c r="BC256" i="26" s="1"/>
  <c r="AU352" i="26"/>
  <c r="AU256" i="26" s="1"/>
  <c r="AM352" i="26"/>
  <c r="AM256" i="26" s="1"/>
  <c r="AE352" i="26"/>
  <c r="AE256" i="26" s="1"/>
  <c r="V352" i="26"/>
  <c r="V256" i="26" s="1"/>
  <c r="CY77" i="30"/>
  <c r="CQ77" i="30" s="1"/>
  <c r="AB539" i="9"/>
  <c r="AB202" i="9"/>
  <c r="AB1000" i="9"/>
  <c r="AB509" i="9"/>
  <c r="AB63" i="9"/>
  <c r="AC57" i="9"/>
  <c r="CD31" i="26"/>
  <c r="BI31" i="26"/>
  <c r="BA31" i="26"/>
  <c r="AS31" i="26"/>
  <c r="AK31" i="26"/>
  <c r="AC31" i="26"/>
  <c r="BB31" i="26"/>
  <c r="CF31" i="26"/>
  <c r="AQ31" i="26"/>
  <c r="BG31" i="26"/>
  <c r="AW31" i="26"/>
  <c r="CI31" i="26"/>
  <c r="AH31" i="26"/>
  <c r="CE31" i="26"/>
  <c r="BH31" i="26"/>
  <c r="AY31" i="26"/>
  <c r="AP31" i="26"/>
  <c r="AG31" i="26"/>
  <c r="W31" i="26"/>
  <c r="AO31" i="26"/>
  <c r="BZ31" i="26"/>
  <c r="BF31" i="26"/>
  <c r="BD31" i="26"/>
  <c r="CA31" i="26"/>
  <c r="BE31" i="26"/>
  <c r="AV31" i="26"/>
  <c r="AM31" i="26"/>
  <c r="AD31" i="26"/>
  <c r="AL31" i="26"/>
  <c r="AB31" i="26"/>
  <c r="CH31" i="26"/>
  <c r="BY31" i="26"/>
  <c r="BC31" i="26"/>
  <c r="AT31" i="26"/>
  <c r="AJ31" i="26"/>
  <c r="AA31" i="26"/>
  <c r="CG31" i="26"/>
  <c r="BX31" i="26"/>
  <c r="AR31" i="26"/>
  <c r="AI31" i="26"/>
  <c r="Y31" i="26"/>
  <c r="BJ31" i="26"/>
  <c r="AZ31" i="26"/>
  <c r="X31" i="26"/>
  <c r="CC31" i="26"/>
  <c r="AX31" i="26"/>
  <c r="AF31" i="26"/>
  <c r="V31" i="26"/>
  <c r="CB31" i="26"/>
  <c r="AN31" i="26"/>
  <c r="AE31" i="26"/>
  <c r="AU31" i="26"/>
  <c r="AB1004" i="9"/>
  <c r="AB513" i="9"/>
  <c r="AB139" i="9"/>
  <c r="AC133" i="9"/>
  <c r="AB612" i="9"/>
  <c r="AB894" i="9" s="1"/>
  <c r="AC275" i="9"/>
  <c r="CX120" i="30"/>
  <c r="CP120" i="30" s="1"/>
  <c r="CF156" i="26"/>
  <c r="BX156" i="26"/>
  <c r="BC156" i="26"/>
  <c r="AU156" i="26"/>
  <c r="AM156" i="26"/>
  <c r="AE156" i="26"/>
  <c r="V156" i="26"/>
  <c r="CD156" i="26"/>
  <c r="BH156" i="26"/>
  <c r="AY156" i="26"/>
  <c r="AP156" i="26"/>
  <c r="AG156" i="26"/>
  <c r="W156" i="26"/>
  <c r="CC156" i="26"/>
  <c r="BG156" i="26"/>
  <c r="AX156" i="26"/>
  <c r="AO156" i="26"/>
  <c r="AF156" i="26"/>
  <c r="CB156" i="26"/>
  <c r="BF156" i="26"/>
  <c r="AW156" i="26"/>
  <c r="AN156" i="26"/>
  <c r="AD156" i="26"/>
  <c r="CH156" i="26"/>
  <c r="BY156" i="26"/>
  <c r="BB156" i="26"/>
  <c r="AS156" i="26"/>
  <c r="AJ156" i="26"/>
  <c r="AA156" i="26"/>
  <c r="BE156" i="26"/>
  <c r="AL156" i="26"/>
  <c r="CI156" i="26"/>
  <c r="BD156" i="26"/>
  <c r="AK156" i="26"/>
  <c r="CG156" i="26"/>
  <c r="BA156" i="26"/>
  <c r="AI156" i="26"/>
  <c r="CE156" i="26"/>
  <c r="AZ156" i="26"/>
  <c r="AH156" i="26"/>
  <c r="CA156" i="26"/>
  <c r="AV156" i="26"/>
  <c r="AC156" i="26"/>
  <c r="BZ156" i="26"/>
  <c r="AT156" i="26"/>
  <c r="AB156" i="26"/>
  <c r="BJ156" i="26"/>
  <c r="AR156" i="26"/>
  <c r="Y156" i="26"/>
  <c r="BI156" i="26"/>
  <c r="AQ156" i="26"/>
  <c r="X156" i="26"/>
  <c r="CD127" i="26"/>
  <c r="CD238" i="26" s="1"/>
  <c r="BI127" i="26"/>
  <c r="BI238" i="26" s="1"/>
  <c r="BA127" i="26"/>
  <c r="BA238" i="26" s="1"/>
  <c r="AS127" i="26"/>
  <c r="AS238" i="26" s="1"/>
  <c r="AK127" i="26"/>
  <c r="AK238" i="26" s="1"/>
  <c r="AC127" i="26"/>
  <c r="AC238" i="26" s="1"/>
  <c r="CE127" i="26"/>
  <c r="CE238" i="26" s="1"/>
  <c r="BH127" i="26"/>
  <c r="BH238" i="26" s="1"/>
  <c r="AY127" i="26"/>
  <c r="AY238" i="26" s="1"/>
  <c r="AP127" i="26"/>
  <c r="AP238" i="26" s="1"/>
  <c r="AG127" i="26"/>
  <c r="AG238" i="26" s="1"/>
  <c r="W127" i="26"/>
  <c r="CC127" i="26"/>
  <c r="CC238" i="26" s="1"/>
  <c r="BG127" i="26"/>
  <c r="BG238" i="26" s="1"/>
  <c r="AX127" i="26"/>
  <c r="AX238" i="26" s="1"/>
  <c r="AO127" i="26"/>
  <c r="AO238" i="26" s="1"/>
  <c r="AF127" i="26"/>
  <c r="AF238" i="26" s="1"/>
  <c r="V127" i="26"/>
  <c r="CB127" i="26"/>
  <c r="CB238" i="26" s="1"/>
  <c r="BF127" i="26"/>
  <c r="BF238" i="26" s="1"/>
  <c r="AW127" i="26"/>
  <c r="AW238" i="26" s="1"/>
  <c r="AN127" i="26"/>
  <c r="AN238" i="26" s="1"/>
  <c r="AE127" i="26"/>
  <c r="AE238" i="26" s="1"/>
  <c r="CA127" i="26"/>
  <c r="BE127" i="26"/>
  <c r="BE238" i="26" s="1"/>
  <c r="AV127" i="26"/>
  <c r="AV238" i="26" s="1"/>
  <c r="AM127" i="26"/>
  <c r="AM238" i="26" s="1"/>
  <c r="AD127" i="26"/>
  <c r="AD238" i="26" s="1"/>
  <c r="CI127" i="26"/>
  <c r="CI238" i="26" s="1"/>
  <c r="BZ127" i="26"/>
  <c r="BD127" i="26"/>
  <c r="BD238" i="26" s="1"/>
  <c r="AU127" i="26"/>
  <c r="AU238" i="26" s="1"/>
  <c r="AL127" i="26"/>
  <c r="AL238" i="26" s="1"/>
  <c r="AB127" i="26"/>
  <c r="AB238" i="26" s="1"/>
  <c r="CH127" i="26"/>
  <c r="CH238" i="26" s="1"/>
  <c r="BY127" i="26"/>
  <c r="BC127" i="26"/>
  <c r="BC238" i="26" s="1"/>
  <c r="AT127" i="26"/>
  <c r="AT238" i="26" s="1"/>
  <c r="AJ127" i="26"/>
  <c r="AJ238" i="26" s="1"/>
  <c r="AA127" i="26"/>
  <c r="AA238" i="26" s="1"/>
  <c r="CG127" i="26"/>
  <c r="CG238" i="26" s="1"/>
  <c r="BX127" i="26"/>
  <c r="BX238" i="26" s="1"/>
  <c r="BB127" i="26"/>
  <c r="BB238" i="26" s="1"/>
  <c r="AR127" i="26"/>
  <c r="AR238" i="26" s="1"/>
  <c r="AI127" i="26"/>
  <c r="AI238" i="26" s="1"/>
  <c r="Y127" i="26"/>
  <c r="CF127" i="26"/>
  <c r="CF238" i="26" s="1"/>
  <c r="BJ127" i="26"/>
  <c r="BJ238" i="26" s="1"/>
  <c r="AZ127" i="26"/>
  <c r="AZ238" i="26" s="1"/>
  <c r="AQ127" i="26"/>
  <c r="AQ238" i="26" s="1"/>
  <c r="AH127" i="26"/>
  <c r="AH238" i="26" s="1"/>
  <c r="X127" i="26"/>
  <c r="BX67" i="30"/>
  <c r="CY67" i="30" s="1"/>
  <c r="CQ67" i="30" s="1"/>
  <c r="CG43" i="26"/>
  <c r="CG302" i="26" s="1"/>
  <c r="BY43" i="26"/>
  <c r="BD43" i="26"/>
  <c r="BD302" i="26" s="1"/>
  <c r="AV43" i="26"/>
  <c r="AV302" i="26" s="1"/>
  <c r="AN43" i="26"/>
  <c r="AN302" i="26" s="1"/>
  <c r="AF43" i="26"/>
  <c r="AF302" i="26" s="1"/>
  <c r="W43" i="26"/>
  <c r="BG43" i="26"/>
  <c r="BG302" i="26" s="1"/>
  <c r="AE43" i="26"/>
  <c r="AE302" i="26" s="1"/>
  <c r="AM43" i="26"/>
  <c r="AM302" i="26" s="1"/>
  <c r="BB43" i="26"/>
  <c r="BB302" i="26" s="1"/>
  <c r="AH43" i="26"/>
  <c r="AH302" i="26" s="1"/>
  <c r="AK43" i="26"/>
  <c r="AK302" i="26" s="1"/>
  <c r="CA43" i="26"/>
  <c r="BE43" i="26"/>
  <c r="BE302" i="26" s="1"/>
  <c r="AU43" i="26"/>
  <c r="AU302" i="26" s="1"/>
  <c r="AL43" i="26"/>
  <c r="AL302" i="26" s="1"/>
  <c r="AC43" i="26"/>
  <c r="AC302" i="26" s="1"/>
  <c r="AT43" i="26"/>
  <c r="AT302" i="26" s="1"/>
  <c r="CH43" i="26"/>
  <c r="CH302" i="26" s="1"/>
  <c r="AS43" i="26"/>
  <c r="AS302" i="26" s="1"/>
  <c r="X43" i="26"/>
  <c r="BZ43" i="26"/>
  <c r="CE43" i="26"/>
  <c r="CE302" i="26" s="1"/>
  <c r="AA43" i="26"/>
  <c r="AA302" i="26" s="1"/>
  <c r="CF43" i="26"/>
  <c r="CF302" i="26" s="1"/>
  <c r="BJ43" i="26"/>
  <c r="BJ302" i="26" s="1"/>
  <c r="BA43" i="26"/>
  <c r="BA302" i="26" s="1"/>
  <c r="AR43" i="26"/>
  <c r="AR302" i="26" s="1"/>
  <c r="AI43" i="26"/>
  <c r="AI302" i="26" s="1"/>
  <c r="Y43" i="26"/>
  <c r="BI43" i="26"/>
  <c r="BI302" i="26" s="1"/>
  <c r="AZ43" i="26"/>
  <c r="AZ302" i="26" s="1"/>
  <c r="CD43" i="26"/>
  <c r="CD302" i="26" s="1"/>
  <c r="BH43" i="26"/>
  <c r="BH302" i="26" s="1"/>
  <c r="AY43" i="26"/>
  <c r="AY302" i="26" s="1"/>
  <c r="AP43" i="26"/>
  <c r="AP302" i="26" s="1"/>
  <c r="AG43" i="26"/>
  <c r="AG302" i="26" s="1"/>
  <c r="V43" i="26"/>
  <c r="CC43" i="26"/>
  <c r="CC302" i="26" s="1"/>
  <c r="AX43" i="26"/>
  <c r="AX302" i="26" s="1"/>
  <c r="AO43" i="26"/>
  <c r="AO302" i="26" s="1"/>
  <c r="CB43" i="26"/>
  <c r="CB302" i="26" s="1"/>
  <c r="BF43" i="26"/>
  <c r="BF302" i="26" s="1"/>
  <c r="AW43" i="26"/>
  <c r="AW302" i="26" s="1"/>
  <c r="AD43" i="26"/>
  <c r="AD302" i="26" s="1"/>
  <c r="CI43" i="26"/>
  <c r="CI302" i="26" s="1"/>
  <c r="BC43" i="26"/>
  <c r="BC302" i="26" s="1"/>
  <c r="AB43" i="26"/>
  <c r="AB302" i="26" s="1"/>
  <c r="BX43" i="26"/>
  <c r="BX302" i="26" s="1"/>
  <c r="AJ43" i="26"/>
  <c r="AJ302" i="26" s="1"/>
  <c r="AQ43" i="26"/>
  <c r="AQ302" i="26" s="1"/>
  <c r="AB1017" i="9"/>
  <c r="AB526" i="9"/>
  <c r="AB386" i="9"/>
  <c r="AC380" i="9"/>
  <c r="CP199" i="30"/>
  <c r="AB618" i="9"/>
  <c r="AB900" i="9" s="1"/>
  <c r="AC389" i="9"/>
  <c r="CI155" i="26"/>
  <c r="CA155" i="26"/>
  <c r="BF155" i="26"/>
  <c r="AX155" i="26"/>
  <c r="AP155" i="26"/>
  <c r="AH155" i="26"/>
  <c r="Y155" i="26"/>
  <c r="CG155" i="26"/>
  <c r="BX155" i="26"/>
  <c r="BB155" i="26"/>
  <c r="AS155" i="26"/>
  <c r="AJ155" i="26"/>
  <c r="AA155" i="26"/>
  <c r="CF155" i="26"/>
  <c r="BJ155" i="26"/>
  <c r="BA155" i="26"/>
  <c r="AR155" i="26"/>
  <c r="AI155" i="26"/>
  <c r="X155" i="26"/>
  <c r="CE155" i="26"/>
  <c r="BI155" i="26"/>
  <c r="AZ155" i="26"/>
  <c r="AQ155" i="26"/>
  <c r="AG155" i="26"/>
  <c r="W155" i="26"/>
  <c r="CB155" i="26"/>
  <c r="BE155" i="26"/>
  <c r="AV155" i="26"/>
  <c r="AM155" i="26"/>
  <c r="AD155" i="26"/>
  <c r="CD155" i="26"/>
  <c r="AY155" i="26"/>
  <c r="AF155" i="26"/>
  <c r="CC155" i="26"/>
  <c r="AW155" i="26"/>
  <c r="AE155" i="26"/>
  <c r="BZ155" i="26"/>
  <c r="AU155" i="26"/>
  <c r="AC155" i="26"/>
  <c r="BY155" i="26"/>
  <c r="AT155" i="26"/>
  <c r="AB155" i="26"/>
  <c r="BH155" i="26"/>
  <c r="AO155" i="26"/>
  <c r="V155" i="26"/>
  <c r="BG155" i="26"/>
  <c r="AN155" i="26"/>
  <c r="BD155" i="26"/>
  <c r="AL155" i="26"/>
  <c r="CH155" i="26"/>
  <c r="BC155" i="26"/>
  <c r="AK155" i="26"/>
  <c r="CD102" i="26"/>
  <c r="CD264" i="26" s="1"/>
  <c r="BI102" i="26"/>
  <c r="BI264" i="26" s="1"/>
  <c r="BA102" i="26"/>
  <c r="BA264" i="26" s="1"/>
  <c r="AS102" i="26"/>
  <c r="AS264" i="26" s="1"/>
  <c r="AK102" i="26"/>
  <c r="AK264" i="26" s="1"/>
  <c r="AC102" i="26"/>
  <c r="AC264" i="26" s="1"/>
  <c r="CA102" i="26"/>
  <c r="BE102" i="26"/>
  <c r="BE264" i="26" s="1"/>
  <c r="AV102" i="26"/>
  <c r="AV264" i="26" s="1"/>
  <c r="AM102" i="26"/>
  <c r="AM264" i="26" s="1"/>
  <c r="AD102" i="26"/>
  <c r="AD264" i="26" s="1"/>
  <c r="CI102" i="26"/>
  <c r="CI264" i="26" s="1"/>
  <c r="BZ102" i="26"/>
  <c r="BD102" i="26"/>
  <c r="BD264" i="26" s="1"/>
  <c r="AU102" i="26"/>
  <c r="AU264" i="26" s="1"/>
  <c r="AL102" i="26"/>
  <c r="AL264" i="26" s="1"/>
  <c r="AB102" i="26"/>
  <c r="AB264" i="26" s="1"/>
  <c r="CH102" i="26"/>
  <c r="CH264" i="26" s="1"/>
  <c r="BY102" i="26"/>
  <c r="BC102" i="26"/>
  <c r="BC264" i="26" s="1"/>
  <c r="AT102" i="26"/>
  <c r="AT264" i="26" s="1"/>
  <c r="AJ102" i="26"/>
  <c r="AJ264" i="26" s="1"/>
  <c r="AA102" i="26"/>
  <c r="AA264" i="26" s="1"/>
  <c r="CG102" i="26"/>
  <c r="CG264" i="26" s="1"/>
  <c r="BX102" i="26"/>
  <c r="BX264" i="26" s="1"/>
  <c r="BB102" i="26"/>
  <c r="BB264" i="26" s="1"/>
  <c r="AR102" i="26"/>
  <c r="AR264" i="26" s="1"/>
  <c r="AI102" i="26"/>
  <c r="AI264" i="26" s="1"/>
  <c r="Y102" i="26"/>
  <c r="CF102" i="26"/>
  <c r="CF264" i="26" s="1"/>
  <c r="BJ102" i="26"/>
  <c r="BJ264" i="26" s="1"/>
  <c r="AZ102" i="26"/>
  <c r="AZ264" i="26" s="1"/>
  <c r="AQ102" i="26"/>
  <c r="AQ264" i="26" s="1"/>
  <c r="AH102" i="26"/>
  <c r="AH264" i="26" s="1"/>
  <c r="X102" i="26"/>
  <c r="CE102" i="26"/>
  <c r="CE264" i="26" s="1"/>
  <c r="BH102" i="26"/>
  <c r="BH264" i="26" s="1"/>
  <c r="AY102" i="26"/>
  <c r="AY264" i="26" s="1"/>
  <c r="AP102" i="26"/>
  <c r="AP264" i="26" s="1"/>
  <c r="AG102" i="26"/>
  <c r="AG264" i="26" s="1"/>
  <c r="W102" i="26"/>
  <c r="CC102" i="26"/>
  <c r="CC264" i="26" s="1"/>
  <c r="BG102" i="26"/>
  <c r="BG264" i="26" s="1"/>
  <c r="AX102" i="26"/>
  <c r="AX264" i="26" s="1"/>
  <c r="AO102" i="26"/>
  <c r="AO264" i="26" s="1"/>
  <c r="AF102" i="26"/>
  <c r="AF264" i="26" s="1"/>
  <c r="V102" i="26"/>
  <c r="CB102" i="26"/>
  <c r="CB264" i="26" s="1"/>
  <c r="BF102" i="26"/>
  <c r="BF264" i="26" s="1"/>
  <c r="AW102" i="26"/>
  <c r="AW264" i="26" s="1"/>
  <c r="AN102" i="26"/>
  <c r="AN264" i="26" s="1"/>
  <c r="AE102" i="26"/>
  <c r="AE264" i="26" s="1"/>
  <c r="CC35" i="26"/>
  <c r="BH35" i="26"/>
  <c r="AZ35" i="26"/>
  <c r="AR35" i="26"/>
  <c r="AJ35" i="26"/>
  <c r="AB35" i="26"/>
  <c r="BB35" i="26"/>
  <c r="BJ35" i="26"/>
  <c r="AH35" i="26"/>
  <c r="AO35" i="26"/>
  <c r="BD35" i="26"/>
  <c r="AQ35" i="26"/>
  <c r="AX35" i="26"/>
  <c r="CE35" i="26"/>
  <c r="BI35" i="26"/>
  <c r="AY35" i="26"/>
  <c r="AP35" i="26"/>
  <c r="AG35" i="26"/>
  <c r="W35" i="26"/>
  <c r="AF35" i="26"/>
  <c r="BF35" i="26"/>
  <c r="BG35" i="26"/>
  <c r="AE35" i="26"/>
  <c r="AW35" i="26"/>
  <c r="AU35" i="26"/>
  <c r="CA35" i="26"/>
  <c r="BE35" i="26"/>
  <c r="AV35" i="26"/>
  <c r="AM35" i="26"/>
  <c r="AD35" i="26"/>
  <c r="CI35" i="26"/>
  <c r="AL35" i="26"/>
  <c r="CH35" i="26"/>
  <c r="BY35" i="26"/>
  <c r="BC35" i="26"/>
  <c r="AT35" i="26"/>
  <c r="AK35" i="26"/>
  <c r="AA35" i="26"/>
  <c r="CG35" i="26"/>
  <c r="BX35" i="26"/>
  <c r="AS35" i="26"/>
  <c r="AI35" i="26"/>
  <c r="Y35" i="26"/>
  <c r="CF35" i="26"/>
  <c r="BA35" i="26"/>
  <c r="X35" i="26"/>
  <c r="CD35" i="26"/>
  <c r="V35" i="26"/>
  <c r="CB35" i="26"/>
  <c r="AN35" i="26"/>
  <c r="BZ35" i="26"/>
  <c r="AC35" i="26"/>
  <c r="V117" i="30"/>
  <c r="CS100" i="6"/>
  <c r="A100" i="6" s="1" a="1"/>
  <c r="A100" i="6" s="1"/>
  <c r="CF186" i="26"/>
  <c r="BX186" i="26"/>
  <c r="BC186" i="26"/>
  <c r="AU186" i="26"/>
  <c r="AM186" i="26"/>
  <c r="AE186" i="26"/>
  <c r="V186" i="26"/>
  <c r="CG186" i="26"/>
  <c r="BY186" i="26"/>
  <c r="BD186" i="26"/>
  <c r="AV186" i="26"/>
  <c r="AN186" i="26"/>
  <c r="AF186" i="26"/>
  <c r="W186" i="26"/>
  <c r="CC186" i="26"/>
  <c r="BF186" i="26"/>
  <c r="AT186" i="26"/>
  <c r="CB186" i="26"/>
  <c r="BE186" i="26"/>
  <c r="AS186" i="26"/>
  <c r="AI186" i="26"/>
  <c r="X186" i="26"/>
  <c r="CA186" i="26"/>
  <c r="BB186" i="26"/>
  <c r="AR186" i="26"/>
  <c r="AH186" i="26"/>
  <c r="BZ186" i="26"/>
  <c r="BA186" i="26"/>
  <c r="AQ186" i="26"/>
  <c r="AG186" i="26"/>
  <c r="CI186" i="26"/>
  <c r="BJ186" i="26"/>
  <c r="AZ186" i="26"/>
  <c r="AP186" i="26"/>
  <c r="AD186" i="26"/>
  <c r="CH186" i="26"/>
  <c r="BI186" i="26"/>
  <c r="AY186" i="26"/>
  <c r="AO186" i="26"/>
  <c r="AC186" i="26"/>
  <c r="CD186" i="26"/>
  <c r="BG186" i="26"/>
  <c r="AW186" i="26"/>
  <c r="AK186" i="26"/>
  <c r="AA186" i="26"/>
  <c r="AB186" i="26"/>
  <c r="Y186" i="26"/>
  <c r="CE186" i="26"/>
  <c r="BH186" i="26"/>
  <c r="AX186" i="26"/>
  <c r="AL186" i="26"/>
  <c r="AJ186" i="26"/>
  <c r="A138" i="6" a="1"/>
  <c r="A138" i="6" s="1"/>
  <c r="CX91" i="30"/>
  <c r="CB190" i="26"/>
  <c r="CB285" i="26" s="1"/>
  <c r="BG190" i="26"/>
  <c r="BG285" i="26" s="1"/>
  <c r="AY190" i="26"/>
  <c r="AY285" i="26" s="1"/>
  <c r="AQ190" i="26"/>
  <c r="AQ285" i="26" s="1"/>
  <c r="AI190" i="26"/>
  <c r="AI285" i="26" s="1"/>
  <c r="AA190" i="26"/>
  <c r="AA285" i="26" s="1"/>
  <c r="CC190" i="26"/>
  <c r="CC285" i="26" s="1"/>
  <c r="BH190" i="26"/>
  <c r="BH285" i="26" s="1"/>
  <c r="AZ190" i="26"/>
  <c r="AZ285" i="26" s="1"/>
  <c r="AR190" i="26"/>
  <c r="AR285" i="26" s="1"/>
  <c r="AJ190" i="26"/>
  <c r="AJ285" i="26" s="1"/>
  <c r="AB190" i="26"/>
  <c r="AB285" i="26" s="1"/>
  <c r="BZ190" i="26"/>
  <c r="BC190" i="26"/>
  <c r="BC285" i="26" s="1"/>
  <c r="AS190" i="26"/>
  <c r="AS285" i="26" s="1"/>
  <c r="AG190" i="26"/>
  <c r="AG285" i="26" s="1"/>
  <c r="V190" i="26"/>
  <c r="CI190" i="26"/>
  <c r="CI285" i="26" s="1"/>
  <c r="BY190" i="26"/>
  <c r="BB190" i="26"/>
  <c r="BB285" i="26" s="1"/>
  <c r="AP190" i="26"/>
  <c r="AP285" i="26" s="1"/>
  <c r="AF190" i="26"/>
  <c r="AF285" i="26" s="1"/>
  <c r="CH190" i="26"/>
  <c r="CH285" i="26" s="1"/>
  <c r="BX190" i="26"/>
  <c r="BX285" i="26" s="1"/>
  <c r="BA190" i="26"/>
  <c r="BA285" i="26" s="1"/>
  <c r="AO190" i="26"/>
  <c r="AO285" i="26" s="1"/>
  <c r="AE190" i="26"/>
  <c r="AE285" i="26" s="1"/>
  <c r="CG190" i="26"/>
  <c r="CG285" i="26" s="1"/>
  <c r="BJ190" i="26"/>
  <c r="BJ285" i="26" s="1"/>
  <c r="AX190" i="26"/>
  <c r="AX285" i="26" s="1"/>
  <c r="AN190" i="26"/>
  <c r="AN285" i="26" s="1"/>
  <c r="AD190" i="26"/>
  <c r="AD285" i="26" s="1"/>
  <c r="CF190" i="26"/>
  <c r="CF285" i="26" s="1"/>
  <c r="BI190" i="26"/>
  <c r="BI285" i="26" s="1"/>
  <c r="AW190" i="26"/>
  <c r="AW285" i="26" s="1"/>
  <c r="AM190" i="26"/>
  <c r="AM285" i="26" s="1"/>
  <c r="AC190" i="26"/>
  <c r="AC285" i="26" s="1"/>
  <c r="CE190" i="26"/>
  <c r="CE285" i="26" s="1"/>
  <c r="BF190" i="26"/>
  <c r="BF285" i="26" s="1"/>
  <c r="AV190" i="26"/>
  <c r="AV285" i="26" s="1"/>
  <c r="AL190" i="26"/>
  <c r="AL285" i="26" s="1"/>
  <c r="Y190" i="26"/>
  <c r="CD190" i="26"/>
  <c r="CD285" i="26" s="1"/>
  <c r="BE190" i="26"/>
  <c r="BE285" i="26" s="1"/>
  <c r="AU190" i="26"/>
  <c r="AU285" i="26" s="1"/>
  <c r="AK190" i="26"/>
  <c r="AK285" i="26" s="1"/>
  <c r="X190" i="26"/>
  <c r="CA190" i="26"/>
  <c r="BD190" i="26"/>
  <c r="BD285" i="26" s="1"/>
  <c r="AT190" i="26"/>
  <c r="AT285" i="26" s="1"/>
  <c r="AH190" i="26"/>
  <c r="AH285" i="26" s="1"/>
  <c r="W190" i="26"/>
  <c r="CF101" i="26"/>
  <c r="CF237" i="26" s="1"/>
  <c r="BX101" i="26"/>
  <c r="BX237" i="26" s="1"/>
  <c r="BC101" i="26"/>
  <c r="BC237" i="26" s="1"/>
  <c r="AU101" i="26"/>
  <c r="AU237" i="26" s="1"/>
  <c r="AM101" i="26"/>
  <c r="AM237" i="26" s="1"/>
  <c r="AE101" i="26"/>
  <c r="AE237" i="26" s="1"/>
  <c r="V101" i="26"/>
  <c r="CC101" i="26"/>
  <c r="CC237" i="26" s="1"/>
  <c r="BG101" i="26"/>
  <c r="BG237" i="26" s="1"/>
  <c r="AX101" i="26"/>
  <c r="AX237" i="26" s="1"/>
  <c r="AO101" i="26"/>
  <c r="AO237" i="26" s="1"/>
  <c r="AF101" i="26"/>
  <c r="AF237" i="26" s="1"/>
  <c r="CB101" i="26"/>
  <c r="CB237" i="26" s="1"/>
  <c r="BF101" i="26"/>
  <c r="BF237" i="26" s="1"/>
  <c r="AW101" i="26"/>
  <c r="AW237" i="26" s="1"/>
  <c r="AN101" i="26"/>
  <c r="AN237" i="26" s="1"/>
  <c r="AD101" i="26"/>
  <c r="AD237" i="26" s="1"/>
  <c r="CA101" i="26"/>
  <c r="BE101" i="26"/>
  <c r="BE237" i="26" s="1"/>
  <c r="AV101" i="26"/>
  <c r="AV237" i="26" s="1"/>
  <c r="AL101" i="26"/>
  <c r="AL237" i="26" s="1"/>
  <c r="AC101" i="26"/>
  <c r="AC237" i="26" s="1"/>
  <c r="CI101" i="26"/>
  <c r="CI237" i="26" s="1"/>
  <c r="BZ101" i="26"/>
  <c r="BD101" i="26"/>
  <c r="BD237" i="26" s="1"/>
  <c r="AT101" i="26"/>
  <c r="AT237" i="26" s="1"/>
  <c r="AK101" i="26"/>
  <c r="AK237" i="26" s="1"/>
  <c r="AB101" i="26"/>
  <c r="AB237" i="26" s="1"/>
  <c r="CH101" i="26"/>
  <c r="CH237" i="26" s="1"/>
  <c r="BY101" i="26"/>
  <c r="BB101" i="26"/>
  <c r="BB237" i="26" s="1"/>
  <c r="AS101" i="26"/>
  <c r="AS237" i="26" s="1"/>
  <c r="AJ101" i="26"/>
  <c r="AJ237" i="26" s="1"/>
  <c r="AA101" i="26"/>
  <c r="AA237" i="26" s="1"/>
  <c r="CG101" i="26"/>
  <c r="CG237" i="26" s="1"/>
  <c r="BJ101" i="26"/>
  <c r="BJ237" i="26" s="1"/>
  <c r="BA101" i="26"/>
  <c r="BA237" i="26" s="1"/>
  <c r="AR101" i="26"/>
  <c r="AR237" i="26" s="1"/>
  <c r="AI101" i="26"/>
  <c r="AI237" i="26" s="1"/>
  <c r="Y101" i="26"/>
  <c r="CE101" i="26"/>
  <c r="CE237" i="26" s="1"/>
  <c r="BI101" i="26"/>
  <c r="BI237" i="26" s="1"/>
  <c r="AZ101" i="26"/>
  <c r="AZ237" i="26" s="1"/>
  <c r="AQ101" i="26"/>
  <c r="AQ237" i="26" s="1"/>
  <c r="AH101" i="26"/>
  <c r="AH237" i="26" s="1"/>
  <c r="X101" i="26"/>
  <c r="CD101" i="26"/>
  <c r="CD237" i="26" s="1"/>
  <c r="BH101" i="26"/>
  <c r="BH237" i="26" s="1"/>
  <c r="AY101" i="26"/>
  <c r="AY237" i="26" s="1"/>
  <c r="AP101" i="26"/>
  <c r="AP237" i="26" s="1"/>
  <c r="AG101" i="26"/>
  <c r="AG237" i="26" s="1"/>
  <c r="W101" i="26"/>
  <c r="AB532" i="9"/>
  <c r="AB69" i="9"/>
  <c r="CI76" i="26"/>
  <c r="CI236" i="26" s="1"/>
  <c r="CA76" i="26"/>
  <c r="BF76" i="26"/>
  <c r="BF236" i="26" s="1"/>
  <c r="AX76" i="26"/>
  <c r="AX236" i="26" s="1"/>
  <c r="AP76" i="26"/>
  <c r="AP236" i="26" s="1"/>
  <c r="AH76" i="26"/>
  <c r="AH236" i="26" s="1"/>
  <c r="Y76" i="26"/>
  <c r="CE76" i="26"/>
  <c r="CE236" i="26" s="1"/>
  <c r="BI76" i="26"/>
  <c r="BI236" i="26" s="1"/>
  <c r="AZ76" i="26"/>
  <c r="AZ236" i="26" s="1"/>
  <c r="AG76" i="26"/>
  <c r="AG236" i="26" s="1"/>
  <c r="W76" i="26"/>
  <c r="CD76" i="26"/>
  <c r="CD236" i="26" s="1"/>
  <c r="BH76" i="26"/>
  <c r="BH236" i="26" s="1"/>
  <c r="AY76" i="26"/>
  <c r="AY236" i="26" s="1"/>
  <c r="AO76" i="26"/>
  <c r="AO236" i="26" s="1"/>
  <c r="AF76" i="26"/>
  <c r="AF236" i="26" s="1"/>
  <c r="V76" i="26"/>
  <c r="CC76" i="26"/>
  <c r="CC236" i="26" s="1"/>
  <c r="BG76" i="26"/>
  <c r="BG236" i="26" s="1"/>
  <c r="AW76" i="26"/>
  <c r="AW236" i="26" s="1"/>
  <c r="AN76" i="26"/>
  <c r="AN236" i="26" s="1"/>
  <c r="AE76" i="26"/>
  <c r="AE236" i="26" s="1"/>
  <c r="CB76" i="26"/>
  <c r="CB236" i="26" s="1"/>
  <c r="BE76" i="26"/>
  <c r="BE236" i="26" s="1"/>
  <c r="AV76" i="26"/>
  <c r="AV236" i="26" s="1"/>
  <c r="AM76" i="26"/>
  <c r="AM236" i="26" s="1"/>
  <c r="AD76" i="26"/>
  <c r="AD236" i="26" s="1"/>
  <c r="BZ76" i="26"/>
  <c r="BD76" i="26"/>
  <c r="BD236" i="26" s="1"/>
  <c r="AU76" i="26"/>
  <c r="AU236" i="26" s="1"/>
  <c r="AL76" i="26"/>
  <c r="AL236" i="26" s="1"/>
  <c r="AC76" i="26"/>
  <c r="AC236" i="26" s="1"/>
  <c r="CH76" i="26"/>
  <c r="CH236" i="26" s="1"/>
  <c r="BY76" i="26"/>
  <c r="BC76" i="26"/>
  <c r="BC236" i="26" s="1"/>
  <c r="AT76" i="26"/>
  <c r="AT236" i="26" s="1"/>
  <c r="AK76" i="26"/>
  <c r="AK236" i="26" s="1"/>
  <c r="AB76" i="26"/>
  <c r="AB236" i="26" s="1"/>
  <c r="CG76" i="26"/>
  <c r="CG236" i="26" s="1"/>
  <c r="BX76" i="26"/>
  <c r="BX236" i="26" s="1"/>
  <c r="BB76" i="26"/>
  <c r="BB236" i="26" s="1"/>
  <c r="AS76" i="26"/>
  <c r="AS236" i="26" s="1"/>
  <c r="AJ76" i="26"/>
  <c r="AJ236" i="26" s="1"/>
  <c r="AA76" i="26"/>
  <c r="AA236" i="26" s="1"/>
  <c r="CF76" i="26"/>
  <c r="CF236" i="26" s="1"/>
  <c r="BJ76" i="26"/>
  <c r="BJ236" i="26" s="1"/>
  <c r="BA76" i="26"/>
  <c r="BA236" i="26" s="1"/>
  <c r="AR76" i="26"/>
  <c r="AR236" i="26" s="1"/>
  <c r="AI76" i="26"/>
  <c r="AI236" i="26" s="1"/>
  <c r="X76" i="26"/>
  <c r="AQ76" i="26"/>
  <c r="AQ236" i="26" s="1"/>
  <c r="CB103" i="26"/>
  <c r="CB251" i="26" s="1"/>
  <c r="BG103" i="26"/>
  <c r="BG251" i="26" s="1"/>
  <c r="AY103" i="26"/>
  <c r="AY251" i="26" s="1"/>
  <c r="AQ103" i="26"/>
  <c r="AQ251" i="26" s="1"/>
  <c r="AI103" i="26"/>
  <c r="AI251" i="26" s="1"/>
  <c r="AA103" i="26"/>
  <c r="AA251" i="26" s="1"/>
  <c r="CG103" i="26"/>
  <c r="CG251" i="26" s="1"/>
  <c r="BX103" i="26"/>
  <c r="BX251" i="26" s="1"/>
  <c r="BB103" i="26"/>
  <c r="BB251" i="26" s="1"/>
  <c r="AS103" i="26"/>
  <c r="AS251" i="26" s="1"/>
  <c r="AJ103" i="26"/>
  <c r="AJ251" i="26" s="1"/>
  <c r="Y103" i="26"/>
  <c r="CF103" i="26"/>
  <c r="CF251" i="26" s="1"/>
  <c r="BJ103" i="26"/>
  <c r="BJ251" i="26" s="1"/>
  <c r="BA103" i="26"/>
  <c r="BA251" i="26" s="1"/>
  <c r="AR103" i="26"/>
  <c r="AR251" i="26" s="1"/>
  <c r="AH103" i="26"/>
  <c r="AH251" i="26" s="1"/>
  <c r="X103" i="26"/>
  <c r="CE103" i="26"/>
  <c r="CE251" i="26" s="1"/>
  <c r="BI103" i="26"/>
  <c r="BI251" i="26" s="1"/>
  <c r="AZ103" i="26"/>
  <c r="AZ251" i="26" s="1"/>
  <c r="AP103" i="26"/>
  <c r="AP251" i="26" s="1"/>
  <c r="AG103" i="26"/>
  <c r="AG251" i="26" s="1"/>
  <c r="W103" i="26"/>
  <c r="CD103" i="26"/>
  <c r="CD251" i="26" s="1"/>
  <c r="BH103" i="26"/>
  <c r="BH251" i="26" s="1"/>
  <c r="AX103" i="26"/>
  <c r="AX251" i="26" s="1"/>
  <c r="AO103" i="26"/>
  <c r="AO251" i="26" s="1"/>
  <c r="AF103" i="26"/>
  <c r="AF251" i="26" s="1"/>
  <c r="V103" i="26"/>
  <c r="CC103" i="26"/>
  <c r="CC251" i="26" s="1"/>
  <c r="BF103" i="26"/>
  <c r="BF251" i="26" s="1"/>
  <c r="AW103" i="26"/>
  <c r="AW251" i="26" s="1"/>
  <c r="AN103" i="26"/>
  <c r="AN251" i="26" s="1"/>
  <c r="AE103" i="26"/>
  <c r="AE251" i="26" s="1"/>
  <c r="CA103" i="26"/>
  <c r="BE103" i="26"/>
  <c r="BE251" i="26" s="1"/>
  <c r="AV103" i="26"/>
  <c r="AV251" i="26" s="1"/>
  <c r="AM103" i="26"/>
  <c r="AM251" i="26" s="1"/>
  <c r="AD103" i="26"/>
  <c r="AD251" i="26" s="1"/>
  <c r="CI103" i="26"/>
  <c r="CI251" i="26" s="1"/>
  <c r="BZ103" i="26"/>
  <c r="BD103" i="26"/>
  <c r="BD251" i="26" s="1"/>
  <c r="AU103" i="26"/>
  <c r="AU251" i="26" s="1"/>
  <c r="AL103" i="26"/>
  <c r="AL251" i="26" s="1"/>
  <c r="AC103" i="26"/>
  <c r="AC251" i="26" s="1"/>
  <c r="CH103" i="26"/>
  <c r="CH251" i="26" s="1"/>
  <c r="BY103" i="26"/>
  <c r="BC103" i="26"/>
  <c r="BC251" i="26" s="1"/>
  <c r="AT103" i="26"/>
  <c r="AT251" i="26" s="1"/>
  <c r="AK103" i="26"/>
  <c r="AK251" i="26" s="1"/>
  <c r="AB103" i="26"/>
  <c r="AB251" i="26" s="1"/>
  <c r="AB547" i="9"/>
  <c r="AB354" i="9"/>
  <c r="AH142" i="6"/>
  <c r="AH155" i="6" s="1"/>
  <c r="AG158" i="6"/>
  <c r="AG121" i="30" s="1"/>
  <c r="CI128" i="26"/>
  <c r="CI265" i="26" s="1"/>
  <c r="CA128" i="26"/>
  <c r="BF128" i="26"/>
  <c r="BF265" i="26" s="1"/>
  <c r="AX128" i="26"/>
  <c r="AX265" i="26" s="1"/>
  <c r="AP128" i="26"/>
  <c r="AP265" i="26" s="1"/>
  <c r="AH128" i="26"/>
  <c r="AH265" i="26" s="1"/>
  <c r="Y128" i="26"/>
  <c r="CB128" i="26"/>
  <c r="CB265" i="26" s="1"/>
  <c r="BE128" i="26"/>
  <c r="BE265" i="26" s="1"/>
  <c r="AV128" i="26"/>
  <c r="AV265" i="26" s="1"/>
  <c r="AM128" i="26"/>
  <c r="AM265" i="26" s="1"/>
  <c r="AD128" i="26"/>
  <c r="AD265" i="26" s="1"/>
  <c r="BZ128" i="26"/>
  <c r="BD128" i="26"/>
  <c r="BD265" i="26" s="1"/>
  <c r="AU128" i="26"/>
  <c r="AU265" i="26" s="1"/>
  <c r="AL128" i="26"/>
  <c r="AL265" i="26" s="1"/>
  <c r="AC128" i="26"/>
  <c r="AC265" i="26" s="1"/>
  <c r="CH128" i="26"/>
  <c r="CH265" i="26" s="1"/>
  <c r="BY128" i="26"/>
  <c r="BC128" i="26"/>
  <c r="BC265" i="26" s="1"/>
  <c r="AT128" i="26"/>
  <c r="AT265" i="26" s="1"/>
  <c r="AK128" i="26"/>
  <c r="AK265" i="26" s="1"/>
  <c r="AB128" i="26"/>
  <c r="AB265" i="26" s="1"/>
  <c r="CG128" i="26"/>
  <c r="CG265" i="26" s="1"/>
  <c r="BX128" i="26"/>
  <c r="BX265" i="26" s="1"/>
  <c r="BB128" i="26"/>
  <c r="BB265" i="26" s="1"/>
  <c r="AS128" i="26"/>
  <c r="AS265" i="26" s="1"/>
  <c r="AJ128" i="26"/>
  <c r="AJ265" i="26" s="1"/>
  <c r="AA128" i="26"/>
  <c r="AA265" i="26" s="1"/>
  <c r="CF128" i="26"/>
  <c r="CF265" i="26" s="1"/>
  <c r="BJ128" i="26"/>
  <c r="BJ265" i="26" s="1"/>
  <c r="BA128" i="26"/>
  <c r="BA265" i="26" s="1"/>
  <c r="AR128" i="26"/>
  <c r="AR265" i="26" s="1"/>
  <c r="AI128" i="26"/>
  <c r="AI265" i="26" s="1"/>
  <c r="X128" i="26"/>
  <c r="CE128" i="26"/>
  <c r="CE265" i="26" s="1"/>
  <c r="BI128" i="26"/>
  <c r="BI265" i="26" s="1"/>
  <c r="AZ128" i="26"/>
  <c r="AZ265" i="26" s="1"/>
  <c r="AQ128" i="26"/>
  <c r="AQ265" i="26" s="1"/>
  <c r="AG128" i="26"/>
  <c r="AG265" i="26" s="1"/>
  <c r="W128" i="26"/>
  <c r="CD128" i="26"/>
  <c r="CD265" i="26" s="1"/>
  <c r="BH128" i="26"/>
  <c r="BH265" i="26" s="1"/>
  <c r="AY128" i="26"/>
  <c r="AY265" i="26" s="1"/>
  <c r="AO128" i="26"/>
  <c r="AO265" i="26" s="1"/>
  <c r="AF128" i="26"/>
  <c r="AF265" i="26" s="1"/>
  <c r="V128" i="26"/>
  <c r="CC128" i="26"/>
  <c r="CC265" i="26" s="1"/>
  <c r="BG128" i="26"/>
  <c r="BG265" i="26" s="1"/>
  <c r="AW128" i="26"/>
  <c r="AW265" i="26" s="1"/>
  <c r="AN128" i="26"/>
  <c r="AN265" i="26" s="1"/>
  <c r="AE128" i="26"/>
  <c r="AE265" i="26" s="1"/>
  <c r="CD75" i="26"/>
  <c r="BI75" i="26"/>
  <c r="BA75" i="26"/>
  <c r="AS75" i="26"/>
  <c r="AK75" i="26"/>
  <c r="AC75" i="26"/>
  <c r="CH75" i="26"/>
  <c r="BC75" i="26"/>
  <c r="AA75" i="26"/>
  <c r="CG75" i="26"/>
  <c r="BX75" i="26"/>
  <c r="BB75" i="26"/>
  <c r="AR75" i="26"/>
  <c r="AI75" i="26"/>
  <c r="Y75" i="26"/>
  <c r="CF75" i="26"/>
  <c r="BJ75" i="26"/>
  <c r="AZ75" i="26"/>
  <c r="AQ75" i="26"/>
  <c r="AH75" i="26"/>
  <c r="X75" i="26"/>
  <c r="CE75" i="26"/>
  <c r="BH75" i="26"/>
  <c r="AY75" i="26"/>
  <c r="AP75" i="26"/>
  <c r="AG75" i="26"/>
  <c r="W75" i="26"/>
  <c r="CC75" i="26"/>
  <c r="BG75" i="26"/>
  <c r="AX75" i="26"/>
  <c r="AO75" i="26"/>
  <c r="AF75" i="26"/>
  <c r="V75" i="26"/>
  <c r="CB75" i="26"/>
  <c r="BF75" i="26"/>
  <c r="AW75" i="26"/>
  <c r="AN75" i="26"/>
  <c r="AE75" i="26"/>
  <c r="CA75" i="26"/>
  <c r="BE75" i="26"/>
  <c r="AV75" i="26"/>
  <c r="AM75" i="26"/>
  <c r="AD75" i="26"/>
  <c r="CI75" i="26"/>
  <c r="BZ75" i="26"/>
  <c r="BD75" i="26"/>
  <c r="AU75" i="26"/>
  <c r="AL75" i="26"/>
  <c r="AB75" i="26"/>
  <c r="BY75" i="26"/>
  <c r="AT75" i="26"/>
  <c r="AJ75" i="26"/>
  <c r="AB610" i="9"/>
  <c r="AB892" i="9" s="1"/>
  <c r="AC237" i="9"/>
  <c r="CG126" i="26"/>
  <c r="BY126" i="26"/>
  <c r="BD126" i="26"/>
  <c r="AV126" i="26"/>
  <c r="AN126" i="26"/>
  <c r="AF126" i="26"/>
  <c r="W126" i="26"/>
  <c r="CH126" i="26"/>
  <c r="BX126" i="26"/>
  <c r="BB126" i="26"/>
  <c r="AS126" i="26"/>
  <c r="AJ126" i="26"/>
  <c r="AA126" i="26"/>
  <c r="CF126" i="26"/>
  <c r="BJ126" i="26"/>
  <c r="BA126" i="26"/>
  <c r="AR126" i="26"/>
  <c r="AI126" i="26"/>
  <c r="Y126" i="26"/>
  <c r="CE126" i="26"/>
  <c r="BI126" i="26"/>
  <c r="AZ126" i="26"/>
  <c r="AQ126" i="26"/>
  <c r="AH126" i="26"/>
  <c r="X126" i="26"/>
  <c r="CD126" i="26"/>
  <c r="BH126" i="26"/>
  <c r="AY126" i="26"/>
  <c r="AP126" i="26"/>
  <c r="AG126" i="26"/>
  <c r="V126" i="26"/>
  <c r="CC126" i="26"/>
  <c r="BG126" i="26"/>
  <c r="AX126" i="26"/>
  <c r="AO126" i="26"/>
  <c r="AE126" i="26"/>
  <c r="CB126" i="26"/>
  <c r="BF126" i="26"/>
  <c r="AW126" i="26"/>
  <c r="AM126" i="26"/>
  <c r="AD126" i="26"/>
  <c r="CA126" i="26"/>
  <c r="BE126" i="26"/>
  <c r="AU126" i="26"/>
  <c r="AL126" i="26"/>
  <c r="AC126" i="26"/>
  <c r="CI126" i="26"/>
  <c r="BZ126" i="26"/>
  <c r="BC126" i="26"/>
  <c r="AT126" i="26"/>
  <c r="AK126" i="26"/>
  <c r="AB126" i="26"/>
  <c r="EZ321" i="26"/>
  <c r="CS251" i="6"/>
  <c r="A251" i="6" s="1" a="1"/>
  <c r="A251" i="6" s="1"/>
  <c r="P34" i="50"/>
  <c r="G92" i="50" s="1"/>
  <c r="AB441" i="9"/>
  <c r="AB80" i="9"/>
  <c r="AB604" i="9"/>
  <c r="AB886" i="9" s="1"/>
  <c r="AC123" i="9"/>
  <c r="EZ325" i="26"/>
  <c r="AG127" i="30"/>
  <c r="AH206" i="6"/>
  <c r="AH217" i="6" s="1"/>
  <c r="AB1018" i="9"/>
  <c r="AB405" i="9"/>
  <c r="AB527" i="9"/>
  <c r="AC399" i="9"/>
  <c r="AF130" i="30"/>
  <c r="AG239" i="6"/>
  <c r="AG242" i="6" s="1"/>
  <c r="CH36" i="26"/>
  <c r="BZ36" i="26"/>
  <c r="BE36" i="26"/>
  <c r="AW36" i="26"/>
  <c r="AO36" i="26"/>
  <c r="AG36" i="26"/>
  <c r="X36" i="26"/>
  <c r="CD36" i="26"/>
  <c r="AP36" i="26"/>
  <c r="BG36" i="26"/>
  <c r="AE36" i="26"/>
  <c r="CA36" i="26"/>
  <c r="BY36" i="26"/>
  <c r="AU36" i="26"/>
  <c r="CB36" i="26"/>
  <c r="BF36" i="26"/>
  <c r="AV36" i="26"/>
  <c r="AM36" i="26"/>
  <c r="AD36" i="26"/>
  <c r="BD36" i="26"/>
  <c r="BC36" i="26"/>
  <c r="BC186" i="30" s="1"/>
  <c r="CF36" i="26"/>
  <c r="AI36" i="26"/>
  <c r="AK36" i="26"/>
  <c r="CI36" i="26"/>
  <c r="AB36" i="26"/>
  <c r="BJ36" i="26"/>
  <c r="CG36" i="26"/>
  <c r="BX36" i="26"/>
  <c r="BB36" i="26"/>
  <c r="AS36" i="26"/>
  <c r="AJ36" i="26"/>
  <c r="AA36" i="26"/>
  <c r="AR36" i="26"/>
  <c r="AR186" i="30" s="1"/>
  <c r="CE36" i="26"/>
  <c r="BI36" i="26"/>
  <c r="AZ36" i="26"/>
  <c r="AQ36" i="26"/>
  <c r="AH36" i="26"/>
  <c r="W36" i="26"/>
  <c r="BH36" i="26"/>
  <c r="AY36" i="26"/>
  <c r="AF36" i="26"/>
  <c r="AF186" i="30" s="1"/>
  <c r="V36" i="26"/>
  <c r="CC36" i="26"/>
  <c r="AX36" i="26"/>
  <c r="AN36" i="26"/>
  <c r="AL36" i="26"/>
  <c r="AC36" i="26"/>
  <c r="AT36" i="26"/>
  <c r="BA36" i="26"/>
  <c r="Y36" i="26"/>
  <c r="AB614" i="9"/>
  <c r="AB896" i="9" s="1"/>
  <c r="AC313" i="9"/>
  <c r="CP201" i="30"/>
  <c r="AB442" i="9"/>
  <c r="AB99" i="9"/>
  <c r="AB1012" i="9"/>
  <c r="AB521" i="9"/>
  <c r="AB291" i="9"/>
  <c r="AC285" i="9"/>
  <c r="CF129" i="26"/>
  <c r="CF252" i="26" s="1"/>
  <c r="BX129" i="26"/>
  <c r="BX252" i="26" s="1"/>
  <c r="BC129" i="26"/>
  <c r="BC252" i="26" s="1"/>
  <c r="AU129" i="26"/>
  <c r="AU252" i="26" s="1"/>
  <c r="AM129" i="26"/>
  <c r="AM252" i="26" s="1"/>
  <c r="AE129" i="26"/>
  <c r="AE252" i="26" s="1"/>
  <c r="V129" i="26"/>
  <c r="CH129" i="26"/>
  <c r="CH252" i="26" s="1"/>
  <c r="BY129" i="26"/>
  <c r="BB129" i="26"/>
  <c r="BB252" i="26" s="1"/>
  <c r="AS129" i="26"/>
  <c r="AS252" i="26" s="1"/>
  <c r="AJ129" i="26"/>
  <c r="AJ252" i="26" s="1"/>
  <c r="AA129" i="26"/>
  <c r="AA252" i="26" s="1"/>
  <c r="CG129" i="26"/>
  <c r="CG252" i="26" s="1"/>
  <c r="BJ129" i="26"/>
  <c r="BJ252" i="26" s="1"/>
  <c r="BA129" i="26"/>
  <c r="BA252" i="26" s="1"/>
  <c r="AR129" i="26"/>
  <c r="AR252" i="26" s="1"/>
  <c r="AI129" i="26"/>
  <c r="AI252" i="26" s="1"/>
  <c r="Y129" i="26"/>
  <c r="CE129" i="26"/>
  <c r="CE252" i="26" s="1"/>
  <c r="BI129" i="26"/>
  <c r="BI252" i="26" s="1"/>
  <c r="AZ129" i="26"/>
  <c r="AZ252" i="26" s="1"/>
  <c r="AQ129" i="26"/>
  <c r="AQ252" i="26" s="1"/>
  <c r="AH129" i="26"/>
  <c r="AH252" i="26" s="1"/>
  <c r="X129" i="26"/>
  <c r="CD129" i="26"/>
  <c r="CD252" i="26" s="1"/>
  <c r="BH129" i="26"/>
  <c r="BH252" i="26" s="1"/>
  <c r="AY129" i="26"/>
  <c r="AY252" i="26" s="1"/>
  <c r="AP129" i="26"/>
  <c r="AP252" i="26" s="1"/>
  <c r="AG129" i="26"/>
  <c r="AG252" i="26" s="1"/>
  <c r="W129" i="26"/>
  <c r="CC129" i="26"/>
  <c r="CC252" i="26" s="1"/>
  <c r="BG129" i="26"/>
  <c r="BG252" i="26" s="1"/>
  <c r="AX129" i="26"/>
  <c r="AX252" i="26" s="1"/>
  <c r="AO129" i="26"/>
  <c r="AO252" i="26" s="1"/>
  <c r="AF129" i="26"/>
  <c r="AF252" i="26" s="1"/>
  <c r="CB129" i="26"/>
  <c r="CB252" i="26" s="1"/>
  <c r="BF129" i="26"/>
  <c r="BF252" i="26" s="1"/>
  <c r="AW129" i="26"/>
  <c r="AW252" i="26" s="1"/>
  <c r="AN129" i="26"/>
  <c r="AN252" i="26" s="1"/>
  <c r="AD129" i="26"/>
  <c r="AD252" i="26" s="1"/>
  <c r="CA129" i="26"/>
  <c r="BE129" i="26"/>
  <c r="BE252" i="26" s="1"/>
  <c r="AV129" i="26"/>
  <c r="AV252" i="26" s="1"/>
  <c r="AL129" i="26"/>
  <c r="AL252" i="26" s="1"/>
  <c r="AC129" i="26"/>
  <c r="AC252" i="26" s="1"/>
  <c r="CI129" i="26"/>
  <c r="CI252" i="26" s="1"/>
  <c r="BZ129" i="26"/>
  <c r="BD129" i="26"/>
  <c r="BD252" i="26" s="1"/>
  <c r="AT129" i="26"/>
  <c r="AT252" i="26" s="1"/>
  <c r="AK129" i="26"/>
  <c r="AK252" i="26" s="1"/>
  <c r="AB129" i="26"/>
  <c r="AB252" i="26" s="1"/>
  <c r="CV91" i="30"/>
  <c r="CD154" i="26"/>
  <c r="BI154" i="26"/>
  <c r="BA154" i="26"/>
  <c r="AS154" i="26"/>
  <c r="AK154" i="26"/>
  <c r="AC154" i="26"/>
  <c r="CA154" i="26"/>
  <c r="BE154" i="26"/>
  <c r="AV154" i="26"/>
  <c r="AM154" i="26"/>
  <c r="AD154" i="26"/>
  <c r="CI154" i="26"/>
  <c r="BZ154" i="26"/>
  <c r="BD154" i="26"/>
  <c r="AU154" i="26"/>
  <c r="AL154" i="26"/>
  <c r="AB154" i="26"/>
  <c r="CH154" i="26"/>
  <c r="BY154" i="26"/>
  <c r="BC154" i="26"/>
  <c r="AT154" i="26"/>
  <c r="AJ154" i="26"/>
  <c r="AA154" i="26"/>
  <c r="CE154" i="26"/>
  <c r="BH154" i="26"/>
  <c r="AY154" i="26"/>
  <c r="AP154" i="26"/>
  <c r="AG154" i="26"/>
  <c r="W154" i="26"/>
  <c r="CB154" i="26"/>
  <c r="AW154" i="26"/>
  <c r="AE154" i="26"/>
  <c r="BX154" i="26"/>
  <c r="AR154" i="26"/>
  <c r="Y154" i="26"/>
  <c r="BJ154" i="26"/>
  <c r="AQ154" i="26"/>
  <c r="X154" i="26"/>
  <c r="BG154" i="26"/>
  <c r="AO154" i="26"/>
  <c r="V154" i="26"/>
  <c r="BF154" i="26"/>
  <c r="AN154" i="26"/>
  <c r="CG154" i="26"/>
  <c r="BB154" i="26"/>
  <c r="AI154" i="26"/>
  <c r="CF154" i="26"/>
  <c r="AZ154" i="26"/>
  <c r="AH154" i="26"/>
  <c r="CC154" i="26"/>
  <c r="AX154" i="26"/>
  <c r="AF154" i="26"/>
  <c r="CB42" i="26"/>
  <c r="BG42" i="26"/>
  <c r="AY42" i="26"/>
  <c r="AQ42" i="26"/>
  <c r="AI42" i="26"/>
  <c r="AA42" i="26"/>
  <c r="AR42" i="26"/>
  <c r="BI42" i="26"/>
  <c r="AG42" i="26"/>
  <c r="BE42" i="26"/>
  <c r="BF42" i="26"/>
  <c r="CD42" i="26"/>
  <c r="BH42" i="26"/>
  <c r="AX42" i="26"/>
  <c r="AO42" i="26"/>
  <c r="AF42" i="26"/>
  <c r="V42" i="26"/>
  <c r="CC42" i="26"/>
  <c r="AD42" i="26"/>
  <c r="AB42" i="26"/>
  <c r="AN42" i="26"/>
  <c r="BC42" i="26"/>
  <c r="AM42" i="26"/>
  <c r="CI42" i="26"/>
  <c r="BD42" i="26"/>
  <c r="AU42" i="26"/>
  <c r="AL42" i="26"/>
  <c r="AC42" i="26"/>
  <c r="CH42" i="26"/>
  <c r="AK42" i="26"/>
  <c r="CG42" i="26"/>
  <c r="BX42" i="26"/>
  <c r="BB42" i="26"/>
  <c r="AS42" i="26"/>
  <c r="AJ42" i="26"/>
  <c r="CF42" i="26"/>
  <c r="BJ42" i="26"/>
  <c r="BA42" i="26"/>
  <c r="AH42" i="26"/>
  <c r="CE42" i="26"/>
  <c r="AZ42" i="26"/>
  <c r="AP42" i="26"/>
  <c r="AW42" i="26"/>
  <c r="AE42" i="26"/>
  <c r="AV42" i="26"/>
  <c r="AT42" i="26"/>
  <c r="AB617" i="9"/>
  <c r="AB899" i="9" s="1"/>
  <c r="AC370" i="9"/>
  <c r="CF349" i="26"/>
  <c r="CF228" i="26" s="1"/>
  <c r="BX349" i="26"/>
  <c r="BX228" i="26" s="1"/>
  <c r="BC349" i="26"/>
  <c r="BC228" i="26" s="1"/>
  <c r="AU349" i="26"/>
  <c r="AU228" i="26" s="1"/>
  <c r="AM349" i="26"/>
  <c r="AM228" i="26" s="1"/>
  <c r="AE349" i="26"/>
  <c r="AE228" i="26" s="1"/>
  <c r="V349" i="26"/>
  <c r="V228" i="26" s="1"/>
  <c r="CE349" i="26"/>
  <c r="CE228" i="26" s="1"/>
  <c r="BJ349" i="26"/>
  <c r="BJ228" i="26" s="1"/>
  <c r="BB349" i="26"/>
  <c r="BB228" i="26" s="1"/>
  <c r="AT349" i="26"/>
  <c r="AT228" i="26" s="1"/>
  <c r="AL349" i="26"/>
  <c r="AL228" i="26" s="1"/>
  <c r="AD349" i="26"/>
  <c r="AD228" i="26" s="1"/>
  <c r="CD349" i="26"/>
  <c r="CD228" i="26" s="1"/>
  <c r="BI349" i="26"/>
  <c r="BI228" i="26" s="1"/>
  <c r="BA349" i="26"/>
  <c r="BA228" i="26" s="1"/>
  <c r="AS349" i="26"/>
  <c r="AS228" i="26" s="1"/>
  <c r="AK349" i="26"/>
  <c r="AK228" i="26" s="1"/>
  <c r="AC349" i="26"/>
  <c r="AC228" i="26" s="1"/>
  <c r="CC349" i="26"/>
  <c r="CC228" i="26" s="1"/>
  <c r="BH349" i="26"/>
  <c r="BH228" i="26" s="1"/>
  <c r="AZ349" i="26"/>
  <c r="AZ228" i="26" s="1"/>
  <c r="AR349" i="26"/>
  <c r="AR228" i="26" s="1"/>
  <c r="AJ349" i="26"/>
  <c r="AJ228" i="26" s="1"/>
  <c r="AB349" i="26"/>
  <c r="AB228" i="26" s="1"/>
  <c r="CB349" i="26"/>
  <c r="CB228" i="26" s="1"/>
  <c r="BG349" i="26"/>
  <c r="BG228" i="26" s="1"/>
  <c r="AY349" i="26"/>
  <c r="AY228" i="26" s="1"/>
  <c r="AQ349" i="26"/>
  <c r="AQ228" i="26" s="1"/>
  <c r="AI349" i="26"/>
  <c r="AI228" i="26" s="1"/>
  <c r="AA349" i="26"/>
  <c r="AA228" i="26" s="1"/>
  <c r="CI349" i="26"/>
  <c r="CI228" i="26" s="1"/>
  <c r="CA349" i="26"/>
  <c r="CA228" i="26" s="1"/>
  <c r="BF349" i="26"/>
  <c r="BF228" i="26" s="1"/>
  <c r="AX349" i="26"/>
  <c r="AX228" i="26" s="1"/>
  <c r="AP349" i="26"/>
  <c r="AP228" i="26" s="1"/>
  <c r="AH349" i="26"/>
  <c r="AH228" i="26" s="1"/>
  <c r="Y349" i="26"/>
  <c r="Y228" i="26" s="1"/>
  <c r="CH349" i="26"/>
  <c r="CH228" i="26" s="1"/>
  <c r="BZ349" i="26"/>
  <c r="BZ228" i="26" s="1"/>
  <c r="BE349" i="26"/>
  <c r="BE228" i="26" s="1"/>
  <c r="AW349" i="26"/>
  <c r="AW228" i="26" s="1"/>
  <c r="AO349" i="26"/>
  <c r="AO228" i="26" s="1"/>
  <c r="AG349" i="26"/>
  <c r="AG228" i="26" s="1"/>
  <c r="X349" i="26"/>
  <c r="X228" i="26" s="1"/>
  <c r="CG349" i="26"/>
  <c r="CG228" i="26" s="1"/>
  <c r="BY349" i="26"/>
  <c r="BY228" i="26" s="1"/>
  <c r="BD349" i="26"/>
  <c r="BD228" i="26" s="1"/>
  <c r="AV349" i="26"/>
  <c r="AV228" i="26" s="1"/>
  <c r="AN349" i="26"/>
  <c r="AN228" i="26" s="1"/>
  <c r="AF349" i="26"/>
  <c r="AF228" i="26" s="1"/>
  <c r="W349" i="26"/>
  <c r="W228" i="26" s="1"/>
  <c r="CA135" i="30"/>
  <c r="CB251" i="6"/>
  <c r="CB253" i="6" s="1"/>
  <c r="AB1008" i="9"/>
  <c r="AB517" i="9"/>
  <c r="AC209" i="9"/>
  <c r="AB215" i="9"/>
  <c r="R34" i="50"/>
  <c r="G94" i="50" s="1"/>
  <c r="AA179" i="6"/>
  <c r="AA101" i="30" s="1"/>
  <c r="AA190" i="30" s="1"/>
  <c r="AB293" i="26"/>
  <c r="AB298" i="26" s="1"/>
  <c r="AB534" i="9"/>
  <c r="AB107" i="9"/>
  <c r="CB353" i="26"/>
  <c r="CB287" i="26" s="1"/>
  <c r="BG353" i="26"/>
  <c r="BG287" i="26" s="1"/>
  <c r="AY353" i="26"/>
  <c r="AY287" i="26" s="1"/>
  <c r="AQ353" i="26"/>
  <c r="AQ287" i="26" s="1"/>
  <c r="AI353" i="26"/>
  <c r="AI287" i="26" s="1"/>
  <c r="AA353" i="26"/>
  <c r="AA287" i="26" s="1"/>
  <c r="CI353" i="26"/>
  <c r="CI287" i="26" s="1"/>
  <c r="CA353" i="26"/>
  <c r="CA287" i="26" s="1"/>
  <c r="BF353" i="26"/>
  <c r="BF287" i="26" s="1"/>
  <c r="AX353" i="26"/>
  <c r="AX287" i="26" s="1"/>
  <c r="AP353" i="26"/>
  <c r="AP287" i="26" s="1"/>
  <c r="AH353" i="26"/>
  <c r="AH287" i="26" s="1"/>
  <c r="Y353" i="26"/>
  <c r="Y287" i="26" s="1"/>
  <c r="CH353" i="26"/>
  <c r="CH287" i="26" s="1"/>
  <c r="BZ353" i="26"/>
  <c r="BZ287" i="26" s="1"/>
  <c r="BE353" i="26"/>
  <c r="BE287" i="26" s="1"/>
  <c r="AW353" i="26"/>
  <c r="AW287" i="26" s="1"/>
  <c r="AO353" i="26"/>
  <c r="AO287" i="26" s="1"/>
  <c r="AG353" i="26"/>
  <c r="AG287" i="26" s="1"/>
  <c r="X353" i="26"/>
  <c r="X287" i="26" s="1"/>
  <c r="CG353" i="26"/>
  <c r="CG287" i="26" s="1"/>
  <c r="BY353" i="26"/>
  <c r="BY287" i="26" s="1"/>
  <c r="BD353" i="26"/>
  <c r="BD287" i="26" s="1"/>
  <c r="AV353" i="26"/>
  <c r="AV287" i="26" s="1"/>
  <c r="AN353" i="26"/>
  <c r="AN287" i="26" s="1"/>
  <c r="AF353" i="26"/>
  <c r="AF287" i="26" s="1"/>
  <c r="W353" i="26"/>
  <c r="W287" i="26" s="1"/>
  <c r="CF353" i="26"/>
  <c r="CF287" i="26" s="1"/>
  <c r="BX353" i="26"/>
  <c r="BX287" i="26" s="1"/>
  <c r="BC353" i="26"/>
  <c r="BC287" i="26" s="1"/>
  <c r="AU353" i="26"/>
  <c r="AU287" i="26" s="1"/>
  <c r="AM353" i="26"/>
  <c r="AM287" i="26" s="1"/>
  <c r="AE353" i="26"/>
  <c r="AE287" i="26" s="1"/>
  <c r="V353" i="26"/>
  <c r="V287" i="26" s="1"/>
  <c r="CE353" i="26"/>
  <c r="CE287" i="26" s="1"/>
  <c r="BJ353" i="26"/>
  <c r="BJ287" i="26" s="1"/>
  <c r="BB353" i="26"/>
  <c r="BB287" i="26" s="1"/>
  <c r="AT353" i="26"/>
  <c r="AT287" i="26" s="1"/>
  <c r="AL353" i="26"/>
  <c r="AL287" i="26" s="1"/>
  <c r="AD353" i="26"/>
  <c r="AD287" i="26" s="1"/>
  <c r="CD353" i="26"/>
  <c r="CD287" i="26" s="1"/>
  <c r="BI353" i="26"/>
  <c r="BI287" i="26" s="1"/>
  <c r="BA353" i="26"/>
  <c r="BA287" i="26" s="1"/>
  <c r="AS353" i="26"/>
  <c r="AS287" i="26" s="1"/>
  <c r="AK353" i="26"/>
  <c r="AK287" i="26" s="1"/>
  <c r="AC353" i="26"/>
  <c r="AC287" i="26" s="1"/>
  <c r="CC353" i="26"/>
  <c r="CC287" i="26" s="1"/>
  <c r="BH353" i="26"/>
  <c r="BH287" i="26" s="1"/>
  <c r="AZ353" i="26"/>
  <c r="AZ287" i="26" s="1"/>
  <c r="AR353" i="26"/>
  <c r="AR287" i="26" s="1"/>
  <c r="AJ353" i="26"/>
  <c r="AJ287" i="26" s="1"/>
  <c r="AB353" i="26"/>
  <c r="AB287" i="26" s="1"/>
  <c r="CC187" i="26"/>
  <c r="CC239" i="26" s="1"/>
  <c r="BH187" i="26"/>
  <c r="BH239" i="26" s="1"/>
  <c r="AZ187" i="26"/>
  <c r="AZ239" i="26" s="1"/>
  <c r="AR187" i="26"/>
  <c r="AR239" i="26" s="1"/>
  <c r="AJ187" i="26"/>
  <c r="AJ239" i="26" s="1"/>
  <c r="AB187" i="26"/>
  <c r="AB239" i="26" s="1"/>
  <c r="CD187" i="26"/>
  <c r="CD239" i="26" s="1"/>
  <c r="BI187" i="26"/>
  <c r="BI239" i="26" s="1"/>
  <c r="BA187" i="26"/>
  <c r="BA239" i="26" s="1"/>
  <c r="AS187" i="26"/>
  <c r="AS239" i="26" s="1"/>
  <c r="AK187" i="26"/>
  <c r="AK239" i="26" s="1"/>
  <c r="AC187" i="26"/>
  <c r="AC239" i="26" s="1"/>
  <c r="BZ187" i="26"/>
  <c r="BC187" i="26"/>
  <c r="BC239" i="26" s="1"/>
  <c r="AQ187" i="26"/>
  <c r="AQ239" i="26" s="1"/>
  <c r="AG187" i="26"/>
  <c r="AG239" i="26" s="1"/>
  <c r="V187" i="26"/>
  <c r="CI187" i="26"/>
  <c r="CI239" i="26" s="1"/>
  <c r="BY187" i="26"/>
  <c r="BB187" i="26"/>
  <c r="BB239" i="26" s="1"/>
  <c r="AP187" i="26"/>
  <c r="AP239" i="26" s="1"/>
  <c r="AF187" i="26"/>
  <c r="AF239" i="26" s="1"/>
  <c r="CH187" i="26"/>
  <c r="CH239" i="26" s="1"/>
  <c r="BX187" i="26"/>
  <c r="BX239" i="26" s="1"/>
  <c r="AY187" i="26"/>
  <c r="AY239" i="26" s="1"/>
  <c r="AO187" i="26"/>
  <c r="AO239" i="26" s="1"/>
  <c r="AE187" i="26"/>
  <c r="AE239" i="26" s="1"/>
  <c r="CG187" i="26"/>
  <c r="CG239" i="26" s="1"/>
  <c r="BJ187" i="26"/>
  <c r="BJ239" i="26" s="1"/>
  <c r="AX187" i="26"/>
  <c r="AX239" i="26" s="1"/>
  <c r="AN187" i="26"/>
  <c r="AN239" i="26" s="1"/>
  <c r="AD187" i="26"/>
  <c r="AD239" i="26" s="1"/>
  <c r="CF187" i="26"/>
  <c r="CF239" i="26" s="1"/>
  <c r="BG187" i="26"/>
  <c r="BG239" i="26" s="1"/>
  <c r="AW187" i="26"/>
  <c r="AW239" i="26" s="1"/>
  <c r="AM187" i="26"/>
  <c r="AM239" i="26" s="1"/>
  <c r="AA187" i="26"/>
  <c r="AA239" i="26" s="1"/>
  <c r="CE187" i="26"/>
  <c r="CE239" i="26" s="1"/>
  <c r="BF187" i="26"/>
  <c r="BF239" i="26" s="1"/>
  <c r="AV187" i="26"/>
  <c r="AV239" i="26" s="1"/>
  <c r="AL187" i="26"/>
  <c r="AL239" i="26" s="1"/>
  <c r="Y187" i="26"/>
  <c r="CA187" i="26"/>
  <c r="BD187" i="26"/>
  <c r="BD239" i="26" s="1"/>
  <c r="AT187" i="26"/>
  <c r="AT239" i="26" s="1"/>
  <c r="AH187" i="26"/>
  <c r="AH239" i="26" s="1"/>
  <c r="W187" i="26"/>
  <c r="CB187" i="26"/>
  <c r="CB239" i="26" s="1"/>
  <c r="BE187" i="26"/>
  <c r="BE239" i="26" s="1"/>
  <c r="AU187" i="26"/>
  <c r="AU239" i="26" s="1"/>
  <c r="AI187" i="26"/>
  <c r="AI239" i="26" s="1"/>
  <c r="X187" i="26"/>
  <c r="AB542" i="9"/>
  <c r="AB259" i="9"/>
  <c r="AB533" i="9"/>
  <c r="AB88" i="9"/>
  <c r="AE135" i="30"/>
  <c r="AF251" i="6"/>
  <c r="AF253" i="6" s="1"/>
  <c r="CH188" i="26"/>
  <c r="CH266" i="26" s="1"/>
  <c r="BZ188" i="26"/>
  <c r="BE188" i="26"/>
  <c r="BE266" i="26" s="1"/>
  <c r="AW188" i="26"/>
  <c r="AW266" i="26" s="1"/>
  <c r="AO188" i="26"/>
  <c r="AO266" i="26" s="1"/>
  <c r="AG188" i="26"/>
  <c r="AG266" i="26" s="1"/>
  <c r="X188" i="26"/>
  <c r="CI188" i="26"/>
  <c r="CI266" i="26" s="1"/>
  <c r="CA188" i="26"/>
  <c r="BF188" i="26"/>
  <c r="BF266" i="26" s="1"/>
  <c r="AX188" i="26"/>
  <c r="AX266" i="26" s="1"/>
  <c r="AP188" i="26"/>
  <c r="AP266" i="26" s="1"/>
  <c r="AH188" i="26"/>
  <c r="AH266" i="26" s="1"/>
  <c r="Y188" i="26"/>
  <c r="CG188" i="26"/>
  <c r="CG266" i="26" s="1"/>
  <c r="BJ188" i="26"/>
  <c r="BJ266" i="26" s="1"/>
  <c r="AZ188" i="26"/>
  <c r="AZ266" i="26" s="1"/>
  <c r="AN188" i="26"/>
  <c r="AN266" i="26" s="1"/>
  <c r="AD188" i="26"/>
  <c r="AD266" i="26" s="1"/>
  <c r="CF188" i="26"/>
  <c r="CF266" i="26" s="1"/>
  <c r="BI188" i="26"/>
  <c r="BI266" i="26" s="1"/>
  <c r="AY188" i="26"/>
  <c r="AY266" i="26" s="1"/>
  <c r="AM188" i="26"/>
  <c r="AM266" i="26" s="1"/>
  <c r="AC188" i="26"/>
  <c r="AC266" i="26" s="1"/>
  <c r="CE188" i="26"/>
  <c r="CE266" i="26" s="1"/>
  <c r="BH188" i="26"/>
  <c r="BH266" i="26" s="1"/>
  <c r="AV188" i="26"/>
  <c r="AV266" i="26" s="1"/>
  <c r="AL188" i="26"/>
  <c r="AL266" i="26" s="1"/>
  <c r="AB188" i="26"/>
  <c r="AB266" i="26" s="1"/>
  <c r="CD188" i="26"/>
  <c r="CD266" i="26" s="1"/>
  <c r="BG188" i="26"/>
  <c r="BG266" i="26" s="1"/>
  <c r="AU188" i="26"/>
  <c r="AU266" i="26" s="1"/>
  <c r="AK188" i="26"/>
  <c r="AK266" i="26" s="1"/>
  <c r="AA188" i="26"/>
  <c r="AA266" i="26" s="1"/>
  <c r="CC188" i="26"/>
  <c r="CC266" i="26" s="1"/>
  <c r="BD188" i="26"/>
  <c r="BD266" i="26" s="1"/>
  <c r="AT188" i="26"/>
  <c r="AT266" i="26" s="1"/>
  <c r="AJ188" i="26"/>
  <c r="AJ266" i="26" s="1"/>
  <c r="W188" i="26"/>
  <c r="CB188" i="26"/>
  <c r="CB266" i="26" s="1"/>
  <c r="BC188" i="26"/>
  <c r="BC266" i="26" s="1"/>
  <c r="AS188" i="26"/>
  <c r="AS266" i="26" s="1"/>
  <c r="AI188" i="26"/>
  <c r="AI266" i="26" s="1"/>
  <c r="V188" i="26"/>
  <c r="BY188" i="26"/>
  <c r="BB188" i="26"/>
  <c r="BB266" i="26" s="1"/>
  <c r="AR188" i="26"/>
  <c r="AR266" i="26" s="1"/>
  <c r="AF188" i="26"/>
  <c r="AF266" i="26" s="1"/>
  <c r="BX188" i="26"/>
  <c r="BX266" i="26" s="1"/>
  <c r="BA188" i="26"/>
  <c r="BA266" i="26" s="1"/>
  <c r="AQ188" i="26"/>
  <c r="AQ266" i="26" s="1"/>
  <c r="AE188" i="26"/>
  <c r="AE266" i="26" s="1"/>
  <c r="CF77" i="26"/>
  <c r="CF250" i="26" s="1"/>
  <c r="BX77" i="26"/>
  <c r="BX250" i="26" s="1"/>
  <c r="BC77" i="26"/>
  <c r="BC250" i="26" s="1"/>
  <c r="AU77" i="26"/>
  <c r="AU250" i="26" s="1"/>
  <c r="AM77" i="26"/>
  <c r="AM250" i="26" s="1"/>
  <c r="AE77" i="26"/>
  <c r="AE250" i="26" s="1"/>
  <c r="V77" i="26"/>
  <c r="CB77" i="26"/>
  <c r="CB250" i="26" s="1"/>
  <c r="BF77" i="26"/>
  <c r="BF250" i="26" s="1"/>
  <c r="AW77" i="26"/>
  <c r="AW250" i="26" s="1"/>
  <c r="AN77" i="26"/>
  <c r="AN250" i="26" s="1"/>
  <c r="AD77" i="26"/>
  <c r="AD250" i="26" s="1"/>
  <c r="CA77" i="26"/>
  <c r="BE77" i="26"/>
  <c r="BE250" i="26" s="1"/>
  <c r="AV77" i="26"/>
  <c r="AV250" i="26" s="1"/>
  <c r="AL77" i="26"/>
  <c r="AL250" i="26" s="1"/>
  <c r="AC77" i="26"/>
  <c r="AC250" i="26" s="1"/>
  <c r="CI77" i="26"/>
  <c r="CI250" i="26" s="1"/>
  <c r="BZ77" i="26"/>
  <c r="BD77" i="26"/>
  <c r="BD250" i="26" s="1"/>
  <c r="AT77" i="26"/>
  <c r="AT250" i="26" s="1"/>
  <c r="AK77" i="26"/>
  <c r="AK250" i="26" s="1"/>
  <c r="AB77" i="26"/>
  <c r="AB250" i="26" s="1"/>
  <c r="CH77" i="26"/>
  <c r="CH250" i="26" s="1"/>
  <c r="BY77" i="26"/>
  <c r="BB77" i="26"/>
  <c r="BB250" i="26" s="1"/>
  <c r="AS77" i="26"/>
  <c r="AS250" i="26" s="1"/>
  <c r="AJ77" i="26"/>
  <c r="AJ250" i="26" s="1"/>
  <c r="AA77" i="26"/>
  <c r="AA250" i="26" s="1"/>
  <c r="CG77" i="26"/>
  <c r="CG250" i="26" s="1"/>
  <c r="BJ77" i="26"/>
  <c r="BJ250" i="26" s="1"/>
  <c r="BA77" i="26"/>
  <c r="BA250" i="26" s="1"/>
  <c r="AR77" i="26"/>
  <c r="AR250" i="26" s="1"/>
  <c r="AI77" i="26"/>
  <c r="AI250" i="26" s="1"/>
  <c r="Y77" i="26"/>
  <c r="CE77" i="26"/>
  <c r="CE250" i="26" s="1"/>
  <c r="BI77" i="26"/>
  <c r="BI250" i="26" s="1"/>
  <c r="AZ77" i="26"/>
  <c r="AZ250" i="26" s="1"/>
  <c r="AQ77" i="26"/>
  <c r="AQ250" i="26" s="1"/>
  <c r="AH77" i="26"/>
  <c r="AH250" i="26" s="1"/>
  <c r="X77" i="26"/>
  <c r="CD77" i="26"/>
  <c r="CD250" i="26" s="1"/>
  <c r="BH77" i="26"/>
  <c r="BH250" i="26" s="1"/>
  <c r="AY77" i="26"/>
  <c r="AY250" i="26" s="1"/>
  <c r="AP77" i="26"/>
  <c r="AP250" i="26" s="1"/>
  <c r="AG77" i="26"/>
  <c r="AG250" i="26" s="1"/>
  <c r="W77" i="26"/>
  <c r="CC77" i="26"/>
  <c r="CC250" i="26" s="1"/>
  <c r="BG77" i="26"/>
  <c r="BG250" i="26" s="1"/>
  <c r="AX77" i="26"/>
  <c r="AX250" i="26" s="1"/>
  <c r="AO77" i="26"/>
  <c r="AO250" i="26" s="1"/>
  <c r="AF77" i="26"/>
  <c r="AF250" i="26" s="1"/>
  <c r="CE28" i="26"/>
  <c r="BJ28" i="26"/>
  <c r="BB28" i="26"/>
  <c r="AT28" i="26"/>
  <c r="AL28" i="26"/>
  <c r="AD28" i="26"/>
  <c r="BC28" i="26"/>
  <c r="BX28" i="26"/>
  <c r="AI28" i="26"/>
  <c r="AO28" i="26"/>
  <c r="BA28" i="26"/>
  <c r="AP28" i="26"/>
  <c r="CF28" i="26"/>
  <c r="BI28" i="26"/>
  <c r="AZ28" i="26"/>
  <c r="AQ28" i="26"/>
  <c r="AH28" i="26"/>
  <c r="AY28" i="26"/>
  <c r="AF28" i="26"/>
  <c r="CD28" i="26"/>
  <c r="BG28" i="26"/>
  <c r="BE28" i="26"/>
  <c r="V28" i="26"/>
  <c r="AV28" i="26"/>
  <c r="CB28" i="26"/>
  <c r="BF28" i="26"/>
  <c r="AW28" i="26"/>
  <c r="AN28" i="26"/>
  <c r="AE28" i="26"/>
  <c r="AC28" i="26"/>
  <c r="CI28" i="26"/>
  <c r="BD28" i="26"/>
  <c r="AU28" i="26"/>
  <c r="AK28" i="26"/>
  <c r="AB28" i="26"/>
  <c r="CH28" i="26"/>
  <c r="AS28" i="26"/>
  <c r="AJ28" i="26"/>
  <c r="AA28" i="26"/>
  <c r="CG28" i="26"/>
  <c r="AR28" i="26"/>
  <c r="BH28" i="26"/>
  <c r="AG28" i="26"/>
  <c r="CC28" i="26"/>
  <c r="AX28" i="26"/>
  <c r="AM28" i="26"/>
  <c r="AB1014" i="9"/>
  <c r="AB523" i="9"/>
  <c r="AC323" i="9"/>
  <c r="AB329" i="9"/>
  <c r="Y135" i="30"/>
  <c r="CS253" i="6"/>
  <c r="AB544" i="9"/>
  <c r="AB297" i="9"/>
  <c r="CD211" i="26"/>
  <c r="CD322" i="26" s="1"/>
  <c r="BI211" i="26"/>
  <c r="BI322" i="26" s="1"/>
  <c r="BA211" i="26"/>
  <c r="BA322" i="26" s="1"/>
  <c r="AS211" i="26"/>
  <c r="AS322" i="26" s="1"/>
  <c r="AK211" i="26"/>
  <c r="AK322" i="26" s="1"/>
  <c r="AC211" i="26"/>
  <c r="AC322" i="26" s="1"/>
  <c r="CE211" i="26"/>
  <c r="CE322" i="26" s="1"/>
  <c r="BJ211" i="26"/>
  <c r="BJ322" i="26" s="1"/>
  <c r="BB211" i="26"/>
  <c r="BB322" i="26" s="1"/>
  <c r="AT211" i="26"/>
  <c r="AT322" i="26" s="1"/>
  <c r="AL211" i="26"/>
  <c r="AL322" i="26" s="1"/>
  <c r="AD211" i="26"/>
  <c r="AD322" i="26" s="1"/>
  <c r="CF211" i="26"/>
  <c r="CF322" i="26" s="1"/>
  <c r="BG211" i="26"/>
  <c r="BG322" i="26" s="1"/>
  <c r="AW211" i="26"/>
  <c r="AW322" i="26" s="1"/>
  <c r="AM211" i="26"/>
  <c r="AM322" i="26" s="1"/>
  <c r="AA211" i="26"/>
  <c r="AA322" i="26" s="1"/>
  <c r="CC211" i="26"/>
  <c r="CC322" i="26" s="1"/>
  <c r="BF211" i="26"/>
  <c r="BF322" i="26" s="1"/>
  <c r="AV211" i="26"/>
  <c r="AV322" i="26" s="1"/>
  <c r="AJ211" i="26"/>
  <c r="AJ322" i="26" s="1"/>
  <c r="Y211" i="26"/>
  <c r="CB211" i="26"/>
  <c r="CB322" i="26" s="1"/>
  <c r="BE211" i="26"/>
  <c r="BE322" i="26" s="1"/>
  <c r="AU211" i="26"/>
  <c r="AU322" i="26" s="1"/>
  <c r="AI211" i="26"/>
  <c r="AI322" i="26" s="1"/>
  <c r="X211" i="26"/>
  <c r="CA211" i="26"/>
  <c r="BD211" i="26"/>
  <c r="BD322" i="26" s="1"/>
  <c r="AR211" i="26"/>
  <c r="AR322" i="26" s="1"/>
  <c r="AH211" i="26"/>
  <c r="AH322" i="26" s="1"/>
  <c r="W211" i="26"/>
  <c r="BZ211" i="26"/>
  <c r="BC211" i="26"/>
  <c r="BC322" i="26" s="1"/>
  <c r="AQ211" i="26"/>
  <c r="AQ322" i="26" s="1"/>
  <c r="AG211" i="26"/>
  <c r="AG322" i="26" s="1"/>
  <c r="V211" i="26"/>
  <c r="CI211" i="26"/>
  <c r="CI322" i="26" s="1"/>
  <c r="BY211" i="26"/>
  <c r="AZ211" i="26"/>
  <c r="AZ322" i="26" s="1"/>
  <c r="AP211" i="26"/>
  <c r="AP322" i="26" s="1"/>
  <c r="AF211" i="26"/>
  <c r="AF322" i="26" s="1"/>
  <c r="CH211" i="26"/>
  <c r="CH322" i="26" s="1"/>
  <c r="BX211" i="26"/>
  <c r="BX322" i="26" s="1"/>
  <c r="AY211" i="26"/>
  <c r="AY322" i="26" s="1"/>
  <c r="AO211" i="26"/>
  <c r="AO322" i="26" s="1"/>
  <c r="AE211" i="26"/>
  <c r="AE322" i="26" s="1"/>
  <c r="CG211" i="26"/>
  <c r="CG322" i="26" s="1"/>
  <c r="BH211" i="26"/>
  <c r="BH322" i="26" s="1"/>
  <c r="AX211" i="26"/>
  <c r="AX322" i="26" s="1"/>
  <c r="AN211" i="26"/>
  <c r="AN322" i="26" s="1"/>
  <c r="AB211" i="26"/>
  <c r="AB322" i="26" s="1"/>
  <c r="AB546" i="9"/>
  <c r="AB335" i="9"/>
  <c r="A3" i="16"/>
  <c r="CL2" i="16" a="1"/>
  <c r="CL2" i="16" s="1"/>
  <c r="B2" i="16" a="1"/>
  <c r="AR187" i="30" l="1"/>
  <c r="AS187" i="30"/>
  <c r="AV186" i="30"/>
  <c r="AX186" i="30"/>
  <c r="BZ186" i="30"/>
  <c r="BD187" i="30"/>
  <c r="AH187" i="30"/>
  <c r="AQ186" i="30"/>
  <c r="BH187" i="30"/>
  <c r="BX46" i="26"/>
  <c r="BB186" i="30"/>
  <c r="CF186" i="30"/>
  <c r="CC186" i="30"/>
  <c r="AJ186" i="30"/>
  <c r="CD186" i="30"/>
  <c r="AN187" i="30"/>
  <c r="AK186" i="30"/>
  <c r="BF186" i="30"/>
  <c r="W186" i="30"/>
  <c r="DH50" i="26"/>
  <c r="CY50" i="26" s="1"/>
  <c r="AX311" i="26"/>
  <c r="AX316" i="26" s="1"/>
  <c r="AX118" i="6" s="1"/>
  <c r="AX53" i="26"/>
  <c r="AY311" i="26"/>
  <c r="AY53" i="26"/>
  <c r="AZ311" i="26"/>
  <c r="AZ316" i="26" s="1"/>
  <c r="AZ53" i="26"/>
  <c r="BA311" i="26"/>
  <c r="BA316" i="26" s="1"/>
  <c r="BA118" i="6" s="1"/>
  <c r="BA53" i="26"/>
  <c r="AT311" i="26"/>
  <c r="AT316" i="26" s="1"/>
  <c r="AT53" i="26"/>
  <c r="AM311" i="26"/>
  <c r="AM316" i="26" s="1"/>
  <c r="AM118" i="6" s="1"/>
  <c r="AM53" i="26"/>
  <c r="BF311" i="26"/>
  <c r="BF316" i="26" s="1"/>
  <c r="BF53" i="26"/>
  <c r="BG311" i="26"/>
  <c r="BG316" i="26" s="1"/>
  <c r="BG118" i="6" s="1"/>
  <c r="BG53" i="26"/>
  <c r="BH311" i="26"/>
  <c r="BH53" i="26"/>
  <c r="BI311" i="26"/>
  <c r="BI53" i="26"/>
  <c r="BB311" i="26"/>
  <c r="BB316" i="26" s="1"/>
  <c r="BB53" i="26"/>
  <c r="AU311" i="26"/>
  <c r="AU316" i="26" s="1"/>
  <c r="AU53" i="26"/>
  <c r="BJ311" i="26"/>
  <c r="BJ316" i="26" s="1"/>
  <c r="BJ118" i="6" s="1"/>
  <c r="BJ53" i="26"/>
  <c r="BX53" i="26"/>
  <c r="BX311" i="26"/>
  <c r="BX316" i="26" s="1"/>
  <c r="BX118" i="6" s="1"/>
  <c r="CB311" i="26"/>
  <c r="CB53" i="26"/>
  <c r="CC311" i="26"/>
  <c r="CC316" i="26" s="1"/>
  <c r="CC118" i="6" s="1"/>
  <c r="CC53" i="26"/>
  <c r="CD311" i="26"/>
  <c r="CD53" i="26"/>
  <c r="BC311" i="26"/>
  <c r="BC53" i="26"/>
  <c r="CH311" i="26"/>
  <c r="CH316" i="26" s="1"/>
  <c r="CH118" i="6" s="1"/>
  <c r="CH53" i="26"/>
  <c r="CI311" i="26"/>
  <c r="CI316" i="26" s="1"/>
  <c r="CI118" i="6" s="1"/>
  <c r="CI53" i="26"/>
  <c r="AF311" i="26"/>
  <c r="AF316" i="26" s="1"/>
  <c r="AF53" i="26"/>
  <c r="AN311" i="26"/>
  <c r="AN53" i="26"/>
  <c r="AV311" i="26"/>
  <c r="AV53" i="26"/>
  <c r="CE311" i="26"/>
  <c r="CE316" i="26" s="1"/>
  <c r="CE118" i="6" s="1"/>
  <c r="CE53" i="26"/>
  <c r="AO311" i="26"/>
  <c r="AO316" i="26" s="1"/>
  <c r="AO118" i="6" s="1"/>
  <c r="AO53" i="26"/>
  <c r="BE311" i="26"/>
  <c r="BE53" i="26"/>
  <c r="BD311" i="26"/>
  <c r="BD53" i="26"/>
  <c r="CF311" i="26"/>
  <c r="CF53" i="26"/>
  <c r="AP187" i="30"/>
  <c r="AC187" i="30"/>
  <c r="DH314" i="26"/>
  <c r="CY314" i="26" s="1"/>
  <c r="V311" i="26"/>
  <c r="V316" i="26" s="1"/>
  <c r="V118" i="6" s="1"/>
  <c r="V53" i="26"/>
  <c r="AA311" i="26"/>
  <c r="AA53" i="26"/>
  <c r="AB311" i="26"/>
  <c r="AB316" i="26" s="1"/>
  <c r="AB53" i="26"/>
  <c r="AC311" i="26"/>
  <c r="AC316" i="26" s="1"/>
  <c r="AC53" i="26"/>
  <c r="AG311" i="26"/>
  <c r="AG53" i="26"/>
  <c r="AW311" i="26"/>
  <c r="AW316" i="26" s="1"/>
  <c r="AW53" i="26"/>
  <c r="AN186" i="30"/>
  <c r="AS186" i="30"/>
  <c r="X186" i="30"/>
  <c r="DH51" i="26"/>
  <c r="CY51" i="26" s="1"/>
  <c r="AH311" i="26"/>
  <c r="AH316" i="26" s="1"/>
  <c r="AH53" i="26"/>
  <c r="AI311" i="26"/>
  <c r="AI53" i="26"/>
  <c r="AJ311" i="26"/>
  <c r="AJ316" i="26" s="1"/>
  <c r="AJ53" i="26"/>
  <c r="AK311" i="26"/>
  <c r="AK316" i="26" s="1"/>
  <c r="AK53" i="26"/>
  <c r="AD311" i="26"/>
  <c r="AD53" i="26"/>
  <c r="CG311" i="26"/>
  <c r="CG53" i="26"/>
  <c r="DH313" i="26"/>
  <c r="CY313" i="26" s="1"/>
  <c r="AU186" i="30"/>
  <c r="AG186" i="30"/>
  <c r="AG83" i="35" s="1"/>
  <c r="BF187" i="30"/>
  <c r="AD187" i="30"/>
  <c r="AP311" i="26"/>
  <c r="AP53" i="26"/>
  <c r="AQ311" i="26"/>
  <c r="AQ316" i="26" s="1"/>
  <c r="AQ118" i="6" s="1"/>
  <c r="AQ53" i="26"/>
  <c r="AR311" i="26"/>
  <c r="AR53" i="26"/>
  <c r="AS311" i="26"/>
  <c r="AS316" i="26" s="1"/>
  <c r="AS118" i="6" s="1"/>
  <c r="AS53" i="26"/>
  <c r="AL311" i="26"/>
  <c r="AL53" i="26"/>
  <c r="AE311" i="26"/>
  <c r="AE316" i="26" s="1"/>
  <c r="AE53" i="26"/>
  <c r="BG186" i="30"/>
  <c r="BG83" i="35" s="1"/>
  <c r="CF187" i="30"/>
  <c r="AK187" i="30"/>
  <c r="AH186" i="30"/>
  <c r="AH83" i="35" s="1"/>
  <c r="AI186" i="30"/>
  <c r="CB186" i="30"/>
  <c r="AU187" i="30"/>
  <c r="AX187" i="30"/>
  <c r="CH187" i="30"/>
  <c r="AI187" i="30"/>
  <c r="V186" i="30"/>
  <c r="CA186" i="30"/>
  <c r="CA83" i="35" s="1"/>
  <c r="AZ187" i="30"/>
  <c r="BA186" i="30"/>
  <c r="CE186" i="30"/>
  <c r="BJ186" i="30"/>
  <c r="AV187" i="30"/>
  <c r="AJ187" i="30"/>
  <c r="AT186" i="30"/>
  <c r="AT83" i="35" s="1"/>
  <c r="AY186" i="30"/>
  <c r="AY83" i="35" s="1"/>
  <c r="AM186" i="30"/>
  <c r="AM83" i="35" s="1"/>
  <c r="AB187" i="30"/>
  <c r="BJ187" i="30"/>
  <c r="AD185" i="30"/>
  <c r="BX186" i="30"/>
  <c r="BX83" i="35" s="1"/>
  <c r="BY186" i="30"/>
  <c r="AO186" i="30"/>
  <c r="AO83" i="35" s="1"/>
  <c r="CI187" i="30"/>
  <c r="CD187" i="30"/>
  <c r="CG187" i="30"/>
  <c r="AL187" i="30"/>
  <c r="AC186" i="30"/>
  <c r="BH186" i="30"/>
  <c r="AA186" i="30"/>
  <c r="CI186" i="30"/>
  <c r="AP186" i="30"/>
  <c r="CH186" i="30"/>
  <c r="CB185" i="30"/>
  <c r="CH185" i="30"/>
  <c r="BX187" i="30"/>
  <c r="AG187" i="30"/>
  <c r="AF187" i="30"/>
  <c r="BC187" i="30"/>
  <c r="CE187" i="30"/>
  <c r="BI187" i="30"/>
  <c r="CF188" i="30"/>
  <c r="AW187" i="30"/>
  <c r="AY187" i="30"/>
  <c r="AA185" i="30"/>
  <c r="BG185" i="30"/>
  <c r="AK188" i="30"/>
  <c r="CB187" i="30"/>
  <c r="AA46" i="26"/>
  <c r="BI186" i="30"/>
  <c r="BD186" i="30"/>
  <c r="BD83" i="35" s="1"/>
  <c r="AW186" i="30"/>
  <c r="AC185" i="30"/>
  <c r="CF185" i="30"/>
  <c r="AT185" i="30"/>
  <c r="AO187" i="30"/>
  <c r="AM187" i="30"/>
  <c r="V187" i="30"/>
  <c r="BG187" i="30"/>
  <c r="AA187" i="30"/>
  <c r="AT187" i="30"/>
  <c r="AD186" i="30"/>
  <c r="BE186" i="30"/>
  <c r="BE83" i="35" s="1"/>
  <c r="CC187" i="30"/>
  <c r="AQ187" i="30"/>
  <c r="BB187" i="30"/>
  <c r="W188" i="30"/>
  <c r="AB185" i="30"/>
  <c r="Y186" i="30"/>
  <c r="AB186" i="30"/>
  <c r="AN185" i="30"/>
  <c r="AI185" i="30"/>
  <c r="AG185" i="30"/>
  <c r="AO185" i="30"/>
  <c r="BH185" i="30"/>
  <c r="BE188" i="30"/>
  <c r="AR188" i="30"/>
  <c r="CG188" i="30"/>
  <c r="CA188" i="30"/>
  <c r="AX188" i="30"/>
  <c r="AP188" i="30"/>
  <c r="AS185" i="30"/>
  <c r="AU185" i="30"/>
  <c r="AP185" i="30"/>
  <c r="AH185" i="30"/>
  <c r="CC185" i="30"/>
  <c r="AN188" i="30"/>
  <c r="BJ188" i="30"/>
  <c r="AC188" i="30"/>
  <c r="BC188" i="30"/>
  <c r="BH188" i="30"/>
  <c r="BA188" i="30"/>
  <c r="BB118" i="6"/>
  <c r="AL186" i="30"/>
  <c r="AL83" i="35" s="1"/>
  <c r="BX185" i="30"/>
  <c r="AL185" i="30"/>
  <c r="AW185" i="30"/>
  <c r="AY185" i="30"/>
  <c r="BJ185" i="30"/>
  <c r="AL188" i="30"/>
  <c r="CC188" i="30"/>
  <c r="CD188" i="30"/>
  <c r="AA188" i="30"/>
  <c r="CD185" i="30"/>
  <c r="CG185" i="30"/>
  <c r="CI185" i="30"/>
  <c r="AE185" i="30"/>
  <c r="BI185" i="30"/>
  <c r="BB185" i="30"/>
  <c r="AG188" i="30"/>
  <c r="Y188" i="30"/>
  <c r="AU188" i="30"/>
  <c r="AB188" i="30"/>
  <c r="AW188" i="30"/>
  <c r="AI188" i="30"/>
  <c r="AT118" i="6"/>
  <c r="CE185" i="30"/>
  <c r="AZ188" i="30"/>
  <c r="AJ188" i="30"/>
  <c r="BD188" i="30"/>
  <c r="BF188" i="30"/>
  <c r="BI188" i="30"/>
  <c r="AQ188" i="30"/>
  <c r="AZ118" i="6"/>
  <c r="AZ186" i="30"/>
  <c r="AZ83" i="35" s="1"/>
  <c r="BA185" i="30"/>
  <c r="AK185" i="30"/>
  <c r="AM185" i="30"/>
  <c r="BF185" i="30"/>
  <c r="AX185" i="30"/>
  <c r="AJ185" i="30"/>
  <c r="CH188" i="30"/>
  <c r="CE188" i="30"/>
  <c r="AS188" i="30"/>
  <c r="BZ188" i="30"/>
  <c r="V188" i="30"/>
  <c r="AT188" i="30"/>
  <c r="AY188" i="30"/>
  <c r="AW118" i="6"/>
  <c r="AV185" i="30"/>
  <c r="AF185" i="30"/>
  <c r="AQ185" i="30"/>
  <c r="AR185" i="30"/>
  <c r="AD188" i="30"/>
  <c r="X188" i="30"/>
  <c r="BB188" i="30"/>
  <c r="CI188" i="30"/>
  <c r="AF188" i="30"/>
  <c r="AV188" i="30"/>
  <c r="BG188" i="30"/>
  <c r="CG186" i="30"/>
  <c r="CG83" i="35" s="1"/>
  <c r="AE186" i="30"/>
  <c r="AE83" i="35" s="1"/>
  <c r="BC185" i="30"/>
  <c r="BE185" i="30"/>
  <c r="BD185" i="30"/>
  <c r="AZ185" i="30"/>
  <c r="AM188" i="30"/>
  <c r="AH188" i="30"/>
  <c r="BX188" i="30"/>
  <c r="BY188" i="30"/>
  <c r="AO188" i="30"/>
  <c r="AE188" i="30"/>
  <c r="CB188" i="30"/>
  <c r="AF118" i="6"/>
  <c r="AB118" i="6"/>
  <c r="CP91" i="30"/>
  <c r="DH154" i="26"/>
  <c r="CY154" i="26" s="1"/>
  <c r="AV316" i="26"/>
  <c r="AD316" i="26"/>
  <c r="CG316" i="26"/>
  <c r="CG118" i="6" s="1"/>
  <c r="CF316" i="26"/>
  <c r="CF118" i="6" s="1"/>
  <c r="CB316" i="26"/>
  <c r="CB118" i="6" s="1"/>
  <c r="DH52" i="26"/>
  <c r="CY52" i="26" s="1"/>
  <c r="BE316" i="26"/>
  <c r="AL316" i="26"/>
  <c r="AR316" i="26"/>
  <c r="AY316" i="26"/>
  <c r="AG316" i="26"/>
  <c r="DH49" i="26"/>
  <c r="CY49" i="26" s="1"/>
  <c r="BH316" i="26"/>
  <c r="AI316" i="26"/>
  <c r="AP316" i="26"/>
  <c r="BD316" i="26"/>
  <c r="CL50" i="26"/>
  <c r="CD316" i="26"/>
  <c r="CD118" i="6" s="1"/>
  <c r="AA316" i="26"/>
  <c r="BI316" i="26"/>
  <c r="CL52" i="26"/>
  <c r="DH287" i="26"/>
  <c r="CY287" i="26" s="1"/>
  <c r="BC316" i="26"/>
  <c r="DH228" i="26"/>
  <c r="CY228" i="26" s="1"/>
  <c r="DH156" i="26"/>
  <c r="CY156" i="26" s="1"/>
  <c r="AN316" i="26"/>
  <c r="AA269" i="26"/>
  <c r="AB262" i="26" s="1"/>
  <c r="AB269" i="26" s="1"/>
  <c r="BC39" i="26"/>
  <c r="AW39" i="26"/>
  <c r="BD39" i="26"/>
  <c r="BI39" i="26"/>
  <c r="AZ39" i="26"/>
  <c r="CG39" i="26"/>
  <c r="BJ39" i="26"/>
  <c r="BE39" i="26"/>
  <c r="AB602" i="9"/>
  <c r="AB884" i="9" s="1"/>
  <c r="AC85" i="9"/>
  <c r="AL301" i="26"/>
  <c r="AL306" i="26" s="1"/>
  <c r="AL46" i="26"/>
  <c r="W322" i="26"/>
  <c r="AB613" i="9"/>
  <c r="AB895" i="9" s="1"/>
  <c r="AC294" i="9"/>
  <c r="AR221" i="26"/>
  <c r="AR32" i="26"/>
  <c r="AK221" i="26"/>
  <c r="AK32" i="26"/>
  <c r="AN221" i="26"/>
  <c r="AN32" i="26"/>
  <c r="CD221" i="26"/>
  <c r="CD32" i="26"/>
  <c r="CF221" i="26"/>
  <c r="CF32" i="26"/>
  <c r="AD221" i="26"/>
  <c r="AD32" i="26"/>
  <c r="Y266" i="26"/>
  <c r="BZ239" i="26"/>
  <c r="CF301" i="26"/>
  <c r="CF306" i="26" s="1"/>
  <c r="CF110" i="6" s="1"/>
  <c r="CF46" i="26"/>
  <c r="CH301" i="26"/>
  <c r="CH306" i="26" s="1"/>
  <c r="CH110" i="6" s="1"/>
  <c r="CH126" i="6" s="1"/>
  <c r="CH46" i="26"/>
  <c r="AM301" i="26"/>
  <c r="AM306" i="26" s="1"/>
  <c r="AM46" i="26"/>
  <c r="AO301" i="26"/>
  <c r="AO306" i="26" s="1"/>
  <c r="AO46" i="26"/>
  <c r="AR301" i="26"/>
  <c r="AR306" i="26" s="1"/>
  <c r="AR46" i="26"/>
  <c r="AB1001" i="9"/>
  <c r="AB510" i="9"/>
  <c r="AB82" i="9"/>
  <c r="AC76" i="9"/>
  <c r="AT224" i="26"/>
  <c r="AT130" i="26"/>
  <c r="AT284" i="26" s="1"/>
  <c r="CA224" i="26"/>
  <c r="CA130" i="26"/>
  <c r="AX224" i="26"/>
  <c r="AX130" i="26"/>
  <c r="AX284" i="26" s="1"/>
  <c r="CD224" i="26"/>
  <c r="CD130" i="26"/>
  <c r="CD284" i="26" s="1"/>
  <c r="AI224" i="26"/>
  <c r="AI130" i="26"/>
  <c r="AI284" i="26" s="1"/>
  <c r="BB224" i="26"/>
  <c r="BB130" i="26"/>
  <c r="BB284" i="26" s="1"/>
  <c r="BY224" i="26"/>
  <c r="BY130" i="26"/>
  <c r="BY222" i="26"/>
  <c r="BY78" i="26"/>
  <c r="AM222" i="26"/>
  <c r="AM78" i="26"/>
  <c r="AM276" i="26" s="1"/>
  <c r="CB222" i="26"/>
  <c r="CB78" i="26"/>
  <c r="CB276" i="26" s="1"/>
  <c r="AG222" i="26"/>
  <c r="AG78" i="26"/>
  <c r="AG276" i="26" s="1"/>
  <c r="AZ222" i="26"/>
  <c r="AZ78" i="26"/>
  <c r="AZ276" i="26" s="1"/>
  <c r="CG222" i="26"/>
  <c r="CG78" i="26"/>
  <c r="CG276" i="26" s="1"/>
  <c r="BI222" i="26"/>
  <c r="BI78" i="26"/>
  <c r="BI276" i="26" s="1"/>
  <c r="AB616" i="9"/>
  <c r="AB898" i="9" s="1"/>
  <c r="AC351" i="9"/>
  <c r="V251" i="26"/>
  <c r="DH251" i="26" s="1"/>
  <c r="CY251" i="26" s="1"/>
  <c r="DH103" i="26"/>
  <c r="CY103" i="26" s="1"/>
  <c r="X236" i="26"/>
  <c r="BY236" i="26"/>
  <c r="X285" i="26"/>
  <c r="CE191" i="26"/>
  <c r="CE225" i="26"/>
  <c r="AC191" i="26"/>
  <c r="AC225" i="26"/>
  <c r="BJ191" i="26"/>
  <c r="BJ225" i="26"/>
  <c r="BB225" i="26"/>
  <c r="BB191" i="26"/>
  <c r="BF225" i="26"/>
  <c r="BF191" i="26"/>
  <c r="CG191" i="26"/>
  <c r="CG225" i="26"/>
  <c r="CY117" i="30"/>
  <c r="CQ117" i="30" s="1"/>
  <c r="BA39" i="26"/>
  <c r="AK39" i="26"/>
  <c r="AM39" i="26"/>
  <c r="BF39" i="26"/>
  <c r="AX39" i="26"/>
  <c r="AJ39" i="26"/>
  <c r="W264" i="26"/>
  <c r="DH155" i="26"/>
  <c r="CY155" i="26" s="1"/>
  <c r="AC457" i="9"/>
  <c r="AC384" i="9"/>
  <c r="AF275" i="26"/>
  <c r="AR275" i="26"/>
  <c r="CH275" i="26"/>
  <c r="BD275" i="26"/>
  <c r="BH275" i="26"/>
  <c r="BB275" i="26"/>
  <c r="AK83" i="35"/>
  <c r="AK235" i="26"/>
  <c r="BF83" i="35"/>
  <c r="BF235" i="26"/>
  <c r="AZ235" i="26"/>
  <c r="BX235" i="26"/>
  <c r="BD235" i="26"/>
  <c r="CC83" i="35"/>
  <c r="CC235" i="26"/>
  <c r="AY235" i="26"/>
  <c r="AD215" i="26"/>
  <c r="AD321" i="26"/>
  <c r="AD326" i="26" s="1"/>
  <c r="BZ321" i="26"/>
  <c r="BZ215" i="26"/>
  <c r="BE321" i="26"/>
  <c r="BE326" i="26" s="1"/>
  <c r="BE215" i="26"/>
  <c r="AK321" i="26"/>
  <c r="AK326" i="26" s="1"/>
  <c r="AK215" i="26"/>
  <c r="CE215" i="26"/>
  <c r="CE321" i="26"/>
  <c r="CE326" i="26" s="1"/>
  <c r="AN321" i="26"/>
  <c r="AN326" i="26" s="1"/>
  <c r="AN215" i="26"/>
  <c r="AU215" i="26"/>
  <c r="AU321" i="26"/>
  <c r="AU326" i="26" s="1"/>
  <c r="AR223" i="26"/>
  <c r="AR104" i="26"/>
  <c r="AR246" i="6" s="1"/>
  <c r="BX223" i="26"/>
  <c r="BX104" i="26"/>
  <c r="BX246" i="6" s="1"/>
  <c r="AC223" i="26"/>
  <c r="AC104" i="26"/>
  <c r="AC246" i="6" s="1"/>
  <c r="BF223" i="26"/>
  <c r="BF104" i="26"/>
  <c r="BF246" i="6" s="1"/>
  <c r="AF223" i="26"/>
  <c r="AF104" i="26"/>
  <c r="AF246" i="6" s="1"/>
  <c r="AZ223" i="26"/>
  <c r="AZ104" i="26"/>
  <c r="AZ246" i="6" s="1"/>
  <c r="BZ223" i="26"/>
  <c r="BZ104" i="26"/>
  <c r="DH37" i="26"/>
  <c r="CY37" i="26" s="1"/>
  <c r="CL37" i="26"/>
  <c r="CL38" i="26"/>
  <c r="DH38" i="26"/>
  <c r="CY38" i="26" s="1"/>
  <c r="BB157" i="26"/>
  <c r="BE157" i="26"/>
  <c r="BI157" i="26"/>
  <c r="AL157" i="26"/>
  <c r="X157" i="26"/>
  <c r="AT157" i="26"/>
  <c r="BG157" i="26"/>
  <c r="AD422" i="9"/>
  <c r="AD459" i="9"/>
  <c r="AC450" i="9"/>
  <c r="AC251" i="9"/>
  <c r="AZ249" i="26"/>
  <c r="CI249" i="26"/>
  <c r="BF249" i="26"/>
  <c r="CD249" i="26"/>
  <c r="AJ249" i="26"/>
  <c r="V323" i="26"/>
  <c r="DH323" i="26" s="1"/>
  <c r="CY323" i="26" s="1"/>
  <c r="DH212" i="26"/>
  <c r="CY212" i="26" s="1"/>
  <c r="BZ324" i="26"/>
  <c r="BD221" i="26"/>
  <c r="BD32" i="26"/>
  <c r="AC213" i="9"/>
  <c r="AC448" i="9"/>
  <c r="BY322" i="26"/>
  <c r="CG221" i="26"/>
  <c r="CG32" i="26"/>
  <c r="AU221" i="26"/>
  <c r="AU32" i="26"/>
  <c r="AW221" i="26"/>
  <c r="AW32" i="26"/>
  <c r="AF221" i="26"/>
  <c r="AF32" i="26"/>
  <c r="AP221" i="26"/>
  <c r="AP32" i="26"/>
  <c r="AL221" i="26"/>
  <c r="AL32" i="26"/>
  <c r="X250" i="26"/>
  <c r="BY250" i="26"/>
  <c r="BY266" i="26"/>
  <c r="X239" i="26"/>
  <c r="AC548" i="9"/>
  <c r="AC373" i="9"/>
  <c r="AP301" i="26"/>
  <c r="AP306" i="26" s="1"/>
  <c r="AP46" i="26"/>
  <c r="AC301" i="26"/>
  <c r="AC306" i="26" s="1"/>
  <c r="AC46" i="26"/>
  <c r="BC301" i="26"/>
  <c r="BC306" i="26" s="1"/>
  <c r="BC46" i="26"/>
  <c r="AX301" i="26"/>
  <c r="AX306" i="26" s="1"/>
  <c r="AX46" i="26"/>
  <c r="AA301" i="26"/>
  <c r="AA306" i="26" s="1"/>
  <c r="AA110" i="6" s="1"/>
  <c r="BC224" i="26"/>
  <c r="BC130" i="26"/>
  <c r="BC284" i="26" s="1"/>
  <c r="AD224" i="26"/>
  <c r="AD130" i="26"/>
  <c r="AD284" i="26" s="1"/>
  <c r="BG224" i="26"/>
  <c r="BG130" i="26"/>
  <c r="BG284" i="26" s="1"/>
  <c r="X224" i="26"/>
  <c r="X130" i="26"/>
  <c r="AR224" i="26"/>
  <c r="AR130" i="26"/>
  <c r="AR284" i="26" s="1"/>
  <c r="BX224" i="26"/>
  <c r="BX130" i="26"/>
  <c r="BX284" i="26" s="1"/>
  <c r="CG224" i="26"/>
  <c r="CG130" i="26"/>
  <c r="CG284" i="26" s="1"/>
  <c r="AB222" i="26"/>
  <c r="AB78" i="26"/>
  <c r="AB276" i="26" s="1"/>
  <c r="AV222" i="26"/>
  <c r="AV78" i="26"/>
  <c r="AV276" i="26" s="1"/>
  <c r="V222" i="26"/>
  <c r="DH75" i="26"/>
  <c r="CY75" i="26" s="1"/>
  <c r="V78" i="26"/>
  <c r="AP222" i="26"/>
  <c r="AP78" i="26"/>
  <c r="AP276" i="26" s="1"/>
  <c r="BJ222" i="26"/>
  <c r="BJ78" i="26"/>
  <c r="BJ276" i="26" s="1"/>
  <c r="AA222" i="26"/>
  <c r="AA78" i="26"/>
  <c r="AA276" i="26" s="1"/>
  <c r="CD222" i="26"/>
  <c r="CD78" i="26"/>
  <c r="CD276" i="26" s="1"/>
  <c r="BZ265" i="26"/>
  <c r="V236" i="26"/>
  <c r="DH76" i="26"/>
  <c r="CY76" i="26" s="1"/>
  <c r="CA236" i="26"/>
  <c r="Y237" i="26"/>
  <c r="BZ237" i="26"/>
  <c r="Y225" i="26"/>
  <c r="Y191" i="26"/>
  <c r="AO191" i="26"/>
  <c r="AO225" i="26"/>
  <c r="CI225" i="26"/>
  <c r="CI191" i="26"/>
  <c r="CA225" i="26"/>
  <c r="CA191" i="26"/>
  <c r="CC191" i="26"/>
  <c r="CC225" i="26"/>
  <c r="V225" i="26"/>
  <c r="DH186" i="26"/>
  <c r="CY186" i="26" s="1"/>
  <c r="V191" i="26"/>
  <c r="AC39" i="26"/>
  <c r="CF39" i="26"/>
  <c r="AT39" i="26"/>
  <c r="AV39" i="26"/>
  <c r="AF39" i="26"/>
  <c r="AQ39" i="26"/>
  <c r="AR39" i="26"/>
  <c r="CA238" i="26"/>
  <c r="AX275" i="26"/>
  <c r="BX275" i="26"/>
  <c r="AB275" i="26"/>
  <c r="BF275" i="26"/>
  <c r="CE275" i="26"/>
  <c r="AC275" i="26"/>
  <c r="AT235" i="26"/>
  <c r="V235" i="26"/>
  <c r="CL29" i="26"/>
  <c r="DH29" i="26"/>
  <c r="CY29" i="26" s="1"/>
  <c r="BI83" i="35"/>
  <c r="BI235" i="26"/>
  <c r="CG235" i="26"/>
  <c r="AD83" i="35"/>
  <c r="AD235" i="26"/>
  <c r="AH235" i="26"/>
  <c r="BG235" i="26"/>
  <c r="BZ325" i="26"/>
  <c r="BY325" i="26"/>
  <c r="AP321" i="26"/>
  <c r="AP326" i="26" s="1"/>
  <c r="AP215" i="26"/>
  <c r="AH321" i="26"/>
  <c r="AH326" i="26" s="1"/>
  <c r="AH215" i="26"/>
  <c r="CB321" i="26"/>
  <c r="CB326" i="26" s="1"/>
  <c r="CB215" i="26"/>
  <c r="AW215" i="26"/>
  <c r="AW321" i="26"/>
  <c r="AW326" i="26" s="1"/>
  <c r="AC321" i="26"/>
  <c r="AC326" i="26" s="1"/>
  <c r="AC215" i="26"/>
  <c r="AV321" i="26"/>
  <c r="AV326" i="26" s="1"/>
  <c r="AV215" i="26"/>
  <c r="BC215" i="26"/>
  <c r="BC321" i="26"/>
  <c r="BC326" i="26" s="1"/>
  <c r="BA223" i="26"/>
  <c r="BA104" i="26"/>
  <c r="BA246" i="6" s="1"/>
  <c r="CG223" i="26"/>
  <c r="CG104" i="26"/>
  <c r="CG246" i="6" s="1"/>
  <c r="AL223" i="26"/>
  <c r="AL104" i="26"/>
  <c r="AL246" i="6" s="1"/>
  <c r="CB223" i="26"/>
  <c r="CB104" i="26"/>
  <c r="CB246" i="6" s="1"/>
  <c r="AP223" i="26"/>
  <c r="AP104" i="26"/>
  <c r="AP246" i="6" s="1"/>
  <c r="BI223" i="26"/>
  <c r="BI104" i="26"/>
  <c r="BI246" i="6" s="1"/>
  <c r="CH223" i="26"/>
  <c r="CH104" i="26"/>
  <c r="CH246" i="6" s="1"/>
  <c r="CD157" i="26"/>
  <c r="CG157" i="26"/>
  <c r="AG157" i="26"/>
  <c r="AZ157" i="26"/>
  <c r="AH157" i="26"/>
  <c r="BC157" i="26"/>
  <c r="CB157" i="26"/>
  <c r="BZ253" i="26"/>
  <c r="AB1006" i="9"/>
  <c r="AB515" i="9"/>
  <c r="AB177" i="9"/>
  <c r="AC171" i="9"/>
  <c r="BI249" i="26"/>
  <c r="AC249" i="26"/>
  <c r="CB249" i="26"/>
  <c r="AO249" i="26"/>
  <c r="AS249" i="26"/>
  <c r="BC249" i="26"/>
  <c r="CG249" i="26"/>
  <c r="CA323" i="26"/>
  <c r="CA324" i="26"/>
  <c r="Y322" i="26"/>
  <c r="BA221" i="26"/>
  <c r="BA32" i="26"/>
  <c r="BY239" i="26"/>
  <c r="AB603" i="9"/>
  <c r="AB885" i="9" s="1"/>
  <c r="AC104" i="9"/>
  <c r="BH301" i="26"/>
  <c r="BH306" i="26" s="1"/>
  <c r="BH46" i="26"/>
  <c r="AI301" i="26"/>
  <c r="AI306" i="26" s="1"/>
  <c r="AI46" i="26"/>
  <c r="BZ224" i="26"/>
  <c r="BZ130" i="26"/>
  <c r="CF222" i="26"/>
  <c r="CF78" i="26"/>
  <c r="CF276" i="26" s="1"/>
  <c r="V237" i="26"/>
  <c r="DH237" i="26" s="1"/>
  <c r="CY237" i="26" s="1"/>
  <c r="DH101" i="26"/>
  <c r="CY101" i="26" s="1"/>
  <c r="BZ285" i="26"/>
  <c r="AB191" i="26"/>
  <c r="AB225" i="26"/>
  <c r="AY225" i="26"/>
  <c r="AY191" i="26"/>
  <c r="AG191" i="26"/>
  <c r="AG225" i="26"/>
  <c r="X191" i="26"/>
  <c r="X225" i="26"/>
  <c r="W191" i="26"/>
  <c r="W225" i="26"/>
  <c r="AE225" i="26"/>
  <c r="AE191" i="26"/>
  <c r="BZ39" i="26"/>
  <c r="Y39" i="26"/>
  <c r="W39" i="26"/>
  <c r="V264" i="26"/>
  <c r="DH102" i="26"/>
  <c r="CY102" i="26" s="1"/>
  <c r="CA264" i="26"/>
  <c r="V302" i="26"/>
  <c r="DH302" i="26" s="1"/>
  <c r="CY302" i="26" s="1"/>
  <c r="CL43" i="26"/>
  <c r="DH43" i="26"/>
  <c r="CY43" i="26" s="1"/>
  <c r="Y302" i="26"/>
  <c r="BZ302" i="26"/>
  <c r="W302" i="26"/>
  <c r="CC275" i="26"/>
  <c r="CG275" i="26"/>
  <c r="AL275" i="26"/>
  <c r="BZ275" i="26"/>
  <c r="AH275" i="26"/>
  <c r="AK275" i="26"/>
  <c r="BY83" i="35"/>
  <c r="BY235" i="26"/>
  <c r="AO235" i="26"/>
  <c r="CE83" i="35"/>
  <c r="CE235" i="26"/>
  <c r="BJ83" i="35"/>
  <c r="BJ235" i="26"/>
  <c r="AM235" i="26"/>
  <c r="AN83" i="35"/>
  <c r="AN235" i="26"/>
  <c r="CB83" i="35"/>
  <c r="CB235" i="26"/>
  <c r="AB619" i="9"/>
  <c r="AB901" i="9" s="1"/>
  <c r="AC408" i="9"/>
  <c r="V304" i="26"/>
  <c r="DH304" i="26" s="1"/>
  <c r="CY304" i="26" s="1"/>
  <c r="CL45" i="26"/>
  <c r="DH45" i="26"/>
  <c r="CY45" i="26" s="1"/>
  <c r="AZ321" i="26"/>
  <c r="AZ326" i="26" s="1"/>
  <c r="AZ215" i="26"/>
  <c r="AR321" i="26"/>
  <c r="AR326" i="26" s="1"/>
  <c r="AR215" i="26"/>
  <c r="Y321" i="26"/>
  <c r="Y215" i="26"/>
  <c r="BG321" i="26"/>
  <c r="BG326" i="26" s="1"/>
  <c r="BG215" i="26"/>
  <c r="AO215" i="26"/>
  <c r="AO321" i="26"/>
  <c r="AO326" i="26" s="1"/>
  <c r="BD321" i="26"/>
  <c r="BD326" i="26" s="1"/>
  <c r="BD215" i="26"/>
  <c r="BX215" i="26"/>
  <c r="BX321" i="26"/>
  <c r="BX326" i="26" s="1"/>
  <c r="BJ223" i="26"/>
  <c r="BJ104" i="26"/>
  <c r="BJ246" i="6" s="1"/>
  <c r="AB223" i="26"/>
  <c r="AB104" i="26"/>
  <c r="AB246" i="6" s="1"/>
  <c r="AU223" i="26"/>
  <c r="AU104" i="26"/>
  <c r="AU246" i="6" s="1"/>
  <c r="AE223" i="26"/>
  <c r="AE104" i="26"/>
  <c r="AE246" i="6" s="1"/>
  <c r="AY223" i="26"/>
  <c r="AY104" i="26"/>
  <c r="AY246" i="6" s="1"/>
  <c r="CE223" i="26"/>
  <c r="CE104" i="26"/>
  <c r="CE246" i="6" s="1"/>
  <c r="Y157" i="26"/>
  <c r="AD157" i="26"/>
  <c r="AV157" i="26"/>
  <c r="CA157" i="26"/>
  <c r="AR157" i="26"/>
  <c r="BY157" i="26"/>
  <c r="W253" i="26"/>
  <c r="CE249" i="26"/>
  <c r="AU249" i="26"/>
  <c r="CC249" i="26"/>
  <c r="AQ249" i="26"/>
  <c r="BB249" i="26"/>
  <c r="AL249" i="26"/>
  <c r="X323" i="26"/>
  <c r="AB1015" i="9"/>
  <c r="AB524" i="9"/>
  <c r="AC342" i="9"/>
  <c r="AB348" i="9"/>
  <c r="AB1002" i="9"/>
  <c r="AB511" i="9"/>
  <c r="AC95" i="9"/>
  <c r="AB101" i="9"/>
  <c r="AM224" i="26"/>
  <c r="AM130" i="26"/>
  <c r="AM284" i="26" s="1"/>
  <c r="CC224" i="26"/>
  <c r="CC130" i="26"/>
  <c r="CC284" i="26" s="1"/>
  <c r="AH224" i="26"/>
  <c r="AH130" i="26"/>
  <c r="AH284" i="26" s="1"/>
  <c r="BA224" i="26"/>
  <c r="BA130" i="26"/>
  <c r="BA284" i="26" s="1"/>
  <c r="CH224" i="26"/>
  <c r="CH130" i="26"/>
  <c r="CH284" i="26" s="1"/>
  <c r="AL222" i="26"/>
  <c r="AL78" i="26"/>
  <c r="AL276" i="26" s="1"/>
  <c r="BE222" i="26"/>
  <c r="BE78" i="26"/>
  <c r="BE276" i="26" s="1"/>
  <c r="AF222" i="26"/>
  <c r="AF78" i="26"/>
  <c r="AF276" i="26" s="1"/>
  <c r="AY222" i="26"/>
  <c r="AY78" i="26"/>
  <c r="AY276" i="26" s="1"/>
  <c r="BC222" i="26"/>
  <c r="BC78" i="26"/>
  <c r="BC276" i="26" s="1"/>
  <c r="CA251" i="26"/>
  <c r="Y251" i="26"/>
  <c r="V322" i="26"/>
  <c r="DH322" i="26" s="1"/>
  <c r="CY322" i="26" s="1"/>
  <c r="DH211" i="26"/>
  <c r="CY211" i="26" s="1"/>
  <c r="AX221" i="26"/>
  <c r="AX32" i="26"/>
  <c r="AJ221" i="26"/>
  <c r="AJ32" i="26"/>
  <c r="CB221" i="26"/>
  <c r="CB32" i="26"/>
  <c r="AO221" i="26"/>
  <c r="AO32" i="26"/>
  <c r="BB221" i="26"/>
  <c r="BB32" i="26"/>
  <c r="W250" i="26"/>
  <c r="V250" i="26"/>
  <c r="DH77" i="26"/>
  <c r="CY77" i="26" s="1"/>
  <c r="Y239" i="26"/>
  <c r="AT301" i="26"/>
  <c r="AT306" i="26" s="1"/>
  <c r="AT46" i="26"/>
  <c r="CE301" i="26"/>
  <c r="CE306" i="26" s="1"/>
  <c r="CE110" i="6" s="1"/>
  <c r="CE46" i="26"/>
  <c r="AS301" i="26"/>
  <c r="AS306" i="26" s="1"/>
  <c r="AS46" i="26"/>
  <c r="AU301" i="26"/>
  <c r="AU306" i="26" s="1"/>
  <c r="AU46" i="26"/>
  <c r="AB301" i="26"/>
  <c r="AB306" i="26" s="1"/>
  <c r="AB46" i="26"/>
  <c r="CD301" i="26"/>
  <c r="CD306" i="26" s="1"/>
  <c r="CD110" i="6" s="1"/>
  <c r="CD126" i="6" s="1"/>
  <c r="CD46" i="26"/>
  <c r="AQ301" i="26"/>
  <c r="AQ306" i="26" s="1"/>
  <c r="AQ46" i="26"/>
  <c r="Y252" i="26"/>
  <c r="AH127" i="30"/>
  <c r="AI206" i="6"/>
  <c r="AI217" i="6" s="1"/>
  <c r="CI224" i="26"/>
  <c r="CI130" i="26"/>
  <c r="CI284" i="26" s="1"/>
  <c r="AW224" i="26"/>
  <c r="AW130" i="26"/>
  <c r="AW284" i="26" s="1"/>
  <c r="V224" i="26"/>
  <c r="V130" i="26"/>
  <c r="DH126" i="26"/>
  <c r="CY126" i="26" s="1"/>
  <c r="AQ224" i="26"/>
  <c r="AQ130" i="26"/>
  <c r="AQ284" i="26" s="1"/>
  <c r="BJ224" i="26"/>
  <c r="BJ130" i="26"/>
  <c r="BJ284" i="26" s="1"/>
  <c r="W224" i="26"/>
  <c r="W130" i="26"/>
  <c r="AU222" i="26"/>
  <c r="AU78" i="26"/>
  <c r="AU276" i="26" s="1"/>
  <c r="CA222" i="26"/>
  <c r="CA78" i="26"/>
  <c r="AO222" i="26"/>
  <c r="AO78" i="26"/>
  <c r="AO276" i="26" s="1"/>
  <c r="BH222" i="26"/>
  <c r="BH78" i="26"/>
  <c r="BH276" i="26" s="1"/>
  <c r="Y222" i="26"/>
  <c r="Y78" i="26"/>
  <c r="CH222" i="26"/>
  <c r="CH78" i="26"/>
  <c r="CH276" i="26" s="1"/>
  <c r="X265" i="26"/>
  <c r="BY265" i="26"/>
  <c r="AB601" i="9"/>
  <c r="AB883" i="9" s="1"/>
  <c r="AC66" i="9"/>
  <c r="X237" i="26"/>
  <c r="BY237" i="26"/>
  <c r="W285" i="26"/>
  <c r="AA225" i="26"/>
  <c r="AA191" i="26"/>
  <c r="BI191" i="26"/>
  <c r="BI225" i="26"/>
  <c r="AQ225" i="26"/>
  <c r="AQ191" i="26"/>
  <c r="AI225" i="26"/>
  <c r="AI191" i="26"/>
  <c r="AF225" i="26"/>
  <c r="AF191" i="26"/>
  <c r="AM191" i="26"/>
  <c r="AM225" i="26"/>
  <c r="AN39" i="26"/>
  <c r="AI39" i="26"/>
  <c r="BY39" i="26"/>
  <c r="CA39" i="26"/>
  <c r="AG39" i="26"/>
  <c r="AO39" i="26"/>
  <c r="BH39" i="26"/>
  <c r="X302" i="26"/>
  <c r="CA302" i="26"/>
  <c r="Y238" i="26"/>
  <c r="BZ238" i="26"/>
  <c r="AU275" i="26"/>
  <c r="X275" i="26"/>
  <c r="AA275" i="26"/>
  <c r="AD275" i="26"/>
  <c r="AO275" i="26"/>
  <c r="CI275" i="26"/>
  <c r="AS275" i="26"/>
  <c r="AB608" i="9"/>
  <c r="AB890" i="9" s="1"/>
  <c r="AC199" i="9"/>
  <c r="AL235" i="26"/>
  <c r="BH83" i="35"/>
  <c r="BH235" i="26"/>
  <c r="BA83" i="35"/>
  <c r="BA235" i="26"/>
  <c r="BC83" i="35"/>
  <c r="BC235" i="26"/>
  <c r="AV83" i="35"/>
  <c r="AV235" i="26"/>
  <c r="AF83" i="35"/>
  <c r="AF235" i="26"/>
  <c r="Y325" i="26"/>
  <c r="DH214" i="26"/>
  <c r="CY214" i="26" s="1"/>
  <c r="V325" i="26"/>
  <c r="DH325" i="26" s="1"/>
  <c r="CY325" i="26" s="1"/>
  <c r="BJ215" i="26"/>
  <c r="BJ321" i="26"/>
  <c r="BJ326" i="26" s="1"/>
  <c r="BB215" i="26"/>
  <c r="BB321" i="26"/>
  <c r="BB326" i="26" s="1"/>
  <c r="AJ321" i="26"/>
  <c r="AJ326" i="26" s="1"/>
  <c r="AJ215" i="26"/>
  <c r="CD321" i="26"/>
  <c r="CD326" i="26" s="1"/>
  <c r="CD215" i="26"/>
  <c r="AY321" i="26"/>
  <c r="AY326" i="26" s="1"/>
  <c r="AY215" i="26"/>
  <c r="BY321" i="26"/>
  <c r="BY215" i="26"/>
  <c r="CF215" i="26"/>
  <c r="CF321" i="26"/>
  <c r="CF326" i="26" s="1"/>
  <c r="CF223" i="26"/>
  <c r="CF104" i="26"/>
  <c r="CF246" i="6" s="1"/>
  <c r="AK223" i="26"/>
  <c r="AK104" i="26"/>
  <c r="AK246" i="6" s="1"/>
  <c r="BD223" i="26"/>
  <c r="BD104" i="26"/>
  <c r="BD246" i="6" s="1"/>
  <c r="AN223" i="26"/>
  <c r="AN104" i="26"/>
  <c r="AN246" i="6" s="1"/>
  <c r="BH223" i="26"/>
  <c r="BH104" i="26"/>
  <c r="BH246" i="6" s="1"/>
  <c r="X223" i="26"/>
  <c r="X104" i="26"/>
  <c r="AB1013" i="9"/>
  <c r="AB522" i="9"/>
  <c r="AC304" i="9"/>
  <c r="AB310" i="9"/>
  <c r="AC538" i="9"/>
  <c r="AC183" i="9"/>
  <c r="AO157" i="26"/>
  <c r="AS157" i="26"/>
  <c r="BX157" i="26"/>
  <c r="AE157" i="26"/>
  <c r="BA157" i="26"/>
  <c r="CH157" i="26"/>
  <c r="AI249" i="26"/>
  <c r="BE249" i="26"/>
  <c r="V249" i="26"/>
  <c r="DH30" i="26"/>
  <c r="CY30" i="26" s="1"/>
  <c r="CF249" i="26"/>
  <c r="BX249" i="26"/>
  <c r="W324" i="26"/>
  <c r="BY324" i="26"/>
  <c r="X324" i="26"/>
  <c r="AZ301" i="26"/>
  <c r="AZ306" i="26" s="1"/>
  <c r="AZ46" i="26"/>
  <c r="CI221" i="26"/>
  <c r="CI32" i="26"/>
  <c r="BZ266" i="26"/>
  <c r="V239" i="26"/>
  <c r="DH187" i="26"/>
  <c r="CY187" i="26" s="1"/>
  <c r="AB179" i="6"/>
  <c r="AB101" i="30" s="1"/>
  <c r="AC293" i="26"/>
  <c r="AC298" i="26" s="1"/>
  <c r="AV301" i="26"/>
  <c r="AV306" i="26" s="1"/>
  <c r="AV46" i="26"/>
  <c r="BB301" i="26"/>
  <c r="BB306" i="26" s="1"/>
  <c r="BB46" i="26"/>
  <c r="BD301" i="26"/>
  <c r="BD306" i="26" s="1"/>
  <c r="BD46" i="26"/>
  <c r="AD301" i="26"/>
  <c r="AD306" i="26" s="1"/>
  <c r="AD46" i="26"/>
  <c r="BF301" i="26"/>
  <c r="BF306" i="26" s="1"/>
  <c r="BF46" i="26"/>
  <c r="AY301" i="26"/>
  <c r="AY306" i="26" s="1"/>
  <c r="AY46" i="26"/>
  <c r="CA252" i="26"/>
  <c r="AC224" i="26"/>
  <c r="AC130" i="26"/>
  <c r="AC284" i="26" s="1"/>
  <c r="BF224" i="26"/>
  <c r="BF130" i="26"/>
  <c r="BF284" i="26" s="1"/>
  <c r="AG224" i="26"/>
  <c r="AG130" i="26"/>
  <c r="AG284" i="26" s="1"/>
  <c r="AZ224" i="26"/>
  <c r="AZ130" i="26"/>
  <c r="AZ284" i="26" s="1"/>
  <c r="CF224" i="26"/>
  <c r="CF130" i="26"/>
  <c r="CF284" i="26" s="1"/>
  <c r="AF224" i="26"/>
  <c r="AF130" i="26"/>
  <c r="AF284" i="26" s="1"/>
  <c r="AC541" i="9"/>
  <c r="AC240" i="9"/>
  <c r="BD222" i="26"/>
  <c r="BD78" i="26"/>
  <c r="BD276" i="26" s="1"/>
  <c r="AE222" i="26"/>
  <c r="AE78" i="26"/>
  <c r="AE276" i="26" s="1"/>
  <c r="AX222" i="26"/>
  <c r="AX78" i="26"/>
  <c r="AX276" i="26" s="1"/>
  <c r="CE222" i="26"/>
  <c r="CE78" i="26"/>
  <c r="CE276" i="26" s="1"/>
  <c r="AI222" i="26"/>
  <c r="AI78" i="26"/>
  <c r="AI276" i="26" s="1"/>
  <c r="AC222" i="26"/>
  <c r="AC78" i="26"/>
  <c r="AC276" i="26" s="1"/>
  <c r="CA265" i="26"/>
  <c r="BZ251" i="26"/>
  <c r="X251" i="26"/>
  <c r="Y236" i="26"/>
  <c r="BY285" i="26"/>
  <c r="AJ191" i="26"/>
  <c r="AJ225" i="26"/>
  <c r="AK191" i="26"/>
  <c r="AK225" i="26"/>
  <c r="CH191" i="26"/>
  <c r="CH225" i="26"/>
  <c r="BA225" i="26"/>
  <c r="BA191" i="26"/>
  <c r="AS225" i="26"/>
  <c r="AS191" i="26"/>
  <c r="AN191" i="26"/>
  <c r="AN225" i="26"/>
  <c r="AU191" i="26"/>
  <c r="AU225" i="26"/>
  <c r="CB39" i="26"/>
  <c r="AS39" i="26"/>
  <c r="CH39" i="26"/>
  <c r="AU39" i="26"/>
  <c r="AP39" i="26"/>
  <c r="AH39" i="26"/>
  <c r="CC39" i="26"/>
  <c r="Y264" i="26"/>
  <c r="BZ264" i="26"/>
  <c r="AE275" i="26"/>
  <c r="AZ275" i="26"/>
  <c r="AJ275" i="26"/>
  <c r="AM275" i="26"/>
  <c r="W275" i="26"/>
  <c r="AW275" i="26"/>
  <c r="BA275" i="26"/>
  <c r="AU83" i="35"/>
  <c r="AU235" i="26"/>
  <c r="CD83" i="35"/>
  <c r="CD235" i="26"/>
  <c r="Y235" i="26"/>
  <c r="CF83" i="35"/>
  <c r="CF235" i="26"/>
  <c r="BE235" i="26"/>
  <c r="AX83" i="35"/>
  <c r="AX235" i="26"/>
  <c r="AC551" i="9"/>
  <c r="AC430" i="9"/>
  <c r="W325" i="26"/>
  <c r="AC445" i="9"/>
  <c r="AC156" i="9"/>
  <c r="BZ304" i="26"/>
  <c r="CA304" i="26"/>
  <c r="CI321" i="26"/>
  <c r="CI326" i="26" s="1"/>
  <c r="CI215" i="26"/>
  <c r="CA321" i="26"/>
  <c r="CA215" i="26"/>
  <c r="AT215" i="26"/>
  <c r="AT321" i="26"/>
  <c r="AT326" i="26" s="1"/>
  <c r="AB321" i="26"/>
  <c r="AB326" i="26" s="1"/>
  <c r="AB215" i="26"/>
  <c r="BI321" i="26"/>
  <c r="BI326" i="26" s="1"/>
  <c r="BI215" i="26"/>
  <c r="CG321" i="26"/>
  <c r="CG326" i="26" s="1"/>
  <c r="CG215" i="26"/>
  <c r="AA223" i="26"/>
  <c r="AA104" i="26"/>
  <c r="AA246" i="6" s="1"/>
  <c r="AA248" i="6" s="1"/>
  <c r="AT223" i="26"/>
  <c r="AT104" i="26"/>
  <c r="AT246" i="6" s="1"/>
  <c r="CA223" i="26"/>
  <c r="CA104" i="26"/>
  <c r="AX223" i="26"/>
  <c r="AX104" i="26"/>
  <c r="AX246" i="6" s="1"/>
  <c r="CD223" i="26"/>
  <c r="CD104" i="26"/>
  <c r="CD246" i="6" s="1"/>
  <c r="AG223" i="26"/>
  <c r="AG104" i="26"/>
  <c r="AG246" i="6" s="1"/>
  <c r="BD157" i="26"/>
  <c r="BH157" i="26"/>
  <c r="AJ157" i="26"/>
  <c r="AN157" i="26"/>
  <c r="BJ157" i="26"/>
  <c r="AA157" i="26"/>
  <c r="AC365" i="9"/>
  <c r="AC456" i="9"/>
  <c r="BY253" i="26"/>
  <c r="Y253" i="26"/>
  <c r="BJ249" i="26"/>
  <c r="AG249" i="26"/>
  <c r="AX249" i="26"/>
  <c r="CH249" i="26"/>
  <c r="AF249" i="26"/>
  <c r="BZ323" i="26"/>
  <c r="Y324" i="26"/>
  <c r="BF221" i="26"/>
  <c r="BF32" i="26"/>
  <c r="CA239" i="26"/>
  <c r="AJ301" i="26"/>
  <c r="AJ306" i="26" s="1"/>
  <c r="AJ46" i="26"/>
  <c r="CA322" i="26"/>
  <c r="CC221" i="26"/>
  <c r="CC32" i="26"/>
  <c r="AV221" i="26"/>
  <c r="AV32" i="26"/>
  <c r="BJ221" i="26"/>
  <c r="BJ32" i="26"/>
  <c r="V221" i="26"/>
  <c r="V32" i="26"/>
  <c r="DH28" i="26"/>
  <c r="CY28" i="26" s="1"/>
  <c r="CE221" i="26"/>
  <c r="CE32" i="26"/>
  <c r="CA250" i="26"/>
  <c r="CA266" i="26"/>
  <c r="CC301" i="26"/>
  <c r="CC306" i="26" s="1"/>
  <c r="CC110" i="6" s="1"/>
  <c r="CC46" i="26"/>
  <c r="X252" i="26"/>
  <c r="AC545" i="9"/>
  <c r="AC316" i="9"/>
  <c r="AG130" i="30"/>
  <c r="AH239" i="6"/>
  <c r="AH242" i="6" s="1"/>
  <c r="AL224" i="26"/>
  <c r="AL130" i="26"/>
  <c r="AL284" i="26" s="1"/>
  <c r="CB224" i="26"/>
  <c r="CB130" i="26"/>
  <c r="CB284" i="26" s="1"/>
  <c r="AP224" i="26"/>
  <c r="AP130" i="26"/>
  <c r="AP284" i="26" s="1"/>
  <c r="BI224" i="26"/>
  <c r="BI130" i="26"/>
  <c r="BI284" i="26" s="1"/>
  <c r="AA224" i="26"/>
  <c r="AA130" i="26"/>
  <c r="AA284" i="26" s="1"/>
  <c r="AA288" i="26" s="1"/>
  <c r="AN224" i="26"/>
  <c r="AN130" i="26"/>
  <c r="AN284" i="26" s="1"/>
  <c r="BZ222" i="26"/>
  <c r="BZ78" i="26"/>
  <c r="AN222" i="26"/>
  <c r="AN78" i="26"/>
  <c r="AN276" i="26" s="1"/>
  <c r="BG222" i="26"/>
  <c r="BG78" i="26"/>
  <c r="BG276" i="26" s="1"/>
  <c r="X222" i="26"/>
  <c r="X78" i="26"/>
  <c r="AR222" i="26"/>
  <c r="AR78" i="26"/>
  <c r="AR276" i="26" s="1"/>
  <c r="AK222" i="26"/>
  <c r="AK78" i="26"/>
  <c r="AK276" i="26" s="1"/>
  <c r="W265" i="26"/>
  <c r="W237" i="26"/>
  <c r="Y285" i="26"/>
  <c r="AL191" i="26"/>
  <c r="AL225" i="26"/>
  <c r="AW191" i="26"/>
  <c r="AW225" i="26"/>
  <c r="AD191" i="26"/>
  <c r="AD225" i="26"/>
  <c r="BZ191" i="26"/>
  <c r="BZ225" i="26"/>
  <c r="BE191" i="26"/>
  <c r="BE225" i="26"/>
  <c r="AV191" i="26"/>
  <c r="AV225" i="26"/>
  <c r="BC225" i="26"/>
  <c r="BC191" i="26"/>
  <c r="V39" i="26"/>
  <c r="DH35" i="26"/>
  <c r="CY35" i="26" s="1"/>
  <c r="CL35" i="26"/>
  <c r="BX39" i="26"/>
  <c r="AL39" i="26"/>
  <c r="AY39" i="26"/>
  <c r="AC549" i="9"/>
  <c r="AC392" i="9"/>
  <c r="X238" i="26"/>
  <c r="BY238" i="26"/>
  <c r="W238" i="26"/>
  <c r="AC278" i="9"/>
  <c r="AC543" i="9"/>
  <c r="AN275" i="26"/>
  <c r="BJ275" i="26"/>
  <c r="AT275" i="26"/>
  <c r="AV275" i="26"/>
  <c r="AG275" i="26"/>
  <c r="BG275" i="26"/>
  <c r="BI275" i="26"/>
  <c r="AB606" i="9"/>
  <c r="AB888" i="9" s="1"/>
  <c r="AC161" i="9"/>
  <c r="BZ83" i="35"/>
  <c r="BZ235" i="26"/>
  <c r="W235" i="26"/>
  <c r="AJ83" i="35"/>
  <c r="AJ235" i="26"/>
  <c r="AB83" i="35"/>
  <c r="AB235" i="26"/>
  <c r="CA235" i="26"/>
  <c r="AA83" i="35"/>
  <c r="AA235" i="26"/>
  <c r="AA243" i="26" s="1"/>
  <c r="DH153" i="26"/>
  <c r="CY153" i="26" s="1"/>
  <c r="CA325" i="26"/>
  <c r="X304" i="26"/>
  <c r="AG321" i="26"/>
  <c r="AG326" i="26" s="1"/>
  <c r="AG215" i="26"/>
  <c r="X321" i="26"/>
  <c r="X215" i="26"/>
  <c r="BF321" i="26"/>
  <c r="BF326" i="26" s="1"/>
  <c r="BF215" i="26"/>
  <c r="AL215" i="26"/>
  <c r="AL321" i="26"/>
  <c r="AL326" i="26" s="1"/>
  <c r="CH215" i="26"/>
  <c r="CH321" i="26"/>
  <c r="CH326" i="26" s="1"/>
  <c r="V215" i="26"/>
  <c r="V321" i="26"/>
  <c r="DH210" i="26"/>
  <c r="CY210" i="26" s="1"/>
  <c r="AJ223" i="26"/>
  <c r="AJ104" i="26"/>
  <c r="AJ246" i="6" s="1"/>
  <c r="BC223" i="26"/>
  <c r="BC104" i="26"/>
  <c r="BC246" i="6" s="1"/>
  <c r="AD223" i="26"/>
  <c r="AD104" i="26"/>
  <c r="AD246" i="6" s="1"/>
  <c r="BG223" i="26"/>
  <c r="BG104" i="26"/>
  <c r="BG246" i="6" s="1"/>
  <c r="W223" i="26"/>
  <c r="W104" i="26"/>
  <c r="AO223" i="26"/>
  <c r="AO104" i="26"/>
  <c r="AO246" i="6" s="1"/>
  <c r="AC609" i="9"/>
  <c r="AC891" i="9" s="1"/>
  <c r="AD218" i="9"/>
  <c r="AG128" i="30"/>
  <c r="AH220" i="6"/>
  <c r="AH226" i="6" s="1"/>
  <c r="CE157" i="26"/>
  <c r="CI157" i="26"/>
  <c r="AX157" i="26"/>
  <c r="AW157" i="26"/>
  <c r="CF157" i="26"/>
  <c r="AI157" i="26"/>
  <c r="V303" i="26"/>
  <c r="DH303" i="26" s="1"/>
  <c r="CY303" i="26" s="1"/>
  <c r="DH44" i="26"/>
  <c r="CY44" i="26" s="1"/>
  <c r="AB249" i="26"/>
  <c r="AD249" i="26"/>
  <c r="AP249" i="26"/>
  <c r="BA249" i="26"/>
  <c r="AN249" i="26"/>
  <c r="W323" i="26"/>
  <c r="AM221" i="26"/>
  <c r="AM32" i="26"/>
  <c r="AY221" i="26"/>
  <c r="AY32" i="26"/>
  <c r="AN301" i="26"/>
  <c r="AN306" i="26" s="1"/>
  <c r="AN46" i="26"/>
  <c r="CB135" i="30"/>
  <c r="CC251" i="6"/>
  <c r="CC253" i="6" s="1"/>
  <c r="BG301" i="26"/>
  <c r="BG306" i="26" s="1"/>
  <c r="BG46" i="26"/>
  <c r="BH221" i="26"/>
  <c r="BH32" i="26"/>
  <c r="AC221" i="26"/>
  <c r="AC32" i="26"/>
  <c r="AZ221" i="26"/>
  <c r="AZ32" i="26"/>
  <c r="AE301" i="26"/>
  <c r="AE306" i="26" s="1"/>
  <c r="AE46" i="26"/>
  <c r="CI301" i="26"/>
  <c r="CI306" i="26" s="1"/>
  <c r="CI110" i="6" s="1"/>
  <c r="CI46" i="26"/>
  <c r="AC452" i="9"/>
  <c r="AC289" i="9"/>
  <c r="AC535" i="9"/>
  <c r="AC126" i="9"/>
  <c r="AB224" i="26"/>
  <c r="AB130" i="26"/>
  <c r="AB284" i="26" s="1"/>
  <c r="AU224" i="26"/>
  <c r="AU130" i="26"/>
  <c r="AU284" i="26" s="1"/>
  <c r="AE224" i="26"/>
  <c r="AE130" i="26"/>
  <c r="AE284" i="26" s="1"/>
  <c r="AY224" i="26"/>
  <c r="AY130" i="26"/>
  <c r="AY284" i="26" s="1"/>
  <c r="CE224" i="26"/>
  <c r="CE130" i="26"/>
  <c r="CE284" i="26" s="1"/>
  <c r="AJ224" i="26"/>
  <c r="AJ130" i="26"/>
  <c r="AJ284" i="26" s="1"/>
  <c r="AV224" i="26"/>
  <c r="AV130" i="26"/>
  <c r="AV284" i="26" s="1"/>
  <c r="AJ222" i="26"/>
  <c r="AJ78" i="26"/>
  <c r="AJ276" i="26" s="1"/>
  <c r="CI222" i="26"/>
  <c r="CI78" i="26"/>
  <c r="CI276" i="26" s="1"/>
  <c r="AW222" i="26"/>
  <c r="AW78" i="26"/>
  <c r="AW276" i="26" s="1"/>
  <c r="CC222" i="26"/>
  <c r="CC78" i="26"/>
  <c r="CC276" i="26" s="1"/>
  <c r="AH222" i="26"/>
  <c r="AH78" i="26"/>
  <c r="AH276" i="26" s="1"/>
  <c r="BB222" i="26"/>
  <c r="BB78" i="26"/>
  <c r="BB276" i="26" s="1"/>
  <c r="AS222" i="26"/>
  <c r="AS78" i="26"/>
  <c r="AS276" i="26" s="1"/>
  <c r="BY251" i="26"/>
  <c r="W251" i="26"/>
  <c r="BZ236" i="26"/>
  <c r="DH190" i="26"/>
  <c r="CY190" i="26" s="1"/>
  <c r="V285" i="26"/>
  <c r="AX225" i="26"/>
  <c r="AX191" i="26"/>
  <c r="BG225" i="26"/>
  <c r="BG191" i="26"/>
  <c r="AP225" i="26"/>
  <c r="AP191" i="26"/>
  <c r="AH225" i="26"/>
  <c r="AH191" i="26"/>
  <c r="CB225" i="26"/>
  <c r="CB191" i="26"/>
  <c r="BD191" i="26"/>
  <c r="BD225" i="26"/>
  <c r="BX225" i="26"/>
  <c r="BX191" i="26"/>
  <c r="CD39" i="26"/>
  <c r="CI39" i="26"/>
  <c r="AE39" i="26"/>
  <c r="BB39" i="26"/>
  <c r="X264" i="26"/>
  <c r="BY264" i="26"/>
  <c r="CB275" i="26"/>
  <c r="Y275" i="26"/>
  <c r="BC275" i="26"/>
  <c r="BE275" i="26"/>
  <c r="AP275" i="26"/>
  <c r="AQ275" i="26"/>
  <c r="CD275" i="26"/>
  <c r="DH256" i="26"/>
  <c r="CY256" i="26" s="1"/>
  <c r="AC451" i="9"/>
  <c r="AC270" i="9"/>
  <c r="CI83" i="35"/>
  <c r="CI235" i="26"/>
  <c r="AG235" i="26"/>
  <c r="AS83" i="35"/>
  <c r="AS235" i="26"/>
  <c r="CH83" i="35"/>
  <c r="CH235" i="26"/>
  <c r="AC83" i="35"/>
  <c r="AC235" i="26"/>
  <c r="AI83" i="35"/>
  <c r="AI235" i="26"/>
  <c r="X325" i="26"/>
  <c r="AQ321" i="26"/>
  <c r="AQ326" i="26" s="1"/>
  <c r="AQ215" i="26"/>
  <c r="AI321" i="26"/>
  <c r="AI326" i="26" s="1"/>
  <c r="AI215" i="26"/>
  <c r="CC321" i="26"/>
  <c r="CC326" i="26" s="1"/>
  <c r="CC215" i="26"/>
  <c r="AX321" i="26"/>
  <c r="AX326" i="26" s="1"/>
  <c r="AX215" i="26"/>
  <c r="W321" i="26"/>
  <c r="W215" i="26"/>
  <c r="AE215" i="26"/>
  <c r="AE321" i="26"/>
  <c r="AE326" i="26" s="1"/>
  <c r="Y223" i="26"/>
  <c r="Y104" i="26"/>
  <c r="AS223" i="26"/>
  <c r="AS104" i="26"/>
  <c r="AS246" i="6" s="1"/>
  <c r="BY223" i="26"/>
  <c r="BY104" i="26"/>
  <c r="AM223" i="26"/>
  <c r="AM104" i="26"/>
  <c r="AM246" i="6" s="1"/>
  <c r="CC223" i="26"/>
  <c r="CC104" i="26"/>
  <c r="CC246" i="6" s="1"/>
  <c r="AH223" i="26"/>
  <c r="AH104" i="26"/>
  <c r="AH246" i="6" s="1"/>
  <c r="AW223" i="26"/>
  <c r="AW104" i="26"/>
  <c r="AW246" i="6" s="1"/>
  <c r="AC449" i="9"/>
  <c r="AC232" i="9"/>
  <c r="W157" i="26"/>
  <c r="AC157" i="26"/>
  <c r="AF157" i="26"/>
  <c r="BZ157" i="26"/>
  <c r="BF157" i="26"/>
  <c r="AB157" i="26"/>
  <c r="AQ157" i="26"/>
  <c r="DH268" i="26"/>
  <c r="CY268" i="26" s="1"/>
  <c r="CA253" i="26"/>
  <c r="DH189" i="26"/>
  <c r="CY189" i="26" s="1"/>
  <c r="V253" i="26"/>
  <c r="AC536" i="9"/>
  <c r="AC145" i="9"/>
  <c r="AE249" i="26"/>
  <c r="AT249" i="26"/>
  <c r="AM249" i="26"/>
  <c r="AY249" i="26"/>
  <c r="AR249" i="26"/>
  <c r="AK249" i="26"/>
  <c r="AV249" i="26"/>
  <c r="BY323" i="26"/>
  <c r="AC443" i="9"/>
  <c r="AC118" i="9"/>
  <c r="V324" i="26"/>
  <c r="DH324" i="26" s="1"/>
  <c r="CY324" i="26" s="1"/>
  <c r="DH213" i="26"/>
  <c r="CY213" i="26" s="1"/>
  <c r="AA221" i="26"/>
  <c r="AA32" i="26"/>
  <c r="AT221" i="26"/>
  <c r="AT32" i="26"/>
  <c r="V266" i="26"/>
  <c r="DH188" i="26"/>
  <c r="CY188" i="26" s="1"/>
  <c r="AS221" i="26"/>
  <c r="AS32" i="26"/>
  <c r="AH221" i="26"/>
  <c r="AH32" i="26"/>
  <c r="AB615" i="9"/>
  <c r="AB897" i="9" s="1"/>
  <c r="AC332" i="9"/>
  <c r="X322" i="26"/>
  <c r="CX135" i="30"/>
  <c r="CP135" i="30" s="1"/>
  <c r="AC454" i="9"/>
  <c r="AC327" i="9"/>
  <c r="AG221" i="26"/>
  <c r="AG32" i="26"/>
  <c r="AQ221" i="26"/>
  <c r="AQ32" i="26"/>
  <c r="AI221" i="26"/>
  <c r="AI32" i="26"/>
  <c r="AH301" i="26"/>
  <c r="AH306" i="26" s="1"/>
  <c r="AH46" i="26"/>
  <c r="BX301" i="26"/>
  <c r="BX306" i="26" s="1"/>
  <c r="BX110" i="6" s="1"/>
  <c r="BX126" i="6" s="1"/>
  <c r="BE301" i="26"/>
  <c r="BE306" i="26" s="1"/>
  <c r="BE46" i="26"/>
  <c r="BY252" i="26"/>
  <c r="CH221" i="26"/>
  <c r="CH32" i="26"/>
  <c r="BE221" i="26"/>
  <c r="BE32" i="26"/>
  <c r="BX221" i="26"/>
  <c r="BX32" i="26"/>
  <c r="AF135" i="30"/>
  <c r="AG251" i="6"/>
  <c r="AG253" i="6" s="1"/>
  <c r="W239" i="26"/>
  <c r="BA301" i="26"/>
  <c r="BA306" i="26" s="1"/>
  <c r="BA46" i="26"/>
  <c r="CG301" i="26"/>
  <c r="CG306" i="26" s="1"/>
  <c r="CG110" i="6" s="1"/>
  <c r="CG46" i="26"/>
  <c r="V301" i="26"/>
  <c r="DH42" i="26"/>
  <c r="CY42" i="26" s="1"/>
  <c r="V46" i="26"/>
  <c r="AG301" i="26"/>
  <c r="AG306" i="26" s="1"/>
  <c r="AG46" i="26"/>
  <c r="CB301" i="26"/>
  <c r="CB306" i="26" s="1"/>
  <c r="CB110" i="6" s="1"/>
  <c r="CB126" i="6" s="1"/>
  <c r="CB46" i="26"/>
  <c r="BZ252" i="26"/>
  <c r="BZ322" i="26"/>
  <c r="AB221" i="26"/>
  <c r="AB32" i="26"/>
  <c r="AE221" i="26"/>
  <c r="AE32" i="26"/>
  <c r="BG221" i="26"/>
  <c r="BG32" i="26"/>
  <c r="BI221" i="26"/>
  <c r="BI32" i="26"/>
  <c r="BC221" i="26"/>
  <c r="BC32" i="26"/>
  <c r="Y250" i="26"/>
  <c r="BZ250" i="26"/>
  <c r="W266" i="26"/>
  <c r="X266" i="26"/>
  <c r="AB611" i="9"/>
  <c r="AB893" i="9" s="1"/>
  <c r="AC256" i="9"/>
  <c r="AW301" i="26"/>
  <c r="AW306" i="26" s="1"/>
  <c r="AW46" i="26"/>
  <c r="BJ301" i="26"/>
  <c r="BJ306" i="26" s="1"/>
  <c r="BJ46" i="26"/>
  <c r="AK301" i="26"/>
  <c r="AK306" i="26" s="1"/>
  <c r="AK46" i="26"/>
  <c r="AF301" i="26"/>
  <c r="AF306" i="26" s="1"/>
  <c r="AF46" i="26"/>
  <c r="BI301" i="26"/>
  <c r="BI306" i="26" s="1"/>
  <c r="BI46" i="26"/>
  <c r="W252" i="26"/>
  <c r="V252" i="26"/>
  <c r="DH129" i="26"/>
  <c r="CY129" i="26" s="1"/>
  <c r="DH36" i="26"/>
  <c r="CY36" i="26" s="1"/>
  <c r="CL36" i="26"/>
  <c r="AC458" i="9"/>
  <c r="AC403" i="9"/>
  <c r="AK224" i="26"/>
  <c r="AK130" i="26"/>
  <c r="AK284" i="26" s="1"/>
  <c r="BE224" i="26"/>
  <c r="BE130" i="26"/>
  <c r="BE284" i="26" s="1"/>
  <c r="AO224" i="26"/>
  <c r="AO130" i="26"/>
  <c r="AO284" i="26" s="1"/>
  <c r="BH224" i="26"/>
  <c r="BH130" i="26"/>
  <c r="BH284" i="26" s="1"/>
  <c r="Y224" i="26"/>
  <c r="Y130" i="26"/>
  <c r="AS224" i="26"/>
  <c r="AS130" i="26"/>
  <c r="AS284" i="26" s="1"/>
  <c r="BD224" i="26"/>
  <c r="BD130" i="26"/>
  <c r="BD284" i="26" s="1"/>
  <c r="AT222" i="26"/>
  <c r="AT78" i="26"/>
  <c r="AT276" i="26" s="1"/>
  <c r="AD222" i="26"/>
  <c r="AD78" i="26"/>
  <c r="AD276" i="26" s="1"/>
  <c r="BF222" i="26"/>
  <c r="BF78" i="26"/>
  <c r="BF276" i="26" s="1"/>
  <c r="W222" i="26"/>
  <c r="W78" i="26"/>
  <c r="AQ222" i="26"/>
  <c r="AQ78" i="26"/>
  <c r="AQ276" i="26" s="1"/>
  <c r="BX222" i="26"/>
  <c r="BX78" i="26"/>
  <c r="BX276" i="26" s="1"/>
  <c r="BA222" i="26"/>
  <c r="BA78" i="26"/>
  <c r="BA276" i="26" s="1"/>
  <c r="V265" i="26"/>
  <c r="DH128" i="26"/>
  <c r="CY128" i="26" s="1"/>
  <c r="Y265" i="26"/>
  <c r="AH158" i="6"/>
  <c r="AH121" i="30" s="1"/>
  <c r="AI142" i="6"/>
  <c r="AI155" i="6" s="1"/>
  <c r="W236" i="26"/>
  <c r="CA237" i="26"/>
  <c r="CA285" i="26"/>
  <c r="BH191" i="26"/>
  <c r="BH225" i="26"/>
  <c r="CD191" i="26"/>
  <c r="CD225" i="26"/>
  <c r="AZ191" i="26"/>
  <c r="AZ225" i="26"/>
  <c r="AR225" i="26"/>
  <c r="AR191" i="26"/>
  <c r="AT191" i="26"/>
  <c r="AT225" i="26"/>
  <c r="BY225" i="26"/>
  <c r="BY191" i="26"/>
  <c r="CF191" i="26"/>
  <c r="CF225" i="26"/>
  <c r="X39" i="26"/>
  <c r="AA39" i="26"/>
  <c r="AD39" i="26"/>
  <c r="BG39" i="26"/>
  <c r="CE39" i="26"/>
  <c r="AB39" i="26"/>
  <c r="BY302" i="26"/>
  <c r="V238" i="26"/>
  <c r="DH127" i="26"/>
  <c r="CY127" i="26" s="1"/>
  <c r="AC444" i="9"/>
  <c r="AC137" i="9"/>
  <c r="CY188" i="30"/>
  <c r="CQ188" i="30" s="1"/>
  <c r="V275" i="26"/>
  <c r="DH31" i="26"/>
  <c r="CY31" i="26" s="1"/>
  <c r="CL31" i="26"/>
  <c r="AI275" i="26"/>
  <c r="BY275" i="26"/>
  <c r="CA275" i="26"/>
  <c r="AY275" i="26"/>
  <c r="CF275" i="26"/>
  <c r="AC440" i="9"/>
  <c r="AC61" i="9"/>
  <c r="AR83" i="35"/>
  <c r="AR235" i="26"/>
  <c r="AW83" i="35"/>
  <c r="AW235" i="26"/>
  <c r="AP83" i="35"/>
  <c r="AP235" i="26"/>
  <c r="BB83" i="35"/>
  <c r="BB235" i="26"/>
  <c r="X235" i="26"/>
  <c r="AE235" i="26"/>
  <c r="AQ83" i="35"/>
  <c r="AQ235" i="26"/>
  <c r="W304" i="26"/>
  <c r="BY304" i="26"/>
  <c r="Y304" i="26"/>
  <c r="BA321" i="26"/>
  <c r="BA326" i="26" s="1"/>
  <c r="BA215" i="26"/>
  <c r="AS321" i="26"/>
  <c r="AS326" i="26" s="1"/>
  <c r="AS215" i="26"/>
  <c r="AA321" i="26"/>
  <c r="AA326" i="26" s="1"/>
  <c r="AA215" i="26"/>
  <c r="BH321" i="26"/>
  <c r="BH326" i="26" s="1"/>
  <c r="BH215" i="26"/>
  <c r="AF321" i="26"/>
  <c r="AF326" i="26" s="1"/>
  <c r="AF215" i="26"/>
  <c r="AM215" i="26"/>
  <c r="AM321" i="26"/>
  <c r="AM326" i="26" s="1"/>
  <c r="AI223" i="26"/>
  <c r="AI104" i="26"/>
  <c r="AI246" i="6" s="1"/>
  <c r="BB223" i="26"/>
  <c r="BB104" i="26"/>
  <c r="BB246" i="6" s="1"/>
  <c r="CI223" i="26"/>
  <c r="CI104" i="26"/>
  <c r="CI246" i="6" s="1"/>
  <c r="AV223" i="26"/>
  <c r="AV104" i="26"/>
  <c r="AV246" i="6" s="1"/>
  <c r="V223" i="26"/>
  <c r="V104" i="26"/>
  <c r="DH100" i="26"/>
  <c r="CY100" i="26" s="1"/>
  <c r="AQ223" i="26"/>
  <c r="AQ104" i="26"/>
  <c r="AQ246" i="6" s="1"/>
  <c r="BE223" i="26"/>
  <c r="BE104" i="26"/>
  <c r="BE246" i="6" s="1"/>
  <c r="AB1007" i="9"/>
  <c r="AB516" i="9"/>
  <c r="AC190" i="9"/>
  <c r="AB196" i="9"/>
  <c r="AM157" i="26"/>
  <c r="AP157" i="26"/>
  <c r="AU157" i="26"/>
  <c r="DH152" i="26"/>
  <c r="CY152" i="26" s="1"/>
  <c r="V157" i="26"/>
  <c r="CC157" i="26"/>
  <c r="AK157" i="26"/>
  <c r="AY157" i="26"/>
  <c r="X253" i="26"/>
  <c r="DH242" i="26"/>
  <c r="CY242" i="26" s="1"/>
  <c r="AH129" i="30"/>
  <c r="AI229" i="6"/>
  <c r="AI236" i="6" s="1"/>
  <c r="AH249" i="26"/>
  <c r="AW249" i="26"/>
  <c r="BH249" i="26"/>
  <c r="AA249" i="26"/>
  <c r="AA257" i="26" s="1"/>
  <c r="BG249" i="26"/>
  <c r="BD249" i="26"/>
  <c r="Y323" i="26"/>
  <c r="B2" i="16"/>
  <c r="BX1" i="16"/>
  <c r="AA1" i="16"/>
  <c r="V1" i="16"/>
  <c r="D1" i="16"/>
  <c r="D179" i="22"/>
  <c r="EY178" i="22"/>
  <c r="D178" i="22"/>
  <c r="EY177" i="22"/>
  <c r="D177" i="22"/>
  <c r="EY176" i="22"/>
  <c r="D176" i="22"/>
  <c r="EY175" i="22"/>
  <c r="D175" i="22"/>
  <c r="EY174" i="22"/>
  <c r="D174" i="22"/>
  <c r="EY173" i="22"/>
  <c r="D173" i="22"/>
  <c r="EY172" i="22"/>
  <c r="D172" i="22"/>
  <c r="EY171" i="22"/>
  <c r="D171" i="22"/>
  <c r="EY170" i="22"/>
  <c r="D170" i="22"/>
  <c r="EY169" i="22"/>
  <c r="D169" i="22"/>
  <c r="EY168" i="22"/>
  <c r="D168" i="22"/>
  <c r="EY167" i="22"/>
  <c r="D167" i="22"/>
  <c r="EY166" i="22"/>
  <c r="D166" i="22"/>
  <c r="EY165" i="22"/>
  <c r="D165" i="22"/>
  <c r="EY164" i="22"/>
  <c r="D164" i="22"/>
  <c r="EY163" i="22"/>
  <c r="D163" i="22"/>
  <c r="EY162" i="22"/>
  <c r="D162" i="22"/>
  <c r="EY161" i="22"/>
  <c r="D161" i="22"/>
  <c r="EY160" i="22"/>
  <c r="D160" i="22"/>
  <c r="EY159" i="22"/>
  <c r="D159" i="22"/>
  <c r="EY158" i="22"/>
  <c r="D158" i="22"/>
  <c r="EY157" i="22"/>
  <c r="D157" i="22"/>
  <c r="EY156" i="22"/>
  <c r="D156" i="22"/>
  <c r="EY155" i="22"/>
  <c r="D155" i="22"/>
  <c r="EY154" i="22"/>
  <c r="D154" i="22"/>
  <c r="EY153" i="22"/>
  <c r="D153" i="22"/>
  <c r="EY152" i="22"/>
  <c r="D152" i="22"/>
  <c r="EY151" i="22"/>
  <c r="D151" i="22"/>
  <c r="EY150" i="22"/>
  <c r="D150" i="22"/>
  <c r="EY149" i="22"/>
  <c r="D149" i="22"/>
  <c r="EY148" i="22"/>
  <c r="D148" i="22"/>
  <c r="EY147" i="22"/>
  <c r="D147" i="22"/>
  <c r="EY146" i="22"/>
  <c r="D146" i="22"/>
  <c r="EY145" i="22"/>
  <c r="D145" i="22"/>
  <c r="EY144" i="22"/>
  <c r="D144" i="22"/>
  <c r="EY143" i="22"/>
  <c r="D143" i="22"/>
  <c r="EY142" i="22"/>
  <c r="D142" i="22"/>
  <c r="EY141" i="22"/>
  <c r="D141" i="22"/>
  <c r="EY140" i="22"/>
  <c r="D140" i="22"/>
  <c r="EY139" i="22"/>
  <c r="D139" i="22"/>
  <c r="EY138" i="22"/>
  <c r="D138" i="22"/>
  <c r="EY137" i="22"/>
  <c r="D137" i="22"/>
  <c r="EY136" i="22"/>
  <c r="D136" i="22"/>
  <c r="EY135" i="22"/>
  <c r="D135" i="22"/>
  <c r="EY134" i="22"/>
  <c r="D134" i="22"/>
  <c r="EY133" i="22"/>
  <c r="D133" i="22"/>
  <c r="EY132" i="22"/>
  <c r="D132" i="22"/>
  <c r="EY131" i="22"/>
  <c r="D131" i="22"/>
  <c r="EY130" i="22"/>
  <c r="D130" i="22"/>
  <c r="EY129" i="22"/>
  <c r="D129" i="22"/>
  <c r="EY128" i="22"/>
  <c r="D128" i="22"/>
  <c r="EY127" i="22"/>
  <c r="D127" i="22"/>
  <c r="EY126" i="22"/>
  <c r="D126" i="22"/>
  <c r="EY125" i="22"/>
  <c r="D125" i="22"/>
  <c r="EY124" i="22"/>
  <c r="D124" i="22"/>
  <c r="EY123" i="22"/>
  <c r="D123" i="22"/>
  <c r="EY122" i="22"/>
  <c r="D122" i="22"/>
  <c r="EY121" i="22"/>
  <c r="D121" i="22"/>
  <c r="EY120" i="22"/>
  <c r="D120" i="22"/>
  <c r="EY119" i="22"/>
  <c r="D119" i="22"/>
  <c r="EY118" i="22"/>
  <c r="D118" i="22"/>
  <c r="EY117" i="22"/>
  <c r="D117" i="22"/>
  <c r="EY116" i="22"/>
  <c r="D116" i="22"/>
  <c r="EY115" i="22"/>
  <c r="D115" i="22"/>
  <c r="EY114" i="22"/>
  <c r="D114" i="22"/>
  <c r="EY113" i="22"/>
  <c r="D113" i="22"/>
  <c r="EY112" i="22"/>
  <c r="D112" i="22"/>
  <c r="EY111" i="22"/>
  <c r="D111" i="22"/>
  <c r="EY110" i="22"/>
  <c r="D110" i="22"/>
  <c r="EY109" i="22"/>
  <c r="D109" i="22"/>
  <c r="EY108" i="22"/>
  <c r="D108" i="22"/>
  <c r="EY107" i="22"/>
  <c r="D107" i="22"/>
  <c r="EY106" i="22"/>
  <c r="D106" i="22"/>
  <c r="EY105" i="22"/>
  <c r="D105" i="22"/>
  <c r="EY104" i="22"/>
  <c r="D104" i="22"/>
  <c r="EY103" i="22"/>
  <c r="D103" i="22"/>
  <c r="EY102" i="22"/>
  <c r="D102" i="22"/>
  <c r="EY101" i="22"/>
  <c r="D101" i="22"/>
  <c r="EY100" i="22"/>
  <c r="D100" i="22"/>
  <c r="D99" i="22"/>
  <c r="EY97" i="22"/>
  <c r="EY96" i="22"/>
  <c r="EY95" i="22"/>
  <c r="EY94" i="22"/>
  <c r="EY93" i="22"/>
  <c r="EY92" i="22"/>
  <c r="CQ92" i="22" a="1"/>
  <c r="CQ92" i="22" s="1"/>
  <c r="CP92" i="22"/>
  <c r="CO92" i="22"/>
  <c r="A92" i="22" s="1" a="1"/>
  <c r="A92" i="22" s="1"/>
  <c r="CN92" i="22"/>
  <c r="CL92" i="22"/>
  <c r="EY91" i="22"/>
  <c r="CQ91" i="22" a="1"/>
  <c r="CQ91" i="22" s="1"/>
  <c r="CP91" i="22"/>
  <c r="A91" i="22" s="1" a="1"/>
  <c r="A91" i="22" s="1"/>
  <c r="CO91" i="22"/>
  <c r="CN91" i="22"/>
  <c r="CL91" i="22"/>
  <c r="EY90" i="22"/>
  <c r="CQ90" i="22" a="1"/>
  <c r="CQ90" i="22" s="1"/>
  <c r="A90" i="22" s="1" a="1"/>
  <c r="A90" i="22" s="1"/>
  <c r="CP90" i="22"/>
  <c r="CO90" i="22"/>
  <c r="CN90" i="22"/>
  <c r="CL90" i="22"/>
  <c r="EY89" i="22"/>
  <c r="CQ89" i="22" a="1"/>
  <c r="CQ89" i="22" s="1"/>
  <c r="A89" i="22" s="1" a="1"/>
  <c r="A89" i="22" s="1"/>
  <c r="CP89" i="22"/>
  <c r="CO89" i="22"/>
  <c r="CN89" i="22"/>
  <c r="CL89" i="22"/>
  <c r="EY88" i="22"/>
  <c r="CQ88" i="22" a="1"/>
  <c r="CQ88" i="22"/>
  <c r="CP88" i="22"/>
  <c r="CO88" i="22"/>
  <c r="CN88" i="22"/>
  <c r="A88" i="22" s="1" a="1"/>
  <c r="A88" i="22" s="1"/>
  <c r="CL88" i="22"/>
  <c r="EY87" i="22"/>
  <c r="CQ87" i="22" a="1"/>
  <c r="CQ87" i="22"/>
  <c r="CP87" i="22"/>
  <c r="CO87" i="22"/>
  <c r="CN87" i="22"/>
  <c r="A87" i="22" s="1" a="1"/>
  <c r="A87" i="22" s="1"/>
  <c r="CL87" i="22"/>
  <c r="EY86" i="22"/>
  <c r="CQ86" i="22" a="1"/>
  <c r="CQ86" i="22" s="1"/>
  <c r="CP86" i="22"/>
  <c r="CO86" i="22"/>
  <c r="CN86" i="22"/>
  <c r="CL86" i="22"/>
  <c r="EY85" i="22"/>
  <c r="CQ85" i="22" a="1"/>
  <c r="CQ85" i="22"/>
  <c r="CP85" i="22"/>
  <c r="CO85" i="22"/>
  <c r="CN85" i="22"/>
  <c r="A85" i="22" s="1" a="1"/>
  <c r="A85" i="22" s="1"/>
  <c r="CL85" i="22"/>
  <c r="EY84" i="22"/>
  <c r="CQ84" i="22" a="1"/>
  <c r="CQ84" i="22" s="1"/>
  <c r="CP84" i="22"/>
  <c r="CO84" i="22"/>
  <c r="A84" i="22" s="1" a="1"/>
  <c r="A84" i="22" s="1"/>
  <c r="CN84" i="22"/>
  <c r="CL84" i="22"/>
  <c r="EY83" i="22"/>
  <c r="CQ83" i="22" a="1"/>
  <c r="CQ83" i="22" s="1"/>
  <c r="CP83" i="22"/>
  <c r="A83" i="22" s="1" a="1"/>
  <c r="A83" i="22" s="1"/>
  <c r="CO83" i="22"/>
  <c r="CN83" i="22"/>
  <c r="CL83" i="22"/>
  <c r="EY82" i="22"/>
  <c r="CQ82" i="22" a="1"/>
  <c r="CQ82" i="22" s="1"/>
  <c r="A82" i="22" s="1" a="1"/>
  <c r="A82" i="22" s="1"/>
  <c r="CP82" i="22"/>
  <c r="CO82" i="22"/>
  <c r="CN82" i="22"/>
  <c r="CL82" i="22"/>
  <c r="EY81" i="22"/>
  <c r="CQ81" i="22" a="1"/>
  <c r="CQ81" i="22" s="1"/>
  <c r="A81" i="22" s="1" a="1"/>
  <c r="A81" i="22" s="1"/>
  <c r="CP81" i="22"/>
  <c r="CO81" i="22"/>
  <c r="CN81" i="22"/>
  <c r="CL81" i="22"/>
  <c r="EY80" i="22"/>
  <c r="CQ80" i="22" a="1"/>
  <c r="CQ80" i="22"/>
  <c r="CP80" i="22"/>
  <c r="CO80" i="22"/>
  <c r="CN80" i="22"/>
  <c r="A80" i="22" s="1" a="1"/>
  <c r="A80" i="22" s="1"/>
  <c r="CL80" i="22"/>
  <c r="EY79" i="22"/>
  <c r="CQ79" i="22" a="1"/>
  <c r="CQ79" i="22"/>
  <c r="CP79" i="22"/>
  <c r="CO79" i="22"/>
  <c r="CN79" i="22"/>
  <c r="A79" i="22" s="1" a="1"/>
  <c r="A79" i="22" s="1"/>
  <c r="CL79" i="22"/>
  <c r="EY78" i="22"/>
  <c r="CQ78" i="22" a="1"/>
  <c r="CQ78" i="22" s="1"/>
  <c r="CP78" i="22"/>
  <c r="CO78" i="22"/>
  <c r="CN78" i="22"/>
  <c r="A78" i="22" s="1" a="1"/>
  <c r="A78" i="22" s="1"/>
  <c r="CL78" i="22"/>
  <c r="EY77" i="22"/>
  <c r="CQ77" i="22" a="1"/>
  <c r="CQ77" i="22"/>
  <c r="CP77" i="22"/>
  <c r="CO77" i="22"/>
  <c r="CN77" i="22"/>
  <c r="A77" i="22" s="1" a="1"/>
  <c r="A77" i="22" s="1"/>
  <c r="CL77" i="22"/>
  <c r="EY76" i="22"/>
  <c r="CQ76" i="22" a="1"/>
  <c r="CQ76" i="22" s="1"/>
  <c r="CP76" i="22"/>
  <c r="CO76" i="22"/>
  <c r="CN76" i="22"/>
  <c r="CL76" i="22"/>
  <c r="EY75" i="22"/>
  <c r="CQ75" i="22" a="1"/>
  <c r="CQ75" i="22" s="1"/>
  <c r="CP75" i="22"/>
  <c r="A75" i="22" s="1" a="1"/>
  <c r="A75" i="22" s="1"/>
  <c r="CO75" i="22"/>
  <c r="CN75" i="22"/>
  <c r="CL75" i="22"/>
  <c r="EY74" i="22"/>
  <c r="CQ74" i="22" a="1"/>
  <c r="CQ74" i="22" s="1"/>
  <c r="A74" i="22" s="1" a="1"/>
  <c r="A74" i="22" s="1"/>
  <c r="CP74" i="22"/>
  <c r="CO74" i="22"/>
  <c r="CN74" i="22"/>
  <c r="CL74" i="22"/>
  <c r="EY73" i="22"/>
  <c r="CQ73" i="22" a="1"/>
  <c r="CQ73" i="22" s="1"/>
  <c r="A73" i="22" s="1" a="1"/>
  <c r="A73" i="22" s="1"/>
  <c r="CP73" i="22"/>
  <c r="CO73" i="22"/>
  <c r="CN73" i="22"/>
  <c r="CL73" i="22"/>
  <c r="EY72" i="22"/>
  <c r="CQ72" i="22" a="1"/>
  <c r="CQ72" i="22"/>
  <c r="CP72" i="22"/>
  <c r="CO72" i="22"/>
  <c r="CN72" i="22"/>
  <c r="A72" i="22" s="1" a="1"/>
  <c r="A72" i="22" s="1"/>
  <c r="CL72" i="22"/>
  <c r="EY71" i="22"/>
  <c r="CQ71" i="22" a="1"/>
  <c r="CQ71" i="22"/>
  <c r="CP71" i="22"/>
  <c r="CO71" i="22"/>
  <c r="CN71" i="22"/>
  <c r="A71" i="22" s="1" a="1"/>
  <c r="A71" i="22" s="1"/>
  <c r="CL71" i="22"/>
  <c r="EY70" i="22"/>
  <c r="CQ70" i="22" a="1"/>
  <c r="CQ70" i="22" s="1"/>
  <c r="CP70" i="22"/>
  <c r="CO70" i="22"/>
  <c r="CN70" i="22"/>
  <c r="A70" i="22" s="1" a="1"/>
  <c r="A70" i="22" s="1"/>
  <c r="CL70" i="22"/>
  <c r="EY69" i="22"/>
  <c r="CQ69" i="22" a="1"/>
  <c r="CQ69" i="22"/>
  <c r="CP69" i="22"/>
  <c r="CO69" i="22"/>
  <c r="CN69" i="22"/>
  <c r="A69" i="22" s="1" a="1"/>
  <c r="A69" i="22" s="1"/>
  <c r="CL69" i="22"/>
  <c r="EY68" i="22"/>
  <c r="CQ68" i="22" a="1"/>
  <c r="CQ68" i="22" s="1"/>
  <c r="CP68" i="22"/>
  <c r="CO68" i="22"/>
  <c r="A68" i="22" s="1" a="1"/>
  <c r="A68" i="22" s="1"/>
  <c r="CN68" i="22"/>
  <c r="CL68" i="22"/>
  <c r="EY67" i="22"/>
  <c r="CQ67" i="22" a="1"/>
  <c r="CQ67" i="22" s="1"/>
  <c r="CP67" i="22"/>
  <c r="CO67" i="22"/>
  <c r="CN67" i="22"/>
  <c r="CL67" i="22"/>
  <c r="EY66" i="22"/>
  <c r="CQ66" i="22" a="1"/>
  <c r="CQ66" i="22" s="1"/>
  <c r="A66" i="22" s="1" a="1"/>
  <c r="A66" i="22" s="1"/>
  <c r="CP66" i="22"/>
  <c r="CO66" i="22"/>
  <c r="CN66" i="22"/>
  <c r="CL66" i="22"/>
  <c r="EY65" i="22"/>
  <c r="CQ65" i="22" a="1"/>
  <c r="CQ65" i="22" s="1"/>
  <c r="A65" i="22" s="1" a="1"/>
  <c r="A65" i="22" s="1"/>
  <c r="CP65" i="22"/>
  <c r="CO65" i="22"/>
  <c r="CN65" i="22"/>
  <c r="CL65" i="22"/>
  <c r="EY64" i="22"/>
  <c r="CQ64" i="22" a="1"/>
  <c r="CQ64" i="22"/>
  <c r="CP64" i="22"/>
  <c r="CO64" i="22"/>
  <c r="CN64" i="22"/>
  <c r="A64" i="22" s="1" a="1"/>
  <c r="A64" i="22" s="1"/>
  <c r="CL64" i="22"/>
  <c r="EY63" i="22"/>
  <c r="CQ63" i="22" a="1"/>
  <c r="CQ63" i="22"/>
  <c r="CP63" i="22"/>
  <c r="CO63" i="22"/>
  <c r="CN63" i="22"/>
  <c r="A63" i="22" s="1" a="1"/>
  <c r="A63" i="22" s="1"/>
  <c r="CL63" i="22"/>
  <c r="EY62" i="22"/>
  <c r="CQ62" i="22" a="1"/>
  <c r="CQ62" i="22" s="1"/>
  <c r="CP62" i="22"/>
  <c r="CO62" i="22"/>
  <c r="CN62" i="22"/>
  <c r="CL62" i="22"/>
  <c r="EY61" i="22"/>
  <c r="CQ61" i="22" a="1"/>
  <c r="CQ61" i="22"/>
  <c r="CP61" i="22"/>
  <c r="CO61" i="22"/>
  <c r="CN61" i="22"/>
  <c r="A61" i="22" s="1" a="1"/>
  <c r="A61" i="22" s="1"/>
  <c r="CL61" i="22"/>
  <c r="EY60" i="22"/>
  <c r="CQ60" i="22" a="1"/>
  <c r="CQ60" i="22" s="1"/>
  <c r="CP60" i="22"/>
  <c r="CO60" i="22"/>
  <c r="A60" i="22" s="1" a="1"/>
  <c r="A60" i="22" s="1"/>
  <c r="CN60" i="22"/>
  <c r="CL60" i="22"/>
  <c r="EY59" i="22"/>
  <c r="CQ59" i="22" a="1"/>
  <c r="CQ59" i="22" s="1"/>
  <c r="CP59" i="22"/>
  <c r="A59" i="22" s="1" a="1"/>
  <c r="A59" i="22" s="1"/>
  <c r="CO59" i="22"/>
  <c r="CN59" i="22"/>
  <c r="CL59" i="22"/>
  <c r="EY58" i="22"/>
  <c r="CQ58" i="22" a="1"/>
  <c r="CQ58" i="22" s="1"/>
  <c r="A58" i="22" s="1" a="1"/>
  <c r="A58" i="22" s="1"/>
  <c r="CP58" i="22"/>
  <c r="CO58" i="22"/>
  <c r="CN58" i="22"/>
  <c r="CL58" i="22"/>
  <c r="EY57" i="22"/>
  <c r="CQ57" i="22" a="1"/>
  <c r="CQ57" i="22" s="1"/>
  <c r="A57" i="22" s="1" a="1"/>
  <c r="A57" i="22" s="1"/>
  <c r="CP57" i="22"/>
  <c r="CO57" i="22"/>
  <c r="CN57" i="22"/>
  <c r="CL57" i="22"/>
  <c r="EY56" i="22"/>
  <c r="CQ56" i="22" a="1"/>
  <c r="CQ56" i="22"/>
  <c r="CP56" i="22"/>
  <c r="CO56" i="22"/>
  <c r="CN56" i="22"/>
  <c r="A56" i="22" s="1" a="1"/>
  <c r="A56" i="22" s="1"/>
  <c r="CL56" i="22"/>
  <c r="EY55" i="22"/>
  <c r="CQ55" i="22" a="1"/>
  <c r="CQ55" i="22"/>
  <c r="CP55" i="22"/>
  <c r="CO55" i="22"/>
  <c r="CN55" i="22"/>
  <c r="A55" i="22" s="1" a="1"/>
  <c r="A55" i="22" s="1"/>
  <c r="CL55" i="22"/>
  <c r="EY54" i="22"/>
  <c r="CQ54" i="22" a="1"/>
  <c r="CQ54" i="22" s="1"/>
  <c r="CP54" i="22"/>
  <c r="CO54" i="22"/>
  <c r="CN54" i="22"/>
  <c r="A54" i="22" s="1" a="1"/>
  <c r="A54" i="22" s="1"/>
  <c r="CL54" i="22"/>
  <c r="EY53" i="22"/>
  <c r="CQ53" i="22" a="1"/>
  <c r="CQ53" i="22"/>
  <c r="CP53" i="22"/>
  <c r="CO53" i="22"/>
  <c r="CN53" i="22"/>
  <c r="A53" i="22" s="1" a="1"/>
  <c r="A53" i="22" s="1"/>
  <c r="CL53" i="22"/>
  <c r="EY52" i="22"/>
  <c r="CQ52" i="22" a="1"/>
  <c r="CQ52" i="22" s="1"/>
  <c r="CP52" i="22"/>
  <c r="CO52" i="22"/>
  <c r="CN52" i="22"/>
  <c r="CL52" i="22"/>
  <c r="EY51" i="22"/>
  <c r="CQ51" i="22" a="1"/>
  <c r="CQ51" i="22" s="1"/>
  <c r="CP51" i="22"/>
  <c r="A51" i="22" s="1" a="1"/>
  <c r="A51" i="22" s="1"/>
  <c r="CO51" i="22"/>
  <c r="CN51" i="22"/>
  <c r="CL51" i="22"/>
  <c r="EY50" i="22"/>
  <c r="CQ50" i="22" a="1"/>
  <c r="CQ50" i="22" s="1"/>
  <c r="A50" i="22" s="1" a="1"/>
  <c r="A50" i="22" s="1"/>
  <c r="CP50" i="22"/>
  <c r="CO50" i="22"/>
  <c r="CN50" i="22"/>
  <c r="CL50" i="22"/>
  <c r="EY49" i="22"/>
  <c r="CQ49" i="22" a="1"/>
  <c r="CQ49" i="22" s="1"/>
  <c r="A49" i="22" s="1" a="1"/>
  <c r="A49" i="22" s="1"/>
  <c r="CP49" i="22"/>
  <c r="CO49" i="22"/>
  <c r="CN49" i="22"/>
  <c r="CL49" i="22"/>
  <c r="EY48" i="22"/>
  <c r="CQ48" i="22" a="1"/>
  <c r="CQ48" i="22"/>
  <c r="CP48" i="22"/>
  <c r="CO48" i="22"/>
  <c r="CN48" i="22"/>
  <c r="A48" i="22" s="1" a="1"/>
  <c r="A48" i="22" s="1"/>
  <c r="CL48" i="22"/>
  <c r="EY47" i="22"/>
  <c r="CQ47" i="22" a="1"/>
  <c r="CQ47" i="22"/>
  <c r="CP47" i="22"/>
  <c r="CO47" i="22"/>
  <c r="CN47" i="22"/>
  <c r="A47" i="22" s="1" a="1"/>
  <c r="A47" i="22" s="1"/>
  <c r="CL47" i="22"/>
  <c r="EY46" i="22"/>
  <c r="CQ46" i="22" a="1"/>
  <c r="CQ46" i="22" s="1"/>
  <c r="CP46" i="22"/>
  <c r="CO46" i="22"/>
  <c r="CN46" i="22"/>
  <c r="CL46" i="22"/>
  <c r="EY45" i="22"/>
  <c r="CQ45" i="22" a="1"/>
  <c r="CQ45" i="22"/>
  <c r="CP45" i="22"/>
  <c r="CO45" i="22"/>
  <c r="CN45" i="22"/>
  <c r="A45" i="22" s="1" a="1"/>
  <c r="A45" i="22" s="1"/>
  <c r="CL45" i="22"/>
  <c r="EY44" i="22"/>
  <c r="CQ44" i="22" a="1"/>
  <c r="CQ44" i="22" s="1"/>
  <c r="CP44" i="22"/>
  <c r="CO44" i="22"/>
  <c r="CN44" i="22"/>
  <c r="CL44" i="22"/>
  <c r="EY43" i="22"/>
  <c r="CQ43" i="22" a="1"/>
  <c r="CQ43" i="22" s="1"/>
  <c r="CP43" i="22"/>
  <c r="A43" i="22" s="1" a="1"/>
  <c r="A43" i="22" s="1"/>
  <c r="CO43" i="22"/>
  <c r="CN43" i="22"/>
  <c r="CL43" i="22"/>
  <c r="EY42" i="22"/>
  <c r="CQ42" i="22" a="1"/>
  <c r="CQ42" i="22" s="1"/>
  <c r="A42" i="22" s="1" a="1"/>
  <c r="A42" i="22" s="1"/>
  <c r="CP42" i="22"/>
  <c r="CO42" i="22"/>
  <c r="CN42" i="22"/>
  <c r="CL42" i="22"/>
  <c r="EY41" i="22"/>
  <c r="CQ41" i="22" a="1"/>
  <c r="CQ41" i="22" s="1"/>
  <c r="A41" i="22" s="1" a="1"/>
  <c r="A41" i="22" s="1"/>
  <c r="CP41" i="22"/>
  <c r="CO41" i="22"/>
  <c r="CN41" i="22"/>
  <c r="CL41" i="22"/>
  <c r="EY40" i="22"/>
  <c r="CQ40" i="22" a="1"/>
  <c r="CQ40" i="22"/>
  <c r="CP40" i="22"/>
  <c r="CO40" i="22"/>
  <c r="CN40" i="22"/>
  <c r="A40" i="22" s="1" a="1"/>
  <c r="A40" i="22" s="1"/>
  <c r="CL40" i="22"/>
  <c r="EY39" i="22"/>
  <c r="CQ39" i="22" a="1"/>
  <c r="CQ39" i="22"/>
  <c r="CP39" i="22"/>
  <c r="CO39" i="22"/>
  <c r="CN39" i="22"/>
  <c r="A39" i="22" s="1" a="1"/>
  <c r="A39" i="22" s="1"/>
  <c r="CL39" i="22"/>
  <c r="EY38" i="22"/>
  <c r="CQ38" i="22" a="1"/>
  <c r="CQ38" i="22" s="1"/>
  <c r="CP38" i="22"/>
  <c r="CO38" i="22"/>
  <c r="CN38" i="22"/>
  <c r="A38" i="22" s="1" a="1"/>
  <c r="A38" i="22" s="1"/>
  <c r="CL38" i="22"/>
  <c r="EY37" i="22"/>
  <c r="CQ37" i="22" a="1"/>
  <c r="CQ37" i="22"/>
  <c r="CP37" i="22"/>
  <c r="CO37" i="22"/>
  <c r="CN37" i="22"/>
  <c r="A37" i="22" s="1" a="1"/>
  <c r="A37" i="22" s="1"/>
  <c r="CL37" i="22"/>
  <c r="EY36" i="22"/>
  <c r="CQ36" i="22" a="1"/>
  <c r="CQ36" i="22" s="1"/>
  <c r="CP36" i="22"/>
  <c r="CO36" i="22"/>
  <c r="A36" i="22" s="1" a="1"/>
  <c r="A36" i="22" s="1"/>
  <c r="CN36" i="22"/>
  <c r="CL36" i="22"/>
  <c r="EY35" i="22"/>
  <c r="CQ35" i="22" a="1"/>
  <c r="CQ35" i="22" s="1"/>
  <c r="CP35" i="22"/>
  <c r="CO35" i="22"/>
  <c r="CN35" i="22"/>
  <c r="CL35" i="22"/>
  <c r="EY34" i="22"/>
  <c r="CQ34" i="22" a="1"/>
  <c r="CQ34" i="22" s="1"/>
  <c r="A34" i="22" s="1" a="1"/>
  <c r="A34" i="22" s="1"/>
  <c r="CP34" i="22"/>
  <c r="CO34" i="22"/>
  <c r="CN34" i="22"/>
  <c r="CL34" i="22"/>
  <c r="EY33" i="22"/>
  <c r="CQ33" i="22" a="1"/>
  <c r="CQ33" i="22" s="1"/>
  <c r="A33" i="22" s="1" a="1"/>
  <c r="A33" i="22" s="1"/>
  <c r="CP33" i="22"/>
  <c r="CO33" i="22"/>
  <c r="CN33" i="22"/>
  <c r="CL33" i="22"/>
  <c r="EY32" i="22"/>
  <c r="CQ32" i="22" a="1"/>
  <c r="CQ32" i="22"/>
  <c r="CP32" i="22"/>
  <c r="CO32" i="22"/>
  <c r="CN32" i="22"/>
  <c r="A32" i="22" s="1" a="1"/>
  <c r="A32" i="22" s="1"/>
  <c r="CL32" i="22"/>
  <c r="EY31" i="22"/>
  <c r="CQ31" i="22" a="1"/>
  <c r="CQ31" i="22"/>
  <c r="CP31" i="22"/>
  <c r="CO31" i="22"/>
  <c r="CN31" i="22"/>
  <c r="A31" i="22" s="1" a="1"/>
  <c r="A31" i="22" s="1"/>
  <c r="CL31" i="22"/>
  <c r="EY30" i="22"/>
  <c r="CQ30" i="22" a="1"/>
  <c r="CQ30" i="22" s="1"/>
  <c r="CP30" i="22"/>
  <c r="CO30" i="22"/>
  <c r="CN30" i="22"/>
  <c r="A30" i="22" s="1" a="1"/>
  <c r="A30" i="22" s="1"/>
  <c r="CL30" i="22"/>
  <c r="EY29" i="22"/>
  <c r="CQ29" i="22" a="1"/>
  <c r="CQ29" i="22"/>
  <c r="CP29" i="22"/>
  <c r="CO29" i="22"/>
  <c r="CN29" i="22"/>
  <c r="A29" i="22" s="1" a="1"/>
  <c r="A29" i="22" s="1"/>
  <c r="CL29" i="22"/>
  <c r="EY28" i="22"/>
  <c r="CQ28" i="22" a="1"/>
  <c r="CQ28" i="22" s="1"/>
  <c r="CP28" i="22"/>
  <c r="CO28" i="22"/>
  <c r="A28" i="22" s="1" a="1"/>
  <c r="A28" i="22" s="1"/>
  <c r="CN28" i="22"/>
  <c r="CL28" i="22"/>
  <c r="EY27" i="22"/>
  <c r="CQ27" i="22" a="1"/>
  <c r="CQ27" i="22" s="1"/>
  <c r="CP27" i="22"/>
  <c r="A27" i="22" s="1" a="1"/>
  <c r="A27" i="22" s="1"/>
  <c r="CO27" i="22"/>
  <c r="CN27" i="22"/>
  <c r="CL27" i="22"/>
  <c r="EY26" i="22"/>
  <c r="CQ26" i="22" a="1"/>
  <c r="CQ26" i="22" s="1"/>
  <c r="A26" i="22" s="1" a="1"/>
  <c r="A26" i="22" s="1"/>
  <c r="CP26" i="22"/>
  <c r="CO26" i="22"/>
  <c r="CN26" i="22"/>
  <c r="CL26" i="22"/>
  <c r="EY25" i="22"/>
  <c r="CQ25" i="22" a="1"/>
  <c r="CQ25" i="22" s="1"/>
  <c r="A25" i="22" s="1" a="1"/>
  <c r="A25" i="22" s="1"/>
  <c r="CP25" i="22"/>
  <c r="CO25" i="22"/>
  <c r="CN25" i="22"/>
  <c r="CL25" i="22"/>
  <c r="EY24" i="22"/>
  <c r="CQ24" i="22" a="1"/>
  <c r="CQ24" i="22"/>
  <c r="CP24" i="22"/>
  <c r="CO24" i="22"/>
  <c r="CN24" i="22"/>
  <c r="A24" i="22" s="1" a="1"/>
  <c r="A24" i="22" s="1"/>
  <c r="CL24" i="22"/>
  <c r="EY23" i="22"/>
  <c r="CQ23" i="22" a="1"/>
  <c r="CQ23" i="22"/>
  <c r="CP23" i="22"/>
  <c r="CO23" i="22"/>
  <c r="CN23" i="22"/>
  <c r="A23" i="22" s="1" a="1"/>
  <c r="A23" i="22" s="1"/>
  <c r="CL23" i="22"/>
  <c r="EY22" i="22"/>
  <c r="CQ22" i="22" a="1"/>
  <c r="CQ22" i="22"/>
  <c r="CP22" i="22"/>
  <c r="CO22" i="22"/>
  <c r="CN22" i="22"/>
  <c r="A22" i="22" s="1" a="1"/>
  <c r="A22" i="22" s="1"/>
  <c r="CL22" i="22"/>
  <c r="EY21" i="22"/>
  <c r="CQ21" i="22" a="1"/>
  <c r="CQ21" i="22"/>
  <c r="CP21" i="22"/>
  <c r="CO21" i="22"/>
  <c r="CN21" i="22"/>
  <c r="A21" i="22" s="1" a="1"/>
  <c r="A21" i="22" s="1"/>
  <c r="CL21" i="22"/>
  <c r="EY20" i="22"/>
  <c r="CQ20" i="22" a="1"/>
  <c r="CQ20" i="22" s="1"/>
  <c r="CP20" i="22"/>
  <c r="CO20" i="22"/>
  <c r="A20" i="22" s="1" a="1"/>
  <c r="A20" i="22" s="1"/>
  <c r="CN20" i="22"/>
  <c r="CL20" i="22"/>
  <c r="EY19" i="22"/>
  <c r="CQ19" i="22" a="1"/>
  <c r="CQ19" i="22" s="1"/>
  <c r="CP19" i="22"/>
  <c r="A19" i="22" s="1" a="1"/>
  <c r="A19" i="22" s="1"/>
  <c r="CO19" i="22"/>
  <c r="CN19" i="22"/>
  <c r="CL19" i="22"/>
  <c r="EY18" i="22"/>
  <c r="CQ18" i="22" a="1"/>
  <c r="CQ18" i="22" s="1"/>
  <c r="A18" i="22" s="1" a="1"/>
  <c r="A18" i="22" s="1"/>
  <c r="CP18" i="22"/>
  <c r="CO18" i="22"/>
  <c r="CN18" i="22"/>
  <c r="CL18" i="22"/>
  <c r="EY17" i="22"/>
  <c r="CQ17" i="22" a="1"/>
  <c r="CQ17" i="22" s="1"/>
  <c r="A17" i="22" s="1" a="1"/>
  <c r="A17" i="22" s="1"/>
  <c r="CP17" i="22"/>
  <c r="CO17" i="22"/>
  <c r="CN17" i="22"/>
  <c r="CL17" i="22"/>
  <c r="EY16" i="22"/>
  <c r="CQ16" i="22" a="1"/>
  <c r="CQ16" i="22"/>
  <c r="CP16" i="22"/>
  <c r="CO16" i="22"/>
  <c r="CN16" i="22"/>
  <c r="A16" i="22" s="1" a="1"/>
  <c r="A16" i="22" s="1"/>
  <c r="CL16" i="22"/>
  <c r="EY15" i="22"/>
  <c r="CQ15" i="22" a="1"/>
  <c r="CQ15" i="22"/>
  <c r="CP15" i="22"/>
  <c r="CO15" i="22"/>
  <c r="A15" i="22" s="1" a="1"/>
  <c r="A15" i="22" s="1"/>
  <c r="CN15" i="22"/>
  <c r="CL15" i="22"/>
  <c r="EY14" i="22"/>
  <c r="CQ14" i="22" a="1"/>
  <c r="CQ14" i="22"/>
  <c r="CP14" i="22"/>
  <c r="CO14" i="22"/>
  <c r="CN14" i="22"/>
  <c r="A14" i="22" s="1" a="1"/>
  <c r="A14" i="22" s="1"/>
  <c r="CL14" i="22"/>
  <c r="EY13" i="22"/>
  <c r="CQ13" i="22" a="1"/>
  <c r="CQ13" i="22"/>
  <c r="CP13" i="22"/>
  <c r="CO13" i="22"/>
  <c r="CN13" i="22"/>
  <c r="A13" i="22" s="1" a="1"/>
  <c r="A13" i="22" s="1"/>
  <c r="CL13" i="22"/>
  <c r="EY12" i="22"/>
  <c r="CQ12" i="22" a="1"/>
  <c r="CQ12" i="22" s="1"/>
  <c r="CP12" i="22"/>
  <c r="CO12" i="22"/>
  <c r="A12" i="22" s="1" a="1"/>
  <c r="A12" i="22" s="1"/>
  <c r="CN12" i="22"/>
  <c r="CL12" i="22"/>
  <c r="EY11" i="22"/>
  <c r="CP11" i="22"/>
  <c r="CO11" i="22"/>
  <c r="CN11" i="22"/>
  <c r="A11" i="22" s="1" a="1"/>
  <c r="A11" i="22" s="1"/>
  <c r="CL11" i="22"/>
  <c r="EY10" i="22"/>
  <c r="CP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CO10" i="22" s="1"/>
  <c r="AL10" i="22"/>
  <c r="AK10" i="22"/>
  <c r="AJ10" i="22"/>
  <c r="AI10" i="22"/>
  <c r="AH10" i="22"/>
  <c r="AG10" i="22"/>
  <c r="AF10" i="22"/>
  <c r="AE10" i="22"/>
  <c r="CN10" i="22" s="1"/>
  <c r="A10" i="22" s="1" a="1"/>
  <c r="A10" i="22" s="1"/>
  <c r="AD10" i="22"/>
  <c r="AC10" i="22"/>
  <c r="AB10" i="22"/>
  <c r="AA10" i="22"/>
  <c r="EY9" i="22"/>
  <c r="CP9" i="22"/>
  <c r="A9" i="22" s="1" a="1"/>
  <c r="A9" i="22" s="1"/>
  <c r="CO9" i="22"/>
  <c r="CN9" i="22"/>
  <c r="CL9" i="22"/>
  <c r="EY8" i="22"/>
  <c r="BX6" i="22" a="1"/>
  <c r="BX6" i="22" s="1"/>
  <c r="V6" i="22" a="1"/>
  <c r="V6" i="22" s="1"/>
  <c r="A6" i="22" a="1"/>
  <c r="A6" i="22" s="1"/>
  <c r="D5" i="22"/>
  <c r="D4" i="22"/>
  <c r="D3" i="22"/>
  <c r="A3" i="22" a="1"/>
  <c r="CE126" i="6" l="1"/>
  <c r="CI126" i="6"/>
  <c r="CC126" i="6"/>
  <c r="DH311" i="26"/>
  <c r="CY311" i="26" s="1"/>
  <c r="CG126" i="6"/>
  <c r="CF126" i="6"/>
  <c r="AF110" i="6"/>
  <c r="AF126" i="6" s="1"/>
  <c r="AJ110" i="6"/>
  <c r="BF110" i="6"/>
  <c r="AV110" i="6"/>
  <c r="AB110" i="6"/>
  <c r="AB126" i="6" s="1"/>
  <c r="AT110" i="6"/>
  <c r="AT126" i="6" s="1"/>
  <c r="AI110" i="6"/>
  <c r="BF118" i="6"/>
  <c r="AU118" i="6"/>
  <c r="AD118" i="6"/>
  <c r="AE110" i="6"/>
  <c r="BG110" i="6"/>
  <c r="BG126" i="6" s="1"/>
  <c r="AZ110" i="6"/>
  <c r="AZ126" i="6" s="1"/>
  <c r="AP110" i="6"/>
  <c r="AO110" i="6"/>
  <c r="AO126" i="6" s="1"/>
  <c r="BC118" i="6"/>
  <c r="BD118" i="6"/>
  <c r="AJ118" i="6"/>
  <c r="AC118" i="6"/>
  <c r="AK110" i="6"/>
  <c r="AH110" i="6"/>
  <c r="AD110" i="6"/>
  <c r="AU110" i="6"/>
  <c r="BH110" i="6"/>
  <c r="AL110" i="6"/>
  <c r="AP118" i="6"/>
  <c r="AY118" i="6"/>
  <c r="AV118" i="6"/>
  <c r="BA110" i="6"/>
  <c r="BA126" i="6" s="1"/>
  <c r="AX110" i="6"/>
  <c r="AX126" i="6" s="1"/>
  <c r="AM110" i="6"/>
  <c r="AM126" i="6" s="1"/>
  <c r="AI118" i="6"/>
  <c r="AR118" i="6"/>
  <c r="BJ110" i="6"/>
  <c r="BJ126" i="6" s="1"/>
  <c r="AG110" i="6"/>
  <c r="BD110" i="6"/>
  <c r="AQ110" i="6"/>
  <c r="AQ126" i="6" s="1"/>
  <c r="AS110" i="6"/>
  <c r="AS126" i="6" s="1"/>
  <c r="BI118" i="6"/>
  <c r="BH118" i="6"/>
  <c r="AL118" i="6"/>
  <c r="BI110" i="6"/>
  <c r="AW110" i="6"/>
  <c r="AW126" i="6" s="1"/>
  <c r="AY110" i="6"/>
  <c r="BB110" i="6"/>
  <c r="BB126" i="6" s="1"/>
  <c r="AN118" i="6"/>
  <c r="AH118" i="6"/>
  <c r="AK118" i="6"/>
  <c r="AN110" i="6"/>
  <c r="BC110" i="6"/>
  <c r="AA118" i="6"/>
  <c r="AA122" i="6" s="1"/>
  <c r="AB117" i="6" s="1"/>
  <c r="AB122" i="6" s="1"/>
  <c r="AC117" i="6" s="1"/>
  <c r="BE118" i="6"/>
  <c r="V306" i="26"/>
  <c r="V110" i="6" s="1"/>
  <c r="V126" i="6" s="1"/>
  <c r="BE110" i="6"/>
  <c r="AC110" i="6"/>
  <c r="AR110" i="6"/>
  <c r="AE118" i="6"/>
  <c r="AG118" i="6"/>
  <c r="AA278" i="26"/>
  <c r="AA34" i="6" s="1"/>
  <c r="AA70" i="30" s="1"/>
  <c r="DH223" i="26"/>
  <c r="CY223" i="26" s="1"/>
  <c r="DH53" i="26"/>
  <c r="CY53" i="26" s="1"/>
  <c r="DH312" i="26"/>
  <c r="CY312" i="26" s="1"/>
  <c r="AA37" i="6"/>
  <c r="AA71" i="30" s="1"/>
  <c r="DH316" i="26"/>
  <c r="CY316" i="26" s="1"/>
  <c r="AA229" i="26"/>
  <c r="AB220" i="26" s="1"/>
  <c r="AB229" i="26" s="1"/>
  <c r="A35" i="22" a="1"/>
  <c r="A35" i="22" s="1"/>
  <c r="A44" i="22" a="1"/>
  <c r="A44" i="22" s="1"/>
  <c r="A62" i="22" a="1"/>
  <c r="A62" i="22" s="1"/>
  <c r="A52" i="22" a="1"/>
  <c r="A52" i="22" s="1"/>
  <c r="A86" i="22" a="1"/>
  <c r="A86" i="22" s="1"/>
  <c r="A46" i="22" a="1"/>
  <c r="A46" i="22" s="1"/>
  <c r="A67" i="22" a="1"/>
  <c r="A67" i="22" s="1"/>
  <c r="A76" i="22" a="1"/>
  <c r="A76" i="22" s="1"/>
  <c r="AU165" i="26"/>
  <c r="AU167" i="26" s="1"/>
  <c r="AU183" i="30" s="1"/>
  <c r="AU163" i="26"/>
  <c r="X83" i="35"/>
  <c r="CW186" i="30"/>
  <c r="AC605" i="9"/>
  <c r="AC887" i="9" s="1"/>
  <c r="AD142" i="9"/>
  <c r="AQ165" i="26"/>
  <c r="AQ167" i="26" s="1"/>
  <c r="AQ183" i="30" s="1"/>
  <c r="AQ163" i="26"/>
  <c r="W326" i="26"/>
  <c r="AC604" i="9"/>
  <c r="AC886" i="9" s="1"/>
  <c r="AD123" i="9"/>
  <c r="AA28" i="6"/>
  <c r="AA68" i="30" s="1"/>
  <c r="AB234" i="26"/>
  <c r="AB243" i="26" s="1"/>
  <c r="AA52" i="6"/>
  <c r="AB283" i="26"/>
  <c r="AB288" i="26" s="1"/>
  <c r="AC179" i="6"/>
  <c r="AC101" i="30" s="1"/>
  <c r="AD293" i="26"/>
  <c r="AD298" i="26" s="1"/>
  <c r="DH249" i="26"/>
  <c r="CY249" i="26" s="1"/>
  <c r="AV165" i="26"/>
  <c r="AV167" i="26" s="1"/>
  <c r="AV183" i="30" s="1"/>
  <c r="AV163" i="26"/>
  <c r="AG165" i="26"/>
  <c r="AG167" i="26" s="1"/>
  <c r="AG183" i="30" s="1"/>
  <c r="AG163" i="26"/>
  <c r="V276" i="26"/>
  <c r="DH78" i="26"/>
  <c r="CY78" i="26" s="1"/>
  <c r="AC1010" i="9"/>
  <c r="AC519" i="9"/>
  <c r="AD247" i="9"/>
  <c r="AC253" i="9"/>
  <c r="AC1017" i="9"/>
  <c r="AC526" i="9"/>
  <c r="AC386" i="9"/>
  <c r="AD380" i="9"/>
  <c r="Y284" i="26"/>
  <c r="AA31" i="6"/>
  <c r="AA69" i="30" s="1"/>
  <c r="AB248" i="26"/>
  <c r="AB257" i="26" s="1"/>
  <c r="AP165" i="26"/>
  <c r="AP167" i="26" s="1"/>
  <c r="AP183" i="30" s="1"/>
  <c r="AP163" i="26"/>
  <c r="AC1000" i="9"/>
  <c r="AC509" i="9"/>
  <c r="AC63" i="9"/>
  <c r="AD57" i="9"/>
  <c r="DH275" i="26"/>
  <c r="CY275" i="26" s="1"/>
  <c r="CL275" i="26"/>
  <c r="W276" i="26"/>
  <c r="DH252" i="26"/>
  <c r="CY252" i="26" s="1"/>
  <c r="CL252" i="26"/>
  <c r="AB165" i="26"/>
  <c r="AB167" i="26" s="1"/>
  <c r="AB183" i="30" s="1"/>
  <c r="AB163" i="26"/>
  <c r="AH128" i="30"/>
  <c r="AI220" i="6"/>
  <c r="AI226" i="6" s="1"/>
  <c r="W246" i="6"/>
  <c r="AC612" i="9"/>
  <c r="AC894" i="9" s="1"/>
  <c r="AD275" i="9"/>
  <c r="AC618" i="9"/>
  <c r="AC900" i="9" s="1"/>
  <c r="AD389" i="9"/>
  <c r="DH39" i="26"/>
  <c r="CY39" i="26" s="1"/>
  <c r="CL39" i="26"/>
  <c r="AC1005" i="9"/>
  <c r="AC514" i="9"/>
  <c r="AC158" i="9"/>
  <c r="AD152" i="9"/>
  <c r="AB190" i="30"/>
  <c r="CY187" i="30"/>
  <c r="CQ187" i="30" s="1"/>
  <c r="AC607" i="9"/>
  <c r="AC889" i="9" s="1"/>
  <c r="AD180" i="9"/>
  <c r="X246" i="6"/>
  <c r="BY326" i="26"/>
  <c r="V284" i="26"/>
  <c r="DH130" i="26"/>
  <c r="CY130" i="26" s="1"/>
  <c r="AC346" i="9"/>
  <c r="AC455" i="9"/>
  <c r="AD165" i="26"/>
  <c r="AD167" i="26" s="1"/>
  <c r="AD183" i="30" s="1"/>
  <c r="AD163" i="26"/>
  <c r="CG165" i="26"/>
  <c r="CG167" i="26" s="1"/>
  <c r="CG183" i="30" s="1"/>
  <c r="CG163" i="26"/>
  <c r="DH235" i="26"/>
  <c r="CY235" i="26" s="1"/>
  <c r="CL235" i="26"/>
  <c r="CL225" i="26"/>
  <c r="DH225" i="26"/>
  <c r="CY225" i="26" s="1"/>
  <c r="BY276" i="26"/>
  <c r="AM165" i="26"/>
  <c r="AM167" i="26" s="1"/>
  <c r="AM183" i="30" s="1"/>
  <c r="AM163" i="26"/>
  <c r="DH265" i="26"/>
  <c r="CY265" i="26" s="1"/>
  <c r="CL265" i="26"/>
  <c r="AC1018" i="9"/>
  <c r="AC527" i="9"/>
  <c r="AD399" i="9"/>
  <c r="AC405" i="9"/>
  <c r="DH46" i="26"/>
  <c r="CY46" i="26" s="1"/>
  <c r="AA73" i="33"/>
  <c r="CL253" i="26"/>
  <c r="DH253" i="26"/>
  <c r="CY253" i="26" s="1"/>
  <c r="BF165" i="26"/>
  <c r="BF167" i="26" s="1"/>
  <c r="BF183" i="30" s="1"/>
  <c r="BF163" i="26"/>
  <c r="AC1009" i="9"/>
  <c r="AC518" i="9"/>
  <c r="AC234" i="9"/>
  <c r="AD228" i="9"/>
  <c r="Y246" i="6"/>
  <c r="AI163" i="26"/>
  <c r="AI165" i="26"/>
  <c r="AI167" i="26" s="1"/>
  <c r="AI183" i="30" s="1"/>
  <c r="AH130" i="30"/>
  <c r="AI239" i="6"/>
  <c r="AI242" i="6" s="1"/>
  <c r="AA165" i="26"/>
  <c r="AA167" i="26" s="1"/>
  <c r="AA183" i="30" s="1"/>
  <c r="AA163" i="26"/>
  <c r="CA246" i="6"/>
  <c r="CA326" i="26"/>
  <c r="CH165" i="26"/>
  <c r="CH167" i="26" s="1"/>
  <c r="CH183" i="30" s="1"/>
  <c r="CH163" i="26"/>
  <c r="W284" i="26"/>
  <c r="DH224" i="26"/>
  <c r="CY224" i="26" s="1"/>
  <c r="CL224" i="26"/>
  <c r="DH264" i="26"/>
  <c r="CY264" i="26" s="1"/>
  <c r="CD165" i="26"/>
  <c r="CD167" i="26" s="1"/>
  <c r="CD183" i="30" s="1"/>
  <c r="CD163" i="26"/>
  <c r="V83" i="35"/>
  <c r="CY186" i="30"/>
  <c r="CQ186" i="30" s="1"/>
  <c r="DH222" i="26"/>
  <c r="CY222" i="26" s="1"/>
  <c r="CL222" i="26"/>
  <c r="AL165" i="26"/>
  <c r="AL167" i="26" s="1"/>
  <c r="AL183" i="30" s="1"/>
  <c r="AL163" i="26"/>
  <c r="AC547" i="9"/>
  <c r="AC354" i="9"/>
  <c r="CL10" i="22"/>
  <c r="AY165" i="26"/>
  <c r="AY167" i="26" s="1"/>
  <c r="AY183" i="30" s="1"/>
  <c r="AY163" i="26"/>
  <c r="AC1004" i="9"/>
  <c r="AC513" i="9"/>
  <c r="AC139" i="9"/>
  <c r="AD133" i="9"/>
  <c r="AC542" i="9"/>
  <c r="AC259" i="9"/>
  <c r="AB73" i="33"/>
  <c r="AC546" i="9"/>
  <c r="AC335" i="9"/>
  <c r="CC135" i="30"/>
  <c r="CD251" i="6"/>
  <c r="CD253" i="6" s="1"/>
  <c r="CF165" i="26"/>
  <c r="CF167" i="26" s="1"/>
  <c r="CF183" i="30" s="1"/>
  <c r="CF163" i="26"/>
  <c r="AD540" i="9"/>
  <c r="AD221" i="9"/>
  <c r="W83" i="35"/>
  <c r="CV186" i="30"/>
  <c r="X276" i="26"/>
  <c r="BZ276" i="26"/>
  <c r="BJ165" i="26"/>
  <c r="BJ167" i="26" s="1"/>
  <c r="BJ183" i="30" s="1"/>
  <c r="BJ163" i="26"/>
  <c r="CV188" i="30"/>
  <c r="BA165" i="26"/>
  <c r="BA167" i="26" s="1"/>
  <c r="BA183" i="30" s="1"/>
  <c r="BA163" i="26"/>
  <c r="AC446" i="9"/>
  <c r="AC175" i="9"/>
  <c r="AD1019" i="9"/>
  <c r="AD528" i="9"/>
  <c r="AE418" i="9"/>
  <c r="AD424" i="9"/>
  <c r="BI165" i="26"/>
  <c r="BI167" i="26" s="1"/>
  <c r="BI183" i="30" s="1"/>
  <c r="BI163" i="26"/>
  <c r="BY284" i="26"/>
  <c r="AC441" i="9"/>
  <c r="AC80" i="9"/>
  <c r="AC533" i="9"/>
  <c r="AC88" i="9"/>
  <c r="AI129" i="30"/>
  <c r="AJ229" i="6"/>
  <c r="AJ236" i="6" s="1"/>
  <c r="AK165" i="26"/>
  <c r="AK167" i="26" s="1"/>
  <c r="AK183" i="30" s="1"/>
  <c r="AK163" i="26"/>
  <c r="AC447" i="9"/>
  <c r="AC194" i="9"/>
  <c r="CL266" i="26"/>
  <c r="DH266" i="26"/>
  <c r="CY266" i="26" s="1"/>
  <c r="BY246" i="6"/>
  <c r="DH285" i="26"/>
  <c r="CY285" i="26" s="1"/>
  <c r="CL285" i="26"/>
  <c r="AC1012" i="9"/>
  <c r="AC521" i="9"/>
  <c r="AD285" i="9"/>
  <c r="AC291" i="9"/>
  <c r="AW165" i="26"/>
  <c r="AW167" i="26" s="1"/>
  <c r="AW183" i="30" s="1"/>
  <c r="AW163" i="26"/>
  <c r="DH321" i="26"/>
  <c r="CY321" i="26" s="1"/>
  <c r="V326" i="26"/>
  <c r="DH326" i="26" s="1"/>
  <c r="CY326" i="26" s="1"/>
  <c r="AC614" i="9"/>
  <c r="AC896" i="9" s="1"/>
  <c r="AD313" i="9"/>
  <c r="AN165" i="26"/>
  <c r="AN167" i="26" s="1"/>
  <c r="AN183" i="30" s="1"/>
  <c r="AN163" i="26"/>
  <c r="DH239" i="26"/>
  <c r="CY239" i="26" s="1"/>
  <c r="CL239" i="26"/>
  <c r="AE165" i="26"/>
  <c r="AE167" i="26" s="1"/>
  <c r="AE183" i="30" s="1"/>
  <c r="AE163" i="26"/>
  <c r="AC453" i="9"/>
  <c r="AC308" i="9"/>
  <c r="CA276" i="26"/>
  <c r="Y326" i="26"/>
  <c r="AC550" i="9"/>
  <c r="AC411" i="9"/>
  <c r="BE165" i="26"/>
  <c r="BE167" i="26" s="1"/>
  <c r="BE183" i="30" s="1"/>
  <c r="BE163" i="26"/>
  <c r="CC165" i="26"/>
  <c r="CC167" i="26" s="1"/>
  <c r="CC183" i="30" s="1"/>
  <c r="CC163" i="26"/>
  <c r="V246" i="6"/>
  <c r="DH104" i="26"/>
  <c r="CY104" i="26" s="1"/>
  <c r="AI158" i="6"/>
  <c r="AI121" i="30" s="1"/>
  <c r="AJ142" i="6"/>
  <c r="AJ155" i="6" s="1"/>
  <c r="DH301" i="26"/>
  <c r="CY301" i="26" s="1"/>
  <c r="AG135" i="30"/>
  <c r="AH251" i="6"/>
  <c r="AH253" i="6" s="1"/>
  <c r="AC1014" i="9"/>
  <c r="AC523" i="9"/>
  <c r="AD323" i="9"/>
  <c r="AC329" i="9"/>
  <c r="AC1003" i="9"/>
  <c r="AC512" i="9"/>
  <c r="AC120" i="9"/>
  <c r="AD114" i="9"/>
  <c r="AF165" i="26"/>
  <c r="AF167" i="26" s="1"/>
  <c r="AF183" i="30" s="1"/>
  <c r="AF163" i="26"/>
  <c r="AX165" i="26"/>
  <c r="AX167" i="26" s="1"/>
  <c r="AX183" i="30" s="1"/>
  <c r="AX163" i="26"/>
  <c r="DH215" i="26"/>
  <c r="CY215" i="26" s="1"/>
  <c r="X326" i="26"/>
  <c r="DH32" i="26"/>
  <c r="CY32" i="26" s="1"/>
  <c r="AC1016" i="9"/>
  <c r="AC525" i="9"/>
  <c r="AC367" i="9"/>
  <c r="AD361" i="9"/>
  <c r="AJ165" i="26"/>
  <c r="AJ167" i="26" s="1"/>
  <c r="AJ183" i="30" s="1"/>
  <c r="AJ163" i="26"/>
  <c r="AC620" i="9"/>
  <c r="AC902" i="9" s="1"/>
  <c r="AD427" i="9"/>
  <c r="AC610" i="9"/>
  <c r="AC892" i="9" s="1"/>
  <c r="AD237" i="9"/>
  <c r="CW188" i="30"/>
  <c r="AC532" i="9"/>
  <c r="AC69" i="9"/>
  <c r="Y276" i="26"/>
  <c r="AC442" i="9"/>
  <c r="AC99" i="9"/>
  <c r="AR165" i="26"/>
  <c r="AR167" i="26" s="1"/>
  <c r="AR183" i="30" s="1"/>
  <c r="AR163" i="26"/>
  <c r="BC165" i="26"/>
  <c r="BC167" i="26" s="1"/>
  <c r="BC183" i="30" s="1"/>
  <c r="BC163" i="26"/>
  <c r="CL236" i="26"/>
  <c r="DH236" i="26"/>
  <c r="CY236" i="26" s="1"/>
  <c r="X284" i="26"/>
  <c r="AC617" i="9"/>
  <c r="AC899" i="9" s="1"/>
  <c r="AD370" i="9"/>
  <c r="BB165" i="26"/>
  <c r="BB167" i="26" s="1"/>
  <c r="BB183" i="30" s="1"/>
  <c r="BB163" i="26"/>
  <c r="BZ246" i="6"/>
  <c r="AC544" i="9"/>
  <c r="AC297" i="9"/>
  <c r="AC165" i="26"/>
  <c r="AC167" i="26" s="1"/>
  <c r="AC183" i="30" s="1"/>
  <c r="AC163" i="26"/>
  <c r="CX188" i="30"/>
  <c r="CI165" i="26"/>
  <c r="CI167" i="26" s="1"/>
  <c r="CI183" i="30" s="1"/>
  <c r="CI163" i="26"/>
  <c r="DH221" i="26"/>
  <c r="CY221" i="26" s="1"/>
  <c r="BH165" i="26"/>
  <c r="BH167" i="26" s="1"/>
  <c r="BH183" i="30" s="1"/>
  <c r="BH163" i="26"/>
  <c r="AA134" i="30"/>
  <c r="AB245" i="6"/>
  <c r="AB248" i="6" s="1"/>
  <c r="AS165" i="26"/>
  <c r="AS167" i="26" s="1"/>
  <c r="AS183" i="30" s="1"/>
  <c r="AS163" i="26"/>
  <c r="BZ284" i="26"/>
  <c r="AC534" i="9"/>
  <c r="AC107" i="9"/>
  <c r="AH165" i="26"/>
  <c r="AH167" i="26" s="1"/>
  <c r="AH183" i="30" s="1"/>
  <c r="AH163" i="26"/>
  <c r="AC1008" i="9"/>
  <c r="AC517" i="9"/>
  <c r="AC215" i="9"/>
  <c r="AD209" i="9"/>
  <c r="BG165" i="26"/>
  <c r="BG167" i="26" s="1"/>
  <c r="BG183" i="30" s="1"/>
  <c r="BG163" i="26"/>
  <c r="AB37" i="6"/>
  <c r="AB71" i="30" s="1"/>
  <c r="AC262" i="26"/>
  <c r="AC269" i="26" s="1"/>
  <c r="DH157" i="26"/>
  <c r="CY157" i="26" s="1"/>
  <c r="DH238" i="26"/>
  <c r="CY238" i="26" s="1"/>
  <c r="CL238" i="26"/>
  <c r="AC1011" i="9"/>
  <c r="AC520" i="9"/>
  <c r="AC272" i="9"/>
  <c r="AD266" i="9"/>
  <c r="CE165" i="26"/>
  <c r="CE167" i="26" s="1"/>
  <c r="CE183" i="30" s="1"/>
  <c r="CE163" i="26"/>
  <c r="AC537" i="9"/>
  <c r="AC164" i="9"/>
  <c r="CY185" i="30"/>
  <c r="CQ185" i="30" s="1"/>
  <c r="BD165" i="26"/>
  <c r="BD167" i="26" s="1"/>
  <c r="BD183" i="30" s="1"/>
  <c r="BD163" i="26"/>
  <c r="Y83" i="35"/>
  <c r="CX186" i="30"/>
  <c r="AO165" i="26"/>
  <c r="AO167" i="26" s="1"/>
  <c r="AO183" i="30" s="1"/>
  <c r="AO163" i="26"/>
  <c r="AC539" i="9"/>
  <c r="AC202" i="9"/>
  <c r="AI127" i="30"/>
  <c r="AJ206" i="6"/>
  <c r="AJ217" i="6" s="1"/>
  <c r="CL250" i="26"/>
  <c r="DH250" i="26"/>
  <c r="CY250" i="26" s="1"/>
  <c r="AZ165" i="26"/>
  <c r="AZ167" i="26" s="1"/>
  <c r="AZ183" i="30" s="1"/>
  <c r="AZ163" i="26"/>
  <c r="DH191" i="26"/>
  <c r="CY191" i="26" s="1"/>
  <c r="AT165" i="26"/>
  <c r="AT167" i="26" s="1"/>
  <c r="AT183" i="30" s="1"/>
  <c r="AT163" i="26"/>
  <c r="BZ326" i="26"/>
  <c r="CA284" i="26"/>
  <c r="A3" i="22"/>
  <c r="B2" i="22" a="1"/>
  <c r="BC126" i="6" l="1"/>
  <c r="BD126" i="6"/>
  <c r="AR126" i="6"/>
  <c r="AE126" i="6"/>
  <c r="AC126" i="6"/>
  <c r="AL126" i="6"/>
  <c r="AK126" i="6"/>
  <c r="AG126" i="6"/>
  <c r="AY126" i="6"/>
  <c r="AU126" i="6"/>
  <c r="BE126" i="6"/>
  <c r="AV126" i="6"/>
  <c r="AH126" i="6"/>
  <c r="BH126" i="6"/>
  <c r="AP126" i="6"/>
  <c r="BI126" i="6"/>
  <c r="AI126" i="6"/>
  <c r="AJ126" i="6"/>
  <c r="AC122" i="6"/>
  <c r="AD117" i="6" s="1"/>
  <c r="AD122" i="6" s="1"/>
  <c r="AE117" i="6" s="1"/>
  <c r="AE122" i="6" s="1"/>
  <c r="AF117" i="6" s="1"/>
  <c r="AF122" i="6" s="1"/>
  <c r="AG117" i="6" s="1"/>
  <c r="AG122" i="6" s="1"/>
  <c r="AH117" i="6" s="1"/>
  <c r="AH122" i="6" s="1"/>
  <c r="AI117" i="6" s="1"/>
  <c r="AI122" i="6" s="1"/>
  <c r="AJ117" i="6" s="1"/>
  <c r="AJ122" i="6" s="1"/>
  <c r="AK117" i="6" s="1"/>
  <c r="AK122" i="6" s="1"/>
  <c r="AL117" i="6" s="1"/>
  <c r="AL122" i="6" s="1"/>
  <c r="AM117" i="6" s="1"/>
  <c r="AM122" i="6" s="1"/>
  <c r="AN117" i="6" s="1"/>
  <c r="AN122" i="6" s="1"/>
  <c r="AO117" i="6" s="1"/>
  <c r="AO122" i="6" s="1"/>
  <c r="AP117" i="6" s="1"/>
  <c r="AP122" i="6" s="1"/>
  <c r="AQ117" i="6" s="1"/>
  <c r="AQ122" i="6" s="1"/>
  <c r="AR117" i="6" s="1"/>
  <c r="AR122" i="6" s="1"/>
  <c r="AS117" i="6" s="1"/>
  <c r="AS122" i="6" s="1"/>
  <c r="AT117" i="6" s="1"/>
  <c r="AT122" i="6" s="1"/>
  <c r="AU117" i="6" s="1"/>
  <c r="AU122" i="6" s="1"/>
  <c r="AV117" i="6" s="1"/>
  <c r="AV122" i="6" s="1"/>
  <c r="AW117" i="6" s="1"/>
  <c r="AW122" i="6" s="1"/>
  <c r="AX117" i="6" s="1"/>
  <c r="AX122" i="6" s="1"/>
  <c r="AY117" i="6" s="1"/>
  <c r="AY122" i="6" s="1"/>
  <c r="AZ117" i="6" s="1"/>
  <c r="AZ122" i="6" s="1"/>
  <c r="BA117" i="6" s="1"/>
  <c r="BA122" i="6" s="1"/>
  <c r="BB117" i="6" s="1"/>
  <c r="BB122" i="6" s="1"/>
  <c r="BC117" i="6" s="1"/>
  <c r="BC122" i="6" s="1"/>
  <c r="BD117" i="6" s="1"/>
  <c r="BD122" i="6" s="1"/>
  <c r="BE117" i="6" s="1"/>
  <c r="BE122" i="6" s="1"/>
  <c r="BF117" i="6" s="1"/>
  <c r="BF122" i="6" s="1"/>
  <c r="BG117" i="6" s="1"/>
  <c r="BG122" i="6" s="1"/>
  <c r="BH117" i="6" s="1"/>
  <c r="BH122" i="6" s="1"/>
  <c r="BI117" i="6" s="1"/>
  <c r="BI122" i="6" s="1"/>
  <c r="BJ117" i="6" s="1"/>
  <c r="BJ122" i="6" s="1"/>
  <c r="AN126" i="6"/>
  <c r="BF126" i="6"/>
  <c r="AD126" i="6"/>
  <c r="AA126" i="6"/>
  <c r="AB274" i="26"/>
  <c r="AB278" i="26" s="1"/>
  <c r="AB34" i="6" s="1"/>
  <c r="AB70" i="30" s="1"/>
  <c r="AA25" i="6"/>
  <c r="AA67" i="30" s="1"/>
  <c r="AC608" i="9"/>
  <c r="AC890" i="9" s="1"/>
  <c r="AD199" i="9"/>
  <c r="AD448" i="9"/>
  <c r="AD213" i="9"/>
  <c r="AC603" i="9"/>
  <c r="AC885" i="9" s="1"/>
  <c r="AD104" i="9"/>
  <c r="CI71" i="33"/>
  <c r="AR71" i="33"/>
  <c r="AD551" i="9"/>
  <c r="AD430" i="9"/>
  <c r="AD454" i="9"/>
  <c r="AD327" i="9"/>
  <c r="AK71" i="33"/>
  <c r="AE422" i="9"/>
  <c r="AE459" i="9"/>
  <c r="CF71" i="33"/>
  <c r="CG71" i="33"/>
  <c r="AB28" i="6"/>
  <c r="AB68" i="30" s="1"/>
  <c r="AC234" i="26"/>
  <c r="AC243" i="26" s="1"/>
  <c r="AQ71" i="33"/>
  <c r="BB71" i="33"/>
  <c r="AD548" i="9"/>
  <c r="AD373" i="9"/>
  <c r="AF71" i="33"/>
  <c r="DH306" i="26"/>
  <c r="CY306" i="26" s="1"/>
  <c r="AD545" i="9"/>
  <c r="AD316" i="9"/>
  <c r="AD452" i="9"/>
  <c r="AD289" i="9"/>
  <c r="AJ129" i="30"/>
  <c r="AK229" i="6"/>
  <c r="AK236" i="6" s="1"/>
  <c r="AC1006" i="9"/>
  <c r="AC515" i="9"/>
  <c r="AC177" i="9"/>
  <c r="AD171" i="9"/>
  <c r="BA71" i="33"/>
  <c r="BJ71" i="33"/>
  <c r="CP186" i="30"/>
  <c r="CD135" i="30"/>
  <c r="CE251" i="6"/>
  <c r="CE253" i="6" s="1"/>
  <c r="AY71" i="33"/>
  <c r="CD71" i="33"/>
  <c r="AI130" i="30"/>
  <c r="AJ239" i="6"/>
  <c r="AJ242" i="6" s="1"/>
  <c r="AI71" i="33"/>
  <c r="AD449" i="9"/>
  <c r="AD232" i="9"/>
  <c r="AD549" i="9"/>
  <c r="AD392" i="9"/>
  <c r="AB25" i="6"/>
  <c r="AC220" i="26"/>
  <c r="AC229" i="26" s="1"/>
  <c r="AP71" i="33"/>
  <c r="AD536" i="9"/>
  <c r="AD145" i="9"/>
  <c r="AT71" i="33"/>
  <c r="AC71" i="33"/>
  <c r="AC1002" i="9"/>
  <c r="AC511" i="9"/>
  <c r="AD95" i="9"/>
  <c r="AC101" i="9"/>
  <c r="V247" i="6"/>
  <c r="AD444" i="9"/>
  <c r="AD137" i="9"/>
  <c r="AC616" i="9"/>
  <c r="AC898" i="9" s="1"/>
  <c r="AD351" i="9"/>
  <c r="AD71" i="33"/>
  <c r="AD445" i="9"/>
  <c r="AD156" i="9"/>
  <c r="AB31" i="6"/>
  <c r="AB69" i="30" s="1"/>
  <c r="AC248" i="26"/>
  <c r="AC257" i="26" s="1"/>
  <c r="AJ127" i="30"/>
  <c r="AK206" i="6"/>
  <c r="AK217" i="6" s="1"/>
  <c r="AO71" i="33"/>
  <c r="AC606" i="9"/>
  <c r="AC888" i="9" s="1"/>
  <c r="AD161" i="9"/>
  <c r="AJ71" i="33"/>
  <c r="AX71" i="33"/>
  <c r="AD443" i="9"/>
  <c r="AD118" i="9"/>
  <c r="BE71" i="33"/>
  <c r="AC1013" i="9"/>
  <c r="AC522" i="9"/>
  <c r="AD304" i="9"/>
  <c r="AC310" i="9"/>
  <c r="AC611" i="9"/>
  <c r="AC893" i="9" s="1"/>
  <c r="AD256" i="9"/>
  <c r="AD543" i="9"/>
  <c r="AD278" i="9"/>
  <c r="CL276" i="26"/>
  <c r="DH276" i="26"/>
  <c r="CY276" i="26" s="1"/>
  <c r="AB52" i="6"/>
  <c r="AC283" i="26"/>
  <c r="AC288" i="26" s="1"/>
  <c r="AD535" i="9"/>
  <c r="AD126" i="9"/>
  <c r="AU71" i="33"/>
  <c r="BD71" i="33"/>
  <c r="AC37" i="6"/>
  <c r="AC71" i="30" s="1"/>
  <c r="AD262" i="26"/>
  <c r="AD269" i="26" s="1"/>
  <c r="AS71" i="33"/>
  <c r="AB134" i="30"/>
  <c r="AC245" i="6"/>
  <c r="AC248" i="6" s="1"/>
  <c r="AC613" i="9"/>
  <c r="AC895" i="9" s="1"/>
  <c r="AD294" i="9"/>
  <c r="BC71" i="33"/>
  <c r="AC601" i="9"/>
  <c r="AC883" i="9" s="1"/>
  <c r="AD66" i="9"/>
  <c r="AD456" i="9"/>
  <c r="AD365" i="9"/>
  <c r="CC71" i="33"/>
  <c r="AW71" i="33"/>
  <c r="AC602" i="9"/>
  <c r="AC884" i="9" s="1"/>
  <c r="AD85" i="9"/>
  <c r="AD458" i="9"/>
  <c r="AD403" i="9"/>
  <c r="AM71" i="33"/>
  <c r="AC1015" i="9"/>
  <c r="AC524" i="9"/>
  <c r="AD342" i="9"/>
  <c r="AC348" i="9"/>
  <c r="AD440" i="9"/>
  <c r="AD61" i="9"/>
  <c r="AD450" i="9"/>
  <c r="AD251" i="9"/>
  <c r="AA77" i="30"/>
  <c r="AZ71" i="33"/>
  <c r="BG71" i="33"/>
  <c r="AH71" i="33"/>
  <c r="AC1007" i="9"/>
  <c r="AC516" i="9"/>
  <c r="AD190" i="9"/>
  <c r="AC196" i="9"/>
  <c r="CP188" i="30"/>
  <c r="AD609" i="9"/>
  <c r="AD891" i="9" s="1"/>
  <c r="AE218" i="9"/>
  <c r="AL71" i="33"/>
  <c r="AA71" i="33"/>
  <c r="CL284" i="26"/>
  <c r="DH284" i="26"/>
  <c r="CY284" i="26" s="1"/>
  <c r="AG71" i="33"/>
  <c r="AD179" i="6"/>
  <c r="AD101" i="30" s="1"/>
  <c r="AE293" i="26"/>
  <c r="AE298" i="26" s="1"/>
  <c r="CE71" i="33"/>
  <c r="AD541" i="9"/>
  <c r="AD240" i="9"/>
  <c r="AH135" i="30"/>
  <c r="AI251" i="6"/>
  <c r="AI253" i="6" s="1"/>
  <c r="AK142" i="6"/>
  <c r="AK155" i="6" s="1"/>
  <c r="AJ158" i="6"/>
  <c r="AJ121" i="30" s="1"/>
  <c r="AE71" i="33"/>
  <c r="AN71" i="33"/>
  <c r="BI71" i="33"/>
  <c r="AC615" i="9"/>
  <c r="AC897" i="9" s="1"/>
  <c r="AD332" i="9"/>
  <c r="CH71" i="33"/>
  <c r="BF71" i="33"/>
  <c r="AD538" i="9"/>
  <c r="AD183" i="9"/>
  <c r="AV71" i="33"/>
  <c r="AC190" i="30"/>
  <c r="AC73" i="33" s="1"/>
  <c r="AD451" i="9"/>
  <c r="AD270" i="9"/>
  <c r="BH71" i="33"/>
  <c r="AC619" i="9"/>
  <c r="AC901" i="9" s="1"/>
  <c r="AD408" i="9"/>
  <c r="AC1001" i="9"/>
  <c r="AC510" i="9"/>
  <c r="AC82" i="9"/>
  <c r="AD76" i="9"/>
  <c r="AI128" i="30"/>
  <c r="AJ220" i="6"/>
  <c r="AJ226" i="6" s="1"/>
  <c r="AB71" i="33"/>
  <c r="AD457" i="9"/>
  <c r="AD384" i="9"/>
  <c r="B2" i="22"/>
  <c r="BX1" i="22"/>
  <c r="AA1" i="22"/>
  <c r="V1" i="22"/>
  <c r="D1" i="22"/>
  <c r="FN182" i="20"/>
  <c r="FN181" i="20"/>
  <c r="BU181" i="20"/>
  <c r="BT181" i="20"/>
  <c r="BR181" i="20"/>
  <c r="BM181" i="20"/>
  <c r="BL181" i="20"/>
  <c r="FN180" i="20"/>
  <c r="CP180" i="20" a="1"/>
  <c r="CP180" i="20"/>
  <c r="CO180" i="20" a="1"/>
  <c r="CO180" i="20"/>
  <c r="CI180" i="20"/>
  <c r="CH180" i="20"/>
  <c r="CG180" i="20"/>
  <c r="CF180" i="20"/>
  <c r="CE180" i="20"/>
  <c r="CD180" i="20"/>
  <c r="CC180" i="20"/>
  <c r="CB180" i="20"/>
  <c r="BX180" i="20"/>
  <c r="DB180" i="20" s="1"/>
  <c r="CT180" i="20" s="1"/>
  <c r="V180" i="20"/>
  <c r="I180" i="20"/>
  <c r="F180" i="20" a="1"/>
  <c r="F180" i="20" s="1"/>
  <c r="H179" i="20"/>
  <c r="D179" i="20"/>
  <c r="FN179" i="20" s="1"/>
  <c r="C179" i="20"/>
  <c r="BV178" i="20"/>
  <c r="BV181" i="20" s="1"/>
  <c r="BU178" i="20"/>
  <c r="BT178" i="20"/>
  <c r="BS178" i="20"/>
  <c r="BS181" i="20" s="1"/>
  <c r="BR178" i="20"/>
  <c r="BQ178" i="20"/>
  <c r="BQ181" i="20" s="1"/>
  <c r="BP178" i="20"/>
  <c r="BP181" i="20" s="1"/>
  <c r="BO178" i="20"/>
  <c r="BO181" i="20" s="1"/>
  <c r="BN178" i="20"/>
  <c r="BN181" i="20" s="1"/>
  <c r="BM178" i="20"/>
  <c r="BL178" i="20"/>
  <c r="BK178" i="20"/>
  <c r="BK181" i="20" s="1"/>
  <c r="H178" i="20"/>
  <c r="D178" i="20"/>
  <c r="FN178" i="20" s="1"/>
  <c r="C178" i="20"/>
  <c r="H177" i="20"/>
  <c r="D177" i="20"/>
  <c r="C177" i="20"/>
  <c r="FN177" i="20" s="1"/>
  <c r="H176" i="20"/>
  <c r="D176" i="20"/>
  <c r="FN176" i="20" s="1"/>
  <c r="C176" i="20"/>
  <c r="H175" i="20"/>
  <c r="D175" i="20"/>
  <c r="C175" i="20"/>
  <c r="FN175" i="20" s="1"/>
  <c r="D174" i="20"/>
  <c r="C174" i="20"/>
  <c r="FN174" i="20" s="1"/>
  <c r="FN173" i="20"/>
  <c r="FN172" i="20"/>
  <c r="FN171" i="20"/>
  <c r="FN170" i="20"/>
  <c r="FN169" i="20"/>
  <c r="G169" i="20" a="1"/>
  <c r="AC274" i="26" l="1"/>
  <c r="AC278" i="26" s="1"/>
  <c r="AD1000" i="9"/>
  <c r="AD509" i="9"/>
  <c r="AD63" i="9"/>
  <c r="AE57" i="9"/>
  <c r="AD37" i="6"/>
  <c r="AD71" i="30" s="1"/>
  <c r="AE262" i="26"/>
  <c r="AE269" i="26" s="1"/>
  <c r="AD604" i="9"/>
  <c r="AD886" i="9" s="1"/>
  <c r="AE123" i="9"/>
  <c r="AD1012" i="9"/>
  <c r="AD521" i="9"/>
  <c r="AD291" i="9"/>
  <c r="AE285" i="9"/>
  <c r="AC28" i="6"/>
  <c r="AC68" i="30" s="1"/>
  <c r="AD234" i="26"/>
  <c r="AD243" i="26" s="1"/>
  <c r="AD620" i="9"/>
  <c r="AD902" i="9" s="1"/>
  <c r="AE427" i="9"/>
  <c r="AD1011" i="9"/>
  <c r="AD520" i="9"/>
  <c r="AD272" i="9"/>
  <c r="AE266" i="9"/>
  <c r="AD546" i="9"/>
  <c r="AD335" i="9"/>
  <c r="AD1018" i="9"/>
  <c r="AD527" i="9"/>
  <c r="AE399" i="9"/>
  <c r="AD405" i="9"/>
  <c r="AD544" i="9"/>
  <c r="AD297" i="9"/>
  <c r="AD1004" i="9"/>
  <c r="AD513" i="9"/>
  <c r="AD139" i="9"/>
  <c r="AE133" i="9"/>
  <c r="BX247" i="6"/>
  <c r="BX282" i="6" s="1"/>
  <c r="V282" i="6"/>
  <c r="AD1008" i="9"/>
  <c r="AD215" i="9"/>
  <c r="AD517" i="9"/>
  <c r="AE209" i="9"/>
  <c r="AJ128" i="30"/>
  <c r="AK220" i="6"/>
  <c r="AK226" i="6" s="1"/>
  <c r="AD550" i="9"/>
  <c r="AD411" i="9"/>
  <c r="AD607" i="9"/>
  <c r="AD889" i="9" s="1"/>
  <c r="AE180" i="9"/>
  <c r="AD542" i="9"/>
  <c r="AD259" i="9"/>
  <c r="AD1005" i="9"/>
  <c r="AD514" i="9"/>
  <c r="AD158" i="9"/>
  <c r="AE152" i="9"/>
  <c r="AC25" i="6"/>
  <c r="AD220" i="26"/>
  <c r="AD229" i="26" s="1"/>
  <c r="AJ130" i="30"/>
  <c r="AK239" i="6"/>
  <c r="AK242" i="6" s="1"/>
  <c r="AD446" i="9"/>
  <c r="AD175" i="9"/>
  <c r="AD614" i="9"/>
  <c r="AD896" i="9" s="1"/>
  <c r="AE313" i="9"/>
  <c r="AD617" i="9"/>
  <c r="AD899" i="9" s="1"/>
  <c r="AE370" i="9"/>
  <c r="AE1019" i="9"/>
  <c r="AF418" i="9"/>
  <c r="AE424" i="9"/>
  <c r="AE528" i="9"/>
  <c r="AL142" i="6"/>
  <c r="AL155" i="6" s="1"/>
  <c r="AK158" i="6"/>
  <c r="AK121" i="30" s="1"/>
  <c r="AE540" i="9"/>
  <c r="AE221" i="9"/>
  <c r="AD1016" i="9"/>
  <c r="AD367" i="9"/>
  <c r="AE361" i="9"/>
  <c r="AD525" i="9"/>
  <c r="AC134" i="30"/>
  <c r="AD245" i="6"/>
  <c r="AD248" i="6" s="1"/>
  <c r="AC52" i="6"/>
  <c r="AD283" i="26"/>
  <c r="AD288" i="26" s="1"/>
  <c r="AD1003" i="9"/>
  <c r="AD512" i="9"/>
  <c r="AE114" i="9"/>
  <c r="AD120" i="9"/>
  <c r="AD537" i="9"/>
  <c r="AD164" i="9"/>
  <c r="AB67" i="30"/>
  <c r="CE135" i="30"/>
  <c r="CF251" i="6"/>
  <c r="CF253" i="6" s="1"/>
  <c r="AD539" i="9"/>
  <c r="AD202" i="9"/>
  <c r="AI135" i="30"/>
  <c r="AJ251" i="6"/>
  <c r="AJ253" i="6" s="1"/>
  <c r="AD455" i="9"/>
  <c r="AD346" i="9"/>
  <c r="AB77" i="30"/>
  <c r="AD442" i="9"/>
  <c r="AD99" i="9"/>
  <c r="AD605" i="9"/>
  <c r="AD887" i="9" s="1"/>
  <c r="AE142" i="9"/>
  <c r="AD618" i="9"/>
  <c r="AD900" i="9" s="1"/>
  <c r="AE389" i="9"/>
  <c r="AD1017" i="9"/>
  <c r="AD526" i="9"/>
  <c r="AE380" i="9"/>
  <c r="AD386" i="9"/>
  <c r="AD441" i="9"/>
  <c r="AD80" i="9"/>
  <c r="AD533" i="9"/>
  <c r="AD88" i="9"/>
  <c r="AD532" i="9"/>
  <c r="AD69" i="9"/>
  <c r="AC31" i="6"/>
  <c r="AC69" i="30" s="1"/>
  <c r="AD248" i="26"/>
  <c r="AD257" i="26" s="1"/>
  <c r="AC34" i="6"/>
  <c r="AC70" i="30" s="1"/>
  <c r="AD274" i="26"/>
  <c r="AD278" i="26" s="1"/>
  <c r="AE179" i="6"/>
  <c r="AE101" i="30" s="1"/>
  <c r="AF293" i="26"/>
  <c r="AF298" i="26" s="1"/>
  <c r="AD1010" i="9"/>
  <c r="AD519" i="9"/>
  <c r="AE247" i="9"/>
  <c r="AD253" i="9"/>
  <c r="AD453" i="9"/>
  <c r="AD308" i="9"/>
  <c r="AD1009" i="9"/>
  <c r="AD518" i="9"/>
  <c r="AD234" i="9"/>
  <c r="AE228" i="9"/>
  <c r="AK129" i="30"/>
  <c r="AL229" i="6"/>
  <c r="AL236" i="6" s="1"/>
  <c r="AD1014" i="9"/>
  <c r="AD523" i="9"/>
  <c r="AE323" i="9"/>
  <c r="AD329" i="9"/>
  <c r="AD534" i="9"/>
  <c r="AD107" i="9"/>
  <c r="AD610" i="9"/>
  <c r="AD892" i="9" s="1"/>
  <c r="AE237" i="9"/>
  <c r="AD190" i="30"/>
  <c r="AD447" i="9"/>
  <c r="AD194" i="9"/>
  <c r="AD612" i="9"/>
  <c r="AD894" i="9" s="1"/>
  <c r="AE275" i="9"/>
  <c r="AK127" i="30"/>
  <c r="AL206" i="6"/>
  <c r="AL217" i="6" s="1"/>
  <c r="AD547" i="9"/>
  <c r="AD354" i="9"/>
  <c r="G169" i="20"/>
  <c r="F169" i="20" a="1"/>
  <c r="AL127" i="30" l="1"/>
  <c r="AM206" i="6"/>
  <c r="AM217" i="6" s="1"/>
  <c r="AE240" i="9"/>
  <c r="AE541" i="9"/>
  <c r="AD31" i="6"/>
  <c r="AD69" i="30" s="1"/>
  <c r="AE248" i="26"/>
  <c r="AE257" i="26" s="1"/>
  <c r="AD1001" i="9"/>
  <c r="AD510" i="9"/>
  <c r="AD82" i="9"/>
  <c r="AE76" i="9"/>
  <c r="AD134" i="30"/>
  <c r="AE245" i="6"/>
  <c r="AE248" i="6" s="1"/>
  <c r="AD1006" i="9"/>
  <c r="AD515" i="9"/>
  <c r="AD177" i="9"/>
  <c r="AE171" i="9"/>
  <c r="AD613" i="9"/>
  <c r="AD895" i="9" s="1"/>
  <c r="AE294" i="9"/>
  <c r="AD615" i="9"/>
  <c r="AD897" i="9" s="1"/>
  <c r="AE332" i="9"/>
  <c r="AD28" i="6"/>
  <c r="AD68" i="30" s="1"/>
  <c r="AE234" i="26"/>
  <c r="AE243" i="26" s="1"/>
  <c r="AE536" i="9"/>
  <c r="AE145" i="9"/>
  <c r="AD1015" i="9"/>
  <c r="AD524" i="9"/>
  <c r="AD348" i="9"/>
  <c r="AE342" i="9"/>
  <c r="AE443" i="9"/>
  <c r="AE118" i="9"/>
  <c r="AD619" i="9"/>
  <c r="AD901" i="9" s="1"/>
  <c r="AE408" i="9"/>
  <c r="AE440" i="9"/>
  <c r="AE61" i="9"/>
  <c r="CF135" i="30"/>
  <c r="CG251" i="6"/>
  <c r="CG253" i="6" s="1"/>
  <c r="AK130" i="30"/>
  <c r="AL239" i="6"/>
  <c r="AL242" i="6" s="1"/>
  <c r="AE451" i="9"/>
  <c r="AE270" i="9"/>
  <c r="AE190" i="30"/>
  <c r="AE456" i="9"/>
  <c r="AE365" i="9"/>
  <c r="AM142" i="6"/>
  <c r="AM155" i="6" s="1"/>
  <c r="AL158" i="6"/>
  <c r="AL121" i="30" s="1"/>
  <c r="AD611" i="9"/>
  <c r="AD893" i="9" s="1"/>
  <c r="AE256" i="9"/>
  <c r="AK128" i="30"/>
  <c r="AL220" i="6"/>
  <c r="AL226" i="6" s="1"/>
  <c r="AE458" i="9"/>
  <c r="AE403" i="9"/>
  <c r="AE452" i="9"/>
  <c r="AE289" i="9"/>
  <c r="AD1013" i="9"/>
  <c r="AD522" i="9"/>
  <c r="AE304" i="9"/>
  <c r="AD310" i="9"/>
  <c r="AE543" i="9"/>
  <c r="AE278" i="9"/>
  <c r="AL129" i="30"/>
  <c r="AM229" i="6"/>
  <c r="AM236" i="6" s="1"/>
  <c r="AJ135" i="30"/>
  <c r="AK251" i="6"/>
  <c r="AK253" i="6" s="1"/>
  <c r="AE548" i="9"/>
  <c r="AE373" i="9"/>
  <c r="AE444" i="9"/>
  <c r="AE137" i="9"/>
  <c r="AE535" i="9"/>
  <c r="AE126" i="9"/>
  <c r="AD601" i="9"/>
  <c r="AD883" i="9" s="1"/>
  <c r="AE66" i="9"/>
  <c r="AE457" i="9"/>
  <c r="AE384" i="9"/>
  <c r="AD1002" i="9"/>
  <c r="AD511" i="9"/>
  <c r="AD101" i="9"/>
  <c r="AE95" i="9"/>
  <c r="AD34" i="6"/>
  <c r="AD70" i="30" s="1"/>
  <c r="AE274" i="26"/>
  <c r="AE278" i="26" s="1"/>
  <c r="AD602" i="9"/>
  <c r="AD884" i="9" s="1"/>
  <c r="AE85" i="9"/>
  <c r="AD25" i="6"/>
  <c r="AE220" i="26"/>
  <c r="AE229" i="26" s="1"/>
  <c r="AE448" i="9"/>
  <c r="AE213" i="9"/>
  <c r="AD603" i="9"/>
  <c r="AD885" i="9" s="1"/>
  <c r="AE104" i="9"/>
  <c r="AF179" i="6"/>
  <c r="AF101" i="30" s="1"/>
  <c r="AG293" i="26"/>
  <c r="AG298" i="26" s="1"/>
  <c r="AD1007" i="9"/>
  <c r="AD516" i="9"/>
  <c r="AE190" i="9"/>
  <c r="AD196" i="9"/>
  <c r="AE449" i="9"/>
  <c r="AE232" i="9"/>
  <c r="AE327" i="9"/>
  <c r="AE454" i="9"/>
  <c r="AD616" i="9"/>
  <c r="AD898" i="9" s="1"/>
  <c r="AE351" i="9"/>
  <c r="AD608" i="9"/>
  <c r="AD890" i="9" s="1"/>
  <c r="AE199" i="9"/>
  <c r="AD606" i="9"/>
  <c r="AD888" i="9" s="1"/>
  <c r="AE161" i="9"/>
  <c r="AD52" i="6"/>
  <c r="AE283" i="26"/>
  <c r="AE288" i="26" s="1"/>
  <c r="AE609" i="9"/>
  <c r="AE891" i="9" s="1"/>
  <c r="AF218" i="9"/>
  <c r="AE545" i="9"/>
  <c r="AE316" i="9"/>
  <c r="AC67" i="30"/>
  <c r="AE430" i="9"/>
  <c r="AE551" i="9"/>
  <c r="AE37" i="6"/>
  <c r="AE71" i="30" s="1"/>
  <c r="AF262" i="26"/>
  <c r="AF269" i="26" s="1"/>
  <c r="AD73" i="33"/>
  <c r="AE450" i="9"/>
  <c r="AE251" i="9"/>
  <c r="AE549" i="9"/>
  <c r="AE392" i="9"/>
  <c r="AC77" i="30"/>
  <c r="AF422" i="9"/>
  <c r="AF459" i="9"/>
  <c r="AE445" i="9"/>
  <c r="AE156" i="9"/>
  <c r="AE538" i="9"/>
  <c r="AE183" i="9"/>
  <c r="F169" i="20"/>
  <c r="E169" i="20" a="1"/>
  <c r="AE542" i="9" l="1"/>
  <c r="AE259" i="9"/>
  <c r="AF1019" i="9"/>
  <c r="AF528" i="9"/>
  <c r="AG418" i="9"/>
  <c r="AF424" i="9"/>
  <c r="AE34" i="6"/>
  <c r="AE70" i="30" s="1"/>
  <c r="AF274" i="26"/>
  <c r="AF278" i="26" s="1"/>
  <c r="AE617" i="9"/>
  <c r="AE899" i="9" s="1"/>
  <c r="AF370" i="9"/>
  <c r="AE1000" i="9"/>
  <c r="AE509" i="9"/>
  <c r="AE63" i="9"/>
  <c r="AF57" i="9"/>
  <c r="AE1003" i="9"/>
  <c r="AE512" i="9"/>
  <c r="AE120" i="9"/>
  <c r="AF114" i="9"/>
  <c r="AE607" i="9"/>
  <c r="AE889" i="9" s="1"/>
  <c r="AF180" i="9"/>
  <c r="AE547" i="9"/>
  <c r="AE354" i="9"/>
  <c r="AE534" i="9"/>
  <c r="AE107" i="9"/>
  <c r="AE620" i="9"/>
  <c r="AE902" i="9" s="1"/>
  <c r="AF427" i="9"/>
  <c r="AE52" i="6"/>
  <c r="AF283" i="26"/>
  <c r="AF288" i="26" s="1"/>
  <c r="AD67" i="30"/>
  <c r="AE532" i="9"/>
  <c r="AE69" i="9"/>
  <c r="AE612" i="9"/>
  <c r="AE894" i="9" s="1"/>
  <c r="AF275" i="9"/>
  <c r="AE1018" i="9"/>
  <c r="AE527" i="9"/>
  <c r="AE405" i="9"/>
  <c r="AF399" i="9"/>
  <c r="AE1011" i="9"/>
  <c r="AE520" i="9"/>
  <c r="AE272" i="9"/>
  <c r="AF266" i="9"/>
  <c r="AE28" i="6"/>
  <c r="AE68" i="30" s="1"/>
  <c r="AF234" i="26"/>
  <c r="AF243" i="26" s="1"/>
  <c r="AD77" i="30"/>
  <c r="AE1014" i="9"/>
  <c r="AE523" i="9"/>
  <c r="AE329" i="9"/>
  <c r="AF323" i="9"/>
  <c r="AK135" i="30"/>
  <c r="AL251" i="6"/>
  <c r="AL253" i="6" s="1"/>
  <c r="AM158" i="6"/>
  <c r="AM121" i="30" s="1"/>
  <c r="AN142" i="6"/>
  <c r="AN155" i="6" s="1"/>
  <c r="AE455" i="9"/>
  <c r="AE346" i="9"/>
  <c r="AE446" i="9"/>
  <c r="AE175" i="9"/>
  <c r="AE441" i="9"/>
  <c r="AE80" i="9"/>
  <c r="AE610" i="9"/>
  <c r="AE892" i="9" s="1"/>
  <c r="AF237" i="9"/>
  <c r="AE442" i="9"/>
  <c r="AE99" i="9"/>
  <c r="AL128" i="30"/>
  <c r="AM220" i="6"/>
  <c r="AM226" i="6" s="1"/>
  <c r="AE1016" i="9"/>
  <c r="AE525" i="9"/>
  <c r="AE367" i="9"/>
  <c r="AF361" i="9"/>
  <c r="AE550" i="9"/>
  <c r="AE411" i="9"/>
  <c r="AM127" i="30"/>
  <c r="AN206" i="6"/>
  <c r="AN217" i="6" s="1"/>
  <c r="AE537" i="9"/>
  <c r="AE164" i="9"/>
  <c r="AE1009" i="9"/>
  <c r="AE518" i="9"/>
  <c r="AE234" i="9"/>
  <c r="AF228" i="9"/>
  <c r="AE1005" i="9"/>
  <c r="AE514" i="9"/>
  <c r="AE158" i="9"/>
  <c r="AF152" i="9"/>
  <c r="AE618" i="9"/>
  <c r="AE900" i="9" s="1"/>
  <c r="AF389" i="9"/>
  <c r="AF37" i="6"/>
  <c r="AF71" i="30" s="1"/>
  <c r="AG262" i="26"/>
  <c r="AG269" i="26" s="1"/>
  <c r="AE614" i="9"/>
  <c r="AE896" i="9" s="1"/>
  <c r="AF313" i="9"/>
  <c r="AE604" i="9"/>
  <c r="AE886" i="9" s="1"/>
  <c r="AF123" i="9"/>
  <c r="AE453" i="9"/>
  <c r="AE308" i="9"/>
  <c r="AL130" i="30"/>
  <c r="AM239" i="6"/>
  <c r="AM242" i="6" s="1"/>
  <c r="AE546" i="9"/>
  <c r="AE335" i="9"/>
  <c r="AE539" i="9"/>
  <c r="AE202" i="9"/>
  <c r="AE1008" i="9"/>
  <c r="AE517" i="9"/>
  <c r="AE215" i="9"/>
  <c r="AF209" i="9"/>
  <c r="AE1010" i="9"/>
  <c r="AE519" i="9"/>
  <c r="AF247" i="9"/>
  <c r="AE253" i="9"/>
  <c r="AF540" i="9"/>
  <c r="AF221" i="9"/>
  <c r="AE447" i="9"/>
  <c r="AE194" i="9"/>
  <c r="AG179" i="6"/>
  <c r="AG101" i="30" s="1"/>
  <c r="AH293" i="26"/>
  <c r="AH298" i="26" s="1"/>
  <c r="AE533" i="9"/>
  <c r="AE88" i="9"/>
  <c r="AE1004" i="9"/>
  <c r="AE513" i="9"/>
  <c r="AE139" i="9"/>
  <c r="AF133" i="9"/>
  <c r="CG135" i="30"/>
  <c r="CH251" i="6"/>
  <c r="CH253" i="6" s="1"/>
  <c r="AE605" i="9"/>
  <c r="AE887" i="9" s="1"/>
  <c r="AF142" i="9"/>
  <c r="AE544" i="9"/>
  <c r="AE297" i="9"/>
  <c r="AE31" i="6"/>
  <c r="AE69" i="30" s="1"/>
  <c r="AF248" i="26"/>
  <c r="AF257" i="26" s="1"/>
  <c r="AF190" i="30"/>
  <c r="AE25" i="6"/>
  <c r="AF220" i="26"/>
  <c r="AF229" i="26" s="1"/>
  <c r="AE1017" i="9"/>
  <c r="AE526" i="9"/>
  <c r="AE386" i="9"/>
  <c r="AF380" i="9"/>
  <c r="AM129" i="30"/>
  <c r="AN229" i="6"/>
  <c r="AN236" i="6" s="1"/>
  <c r="AE1012" i="9"/>
  <c r="AE521" i="9"/>
  <c r="AE291" i="9"/>
  <c r="AF285" i="9"/>
  <c r="AE73" i="33"/>
  <c r="AE134" i="30"/>
  <c r="AF245" i="6"/>
  <c r="AF248" i="6" s="1"/>
  <c r="E169" i="20"/>
  <c r="FN168" i="20"/>
  <c r="E168" i="20" a="1"/>
  <c r="AG190" i="30" l="1"/>
  <c r="AE619" i="9"/>
  <c r="AE901" i="9" s="1"/>
  <c r="AF408" i="9"/>
  <c r="AE1002" i="9"/>
  <c r="AE511" i="9"/>
  <c r="AF95" i="9"/>
  <c r="AE101" i="9"/>
  <c r="AE1015" i="9"/>
  <c r="AE524" i="9"/>
  <c r="AE348" i="9"/>
  <c r="AF342" i="9"/>
  <c r="AF52" i="6"/>
  <c r="AG283" i="26"/>
  <c r="AG288" i="26" s="1"/>
  <c r="AF73" i="33"/>
  <c r="AF444" i="9"/>
  <c r="AF137" i="9"/>
  <c r="AE1007" i="9"/>
  <c r="AE516" i="9"/>
  <c r="AF190" i="9"/>
  <c r="AE196" i="9"/>
  <c r="AF535" i="9"/>
  <c r="AF126" i="9"/>
  <c r="AF549" i="9"/>
  <c r="AF392" i="9"/>
  <c r="AF451" i="9"/>
  <c r="AF270" i="9"/>
  <c r="AF543" i="9"/>
  <c r="AF278" i="9"/>
  <c r="AF440" i="9"/>
  <c r="AF61" i="9"/>
  <c r="AF134" i="30"/>
  <c r="AG245" i="6"/>
  <c r="AG248" i="6" s="1"/>
  <c r="AF31" i="6"/>
  <c r="AF69" i="30" s="1"/>
  <c r="AG248" i="26"/>
  <c r="AG257" i="26" s="1"/>
  <c r="CH135" i="30"/>
  <c r="CI251" i="6"/>
  <c r="CI253" i="6" s="1"/>
  <c r="CI135" i="30" s="1"/>
  <c r="AE615" i="9"/>
  <c r="AE897" i="9" s="1"/>
  <c r="AF332" i="9"/>
  <c r="AF456" i="9"/>
  <c r="AF365" i="9"/>
  <c r="AF541" i="9"/>
  <c r="AF240" i="9"/>
  <c r="AN158" i="6"/>
  <c r="AN121" i="30" s="1"/>
  <c r="AO142" i="6"/>
  <c r="AO155" i="6" s="1"/>
  <c r="AE77" i="30"/>
  <c r="AF538" i="9"/>
  <c r="AF183" i="9"/>
  <c r="AE611" i="9"/>
  <c r="AE893" i="9" s="1"/>
  <c r="AF256" i="9"/>
  <c r="AN129" i="30"/>
  <c r="AO229" i="6"/>
  <c r="AO236" i="6" s="1"/>
  <c r="AF25" i="6"/>
  <c r="AG220" i="26"/>
  <c r="AG229" i="26" s="1"/>
  <c r="AF448" i="9"/>
  <c r="AF213" i="9"/>
  <c r="AF445" i="9"/>
  <c r="AF156" i="9"/>
  <c r="AE606" i="9"/>
  <c r="AE888" i="9" s="1"/>
  <c r="AF161" i="9"/>
  <c r="AE601" i="9"/>
  <c r="AE883" i="9" s="1"/>
  <c r="AF66" i="9"/>
  <c r="AF551" i="9"/>
  <c r="AF430" i="9"/>
  <c r="AE67" i="30"/>
  <c r="AE613" i="9"/>
  <c r="AE895" i="9" s="1"/>
  <c r="AF294" i="9"/>
  <c r="AF609" i="9"/>
  <c r="AF891" i="9" s="1"/>
  <c r="AG218" i="9"/>
  <c r="AF545" i="9"/>
  <c r="AF316" i="9"/>
  <c r="AE1001" i="9"/>
  <c r="AE510" i="9"/>
  <c r="AE82" i="9"/>
  <c r="AF76" i="9"/>
  <c r="AL135" i="30"/>
  <c r="AM251" i="6"/>
  <c r="AM253" i="6" s="1"/>
  <c r="AF384" i="9"/>
  <c r="AF457" i="9"/>
  <c r="AE602" i="9"/>
  <c r="AE884" i="9" s="1"/>
  <c r="AF85" i="9"/>
  <c r="AM130" i="30"/>
  <c r="AN239" i="6"/>
  <c r="AN242" i="6" s="1"/>
  <c r="AF28" i="6"/>
  <c r="AF68" i="30" s="1"/>
  <c r="AG234" i="26"/>
  <c r="AG243" i="26" s="1"/>
  <c r="AF458" i="9"/>
  <c r="AF403" i="9"/>
  <c r="AE603" i="9"/>
  <c r="AE885" i="9" s="1"/>
  <c r="AF104" i="9"/>
  <c r="AF443" i="9"/>
  <c r="AF118" i="9"/>
  <c r="AF548" i="9"/>
  <c r="AF373" i="9"/>
  <c r="AG422" i="9"/>
  <c r="AG459" i="9"/>
  <c r="AF536" i="9"/>
  <c r="AF145" i="9"/>
  <c r="AG37" i="6"/>
  <c r="AG71" i="30" s="1"/>
  <c r="AH262" i="26"/>
  <c r="AH269" i="26" s="1"/>
  <c r="AN127" i="30"/>
  <c r="AO206" i="6"/>
  <c r="AO217" i="6" s="1"/>
  <c r="AM128" i="30"/>
  <c r="AN220" i="6"/>
  <c r="AN226" i="6" s="1"/>
  <c r="AE1006" i="9"/>
  <c r="AE515" i="9"/>
  <c r="AE177" i="9"/>
  <c r="AF171" i="9"/>
  <c r="AF452" i="9"/>
  <c r="AF289" i="9"/>
  <c r="AH179" i="6"/>
  <c r="AH101" i="30" s="1"/>
  <c r="AI293" i="26"/>
  <c r="AI298" i="26" s="1"/>
  <c r="AF450" i="9"/>
  <c r="AF251" i="9"/>
  <c r="AE608" i="9"/>
  <c r="AE890" i="9" s="1"/>
  <c r="AF199" i="9"/>
  <c r="AE1013" i="9"/>
  <c r="AE522" i="9"/>
  <c r="AF304" i="9"/>
  <c r="AE310" i="9"/>
  <c r="AF449" i="9"/>
  <c r="AF232" i="9"/>
  <c r="AF454" i="9"/>
  <c r="AF327" i="9"/>
  <c r="AE616" i="9"/>
  <c r="AE898" i="9" s="1"/>
  <c r="AF351" i="9"/>
  <c r="AF34" i="6"/>
  <c r="AF70" i="30" s="1"/>
  <c r="AG274" i="26"/>
  <c r="AG278" i="26" s="1"/>
  <c r="E168" i="20"/>
  <c r="FN167" i="20"/>
  <c r="FN166" i="20"/>
  <c r="FN165" i="20"/>
  <c r="FN164" i="20"/>
  <c r="FN163" i="20"/>
  <c r="CP163" i="20" a="1"/>
  <c r="CP163" i="20"/>
  <c r="CI163" i="20"/>
  <c r="CI53" i="30" s="1"/>
  <c r="CH163" i="20"/>
  <c r="CH53" i="30" s="1"/>
  <c r="CG163" i="20"/>
  <c r="CG53" i="30" s="1"/>
  <c r="CF163" i="20"/>
  <c r="CF53" i="30" s="1"/>
  <c r="CE163" i="20"/>
  <c r="CE53" i="30" s="1"/>
  <c r="CD163" i="20"/>
  <c r="CD53" i="30" s="1"/>
  <c r="CC163" i="20"/>
  <c r="CC53" i="30" s="1"/>
  <c r="CB163" i="20"/>
  <c r="CB53" i="30" s="1"/>
  <c r="BJ163" i="20"/>
  <c r="BJ53" i="30" s="1"/>
  <c r="BI163" i="20"/>
  <c r="BI53" i="30" s="1"/>
  <c r="BH163" i="20"/>
  <c r="BH53" i="30" s="1"/>
  <c r="BG163" i="20"/>
  <c r="BG53" i="30" s="1"/>
  <c r="BF163" i="20"/>
  <c r="BF53" i="30" s="1"/>
  <c r="BE163" i="20"/>
  <c r="BE53" i="30" s="1"/>
  <c r="BD163" i="20"/>
  <c r="BD53" i="30" s="1"/>
  <c r="BC163" i="20"/>
  <c r="BC53" i="30" s="1"/>
  <c r="BB163" i="20"/>
  <c r="BB53" i="30" s="1"/>
  <c r="BA163" i="20"/>
  <c r="BA53" i="30" s="1"/>
  <c r="AZ163" i="20"/>
  <c r="AZ53" i="30" s="1"/>
  <c r="AY163" i="20"/>
  <c r="AY53" i="30" s="1"/>
  <c r="AX163" i="20"/>
  <c r="AX53" i="30" s="1"/>
  <c r="AW163" i="20"/>
  <c r="AW53" i="30" s="1"/>
  <c r="AV163" i="20"/>
  <c r="AV53" i="30" s="1"/>
  <c r="AU163" i="20"/>
  <c r="AU53" i="30" s="1"/>
  <c r="AT163" i="20"/>
  <c r="AT53" i="30" s="1"/>
  <c r="AS163" i="20"/>
  <c r="AS53" i="30" s="1"/>
  <c r="AR163" i="20"/>
  <c r="AR53" i="30" s="1"/>
  <c r="AQ163" i="20"/>
  <c r="AQ53" i="30" s="1"/>
  <c r="AP163" i="20"/>
  <c r="AP53" i="30" s="1"/>
  <c r="AO163" i="20"/>
  <c r="AO53" i="30" s="1"/>
  <c r="AN163" i="20"/>
  <c r="AN53" i="30" s="1"/>
  <c r="AM163" i="20"/>
  <c r="AM53" i="30" s="1"/>
  <c r="AL163" i="20"/>
  <c r="AL53" i="30" s="1"/>
  <c r="AK163" i="20"/>
  <c r="AK53" i="30" s="1"/>
  <c r="AJ163" i="20"/>
  <c r="AJ53" i="30" s="1"/>
  <c r="AI163" i="20"/>
  <c r="AI53" i="30" s="1"/>
  <c r="AH163" i="20"/>
  <c r="AH53" i="30" s="1"/>
  <c r="AG163" i="20"/>
  <c r="AG53" i="30" s="1"/>
  <c r="AF163" i="20"/>
  <c r="AF53" i="30" s="1"/>
  <c r="AE163" i="20"/>
  <c r="AE53" i="30" s="1"/>
  <c r="AD163" i="20"/>
  <c r="AD53" i="30" s="1"/>
  <c r="AC163" i="20"/>
  <c r="AC53" i="30" s="1"/>
  <c r="AB163" i="20"/>
  <c r="AB53" i="30" s="1"/>
  <c r="AA163" i="20"/>
  <c r="AA53" i="30" s="1"/>
  <c r="V163" i="20"/>
  <c r="FN162" i="20"/>
  <c r="CP162" i="20" a="1"/>
  <c r="CP162" i="20"/>
  <c r="CO162" i="20" a="1"/>
  <c r="CO162" i="20"/>
  <c r="CI162" i="20"/>
  <c r="CH162" i="20"/>
  <c r="CG162" i="20"/>
  <c r="CF162" i="20"/>
  <c r="CE162" i="20"/>
  <c r="CD162" i="20"/>
  <c r="CC162" i="20"/>
  <c r="CB162" i="20"/>
  <c r="BX162" i="20"/>
  <c r="V162" i="20"/>
  <c r="I162" i="20"/>
  <c r="F162" i="20" a="1"/>
  <c r="F162" i="20" s="1"/>
  <c r="FN161" i="20"/>
  <c r="E161" i="20" a="1"/>
  <c r="CD52" i="30" l="1"/>
  <c r="CD41" i="6"/>
  <c r="AF547" i="9"/>
  <c r="AF354" i="9"/>
  <c r="AF453" i="9"/>
  <c r="AF308" i="9"/>
  <c r="AH190" i="30"/>
  <c r="AF534" i="9"/>
  <c r="AF107" i="9"/>
  <c r="AF67" i="30"/>
  <c r="AF1016" i="9"/>
  <c r="AF525" i="9"/>
  <c r="AF367" i="9"/>
  <c r="AG361" i="9"/>
  <c r="AF1004" i="9"/>
  <c r="AF513" i="9"/>
  <c r="AG133" i="9"/>
  <c r="AF139" i="9"/>
  <c r="AF77" i="30"/>
  <c r="CH52" i="30"/>
  <c r="CH41" i="6"/>
  <c r="CB52" i="30"/>
  <c r="CB41" i="6"/>
  <c r="CC52" i="30"/>
  <c r="CC41" i="6"/>
  <c r="CE52" i="30"/>
  <c r="CE41" i="6"/>
  <c r="AF446" i="9"/>
  <c r="AF175" i="9"/>
  <c r="AN130" i="30"/>
  <c r="AO239" i="6"/>
  <c r="AO242" i="6" s="1"/>
  <c r="AF614" i="9"/>
  <c r="AF896" i="9" s="1"/>
  <c r="AG313" i="9"/>
  <c r="AF1005" i="9"/>
  <c r="AF514" i="9"/>
  <c r="AF158" i="9"/>
  <c r="AG152" i="9"/>
  <c r="AO129" i="30"/>
  <c r="AP229" i="6"/>
  <c r="AP236" i="6" s="1"/>
  <c r="AG31" i="6"/>
  <c r="AG69" i="30" s="1"/>
  <c r="AH248" i="26"/>
  <c r="AH257" i="26" s="1"/>
  <c r="AF612" i="9"/>
  <c r="AF894" i="9" s="1"/>
  <c r="AG275" i="9"/>
  <c r="AF1014" i="9"/>
  <c r="AF329" i="9"/>
  <c r="AG323" i="9"/>
  <c r="AF523" i="9"/>
  <c r="AF1012" i="9"/>
  <c r="AF521" i="9"/>
  <c r="AG285" i="9"/>
  <c r="AF291" i="9"/>
  <c r="AF1018" i="9"/>
  <c r="AF527" i="9"/>
  <c r="AG399" i="9"/>
  <c r="AF405" i="9"/>
  <c r="AF620" i="9"/>
  <c r="AF902" i="9" s="1"/>
  <c r="AG427" i="9"/>
  <c r="AF455" i="9"/>
  <c r="AF346" i="9"/>
  <c r="AF550" i="9"/>
  <c r="AF411" i="9"/>
  <c r="BX52" i="30"/>
  <c r="V52" i="30" s="1"/>
  <c r="CY52" i="30" s="1"/>
  <c r="CQ52" i="30" s="1"/>
  <c r="BX41" i="6"/>
  <c r="V41" i="6" s="1"/>
  <c r="CF52" i="30"/>
  <c r="CF41" i="6"/>
  <c r="CG52" i="30"/>
  <c r="CG41" i="6"/>
  <c r="AF539" i="9"/>
  <c r="AF202" i="9"/>
  <c r="AH37" i="6"/>
  <c r="AH71" i="30" s="1"/>
  <c r="AI262" i="26"/>
  <c r="AI269" i="26" s="1"/>
  <c r="AG1019" i="9"/>
  <c r="AG528" i="9"/>
  <c r="AH418" i="9"/>
  <c r="AG424" i="9"/>
  <c r="AF533" i="9"/>
  <c r="AF88" i="9"/>
  <c r="AM135" i="30"/>
  <c r="AN251" i="6"/>
  <c r="AN253" i="6" s="1"/>
  <c r="AG540" i="9"/>
  <c r="AG221" i="9"/>
  <c r="AF1008" i="9"/>
  <c r="AF517" i="9"/>
  <c r="AF215" i="9"/>
  <c r="AG209" i="9"/>
  <c r="AF1011" i="9"/>
  <c r="AF520" i="9"/>
  <c r="AG266" i="9"/>
  <c r="AF272" i="9"/>
  <c r="AF447" i="9"/>
  <c r="AF194" i="9"/>
  <c r="AF617" i="9"/>
  <c r="AF899" i="9" s="1"/>
  <c r="AG370" i="9"/>
  <c r="AG28" i="6"/>
  <c r="AG68" i="30" s="1"/>
  <c r="AH234" i="26"/>
  <c r="AH243" i="26" s="1"/>
  <c r="AF532" i="9"/>
  <c r="AF69" i="9"/>
  <c r="AF542" i="9"/>
  <c r="AF259" i="9"/>
  <c r="AP142" i="6"/>
  <c r="AP155" i="6" s="1"/>
  <c r="AO158" i="6"/>
  <c r="AO121" i="30" s="1"/>
  <c r="CI52" i="30"/>
  <c r="CI41" i="6"/>
  <c r="DB162" i="20"/>
  <c r="CT162" i="20" s="1"/>
  <c r="AG34" i="6"/>
  <c r="AG70" i="30" s="1"/>
  <c r="AH274" i="26"/>
  <c r="AH278" i="26" s="1"/>
  <c r="AF1009" i="9"/>
  <c r="AF518" i="9"/>
  <c r="AG228" i="9"/>
  <c r="AF234" i="9"/>
  <c r="AF1010" i="9"/>
  <c r="AF519" i="9"/>
  <c r="AG247" i="9"/>
  <c r="AF253" i="9"/>
  <c r="AN128" i="30"/>
  <c r="AO220" i="6"/>
  <c r="AO226" i="6" s="1"/>
  <c r="AF441" i="9"/>
  <c r="AF80" i="9"/>
  <c r="AF544" i="9"/>
  <c r="AF297" i="9"/>
  <c r="AF546" i="9"/>
  <c r="AF335" i="9"/>
  <c r="AG134" i="30"/>
  <c r="AH245" i="6"/>
  <c r="AH248" i="6" s="1"/>
  <c r="AF618" i="9"/>
  <c r="AF900" i="9" s="1"/>
  <c r="AG389" i="9"/>
  <c r="AG73" i="33"/>
  <c r="AF605" i="9"/>
  <c r="AF887" i="9" s="1"/>
  <c r="AG142" i="9"/>
  <c r="AF1003" i="9"/>
  <c r="AF512" i="9"/>
  <c r="AF120" i="9"/>
  <c r="AG114" i="9"/>
  <c r="AF1017" i="9"/>
  <c r="AF526" i="9"/>
  <c r="AF386" i="9"/>
  <c r="AG380" i="9"/>
  <c r="AF607" i="9"/>
  <c r="AF889" i="9" s="1"/>
  <c r="AG180" i="9"/>
  <c r="AF610" i="9"/>
  <c r="AF892" i="9" s="1"/>
  <c r="AG237" i="9"/>
  <c r="AG52" i="6"/>
  <c r="AH283" i="26"/>
  <c r="AH288" i="26" s="1"/>
  <c r="AI179" i="6"/>
  <c r="AI101" i="30" s="1"/>
  <c r="AJ293" i="26"/>
  <c r="AJ298" i="26" s="1"/>
  <c r="AO127" i="30"/>
  <c r="AP206" i="6"/>
  <c r="AP217" i="6" s="1"/>
  <c r="AF537" i="9"/>
  <c r="AF164" i="9"/>
  <c r="AG25" i="6"/>
  <c r="AH220" i="26"/>
  <c r="AH229" i="26" s="1"/>
  <c r="AF1000" i="9"/>
  <c r="AF509" i="9"/>
  <c r="AG57" i="9"/>
  <c r="AF63" i="9"/>
  <c r="AF604" i="9"/>
  <c r="AF886" i="9" s="1"/>
  <c r="AG123" i="9"/>
  <c r="AF442" i="9"/>
  <c r="AF99" i="9"/>
  <c r="E161" i="20"/>
  <c r="FN160" i="20"/>
  <c r="E160" i="20" a="1"/>
  <c r="AG549" i="9" l="1"/>
  <c r="AG392" i="9"/>
  <c r="AF613" i="9"/>
  <c r="AF895" i="9" s="1"/>
  <c r="AG294" i="9"/>
  <c r="AG440" i="9"/>
  <c r="AG61" i="9"/>
  <c r="AP127" i="30"/>
  <c r="AQ206" i="6"/>
  <c r="AQ217" i="6" s="1"/>
  <c r="AG450" i="9"/>
  <c r="AG251" i="9"/>
  <c r="AG548" i="9"/>
  <c r="AG373" i="9"/>
  <c r="AG451" i="9"/>
  <c r="AG270" i="9"/>
  <c r="AG551" i="9"/>
  <c r="AG430" i="9"/>
  <c r="AG543" i="9"/>
  <c r="AG278" i="9"/>
  <c r="AG445" i="9"/>
  <c r="AG156" i="9"/>
  <c r="AH73" i="33"/>
  <c r="AF1002" i="9"/>
  <c r="AF511" i="9"/>
  <c r="AG95" i="9"/>
  <c r="AF101" i="9"/>
  <c r="AG541" i="9"/>
  <c r="AG240" i="9"/>
  <c r="AH134" i="30"/>
  <c r="AI245" i="6"/>
  <c r="AI248" i="6" s="1"/>
  <c r="AF1001" i="9"/>
  <c r="AF510" i="9"/>
  <c r="AG76" i="9"/>
  <c r="AF82" i="9"/>
  <c r="AF601" i="9"/>
  <c r="AF883" i="9" s="1"/>
  <c r="AG66" i="9"/>
  <c r="AN135" i="30"/>
  <c r="AO251" i="6"/>
  <c r="AO253" i="6" s="1"/>
  <c r="AF1006" i="9"/>
  <c r="AF515" i="9"/>
  <c r="AG171" i="9"/>
  <c r="AF177" i="9"/>
  <c r="AF1013" i="9"/>
  <c r="AF522" i="9"/>
  <c r="AF310" i="9"/>
  <c r="AG304" i="9"/>
  <c r="AJ179" i="6"/>
  <c r="AJ101" i="30" s="1"/>
  <c r="AK293" i="26"/>
  <c r="AK298" i="26" s="1"/>
  <c r="AG443" i="9"/>
  <c r="AG118" i="9"/>
  <c r="AI37" i="6"/>
  <c r="AI71" i="30" s="1"/>
  <c r="AJ262" i="26"/>
  <c r="AJ269" i="26" s="1"/>
  <c r="AF615" i="9"/>
  <c r="AF897" i="9" s="1"/>
  <c r="AG332" i="9"/>
  <c r="AF602" i="9"/>
  <c r="AF884" i="9" s="1"/>
  <c r="AG85" i="9"/>
  <c r="AG458" i="9"/>
  <c r="AG403" i="9"/>
  <c r="AH31" i="6"/>
  <c r="AH69" i="30" s="1"/>
  <c r="AI248" i="26"/>
  <c r="AI257" i="26" s="1"/>
  <c r="AG456" i="9"/>
  <c r="AG365" i="9"/>
  <c r="AF616" i="9"/>
  <c r="AF898" i="9" s="1"/>
  <c r="AG351" i="9"/>
  <c r="AG538" i="9"/>
  <c r="AG183" i="9"/>
  <c r="AO128" i="30"/>
  <c r="AP220" i="6"/>
  <c r="AP226" i="6" s="1"/>
  <c r="AH52" i="6"/>
  <c r="AI283" i="26"/>
  <c r="AI288" i="26" s="1"/>
  <c r="AG449" i="9"/>
  <c r="AG232" i="9"/>
  <c r="AF608" i="9"/>
  <c r="AF890" i="9" s="1"/>
  <c r="AG199" i="9"/>
  <c r="AF619" i="9"/>
  <c r="AF901" i="9" s="1"/>
  <c r="AG408" i="9"/>
  <c r="AG454" i="9"/>
  <c r="AG327" i="9"/>
  <c r="AG545" i="9"/>
  <c r="AG316" i="9"/>
  <c r="AF603" i="9"/>
  <c r="AF885" i="9" s="1"/>
  <c r="AG104" i="9"/>
  <c r="AH25" i="6"/>
  <c r="AI220" i="26"/>
  <c r="AI229" i="26" s="1"/>
  <c r="AG535" i="9"/>
  <c r="AG126" i="9"/>
  <c r="AG67" i="30"/>
  <c r="AH28" i="6"/>
  <c r="AH68" i="30" s="1"/>
  <c r="AI234" i="26"/>
  <c r="AI243" i="26" s="1"/>
  <c r="AF1007" i="9"/>
  <c r="AF516" i="9"/>
  <c r="AG190" i="9"/>
  <c r="AF196" i="9"/>
  <c r="AF606" i="9"/>
  <c r="AF888" i="9" s="1"/>
  <c r="AG161" i="9"/>
  <c r="AG77" i="30"/>
  <c r="AG457" i="9"/>
  <c r="AG384" i="9"/>
  <c r="AG536" i="9"/>
  <c r="AG145" i="9"/>
  <c r="AP158" i="6"/>
  <c r="AP121" i="30" s="1"/>
  <c r="AQ142" i="6"/>
  <c r="AQ155" i="6" s="1"/>
  <c r="AH459" i="9"/>
  <c r="AH422" i="9"/>
  <c r="AF1015" i="9"/>
  <c r="AF524" i="9"/>
  <c r="AG342" i="9"/>
  <c r="AF348" i="9"/>
  <c r="AP129" i="30"/>
  <c r="AQ229" i="6"/>
  <c r="AQ236" i="6" s="1"/>
  <c r="AO130" i="30"/>
  <c r="AP239" i="6"/>
  <c r="AP242" i="6" s="1"/>
  <c r="AI190" i="30"/>
  <c r="AG448" i="9"/>
  <c r="AG213" i="9"/>
  <c r="AH34" i="6"/>
  <c r="AH70" i="30" s="1"/>
  <c r="AI274" i="26"/>
  <c r="AI278" i="26" s="1"/>
  <c r="AF611" i="9"/>
  <c r="AF893" i="9" s="1"/>
  <c r="AG256" i="9"/>
  <c r="AG609" i="9"/>
  <c r="AG891" i="9" s="1"/>
  <c r="AH218" i="9"/>
  <c r="AG289" i="9"/>
  <c r="AG452" i="9"/>
  <c r="AG444" i="9"/>
  <c r="AG137" i="9"/>
  <c r="E160" i="20"/>
  <c r="FN159" i="20"/>
  <c r="E159" i="20" a="1"/>
  <c r="AG537" i="9" l="1"/>
  <c r="AG164" i="9"/>
  <c r="AG604" i="9"/>
  <c r="AG886" i="9" s="1"/>
  <c r="AH123" i="9"/>
  <c r="AI31" i="6"/>
  <c r="AI69" i="30" s="1"/>
  <c r="AJ248" i="26"/>
  <c r="AJ257" i="26" s="1"/>
  <c r="AK179" i="6"/>
  <c r="AK101" i="30" s="1"/>
  <c r="AL293" i="26"/>
  <c r="AL298" i="26" s="1"/>
  <c r="AI134" i="30"/>
  <c r="AJ245" i="6"/>
  <c r="AJ248" i="6" s="1"/>
  <c r="AG617" i="9"/>
  <c r="AG899" i="9" s="1"/>
  <c r="AH370" i="9"/>
  <c r="AP130" i="30"/>
  <c r="AQ239" i="6"/>
  <c r="AQ242" i="6" s="1"/>
  <c r="AG542" i="9"/>
  <c r="AG259" i="9"/>
  <c r="AI73" i="33"/>
  <c r="AG455" i="9"/>
  <c r="AG346" i="9"/>
  <c r="AG1014" i="9"/>
  <c r="AG523" i="9"/>
  <c r="AH323" i="9"/>
  <c r="AG329" i="9"/>
  <c r="AG607" i="9"/>
  <c r="AG889" i="9" s="1"/>
  <c r="AH180" i="9"/>
  <c r="AJ190" i="30"/>
  <c r="AG446" i="9"/>
  <c r="AG175" i="9"/>
  <c r="AG442" i="9"/>
  <c r="AG99" i="9"/>
  <c r="AG612" i="9"/>
  <c r="AG894" i="9" s="1"/>
  <c r="AH275" i="9"/>
  <c r="AG544" i="9"/>
  <c r="AG297" i="9"/>
  <c r="AG605" i="9"/>
  <c r="AG887" i="9" s="1"/>
  <c r="AH142" i="9"/>
  <c r="AI28" i="6"/>
  <c r="AI68" i="30" s="1"/>
  <c r="AJ234" i="26"/>
  <c r="AJ243" i="26" s="1"/>
  <c r="AI25" i="6"/>
  <c r="AJ220" i="26"/>
  <c r="AJ229" i="26" s="1"/>
  <c r="AI52" i="6"/>
  <c r="AJ283" i="26"/>
  <c r="AJ288" i="26" s="1"/>
  <c r="AG532" i="9"/>
  <c r="AG69" i="9"/>
  <c r="AG1010" i="9"/>
  <c r="AG519" i="9"/>
  <c r="AH247" i="9"/>
  <c r="AG253" i="9"/>
  <c r="AG550" i="9"/>
  <c r="AG411" i="9"/>
  <c r="AG354" i="9"/>
  <c r="AG547" i="9"/>
  <c r="AG1018" i="9"/>
  <c r="AG527" i="9"/>
  <c r="AH399" i="9"/>
  <c r="AG405" i="9"/>
  <c r="AG453" i="9"/>
  <c r="AG308" i="9"/>
  <c r="AG620" i="9"/>
  <c r="AG902" i="9" s="1"/>
  <c r="AH427" i="9"/>
  <c r="AG618" i="9"/>
  <c r="AG900" i="9" s="1"/>
  <c r="AH389" i="9"/>
  <c r="AG1004" i="9"/>
  <c r="AG513" i="9"/>
  <c r="AH133" i="9"/>
  <c r="AG139" i="9"/>
  <c r="AH67" i="30"/>
  <c r="AH77" i="30"/>
  <c r="AG1017" i="9"/>
  <c r="AG526" i="9"/>
  <c r="AH380" i="9"/>
  <c r="AG386" i="9"/>
  <c r="AQ129" i="30"/>
  <c r="AR229" i="6"/>
  <c r="AR236" i="6" s="1"/>
  <c r="AG534" i="9"/>
  <c r="AG107" i="9"/>
  <c r="AG539" i="9"/>
  <c r="AG202" i="9"/>
  <c r="AG1016" i="9"/>
  <c r="AG525" i="9"/>
  <c r="AG367" i="9"/>
  <c r="AH361" i="9"/>
  <c r="AG533" i="9"/>
  <c r="AG88" i="9"/>
  <c r="AJ37" i="6"/>
  <c r="AJ71" i="30" s="1"/>
  <c r="AK262" i="26"/>
  <c r="AK269" i="26" s="1"/>
  <c r="AG1003" i="9"/>
  <c r="AG512" i="9"/>
  <c r="AH114" i="9"/>
  <c r="AG120" i="9"/>
  <c r="AG441" i="9"/>
  <c r="AG80" i="9"/>
  <c r="AG610" i="9"/>
  <c r="AG892" i="9" s="1"/>
  <c r="AH237" i="9"/>
  <c r="AQ127" i="30"/>
  <c r="AR206" i="6"/>
  <c r="AR217" i="6" s="1"/>
  <c r="AG1011" i="9"/>
  <c r="AG520" i="9"/>
  <c r="AH266" i="9"/>
  <c r="AG272" i="9"/>
  <c r="AI34" i="6"/>
  <c r="AI70" i="30" s="1"/>
  <c r="AJ274" i="26"/>
  <c r="AJ278" i="26" s="1"/>
  <c r="AH1019" i="9"/>
  <c r="AH528" i="9"/>
  <c r="AH424" i="9"/>
  <c r="AI418" i="9"/>
  <c r="AG1012" i="9"/>
  <c r="AG521" i="9"/>
  <c r="AG291" i="9"/>
  <c r="AH285" i="9"/>
  <c r="AG1008" i="9"/>
  <c r="AG517" i="9"/>
  <c r="AG215" i="9"/>
  <c r="AH209" i="9"/>
  <c r="AH540" i="9"/>
  <c r="AH221" i="9"/>
  <c r="AQ158" i="6"/>
  <c r="AQ121" i="30" s="1"/>
  <c r="AR142" i="6"/>
  <c r="AR155" i="6" s="1"/>
  <c r="AG447" i="9"/>
  <c r="AG194" i="9"/>
  <c r="AG614" i="9"/>
  <c r="AG896" i="9" s="1"/>
  <c r="AH313" i="9"/>
  <c r="AG1009" i="9"/>
  <c r="AG518" i="9"/>
  <c r="AH228" i="9"/>
  <c r="AG234" i="9"/>
  <c r="AP128" i="30"/>
  <c r="AQ220" i="6"/>
  <c r="AQ226" i="6" s="1"/>
  <c r="AG546" i="9"/>
  <c r="AG335" i="9"/>
  <c r="AO135" i="30"/>
  <c r="AP251" i="6"/>
  <c r="AP253" i="6" s="1"/>
  <c r="AG1005" i="9"/>
  <c r="AG514" i="9"/>
  <c r="AH152" i="9"/>
  <c r="AG158" i="9"/>
  <c r="AG1000" i="9"/>
  <c r="AG509" i="9"/>
  <c r="AH57" i="9"/>
  <c r="AG63" i="9"/>
  <c r="E159" i="20"/>
  <c r="FN158" i="20"/>
  <c r="FN157" i="20"/>
  <c r="FN156" i="20"/>
  <c r="FN155" i="20"/>
  <c r="FN154" i="20"/>
  <c r="FN153" i="20"/>
  <c r="CP153" i="20" a="1"/>
  <c r="CP153" i="20"/>
  <c r="CO153" i="20" a="1"/>
  <c r="CO153" i="20"/>
  <c r="CI153" i="20"/>
  <c r="CI44" i="30" s="1"/>
  <c r="CH153" i="20"/>
  <c r="CH44" i="30" s="1"/>
  <c r="CG153" i="20"/>
  <c r="CG44" i="30" s="1"/>
  <c r="CF153" i="20"/>
  <c r="CF44" i="30" s="1"/>
  <c r="CE153" i="20"/>
  <c r="CE44" i="30" s="1"/>
  <c r="CD153" i="20"/>
  <c r="CD44" i="30" s="1"/>
  <c r="CC153" i="20"/>
  <c r="CC44" i="30" s="1"/>
  <c r="CB153" i="20"/>
  <c r="CB44" i="30" s="1"/>
  <c r="V153" i="20"/>
  <c r="BX153" i="20" s="1"/>
  <c r="BX44" i="30" s="1"/>
  <c r="V44" i="30" s="1"/>
  <c r="CY44" i="30" s="1"/>
  <c r="CQ44" i="30" s="1"/>
  <c r="I153" i="20"/>
  <c r="F153" i="20" a="1"/>
  <c r="F153" i="20" s="1"/>
  <c r="FN152" i="20"/>
  <c r="G152" i="20" a="1"/>
  <c r="AH609" i="9" l="1"/>
  <c r="AH891" i="9" s="1"/>
  <c r="AI218" i="9"/>
  <c r="AH445" i="9"/>
  <c r="AH156" i="9"/>
  <c r="AQ128" i="30"/>
  <c r="AR220" i="6"/>
  <c r="AR226" i="6" s="1"/>
  <c r="AH448" i="9"/>
  <c r="AH213" i="9"/>
  <c r="AI459" i="9"/>
  <c r="AI422" i="9"/>
  <c r="AH458" i="9"/>
  <c r="AH403" i="9"/>
  <c r="AI77" i="30"/>
  <c r="AH548" i="9"/>
  <c r="AH373" i="9"/>
  <c r="DB153" i="20"/>
  <c r="CT153" i="20" s="1"/>
  <c r="AG1007" i="9"/>
  <c r="AG516" i="9"/>
  <c r="AG196" i="9"/>
  <c r="AH190" i="9"/>
  <c r="AH451" i="9"/>
  <c r="AH270" i="9"/>
  <c r="AH443" i="9"/>
  <c r="AH118" i="9"/>
  <c r="AH456" i="9"/>
  <c r="AH365" i="9"/>
  <c r="AR129" i="30"/>
  <c r="AS229" i="6"/>
  <c r="AS236" i="6" s="1"/>
  <c r="AH444" i="9"/>
  <c r="AH137" i="9"/>
  <c r="AH450" i="9"/>
  <c r="AH251" i="9"/>
  <c r="AH454" i="9"/>
  <c r="AH327" i="9"/>
  <c r="AG615" i="9"/>
  <c r="AG897" i="9" s="1"/>
  <c r="AH332" i="9"/>
  <c r="AR127" i="30"/>
  <c r="AS206" i="6"/>
  <c r="AS217" i="6" s="1"/>
  <c r="AJ25" i="6"/>
  <c r="AK220" i="26"/>
  <c r="AK229" i="26" s="1"/>
  <c r="AG1006" i="9"/>
  <c r="AG515" i="9"/>
  <c r="AH171" i="9"/>
  <c r="AG177" i="9"/>
  <c r="AG611" i="9"/>
  <c r="AG893" i="9" s="1"/>
  <c r="AH256" i="9"/>
  <c r="AJ134" i="30"/>
  <c r="AK245" i="6"/>
  <c r="AK248" i="6" s="1"/>
  <c r="AH535" i="9"/>
  <c r="AH126" i="9"/>
  <c r="AH449" i="9"/>
  <c r="AH232" i="9"/>
  <c r="AG1013" i="9"/>
  <c r="AG522" i="9"/>
  <c r="AG310" i="9"/>
  <c r="AH304" i="9"/>
  <c r="AI67" i="30"/>
  <c r="AG613" i="9"/>
  <c r="AG895" i="9" s="1"/>
  <c r="AH294" i="9"/>
  <c r="AH440" i="9"/>
  <c r="AH61" i="9"/>
  <c r="AP135" i="30"/>
  <c r="AQ251" i="6"/>
  <c r="AQ253" i="6" s="1"/>
  <c r="AR158" i="6"/>
  <c r="AR121" i="30" s="1"/>
  <c r="AS142" i="6"/>
  <c r="AS155" i="6" s="1"/>
  <c r="AH452" i="9"/>
  <c r="AH289" i="9"/>
  <c r="AH541" i="9"/>
  <c r="AH240" i="9"/>
  <c r="AH457" i="9"/>
  <c r="AH384" i="9"/>
  <c r="AH549" i="9"/>
  <c r="AH392" i="9"/>
  <c r="AG616" i="9"/>
  <c r="AG898" i="9" s="1"/>
  <c r="AH351" i="9"/>
  <c r="AG601" i="9"/>
  <c r="AG883" i="9" s="1"/>
  <c r="AH66" i="9"/>
  <c r="AL179" i="6"/>
  <c r="AL101" i="30" s="1"/>
  <c r="AM293" i="26"/>
  <c r="AM298" i="26" s="1"/>
  <c r="AG606" i="9"/>
  <c r="AG888" i="9" s="1"/>
  <c r="AH161" i="9"/>
  <c r="AJ34" i="6"/>
  <c r="AJ70" i="30" s="1"/>
  <c r="AK274" i="26"/>
  <c r="AK278" i="26" s="1"/>
  <c r="AK37" i="6"/>
  <c r="AK71" i="30" s="1"/>
  <c r="AL262" i="26"/>
  <c r="AL269" i="26" s="1"/>
  <c r="AH199" i="9"/>
  <c r="AG608" i="9"/>
  <c r="AG890" i="9" s="1"/>
  <c r="AG619" i="9"/>
  <c r="AG901" i="9" s="1"/>
  <c r="AH408" i="9"/>
  <c r="AJ28" i="6"/>
  <c r="AJ68" i="30" s="1"/>
  <c r="AK234" i="26"/>
  <c r="AK243" i="26" s="1"/>
  <c r="AH543" i="9"/>
  <c r="AH278" i="9"/>
  <c r="AJ73" i="33"/>
  <c r="AQ130" i="30"/>
  <c r="AR239" i="6"/>
  <c r="AR242" i="6" s="1"/>
  <c r="AK190" i="30"/>
  <c r="AH551" i="9"/>
  <c r="AH430" i="9"/>
  <c r="AJ52" i="6"/>
  <c r="AK283" i="26"/>
  <c r="AK288" i="26" s="1"/>
  <c r="AH538" i="9"/>
  <c r="AH183" i="9"/>
  <c r="AG1015" i="9"/>
  <c r="AG524" i="9"/>
  <c r="AG348" i="9"/>
  <c r="AH342" i="9"/>
  <c r="AH545" i="9"/>
  <c r="AH316" i="9"/>
  <c r="AG1001" i="9"/>
  <c r="AG510" i="9"/>
  <c r="AH76" i="9"/>
  <c r="AG82" i="9"/>
  <c r="AG602" i="9"/>
  <c r="AG884" i="9" s="1"/>
  <c r="AH85" i="9"/>
  <c r="AG603" i="9"/>
  <c r="AG885" i="9" s="1"/>
  <c r="AH104" i="9"/>
  <c r="AH536" i="9"/>
  <c r="AH145" i="9"/>
  <c r="AG1002" i="9"/>
  <c r="AG511" i="9"/>
  <c r="AG101" i="9"/>
  <c r="AH95" i="9"/>
  <c r="AJ31" i="6"/>
  <c r="AJ69" i="30" s="1"/>
  <c r="AK248" i="26"/>
  <c r="AK257" i="26" s="1"/>
  <c r="G152" i="20"/>
  <c r="F152" i="20" a="1"/>
  <c r="AL190" i="30" l="1"/>
  <c r="AH1017" i="9"/>
  <c r="AH526" i="9"/>
  <c r="AI380" i="9"/>
  <c r="AH386" i="9"/>
  <c r="AH544" i="9"/>
  <c r="AH297" i="9"/>
  <c r="AH442" i="9"/>
  <c r="AH99" i="9"/>
  <c r="AH534" i="9"/>
  <c r="AH107" i="9"/>
  <c r="AH620" i="9"/>
  <c r="AH902" i="9" s="1"/>
  <c r="AI427" i="9"/>
  <c r="AK34" i="6"/>
  <c r="AK70" i="30" s="1"/>
  <c r="AL274" i="26"/>
  <c r="AL278" i="26" s="1"/>
  <c r="AR128" i="30"/>
  <c r="AS220" i="6"/>
  <c r="AS226" i="6" s="1"/>
  <c r="AK52" i="6"/>
  <c r="AL283" i="26"/>
  <c r="AL288" i="26" s="1"/>
  <c r="AH547" i="9"/>
  <c r="AH354" i="9"/>
  <c r="AH610" i="9"/>
  <c r="AH892" i="9" s="1"/>
  <c r="AI237" i="9"/>
  <c r="AH1000" i="9"/>
  <c r="AH509" i="9"/>
  <c r="AH63" i="9"/>
  <c r="AI57" i="9"/>
  <c r="AK134" i="30"/>
  <c r="AL245" i="6"/>
  <c r="AL248" i="6" s="1"/>
  <c r="AH546" i="9"/>
  <c r="AH335" i="9"/>
  <c r="AH1004" i="9"/>
  <c r="AH513" i="9"/>
  <c r="AI133" i="9"/>
  <c r="AH139" i="9"/>
  <c r="AH1003" i="9"/>
  <c r="AH512" i="9"/>
  <c r="AI114" i="9"/>
  <c r="AH120" i="9"/>
  <c r="AH455" i="9"/>
  <c r="AH346" i="9"/>
  <c r="AH550" i="9"/>
  <c r="AH411" i="9"/>
  <c r="AH441" i="9"/>
  <c r="AH80" i="9"/>
  <c r="AH612" i="9"/>
  <c r="AH894" i="9" s="1"/>
  <c r="AI275" i="9"/>
  <c r="AH533" i="9"/>
  <c r="AH88" i="9"/>
  <c r="AH607" i="9"/>
  <c r="AH889" i="9" s="1"/>
  <c r="AI180" i="9"/>
  <c r="AH539" i="9"/>
  <c r="AH202" i="9"/>
  <c r="AK25" i="6"/>
  <c r="AL220" i="26"/>
  <c r="AL229" i="26" s="1"/>
  <c r="AH617" i="9"/>
  <c r="AH899" i="9" s="1"/>
  <c r="AI370" i="9"/>
  <c r="AH1005" i="9"/>
  <c r="AH514" i="9"/>
  <c r="AI152" i="9"/>
  <c r="AH158" i="9"/>
  <c r="AH537" i="9"/>
  <c r="AH164" i="9"/>
  <c r="AH618" i="9"/>
  <c r="AH900" i="9" s="1"/>
  <c r="AI389" i="9"/>
  <c r="AH1012" i="9"/>
  <c r="AH291" i="9"/>
  <c r="AI285" i="9"/>
  <c r="AH521" i="9"/>
  <c r="AH453" i="9"/>
  <c r="AH308" i="9"/>
  <c r="AH542" i="9"/>
  <c r="AH259" i="9"/>
  <c r="AJ67" i="30"/>
  <c r="AH1011" i="9"/>
  <c r="AH520" i="9"/>
  <c r="AH272" i="9"/>
  <c r="AI266" i="9"/>
  <c r="AK28" i="6"/>
  <c r="AK68" i="30" s="1"/>
  <c r="AL234" i="26"/>
  <c r="AL243" i="26" s="1"/>
  <c r="AK31" i="6"/>
  <c r="AK69" i="30" s="1"/>
  <c r="AL248" i="26"/>
  <c r="AL257" i="26" s="1"/>
  <c r="AH605" i="9"/>
  <c r="AH887" i="9" s="1"/>
  <c r="AI142" i="9"/>
  <c r="AH614" i="9"/>
  <c r="AH896" i="9" s="1"/>
  <c r="AI313" i="9"/>
  <c r="AK73" i="33"/>
  <c r="AL37" i="6"/>
  <c r="AL71" i="30" s="1"/>
  <c r="AM262" i="26"/>
  <c r="AM269" i="26" s="1"/>
  <c r="AI1019" i="9"/>
  <c r="AI528" i="9"/>
  <c r="AI424" i="9"/>
  <c r="AJ418" i="9"/>
  <c r="AI540" i="9"/>
  <c r="AI221" i="9"/>
  <c r="AR130" i="30"/>
  <c r="AS239" i="6"/>
  <c r="AS242" i="6" s="1"/>
  <c r="AM179" i="6"/>
  <c r="AM101" i="30" s="1"/>
  <c r="AN293" i="26"/>
  <c r="AN298" i="26" s="1"/>
  <c r="AT142" i="6"/>
  <c r="AT155" i="6" s="1"/>
  <c r="AS158" i="6"/>
  <c r="AS121" i="30" s="1"/>
  <c r="AH1009" i="9"/>
  <c r="AH518" i="9"/>
  <c r="AI228" i="9"/>
  <c r="AH234" i="9"/>
  <c r="AS127" i="30"/>
  <c r="AT206" i="6"/>
  <c r="AT217" i="6" s="1"/>
  <c r="AH1014" i="9"/>
  <c r="AH523" i="9"/>
  <c r="AH329" i="9"/>
  <c r="AI323" i="9"/>
  <c r="AS129" i="30"/>
  <c r="AT229" i="6"/>
  <c r="AT236" i="6" s="1"/>
  <c r="AH447" i="9"/>
  <c r="AH194" i="9"/>
  <c r="AH446" i="9"/>
  <c r="AH175" i="9"/>
  <c r="AH1008" i="9"/>
  <c r="AH517" i="9"/>
  <c r="AH215" i="9"/>
  <c r="AI209" i="9"/>
  <c r="AJ77" i="30"/>
  <c r="AH532" i="9"/>
  <c r="AH69" i="9"/>
  <c r="AQ135" i="30"/>
  <c r="AR251" i="6"/>
  <c r="AR253" i="6" s="1"/>
  <c r="AH604" i="9"/>
  <c r="AH886" i="9" s="1"/>
  <c r="AI123" i="9"/>
  <c r="AH1010" i="9"/>
  <c r="AH519" i="9"/>
  <c r="AI247" i="9"/>
  <c r="AH253" i="9"/>
  <c r="AH1016" i="9"/>
  <c r="AH525" i="9"/>
  <c r="AH367" i="9"/>
  <c r="AI361" i="9"/>
  <c r="AH1018" i="9"/>
  <c r="AH527" i="9"/>
  <c r="AI399" i="9"/>
  <c r="AH405" i="9"/>
  <c r="F152" i="20"/>
  <c r="E152" i="20" a="1"/>
  <c r="AH1007" i="9" l="1"/>
  <c r="AH516" i="9"/>
  <c r="AH196" i="9"/>
  <c r="AI190" i="9"/>
  <c r="AT127" i="30"/>
  <c r="AU206" i="6"/>
  <c r="AU217" i="6" s="1"/>
  <c r="AN179" i="6"/>
  <c r="AN101" i="30" s="1"/>
  <c r="AO293" i="26"/>
  <c r="AO298" i="26" s="1"/>
  <c r="AI452" i="9"/>
  <c r="AI289" i="9"/>
  <c r="AL25" i="6"/>
  <c r="AM220" i="26"/>
  <c r="AM229" i="26" s="1"/>
  <c r="AL134" i="30"/>
  <c r="AM245" i="6"/>
  <c r="AM248" i="6" s="1"/>
  <c r="AH603" i="9"/>
  <c r="AH885" i="9" s="1"/>
  <c r="AI104" i="9"/>
  <c r="AI458" i="9"/>
  <c r="AI403" i="9"/>
  <c r="AI251" i="9"/>
  <c r="AI450" i="9"/>
  <c r="AH601" i="9"/>
  <c r="AH883" i="9" s="1"/>
  <c r="AI66" i="9"/>
  <c r="AM190" i="30"/>
  <c r="AI316" i="9"/>
  <c r="AI545" i="9"/>
  <c r="AL28" i="6"/>
  <c r="AL68" i="30" s="1"/>
  <c r="AM234" i="26"/>
  <c r="AM243" i="26" s="1"/>
  <c r="AK67" i="30"/>
  <c r="AH602" i="9"/>
  <c r="AH884" i="9" s="1"/>
  <c r="AI85" i="9"/>
  <c r="AH616" i="9"/>
  <c r="AH898" i="9" s="1"/>
  <c r="AI351" i="9"/>
  <c r="AS130" i="30"/>
  <c r="AT239" i="6"/>
  <c r="AT242" i="6" s="1"/>
  <c r="AH619" i="9"/>
  <c r="AH901" i="9" s="1"/>
  <c r="AI408" i="9"/>
  <c r="AH1002" i="9"/>
  <c r="AH511" i="9"/>
  <c r="AH101" i="9"/>
  <c r="AI95" i="9"/>
  <c r="AI536" i="9"/>
  <c r="AI145" i="9"/>
  <c r="AH611" i="9"/>
  <c r="AH893" i="9" s="1"/>
  <c r="AI256" i="9"/>
  <c r="AI549" i="9"/>
  <c r="AI392" i="9"/>
  <c r="AI444" i="9"/>
  <c r="AI137" i="9"/>
  <c r="AI440" i="9"/>
  <c r="AI61" i="9"/>
  <c r="AL73" i="33"/>
  <c r="AI456" i="9"/>
  <c r="AI365" i="9"/>
  <c r="AI454" i="9"/>
  <c r="AI327" i="9"/>
  <c r="AI609" i="9"/>
  <c r="AI891" i="9" s="1"/>
  <c r="AJ218" i="9"/>
  <c r="AM37" i="6"/>
  <c r="AM71" i="30" s="1"/>
  <c r="AN262" i="26"/>
  <c r="AN269" i="26" s="1"/>
  <c r="AI548" i="9"/>
  <c r="AI373" i="9"/>
  <c r="AI543" i="9"/>
  <c r="AI278" i="9"/>
  <c r="AH1015" i="9"/>
  <c r="AH524" i="9"/>
  <c r="AH348" i="9"/>
  <c r="AI342" i="9"/>
  <c r="AL52" i="6"/>
  <c r="AM283" i="26"/>
  <c r="AM288" i="26" s="1"/>
  <c r="AL34" i="6"/>
  <c r="AL70" i="30" s="1"/>
  <c r="AM274" i="26"/>
  <c r="AM278" i="26" s="1"/>
  <c r="AH613" i="9"/>
  <c r="AH895" i="9" s="1"/>
  <c r="AI294" i="9"/>
  <c r="AT129" i="30"/>
  <c r="AU229" i="6"/>
  <c r="AU236" i="6" s="1"/>
  <c r="AI449" i="9"/>
  <c r="AI232" i="9"/>
  <c r="AI535" i="9"/>
  <c r="AI126" i="9"/>
  <c r="AH1006" i="9"/>
  <c r="AH515" i="9"/>
  <c r="AH177" i="9"/>
  <c r="AI171" i="9"/>
  <c r="AL31" i="6"/>
  <c r="AL69" i="30" s="1"/>
  <c r="AM248" i="26"/>
  <c r="AM257" i="26" s="1"/>
  <c r="AI451" i="9"/>
  <c r="AI270" i="9"/>
  <c r="AH1013" i="9"/>
  <c r="AH522" i="9"/>
  <c r="AI304" i="9"/>
  <c r="AH310" i="9"/>
  <c r="AH606" i="9"/>
  <c r="AH888" i="9" s="1"/>
  <c r="AI161" i="9"/>
  <c r="AH608" i="9"/>
  <c r="AH890" i="9" s="1"/>
  <c r="AI199" i="9"/>
  <c r="AK77" i="30"/>
  <c r="AJ459" i="9"/>
  <c r="AJ422" i="9"/>
  <c r="AI445" i="9"/>
  <c r="AI156" i="9"/>
  <c r="AH615" i="9"/>
  <c r="AH897" i="9" s="1"/>
  <c r="AI332" i="9"/>
  <c r="AS128" i="30"/>
  <c r="AT220" i="6"/>
  <c r="AT226" i="6" s="1"/>
  <c r="AI551" i="9"/>
  <c r="AI430" i="9"/>
  <c r="AR135" i="30"/>
  <c r="AS251" i="6"/>
  <c r="AS253" i="6" s="1"/>
  <c r="AI448" i="9"/>
  <c r="AI213" i="9"/>
  <c r="AU142" i="6"/>
  <c r="AU155" i="6" s="1"/>
  <c r="AT158" i="6"/>
  <c r="AT121" i="30" s="1"/>
  <c r="AI538" i="9"/>
  <c r="AI183" i="9"/>
  <c r="AH1001" i="9"/>
  <c r="AH510" i="9"/>
  <c r="AH82" i="9"/>
  <c r="AI76" i="9"/>
  <c r="AI443" i="9"/>
  <c r="AI118" i="9"/>
  <c r="AI541" i="9"/>
  <c r="AI240" i="9"/>
  <c r="AI384" i="9"/>
  <c r="AI457" i="9"/>
  <c r="E152" i="20"/>
  <c r="FN151" i="20"/>
  <c r="F151" i="20" a="1"/>
  <c r="AU129" i="30" l="1"/>
  <c r="AV229" i="6"/>
  <c r="AV236" i="6" s="1"/>
  <c r="AI617" i="9"/>
  <c r="AI899" i="9" s="1"/>
  <c r="AJ370" i="9"/>
  <c r="AS135" i="30"/>
  <c r="AT251" i="6"/>
  <c r="AT253" i="6" s="1"/>
  <c r="AI546" i="9"/>
  <c r="AI335" i="9"/>
  <c r="AL77" i="30"/>
  <c r="AI1014" i="9"/>
  <c r="AI523" i="9"/>
  <c r="AI329" i="9"/>
  <c r="AJ323" i="9"/>
  <c r="AI1004" i="9"/>
  <c r="AI513" i="9"/>
  <c r="AJ133" i="9"/>
  <c r="AI139" i="9"/>
  <c r="AM73" i="33"/>
  <c r="AI534" i="9"/>
  <c r="AI107" i="9"/>
  <c r="AL67" i="30"/>
  <c r="AI542" i="9"/>
  <c r="AI259" i="9"/>
  <c r="AI610" i="9"/>
  <c r="AI892" i="9" s="1"/>
  <c r="AJ237" i="9"/>
  <c r="AI604" i="9"/>
  <c r="AI886" i="9" s="1"/>
  <c r="AJ123" i="9"/>
  <c r="AI544" i="9"/>
  <c r="AI297" i="9"/>
  <c r="AI346" i="9"/>
  <c r="AI455" i="9"/>
  <c r="AI605" i="9"/>
  <c r="AI887" i="9" s="1"/>
  <c r="AJ142" i="9"/>
  <c r="AI550" i="9"/>
  <c r="AI411" i="9"/>
  <c r="AI547" i="9"/>
  <c r="AI354" i="9"/>
  <c r="AM28" i="6"/>
  <c r="AM68" i="30" s="1"/>
  <c r="AN234" i="26"/>
  <c r="AN243" i="26" s="1"/>
  <c r="AI447" i="9"/>
  <c r="AI194" i="9"/>
  <c r="AM52" i="6"/>
  <c r="AN283" i="26"/>
  <c r="AN288" i="26" s="1"/>
  <c r="AI607" i="9"/>
  <c r="AI889" i="9" s="1"/>
  <c r="AJ180" i="9"/>
  <c r="AI1005" i="9"/>
  <c r="AI514" i="9"/>
  <c r="AI158" i="9"/>
  <c r="AJ152" i="9"/>
  <c r="AI453" i="9"/>
  <c r="AI308" i="9"/>
  <c r="AI1016" i="9"/>
  <c r="AI525" i="9"/>
  <c r="AJ361" i="9"/>
  <c r="AI367" i="9"/>
  <c r="AI532" i="9"/>
  <c r="AI69" i="9"/>
  <c r="AI1012" i="9"/>
  <c r="AI521" i="9"/>
  <c r="AI291" i="9"/>
  <c r="AJ285" i="9"/>
  <c r="AI620" i="9"/>
  <c r="AI902" i="9" s="1"/>
  <c r="AJ427" i="9"/>
  <c r="AI446" i="9"/>
  <c r="AI175" i="9"/>
  <c r="AI1009" i="9"/>
  <c r="AI518" i="9"/>
  <c r="AJ228" i="9"/>
  <c r="AI234" i="9"/>
  <c r="AM34" i="6"/>
  <c r="AM70" i="30" s="1"/>
  <c r="AN274" i="26"/>
  <c r="AN278" i="26" s="1"/>
  <c r="AN37" i="6"/>
  <c r="AN71" i="30" s="1"/>
  <c r="AO262" i="26"/>
  <c r="AO269" i="26" s="1"/>
  <c r="AM134" i="30"/>
  <c r="AN245" i="6"/>
  <c r="AN248" i="6" s="1"/>
  <c r="AI1003" i="9"/>
  <c r="AI512" i="9"/>
  <c r="AJ114" i="9"/>
  <c r="AI120" i="9"/>
  <c r="AI1017" i="9"/>
  <c r="AI526" i="9"/>
  <c r="AJ380" i="9"/>
  <c r="AI386" i="9"/>
  <c r="AI537" i="9"/>
  <c r="AI164" i="9"/>
  <c r="AU158" i="6"/>
  <c r="AU121" i="30" s="1"/>
  <c r="AV142" i="6"/>
  <c r="AV155" i="6" s="1"/>
  <c r="AJ1019" i="9"/>
  <c r="AJ528" i="9"/>
  <c r="AK418" i="9"/>
  <c r="AJ424" i="9"/>
  <c r="AI539" i="9"/>
  <c r="AI202" i="9"/>
  <c r="AI441" i="9"/>
  <c r="AI80" i="9"/>
  <c r="AT128" i="30"/>
  <c r="AU220" i="6"/>
  <c r="AU226" i="6" s="1"/>
  <c r="AI1011" i="9"/>
  <c r="AI520" i="9"/>
  <c r="AI272" i="9"/>
  <c r="AJ266" i="9"/>
  <c r="AI612" i="9"/>
  <c r="AI894" i="9" s="1"/>
  <c r="AJ275" i="9"/>
  <c r="AI618" i="9"/>
  <c r="AI900" i="9" s="1"/>
  <c r="AJ389" i="9"/>
  <c r="AI442" i="9"/>
  <c r="AI99" i="9"/>
  <c r="AI533" i="9"/>
  <c r="AI88" i="9"/>
  <c r="AI614" i="9"/>
  <c r="AI896" i="9" s="1"/>
  <c r="AJ313" i="9"/>
  <c r="AI1010" i="9"/>
  <c r="AI519" i="9"/>
  <c r="AJ247" i="9"/>
  <c r="AI253" i="9"/>
  <c r="AO179" i="6"/>
  <c r="AO101" i="30" s="1"/>
  <c r="AP293" i="26"/>
  <c r="AP298" i="26" s="1"/>
  <c r="AI1008" i="9"/>
  <c r="AI517" i="9"/>
  <c r="AI215" i="9"/>
  <c r="AJ209" i="9"/>
  <c r="AJ221" i="9"/>
  <c r="AJ540" i="9"/>
  <c r="AI1000" i="9"/>
  <c r="AI509" i="9"/>
  <c r="AI63" i="9"/>
  <c r="AJ57" i="9"/>
  <c r="AT130" i="30"/>
  <c r="AU239" i="6"/>
  <c r="AU242" i="6" s="1"/>
  <c r="AI1018" i="9"/>
  <c r="AI527" i="9"/>
  <c r="AI405" i="9"/>
  <c r="AJ399" i="9"/>
  <c r="AM25" i="6"/>
  <c r="AN220" i="26"/>
  <c r="AN229" i="26" s="1"/>
  <c r="AN190" i="30"/>
  <c r="AM31" i="6"/>
  <c r="AM69" i="30" s="1"/>
  <c r="AN248" i="26"/>
  <c r="AN257" i="26" s="1"/>
  <c r="AU127" i="30"/>
  <c r="AV206" i="6"/>
  <c r="AV217" i="6" s="1"/>
  <c r="F151" i="20"/>
  <c r="E151" i="20" a="1"/>
  <c r="AM67" i="30" l="1"/>
  <c r="AJ440" i="9"/>
  <c r="AJ61" i="9"/>
  <c r="AJ457" i="9"/>
  <c r="AJ384" i="9"/>
  <c r="AJ545" i="9"/>
  <c r="AJ316" i="9"/>
  <c r="AJ543" i="9"/>
  <c r="AJ278" i="9"/>
  <c r="AO37" i="6"/>
  <c r="AO71" i="30" s="1"/>
  <c r="AP262" i="26"/>
  <c r="AP269" i="26" s="1"/>
  <c r="AI1001" i="9"/>
  <c r="AI510" i="9"/>
  <c r="AI82" i="9"/>
  <c r="AJ76" i="9"/>
  <c r="AW142" i="6"/>
  <c r="AW155" i="6" s="1"/>
  <c r="AV158" i="6"/>
  <c r="AV121" i="30" s="1"/>
  <c r="AJ538" i="9"/>
  <c r="AJ183" i="9"/>
  <c r="AJ536" i="9"/>
  <c r="AJ145" i="9"/>
  <c r="AP179" i="6"/>
  <c r="AP101" i="30" s="1"/>
  <c r="AQ293" i="26"/>
  <c r="AQ298" i="26" s="1"/>
  <c r="AI602" i="9"/>
  <c r="AI884" i="9" s="1"/>
  <c r="AJ85" i="9"/>
  <c r="AN134" i="30"/>
  <c r="AO245" i="6"/>
  <c r="AO248" i="6" s="1"/>
  <c r="AI1006" i="9"/>
  <c r="AI515" i="9"/>
  <c r="AI177" i="9"/>
  <c r="AJ171" i="9"/>
  <c r="AI601" i="9"/>
  <c r="AI883" i="9" s="1"/>
  <c r="AJ66" i="9"/>
  <c r="AI603" i="9"/>
  <c r="AI885" i="9" s="1"/>
  <c r="AJ104" i="9"/>
  <c r="AJ444" i="9"/>
  <c r="AJ137" i="9"/>
  <c r="AJ548" i="9"/>
  <c r="AJ373" i="9"/>
  <c r="AJ451" i="9"/>
  <c r="AJ270" i="9"/>
  <c r="AV127" i="30"/>
  <c r="AW206" i="6"/>
  <c r="AW217" i="6" s="1"/>
  <c r="AN73" i="33"/>
  <c r="AJ609" i="9"/>
  <c r="AJ891" i="9" s="1"/>
  <c r="AK218" i="9"/>
  <c r="AO190" i="30"/>
  <c r="AI608" i="9"/>
  <c r="AI890" i="9" s="1"/>
  <c r="AJ199" i="9"/>
  <c r="AJ161" i="9"/>
  <c r="AI606" i="9"/>
  <c r="AI888" i="9" s="1"/>
  <c r="AN34" i="6"/>
  <c r="AN70" i="30" s="1"/>
  <c r="AO274" i="26"/>
  <c r="AO278" i="26" s="1"/>
  <c r="AI1013" i="9"/>
  <c r="AI522" i="9"/>
  <c r="AI310" i="9"/>
  <c r="AJ304" i="9"/>
  <c r="AN28" i="6"/>
  <c r="AN68" i="30" s="1"/>
  <c r="AO234" i="26"/>
  <c r="AO243" i="26" s="1"/>
  <c r="AJ541" i="9"/>
  <c r="AJ240" i="9"/>
  <c r="AU130" i="30"/>
  <c r="AV239" i="6"/>
  <c r="AV242" i="6" s="1"/>
  <c r="AI1002" i="9"/>
  <c r="AI511" i="9"/>
  <c r="AI101" i="9"/>
  <c r="AJ95" i="9"/>
  <c r="AJ551" i="9"/>
  <c r="AJ430" i="9"/>
  <c r="AN52" i="6"/>
  <c r="AO283" i="26"/>
  <c r="AO288" i="26" s="1"/>
  <c r="AI1015" i="9"/>
  <c r="AI524" i="9"/>
  <c r="AI348" i="9"/>
  <c r="AJ342" i="9"/>
  <c r="AI615" i="9"/>
  <c r="AI897" i="9" s="1"/>
  <c r="AJ332" i="9"/>
  <c r="AV129" i="30"/>
  <c r="AW229" i="6"/>
  <c r="AW236" i="6" s="1"/>
  <c r="AN25" i="6"/>
  <c r="AO220" i="26"/>
  <c r="AO229" i="26" s="1"/>
  <c r="AJ448" i="9"/>
  <c r="AJ213" i="9"/>
  <c r="AJ450" i="9"/>
  <c r="AJ251" i="9"/>
  <c r="AJ445" i="9"/>
  <c r="AJ156" i="9"/>
  <c r="AI616" i="9"/>
  <c r="AI898" i="9" s="1"/>
  <c r="AJ351" i="9"/>
  <c r="AI613" i="9"/>
  <c r="AI895" i="9" s="1"/>
  <c r="AJ294" i="9"/>
  <c r="AI611" i="9"/>
  <c r="AI893" i="9" s="1"/>
  <c r="AJ256" i="9"/>
  <c r="AJ454" i="9"/>
  <c r="AJ327" i="9"/>
  <c r="AN31" i="6"/>
  <c r="AN69" i="30" s="1"/>
  <c r="AO248" i="26"/>
  <c r="AO257" i="26" s="1"/>
  <c r="AJ549" i="9"/>
  <c r="AJ392" i="9"/>
  <c r="AJ452" i="9"/>
  <c r="AJ289" i="9"/>
  <c r="AM77" i="30"/>
  <c r="AT135" i="30"/>
  <c r="AU251" i="6"/>
  <c r="AU253" i="6" s="1"/>
  <c r="AK459" i="9"/>
  <c r="AK422" i="9"/>
  <c r="AJ458" i="9"/>
  <c r="AJ403" i="9"/>
  <c r="AU128" i="30"/>
  <c r="AV220" i="6"/>
  <c r="AV226" i="6" s="1"/>
  <c r="AJ443" i="9"/>
  <c r="AJ118" i="9"/>
  <c r="AJ449" i="9"/>
  <c r="AJ232" i="9"/>
  <c r="AJ365" i="9"/>
  <c r="AJ456" i="9"/>
  <c r="AI1007" i="9"/>
  <c r="AI516" i="9"/>
  <c r="AJ190" i="9"/>
  <c r="AI196" i="9"/>
  <c r="AI619" i="9"/>
  <c r="AI901" i="9" s="1"/>
  <c r="AJ408" i="9"/>
  <c r="AJ535" i="9"/>
  <c r="AJ126" i="9"/>
  <c r="E151" i="20"/>
  <c r="FN150" i="20"/>
  <c r="CP150" i="20" a="1"/>
  <c r="CP150" i="20" s="1"/>
  <c r="CO150" i="20" a="1"/>
  <c r="CO150" i="20" s="1"/>
  <c r="CI150" i="20"/>
  <c r="CI41" i="30" s="1"/>
  <c r="CI194" i="30" s="1"/>
  <c r="CI77" i="33" s="1"/>
  <c r="CH150" i="20"/>
  <c r="CH41" i="30" s="1"/>
  <c r="CH194" i="30" s="1"/>
  <c r="CH77" i="33" s="1"/>
  <c r="CG150" i="20"/>
  <c r="CG41" i="30" s="1"/>
  <c r="CG194" i="30" s="1"/>
  <c r="CG77" i="33" s="1"/>
  <c r="CF150" i="20"/>
  <c r="CF41" i="30" s="1"/>
  <c r="CF194" i="30" s="1"/>
  <c r="CF77" i="33" s="1"/>
  <c r="CE150" i="20"/>
  <c r="CE41" i="30" s="1"/>
  <c r="CE194" i="30" s="1"/>
  <c r="CE77" i="33" s="1"/>
  <c r="CD150" i="20"/>
  <c r="CD41" i="30" s="1"/>
  <c r="CD194" i="30" s="1"/>
  <c r="CD77" i="33" s="1"/>
  <c r="CC150" i="20"/>
  <c r="CC41" i="30" s="1"/>
  <c r="CC194" i="30" s="1"/>
  <c r="CC77" i="33" s="1"/>
  <c r="CB150" i="20"/>
  <c r="CB41" i="30" s="1"/>
  <c r="CB194" i="30" s="1"/>
  <c r="CB77" i="33" s="1"/>
  <c r="V150" i="20"/>
  <c r="BX150" i="20" s="1"/>
  <c r="I150" i="20"/>
  <c r="F150" i="20" a="1"/>
  <c r="F150" i="20" s="1"/>
  <c r="FN149" i="20"/>
  <c r="G149" i="20" a="1"/>
  <c r="BX41" i="30" l="1"/>
  <c r="DB150" i="20"/>
  <c r="CT150" i="20" s="1"/>
  <c r="AJ550" i="9"/>
  <c r="AJ411" i="9"/>
  <c r="AJ1009" i="9"/>
  <c r="AJ518" i="9"/>
  <c r="AK228" i="9"/>
  <c r="AJ234" i="9"/>
  <c r="AU135" i="30"/>
  <c r="AV251" i="6"/>
  <c r="AV253" i="6" s="1"/>
  <c r="AJ618" i="9"/>
  <c r="AJ900" i="9" s="1"/>
  <c r="AK389" i="9"/>
  <c r="AW129" i="30"/>
  <c r="AX229" i="6"/>
  <c r="AX236" i="6" s="1"/>
  <c r="AO34" i="6"/>
  <c r="AO70" i="30" s="1"/>
  <c r="AP274" i="26"/>
  <c r="AP278" i="26" s="1"/>
  <c r="AJ1011" i="9"/>
  <c r="AJ520" i="9"/>
  <c r="AJ272" i="9"/>
  <c r="AK266" i="9"/>
  <c r="AJ605" i="9"/>
  <c r="AJ887" i="9" s="1"/>
  <c r="AK142" i="9"/>
  <c r="AJ1017" i="9"/>
  <c r="AJ526" i="9"/>
  <c r="AJ386" i="9"/>
  <c r="AK380" i="9"/>
  <c r="AJ544" i="9"/>
  <c r="AJ297" i="9"/>
  <c r="AJ1010" i="9"/>
  <c r="AJ253" i="9"/>
  <c r="AJ519" i="9"/>
  <c r="AK247" i="9"/>
  <c r="AO73" i="33"/>
  <c r="AO134" i="30"/>
  <c r="AP245" i="6"/>
  <c r="AP248" i="6" s="1"/>
  <c r="AX142" i="6"/>
  <c r="AX155" i="6" s="1"/>
  <c r="AW158" i="6"/>
  <c r="AW121" i="30" s="1"/>
  <c r="AO31" i="6"/>
  <c r="AO69" i="30" s="1"/>
  <c r="AP248" i="26"/>
  <c r="AP257" i="26" s="1"/>
  <c r="AJ546" i="9"/>
  <c r="AJ335" i="9"/>
  <c r="AO52" i="6"/>
  <c r="AP283" i="26"/>
  <c r="AP288" i="26" s="1"/>
  <c r="AO28" i="6"/>
  <c r="AO68" i="30" s="1"/>
  <c r="AP234" i="26"/>
  <c r="AP243" i="26" s="1"/>
  <c r="AK540" i="9"/>
  <c r="AK221" i="9"/>
  <c r="AJ617" i="9"/>
  <c r="AJ899" i="9" s="1"/>
  <c r="AK370" i="9"/>
  <c r="AJ607" i="9"/>
  <c r="AJ889" i="9" s="1"/>
  <c r="AK180" i="9"/>
  <c r="AJ441" i="9"/>
  <c r="AJ80" i="9"/>
  <c r="AJ1000" i="9"/>
  <c r="AJ509" i="9"/>
  <c r="AJ63" i="9"/>
  <c r="AK57" i="9"/>
  <c r="AJ447" i="9"/>
  <c r="AJ194" i="9"/>
  <c r="AJ1018" i="9"/>
  <c r="AJ527" i="9"/>
  <c r="AJ405" i="9"/>
  <c r="AK399" i="9"/>
  <c r="AJ547" i="9"/>
  <c r="AJ354" i="9"/>
  <c r="AJ1008" i="9"/>
  <c r="AJ517" i="9"/>
  <c r="AK209" i="9"/>
  <c r="AJ215" i="9"/>
  <c r="AV130" i="30"/>
  <c r="AW239" i="6"/>
  <c r="AW242" i="6" s="1"/>
  <c r="AJ532" i="9"/>
  <c r="AJ69" i="9"/>
  <c r="AJ533" i="9"/>
  <c r="AJ88" i="9"/>
  <c r="AK275" i="9"/>
  <c r="AJ612" i="9"/>
  <c r="AJ894" i="9" s="1"/>
  <c r="AJ1012" i="9"/>
  <c r="AJ521" i="9"/>
  <c r="AJ291" i="9"/>
  <c r="AK285" i="9"/>
  <c r="AN77" i="30"/>
  <c r="AJ453" i="9"/>
  <c r="AJ308" i="9"/>
  <c r="AJ1003" i="9"/>
  <c r="AJ512" i="9"/>
  <c r="AJ120" i="9"/>
  <c r="AK114" i="9"/>
  <c r="AK1019" i="9"/>
  <c r="AK528" i="9"/>
  <c r="AL418" i="9"/>
  <c r="AK424" i="9"/>
  <c r="AJ1005" i="9"/>
  <c r="AJ514" i="9"/>
  <c r="AJ158" i="9"/>
  <c r="AK152" i="9"/>
  <c r="AJ620" i="9"/>
  <c r="AJ902" i="9" s="1"/>
  <c r="AK427" i="9"/>
  <c r="AJ537" i="9"/>
  <c r="AJ164" i="9"/>
  <c r="AJ1004" i="9"/>
  <c r="AJ513" i="9"/>
  <c r="AJ139" i="9"/>
  <c r="AK133" i="9"/>
  <c r="AJ446" i="9"/>
  <c r="AJ175" i="9"/>
  <c r="AQ179" i="6"/>
  <c r="AQ101" i="30" s="1"/>
  <c r="AR293" i="26"/>
  <c r="AR298" i="26" s="1"/>
  <c r="AJ614" i="9"/>
  <c r="AJ896" i="9" s="1"/>
  <c r="AK313" i="9"/>
  <c r="AJ1014" i="9"/>
  <c r="AJ523" i="9"/>
  <c r="AJ329" i="9"/>
  <c r="AK323" i="9"/>
  <c r="AJ604" i="9"/>
  <c r="AJ886" i="9" s="1"/>
  <c r="AK123" i="9"/>
  <c r="AO25" i="6"/>
  <c r="AP220" i="26"/>
  <c r="AP229" i="26" s="1"/>
  <c r="AJ455" i="9"/>
  <c r="AJ346" i="9"/>
  <c r="AJ539" i="9"/>
  <c r="AJ202" i="9"/>
  <c r="AW127" i="30"/>
  <c r="AX206" i="6"/>
  <c r="AX217" i="6" s="1"/>
  <c r="AP190" i="30"/>
  <c r="AP37" i="6"/>
  <c r="AP71" i="30" s="1"/>
  <c r="AQ262" i="26"/>
  <c r="AQ269" i="26" s="1"/>
  <c r="AJ1016" i="9"/>
  <c r="AJ525" i="9"/>
  <c r="AK361" i="9"/>
  <c r="AJ367" i="9"/>
  <c r="AV128" i="30"/>
  <c r="AW220" i="6"/>
  <c r="AW226" i="6" s="1"/>
  <c r="AJ542" i="9"/>
  <c r="AJ259" i="9"/>
  <c r="AN67" i="30"/>
  <c r="AJ442" i="9"/>
  <c r="AJ99" i="9"/>
  <c r="AJ610" i="9"/>
  <c r="AJ892" i="9" s="1"/>
  <c r="AK237" i="9"/>
  <c r="AJ534" i="9"/>
  <c r="AJ107" i="9"/>
  <c r="G149" i="20"/>
  <c r="F149" i="20" a="1"/>
  <c r="AP73" i="33" l="1"/>
  <c r="AP25" i="6"/>
  <c r="AQ220" i="26"/>
  <c r="AQ229" i="26" s="1"/>
  <c r="AK444" i="9"/>
  <c r="AK137" i="9"/>
  <c r="AK445" i="9"/>
  <c r="AK156" i="9"/>
  <c r="AK443" i="9"/>
  <c r="AK118" i="9"/>
  <c r="AJ1013" i="9"/>
  <c r="AJ522" i="9"/>
  <c r="AJ310" i="9"/>
  <c r="AK304" i="9"/>
  <c r="AK448" i="9"/>
  <c r="AK213" i="9"/>
  <c r="AP31" i="6"/>
  <c r="AP69" i="30" s="1"/>
  <c r="AQ248" i="26"/>
  <c r="AQ257" i="26" s="1"/>
  <c r="AK457" i="9"/>
  <c r="AK384" i="9"/>
  <c r="AK451" i="9"/>
  <c r="AK270" i="9"/>
  <c r="AJ1002" i="9"/>
  <c r="AJ511" i="9"/>
  <c r="AJ101" i="9"/>
  <c r="AK95" i="9"/>
  <c r="AJ603" i="9"/>
  <c r="AJ885" i="9" s="1"/>
  <c r="AK104" i="9"/>
  <c r="AK365" i="9"/>
  <c r="AK456" i="9"/>
  <c r="AJ601" i="9"/>
  <c r="AJ883" i="9" s="1"/>
  <c r="AK66" i="9"/>
  <c r="AK548" i="9"/>
  <c r="AK373" i="9"/>
  <c r="AP52" i="6"/>
  <c r="AQ283" i="26"/>
  <c r="AQ288" i="26" s="1"/>
  <c r="AK450" i="9"/>
  <c r="AK251" i="9"/>
  <c r="AK535" i="9"/>
  <c r="AK126" i="9"/>
  <c r="AK549" i="9"/>
  <c r="AK392" i="9"/>
  <c r="AJ619" i="9"/>
  <c r="AJ901" i="9" s="1"/>
  <c r="AK408" i="9"/>
  <c r="AO67" i="30"/>
  <c r="AJ608" i="9"/>
  <c r="AJ890" i="9" s="1"/>
  <c r="AK199" i="9"/>
  <c r="AJ616" i="9"/>
  <c r="AJ898" i="9" s="1"/>
  <c r="AK351" i="9"/>
  <c r="AK609" i="9"/>
  <c r="AK891" i="9" s="1"/>
  <c r="AL218" i="9"/>
  <c r="AO77" i="30"/>
  <c r="AX158" i="6"/>
  <c r="AX121" i="30" s="1"/>
  <c r="AY142" i="6"/>
  <c r="AY155" i="6" s="1"/>
  <c r="AX127" i="30"/>
  <c r="AY206" i="6"/>
  <c r="AY217" i="6" s="1"/>
  <c r="AJ611" i="9"/>
  <c r="AJ893" i="9" s="1"/>
  <c r="AK256" i="9"/>
  <c r="AQ37" i="6"/>
  <c r="AQ71" i="30" s="1"/>
  <c r="AR262" i="26"/>
  <c r="AR269" i="26" s="1"/>
  <c r="AK454" i="9"/>
  <c r="AK327" i="9"/>
  <c r="AR179" i="6"/>
  <c r="AR101" i="30" s="1"/>
  <c r="AS293" i="26"/>
  <c r="AS298" i="26" s="1"/>
  <c r="AJ606" i="9"/>
  <c r="AJ888" i="9" s="1"/>
  <c r="AK161" i="9"/>
  <c r="AW130" i="30"/>
  <c r="AX239" i="6"/>
  <c r="AX242" i="6" s="1"/>
  <c r="AJ1007" i="9"/>
  <c r="AJ516" i="9"/>
  <c r="AK190" i="9"/>
  <c r="AJ196" i="9"/>
  <c r="AJ1001" i="9"/>
  <c r="AJ510" i="9"/>
  <c r="AJ82" i="9"/>
  <c r="AK76" i="9"/>
  <c r="AJ615" i="9"/>
  <c r="AJ897" i="9" s="1"/>
  <c r="AK332" i="9"/>
  <c r="AP134" i="30"/>
  <c r="AQ245" i="6"/>
  <c r="AQ248" i="6" s="1"/>
  <c r="AK536" i="9"/>
  <c r="AK145" i="9"/>
  <c r="AP34" i="6"/>
  <c r="AP70" i="30" s="1"/>
  <c r="AQ274" i="26"/>
  <c r="AQ278" i="26" s="1"/>
  <c r="AV135" i="30"/>
  <c r="AW251" i="6"/>
  <c r="AW253" i="6" s="1"/>
  <c r="AJ613" i="9"/>
  <c r="AJ895" i="9" s="1"/>
  <c r="AK294" i="9"/>
  <c r="BX194" i="30"/>
  <c r="BX77" i="33" s="1"/>
  <c r="V41" i="30"/>
  <c r="AQ190" i="30"/>
  <c r="AL459" i="9"/>
  <c r="AL422" i="9"/>
  <c r="AK541" i="9"/>
  <c r="AK240" i="9"/>
  <c r="AW128" i="30"/>
  <c r="AX220" i="6"/>
  <c r="AX226" i="6" s="1"/>
  <c r="AK440" i="9"/>
  <c r="AK61" i="9"/>
  <c r="AP28" i="6"/>
  <c r="AP68" i="30" s="1"/>
  <c r="AQ234" i="26"/>
  <c r="AQ243" i="26" s="1"/>
  <c r="AK545" i="9"/>
  <c r="AK316" i="9"/>
  <c r="AJ1015" i="9"/>
  <c r="AJ524" i="9"/>
  <c r="AK342" i="9"/>
  <c r="AJ348" i="9"/>
  <c r="AK452" i="9"/>
  <c r="AK289" i="9"/>
  <c r="AJ1006" i="9"/>
  <c r="AJ515" i="9"/>
  <c r="AK171" i="9"/>
  <c r="AJ177" i="9"/>
  <c r="AK551" i="9"/>
  <c r="AK430" i="9"/>
  <c r="AK278" i="9"/>
  <c r="AK543" i="9"/>
  <c r="AK458" i="9"/>
  <c r="AK403" i="9"/>
  <c r="AK538" i="9"/>
  <c r="AK183" i="9"/>
  <c r="AJ602" i="9"/>
  <c r="AJ884" i="9" s="1"/>
  <c r="AK85" i="9"/>
  <c r="AX129" i="30"/>
  <c r="AY229" i="6"/>
  <c r="AY236" i="6" s="1"/>
  <c r="AK449" i="9"/>
  <c r="AK232" i="9"/>
  <c r="F149" i="20"/>
  <c r="E149" i="20" a="1"/>
  <c r="AK614" i="9" l="1"/>
  <c r="AK896" i="9" s="1"/>
  <c r="AL313" i="9"/>
  <c r="V194" i="30"/>
  <c r="CY41" i="30"/>
  <c r="CQ41" i="30" s="1"/>
  <c r="AK546" i="9"/>
  <c r="AK335" i="9"/>
  <c r="AK1014" i="9"/>
  <c r="AK523" i="9"/>
  <c r="AK329" i="9"/>
  <c r="AL323" i="9"/>
  <c r="AL540" i="9"/>
  <c r="AL221" i="9"/>
  <c r="AK1010" i="9"/>
  <c r="AK519" i="9"/>
  <c r="AK253" i="9"/>
  <c r="AL247" i="9"/>
  <c r="AK1017" i="9"/>
  <c r="AK526" i="9"/>
  <c r="AK386" i="9"/>
  <c r="AL380" i="9"/>
  <c r="AK453" i="9"/>
  <c r="AK308" i="9"/>
  <c r="AK1004" i="9"/>
  <c r="AK513" i="9"/>
  <c r="AK139" i="9"/>
  <c r="AL133" i="9"/>
  <c r="AQ28" i="6"/>
  <c r="AQ68" i="30" s="1"/>
  <c r="AR234" i="26"/>
  <c r="AR243" i="26" s="1"/>
  <c r="AX130" i="30"/>
  <c r="AY239" i="6"/>
  <c r="AY242" i="6" s="1"/>
  <c r="AK1012" i="9"/>
  <c r="AK521" i="9"/>
  <c r="AK291" i="9"/>
  <c r="AL285" i="9"/>
  <c r="AK610" i="9"/>
  <c r="AK892" i="9" s="1"/>
  <c r="AL237" i="9"/>
  <c r="AQ34" i="6"/>
  <c r="AQ70" i="30" s="1"/>
  <c r="AR274" i="26"/>
  <c r="AR278" i="26" s="1"/>
  <c r="AK532" i="9"/>
  <c r="AK69" i="9"/>
  <c r="AK1009" i="9"/>
  <c r="AK518" i="9"/>
  <c r="AK234" i="9"/>
  <c r="AL228" i="9"/>
  <c r="AK620" i="9"/>
  <c r="AK902" i="9" s="1"/>
  <c r="AL427" i="9"/>
  <c r="AK544" i="9"/>
  <c r="AK297" i="9"/>
  <c r="AK605" i="9"/>
  <c r="AK887" i="9" s="1"/>
  <c r="AL142" i="9"/>
  <c r="AQ52" i="6"/>
  <c r="AR283" i="26"/>
  <c r="AR288" i="26" s="1"/>
  <c r="AQ31" i="6"/>
  <c r="AQ69" i="30" s="1"/>
  <c r="AR248" i="26"/>
  <c r="AR257" i="26" s="1"/>
  <c r="AQ25" i="6"/>
  <c r="AR220" i="26"/>
  <c r="AR229" i="26" s="1"/>
  <c r="AK612" i="9"/>
  <c r="AK894" i="9" s="1"/>
  <c r="AL275" i="9"/>
  <c r="AK604" i="9"/>
  <c r="AK886" i="9" s="1"/>
  <c r="AL123" i="9"/>
  <c r="AP77" i="30"/>
  <c r="AK1016" i="9"/>
  <c r="AK525" i="9"/>
  <c r="AK367" i="9"/>
  <c r="AL361" i="9"/>
  <c r="AK1003" i="9"/>
  <c r="AK512" i="9"/>
  <c r="AK120" i="9"/>
  <c r="AL114" i="9"/>
  <c r="AP67" i="30"/>
  <c r="AL1019" i="9"/>
  <c r="AL528" i="9"/>
  <c r="AM418" i="9"/>
  <c r="AL424" i="9"/>
  <c r="AK537" i="9"/>
  <c r="AK164" i="9"/>
  <c r="AK550" i="9"/>
  <c r="AK411" i="9"/>
  <c r="AK607" i="9"/>
  <c r="AK889" i="9" s="1"/>
  <c r="AL180" i="9"/>
  <c r="AK1000" i="9"/>
  <c r="AK509" i="9"/>
  <c r="AL57" i="9"/>
  <c r="AK63" i="9"/>
  <c r="AK542" i="9"/>
  <c r="AK259" i="9"/>
  <c r="AK617" i="9"/>
  <c r="AK899" i="9" s="1"/>
  <c r="AL370" i="9"/>
  <c r="AK534" i="9"/>
  <c r="AK107" i="9"/>
  <c r="AK1008" i="9"/>
  <c r="AK517" i="9"/>
  <c r="AK215" i="9"/>
  <c r="AL209" i="9"/>
  <c r="AY129" i="30"/>
  <c r="AZ229" i="6"/>
  <c r="AZ236" i="6" s="1"/>
  <c r="AK346" i="9"/>
  <c r="AK455" i="9"/>
  <c r="AY158" i="6"/>
  <c r="AY121" i="30" s="1"/>
  <c r="AZ142" i="6"/>
  <c r="AZ155" i="6" s="1"/>
  <c r="AK547" i="9"/>
  <c r="AK354" i="9"/>
  <c r="AK446" i="9"/>
  <c r="AK175" i="9"/>
  <c r="AW135" i="30"/>
  <c r="AX251" i="6"/>
  <c r="AX253" i="6" s="1"/>
  <c r="AQ134" i="30"/>
  <c r="AR245" i="6"/>
  <c r="AR248" i="6" s="1"/>
  <c r="AS179" i="6"/>
  <c r="AS101" i="30" s="1"/>
  <c r="AT293" i="26"/>
  <c r="AT298" i="26" s="1"/>
  <c r="AK539" i="9"/>
  <c r="AK202" i="9"/>
  <c r="AK618" i="9"/>
  <c r="AK900" i="9" s="1"/>
  <c r="AL389" i="9"/>
  <c r="AK1011" i="9"/>
  <c r="AK520" i="9"/>
  <c r="AK272" i="9"/>
  <c r="AL266" i="9"/>
  <c r="AK1005" i="9"/>
  <c r="AK514" i="9"/>
  <c r="AK158" i="9"/>
  <c r="AL152" i="9"/>
  <c r="AK441" i="9"/>
  <c r="AK80" i="9"/>
  <c r="AR37" i="6"/>
  <c r="AR71" i="30" s="1"/>
  <c r="AS262" i="26"/>
  <c r="AS269" i="26" s="1"/>
  <c r="AK533" i="9"/>
  <c r="AK88" i="9"/>
  <c r="AK1018" i="9"/>
  <c r="AK527" i="9"/>
  <c r="AL399" i="9"/>
  <c r="AK405" i="9"/>
  <c r="AX128" i="30"/>
  <c r="AY220" i="6"/>
  <c r="AY226" i="6" s="1"/>
  <c r="AQ73" i="33"/>
  <c r="AK447" i="9"/>
  <c r="AK194" i="9"/>
  <c r="AR190" i="30"/>
  <c r="AY127" i="30"/>
  <c r="AZ206" i="6"/>
  <c r="AZ217" i="6" s="1"/>
  <c r="AK442" i="9"/>
  <c r="AK99" i="9"/>
  <c r="E149" i="20"/>
  <c r="FN148" i="20"/>
  <c r="FN147" i="20"/>
  <c r="FN146" i="20"/>
  <c r="FN145" i="20"/>
  <c r="FN144" i="20"/>
  <c r="E144" i="20" a="1"/>
  <c r="AY128" i="30" l="1"/>
  <c r="AZ220" i="6"/>
  <c r="AZ226" i="6" s="1"/>
  <c r="AL549" i="9"/>
  <c r="AL392" i="9"/>
  <c r="AZ158" i="6"/>
  <c r="AZ121" i="30" s="1"/>
  <c r="BA142" i="6"/>
  <c r="BA155" i="6" s="1"/>
  <c r="AM459" i="9"/>
  <c r="AM422" i="9"/>
  <c r="AK1013" i="9"/>
  <c r="AK522" i="9"/>
  <c r="AK310" i="9"/>
  <c r="AL304" i="9"/>
  <c r="AL327" i="9"/>
  <c r="AL454" i="9"/>
  <c r="AL545" i="9"/>
  <c r="AL316" i="9"/>
  <c r="AK1002" i="9"/>
  <c r="AK511" i="9"/>
  <c r="AK101" i="9"/>
  <c r="AL95" i="9"/>
  <c r="AX135" i="30"/>
  <c r="AY251" i="6"/>
  <c r="AY253" i="6" s="1"/>
  <c r="AK611" i="9"/>
  <c r="AK893" i="9" s="1"/>
  <c r="AL256" i="9"/>
  <c r="AL538" i="9"/>
  <c r="AL183" i="9"/>
  <c r="AL456" i="9"/>
  <c r="AL365" i="9"/>
  <c r="AL543" i="9"/>
  <c r="AL278" i="9"/>
  <c r="AL430" i="9"/>
  <c r="AL551" i="9"/>
  <c r="AK601" i="9"/>
  <c r="AK883" i="9" s="1"/>
  <c r="AL66" i="9"/>
  <c r="AL541" i="9"/>
  <c r="AL240" i="9"/>
  <c r="AR73" i="33"/>
  <c r="AK608" i="9"/>
  <c r="AK890" i="9" s="1"/>
  <c r="AL199" i="9"/>
  <c r="AR28" i="6"/>
  <c r="AR68" i="30" s="1"/>
  <c r="AS234" i="26"/>
  <c r="AS243" i="26" s="1"/>
  <c r="AL457" i="9"/>
  <c r="AL384" i="9"/>
  <c r="AK1007" i="9"/>
  <c r="AK516" i="9"/>
  <c r="AL190" i="9"/>
  <c r="AK196" i="9"/>
  <c r="AL458" i="9"/>
  <c r="AL403" i="9"/>
  <c r="AS37" i="6"/>
  <c r="AS71" i="30" s="1"/>
  <c r="AT262" i="26"/>
  <c r="AT269" i="26" s="1"/>
  <c r="AL451" i="9"/>
  <c r="AL270" i="9"/>
  <c r="AK1015" i="9"/>
  <c r="AK524" i="9"/>
  <c r="AL342" i="9"/>
  <c r="AK348" i="9"/>
  <c r="AK603" i="9"/>
  <c r="AK885" i="9" s="1"/>
  <c r="AL104" i="9"/>
  <c r="AK619" i="9"/>
  <c r="AK901" i="9" s="1"/>
  <c r="AL408" i="9"/>
  <c r="AR25" i="6"/>
  <c r="AS220" i="26"/>
  <c r="AS229" i="26" s="1"/>
  <c r="AR52" i="6"/>
  <c r="AS283" i="26"/>
  <c r="AS288" i="26" s="1"/>
  <c r="AL449" i="9"/>
  <c r="AL232" i="9"/>
  <c r="AL452" i="9"/>
  <c r="AL289" i="9"/>
  <c r="AK1006" i="9"/>
  <c r="AK515" i="9"/>
  <c r="AK177" i="9"/>
  <c r="AL171" i="9"/>
  <c r="AZ129" i="30"/>
  <c r="BA229" i="6"/>
  <c r="BA236" i="6" s="1"/>
  <c r="AQ77" i="30"/>
  <c r="AL444" i="9"/>
  <c r="AL137" i="9"/>
  <c r="AK615" i="9"/>
  <c r="AK897" i="9" s="1"/>
  <c r="AL332" i="9"/>
  <c r="AK1001" i="9"/>
  <c r="AK510" i="9"/>
  <c r="AK82" i="9"/>
  <c r="AL76" i="9"/>
  <c r="AT179" i="6"/>
  <c r="AT101" i="30" s="1"/>
  <c r="AU293" i="26"/>
  <c r="AU298" i="26" s="1"/>
  <c r="AL548" i="9"/>
  <c r="AL373" i="9"/>
  <c r="AK606" i="9"/>
  <c r="AK888" i="9" s="1"/>
  <c r="AL161" i="9"/>
  <c r="AL443" i="9"/>
  <c r="AL118" i="9"/>
  <c r="AQ67" i="30"/>
  <c r="AL536" i="9"/>
  <c r="AL145" i="9"/>
  <c r="AL609" i="9"/>
  <c r="AL891" i="9" s="1"/>
  <c r="AM218" i="9"/>
  <c r="AK602" i="9"/>
  <c r="AK884" i="9" s="1"/>
  <c r="AL85" i="9"/>
  <c r="AK616" i="9"/>
  <c r="AK898" i="9" s="1"/>
  <c r="AL351" i="9"/>
  <c r="AL440" i="9"/>
  <c r="AL61" i="9"/>
  <c r="AL450" i="9"/>
  <c r="AL251" i="9"/>
  <c r="AS190" i="30"/>
  <c r="AZ127" i="30"/>
  <c r="BA206" i="6"/>
  <c r="BA217" i="6" s="1"/>
  <c r="AL445" i="9"/>
  <c r="AL156" i="9"/>
  <c r="AR134" i="30"/>
  <c r="AS245" i="6"/>
  <c r="AS248" i="6" s="1"/>
  <c r="AL213" i="9"/>
  <c r="AL448" i="9"/>
  <c r="AL535" i="9"/>
  <c r="AL126" i="9"/>
  <c r="AR31" i="6"/>
  <c r="AR69" i="30" s="1"/>
  <c r="AS248" i="26"/>
  <c r="AS257" i="26" s="1"/>
  <c r="AK613" i="9"/>
  <c r="AK895" i="9" s="1"/>
  <c r="AL294" i="9"/>
  <c r="AR34" i="6"/>
  <c r="AR70" i="30" s="1"/>
  <c r="AS274" i="26"/>
  <c r="AS278" i="26" s="1"/>
  <c r="AY130" i="30"/>
  <c r="AZ239" i="6"/>
  <c r="AZ242" i="6" s="1"/>
  <c r="V77" i="33"/>
  <c r="E31" i="50" s="1"/>
  <c r="CY194" i="30"/>
  <c r="CQ194" i="30" s="1"/>
  <c r="E144" i="20"/>
  <c r="FN143" i="20"/>
  <c r="E143" i="20" a="1"/>
  <c r="AL1008" i="9" l="1"/>
  <c r="AL215" i="9"/>
  <c r="AL517" i="9"/>
  <c r="AM209" i="9"/>
  <c r="AS73" i="33"/>
  <c r="AL1010" i="9"/>
  <c r="AL519" i="9"/>
  <c r="AM247" i="9"/>
  <c r="AL253" i="9"/>
  <c r="AM540" i="9"/>
  <c r="AM221" i="9"/>
  <c r="AL1012" i="9"/>
  <c r="AL521" i="9"/>
  <c r="AM285" i="9"/>
  <c r="AL291" i="9"/>
  <c r="AL453" i="9"/>
  <c r="AL308" i="9"/>
  <c r="AL1005" i="9"/>
  <c r="AL514" i="9"/>
  <c r="AL158" i="9"/>
  <c r="AM152" i="9"/>
  <c r="AL547" i="9"/>
  <c r="AL354" i="9"/>
  <c r="AL1009" i="9"/>
  <c r="AL518" i="9"/>
  <c r="AM228" i="9"/>
  <c r="AL234" i="9"/>
  <c r="AL550" i="9"/>
  <c r="AL411" i="9"/>
  <c r="AL1011" i="9"/>
  <c r="AL520" i="9"/>
  <c r="AL272" i="9"/>
  <c r="AM266" i="9"/>
  <c r="AL447" i="9"/>
  <c r="AL194" i="9"/>
  <c r="AL604" i="9"/>
  <c r="AL886" i="9" s="1"/>
  <c r="AM123" i="9"/>
  <c r="BA127" i="30"/>
  <c r="BB206" i="6"/>
  <c r="BB217" i="6" s="1"/>
  <c r="AL605" i="9"/>
  <c r="AL887" i="9" s="1"/>
  <c r="AM142" i="9"/>
  <c r="AL617" i="9"/>
  <c r="AL899" i="9" s="1"/>
  <c r="AM370" i="9"/>
  <c r="AL542" i="9"/>
  <c r="AL259" i="9"/>
  <c r="AS34" i="6"/>
  <c r="AS70" i="30" s="1"/>
  <c r="AT274" i="26"/>
  <c r="AT278" i="26" s="1"/>
  <c r="AL533" i="9"/>
  <c r="AL88" i="9"/>
  <c r="AL546" i="9"/>
  <c r="AL335" i="9"/>
  <c r="AL534" i="9"/>
  <c r="AL107" i="9"/>
  <c r="AL620" i="9"/>
  <c r="AL902" i="9" s="1"/>
  <c r="AM427" i="9"/>
  <c r="AL614" i="9"/>
  <c r="AL896" i="9" s="1"/>
  <c r="AM313" i="9"/>
  <c r="AL618" i="9"/>
  <c r="AL900" i="9" s="1"/>
  <c r="AM389" i="9"/>
  <c r="AU179" i="6"/>
  <c r="AU101" i="30" s="1"/>
  <c r="AV293" i="26"/>
  <c r="AV298" i="26" s="1"/>
  <c r="AS52" i="6"/>
  <c r="AT283" i="26"/>
  <c r="AT288" i="26" s="1"/>
  <c r="AT37" i="6"/>
  <c r="AT71" i="30" s="1"/>
  <c r="AU262" i="26"/>
  <c r="AU269" i="26" s="1"/>
  <c r="AL1017" i="9"/>
  <c r="AL526" i="9"/>
  <c r="AM380" i="9"/>
  <c r="AL386" i="9"/>
  <c r="AL612" i="9"/>
  <c r="AL894" i="9" s="1"/>
  <c r="AM275" i="9"/>
  <c r="AY135" i="30"/>
  <c r="AZ251" i="6"/>
  <c r="AZ253" i="6" s="1"/>
  <c r="AL544" i="9"/>
  <c r="AL297" i="9"/>
  <c r="AT190" i="30"/>
  <c r="AR77" i="30"/>
  <c r="AM1019" i="9"/>
  <c r="AN418" i="9"/>
  <c r="AM528" i="9"/>
  <c r="AM424" i="9"/>
  <c r="AZ128" i="30"/>
  <c r="BA220" i="6"/>
  <c r="BA226" i="6" s="1"/>
  <c r="AL1000" i="9"/>
  <c r="AL509" i="9"/>
  <c r="AL63" i="9"/>
  <c r="AM57" i="9"/>
  <c r="AS134" i="30"/>
  <c r="AT245" i="6"/>
  <c r="AT248" i="6" s="1"/>
  <c r="AL1003" i="9"/>
  <c r="AL512" i="9"/>
  <c r="AM114" i="9"/>
  <c r="AL120" i="9"/>
  <c r="AL441" i="9"/>
  <c r="AL80" i="9"/>
  <c r="BA129" i="30"/>
  <c r="BB229" i="6"/>
  <c r="BB236" i="6" s="1"/>
  <c r="AS25" i="6"/>
  <c r="AT220" i="26"/>
  <c r="AT229" i="26" s="1"/>
  <c r="AL455" i="9"/>
  <c r="AL346" i="9"/>
  <c r="AL1018" i="9"/>
  <c r="AL527" i="9"/>
  <c r="AM399" i="9"/>
  <c r="AL405" i="9"/>
  <c r="AS28" i="6"/>
  <c r="AS68" i="30" s="1"/>
  <c r="AT234" i="26"/>
  <c r="AT243" i="26" s="1"/>
  <c r="AL610" i="9"/>
  <c r="AL892" i="9" s="1"/>
  <c r="AM237" i="9"/>
  <c r="AL1016" i="9"/>
  <c r="AL367" i="9"/>
  <c r="AL525" i="9"/>
  <c r="AM361" i="9"/>
  <c r="AL1014" i="9"/>
  <c r="AL523" i="9"/>
  <c r="AM323" i="9"/>
  <c r="AL329" i="9"/>
  <c r="AL539" i="9"/>
  <c r="AL202" i="9"/>
  <c r="AL442" i="9"/>
  <c r="AL99" i="9"/>
  <c r="AS31" i="6"/>
  <c r="AS69" i="30" s="1"/>
  <c r="AT248" i="26"/>
  <c r="AT257" i="26" s="1"/>
  <c r="AZ130" i="30"/>
  <c r="BA239" i="6"/>
  <c r="BA242" i="6" s="1"/>
  <c r="AL537" i="9"/>
  <c r="AL164" i="9"/>
  <c r="AL1004" i="9"/>
  <c r="AL513" i="9"/>
  <c r="AL139" i="9"/>
  <c r="AM133" i="9"/>
  <c r="AL446" i="9"/>
  <c r="AL175" i="9"/>
  <c r="AR67" i="30"/>
  <c r="AL532" i="9"/>
  <c r="AL69" i="9"/>
  <c r="AL607" i="9"/>
  <c r="AL889" i="9" s="1"/>
  <c r="AM180" i="9"/>
  <c r="BA158" i="6"/>
  <c r="BA121" i="30" s="1"/>
  <c r="BB142" i="6"/>
  <c r="BB155" i="6" s="1"/>
  <c r="E143" i="20"/>
  <c r="FN142" i="20"/>
  <c r="FN141" i="20"/>
  <c r="FN140" i="20"/>
  <c r="FN139" i="20"/>
  <c r="FN138" i="20"/>
  <c r="FN137" i="20"/>
  <c r="FN136" i="20"/>
  <c r="E136" i="20" a="1"/>
  <c r="AL601" i="9" l="1"/>
  <c r="AL883" i="9" s="1"/>
  <c r="AM66" i="9"/>
  <c r="AM444" i="9"/>
  <c r="AM137" i="9"/>
  <c r="AL608" i="9"/>
  <c r="AL890" i="9" s="1"/>
  <c r="AM199" i="9"/>
  <c r="AM458" i="9"/>
  <c r="AM403" i="9"/>
  <c r="BB129" i="30"/>
  <c r="BC229" i="6"/>
  <c r="BC236" i="6" s="1"/>
  <c r="AM443" i="9"/>
  <c r="AM118" i="9"/>
  <c r="AM440" i="9"/>
  <c r="AM61" i="9"/>
  <c r="AN422" i="9"/>
  <c r="AN459" i="9"/>
  <c r="AZ135" i="30"/>
  <c r="BA251" i="6"/>
  <c r="BA253" i="6" s="1"/>
  <c r="AU37" i="6"/>
  <c r="AU71" i="30" s="1"/>
  <c r="AV262" i="26"/>
  <c r="AV269" i="26" s="1"/>
  <c r="AV179" i="6"/>
  <c r="AV101" i="30" s="1"/>
  <c r="AW293" i="26"/>
  <c r="AW298" i="26" s="1"/>
  <c r="AM430" i="9"/>
  <c r="AM551" i="9"/>
  <c r="BB127" i="30"/>
  <c r="BC206" i="6"/>
  <c r="BC217" i="6" s="1"/>
  <c r="AT31" i="6"/>
  <c r="AT69" i="30" s="1"/>
  <c r="AU248" i="26"/>
  <c r="AU257" i="26" s="1"/>
  <c r="AU190" i="30"/>
  <c r="AL602" i="9"/>
  <c r="AL884" i="9" s="1"/>
  <c r="AM85" i="9"/>
  <c r="AL611" i="9"/>
  <c r="AL893" i="9" s="1"/>
  <c r="AM256" i="9"/>
  <c r="AM240" i="9"/>
  <c r="AM541" i="9"/>
  <c r="AM543" i="9"/>
  <c r="AM278" i="9"/>
  <c r="AM535" i="9"/>
  <c r="AM126" i="9"/>
  <c r="AL1013" i="9"/>
  <c r="AL522" i="9"/>
  <c r="AM304" i="9"/>
  <c r="AL310" i="9"/>
  <c r="AM609" i="9"/>
  <c r="AM891" i="9" s="1"/>
  <c r="AN218" i="9"/>
  <c r="AM327" i="9"/>
  <c r="AM454" i="9"/>
  <c r="AL1015" i="9"/>
  <c r="AL524" i="9"/>
  <c r="AL348" i="9"/>
  <c r="AM342" i="9"/>
  <c r="AM392" i="9"/>
  <c r="AM549" i="9"/>
  <c r="AL603" i="9"/>
  <c r="AL885" i="9" s="1"/>
  <c r="AM104" i="9"/>
  <c r="AL619" i="9"/>
  <c r="AL901" i="9" s="1"/>
  <c r="AM408" i="9"/>
  <c r="AM448" i="9"/>
  <c r="AM213" i="9"/>
  <c r="BC142" i="6"/>
  <c r="BC155" i="6" s="1"/>
  <c r="BB158" i="6"/>
  <c r="BB121" i="30" s="1"/>
  <c r="AL606" i="9"/>
  <c r="AL888" i="9" s="1"/>
  <c r="AM161" i="9"/>
  <c r="BA128" i="30"/>
  <c r="BB220" i="6"/>
  <c r="BB226" i="6" s="1"/>
  <c r="AM548" i="9"/>
  <c r="AM373" i="9"/>
  <c r="AL616" i="9"/>
  <c r="AL898" i="9" s="1"/>
  <c r="AM351" i="9"/>
  <c r="AT28" i="6"/>
  <c r="AT68" i="30" s="1"/>
  <c r="AU234" i="26"/>
  <c r="AU243" i="26" s="1"/>
  <c r="AL1001" i="9"/>
  <c r="AL510" i="9"/>
  <c r="AL82" i="9"/>
  <c r="AM76" i="9"/>
  <c r="AT73" i="33"/>
  <c r="AM457" i="9"/>
  <c r="AM384" i="9"/>
  <c r="AT52" i="6"/>
  <c r="AU283" i="26"/>
  <c r="AU288" i="26" s="1"/>
  <c r="AM545" i="9"/>
  <c r="AM316" i="9"/>
  <c r="AT34" i="6"/>
  <c r="AT70" i="30" s="1"/>
  <c r="AU274" i="26"/>
  <c r="AU278" i="26" s="1"/>
  <c r="AL1007" i="9"/>
  <c r="AL516" i="9"/>
  <c r="AM190" i="9"/>
  <c r="AL196" i="9"/>
  <c r="AM452" i="9"/>
  <c r="AM289" i="9"/>
  <c r="AM450" i="9"/>
  <c r="AM251" i="9"/>
  <c r="AL1006" i="9"/>
  <c r="AL515" i="9"/>
  <c r="AL177" i="9"/>
  <c r="AM171" i="9"/>
  <c r="AM365" i="9"/>
  <c r="AM456" i="9"/>
  <c r="AT25" i="6"/>
  <c r="AU220" i="26"/>
  <c r="AU229" i="26" s="1"/>
  <c r="AS77" i="30"/>
  <c r="AM538" i="9"/>
  <c r="AM183" i="9"/>
  <c r="AL1002" i="9"/>
  <c r="AL511" i="9"/>
  <c r="AL101" i="9"/>
  <c r="AM95" i="9"/>
  <c r="AT134" i="30"/>
  <c r="AU245" i="6"/>
  <c r="AU248" i="6" s="1"/>
  <c r="AL613" i="9"/>
  <c r="AL895" i="9" s="1"/>
  <c r="AM294" i="9"/>
  <c r="AM536" i="9"/>
  <c r="AM145" i="9"/>
  <c r="AM449" i="9"/>
  <c r="AM232" i="9"/>
  <c r="AM445" i="9"/>
  <c r="AM156" i="9"/>
  <c r="BA130" i="30"/>
  <c r="BB239" i="6"/>
  <c r="BB242" i="6" s="1"/>
  <c r="AS67" i="30"/>
  <c r="AL615" i="9"/>
  <c r="AL897" i="9" s="1"/>
  <c r="AM332" i="9"/>
  <c r="AM270" i="9"/>
  <c r="AM451" i="9"/>
  <c r="E136" i="20"/>
  <c r="FN135" i="20"/>
  <c r="CP135" i="20" a="1"/>
  <c r="CP135" i="20"/>
  <c r="CO135" i="20" a="1"/>
  <c r="CO135" i="20" s="1"/>
  <c r="CI135" i="20"/>
  <c r="CH135" i="20"/>
  <c r="CG135" i="20"/>
  <c r="CF135" i="20"/>
  <c r="CE135" i="20"/>
  <c r="CD135" i="20"/>
  <c r="CC135" i="20"/>
  <c r="CB135" i="20"/>
  <c r="BX135" i="20"/>
  <c r="DB135" i="20" s="1"/>
  <c r="CT135" i="20" s="1"/>
  <c r="V135" i="20"/>
  <c r="I135" i="20"/>
  <c r="F135" i="20" a="1"/>
  <c r="F135" i="20" s="1"/>
  <c r="FN134" i="20"/>
  <c r="FN133" i="20"/>
  <c r="FN132" i="20"/>
  <c r="CP131" i="20" a="1"/>
  <c r="CP131" i="20" s="1"/>
  <c r="Y131" i="20"/>
  <c r="X131" i="20"/>
  <c r="W131" i="20"/>
  <c r="CO131" i="20" s="1" a="1"/>
  <c r="CO131" i="20" s="1"/>
  <c r="CP130" i="20" a="1"/>
  <c r="CP130" i="20"/>
  <c r="CO130" i="20" a="1"/>
  <c r="CO130" i="20" s="1"/>
  <c r="CI130" i="20"/>
  <c r="CH130" i="20"/>
  <c r="CG130" i="20"/>
  <c r="CF130" i="20"/>
  <c r="CE130" i="20"/>
  <c r="CD130" i="20"/>
  <c r="CC130" i="20"/>
  <c r="CB130" i="20"/>
  <c r="V130" i="20"/>
  <c r="BX130" i="20" s="1"/>
  <c r="I130" i="20"/>
  <c r="F130" i="20" a="1"/>
  <c r="F130" i="20" s="1"/>
  <c r="CP129" i="20" a="1"/>
  <c r="CP129" i="20" s="1"/>
  <c r="CO129" i="20" a="1"/>
  <c r="CO129" i="20" s="1"/>
  <c r="CI129" i="20"/>
  <c r="CH129" i="20"/>
  <c r="CG129" i="20"/>
  <c r="CF129" i="20"/>
  <c r="CE129" i="20"/>
  <c r="CD129" i="20"/>
  <c r="CC129" i="20"/>
  <c r="CB129" i="20"/>
  <c r="V129" i="20"/>
  <c r="I129" i="20"/>
  <c r="F129" i="20" a="1"/>
  <c r="F129" i="20" s="1"/>
  <c r="CP128" i="20" a="1"/>
  <c r="CP128" i="20" s="1"/>
  <c r="CO128" i="20" a="1"/>
  <c r="CO128" i="20"/>
  <c r="CI128" i="20"/>
  <c r="CI131" i="20" s="1"/>
  <c r="CH128" i="20"/>
  <c r="CH131" i="20" s="1"/>
  <c r="CG128" i="20"/>
  <c r="CG131" i="20" s="1"/>
  <c r="CF128" i="20"/>
  <c r="CF131" i="20" s="1"/>
  <c r="CE128" i="20"/>
  <c r="CE131" i="20" s="1"/>
  <c r="CD128" i="20"/>
  <c r="CD131" i="20" s="1"/>
  <c r="CC128" i="20"/>
  <c r="CC131" i="20" s="1"/>
  <c r="CB128" i="20"/>
  <c r="CB131" i="20" s="1"/>
  <c r="V128" i="20"/>
  <c r="V131" i="20" s="1"/>
  <c r="I128" i="20"/>
  <c r="F128" i="20" a="1"/>
  <c r="F128" i="20" s="1"/>
  <c r="FN127" i="20"/>
  <c r="CP127" i="20" a="1"/>
  <c r="CP127" i="20"/>
  <c r="CO127" i="20" a="1"/>
  <c r="CO127" i="20" s="1"/>
  <c r="CI127" i="20"/>
  <c r="CH127" i="20"/>
  <c r="CG127" i="20"/>
  <c r="CF127" i="20"/>
  <c r="CE127" i="20"/>
  <c r="CD127" i="20"/>
  <c r="CC127" i="20"/>
  <c r="CB127" i="20"/>
  <c r="V127" i="20"/>
  <c r="I127" i="20"/>
  <c r="F127" i="20" a="1"/>
  <c r="F127" i="20" s="1"/>
  <c r="FN126" i="20"/>
  <c r="E126" i="20" a="1"/>
  <c r="BX127" i="20" l="1"/>
  <c r="DB127" i="20" s="1"/>
  <c r="CT127" i="20" s="1"/>
  <c r="AM442" i="9"/>
  <c r="AM99" i="9"/>
  <c r="AU25" i="6"/>
  <c r="AV220" i="26"/>
  <c r="AV229" i="26" s="1"/>
  <c r="AU52" i="6"/>
  <c r="AV283" i="26"/>
  <c r="AV288" i="26" s="1"/>
  <c r="AM453" i="9"/>
  <c r="AM308" i="9"/>
  <c r="AM533" i="9"/>
  <c r="AM88" i="9"/>
  <c r="AV190" i="30"/>
  <c r="AM1000" i="9"/>
  <c r="AM509" i="9"/>
  <c r="AM63" i="9"/>
  <c r="AN57" i="9"/>
  <c r="AM539" i="9"/>
  <c r="AM202" i="9"/>
  <c r="AM1011" i="9"/>
  <c r="AM520" i="9"/>
  <c r="AM272" i="9"/>
  <c r="AN266" i="9"/>
  <c r="BB130" i="30"/>
  <c r="BC239" i="6"/>
  <c r="BC242" i="6" s="1"/>
  <c r="AM605" i="9"/>
  <c r="AM887" i="9" s="1"/>
  <c r="AN142" i="9"/>
  <c r="AM1010" i="9"/>
  <c r="AM519" i="9"/>
  <c r="AN247" i="9"/>
  <c r="AM253" i="9"/>
  <c r="AT77" i="30"/>
  <c r="AM617" i="9"/>
  <c r="AM899" i="9" s="1"/>
  <c r="AN370" i="9"/>
  <c r="AM550" i="9"/>
  <c r="AM411" i="9"/>
  <c r="AV37" i="6"/>
  <c r="AV71" i="30" s="1"/>
  <c r="AW262" i="26"/>
  <c r="AW269" i="26" s="1"/>
  <c r="BX129" i="20"/>
  <c r="DB129" i="20" s="1"/>
  <c r="CT129" i="20" s="1"/>
  <c r="DB130" i="20"/>
  <c r="CT130" i="20" s="1"/>
  <c r="AT67" i="30"/>
  <c r="AU34" i="6"/>
  <c r="AU70" i="30" s="1"/>
  <c r="AV274" i="26"/>
  <c r="AV278" i="26" s="1"/>
  <c r="AM1017" i="9"/>
  <c r="AM526" i="9"/>
  <c r="AM386" i="9"/>
  <c r="AN380" i="9"/>
  <c r="AM1003" i="9"/>
  <c r="AM512" i="9"/>
  <c r="AM120" i="9"/>
  <c r="AN114" i="9"/>
  <c r="AM1004" i="9"/>
  <c r="AM513" i="9"/>
  <c r="AM139" i="9"/>
  <c r="AN133" i="9"/>
  <c r="AM546" i="9"/>
  <c r="AM335" i="9"/>
  <c r="AM1012" i="9"/>
  <c r="AM521" i="9"/>
  <c r="AM291" i="9"/>
  <c r="AN285" i="9"/>
  <c r="AU28" i="6"/>
  <c r="AU68" i="30" s="1"/>
  <c r="AV234" i="26"/>
  <c r="AV243" i="26" s="1"/>
  <c r="AM537" i="9"/>
  <c r="AM164" i="9"/>
  <c r="AM1014" i="9"/>
  <c r="AM523" i="9"/>
  <c r="AM329" i="9"/>
  <c r="AN323" i="9"/>
  <c r="AM610" i="9"/>
  <c r="AM892" i="9" s="1"/>
  <c r="AN237" i="9"/>
  <c r="BC127" i="30"/>
  <c r="BD206" i="6"/>
  <c r="BD217" i="6" s="1"/>
  <c r="AM544" i="9"/>
  <c r="AM297" i="9"/>
  <c r="AM607" i="9"/>
  <c r="AM889" i="9" s="1"/>
  <c r="AN180" i="9"/>
  <c r="AM1016" i="9"/>
  <c r="AM525" i="9"/>
  <c r="AM367" i="9"/>
  <c r="AN361" i="9"/>
  <c r="BB128" i="30"/>
  <c r="BC220" i="6"/>
  <c r="BC226" i="6" s="1"/>
  <c r="AM534" i="9"/>
  <c r="AM107" i="9"/>
  <c r="AM604" i="9"/>
  <c r="AM886" i="9" s="1"/>
  <c r="AN123" i="9"/>
  <c r="AU73" i="33"/>
  <c r="BA135" i="30"/>
  <c r="BB251" i="6"/>
  <c r="BB253" i="6" s="1"/>
  <c r="BC129" i="30"/>
  <c r="BD229" i="6"/>
  <c r="BD236" i="6" s="1"/>
  <c r="AM532" i="9"/>
  <c r="AM69" i="9"/>
  <c r="BX128" i="20"/>
  <c r="BX131" i="20" s="1"/>
  <c r="DB131" i="20" s="1"/>
  <c r="CT131" i="20" s="1"/>
  <c r="AM1005" i="9"/>
  <c r="AM514" i="9"/>
  <c r="AN152" i="9"/>
  <c r="AM158" i="9"/>
  <c r="AM446" i="9"/>
  <c r="AM175" i="9"/>
  <c r="AM614" i="9"/>
  <c r="AM896" i="9" s="1"/>
  <c r="AN313" i="9"/>
  <c r="AM455" i="9"/>
  <c r="AM346" i="9"/>
  <c r="AN540" i="9"/>
  <c r="AN221" i="9"/>
  <c r="AU134" i="30"/>
  <c r="AV245" i="6"/>
  <c r="AV248" i="6" s="1"/>
  <c r="AM447" i="9"/>
  <c r="AM194" i="9"/>
  <c r="AM441" i="9"/>
  <c r="AM80" i="9"/>
  <c r="BC158" i="6"/>
  <c r="BC121" i="30" s="1"/>
  <c r="BD142" i="6"/>
  <c r="BD155" i="6" s="1"/>
  <c r="AM612" i="9"/>
  <c r="AM894" i="9" s="1"/>
  <c r="AN275" i="9"/>
  <c r="AM542" i="9"/>
  <c r="AM259" i="9"/>
  <c r="AM620" i="9"/>
  <c r="AM902" i="9" s="1"/>
  <c r="AN427" i="9"/>
  <c r="AM1018" i="9"/>
  <c r="AM527" i="9"/>
  <c r="AM405" i="9"/>
  <c r="AN399" i="9"/>
  <c r="AM1009" i="9"/>
  <c r="AM518" i="9"/>
  <c r="AM234" i="9"/>
  <c r="AN228" i="9"/>
  <c r="AM547" i="9"/>
  <c r="AM354" i="9"/>
  <c r="AM1008" i="9"/>
  <c r="AM517" i="9"/>
  <c r="AM215" i="9"/>
  <c r="AN209" i="9"/>
  <c r="AM618" i="9"/>
  <c r="AM900" i="9" s="1"/>
  <c r="AN389" i="9"/>
  <c r="AU31" i="6"/>
  <c r="AU69" i="30" s="1"/>
  <c r="AV248" i="26"/>
  <c r="AV257" i="26" s="1"/>
  <c r="AW179" i="6"/>
  <c r="AW101" i="30" s="1"/>
  <c r="AX293" i="26"/>
  <c r="AX298" i="26" s="1"/>
  <c r="AN1019" i="9"/>
  <c r="AN528" i="9"/>
  <c r="AO418" i="9"/>
  <c r="AN424" i="9"/>
  <c r="E126" i="20"/>
  <c r="FN125" i="20"/>
  <c r="DB125" i="20"/>
  <c r="CT125" i="20"/>
  <c r="CP125" i="20" a="1"/>
  <c r="CP125" i="20" s="1"/>
  <c r="CO125" i="20" a="1"/>
  <c r="CO125" i="20"/>
  <c r="CI125" i="20"/>
  <c r="CH125" i="20"/>
  <c r="CG125" i="20"/>
  <c r="CF125" i="20"/>
  <c r="CE125" i="20"/>
  <c r="CD125" i="20"/>
  <c r="CC125" i="20"/>
  <c r="CB125" i="20"/>
  <c r="BX125" i="20"/>
  <c r="V125" i="20"/>
  <c r="I125" i="20"/>
  <c r="F125" i="20" a="1"/>
  <c r="F125" i="20" s="1"/>
  <c r="FN124" i="20"/>
  <c r="CP124" i="20" a="1"/>
  <c r="CP124" i="20" s="1"/>
  <c r="CO124" i="20" a="1"/>
  <c r="CO124" i="20" s="1"/>
  <c r="CI124" i="20"/>
  <c r="CH124" i="20"/>
  <c r="CG124" i="20"/>
  <c r="CF124" i="20"/>
  <c r="CE124" i="20"/>
  <c r="CD124" i="20"/>
  <c r="CC124" i="20"/>
  <c r="CB124" i="20"/>
  <c r="V124" i="20"/>
  <c r="I124" i="20"/>
  <c r="F124" i="20" a="1"/>
  <c r="F124" i="20" s="1"/>
  <c r="FN123" i="20"/>
  <c r="CP123" i="20" a="1"/>
  <c r="CP123" i="20"/>
  <c r="CO123" i="20" a="1"/>
  <c r="CO123" i="20" s="1"/>
  <c r="CI123" i="20"/>
  <c r="CH123" i="20"/>
  <c r="CG123" i="20"/>
  <c r="CF123" i="20"/>
  <c r="CE123" i="20"/>
  <c r="CD123" i="20"/>
  <c r="CC123" i="20"/>
  <c r="CB123" i="20"/>
  <c r="V123" i="20"/>
  <c r="BX123" i="20" s="1"/>
  <c r="I123" i="20"/>
  <c r="F123" i="20" a="1"/>
  <c r="F123" i="20" s="1"/>
  <c r="FN122" i="20"/>
  <c r="CP122" i="20" a="1"/>
  <c r="CP122" i="20" s="1"/>
  <c r="CO122" i="20" a="1"/>
  <c r="CO122" i="20"/>
  <c r="CI122" i="20"/>
  <c r="CH122" i="20"/>
  <c r="CG122" i="20"/>
  <c r="CF122" i="20"/>
  <c r="CE122" i="20"/>
  <c r="CD122" i="20"/>
  <c r="CC122" i="20"/>
  <c r="CB122" i="20"/>
  <c r="BX122" i="20"/>
  <c r="DB122" i="20" s="1"/>
  <c r="CT122" i="20" s="1"/>
  <c r="V122" i="20"/>
  <c r="I122" i="20"/>
  <c r="F122" i="20" a="1"/>
  <c r="F122" i="20" s="1"/>
  <c r="FN121" i="20"/>
  <c r="CP121" i="20" a="1"/>
  <c r="CP121" i="20"/>
  <c r="CO121" i="20" a="1"/>
  <c r="CO121" i="20" s="1"/>
  <c r="CI121" i="20"/>
  <c r="CH121" i="20"/>
  <c r="CG121" i="20"/>
  <c r="CF121" i="20"/>
  <c r="CE121" i="20"/>
  <c r="CD121" i="20"/>
  <c r="CC121" i="20"/>
  <c r="CB121" i="20"/>
  <c r="V121" i="20"/>
  <c r="BX121" i="20" s="1"/>
  <c r="I121" i="20"/>
  <c r="F121" i="20" a="1"/>
  <c r="F121" i="20" s="1"/>
  <c r="FN120" i="20"/>
  <c r="CP120" i="20" a="1"/>
  <c r="CP120" i="20" s="1"/>
  <c r="CO120" i="20" a="1"/>
  <c r="CO120" i="20"/>
  <c r="CI120" i="20"/>
  <c r="CH120" i="20"/>
  <c r="CG120" i="20"/>
  <c r="CF120" i="20"/>
  <c r="CE120" i="20"/>
  <c r="CD120" i="20"/>
  <c r="CC120" i="20"/>
  <c r="CB120" i="20"/>
  <c r="V120" i="20"/>
  <c r="BX120" i="20" s="1"/>
  <c r="I120" i="20"/>
  <c r="F120" i="20" a="1"/>
  <c r="F120" i="20" s="1"/>
  <c r="FN119" i="20"/>
  <c r="CP119" i="20" a="1"/>
  <c r="CP119" i="20"/>
  <c r="CO119" i="20" a="1"/>
  <c r="CO119" i="20" s="1"/>
  <c r="CI119" i="20"/>
  <c r="CH119" i="20"/>
  <c r="CG119" i="20"/>
  <c r="CF119" i="20"/>
  <c r="CE119" i="20"/>
  <c r="CD119" i="20"/>
  <c r="CC119" i="20"/>
  <c r="CB119" i="20"/>
  <c r="V119" i="20"/>
  <c r="BX119" i="20" s="1"/>
  <c r="DB119" i="20" s="1"/>
  <c r="CT119" i="20" s="1"/>
  <c r="I119" i="20"/>
  <c r="F119" i="20" a="1"/>
  <c r="F119" i="20" s="1"/>
  <c r="FN118" i="20"/>
  <c r="CP118" i="20" a="1"/>
  <c r="CP118" i="20" s="1"/>
  <c r="CO118" i="20" a="1"/>
  <c r="CO118" i="20"/>
  <c r="CI118" i="20"/>
  <c r="CH118" i="20"/>
  <c r="CG118" i="20"/>
  <c r="CF118" i="20"/>
  <c r="CE118" i="20"/>
  <c r="CD118" i="20"/>
  <c r="CC118" i="20"/>
  <c r="CB118" i="20"/>
  <c r="BX118" i="20"/>
  <c r="V118" i="20"/>
  <c r="I118" i="20"/>
  <c r="F118" i="20" a="1"/>
  <c r="F118" i="20" s="1"/>
  <c r="FN117" i="20"/>
  <c r="CP117" i="20" a="1"/>
  <c r="CP117" i="20"/>
  <c r="CO117" i="20" a="1"/>
  <c r="CO117" i="20" s="1"/>
  <c r="CI117" i="20"/>
  <c r="CH117" i="20"/>
  <c r="CG117" i="20"/>
  <c r="CF117" i="20"/>
  <c r="CE117" i="20"/>
  <c r="CD117" i="20"/>
  <c r="CC117" i="20"/>
  <c r="CB117" i="20"/>
  <c r="V117" i="20"/>
  <c r="I117" i="20"/>
  <c r="F117" i="20" a="1"/>
  <c r="F117" i="20" s="1"/>
  <c r="FN116" i="20"/>
  <c r="FN115" i="20"/>
  <c r="FN114" i="20"/>
  <c r="FN113" i="20"/>
  <c r="G113" i="20" a="1"/>
  <c r="DB123" i="20" l="1"/>
  <c r="CT123" i="20" s="1"/>
  <c r="DB121" i="20"/>
  <c r="CT121" i="20" s="1"/>
  <c r="AM1001" i="9"/>
  <c r="AM510" i="9"/>
  <c r="AM82" i="9"/>
  <c r="AN76" i="9"/>
  <c r="AM1006" i="9"/>
  <c r="AM515" i="9"/>
  <c r="AM177" i="9"/>
  <c r="AN171" i="9"/>
  <c r="BC128" i="30"/>
  <c r="BD220" i="6"/>
  <c r="BD226" i="6" s="1"/>
  <c r="AM613" i="9"/>
  <c r="AM895" i="9" s="1"/>
  <c r="AN294" i="9"/>
  <c r="AV28" i="6"/>
  <c r="AV68" i="30" s="1"/>
  <c r="AW234" i="26"/>
  <c r="AW243" i="26" s="1"/>
  <c r="AM619" i="9"/>
  <c r="AM901" i="9" s="1"/>
  <c r="AN408" i="9"/>
  <c r="AN440" i="9"/>
  <c r="AN61" i="9"/>
  <c r="AM1013" i="9"/>
  <c r="AM522" i="9"/>
  <c r="AN304" i="9"/>
  <c r="AM310" i="9"/>
  <c r="DB128" i="20"/>
  <c r="CT128" i="20" s="1"/>
  <c r="AO422" i="9"/>
  <c r="AO459" i="9"/>
  <c r="AM611" i="9"/>
  <c r="AM893" i="9" s="1"/>
  <c r="AN256" i="9"/>
  <c r="AN609" i="9"/>
  <c r="AN891" i="9" s="1"/>
  <c r="AO218" i="9"/>
  <c r="AN454" i="9"/>
  <c r="AN327" i="9"/>
  <c r="AN444" i="9"/>
  <c r="AN137" i="9"/>
  <c r="AN451" i="9"/>
  <c r="AN270" i="9"/>
  <c r="DB120" i="20"/>
  <c r="CT120" i="20" s="1"/>
  <c r="BX124" i="20"/>
  <c r="DB124" i="20" s="1"/>
  <c r="CT124" i="20" s="1"/>
  <c r="AN549" i="9"/>
  <c r="AN392" i="9"/>
  <c r="AM616" i="9"/>
  <c r="AM898" i="9" s="1"/>
  <c r="AN351" i="9"/>
  <c r="AM1007" i="9"/>
  <c r="AM516" i="9"/>
  <c r="AN190" i="9"/>
  <c r="AM196" i="9"/>
  <c r="AM601" i="9"/>
  <c r="AM883" i="9" s="1"/>
  <c r="AN66" i="9"/>
  <c r="AN456" i="9"/>
  <c r="AN365" i="9"/>
  <c r="AN452" i="9"/>
  <c r="AN289" i="9"/>
  <c r="AV34" i="6"/>
  <c r="AV70" i="30" s="1"/>
  <c r="AW274" i="26"/>
  <c r="AW278" i="26" s="1"/>
  <c r="AN450" i="9"/>
  <c r="AN251" i="9"/>
  <c r="AV25" i="6"/>
  <c r="AW220" i="26"/>
  <c r="AW229" i="26" s="1"/>
  <c r="AN458" i="9"/>
  <c r="AN403" i="9"/>
  <c r="AN543" i="9"/>
  <c r="AN278" i="9"/>
  <c r="AM1015" i="9"/>
  <c r="AM524" i="9"/>
  <c r="AM348" i="9"/>
  <c r="AN342" i="9"/>
  <c r="AN535" i="9"/>
  <c r="AN126" i="9"/>
  <c r="AU67" i="30"/>
  <c r="AX179" i="6"/>
  <c r="AX101" i="30" s="1"/>
  <c r="AY293" i="26"/>
  <c r="AY298" i="26" s="1"/>
  <c r="AN448" i="9"/>
  <c r="AN213" i="9"/>
  <c r="AV134" i="30"/>
  <c r="AW245" i="6"/>
  <c r="AW248" i="6" s="1"/>
  <c r="AN445" i="9"/>
  <c r="AN156" i="9"/>
  <c r="BD129" i="30"/>
  <c r="BE229" i="6"/>
  <c r="BE236" i="6" s="1"/>
  <c r="AW37" i="6"/>
  <c r="AW71" i="30" s="1"/>
  <c r="AX262" i="26"/>
  <c r="AX269" i="26" s="1"/>
  <c r="AN548" i="9"/>
  <c r="AN373" i="9"/>
  <c r="AV52" i="6"/>
  <c r="AW283" i="26"/>
  <c r="AW288" i="26" s="1"/>
  <c r="AM1002" i="9"/>
  <c r="AM511" i="9"/>
  <c r="AN95" i="9"/>
  <c r="AM101" i="9"/>
  <c r="BX117" i="20"/>
  <c r="DB117" i="20" s="1"/>
  <c r="CT117" i="20" s="1"/>
  <c r="AW190" i="30"/>
  <c r="AM603" i="9"/>
  <c r="AM885" i="9" s="1"/>
  <c r="AN104" i="9"/>
  <c r="BD127" i="30"/>
  <c r="BE206" i="6"/>
  <c r="BE217" i="6" s="1"/>
  <c r="AM606" i="9"/>
  <c r="AM888" i="9" s="1"/>
  <c r="AN161" i="9"/>
  <c r="AN443" i="9"/>
  <c r="AN118" i="9"/>
  <c r="AN536" i="9"/>
  <c r="AN145" i="9"/>
  <c r="AV73" i="33"/>
  <c r="BE142" i="6"/>
  <c r="BE155" i="6" s="1"/>
  <c r="BD158" i="6"/>
  <c r="BD121" i="30" s="1"/>
  <c r="BB135" i="30"/>
  <c r="BC251" i="6"/>
  <c r="BC253" i="6" s="1"/>
  <c r="AN538" i="9"/>
  <c r="AN183" i="9"/>
  <c r="AN457" i="9"/>
  <c r="AN384" i="9"/>
  <c r="AM608" i="9"/>
  <c r="AM890" i="9" s="1"/>
  <c r="AN199" i="9"/>
  <c r="AM602" i="9"/>
  <c r="AM884" i="9" s="1"/>
  <c r="AN85" i="9"/>
  <c r="AU77" i="30"/>
  <c r="DB118" i="20"/>
  <c r="CT118" i="20" s="1"/>
  <c r="AN449" i="9"/>
  <c r="AN232" i="9"/>
  <c r="AN545" i="9"/>
  <c r="AN316" i="9"/>
  <c r="AV31" i="6"/>
  <c r="AV69" i="30" s="1"/>
  <c r="AW248" i="26"/>
  <c r="AW257" i="26" s="1"/>
  <c r="AN551" i="9"/>
  <c r="AN430" i="9"/>
  <c r="AN541" i="9"/>
  <c r="AN240" i="9"/>
  <c r="AM615" i="9"/>
  <c r="AM897" i="9" s="1"/>
  <c r="AN332" i="9"/>
  <c r="BC130" i="30"/>
  <c r="BD239" i="6"/>
  <c r="BD242" i="6" s="1"/>
  <c r="G113" i="20"/>
  <c r="F113" i="20" a="1"/>
  <c r="BC135" i="30" l="1"/>
  <c r="BD251" i="6"/>
  <c r="BD253" i="6" s="1"/>
  <c r="AN537" i="9"/>
  <c r="AN164" i="9"/>
  <c r="AN1017" i="9"/>
  <c r="AN526" i="9"/>
  <c r="AN386" i="9"/>
  <c r="AO380" i="9"/>
  <c r="AV67" i="30"/>
  <c r="AN1016" i="9"/>
  <c r="AN525" i="9"/>
  <c r="AN367" i="9"/>
  <c r="AO361" i="9"/>
  <c r="AN547" i="9"/>
  <c r="AN354" i="9"/>
  <c r="AW28" i="6"/>
  <c r="AW68" i="30" s="1"/>
  <c r="AX234" i="26"/>
  <c r="AX243" i="26" s="1"/>
  <c r="AN446" i="9"/>
  <c r="AN175" i="9"/>
  <c r="AV77" i="30"/>
  <c r="AN614" i="9"/>
  <c r="AN896" i="9" s="1"/>
  <c r="AO313" i="9"/>
  <c r="AN620" i="9"/>
  <c r="AN902" i="9" s="1"/>
  <c r="AO427" i="9"/>
  <c r="BF142" i="6"/>
  <c r="BF155" i="6" s="1"/>
  <c r="BE158" i="6"/>
  <c r="BE121" i="30" s="1"/>
  <c r="AN442" i="9"/>
  <c r="AN99" i="9"/>
  <c r="AN617" i="9"/>
  <c r="AN899" i="9" s="1"/>
  <c r="AO370" i="9"/>
  <c r="AN604" i="9"/>
  <c r="AN886" i="9" s="1"/>
  <c r="AO123" i="9"/>
  <c r="AN1018" i="9"/>
  <c r="AN527" i="9"/>
  <c r="AO399" i="9"/>
  <c r="AN405" i="9"/>
  <c r="AN1010" i="9"/>
  <c r="AN519" i="9"/>
  <c r="AO247" i="9"/>
  <c r="AN253" i="9"/>
  <c r="AO540" i="9"/>
  <c r="AO221" i="9"/>
  <c r="AO1019" i="9"/>
  <c r="AO528" i="9"/>
  <c r="AP418" i="9"/>
  <c r="AO424" i="9"/>
  <c r="BD130" i="30"/>
  <c r="BE239" i="6"/>
  <c r="BE242" i="6" s="1"/>
  <c r="AN533" i="9"/>
  <c r="AN88" i="9"/>
  <c r="AN1003" i="9"/>
  <c r="AN512" i="9"/>
  <c r="AN120" i="9"/>
  <c r="AO114" i="9"/>
  <c r="AN534" i="9"/>
  <c r="AN107" i="9"/>
  <c r="AN1008" i="9"/>
  <c r="AN517" i="9"/>
  <c r="AN215" i="9"/>
  <c r="AO209" i="9"/>
  <c r="AN532" i="9"/>
  <c r="AN69" i="9"/>
  <c r="AN618" i="9"/>
  <c r="AN900" i="9" s="1"/>
  <c r="AO389" i="9"/>
  <c r="AN1011" i="9"/>
  <c r="AN520" i="9"/>
  <c r="AN272" i="9"/>
  <c r="AO266" i="9"/>
  <c r="AN1000" i="9"/>
  <c r="AN509" i="9"/>
  <c r="AO57" i="9"/>
  <c r="AN63" i="9"/>
  <c r="AN546" i="9"/>
  <c r="AN335" i="9"/>
  <c r="AN1009" i="9"/>
  <c r="AN518" i="9"/>
  <c r="AN234" i="9"/>
  <c r="AO228" i="9"/>
  <c r="AN607" i="9"/>
  <c r="AN889" i="9" s="1"/>
  <c r="AO180" i="9"/>
  <c r="BE129" i="30"/>
  <c r="BF229" i="6"/>
  <c r="BF236" i="6" s="1"/>
  <c r="AN455" i="9"/>
  <c r="AN346" i="9"/>
  <c r="AW34" i="6"/>
  <c r="AW70" i="30" s="1"/>
  <c r="AX274" i="26"/>
  <c r="AX278" i="26" s="1"/>
  <c r="AN542" i="9"/>
  <c r="AN259" i="9"/>
  <c r="AW31" i="6"/>
  <c r="AW69" i="30" s="1"/>
  <c r="AX248" i="26"/>
  <c r="AX257" i="26" s="1"/>
  <c r="AN539" i="9"/>
  <c r="AN202" i="9"/>
  <c r="AN605" i="9"/>
  <c r="AN887" i="9" s="1"/>
  <c r="AO142" i="9"/>
  <c r="AW52" i="6"/>
  <c r="AX283" i="26"/>
  <c r="AX288" i="26" s="1"/>
  <c r="AX37" i="6"/>
  <c r="AX71" i="30" s="1"/>
  <c r="AY262" i="26"/>
  <c r="AY269" i="26" s="1"/>
  <c r="AY179" i="6"/>
  <c r="AY101" i="30" s="1"/>
  <c r="AZ293" i="26"/>
  <c r="AZ298" i="26" s="1"/>
  <c r="AN544" i="9"/>
  <c r="AN297" i="9"/>
  <c r="AN80" i="9"/>
  <c r="AN441" i="9"/>
  <c r="AN1005" i="9"/>
  <c r="AN514" i="9"/>
  <c r="AN158" i="9"/>
  <c r="AO152" i="9"/>
  <c r="AX190" i="30"/>
  <c r="AN447" i="9"/>
  <c r="AN194" i="9"/>
  <c r="AN1004" i="9"/>
  <c r="AN513" i="9"/>
  <c r="AO133" i="9"/>
  <c r="AN139" i="9"/>
  <c r="AN550" i="9"/>
  <c r="AN411" i="9"/>
  <c r="BD128" i="30"/>
  <c r="BE220" i="6"/>
  <c r="BE226" i="6" s="1"/>
  <c r="AN610" i="9"/>
  <c r="AN892" i="9" s="1"/>
  <c r="AO237" i="9"/>
  <c r="AW73" i="33"/>
  <c r="AN1012" i="9"/>
  <c r="AN521" i="9"/>
  <c r="AO285" i="9"/>
  <c r="AN291" i="9"/>
  <c r="BE127" i="30"/>
  <c r="BF206" i="6"/>
  <c r="BF217" i="6" s="1"/>
  <c r="AW134" i="30"/>
  <c r="AX245" i="6"/>
  <c r="AX248" i="6" s="1"/>
  <c r="AN612" i="9"/>
  <c r="AN894" i="9" s="1"/>
  <c r="AO275" i="9"/>
  <c r="AW25" i="6"/>
  <c r="AX220" i="26"/>
  <c r="AX229" i="26" s="1"/>
  <c r="AN1014" i="9"/>
  <c r="AN329" i="9"/>
  <c r="AN523" i="9"/>
  <c r="AO323" i="9"/>
  <c r="AN453" i="9"/>
  <c r="AN308" i="9"/>
  <c r="F113" i="20"/>
  <c r="E113" i="20" a="1"/>
  <c r="AN1013" i="9" l="1"/>
  <c r="AN522" i="9"/>
  <c r="AO304" i="9"/>
  <c r="AN310" i="9"/>
  <c r="AY37" i="6"/>
  <c r="AY71" i="30" s="1"/>
  <c r="AZ262" i="26"/>
  <c r="AZ269" i="26" s="1"/>
  <c r="AO451" i="9"/>
  <c r="AO270" i="9"/>
  <c r="AO448" i="9"/>
  <c r="AO213" i="9"/>
  <c r="AO535" i="9"/>
  <c r="AO126" i="9"/>
  <c r="AO289" i="9"/>
  <c r="AO452" i="9"/>
  <c r="BE128" i="30"/>
  <c r="BF220" i="6"/>
  <c r="BF226" i="6" s="1"/>
  <c r="AO444" i="9"/>
  <c r="AO137" i="9"/>
  <c r="AZ179" i="6"/>
  <c r="AZ101" i="30" s="1"/>
  <c r="BA293" i="26"/>
  <c r="BA298" i="26" s="1"/>
  <c r="AO536" i="9"/>
  <c r="AO145" i="9"/>
  <c r="AO449" i="9"/>
  <c r="AO232" i="9"/>
  <c r="BE130" i="30"/>
  <c r="BF239" i="6"/>
  <c r="BF242" i="6" s="1"/>
  <c r="AO609" i="9"/>
  <c r="AO891" i="9" s="1"/>
  <c r="AP218" i="9"/>
  <c r="AO403" i="9"/>
  <c r="AO458" i="9"/>
  <c r="AN611" i="9"/>
  <c r="AN893" i="9" s="1"/>
  <c r="AO256" i="9"/>
  <c r="BF129" i="30"/>
  <c r="BG229" i="6"/>
  <c r="BG236" i="6" s="1"/>
  <c r="AN601" i="9"/>
  <c r="AN883" i="9" s="1"/>
  <c r="AO66" i="9"/>
  <c r="AO443" i="9"/>
  <c r="AO118" i="9"/>
  <c r="AN616" i="9"/>
  <c r="AN898" i="9" s="1"/>
  <c r="AO351" i="9"/>
  <c r="AN606" i="9"/>
  <c r="AN888" i="9" s="1"/>
  <c r="AO161" i="9"/>
  <c r="AX134" i="30"/>
  <c r="AY245" i="6"/>
  <c r="AY248" i="6" s="1"/>
  <c r="AO456" i="9"/>
  <c r="AO365" i="9"/>
  <c r="AN608" i="9"/>
  <c r="AN890" i="9" s="1"/>
  <c r="AO199" i="9"/>
  <c r="AN1001" i="9"/>
  <c r="AN510" i="9"/>
  <c r="AO76" i="9"/>
  <c r="AN82" i="9"/>
  <c r="AX34" i="6"/>
  <c r="AX70" i="30" s="1"/>
  <c r="AY274" i="26"/>
  <c r="AY278" i="26" s="1"/>
  <c r="AN615" i="9"/>
  <c r="AN897" i="9" s="1"/>
  <c r="AO332" i="9"/>
  <c r="AO450" i="9"/>
  <c r="AO251" i="9"/>
  <c r="BG142" i="6"/>
  <c r="BG155" i="6" s="1"/>
  <c r="BF158" i="6"/>
  <c r="BF121" i="30" s="1"/>
  <c r="AN1006" i="9"/>
  <c r="AN515" i="9"/>
  <c r="AO171" i="9"/>
  <c r="AN177" i="9"/>
  <c r="BD135" i="30"/>
  <c r="BE251" i="6"/>
  <c r="BE253" i="6" s="1"/>
  <c r="AN1007" i="9"/>
  <c r="AN516" i="9"/>
  <c r="AO190" i="9"/>
  <c r="AN196" i="9"/>
  <c r="BF127" i="30"/>
  <c r="BG206" i="6"/>
  <c r="BG217" i="6" s="1"/>
  <c r="AN619" i="9"/>
  <c r="AN901" i="9" s="1"/>
  <c r="AO408" i="9"/>
  <c r="AN613" i="9"/>
  <c r="AN895" i="9" s="1"/>
  <c r="AO294" i="9"/>
  <c r="AX52" i="6"/>
  <c r="AY283" i="26"/>
  <c r="AY288" i="26" s="1"/>
  <c r="AX31" i="6"/>
  <c r="AX69" i="30" s="1"/>
  <c r="AY248" i="26"/>
  <c r="AY257" i="26" s="1"/>
  <c r="AO538" i="9"/>
  <c r="AO183" i="9"/>
  <c r="AN602" i="9"/>
  <c r="AN884" i="9" s="1"/>
  <c r="AO85" i="9"/>
  <c r="AP459" i="9"/>
  <c r="AP422" i="9"/>
  <c r="AO548" i="9"/>
  <c r="AO373" i="9"/>
  <c r="AO551" i="9"/>
  <c r="AO430" i="9"/>
  <c r="AY190" i="30"/>
  <c r="AO541" i="9"/>
  <c r="AO240" i="9"/>
  <c r="AX73" i="33"/>
  <c r="AX28" i="6"/>
  <c r="AX68" i="30" s="1"/>
  <c r="AY234" i="26"/>
  <c r="AY243" i="26" s="1"/>
  <c r="AO457" i="9"/>
  <c r="AO384" i="9"/>
  <c r="AX25" i="6"/>
  <c r="AY220" i="26"/>
  <c r="AY229" i="26" s="1"/>
  <c r="AW67" i="30"/>
  <c r="AO327" i="9"/>
  <c r="AO454" i="9"/>
  <c r="AO543" i="9"/>
  <c r="AO278" i="9"/>
  <c r="AO445" i="9"/>
  <c r="AO156" i="9"/>
  <c r="AW77" i="30"/>
  <c r="AN1015" i="9"/>
  <c r="AN524" i="9"/>
  <c r="AN348" i="9"/>
  <c r="AO342" i="9"/>
  <c r="AO440" i="9"/>
  <c r="AO61" i="9"/>
  <c r="AO549" i="9"/>
  <c r="AO392" i="9"/>
  <c r="AN603" i="9"/>
  <c r="AN885" i="9" s="1"/>
  <c r="AO104" i="9"/>
  <c r="AN1002" i="9"/>
  <c r="AN511" i="9"/>
  <c r="AO95" i="9"/>
  <c r="AN101" i="9"/>
  <c r="AO545" i="9"/>
  <c r="AO316" i="9"/>
  <c r="E113" i="20"/>
  <c r="FN112" i="20"/>
  <c r="DB112" i="20"/>
  <c r="CT112" i="20" s="1"/>
  <c r="CP112" i="20" a="1"/>
  <c r="CP112" i="20" s="1"/>
  <c r="CO112" i="20" a="1"/>
  <c r="CO112" i="20"/>
  <c r="CI112" i="20"/>
  <c r="CH112" i="20"/>
  <c r="CG112" i="20"/>
  <c r="CF112" i="20"/>
  <c r="CE112" i="20"/>
  <c r="CD112" i="20"/>
  <c r="CC112" i="20"/>
  <c r="CB112" i="20"/>
  <c r="BX112" i="20"/>
  <c r="V112" i="20"/>
  <c r="I112" i="20"/>
  <c r="F112" i="20" a="1"/>
  <c r="F112" i="20" s="1"/>
  <c r="FN111" i="20"/>
  <c r="CP111" i="20" a="1"/>
  <c r="CP111" i="20"/>
  <c r="CO111" i="20" a="1"/>
  <c r="CO111" i="20" s="1"/>
  <c r="CI111" i="20"/>
  <c r="CH111" i="20"/>
  <c r="CG111" i="20"/>
  <c r="CF111" i="20"/>
  <c r="CE111" i="20"/>
  <c r="CD111" i="20"/>
  <c r="CC111" i="20"/>
  <c r="CB111" i="20"/>
  <c r="V111" i="20"/>
  <c r="BX111" i="20" s="1"/>
  <c r="I111" i="20"/>
  <c r="F111" i="20" a="1"/>
  <c r="F111" i="20" s="1"/>
  <c r="FN110" i="20"/>
  <c r="CP110" i="20" a="1"/>
  <c r="CP110" i="20" s="1"/>
  <c r="CO110" i="20" a="1"/>
  <c r="CO110" i="20"/>
  <c r="CI110" i="20"/>
  <c r="CH110" i="20"/>
  <c r="CG110" i="20"/>
  <c r="CF110" i="20"/>
  <c r="CE110" i="20"/>
  <c r="CD110" i="20"/>
  <c r="CC110" i="20"/>
  <c r="CB110" i="20"/>
  <c r="V110" i="20"/>
  <c r="BX110" i="20" s="1"/>
  <c r="I110" i="20"/>
  <c r="F110" i="20" a="1"/>
  <c r="F110" i="20" s="1"/>
  <c r="FN109" i="20"/>
  <c r="CP109" i="20" a="1"/>
  <c r="CP109" i="20"/>
  <c r="CO109" i="20" a="1"/>
  <c r="CO109" i="20" s="1"/>
  <c r="CI109" i="20"/>
  <c r="CH109" i="20"/>
  <c r="CG109" i="20"/>
  <c r="CF109" i="20"/>
  <c r="CE109" i="20"/>
  <c r="CD109" i="20"/>
  <c r="CC109" i="20"/>
  <c r="CB109" i="20"/>
  <c r="V109" i="20"/>
  <c r="I109" i="20"/>
  <c r="F109" i="20" a="1"/>
  <c r="F109" i="20" s="1"/>
  <c r="FN108" i="20"/>
  <c r="CP108" i="20" a="1"/>
  <c r="CP108" i="20" s="1"/>
  <c r="CO108" i="20" a="1"/>
  <c r="CO108" i="20"/>
  <c r="CI108" i="20"/>
  <c r="CH108" i="20"/>
  <c r="CG108" i="20"/>
  <c r="CF108" i="20"/>
  <c r="CE108" i="20"/>
  <c r="CD108" i="20"/>
  <c r="CC108" i="20"/>
  <c r="CB108" i="20"/>
  <c r="V108" i="20"/>
  <c r="I108" i="20"/>
  <c r="F108" i="20" a="1"/>
  <c r="F108" i="20" s="1"/>
  <c r="FN107" i="20"/>
  <c r="CP107" i="20" a="1"/>
  <c r="CP107" i="20"/>
  <c r="CO107" i="20" a="1"/>
  <c r="CO107" i="20" s="1"/>
  <c r="CI107" i="20"/>
  <c r="CH107" i="20"/>
  <c r="CG107" i="20"/>
  <c r="CF107" i="20"/>
  <c r="CE107" i="20"/>
  <c r="CD107" i="20"/>
  <c r="CC107" i="20"/>
  <c r="CB107" i="20"/>
  <c r="V107" i="20"/>
  <c r="BX107" i="20" s="1"/>
  <c r="I107" i="20"/>
  <c r="F107" i="20" a="1"/>
  <c r="F107" i="20" s="1"/>
  <c r="FN106" i="20"/>
  <c r="CP106" i="20" a="1"/>
  <c r="CP106" i="20" s="1"/>
  <c r="CO106" i="20" a="1"/>
  <c r="CO106" i="20"/>
  <c r="CI106" i="20"/>
  <c r="CH106" i="20"/>
  <c r="CG106" i="20"/>
  <c r="CF106" i="20"/>
  <c r="CE106" i="20"/>
  <c r="CD106" i="20"/>
  <c r="CC106" i="20"/>
  <c r="CB106" i="20"/>
  <c r="V106" i="20"/>
  <c r="BX106" i="20" s="1"/>
  <c r="DB106" i="20" s="1"/>
  <c r="CT106" i="20" s="1"/>
  <c r="I106" i="20"/>
  <c r="F106" i="20" a="1"/>
  <c r="F106" i="20" s="1"/>
  <c r="FN105" i="20"/>
  <c r="CP105" i="20" a="1"/>
  <c r="CP105" i="20" s="1"/>
  <c r="CO105" i="20" a="1"/>
  <c r="CO105" i="20" s="1"/>
  <c r="CI105" i="20"/>
  <c r="CH105" i="20"/>
  <c r="CG105" i="20"/>
  <c r="CF105" i="20"/>
  <c r="CE105" i="20"/>
  <c r="CD105" i="20"/>
  <c r="CC105" i="20"/>
  <c r="CB105" i="20"/>
  <c r="V105" i="20"/>
  <c r="BX105" i="20" s="1"/>
  <c r="I105" i="20"/>
  <c r="F105" i="20" a="1"/>
  <c r="F105" i="20" s="1"/>
  <c r="FN104" i="20"/>
  <c r="FN103" i="20"/>
  <c r="FN102" i="20"/>
  <c r="FN101" i="20"/>
  <c r="FN100" i="20"/>
  <c r="FN99" i="20"/>
  <c r="E99" i="20" a="1"/>
  <c r="DB107" i="20" l="1"/>
  <c r="CT107" i="20" s="1"/>
  <c r="DB111" i="20"/>
  <c r="CT111" i="20" s="1"/>
  <c r="AO455" i="9"/>
  <c r="AO346" i="9"/>
  <c r="AY25" i="6"/>
  <c r="AZ220" i="26"/>
  <c r="AZ229" i="26" s="1"/>
  <c r="AO610" i="9"/>
  <c r="AO892" i="9" s="1"/>
  <c r="AP237" i="9"/>
  <c r="AO533" i="9"/>
  <c r="AO88" i="9"/>
  <c r="BE135" i="30"/>
  <c r="BF251" i="6"/>
  <c r="BF253" i="6" s="1"/>
  <c r="AO1011" i="9"/>
  <c r="AO520" i="9"/>
  <c r="AP266" i="9"/>
  <c r="AO272" i="9"/>
  <c r="BX109" i="20"/>
  <c r="DB109" i="20" s="1"/>
  <c r="CT109" i="20" s="1"/>
  <c r="AO612" i="9"/>
  <c r="AO894" i="9" s="1"/>
  <c r="AP275" i="9"/>
  <c r="AX67" i="30"/>
  <c r="AX77" i="30"/>
  <c r="AO447" i="9"/>
  <c r="AO194" i="9"/>
  <c r="BG158" i="6"/>
  <c r="BG121" i="30" s="1"/>
  <c r="BH142" i="6"/>
  <c r="BH155" i="6" s="1"/>
  <c r="AY34" i="6"/>
  <c r="AY70" i="30" s="1"/>
  <c r="AZ274" i="26"/>
  <c r="AZ278" i="26" s="1"/>
  <c r="AO1016" i="9"/>
  <c r="AO525" i="9"/>
  <c r="AP361" i="9"/>
  <c r="AO367" i="9"/>
  <c r="AO1018" i="9"/>
  <c r="AO527" i="9"/>
  <c r="AP399" i="9"/>
  <c r="AO405" i="9"/>
  <c r="AO605" i="9"/>
  <c r="AO887" i="9" s="1"/>
  <c r="AP142" i="9"/>
  <c r="DB110" i="20"/>
  <c r="CT110" i="20" s="1"/>
  <c r="AO534" i="9"/>
  <c r="AO107" i="9"/>
  <c r="AO1017" i="9"/>
  <c r="AO526" i="9"/>
  <c r="AO386" i="9"/>
  <c r="AP380" i="9"/>
  <c r="AO620" i="9"/>
  <c r="AO902" i="9" s="1"/>
  <c r="AP427" i="9"/>
  <c r="AO607" i="9"/>
  <c r="AO889" i="9" s="1"/>
  <c r="AP180" i="9"/>
  <c r="AO544" i="9"/>
  <c r="AO297" i="9"/>
  <c r="BG129" i="30"/>
  <c r="BH229" i="6"/>
  <c r="BH236" i="6" s="1"/>
  <c r="AP540" i="9"/>
  <c r="AP221" i="9"/>
  <c r="AO1012" i="9"/>
  <c r="AO521" i="9"/>
  <c r="AO291" i="9"/>
  <c r="AP285" i="9"/>
  <c r="BX108" i="20"/>
  <c r="AO614" i="9"/>
  <c r="AO896" i="9" s="1"/>
  <c r="AP313" i="9"/>
  <c r="AO1010" i="9"/>
  <c r="AO519" i="9"/>
  <c r="AP247" i="9"/>
  <c r="AO253" i="9"/>
  <c r="AY134" i="30"/>
  <c r="AZ245" i="6"/>
  <c r="AZ248" i="6" s="1"/>
  <c r="AO354" i="9"/>
  <c r="AO547" i="9"/>
  <c r="BA179" i="6"/>
  <c r="BA101" i="30" s="1"/>
  <c r="BB293" i="26"/>
  <c r="BB298" i="26" s="1"/>
  <c r="AO618" i="9"/>
  <c r="AO900" i="9" s="1"/>
  <c r="AP389" i="9"/>
  <c r="AO1014" i="9"/>
  <c r="AO523" i="9"/>
  <c r="AP323" i="9"/>
  <c r="AO329" i="9"/>
  <c r="AO617" i="9"/>
  <c r="AO899" i="9" s="1"/>
  <c r="AP370" i="9"/>
  <c r="AY31" i="6"/>
  <c r="AY69" i="30" s="1"/>
  <c r="AZ248" i="26"/>
  <c r="AZ257" i="26" s="1"/>
  <c r="AO550" i="9"/>
  <c r="AO411" i="9"/>
  <c r="AO441" i="9"/>
  <c r="AO80" i="9"/>
  <c r="AO542" i="9"/>
  <c r="AO259" i="9"/>
  <c r="BF130" i="30"/>
  <c r="BG239" i="6"/>
  <c r="BG242" i="6" s="1"/>
  <c r="AZ190" i="30"/>
  <c r="AO604" i="9"/>
  <c r="AO886" i="9" s="1"/>
  <c r="AP123" i="9"/>
  <c r="AZ37" i="6"/>
  <c r="AZ71" i="30" s="1"/>
  <c r="BA262" i="26"/>
  <c r="BA269" i="26" s="1"/>
  <c r="AY28" i="6"/>
  <c r="AY68" i="30" s="1"/>
  <c r="AZ234" i="26"/>
  <c r="AZ243" i="26" s="1"/>
  <c r="AO446" i="9"/>
  <c r="AO175" i="9"/>
  <c r="AO537" i="9"/>
  <c r="AO164" i="9"/>
  <c r="AO1003" i="9"/>
  <c r="AO512" i="9"/>
  <c r="AO120" i="9"/>
  <c r="AP114" i="9"/>
  <c r="AO1004" i="9"/>
  <c r="AO513" i="9"/>
  <c r="AP133" i="9"/>
  <c r="AO139" i="9"/>
  <c r="DB108" i="20"/>
  <c r="CT108" i="20" s="1"/>
  <c r="AO442" i="9"/>
  <c r="AO99" i="9"/>
  <c r="AO1000" i="9"/>
  <c r="AO509" i="9"/>
  <c r="AP57" i="9"/>
  <c r="AO63" i="9"/>
  <c r="AO1005" i="9"/>
  <c r="AO514" i="9"/>
  <c r="AP152" i="9"/>
  <c r="AO158" i="9"/>
  <c r="AY73" i="33"/>
  <c r="AP1019" i="9"/>
  <c r="AP528" i="9"/>
  <c r="AP424" i="9"/>
  <c r="AQ418" i="9"/>
  <c r="BG127" i="30"/>
  <c r="BH206" i="6"/>
  <c r="BH217" i="6" s="1"/>
  <c r="AO546" i="9"/>
  <c r="AO335" i="9"/>
  <c r="AO1008" i="9"/>
  <c r="AO517" i="9"/>
  <c r="AO215" i="9"/>
  <c r="AP209" i="9"/>
  <c r="DB105" i="20"/>
  <c r="CT105" i="20" s="1"/>
  <c r="AY52" i="6"/>
  <c r="AZ283" i="26"/>
  <c r="AZ288" i="26" s="1"/>
  <c r="AO539" i="9"/>
  <c r="AO202" i="9"/>
  <c r="AO532" i="9"/>
  <c r="AO69" i="9"/>
  <c r="AO1009" i="9"/>
  <c r="AO518" i="9"/>
  <c r="AP228" i="9"/>
  <c r="AO234" i="9"/>
  <c r="BF128" i="30"/>
  <c r="BG220" i="6"/>
  <c r="BG226" i="6" s="1"/>
  <c r="AO453" i="9"/>
  <c r="AO308" i="9"/>
  <c r="E99" i="20"/>
  <c r="FN98" i="20"/>
  <c r="CP98" i="20" a="1"/>
  <c r="CP98" i="20" s="1"/>
  <c r="CO98" i="20" a="1"/>
  <c r="CO98" i="20" s="1"/>
  <c r="CI98" i="20"/>
  <c r="CH98" i="20"/>
  <c r="CG98" i="20"/>
  <c r="CF98" i="20"/>
  <c r="CE98" i="20"/>
  <c r="CD98" i="20"/>
  <c r="CC98" i="20"/>
  <c r="CB98" i="20"/>
  <c r="V98" i="20"/>
  <c r="I98" i="20"/>
  <c r="F98" i="20" a="1"/>
  <c r="F98" i="20" s="1"/>
  <c r="FN97" i="20"/>
  <c r="FN96" i="20"/>
  <c r="CI96" i="20"/>
  <c r="CG96" i="20"/>
  <c r="CE96" i="20"/>
  <c r="CC96" i="20"/>
  <c r="Y96" i="20"/>
  <c r="Y175" i="20" s="1"/>
  <c r="X96" i="20"/>
  <c r="X175" i="20" s="1"/>
  <c r="W96" i="20"/>
  <c r="W175" i="20" s="1"/>
  <c r="FN95" i="20"/>
  <c r="CP95" i="20" a="1"/>
  <c r="CP95" i="20"/>
  <c r="CO95" i="20" a="1"/>
  <c r="CO95" i="20"/>
  <c r="CI95" i="20"/>
  <c r="CH95" i="20"/>
  <c r="CG95" i="20"/>
  <c r="CF95" i="20"/>
  <c r="CE95" i="20"/>
  <c r="CD95" i="20"/>
  <c r="CC95" i="20"/>
  <c r="CB95" i="20"/>
  <c r="BX95" i="20"/>
  <c r="V95" i="20"/>
  <c r="DB95" i="20" s="1"/>
  <c r="CT95" i="20" s="1"/>
  <c r="I95" i="20"/>
  <c r="F95" i="20" a="1"/>
  <c r="F95" i="20" s="1"/>
  <c r="FN94" i="20"/>
  <c r="CP94" i="20" a="1"/>
  <c r="CP94" i="20"/>
  <c r="CO94" i="20" a="1"/>
  <c r="CO94" i="20"/>
  <c r="CI94" i="20"/>
  <c r="CH94" i="20"/>
  <c r="CG94" i="20"/>
  <c r="CF94" i="20"/>
  <c r="CE94" i="20"/>
  <c r="CD94" i="20"/>
  <c r="CC94" i="20"/>
  <c r="CB94" i="20"/>
  <c r="BX94" i="20"/>
  <c r="V94" i="20"/>
  <c r="DB94" i="20" s="1"/>
  <c r="CT94" i="20" s="1"/>
  <c r="I94" i="20"/>
  <c r="F94" i="20" a="1"/>
  <c r="F94" i="20" s="1"/>
  <c r="FN93" i="20"/>
  <c r="CP93" i="20" a="1"/>
  <c r="CP93" i="20"/>
  <c r="CO93" i="20" a="1"/>
  <c r="CO93" i="20"/>
  <c r="CI93" i="20"/>
  <c r="CH93" i="20"/>
  <c r="CH96" i="20" s="1"/>
  <c r="CG93" i="20"/>
  <c r="CF93" i="20"/>
  <c r="CF96" i="20" s="1"/>
  <c r="CE93" i="20"/>
  <c r="CD93" i="20"/>
  <c r="CD96" i="20" s="1"/>
  <c r="CC93" i="20"/>
  <c r="CB93" i="20"/>
  <c r="CB96" i="20" s="1"/>
  <c r="BX93" i="20"/>
  <c r="BX96" i="20" s="1"/>
  <c r="V93" i="20"/>
  <c r="I93" i="20"/>
  <c r="F93" i="20" a="1"/>
  <c r="F93" i="20" s="1"/>
  <c r="FN92" i="20"/>
  <c r="FN91" i="20"/>
  <c r="FN90" i="20"/>
  <c r="CI90" i="20"/>
  <c r="CI21" i="30" s="1"/>
  <c r="CE90" i="20"/>
  <c r="CE21" i="30" s="1"/>
  <c r="CC90" i="20"/>
  <c r="CC21" i="30" s="1"/>
  <c r="Y90" i="20"/>
  <c r="X90" i="20"/>
  <c r="W90" i="20"/>
  <c r="FN89" i="20"/>
  <c r="CP89" i="20" a="1"/>
  <c r="CP89" i="20"/>
  <c r="CO89" i="20" a="1"/>
  <c r="CO89" i="20"/>
  <c r="CI89" i="20"/>
  <c r="CH89" i="20"/>
  <c r="CG89" i="20"/>
  <c r="CF89" i="20"/>
  <c r="CE89" i="20"/>
  <c r="CD89" i="20"/>
  <c r="CC89" i="20"/>
  <c r="CB89" i="20"/>
  <c r="V89" i="20"/>
  <c r="I89" i="20"/>
  <c r="F89" i="20" a="1"/>
  <c r="F89" i="20" s="1"/>
  <c r="FN88" i="20"/>
  <c r="CP88" i="20" a="1"/>
  <c r="CP88" i="20"/>
  <c r="CO88" i="20" a="1"/>
  <c r="CO88" i="20"/>
  <c r="CI88" i="20"/>
  <c r="CH88" i="20"/>
  <c r="CH90" i="20" s="1"/>
  <c r="CH21" i="30" s="1"/>
  <c r="CG88" i="20"/>
  <c r="CG90" i="20" s="1"/>
  <c r="CG21" i="30" s="1"/>
  <c r="CF88" i="20"/>
  <c r="CF90" i="20" s="1"/>
  <c r="CF21" i="30" s="1"/>
  <c r="CE88" i="20"/>
  <c r="CD88" i="20"/>
  <c r="CD90" i="20" s="1"/>
  <c r="CD21" i="30" s="1"/>
  <c r="CC88" i="20"/>
  <c r="CB88" i="20"/>
  <c r="CB90" i="20" s="1"/>
  <c r="CB21" i="30" s="1"/>
  <c r="BX88" i="20"/>
  <c r="V88" i="20"/>
  <c r="I88" i="20"/>
  <c r="F88" i="20" a="1"/>
  <c r="F88" i="20" s="1"/>
  <c r="FN87" i="20"/>
  <c r="FN86" i="20"/>
  <c r="FN85" i="20"/>
  <c r="Y85" i="20"/>
  <c r="X85" i="20"/>
  <c r="W85" i="20"/>
  <c r="FN84" i="20"/>
  <c r="CP84" i="20" a="1"/>
  <c r="CP84" i="20"/>
  <c r="CO84" i="20" a="1"/>
  <c r="CO84" i="20"/>
  <c r="CI84" i="20"/>
  <c r="CH84" i="20"/>
  <c r="CG84" i="20"/>
  <c r="CF84" i="20"/>
  <c r="CE84" i="20"/>
  <c r="CD84" i="20"/>
  <c r="CC84" i="20"/>
  <c r="CB84" i="20"/>
  <c r="V84" i="20"/>
  <c r="I84" i="20"/>
  <c r="F84" i="20" a="1"/>
  <c r="F84" i="20" s="1"/>
  <c r="FN83" i="20"/>
  <c r="CP83" i="20" a="1"/>
  <c r="CP83" i="20" s="1"/>
  <c r="CO83" i="20" a="1"/>
  <c r="CO83" i="20"/>
  <c r="CI83" i="20"/>
  <c r="CH83" i="20"/>
  <c r="CG83" i="20"/>
  <c r="CF83" i="20"/>
  <c r="CE83" i="20"/>
  <c r="CD83" i="20"/>
  <c r="CC83" i="20"/>
  <c r="CB83" i="20"/>
  <c r="BX83" i="20"/>
  <c r="DB83" i="20" s="1"/>
  <c r="CT83" i="20" s="1"/>
  <c r="V83" i="20"/>
  <c r="I83" i="20"/>
  <c r="F83" i="20" a="1"/>
  <c r="F83" i="20" s="1"/>
  <c r="FN82" i="20"/>
  <c r="CP82" i="20" a="1"/>
  <c r="CP82" i="20" s="1"/>
  <c r="CO82" i="20" a="1"/>
  <c r="CO82" i="20" s="1"/>
  <c r="CI82" i="20"/>
  <c r="CH82" i="20"/>
  <c r="CG82" i="20"/>
  <c r="CF82" i="20"/>
  <c r="CE82" i="20"/>
  <c r="CD82" i="20"/>
  <c r="CC82" i="20"/>
  <c r="CB82" i="20"/>
  <c r="V82" i="20"/>
  <c r="I82" i="20"/>
  <c r="F82" i="20" a="1"/>
  <c r="F82" i="20" s="1"/>
  <c r="FN81" i="20"/>
  <c r="CP81" i="20" a="1"/>
  <c r="CP81" i="20"/>
  <c r="CO81" i="20" a="1"/>
  <c r="CO81" i="20" s="1"/>
  <c r="CI81" i="20"/>
  <c r="CH81" i="20"/>
  <c r="CG81" i="20"/>
  <c r="CF81" i="20"/>
  <c r="CE81" i="20"/>
  <c r="CD81" i="20"/>
  <c r="CC81" i="20"/>
  <c r="CB81" i="20"/>
  <c r="BX81" i="20"/>
  <c r="V81" i="20"/>
  <c r="I81" i="20"/>
  <c r="F81" i="20" a="1"/>
  <c r="F81" i="20" s="1"/>
  <c r="FN80" i="20"/>
  <c r="CP80" i="20" a="1"/>
  <c r="CP80" i="20"/>
  <c r="CO80" i="20" a="1"/>
  <c r="CO80" i="20"/>
  <c r="CI80" i="20"/>
  <c r="CH80" i="20"/>
  <c r="CG80" i="20"/>
  <c r="CF80" i="20"/>
  <c r="CE80" i="20"/>
  <c r="CD80" i="20"/>
  <c r="CC80" i="20"/>
  <c r="CB80" i="20"/>
  <c r="V80" i="20"/>
  <c r="I80" i="20"/>
  <c r="F80" i="20" a="1"/>
  <c r="F80" i="20" s="1"/>
  <c r="FN79" i="20"/>
  <c r="DB79" i="20"/>
  <c r="CT79" i="20" s="1"/>
  <c r="CP79" i="20" a="1"/>
  <c r="CP79" i="20" s="1"/>
  <c r="CO79" i="20" a="1"/>
  <c r="CO79" i="20"/>
  <c r="CI79" i="20"/>
  <c r="CH79" i="20"/>
  <c r="CG79" i="20"/>
  <c r="CF79" i="20"/>
  <c r="CE79" i="20"/>
  <c r="CD79" i="20"/>
  <c r="CC79" i="20"/>
  <c r="CB79" i="20"/>
  <c r="BX79" i="20"/>
  <c r="V79" i="20"/>
  <c r="I79" i="20"/>
  <c r="F79" i="20" a="1"/>
  <c r="F79" i="20" s="1"/>
  <c r="FN78" i="20"/>
  <c r="CP78" i="20" a="1"/>
  <c r="CP78" i="20" s="1"/>
  <c r="CO78" i="20" a="1"/>
  <c r="CO78" i="20" s="1"/>
  <c r="CI78" i="20"/>
  <c r="CI85" i="20" s="1"/>
  <c r="CI20" i="30" s="1"/>
  <c r="CH78" i="20"/>
  <c r="CG78" i="20"/>
  <c r="CF78" i="20"/>
  <c r="CE78" i="20"/>
  <c r="CD78" i="20"/>
  <c r="CC78" i="20"/>
  <c r="CB78" i="20"/>
  <c r="V78" i="20"/>
  <c r="I78" i="20"/>
  <c r="F78" i="20" a="1"/>
  <c r="F78" i="20" s="1"/>
  <c r="FN77" i="20"/>
  <c r="CP77" i="20" a="1"/>
  <c r="CP77" i="20" s="1"/>
  <c r="CO77" i="20" a="1"/>
  <c r="CO77" i="20" s="1"/>
  <c r="CI77" i="20"/>
  <c r="CH77" i="20"/>
  <c r="CH85" i="20" s="1"/>
  <c r="CH20" i="30" s="1"/>
  <c r="CG77" i="20"/>
  <c r="CG85" i="20" s="1"/>
  <c r="CG20" i="30" s="1"/>
  <c r="CF77" i="20"/>
  <c r="CF85" i="20" s="1"/>
  <c r="CF20" i="30" s="1"/>
  <c r="CE77" i="20"/>
  <c r="CE85" i="20" s="1"/>
  <c r="CE20" i="30" s="1"/>
  <c r="CD77" i="20"/>
  <c r="CD85" i="20" s="1"/>
  <c r="CD20" i="30" s="1"/>
  <c r="CC77" i="20"/>
  <c r="CC85" i="20" s="1"/>
  <c r="CC20" i="30" s="1"/>
  <c r="CB77" i="20"/>
  <c r="CB85" i="20" s="1"/>
  <c r="CB20" i="30" s="1"/>
  <c r="V77" i="20"/>
  <c r="I77" i="20"/>
  <c r="F77" i="20" a="1"/>
  <c r="F77" i="20" s="1"/>
  <c r="FN76" i="20"/>
  <c r="FN75" i="20"/>
  <c r="FN74" i="20"/>
  <c r="Y74" i="20"/>
  <c r="X74" i="20"/>
  <c r="W74" i="20"/>
  <c r="FN73" i="20"/>
  <c r="CP73" i="20" a="1"/>
  <c r="CP73" i="20" s="1"/>
  <c r="CO73" i="20" a="1"/>
  <c r="CO73" i="20" s="1"/>
  <c r="CI73" i="20"/>
  <c r="CH73" i="20"/>
  <c r="CG73" i="20"/>
  <c r="CF73" i="20"/>
  <c r="CE73" i="20"/>
  <c r="CD73" i="20"/>
  <c r="CC73" i="20"/>
  <c r="CB73" i="20"/>
  <c r="V73" i="20"/>
  <c r="I73" i="20"/>
  <c r="F73" i="20" a="1"/>
  <c r="F73" i="20" s="1"/>
  <c r="FN72" i="20"/>
  <c r="CP72" i="20" a="1"/>
  <c r="CP72" i="20" s="1"/>
  <c r="CO72" i="20" a="1"/>
  <c r="CO72" i="20" s="1"/>
  <c r="CI72" i="20"/>
  <c r="CH72" i="20"/>
  <c r="CG72" i="20"/>
  <c r="CF72" i="20"/>
  <c r="CE72" i="20"/>
  <c r="CD72" i="20"/>
  <c r="CC72" i="20"/>
  <c r="CB72" i="20"/>
  <c r="V72" i="20"/>
  <c r="I72" i="20"/>
  <c r="F72" i="20" a="1"/>
  <c r="F72" i="20" s="1"/>
  <c r="FN71" i="20"/>
  <c r="CP71" i="20" a="1"/>
  <c r="CP71" i="20"/>
  <c r="CO71" i="20" a="1"/>
  <c r="CO71" i="20" s="1"/>
  <c r="CI71" i="20"/>
  <c r="CH71" i="20"/>
  <c r="CG71" i="20"/>
  <c r="CF71" i="20"/>
  <c r="CE71" i="20"/>
  <c r="CD71" i="20"/>
  <c r="CC71" i="20"/>
  <c r="CB71" i="20"/>
  <c r="V71" i="20"/>
  <c r="I71" i="20"/>
  <c r="F71" i="20" a="1"/>
  <c r="F71" i="20" s="1"/>
  <c r="FN70" i="20"/>
  <c r="DB70" i="20"/>
  <c r="CT70" i="20" s="1"/>
  <c r="CP70" i="20" a="1"/>
  <c r="CP70" i="20" s="1"/>
  <c r="CO70" i="20" a="1"/>
  <c r="CO70" i="20"/>
  <c r="CI70" i="20"/>
  <c r="CH70" i="20"/>
  <c r="CG70" i="20"/>
  <c r="CF70" i="20"/>
  <c r="CE70" i="20"/>
  <c r="CD70" i="20"/>
  <c r="CC70" i="20"/>
  <c r="CB70" i="20"/>
  <c r="BX70" i="20"/>
  <c r="V70" i="20"/>
  <c r="I70" i="20"/>
  <c r="F70" i="20" a="1"/>
  <c r="F70" i="20" s="1"/>
  <c r="FN69" i="20"/>
  <c r="CP69" i="20" a="1"/>
  <c r="CP69" i="20" s="1"/>
  <c r="CO69" i="20" a="1"/>
  <c r="CO69" i="20" s="1"/>
  <c r="CI69" i="20"/>
  <c r="CH69" i="20"/>
  <c r="CG69" i="20"/>
  <c r="CF69" i="20"/>
  <c r="CE69" i="20"/>
  <c r="CD69" i="20"/>
  <c r="CC69" i="20"/>
  <c r="CB69" i="20"/>
  <c r="V69" i="20"/>
  <c r="I69" i="20"/>
  <c r="F69" i="20" a="1"/>
  <c r="F69" i="20" s="1"/>
  <c r="FN68" i="20"/>
  <c r="CP68" i="20" a="1"/>
  <c r="CP68" i="20" s="1"/>
  <c r="CO68" i="20" a="1"/>
  <c r="CO68" i="20" s="1"/>
  <c r="CI68" i="20"/>
  <c r="CH68" i="20"/>
  <c r="CG68" i="20"/>
  <c r="CF68" i="20"/>
  <c r="CE68" i="20"/>
  <c r="CD68" i="20"/>
  <c r="CC68" i="20"/>
  <c r="CB68" i="20"/>
  <c r="V68" i="20"/>
  <c r="I68" i="20"/>
  <c r="F68" i="20" a="1"/>
  <c r="F68" i="20" s="1"/>
  <c r="FN67" i="20"/>
  <c r="CP67" i="20" a="1"/>
  <c r="CP67" i="20"/>
  <c r="CO67" i="20" a="1"/>
  <c r="CO67" i="20" s="1"/>
  <c r="CI67" i="20"/>
  <c r="CH67" i="20"/>
  <c r="CG67" i="20"/>
  <c r="CF67" i="20"/>
  <c r="CE67" i="20"/>
  <c r="CD67" i="20"/>
  <c r="CC67" i="20"/>
  <c r="CB67" i="20"/>
  <c r="V67" i="20"/>
  <c r="I67" i="20"/>
  <c r="F67" i="20" a="1"/>
  <c r="F67" i="20" s="1"/>
  <c r="FN66" i="20"/>
  <c r="DB66" i="20"/>
  <c r="CT66" i="20" s="1"/>
  <c r="CP66" i="20" a="1"/>
  <c r="CP66" i="20" s="1"/>
  <c r="CO66" i="20" a="1"/>
  <c r="CO66" i="20"/>
  <c r="CI66" i="20"/>
  <c r="CH66" i="20"/>
  <c r="CG66" i="20"/>
  <c r="CF66" i="20"/>
  <c r="CE66" i="20"/>
  <c r="CD66" i="20"/>
  <c r="CC66" i="20"/>
  <c r="CB66" i="20"/>
  <c r="CB74" i="20" s="1"/>
  <c r="CB19" i="30" s="1"/>
  <c r="BX66" i="20"/>
  <c r="V66" i="20"/>
  <c r="I66" i="20"/>
  <c r="F66" i="20" a="1"/>
  <c r="F66" i="20" s="1"/>
  <c r="FN65" i="20"/>
  <c r="CP65" i="20" a="1"/>
  <c r="CP65" i="20" s="1"/>
  <c r="CO65" i="20" a="1"/>
  <c r="CO65" i="20" s="1"/>
  <c r="CI65" i="20"/>
  <c r="CI74" i="20" s="1"/>
  <c r="CI19" i="30" s="1"/>
  <c r="CH65" i="20"/>
  <c r="CH74" i="20" s="1"/>
  <c r="CH19" i="30" s="1"/>
  <c r="CG65" i="20"/>
  <c r="CF65" i="20"/>
  <c r="CE65" i="20"/>
  <c r="CD65" i="20"/>
  <c r="CC65" i="20"/>
  <c r="CB65" i="20"/>
  <c r="V65" i="20"/>
  <c r="I65" i="20"/>
  <c r="F65" i="20" a="1"/>
  <c r="F65" i="20" s="1"/>
  <c r="FN64" i="20"/>
  <c r="CP64" i="20" a="1"/>
  <c r="CP64" i="20" s="1"/>
  <c r="CO64" i="20" a="1"/>
  <c r="CO64" i="20" s="1"/>
  <c r="CI64" i="20"/>
  <c r="CH64" i="20"/>
  <c r="CG64" i="20"/>
  <c r="CG74" i="20" s="1"/>
  <c r="CG19" i="30" s="1"/>
  <c r="CF64" i="20"/>
  <c r="CF74" i="20" s="1"/>
  <c r="CF19" i="30" s="1"/>
  <c r="CE64" i="20"/>
  <c r="CE74" i="20" s="1"/>
  <c r="CE19" i="30" s="1"/>
  <c r="CD64" i="20"/>
  <c r="CD74" i="20" s="1"/>
  <c r="CD19" i="30" s="1"/>
  <c r="CC64" i="20"/>
  <c r="CC74" i="20" s="1"/>
  <c r="CC19" i="30" s="1"/>
  <c r="CB64" i="20"/>
  <c r="V64" i="20"/>
  <c r="V74" i="20" s="1"/>
  <c r="I64" i="20"/>
  <c r="F64" i="20" a="1"/>
  <c r="F64" i="20" s="1"/>
  <c r="FN63" i="20"/>
  <c r="FN62" i="20"/>
  <c r="CP61" i="20" a="1"/>
  <c r="CP61" i="20" s="1"/>
  <c r="CO61" i="20" a="1"/>
  <c r="CO61" i="20"/>
  <c r="CI61" i="20"/>
  <c r="CH61" i="20"/>
  <c r="DO61" i="20" s="1"/>
  <c r="CG61" i="20"/>
  <c r="CF61" i="20"/>
  <c r="CE61" i="20"/>
  <c r="CD61" i="20"/>
  <c r="CC61" i="20"/>
  <c r="CB61" i="20"/>
  <c r="V61" i="20"/>
  <c r="BX61" i="20" s="1"/>
  <c r="I61" i="20"/>
  <c r="F61" i="20" a="1"/>
  <c r="F61" i="20" s="1"/>
  <c r="Y60" i="20"/>
  <c r="X60" i="20"/>
  <c r="W60" i="20"/>
  <c r="CP59" i="20" a="1"/>
  <c r="CP59" i="20"/>
  <c r="CO59" i="20" a="1"/>
  <c r="CO59" i="20" s="1"/>
  <c r="CI59" i="20"/>
  <c r="CH59" i="20"/>
  <c r="CG59" i="20"/>
  <c r="CF59" i="20"/>
  <c r="CE59" i="20"/>
  <c r="CD59" i="20"/>
  <c r="CC59" i="20"/>
  <c r="CB59" i="20"/>
  <c r="BX59" i="20"/>
  <c r="DB59" i="20" s="1"/>
  <c r="CT59" i="20" s="1"/>
  <c r="V59" i="20"/>
  <c r="I59" i="20"/>
  <c r="F59" i="20" a="1"/>
  <c r="F59" i="20" s="1"/>
  <c r="CP58" i="20" a="1"/>
  <c r="CP58" i="20" s="1"/>
  <c r="CO58" i="20" a="1"/>
  <c r="CO58" i="20" s="1"/>
  <c r="CI58" i="20"/>
  <c r="CH58" i="20"/>
  <c r="CG58" i="20"/>
  <c r="CF58" i="20"/>
  <c r="CE58" i="20"/>
  <c r="CD58" i="20"/>
  <c r="CC58" i="20"/>
  <c r="CB58" i="20"/>
  <c r="V58" i="20"/>
  <c r="I58" i="20"/>
  <c r="F58" i="20" a="1"/>
  <c r="F58" i="20" s="1"/>
  <c r="CP57" i="20" a="1"/>
  <c r="CP57" i="20" s="1"/>
  <c r="CO57" i="20" a="1"/>
  <c r="CO57" i="20"/>
  <c r="CI57" i="20"/>
  <c r="CI60" i="20" s="1"/>
  <c r="CI18" i="30" s="1"/>
  <c r="CH57" i="20"/>
  <c r="CH60" i="20" s="1"/>
  <c r="CH18" i="30" s="1"/>
  <c r="CG57" i="20"/>
  <c r="CG60" i="20" s="1"/>
  <c r="CG18" i="30" s="1"/>
  <c r="CF57" i="20"/>
  <c r="CF60" i="20" s="1"/>
  <c r="CE57" i="20"/>
  <c r="CE60" i="20" s="1"/>
  <c r="CD57" i="20"/>
  <c r="CD60" i="20" s="1"/>
  <c r="CD18" i="30" s="1"/>
  <c r="CC57" i="20"/>
  <c r="CC60" i="20" s="1"/>
  <c r="CC18" i="30" s="1"/>
  <c r="CB57" i="20"/>
  <c r="CB60" i="20" s="1"/>
  <c r="CB18" i="30" s="1"/>
  <c r="V57" i="20"/>
  <c r="V60" i="20" s="1"/>
  <c r="I57" i="20"/>
  <c r="F57" i="20" a="1"/>
  <c r="F57" i="20" s="1"/>
  <c r="FN55" i="20"/>
  <c r="FN54" i="20"/>
  <c r="CP54" i="20" a="1"/>
  <c r="CP54" i="20" s="1"/>
  <c r="CO54" i="20" a="1"/>
  <c r="CO54" i="20" s="1"/>
  <c r="CI54" i="20"/>
  <c r="CH54" i="20"/>
  <c r="DO54" i="20" s="1"/>
  <c r="CG54" i="20"/>
  <c r="CF54" i="20"/>
  <c r="DM54" i="20" s="1"/>
  <c r="CE54" i="20"/>
  <c r="CD54" i="20"/>
  <c r="CC54" i="20"/>
  <c r="CB54" i="20"/>
  <c r="V54" i="20"/>
  <c r="I54" i="20"/>
  <c r="F54" i="20" a="1"/>
  <c r="F54" i="20" s="1"/>
  <c r="FN53" i="20"/>
  <c r="CH53" i="20"/>
  <c r="CH17" i="30" s="1"/>
  <c r="CF53" i="20"/>
  <c r="CF17" i="30" s="1"/>
  <c r="CB53" i="20"/>
  <c r="CB17" i="30" s="1"/>
  <c r="Y53" i="20"/>
  <c r="X53" i="20"/>
  <c r="W53" i="20"/>
  <c r="FN52" i="20"/>
  <c r="CP52" i="20" a="1"/>
  <c r="CP52" i="20" s="1"/>
  <c r="CO52" i="20" a="1"/>
  <c r="CO52" i="20" s="1"/>
  <c r="CI52" i="20"/>
  <c r="CH52" i="20"/>
  <c r="CG52" i="20"/>
  <c r="CF52" i="20"/>
  <c r="CE52" i="20"/>
  <c r="CD52" i="20"/>
  <c r="CC52" i="20"/>
  <c r="CB52" i="20"/>
  <c r="V52" i="20"/>
  <c r="I52" i="20"/>
  <c r="F52" i="20" a="1"/>
  <c r="F52" i="20" s="1"/>
  <c r="FN51" i="20"/>
  <c r="CP51" i="20" a="1"/>
  <c r="CP51" i="20" s="1"/>
  <c r="CO51" i="20" a="1"/>
  <c r="CO51" i="20" s="1"/>
  <c r="CI51" i="20"/>
  <c r="CH51" i="20"/>
  <c r="CG51" i="20"/>
  <c r="CG53" i="20" s="1"/>
  <c r="CG17" i="30" s="1"/>
  <c r="CF51" i="20"/>
  <c r="CE51" i="20"/>
  <c r="CD51" i="20"/>
  <c r="CC51" i="20"/>
  <c r="CB51" i="20"/>
  <c r="V51" i="20"/>
  <c r="I51" i="20"/>
  <c r="F51" i="20" a="1"/>
  <c r="F51" i="20" s="1"/>
  <c r="FN50" i="20"/>
  <c r="CP50" i="20" a="1"/>
  <c r="CP50" i="20"/>
  <c r="CO50" i="20" a="1"/>
  <c r="CO50" i="20" s="1"/>
  <c r="CI50" i="20"/>
  <c r="CI53" i="20" s="1"/>
  <c r="CH50" i="20"/>
  <c r="CG50" i="20"/>
  <c r="CF50" i="20"/>
  <c r="CE50" i="20"/>
  <c r="CE53" i="20" s="1"/>
  <c r="CE17" i="30" s="1"/>
  <c r="CD50" i="20"/>
  <c r="CD53" i="20" s="1"/>
  <c r="CD17" i="30" s="1"/>
  <c r="CC50" i="20"/>
  <c r="CC53" i="20" s="1"/>
  <c r="CB50" i="20"/>
  <c r="V50" i="20"/>
  <c r="V53" i="20" s="1"/>
  <c r="I50" i="20"/>
  <c r="F50" i="20" a="1"/>
  <c r="F50" i="20" s="1"/>
  <c r="FN49" i="20"/>
  <c r="FN48" i="20"/>
  <c r="FN47" i="20"/>
  <c r="DB47" i="20"/>
  <c r="CT47" i="20" s="1"/>
  <c r="CP47" i="20" a="1"/>
  <c r="CP47" i="20" s="1"/>
  <c r="CO47" i="20" a="1"/>
  <c r="CO47" i="20"/>
  <c r="CI47" i="20"/>
  <c r="CH47" i="20"/>
  <c r="DO47" i="20" s="1"/>
  <c r="CG47" i="20"/>
  <c r="CF47" i="20"/>
  <c r="DM47" i="20" s="1"/>
  <c r="CE47" i="20"/>
  <c r="CD47" i="20"/>
  <c r="CC47" i="20"/>
  <c r="CB47" i="20"/>
  <c r="DI47" i="20" s="1"/>
  <c r="BX47" i="20"/>
  <c r="V47" i="20"/>
  <c r="I47" i="20"/>
  <c r="F47" i="20" a="1"/>
  <c r="F47" i="20" s="1"/>
  <c r="FN46" i="20"/>
  <c r="CH46" i="20"/>
  <c r="CH16" i="30" s="1"/>
  <c r="CB46" i="20"/>
  <c r="CB16" i="30" s="1"/>
  <c r="Y46" i="20"/>
  <c r="X46" i="20"/>
  <c r="W46" i="20"/>
  <c r="FN45" i="20"/>
  <c r="DB45" i="20"/>
  <c r="CT45" i="20" s="1"/>
  <c r="CP45" i="20" a="1"/>
  <c r="CP45" i="20" s="1"/>
  <c r="CO45" i="20" a="1"/>
  <c r="CO45" i="20"/>
  <c r="CN45" i="20"/>
  <c r="CI45" i="20"/>
  <c r="CH45" i="20"/>
  <c r="CG45" i="20"/>
  <c r="CF45" i="20"/>
  <c r="CE45" i="20"/>
  <c r="CD45" i="20"/>
  <c r="CC45" i="20"/>
  <c r="CB45" i="20"/>
  <c r="BX45" i="20"/>
  <c r="V45" i="20"/>
  <c r="I45" i="20"/>
  <c r="F45" i="20" a="1"/>
  <c r="F45" i="20" s="1"/>
  <c r="FN44" i="20"/>
  <c r="CP44" i="20" a="1"/>
  <c r="CP44" i="20" s="1"/>
  <c r="CO44" i="20" a="1"/>
  <c r="CO44" i="20" s="1"/>
  <c r="CI44" i="20"/>
  <c r="CH44" i="20"/>
  <c r="CG44" i="20"/>
  <c r="CF44" i="20"/>
  <c r="CE44" i="20"/>
  <c r="CD44" i="20"/>
  <c r="CC44" i="20"/>
  <c r="CB44" i="20"/>
  <c r="V44" i="20"/>
  <c r="I44" i="20"/>
  <c r="F44" i="20" a="1"/>
  <c r="F44" i="20" s="1"/>
  <c r="FN43" i="20"/>
  <c r="CP43" i="20" a="1"/>
  <c r="CP43" i="20"/>
  <c r="CO43" i="20" a="1"/>
  <c r="CO43" i="20" s="1"/>
  <c r="CI43" i="20"/>
  <c r="CH43" i="20"/>
  <c r="CG43" i="20"/>
  <c r="CG46" i="20" s="1"/>
  <c r="CG16" i="30" s="1"/>
  <c r="CF43" i="20"/>
  <c r="CE43" i="20"/>
  <c r="CD43" i="20"/>
  <c r="CC43" i="20"/>
  <c r="CB43" i="20"/>
  <c r="V43" i="20"/>
  <c r="I43" i="20"/>
  <c r="F43" i="20" a="1"/>
  <c r="F43" i="20" s="1"/>
  <c r="FN42" i="20"/>
  <c r="CW42" i="20"/>
  <c r="CP42" i="20" a="1"/>
  <c r="CP42" i="20"/>
  <c r="CO42" i="20" a="1"/>
  <c r="CO42" i="20"/>
  <c r="CI42" i="20"/>
  <c r="CI46" i="20" s="1"/>
  <c r="CI16" i="30" s="1"/>
  <c r="CH42" i="20"/>
  <c r="CG42" i="20"/>
  <c r="CF42" i="20"/>
  <c r="CF46" i="20" s="1"/>
  <c r="CF16" i="30" s="1"/>
  <c r="CE42" i="20"/>
  <c r="CE46" i="20" s="1"/>
  <c r="CD42" i="20"/>
  <c r="CD46" i="20" s="1"/>
  <c r="CC42" i="20"/>
  <c r="CC46" i="20" s="1"/>
  <c r="CC16" i="30" s="1"/>
  <c r="CB42" i="20"/>
  <c r="V42" i="20"/>
  <c r="I42" i="20"/>
  <c r="F42" i="20" a="1"/>
  <c r="F42" i="20" s="1"/>
  <c r="FN41" i="20"/>
  <c r="FN40" i="20"/>
  <c r="FN39" i="20"/>
  <c r="DB39" i="20"/>
  <c r="CT39" i="20" s="1"/>
  <c r="CP39" i="20" a="1"/>
  <c r="CP39" i="20" s="1"/>
  <c r="CO39" i="20" a="1"/>
  <c r="CO39" i="20"/>
  <c r="CI39" i="20"/>
  <c r="DP39" i="20" s="1"/>
  <c r="CH39" i="20"/>
  <c r="CG39" i="20"/>
  <c r="CF39" i="20"/>
  <c r="CE39" i="20"/>
  <c r="CD39" i="20"/>
  <c r="CC39" i="20"/>
  <c r="CB39" i="20"/>
  <c r="BX39" i="20"/>
  <c r="V39" i="20"/>
  <c r="I39" i="20"/>
  <c r="F39" i="20" a="1"/>
  <c r="F39" i="20" s="1"/>
  <c r="FN38" i="20"/>
  <c r="Y38" i="20"/>
  <c r="X38" i="20"/>
  <c r="W38" i="20"/>
  <c r="FN37" i="20"/>
  <c r="DB37" i="20"/>
  <c r="CT37" i="20" s="1"/>
  <c r="CP37" i="20" a="1"/>
  <c r="CP37" i="20" s="1"/>
  <c r="CO37" i="20" a="1"/>
  <c r="CO37" i="20"/>
  <c r="CI37" i="20"/>
  <c r="CH37" i="20"/>
  <c r="CG37" i="20"/>
  <c r="CF37" i="20"/>
  <c r="CE37" i="20"/>
  <c r="CD37" i="20"/>
  <c r="CC37" i="20"/>
  <c r="CB37" i="20"/>
  <c r="BX37" i="20"/>
  <c r="V37" i="20"/>
  <c r="I37" i="20"/>
  <c r="F37" i="20" a="1"/>
  <c r="F37" i="20" s="1"/>
  <c r="FN36" i="20"/>
  <c r="CP36" i="20" a="1"/>
  <c r="CP36" i="20" s="1"/>
  <c r="CO36" i="20" a="1"/>
  <c r="CO36" i="20" s="1"/>
  <c r="CI36" i="20"/>
  <c r="CH36" i="20"/>
  <c r="CH24" i="32" s="1"/>
  <c r="CG36" i="20"/>
  <c r="CG24" i="32" s="1"/>
  <c r="CF36" i="20"/>
  <c r="CE36" i="20"/>
  <c r="CE24" i="32" s="1"/>
  <c r="CD36" i="20"/>
  <c r="CC36" i="20"/>
  <c r="CB36" i="20"/>
  <c r="V36" i="20"/>
  <c r="I36" i="20"/>
  <c r="F36" i="20" a="1"/>
  <c r="F36" i="20" s="1"/>
  <c r="FN35" i="20"/>
  <c r="CP35" i="20" a="1"/>
  <c r="CP35" i="20"/>
  <c r="CO35" i="20" a="1"/>
  <c r="CO35" i="20" s="1"/>
  <c r="CI35" i="20"/>
  <c r="CH35" i="20"/>
  <c r="CG35" i="20"/>
  <c r="CF35" i="20"/>
  <c r="CE35" i="20"/>
  <c r="CD35" i="20"/>
  <c r="CC35" i="20"/>
  <c r="CB35" i="20"/>
  <c r="V35" i="20"/>
  <c r="BX35" i="20" s="1"/>
  <c r="I35" i="20"/>
  <c r="F35" i="20" a="1"/>
  <c r="F35" i="20" s="1"/>
  <c r="FN34" i="20"/>
  <c r="CX34" i="20"/>
  <c r="CP34" i="20" a="1"/>
  <c r="CP34" i="20"/>
  <c r="CO34" i="20" a="1"/>
  <c r="CO34" i="20"/>
  <c r="CI34" i="20"/>
  <c r="CH34" i="20"/>
  <c r="CG34" i="20"/>
  <c r="CF34" i="20"/>
  <c r="CE34" i="20"/>
  <c r="CD34" i="20"/>
  <c r="CD38" i="20" s="1"/>
  <c r="CC34" i="20"/>
  <c r="CB34" i="20"/>
  <c r="V34" i="20"/>
  <c r="I34" i="20"/>
  <c r="F34" i="20" a="1"/>
  <c r="F34" i="20" s="1"/>
  <c r="FN33" i="20"/>
  <c r="DB33" i="20"/>
  <c r="CT33" i="20" s="1"/>
  <c r="CP33" i="20" a="1"/>
  <c r="CP33" i="20" s="1"/>
  <c r="CO33" i="20" a="1"/>
  <c r="CO33" i="20"/>
  <c r="CI33" i="20"/>
  <c r="CI38" i="20" s="1"/>
  <c r="CI15" i="30" s="1"/>
  <c r="CH33" i="20"/>
  <c r="CG33" i="20"/>
  <c r="CG38" i="20" s="1"/>
  <c r="CG15" i="30" s="1"/>
  <c r="CF33" i="20"/>
  <c r="CF38" i="20" s="1"/>
  <c r="CF15" i="30" s="1"/>
  <c r="CE33" i="20"/>
  <c r="CD33" i="20"/>
  <c r="CC33" i="20"/>
  <c r="CC38" i="20" s="1"/>
  <c r="CB33" i="20"/>
  <c r="CB38" i="20" s="1"/>
  <c r="CB15" i="30" s="1"/>
  <c r="BX33" i="20"/>
  <c r="V33" i="20"/>
  <c r="I33" i="20"/>
  <c r="F33" i="20" a="1"/>
  <c r="F33" i="20" s="1"/>
  <c r="FN32" i="20"/>
  <c r="FN31" i="20"/>
  <c r="FN30" i="20"/>
  <c r="CP30" i="20" a="1"/>
  <c r="CP30" i="20" s="1"/>
  <c r="CO30" i="20" a="1"/>
  <c r="CO30" i="20" s="1"/>
  <c r="CI30" i="20"/>
  <c r="CH30" i="20"/>
  <c r="CG30" i="20"/>
  <c r="CF30" i="20"/>
  <c r="CE30" i="20"/>
  <c r="DL30" i="20" s="1"/>
  <c r="CD30" i="20"/>
  <c r="CC30" i="20"/>
  <c r="CB30" i="20"/>
  <c r="V30" i="20"/>
  <c r="I30" i="20"/>
  <c r="F30" i="20" a="1"/>
  <c r="F30" i="20" s="1"/>
  <c r="FN29" i="20"/>
  <c r="CX29" i="20"/>
  <c r="CI29" i="20"/>
  <c r="CI14" i="30" s="1"/>
  <c r="CF29" i="20"/>
  <c r="CF14" i="30" s="1"/>
  <c r="CB29" i="20"/>
  <c r="CB14" i="30" s="1"/>
  <c r="Y29" i="20"/>
  <c r="X29" i="20"/>
  <c r="W29" i="20"/>
  <c r="FN28" i="20"/>
  <c r="CP28" i="20" a="1"/>
  <c r="CP28" i="20" s="1"/>
  <c r="CO28" i="20" a="1"/>
  <c r="CO28" i="20" s="1"/>
  <c r="CI28" i="20"/>
  <c r="CH28" i="20"/>
  <c r="CH29" i="20" s="1"/>
  <c r="CH14" i="30" s="1"/>
  <c r="CG28" i="20"/>
  <c r="CF28" i="20"/>
  <c r="CE28" i="20"/>
  <c r="CD28" i="20"/>
  <c r="CC28" i="20"/>
  <c r="CB28" i="20"/>
  <c r="V28" i="20"/>
  <c r="I28" i="20"/>
  <c r="F28" i="20" a="1"/>
  <c r="F28" i="20" s="1"/>
  <c r="FN27" i="20"/>
  <c r="CX27" i="20"/>
  <c r="CP27" i="20" a="1"/>
  <c r="CP27" i="20"/>
  <c r="CO27" i="20" a="1"/>
  <c r="CO27" i="20" s="1"/>
  <c r="CI27" i="20"/>
  <c r="CH27" i="20"/>
  <c r="CG27" i="20"/>
  <c r="CF27" i="20"/>
  <c r="CE27" i="20"/>
  <c r="CE29" i="20" s="1"/>
  <c r="CE14" i="30" s="1"/>
  <c r="CD27" i="20"/>
  <c r="CD29" i="20" s="1"/>
  <c r="CC27" i="20"/>
  <c r="CC29" i="20" s="1"/>
  <c r="CC14" i="30" s="1"/>
  <c r="CB27" i="20"/>
  <c r="V27" i="20"/>
  <c r="V29" i="20" s="1"/>
  <c r="I27" i="20"/>
  <c r="F27" i="20" a="1"/>
  <c r="F27" i="20" s="1"/>
  <c r="FN26" i="20"/>
  <c r="FN25" i="20"/>
  <c r="FN24" i="20"/>
  <c r="CP24" i="20" a="1"/>
  <c r="CP24" i="20"/>
  <c r="CO24" i="20" a="1"/>
  <c r="CO24" i="20" s="1"/>
  <c r="CI24" i="20"/>
  <c r="CH24" i="20"/>
  <c r="CG24" i="20"/>
  <c r="CF24" i="20"/>
  <c r="CE24" i="20"/>
  <c r="DL24" i="20" s="1"/>
  <c r="CD24" i="20"/>
  <c r="DK24" i="20" s="1"/>
  <c r="CC24" i="20"/>
  <c r="CB24" i="20"/>
  <c r="V24" i="20"/>
  <c r="I24" i="20"/>
  <c r="F24" i="20" a="1"/>
  <c r="F24" i="20" s="1"/>
  <c r="FN23" i="20"/>
  <c r="CD23" i="20"/>
  <c r="CB23" i="20"/>
  <c r="Y23" i="20"/>
  <c r="X23" i="20"/>
  <c r="W23" i="20"/>
  <c r="V23" i="20"/>
  <c r="FN22" i="20"/>
  <c r="CV22" i="20"/>
  <c r="CP22" i="20" a="1"/>
  <c r="CP22" i="20"/>
  <c r="CO22" i="20" a="1"/>
  <c r="CO22" i="20" s="1"/>
  <c r="CI22" i="20"/>
  <c r="CH22" i="20"/>
  <c r="CG22" i="20"/>
  <c r="CF22" i="20"/>
  <c r="CE22" i="20"/>
  <c r="CD22" i="20"/>
  <c r="CC22" i="20"/>
  <c r="CB22" i="20"/>
  <c r="V22" i="20"/>
  <c r="I22" i="20"/>
  <c r="F22" i="20" a="1"/>
  <c r="F22" i="20" s="1"/>
  <c r="FN21" i="20"/>
  <c r="DB21" i="20"/>
  <c r="CT21" i="20" s="1"/>
  <c r="CP21" i="20" a="1"/>
  <c r="CP21" i="20" s="1"/>
  <c r="CO21" i="20" a="1"/>
  <c r="CO21" i="20"/>
  <c r="CI21" i="20"/>
  <c r="CH21" i="20"/>
  <c r="CG21" i="20"/>
  <c r="CF21" i="20"/>
  <c r="CE21" i="20"/>
  <c r="CD21" i="20"/>
  <c r="CC21" i="20"/>
  <c r="CB21" i="20"/>
  <c r="BX21" i="20"/>
  <c r="V21" i="20"/>
  <c r="I21" i="20"/>
  <c r="F21" i="20" a="1"/>
  <c r="F21" i="20" s="1"/>
  <c r="FN20" i="20"/>
  <c r="CP20" i="20" a="1"/>
  <c r="CP20" i="20" s="1"/>
  <c r="CO20" i="20" a="1"/>
  <c r="CO20" i="20" s="1"/>
  <c r="CI20" i="20"/>
  <c r="CH20" i="20"/>
  <c r="CG20" i="20"/>
  <c r="CF20" i="20"/>
  <c r="CE20" i="20"/>
  <c r="CD20" i="20"/>
  <c r="CC20" i="20"/>
  <c r="CB20" i="20"/>
  <c r="V20" i="20"/>
  <c r="I20" i="20"/>
  <c r="F20" i="20" a="1"/>
  <c r="F20" i="20" s="1"/>
  <c r="FN19" i="20"/>
  <c r="CP19" i="20" a="1"/>
  <c r="CP19" i="20" s="1"/>
  <c r="CO19" i="20" a="1"/>
  <c r="CO19" i="20" s="1"/>
  <c r="CI19" i="20"/>
  <c r="CH19" i="20"/>
  <c r="CG19" i="20"/>
  <c r="CF19" i="20"/>
  <c r="CF23" i="20" s="1"/>
  <c r="DM24" i="20" s="1"/>
  <c r="CE19" i="20"/>
  <c r="CD19" i="20"/>
  <c r="CC19" i="20"/>
  <c r="CB19" i="20"/>
  <c r="BX19" i="20"/>
  <c r="V19" i="20"/>
  <c r="I19" i="20"/>
  <c r="F19" i="20" a="1"/>
  <c r="F19" i="20" s="1"/>
  <c r="FN18" i="20"/>
  <c r="CP18" i="20" a="1"/>
  <c r="CP18" i="20"/>
  <c r="CO18" i="20" a="1"/>
  <c r="CO18" i="20"/>
  <c r="CI18" i="20"/>
  <c r="CH18" i="20"/>
  <c r="CG18" i="20"/>
  <c r="CF18" i="20"/>
  <c r="CE18" i="20"/>
  <c r="CE23" i="20" s="1"/>
  <c r="CD18" i="20"/>
  <c r="CC18" i="20"/>
  <c r="CB18" i="20"/>
  <c r="V18" i="20"/>
  <c r="I18" i="20"/>
  <c r="F18" i="20" a="1"/>
  <c r="F18" i="20" s="1"/>
  <c r="FN17" i="20"/>
  <c r="DB17" i="20"/>
  <c r="CT17" i="20" s="1"/>
  <c r="CP17" i="20" a="1"/>
  <c r="CP17" i="20" s="1"/>
  <c r="CO17" i="20" a="1"/>
  <c r="CO17" i="20"/>
  <c r="CI17" i="20"/>
  <c r="CH17" i="20"/>
  <c r="CG17" i="20"/>
  <c r="CG23" i="20" s="1"/>
  <c r="DN24" i="20" s="1"/>
  <c r="CF17" i="20"/>
  <c r="CE17" i="20"/>
  <c r="CD17" i="20"/>
  <c r="CC17" i="20"/>
  <c r="CB17" i="20"/>
  <c r="BX17" i="20"/>
  <c r="V17" i="20"/>
  <c r="I17" i="20"/>
  <c r="F17" i="20" a="1"/>
  <c r="F17" i="20" s="1"/>
  <c r="FN16" i="20"/>
  <c r="FN15" i="20"/>
  <c r="FN14" i="20"/>
  <c r="DI14" i="20"/>
  <c r="CW14" i="20"/>
  <c r="CP14" i="20" a="1"/>
  <c r="CP14" i="20" s="1"/>
  <c r="CO14" i="20" a="1"/>
  <c r="CO14" i="20" s="1"/>
  <c r="CI14" i="20"/>
  <c r="CH14" i="20"/>
  <c r="CG14" i="20"/>
  <c r="CG25" i="30" s="1"/>
  <c r="CF14" i="20"/>
  <c r="CF25" i="30" s="1"/>
  <c r="CE14" i="20"/>
  <c r="CD14" i="20"/>
  <c r="DK14" i="20" s="1"/>
  <c r="CC14" i="20"/>
  <c r="CB14" i="20"/>
  <c r="V14" i="20"/>
  <c r="I14" i="20"/>
  <c r="F14" i="20" a="1"/>
  <c r="F14" i="20" s="1"/>
  <c r="FN13" i="20"/>
  <c r="CI13" i="20"/>
  <c r="CF13" i="20"/>
  <c r="CB13" i="20"/>
  <c r="Y13" i="20"/>
  <c r="X13" i="20"/>
  <c r="W13" i="20"/>
  <c r="FN12" i="20"/>
  <c r="CP12" i="20" a="1"/>
  <c r="CP12" i="20" s="1"/>
  <c r="CO12" i="20" a="1"/>
  <c r="CO12" i="20" s="1"/>
  <c r="CI12" i="20"/>
  <c r="CH12" i="20"/>
  <c r="CH13" i="20" s="1"/>
  <c r="CG12" i="20"/>
  <c r="CF12" i="20"/>
  <c r="CE12" i="20"/>
  <c r="CD12" i="20"/>
  <c r="CC12" i="20"/>
  <c r="CB12" i="20"/>
  <c r="V12" i="20"/>
  <c r="I12" i="20"/>
  <c r="F12" i="20" a="1"/>
  <c r="F12" i="20" s="1"/>
  <c r="FN11" i="20"/>
  <c r="CP11" i="20" a="1"/>
  <c r="CP11" i="20" s="1"/>
  <c r="CO11" i="20" a="1"/>
  <c r="CO11" i="20" s="1"/>
  <c r="CN11" i="20"/>
  <c r="CI11" i="20"/>
  <c r="CH11" i="20"/>
  <c r="CG11" i="20"/>
  <c r="CF11" i="20"/>
  <c r="CE11" i="20"/>
  <c r="CE13" i="20" s="1"/>
  <c r="CD11" i="20"/>
  <c r="CD13" i="20" s="1"/>
  <c r="CC11" i="20"/>
  <c r="CC13" i="20" s="1"/>
  <c r="DJ14" i="20" s="1"/>
  <c r="CB11" i="20"/>
  <c r="V11" i="20"/>
  <c r="V13" i="20" s="1"/>
  <c r="I11" i="20"/>
  <c r="F11" i="20" a="1"/>
  <c r="F11" i="20" s="1"/>
  <c r="FN10" i="20"/>
  <c r="FN9" i="20"/>
  <c r="FN8" i="20"/>
  <c r="G7" i="20"/>
  <c r="CX96" i="20" s="1"/>
  <c r="BX6" i="20" a="1"/>
  <c r="BX6" i="20" s="1"/>
  <c r="V6" i="20" a="1"/>
  <c r="V6" i="20" s="1"/>
  <c r="A6" i="20" a="1"/>
  <c r="A6" i="20" s="1"/>
  <c r="D5" i="20"/>
  <c r="B5" i="20" a="1"/>
  <c r="B5" i="20" s="1"/>
  <c r="D4" i="20"/>
  <c r="B4" i="20" a="1"/>
  <c r="B4" i="20" s="1"/>
  <c r="D3" i="20"/>
  <c r="B3" i="20" a="1"/>
  <c r="B3" i="20" s="1"/>
  <c r="A3" i="20" a="1"/>
  <c r="CX14" i="20" l="1"/>
  <c r="CN34" i="20"/>
  <c r="CX36" i="20"/>
  <c r="CN17" i="20"/>
  <c r="CN21" i="20"/>
  <c r="CV23" i="20"/>
  <c r="CX35" i="20"/>
  <c r="CV43" i="20"/>
  <c r="CV24" i="20"/>
  <c r="CN27" i="20"/>
  <c r="CV37" i="20"/>
  <c r="CW50" i="20"/>
  <c r="CW12" i="20"/>
  <c r="CX13" i="20"/>
  <c r="CV14" i="20"/>
  <c r="CN24" i="20"/>
  <c r="CV27" i="20"/>
  <c r="CX28" i="20"/>
  <c r="CV29" i="20"/>
  <c r="CW30" i="20"/>
  <c r="CN33" i="20"/>
  <c r="CW34" i="20"/>
  <c r="CN37" i="20"/>
  <c r="CN39" i="20"/>
  <c r="CV42" i="20"/>
  <c r="CX42" i="20"/>
  <c r="CX22" i="20"/>
  <c r="CX44" i="20"/>
  <c r="CN22" i="20"/>
  <c r="CX46" i="20"/>
  <c r="CX50" i="20"/>
  <c r="CV51" i="20"/>
  <c r="CV53" i="20"/>
  <c r="CX11" i="20"/>
  <c r="CX12" i="20"/>
  <c r="CV13" i="20"/>
  <c r="CX19" i="20"/>
  <c r="CN35" i="20"/>
  <c r="CX51" i="20"/>
  <c r="CX53" i="20"/>
  <c r="CN19" i="20"/>
  <c r="CW22" i="20"/>
  <c r="CV35" i="20"/>
  <c r="CX38" i="20"/>
  <c r="CN51" i="20"/>
  <c r="CN42" i="20"/>
  <c r="CN47" i="20"/>
  <c r="CV50" i="20"/>
  <c r="CV11" i="20"/>
  <c r="CV33" i="20"/>
  <c r="CX43" i="20"/>
  <c r="CW11" i="20"/>
  <c r="CN18" i="20"/>
  <c r="CV19" i="20"/>
  <c r="CX20" i="20"/>
  <c r="CW24" i="20"/>
  <c r="CV45" i="20"/>
  <c r="CX52" i="20"/>
  <c r="CW13" i="20"/>
  <c r="CV17" i="20"/>
  <c r="CV21" i="20"/>
  <c r="CV34" i="20"/>
  <c r="CN43" i="20"/>
  <c r="CN50" i="20"/>
  <c r="CH13" i="30"/>
  <c r="CC15" i="30"/>
  <c r="DJ39" i="20"/>
  <c r="CE13" i="30"/>
  <c r="BX24" i="20"/>
  <c r="DB24" i="20" s="1"/>
  <c r="CT24" i="20" s="1"/>
  <c r="CG13" i="20"/>
  <c r="CH25" i="30"/>
  <c r="DO14" i="20"/>
  <c r="CH23" i="20"/>
  <c r="BX11" i="20"/>
  <c r="BX13" i="20" s="1"/>
  <c r="DB13" i="20" s="1"/>
  <c r="CT13" i="20" s="1"/>
  <c r="BX12" i="20"/>
  <c r="DB12" i="20"/>
  <c r="CT12" i="20" s="1"/>
  <c r="CI25" i="30"/>
  <c r="DP14" i="20"/>
  <c r="CI23" i="20"/>
  <c r="DB19" i="20"/>
  <c r="CT19" i="20" s="1"/>
  <c r="BX30" i="20"/>
  <c r="DM39" i="20"/>
  <c r="DP47" i="20"/>
  <c r="BX14" i="20"/>
  <c r="BX18" i="20"/>
  <c r="DO24" i="20"/>
  <c r="CG29" i="20"/>
  <c r="CG14" i="30" s="1"/>
  <c r="BX28" i="20"/>
  <c r="DB28" i="20" s="1"/>
  <c r="CT28" i="20" s="1"/>
  <c r="DB36" i="20"/>
  <c r="CT36" i="20" s="1"/>
  <c r="BX36" i="20"/>
  <c r="DN39" i="20"/>
  <c r="BX44" i="20"/>
  <c r="DB44" i="20" s="1"/>
  <c r="CT44" i="20" s="1"/>
  <c r="DN54" i="20"/>
  <c r="DI61" i="20"/>
  <c r="CH22" i="30"/>
  <c r="CH175" i="20"/>
  <c r="CB13" i="30"/>
  <c r="CC23" i="20"/>
  <c r="CC13" i="30" s="1"/>
  <c r="BX22" i="20"/>
  <c r="DB22" i="20" s="1"/>
  <c r="CT22" i="20" s="1"/>
  <c r="DP24" i="20"/>
  <c r="BX27" i="20"/>
  <c r="DI30" i="20"/>
  <c r="CH38" i="20"/>
  <c r="CH15" i="30" s="1"/>
  <c r="DO39" i="20"/>
  <c r="DJ47" i="20"/>
  <c r="DJ61" i="20"/>
  <c r="BX22" i="30"/>
  <c r="V22" i="30" s="1"/>
  <c r="BX175" i="20"/>
  <c r="CF13" i="30"/>
  <c r="DI24" i="20"/>
  <c r="DJ30" i="20"/>
  <c r="BX43" i="20"/>
  <c r="DB43" i="20" s="1"/>
  <c r="CT43" i="20" s="1"/>
  <c r="DK61" i="20"/>
  <c r="CB22" i="30"/>
  <c r="CB175" i="20"/>
  <c r="CD13" i="30"/>
  <c r="CE25" i="30"/>
  <c r="DL14" i="20"/>
  <c r="BX20" i="20"/>
  <c r="DB20" i="20" s="1"/>
  <c r="CT20" i="20" s="1"/>
  <c r="DM30" i="20"/>
  <c r="DI39" i="20"/>
  <c r="CI17" i="30"/>
  <c r="DP54" i="20"/>
  <c r="DB27" i="20"/>
  <c r="CT27" i="20" s="1"/>
  <c r="DP30" i="20"/>
  <c r="DB35" i="20"/>
  <c r="CT35" i="20" s="1"/>
  <c r="CD16" i="30"/>
  <c r="DK47" i="20"/>
  <c r="CD22" i="30"/>
  <c r="CD175" i="20"/>
  <c r="CI13" i="30"/>
  <c r="CD14" i="30"/>
  <c r="DK30" i="20"/>
  <c r="DO30" i="20"/>
  <c r="V38" i="20"/>
  <c r="BX34" i="20"/>
  <c r="DB34" i="20" s="1"/>
  <c r="CT34" i="20" s="1"/>
  <c r="CD15" i="30"/>
  <c r="DK39" i="20"/>
  <c r="CE16" i="30"/>
  <c r="DL47" i="20"/>
  <c r="DN47" i="20"/>
  <c r="CC17" i="30"/>
  <c r="DJ54" i="20"/>
  <c r="DK54" i="20"/>
  <c r="CE18" i="30"/>
  <c r="DL61" i="20"/>
  <c r="DN61" i="20"/>
  <c r="CE38" i="20"/>
  <c r="V46" i="20"/>
  <c r="DL54" i="20"/>
  <c r="CF18" i="30"/>
  <c r="DM61" i="20"/>
  <c r="CF22" i="30"/>
  <c r="CF175" i="20"/>
  <c r="DB61" i="20"/>
  <c r="CT61" i="20" s="1"/>
  <c r="DP61" i="20"/>
  <c r="CW19" i="20"/>
  <c r="CW27" i="20"/>
  <c r="CW29" i="20"/>
  <c r="CX30" i="20"/>
  <c r="CW35" i="20"/>
  <c r="CF24" i="32"/>
  <c r="CW43" i="20"/>
  <c r="CW51" i="20"/>
  <c r="BX52" i="20"/>
  <c r="DB52" i="20" s="1"/>
  <c r="CT52" i="20" s="1"/>
  <c r="CW53" i="20"/>
  <c r="BX54" i="20"/>
  <c r="DB54" i="20" s="1"/>
  <c r="CT54" i="20" s="1"/>
  <c r="CX54" i="20"/>
  <c r="CW58" i="20"/>
  <c r="CW64" i="20"/>
  <c r="BX65" i="20"/>
  <c r="CW68" i="20"/>
  <c r="BX69" i="20"/>
  <c r="CW72" i="20"/>
  <c r="BX73" i="20"/>
  <c r="CW74" i="20"/>
  <c r="CW77" i="20"/>
  <c r="BX78" i="20"/>
  <c r="CW81" i="20"/>
  <c r="BX82" i="20"/>
  <c r="CW95" i="20"/>
  <c r="CE22" i="30"/>
  <c r="CE175" i="20"/>
  <c r="CN98" i="20"/>
  <c r="CV98" i="20"/>
  <c r="AP449" i="9"/>
  <c r="AP232" i="9"/>
  <c r="AP448" i="9"/>
  <c r="AP213" i="9"/>
  <c r="BH127" i="30"/>
  <c r="BI206" i="6"/>
  <c r="BI217" i="6" s="1"/>
  <c r="AO1006" i="9"/>
  <c r="AO515" i="9"/>
  <c r="AP171" i="9"/>
  <c r="AO177" i="9"/>
  <c r="BG130" i="30"/>
  <c r="BH239" i="6"/>
  <c r="BH242" i="6" s="1"/>
  <c r="AP408" i="9"/>
  <c r="AO619" i="9"/>
  <c r="AO901" i="9" s="1"/>
  <c r="AP545" i="9"/>
  <c r="AP316" i="9"/>
  <c r="CX58" i="20"/>
  <c r="CX64" i="20"/>
  <c r="CN67" i="20"/>
  <c r="CV67" i="20"/>
  <c r="CX68" i="20"/>
  <c r="CN71" i="20"/>
  <c r="CV71" i="20"/>
  <c r="CX72" i="20"/>
  <c r="CX74" i="20"/>
  <c r="CX77" i="20"/>
  <c r="CN80" i="20"/>
  <c r="CV80" i="20"/>
  <c r="CX81" i="20"/>
  <c r="CN84" i="20"/>
  <c r="CV84" i="20"/>
  <c r="DB88" i="20"/>
  <c r="CT88" i="20" s="1"/>
  <c r="CN89" i="20"/>
  <c r="CV89" i="20"/>
  <c r="DB93" i="20"/>
  <c r="CT93" i="20" s="1"/>
  <c r="CN94" i="20"/>
  <c r="CV94" i="20"/>
  <c r="CX95" i="20"/>
  <c r="V96" i="20"/>
  <c r="CV96" i="20"/>
  <c r="CW98" i="20"/>
  <c r="AO1002" i="9"/>
  <c r="AO511" i="9"/>
  <c r="AO101" i="9"/>
  <c r="AP95" i="9"/>
  <c r="BB179" i="6"/>
  <c r="BB101" i="30" s="1"/>
  <c r="BC293" i="26"/>
  <c r="BC298" i="26" s="1"/>
  <c r="AP450" i="9"/>
  <c r="AP251" i="9"/>
  <c r="AP538" i="9"/>
  <c r="AP183" i="9"/>
  <c r="AO603" i="9"/>
  <c r="AO885" i="9" s="1"/>
  <c r="AP104" i="9"/>
  <c r="AP403" i="9"/>
  <c r="AP458" i="9"/>
  <c r="AZ34" i="6"/>
  <c r="AZ70" i="30" s="1"/>
  <c r="BA274" i="26"/>
  <c r="BA278" i="26" s="1"/>
  <c r="AP541" i="9"/>
  <c r="AP240" i="9"/>
  <c r="BX51" i="20"/>
  <c r="DI54" i="20"/>
  <c r="CN57" i="20"/>
  <c r="CV57" i="20"/>
  <c r="BX58" i="20"/>
  <c r="CN61" i="20"/>
  <c r="BX64" i="20"/>
  <c r="CW67" i="20"/>
  <c r="BX68" i="20"/>
  <c r="CW71" i="20"/>
  <c r="BX72" i="20"/>
  <c r="BX77" i="20"/>
  <c r="CW80" i="20"/>
  <c r="CW84" i="20"/>
  <c r="CW89" i="20"/>
  <c r="CW94" i="20"/>
  <c r="CG22" i="30"/>
  <c r="CG175" i="20"/>
  <c r="CW96" i="20"/>
  <c r="CX98" i="20"/>
  <c r="AQ459" i="9"/>
  <c r="AQ422" i="9"/>
  <c r="AP445" i="9"/>
  <c r="AP156" i="9"/>
  <c r="AP443" i="9"/>
  <c r="AP118" i="9"/>
  <c r="BA37" i="6"/>
  <c r="BA71" i="30" s="1"/>
  <c r="BB262" i="26"/>
  <c r="BB269" i="26" s="1"/>
  <c r="AO611" i="9"/>
  <c r="AO893" i="9" s="1"/>
  <c r="AP256" i="9"/>
  <c r="AZ31" i="6"/>
  <c r="AZ69" i="30" s="1"/>
  <c r="BA248" i="26"/>
  <c r="BA257" i="26" s="1"/>
  <c r="AP454" i="9"/>
  <c r="AP327" i="9"/>
  <c r="BA190" i="30"/>
  <c r="CW57" i="20"/>
  <c r="CV61" i="20"/>
  <c r="DB65" i="20"/>
  <c r="CT65" i="20" s="1"/>
  <c r="CN66" i="20"/>
  <c r="CV66" i="20"/>
  <c r="CX67" i="20"/>
  <c r="DB69" i="20"/>
  <c r="CT69" i="20" s="1"/>
  <c r="CN70" i="20"/>
  <c r="CV70" i="20"/>
  <c r="CX71" i="20"/>
  <c r="DB73" i="20"/>
  <c r="CT73" i="20" s="1"/>
  <c r="DB78" i="20"/>
  <c r="CT78" i="20" s="1"/>
  <c r="CN79" i="20"/>
  <c r="CV79" i="20"/>
  <c r="CX80" i="20"/>
  <c r="DB82" i="20"/>
  <c r="CT82" i="20" s="1"/>
  <c r="CN83" i="20"/>
  <c r="CV83" i="20"/>
  <c r="CX84" i="20"/>
  <c r="V85" i="20"/>
  <c r="CV85" i="20"/>
  <c r="CN88" i="20"/>
  <c r="CV88" i="20"/>
  <c r="CX89" i="20"/>
  <c r="V90" i="20"/>
  <c r="CV90" i="20"/>
  <c r="CN93" i="20"/>
  <c r="CV93" i="20"/>
  <c r="CX94" i="20"/>
  <c r="BX98" i="20"/>
  <c r="AO1013" i="9"/>
  <c r="AO522" i="9"/>
  <c r="AO310" i="9"/>
  <c r="AP304" i="9"/>
  <c r="AO601" i="9"/>
  <c r="AO883" i="9" s="1"/>
  <c r="AP66" i="9"/>
  <c r="AZ52" i="6"/>
  <c r="BA283" i="26"/>
  <c r="BA288" i="26" s="1"/>
  <c r="AP609" i="9"/>
  <c r="AP891" i="9" s="1"/>
  <c r="AQ218" i="9"/>
  <c r="AP551" i="9"/>
  <c r="AP430" i="9"/>
  <c r="BH158" i="6"/>
  <c r="BH121" i="30" s="1"/>
  <c r="BI142" i="6"/>
  <c r="BI155" i="6" s="1"/>
  <c r="BF135" i="30"/>
  <c r="BG251" i="6"/>
  <c r="BG253" i="6" s="1"/>
  <c r="CX179" i="20"/>
  <c r="CW176" i="20"/>
  <c r="CX180" i="20"/>
  <c r="CV179" i="20"/>
  <c r="CV176" i="20"/>
  <c r="CV174" i="20"/>
  <c r="CX174" i="20"/>
  <c r="CW174" i="20"/>
  <c r="CW180" i="20"/>
  <c r="CX170" i="20"/>
  <c r="CV170" i="20"/>
  <c r="CV180" i="20"/>
  <c r="CN180" i="20"/>
  <c r="CX178" i="20"/>
  <c r="CX177" i="20"/>
  <c r="CX175" i="20"/>
  <c r="CW177" i="20"/>
  <c r="CX181" i="20"/>
  <c r="CW178" i="20"/>
  <c r="CW175" i="20"/>
  <c r="CW179" i="20"/>
  <c r="CW181" i="20"/>
  <c r="CV178" i="20"/>
  <c r="CV177" i="20"/>
  <c r="CV175" i="20"/>
  <c r="CX176" i="20"/>
  <c r="CV181" i="20"/>
  <c r="CW170" i="20"/>
  <c r="CW169" i="20"/>
  <c r="CV169" i="20"/>
  <c r="CX169" i="20"/>
  <c r="CV168" i="20"/>
  <c r="CX168" i="20"/>
  <c r="CW168" i="20"/>
  <c r="CW164" i="20"/>
  <c r="CX163" i="20"/>
  <c r="CV162" i="20"/>
  <c r="CV164" i="20"/>
  <c r="CW163" i="20"/>
  <c r="CV163" i="20"/>
  <c r="CN163" i="20"/>
  <c r="CX161" i="20"/>
  <c r="CW161" i="20"/>
  <c r="CX166" i="20"/>
  <c r="CW166" i="20"/>
  <c r="CX162" i="20"/>
  <c r="CV161" i="20"/>
  <c r="CV166" i="20"/>
  <c r="CX164" i="20"/>
  <c r="CW162" i="20"/>
  <c r="CN162" i="20"/>
  <c r="CW160" i="20"/>
  <c r="CV160" i="20"/>
  <c r="CX160" i="20"/>
  <c r="CX159" i="20"/>
  <c r="CW159" i="20"/>
  <c r="CV159" i="20"/>
  <c r="CW156" i="20"/>
  <c r="CW154" i="20"/>
  <c r="CX153" i="20"/>
  <c r="CV153" i="20"/>
  <c r="CN153" i="20"/>
  <c r="CW153" i="20"/>
  <c r="CV156" i="20"/>
  <c r="CX154" i="20"/>
  <c r="CV154" i="20"/>
  <c r="CX156" i="20"/>
  <c r="CX152" i="20"/>
  <c r="CW152" i="20"/>
  <c r="CV152" i="20"/>
  <c r="CW151" i="20"/>
  <c r="CV151" i="20"/>
  <c r="CX151" i="20"/>
  <c r="CX150" i="20"/>
  <c r="CW150" i="20"/>
  <c r="CV150" i="20"/>
  <c r="CN150" i="20"/>
  <c r="CX149" i="20"/>
  <c r="CW149" i="20"/>
  <c r="CV149" i="20"/>
  <c r="CX146" i="20"/>
  <c r="CW146" i="20"/>
  <c r="CV144" i="20"/>
  <c r="CV146" i="20"/>
  <c r="CX144" i="20"/>
  <c r="CW144" i="20"/>
  <c r="CX143" i="20"/>
  <c r="CW143" i="20"/>
  <c r="CV143" i="20"/>
  <c r="CW139" i="20"/>
  <c r="CX137" i="20"/>
  <c r="CW137" i="20"/>
  <c r="CV137" i="20"/>
  <c r="CX136" i="20"/>
  <c r="CW136" i="20"/>
  <c r="CX141" i="20"/>
  <c r="CV136" i="20"/>
  <c r="CW141" i="20"/>
  <c r="CV141" i="20"/>
  <c r="CX139" i="20"/>
  <c r="CV139" i="20"/>
  <c r="CV129" i="20"/>
  <c r="CN129" i="20"/>
  <c r="CW126" i="20"/>
  <c r="CX127" i="20"/>
  <c r="CV126" i="20"/>
  <c r="CX135" i="20"/>
  <c r="CX132" i="20"/>
  <c r="CW130" i="20"/>
  <c r="CW127" i="20"/>
  <c r="CV127" i="20"/>
  <c r="CN127" i="20"/>
  <c r="CN135" i="20"/>
  <c r="CV132" i="20"/>
  <c r="CW131" i="20"/>
  <c r="CW128" i="20"/>
  <c r="CW135" i="20"/>
  <c r="CW132" i="20"/>
  <c r="CX131" i="20"/>
  <c r="CV130" i="20"/>
  <c r="CN130" i="20"/>
  <c r="CX128" i="20"/>
  <c r="CV135" i="20"/>
  <c r="CV131" i="20"/>
  <c r="CN131" i="20"/>
  <c r="CV128" i="20"/>
  <c r="CN128" i="20"/>
  <c r="CX129" i="20"/>
  <c r="CW129" i="20"/>
  <c r="CX126" i="20"/>
  <c r="CX130" i="20"/>
  <c r="CX125" i="20"/>
  <c r="CV124" i="20"/>
  <c r="CN124" i="20"/>
  <c r="CW123" i="20"/>
  <c r="CW119" i="20"/>
  <c r="CW125" i="20"/>
  <c r="CV123" i="20"/>
  <c r="CN123" i="20"/>
  <c r="CX120" i="20"/>
  <c r="CV119" i="20"/>
  <c r="CN119" i="20"/>
  <c r="CW120" i="20"/>
  <c r="CX117" i="20"/>
  <c r="CV125" i="20"/>
  <c r="CN125" i="20"/>
  <c r="CX121" i="20"/>
  <c r="CV120" i="20"/>
  <c r="CN120" i="20"/>
  <c r="CW121" i="20"/>
  <c r="CW117" i="20"/>
  <c r="CW114" i="20"/>
  <c r="CX122" i="20"/>
  <c r="CV121" i="20"/>
  <c r="CN121" i="20"/>
  <c r="CX118" i="20"/>
  <c r="CV117" i="20"/>
  <c r="CN117" i="20"/>
  <c r="CV114" i="20"/>
  <c r="CX114" i="20"/>
  <c r="CX124" i="20"/>
  <c r="CW122" i="20"/>
  <c r="CW118" i="20"/>
  <c r="CW124" i="20"/>
  <c r="CX123" i="20"/>
  <c r="CV122" i="20"/>
  <c r="CN122" i="20"/>
  <c r="CX119" i="20"/>
  <c r="CV118" i="20"/>
  <c r="CN118" i="20"/>
  <c r="CX113" i="20"/>
  <c r="CW109" i="20"/>
  <c r="CW105" i="20"/>
  <c r="CW102" i="20"/>
  <c r="CN105" i="20"/>
  <c r="CV106" i="20"/>
  <c r="CW113" i="20"/>
  <c r="CX110" i="20"/>
  <c r="CV109" i="20"/>
  <c r="CN109" i="20"/>
  <c r="CX106" i="20"/>
  <c r="CV105" i="20"/>
  <c r="CV102" i="20"/>
  <c r="CV113" i="20"/>
  <c r="CW110" i="20"/>
  <c r="CW106" i="20"/>
  <c r="CX100" i="20"/>
  <c r="CX107" i="20"/>
  <c r="CN106" i="20"/>
  <c r="CW100" i="20"/>
  <c r="CX111" i="20"/>
  <c r="CV110" i="20"/>
  <c r="CN110" i="20"/>
  <c r="CW111" i="20"/>
  <c r="CW107" i="20"/>
  <c r="CV100" i="20"/>
  <c r="CX99" i="20"/>
  <c r="CX112" i="20"/>
  <c r="CV111" i="20"/>
  <c r="CN111" i="20"/>
  <c r="CX108" i="20"/>
  <c r="CV107" i="20"/>
  <c r="CN107" i="20"/>
  <c r="CW99" i="20"/>
  <c r="CW112" i="20"/>
  <c r="CW108" i="20"/>
  <c r="CV99" i="20"/>
  <c r="CX105" i="20"/>
  <c r="CX102" i="20"/>
  <c r="CV112" i="20"/>
  <c r="CN112" i="20"/>
  <c r="CX109" i="20"/>
  <c r="CV108" i="20"/>
  <c r="CN108" i="20"/>
  <c r="CW21" i="20"/>
  <c r="CX24" i="20"/>
  <c r="CW33" i="20"/>
  <c r="CB24" i="32"/>
  <c r="CW37" i="20"/>
  <c r="CV39" i="20"/>
  <c r="BX42" i="20"/>
  <c r="CW45" i="20"/>
  <c r="CV47" i="20"/>
  <c r="BX50" i="20"/>
  <c r="BX53" i="20" s="1"/>
  <c r="BX17" i="30" s="1"/>
  <c r="V17" i="30" s="1"/>
  <c r="CX57" i="20"/>
  <c r="CN59" i="20"/>
  <c r="CV59" i="20"/>
  <c r="CW61" i="20"/>
  <c r="CW66" i="20"/>
  <c r="BX67" i="20"/>
  <c r="DB67" i="20" s="1"/>
  <c r="CT67" i="20" s="1"/>
  <c r="CW70" i="20"/>
  <c r="BX71" i="20"/>
  <c r="DB71" i="20" s="1"/>
  <c r="CT71" i="20" s="1"/>
  <c r="CW79" i="20"/>
  <c r="BX80" i="20"/>
  <c r="DB80" i="20" s="1"/>
  <c r="CT80" i="20" s="1"/>
  <c r="CW83" i="20"/>
  <c r="BX84" i="20"/>
  <c r="DB84" i="20" s="1"/>
  <c r="CT84" i="20" s="1"/>
  <c r="CW85" i="20"/>
  <c r="CW88" i="20"/>
  <c r="BX89" i="20"/>
  <c r="BX90" i="20" s="1"/>
  <c r="BX21" i="30" s="1"/>
  <c r="V21" i="30" s="1"/>
  <c r="CW90" i="20"/>
  <c r="CW93" i="20"/>
  <c r="CI22" i="30"/>
  <c r="CI175" i="20"/>
  <c r="AY77" i="30"/>
  <c r="AZ28" i="6"/>
  <c r="AZ68" i="30" s="1"/>
  <c r="BA234" i="26"/>
  <c r="BA243" i="26" s="1"/>
  <c r="AP535" i="9"/>
  <c r="AP126" i="9"/>
  <c r="AZ25" i="6"/>
  <c r="BA220" i="26"/>
  <c r="BA229" i="26" s="1"/>
  <c r="CI24" i="32"/>
  <c r="CB25" i="30"/>
  <c r="CW17" i="20"/>
  <c r="CW23" i="20"/>
  <c r="I7" i="20"/>
  <c r="CN12" i="20"/>
  <c r="CV12" i="20"/>
  <c r="CC25" i="30"/>
  <c r="CN14" i="20"/>
  <c r="CX17" i="20"/>
  <c r="CN20" i="20"/>
  <c r="CV20" i="20"/>
  <c r="CX21" i="20"/>
  <c r="CX23" i="20"/>
  <c r="CN28" i="20"/>
  <c r="CV28" i="20"/>
  <c r="CN30" i="20"/>
  <c r="CX33" i="20"/>
  <c r="CC24" i="32"/>
  <c r="CN36" i="20"/>
  <c r="CV36" i="20"/>
  <c r="CX37" i="20"/>
  <c r="CV38" i="20"/>
  <c r="CW39" i="20"/>
  <c r="CN44" i="20"/>
  <c r="CV44" i="20"/>
  <c r="CX45" i="20"/>
  <c r="CV46" i="20"/>
  <c r="CW47" i="20"/>
  <c r="DB51" i="20"/>
  <c r="CT51" i="20" s="1"/>
  <c r="CN52" i="20"/>
  <c r="CV52" i="20"/>
  <c r="CN54" i="20"/>
  <c r="BX57" i="20"/>
  <c r="DB58" i="20"/>
  <c r="CT58" i="20" s="1"/>
  <c r="CW59" i="20"/>
  <c r="CV60" i="20"/>
  <c r="CX61" i="20"/>
  <c r="DB64" i="20"/>
  <c r="CT64" i="20" s="1"/>
  <c r="CN65" i="20"/>
  <c r="CV65" i="20"/>
  <c r="CX66" i="20"/>
  <c r="DB68" i="20"/>
  <c r="CT68" i="20" s="1"/>
  <c r="CN69" i="20"/>
  <c r="CV69" i="20"/>
  <c r="CX70" i="20"/>
  <c r="DB72" i="20"/>
  <c r="CT72" i="20" s="1"/>
  <c r="CN73" i="20"/>
  <c r="CV73" i="20"/>
  <c r="DB77" i="20"/>
  <c r="CT77" i="20" s="1"/>
  <c r="CN78" i="20"/>
  <c r="CV78" i="20"/>
  <c r="CX79" i="20"/>
  <c r="DB81" i="20"/>
  <c r="CT81" i="20" s="1"/>
  <c r="CN82" i="20"/>
  <c r="CV82" i="20"/>
  <c r="CX83" i="20"/>
  <c r="CX85" i="20"/>
  <c r="CX88" i="20"/>
  <c r="CX90" i="20"/>
  <c r="CX93" i="20"/>
  <c r="BG128" i="30"/>
  <c r="BH220" i="6"/>
  <c r="BH226" i="6" s="1"/>
  <c r="AO608" i="9"/>
  <c r="AO890" i="9" s="1"/>
  <c r="AP199" i="9"/>
  <c r="AP548" i="9"/>
  <c r="AP373" i="9"/>
  <c r="AP549" i="9"/>
  <c r="AP392" i="9"/>
  <c r="AO616" i="9"/>
  <c r="AO898" i="9" s="1"/>
  <c r="AP351" i="9"/>
  <c r="BH129" i="30"/>
  <c r="BI229" i="6"/>
  <c r="BI236" i="6" s="1"/>
  <c r="AP384" i="9"/>
  <c r="AP457" i="9"/>
  <c r="AP456" i="9"/>
  <c r="AP365" i="9"/>
  <c r="AO1007" i="9"/>
  <c r="AO516" i="9"/>
  <c r="AO196" i="9"/>
  <c r="AP190" i="9"/>
  <c r="AO602" i="9"/>
  <c r="AO884" i="9" s="1"/>
  <c r="AP85" i="9"/>
  <c r="AY67" i="30"/>
  <c r="CD25" i="30"/>
  <c r="DM14" i="20"/>
  <c r="CW20" i="20"/>
  <c r="CW28" i="20"/>
  <c r="CV30" i="20"/>
  <c r="CD24" i="32"/>
  <c r="CW36" i="20"/>
  <c r="CW38" i="20"/>
  <c r="CX39" i="20"/>
  <c r="CW44" i="20"/>
  <c r="CW46" i="20"/>
  <c r="CX47" i="20"/>
  <c r="CW52" i="20"/>
  <c r="CV54" i="20"/>
  <c r="CX59" i="20"/>
  <c r="CW60" i="20"/>
  <c r="CW65" i="20"/>
  <c r="CW69" i="20"/>
  <c r="CW73" i="20"/>
  <c r="CW78" i="20"/>
  <c r="CW82" i="20"/>
  <c r="CC22" i="30"/>
  <c r="CC175" i="20"/>
  <c r="DB98" i="20"/>
  <c r="CT98" i="20" s="1"/>
  <c r="AO615" i="9"/>
  <c r="AO897" i="9" s="1"/>
  <c r="AP332" i="9"/>
  <c r="AP440" i="9"/>
  <c r="AP61" i="9"/>
  <c r="AP444" i="9"/>
  <c r="AP137" i="9"/>
  <c r="AO606" i="9"/>
  <c r="AO888" i="9" s="1"/>
  <c r="AP161" i="9"/>
  <c r="AO1001" i="9"/>
  <c r="AO510" i="9"/>
  <c r="AO82" i="9"/>
  <c r="AP76" i="9"/>
  <c r="AZ134" i="30"/>
  <c r="BA245" i="6"/>
  <c r="BA248" i="6" s="1"/>
  <c r="AP536" i="9"/>
  <c r="AP145" i="9"/>
  <c r="AP451" i="9"/>
  <c r="AP270" i="9"/>
  <c r="AO1015" i="9"/>
  <c r="AO524" i="9"/>
  <c r="AO348" i="9"/>
  <c r="AP342" i="9"/>
  <c r="DB50" i="20"/>
  <c r="CT50" i="20" s="1"/>
  <c r="CW54" i="20"/>
  <c r="CN58" i="20"/>
  <c r="CV58" i="20"/>
  <c r="CX60" i="20"/>
  <c r="CN64" i="20"/>
  <c r="CV64" i="20"/>
  <c r="CX65" i="20"/>
  <c r="CN68" i="20"/>
  <c r="CV68" i="20"/>
  <c r="CX69" i="20"/>
  <c r="CN72" i="20"/>
  <c r="CV72" i="20"/>
  <c r="CX73" i="20"/>
  <c r="CV74" i="20"/>
  <c r="CN77" i="20"/>
  <c r="CV77" i="20"/>
  <c r="CX78" i="20"/>
  <c r="CN81" i="20"/>
  <c r="CV81" i="20"/>
  <c r="CX82" i="20"/>
  <c r="CN95" i="20"/>
  <c r="CV95" i="20"/>
  <c r="AZ73" i="33"/>
  <c r="AP452" i="9"/>
  <c r="AP289" i="9"/>
  <c r="AO613" i="9"/>
  <c r="AO895" i="9" s="1"/>
  <c r="AP294" i="9"/>
  <c r="AP543" i="9"/>
  <c r="AP278" i="9"/>
  <c r="A3" i="20"/>
  <c r="DP2" i="20"/>
  <c r="Y2" i="20"/>
  <c r="X2" i="20"/>
  <c r="W2" i="20"/>
  <c r="V2" i="20"/>
  <c r="B2" i="20" a="1"/>
  <c r="CQ22" i="20" l="1"/>
  <c r="CQ12" i="20"/>
  <c r="CQ27" i="20"/>
  <c r="CQ72" i="20"/>
  <c r="CQ128" i="20"/>
  <c r="CQ34" i="20"/>
  <c r="CQ17" i="20"/>
  <c r="CQ139" i="20"/>
  <c r="CQ137" i="20"/>
  <c r="CQ24" i="20"/>
  <c r="CQ19" i="20"/>
  <c r="CQ38" i="20"/>
  <c r="CQ33" i="20"/>
  <c r="CQ175" i="20"/>
  <c r="CQ11" i="20"/>
  <c r="CQ58" i="20"/>
  <c r="CQ163" i="20"/>
  <c r="CQ178" i="20"/>
  <c r="CQ51" i="20"/>
  <c r="CQ53" i="20"/>
  <c r="CQ111" i="20"/>
  <c r="CQ77" i="20"/>
  <c r="CQ153" i="20"/>
  <c r="CQ28" i="20"/>
  <c r="CQ107" i="20"/>
  <c r="CQ132" i="20"/>
  <c r="CQ29" i="20"/>
  <c r="CQ14" i="20"/>
  <c r="CQ81" i="20"/>
  <c r="CQ23" i="20"/>
  <c r="CQ164" i="20"/>
  <c r="CQ42" i="20"/>
  <c r="CQ110" i="20"/>
  <c r="CQ168" i="20"/>
  <c r="CQ177" i="20"/>
  <c r="CQ21" i="20"/>
  <c r="CQ13" i="20"/>
  <c r="CQ68" i="20"/>
  <c r="CQ45" i="20"/>
  <c r="CQ43" i="20"/>
  <c r="CQ108" i="20"/>
  <c r="CQ117" i="20"/>
  <c r="CQ50" i="20"/>
  <c r="CQ120" i="20"/>
  <c r="CQ131" i="20"/>
  <c r="CQ35" i="20"/>
  <c r="CQ95" i="20"/>
  <c r="CQ74" i="20"/>
  <c r="CQ64" i="20"/>
  <c r="CQ30" i="20"/>
  <c r="CQ37" i="20"/>
  <c r="CQ160" i="20"/>
  <c r="CQ99" i="20"/>
  <c r="CQ102" i="20"/>
  <c r="CQ169" i="20"/>
  <c r="CQ151" i="20"/>
  <c r="V73" i="35"/>
  <c r="CY21" i="30"/>
  <c r="CQ21" i="30" s="1"/>
  <c r="AP441" i="9"/>
  <c r="AP80" i="9"/>
  <c r="AP1000" i="9"/>
  <c r="AP509" i="9"/>
  <c r="AP63" i="9"/>
  <c r="AQ57" i="9"/>
  <c r="BH128" i="30"/>
  <c r="BI220" i="6"/>
  <c r="BI226" i="6" s="1"/>
  <c r="CQ82" i="20"/>
  <c r="CQ60" i="20"/>
  <c r="CQ20" i="20"/>
  <c r="V70" i="35"/>
  <c r="CY17" i="30"/>
  <c r="CQ17" i="30" s="1"/>
  <c r="CQ112" i="20"/>
  <c r="CQ109" i="20"/>
  <c r="CQ118" i="20"/>
  <c r="CQ114" i="20"/>
  <c r="CQ166" i="20"/>
  <c r="CQ181" i="20"/>
  <c r="CQ174" i="20"/>
  <c r="AP453" i="9"/>
  <c r="AP308" i="9"/>
  <c r="CQ85" i="20"/>
  <c r="CQ79" i="20"/>
  <c r="BA73" i="33"/>
  <c r="BH130" i="30"/>
  <c r="BI239" i="6"/>
  <c r="BI242" i="6" s="1"/>
  <c r="BI127" i="30"/>
  <c r="BJ206" i="6"/>
  <c r="BJ217" i="6" s="1"/>
  <c r="BJ127" i="30" s="1"/>
  <c r="BX38" i="20"/>
  <c r="BX24" i="32"/>
  <c r="AP533" i="9"/>
  <c r="AP88" i="9"/>
  <c r="AP617" i="9"/>
  <c r="AP899" i="9" s="1"/>
  <c r="AQ370" i="9"/>
  <c r="CQ73" i="20"/>
  <c r="CQ59" i="20"/>
  <c r="CQ47" i="20"/>
  <c r="CQ136" i="20"/>
  <c r="CQ143" i="20"/>
  <c r="CQ180" i="20"/>
  <c r="CQ176" i="20"/>
  <c r="AP1014" i="9"/>
  <c r="AP523" i="9"/>
  <c r="AP329" i="9"/>
  <c r="AQ323" i="9"/>
  <c r="BB37" i="6"/>
  <c r="BB71" i="30" s="1"/>
  <c r="BC262" i="26"/>
  <c r="BC269" i="26" s="1"/>
  <c r="CQ57" i="20"/>
  <c r="BA34" i="6"/>
  <c r="BA70" i="30" s="1"/>
  <c r="BB274" i="26"/>
  <c r="BB278" i="26" s="1"/>
  <c r="CQ94" i="20"/>
  <c r="CQ84" i="20"/>
  <c r="DB38" i="20"/>
  <c r="CT38" i="20" s="1"/>
  <c r="V74" i="35"/>
  <c r="CY22" i="30"/>
  <c r="CQ22" i="30" s="1"/>
  <c r="CG13" i="30"/>
  <c r="AP605" i="9"/>
  <c r="AP887" i="9" s="1"/>
  <c r="AQ142" i="9"/>
  <c r="AP546" i="9"/>
  <c r="AP335" i="9"/>
  <c r="AP1017" i="9"/>
  <c r="AP526" i="9"/>
  <c r="AQ380" i="9"/>
  <c r="AP386" i="9"/>
  <c r="CQ113" i="20"/>
  <c r="CQ123" i="20"/>
  <c r="CQ149" i="20"/>
  <c r="CQ170" i="20"/>
  <c r="CQ179" i="20"/>
  <c r="BI158" i="6"/>
  <c r="BI121" i="30" s="1"/>
  <c r="BJ142" i="6"/>
  <c r="BJ155" i="6" s="1"/>
  <c r="BJ158" i="6" s="1"/>
  <c r="BJ121" i="30" s="1"/>
  <c r="CQ90" i="20"/>
  <c r="AP1010" i="9"/>
  <c r="AP519" i="9"/>
  <c r="AQ247" i="9"/>
  <c r="AP253" i="9"/>
  <c r="AP614" i="9"/>
  <c r="AP896" i="9" s="1"/>
  <c r="AQ313" i="9"/>
  <c r="AP1008" i="9"/>
  <c r="AP517" i="9"/>
  <c r="AP215" i="9"/>
  <c r="AQ209" i="9"/>
  <c r="DB11" i="20"/>
  <c r="CT11" i="20" s="1"/>
  <c r="BX23" i="20"/>
  <c r="DB23" i="20" s="1"/>
  <c r="CT23" i="20" s="1"/>
  <c r="DB18" i="20"/>
  <c r="CT18" i="20" s="1"/>
  <c r="AP544" i="9"/>
  <c r="AP297" i="9"/>
  <c r="AP455" i="9"/>
  <c r="AP346" i="9"/>
  <c r="AP447" i="9"/>
  <c r="AP194" i="9"/>
  <c r="BI129" i="30"/>
  <c r="BJ229" i="6"/>
  <c r="BJ236" i="6" s="1"/>
  <c r="BJ129" i="30" s="1"/>
  <c r="CQ65" i="20"/>
  <c r="CQ106" i="20"/>
  <c r="DB90" i="20"/>
  <c r="CT90" i="20" s="1"/>
  <c r="CQ83" i="20"/>
  <c r="CQ66" i="20"/>
  <c r="BA31" i="6"/>
  <c r="BA69" i="30" s="1"/>
  <c r="BB248" i="26"/>
  <c r="BB257" i="26" s="1"/>
  <c r="AP1003" i="9"/>
  <c r="AP512" i="9"/>
  <c r="AQ114" i="9"/>
  <c r="AP120" i="9"/>
  <c r="CQ71" i="20"/>
  <c r="AP446" i="9"/>
  <c r="AP175" i="9"/>
  <c r="DE54" i="20"/>
  <c r="DB53" i="20"/>
  <c r="CT53" i="20" s="1"/>
  <c r="BX25" i="30"/>
  <c r="V25" i="30" s="1"/>
  <c r="DE14" i="20"/>
  <c r="DJ24" i="20"/>
  <c r="BA134" i="30"/>
  <c r="BB245" i="6"/>
  <c r="BB248" i="6" s="1"/>
  <c r="AP537" i="9"/>
  <c r="AP164" i="9"/>
  <c r="BX60" i="20"/>
  <c r="DB57" i="20"/>
  <c r="CT57" i="20" s="1"/>
  <c r="CQ46" i="20"/>
  <c r="CQ36" i="20"/>
  <c r="CQ100" i="20"/>
  <c r="CQ105" i="20"/>
  <c r="CQ122" i="20"/>
  <c r="CQ130" i="20"/>
  <c r="CQ129" i="20"/>
  <c r="CQ154" i="20"/>
  <c r="CQ161" i="20"/>
  <c r="BA52" i="6"/>
  <c r="BB283" i="26"/>
  <c r="BB288" i="26" s="1"/>
  <c r="BX85" i="20"/>
  <c r="BX20" i="30" s="1"/>
  <c r="V20" i="30" s="1"/>
  <c r="AP1018" i="9"/>
  <c r="AP527" i="9"/>
  <c r="AQ399" i="9"/>
  <c r="AP405" i="9"/>
  <c r="BC179" i="6"/>
  <c r="BC101" i="30" s="1"/>
  <c r="BD293" i="26"/>
  <c r="BD298" i="26" s="1"/>
  <c r="AP1009" i="9"/>
  <c r="AP518" i="9"/>
  <c r="AQ228" i="9"/>
  <c r="AP234" i="9"/>
  <c r="DB89" i="20"/>
  <c r="CT89" i="20" s="1"/>
  <c r="DE24" i="20"/>
  <c r="AP620" i="9"/>
  <c r="AP902" i="9" s="1"/>
  <c r="AQ427" i="9"/>
  <c r="AZ77" i="30"/>
  <c r="CQ88" i="20"/>
  <c r="AP1005" i="9"/>
  <c r="AP514" i="9"/>
  <c r="AQ152" i="9"/>
  <c r="AP158" i="9"/>
  <c r="BX74" i="20"/>
  <c r="AP534" i="9"/>
  <c r="AP107" i="9"/>
  <c r="BB190" i="30"/>
  <c r="CQ89" i="20"/>
  <c r="CQ80" i="20"/>
  <c r="CE15" i="30"/>
  <c r="DL39" i="20"/>
  <c r="DB14" i="20"/>
  <c r="CT14" i="20" s="1"/>
  <c r="DB30" i="20"/>
  <c r="CT30" i="20" s="1"/>
  <c r="AP1012" i="9"/>
  <c r="AP291" i="9"/>
  <c r="AP521" i="9"/>
  <c r="AQ285" i="9"/>
  <c r="CQ54" i="20"/>
  <c r="AP547" i="9"/>
  <c r="AP354" i="9"/>
  <c r="CQ78" i="20"/>
  <c r="AP604" i="9"/>
  <c r="AP886" i="9" s="1"/>
  <c r="AQ123" i="9"/>
  <c r="AP1004" i="9"/>
  <c r="AP513" i="9"/>
  <c r="AQ133" i="9"/>
  <c r="AP139" i="9"/>
  <c r="AP539" i="9"/>
  <c r="AP202" i="9"/>
  <c r="CQ69" i="20"/>
  <c r="CQ44" i="20"/>
  <c r="BA25" i="6"/>
  <c r="BB220" i="26"/>
  <c r="BB229" i="26" s="1"/>
  <c r="BX46" i="20"/>
  <c r="DB46" i="20" s="1"/>
  <c r="CT46" i="20" s="1"/>
  <c r="DB42" i="20"/>
  <c r="CT42" i="20" s="1"/>
  <c r="CQ124" i="20"/>
  <c r="CQ126" i="20"/>
  <c r="CQ146" i="20"/>
  <c r="CQ156" i="20"/>
  <c r="CQ162" i="20"/>
  <c r="BG135" i="30"/>
  <c r="BH251" i="6"/>
  <c r="BH253" i="6" s="1"/>
  <c r="AP532" i="9"/>
  <c r="AP69" i="9"/>
  <c r="CQ70" i="20"/>
  <c r="AP259" i="9"/>
  <c r="AP542" i="9"/>
  <c r="AP610" i="9"/>
  <c r="AP892" i="9" s="1"/>
  <c r="AQ237" i="9"/>
  <c r="AP442" i="9"/>
  <c r="AP99" i="9"/>
  <c r="CQ96" i="20"/>
  <c r="CQ98" i="20"/>
  <c r="DN14" i="20"/>
  <c r="AP612" i="9"/>
  <c r="AP894" i="9" s="1"/>
  <c r="AQ275" i="9"/>
  <c r="AP1011" i="9"/>
  <c r="AP520" i="9"/>
  <c r="AP272" i="9"/>
  <c r="AQ266" i="9"/>
  <c r="AP1016" i="9"/>
  <c r="AP525" i="9"/>
  <c r="AP367" i="9"/>
  <c r="AQ361" i="9"/>
  <c r="AP618" i="9"/>
  <c r="AP900" i="9" s="1"/>
  <c r="AQ389" i="9"/>
  <c r="CQ52" i="20"/>
  <c r="AZ67" i="30"/>
  <c r="BA28" i="6"/>
  <c r="BA68" i="30" s="1"/>
  <c r="BB234" i="26"/>
  <c r="BB243" i="26" s="1"/>
  <c r="CQ39" i="20"/>
  <c r="CQ121" i="20"/>
  <c r="CQ125" i="20"/>
  <c r="CQ119" i="20"/>
  <c r="CQ135" i="20"/>
  <c r="CQ127" i="20"/>
  <c r="CQ141" i="20"/>
  <c r="CQ144" i="20"/>
  <c r="CQ150" i="20"/>
  <c r="CQ152" i="20"/>
  <c r="CQ159" i="20"/>
  <c r="AQ540" i="9"/>
  <c r="AQ221" i="9"/>
  <c r="CQ93" i="20"/>
  <c r="CQ61" i="20"/>
  <c r="AQ1019" i="9"/>
  <c r="AQ528" i="9"/>
  <c r="AQ424" i="9"/>
  <c r="AR418" i="9"/>
  <c r="AP607" i="9"/>
  <c r="AP889" i="9" s="1"/>
  <c r="AQ180" i="9"/>
  <c r="V175" i="20"/>
  <c r="DB175" i="20" s="1"/>
  <c r="CT175" i="20" s="1"/>
  <c r="DB96" i="20"/>
  <c r="CT96" i="20" s="1"/>
  <c r="CQ67" i="20"/>
  <c r="AP550" i="9"/>
  <c r="AP411" i="9"/>
  <c r="BX29" i="20"/>
  <c r="DE30" i="20" s="1"/>
  <c r="DN30" i="20"/>
  <c r="B2" i="20"/>
  <c r="BX1" i="20"/>
  <c r="AA1" i="20"/>
  <c r="V1" i="20"/>
  <c r="D1" i="20"/>
  <c r="BJ184" i="1"/>
  <c r="BI184" i="1"/>
  <c r="BH184" i="1"/>
  <c r="BG184" i="1"/>
  <c r="BF184" i="1"/>
  <c r="BE184" i="1"/>
  <c r="BD184" i="1"/>
  <c r="BC184" i="1"/>
  <c r="BB184" i="1"/>
  <c r="BA184" i="1"/>
  <c r="AZ184" i="1"/>
  <c r="AY184" i="1"/>
  <c r="AX184" i="1"/>
  <c r="AW184" i="1"/>
  <c r="AV184" i="1"/>
  <c r="AU184" i="1"/>
  <c r="AT184" i="1"/>
  <c r="AS184" i="1"/>
  <c r="AR184" i="1"/>
  <c r="AQ184" i="1"/>
  <c r="AP184" i="1"/>
  <c r="AO184" i="1"/>
  <c r="AN184" i="1"/>
  <c r="AM184" i="1"/>
  <c r="AL184" i="1"/>
  <c r="AK184" i="1"/>
  <c r="AJ184" i="1"/>
  <c r="AI184" i="1"/>
  <c r="AH184" i="1"/>
  <c r="AG184" i="1"/>
  <c r="AF184" i="1"/>
  <c r="AE184" i="1"/>
  <c r="AD184" i="1"/>
  <c r="AC184" i="1"/>
  <c r="AB184" i="1"/>
  <c r="AA184" i="1"/>
  <c r="Y184" i="1"/>
  <c r="X184" i="1"/>
  <c r="W184" i="1"/>
  <c r="EY183" i="1"/>
  <c r="EY182" i="1"/>
  <c r="EY181" i="1"/>
  <c r="BU181" i="1"/>
  <c r="BT181" i="1"/>
  <c r="BP181" i="1"/>
  <c r="BM181" i="1"/>
  <c r="BL181" i="1"/>
  <c r="C181" i="1"/>
  <c r="EY180" i="1"/>
  <c r="BX180" i="1"/>
  <c r="CZ180" i="1" s="1"/>
  <c r="CR180" i="1" s="1"/>
  <c r="C180" i="1"/>
  <c r="H179" i="1"/>
  <c r="D179" i="1"/>
  <c r="EY179" i="1" s="1"/>
  <c r="C179" i="1"/>
  <c r="BV178" i="1"/>
  <c r="BV181" i="1" s="1"/>
  <c r="BU178" i="1"/>
  <c r="BT178" i="1"/>
  <c r="BS178" i="1"/>
  <c r="BS181" i="1" s="1"/>
  <c r="BR178" i="1"/>
  <c r="BR181" i="1" s="1"/>
  <c r="BQ178" i="1"/>
  <c r="BQ181" i="1" s="1"/>
  <c r="BP178" i="1"/>
  <c r="BO178" i="1"/>
  <c r="BO181" i="1" s="1"/>
  <c r="BN178" i="1"/>
  <c r="BN181" i="1" s="1"/>
  <c r="BM178" i="1"/>
  <c r="BL178" i="1"/>
  <c r="BK178" i="1"/>
  <c r="BK181" i="1" s="1"/>
  <c r="H178" i="1"/>
  <c r="D178" i="1"/>
  <c r="EY178" i="1" s="1"/>
  <c r="C178" i="1"/>
  <c r="H177" i="1"/>
  <c r="D177" i="1"/>
  <c r="C177" i="1"/>
  <c r="EY177" i="1" s="1"/>
  <c r="H176" i="1"/>
  <c r="D176" i="1"/>
  <c r="EY176" i="1" s="1"/>
  <c r="C176" i="1"/>
  <c r="H175" i="1"/>
  <c r="D175" i="1"/>
  <c r="C175" i="1"/>
  <c r="EY175" i="1" s="1"/>
  <c r="D174" i="1"/>
  <c r="C174" i="1"/>
  <c r="EY174" i="1" s="1"/>
  <c r="EY173" i="1"/>
  <c r="EY172" i="1"/>
  <c r="EY171" i="1"/>
  <c r="EY170" i="1"/>
  <c r="C170" i="1"/>
  <c r="CI169" i="1"/>
  <c r="CI169" i="20" s="1"/>
  <c r="CH169" i="1"/>
  <c r="CH169" i="20" s="1"/>
  <c r="CG169" i="1"/>
  <c r="CG169" i="20" s="1"/>
  <c r="CF169" i="1"/>
  <c r="CF169" i="20" s="1"/>
  <c r="CE169" i="1"/>
  <c r="CE169" i="20" s="1"/>
  <c r="CD169" i="1"/>
  <c r="CD169" i="20" s="1"/>
  <c r="CC169" i="1"/>
  <c r="CC169" i="20" s="1"/>
  <c r="CB169" i="1"/>
  <c r="CB169" i="20" s="1"/>
  <c r="BX169" i="1"/>
  <c r="BX169" i="20" s="1"/>
  <c r="BJ169" i="1"/>
  <c r="BJ169" i="20" s="1"/>
  <c r="BI169" i="1"/>
  <c r="BI169" i="20" s="1"/>
  <c r="BH169" i="1"/>
  <c r="BH169" i="20" s="1"/>
  <c r="BG169" i="1"/>
  <c r="BG169" i="20" s="1"/>
  <c r="BF169" i="1"/>
  <c r="BF169" i="20" s="1"/>
  <c r="BE169" i="1"/>
  <c r="BE169" i="20" s="1"/>
  <c r="BD169" i="1"/>
  <c r="BD169" i="20" s="1"/>
  <c r="BC169" i="1"/>
  <c r="BC169" i="20" s="1"/>
  <c r="BB169" i="1"/>
  <c r="BB169" i="20" s="1"/>
  <c r="BA169" i="1"/>
  <c r="BA169" i="20" s="1"/>
  <c r="AZ169" i="1"/>
  <c r="AZ169" i="20" s="1"/>
  <c r="AY169" i="1"/>
  <c r="AY169" i="20" s="1"/>
  <c r="AX169" i="1"/>
  <c r="AX169" i="20" s="1"/>
  <c r="AW169" i="1"/>
  <c r="AW169" i="20" s="1"/>
  <c r="AV169" i="1"/>
  <c r="AV169" i="20" s="1"/>
  <c r="AU169" i="1"/>
  <c r="AU169" i="20" s="1"/>
  <c r="AT169" i="1"/>
  <c r="AT169" i="20" s="1"/>
  <c r="AS169" i="1"/>
  <c r="AS169" i="20" s="1"/>
  <c r="AR169" i="1"/>
  <c r="AR169" i="20" s="1"/>
  <c r="AQ169" i="1"/>
  <c r="AQ169" i="20" s="1"/>
  <c r="AP169" i="1"/>
  <c r="AP169" i="20" s="1"/>
  <c r="AO169" i="1"/>
  <c r="AO169" i="20" s="1"/>
  <c r="AN169" i="1"/>
  <c r="AN169" i="20" s="1"/>
  <c r="AM169" i="1"/>
  <c r="AM169" i="20" s="1"/>
  <c r="AL169" i="1"/>
  <c r="AL169" i="20" s="1"/>
  <c r="AK169" i="1"/>
  <c r="AK169" i="20" s="1"/>
  <c r="AJ169" i="1"/>
  <c r="AJ169" i="20" s="1"/>
  <c r="AI169" i="1"/>
  <c r="AI169" i="20" s="1"/>
  <c r="AH169" i="1"/>
  <c r="AH169" i="20" s="1"/>
  <c r="AG169" i="1"/>
  <c r="AG169" i="20" s="1"/>
  <c r="AF169" i="1"/>
  <c r="AF169" i="20" s="1"/>
  <c r="AE169" i="1"/>
  <c r="AE169" i="20" s="1"/>
  <c r="AD169" i="1"/>
  <c r="AD169" i="20" s="1"/>
  <c r="AC169" i="1"/>
  <c r="AC169" i="20" s="1"/>
  <c r="AB169" i="1"/>
  <c r="AB169" i="20" s="1"/>
  <c r="AA169" i="1"/>
  <c r="AA169" i="20" s="1"/>
  <c r="V169" i="1"/>
  <c r="V169" i="20" s="1"/>
  <c r="DB169" i="20" s="1"/>
  <c r="CT169" i="20" s="1"/>
  <c r="G169" i="1" a="1"/>
  <c r="AC10" i="6" l="1"/>
  <c r="AC318" i="26" s="1"/>
  <c r="AC183" i="20"/>
  <c r="AK10" i="6"/>
  <c r="AK318" i="26" s="1"/>
  <c r="AK183" i="20"/>
  <c r="AS10" i="6"/>
  <c r="AS318" i="26" s="1"/>
  <c r="AS183" i="20"/>
  <c r="BA10" i="6"/>
  <c r="BA318" i="26" s="1"/>
  <c r="BA183" i="20"/>
  <c r="BI10" i="6"/>
  <c r="BI318" i="26" s="1"/>
  <c r="BI183" i="20"/>
  <c r="AQ538" i="9"/>
  <c r="AQ183" i="9"/>
  <c r="AQ543" i="9"/>
  <c r="AQ278" i="9"/>
  <c r="AQ541" i="9"/>
  <c r="AQ240" i="9"/>
  <c r="AQ289" i="9"/>
  <c r="AQ452" i="9"/>
  <c r="BB73" i="33"/>
  <c r="AQ449" i="9"/>
  <c r="AQ232" i="9"/>
  <c r="AQ448" i="9"/>
  <c r="AQ213" i="9"/>
  <c r="AQ384" i="9"/>
  <c r="AQ457" i="9"/>
  <c r="AQ454" i="9"/>
  <c r="AQ327" i="9"/>
  <c r="AP602" i="9"/>
  <c r="AP884" i="9" s="1"/>
  <c r="AQ85" i="9"/>
  <c r="AD10" i="6"/>
  <c r="AD318" i="26" s="1"/>
  <c r="AD183" i="20"/>
  <c r="AL10" i="6"/>
  <c r="AL318" i="26" s="1"/>
  <c r="AL183" i="20"/>
  <c r="AT10" i="6"/>
  <c r="AT318" i="26" s="1"/>
  <c r="AT183" i="20"/>
  <c r="BB10" i="6"/>
  <c r="BB318" i="26" s="1"/>
  <c r="BB183" i="20"/>
  <c r="BJ10" i="6"/>
  <c r="BJ318" i="26" s="1"/>
  <c r="BJ183" i="20"/>
  <c r="BH135" i="30"/>
  <c r="BI251" i="6"/>
  <c r="BI253" i="6" s="1"/>
  <c r="BA67" i="30"/>
  <c r="AQ535" i="9"/>
  <c r="AQ126" i="9"/>
  <c r="AP603" i="9"/>
  <c r="AP885" i="9" s="1"/>
  <c r="AQ104" i="9"/>
  <c r="AQ251" i="9"/>
  <c r="AQ450" i="9"/>
  <c r="AE10" i="6"/>
  <c r="AE318" i="26" s="1"/>
  <c r="AE183" i="20"/>
  <c r="AM10" i="6"/>
  <c r="AM318" i="26" s="1"/>
  <c r="AM183" i="20"/>
  <c r="AU10" i="6"/>
  <c r="AU318" i="26" s="1"/>
  <c r="AU183" i="20"/>
  <c r="BC10" i="6"/>
  <c r="BC318" i="26" s="1"/>
  <c r="BC183" i="20"/>
  <c r="AP619" i="9"/>
  <c r="AP901" i="9" s="1"/>
  <c r="AQ408" i="9"/>
  <c r="AR459" i="9"/>
  <c r="AR422" i="9"/>
  <c r="AQ451" i="9"/>
  <c r="AQ270" i="9"/>
  <c r="V72" i="35"/>
  <c r="CY20" i="30"/>
  <c r="CQ20" i="30" s="1"/>
  <c r="BX18" i="30"/>
  <c r="V18" i="30" s="1"/>
  <c r="CY18" i="30" s="1"/>
  <c r="CQ18" i="30" s="1"/>
  <c r="DB60" i="20"/>
  <c r="CT60" i="20" s="1"/>
  <c r="DE61" i="20"/>
  <c r="BB34" i="6"/>
  <c r="BB70" i="30" s="1"/>
  <c r="BB280" i="26"/>
  <c r="BC274" i="26"/>
  <c r="BC278" i="26" s="1"/>
  <c r="W10" i="6"/>
  <c r="W183" i="20"/>
  <c r="AF10" i="6"/>
  <c r="AF318" i="26" s="1"/>
  <c r="AF183" i="20"/>
  <c r="AN10" i="6"/>
  <c r="AN318" i="26" s="1"/>
  <c r="AN183" i="20"/>
  <c r="AV10" i="6"/>
  <c r="AV318" i="26" s="1"/>
  <c r="AV183" i="20"/>
  <c r="BD10" i="6"/>
  <c r="BD318" i="26" s="1"/>
  <c r="BD183" i="20"/>
  <c r="BY184" i="1"/>
  <c r="BY183" i="20" s="1"/>
  <c r="AQ609" i="9"/>
  <c r="AQ891" i="9" s="1"/>
  <c r="AR218" i="9"/>
  <c r="AQ444" i="9"/>
  <c r="AQ137" i="9"/>
  <c r="BX19" i="30"/>
  <c r="V19" i="30" s="1"/>
  <c r="DB74" i="20"/>
  <c r="CT74" i="20" s="1"/>
  <c r="AQ443" i="9"/>
  <c r="AQ118" i="9"/>
  <c r="AP613" i="9"/>
  <c r="AP895" i="9" s="1"/>
  <c r="AQ294" i="9"/>
  <c r="V24" i="32"/>
  <c r="CQ24" i="32"/>
  <c r="AP1001" i="9"/>
  <c r="AP510" i="9"/>
  <c r="AP82" i="9"/>
  <c r="AQ76" i="9"/>
  <c r="X10" i="6"/>
  <c r="X183" i="20"/>
  <c r="AG10" i="6"/>
  <c r="AG318" i="26" s="1"/>
  <c r="AG183" i="20"/>
  <c r="AO10" i="6"/>
  <c r="AO318" i="26" s="1"/>
  <c r="AO183" i="20"/>
  <c r="AW10" i="6"/>
  <c r="AW318" i="26" s="1"/>
  <c r="AW183" i="20"/>
  <c r="BE10" i="6"/>
  <c r="BE318" i="26" s="1"/>
  <c r="BE183" i="20"/>
  <c r="BZ184" i="1"/>
  <c r="BZ183" i="20" s="1"/>
  <c r="BB28" i="6"/>
  <c r="BB68" i="30" s="1"/>
  <c r="BC234" i="26"/>
  <c r="BC243" i="26" s="1"/>
  <c r="AQ549" i="9"/>
  <c r="AQ392" i="9"/>
  <c r="AP611" i="9"/>
  <c r="AP893" i="9" s="1"/>
  <c r="AQ256" i="9"/>
  <c r="AQ551" i="9"/>
  <c r="AQ430" i="9"/>
  <c r="BD179" i="6"/>
  <c r="BD101" i="30" s="1"/>
  <c r="BE293" i="26"/>
  <c r="BE298" i="26" s="1"/>
  <c r="AP606" i="9"/>
  <c r="AP888" i="9" s="1"/>
  <c r="AQ161" i="9"/>
  <c r="V77" i="35"/>
  <c r="CY25" i="30"/>
  <c r="CQ25" i="30" s="1"/>
  <c r="AP1007" i="9"/>
  <c r="AP516" i="9"/>
  <c r="AP196" i="9"/>
  <c r="AQ190" i="9"/>
  <c r="AQ545" i="9"/>
  <c r="AQ316" i="9"/>
  <c r="BX15" i="30"/>
  <c r="V15" i="30" s="1"/>
  <c r="DE39" i="20"/>
  <c r="BI128" i="30"/>
  <c r="BJ220" i="6"/>
  <c r="BJ226" i="6" s="1"/>
  <c r="BJ128" i="30" s="1"/>
  <c r="Y10" i="6"/>
  <c r="Y183" i="20"/>
  <c r="AH10" i="6"/>
  <c r="AH318" i="26" s="1"/>
  <c r="AH183" i="20"/>
  <c r="AP10" i="6"/>
  <c r="AP318" i="26" s="1"/>
  <c r="AP183" i="20"/>
  <c r="AX10" i="6"/>
  <c r="AX318" i="26" s="1"/>
  <c r="AX183" i="20"/>
  <c r="BF10" i="6"/>
  <c r="BF318" i="26" s="1"/>
  <c r="BF183" i="20"/>
  <c r="CA184" i="1"/>
  <c r="CA183" i="20" s="1"/>
  <c r="AP1002" i="9"/>
  <c r="AP511" i="9"/>
  <c r="AP101" i="9"/>
  <c r="AQ95" i="9"/>
  <c r="AP616" i="9"/>
  <c r="AP898" i="9" s="1"/>
  <c r="AQ351" i="9"/>
  <c r="AQ445" i="9"/>
  <c r="AQ156" i="9"/>
  <c r="BC190" i="30"/>
  <c r="AP615" i="9"/>
  <c r="AP897" i="9" s="1"/>
  <c r="AQ332" i="9"/>
  <c r="BC37" i="6"/>
  <c r="BC71" i="30" s="1"/>
  <c r="BD262" i="26"/>
  <c r="BD269" i="26" s="1"/>
  <c r="DB85" i="20"/>
  <c r="CT85" i="20" s="1"/>
  <c r="AA10" i="6"/>
  <c r="AA318" i="26" s="1"/>
  <c r="AA183" i="20"/>
  <c r="BG10" i="6"/>
  <c r="BG318" i="26" s="1"/>
  <c r="BG183" i="20"/>
  <c r="AQ456" i="9"/>
  <c r="AQ365" i="9"/>
  <c r="BX16" i="30"/>
  <c r="V16" i="30" s="1"/>
  <c r="DE47" i="20"/>
  <c r="AP608" i="9"/>
  <c r="AP890" i="9" s="1"/>
  <c r="AQ199" i="9"/>
  <c r="BB52" i="6"/>
  <c r="BC283" i="26"/>
  <c r="BC288" i="26" s="1"/>
  <c r="BB134" i="30"/>
  <c r="BC245" i="6"/>
  <c r="BC248" i="6" s="1"/>
  <c r="BX13" i="30"/>
  <c r="AQ548" i="9"/>
  <c r="AQ373" i="9"/>
  <c r="AI10" i="6"/>
  <c r="AI318" i="26" s="1"/>
  <c r="AI183" i="20"/>
  <c r="AQ10" i="6"/>
  <c r="AQ318" i="26" s="1"/>
  <c r="AQ183" i="20"/>
  <c r="AY10" i="6"/>
  <c r="AY318" i="26" s="1"/>
  <c r="AY183" i="20"/>
  <c r="CZ169" i="1"/>
  <c r="CR169" i="1" s="1"/>
  <c r="AB10" i="6"/>
  <c r="AB318" i="26" s="1"/>
  <c r="AB183" i="20"/>
  <c r="AJ10" i="6"/>
  <c r="AJ318" i="26" s="1"/>
  <c r="AJ183" i="20"/>
  <c r="AR10" i="6"/>
  <c r="AR318" i="26" s="1"/>
  <c r="AR183" i="20"/>
  <c r="AZ10" i="6"/>
  <c r="AZ318" i="26" s="1"/>
  <c r="AZ183" i="20"/>
  <c r="BH10" i="6"/>
  <c r="BH318" i="26" s="1"/>
  <c r="BH183" i="20"/>
  <c r="BX14" i="30"/>
  <c r="V14" i="30" s="1"/>
  <c r="DB29" i="20"/>
  <c r="CT29" i="20" s="1"/>
  <c r="AP601" i="9"/>
  <c r="AP883" i="9" s="1"/>
  <c r="AQ66" i="9"/>
  <c r="BB25" i="6"/>
  <c r="BC220" i="26"/>
  <c r="BC229" i="26" s="1"/>
  <c r="AQ403" i="9"/>
  <c r="AQ458" i="9"/>
  <c r="BA77" i="30"/>
  <c r="AP1006" i="9"/>
  <c r="AP515" i="9"/>
  <c r="AP177" i="9"/>
  <c r="AQ171" i="9"/>
  <c r="BB31" i="6"/>
  <c r="BB69" i="30" s="1"/>
  <c r="BC248" i="26"/>
  <c r="BC257" i="26" s="1"/>
  <c r="AP1015" i="9"/>
  <c r="AP524" i="9"/>
  <c r="AQ342" i="9"/>
  <c r="AP348" i="9"/>
  <c r="AQ536" i="9"/>
  <c r="AQ145" i="9"/>
  <c r="BI130" i="30"/>
  <c r="BJ239" i="6"/>
  <c r="BJ242" i="6" s="1"/>
  <c r="BJ130" i="30" s="1"/>
  <c r="AP1013" i="9"/>
  <c r="AP522" i="9"/>
  <c r="AQ304" i="9"/>
  <c r="AP310" i="9"/>
  <c r="AQ440" i="9"/>
  <c r="AQ61" i="9"/>
  <c r="G169" i="1"/>
  <c r="F169" i="1" a="1"/>
  <c r="BC271" i="26" l="1"/>
  <c r="BB231" i="26"/>
  <c r="BB290" i="26"/>
  <c r="BB245" i="26"/>
  <c r="BB259" i="26"/>
  <c r="AQ455" i="9"/>
  <c r="AQ346" i="9"/>
  <c r="AQ1016" i="9"/>
  <c r="AQ525" i="9"/>
  <c r="AR361" i="9"/>
  <c r="AQ367" i="9"/>
  <c r="AQ617" i="9"/>
  <c r="AQ899" i="9" s="1"/>
  <c r="AR370" i="9"/>
  <c r="BB77" i="30"/>
  <c r="AX9" i="35"/>
  <c r="AX52" i="33"/>
  <c r="AX9" i="32"/>
  <c r="AX9" i="30"/>
  <c r="AX308" i="26"/>
  <c r="AX271" i="26"/>
  <c r="AX231" i="26"/>
  <c r="AX245" i="26"/>
  <c r="AX259" i="26"/>
  <c r="AX280" i="26"/>
  <c r="AX290" i="26"/>
  <c r="BD190" i="30"/>
  <c r="BE9" i="35"/>
  <c r="BE52" i="33"/>
  <c r="BE9" i="32"/>
  <c r="BE9" i="30"/>
  <c r="BE308" i="26"/>
  <c r="X9" i="35"/>
  <c r="X9" i="13"/>
  <c r="X9" i="36"/>
  <c r="X52" i="33"/>
  <c r="X9" i="12"/>
  <c r="X9" i="32"/>
  <c r="X9" i="30"/>
  <c r="BZ10" i="6"/>
  <c r="BC34" i="6"/>
  <c r="BC70" i="30" s="1"/>
  <c r="BC280" i="26"/>
  <c r="BD274" i="26"/>
  <c r="BD278" i="26" s="1"/>
  <c r="AM9" i="35"/>
  <c r="AM52" i="33"/>
  <c r="AM9" i="32"/>
  <c r="AM9" i="30"/>
  <c r="AM308" i="26"/>
  <c r="AM271" i="26"/>
  <c r="AM290" i="26"/>
  <c r="AM280" i="26"/>
  <c r="AM231" i="26"/>
  <c r="AM245" i="26"/>
  <c r="AM259" i="26"/>
  <c r="AQ1008" i="9"/>
  <c r="AQ517" i="9"/>
  <c r="AQ215" i="9"/>
  <c r="AR209" i="9"/>
  <c r="AQ1012" i="9"/>
  <c r="AQ521" i="9"/>
  <c r="AQ291" i="9"/>
  <c r="AR285" i="9"/>
  <c r="BC134" i="30"/>
  <c r="BD245" i="6"/>
  <c r="BD248" i="6" s="1"/>
  <c r="BC31" i="6"/>
  <c r="BC69" i="30" s="1"/>
  <c r="BD248" i="26"/>
  <c r="BD257" i="26" s="1"/>
  <c r="BC259" i="26"/>
  <c r="AQ532" i="9"/>
  <c r="AQ69" i="9"/>
  <c r="AZ9" i="35"/>
  <c r="AZ52" i="33"/>
  <c r="AZ9" i="32"/>
  <c r="AZ9" i="30"/>
  <c r="AZ308" i="26"/>
  <c r="AZ271" i="26"/>
  <c r="AZ231" i="26"/>
  <c r="AZ259" i="26"/>
  <c r="AZ290" i="26"/>
  <c r="AZ280" i="26"/>
  <c r="AZ245" i="26"/>
  <c r="AQ539" i="9"/>
  <c r="AQ202" i="9"/>
  <c r="AQ547" i="9"/>
  <c r="AQ354" i="9"/>
  <c r="AQ620" i="9"/>
  <c r="AQ902" i="9" s="1"/>
  <c r="AR427" i="9"/>
  <c r="AQ618" i="9"/>
  <c r="AQ900" i="9" s="1"/>
  <c r="AR389" i="9"/>
  <c r="AQ441" i="9"/>
  <c r="AQ80" i="9"/>
  <c r="AF9" i="35"/>
  <c r="AF52" i="33"/>
  <c r="AF9" i="32"/>
  <c r="AF9" i="30"/>
  <c r="AF308" i="26"/>
  <c r="AF271" i="26"/>
  <c r="AF290" i="26"/>
  <c r="AF231" i="26"/>
  <c r="AF280" i="26"/>
  <c r="AF245" i="26"/>
  <c r="AF259" i="26"/>
  <c r="AQ550" i="9"/>
  <c r="AQ411" i="9"/>
  <c r="AQ1010" i="9"/>
  <c r="AQ519" i="9"/>
  <c r="AR247" i="9"/>
  <c r="AQ253" i="9"/>
  <c r="AL9" i="35"/>
  <c r="AL52" i="33"/>
  <c r="AL9" i="32"/>
  <c r="AL9" i="30"/>
  <c r="AL308" i="26"/>
  <c r="AL271" i="26"/>
  <c r="AL231" i="26"/>
  <c r="AL290" i="26"/>
  <c r="AL280" i="26"/>
  <c r="AL245" i="26"/>
  <c r="AL259" i="26"/>
  <c r="AQ610" i="9"/>
  <c r="AQ892" i="9" s="1"/>
  <c r="AR237" i="9"/>
  <c r="BI9" i="35"/>
  <c r="BI52" i="33"/>
  <c r="BI9" i="32"/>
  <c r="BI9" i="30"/>
  <c r="BI308" i="26"/>
  <c r="AC9" i="35"/>
  <c r="AC52" i="33"/>
  <c r="AC9" i="32"/>
  <c r="AC9" i="30"/>
  <c r="AC308" i="26"/>
  <c r="AC271" i="26"/>
  <c r="AC290" i="26"/>
  <c r="AC231" i="26"/>
  <c r="AC280" i="26"/>
  <c r="AC245" i="26"/>
  <c r="AC259" i="26"/>
  <c r="BC25" i="6"/>
  <c r="BD220" i="26"/>
  <c r="BD229" i="26" s="1"/>
  <c r="BC231" i="26"/>
  <c r="V67" i="35"/>
  <c r="CY14" i="30"/>
  <c r="CQ14" i="30" s="1"/>
  <c r="AQ546" i="9"/>
  <c r="AQ335" i="9"/>
  <c r="AQ1000" i="9"/>
  <c r="AQ509" i="9"/>
  <c r="AQ63" i="9"/>
  <c r="AR57" i="9"/>
  <c r="AQ605" i="9"/>
  <c r="AQ887" i="9" s="1"/>
  <c r="AR142" i="9"/>
  <c r="AY9" i="35"/>
  <c r="AY52" i="33"/>
  <c r="AY9" i="32"/>
  <c r="AY9" i="30"/>
  <c r="AY308" i="26"/>
  <c r="AY271" i="26"/>
  <c r="AY231" i="26"/>
  <c r="AY259" i="26"/>
  <c r="AY245" i="26"/>
  <c r="AY290" i="26"/>
  <c r="AY280" i="26"/>
  <c r="V13" i="30"/>
  <c r="BG9" i="35"/>
  <c r="BG52" i="33"/>
  <c r="BG9" i="32"/>
  <c r="BG9" i="30"/>
  <c r="BG308" i="26"/>
  <c r="BD37" i="6"/>
  <c r="BD71" i="30" s="1"/>
  <c r="BD271" i="26"/>
  <c r="BE262" i="26"/>
  <c r="BE269" i="26" s="1"/>
  <c r="AP9" i="35"/>
  <c r="AP52" i="33"/>
  <c r="AP9" i="32"/>
  <c r="AP9" i="30"/>
  <c r="AP308" i="26"/>
  <c r="AP271" i="26"/>
  <c r="AP245" i="26"/>
  <c r="AP231" i="26"/>
  <c r="AP259" i="26"/>
  <c r="AP290" i="26"/>
  <c r="AP280" i="26"/>
  <c r="AW9" i="35"/>
  <c r="AW52" i="33"/>
  <c r="AW9" i="32"/>
  <c r="AW9" i="30"/>
  <c r="AW308" i="26"/>
  <c r="AW271" i="26"/>
  <c r="AW245" i="26"/>
  <c r="AW259" i="26"/>
  <c r="AW290" i="26"/>
  <c r="AW280" i="26"/>
  <c r="AW231" i="26"/>
  <c r="AE9" i="35"/>
  <c r="AE52" i="33"/>
  <c r="AE9" i="32"/>
  <c r="AE9" i="30"/>
  <c r="AE308" i="26"/>
  <c r="AE271" i="26"/>
  <c r="AE245" i="26"/>
  <c r="AE231" i="26"/>
  <c r="AE290" i="26"/>
  <c r="AE259" i="26"/>
  <c r="AE280" i="26"/>
  <c r="AQ1014" i="9"/>
  <c r="AQ523" i="9"/>
  <c r="AR323" i="9"/>
  <c r="AQ329" i="9"/>
  <c r="AQ453" i="9"/>
  <c r="AQ308" i="9"/>
  <c r="AQ446" i="9"/>
  <c r="AQ175" i="9"/>
  <c r="AQ1018" i="9"/>
  <c r="AQ527" i="9"/>
  <c r="AQ405" i="9"/>
  <c r="AR399" i="9"/>
  <c r="AR9" i="35"/>
  <c r="AR52" i="33"/>
  <c r="AR9" i="32"/>
  <c r="AR9" i="30"/>
  <c r="AR308" i="26"/>
  <c r="AR271" i="26"/>
  <c r="AR231" i="26"/>
  <c r="AR245" i="26"/>
  <c r="AR290" i="26"/>
  <c r="AR280" i="26"/>
  <c r="AR259" i="26"/>
  <c r="V68" i="35"/>
  <c r="CY15" i="30"/>
  <c r="CQ15" i="30" s="1"/>
  <c r="AQ544" i="9"/>
  <c r="AQ297" i="9"/>
  <c r="V71" i="35"/>
  <c r="CY19" i="30"/>
  <c r="CQ19" i="30" s="1"/>
  <c r="BD9" i="35"/>
  <c r="BD52" i="33"/>
  <c r="BD9" i="32"/>
  <c r="BD9" i="30"/>
  <c r="BD308" i="26"/>
  <c r="W9" i="35"/>
  <c r="W9" i="13"/>
  <c r="W9" i="36"/>
  <c r="W52" i="33"/>
  <c r="W9" i="12"/>
  <c r="W9" i="32"/>
  <c r="W9" i="30"/>
  <c r="BY10" i="6"/>
  <c r="BI135" i="30"/>
  <c r="BJ251" i="6"/>
  <c r="BJ253" i="6" s="1"/>
  <c r="BJ135" i="30" s="1"/>
  <c r="BJ9" i="35"/>
  <c r="BJ52" i="33"/>
  <c r="BJ9" i="32"/>
  <c r="BJ9" i="30"/>
  <c r="BJ308" i="26"/>
  <c r="AD9" i="35"/>
  <c r="AD52" i="33"/>
  <c r="AD9" i="32"/>
  <c r="AD9" i="30"/>
  <c r="AD308" i="26"/>
  <c r="AD271" i="26"/>
  <c r="AD259" i="26"/>
  <c r="AD245" i="26"/>
  <c r="AD280" i="26"/>
  <c r="AD231" i="26"/>
  <c r="AD290" i="26"/>
  <c r="AQ1009" i="9"/>
  <c r="AQ518" i="9"/>
  <c r="AR228" i="9"/>
  <c r="AQ234" i="9"/>
  <c r="AQ612" i="9"/>
  <c r="AQ894" i="9" s="1"/>
  <c r="AR275" i="9"/>
  <c r="BA9" i="35"/>
  <c r="BA52" i="33"/>
  <c r="BA9" i="32"/>
  <c r="BA9" i="30"/>
  <c r="BA308" i="26"/>
  <c r="BA271" i="26"/>
  <c r="BA259" i="26"/>
  <c r="BA290" i="26"/>
  <c r="BA245" i="26"/>
  <c r="BA280" i="26"/>
  <c r="BA231" i="26"/>
  <c r="V69" i="35"/>
  <c r="CY16" i="30"/>
  <c r="CQ16" i="30" s="1"/>
  <c r="AA9" i="35"/>
  <c r="AA52" i="33"/>
  <c r="AA9" i="32"/>
  <c r="AA9" i="30"/>
  <c r="AA271" i="26"/>
  <c r="AA245" i="26"/>
  <c r="AA280" i="26"/>
  <c r="AA308" i="26"/>
  <c r="AA259" i="26"/>
  <c r="AA290" i="26"/>
  <c r="AA231" i="26"/>
  <c r="AQ442" i="9"/>
  <c r="AQ99" i="9"/>
  <c r="AH9" i="35"/>
  <c r="AH52" i="33"/>
  <c r="AH9" i="32"/>
  <c r="AH9" i="30"/>
  <c r="AH308" i="26"/>
  <c r="AH271" i="26"/>
  <c r="AH290" i="26"/>
  <c r="AH231" i="26"/>
  <c r="AH245" i="26"/>
  <c r="AH280" i="26"/>
  <c r="AH259" i="26"/>
  <c r="BC28" i="6"/>
  <c r="BC68" i="30" s="1"/>
  <c r="BD234" i="26"/>
  <c r="BD243" i="26" s="1"/>
  <c r="BC245" i="26"/>
  <c r="AO9" i="35"/>
  <c r="AO52" i="33"/>
  <c r="AO9" i="32"/>
  <c r="AO9" i="30"/>
  <c r="AO308" i="26"/>
  <c r="AO271" i="26"/>
  <c r="AO259" i="26"/>
  <c r="AO231" i="26"/>
  <c r="AO280" i="26"/>
  <c r="AO245" i="26"/>
  <c r="AO290" i="26"/>
  <c r="AQ1011" i="9"/>
  <c r="AQ520" i="9"/>
  <c r="AQ272" i="9"/>
  <c r="AR266" i="9"/>
  <c r="BC9" i="35"/>
  <c r="BC52" i="33"/>
  <c r="BC9" i="32"/>
  <c r="BC9" i="30"/>
  <c r="BC308" i="26"/>
  <c r="BC73" i="33"/>
  <c r="AQ614" i="9"/>
  <c r="AQ896" i="9" s="1"/>
  <c r="AR313" i="9"/>
  <c r="AQ537" i="9"/>
  <c r="AQ164" i="9"/>
  <c r="AQ1003" i="9"/>
  <c r="AQ512" i="9"/>
  <c r="AR114" i="9"/>
  <c r="AQ120" i="9"/>
  <c r="AQ1004" i="9"/>
  <c r="AQ513" i="9"/>
  <c r="AR133" i="9"/>
  <c r="AQ139" i="9"/>
  <c r="AV9" i="35"/>
  <c r="AV52" i="33"/>
  <c r="AV9" i="32"/>
  <c r="AV9" i="30"/>
  <c r="AV308" i="26"/>
  <c r="AV271" i="26"/>
  <c r="AV231" i="26"/>
  <c r="AV280" i="26"/>
  <c r="AV290" i="26"/>
  <c r="AV245" i="26"/>
  <c r="AV259" i="26"/>
  <c r="AQ534" i="9"/>
  <c r="AQ107" i="9"/>
  <c r="BB9" i="35"/>
  <c r="BB52" i="33"/>
  <c r="BB9" i="32"/>
  <c r="BB9" i="30"/>
  <c r="BB308" i="26"/>
  <c r="BB271" i="26"/>
  <c r="AQ533" i="9"/>
  <c r="AQ88" i="9"/>
  <c r="AS9" i="35"/>
  <c r="AS52" i="33"/>
  <c r="AS9" i="32"/>
  <c r="AS9" i="30"/>
  <c r="AS308" i="26"/>
  <c r="AS271" i="26"/>
  <c r="AS231" i="26"/>
  <c r="AS280" i="26"/>
  <c r="AS290" i="26"/>
  <c r="AS245" i="26"/>
  <c r="AS259" i="26"/>
  <c r="AQ9" i="35"/>
  <c r="AQ52" i="33"/>
  <c r="AQ9" i="32"/>
  <c r="AQ9" i="30"/>
  <c r="AQ308" i="26"/>
  <c r="AQ271" i="26"/>
  <c r="AQ280" i="26"/>
  <c r="AQ231" i="26"/>
  <c r="AQ290" i="26"/>
  <c r="AQ245" i="26"/>
  <c r="AQ259" i="26"/>
  <c r="Y9" i="35"/>
  <c r="Y9" i="13"/>
  <c r="Y9" i="36"/>
  <c r="Y52" i="33"/>
  <c r="Y9" i="12"/>
  <c r="Y9" i="32"/>
  <c r="Y9" i="30"/>
  <c r="CA10" i="6"/>
  <c r="AG9" i="35"/>
  <c r="AG52" i="33"/>
  <c r="AG9" i="32"/>
  <c r="AG9" i="30"/>
  <c r="AG308" i="26"/>
  <c r="AG271" i="26"/>
  <c r="AG245" i="26"/>
  <c r="AG290" i="26"/>
  <c r="AG231" i="26"/>
  <c r="AG259" i="26"/>
  <c r="AG280" i="26"/>
  <c r="AU9" i="35"/>
  <c r="AU52" i="33"/>
  <c r="AU9" i="32"/>
  <c r="AU9" i="30"/>
  <c r="AU308" i="26"/>
  <c r="AU271" i="26"/>
  <c r="AU245" i="26"/>
  <c r="AU259" i="26"/>
  <c r="AU290" i="26"/>
  <c r="AU280" i="26"/>
  <c r="AU231" i="26"/>
  <c r="AQ1017" i="9"/>
  <c r="AQ526" i="9"/>
  <c r="AR380" i="9"/>
  <c r="AQ386" i="9"/>
  <c r="AQ607" i="9"/>
  <c r="AQ889" i="9" s="1"/>
  <c r="AR180" i="9"/>
  <c r="AJ9" i="35"/>
  <c r="AJ52" i="33"/>
  <c r="AJ9" i="32"/>
  <c r="AJ9" i="30"/>
  <c r="AJ308" i="26"/>
  <c r="AJ271" i="26"/>
  <c r="AJ280" i="26"/>
  <c r="AJ245" i="26"/>
  <c r="AJ259" i="26"/>
  <c r="AJ231" i="26"/>
  <c r="AJ290" i="26"/>
  <c r="AI9" i="35"/>
  <c r="AI52" i="33"/>
  <c r="AI9" i="32"/>
  <c r="AI9" i="30"/>
  <c r="AI308" i="26"/>
  <c r="AI271" i="26"/>
  <c r="AI290" i="26"/>
  <c r="AI245" i="26"/>
  <c r="AI280" i="26"/>
  <c r="AI231" i="26"/>
  <c r="AI259" i="26"/>
  <c r="BF9" i="35"/>
  <c r="BF52" i="33"/>
  <c r="BF9" i="32"/>
  <c r="BF9" i="30"/>
  <c r="BF308" i="26"/>
  <c r="AQ542" i="9"/>
  <c r="AQ259" i="9"/>
  <c r="BB67" i="30"/>
  <c r="BH9" i="35"/>
  <c r="BH52" i="33"/>
  <c r="BH9" i="32"/>
  <c r="BH9" i="30"/>
  <c r="BH308" i="26"/>
  <c r="AB9" i="35"/>
  <c r="AB52" i="33"/>
  <c r="AB9" i="32"/>
  <c r="AB9" i="30"/>
  <c r="AB271" i="26"/>
  <c r="AB308" i="26"/>
  <c r="AB280" i="26"/>
  <c r="AB259" i="26"/>
  <c r="AB290" i="26"/>
  <c r="AB245" i="26"/>
  <c r="AB231" i="26"/>
  <c r="BC52" i="6"/>
  <c r="BC290" i="26"/>
  <c r="BD283" i="26"/>
  <c r="BD288" i="26" s="1"/>
  <c r="AQ1005" i="9"/>
  <c r="AQ514" i="9"/>
  <c r="AQ158" i="9"/>
  <c r="AR152" i="9"/>
  <c r="AQ447" i="9"/>
  <c r="AQ194" i="9"/>
  <c r="BE179" i="6"/>
  <c r="BE101" i="30" s="1"/>
  <c r="BF293" i="26"/>
  <c r="BF298" i="26" s="1"/>
  <c r="AR540" i="9"/>
  <c r="AR221" i="9"/>
  <c r="AN9" i="35"/>
  <c r="AN52" i="33"/>
  <c r="AN9" i="32"/>
  <c r="AN9" i="30"/>
  <c r="AN308" i="26"/>
  <c r="AN271" i="26"/>
  <c r="AN231" i="26"/>
  <c r="AN290" i="26"/>
  <c r="AN259" i="26"/>
  <c r="AN280" i="26"/>
  <c r="AN245" i="26"/>
  <c r="AR1019" i="9"/>
  <c r="AR528" i="9"/>
  <c r="AS418" i="9"/>
  <c r="AR424" i="9"/>
  <c r="AQ604" i="9"/>
  <c r="AQ886" i="9" s="1"/>
  <c r="AR123" i="9"/>
  <c r="AT9" i="35"/>
  <c r="AT52" i="33"/>
  <c r="AT9" i="32"/>
  <c r="AT9" i="30"/>
  <c r="AT308" i="26"/>
  <c r="AT271" i="26"/>
  <c r="AT290" i="26"/>
  <c r="AT280" i="26"/>
  <c r="AT245" i="26"/>
  <c r="AT231" i="26"/>
  <c r="AT259" i="26"/>
  <c r="AK9" i="35"/>
  <c r="AK52" i="33"/>
  <c r="AK9" i="32"/>
  <c r="AK9" i="30"/>
  <c r="AK308" i="26"/>
  <c r="AK271" i="26"/>
  <c r="AK231" i="26"/>
  <c r="AK259" i="26"/>
  <c r="AK280" i="26"/>
  <c r="AK290" i="26"/>
  <c r="AK245" i="26"/>
  <c r="F169" i="1"/>
  <c r="E169" i="1" a="1"/>
  <c r="AS459" i="9" l="1"/>
  <c r="AS422" i="9"/>
  <c r="BF21" i="35"/>
  <c r="BF18" i="35"/>
  <c r="BF19" i="35" s="1"/>
  <c r="BF15" i="35"/>
  <c r="BF16" i="35" s="1"/>
  <c r="BF13" i="35"/>
  <c r="AI176" i="30"/>
  <c r="AI206" i="30"/>
  <c r="AI88" i="33" s="1"/>
  <c r="AI90" i="33" s="1"/>
  <c r="AI131" i="30"/>
  <c r="AI110" i="30"/>
  <c r="AI22" i="32" s="1"/>
  <c r="AI99" i="33" s="1"/>
  <c r="AR538" i="9"/>
  <c r="AR183" i="9"/>
  <c r="CA9" i="35"/>
  <c r="CA52" i="33"/>
  <c r="CA9" i="32"/>
  <c r="CA9" i="30"/>
  <c r="AQ602" i="9"/>
  <c r="AQ884" i="9" s="1"/>
  <c r="AR85" i="9"/>
  <c r="AQ603" i="9"/>
  <c r="AQ885" i="9" s="1"/>
  <c r="AR104" i="9"/>
  <c r="AR451" i="9"/>
  <c r="AR270" i="9"/>
  <c r="BA176" i="30"/>
  <c r="BA206" i="30"/>
  <c r="BA88" i="33" s="1"/>
  <c r="BA90" i="33" s="1"/>
  <c r="BA131" i="30"/>
  <c r="BA110" i="30"/>
  <c r="BA22" i="32" s="1"/>
  <c r="BA99" i="33" s="1"/>
  <c r="BD21" i="35"/>
  <c r="BD18" i="35"/>
  <c r="BD19" i="35" s="1"/>
  <c r="BD15" i="35"/>
  <c r="BD16" i="35" s="1"/>
  <c r="BD13" i="35"/>
  <c r="AP176" i="30"/>
  <c r="AP206" i="30"/>
  <c r="AP88" i="33" s="1"/>
  <c r="AP90" i="33" s="1"/>
  <c r="AP131" i="30"/>
  <c r="AP110" i="30"/>
  <c r="AP22" i="32" s="1"/>
  <c r="AP99" i="33" s="1"/>
  <c r="BD25" i="6"/>
  <c r="BE220" i="26"/>
  <c r="BE229" i="26" s="1"/>
  <c r="BD231" i="26"/>
  <c r="AQ601" i="9"/>
  <c r="AQ883" i="9" s="1"/>
  <c r="AR66" i="9"/>
  <c r="AR452" i="9"/>
  <c r="AR289" i="9"/>
  <c r="AR365" i="9"/>
  <c r="AR456" i="9"/>
  <c r="AQ176" i="30"/>
  <c r="AQ206" i="30"/>
  <c r="AQ88" i="33" s="1"/>
  <c r="AQ90" i="33" s="1"/>
  <c r="AQ131" i="30"/>
  <c r="AQ110" i="30"/>
  <c r="AQ22" i="32" s="1"/>
  <c r="AQ99" i="33" s="1"/>
  <c r="AV176" i="30"/>
  <c r="AV206" i="30"/>
  <c r="AV88" i="33" s="1"/>
  <c r="AV90" i="33" s="1"/>
  <c r="AV131" i="30"/>
  <c r="AV110" i="30"/>
  <c r="AV22" i="32" s="1"/>
  <c r="AV99" i="33" s="1"/>
  <c r="AO21" i="35"/>
  <c r="AO18" i="35"/>
  <c r="AO19" i="35" s="1"/>
  <c r="AO15" i="35"/>
  <c r="AO16" i="35" s="1"/>
  <c r="AO13" i="35"/>
  <c r="AH21" i="35"/>
  <c r="AH18" i="35"/>
  <c r="AH19" i="35" s="1"/>
  <c r="AH15" i="35"/>
  <c r="AH16" i="35" s="1"/>
  <c r="AH13" i="35"/>
  <c r="AD176" i="30"/>
  <c r="AD206" i="30"/>
  <c r="AD88" i="33" s="1"/>
  <c r="AD90" i="33" s="1"/>
  <c r="AD131" i="30"/>
  <c r="AD110" i="30"/>
  <c r="AD22" i="32" s="1"/>
  <c r="AD99" i="33" s="1"/>
  <c r="BJ21" i="35"/>
  <c r="BJ18" i="35"/>
  <c r="BJ19" i="35" s="1"/>
  <c r="BJ15" i="35"/>
  <c r="BJ16" i="35" s="1"/>
  <c r="BJ13" i="35"/>
  <c r="AQ1013" i="9"/>
  <c r="AQ522" i="9"/>
  <c r="AQ310" i="9"/>
  <c r="AR304" i="9"/>
  <c r="BG176" i="30"/>
  <c r="BG206" i="30"/>
  <c r="BG88" i="33" s="1"/>
  <c r="BG90" i="33" s="1"/>
  <c r="BG131" i="30"/>
  <c r="BC67" i="30"/>
  <c r="AC176" i="30"/>
  <c r="AC131" i="30"/>
  <c r="AC206" i="30"/>
  <c r="AC88" i="33" s="1"/>
  <c r="AC90" i="33" s="1"/>
  <c r="AC110" i="30"/>
  <c r="AC22" i="32" s="1"/>
  <c r="AC99" i="33" s="1"/>
  <c r="BI21" i="35"/>
  <c r="BI18" i="35"/>
  <c r="BI19" i="35" s="1"/>
  <c r="BI15" i="35"/>
  <c r="BI16" i="35" s="1"/>
  <c r="BI13" i="35"/>
  <c r="AL21" i="35"/>
  <c r="AL18" i="35"/>
  <c r="AL19" i="35" s="1"/>
  <c r="AL15" i="35"/>
  <c r="AL16" i="35" s="1"/>
  <c r="AL13" i="35"/>
  <c r="AQ616" i="9"/>
  <c r="AQ898" i="9" s="1"/>
  <c r="AR351" i="9"/>
  <c r="AM176" i="30"/>
  <c r="AM206" i="30"/>
  <c r="AM88" i="33" s="1"/>
  <c r="AM90" i="33" s="1"/>
  <c r="AM131" i="30"/>
  <c r="AM110" i="30"/>
  <c r="AM22" i="32" s="1"/>
  <c r="AM99" i="33" s="1"/>
  <c r="BZ9" i="35"/>
  <c r="BZ52" i="33"/>
  <c r="BZ9" i="32"/>
  <c r="BZ9" i="30"/>
  <c r="AN176" i="30"/>
  <c r="AN206" i="30"/>
  <c r="AN88" i="33" s="1"/>
  <c r="AN90" i="33" s="1"/>
  <c r="AN131" i="30"/>
  <c r="AN110" i="30"/>
  <c r="AN22" i="32" s="1"/>
  <c r="AN99" i="33" s="1"/>
  <c r="BF179" i="6"/>
  <c r="BF101" i="30" s="1"/>
  <c r="BG293" i="26"/>
  <c r="BG298" i="26" s="1"/>
  <c r="AQ611" i="9"/>
  <c r="AQ893" i="9" s="1"/>
  <c r="AR256" i="9"/>
  <c r="AU21" i="35"/>
  <c r="AU18" i="35"/>
  <c r="AU19" i="35" s="1"/>
  <c r="AU15" i="35"/>
  <c r="AU16" i="35" s="1"/>
  <c r="AU13" i="35"/>
  <c r="AR443" i="9"/>
  <c r="AR118" i="9"/>
  <c r="AQ1002" i="9"/>
  <c r="AQ511" i="9"/>
  <c r="AQ101" i="9"/>
  <c r="AR95" i="9"/>
  <c r="W131" i="13"/>
  <c r="W130" i="13"/>
  <c r="W132" i="13"/>
  <c r="AR21" i="35"/>
  <c r="AR18" i="35"/>
  <c r="AR19" i="35" s="1"/>
  <c r="AR15" i="35"/>
  <c r="AR16" i="35" s="1"/>
  <c r="AR13" i="35"/>
  <c r="AE21" i="35"/>
  <c r="AE18" i="35"/>
  <c r="AE19" i="35" s="1"/>
  <c r="AE15" i="35"/>
  <c r="AE16" i="35" s="1"/>
  <c r="AE13" i="35"/>
  <c r="AY21" i="35"/>
  <c r="AY18" i="35"/>
  <c r="AY19" i="35" s="1"/>
  <c r="AY15" i="35"/>
  <c r="AY16" i="35" s="1"/>
  <c r="AY13" i="35"/>
  <c r="AR541" i="9"/>
  <c r="AR240" i="9"/>
  <c r="AF21" i="35"/>
  <c r="AF18" i="35"/>
  <c r="AF19" i="35" s="1"/>
  <c r="AF15" i="35"/>
  <c r="AF16" i="35" s="1"/>
  <c r="AF13" i="35"/>
  <c r="BE176" i="30"/>
  <c r="BE206" i="30"/>
  <c r="BE88" i="33" s="1"/>
  <c r="BE90" i="33" s="1"/>
  <c r="BE131" i="30"/>
  <c r="AX21" i="35"/>
  <c r="AX18" i="35"/>
  <c r="AX19" i="35" s="1"/>
  <c r="AX15" i="35"/>
  <c r="AX16" i="35" s="1"/>
  <c r="AX13" i="35"/>
  <c r="BH176" i="30"/>
  <c r="BH206" i="30"/>
  <c r="BH88" i="33" s="1"/>
  <c r="BH90" i="33" s="1"/>
  <c r="BH131" i="30"/>
  <c r="AI21" i="35"/>
  <c r="AI18" i="35"/>
  <c r="AI19" i="35" s="1"/>
  <c r="AI15" i="35"/>
  <c r="AI16" i="35" s="1"/>
  <c r="AI13" i="35"/>
  <c r="AR457" i="9"/>
  <c r="AR384" i="9"/>
  <c r="AG176" i="30"/>
  <c r="AG206" i="30"/>
  <c r="AG88" i="33" s="1"/>
  <c r="AG90" i="33" s="1"/>
  <c r="AG131" i="30"/>
  <c r="AG110" i="30"/>
  <c r="AG22" i="32" s="1"/>
  <c r="AG99" i="33" s="1"/>
  <c r="BD28" i="6"/>
  <c r="BD68" i="30" s="1"/>
  <c r="BE234" i="26"/>
  <c r="BE243" i="26" s="1"/>
  <c r="BD245" i="26"/>
  <c r="AA131" i="30"/>
  <c r="AA176" i="30"/>
  <c r="AA206" i="30"/>
  <c r="AA88" i="33" s="1"/>
  <c r="AA90" i="33" s="1"/>
  <c r="AA110" i="30"/>
  <c r="AA22" i="32" s="1"/>
  <c r="AA99" i="33" s="1"/>
  <c r="BA21" i="35"/>
  <c r="BA18" i="35"/>
  <c r="BA19" i="35" s="1"/>
  <c r="BA15" i="35"/>
  <c r="BA16" i="35" s="1"/>
  <c r="BA13" i="35"/>
  <c r="AQ613" i="9"/>
  <c r="AQ895" i="9" s="1"/>
  <c r="AR294" i="9"/>
  <c r="AR458" i="9"/>
  <c r="AR403" i="9"/>
  <c r="AW176" i="30"/>
  <c r="AW206" i="30"/>
  <c r="AW88" i="33" s="1"/>
  <c r="AW90" i="33" s="1"/>
  <c r="AW131" i="30"/>
  <c r="AW110" i="30"/>
  <c r="AW22" i="32" s="1"/>
  <c r="AW99" i="33" s="1"/>
  <c r="AP21" i="35"/>
  <c r="AP18" i="35"/>
  <c r="AP19" i="35" s="1"/>
  <c r="AP15" i="35"/>
  <c r="AP16" i="35" s="1"/>
  <c r="AP13" i="35"/>
  <c r="AQ615" i="9"/>
  <c r="AQ897" i="9" s="1"/>
  <c r="AR332" i="9"/>
  <c r="AR450" i="9"/>
  <c r="AR251" i="9"/>
  <c r="AQ1001" i="9"/>
  <c r="AQ510" i="9"/>
  <c r="AR76" i="9"/>
  <c r="AQ82" i="9"/>
  <c r="AQ608" i="9"/>
  <c r="AQ890" i="9" s="1"/>
  <c r="AR199" i="9"/>
  <c r="AQ1015" i="9"/>
  <c r="AQ524" i="9"/>
  <c r="AR342" i="9"/>
  <c r="AQ348" i="9"/>
  <c r="BD52" i="6"/>
  <c r="BD290" i="26"/>
  <c r="BE283" i="26"/>
  <c r="BE288" i="26" s="1"/>
  <c r="AJ176" i="30"/>
  <c r="AJ206" i="30"/>
  <c r="AJ88" i="33" s="1"/>
  <c r="AJ90" i="33" s="1"/>
  <c r="AJ131" i="30"/>
  <c r="AJ110" i="30"/>
  <c r="AJ22" i="32" s="1"/>
  <c r="AJ99" i="33" s="1"/>
  <c r="AQ21" i="35"/>
  <c r="AQ18" i="35"/>
  <c r="AQ19" i="35" s="1"/>
  <c r="AQ15" i="35"/>
  <c r="AQ16" i="35" s="1"/>
  <c r="AQ13" i="35"/>
  <c r="AS176" i="30"/>
  <c r="AS206" i="30"/>
  <c r="AS88" i="33" s="1"/>
  <c r="AS90" i="33" s="1"/>
  <c r="AS131" i="30"/>
  <c r="AS110" i="30"/>
  <c r="AS22" i="32" s="1"/>
  <c r="AS99" i="33" s="1"/>
  <c r="BB176" i="30"/>
  <c r="BB206" i="30"/>
  <c r="BB88" i="33" s="1"/>
  <c r="BB90" i="33" s="1"/>
  <c r="BB131" i="30"/>
  <c r="BB110" i="30"/>
  <c r="BB22" i="32" s="1"/>
  <c r="BB99" i="33" s="1"/>
  <c r="AV21" i="35"/>
  <c r="AV18" i="35"/>
  <c r="AV19" i="35" s="1"/>
  <c r="AV15" i="35"/>
  <c r="AV16" i="35" s="1"/>
  <c r="AV13" i="35"/>
  <c r="BC176" i="30"/>
  <c r="BC206" i="30"/>
  <c r="BC88" i="33" s="1"/>
  <c r="BC90" i="33" s="1"/>
  <c r="BC131" i="30"/>
  <c r="BC110" i="30"/>
  <c r="BC22" i="32" s="1"/>
  <c r="BC99" i="33" s="1"/>
  <c r="AR543" i="9"/>
  <c r="AR278" i="9"/>
  <c r="AD21" i="35"/>
  <c r="AD18" i="35"/>
  <c r="AD19" i="35" s="1"/>
  <c r="AD15" i="35"/>
  <c r="AD16" i="35" s="1"/>
  <c r="AD13" i="35"/>
  <c r="BY9" i="35"/>
  <c r="BY52" i="33"/>
  <c r="BY9" i="32"/>
  <c r="BY9" i="30"/>
  <c r="AR454" i="9"/>
  <c r="AR327" i="9"/>
  <c r="BG21" i="35"/>
  <c r="BG18" i="35"/>
  <c r="BG19" i="35" s="1"/>
  <c r="BG15" i="35"/>
  <c r="BG16" i="35" s="1"/>
  <c r="BG13" i="35"/>
  <c r="AR536" i="9"/>
  <c r="AR145" i="9"/>
  <c r="AC21" i="35"/>
  <c r="AC18" i="35"/>
  <c r="AC19" i="35" s="1"/>
  <c r="AC15" i="35"/>
  <c r="AC16" i="35" s="1"/>
  <c r="AC13" i="35"/>
  <c r="AZ176" i="30"/>
  <c r="AZ206" i="30"/>
  <c r="AZ88" i="33" s="1"/>
  <c r="AZ90" i="33" s="1"/>
  <c r="AZ131" i="30"/>
  <c r="AZ110" i="30"/>
  <c r="AZ22" i="32" s="1"/>
  <c r="AZ99" i="33" s="1"/>
  <c r="BD31" i="6"/>
  <c r="BD69" i="30" s="1"/>
  <c r="BD259" i="26"/>
  <c r="BE248" i="26"/>
  <c r="BE257" i="26" s="1"/>
  <c r="AR448" i="9"/>
  <c r="AR213" i="9"/>
  <c r="AM21" i="35"/>
  <c r="AM18" i="35"/>
  <c r="AM19" i="35" s="1"/>
  <c r="AM15" i="35"/>
  <c r="AM16" i="35" s="1"/>
  <c r="AM13" i="35"/>
  <c r="AK21" i="35"/>
  <c r="AK18" i="35"/>
  <c r="AK19" i="35" s="1"/>
  <c r="AK15" i="35"/>
  <c r="AK16" i="35" s="1"/>
  <c r="AK13" i="35"/>
  <c r="AT21" i="35"/>
  <c r="AT18" i="35"/>
  <c r="AT19" i="35" s="1"/>
  <c r="AT15" i="35"/>
  <c r="AT16" i="35" s="1"/>
  <c r="AT13" i="35"/>
  <c r="AQ1007" i="9"/>
  <c r="AQ516" i="9"/>
  <c r="AR190" i="9"/>
  <c r="AQ196" i="9"/>
  <c r="AR535" i="9"/>
  <c r="AR126" i="9"/>
  <c r="AN21" i="35"/>
  <c r="AN18" i="35"/>
  <c r="AN19" i="35" s="1"/>
  <c r="AN15" i="35"/>
  <c r="AN16" i="35" s="1"/>
  <c r="AN13" i="35"/>
  <c r="BF176" i="30"/>
  <c r="BF206" i="30"/>
  <c r="BF88" i="33" s="1"/>
  <c r="BF90" i="33" s="1"/>
  <c r="BF131" i="30"/>
  <c r="AQ606" i="9"/>
  <c r="AQ888" i="9" s="1"/>
  <c r="AR161" i="9"/>
  <c r="BD176" i="30"/>
  <c r="BD206" i="30"/>
  <c r="BD88" i="33" s="1"/>
  <c r="BD90" i="33" s="1"/>
  <c r="BD131" i="30"/>
  <c r="BE37" i="6"/>
  <c r="BE71" i="30" s="1"/>
  <c r="BE271" i="26"/>
  <c r="BF262" i="26"/>
  <c r="BF269" i="26" s="1"/>
  <c r="AR549" i="9"/>
  <c r="AR392" i="9"/>
  <c r="BD34" i="6"/>
  <c r="BD70" i="30" s="1"/>
  <c r="BD280" i="26"/>
  <c r="BE274" i="26"/>
  <c r="BE278" i="26" s="1"/>
  <c r="BE21" i="35"/>
  <c r="BE18" i="35"/>
  <c r="BE19" i="35" s="1"/>
  <c r="BE15" i="35"/>
  <c r="BE16" i="35" s="1"/>
  <c r="BE13" i="35"/>
  <c r="AR548" i="9"/>
  <c r="AR373" i="9"/>
  <c r="AT176" i="30"/>
  <c r="AT206" i="30"/>
  <c r="AT88" i="33" s="1"/>
  <c r="AT90" i="33" s="1"/>
  <c r="AT131" i="30"/>
  <c r="AT110" i="30"/>
  <c r="AT22" i="32" s="1"/>
  <c r="AT99" i="33" s="1"/>
  <c r="BE190" i="30"/>
  <c r="BE110" i="30"/>
  <c r="BE22" i="32" s="1"/>
  <c r="BE99" i="33" s="1"/>
  <c r="AK176" i="30"/>
  <c r="AK206" i="30"/>
  <c r="AK88" i="33" s="1"/>
  <c r="AK90" i="33" s="1"/>
  <c r="AK131" i="30"/>
  <c r="AK110" i="30"/>
  <c r="AK22" i="32" s="1"/>
  <c r="AK99" i="33" s="1"/>
  <c r="AR609" i="9"/>
  <c r="AR891" i="9" s="1"/>
  <c r="AS218" i="9"/>
  <c r="BC77" i="30"/>
  <c r="AB176" i="30"/>
  <c r="AB131" i="30"/>
  <c r="AB206" i="30"/>
  <c r="AB88" i="33" s="1"/>
  <c r="AB90" i="33" s="1"/>
  <c r="AB110" i="30"/>
  <c r="AB22" i="32" s="1"/>
  <c r="AB99" i="33" s="1"/>
  <c r="BH21" i="35"/>
  <c r="BH18" i="35"/>
  <c r="BH19" i="35" s="1"/>
  <c r="BH15" i="35"/>
  <c r="BH16" i="35" s="1"/>
  <c r="BH13" i="35"/>
  <c r="AG21" i="35"/>
  <c r="AG18" i="35"/>
  <c r="AG19" i="35" s="1"/>
  <c r="AG15" i="35"/>
  <c r="AG16" i="35" s="1"/>
  <c r="AG13" i="35"/>
  <c r="Y131" i="13"/>
  <c r="Y130" i="13"/>
  <c r="Y132" i="13"/>
  <c r="AR444" i="9"/>
  <c r="AR137" i="9"/>
  <c r="AO176" i="30"/>
  <c r="AO206" i="30"/>
  <c r="AO88" i="33" s="1"/>
  <c r="AO90" i="33" s="1"/>
  <c r="AO131" i="30"/>
  <c r="AO110" i="30"/>
  <c r="AO22" i="32" s="1"/>
  <c r="AO99" i="33" s="1"/>
  <c r="AH176" i="30"/>
  <c r="AH206" i="30"/>
  <c r="AH88" i="33" s="1"/>
  <c r="AH90" i="33" s="1"/>
  <c r="AH131" i="30"/>
  <c r="AH110" i="30"/>
  <c r="AH22" i="32" s="1"/>
  <c r="AH99" i="33" s="1"/>
  <c r="AA21" i="35"/>
  <c r="AA18" i="35"/>
  <c r="AA19" i="35" s="1"/>
  <c r="AA15" i="35"/>
  <c r="AA16" i="35" s="1"/>
  <c r="AA13" i="35"/>
  <c r="BJ176" i="30"/>
  <c r="BJ206" i="30"/>
  <c r="BJ88" i="33" s="1"/>
  <c r="BJ90" i="33" s="1"/>
  <c r="AW21" i="35"/>
  <c r="AW18" i="35"/>
  <c r="AW19" i="35" s="1"/>
  <c r="AW15" i="35"/>
  <c r="AW16" i="35" s="1"/>
  <c r="AW13" i="35"/>
  <c r="V66" i="35"/>
  <c r="CY13" i="30"/>
  <c r="CQ13" i="30" s="1"/>
  <c r="BI176" i="30"/>
  <c r="BI206" i="30"/>
  <c r="BI88" i="33" s="1"/>
  <c r="BI90" i="33" s="1"/>
  <c r="AL176" i="30"/>
  <c r="AL206" i="30"/>
  <c r="AL88" i="33" s="1"/>
  <c r="AL90" i="33" s="1"/>
  <c r="AL131" i="30"/>
  <c r="AL110" i="30"/>
  <c r="AL22" i="32" s="1"/>
  <c r="AL99" i="33" s="1"/>
  <c r="AQ619" i="9"/>
  <c r="AQ901" i="9" s="1"/>
  <c r="AR408" i="9"/>
  <c r="BD134" i="30"/>
  <c r="BE245" i="6"/>
  <c r="BE248" i="6" s="1"/>
  <c r="BD110" i="30"/>
  <c r="BD22" i="32" s="1"/>
  <c r="BD99" i="33" s="1"/>
  <c r="BI131" i="30"/>
  <c r="AB21" i="35"/>
  <c r="AB18" i="35"/>
  <c r="AB19" i="35" s="1"/>
  <c r="AB15" i="35"/>
  <c r="AB16" i="35" s="1"/>
  <c r="AB13" i="35"/>
  <c r="AR445" i="9"/>
  <c r="AR156" i="9"/>
  <c r="AJ21" i="35"/>
  <c r="AJ18" i="35"/>
  <c r="AJ19" i="35" s="1"/>
  <c r="AJ15" i="35"/>
  <c r="AJ16" i="35" s="1"/>
  <c r="AJ13" i="35"/>
  <c r="AU176" i="30"/>
  <c r="AU206" i="30"/>
  <c r="AU88" i="33" s="1"/>
  <c r="AU90" i="33" s="1"/>
  <c r="AU131" i="30"/>
  <c r="AU110" i="30"/>
  <c r="AU22" i="32" s="1"/>
  <c r="AU99" i="33" s="1"/>
  <c r="AS21" i="35"/>
  <c r="AS18" i="35"/>
  <c r="AS19" i="35" s="1"/>
  <c r="AS15" i="35"/>
  <c r="AS16" i="35" s="1"/>
  <c r="AS13" i="35"/>
  <c r="BB21" i="35"/>
  <c r="BB18" i="35"/>
  <c r="BB19" i="35" s="1"/>
  <c r="BB15" i="35"/>
  <c r="BB16" i="35" s="1"/>
  <c r="BB13" i="35"/>
  <c r="AR545" i="9"/>
  <c r="AR316" i="9"/>
  <c r="BC21" i="35"/>
  <c r="BC18" i="35"/>
  <c r="BC19" i="35" s="1"/>
  <c r="BC15" i="35"/>
  <c r="BC16" i="35" s="1"/>
  <c r="BC13" i="35"/>
  <c r="AR449" i="9"/>
  <c r="AR232" i="9"/>
  <c r="AR176" i="30"/>
  <c r="AR206" i="30"/>
  <c r="AR88" i="33" s="1"/>
  <c r="AR90" i="33" s="1"/>
  <c r="AR131" i="30"/>
  <c r="AR110" i="30"/>
  <c r="AR22" i="32" s="1"/>
  <c r="AR99" i="33" s="1"/>
  <c r="AQ1006" i="9"/>
  <c r="AQ515" i="9"/>
  <c r="AQ177" i="9"/>
  <c r="AR171" i="9"/>
  <c r="AE176" i="30"/>
  <c r="AE206" i="30"/>
  <c r="AE88" i="33" s="1"/>
  <c r="AE90" i="33" s="1"/>
  <c r="AE131" i="30"/>
  <c r="AE110" i="30"/>
  <c r="AE22" i="32" s="1"/>
  <c r="AE99" i="33" s="1"/>
  <c r="AY176" i="30"/>
  <c r="AY206" i="30"/>
  <c r="AY88" i="33" s="1"/>
  <c r="AY90" i="33" s="1"/>
  <c r="AY131" i="30"/>
  <c r="AY110" i="30"/>
  <c r="AY22" i="32" s="1"/>
  <c r="AY99" i="33" s="1"/>
  <c r="AR440" i="9"/>
  <c r="AR61" i="9"/>
  <c r="AF176" i="30"/>
  <c r="AF206" i="30"/>
  <c r="AF88" i="33" s="1"/>
  <c r="AF90" i="33" s="1"/>
  <c r="AF131" i="30"/>
  <c r="AF110" i="30"/>
  <c r="AF22" i="32" s="1"/>
  <c r="AF99" i="33" s="1"/>
  <c r="AR551" i="9"/>
  <c r="AR430" i="9"/>
  <c r="AZ21" i="35"/>
  <c r="AZ18" i="35"/>
  <c r="AZ19" i="35" s="1"/>
  <c r="AZ15" i="35"/>
  <c r="AZ16" i="35" s="1"/>
  <c r="AZ13" i="35"/>
  <c r="X132" i="13"/>
  <c r="X131" i="13"/>
  <c r="X130" i="13"/>
  <c r="BD73" i="33"/>
  <c r="AX176" i="30"/>
  <c r="AX206" i="30"/>
  <c r="AX88" i="33" s="1"/>
  <c r="AX90" i="33" s="1"/>
  <c r="AX131" i="30"/>
  <c r="AX110" i="30"/>
  <c r="AX22" i="32" s="1"/>
  <c r="AX99" i="33" s="1"/>
  <c r="BJ131" i="30"/>
  <c r="E169" i="1"/>
  <c r="C169" i="1"/>
  <c r="EY169" i="1" s="1"/>
  <c r="CI168" i="1"/>
  <c r="CI168" i="20" s="1"/>
  <c r="CH168" i="1"/>
  <c r="CH168" i="20" s="1"/>
  <c r="CG168" i="1"/>
  <c r="CG168" i="20" s="1"/>
  <c r="CF168" i="1"/>
  <c r="CF168" i="20" s="1"/>
  <c r="CE168" i="1"/>
  <c r="CE168" i="20" s="1"/>
  <c r="CD168" i="1"/>
  <c r="CD168" i="20" s="1"/>
  <c r="CC168" i="1"/>
  <c r="CC168" i="20" s="1"/>
  <c r="CB168" i="1"/>
  <c r="CB168" i="20" s="1"/>
  <c r="BJ168" i="1"/>
  <c r="BJ168" i="20" s="1"/>
  <c r="BI168" i="1"/>
  <c r="BI168" i="20" s="1"/>
  <c r="BH168" i="1"/>
  <c r="BH168" i="20" s="1"/>
  <c r="BG168" i="1"/>
  <c r="BG168" i="20" s="1"/>
  <c r="BF168" i="1"/>
  <c r="BF168" i="20" s="1"/>
  <c r="BE168" i="1"/>
  <c r="BE168" i="20" s="1"/>
  <c r="BD168" i="1"/>
  <c r="BD168" i="20" s="1"/>
  <c r="BC168" i="1"/>
  <c r="BC168" i="20" s="1"/>
  <c r="BB168" i="1"/>
  <c r="BB168" i="20" s="1"/>
  <c r="BA168" i="1"/>
  <c r="BA168" i="20" s="1"/>
  <c r="AZ168" i="1"/>
  <c r="AZ168" i="20" s="1"/>
  <c r="AY168" i="1"/>
  <c r="AY168" i="20" s="1"/>
  <c r="AX168" i="1"/>
  <c r="AX168" i="20" s="1"/>
  <c r="AW168" i="1"/>
  <c r="AW168" i="20" s="1"/>
  <c r="AV168" i="1"/>
  <c r="AV168" i="20" s="1"/>
  <c r="AU168" i="1"/>
  <c r="AU168" i="20" s="1"/>
  <c r="AT168" i="1"/>
  <c r="AT168" i="20" s="1"/>
  <c r="AS168" i="1"/>
  <c r="AS168" i="20" s="1"/>
  <c r="AR168" i="1"/>
  <c r="AR168" i="20" s="1"/>
  <c r="AQ168" i="1"/>
  <c r="AQ168" i="20" s="1"/>
  <c r="AP168" i="1"/>
  <c r="AP168" i="20" s="1"/>
  <c r="AO168" i="1"/>
  <c r="AO168" i="20" s="1"/>
  <c r="AN168" i="1"/>
  <c r="AN168" i="20" s="1"/>
  <c r="AM168" i="1"/>
  <c r="AM168" i="20" s="1"/>
  <c r="AL168" i="1"/>
  <c r="AL168" i="20" s="1"/>
  <c r="AK168" i="1"/>
  <c r="AK168" i="20" s="1"/>
  <c r="AJ168" i="1"/>
  <c r="AJ168" i="20" s="1"/>
  <c r="AI168" i="1"/>
  <c r="AI168" i="20" s="1"/>
  <c r="AH168" i="1"/>
  <c r="AH168" i="20" s="1"/>
  <c r="AG168" i="1"/>
  <c r="AG168" i="20" s="1"/>
  <c r="AF168" i="1"/>
  <c r="AF168" i="20" s="1"/>
  <c r="AE168" i="1"/>
  <c r="AE168" i="20" s="1"/>
  <c r="AD168" i="1"/>
  <c r="AD168" i="20" s="1"/>
  <c r="AC168" i="1"/>
  <c r="AC168" i="20" s="1"/>
  <c r="AB168" i="1"/>
  <c r="AB168" i="20" s="1"/>
  <c r="AA168" i="1"/>
  <c r="AA168" i="20" s="1"/>
  <c r="E168" i="1" a="1"/>
  <c r="AR614" i="9" l="1"/>
  <c r="AR896" i="9" s="1"/>
  <c r="AS313" i="9"/>
  <c r="BE34" i="6"/>
  <c r="BE70" i="30" s="1"/>
  <c r="BE280" i="26"/>
  <c r="BF274" i="26"/>
  <c r="BF278" i="26" s="1"/>
  <c r="AR537" i="9"/>
  <c r="AR164" i="9"/>
  <c r="BE31" i="6"/>
  <c r="BE69" i="30" s="1"/>
  <c r="BF248" i="26"/>
  <c r="BF257" i="26" s="1"/>
  <c r="BE259" i="26"/>
  <c r="AR1010" i="9"/>
  <c r="AR253" i="9"/>
  <c r="AR519" i="9"/>
  <c r="AS247" i="9"/>
  <c r="AR544" i="9"/>
  <c r="AR297" i="9"/>
  <c r="BG179" i="6"/>
  <c r="BG101" i="30" s="1"/>
  <c r="BH293" i="26"/>
  <c r="BH298" i="26" s="1"/>
  <c r="AR1012" i="9"/>
  <c r="AR521" i="9"/>
  <c r="AR291" i="9"/>
  <c r="AS285" i="9"/>
  <c r="AR446" i="9"/>
  <c r="AR175" i="9"/>
  <c r="BF37" i="6"/>
  <c r="BF71" i="30" s="1"/>
  <c r="BG262" i="26"/>
  <c r="BG269" i="26" s="1"/>
  <c r="BF271" i="26"/>
  <c r="BE52" i="6"/>
  <c r="BE290" i="26"/>
  <c r="BF283" i="26"/>
  <c r="BF288" i="26" s="1"/>
  <c r="AR610" i="9"/>
  <c r="AR892" i="9" s="1"/>
  <c r="AS237" i="9"/>
  <c r="BF190" i="30"/>
  <c r="BF110" i="30"/>
  <c r="BF22" i="32" s="1"/>
  <c r="BF99" i="33" s="1"/>
  <c r="AR547" i="9"/>
  <c r="AR354" i="9"/>
  <c r="AR534" i="9"/>
  <c r="AR107" i="9"/>
  <c r="AR607" i="9"/>
  <c r="AR889" i="9" s="1"/>
  <c r="AS180" i="9"/>
  <c r="AR1009" i="9"/>
  <c r="AR518" i="9"/>
  <c r="AS228" i="9"/>
  <c r="AR234" i="9"/>
  <c r="AR617" i="9"/>
  <c r="AR899" i="9" s="1"/>
  <c r="AS370" i="9"/>
  <c r="AR604" i="9"/>
  <c r="AR886" i="9" s="1"/>
  <c r="AS123" i="9"/>
  <c r="AR1014" i="9"/>
  <c r="AR523" i="9"/>
  <c r="AR329" i="9"/>
  <c r="AS323" i="9"/>
  <c r="AR539" i="9"/>
  <c r="AR202" i="9"/>
  <c r="AR532" i="9"/>
  <c r="AR69" i="9"/>
  <c r="AR1005" i="9"/>
  <c r="AR514" i="9"/>
  <c r="AR158" i="9"/>
  <c r="AS152" i="9"/>
  <c r="AR618" i="9"/>
  <c r="AR900" i="9" s="1"/>
  <c r="AS389" i="9"/>
  <c r="BD77" i="30"/>
  <c r="AR546" i="9"/>
  <c r="AR335" i="9"/>
  <c r="AR442" i="9"/>
  <c r="AR99" i="9"/>
  <c r="AR533" i="9"/>
  <c r="AR88" i="9"/>
  <c r="AS540" i="9"/>
  <c r="AS221" i="9"/>
  <c r="BE134" i="30"/>
  <c r="BF245" i="6"/>
  <c r="BF248" i="6" s="1"/>
  <c r="BE73" i="33"/>
  <c r="AR605" i="9"/>
  <c r="AR887" i="9" s="1"/>
  <c r="AS142" i="9"/>
  <c r="AR612" i="9"/>
  <c r="AR894" i="9" s="1"/>
  <c r="AS275" i="9"/>
  <c r="BE28" i="6"/>
  <c r="BE68" i="30" s="1"/>
  <c r="BF234" i="26"/>
  <c r="BF243" i="26" s="1"/>
  <c r="BE245" i="26"/>
  <c r="AR1017" i="9"/>
  <c r="AR526" i="9"/>
  <c r="AR386" i="9"/>
  <c r="AS380" i="9"/>
  <c r="AR1000" i="9"/>
  <c r="AR509" i="9"/>
  <c r="AR63" i="9"/>
  <c r="AS57" i="9"/>
  <c r="AR194" i="9"/>
  <c r="AR447" i="9"/>
  <c r="AR455" i="9"/>
  <c r="AR346" i="9"/>
  <c r="AR441" i="9"/>
  <c r="AR80" i="9"/>
  <c r="AR542" i="9"/>
  <c r="AR259" i="9"/>
  <c r="AR453" i="9"/>
  <c r="AR308" i="9"/>
  <c r="AR1011" i="9"/>
  <c r="AR520" i="9"/>
  <c r="AR272" i="9"/>
  <c r="AS266" i="9"/>
  <c r="AS1019" i="9"/>
  <c r="AS528" i="9"/>
  <c r="AT418" i="9"/>
  <c r="AS424" i="9"/>
  <c r="AR620" i="9"/>
  <c r="AR902" i="9" s="1"/>
  <c r="AS427" i="9"/>
  <c r="AR1008" i="9"/>
  <c r="AR517" i="9"/>
  <c r="AS209" i="9"/>
  <c r="AR215" i="9"/>
  <c r="AR1018" i="9"/>
  <c r="AR405" i="9"/>
  <c r="AS399" i="9"/>
  <c r="AR527" i="9"/>
  <c r="BE25" i="6"/>
  <c r="BF220" i="26"/>
  <c r="BF229" i="26" s="1"/>
  <c r="BE231" i="26"/>
  <c r="AR550" i="9"/>
  <c r="AR411" i="9"/>
  <c r="AR1004" i="9"/>
  <c r="AR513" i="9"/>
  <c r="AR139" i="9"/>
  <c r="AS133" i="9"/>
  <c r="AR1003" i="9"/>
  <c r="AR512" i="9"/>
  <c r="AR120" i="9"/>
  <c r="AS114" i="9"/>
  <c r="AR1016" i="9"/>
  <c r="AR525" i="9"/>
  <c r="AS361" i="9"/>
  <c r="AR367" i="9"/>
  <c r="BD67" i="30"/>
  <c r="E168" i="1"/>
  <c r="C168" i="1"/>
  <c r="EY168" i="1" s="1"/>
  <c r="EY167" i="1"/>
  <c r="EY166" i="1"/>
  <c r="C166" i="1"/>
  <c r="EY165" i="1"/>
  <c r="EY164" i="1"/>
  <c r="C164" i="1"/>
  <c r="EY163" i="1"/>
  <c r="BX163" i="1"/>
  <c r="BX163" i="20" s="1"/>
  <c r="C163" i="1"/>
  <c r="EY162" i="1"/>
  <c r="BX162" i="1"/>
  <c r="CZ162" i="1" s="1"/>
  <c r="CR162" i="1" s="1"/>
  <c r="C162" i="1"/>
  <c r="CI161" i="1"/>
  <c r="CI161" i="20" s="1"/>
  <c r="CI51" i="30" s="1"/>
  <c r="CH161" i="1"/>
  <c r="CH161" i="20" s="1"/>
  <c r="CH51" i="30" s="1"/>
  <c r="CG161" i="1"/>
  <c r="CG161" i="20" s="1"/>
  <c r="CG51" i="30" s="1"/>
  <c r="CF161" i="1"/>
  <c r="CF161" i="20" s="1"/>
  <c r="CF51" i="30" s="1"/>
  <c r="CE161" i="1"/>
  <c r="CE161" i="20" s="1"/>
  <c r="CE51" i="30" s="1"/>
  <c r="CD161" i="1"/>
  <c r="CD161" i="20" s="1"/>
  <c r="CD51" i="30" s="1"/>
  <c r="CC161" i="1"/>
  <c r="CC161" i="20" s="1"/>
  <c r="CC51" i="30" s="1"/>
  <c r="CB161" i="1"/>
  <c r="CB161" i="20" s="1"/>
  <c r="CB51" i="30" s="1"/>
  <c r="CA161" i="1"/>
  <c r="CA161" i="20" s="1"/>
  <c r="BZ161" i="1"/>
  <c r="BZ161" i="20" s="1"/>
  <c r="BY161" i="1"/>
  <c r="BY161" i="20" s="1"/>
  <c r="BX161" i="1"/>
  <c r="BX161" i="20" s="1"/>
  <c r="BX51" i="30" s="1"/>
  <c r="V51" i="30" s="1"/>
  <c r="CY51" i="30" s="1"/>
  <c r="CQ51" i="30" s="1"/>
  <c r="BJ161" i="1"/>
  <c r="BJ161" i="20" s="1"/>
  <c r="BJ51" i="30" s="1"/>
  <c r="BI161" i="1"/>
  <c r="BI161" i="20" s="1"/>
  <c r="BI51" i="30" s="1"/>
  <c r="BH161" i="1"/>
  <c r="BH161" i="20" s="1"/>
  <c r="BH51" i="30" s="1"/>
  <c r="BG161" i="1"/>
  <c r="BG161" i="20" s="1"/>
  <c r="BG51" i="30" s="1"/>
  <c r="BF161" i="1"/>
  <c r="BF161" i="20" s="1"/>
  <c r="BF51" i="30" s="1"/>
  <c r="BE161" i="1"/>
  <c r="BE161" i="20" s="1"/>
  <c r="BE51" i="30" s="1"/>
  <c r="BD161" i="1"/>
  <c r="BD161" i="20" s="1"/>
  <c r="BD51" i="30" s="1"/>
  <c r="BC161" i="1"/>
  <c r="BC161" i="20" s="1"/>
  <c r="BC51" i="30" s="1"/>
  <c r="BB161" i="1"/>
  <c r="BB161" i="20" s="1"/>
  <c r="BB51" i="30" s="1"/>
  <c r="BA161" i="1"/>
  <c r="BA161" i="20" s="1"/>
  <c r="BA51" i="30" s="1"/>
  <c r="AZ161" i="1"/>
  <c r="AZ161" i="20" s="1"/>
  <c r="AZ51" i="30" s="1"/>
  <c r="AY161" i="1"/>
  <c r="AY161" i="20" s="1"/>
  <c r="AY51" i="30" s="1"/>
  <c r="AX161" i="1"/>
  <c r="AX161" i="20" s="1"/>
  <c r="AX51" i="30" s="1"/>
  <c r="AW161" i="1"/>
  <c r="AW161" i="20" s="1"/>
  <c r="AW51" i="30" s="1"/>
  <c r="AV161" i="1"/>
  <c r="AV161" i="20" s="1"/>
  <c r="AV51" i="30" s="1"/>
  <c r="AU161" i="1"/>
  <c r="AU161" i="20" s="1"/>
  <c r="AU51" i="30" s="1"/>
  <c r="AT161" i="1"/>
  <c r="AT161" i="20" s="1"/>
  <c r="AT51" i="30" s="1"/>
  <c r="AS161" i="1"/>
  <c r="AS161" i="20" s="1"/>
  <c r="AS51" i="30" s="1"/>
  <c r="AR161" i="1"/>
  <c r="AR161" i="20" s="1"/>
  <c r="AR51" i="30" s="1"/>
  <c r="AQ161" i="1"/>
  <c r="AQ161" i="20" s="1"/>
  <c r="AQ51" i="30" s="1"/>
  <c r="AP161" i="1"/>
  <c r="AP161" i="20" s="1"/>
  <c r="AP51" i="30" s="1"/>
  <c r="AO161" i="1"/>
  <c r="AO161" i="20" s="1"/>
  <c r="AO51" i="30" s="1"/>
  <c r="AN161" i="1"/>
  <c r="AN161" i="20" s="1"/>
  <c r="AN51" i="30" s="1"/>
  <c r="AM161" i="1"/>
  <c r="AM161" i="20" s="1"/>
  <c r="AM51" i="30" s="1"/>
  <c r="AL161" i="1"/>
  <c r="AL161" i="20" s="1"/>
  <c r="AL51" i="30" s="1"/>
  <c r="AK161" i="1"/>
  <c r="AK161" i="20" s="1"/>
  <c r="AK51" i="30" s="1"/>
  <c r="AJ161" i="1"/>
  <c r="AJ161" i="20" s="1"/>
  <c r="AJ51" i="30" s="1"/>
  <c r="AI161" i="1"/>
  <c r="AI161" i="20" s="1"/>
  <c r="AI51" i="30" s="1"/>
  <c r="AH161" i="1"/>
  <c r="AH161" i="20" s="1"/>
  <c r="AH51" i="30" s="1"/>
  <c r="AG161" i="1"/>
  <c r="AG161" i="20" s="1"/>
  <c r="AG51" i="30" s="1"/>
  <c r="AF161" i="1"/>
  <c r="AF161" i="20" s="1"/>
  <c r="AF51" i="30" s="1"/>
  <c r="AE161" i="1"/>
  <c r="AE161" i="20" s="1"/>
  <c r="AE51" i="30" s="1"/>
  <c r="AD161" i="1"/>
  <c r="AD161" i="20" s="1"/>
  <c r="AD51" i="30" s="1"/>
  <c r="AC161" i="1"/>
  <c r="AC161" i="20" s="1"/>
  <c r="AC51" i="30" s="1"/>
  <c r="AB161" i="1"/>
  <c r="AB161" i="20" s="1"/>
  <c r="AB51" i="30" s="1"/>
  <c r="AA161" i="1"/>
  <c r="AA161" i="20" s="1"/>
  <c r="AA51" i="30" s="1"/>
  <c r="Y161" i="1"/>
  <c r="Y161" i="20" s="1"/>
  <c r="X161" i="1"/>
  <c r="X161" i="20" s="1"/>
  <c r="W161" i="1"/>
  <c r="W161" i="20" s="1"/>
  <c r="V161" i="1"/>
  <c r="V161" i="20" s="1"/>
  <c r="DB161" i="20" s="1"/>
  <c r="CT161" i="20" s="1"/>
  <c r="E161" i="1" a="1"/>
  <c r="BZ51" i="30" l="1"/>
  <c r="X51" i="30" s="1"/>
  <c r="AS536" i="9"/>
  <c r="AS145" i="9"/>
  <c r="AS609" i="9"/>
  <c r="AS891" i="9" s="1"/>
  <c r="AT218" i="9"/>
  <c r="AS454" i="9"/>
  <c r="AS327" i="9"/>
  <c r="AS451" i="9"/>
  <c r="AS270" i="9"/>
  <c r="AR1001" i="9"/>
  <c r="AR510" i="9"/>
  <c r="AR82" i="9"/>
  <c r="AS76" i="9"/>
  <c r="AS440" i="9"/>
  <c r="AS61" i="9"/>
  <c r="BF52" i="6"/>
  <c r="BG283" i="26"/>
  <c r="BG288" i="26" s="1"/>
  <c r="BF290" i="26"/>
  <c r="BH179" i="6"/>
  <c r="BH101" i="30" s="1"/>
  <c r="BI293" i="26"/>
  <c r="BI298" i="26" s="1"/>
  <c r="CA51" i="30"/>
  <c r="Y51" i="30" s="1"/>
  <c r="AS365" i="9"/>
  <c r="AS456" i="9"/>
  <c r="AR619" i="9"/>
  <c r="AR901" i="9" s="1"/>
  <c r="AS408" i="9"/>
  <c r="AR602" i="9"/>
  <c r="AR884" i="9" s="1"/>
  <c r="AS85" i="9"/>
  <c r="AS449" i="9"/>
  <c r="AS232" i="9"/>
  <c r="AR616" i="9"/>
  <c r="AR898" i="9" s="1"/>
  <c r="AS351" i="9"/>
  <c r="AR1006" i="9"/>
  <c r="AR515" i="9"/>
  <c r="AR177" i="9"/>
  <c r="AS171" i="9"/>
  <c r="BG190" i="30"/>
  <c r="BG110" i="30"/>
  <c r="BG22" i="32" s="1"/>
  <c r="BG99" i="33" s="1"/>
  <c r="BF31" i="6"/>
  <c r="BF69" i="30" s="1"/>
  <c r="BF259" i="26"/>
  <c r="BG248" i="26"/>
  <c r="BG257" i="26" s="1"/>
  <c r="CZ161" i="1"/>
  <c r="CR161" i="1" s="1"/>
  <c r="BX53" i="30"/>
  <c r="V53" i="30" s="1"/>
  <c r="CY53" i="30" s="1"/>
  <c r="CQ53" i="30" s="1"/>
  <c r="DB163" i="20"/>
  <c r="CT163" i="20" s="1"/>
  <c r="CZ163" i="1"/>
  <c r="CR163" i="1" s="1"/>
  <c r="AS458" i="9"/>
  <c r="AS403" i="9"/>
  <c r="AS551" i="9"/>
  <c r="AS430" i="9"/>
  <c r="AR1015" i="9"/>
  <c r="AR524" i="9"/>
  <c r="AS342" i="9"/>
  <c r="AR348" i="9"/>
  <c r="BF28" i="6"/>
  <c r="BF68" i="30" s="1"/>
  <c r="BF245" i="26"/>
  <c r="BG234" i="26"/>
  <c r="BG243" i="26" s="1"/>
  <c r="AR601" i="9"/>
  <c r="AR883" i="9" s="1"/>
  <c r="AS66" i="9"/>
  <c r="BE77" i="30"/>
  <c r="AR613" i="9"/>
  <c r="AR895" i="9" s="1"/>
  <c r="AS294" i="9"/>
  <c r="AS444" i="9"/>
  <c r="AS137" i="9"/>
  <c r="AS549" i="9"/>
  <c r="AS392" i="9"/>
  <c r="AS535" i="9"/>
  <c r="AS126" i="9"/>
  <c r="AS452" i="9"/>
  <c r="AS289" i="9"/>
  <c r="AR606" i="9"/>
  <c r="AR888" i="9" s="1"/>
  <c r="AS161" i="9"/>
  <c r="AS443" i="9"/>
  <c r="AS118" i="9"/>
  <c r="AR1013" i="9"/>
  <c r="AR522" i="9"/>
  <c r="AS304" i="9"/>
  <c r="AR310" i="9"/>
  <c r="BF134" i="30"/>
  <c r="BG245" i="6"/>
  <c r="BG248" i="6" s="1"/>
  <c r="AR1002" i="9"/>
  <c r="AR511" i="9"/>
  <c r="AR101" i="9"/>
  <c r="AS95" i="9"/>
  <c r="AS538" i="9"/>
  <c r="AS183" i="9"/>
  <c r="BF73" i="33"/>
  <c r="AS450" i="9"/>
  <c r="AS251" i="9"/>
  <c r="AS545" i="9"/>
  <c r="AS316" i="9"/>
  <c r="BF25" i="6"/>
  <c r="BG220" i="26"/>
  <c r="BG229" i="26" s="1"/>
  <c r="BF231" i="26"/>
  <c r="AT459" i="9"/>
  <c r="AT422" i="9"/>
  <c r="AR1007" i="9"/>
  <c r="AR516" i="9"/>
  <c r="AS190" i="9"/>
  <c r="AR196" i="9"/>
  <c r="AS457" i="9"/>
  <c r="AS384" i="9"/>
  <c r="AS278" i="9"/>
  <c r="AS543" i="9"/>
  <c r="AS445" i="9"/>
  <c r="AS156" i="9"/>
  <c r="AR608" i="9"/>
  <c r="AR890" i="9" s="1"/>
  <c r="AS199" i="9"/>
  <c r="AS548" i="9"/>
  <c r="AS373" i="9"/>
  <c r="AS541" i="9"/>
  <c r="AS240" i="9"/>
  <c r="BG37" i="6"/>
  <c r="BG71" i="30" s="1"/>
  <c r="BH262" i="26"/>
  <c r="BH269" i="26" s="1"/>
  <c r="BG271" i="26"/>
  <c r="BF34" i="6"/>
  <c r="BF70" i="30" s="1"/>
  <c r="BF280" i="26"/>
  <c r="BG274" i="26"/>
  <c r="BG278" i="26" s="1"/>
  <c r="BY51" i="30"/>
  <c r="W51" i="30" s="1"/>
  <c r="BE67" i="30"/>
  <c r="AS213" i="9"/>
  <c r="AS448" i="9"/>
  <c r="AR611" i="9"/>
  <c r="AR893" i="9" s="1"/>
  <c r="AS256" i="9"/>
  <c r="AR615" i="9"/>
  <c r="AR897" i="9" s="1"/>
  <c r="AS332" i="9"/>
  <c r="AR603" i="9"/>
  <c r="AR885" i="9" s="1"/>
  <c r="AS104" i="9"/>
  <c r="E161" i="1"/>
  <c r="C161" i="1"/>
  <c r="EY161" i="1" s="1"/>
  <c r="CI160" i="1"/>
  <c r="CI160" i="20" s="1"/>
  <c r="CI50" i="30" s="1"/>
  <c r="CH160" i="1"/>
  <c r="CH160" i="20" s="1"/>
  <c r="CH50" i="30" s="1"/>
  <c r="CG160" i="1"/>
  <c r="CG160" i="20" s="1"/>
  <c r="CG50" i="30" s="1"/>
  <c r="CF160" i="1"/>
  <c r="CF160" i="20" s="1"/>
  <c r="CF50" i="30" s="1"/>
  <c r="CE160" i="1"/>
  <c r="CE160" i="20" s="1"/>
  <c r="CE50" i="30" s="1"/>
  <c r="CD160" i="1"/>
  <c r="CD160" i="20" s="1"/>
  <c r="CD50" i="30" s="1"/>
  <c r="CC160" i="1"/>
  <c r="CC160" i="20" s="1"/>
  <c r="CC50" i="30" s="1"/>
  <c r="CB160" i="1"/>
  <c r="CB160" i="20" s="1"/>
  <c r="CB50" i="30" s="1"/>
  <c r="CA160" i="1"/>
  <c r="CA160" i="20" s="1"/>
  <c r="BZ160" i="1"/>
  <c r="BZ160" i="20" s="1"/>
  <c r="BY160" i="1"/>
  <c r="BY160" i="20" s="1"/>
  <c r="BX160" i="1"/>
  <c r="BX160" i="20" s="1"/>
  <c r="BX50" i="30" s="1"/>
  <c r="V50" i="30" s="1"/>
  <c r="CY50" i="30" s="1"/>
  <c r="CQ50" i="30" s="1"/>
  <c r="BJ160" i="1"/>
  <c r="BJ160" i="20" s="1"/>
  <c r="BJ50" i="30" s="1"/>
  <c r="BI160" i="1"/>
  <c r="BI160" i="20" s="1"/>
  <c r="BI50" i="30" s="1"/>
  <c r="BH160" i="1"/>
  <c r="BH160" i="20" s="1"/>
  <c r="BH50" i="30" s="1"/>
  <c r="BG160" i="1"/>
  <c r="BG160" i="20" s="1"/>
  <c r="BG50" i="30" s="1"/>
  <c r="BF160" i="1"/>
  <c r="BF160" i="20" s="1"/>
  <c r="BF50" i="30" s="1"/>
  <c r="BE160" i="1"/>
  <c r="BE160" i="20" s="1"/>
  <c r="BE50" i="30" s="1"/>
  <c r="BD160" i="1"/>
  <c r="BD160" i="20" s="1"/>
  <c r="BD50" i="30" s="1"/>
  <c r="BC160" i="1"/>
  <c r="BC160" i="20" s="1"/>
  <c r="BC50" i="30" s="1"/>
  <c r="BB160" i="1"/>
  <c r="BB160" i="20" s="1"/>
  <c r="BB50" i="30" s="1"/>
  <c r="BA160" i="1"/>
  <c r="BA160" i="20" s="1"/>
  <c r="BA50" i="30" s="1"/>
  <c r="AZ160" i="1"/>
  <c r="AZ160" i="20" s="1"/>
  <c r="AZ50" i="30" s="1"/>
  <c r="AY160" i="1"/>
  <c r="AY160" i="20" s="1"/>
  <c r="AY50" i="30" s="1"/>
  <c r="AX160" i="1"/>
  <c r="AX160" i="20" s="1"/>
  <c r="AX50" i="30" s="1"/>
  <c r="AW160" i="1"/>
  <c r="AW160" i="20" s="1"/>
  <c r="AW50" i="30" s="1"/>
  <c r="AV160" i="1"/>
  <c r="AV160" i="20" s="1"/>
  <c r="AV50" i="30" s="1"/>
  <c r="AU160" i="1"/>
  <c r="AU160" i="20" s="1"/>
  <c r="AU50" i="30" s="1"/>
  <c r="AT160" i="1"/>
  <c r="AT160" i="20" s="1"/>
  <c r="AT50" i="30" s="1"/>
  <c r="AS160" i="1"/>
  <c r="AS160" i="20" s="1"/>
  <c r="AS50" i="30" s="1"/>
  <c r="AR160" i="1"/>
  <c r="AR160" i="20" s="1"/>
  <c r="AR50" i="30" s="1"/>
  <c r="AQ160" i="1"/>
  <c r="AQ160" i="20" s="1"/>
  <c r="AQ50" i="30" s="1"/>
  <c r="AP160" i="1"/>
  <c r="AP160" i="20" s="1"/>
  <c r="AP50" i="30" s="1"/>
  <c r="AO160" i="1"/>
  <c r="AO160" i="20" s="1"/>
  <c r="AO50" i="30" s="1"/>
  <c r="AN160" i="1"/>
  <c r="AN160" i="20" s="1"/>
  <c r="AN50" i="30" s="1"/>
  <c r="AM160" i="1"/>
  <c r="AM160" i="20" s="1"/>
  <c r="AM50" i="30" s="1"/>
  <c r="AL160" i="1"/>
  <c r="AL160" i="20" s="1"/>
  <c r="AL50" i="30" s="1"/>
  <c r="AK160" i="1"/>
  <c r="AK160" i="20" s="1"/>
  <c r="AK50" i="30" s="1"/>
  <c r="AJ160" i="1"/>
  <c r="AJ160" i="20" s="1"/>
  <c r="AJ50" i="30" s="1"/>
  <c r="AI160" i="1"/>
  <c r="AI160" i="20" s="1"/>
  <c r="AI50" i="30" s="1"/>
  <c r="AH160" i="1"/>
  <c r="AH160" i="20" s="1"/>
  <c r="AH50" i="30" s="1"/>
  <c r="AG160" i="1"/>
  <c r="AG160" i="20" s="1"/>
  <c r="AG50" i="30" s="1"/>
  <c r="AF160" i="1"/>
  <c r="AF160" i="20" s="1"/>
  <c r="AF50" i="30" s="1"/>
  <c r="AE160" i="1"/>
  <c r="AE160" i="20" s="1"/>
  <c r="AE50" i="30" s="1"/>
  <c r="AD160" i="1"/>
  <c r="AD160" i="20" s="1"/>
  <c r="AD50" i="30" s="1"/>
  <c r="AC160" i="1"/>
  <c r="AC160" i="20" s="1"/>
  <c r="AC50" i="30" s="1"/>
  <c r="AB160" i="1"/>
  <c r="AB160" i="20" s="1"/>
  <c r="AB50" i="30" s="1"/>
  <c r="AA160" i="1"/>
  <c r="AA160" i="20" s="1"/>
  <c r="AA50" i="30" s="1"/>
  <c r="Y160" i="1"/>
  <c r="Y160" i="20" s="1"/>
  <c r="X160" i="1"/>
  <c r="X160" i="20" s="1"/>
  <c r="W160" i="1"/>
  <c r="W160" i="20" s="1"/>
  <c r="V160" i="1"/>
  <c r="V160" i="20" s="1"/>
  <c r="E160" i="1" a="1"/>
  <c r="DB160" i="20" l="1"/>
  <c r="CT160" i="20" s="1"/>
  <c r="CZ160" i="1"/>
  <c r="CR160" i="1" s="1"/>
  <c r="AS534" i="9"/>
  <c r="AS107" i="9"/>
  <c r="AS453" i="9"/>
  <c r="AS308" i="9"/>
  <c r="AS1012" i="9"/>
  <c r="AS521" i="9"/>
  <c r="AS291" i="9"/>
  <c r="AT285" i="9"/>
  <c r="AS1018" i="9"/>
  <c r="AS527" i="9"/>
  <c r="AT399" i="9"/>
  <c r="AS405" i="9"/>
  <c r="AS550" i="9"/>
  <c r="AS411" i="9"/>
  <c r="BH190" i="30"/>
  <c r="BH110" i="30"/>
  <c r="BH22" i="32" s="1"/>
  <c r="BH99" i="33" s="1"/>
  <c r="AS605" i="9"/>
  <c r="AS887" i="9" s="1"/>
  <c r="AT142" i="9"/>
  <c r="AS1008" i="9"/>
  <c r="AS517" i="9"/>
  <c r="AT209" i="9"/>
  <c r="AS215" i="9"/>
  <c r="BG34" i="6"/>
  <c r="BG70" i="30" s="1"/>
  <c r="BH274" i="26"/>
  <c r="BH278" i="26" s="1"/>
  <c r="BG280" i="26"/>
  <c r="AT1019" i="9"/>
  <c r="AT528" i="9"/>
  <c r="AU418" i="9"/>
  <c r="AT424" i="9"/>
  <c r="AS1010" i="9"/>
  <c r="AS519" i="9"/>
  <c r="AS253" i="9"/>
  <c r="AT247" i="9"/>
  <c r="AS442" i="9"/>
  <c r="AS99" i="9"/>
  <c r="BG31" i="6"/>
  <c r="BG69" i="30" s="1"/>
  <c r="BG259" i="26"/>
  <c r="BH248" i="26"/>
  <c r="BH257" i="26" s="1"/>
  <c r="AS1000" i="9"/>
  <c r="AS509" i="9"/>
  <c r="AS63" i="9"/>
  <c r="AT57" i="9"/>
  <c r="AS617" i="9"/>
  <c r="AS899" i="9" s="1"/>
  <c r="AT370" i="9"/>
  <c r="AS612" i="9"/>
  <c r="AS894" i="9" s="1"/>
  <c r="AT275" i="9"/>
  <c r="AS1004" i="9"/>
  <c r="AS513" i="9"/>
  <c r="AS139" i="9"/>
  <c r="AT133" i="9"/>
  <c r="AS547" i="9"/>
  <c r="AS354" i="9"/>
  <c r="AS546" i="9"/>
  <c r="AS335" i="9"/>
  <c r="AS1017" i="9"/>
  <c r="AS526" i="9"/>
  <c r="AS386" i="9"/>
  <c r="AT380" i="9"/>
  <c r="AS604" i="9"/>
  <c r="AS886" i="9" s="1"/>
  <c r="AT123" i="9"/>
  <c r="AS346" i="9"/>
  <c r="AS455" i="9"/>
  <c r="AS1016" i="9"/>
  <c r="AS525" i="9"/>
  <c r="AS367" i="9"/>
  <c r="AT361" i="9"/>
  <c r="AS441" i="9"/>
  <c r="AS80" i="9"/>
  <c r="BY50" i="30"/>
  <c r="W50" i="30" s="1"/>
  <c r="AS539" i="9"/>
  <c r="AS202" i="9"/>
  <c r="BG25" i="6"/>
  <c r="BH220" i="26"/>
  <c r="BH229" i="26" s="1"/>
  <c r="BG231" i="26"/>
  <c r="AS1003" i="9"/>
  <c r="AS512" i="9"/>
  <c r="AS120" i="9"/>
  <c r="AT114" i="9"/>
  <c r="AS532" i="9"/>
  <c r="AS69" i="9"/>
  <c r="AS1009" i="9"/>
  <c r="AS518" i="9"/>
  <c r="AS234" i="9"/>
  <c r="AT228" i="9"/>
  <c r="BG52" i="6"/>
  <c r="BG290" i="26"/>
  <c r="BH283" i="26"/>
  <c r="BH288" i="26" s="1"/>
  <c r="AS1014" i="9"/>
  <c r="AS523" i="9"/>
  <c r="AS329" i="9"/>
  <c r="AT323" i="9"/>
  <c r="BZ50" i="30"/>
  <c r="X50" i="30" s="1"/>
  <c r="BH37" i="6"/>
  <c r="BH71" i="30" s="1"/>
  <c r="BI262" i="26"/>
  <c r="BI269" i="26" s="1"/>
  <c r="BH271" i="26"/>
  <c r="BF67" i="30"/>
  <c r="AS607" i="9"/>
  <c r="AS889" i="9" s="1"/>
  <c r="AT180" i="9"/>
  <c r="BG134" i="30"/>
  <c r="BH245" i="6"/>
  <c r="BH248" i="6" s="1"/>
  <c r="AS618" i="9"/>
  <c r="AS900" i="9" s="1"/>
  <c r="AT389" i="9"/>
  <c r="BG73" i="33"/>
  <c r="BF77" i="30"/>
  <c r="CA50" i="30"/>
  <c r="Y50" i="30" s="1"/>
  <c r="AS542" i="9"/>
  <c r="AS259" i="9"/>
  <c r="AS1005" i="9"/>
  <c r="AS514" i="9"/>
  <c r="AS158" i="9"/>
  <c r="AT152" i="9"/>
  <c r="AS447" i="9"/>
  <c r="AS194" i="9"/>
  <c r="AS537" i="9"/>
  <c r="AS164" i="9"/>
  <c r="AS620" i="9"/>
  <c r="AS902" i="9" s="1"/>
  <c r="AT427" i="9"/>
  <c r="AS446" i="9"/>
  <c r="AS175" i="9"/>
  <c r="AS533" i="9"/>
  <c r="AS88" i="9"/>
  <c r="CX51" i="30"/>
  <c r="AT540" i="9"/>
  <c r="AT221" i="9"/>
  <c r="CW51" i="30"/>
  <c r="CV51" i="30"/>
  <c r="AS610" i="9"/>
  <c r="AS892" i="9" s="1"/>
  <c r="AT237" i="9"/>
  <c r="AS614" i="9"/>
  <c r="AS896" i="9" s="1"/>
  <c r="AT313" i="9"/>
  <c r="AS544" i="9"/>
  <c r="AS297" i="9"/>
  <c r="BG28" i="6"/>
  <c r="BG68" i="30" s="1"/>
  <c r="BH234" i="26"/>
  <c r="BH243" i="26" s="1"/>
  <c r="BG245" i="26"/>
  <c r="BI179" i="6"/>
  <c r="BI101" i="30" s="1"/>
  <c r="BJ293" i="26"/>
  <c r="BJ298" i="26" s="1"/>
  <c r="BJ179" i="6" s="1"/>
  <c r="BJ101" i="30" s="1"/>
  <c r="AS1011" i="9"/>
  <c r="AS520" i="9"/>
  <c r="AS272" i="9"/>
  <c r="AT266" i="9"/>
  <c r="E160" i="1"/>
  <c r="C160" i="1"/>
  <c r="EY160" i="1" s="1"/>
  <c r="CI159" i="1"/>
  <c r="CH159" i="1"/>
  <c r="CG159" i="1"/>
  <c r="CF159" i="1"/>
  <c r="CE159" i="1"/>
  <c r="CD159" i="1"/>
  <c r="CC159" i="1"/>
  <c r="CB159" i="1"/>
  <c r="CA159" i="1"/>
  <c r="BZ159" i="1"/>
  <c r="BY159" i="1"/>
  <c r="BX159" i="1"/>
  <c r="BJ159" i="1"/>
  <c r="BI159" i="1"/>
  <c r="BH159" i="1"/>
  <c r="BG159" i="1"/>
  <c r="BF159" i="1"/>
  <c r="BE159" i="1"/>
  <c r="BD159" i="1"/>
  <c r="BC159" i="1"/>
  <c r="BB159" i="1"/>
  <c r="BA159" i="1"/>
  <c r="AZ159" i="1"/>
  <c r="AY159" i="1"/>
  <c r="AX159" i="1"/>
  <c r="AW159" i="1"/>
  <c r="AV159" i="1"/>
  <c r="AU159" i="1"/>
  <c r="AT159" i="1"/>
  <c r="AS159" i="1"/>
  <c r="AR159" i="1"/>
  <c r="AQ159" i="1"/>
  <c r="AP159" i="1"/>
  <c r="AO159" i="1"/>
  <c r="AN159" i="1"/>
  <c r="AM159" i="1"/>
  <c r="AL159" i="1"/>
  <c r="AK159" i="1"/>
  <c r="AJ159" i="1"/>
  <c r="AI159" i="1"/>
  <c r="AH159" i="1"/>
  <c r="AG159" i="1"/>
  <c r="AF159" i="1"/>
  <c r="AE159" i="1"/>
  <c r="AD159" i="1"/>
  <c r="AC159" i="1"/>
  <c r="AB159" i="1"/>
  <c r="AA159" i="1"/>
  <c r="Y159" i="1"/>
  <c r="X159" i="1"/>
  <c r="W159" i="1"/>
  <c r="V159" i="1"/>
  <c r="CZ159" i="1" s="1"/>
  <c r="CR159" i="1" s="1"/>
  <c r="E159" i="1" a="1"/>
  <c r="AD159" i="20" l="1"/>
  <c r="AD164" i="1"/>
  <c r="BB159" i="20"/>
  <c r="BB164" i="1"/>
  <c r="CE159" i="20"/>
  <c r="CE164" i="1"/>
  <c r="AA159" i="20"/>
  <c r="AA164" i="1"/>
  <c r="AI159" i="20"/>
  <c r="AI164" i="1"/>
  <c r="AQ159" i="20"/>
  <c r="AQ164" i="1"/>
  <c r="AY159" i="20"/>
  <c r="AY164" i="1"/>
  <c r="BG159" i="20"/>
  <c r="BG164" i="1"/>
  <c r="CB159" i="20"/>
  <c r="CB164" i="1"/>
  <c r="AT451" i="9"/>
  <c r="AT270" i="9"/>
  <c r="AS1006" i="9"/>
  <c r="AS515" i="9"/>
  <c r="AS177" i="9"/>
  <c r="AT171" i="9"/>
  <c r="AT549" i="9"/>
  <c r="AT392" i="9"/>
  <c r="CV50" i="30"/>
  <c r="BH34" i="6"/>
  <c r="BH70" i="30" s="1"/>
  <c r="BI274" i="26"/>
  <c r="BI278" i="26" s="1"/>
  <c r="BH280" i="26"/>
  <c r="AT445" i="9"/>
  <c r="AT156" i="9"/>
  <c r="CX50" i="30"/>
  <c r="AS1001" i="9"/>
  <c r="AS510" i="9"/>
  <c r="AS82" i="9"/>
  <c r="AT76" i="9"/>
  <c r="AS1015" i="9"/>
  <c r="AS524" i="9"/>
  <c r="AT342" i="9"/>
  <c r="AS348" i="9"/>
  <c r="AS615" i="9"/>
  <c r="AS897" i="9" s="1"/>
  <c r="AT332" i="9"/>
  <c r="AT548" i="9"/>
  <c r="AT373" i="9"/>
  <c r="AT403" i="9"/>
  <c r="AT458" i="9"/>
  <c r="AS1013" i="9"/>
  <c r="AS522" i="9"/>
  <c r="AS310" i="9"/>
  <c r="AT304" i="9"/>
  <c r="AT159" i="20"/>
  <c r="AT164" i="1"/>
  <c r="BJ159" i="20"/>
  <c r="BJ164" i="1"/>
  <c r="AB159" i="20"/>
  <c r="AB164" i="1"/>
  <c r="AJ159" i="20"/>
  <c r="AJ164" i="1"/>
  <c r="AR159" i="20"/>
  <c r="AR164" i="1"/>
  <c r="AZ159" i="20"/>
  <c r="AZ164" i="1"/>
  <c r="BH159" i="20"/>
  <c r="BH164" i="1"/>
  <c r="CC159" i="20"/>
  <c r="CC164" i="1"/>
  <c r="AT541" i="9"/>
  <c r="AT240" i="9"/>
  <c r="AT609" i="9"/>
  <c r="AT891" i="9" s="1"/>
  <c r="AU218" i="9"/>
  <c r="AC159" i="20"/>
  <c r="AC164" i="1"/>
  <c r="AK159" i="20"/>
  <c r="AK164" i="1"/>
  <c r="AS159" i="20"/>
  <c r="AS164" i="1"/>
  <c r="BA159" i="20"/>
  <c r="BA164" i="1"/>
  <c r="BI159" i="20"/>
  <c r="BI164" i="1"/>
  <c r="CD159" i="20"/>
  <c r="CD164" i="1"/>
  <c r="BH28" i="6"/>
  <c r="BH68" i="30" s="1"/>
  <c r="BH245" i="26"/>
  <c r="BI234" i="26"/>
  <c r="BI243" i="26" s="1"/>
  <c r="AT430" i="9"/>
  <c r="AT551" i="9"/>
  <c r="BH134" i="30"/>
  <c r="BI245" i="6"/>
  <c r="BI248" i="6" s="1"/>
  <c r="BI37" i="6"/>
  <c r="BI71" i="30" s="1"/>
  <c r="BJ262" i="26"/>
  <c r="BJ269" i="26" s="1"/>
  <c r="BI271" i="26"/>
  <c r="AS601" i="9"/>
  <c r="AS883" i="9" s="1"/>
  <c r="AT66" i="9"/>
  <c r="BH25" i="6"/>
  <c r="BI220" i="26"/>
  <c r="BI229" i="26" s="1"/>
  <c r="BH231" i="26"/>
  <c r="AT535" i="9"/>
  <c r="AT126" i="9"/>
  <c r="AT444" i="9"/>
  <c r="AT137" i="9"/>
  <c r="BH31" i="6"/>
  <c r="BH69" i="30" s="1"/>
  <c r="BH259" i="26"/>
  <c r="BI248" i="26"/>
  <c r="BI257" i="26" s="1"/>
  <c r="BH73" i="33"/>
  <c r="BH52" i="6"/>
  <c r="BI283" i="26"/>
  <c r="BI288" i="26" s="1"/>
  <c r="BH290" i="26"/>
  <c r="BG67" i="30"/>
  <c r="AT456" i="9"/>
  <c r="AT365" i="9"/>
  <c r="AT448" i="9"/>
  <c r="AT213" i="9"/>
  <c r="AS619" i="9"/>
  <c r="AS901" i="9" s="1"/>
  <c r="AT408" i="9"/>
  <c r="BC159" i="20"/>
  <c r="BC164" i="1"/>
  <c r="AT443" i="9"/>
  <c r="AT118" i="9"/>
  <c r="AS608" i="9"/>
  <c r="AS890" i="9" s="1"/>
  <c r="AT199" i="9"/>
  <c r="AT457" i="9"/>
  <c r="AT384" i="9"/>
  <c r="AT440" i="9"/>
  <c r="AT61" i="9"/>
  <c r="AU459" i="9"/>
  <c r="AU422" i="9"/>
  <c r="AS603" i="9"/>
  <c r="AS885" i="9" s="1"/>
  <c r="AT104" i="9"/>
  <c r="CF159" i="20"/>
  <c r="CF164" i="1"/>
  <c r="CP51" i="30"/>
  <c r="W159" i="20"/>
  <c r="AF159" i="20"/>
  <c r="AF164" i="1"/>
  <c r="AN159" i="20"/>
  <c r="AN164" i="1"/>
  <c r="AV159" i="20"/>
  <c r="AV164" i="1"/>
  <c r="BD159" i="20"/>
  <c r="BD164" i="1"/>
  <c r="BY159" i="20"/>
  <c r="CG159" i="20"/>
  <c r="CG164" i="1"/>
  <c r="BI190" i="30"/>
  <c r="BI110" i="30"/>
  <c r="BI22" i="32" s="1"/>
  <c r="BI99" i="33" s="1"/>
  <c r="AS611" i="9"/>
  <c r="AS893" i="9" s="1"/>
  <c r="AT256" i="9"/>
  <c r="BG77" i="30"/>
  <c r="AS1002" i="9"/>
  <c r="AS511" i="9"/>
  <c r="AS101" i="9"/>
  <c r="AT95" i="9"/>
  <c r="AT452" i="9"/>
  <c r="AT289" i="9"/>
  <c r="AL159" i="20"/>
  <c r="AL164" i="1"/>
  <c r="BJ190" i="30"/>
  <c r="BJ110" i="30"/>
  <c r="BJ22" i="32" s="1"/>
  <c r="BJ99" i="33" s="1"/>
  <c r="AS613" i="9"/>
  <c r="AS895" i="9" s="1"/>
  <c r="AT294" i="9"/>
  <c r="AS606" i="9"/>
  <c r="AS888" i="9" s="1"/>
  <c r="AT161" i="9"/>
  <c r="BE159" i="20"/>
  <c r="BE164" i="1"/>
  <c r="AS602" i="9"/>
  <c r="AS884" i="9" s="1"/>
  <c r="AT85" i="9"/>
  <c r="CW50" i="30"/>
  <c r="AT449" i="9"/>
  <c r="AT232" i="9"/>
  <c r="V159" i="20"/>
  <c r="V164" i="1"/>
  <c r="AE159" i="20"/>
  <c r="AE164" i="1"/>
  <c r="AM159" i="20"/>
  <c r="AM164" i="1"/>
  <c r="AU159" i="20"/>
  <c r="AU164" i="1"/>
  <c r="BX159" i="20"/>
  <c r="BX164" i="1"/>
  <c r="AT538" i="9"/>
  <c r="AT183" i="9"/>
  <c r="X159" i="20"/>
  <c r="AG159" i="20"/>
  <c r="AG164" i="1"/>
  <c r="AO159" i="20"/>
  <c r="AO164" i="1"/>
  <c r="AW159" i="20"/>
  <c r="AW164" i="1"/>
  <c r="BZ159" i="20"/>
  <c r="CH159" i="20"/>
  <c r="CH164" i="1"/>
  <c r="Y159" i="20"/>
  <c r="AH159" i="20"/>
  <c r="AH164" i="1"/>
  <c r="AP159" i="20"/>
  <c r="AP164" i="1"/>
  <c r="AX159" i="20"/>
  <c r="AX164" i="1"/>
  <c r="BF159" i="20"/>
  <c r="BF164" i="1"/>
  <c r="CA159" i="20"/>
  <c r="CI159" i="20"/>
  <c r="CI164" i="1"/>
  <c r="AT545" i="9"/>
  <c r="AT316" i="9"/>
  <c r="AS1007" i="9"/>
  <c r="AS516" i="9"/>
  <c r="AT190" i="9"/>
  <c r="AS196" i="9"/>
  <c r="AT327" i="9"/>
  <c r="AT454" i="9"/>
  <c r="AS616" i="9"/>
  <c r="AS898" i="9" s="1"/>
  <c r="AT351" i="9"/>
  <c r="AT543" i="9"/>
  <c r="AT278" i="9"/>
  <c r="AT450" i="9"/>
  <c r="AT251" i="9"/>
  <c r="AT536" i="9"/>
  <c r="AT145" i="9"/>
  <c r="E159" i="1"/>
  <c r="C159" i="1"/>
  <c r="EY159" i="1" s="1"/>
  <c r="EY158" i="1"/>
  <c r="EY157" i="1"/>
  <c r="EY156" i="1"/>
  <c r="C156" i="1"/>
  <c r="EY155" i="1"/>
  <c r="C154" i="1"/>
  <c r="EY154" i="1" s="1"/>
  <c r="BX153" i="1"/>
  <c r="CZ153" i="1" s="1"/>
  <c r="CR153" i="1" s="1"/>
  <c r="C153" i="1"/>
  <c r="EY153" i="1" s="1"/>
  <c r="CI152" i="1"/>
  <c r="CI152" i="20" s="1"/>
  <c r="CI43" i="30" s="1"/>
  <c r="CH152" i="1"/>
  <c r="CH152" i="20" s="1"/>
  <c r="CH43" i="30" s="1"/>
  <c r="CG152" i="1"/>
  <c r="CG152" i="20" s="1"/>
  <c r="CG43" i="30" s="1"/>
  <c r="CF152" i="1"/>
  <c r="CF152" i="20" s="1"/>
  <c r="CF43" i="30" s="1"/>
  <c r="CE152" i="1"/>
  <c r="CE152" i="20" s="1"/>
  <c r="CE43" i="30" s="1"/>
  <c r="CD152" i="1"/>
  <c r="CD152" i="20" s="1"/>
  <c r="CD43" i="30" s="1"/>
  <c r="CC152" i="1"/>
  <c r="CC152" i="20" s="1"/>
  <c r="CC43" i="30" s="1"/>
  <c r="CB152" i="1"/>
  <c r="CB152" i="20" s="1"/>
  <c r="CB43" i="30" s="1"/>
  <c r="BX152" i="1"/>
  <c r="BX152" i="20" s="1"/>
  <c r="BX43" i="30" s="1"/>
  <c r="V43" i="30" s="1"/>
  <c r="CY43" i="30" s="1"/>
  <c r="CQ43" i="30" s="1"/>
  <c r="BJ152" i="1"/>
  <c r="BJ152" i="20" s="1"/>
  <c r="BJ43" i="30" s="1"/>
  <c r="BI152" i="1"/>
  <c r="BI152" i="20" s="1"/>
  <c r="BI43" i="30" s="1"/>
  <c r="BH152" i="1"/>
  <c r="BH152" i="20" s="1"/>
  <c r="BH43" i="30" s="1"/>
  <c r="BG152" i="1"/>
  <c r="BG152" i="20" s="1"/>
  <c r="BG43" i="30" s="1"/>
  <c r="BF152" i="1"/>
  <c r="BF152" i="20" s="1"/>
  <c r="BF43" i="30" s="1"/>
  <c r="BE152" i="1"/>
  <c r="BE152" i="20" s="1"/>
  <c r="BE43" i="30" s="1"/>
  <c r="BD152" i="1"/>
  <c r="BD152" i="20" s="1"/>
  <c r="BD43" i="30" s="1"/>
  <c r="BC152" i="1"/>
  <c r="BC152" i="20" s="1"/>
  <c r="BC43" i="30" s="1"/>
  <c r="BB152" i="1"/>
  <c r="BB152" i="20" s="1"/>
  <c r="BB43" i="30" s="1"/>
  <c r="BA152" i="1"/>
  <c r="BA152" i="20" s="1"/>
  <c r="BA43" i="30" s="1"/>
  <c r="AZ152" i="1"/>
  <c r="AZ152" i="20" s="1"/>
  <c r="AZ43" i="30" s="1"/>
  <c r="AY152" i="1"/>
  <c r="AY152" i="20" s="1"/>
  <c r="AY43" i="30" s="1"/>
  <c r="AX152" i="1"/>
  <c r="AX152" i="20" s="1"/>
  <c r="AX43" i="30" s="1"/>
  <c r="AW152" i="1"/>
  <c r="AW152" i="20" s="1"/>
  <c r="AW43" i="30" s="1"/>
  <c r="AV152" i="1"/>
  <c r="AV152" i="20" s="1"/>
  <c r="AV43" i="30" s="1"/>
  <c r="AU152" i="1"/>
  <c r="AU152" i="20" s="1"/>
  <c r="AU43" i="30" s="1"/>
  <c r="AT152" i="1"/>
  <c r="AT152" i="20" s="1"/>
  <c r="AT43" i="30" s="1"/>
  <c r="AS152" i="1"/>
  <c r="AS152" i="20" s="1"/>
  <c r="AS43" i="30" s="1"/>
  <c r="AR152" i="1"/>
  <c r="AR152" i="20" s="1"/>
  <c r="AR43" i="30" s="1"/>
  <c r="AQ152" i="1"/>
  <c r="AQ152" i="20" s="1"/>
  <c r="AQ43" i="30" s="1"/>
  <c r="AP152" i="1"/>
  <c r="AP152" i="20" s="1"/>
  <c r="AP43" i="30" s="1"/>
  <c r="AO152" i="1"/>
  <c r="AO152" i="20" s="1"/>
  <c r="AO43" i="30" s="1"/>
  <c r="AN152" i="1"/>
  <c r="AN152" i="20" s="1"/>
  <c r="AN43" i="30" s="1"/>
  <c r="AM152" i="1"/>
  <c r="AM152" i="20" s="1"/>
  <c r="AM43" i="30" s="1"/>
  <c r="AL152" i="1"/>
  <c r="AL152" i="20" s="1"/>
  <c r="AL43" i="30" s="1"/>
  <c r="AK152" i="1"/>
  <c r="AK152" i="20" s="1"/>
  <c r="AK43" i="30" s="1"/>
  <c r="AJ152" i="1"/>
  <c r="AJ152" i="20" s="1"/>
  <c r="AJ43" i="30" s="1"/>
  <c r="AI152" i="1"/>
  <c r="AI152" i="20" s="1"/>
  <c r="AI43" i="30" s="1"/>
  <c r="AH152" i="1"/>
  <c r="AH152" i="20" s="1"/>
  <c r="AH43" i="30" s="1"/>
  <c r="AG152" i="1"/>
  <c r="AG152" i="20" s="1"/>
  <c r="AG43" i="30" s="1"/>
  <c r="AF152" i="1"/>
  <c r="AF152" i="20" s="1"/>
  <c r="AF43" i="30" s="1"/>
  <c r="AE152" i="1"/>
  <c r="AE152" i="20" s="1"/>
  <c r="AE43" i="30" s="1"/>
  <c r="AD152" i="1"/>
  <c r="AD152" i="20" s="1"/>
  <c r="AD43" i="30" s="1"/>
  <c r="AC152" i="1"/>
  <c r="AC152" i="20" s="1"/>
  <c r="AC43" i="30" s="1"/>
  <c r="AB152" i="1"/>
  <c r="AB152" i="20" s="1"/>
  <c r="AB43" i="30" s="1"/>
  <c r="AA152" i="1"/>
  <c r="AA152" i="20" s="1"/>
  <c r="AA43" i="30" s="1"/>
  <c r="V152" i="1"/>
  <c r="V152" i="20" s="1"/>
  <c r="DB152" i="20" s="1"/>
  <c r="CT152" i="20" s="1"/>
  <c r="G152" i="1" a="1"/>
  <c r="AT1010" i="9" l="1"/>
  <c r="AT519" i="9"/>
  <c r="AT253" i="9"/>
  <c r="AU247" i="9"/>
  <c r="AT614" i="9"/>
  <c r="AT896" i="9" s="1"/>
  <c r="AU313" i="9"/>
  <c r="BF49" i="30"/>
  <c r="CZ164" i="1"/>
  <c r="CR164" i="1" s="1"/>
  <c r="BE49" i="30"/>
  <c r="AL49" i="30"/>
  <c r="AT1017" i="9"/>
  <c r="AT526" i="9"/>
  <c r="AU380" i="9"/>
  <c r="AT386" i="9"/>
  <c r="AU540" i="9"/>
  <c r="AU221" i="9"/>
  <c r="BG49" i="30"/>
  <c r="AA49" i="30"/>
  <c r="AO49" i="30"/>
  <c r="BX49" i="30"/>
  <c r="BX164" i="20"/>
  <c r="V164" i="20"/>
  <c r="DB159" i="20"/>
  <c r="CT159" i="20" s="1"/>
  <c r="AT1009" i="9"/>
  <c r="AT518" i="9"/>
  <c r="AU228" i="9"/>
  <c r="AT234" i="9"/>
  <c r="AT537" i="9"/>
  <c r="AT164" i="9"/>
  <c r="AT1012" i="9"/>
  <c r="AT521" i="9"/>
  <c r="AT291" i="9"/>
  <c r="AU285" i="9"/>
  <c r="CG49" i="30"/>
  <c r="CG164" i="20"/>
  <c r="AN49" i="30"/>
  <c r="CF49" i="30"/>
  <c r="CF164" i="20"/>
  <c r="AT550" i="9"/>
  <c r="AT411" i="9"/>
  <c r="AT604" i="9"/>
  <c r="AT886" i="9" s="1"/>
  <c r="AU123" i="9"/>
  <c r="BI28" i="6"/>
  <c r="BI68" i="30" s="1"/>
  <c r="BI245" i="26"/>
  <c r="BJ234" i="26"/>
  <c r="BJ243" i="26" s="1"/>
  <c r="BA49" i="30"/>
  <c r="AZ49" i="30"/>
  <c r="BJ49" i="30"/>
  <c r="AT1018" i="9"/>
  <c r="AT527" i="9"/>
  <c r="AU399" i="9"/>
  <c r="AT405" i="9"/>
  <c r="AT1014" i="9"/>
  <c r="AT523" i="9"/>
  <c r="AU323" i="9"/>
  <c r="AT329" i="9"/>
  <c r="AX49" i="30"/>
  <c r="AT534" i="9"/>
  <c r="AT107" i="9"/>
  <c r="AT539" i="9"/>
  <c r="AT202" i="9"/>
  <c r="BJ37" i="6"/>
  <c r="BJ71" i="30" s="1"/>
  <c r="BJ271" i="26"/>
  <c r="AT610" i="9"/>
  <c r="AT892" i="9" s="1"/>
  <c r="AU237" i="9"/>
  <c r="AT617" i="9"/>
  <c r="AT899" i="9" s="1"/>
  <c r="AU370" i="9"/>
  <c r="AT441" i="9"/>
  <c r="AT80" i="9"/>
  <c r="AT1005" i="9"/>
  <c r="AT514" i="9"/>
  <c r="AT158" i="9"/>
  <c r="AU152" i="9"/>
  <c r="AY49" i="30"/>
  <c r="CE49" i="30"/>
  <c r="CE164" i="20"/>
  <c r="AT612" i="9"/>
  <c r="AT894" i="9" s="1"/>
  <c r="AU275" i="9"/>
  <c r="CH49" i="30"/>
  <c r="CH164" i="20"/>
  <c r="AG49" i="30"/>
  <c r="AU49" i="30"/>
  <c r="AT544" i="9"/>
  <c r="AT297" i="9"/>
  <c r="BY49" i="30"/>
  <c r="AF49" i="30"/>
  <c r="AT1008" i="9"/>
  <c r="AT215" i="9"/>
  <c r="AT517" i="9"/>
  <c r="AU209" i="9"/>
  <c r="BI52" i="6"/>
  <c r="BJ283" i="26"/>
  <c r="BJ288" i="26" s="1"/>
  <c r="BI290" i="26"/>
  <c r="BI31" i="6"/>
  <c r="BI69" i="30" s="1"/>
  <c r="BI259" i="26"/>
  <c r="BJ248" i="26"/>
  <c r="BJ257" i="26" s="1"/>
  <c r="AS49" i="30"/>
  <c r="AR49" i="30"/>
  <c r="AT49" i="30"/>
  <c r="CP50" i="30"/>
  <c r="AT1011" i="9"/>
  <c r="AT520" i="9"/>
  <c r="AT272" i="9"/>
  <c r="AU266" i="9"/>
  <c r="CI49" i="30"/>
  <c r="CI164" i="20"/>
  <c r="AP49" i="30"/>
  <c r="AT442" i="9"/>
  <c r="AT99" i="9"/>
  <c r="AT542" i="9"/>
  <c r="AT259" i="9"/>
  <c r="AU1019" i="9"/>
  <c r="AV418" i="9"/>
  <c r="AU528" i="9"/>
  <c r="AU424" i="9"/>
  <c r="AT1003" i="9"/>
  <c r="AT512" i="9"/>
  <c r="AU114" i="9"/>
  <c r="AT120" i="9"/>
  <c r="BH77" i="30"/>
  <c r="BI25" i="6"/>
  <c r="BJ220" i="26"/>
  <c r="BJ229" i="26" s="1"/>
  <c r="BI231" i="26"/>
  <c r="BI134" i="30"/>
  <c r="BJ245" i="6"/>
  <c r="BJ248" i="6" s="1"/>
  <c r="BJ134" i="30" s="1"/>
  <c r="AT453" i="9"/>
  <c r="AT308" i="9"/>
  <c r="AT546" i="9"/>
  <c r="AT335" i="9"/>
  <c r="AT618" i="9"/>
  <c r="AT900" i="9" s="1"/>
  <c r="AU389" i="9"/>
  <c r="AQ49" i="30"/>
  <c r="BB49" i="30"/>
  <c r="AT547" i="9"/>
  <c r="AT354" i="9"/>
  <c r="AT447" i="9"/>
  <c r="AT194" i="9"/>
  <c r="BZ49" i="30"/>
  <c r="AM49" i="30"/>
  <c r="AT533" i="9"/>
  <c r="AT88" i="9"/>
  <c r="BD49" i="30"/>
  <c r="BH67" i="30"/>
  <c r="CD49" i="30"/>
  <c r="CD164" i="20"/>
  <c r="AK49" i="30"/>
  <c r="CC49" i="30"/>
  <c r="CC164" i="20"/>
  <c r="AJ49" i="30"/>
  <c r="CZ152" i="1"/>
  <c r="CR152" i="1" s="1"/>
  <c r="AT605" i="9"/>
  <c r="AT887" i="9" s="1"/>
  <c r="AU142" i="9"/>
  <c r="CA49" i="30"/>
  <c r="AH49" i="30"/>
  <c r="AT607" i="9"/>
  <c r="AT889" i="9" s="1"/>
  <c r="AU180" i="9"/>
  <c r="BJ73" i="33"/>
  <c r="AT1000" i="9"/>
  <c r="AT509" i="9"/>
  <c r="AT63" i="9"/>
  <c r="AU57" i="9"/>
  <c r="AT1016" i="9"/>
  <c r="AT367" i="9"/>
  <c r="AT525" i="9"/>
  <c r="AU361" i="9"/>
  <c r="AT532" i="9"/>
  <c r="AT69" i="9"/>
  <c r="AT446" i="9"/>
  <c r="AT175" i="9"/>
  <c r="CB49" i="30"/>
  <c r="CB164" i="20"/>
  <c r="AI49" i="30"/>
  <c r="AD49" i="30"/>
  <c r="AW49" i="30"/>
  <c r="AE49" i="30"/>
  <c r="BI73" i="33"/>
  <c r="AV49" i="30"/>
  <c r="BC49" i="30"/>
  <c r="AT1004" i="9"/>
  <c r="AT513" i="9"/>
  <c r="AT139" i="9"/>
  <c r="AU133" i="9"/>
  <c r="AT620" i="9"/>
  <c r="AT902" i="9" s="1"/>
  <c r="AU427" i="9"/>
  <c r="BI49" i="30"/>
  <c r="AC49" i="30"/>
  <c r="BH49" i="30"/>
  <c r="AB49" i="30"/>
  <c r="AT455" i="9"/>
  <c r="AT346" i="9"/>
  <c r="BI34" i="6"/>
  <c r="BI70" i="30" s="1"/>
  <c r="BJ274" i="26"/>
  <c r="BJ278" i="26" s="1"/>
  <c r="BI280" i="26"/>
  <c r="G152" i="1"/>
  <c r="F152" i="1" a="1"/>
  <c r="DB164" i="20" l="1"/>
  <c r="CT164" i="20" s="1"/>
  <c r="AT616" i="9"/>
  <c r="AT898" i="9" s="1"/>
  <c r="AU351" i="9"/>
  <c r="AU392" i="9"/>
  <c r="AU549" i="9"/>
  <c r="BJ52" i="6"/>
  <c r="BJ290" i="26"/>
  <c r="AT608" i="9"/>
  <c r="AT890" i="9" s="1"/>
  <c r="AU199" i="9"/>
  <c r="BJ25" i="6"/>
  <c r="BJ231" i="26"/>
  <c r="AU451" i="9"/>
  <c r="AU270" i="9"/>
  <c r="BI77" i="30"/>
  <c r="AU548" i="9"/>
  <c r="AU373" i="9"/>
  <c r="AU327" i="9"/>
  <c r="AU454" i="9"/>
  <c r="BJ28" i="6"/>
  <c r="BJ68" i="30" s="1"/>
  <c r="BJ245" i="26"/>
  <c r="AU545" i="9"/>
  <c r="AU316" i="9"/>
  <c r="AU538" i="9"/>
  <c r="AU183" i="9"/>
  <c r="AU536" i="9"/>
  <c r="AU145" i="9"/>
  <c r="AT615" i="9"/>
  <c r="AT897" i="9" s="1"/>
  <c r="AU332" i="9"/>
  <c r="BI67" i="30"/>
  <c r="AU448" i="9"/>
  <c r="AU213" i="9"/>
  <c r="AT603" i="9"/>
  <c r="AT885" i="9" s="1"/>
  <c r="AU104" i="9"/>
  <c r="BJ34" i="6"/>
  <c r="BJ70" i="30" s="1"/>
  <c r="BJ280" i="26"/>
  <c r="AU444" i="9"/>
  <c r="AU137" i="9"/>
  <c r="AT1006" i="9"/>
  <c r="AT515" i="9"/>
  <c r="AT177" i="9"/>
  <c r="AU171" i="9"/>
  <c r="AU440" i="9"/>
  <c r="AU61" i="9"/>
  <c r="AV459" i="9"/>
  <c r="AV422" i="9"/>
  <c r="AU445" i="9"/>
  <c r="AU156" i="9"/>
  <c r="AU240" i="9"/>
  <c r="AU541" i="9"/>
  <c r="AT606" i="9"/>
  <c r="AT888" i="9" s="1"/>
  <c r="AU161" i="9"/>
  <c r="AU609" i="9"/>
  <c r="AU891" i="9" s="1"/>
  <c r="AV218" i="9"/>
  <c r="AU450" i="9"/>
  <c r="AU251" i="9"/>
  <c r="AU430" i="9"/>
  <c r="AU551" i="9"/>
  <c r="AT1013" i="9"/>
  <c r="AT522" i="9"/>
  <c r="AT310" i="9"/>
  <c r="AU304" i="9"/>
  <c r="BJ31" i="6"/>
  <c r="BJ69" i="30" s="1"/>
  <c r="BJ259" i="26"/>
  <c r="W49" i="30"/>
  <c r="AU535" i="9"/>
  <c r="AU126" i="9"/>
  <c r="V49" i="30"/>
  <c r="Y49" i="30"/>
  <c r="AT1015" i="9"/>
  <c r="AT524" i="9"/>
  <c r="AT348" i="9"/>
  <c r="AU342" i="9"/>
  <c r="AT601" i="9"/>
  <c r="AT883" i="9" s="1"/>
  <c r="AU66" i="9"/>
  <c r="X49" i="30"/>
  <c r="AT611" i="9"/>
  <c r="AT893" i="9" s="1"/>
  <c r="AU256" i="9"/>
  <c r="AT613" i="9"/>
  <c r="AT895" i="9" s="1"/>
  <c r="AU294" i="9"/>
  <c r="AU543" i="9"/>
  <c r="AU278" i="9"/>
  <c r="AT602" i="9"/>
  <c r="AT884" i="9" s="1"/>
  <c r="AU85" i="9"/>
  <c r="AT1007" i="9"/>
  <c r="AT516" i="9"/>
  <c r="AU190" i="9"/>
  <c r="AT196" i="9"/>
  <c r="AU443" i="9"/>
  <c r="AU118" i="9"/>
  <c r="AU449" i="9"/>
  <c r="AU232" i="9"/>
  <c r="AU457" i="9"/>
  <c r="AU384" i="9"/>
  <c r="AU456" i="9"/>
  <c r="AU365" i="9"/>
  <c r="AT1002" i="9"/>
  <c r="AT511" i="9"/>
  <c r="AT101" i="9"/>
  <c r="AU95" i="9"/>
  <c r="AT1001" i="9"/>
  <c r="AT510" i="9"/>
  <c r="AT82" i="9"/>
  <c r="AU76" i="9"/>
  <c r="AU458" i="9"/>
  <c r="AU403" i="9"/>
  <c r="AT619" i="9"/>
  <c r="AT901" i="9" s="1"/>
  <c r="AU408" i="9"/>
  <c r="AU452" i="9"/>
  <c r="AU289" i="9"/>
  <c r="F152" i="1"/>
  <c r="E152" i="1" a="1"/>
  <c r="AU1012" i="9" l="1"/>
  <c r="AU521" i="9"/>
  <c r="AV285" i="9"/>
  <c r="AU291" i="9"/>
  <c r="AU442" i="9"/>
  <c r="AU99" i="9"/>
  <c r="AU610" i="9"/>
  <c r="AU892" i="9" s="1"/>
  <c r="AV237" i="9"/>
  <c r="AU539" i="9"/>
  <c r="AU202" i="9"/>
  <c r="AU441" i="9"/>
  <c r="AU80" i="9"/>
  <c r="AU532" i="9"/>
  <c r="AU69" i="9"/>
  <c r="AU453" i="9"/>
  <c r="AU308" i="9"/>
  <c r="AV540" i="9"/>
  <c r="AV221" i="9"/>
  <c r="AU1005" i="9"/>
  <c r="AU514" i="9"/>
  <c r="AU158" i="9"/>
  <c r="AV152" i="9"/>
  <c r="AU1000" i="9"/>
  <c r="AU509" i="9"/>
  <c r="AU63" i="9"/>
  <c r="AV57" i="9"/>
  <c r="AU1004" i="9"/>
  <c r="AU513" i="9"/>
  <c r="AU139" i="9"/>
  <c r="AV133" i="9"/>
  <c r="AU533" i="9"/>
  <c r="AU88" i="9"/>
  <c r="AU605" i="9"/>
  <c r="AU887" i="9" s="1"/>
  <c r="AV142" i="9"/>
  <c r="AU1017" i="9"/>
  <c r="AU526" i="9"/>
  <c r="AU386" i="9"/>
  <c r="AV380" i="9"/>
  <c r="AU1003" i="9"/>
  <c r="AU512" i="9"/>
  <c r="AU120" i="9"/>
  <c r="AV114" i="9"/>
  <c r="AU542" i="9"/>
  <c r="AU259" i="9"/>
  <c r="AU455" i="9"/>
  <c r="AU346" i="9"/>
  <c r="CY49" i="30"/>
  <c r="CQ49" i="30" s="1"/>
  <c r="AU537" i="9"/>
  <c r="AU164" i="9"/>
  <c r="AU446" i="9"/>
  <c r="AU175" i="9"/>
  <c r="AU1008" i="9"/>
  <c r="AU517" i="9"/>
  <c r="AU215" i="9"/>
  <c r="AV209" i="9"/>
  <c r="AU618" i="9"/>
  <c r="AU900" i="9" s="1"/>
  <c r="AV389" i="9"/>
  <c r="CV49" i="30"/>
  <c r="AU550" i="9"/>
  <c r="AU411" i="9"/>
  <c r="AU607" i="9"/>
  <c r="AU889" i="9" s="1"/>
  <c r="AV180" i="9"/>
  <c r="AU1011" i="9"/>
  <c r="AU520" i="9"/>
  <c r="AU272" i="9"/>
  <c r="AV266" i="9"/>
  <c r="AU547" i="9"/>
  <c r="AU354" i="9"/>
  <c r="AU612" i="9"/>
  <c r="AU894" i="9" s="1"/>
  <c r="AV275" i="9"/>
  <c r="AV1019" i="9"/>
  <c r="AV528" i="9"/>
  <c r="AW418" i="9"/>
  <c r="AV424" i="9"/>
  <c r="AU1014" i="9"/>
  <c r="AU523" i="9"/>
  <c r="AU329" i="9"/>
  <c r="AV323" i="9"/>
  <c r="BJ77" i="30"/>
  <c r="AU1018" i="9"/>
  <c r="AU527" i="9"/>
  <c r="AU405" i="9"/>
  <c r="AV399" i="9"/>
  <c r="AU1009" i="9"/>
  <c r="AU518" i="9"/>
  <c r="AV228" i="9"/>
  <c r="AU234" i="9"/>
  <c r="AU534" i="9"/>
  <c r="AU107" i="9"/>
  <c r="AU1016" i="9"/>
  <c r="AU525" i="9"/>
  <c r="AU367" i="9"/>
  <c r="AV361" i="9"/>
  <c r="CW49" i="30"/>
  <c r="AU604" i="9"/>
  <c r="AU886" i="9" s="1"/>
  <c r="AV123" i="9"/>
  <c r="AU620" i="9"/>
  <c r="AU902" i="9" s="1"/>
  <c r="AV427" i="9"/>
  <c r="AU617" i="9"/>
  <c r="AU899" i="9" s="1"/>
  <c r="AV370" i="9"/>
  <c r="AU447" i="9"/>
  <c r="AU194" i="9"/>
  <c r="AU544" i="9"/>
  <c r="AU297" i="9"/>
  <c r="CX49" i="30"/>
  <c r="AU1010" i="9"/>
  <c r="AU519" i="9"/>
  <c r="AV247" i="9"/>
  <c r="AU253" i="9"/>
  <c r="AU546" i="9"/>
  <c r="AU335" i="9"/>
  <c r="AU614" i="9"/>
  <c r="AU896" i="9" s="1"/>
  <c r="AV313" i="9"/>
  <c r="BJ67" i="30"/>
  <c r="E152" i="1"/>
  <c r="C152" i="1"/>
  <c r="EY152" i="1" s="1"/>
  <c r="CI151" i="1"/>
  <c r="CI151" i="20" s="1"/>
  <c r="CI42" i="30" s="1"/>
  <c r="CI179" i="30" s="1"/>
  <c r="CI65" i="33" s="1"/>
  <c r="CH151" i="1"/>
  <c r="CH151" i="20" s="1"/>
  <c r="CH42" i="30" s="1"/>
  <c r="CH179" i="30" s="1"/>
  <c r="CH65" i="33" s="1"/>
  <c r="CG151" i="1"/>
  <c r="CG151" i="20" s="1"/>
  <c r="CG42" i="30" s="1"/>
  <c r="CG179" i="30" s="1"/>
  <c r="CG65" i="33" s="1"/>
  <c r="CF151" i="1"/>
  <c r="CF151" i="20" s="1"/>
  <c r="CF42" i="30" s="1"/>
  <c r="CF179" i="30" s="1"/>
  <c r="CF65" i="33" s="1"/>
  <c r="CE151" i="1"/>
  <c r="CE151" i="20" s="1"/>
  <c r="CE42" i="30" s="1"/>
  <c r="CE179" i="30" s="1"/>
  <c r="CE65" i="33" s="1"/>
  <c r="CD151" i="1"/>
  <c r="CD151" i="20" s="1"/>
  <c r="CD42" i="30" s="1"/>
  <c r="CD179" i="30" s="1"/>
  <c r="CD65" i="33" s="1"/>
  <c r="CC151" i="1"/>
  <c r="CC151" i="20" s="1"/>
  <c r="CC42" i="30" s="1"/>
  <c r="CC179" i="30" s="1"/>
  <c r="CC65" i="33" s="1"/>
  <c r="CB151" i="1"/>
  <c r="CB151" i="20" s="1"/>
  <c r="CB42" i="30" s="1"/>
  <c r="CB179" i="30" s="1"/>
  <c r="CB65" i="33" s="1"/>
  <c r="BX151" i="1"/>
  <c r="BX151" i="20" s="1"/>
  <c r="BX42" i="30" s="1"/>
  <c r="BJ151" i="1"/>
  <c r="BJ151" i="20" s="1"/>
  <c r="BJ42" i="30" s="1"/>
  <c r="BI151" i="1"/>
  <c r="BI151" i="20" s="1"/>
  <c r="BI42" i="30" s="1"/>
  <c r="BH151" i="1"/>
  <c r="BH151" i="20" s="1"/>
  <c r="BH42" i="30" s="1"/>
  <c r="BG151" i="1"/>
  <c r="BG151" i="20" s="1"/>
  <c r="BG42" i="30" s="1"/>
  <c r="BF151" i="1"/>
  <c r="BF151" i="20" s="1"/>
  <c r="BF42" i="30" s="1"/>
  <c r="BE151" i="1"/>
  <c r="BE151" i="20" s="1"/>
  <c r="BE42" i="30" s="1"/>
  <c r="BD151" i="1"/>
  <c r="BD151" i="20" s="1"/>
  <c r="BD42" i="30" s="1"/>
  <c r="BC151" i="1"/>
  <c r="BC151" i="20" s="1"/>
  <c r="BC42" i="30" s="1"/>
  <c r="BB151" i="1"/>
  <c r="BB151" i="20" s="1"/>
  <c r="BB42" i="30" s="1"/>
  <c r="BA151" i="1"/>
  <c r="BA151" i="20" s="1"/>
  <c r="BA42" i="30" s="1"/>
  <c r="AZ151" i="1"/>
  <c r="AZ151" i="20" s="1"/>
  <c r="AZ42" i="30" s="1"/>
  <c r="AY151" i="1"/>
  <c r="AY151" i="20" s="1"/>
  <c r="AY42" i="30" s="1"/>
  <c r="AX151" i="1"/>
  <c r="AX151" i="20" s="1"/>
  <c r="AX42" i="30" s="1"/>
  <c r="AW151" i="1"/>
  <c r="AW151" i="20" s="1"/>
  <c r="AW42" i="30" s="1"/>
  <c r="AV151" i="1"/>
  <c r="AV151" i="20" s="1"/>
  <c r="AV42" i="30" s="1"/>
  <c r="AU151" i="1"/>
  <c r="AU151" i="20" s="1"/>
  <c r="AU42" i="30" s="1"/>
  <c r="AT151" i="1"/>
  <c r="AT151" i="20" s="1"/>
  <c r="AT42" i="30" s="1"/>
  <c r="AS151" i="1"/>
  <c r="AS151" i="20" s="1"/>
  <c r="AS42" i="30" s="1"/>
  <c r="AR151" i="1"/>
  <c r="AR151" i="20" s="1"/>
  <c r="AR42" i="30" s="1"/>
  <c r="AQ151" i="1"/>
  <c r="AQ151" i="20" s="1"/>
  <c r="AQ42" i="30" s="1"/>
  <c r="AP151" i="1"/>
  <c r="AP151" i="20" s="1"/>
  <c r="AP42" i="30" s="1"/>
  <c r="AO151" i="1"/>
  <c r="AO151" i="20" s="1"/>
  <c r="AO42" i="30" s="1"/>
  <c r="AN151" i="1"/>
  <c r="AN151" i="20" s="1"/>
  <c r="AN42" i="30" s="1"/>
  <c r="AM151" i="1"/>
  <c r="AM151" i="20" s="1"/>
  <c r="AM42" i="30" s="1"/>
  <c r="AL151" i="1"/>
  <c r="AL151" i="20" s="1"/>
  <c r="AL42" i="30" s="1"/>
  <c r="AK151" i="1"/>
  <c r="AK151" i="20" s="1"/>
  <c r="AK42" i="30" s="1"/>
  <c r="AJ151" i="1"/>
  <c r="AJ151" i="20" s="1"/>
  <c r="AJ42" i="30" s="1"/>
  <c r="AI151" i="1"/>
  <c r="AI151" i="20" s="1"/>
  <c r="AI42" i="30" s="1"/>
  <c r="AH151" i="1"/>
  <c r="AH151" i="20" s="1"/>
  <c r="AH42" i="30" s="1"/>
  <c r="AG151" i="1"/>
  <c r="AG151" i="20" s="1"/>
  <c r="AG42" i="30" s="1"/>
  <c r="AF151" i="1"/>
  <c r="AF151" i="20" s="1"/>
  <c r="AF42" i="30" s="1"/>
  <c r="AE151" i="1"/>
  <c r="AE151" i="20" s="1"/>
  <c r="AE42" i="30" s="1"/>
  <c r="AD151" i="1"/>
  <c r="AD151" i="20" s="1"/>
  <c r="AD42" i="30" s="1"/>
  <c r="AC151" i="1"/>
  <c r="AC151" i="20" s="1"/>
  <c r="AC42" i="30" s="1"/>
  <c r="AB151" i="1"/>
  <c r="AB151" i="20" s="1"/>
  <c r="AB42" i="30" s="1"/>
  <c r="AA151" i="1"/>
  <c r="AA151" i="20" s="1"/>
  <c r="AA42" i="30" s="1"/>
  <c r="V151" i="1"/>
  <c r="V151" i="20" s="1"/>
  <c r="F151" i="1" a="1"/>
  <c r="DB151" i="20" l="1"/>
  <c r="CT151" i="20" s="1"/>
  <c r="AV545" i="9"/>
  <c r="AV316" i="9"/>
  <c r="AV548" i="9"/>
  <c r="AV373" i="9"/>
  <c r="AU603" i="9"/>
  <c r="AU885" i="9" s="1"/>
  <c r="AV104" i="9"/>
  <c r="AV440" i="9"/>
  <c r="AV61" i="9"/>
  <c r="AV609" i="9"/>
  <c r="AV891" i="9" s="1"/>
  <c r="AW218" i="9"/>
  <c r="BX179" i="30"/>
  <c r="BX65" i="33" s="1"/>
  <c r="V42" i="30"/>
  <c r="AV451" i="9"/>
  <c r="AV270" i="9"/>
  <c r="AV549" i="9"/>
  <c r="AV392" i="9"/>
  <c r="AU606" i="9"/>
  <c r="AU888" i="9" s="1"/>
  <c r="AV161" i="9"/>
  <c r="AU602" i="9"/>
  <c r="AU884" i="9" s="1"/>
  <c r="AV85" i="9"/>
  <c r="AU1002" i="9"/>
  <c r="AU511" i="9"/>
  <c r="AV95" i="9"/>
  <c r="AU101" i="9"/>
  <c r="AU615" i="9"/>
  <c r="AU897" i="9" s="1"/>
  <c r="AV332" i="9"/>
  <c r="AW459" i="9"/>
  <c r="AW422" i="9"/>
  <c r="AV443" i="9"/>
  <c r="AV118" i="9"/>
  <c r="AU1013" i="9"/>
  <c r="AU522" i="9"/>
  <c r="AV304" i="9"/>
  <c r="AU310" i="9"/>
  <c r="AV449" i="9"/>
  <c r="AV232" i="9"/>
  <c r="AU619" i="9"/>
  <c r="AU901" i="9" s="1"/>
  <c r="AV408" i="9"/>
  <c r="AV213" i="9"/>
  <c r="AV448" i="9"/>
  <c r="AU608" i="9"/>
  <c r="AU890" i="9" s="1"/>
  <c r="AV199" i="9"/>
  <c r="AU613" i="9"/>
  <c r="AU895" i="9" s="1"/>
  <c r="AV294" i="9"/>
  <c r="AV551" i="9"/>
  <c r="AV430" i="9"/>
  <c r="AV456" i="9"/>
  <c r="AV365" i="9"/>
  <c r="AV444" i="9"/>
  <c r="AV137" i="9"/>
  <c r="AV445" i="9"/>
  <c r="AV156" i="9"/>
  <c r="AU601" i="9"/>
  <c r="AU883" i="9" s="1"/>
  <c r="AV66" i="9"/>
  <c r="AV454" i="9"/>
  <c r="AV327" i="9"/>
  <c r="AV543" i="9"/>
  <c r="AV278" i="9"/>
  <c r="AV538" i="9"/>
  <c r="AV183" i="9"/>
  <c r="AU1015" i="9"/>
  <c r="AU524" i="9"/>
  <c r="AU348" i="9"/>
  <c r="AV342" i="9"/>
  <c r="AV452" i="9"/>
  <c r="AV289" i="9"/>
  <c r="CZ151" i="1"/>
  <c r="CR151" i="1" s="1"/>
  <c r="AV450" i="9"/>
  <c r="AV251" i="9"/>
  <c r="AU1007" i="9"/>
  <c r="AU516" i="9"/>
  <c r="AV190" i="9"/>
  <c r="AU196" i="9"/>
  <c r="AV535" i="9"/>
  <c r="AV126" i="9"/>
  <c r="AV458" i="9"/>
  <c r="AV403" i="9"/>
  <c r="CP49" i="30"/>
  <c r="AV457" i="9"/>
  <c r="AV384" i="9"/>
  <c r="AV541" i="9"/>
  <c r="AV240" i="9"/>
  <c r="AU616" i="9"/>
  <c r="AU898" i="9" s="1"/>
  <c r="AV351" i="9"/>
  <c r="AU1006" i="9"/>
  <c r="AU515" i="9"/>
  <c r="AU177" i="9"/>
  <c r="AV171" i="9"/>
  <c r="AU611" i="9"/>
  <c r="AU893" i="9" s="1"/>
  <c r="AV256" i="9"/>
  <c r="AV536" i="9"/>
  <c r="AV145" i="9"/>
  <c r="AU1001" i="9"/>
  <c r="AU510" i="9"/>
  <c r="AU82" i="9"/>
  <c r="AV76" i="9"/>
  <c r="F151" i="1"/>
  <c r="E151" i="1" a="1"/>
  <c r="AV542" i="9" l="1"/>
  <c r="AV259" i="9"/>
  <c r="AV610" i="9"/>
  <c r="AV892" i="9" s="1"/>
  <c r="AW237" i="9"/>
  <c r="AV1018" i="9"/>
  <c r="AV527" i="9"/>
  <c r="AW399" i="9"/>
  <c r="AV405" i="9"/>
  <c r="AV1010" i="9"/>
  <c r="AV519" i="9"/>
  <c r="AW247" i="9"/>
  <c r="AV253" i="9"/>
  <c r="AV1017" i="9"/>
  <c r="AV526" i="9"/>
  <c r="AV386" i="9"/>
  <c r="AW380" i="9"/>
  <c r="AV605" i="9"/>
  <c r="AV887" i="9" s="1"/>
  <c r="AW142" i="9"/>
  <c r="AV547" i="9"/>
  <c r="AV354" i="9"/>
  <c r="AV612" i="9"/>
  <c r="AV894" i="9" s="1"/>
  <c r="AW275" i="9"/>
  <c r="AV620" i="9"/>
  <c r="AV902" i="9" s="1"/>
  <c r="AW427" i="9"/>
  <c r="AV539" i="9"/>
  <c r="AV202" i="9"/>
  <c r="AV537" i="9"/>
  <c r="AV164" i="9"/>
  <c r="AV1000" i="9"/>
  <c r="AV509" i="9"/>
  <c r="AV63" i="9"/>
  <c r="AW57" i="9"/>
  <c r="AV1004" i="9"/>
  <c r="AV513" i="9"/>
  <c r="AW133" i="9"/>
  <c r="AV139" i="9"/>
  <c r="V179" i="30"/>
  <c r="CY42" i="30"/>
  <c r="CQ42" i="30" s="1"/>
  <c r="AV614" i="9"/>
  <c r="AV896" i="9" s="1"/>
  <c r="AW313" i="9"/>
  <c r="AV455" i="9"/>
  <c r="AV346" i="9"/>
  <c r="AV1014" i="9"/>
  <c r="AV329" i="9"/>
  <c r="AV523" i="9"/>
  <c r="AW323" i="9"/>
  <c r="AV544" i="9"/>
  <c r="AV297" i="9"/>
  <c r="AW1019" i="9"/>
  <c r="AW528" i="9"/>
  <c r="AX418" i="9"/>
  <c r="AW424" i="9"/>
  <c r="AV442" i="9"/>
  <c r="AV99" i="9"/>
  <c r="AV618" i="9"/>
  <c r="AV900" i="9" s="1"/>
  <c r="AW389" i="9"/>
  <c r="AV1008" i="9"/>
  <c r="AV517" i="9"/>
  <c r="AV215" i="9"/>
  <c r="AW209" i="9"/>
  <c r="AV453" i="9"/>
  <c r="AV308" i="9"/>
  <c r="AV546" i="9"/>
  <c r="AV335" i="9"/>
  <c r="AV1011" i="9"/>
  <c r="AV520" i="9"/>
  <c r="AV272" i="9"/>
  <c r="AW266" i="9"/>
  <c r="AV534" i="9"/>
  <c r="AV107" i="9"/>
  <c r="AV441" i="9"/>
  <c r="AV80" i="9"/>
  <c r="AV446" i="9"/>
  <c r="AV175" i="9"/>
  <c r="AV532" i="9"/>
  <c r="AV69" i="9"/>
  <c r="AV550" i="9"/>
  <c r="AV411" i="9"/>
  <c r="AV533" i="9"/>
  <c r="AV88" i="9"/>
  <c r="AV1016" i="9"/>
  <c r="AV525" i="9"/>
  <c r="AV367" i="9"/>
  <c r="AW361" i="9"/>
  <c r="AW540" i="9"/>
  <c r="AW221" i="9"/>
  <c r="AV617" i="9"/>
  <c r="AV899" i="9" s="1"/>
  <c r="AW370" i="9"/>
  <c r="AV604" i="9"/>
  <c r="AV886" i="9" s="1"/>
  <c r="AW123" i="9"/>
  <c r="AV607" i="9"/>
  <c r="AV889" i="9" s="1"/>
  <c r="AW180" i="9"/>
  <c r="AV447" i="9"/>
  <c r="AV194" i="9"/>
  <c r="AV1012" i="9"/>
  <c r="AV521" i="9"/>
  <c r="AW285" i="9"/>
  <c r="AV291" i="9"/>
  <c r="AV1005" i="9"/>
  <c r="AV514" i="9"/>
  <c r="AV158" i="9"/>
  <c r="AW152" i="9"/>
  <c r="AV1009" i="9"/>
  <c r="AV518" i="9"/>
  <c r="AV234" i="9"/>
  <c r="AW228" i="9"/>
  <c r="AV1003" i="9"/>
  <c r="AV512" i="9"/>
  <c r="AV120" i="9"/>
  <c r="AW114" i="9"/>
  <c r="E151" i="1"/>
  <c r="C151" i="1"/>
  <c r="EY151" i="1" s="1"/>
  <c r="EY150" i="1"/>
  <c r="CZ150" i="1"/>
  <c r="CR150" i="1" s="1"/>
  <c r="BX150" i="1"/>
  <c r="C150" i="1"/>
  <c r="CI149" i="1"/>
  <c r="CH149" i="1"/>
  <c r="CG149" i="1"/>
  <c r="CF149" i="1"/>
  <c r="CE149" i="1"/>
  <c r="CD149" i="1"/>
  <c r="CC149" i="1"/>
  <c r="CB149" i="1"/>
  <c r="BX149" i="1"/>
  <c r="CZ149" i="1" s="1"/>
  <c r="CR149" i="1" s="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V149" i="1"/>
  <c r="G149" i="1" a="1"/>
  <c r="BH149" i="20" l="1"/>
  <c r="BH154" i="1"/>
  <c r="AK149" i="20"/>
  <c r="AK154" i="1"/>
  <c r="AS149" i="20"/>
  <c r="AS154" i="1"/>
  <c r="CD149" i="20"/>
  <c r="CD154" i="1"/>
  <c r="AL149" i="20"/>
  <c r="AL154" i="1"/>
  <c r="CE149" i="20"/>
  <c r="CE154" i="1"/>
  <c r="V149" i="20"/>
  <c r="V154" i="1"/>
  <c r="AM149" i="20"/>
  <c r="AM154" i="1"/>
  <c r="AU149" i="20"/>
  <c r="AU154" i="1"/>
  <c r="AF149" i="20"/>
  <c r="AF154" i="1"/>
  <c r="AV149" i="20"/>
  <c r="AV154" i="1"/>
  <c r="BD149" i="20"/>
  <c r="BD154" i="1"/>
  <c r="AH149" i="20"/>
  <c r="AH154" i="1"/>
  <c r="AP149" i="20"/>
  <c r="AP154" i="1"/>
  <c r="AX149" i="20"/>
  <c r="AX154" i="1"/>
  <c r="BF149" i="20"/>
  <c r="BF154" i="1"/>
  <c r="CI149" i="20"/>
  <c r="CI154" i="1"/>
  <c r="AA149" i="20"/>
  <c r="AA154" i="1"/>
  <c r="AI149" i="20"/>
  <c r="AI154" i="1"/>
  <c r="AQ149" i="20"/>
  <c r="AQ154" i="1"/>
  <c r="AY149" i="20"/>
  <c r="AY154" i="1"/>
  <c r="BG149" i="20"/>
  <c r="BG154" i="1"/>
  <c r="CB149" i="20"/>
  <c r="CB154" i="1"/>
  <c r="AW443" i="9"/>
  <c r="AW118" i="9"/>
  <c r="AW445" i="9"/>
  <c r="AW156" i="9"/>
  <c r="AV1007" i="9"/>
  <c r="AV516" i="9"/>
  <c r="AW190" i="9"/>
  <c r="AV196" i="9"/>
  <c r="AW548" i="9"/>
  <c r="AW373" i="9"/>
  <c r="AV619" i="9"/>
  <c r="AV901" i="9" s="1"/>
  <c r="AW408" i="9"/>
  <c r="AV615" i="9"/>
  <c r="AV897" i="9" s="1"/>
  <c r="AW332" i="9"/>
  <c r="AV1015" i="9"/>
  <c r="AV524" i="9"/>
  <c r="AV348" i="9"/>
  <c r="AW342" i="9"/>
  <c r="AW543" i="9"/>
  <c r="AW278" i="9"/>
  <c r="AV603" i="9"/>
  <c r="AV885" i="9" s="1"/>
  <c r="AW104" i="9"/>
  <c r="AW609" i="9"/>
  <c r="AW891" i="9" s="1"/>
  <c r="AX218" i="9"/>
  <c r="AV601" i="9"/>
  <c r="AV883" i="9" s="1"/>
  <c r="AW66" i="9"/>
  <c r="AV1013" i="9"/>
  <c r="AV522" i="9"/>
  <c r="AW304" i="9"/>
  <c r="AV310" i="9"/>
  <c r="AW549" i="9"/>
  <c r="AW392" i="9"/>
  <c r="AV613" i="9"/>
  <c r="AV895" i="9" s="1"/>
  <c r="AW294" i="9"/>
  <c r="AW545" i="9"/>
  <c r="AW316" i="9"/>
  <c r="AW444" i="9"/>
  <c r="AW137" i="9"/>
  <c r="AV606" i="9"/>
  <c r="AV888" i="9" s="1"/>
  <c r="AW161" i="9"/>
  <c r="AV616" i="9"/>
  <c r="AV898" i="9" s="1"/>
  <c r="AW351" i="9"/>
  <c r="AW541" i="9"/>
  <c r="AW240" i="9"/>
  <c r="AR149" i="20"/>
  <c r="AR154" i="1"/>
  <c r="AW538" i="9"/>
  <c r="AW183" i="9"/>
  <c r="AW451" i="9"/>
  <c r="AW270" i="9"/>
  <c r="AW450" i="9"/>
  <c r="AW251" i="9"/>
  <c r="AW449" i="9"/>
  <c r="AW232" i="9"/>
  <c r="AW448" i="9"/>
  <c r="AW213" i="9"/>
  <c r="AV1002" i="9"/>
  <c r="AV511" i="9"/>
  <c r="AV101" i="9"/>
  <c r="AW95" i="9"/>
  <c r="AW454" i="9"/>
  <c r="AW327" i="9"/>
  <c r="AV608" i="9"/>
  <c r="AV890" i="9" s="1"/>
  <c r="AW199" i="9"/>
  <c r="AW536" i="9"/>
  <c r="AW145" i="9"/>
  <c r="AV611" i="9"/>
  <c r="AV893" i="9" s="1"/>
  <c r="AW256" i="9"/>
  <c r="AJ149" i="20"/>
  <c r="AJ154" i="1"/>
  <c r="CC149" i="20"/>
  <c r="CC154" i="1"/>
  <c r="AC149" i="20"/>
  <c r="AC154" i="1"/>
  <c r="BI149" i="20"/>
  <c r="BI154" i="1"/>
  <c r="BB149" i="20"/>
  <c r="BB154" i="1"/>
  <c r="BC149" i="20"/>
  <c r="BC154" i="1"/>
  <c r="CG149" i="20"/>
  <c r="CG154" i="1"/>
  <c r="AW289" i="9"/>
  <c r="AW452" i="9"/>
  <c r="AV602" i="9"/>
  <c r="AV884" i="9" s="1"/>
  <c r="AW85" i="9"/>
  <c r="AV1006" i="9"/>
  <c r="AV515" i="9"/>
  <c r="AW171" i="9"/>
  <c r="AV177" i="9"/>
  <c r="AZ149" i="20"/>
  <c r="AZ154" i="1"/>
  <c r="AD149" i="20"/>
  <c r="AD154" i="1"/>
  <c r="AT149" i="20"/>
  <c r="AT154" i="1"/>
  <c r="AE149" i="20"/>
  <c r="AE154" i="1"/>
  <c r="BX149" i="20"/>
  <c r="BX154" i="1"/>
  <c r="AN149" i="20"/>
  <c r="AN154" i="1"/>
  <c r="AG149" i="20"/>
  <c r="AG154" i="1"/>
  <c r="AO149" i="20"/>
  <c r="AO154" i="1"/>
  <c r="AW149" i="20"/>
  <c r="AW154" i="1"/>
  <c r="BE149" i="20"/>
  <c r="BE154" i="1"/>
  <c r="CH149" i="20"/>
  <c r="CH154" i="1"/>
  <c r="AW535" i="9"/>
  <c r="AW126" i="9"/>
  <c r="V65" i="33"/>
  <c r="E15" i="50" s="1"/>
  <c r="CY179" i="30"/>
  <c r="CQ179" i="30" s="1"/>
  <c r="AW440" i="9"/>
  <c r="AW61" i="9"/>
  <c r="AW551" i="9"/>
  <c r="AW430" i="9"/>
  <c r="AW457" i="9"/>
  <c r="AW384" i="9"/>
  <c r="AB149" i="20"/>
  <c r="AB154" i="1"/>
  <c r="BA149" i="20"/>
  <c r="BA154" i="1"/>
  <c r="BJ149" i="20"/>
  <c r="BJ154" i="1"/>
  <c r="CF149" i="20"/>
  <c r="CF154" i="1"/>
  <c r="AW456" i="9"/>
  <c r="AW365" i="9"/>
  <c r="AV1001" i="9"/>
  <c r="AV510" i="9"/>
  <c r="AW76" i="9"/>
  <c r="AV82" i="9"/>
  <c r="AX459" i="9"/>
  <c r="AX422" i="9"/>
  <c r="AW403" i="9"/>
  <c r="AW458" i="9"/>
  <c r="G149" i="1"/>
  <c r="F149" i="1" a="1"/>
  <c r="AW618" i="9" l="1"/>
  <c r="AW900" i="9" s="1"/>
  <c r="AX389" i="9"/>
  <c r="AX1019" i="9"/>
  <c r="AX528" i="9"/>
  <c r="AX424" i="9"/>
  <c r="AY418" i="9"/>
  <c r="AG40" i="30"/>
  <c r="AW620" i="9"/>
  <c r="AW902" i="9" s="1"/>
  <c r="AX427" i="9"/>
  <c r="AO40" i="30"/>
  <c r="AE40" i="30"/>
  <c r="AW1012" i="9"/>
  <c r="AW521" i="9"/>
  <c r="AW291" i="9"/>
  <c r="AX285" i="9"/>
  <c r="BB40" i="30"/>
  <c r="AJ40" i="30"/>
  <c r="AW1014" i="9"/>
  <c r="AW523" i="9"/>
  <c r="AW329" i="9"/>
  <c r="AX323" i="9"/>
  <c r="AW1009" i="9"/>
  <c r="AW518" i="9"/>
  <c r="AW234" i="9"/>
  <c r="AX228" i="9"/>
  <c r="CZ154" i="1"/>
  <c r="CR154" i="1" s="1"/>
  <c r="CD40" i="30"/>
  <c r="CD154" i="20"/>
  <c r="AW447" i="9"/>
  <c r="AW194" i="9"/>
  <c r="CB40" i="30"/>
  <c r="CB154" i="20"/>
  <c r="AI40" i="30"/>
  <c r="AX40" i="30"/>
  <c r="AV40" i="30"/>
  <c r="V154" i="20"/>
  <c r="DB149" i="20"/>
  <c r="CT149" i="20" s="1"/>
  <c r="AW446" i="9"/>
  <c r="AW175" i="9"/>
  <c r="CG40" i="30"/>
  <c r="CG154" i="20"/>
  <c r="BI40" i="30"/>
  <c r="AW442" i="9"/>
  <c r="AW99" i="9"/>
  <c r="AX540" i="9"/>
  <c r="AX221" i="9"/>
  <c r="AW546" i="9"/>
  <c r="AW335" i="9"/>
  <c r="AS40" i="30"/>
  <c r="AW1016" i="9"/>
  <c r="AW525" i="9"/>
  <c r="AW367" i="9"/>
  <c r="AX361" i="9"/>
  <c r="CH40" i="30"/>
  <c r="CH154" i="20"/>
  <c r="AW605" i="9"/>
  <c r="AW887" i="9" s="1"/>
  <c r="AX142" i="9"/>
  <c r="AW1010" i="9"/>
  <c r="AW519" i="9"/>
  <c r="AX247" i="9"/>
  <c r="AW253" i="9"/>
  <c r="AW1004" i="9"/>
  <c r="AW513" i="9"/>
  <c r="AX133" i="9"/>
  <c r="AW139" i="9"/>
  <c r="BG40" i="30"/>
  <c r="AA40" i="30"/>
  <c r="AP40" i="30"/>
  <c r="AF40" i="30"/>
  <c r="AW607" i="9"/>
  <c r="AW889" i="9" s="1"/>
  <c r="AX180" i="9"/>
  <c r="BE40" i="30"/>
  <c r="AN40" i="30"/>
  <c r="AD40" i="30"/>
  <c r="AC40" i="30"/>
  <c r="AR40" i="30"/>
  <c r="AW453" i="9"/>
  <c r="AW308" i="9"/>
  <c r="AW612" i="9"/>
  <c r="AW894" i="9" s="1"/>
  <c r="AX275" i="9"/>
  <c r="AW550" i="9"/>
  <c r="AW411" i="9"/>
  <c r="AW1005" i="9"/>
  <c r="AW514" i="9"/>
  <c r="AX152" i="9"/>
  <c r="AW158" i="9"/>
  <c r="CE40" i="30"/>
  <c r="CE154" i="20"/>
  <c r="AK40" i="30"/>
  <c r="AW537" i="9"/>
  <c r="AW164" i="9"/>
  <c r="AB40" i="30"/>
  <c r="AW533" i="9"/>
  <c r="AW88" i="9"/>
  <c r="BC40" i="30"/>
  <c r="AW539" i="9"/>
  <c r="AW202" i="9"/>
  <c r="AW610" i="9"/>
  <c r="AW892" i="9" s="1"/>
  <c r="AX237" i="9"/>
  <c r="AW614" i="9"/>
  <c r="AW896" i="9" s="1"/>
  <c r="AX313" i="9"/>
  <c r="AY40" i="30"/>
  <c r="CI40" i="30"/>
  <c r="CI154" i="20"/>
  <c r="AH40" i="30"/>
  <c r="AU40" i="30"/>
  <c r="BA40" i="30"/>
  <c r="AW441" i="9"/>
  <c r="AW80" i="9"/>
  <c r="AW1017" i="9"/>
  <c r="AW526" i="9"/>
  <c r="AX380" i="9"/>
  <c r="AW386" i="9"/>
  <c r="AW40" i="30"/>
  <c r="BX40" i="30"/>
  <c r="BX154" i="20"/>
  <c r="AZ40" i="30"/>
  <c r="CC40" i="30"/>
  <c r="CC154" i="20"/>
  <c r="AW1008" i="9"/>
  <c r="AW517" i="9"/>
  <c r="AW215" i="9"/>
  <c r="AX209" i="9"/>
  <c r="AW455" i="9"/>
  <c r="AW346" i="9"/>
  <c r="AW617" i="9"/>
  <c r="AW899" i="9" s="1"/>
  <c r="AX370" i="9"/>
  <c r="AW1003" i="9"/>
  <c r="AW512" i="9"/>
  <c r="AW120" i="9"/>
  <c r="AX114" i="9"/>
  <c r="AL40" i="30"/>
  <c r="BH40" i="30"/>
  <c r="BJ40" i="30"/>
  <c r="AW542" i="9"/>
  <c r="AW259" i="9"/>
  <c r="AW534" i="9"/>
  <c r="AW107" i="9"/>
  <c r="AW1000" i="9"/>
  <c r="AW509" i="9"/>
  <c r="AX57" i="9"/>
  <c r="AW63" i="9"/>
  <c r="AT40" i="30"/>
  <c r="AW1018" i="9"/>
  <c r="AW527" i="9"/>
  <c r="AX399" i="9"/>
  <c r="AW405" i="9"/>
  <c r="CF40" i="30"/>
  <c r="CF154" i="20"/>
  <c r="AW604" i="9"/>
  <c r="AW886" i="9" s="1"/>
  <c r="AX123" i="9"/>
  <c r="AW1011" i="9"/>
  <c r="AW520" i="9"/>
  <c r="AX266" i="9"/>
  <c r="AW272" i="9"/>
  <c r="AW354" i="9"/>
  <c r="AW547" i="9"/>
  <c r="AW544" i="9"/>
  <c r="AW297" i="9"/>
  <c r="AW532" i="9"/>
  <c r="AW69" i="9"/>
  <c r="AQ40" i="30"/>
  <c r="BF40" i="30"/>
  <c r="BD40" i="30"/>
  <c r="AM40" i="30"/>
  <c r="F149" i="1"/>
  <c r="E149" i="1" a="1"/>
  <c r="AZ151" i="30" l="1"/>
  <c r="AH151" i="30"/>
  <c r="AX541" i="9"/>
  <c r="AX240" i="9"/>
  <c r="CE151" i="30"/>
  <c r="BG151" i="30"/>
  <c r="CH151" i="30"/>
  <c r="AW1007" i="9"/>
  <c r="AW516" i="9"/>
  <c r="AW196" i="9"/>
  <c r="AX190" i="9"/>
  <c r="AX449" i="9"/>
  <c r="AX232" i="9"/>
  <c r="AG151" i="30"/>
  <c r="BF151" i="30"/>
  <c r="AX440" i="9"/>
  <c r="AX61" i="9"/>
  <c r="AW1001" i="9"/>
  <c r="AW510" i="9"/>
  <c r="AW82" i="9"/>
  <c r="AX76" i="9"/>
  <c r="AW1013" i="9"/>
  <c r="AW522" i="9"/>
  <c r="AW310" i="9"/>
  <c r="AX304" i="9"/>
  <c r="AD151" i="30"/>
  <c r="AX450" i="9"/>
  <c r="AX251" i="9"/>
  <c r="AX456" i="9"/>
  <c r="AX365" i="9"/>
  <c r="BI151" i="30"/>
  <c r="AV151" i="30"/>
  <c r="AJ151" i="30"/>
  <c r="AE151" i="30"/>
  <c r="AY459" i="9"/>
  <c r="AY422" i="9"/>
  <c r="AX548" i="9"/>
  <c r="AX373" i="9"/>
  <c r="CI151" i="30"/>
  <c r="AB151" i="30"/>
  <c r="AX445" i="9"/>
  <c r="AX156" i="9"/>
  <c r="AF151" i="30"/>
  <c r="AX609" i="9"/>
  <c r="AX891" i="9" s="1"/>
  <c r="AY218" i="9"/>
  <c r="AW616" i="9"/>
  <c r="AW898" i="9" s="1"/>
  <c r="AX351" i="9"/>
  <c r="CF151" i="30"/>
  <c r="BJ151" i="30"/>
  <c r="AQ151" i="30"/>
  <c r="AX451" i="9"/>
  <c r="AX270" i="9"/>
  <c r="AX403" i="9"/>
  <c r="AX458" i="9"/>
  <c r="BH151" i="30"/>
  <c r="AW608" i="9"/>
  <c r="AW890" i="9" s="1"/>
  <c r="AX199" i="9"/>
  <c r="AW606" i="9"/>
  <c r="AW888" i="9" s="1"/>
  <c r="AX161" i="9"/>
  <c r="AN151" i="30"/>
  <c r="CG151" i="30"/>
  <c r="AX151" i="30"/>
  <c r="CD151" i="30"/>
  <c r="BB151" i="30"/>
  <c r="AO151" i="30"/>
  <c r="AW603" i="9"/>
  <c r="AW885" i="9" s="1"/>
  <c r="AX104" i="9"/>
  <c r="AW151" i="30"/>
  <c r="BA151" i="30"/>
  <c r="AY151" i="30"/>
  <c r="AR151" i="30"/>
  <c r="AP151" i="30"/>
  <c r="AX536" i="9"/>
  <c r="AX145" i="9"/>
  <c r="AW1006" i="9"/>
  <c r="AW515" i="9"/>
  <c r="AX171" i="9"/>
  <c r="AW177" i="9"/>
  <c r="AX454" i="9"/>
  <c r="AX327" i="9"/>
  <c r="AX452" i="9"/>
  <c r="AX289" i="9"/>
  <c r="AX551" i="9"/>
  <c r="AX430" i="9"/>
  <c r="AM151" i="30"/>
  <c r="AL151" i="30"/>
  <c r="CC151" i="30"/>
  <c r="AW619" i="9"/>
  <c r="AW901" i="9" s="1"/>
  <c r="AX408" i="9"/>
  <c r="BE151" i="30"/>
  <c r="AX444" i="9"/>
  <c r="AX137" i="9"/>
  <c r="AW1002" i="9"/>
  <c r="AW511" i="9"/>
  <c r="AW101" i="9"/>
  <c r="AX95" i="9"/>
  <c r="AI151" i="30"/>
  <c r="AX549" i="9"/>
  <c r="AX392" i="9"/>
  <c r="AW601" i="9"/>
  <c r="AW883" i="9" s="1"/>
  <c r="AX66" i="9"/>
  <c r="AW1015" i="9"/>
  <c r="AW524" i="9"/>
  <c r="AW348" i="9"/>
  <c r="AX342" i="9"/>
  <c r="AW613" i="9"/>
  <c r="AW895" i="9" s="1"/>
  <c r="AX294" i="9"/>
  <c r="AX535" i="9"/>
  <c r="AX126" i="9"/>
  <c r="AX457" i="9"/>
  <c r="AX384" i="9"/>
  <c r="AU151" i="30"/>
  <c r="AK151" i="30"/>
  <c r="AC151" i="30"/>
  <c r="AA151" i="30"/>
  <c r="AS151" i="30"/>
  <c r="BX151" i="30"/>
  <c r="V40" i="30"/>
  <c r="AW611" i="9"/>
  <c r="AW893" i="9" s="1"/>
  <c r="AX256" i="9"/>
  <c r="AX443" i="9"/>
  <c r="AX118" i="9"/>
  <c r="AX545" i="9"/>
  <c r="AX316" i="9"/>
  <c r="BC151" i="30"/>
  <c r="BD151" i="30"/>
  <c r="AT151" i="30"/>
  <c r="AX448" i="9"/>
  <c r="AX213" i="9"/>
  <c r="AW602" i="9"/>
  <c r="AW884" i="9" s="1"/>
  <c r="AX85" i="9"/>
  <c r="AX543" i="9"/>
  <c r="AX278" i="9"/>
  <c r="AX538" i="9"/>
  <c r="AX183" i="9"/>
  <c r="AW615" i="9"/>
  <c r="AW897" i="9" s="1"/>
  <c r="AX332" i="9"/>
  <c r="DB154" i="20"/>
  <c r="CT154" i="20" s="1"/>
  <c r="CB151" i="30"/>
  <c r="E149" i="1"/>
  <c r="C149" i="1"/>
  <c r="EY149" i="1" s="1"/>
  <c r="EY148" i="1"/>
  <c r="EY147" i="1"/>
  <c r="EY146" i="1"/>
  <c r="C146" i="1"/>
  <c r="EY145" i="1"/>
  <c r="CI144" i="1"/>
  <c r="CH144" i="1"/>
  <c r="CG144" i="1"/>
  <c r="CF144" i="1"/>
  <c r="CE144" i="1"/>
  <c r="CD144" i="1"/>
  <c r="CC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E144" i="1" a="1"/>
  <c r="AF144" i="20" l="1"/>
  <c r="AF178" i="1"/>
  <c r="BE144" i="20"/>
  <c r="BE178" i="1"/>
  <c r="AX620" i="9"/>
  <c r="AX902" i="9" s="1"/>
  <c r="AY427" i="9"/>
  <c r="AE144" i="20"/>
  <c r="AE178" i="1"/>
  <c r="AM144" i="20"/>
  <c r="AM178" i="1"/>
  <c r="AU144" i="20"/>
  <c r="AU178" i="1"/>
  <c r="BC144" i="20"/>
  <c r="BC178" i="1"/>
  <c r="CF144" i="20"/>
  <c r="CF178" i="1"/>
  <c r="AX607" i="9"/>
  <c r="AX889" i="9" s="1"/>
  <c r="AY180" i="9"/>
  <c r="AY313" i="9"/>
  <c r="AX614" i="9"/>
  <c r="AX896" i="9" s="1"/>
  <c r="BX56" i="33"/>
  <c r="AX544" i="9"/>
  <c r="AX297" i="9"/>
  <c r="AM56" i="33"/>
  <c r="AP56" i="33"/>
  <c r="BH56" i="33"/>
  <c r="CI56" i="33"/>
  <c r="AJ56" i="33"/>
  <c r="AX441" i="9"/>
  <c r="AX80" i="9"/>
  <c r="AX610" i="9"/>
  <c r="AX892" i="9" s="1"/>
  <c r="AY237" i="9"/>
  <c r="AK56" i="33"/>
  <c r="AX618" i="9"/>
  <c r="AX900" i="9" s="1"/>
  <c r="AY389" i="9"/>
  <c r="AX175" i="9"/>
  <c r="AX446" i="9"/>
  <c r="AW56" i="33"/>
  <c r="AN56" i="33"/>
  <c r="AX617" i="9"/>
  <c r="AX899" i="9" s="1"/>
  <c r="AY370" i="9"/>
  <c r="AG56" i="33"/>
  <c r="CH56" i="33"/>
  <c r="CG144" i="20"/>
  <c r="CG178" i="1"/>
  <c r="BJ56" i="33"/>
  <c r="AF56" i="33"/>
  <c r="AV56" i="33"/>
  <c r="AD56" i="33"/>
  <c r="AX1009" i="9"/>
  <c r="AX518" i="9"/>
  <c r="AY228" i="9"/>
  <c r="AX234" i="9"/>
  <c r="AX612" i="9"/>
  <c r="AX894" i="9" s="1"/>
  <c r="AY275" i="9"/>
  <c r="AR56" i="33"/>
  <c r="AX1018" i="9"/>
  <c r="AX527" i="9"/>
  <c r="AY399" i="9"/>
  <c r="AX405" i="9"/>
  <c r="AX1005" i="9"/>
  <c r="AX514" i="9"/>
  <c r="AY152" i="9"/>
  <c r="AX158" i="9"/>
  <c r="AY1019" i="9"/>
  <c r="AY528" i="9"/>
  <c r="AY424" i="9"/>
  <c r="AZ418" i="9"/>
  <c r="AX308" i="9"/>
  <c r="AX453" i="9"/>
  <c r="BG56" i="33"/>
  <c r="AH56" i="33"/>
  <c r="CC56" i="33"/>
  <c r="CD56" i="33"/>
  <c r="AP144" i="20"/>
  <c r="AP178" i="1"/>
  <c r="AX144" i="20"/>
  <c r="AX178" i="1"/>
  <c r="CI144" i="20"/>
  <c r="CI178" i="1"/>
  <c r="CB56" i="33"/>
  <c r="AS56" i="33"/>
  <c r="AU56" i="33"/>
  <c r="AX1004" i="9"/>
  <c r="AX513" i="9"/>
  <c r="AY133" i="9"/>
  <c r="AX139" i="9"/>
  <c r="AA144" i="20"/>
  <c r="AA178" i="1"/>
  <c r="AI144" i="20"/>
  <c r="AI178" i="1"/>
  <c r="AQ144" i="20"/>
  <c r="AQ178" i="1"/>
  <c r="AY144" i="20"/>
  <c r="AY178" i="1"/>
  <c r="BG144" i="20"/>
  <c r="BG178" i="1"/>
  <c r="AX533" i="9"/>
  <c r="AX88" i="9"/>
  <c r="AX542" i="9"/>
  <c r="AX259" i="9"/>
  <c r="AX1017" i="9"/>
  <c r="AX526" i="9"/>
  <c r="AY380" i="9"/>
  <c r="AX386" i="9"/>
  <c r="AL56" i="33"/>
  <c r="AX1012" i="9"/>
  <c r="AX291" i="9"/>
  <c r="AX521" i="9"/>
  <c r="AY285" i="9"/>
  <c r="AX56" i="33"/>
  <c r="AX539" i="9"/>
  <c r="AX202" i="9"/>
  <c r="AX1011" i="9"/>
  <c r="AX520" i="9"/>
  <c r="AY266" i="9"/>
  <c r="AX272" i="9"/>
  <c r="CF56" i="33"/>
  <c r="BI56" i="33"/>
  <c r="AX1000" i="9"/>
  <c r="AX509" i="9"/>
  <c r="AX63" i="9"/>
  <c r="AY57" i="9"/>
  <c r="AX447" i="9"/>
  <c r="AX194" i="9"/>
  <c r="AA56" i="33"/>
  <c r="AI56" i="33"/>
  <c r="AX605" i="9"/>
  <c r="AX887" i="9" s="1"/>
  <c r="AY142" i="9"/>
  <c r="AY56" i="33"/>
  <c r="AO56" i="33"/>
  <c r="AX547" i="9"/>
  <c r="AX354" i="9"/>
  <c r="AX1016" i="9"/>
  <c r="AX525" i="9"/>
  <c r="AX367" i="9"/>
  <c r="AY361" i="9"/>
  <c r="AN144" i="20"/>
  <c r="AN178" i="1"/>
  <c r="AO144" i="20"/>
  <c r="AO178" i="1"/>
  <c r="AX1003" i="9"/>
  <c r="AX512" i="9"/>
  <c r="AY114" i="9"/>
  <c r="AX120" i="9"/>
  <c r="AX534" i="9"/>
  <c r="AX107" i="9"/>
  <c r="AR144" i="20"/>
  <c r="AR178" i="1"/>
  <c r="AX546" i="9"/>
  <c r="AX335" i="9"/>
  <c r="BD56" i="33"/>
  <c r="BI144" i="20"/>
  <c r="BI178" i="1"/>
  <c r="V151" i="30"/>
  <c r="CY40" i="30"/>
  <c r="CQ40" i="30" s="1"/>
  <c r="AX604" i="9"/>
  <c r="AX886" i="9" s="1"/>
  <c r="AY123" i="9"/>
  <c r="AX532" i="9"/>
  <c r="AX69" i="9"/>
  <c r="AX442" i="9"/>
  <c r="AX99" i="9"/>
  <c r="BE56" i="33"/>
  <c r="AX1014" i="9"/>
  <c r="AX523" i="9"/>
  <c r="AX329" i="9"/>
  <c r="AY323" i="9"/>
  <c r="CG56" i="33"/>
  <c r="AB56" i="33"/>
  <c r="AE56" i="33"/>
  <c r="AZ56" i="33"/>
  <c r="AV144" i="20"/>
  <c r="AV178" i="1"/>
  <c r="BD144" i="20"/>
  <c r="BD178" i="1"/>
  <c r="AG144" i="20"/>
  <c r="AG178" i="1"/>
  <c r="AW144" i="20"/>
  <c r="AW178" i="1"/>
  <c r="CH144" i="20"/>
  <c r="CH178" i="1"/>
  <c r="AT56" i="33"/>
  <c r="AX455" i="9"/>
  <c r="AX346" i="9"/>
  <c r="AX537" i="9"/>
  <c r="AX164" i="9"/>
  <c r="AH144" i="20"/>
  <c r="AH178" i="1"/>
  <c r="BF144" i="20"/>
  <c r="BF178" i="1"/>
  <c r="AB144" i="20"/>
  <c r="AB178" i="1"/>
  <c r="AJ144" i="20"/>
  <c r="AJ178" i="1"/>
  <c r="AZ144" i="20"/>
  <c r="AZ178" i="1"/>
  <c r="BH144" i="20"/>
  <c r="BH178" i="1"/>
  <c r="CC144" i="20"/>
  <c r="CC178" i="1"/>
  <c r="AC144" i="20"/>
  <c r="AC178" i="1"/>
  <c r="AK144" i="20"/>
  <c r="AK178" i="1"/>
  <c r="AS144" i="20"/>
  <c r="AS178" i="1"/>
  <c r="BA144" i="20"/>
  <c r="BA178" i="1"/>
  <c r="CD144" i="20"/>
  <c r="CD178" i="1"/>
  <c r="AD144" i="20"/>
  <c r="AD178" i="1"/>
  <c r="AL144" i="20"/>
  <c r="AL178" i="1"/>
  <c r="AT144" i="20"/>
  <c r="AT178" i="1"/>
  <c r="BB144" i="20"/>
  <c r="BB178" i="1"/>
  <c r="BJ144" i="20"/>
  <c r="BJ178" i="1"/>
  <c r="CE144" i="20"/>
  <c r="CE178" i="1"/>
  <c r="AX1008" i="9"/>
  <c r="AX517" i="9"/>
  <c r="AX215" i="9"/>
  <c r="AY209" i="9"/>
  <c r="BC56" i="33"/>
  <c r="AC56" i="33"/>
  <c r="AX550" i="9"/>
  <c r="AX411" i="9"/>
  <c r="BA56" i="33"/>
  <c r="BB56" i="33"/>
  <c r="AQ56" i="33"/>
  <c r="AY540" i="9"/>
  <c r="AY221" i="9"/>
  <c r="AX1010" i="9"/>
  <c r="AX519" i="9"/>
  <c r="AY247" i="9"/>
  <c r="AX253" i="9"/>
  <c r="BF56" i="33"/>
  <c r="CE56" i="33"/>
  <c r="E144" i="1"/>
  <c r="C144" i="1"/>
  <c r="EY144" i="1" s="1"/>
  <c r="CI143" i="1"/>
  <c r="CH143" i="1"/>
  <c r="CG143" i="1"/>
  <c r="CF143" i="1"/>
  <c r="CE143" i="1"/>
  <c r="CD143" i="1"/>
  <c r="CC143" i="1"/>
  <c r="CB143" i="1"/>
  <c r="BX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V143" i="1"/>
  <c r="CZ143" i="1" s="1"/>
  <c r="CR143" i="1" s="1"/>
  <c r="E143" i="1" a="1"/>
  <c r="CE143" i="20" l="1"/>
  <c r="CE177" i="1"/>
  <c r="AH35" i="30"/>
  <c r="AH178" i="20"/>
  <c r="AA143" i="20"/>
  <c r="AA177" i="1"/>
  <c r="AI143" i="20"/>
  <c r="AI177" i="1"/>
  <c r="AQ143" i="20"/>
  <c r="AQ177" i="1"/>
  <c r="AY143" i="20"/>
  <c r="AY177" i="1"/>
  <c r="BG143" i="20"/>
  <c r="BG177" i="1"/>
  <c r="CB143" i="20"/>
  <c r="CB177" i="1"/>
  <c r="AB143" i="20"/>
  <c r="AB177" i="1"/>
  <c r="AJ143" i="20"/>
  <c r="AJ177" i="1"/>
  <c r="AR143" i="20"/>
  <c r="AR177" i="1"/>
  <c r="AZ143" i="20"/>
  <c r="AZ177" i="1"/>
  <c r="BH143" i="20"/>
  <c r="BH177" i="1"/>
  <c r="CC143" i="20"/>
  <c r="CC177" i="1"/>
  <c r="AJ35" i="30"/>
  <c r="AJ178" i="20"/>
  <c r="AW35" i="30"/>
  <c r="AW178" i="20"/>
  <c r="AR35" i="30"/>
  <c r="AR178" i="20"/>
  <c r="AO35" i="30"/>
  <c r="AO178" i="20"/>
  <c r="AX616" i="9"/>
  <c r="AX898" i="9" s="1"/>
  <c r="AY351" i="9"/>
  <c r="AY457" i="9"/>
  <c r="AY384" i="9"/>
  <c r="BG35" i="30"/>
  <c r="BG178" i="20"/>
  <c r="AA35" i="30"/>
  <c r="AA178" i="20"/>
  <c r="AP35" i="30"/>
  <c r="AP178" i="20"/>
  <c r="AY449" i="9"/>
  <c r="AY232" i="9"/>
  <c r="AX1006" i="9"/>
  <c r="AX515" i="9"/>
  <c r="AX177" i="9"/>
  <c r="AY171" i="9"/>
  <c r="CF35" i="30"/>
  <c r="CF178" i="20"/>
  <c r="AE35" i="30"/>
  <c r="AE178" i="20"/>
  <c r="AC143" i="20"/>
  <c r="AC177" i="1"/>
  <c r="AK143" i="20"/>
  <c r="AK177" i="1"/>
  <c r="AS143" i="20"/>
  <c r="AS177" i="1"/>
  <c r="BA143" i="20"/>
  <c r="BA177" i="1"/>
  <c r="BI143" i="20"/>
  <c r="BI177" i="1"/>
  <c r="CD143" i="20"/>
  <c r="CD177" i="1"/>
  <c r="AT35" i="30"/>
  <c r="AT178" i="20"/>
  <c r="BA35" i="30"/>
  <c r="BA178" i="20"/>
  <c r="AX1015" i="9"/>
  <c r="AX524" i="9"/>
  <c r="AX348" i="9"/>
  <c r="AY342" i="9"/>
  <c r="AY454" i="9"/>
  <c r="AY327" i="9"/>
  <c r="AX601" i="9"/>
  <c r="AX883" i="9" s="1"/>
  <c r="AY66" i="9"/>
  <c r="AX603" i="9"/>
  <c r="AX885" i="9" s="1"/>
  <c r="AY104" i="9"/>
  <c r="AY440" i="9"/>
  <c r="AY61" i="9"/>
  <c r="AY452" i="9"/>
  <c r="AY289" i="9"/>
  <c r="AY445" i="9"/>
  <c r="AY156" i="9"/>
  <c r="AY548" i="9"/>
  <c r="AY373" i="9"/>
  <c r="AX1001" i="9"/>
  <c r="AX510" i="9"/>
  <c r="AX82" i="9"/>
  <c r="AY76" i="9"/>
  <c r="AY551" i="9"/>
  <c r="AY430" i="9"/>
  <c r="AG35" i="30"/>
  <c r="AG178" i="20"/>
  <c r="BI35" i="30"/>
  <c r="BI178" i="20"/>
  <c r="AN35" i="30"/>
  <c r="AN178" i="20"/>
  <c r="AY451" i="9"/>
  <c r="AY270" i="9"/>
  <c r="AY35" i="30"/>
  <c r="AY178" i="20"/>
  <c r="AY444" i="9"/>
  <c r="AY137" i="9"/>
  <c r="AY549" i="9"/>
  <c r="AY392" i="9"/>
  <c r="BC35" i="30"/>
  <c r="BC178" i="20"/>
  <c r="CC35" i="30"/>
  <c r="CC178" i="20"/>
  <c r="CE35" i="30"/>
  <c r="CE178" i="20"/>
  <c r="AL35" i="30"/>
  <c r="AL178" i="20"/>
  <c r="AS35" i="30"/>
  <c r="AS178" i="20"/>
  <c r="AY535" i="9"/>
  <c r="AY126" i="9"/>
  <c r="AX611" i="9"/>
  <c r="AX893" i="9" s="1"/>
  <c r="AY256" i="9"/>
  <c r="AX1013" i="9"/>
  <c r="AX522" i="9"/>
  <c r="AY304" i="9"/>
  <c r="AX310" i="9"/>
  <c r="AN143" i="20"/>
  <c r="AN177" i="1"/>
  <c r="AY251" i="9"/>
  <c r="AY450" i="9"/>
  <c r="AY443" i="9"/>
  <c r="AY118" i="9"/>
  <c r="AY456" i="9"/>
  <c r="AY365" i="9"/>
  <c r="AQ35" i="30"/>
  <c r="AQ178" i="20"/>
  <c r="CI35" i="30"/>
  <c r="CI178" i="20"/>
  <c r="AZ422" i="9"/>
  <c r="AZ459" i="9"/>
  <c r="CG35" i="30"/>
  <c r="CG178" i="20"/>
  <c r="AY316" i="9"/>
  <c r="AY545" i="9"/>
  <c r="AU35" i="30"/>
  <c r="AU178" i="20"/>
  <c r="BE35" i="30"/>
  <c r="BE178" i="20"/>
  <c r="V143" i="20"/>
  <c r="V177" i="1"/>
  <c r="AE143" i="20"/>
  <c r="AE177" i="1"/>
  <c r="AM143" i="20"/>
  <c r="AM177" i="1"/>
  <c r="AU143" i="20"/>
  <c r="AU177" i="1"/>
  <c r="BC143" i="20"/>
  <c r="BC177" i="1"/>
  <c r="BX143" i="20"/>
  <c r="BX177" i="1"/>
  <c r="CF143" i="20"/>
  <c r="CF177" i="1"/>
  <c r="AF143" i="20"/>
  <c r="AF177" i="1"/>
  <c r="AV143" i="20"/>
  <c r="AV177" i="1"/>
  <c r="BD143" i="20"/>
  <c r="BD177" i="1"/>
  <c r="CG143" i="20"/>
  <c r="CG177" i="1"/>
  <c r="BH35" i="30"/>
  <c r="BH178" i="20"/>
  <c r="BF35" i="30"/>
  <c r="BF178" i="20"/>
  <c r="BD35" i="30"/>
  <c r="BD178" i="20"/>
  <c r="AG143" i="20"/>
  <c r="AG177" i="1"/>
  <c r="AO143" i="20"/>
  <c r="AO177" i="1"/>
  <c r="AW143" i="20"/>
  <c r="AW177" i="1"/>
  <c r="BE143" i="20"/>
  <c r="BE177" i="1"/>
  <c r="CH143" i="20"/>
  <c r="CH177" i="1"/>
  <c r="BJ35" i="30"/>
  <c r="BJ178" i="20"/>
  <c r="AD35" i="30"/>
  <c r="AD178" i="20"/>
  <c r="AK35" i="30"/>
  <c r="AK178" i="20"/>
  <c r="AX615" i="9"/>
  <c r="AX897" i="9" s="1"/>
  <c r="AY332" i="9"/>
  <c r="AX608" i="9"/>
  <c r="AX890" i="9" s="1"/>
  <c r="AY199" i="9"/>
  <c r="AX602" i="9"/>
  <c r="AX884" i="9" s="1"/>
  <c r="AY85" i="9"/>
  <c r="AY403" i="9"/>
  <c r="AY458" i="9"/>
  <c r="AY543" i="9"/>
  <c r="AY278" i="9"/>
  <c r="AY538" i="9"/>
  <c r="AY183" i="9"/>
  <c r="BJ143" i="20"/>
  <c r="BJ177" i="1"/>
  <c r="AB35" i="30"/>
  <c r="AB178" i="20"/>
  <c r="AH143" i="20"/>
  <c r="AH177" i="1"/>
  <c r="AP143" i="20"/>
  <c r="AP177" i="1"/>
  <c r="AX143" i="20"/>
  <c r="AX177" i="1"/>
  <c r="BF143" i="20"/>
  <c r="BF177" i="1"/>
  <c r="CH35" i="30"/>
  <c r="CH178" i="20"/>
  <c r="AI35" i="30"/>
  <c r="AI178" i="20"/>
  <c r="AX35" i="30"/>
  <c r="AX178" i="20"/>
  <c r="AM35" i="30"/>
  <c r="AM178" i="20"/>
  <c r="AF35" i="30"/>
  <c r="AF178" i="20"/>
  <c r="AD143" i="20"/>
  <c r="AD177" i="1"/>
  <c r="AL143" i="20"/>
  <c r="AL177" i="1"/>
  <c r="AT143" i="20"/>
  <c r="AT177" i="1"/>
  <c r="BB143" i="20"/>
  <c r="BB177" i="1"/>
  <c r="CI143" i="20"/>
  <c r="CI177" i="1"/>
  <c r="AY448" i="9"/>
  <c r="AY213" i="9"/>
  <c r="AZ35" i="30"/>
  <c r="AZ178" i="20"/>
  <c r="AV35" i="30"/>
  <c r="AV178" i="20"/>
  <c r="AY609" i="9"/>
  <c r="AY891" i="9" s="1"/>
  <c r="AZ218" i="9"/>
  <c r="AX619" i="9"/>
  <c r="AX901" i="9" s="1"/>
  <c r="AY408" i="9"/>
  <c r="BB35" i="30"/>
  <c r="BB178" i="20"/>
  <c r="CD35" i="30"/>
  <c r="CD178" i="20"/>
  <c r="AC35" i="30"/>
  <c r="AC178" i="20"/>
  <c r="AX606" i="9"/>
  <c r="AX888" i="9" s="1"/>
  <c r="AY161" i="9"/>
  <c r="AX1002" i="9"/>
  <c r="AX511" i="9"/>
  <c r="AY95" i="9"/>
  <c r="AX101" i="9"/>
  <c r="V56" i="33"/>
  <c r="E11" i="50" s="1"/>
  <c r="CY151" i="30"/>
  <c r="CQ151" i="30" s="1"/>
  <c r="AY536" i="9"/>
  <c r="AY145" i="9"/>
  <c r="AX1007" i="9"/>
  <c r="AX516" i="9"/>
  <c r="AX196" i="9"/>
  <c r="AY190" i="9"/>
  <c r="AY541" i="9"/>
  <c r="AY240" i="9"/>
  <c r="AX613" i="9"/>
  <c r="AX895" i="9" s="1"/>
  <c r="AY294" i="9"/>
  <c r="E143" i="1"/>
  <c r="C143" i="1"/>
  <c r="EY143" i="1" s="1"/>
  <c r="EY142" i="1"/>
  <c r="C141" i="1"/>
  <c r="EY141" i="1" s="1"/>
  <c r="EY140" i="1"/>
  <c r="EY139" i="1"/>
  <c r="C139" i="1"/>
  <c r="EY138" i="1"/>
  <c r="CI137" i="1"/>
  <c r="CH137" i="1"/>
  <c r="CG137" i="1"/>
  <c r="CE137" i="1"/>
  <c r="CD137" i="1"/>
  <c r="BJ137" i="1"/>
  <c r="BI137" i="1"/>
  <c r="BF137" i="1"/>
  <c r="BE137" i="1"/>
  <c r="BD137" i="1"/>
  <c r="BB137" i="1"/>
  <c r="BA137" i="1"/>
  <c r="AX137" i="1"/>
  <c r="AW137" i="1"/>
  <c r="AV137" i="1"/>
  <c r="AT137" i="1"/>
  <c r="AS137" i="1"/>
  <c r="AP137" i="1"/>
  <c r="AO137" i="1"/>
  <c r="AN137" i="1"/>
  <c r="AK137" i="1"/>
  <c r="AH137" i="1"/>
  <c r="AG137" i="1"/>
  <c r="AF137" i="1"/>
  <c r="AC137" i="1"/>
  <c r="C137" i="1"/>
  <c r="EY137" i="1" s="1"/>
  <c r="CI136" i="1"/>
  <c r="CH136" i="1"/>
  <c r="CG136" i="1"/>
  <c r="CF136" i="1"/>
  <c r="CE136" i="1"/>
  <c r="CD136" i="1"/>
  <c r="CC136" i="1"/>
  <c r="CB136" i="1"/>
  <c r="CB137" i="1" s="1"/>
  <c r="BX136" i="1"/>
  <c r="BX136" i="20" s="1"/>
  <c r="BX137" i="20" s="1"/>
  <c r="BX29" i="30" s="1"/>
  <c r="V29" i="30" s="1"/>
  <c r="CY29" i="30" s="1"/>
  <c r="CQ29" i="30" s="1"/>
  <c r="BJ136" i="1"/>
  <c r="BJ136" i="20" s="1"/>
  <c r="BI136" i="1"/>
  <c r="BI136" i="20" s="1"/>
  <c r="BH136" i="1"/>
  <c r="BH136" i="20" s="1"/>
  <c r="BG136" i="1"/>
  <c r="BG136" i="20" s="1"/>
  <c r="BF136" i="1"/>
  <c r="BF136" i="20" s="1"/>
  <c r="BE136" i="1"/>
  <c r="BE136" i="20" s="1"/>
  <c r="BD136" i="1"/>
  <c r="BD136" i="20" s="1"/>
  <c r="BC136" i="1"/>
  <c r="BC136" i="20" s="1"/>
  <c r="BB136" i="1"/>
  <c r="BB136" i="20" s="1"/>
  <c r="BA136" i="1"/>
  <c r="BA136" i="20" s="1"/>
  <c r="AZ136" i="1"/>
  <c r="AZ136" i="20" s="1"/>
  <c r="AY136" i="1"/>
  <c r="AY136" i="20" s="1"/>
  <c r="AX136" i="1"/>
  <c r="AX136" i="20" s="1"/>
  <c r="AW136" i="1"/>
  <c r="AW136" i="20" s="1"/>
  <c r="AV136" i="1"/>
  <c r="AV136" i="20" s="1"/>
  <c r="AU136" i="1"/>
  <c r="AU136" i="20" s="1"/>
  <c r="AT136" i="1"/>
  <c r="AT136" i="20" s="1"/>
  <c r="AS136" i="1"/>
  <c r="AS136" i="20" s="1"/>
  <c r="AR136" i="1"/>
  <c r="AR136" i="20" s="1"/>
  <c r="AQ136" i="1"/>
  <c r="AQ136" i="20" s="1"/>
  <c r="AP136" i="1"/>
  <c r="AP136" i="20" s="1"/>
  <c r="AO136" i="1"/>
  <c r="AO136" i="20" s="1"/>
  <c r="AN136" i="1"/>
  <c r="AN136" i="20" s="1"/>
  <c r="AM136" i="1"/>
  <c r="AM136" i="20" s="1"/>
  <c r="AL136" i="1"/>
  <c r="AL136" i="20" s="1"/>
  <c r="AK136" i="1"/>
  <c r="AK136" i="20" s="1"/>
  <c r="AJ136" i="1"/>
  <c r="AJ136" i="20" s="1"/>
  <c r="AI136" i="1"/>
  <c r="AI136" i="20" s="1"/>
  <c r="AH136" i="1"/>
  <c r="AH136" i="20" s="1"/>
  <c r="AG136" i="1"/>
  <c r="AG136" i="20" s="1"/>
  <c r="AF136" i="1"/>
  <c r="AF136" i="20" s="1"/>
  <c r="AE136" i="1"/>
  <c r="AE136" i="20" s="1"/>
  <c r="AD136" i="1"/>
  <c r="AD136" i="20" s="1"/>
  <c r="AC136" i="1"/>
  <c r="AC136" i="20" s="1"/>
  <c r="AB136" i="1"/>
  <c r="AB136" i="20" s="1"/>
  <c r="AA136" i="1"/>
  <c r="AA136" i="20" s="1"/>
  <c r="V136" i="1"/>
  <c r="E136" i="1" a="1"/>
  <c r="CC136" i="20" l="1"/>
  <c r="CC137" i="20" s="1"/>
  <c r="CC29" i="30" s="1"/>
  <c r="CC183" i="1"/>
  <c r="CE136" i="20"/>
  <c r="CE137" i="20" s="1"/>
  <c r="CE29" i="30" s="1"/>
  <c r="CE183" i="1"/>
  <c r="AA137" i="1"/>
  <c r="AI137" i="1"/>
  <c r="AQ137" i="1"/>
  <c r="AY137" i="1"/>
  <c r="BG137" i="1"/>
  <c r="AY442" i="9"/>
  <c r="AY99" i="9"/>
  <c r="BB34" i="30"/>
  <c r="BB155" i="30" s="1"/>
  <c r="BB177" i="20"/>
  <c r="AX34" i="30"/>
  <c r="AX155" i="30" s="1"/>
  <c r="AX177" i="20"/>
  <c r="BJ34" i="30"/>
  <c r="BJ155" i="30" s="1"/>
  <c r="BJ177" i="20"/>
  <c r="AW34" i="30"/>
  <c r="AW155" i="30" s="1"/>
  <c r="AW177" i="20"/>
  <c r="CZ177" i="1"/>
  <c r="CR177" i="1" s="1"/>
  <c r="AY1000" i="9"/>
  <c r="AY509" i="9"/>
  <c r="AY63" i="9"/>
  <c r="AZ57" i="9"/>
  <c r="AY455" i="9"/>
  <c r="AY346" i="9"/>
  <c r="AS34" i="30"/>
  <c r="AS155" i="30" s="1"/>
  <c r="AS177" i="20"/>
  <c r="AZ34" i="30"/>
  <c r="AZ155" i="30" s="1"/>
  <c r="AZ177" i="20"/>
  <c r="CB34" i="30"/>
  <c r="CB155" i="30" s="1"/>
  <c r="CB177" i="20"/>
  <c r="AI34" i="30"/>
  <c r="AI155" i="30" s="1"/>
  <c r="AI177" i="20"/>
  <c r="V136" i="20"/>
  <c r="V183" i="1"/>
  <c r="V184" i="1" s="1"/>
  <c r="CF136" i="20"/>
  <c r="CF137" i="20" s="1"/>
  <c r="CF29" i="30" s="1"/>
  <c r="CF183" i="1"/>
  <c r="AB137" i="1"/>
  <c r="AJ137" i="1"/>
  <c r="AR137" i="1"/>
  <c r="AZ137" i="1"/>
  <c r="BH137" i="1"/>
  <c r="CC137" i="1"/>
  <c r="AY610" i="9"/>
  <c r="AY892" i="9" s="1"/>
  <c r="AZ237" i="9"/>
  <c r="AY605" i="9"/>
  <c r="AY887" i="9" s="1"/>
  <c r="AZ142" i="9"/>
  <c r="AY607" i="9"/>
  <c r="AY889" i="9" s="1"/>
  <c r="AZ180" i="9"/>
  <c r="AY539" i="9"/>
  <c r="AY202" i="9"/>
  <c r="AV34" i="30"/>
  <c r="AV155" i="30" s="1"/>
  <c r="AV177" i="20"/>
  <c r="BC34" i="30"/>
  <c r="BC155" i="30" s="1"/>
  <c r="BC177" i="20"/>
  <c r="V177" i="20"/>
  <c r="DB143" i="20"/>
  <c r="CT143" i="20" s="1"/>
  <c r="AY453" i="9"/>
  <c r="AY308" i="9"/>
  <c r="AY547" i="9"/>
  <c r="AY354" i="9"/>
  <c r="AO34" i="30"/>
  <c r="AO155" i="30" s="1"/>
  <c r="AO177" i="20"/>
  <c r="AY1010" i="9"/>
  <c r="AY519" i="9"/>
  <c r="AZ247" i="9"/>
  <c r="AY253" i="9"/>
  <c r="AY617" i="9"/>
  <c r="AY899" i="9" s="1"/>
  <c r="AZ370" i="9"/>
  <c r="AY534" i="9"/>
  <c r="AY107" i="9"/>
  <c r="CD34" i="30"/>
  <c r="CD155" i="30" s="1"/>
  <c r="CD177" i="20"/>
  <c r="AK34" i="30"/>
  <c r="AK155" i="30" s="1"/>
  <c r="AK177" i="20"/>
  <c r="AY446" i="9"/>
  <c r="AY175" i="9"/>
  <c r="AR34" i="30"/>
  <c r="AR155" i="30" s="1"/>
  <c r="AR177" i="20"/>
  <c r="BG34" i="30"/>
  <c r="BG155" i="30" s="1"/>
  <c r="BG177" i="20"/>
  <c r="AA34" i="30"/>
  <c r="AA155" i="30" s="1"/>
  <c r="AA177" i="20"/>
  <c r="AT34" i="30"/>
  <c r="AT155" i="30" s="1"/>
  <c r="AT177" i="20"/>
  <c r="CH136" i="20"/>
  <c r="CH137" i="20" s="1"/>
  <c r="CH29" i="30" s="1"/>
  <c r="CH183" i="1"/>
  <c r="AL137" i="1"/>
  <c r="AY612" i="9"/>
  <c r="AY894" i="9" s="1"/>
  <c r="AZ275" i="9"/>
  <c r="AY546" i="9"/>
  <c r="AY335" i="9"/>
  <c r="AF34" i="30"/>
  <c r="AF155" i="30" s="1"/>
  <c r="AF177" i="20"/>
  <c r="AU34" i="30"/>
  <c r="AU155" i="30" s="1"/>
  <c r="AU177" i="20"/>
  <c r="AZ1019" i="9"/>
  <c r="AZ528" i="9"/>
  <c r="BA418" i="9"/>
  <c r="AZ424" i="9"/>
  <c r="AY618" i="9"/>
  <c r="AY900" i="9" s="1"/>
  <c r="AZ389" i="9"/>
  <c r="CB136" i="20"/>
  <c r="CB137" i="20" s="1"/>
  <c r="CB29" i="30" s="1"/>
  <c r="CB183" i="1"/>
  <c r="CG136" i="20"/>
  <c r="CG137" i="20" s="1"/>
  <c r="CG29" i="30" s="1"/>
  <c r="CG183" i="1"/>
  <c r="AP34" i="30"/>
  <c r="AP155" i="30" s="1"/>
  <c r="AP177" i="20"/>
  <c r="AD137" i="1"/>
  <c r="AY537" i="9"/>
  <c r="AY164" i="9"/>
  <c r="AY550" i="9"/>
  <c r="AY411" i="9"/>
  <c r="AY1008" i="9"/>
  <c r="AY517" i="9"/>
  <c r="AY215" i="9"/>
  <c r="AZ209" i="9"/>
  <c r="CI136" i="20"/>
  <c r="CI137" i="20" s="1"/>
  <c r="CI29" i="30" s="1"/>
  <c r="CI183" i="1"/>
  <c r="V137" i="1"/>
  <c r="AE137" i="1"/>
  <c r="AM137" i="1"/>
  <c r="AU137" i="1"/>
  <c r="BC137" i="1"/>
  <c r="CF137" i="1"/>
  <c r="AL34" i="30"/>
  <c r="AL155" i="30" s="1"/>
  <c r="AL177" i="20"/>
  <c r="AH34" i="30"/>
  <c r="AH155" i="30" s="1"/>
  <c r="AH177" i="20"/>
  <c r="CH34" i="30"/>
  <c r="CH155" i="30" s="1"/>
  <c r="CH177" i="20"/>
  <c r="AG34" i="30"/>
  <c r="AG155" i="30" s="1"/>
  <c r="AG177" i="20"/>
  <c r="AY1016" i="9"/>
  <c r="AY525" i="9"/>
  <c r="AZ361" i="9"/>
  <c r="AY367" i="9"/>
  <c r="AN34" i="30"/>
  <c r="AN155" i="30" s="1"/>
  <c r="AN177" i="20"/>
  <c r="AY542" i="9"/>
  <c r="AY259" i="9"/>
  <c r="AY1011" i="9"/>
  <c r="AY520" i="9"/>
  <c r="AY272" i="9"/>
  <c r="AZ266" i="9"/>
  <c r="AY620" i="9"/>
  <c r="AY902" i="9" s="1"/>
  <c r="AZ427" i="9"/>
  <c r="AY1005" i="9"/>
  <c r="AY514" i="9"/>
  <c r="AY158" i="9"/>
  <c r="AZ152" i="9"/>
  <c r="AY532" i="9"/>
  <c r="AY69" i="9"/>
  <c r="BI34" i="30"/>
  <c r="BI155" i="30" s="1"/>
  <c r="BI177" i="20"/>
  <c r="AC34" i="30"/>
  <c r="AC155" i="30" s="1"/>
  <c r="AC177" i="20"/>
  <c r="CC34" i="30"/>
  <c r="CC155" i="30" s="1"/>
  <c r="CC177" i="20"/>
  <c r="AJ34" i="30"/>
  <c r="AJ155" i="30" s="1"/>
  <c r="AJ177" i="20"/>
  <c r="AY34" i="30"/>
  <c r="AY155" i="30" s="1"/>
  <c r="AY177" i="20"/>
  <c r="AY447" i="9"/>
  <c r="AY194" i="9"/>
  <c r="AZ540" i="9"/>
  <c r="AZ221" i="9"/>
  <c r="CG34" i="30"/>
  <c r="CG155" i="30" s="1"/>
  <c r="CG177" i="20"/>
  <c r="CF34" i="30"/>
  <c r="CF155" i="30" s="1"/>
  <c r="CF177" i="20"/>
  <c r="AM34" i="30"/>
  <c r="AM155" i="30" s="1"/>
  <c r="AM177" i="20"/>
  <c r="CI34" i="30"/>
  <c r="CI155" i="30" s="1"/>
  <c r="CI177" i="20"/>
  <c r="AD34" i="30"/>
  <c r="AD155" i="30" s="1"/>
  <c r="AD177" i="20"/>
  <c r="BF34" i="30"/>
  <c r="BF155" i="30" s="1"/>
  <c r="BF177" i="20"/>
  <c r="AY1018" i="9"/>
  <c r="AY527" i="9"/>
  <c r="AY405" i="9"/>
  <c r="AZ399" i="9"/>
  <c r="BE34" i="30"/>
  <c r="BE155" i="30" s="1"/>
  <c r="BE177" i="20"/>
  <c r="AY1003" i="9"/>
  <c r="AY512" i="9"/>
  <c r="AZ114" i="9"/>
  <c r="AY120" i="9"/>
  <c r="AY604" i="9"/>
  <c r="AY886" i="9" s="1"/>
  <c r="AZ123" i="9"/>
  <c r="AY441" i="9"/>
  <c r="AY80" i="9"/>
  <c r="AY1012" i="9"/>
  <c r="AY521" i="9"/>
  <c r="AY291" i="9"/>
  <c r="AZ285" i="9"/>
  <c r="AY1014" i="9"/>
  <c r="AY523" i="9"/>
  <c r="AY329" i="9"/>
  <c r="AZ323" i="9"/>
  <c r="BA34" i="30"/>
  <c r="BA155" i="30" s="1"/>
  <c r="BA177" i="20"/>
  <c r="AY1009" i="9"/>
  <c r="AY518" i="9"/>
  <c r="AZ228" i="9"/>
  <c r="AY234" i="9"/>
  <c r="AY1017" i="9"/>
  <c r="AY526" i="9"/>
  <c r="AZ380" i="9"/>
  <c r="AY386" i="9"/>
  <c r="BH34" i="30"/>
  <c r="BH155" i="30" s="1"/>
  <c r="BH177" i="20"/>
  <c r="AB34" i="30"/>
  <c r="AB155" i="30" s="1"/>
  <c r="AB177" i="20"/>
  <c r="AQ34" i="30"/>
  <c r="AQ155" i="30" s="1"/>
  <c r="AQ177" i="20"/>
  <c r="CE34" i="30"/>
  <c r="CE155" i="30" s="1"/>
  <c r="CE177" i="20"/>
  <c r="CD136" i="20"/>
  <c r="CD137" i="20" s="1"/>
  <c r="CD29" i="30" s="1"/>
  <c r="CD183" i="1"/>
  <c r="CZ136" i="1"/>
  <c r="CR136" i="1" s="1"/>
  <c r="AY544" i="9"/>
  <c r="AY297" i="9"/>
  <c r="AY533" i="9"/>
  <c r="AY88" i="9"/>
  <c r="BD34" i="30"/>
  <c r="BD155" i="30" s="1"/>
  <c r="BD177" i="20"/>
  <c r="BX34" i="30"/>
  <c r="BX177" i="20"/>
  <c r="AE34" i="30"/>
  <c r="AE155" i="30" s="1"/>
  <c r="AE177" i="20"/>
  <c r="AY614" i="9"/>
  <c r="AY896" i="9" s="1"/>
  <c r="AZ313" i="9"/>
  <c r="AY1004" i="9"/>
  <c r="AY513" i="9"/>
  <c r="AZ133" i="9"/>
  <c r="AY139" i="9"/>
  <c r="E136" i="1"/>
  <c r="C136" i="1"/>
  <c r="EY136" i="1" s="1"/>
  <c r="BX135" i="1"/>
  <c r="BX137" i="1" s="1"/>
  <c r="C135" i="1"/>
  <c r="EY135" i="1" s="1"/>
  <c r="EY134" i="1"/>
  <c r="EY133" i="1"/>
  <c r="CG132" i="1"/>
  <c r="CB132" i="1"/>
  <c r="BG132" i="1"/>
  <c r="BD132" i="1"/>
  <c r="AY132" i="1"/>
  <c r="AV132" i="1"/>
  <c r="AQ132" i="1"/>
  <c r="AN132" i="1"/>
  <c r="AI132" i="1"/>
  <c r="AF132" i="1"/>
  <c r="C132" i="1"/>
  <c r="EY132" i="1" s="1"/>
  <c r="CZ131" i="1"/>
  <c r="CI131" i="1"/>
  <c r="CH131" i="1"/>
  <c r="CG131" i="1"/>
  <c r="CF131" i="1"/>
  <c r="CE131" i="1"/>
  <c r="CD131" i="1"/>
  <c r="CC131" i="1"/>
  <c r="CB131" i="1"/>
  <c r="BX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V131" i="1"/>
  <c r="C131" i="1"/>
  <c r="A131" i="1" a="1"/>
  <c r="A131" i="1" s="1"/>
  <c r="BX130" i="1"/>
  <c r="CZ130" i="1" s="1"/>
  <c r="CR130" i="1" s="1"/>
  <c r="C130" i="1"/>
  <c r="BX129" i="1"/>
  <c r="CZ129" i="1" s="1"/>
  <c r="CR129" i="1" s="1"/>
  <c r="C129" i="1"/>
  <c r="BX128" i="1"/>
  <c r="CZ128" i="1" s="1"/>
  <c r="CR128" i="1" s="1"/>
  <c r="C128" i="1"/>
  <c r="BX127" i="1"/>
  <c r="CZ127" i="1" s="1"/>
  <c r="CR127" i="1" s="1"/>
  <c r="C127" i="1"/>
  <c r="EY127" i="1" s="1"/>
  <c r="CI126" i="1"/>
  <c r="CI126" i="20" s="1"/>
  <c r="CH126" i="1"/>
  <c r="CH126" i="20" s="1"/>
  <c r="CG126" i="1"/>
  <c r="CG126" i="20" s="1"/>
  <c r="CF126" i="1"/>
  <c r="CF126" i="20" s="1"/>
  <c r="CE126" i="1"/>
  <c r="CE126" i="20" s="1"/>
  <c r="CD126" i="1"/>
  <c r="CD126" i="20" s="1"/>
  <c r="CC126" i="1"/>
  <c r="CC126" i="20" s="1"/>
  <c r="CB126" i="1"/>
  <c r="CB126" i="20" s="1"/>
  <c r="BX126" i="1"/>
  <c r="BX126" i="20" s="1"/>
  <c r="BJ126" i="1"/>
  <c r="BJ126" i="20" s="1"/>
  <c r="BJ157" i="30" s="1"/>
  <c r="BI126" i="1"/>
  <c r="BI126" i="20" s="1"/>
  <c r="BI157" i="30" s="1"/>
  <c r="BH126" i="1"/>
  <c r="BH126" i="20" s="1"/>
  <c r="BH157" i="30" s="1"/>
  <c r="BG126" i="1"/>
  <c r="BG126" i="20" s="1"/>
  <c r="BG157" i="30" s="1"/>
  <c r="BF126" i="1"/>
  <c r="BF126" i="20" s="1"/>
  <c r="BF157" i="30" s="1"/>
  <c r="BE126" i="1"/>
  <c r="BE126" i="20" s="1"/>
  <c r="BE157" i="30" s="1"/>
  <c r="BD126" i="1"/>
  <c r="BD126" i="20" s="1"/>
  <c r="BD157" i="30" s="1"/>
  <c r="BC126" i="1"/>
  <c r="BC126" i="20" s="1"/>
  <c r="BC157" i="30" s="1"/>
  <c r="BB126" i="1"/>
  <c r="BB126" i="20" s="1"/>
  <c r="BB157" i="30" s="1"/>
  <c r="BA126" i="1"/>
  <c r="BA126" i="20" s="1"/>
  <c r="BA157" i="30" s="1"/>
  <c r="AZ126" i="1"/>
  <c r="AZ126" i="20" s="1"/>
  <c r="AZ157" i="30" s="1"/>
  <c r="AY126" i="1"/>
  <c r="AY126" i="20" s="1"/>
  <c r="AY157" i="30" s="1"/>
  <c r="AX126" i="1"/>
  <c r="AX126" i="20" s="1"/>
  <c r="AX157" i="30" s="1"/>
  <c r="AW126" i="1"/>
  <c r="AW126" i="20" s="1"/>
  <c r="AW157" i="30" s="1"/>
  <c r="AV126" i="1"/>
  <c r="AV126" i="20" s="1"/>
  <c r="AV157" i="30" s="1"/>
  <c r="AU126" i="1"/>
  <c r="AU126" i="20" s="1"/>
  <c r="AU157" i="30" s="1"/>
  <c r="AT126" i="1"/>
  <c r="AT126" i="20" s="1"/>
  <c r="AT157" i="30" s="1"/>
  <c r="AS126" i="1"/>
  <c r="AS126" i="20" s="1"/>
  <c r="AS157" i="30" s="1"/>
  <c r="AR126" i="1"/>
  <c r="AR126" i="20" s="1"/>
  <c r="AR157" i="30" s="1"/>
  <c r="AQ126" i="1"/>
  <c r="AQ126" i="20" s="1"/>
  <c r="AQ157" i="30" s="1"/>
  <c r="AP126" i="1"/>
  <c r="AP126" i="20" s="1"/>
  <c r="AP157" i="30" s="1"/>
  <c r="AO126" i="1"/>
  <c r="AO126" i="20" s="1"/>
  <c r="AO157" i="30" s="1"/>
  <c r="AN126" i="1"/>
  <c r="AN126" i="20" s="1"/>
  <c r="AN157" i="30" s="1"/>
  <c r="AM126" i="1"/>
  <c r="AM126" i="20" s="1"/>
  <c r="AM157" i="30" s="1"/>
  <c r="AL126" i="1"/>
  <c r="AL126" i="20" s="1"/>
  <c r="AL157" i="30" s="1"/>
  <c r="AK126" i="1"/>
  <c r="AK126" i="20" s="1"/>
  <c r="AK157" i="30" s="1"/>
  <c r="AJ126" i="1"/>
  <c r="AJ126" i="20" s="1"/>
  <c r="AJ157" i="30" s="1"/>
  <c r="AI126" i="1"/>
  <c r="AI126" i="20" s="1"/>
  <c r="AI157" i="30" s="1"/>
  <c r="AH126" i="1"/>
  <c r="AH126" i="20" s="1"/>
  <c r="AH157" i="30" s="1"/>
  <c r="AG126" i="1"/>
  <c r="AG126" i="20" s="1"/>
  <c r="AG157" i="30" s="1"/>
  <c r="AF126" i="1"/>
  <c r="AF126" i="20" s="1"/>
  <c r="AF157" i="30" s="1"/>
  <c r="AE126" i="1"/>
  <c r="AE126" i="20" s="1"/>
  <c r="AE157" i="30" s="1"/>
  <c r="AD126" i="1"/>
  <c r="AD126" i="20" s="1"/>
  <c r="AD157" i="30" s="1"/>
  <c r="AC126" i="1"/>
  <c r="AC126" i="20" s="1"/>
  <c r="AC157" i="30" s="1"/>
  <c r="AB126" i="1"/>
  <c r="AB126" i="20" s="1"/>
  <c r="AB157" i="30" s="1"/>
  <c r="AA126" i="1"/>
  <c r="AA126" i="20" s="1"/>
  <c r="AA157" i="30" s="1"/>
  <c r="V126" i="1"/>
  <c r="V126" i="20" s="1"/>
  <c r="E126" i="1" a="1"/>
  <c r="CG157" i="30" l="1"/>
  <c r="CG132" i="20"/>
  <c r="CG28" i="30" s="1"/>
  <c r="V132" i="1"/>
  <c r="AE132" i="1"/>
  <c r="AM132" i="1"/>
  <c r="AU132" i="1"/>
  <c r="BC132" i="1"/>
  <c r="CF132" i="1"/>
  <c r="CZ135" i="1"/>
  <c r="CR135" i="1" s="1"/>
  <c r="BH58" i="33"/>
  <c r="AZ443" i="9"/>
  <c r="AZ118" i="9"/>
  <c r="CG58" i="33"/>
  <c r="AJ58" i="33"/>
  <c r="AZ365" i="9"/>
  <c r="AZ456" i="9"/>
  <c r="AP58" i="33"/>
  <c r="CD58" i="33"/>
  <c r="AY1013" i="9"/>
  <c r="AY522" i="9"/>
  <c r="AY310" i="9"/>
  <c r="AZ304" i="9"/>
  <c r="AY608" i="9"/>
  <c r="AY890" i="9" s="1"/>
  <c r="AZ199" i="9"/>
  <c r="V183" i="20"/>
  <c r="BX184" i="1"/>
  <c r="BX183" i="20" s="1"/>
  <c r="CH157" i="30"/>
  <c r="CH132" i="20"/>
  <c r="CH28" i="30" s="1"/>
  <c r="BD58" i="33"/>
  <c r="AZ609" i="9"/>
  <c r="AZ891" i="9" s="1"/>
  <c r="BA218" i="9"/>
  <c r="AZ445" i="9"/>
  <c r="AZ156" i="9"/>
  <c r="AH58" i="33"/>
  <c r="AF58" i="33"/>
  <c r="AR58" i="33"/>
  <c r="AY603" i="9"/>
  <c r="AY885" i="9" s="1"/>
  <c r="AZ104" i="9"/>
  <c r="DB136" i="20"/>
  <c r="CT136" i="20" s="1"/>
  <c r="V137" i="20"/>
  <c r="AS58" i="33"/>
  <c r="BB58" i="33"/>
  <c r="CI157" i="30"/>
  <c r="CI132" i="20"/>
  <c r="CI28" i="30" s="1"/>
  <c r="AG132" i="1"/>
  <c r="AO132" i="1"/>
  <c r="AW132" i="1"/>
  <c r="BE132" i="1"/>
  <c r="CH132" i="1"/>
  <c r="AZ545" i="9"/>
  <c r="AZ316" i="9"/>
  <c r="AY602" i="9"/>
  <c r="AY884" i="9" s="1"/>
  <c r="AZ85" i="9"/>
  <c r="CE58" i="33"/>
  <c r="AZ457" i="9"/>
  <c r="AZ384" i="9"/>
  <c r="BA58" i="33"/>
  <c r="BF58" i="33"/>
  <c r="CC58" i="33"/>
  <c r="AY619" i="9"/>
  <c r="AY901" i="9" s="1"/>
  <c r="AZ408" i="9"/>
  <c r="AY615" i="9"/>
  <c r="AY897" i="9" s="1"/>
  <c r="AZ332" i="9"/>
  <c r="AT58" i="33"/>
  <c r="AO58" i="33"/>
  <c r="AZ538" i="9"/>
  <c r="AZ183" i="9"/>
  <c r="AY1015" i="9"/>
  <c r="AY524" i="9"/>
  <c r="AY348" i="9"/>
  <c r="AZ342" i="9"/>
  <c r="AW58" i="33"/>
  <c r="AY1002" i="9"/>
  <c r="AY511" i="9"/>
  <c r="AY101" i="9"/>
  <c r="AZ95" i="9"/>
  <c r="CB157" i="30"/>
  <c r="CB132" i="20"/>
  <c r="CB28" i="30" s="1"/>
  <c r="AH132" i="1"/>
  <c r="AP132" i="1"/>
  <c r="AX132" i="1"/>
  <c r="BF132" i="1"/>
  <c r="CI132" i="1"/>
  <c r="AZ454" i="9"/>
  <c r="AZ327" i="9"/>
  <c r="AY1001" i="9"/>
  <c r="AY510" i="9"/>
  <c r="AY82" i="9"/>
  <c r="AZ76" i="9"/>
  <c r="AY1007" i="9"/>
  <c r="AY516" i="9"/>
  <c r="AZ190" i="9"/>
  <c r="AY196" i="9"/>
  <c r="AY611" i="9"/>
  <c r="AY893" i="9" s="1"/>
  <c r="AZ256" i="9"/>
  <c r="AL58" i="33"/>
  <c r="CZ137" i="1"/>
  <c r="CR137" i="1" s="1"/>
  <c r="CC184" i="1"/>
  <c r="CB184" i="1"/>
  <c r="CH184" i="1"/>
  <c r="CG184" i="1"/>
  <c r="CF184" i="1"/>
  <c r="CE184" i="1"/>
  <c r="CD184" i="1"/>
  <c r="BA422" i="9"/>
  <c r="BA459" i="9"/>
  <c r="AY1006" i="9"/>
  <c r="AY515" i="9"/>
  <c r="AY177" i="9"/>
  <c r="AZ171" i="9"/>
  <c r="AZ548" i="9"/>
  <c r="AZ373" i="9"/>
  <c r="DB177" i="20"/>
  <c r="CT177" i="20" s="1"/>
  <c r="AI58" i="33"/>
  <c r="AA132" i="1"/>
  <c r="AY613" i="9"/>
  <c r="AY895" i="9" s="1"/>
  <c r="AZ294" i="9"/>
  <c r="AQ58" i="33"/>
  <c r="BE58" i="33"/>
  <c r="AD58" i="33"/>
  <c r="AM58" i="33"/>
  <c r="AC58" i="33"/>
  <c r="AG58" i="33"/>
  <c r="AY606" i="9"/>
  <c r="AY888" i="9" s="1"/>
  <c r="AZ161" i="9"/>
  <c r="AZ543" i="9"/>
  <c r="AZ278" i="9"/>
  <c r="AY616" i="9"/>
  <c r="AY898" i="9" s="1"/>
  <c r="AZ351" i="9"/>
  <c r="AZ536" i="9"/>
  <c r="AZ145" i="9"/>
  <c r="AZ440" i="9"/>
  <c r="AZ61" i="9"/>
  <c r="CD157" i="30"/>
  <c r="CD132" i="20"/>
  <c r="CD28" i="30" s="1"/>
  <c r="AB132" i="1"/>
  <c r="AJ132" i="1"/>
  <c r="AR132" i="1"/>
  <c r="AZ132" i="1"/>
  <c r="BH132" i="1"/>
  <c r="CC132" i="1"/>
  <c r="AE58" i="33"/>
  <c r="AZ535" i="9"/>
  <c r="AZ126" i="9"/>
  <c r="AZ458" i="9"/>
  <c r="AZ403" i="9"/>
  <c r="AZ551" i="9"/>
  <c r="AZ430" i="9"/>
  <c r="AA58" i="33"/>
  <c r="BC58" i="33"/>
  <c r="CB58" i="33"/>
  <c r="BJ58" i="33"/>
  <c r="CC157" i="30"/>
  <c r="CC132" i="20"/>
  <c r="CC28" i="30" s="1"/>
  <c r="CE157" i="30"/>
  <c r="CE132" i="20"/>
  <c r="CE28" i="30" s="1"/>
  <c r="AC132" i="1"/>
  <c r="AK132" i="1"/>
  <c r="AS132" i="1"/>
  <c r="BA132" i="1"/>
  <c r="BI132" i="1"/>
  <c r="CD132" i="1"/>
  <c r="AB58" i="33"/>
  <c r="AZ449" i="9"/>
  <c r="AZ232" i="9"/>
  <c r="CI58" i="33"/>
  <c r="CF58" i="33"/>
  <c r="AY58" i="33"/>
  <c r="BI58" i="33"/>
  <c r="AN58" i="33"/>
  <c r="CH58" i="33"/>
  <c r="AZ448" i="9"/>
  <c r="AZ213" i="9"/>
  <c r="AK58" i="33"/>
  <c r="AZ450" i="9"/>
  <c r="AZ251" i="9"/>
  <c r="AZ541" i="9"/>
  <c r="AZ240" i="9"/>
  <c r="V157" i="30"/>
  <c r="DB126" i="20"/>
  <c r="CT126" i="20" s="1"/>
  <c r="V132" i="20"/>
  <c r="BX157" i="30"/>
  <c r="BX132" i="20"/>
  <c r="BX28" i="30" s="1"/>
  <c r="CF157" i="30"/>
  <c r="CF132" i="20"/>
  <c r="CF28" i="30" s="1"/>
  <c r="CZ126" i="1"/>
  <c r="CR126" i="1" s="1"/>
  <c r="AD132" i="1"/>
  <c r="AL132" i="1"/>
  <c r="AT132" i="1"/>
  <c r="BB132" i="1"/>
  <c r="BJ132" i="1"/>
  <c r="CE132" i="1"/>
  <c r="AZ137" i="9"/>
  <c r="AZ444" i="9"/>
  <c r="BX155" i="30"/>
  <c r="V34" i="30"/>
  <c r="AZ452" i="9"/>
  <c r="AZ289" i="9"/>
  <c r="AY601" i="9"/>
  <c r="AY883" i="9" s="1"/>
  <c r="AZ66" i="9"/>
  <c r="AZ451" i="9"/>
  <c r="AZ270" i="9"/>
  <c r="AZ549" i="9"/>
  <c r="AZ392" i="9"/>
  <c r="AU58" i="33"/>
  <c r="BG58" i="33"/>
  <c r="AV58" i="33"/>
  <c r="AZ58" i="33"/>
  <c r="AX58" i="33"/>
  <c r="E126" i="1"/>
  <c r="C126" i="1"/>
  <c r="EY126" i="1" s="1"/>
  <c r="BX125" i="1"/>
  <c r="CZ125" i="1" s="1"/>
  <c r="CR125" i="1" s="1"/>
  <c r="C125" i="1"/>
  <c r="EY125" i="1" s="1"/>
  <c r="BX124" i="1"/>
  <c r="CZ124" i="1" s="1"/>
  <c r="CR124" i="1" s="1"/>
  <c r="C124" i="1"/>
  <c r="EY124" i="1" s="1"/>
  <c r="DS123" i="1"/>
  <c r="DR123" i="1"/>
  <c r="DQ123" i="1"/>
  <c r="DP123" i="1"/>
  <c r="DO123" i="1"/>
  <c r="DN123" i="1"/>
  <c r="DM123" i="1"/>
  <c r="DL123" i="1"/>
  <c r="DC123" i="1"/>
  <c r="BX123" i="1"/>
  <c r="CZ123" i="1" s="1"/>
  <c r="CR123" i="1" s="1"/>
  <c r="C123" i="1"/>
  <c r="EY123" i="1" s="1"/>
  <c r="EY122" i="1"/>
  <c r="BX122" i="1"/>
  <c r="CZ122" i="1" s="1"/>
  <c r="CR122" i="1" s="1"/>
  <c r="C122" i="1"/>
  <c r="EY121" i="1"/>
  <c r="BX121" i="1"/>
  <c r="CZ121" i="1" s="1"/>
  <c r="CR121" i="1" s="1"/>
  <c r="C121" i="1"/>
  <c r="EY120" i="1"/>
  <c r="BX120" i="1"/>
  <c r="CZ120" i="1" s="1"/>
  <c r="CR120" i="1" s="1"/>
  <c r="C120" i="1"/>
  <c r="EY119" i="1"/>
  <c r="BX119" i="1"/>
  <c r="CZ119" i="1" s="1"/>
  <c r="CR119" i="1" s="1"/>
  <c r="C119" i="1"/>
  <c r="EY118" i="1"/>
  <c r="BX118" i="1"/>
  <c r="CZ118" i="1" s="1"/>
  <c r="CR118" i="1" s="1"/>
  <c r="C118" i="1"/>
  <c r="EY117" i="1"/>
  <c r="BX117" i="1"/>
  <c r="C117" i="1"/>
  <c r="EY116" i="1"/>
  <c r="EY115" i="1"/>
  <c r="EY114" i="1"/>
  <c r="CG114" i="1"/>
  <c r="CG139" i="1" s="1"/>
  <c r="CF114" i="1"/>
  <c r="CF139" i="1" s="1"/>
  <c r="CD114" i="1"/>
  <c r="CD139" i="1" s="1"/>
  <c r="CC114" i="1"/>
  <c r="CC139" i="1" s="1"/>
  <c r="BI114" i="1"/>
  <c r="BI139" i="1" s="1"/>
  <c r="BH114" i="1"/>
  <c r="BH139" i="1" s="1"/>
  <c r="BC114" i="1"/>
  <c r="BC139" i="1" s="1"/>
  <c r="BA114" i="1"/>
  <c r="BA139" i="1" s="1"/>
  <c r="AZ114" i="1"/>
  <c r="AZ139" i="1" s="1"/>
  <c r="AU114" i="1"/>
  <c r="AU139" i="1" s="1"/>
  <c r="AS114" i="1"/>
  <c r="AS139" i="1" s="1"/>
  <c r="AR114" i="1"/>
  <c r="AR139" i="1" s="1"/>
  <c r="AN114" i="1"/>
  <c r="AN139" i="1" s="1"/>
  <c r="AM114" i="1"/>
  <c r="AM139" i="1" s="1"/>
  <c r="AK114" i="1"/>
  <c r="AK139" i="1" s="1"/>
  <c r="AJ114" i="1"/>
  <c r="AJ139" i="1" s="1"/>
  <c r="AE114" i="1"/>
  <c r="AE139" i="1" s="1"/>
  <c r="AC114" i="1"/>
  <c r="AC139" i="1" s="1"/>
  <c r="AB114" i="1"/>
  <c r="AB139" i="1" s="1"/>
  <c r="V114" i="1"/>
  <c r="V139" i="1" s="1"/>
  <c r="C114" i="1"/>
  <c r="CI113" i="1"/>
  <c r="CH113" i="1"/>
  <c r="CH114" i="1" s="1"/>
  <c r="CH139" i="1" s="1"/>
  <c r="CG113" i="1"/>
  <c r="CF113" i="1"/>
  <c r="CE113" i="1"/>
  <c r="CE114" i="1" s="1"/>
  <c r="CE139" i="1" s="1"/>
  <c r="CD113" i="1"/>
  <c r="CC113" i="1"/>
  <c r="CB113" i="1"/>
  <c r="BX113" i="1"/>
  <c r="BJ113" i="1"/>
  <c r="BI113" i="1"/>
  <c r="BH113" i="1"/>
  <c r="BG113" i="1"/>
  <c r="BF113" i="1"/>
  <c r="BE113" i="1"/>
  <c r="BD113" i="1"/>
  <c r="BD114" i="1" s="1"/>
  <c r="BD139" i="1" s="1"/>
  <c r="BC113" i="1"/>
  <c r="BB113" i="1"/>
  <c r="BA113" i="1"/>
  <c r="AZ113" i="1"/>
  <c r="AY113" i="1"/>
  <c r="AX113" i="1"/>
  <c r="AW113" i="1"/>
  <c r="AW114" i="1" s="1"/>
  <c r="AW139" i="1" s="1"/>
  <c r="AV113" i="1"/>
  <c r="AV114" i="1" s="1"/>
  <c r="AV139" i="1" s="1"/>
  <c r="AU113" i="1"/>
  <c r="AT113" i="1"/>
  <c r="AT114" i="1" s="1"/>
  <c r="AT139" i="1" s="1"/>
  <c r="AS113" i="1"/>
  <c r="AR113" i="1"/>
  <c r="AQ113" i="1"/>
  <c r="AP113" i="1"/>
  <c r="AO113" i="1"/>
  <c r="AN113" i="1"/>
  <c r="AM113" i="1"/>
  <c r="AL113" i="1"/>
  <c r="AK113" i="1"/>
  <c r="AJ113" i="1"/>
  <c r="AI113" i="1"/>
  <c r="AH113" i="1"/>
  <c r="AG113" i="1"/>
  <c r="AG114" i="1" s="1"/>
  <c r="AG139" i="1" s="1"/>
  <c r="AF113" i="1"/>
  <c r="AF114" i="1" s="1"/>
  <c r="AF139" i="1" s="1"/>
  <c r="AE113" i="1"/>
  <c r="AD113" i="1"/>
  <c r="AC113" i="1"/>
  <c r="AB113" i="1"/>
  <c r="AA113" i="1"/>
  <c r="V113" i="1"/>
  <c r="CZ113" i="1" s="1"/>
  <c r="CR113" i="1" s="1"/>
  <c r="G113" i="1" a="1"/>
  <c r="BE113" i="20" l="1"/>
  <c r="BE176" i="20" s="1"/>
  <c r="BE176" i="1"/>
  <c r="CI113" i="20"/>
  <c r="CI176" i="1"/>
  <c r="AZ604" i="9"/>
  <c r="AZ886" i="9" s="1"/>
  <c r="BA123" i="9"/>
  <c r="AZ547" i="9"/>
  <c r="AZ354" i="9"/>
  <c r="CH183" i="20"/>
  <c r="AZ614" i="9"/>
  <c r="AZ896" i="9" s="1"/>
  <c r="BA313" i="9"/>
  <c r="AZ534" i="9"/>
  <c r="AZ107" i="9"/>
  <c r="AZ1003" i="9"/>
  <c r="AZ512" i="9"/>
  <c r="BA114" i="9"/>
  <c r="AZ120" i="9"/>
  <c r="AO113" i="20"/>
  <c r="AO176" i="20" s="1"/>
  <c r="AO176" i="1"/>
  <c r="AH113" i="20"/>
  <c r="AH176" i="20" s="1"/>
  <c r="AH176" i="1"/>
  <c r="AZ1012" i="9"/>
  <c r="AZ521" i="9"/>
  <c r="AZ291" i="9"/>
  <c r="BA285" i="9"/>
  <c r="AA113" i="20"/>
  <c r="AA176" i="20" s="1"/>
  <c r="AA176" i="1"/>
  <c r="AI113" i="20"/>
  <c r="AI176" i="20" s="1"/>
  <c r="AI176" i="1"/>
  <c r="AQ113" i="20"/>
  <c r="AQ176" i="20" s="1"/>
  <c r="AQ176" i="1"/>
  <c r="AY113" i="20"/>
  <c r="AY176" i="20" s="1"/>
  <c r="AY176" i="1"/>
  <c r="BG113" i="20"/>
  <c r="BG176" i="20" s="1"/>
  <c r="BG176" i="1"/>
  <c r="CB113" i="20"/>
  <c r="CB176" i="1"/>
  <c r="AO114" i="1"/>
  <c r="AO139" i="1" s="1"/>
  <c r="BE114" i="1"/>
  <c r="BE139" i="1" s="1"/>
  <c r="DB132" i="20"/>
  <c r="CT132" i="20" s="1"/>
  <c r="CB10" i="6"/>
  <c r="CB318" i="26" s="1"/>
  <c r="CB183" i="20"/>
  <c r="AZ1014" i="9"/>
  <c r="AZ523" i="9"/>
  <c r="AZ329" i="9"/>
  <c r="BA323" i="9"/>
  <c r="AZ1005" i="9"/>
  <c r="AZ514" i="9"/>
  <c r="AZ158" i="9"/>
  <c r="BA152" i="9"/>
  <c r="CH113" i="20"/>
  <c r="CH176" i="1"/>
  <c r="AP113" i="20"/>
  <c r="AP176" i="20" s="1"/>
  <c r="AP176" i="1"/>
  <c r="BH113" i="20"/>
  <c r="BH176" i="20" s="1"/>
  <c r="BH176" i="1"/>
  <c r="AZ618" i="9"/>
  <c r="AZ900" i="9" s="1"/>
  <c r="BA389" i="9"/>
  <c r="AZ1008" i="9"/>
  <c r="AZ517" i="9"/>
  <c r="BA209" i="9"/>
  <c r="AZ215" i="9"/>
  <c r="CC10" i="6"/>
  <c r="CC318" i="26" s="1"/>
  <c r="CC183" i="20"/>
  <c r="AZ447" i="9"/>
  <c r="AZ194" i="9"/>
  <c r="AZ455" i="9"/>
  <c r="AZ346" i="9"/>
  <c r="AZ1017" i="9"/>
  <c r="AZ526" i="9"/>
  <c r="AZ386" i="9"/>
  <c r="BA380" i="9"/>
  <c r="AZ1016" i="9"/>
  <c r="AZ525" i="9"/>
  <c r="BA361" i="9"/>
  <c r="AZ367" i="9"/>
  <c r="AD113" i="20"/>
  <c r="AD176" i="20" s="1"/>
  <c r="AD176" i="1"/>
  <c r="BJ113" i="20"/>
  <c r="BJ176" i="20" s="1"/>
  <c r="BJ176" i="1"/>
  <c r="AG113" i="20"/>
  <c r="AG176" i="20" s="1"/>
  <c r="AG176" i="1"/>
  <c r="AW113" i="20"/>
  <c r="AW176" i="20" s="1"/>
  <c r="AW176" i="1"/>
  <c r="AX113" i="20"/>
  <c r="AX176" i="20" s="1"/>
  <c r="AX176" i="1"/>
  <c r="BF113" i="20"/>
  <c r="BF176" i="20" s="1"/>
  <c r="BF176" i="1"/>
  <c r="AB113" i="20"/>
  <c r="AB176" i="20" s="1"/>
  <c r="AB176" i="1"/>
  <c r="AJ113" i="20"/>
  <c r="AJ176" i="20" s="1"/>
  <c r="AJ176" i="1"/>
  <c r="AR113" i="20"/>
  <c r="AR176" i="20" s="1"/>
  <c r="AR176" i="1"/>
  <c r="AZ113" i="20"/>
  <c r="AZ176" i="20" s="1"/>
  <c r="AZ176" i="1"/>
  <c r="CC113" i="20"/>
  <c r="CC176" i="1"/>
  <c r="AH114" i="1"/>
  <c r="AH139" i="1" s="1"/>
  <c r="AP114" i="1"/>
  <c r="AP139" i="1" s="1"/>
  <c r="AX114" i="1"/>
  <c r="AX139" i="1" s="1"/>
  <c r="BF114" i="1"/>
  <c r="BF139" i="1" s="1"/>
  <c r="CI114" i="1"/>
  <c r="CI139" i="1" s="1"/>
  <c r="V155" i="30"/>
  <c r="CY34" i="30"/>
  <c r="CQ34" i="30" s="1"/>
  <c r="AC113" i="20"/>
  <c r="AC176" i="20" s="1"/>
  <c r="AC176" i="1"/>
  <c r="AK113" i="20"/>
  <c r="AK176" i="20" s="1"/>
  <c r="AK176" i="1"/>
  <c r="AS113" i="20"/>
  <c r="AS176" i="20" s="1"/>
  <c r="AS176" i="1"/>
  <c r="BA113" i="20"/>
  <c r="BA176" i="20" s="1"/>
  <c r="BA176" i="1"/>
  <c r="BI113" i="20"/>
  <c r="BI176" i="20" s="1"/>
  <c r="BI176" i="1"/>
  <c r="CD113" i="20"/>
  <c r="CD176" i="1"/>
  <c r="AA114" i="1"/>
  <c r="AA139" i="1" s="1"/>
  <c r="AI114" i="1"/>
  <c r="AI139" i="1" s="1"/>
  <c r="AQ114" i="1"/>
  <c r="AQ139" i="1" s="1"/>
  <c r="AY114" i="1"/>
  <c r="AY139" i="1" s="1"/>
  <c r="BG114" i="1"/>
  <c r="BG139" i="1" s="1"/>
  <c r="CB114" i="1"/>
  <c r="CB139" i="1" s="1"/>
  <c r="BX58" i="33"/>
  <c r="CY157" i="30"/>
  <c r="CQ157" i="30" s="1"/>
  <c r="AZ1009" i="9"/>
  <c r="AZ518" i="9"/>
  <c r="BA228" i="9"/>
  <c r="AZ234" i="9"/>
  <c r="AZ612" i="9"/>
  <c r="AZ894" i="9" s="1"/>
  <c r="BA275" i="9"/>
  <c r="BA1019" i="9"/>
  <c r="BA528" i="9"/>
  <c r="BB418" i="9"/>
  <c r="BA424" i="9"/>
  <c r="BA540" i="9"/>
  <c r="BA221" i="9"/>
  <c r="BB113" i="20"/>
  <c r="BB176" i="20" s="1"/>
  <c r="BB176" i="1"/>
  <c r="AZ1011" i="9"/>
  <c r="AZ520" i="9"/>
  <c r="AZ272" i="9"/>
  <c r="BA266" i="9"/>
  <c r="AZ610" i="9"/>
  <c r="AZ892" i="9" s="1"/>
  <c r="BA237" i="9"/>
  <c r="AZ620" i="9"/>
  <c r="AZ902" i="9" s="1"/>
  <c r="BA427" i="9"/>
  <c r="AZ1000" i="9"/>
  <c r="AZ509" i="9"/>
  <c r="AZ63" i="9"/>
  <c r="BA57" i="9"/>
  <c r="AZ617" i="9"/>
  <c r="AZ899" i="9" s="1"/>
  <c r="BA370" i="9"/>
  <c r="CD183" i="20"/>
  <c r="AZ442" i="9"/>
  <c r="AZ99" i="9"/>
  <c r="AZ546" i="9"/>
  <c r="AZ335" i="9"/>
  <c r="BC113" i="20"/>
  <c r="BC176" i="20" s="1"/>
  <c r="BC176" i="1"/>
  <c r="AZ1004" i="9"/>
  <c r="AZ513" i="9"/>
  <c r="AZ139" i="9"/>
  <c r="BA133" i="9"/>
  <c r="AZ537" i="9"/>
  <c r="AZ164" i="9"/>
  <c r="AZ544" i="9"/>
  <c r="AZ297" i="9"/>
  <c r="CE183" i="20"/>
  <c r="AZ441" i="9"/>
  <c r="AZ80" i="9"/>
  <c r="DB137" i="20"/>
  <c r="CT137" i="20" s="1"/>
  <c r="AZ539" i="9"/>
  <c r="AZ202" i="9"/>
  <c r="AL113" i="20"/>
  <c r="AL176" i="20" s="1"/>
  <c r="AL176" i="1"/>
  <c r="V113" i="20"/>
  <c r="V176" i="1"/>
  <c r="AE113" i="20"/>
  <c r="AE176" i="20" s="1"/>
  <c r="AE176" i="1"/>
  <c r="AM113" i="20"/>
  <c r="AM176" i="20" s="1"/>
  <c r="AM176" i="1"/>
  <c r="AU113" i="20"/>
  <c r="AU176" i="20" s="1"/>
  <c r="AU176" i="1"/>
  <c r="BX113" i="20"/>
  <c r="BX176" i="1"/>
  <c r="CF113" i="20"/>
  <c r="CF176" i="1"/>
  <c r="AF113" i="20"/>
  <c r="AF176" i="20" s="1"/>
  <c r="AF176" i="1"/>
  <c r="AN113" i="20"/>
  <c r="AN176" i="20" s="1"/>
  <c r="AN176" i="1"/>
  <c r="AV113" i="20"/>
  <c r="AV176" i="20" s="1"/>
  <c r="AV176" i="1"/>
  <c r="BD113" i="20"/>
  <c r="BD176" i="20" s="1"/>
  <c r="BD176" i="1"/>
  <c r="CG113" i="20"/>
  <c r="CG176" i="1"/>
  <c r="AD114" i="1"/>
  <c r="AD139" i="1" s="1"/>
  <c r="AL114" i="1"/>
  <c r="AL139" i="1" s="1"/>
  <c r="BB114" i="1"/>
  <c r="BB139" i="1" s="1"/>
  <c r="BJ114" i="1"/>
  <c r="BJ139" i="1" s="1"/>
  <c r="BX132" i="1"/>
  <c r="CZ132" i="1" s="1"/>
  <c r="CR132" i="1" s="1"/>
  <c r="CZ117" i="1"/>
  <c r="CR117" i="1" s="1"/>
  <c r="AZ532" i="9"/>
  <c r="AZ69" i="9"/>
  <c r="AZ1010" i="9"/>
  <c r="AZ253" i="9"/>
  <c r="AZ519" i="9"/>
  <c r="BA247" i="9"/>
  <c r="AZ1018" i="9"/>
  <c r="AZ405" i="9"/>
  <c r="AZ527" i="9"/>
  <c r="BA399" i="9"/>
  <c r="AZ605" i="9"/>
  <c r="AZ887" i="9" s="1"/>
  <c r="BA142" i="9"/>
  <c r="AZ446" i="9"/>
  <c r="AZ175" i="9"/>
  <c r="CF183" i="20"/>
  <c r="AZ607" i="9"/>
  <c r="AZ889" i="9" s="1"/>
  <c r="BA180" i="9"/>
  <c r="AZ550" i="9"/>
  <c r="AZ411" i="9"/>
  <c r="AZ533" i="9"/>
  <c r="AZ88" i="9"/>
  <c r="AT113" i="20"/>
  <c r="AT176" i="20" s="1"/>
  <c r="AT176" i="1"/>
  <c r="CE113" i="20"/>
  <c r="CE176" i="1"/>
  <c r="V28" i="30"/>
  <c r="CG183" i="20"/>
  <c r="AZ542" i="9"/>
  <c r="AZ259" i="9"/>
  <c r="AZ453" i="9"/>
  <c r="AZ308" i="9"/>
  <c r="G113" i="1"/>
  <c r="F113" i="1" a="1"/>
  <c r="AZ601" i="9" l="1"/>
  <c r="AZ883" i="9" s="1"/>
  <c r="BA66" i="9"/>
  <c r="AZ608" i="9"/>
  <c r="AZ890" i="9" s="1"/>
  <c r="BA199" i="9"/>
  <c r="BA548" i="9"/>
  <c r="BA373" i="9"/>
  <c r="BA541" i="9"/>
  <c r="BA240" i="9"/>
  <c r="CY28" i="30"/>
  <c r="CQ28" i="30" s="1"/>
  <c r="AZ602" i="9"/>
  <c r="AZ884" i="9" s="1"/>
  <c r="BA85" i="9"/>
  <c r="AZ1006" i="9"/>
  <c r="AZ515" i="9"/>
  <c r="AZ177" i="9"/>
  <c r="BA171" i="9"/>
  <c r="AZ613" i="9"/>
  <c r="AZ895" i="9" s="1"/>
  <c r="BA294" i="9"/>
  <c r="BA440" i="9"/>
  <c r="BA61" i="9"/>
  <c r="BA451" i="9"/>
  <c r="BA270" i="9"/>
  <c r="BA609" i="9"/>
  <c r="BA891" i="9" s="1"/>
  <c r="BB218" i="9"/>
  <c r="BA365" i="9"/>
  <c r="BA456" i="9"/>
  <c r="AZ1015" i="9"/>
  <c r="AZ524" i="9"/>
  <c r="BA342" i="9"/>
  <c r="AZ348" i="9"/>
  <c r="BA458" i="9"/>
  <c r="BA403" i="9"/>
  <c r="CF176" i="20"/>
  <c r="CF114" i="20"/>
  <c r="AZ1002" i="9"/>
  <c r="AZ511" i="9"/>
  <c r="AZ101" i="9"/>
  <c r="BA95" i="9"/>
  <c r="BA449" i="9"/>
  <c r="BA232" i="9"/>
  <c r="BA213" i="9"/>
  <c r="BA448" i="9"/>
  <c r="BA327" i="9"/>
  <c r="BA454" i="9"/>
  <c r="BA452" i="9"/>
  <c r="BA289" i="9"/>
  <c r="BA545" i="9"/>
  <c r="BA316" i="9"/>
  <c r="BA535" i="9"/>
  <c r="BA126" i="9"/>
  <c r="AZ619" i="9"/>
  <c r="AZ901" i="9" s="1"/>
  <c r="BA408" i="9"/>
  <c r="BA450" i="9"/>
  <c r="BA251" i="9"/>
  <c r="CZ176" i="1"/>
  <c r="CR176" i="1" s="1"/>
  <c r="AZ606" i="9"/>
  <c r="AZ888" i="9" s="1"/>
  <c r="BA161" i="9"/>
  <c r="V58" i="33"/>
  <c r="E13" i="50" s="1"/>
  <c r="CY155" i="30"/>
  <c r="CQ155" i="30" s="1"/>
  <c r="CC176" i="20"/>
  <c r="CC114" i="20"/>
  <c r="BX176" i="20"/>
  <c r="BX114" i="20"/>
  <c r="V176" i="20"/>
  <c r="DB113" i="20"/>
  <c r="CT113" i="20" s="1"/>
  <c r="V114" i="20"/>
  <c r="BB422" i="9"/>
  <c r="BB459" i="9"/>
  <c r="AZ1007" i="9"/>
  <c r="AZ516" i="9"/>
  <c r="BA190" i="9"/>
  <c r="AZ196" i="9"/>
  <c r="CH176" i="20"/>
  <c r="CH114" i="20"/>
  <c r="BA443" i="9"/>
  <c r="BA118" i="9"/>
  <c r="BA536" i="9"/>
  <c r="BA145" i="9"/>
  <c r="AZ1001" i="9"/>
  <c r="AZ510" i="9"/>
  <c r="AZ82" i="9"/>
  <c r="BA76" i="9"/>
  <c r="BA551" i="9"/>
  <c r="BA430" i="9"/>
  <c r="BA457" i="9"/>
  <c r="BA384" i="9"/>
  <c r="BA549" i="9"/>
  <c r="BA392" i="9"/>
  <c r="BA445" i="9"/>
  <c r="BA156" i="9"/>
  <c r="CI176" i="20"/>
  <c r="CI114" i="20"/>
  <c r="AZ611" i="9"/>
  <c r="AZ893" i="9" s="1"/>
  <c r="BA256" i="9"/>
  <c r="AZ1013" i="9"/>
  <c r="AZ522" i="9"/>
  <c r="BA304" i="9"/>
  <c r="AZ310" i="9"/>
  <c r="BA538" i="9"/>
  <c r="BA183" i="9"/>
  <c r="BA278" i="9"/>
  <c r="BA543" i="9"/>
  <c r="CD176" i="20"/>
  <c r="CD114" i="20"/>
  <c r="CC9" i="35"/>
  <c r="CC52" i="33"/>
  <c r="CC9" i="32"/>
  <c r="CC9" i="30"/>
  <c r="CC308" i="26"/>
  <c r="CB9" i="35"/>
  <c r="CB52" i="33"/>
  <c r="CB9" i="32"/>
  <c r="CB9" i="30"/>
  <c r="CB308" i="26"/>
  <c r="CB176" i="20"/>
  <c r="CB114" i="20"/>
  <c r="CE176" i="20"/>
  <c r="CE114" i="20"/>
  <c r="CG176" i="20"/>
  <c r="CG114" i="20"/>
  <c r="BA444" i="9"/>
  <c r="BA137" i="9"/>
  <c r="AZ615" i="9"/>
  <c r="AZ897" i="9" s="1"/>
  <c r="BA332" i="9"/>
  <c r="AZ603" i="9"/>
  <c r="AZ885" i="9" s="1"/>
  <c r="BA104" i="9"/>
  <c r="AZ616" i="9"/>
  <c r="AZ898" i="9" s="1"/>
  <c r="BA351" i="9"/>
  <c r="F113" i="1"/>
  <c r="E113" i="1" a="1"/>
  <c r="CC49" i="32" l="1"/>
  <c r="CB25" i="32"/>
  <c r="CB24" i="35" s="1"/>
  <c r="CB49" i="32"/>
  <c r="CB26" i="32"/>
  <c r="CB25" i="35" s="1"/>
  <c r="BA605" i="9"/>
  <c r="BA887" i="9" s="1"/>
  <c r="BB142" i="9"/>
  <c r="CC27" i="30"/>
  <c r="CC139" i="20"/>
  <c r="BA546" i="9"/>
  <c r="BA335" i="9"/>
  <c r="CB27" i="30"/>
  <c r="CB139" i="20"/>
  <c r="CC176" i="30"/>
  <c r="CC206" i="30"/>
  <c r="CC88" i="33" s="1"/>
  <c r="CC90" i="33" s="1"/>
  <c r="CC54" i="30"/>
  <c r="CC45" i="30"/>
  <c r="BA607" i="9"/>
  <c r="BA889" i="9" s="1"/>
  <c r="BB180" i="9"/>
  <c r="BA453" i="9"/>
  <c r="BA308" i="9"/>
  <c r="BX27" i="30"/>
  <c r="BX139" i="20"/>
  <c r="BA550" i="9"/>
  <c r="BA411" i="9"/>
  <c r="BA1005" i="9"/>
  <c r="BA514" i="9"/>
  <c r="BB152" i="9"/>
  <c r="BA158" i="9"/>
  <c r="BA441" i="9"/>
  <c r="BA80" i="9"/>
  <c r="CH27" i="30"/>
  <c r="CH139" i="20"/>
  <c r="BA1011" i="9"/>
  <c r="BA520" i="9"/>
  <c r="BA272" i="9"/>
  <c r="BB266" i="9"/>
  <c r="BA617" i="9"/>
  <c r="BA899" i="9" s="1"/>
  <c r="BB370" i="9"/>
  <c r="BB1019" i="9"/>
  <c r="BB528" i="9"/>
  <c r="BC418" i="9"/>
  <c r="BB424" i="9"/>
  <c r="BA1014" i="9"/>
  <c r="BA523" i="9"/>
  <c r="BB323" i="9"/>
  <c r="BA329" i="9"/>
  <c r="BA455" i="9"/>
  <c r="BA346" i="9"/>
  <c r="BA534" i="9"/>
  <c r="BA107" i="9"/>
  <c r="CC25" i="32"/>
  <c r="CC24" i="35" s="1"/>
  <c r="CC26" i="32"/>
  <c r="CC25" i="35" s="1"/>
  <c r="BA1004" i="9"/>
  <c r="BA513" i="9"/>
  <c r="BA139" i="9"/>
  <c r="BB133" i="9"/>
  <c r="CB206" i="30"/>
  <c r="CB88" i="33" s="1"/>
  <c r="CB90" i="33" s="1"/>
  <c r="CB54" i="30"/>
  <c r="CB45" i="30"/>
  <c r="CC21" i="35"/>
  <c r="CC18" i="35"/>
  <c r="CC19" i="35" s="1"/>
  <c r="CC15" i="35"/>
  <c r="CC16" i="35" s="1"/>
  <c r="CC13" i="35"/>
  <c r="BA542" i="9"/>
  <c r="BA259" i="9"/>
  <c r="BA618" i="9"/>
  <c r="BA900" i="9" s="1"/>
  <c r="BB389" i="9"/>
  <c r="BA537" i="9"/>
  <c r="BA164" i="9"/>
  <c r="BA604" i="9"/>
  <c r="BA886" i="9" s="1"/>
  <c r="BB123" i="9"/>
  <c r="CF27" i="30"/>
  <c r="CF139" i="20"/>
  <c r="BA1000" i="9"/>
  <c r="BA509" i="9"/>
  <c r="BA63" i="9"/>
  <c r="BB57" i="9"/>
  <c r="BA533" i="9"/>
  <c r="BA88" i="9"/>
  <c r="BA539" i="9"/>
  <c r="BA202" i="9"/>
  <c r="BA1008" i="9"/>
  <c r="BA517" i="9"/>
  <c r="BA215" i="9"/>
  <c r="BB209" i="9"/>
  <c r="CG27" i="30"/>
  <c r="CG139" i="20"/>
  <c r="CI27" i="30"/>
  <c r="CI139" i="20"/>
  <c r="BA447" i="9"/>
  <c r="BA194" i="9"/>
  <c r="BA614" i="9"/>
  <c r="BA896" i="9" s="1"/>
  <c r="BB313" i="9"/>
  <c r="BA1009" i="9"/>
  <c r="BA518" i="9"/>
  <c r="BA234" i="9"/>
  <c r="BB228" i="9"/>
  <c r="BA544" i="9"/>
  <c r="BA297" i="9"/>
  <c r="BA532" i="9"/>
  <c r="BA69" i="9"/>
  <c r="CD27" i="30"/>
  <c r="CD139" i="20"/>
  <c r="CE27" i="30"/>
  <c r="CE139" i="20"/>
  <c r="CB21" i="35"/>
  <c r="CB18" i="35"/>
  <c r="CB19" i="35" s="1"/>
  <c r="CB15" i="35"/>
  <c r="CB16" i="35" s="1"/>
  <c r="CB13" i="35"/>
  <c r="BA1010" i="9"/>
  <c r="BA519" i="9"/>
  <c r="BB247" i="9"/>
  <c r="BA253" i="9"/>
  <c r="BA1018" i="9"/>
  <c r="BA527" i="9"/>
  <c r="BB399" i="9"/>
  <c r="BA405" i="9"/>
  <c r="BA1016" i="9"/>
  <c r="BA525" i="9"/>
  <c r="BA367" i="9"/>
  <c r="BB361" i="9"/>
  <c r="BA1017" i="9"/>
  <c r="BA526" i="9"/>
  <c r="BA386" i="9"/>
  <c r="BB380" i="9"/>
  <c r="V139" i="20"/>
  <c r="DB114" i="20"/>
  <c r="CT114" i="20" s="1"/>
  <c r="BA547" i="9"/>
  <c r="BA354" i="9"/>
  <c r="BA612" i="9"/>
  <c r="BA894" i="9" s="1"/>
  <c r="BB275" i="9"/>
  <c r="BA620" i="9"/>
  <c r="BA902" i="9" s="1"/>
  <c r="BB427" i="9"/>
  <c r="BA1003" i="9"/>
  <c r="BA512" i="9"/>
  <c r="BA120" i="9"/>
  <c r="BB114" i="9"/>
  <c r="DB176" i="20"/>
  <c r="CT176" i="20" s="1"/>
  <c r="BA1012" i="9"/>
  <c r="BA521" i="9"/>
  <c r="BA291" i="9"/>
  <c r="BB285" i="9"/>
  <c r="BA442" i="9"/>
  <c r="BA99" i="9"/>
  <c r="BB540" i="9"/>
  <c r="BB221" i="9"/>
  <c r="BA446" i="9"/>
  <c r="BA175" i="9"/>
  <c r="BA610" i="9"/>
  <c r="BA892" i="9" s="1"/>
  <c r="BB237" i="9"/>
  <c r="E113" i="1"/>
  <c r="C113" i="1"/>
  <c r="EY113" i="1" s="1"/>
  <c r="BX112" i="1"/>
  <c r="CZ112" i="1" s="1"/>
  <c r="CR112" i="1" s="1"/>
  <c r="C112" i="1"/>
  <c r="EY112" i="1" s="1"/>
  <c r="BX111" i="1"/>
  <c r="CZ111" i="1" s="1"/>
  <c r="CR111" i="1" s="1"/>
  <c r="C111" i="1"/>
  <c r="EY111" i="1" s="1"/>
  <c r="BX110" i="1"/>
  <c r="CZ110" i="1" s="1"/>
  <c r="CR110" i="1" s="1"/>
  <c r="C110" i="1"/>
  <c r="EY110" i="1" s="1"/>
  <c r="BX109" i="1"/>
  <c r="CZ109" i="1" s="1"/>
  <c r="CR109" i="1" s="1"/>
  <c r="C109" i="1"/>
  <c r="EY109" i="1" s="1"/>
  <c r="BX108" i="1"/>
  <c r="CZ108" i="1" s="1"/>
  <c r="CR108" i="1" s="1"/>
  <c r="C108" i="1"/>
  <c r="EY108" i="1" s="1"/>
  <c r="BX107" i="1"/>
  <c r="CZ107" i="1" s="1"/>
  <c r="CR107" i="1" s="1"/>
  <c r="C107" i="1"/>
  <c r="EY107" i="1" s="1"/>
  <c r="BX106" i="1"/>
  <c r="CZ106" i="1" s="1"/>
  <c r="CR106" i="1" s="1"/>
  <c r="C106" i="1"/>
  <c r="EY106" i="1" s="1"/>
  <c r="BX105" i="1"/>
  <c r="BX114" i="1" s="1"/>
  <c r="C105" i="1"/>
  <c r="EY105" i="1" s="1"/>
  <c r="EY104" i="1"/>
  <c r="EY103" i="1"/>
  <c r="C102" i="1"/>
  <c r="EY102" i="1" s="1"/>
  <c r="EY101" i="1"/>
  <c r="C100" i="1"/>
  <c r="EY100" i="1" s="1"/>
  <c r="CI99" i="1"/>
  <c r="CI99" i="20" s="1"/>
  <c r="CH99" i="1"/>
  <c r="CH99" i="20" s="1"/>
  <c r="CG99" i="1"/>
  <c r="CG99" i="20" s="1"/>
  <c r="CF99" i="1"/>
  <c r="CF99" i="20" s="1"/>
  <c r="CE99" i="1"/>
  <c r="CE99" i="20" s="1"/>
  <c r="CD99" i="1"/>
  <c r="CD99" i="20" s="1"/>
  <c r="CC99" i="1"/>
  <c r="CC99" i="20" s="1"/>
  <c r="CB99" i="1"/>
  <c r="CB99" i="20" s="1"/>
  <c r="CA99" i="1"/>
  <c r="CA99" i="20" s="1"/>
  <c r="BZ99" i="1"/>
  <c r="BZ99" i="20" s="1"/>
  <c r="BY99" i="1"/>
  <c r="BY99" i="20" s="1"/>
  <c r="BX99" i="1"/>
  <c r="BX99" i="20" s="1"/>
  <c r="BJ99" i="1"/>
  <c r="BJ99" i="20" s="1"/>
  <c r="BJ156" i="30" s="1"/>
  <c r="BI99" i="1"/>
  <c r="BI99" i="20" s="1"/>
  <c r="BI156" i="30" s="1"/>
  <c r="BH99" i="1"/>
  <c r="BH99" i="20" s="1"/>
  <c r="BH156" i="30" s="1"/>
  <c r="BG99" i="1"/>
  <c r="BG99" i="20" s="1"/>
  <c r="BG156" i="30" s="1"/>
  <c r="BF99" i="1"/>
  <c r="BF99" i="20" s="1"/>
  <c r="BF156" i="30" s="1"/>
  <c r="BE99" i="1"/>
  <c r="BE99" i="20" s="1"/>
  <c r="BE156" i="30" s="1"/>
  <c r="BD99" i="1"/>
  <c r="BD99" i="20" s="1"/>
  <c r="BD156" i="30" s="1"/>
  <c r="BC99" i="1"/>
  <c r="BC99" i="20" s="1"/>
  <c r="BC156" i="30" s="1"/>
  <c r="BB99" i="1"/>
  <c r="BB99" i="20" s="1"/>
  <c r="BB156" i="30" s="1"/>
  <c r="BA99" i="1"/>
  <c r="BA99" i="20" s="1"/>
  <c r="BA156" i="30" s="1"/>
  <c r="AZ99" i="1"/>
  <c r="AZ99" i="20" s="1"/>
  <c r="AZ156" i="30" s="1"/>
  <c r="AY99" i="1"/>
  <c r="AY99" i="20" s="1"/>
  <c r="AY156" i="30" s="1"/>
  <c r="AX99" i="1"/>
  <c r="AX99" i="20" s="1"/>
  <c r="AX156" i="30" s="1"/>
  <c r="AW99" i="1"/>
  <c r="AW99" i="20" s="1"/>
  <c r="AW156" i="30" s="1"/>
  <c r="AV99" i="1"/>
  <c r="AV99" i="20" s="1"/>
  <c r="AV156" i="30" s="1"/>
  <c r="AU99" i="1"/>
  <c r="AU99" i="20" s="1"/>
  <c r="AU156" i="30" s="1"/>
  <c r="AT99" i="1"/>
  <c r="AT99" i="20" s="1"/>
  <c r="AT156" i="30" s="1"/>
  <c r="AS99" i="1"/>
  <c r="AS99" i="20" s="1"/>
  <c r="AS156" i="30" s="1"/>
  <c r="AR99" i="1"/>
  <c r="AR99" i="20" s="1"/>
  <c r="AR156" i="30" s="1"/>
  <c r="AQ99" i="1"/>
  <c r="AQ99" i="20" s="1"/>
  <c r="AQ156" i="30" s="1"/>
  <c r="AP99" i="1"/>
  <c r="AP99" i="20" s="1"/>
  <c r="AP156" i="30" s="1"/>
  <c r="AO99" i="1"/>
  <c r="AO99" i="20" s="1"/>
  <c r="AO156" i="30" s="1"/>
  <c r="AN99" i="1"/>
  <c r="AN99" i="20" s="1"/>
  <c r="AN156" i="30" s="1"/>
  <c r="AM99" i="1"/>
  <c r="AM99" i="20" s="1"/>
  <c r="AM156" i="30" s="1"/>
  <c r="AL99" i="1"/>
  <c r="AL99" i="20" s="1"/>
  <c r="AL156" i="30" s="1"/>
  <c r="AK99" i="1"/>
  <c r="AK99" i="20" s="1"/>
  <c r="AK156" i="30" s="1"/>
  <c r="AJ99" i="1"/>
  <c r="AJ99" i="20" s="1"/>
  <c r="AJ156" i="30" s="1"/>
  <c r="AI99" i="1"/>
  <c r="AI99" i="20" s="1"/>
  <c r="AI156" i="30" s="1"/>
  <c r="AH99" i="1"/>
  <c r="AH99" i="20" s="1"/>
  <c r="AH156" i="30" s="1"/>
  <c r="AG99" i="1"/>
  <c r="AG99" i="20" s="1"/>
  <c r="AG156" i="30" s="1"/>
  <c r="AF99" i="1"/>
  <c r="AF99" i="20" s="1"/>
  <c r="AF156" i="30" s="1"/>
  <c r="AE99" i="1"/>
  <c r="AE99" i="20" s="1"/>
  <c r="AE156" i="30" s="1"/>
  <c r="AD99" i="1"/>
  <c r="AD99" i="20" s="1"/>
  <c r="AD156" i="30" s="1"/>
  <c r="AC99" i="1"/>
  <c r="AC99" i="20" s="1"/>
  <c r="AC156" i="30" s="1"/>
  <c r="AB99" i="1"/>
  <c r="AB99" i="20" s="1"/>
  <c r="AB156" i="30" s="1"/>
  <c r="AA99" i="1"/>
  <c r="AA99" i="20" s="1"/>
  <c r="AA156" i="30" s="1"/>
  <c r="Y99" i="1"/>
  <c r="Y99" i="20" s="1"/>
  <c r="X99" i="1"/>
  <c r="X99" i="20" s="1"/>
  <c r="W99" i="1"/>
  <c r="W99" i="20" s="1"/>
  <c r="V99" i="1"/>
  <c r="V99" i="20" s="1"/>
  <c r="E99" i="1" a="1"/>
  <c r="DB139" i="20" l="1"/>
  <c r="CT139" i="20" s="1"/>
  <c r="CC100" i="1"/>
  <c r="CC179" i="1" s="1"/>
  <c r="AD100" i="1"/>
  <c r="AD179" i="1" s="1"/>
  <c r="BJ100" i="1"/>
  <c r="BJ179" i="1" s="1"/>
  <c r="AK100" i="1"/>
  <c r="AK179" i="1" s="1"/>
  <c r="AL100" i="1"/>
  <c r="AL179" i="1" s="1"/>
  <c r="CD100" i="1"/>
  <c r="CD179" i="1" s="1"/>
  <c r="AS100" i="1"/>
  <c r="AS179" i="1" s="1"/>
  <c r="CE100" i="1"/>
  <c r="CE179" i="1" s="1"/>
  <c r="AT100" i="1"/>
  <c r="AT179" i="1" s="1"/>
  <c r="BA100" i="1"/>
  <c r="BA179" i="1" s="1"/>
  <c r="BB100" i="1"/>
  <c r="BB179" i="1" s="1"/>
  <c r="AC100" i="1"/>
  <c r="AC179" i="1" s="1"/>
  <c r="BI100" i="1"/>
  <c r="BI179" i="1" s="1"/>
  <c r="AE59" i="33"/>
  <c r="AE158" i="30"/>
  <c r="AF59" i="33"/>
  <c r="AF158" i="30"/>
  <c r="AN59" i="33"/>
  <c r="AN158" i="30"/>
  <c r="AA59" i="33"/>
  <c r="AA158" i="30"/>
  <c r="AB59" i="33"/>
  <c r="AB158" i="30"/>
  <c r="AC59" i="33"/>
  <c r="AC158" i="30"/>
  <c r="AK59" i="33"/>
  <c r="AK158" i="30"/>
  <c r="BI59" i="33"/>
  <c r="BI158" i="30"/>
  <c r="CZ99" i="1"/>
  <c r="CR99" i="1" s="1"/>
  <c r="AX100" i="1"/>
  <c r="AX179" i="1" s="1"/>
  <c r="BF100" i="1"/>
  <c r="BF179" i="1" s="1"/>
  <c r="CI100" i="1"/>
  <c r="CI179" i="1" s="1"/>
  <c r="BX139" i="1"/>
  <c r="CZ139" i="1" s="1"/>
  <c r="CR139" i="1" s="1"/>
  <c r="CZ114" i="1"/>
  <c r="CR114" i="1" s="1"/>
  <c r="CZ105" i="1"/>
  <c r="CR105" i="1" s="1"/>
  <c r="BA1006" i="9"/>
  <c r="BA515" i="9"/>
  <c r="BA177" i="9"/>
  <c r="BB171" i="9"/>
  <c r="BB430" i="9"/>
  <c r="BB551" i="9"/>
  <c r="BB384" i="9"/>
  <c r="BB457" i="9"/>
  <c r="BA1013" i="9"/>
  <c r="BA522" i="9"/>
  <c r="BB304" i="9"/>
  <c r="BA310" i="9"/>
  <c r="AG59" i="33"/>
  <c r="AG158" i="30"/>
  <c r="AQ59" i="33"/>
  <c r="AQ158" i="30"/>
  <c r="AS59" i="33"/>
  <c r="AS158" i="30"/>
  <c r="BA59" i="33"/>
  <c r="BA158" i="30"/>
  <c r="CD156" i="30"/>
  <c r="CD100" i="20"/>
  <c r="AH100" i="1"/>
  <c r="AH179" i="1" s="1"/>
  <c r="AP100" i="1"/>
  <c r="AP179" i="1" s="1"/>
  <c r="AD59" i="33"/>
  <c r="AD158" i="30"/>
  <c r="AL59" i="33"/>
  <c r="AL158" i="30"/>
  <c r="AT59" i="33"/>
  <c r="AT158" i="30"/>
  <c r="BB59" i="33"/>
  <c r="BB158" i="30"/>
  <c r="BJ59" i="33"/>
  <c r="BJ158" i="30"/>
  <c r="CE156" i="30"/>
  <c r="CE100" i="20"/>
  <c r="AA100" i="1"/>
  <c r="AA179" i="1" s="1"/>
  <c r="AI100" i="1"/>
  <c r="AI179" i="1" s="1"/>
  <c r="AQ100" i="1"/>
  <c r="AQ179" i="1" s="1"/>
  <c r="AY100" i="1"/>
  <c r="AY179" i="1" s="1"/>
  <c r="BG100" i="1"/>
  <c r="BG179" i="1" s="1"/>
  <c r="CB100" i="1"/>
  <c r="CB179" i="1" s="1"/>
  <c r="BB549" i="9"/>
  <c r="BB392" i="9"/>
  <c r="CB15" i="32"/>
  <c r="CB62" i="32" s="1"/>
  <c r="CB18" i="32"/>
  <c r="CB30" i="30"/>
  <c r="AU59" i="33"/>
  <c r="AU158" i="30"/>
  <c r="BC59" i="33"/>
  <c r="BC158" i="30"/>
  <c r="BX156" i="30"/>
  <c r="BX100" i="20"/>
  <c r="CF156" i="30"/>
  <c r="CF100" i="20"/>
  <c r="AB100" i="1"/>
  <c r="AB179" i="1" s="1"/>
  <c r="AJ100" i="1"/>
  <c r="AJ179" i="1" s="1"/>
  <c r="AR100" i="1"/>
  <c r="AR179" i="1" s="1"/>
  <c r="AZ100" i="1"/>
  <c r="AZ179" i="1" s="1"/>
  <c r="BH100" i="1"/>
  <c r="BH179" i="1" s="1"/>
  <c r="BB609" i="9"/>
  <c r="BB891" i="9" s="1"/>
  <c r="BC218" i="9"/>
  <c r="BB543" i="9"/>
  <c r="BB278" i="9"/>
  <c r="BA601" i="9"/>
  <c r="BA883" i="9" s="1"/>
  <c r="BB66" i="9"/>
  <c r="BB545" i="9"/>
  <c r="BB316" i="9"/>
  <c r="BB538" i="9"/>
  <c r="BB183" i="9"/>
  <c r="BA615" i="9"/>
  <c r="BA897" i="9" s="1"/>
  <c r="BB332" i="9"/>
  <c r="BD59" i="33"/>
  <c r="BD158" i="30"/>
  <c r="BY156" i="30"/>
  <c r="CG156" i="30"/>
  <c r="CG100" i="20"/>
  <c r="BB458" i="9"/>
  <c r="BB403" i="9"/>
  <c r="BA608" i="9"/>
  <c r="BA890" i="9" s="1"/>
  <c r="BB199" i="9"/>
  <c r="BA611" i="9"/>
  <c r="BA893" i="9" s="1"/>
  <c r="BB256" i="9"/>
  <c r="BB327" i="9"/>
  <c r="BB454" i="9"/>
  <c r="BB548" i="9"/>
  <c r="BB373" i="9"/>
  <c r="V156" i="30"/>
  <c r="DB99" i="20"/>
  <c r="CT99" i="20" s="1"/>
  <c r="CL99" i="20"/>
  <c r="V100" i="20"/>
  <c r="AO59" i="33"/>
  <c r="AO158" i="30"/>
  <c r="AW59" i="33"/>
  <c r="AW158" i="30"/>
  <c r="BE59" i="33"/>
  <c r="BE158" i="30"/>
  <c r="BZ156" i="30"/>
  <c r="CH156" i="30"/>
  <c r="CH100" i="20"/>
  <c r="BA1002" i="9"/>
  <c r="BA511" i="9"/>
  <c r="BA101" i="9"/>
  <c r="BB95" i="9"/>
  <c r="BB443" i="9"/>
  <c r="BB118" i="9"/>
  <c r="BA616" i="9"/>
  <c r="BA898" i="9" s="1"/>
  <c r="BB351" i="9"/>
  <c r="BA613" i="9"/>
  <c r="BA895" i="9" s="1"/>
  <c r="BB294" i="9"/>
  <c r="BA1007" i="9"/>
  <c r="BA516" i="9"/>
  <c r="BB190" i="9"/>
  <c r="BA196" i="9"/>
  <c r="BB444" i="9"/>
  <c r="BB137" i="9"/>
  <c r="BA603" i="9"/>
  <c r="BA885" i="9" s="1"/>
  <c r="BB104" i="9"/>
  <c r="BA1001" i="9"/>
  <c r="BA510" i="9"/>
  <c r="BA82" i="9"/>
  <c r="BB76" i="9"/>
  <c r="BA619" i="9"/>
  <c r="BA901" i="9" s="1"/>
  <c r="BB408" i="9"/>
  <c r="AM59" i="33"/>
  <c r="AM158" i="30"/>
  <c r="AV59" i="33"/>
  <c r="AV158" i="30"/>
  <c r="AH59" i="33"/>
  <c r="AH158" i="30"/>
  <c r="AX59" i="33"/>
  <c r="AX158" i="30"/>
  <c r="BF59" i="33"/>
  <c r="BF158" i="30"/>
  <c r="CA156" i="30"/>
  <c r="CI156" i="30"/>
  <c r="CI100" i="20"/>
  <c r="V100" i="1"/>
  <c r="AE100" i="1"/>
  <c r="AE179" i="1" s="1"/>
  <c r="AM100" i="1"/>
  <c r="AM179" i="1" s="1"/>
  <c r="AU100" i="1"/>
  <c r="AU179" i="1" s="1"/>
  <c r="BC100" i="1"/>
  <c r="BC179" i="1" s="1"/>
  <c r="CF100" i="1"/>
  <c r="CF179" i="1" s="1"/>
  <c r="BA602" i="9"/>
  <c r="BA884" i="9" s="1"/>
  <c r="BB85" i="9"/>
  <c r="BB535" i="9"/>
  <c r="BB126" i="9"/>
  <c r="BB451" i="9"/>
  <c r="BB270" i="9"/>
  <c r="AY59" i="33"/>
  <c r="AY158" i="30"/>
  <c r="BG59" i="33"/>
  <c r="BG158" i="30"/>
  <c r="CB156" i="30"/>
  <c r="CB100" i="20"/>
  <c r="CL99" i="1"/>
  <c r="AF100" i="1"/>
  <c r="AF179" i="1" s="1"/>
  <c r="AN100" i="1"/>
  <c r="AN179" i="1" s="1"/>
  <c r="AV100" i="1"/>
  <c r="AV179" i="1" s="1"/>
  <c r="BD100" i="1"/>
  <c r="BD179" i="1" s="1"/>
  <c r="CG100" i="1"/>
  <c r="CG179" i="1" s="1"/>
  <c r="BB541" i="9"/>
  <c r="BB240" i="9"/>
  <c r="BB452" i="9"/>
  <c r="BB289" i="9"/>
  <c r="BB456" i="9"/>
  <c r="BB365" i="9"/>
  <c r="BB449" i="9"/>
  <c r="BB232" i="9"/>
  <c r="CC15" i="32"/>
  <c r="CC62" i="32" s="1"/>
  <c r="CC18" i="32"/>
  <c r="CC30" i="30"/>
  <c r="W156" i="30"/>
  <c r="W100" i="20"/>
  <c r="X156" i="30"/>
  <c r="X100" i="20"/>
  <c r="Y156" i="30"/>
  <c r="Y100" i="20"/>
  <c r="AP59" i="33"/>
  <c r="AP158" i="30"/>
  <c r="AI59" i="33"/>
  <c r="AI158" i="30"/>
  <c r="AJ59" i="33"/>
  <c r="AJ158" i="30"/>
  <c r="AR59" i="33"/>
  <c r="AR158" i="30"/>
  <c r="AZ59" i="33"/>
  <c r="AZ158" i="30"/>
  <c r="BH59" i="33"/>
  <c r="BH158" i="30"/>
  <c r="CC156" i="30"/>
  <c r="CC100" i="20"/>
  <c r="AG100" i="1"/>
  <c r="AG179" i="1" s="1"/>
  <c r="AO100" i="1"/>
  <c r="AO179" i="1" s="1"/>
  <c r="AW100" i="1"/>
  <c r="AW179" i="1" s="1"/>
  <c r="BE100" i="1"/>
  <c r="BE179" i="1" s="1"/>
  <c r="CH100" i="1"/>
  <c r="CH179" i="1" s="1"/>
  <c r="BB450" i="9"/>
  <c r="BB251" i="9"/>
  <c r="BB448" i="9"/>
  <c r="BB213" i="9"/>
  <c r="BB440" i="9"/>
  <c r="BB61" i="9"/>
  <c r="BA606" i="9"/>
  <c r="BA888" i="9" s="1"/>
  <c r="BB161" i="9"/>
  <c r="BA1015" i="9"/>
  <c r="BA524" i="9"/>
  <c r="BB342" i="9"/>
  <c r="BA348" i="9"/>
  <c r="BC422" i="9"/>
  <c r="BC459" i="9"/>
  <c r="BB445" i="9"/>
  <c r="BB156" i="9"/>
  <c r="V27" i="30"/>
  <c r="BB536" i="9"/>
  <c r="BB145" i="9"/>
  <c r="E99" i="1"/>
  <c r="C99" i="1"/>
  <c r="EY99" i="1" s="1"/>
  <c r="EY98" i="1"/>
  <c r="BX98" i="1"/>
  <c r="BX100" i="1" s="1"/>
  <c r="BX179" i="1" s="1"/>
  <c r="C98" i="1"/>
  <c r="EY97" i="1"/>
  <c r="CI96" i="1"/>
  <c r="CI175" i="1" s="1"/>
  <c r="CH96" i="1"/>
  <c r="CH175" i="1" s="1"/>
  <c r="CG96" i="1"/>
  <c r="CG175" i="1" s="1"/>
  <c r="CF96" i="1"/>
  <c r="CF175" i="1" s="1"/>
  <c r="CE96" i="1"/>
  <c r="CE175" i="1" s="1"/>
  <c r="CD96" i="1"/>
  <c r="CD175" i="1" s="1"/>
  <c r="CC96" i="1"/>
  <c r="CC175" i="1" s="1"/>
  <c r="CB96" i="1"/>
  <c r="CB175" i="1" s="1"/>
  <c r="BX96" i="1"/>
  <c r="BX175" i="1" s="1"/>
  <c r="BJ96" i="1"/>
  <c r="BJ175" i="1" s="1"/>
  <c r="BI96" i="1"/>
  <c r="BI175" i="1" s="1"/>
  <c r="BH96" i="1"/>
  <c r="BH175" i="1" s="1"/>
  <c r="BG96" i="1"/>
  <c r="BG175" i="1" s="1"/>
  <c r="BF96" i="1"/>
  <c r="BF175" i="1" s="1"/>
  <c r="BE96" i="1"/>
  <c r="BE175" i="1" s="1"/>
  <c r="BD96" i="1"/>
  <c r="BD175" i="1" s="1"/>
  <c r="BC96" i="1"/>
  <c r="BC175" i="1" s="1"/>
  <c r="BB96" i="1"/>
  <c r="BB175" i="1" s="1"/>
  <c r="BA96" i="1"/>
  <c r="BA175" i="1" s="1"/>
  <c r="AZ96" i="1"/>
  <c r="AZ175" i="1" s="1"/>
  <c r="AY96" i="1"/>
  <c r="AY175" i="1" s="1"/>
  <c r="AX96" i="1"/>
  <c r="AX175" i="1" s="1"/>
  <c r="AW96" i="1"/>
  <c r="AW175" i="1" s="1"/>
  <c r="AV96" i="1"/>
  <c r="AV175" i="1" s="1"/>
  <c r="AU96" i="1"/>
  <c r="AU175" i="1" s="1"/>
  <c r="AT96" i="1"/>
  <c r="AT175" i="1" s="1"/>
  <c r="AS96" i="1"/>
  <c r="AS175" i="1" s="1"/>
  <c r="AR96" i="1"/>
  <c r="AR175" i="1" s="1"/>
  <c r="AQ96" i="1"/>
  <c r="AQ175" i="1" s="1"/>
  <c r="AP96" i="1"/>
  <c r="AP175" i="1" s="1"/>
  <c r="AO96" i="1"/>
  <c r="AO175" i="1" s="1"/>
  <c r="AN96" i="1"/>
  <c r="AN175" i="1" s="1"/>
  <c r="AM96" i="1"/>
  <c r="AM175" i="1" s="1"/>
  <c r="AL96" i="1"/>
  <c r="AL175" i="1" s="1"/>
  <c r="AK96" i="1"/>
  <c r="AK175" i="1" s="1"/>
  <c r="AJ96" i="1"/>
  <c r="AJ175" i="1" s="1"/>
  <c r="AI96" i="1"/>
  <c r="AI175" i="1" s="1"/>
  <c r="AH96" i="1"/>
  <c r="AH175" i="1" s="1"/>
  <c r="AG96" i="1"/>
  <c r="AG175" i="1" s="1"/>
  <c r="AF96" i="1"/>
  <c r="AF175" i="1" s="1"/>
  <c r="AE96" i="1"/>
  <c r="AE175" i="1" s="1"/>
  <c r="AD96" i="1"/>
  <c r="AD175" i="1" s="1"/>
  <c r="AC96" i="1"/>
  <c r="AC175" i="1" s="1"/>
  <c r="AB96" i="1"/>
  <c r="AB175" i="1" s="1"/>
  <c r="AA96" i="1"/>
  <c r="AA175" i="1" s="1"/>
  <c r="V96" i="1"/>
  <c r="V175" i="1" s="1"/>
  <c r="CZ175" i="1" s="1"/>
  <c r="CR175" i="1" s="1"/>
  <c r="C96" i="1"/>
  <c r="EY96" i="1" s="1"/>
  <c r="EY95" i="1"/>
  <c r="BX95" i="1"/>
  <c r="CZ95" i="1" s="1"/>
  <c r="CR95" i="1" s="1"/>
  <c r="C95" i="1"/>
  <c r="EY94" i="1"/>
  <c r="BX94" i="1"/>
  <c r="CZ94" i="1" s="1"/>
  <c r="CR94" i="1" s="1"/>
  <c r="C94" i="1"/>
  <c r="EY93" i="1"/>
  <c r="BX93" i="1"/>
  <c r="CZ93" i="1" s="1"/>
  <c r="CR93" i="1" s="1"/>
  <c r="C93" i="1"/>
  <c r="EY92" i="1"/>
  <c r="EY91" i="1"/>
  <c r="CI90" i="1"/>
  <c r="CH90" i="1"/>
  <c r="CG90" i="1"/>
  <c r="CF90" i="1"/>
  <c r="CE90" i="1"/>
  <c r="CD90" i="1"/>
  <c r="CC90" i="1"/>
  <c r="CB90" i="1"/>
  <c r="BX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V90" i="1"/>
  <c r="CZ90" i="1" s="1"/>
  <c r="CR90" i="1" s="1"/>
  <c r="C90" i="1"/>
  <c r="EY90" i="1" s="1"/>
  <c r="BX89" i="1"/>
  <c r="CZ89" i="1" s="1"/>
  <c r="CR89" i="1" s="1"/>
  <c r="C89" i="1"/>
  <c r="EY89" i="1" s="1"/>
  <c r="BX88" i="1"/>
  <c r="CZ88" i="1" s="1"/>
  <c r="CR88" i="1" s="1"/>
  <c r="C88" i="1"/>
  <c r="EY88" i="1" s="1"/>
  <c r="EY87" i="1"/>
  <c r="EY86" i="1"/>
  <c r="CZ85" i="1"/>
  <c r="CR85" i="1" s="1"/>
  <c r="CI85" i="1"/>
  <c r="CH85" i="1"/>
  <c r="CG85" i="1"/>
  <c r="CF85" i="1"/>
  <c r="CE85" i="1"/>
  <c r="CD85" i="1"/>
  <c r="CC85" i="1"/>
  <c r="CB85" i="1"/>
  <c r="BX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V85" i="1"/>
  <c r="C85" i="1"/>
  <c r="EY85" i="1" s="1"/>
  <c r="BX84" i="1"/>
  <c r="CZ84" i="1" s="1"/>
  <c r="CR84" i="1" s="1"/>
  <c r="C84" i="1"/>
  <c r="EY84" i="1" s="1"/>
  <c r="BX83" i="1"/>
  <c r="CZ83" i="1" s="1"/>
  <c r="CR83" i="1" s="1"/>
  <c r="C83" i="1"/>
  <c r="EY83" i="1" s="1"/>
  <c r="BX82" i="1"/>
  <c r="CZ82" i="1" s="1"/>
  <c r="CR82" i="1" s="1"/>
  <c r="C82" i="1"/>
  <c r="EY82" i="1" s="1"/>
  <c r="BX81" i="1"/>
  <c r="CZ81" i="1" s="1"/>
  <c r="CR81" i="1" s="1"/>
  <c r="C81" i="1"/>
  <c r="EY81" i="1" s="1"/>
  <c r="BX80" i="1"/>
  <c r="CZ80" i="1" s="1"/>
  <c r="CR80" i="1" s="1"/>
  <c r="C80" i="1"/>
  <c r="EY80" i="1" s="1"/>
  <c r="BX79" i="1"/>
  <c r="CZ79" i="1" s="1"/>
  <c r="CR79" i="1" s="1"/>
  <c r="C79" i="1"/>
  <c r="EY79" i="1" s="1"/>
  <c r="BX78" i="1"/>
  <c r="CZ78" i="1" s="1"/>
  <c r="CR78" i="1" s="1"/>
  <c r="C78" i="1"/>
  <c r="EY78" i="1" s="1"/>
  <c r="BX77" i="1"/>
  <c r="CZ77" i="1" s="1"/>
  <c r="CR77" i="1" s="1"/>
  <c r="C77" i="1"/>
  <c r="EY77" i="1" s="1"/>
  <c r="EY76" i="1"/>
  <c r="EY75" i="1"/>
  <c r="CI74" i="1"/>
  <c r="CH74" i="1"/>
  <c r="CG74" i="1"/>
  <c r="CF74" i="1"/>
  <c r="CE74" i="1"/>
  <c r="CD74" i="1"/>
  <c r="CC74" i="1"/>
  <c r="CB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V74" i="1"/>
  <c r="C74" i="1"/>
  <c r="EY74" i="1" s="1"/>
  <c r="BX73" i="1"/>
  <c r="CZ73" i="1" s="1"/>
  <c r="CR73" i="1" s="1"/>
  <c r="C73" i="1"/>
  <c r="EY73" i="1" s="1"/>
  <c r="BX72" i="1"/>
  <c r="CZ72" i="1" s="1"/>
  <c r="CR72" i="1" s="1"/>
  <c r="C72" i="1"/>
  <c r="EY72" i="1" s="1"/>
  <c r="BX71" i="1"/>
  <c r="CZ71" i="1" s="1"/>
  <c r="CR71" i="1" s="1"/>
  <c r="C71" i="1"/>
  <c r="EY71" i="1" s="1"/>
  <c r="BX70" i="1"/>
  <c r="CZ70" i="1" s="1"/>
  <c r="CR70" i="1" s="1"/>
  <c r="C70" i="1"/>
  <c r="EY70" i="1" s="1"/>
  <c r="BX69" i="1"/>
  <c r="CZ69" i="1" s="1"/>
  <c r="CR69" i="1" s="1"/>
  <c r="C69" i="1"/>
  <c r="EY69" i="1" s="1"/>
  <c r="BX68" i="1"/>
  <c r="CZ68" i="1" s="1"/>
  <c r="CR68" i="1" s="1"/>
  <c r="C68" i="1"/>
  <c r="EY68" i="1" s="1"/>
  <c r="BX67" i="1"/>
  <c r="CZ67" i="1" s="1"/>
  <c r="CR67" i="1" s="1"/>
  <c r="C67" i="1"/>
  <c r="EY67" i="1" s="1"/>
  <c r="BX66" i="1"/>
  <c r="CZ66" i="1" s="1"/>
  <c r="CR66" i="1" s="1"/>
  <c r="C66" i="1"/>
  <c r="EY66" i="1" s="1"/>
  <c r="BX65" i="1"/>
  <c r="CZ65" i="1" s="1"/>
  <c r="CR65" i="1" s="1"/>
  <c r="C65" i="1"/>
  <c r="EY65" i="1" s="1"/>
  <c r="BX64" i="1"/>
  <c r="BX74" i="1" s="1"/>
  <c r="CZ74" i="1" s="1"/>
  <c r="CR74" i="1" s="1"/>
  <c r="C64" i="1"/>
  <c r="EY64" i="1" s="1"/>
  <c r="EY63" i="1"/>
  <c r="EY62" i="1"/>
  <c r="DR61" i="1"/>
  <c r="DP61" i="1"/>
  <c r="DL61" i="1"/>
  <c r="CZ61" i="1"/>
  <c r="CR61" i="1" s="1"/>
  <c r="BX61" i="1"/>
  <c r="CI60" i="1"/>
  <c r="DS61" i="1" s="1"/>
  <c r="CH60" i="1"/>
  <c r="CG60" i="1"/>
  <c r="DQ61" i="1" s="1"/>
  <c r="CF60" i="1"/>
  <c r="CE60" i="1"/>
  <c r="DO61" i="1" s="1"/>
  <c r="CD60" i="1"/>
  <c r="DN61" i="1" s="1"/>
  <c r="CC60" i="1"/>
  <c r="DM61" i="1" s="1"/>
  <c r="CB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V60" i="1"/>
  <c r="BX59" i="1"/>
  <c r="CZ59" i="1" s="1"/>
  <c r="CR59" i="1" s="1"/>
  <c r="BX58" i="1"/>
  <c r="BX60" i="1" s="1"/>
  <c r="DH61" i="1" s="1"/>
  <c r="BX57" i="1"/>
  <c r="CZ57" i="1" s="1"/>
  <c r="CR57" i="1" s="1"/>
  <c r="EY55" i="1"/>
  <c r="DS54" i="1"/>
  <c r="DQ54" i="1"/>
  <c r="DP54" i="1"/>
  <c r="DO54" i="1"/>
  <c r="DM54" i="1"/>
  <c r="DC54" i="1"/>
  <c r="BX54" i="1"/>
  <c r="CZ54" i="1" s="1"/>
  <c r="CR54" i="1" s="1"/>
  <c r="C54" i="1"/>
  <c r="EY54" i="1" s="1"/>
  <c r="CZ53" i="1"/>
  <c r="CR53" i="1" s="1"/>
  <c r="CI53" i="1"/>
  <c r="CH53" i="1"/>
  <c r="DR54" i="1" s="1"/>
  <c r="CG53" i="1"/>
  <c r="CF53" i="1"/>
  <c r="CE53" i="1"/>
  <c r="CD53" i="1"/>
  <c r="DN54" i="1" s="1"/>
  <c r="CC53" i="1"/>
  <c r="CB53" i="1"/>
  <c r="DL54" i="1" s="1"/>
  <c r="BX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V53" i="1"/>
  <c r="C53" i="1"/>
  <c r="EY53" i="1" s="1"/>
  <c r="EY52" i="1"/>
  <c r="BX52" i="1"/>
  <c r="CZ52" i="1" s="1"/>
  <c r="CR52" i="1" s="1"/>
  <c r="C52" i="1"/>
  <c r="EY51" i="1"/>
  <c r="BX51" i="1"/>
  <c r="CZ51" i="1" s="1"/>
  <c r="CR51" i="1" s="1"/>
  <c r="C51" i="1"/>
  <c r="EY50" i="1"/>
  <c r="BX50" i="1"/>
  <c r="CZ50" i="1" s="1"/>
  <c r="CR50" i="1" s="1"/>
  <c r="C50" i="1"/>
  <c r="EY49" i="1"/>
  <c r="EY48" i="1"/>
  <c r="EY47" i="1"/>
  <c r="DR47" i="1"/>
  <c r="DO47" i="1"/>
  <c r="DN47" i="1"/>
  <c r="DC47" i="1"/>
  <c r="BX47" i="1"/>
  <c r="CZ47" i="1" s="1"/>
  <c r="CR47" i="1" s="1"/>
  <c r="C47" i="1"/>
  <c r="CI46" i="1"/>
  <c r="DS47" i="1" s="1"/>
  <c r="CH46" i="1"/>
  <c r="CG46" i="1"/>
  <c r="DQ47" i="1" s="1"/>
  <c r="CF46" i="1"/>
  <c r="DP47" i="1" s="1"/>
  <c r="CE46" i="1"/>
  <c r="CD46" i="1"/>
  <c r="CC46" i="1"/>
  <c r="DM47" i="1" s="1"/>
  <c r="CB46" i="1"/>
  <c r="DL47" i="1" s="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V46" i="1"/>
  <c r="CZ46" i="1" s="1"/>
  <c r="CR46" i="1" s="1"/>
  <c r="C46" i="1"/>
  <c r="EY46" i="1" s="1"/>
  <c r="EY45" i="1"/>
  <c r="BX45" i="1"/>
  <c r="CZ45" i="1" s="1"/>
  <c r="CR45" i="1" s="1"/>
  <c r="C45" i="1"/>
  <c r="EY44" i="1"/>
  <c r="BX44" i="1"/>
  <c r="CZ44" i="1" s="1"/>
  <c r="CR44" i="1" s="1"/>
  <c r="C44" i="1"/>
  <c r="EY43" i="1"/>
  <c r="BX43" i="1"/>
  <c r="CZ43" i="1" s="1"/>
  <c r="CR43" i="1" s="1"/>
  <c r="C43" i="1"/>
  <c r="EY42" i="1"/>
  <c r="BX42" i="1"/>
  <c r="BX46" i="1" s="1"/>
  <c r="DH47" i="1" s="1"/>
  <c r="C42" i="1"/>
  <c r="EY41" i="1"/>
  <c r="EY40" i="1"/>
  <c r="EY39" i="1"/>
  <c r="DR39" i="1"/>
  <c r="DP39" i="1"/>
  <c r="DO39" i="1"/>
  <c r="DN39" i="1"/>
  <c r="DL39" i="1"/>
  <c r="DC39" i="1"/>
  <c r="BX39" i="1"/>
  <c r="CZ39" i="1" s="1"/>
  <c r="CR39" i="1" s="1"/>
  <c r="C39" i="1"/>
  <c r="CI38" i="1"/>
  <c r="DS39" i="1" s="1"/>
  <c r="CH38" i="1"/>
  <c r="CG38" i="1"/>
  <c r="DQ39" i="1" s="1"/>
  <c r="CF38" i="1"/>
  <c r="CE38" i="1"/>
  <c r="CD38" i="1"/>
  <c r="CC38" i="1"/>
  <c r="DM39" i="1" s="1"/>
  <c r="CB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V38" i="1"/>
  <c r="CZ38" i="1" s="1"/>
  <c r="CR38" i="1" s="1"/>
  <c r="C38" i="1"/>
  <c r="EY38" i="1" s="1"/>
  <c r="EY37" i="1"/>
  <c r="BX37" i="1"/>
  <c r="CZ37" i="1" s="1"/>
  <c r="CR37" i="1" s="1"/>
  <c r="C37" i="1"/>
  <c r="EY36" i="1"/>
  <c r="BX36" i="1"/>
  <c r="CZ36" i="1" s="1"/>
  <c r="CR36" i="1" s="1"/>
  <c r="C36" i="1"/>
  <c r="EY35" i="1"/>
  <c r="BX35" i="1"/>
  <c r="CZ35" i="1" s="1"/>
  <c r="CR35" i="1" s="1"/>
  <c r="C35" i="1"/>
  <c r="EY34" i="1"/>
  <c r="BX34" i="1"/>
  <c r="CZ34" i="1" s="1"/>
  <c r="CR34" i="1" s="1"/>
  <c r="C34" i="1"/>
  <c r="EY33" i="1"/>
  <c r="BX33" i="1"/>
  <c r="BX38" i="1" s="1"/>
  <c r="DH39" i="1" s="1"/>
  <c r="C33" i="1"/>
  <c r="EY32" i="1"/>
  <c r="EY31" i="1"/>
  <c r="EY30" i="1"/>
  <c r="DR30" i="1"/>
  <c r="DP30" i="1"/>
  <c r="DO30" i="1"/>
  <c r="DN30" i="1"/>
  <c r="DL30" i="1"/>
  <c r="DC30" i="1"/>
  <c r="BX30" i="1"/>
  <c r="CZ30" i="1" s="1"/>
  <c r="CR30" i="1" s="1"/>
  <c r="C30" i="1"/>
  <c r="CI29" i="1"/>
  <c r="DS30" i="1" s="1"/>
  <c r="CH29" i="1"/>
  <c r="CG29" i="1"/>
  <c r="DQ30" i="1" s="1"/>
  <c r="CF29" i="1"/>
  <c r="CE29" i="1"/>
  <c r="CD29" i="1"/>
  <c r="CC29" i="1"/>
  <c r="DM30" i="1" s="1"/>
  <c r="CB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V29" i="1"/>
  <c r="CZ29" i="1" s="1"/>
  <c r="CR29" i="1" s="1"/>
  <c r="C29" i="1"/>
  <c r="EY29" i="1" s="1"/>
  <c r="EY28" i="1"/>
  <c r="BX28" i="1"/>
  <c r="CZ28" i="1" s="1"/>
  <c r="CR28" i="1" s="1"/>
  <c r="C28" i="1"/>
  <c r="EY27" i="1"/>
  <c r="BX27" i="1"/>
  <c r="BX29" i="1" s="1"/>
  <c r="DH30" i="1" s="1"/>
  <c r="C27" i="1"/>
  <c r="EY26" i="1"/>
  <c r="EY25" i="1"/>
  <c r="EY24" i="1"/>
  <c r="DR24" i="1"/>
  <c r="DP24" i="1"/>
  <c r="DO24" i="1"/>
  <c r="DN24" i="1"/>
  <c r="DL24" i="1"/>
  <c r="DC24" i="1"/>
  <c r="BX24" i="1"/>
  <c r="CZ24" i="1" s="1"/>
  <c r="CR24" i="1" s="1"/>
  <c r="C24" i="1"/>
  <c r="CI23" i="1"/>
  <c r="DS24" i="1" s="1"/>
  <c r="CH23" i="1"/>
  <c r="CG23" i="1"/>
  <c r="DQ24" i="1" s="1"/>
  <c r="CF23" i="1"/>
  <c r="CE23" i="1"/>
  <c r="CD23" i="1"/>
  <c r="CC23" i="1"/>
  <c r="DM24" i="1" s="1"/>
  <c r="CB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V23" i="1"/>
  <c r="C23" i="1"/>
  <c r="EY23" i="1" s="1"/>
  <c r="EY22" i="1"/>
  <c r="BX22" i="1"/>
  <c r="CZ22" i="1" s="1"/>
  <c r="CR22" i="1" s="1"/>
  <c r="C22" i="1"/>
  <c r="EY21" i="1"/>
  <c r="BX21" i="1"/>
  <c r="CZ21" i="1" s="1"/>
  <c r="CR21" i="1" s="1"/>
  <c r="C21" i="1"/>
  <c r="EY20" i="1"/>
  <c r="BX20" i="1"/>
  <c r="CZ20" i="1" s="1"/>
  <c r="CR20" i="1" s="1"/>
  <c r="C20" i="1"/>
  <c r="EY19" i="1"/>
  <c r="BX19" i="1"/>
  <c r="CZ19" i="1" s="1"/>
  <c r="CR19" i="1" s="1"/>
  <c r="C19" i="1"/>
  <c r="EY18" i="1"/>
  <c r="BX18" i="1"/>
  <c r="CZ18" i="1" s="1"/>
  <c r="CR18" i="1" s="1"/>
  <c r="C18" i="1"/>
  <c r="EY17" i="1"/>
  <c r="BX17" i="1"/>
  <c r="BX23" i="1" s="1"/>
  <c r="DH24" i="1" s="1"/>
  <c r="C17" i="1"/>
  <c r="EY16" i="1"/>
  <c r="EY15" i="1"/>
  <c r="DS14" i="1"/>
  <c r="DQ14" i="1"/>
  <c r="DO14" i="1"/>
  <c r="DN14" i="1"/>
  <c r="DM14" i="1"/>
  <c r="CZ14" i="1"/>
  <c r="CR14" i="1" s="1"/>
  <c r="BX14" i="1"/>
  <c r="DH123" i="1" s="1"/>
  <c r="C14" i="1"/>
  <c r="EY14" i="1" s="1"/>
  <c r="CI13" i="1"/>
  <c r="CH13" i="1"/>
  <c r="CG13" i="1"/>
  <c r="CF13" i="1"/>
  <c r="CE13" i="1"/>
  <c r="CD13" i="1"/>
  <c r="CD102" i="1" s="1"/>
  <c r="CD141" i="1" s="1"/>
  <c r="CD146" i="1" s="1"/>
  <c r="CC13" i="1"/>
  <c r="CB13" i="1"/>
  <c r="BX13" i="1"/>
  <c r="DH14" i="1" s="1"/>
  <c r="BJ13" i="1"/>
  <c r="BI13" i="1"/>
  <c r="BI102" i="1" s="1"/>
  <c r="BI141" i="1" s="1"/>
  <c r="BI146" i="1" s="1"/>
  <c r="BH13" i="1"/>
  <c r="BG13" i="1"/>
  <c r="BF13" i="1"/>
  <c r="BE13" i="1"/>
  <c r="BD13" i="1"/>
  <c r="BC13" i="1"/>
  <c r="BB13" i="1"/>
  <c r="BA13" i="1"/>
  <c r="AZ13" i="1"/>
  <c r="AY13" i="1"/>
  <c r="AX13" i="1"/>
  <c r="AW13" i="1"/>
  <c r="AV13" i="1"/>
  <c r="AU13" i="1"/>
  <c r="AT13" i="1"/>
  <c r="AS13" i="1"/>
  <c r="AS102" i="1" s="1"/>
  <c r="AS141" i="1" s="1"/>
  <c r="AS146" i="1" s="1"/>
  <c r="AR13" i="1"/>
  <c r="AQ13" i="1"/>
  <c r="AP13" i="1"/>
  <c r="AO13" i="1"/>
  <c r="AN13" i="1"/>
  <c r="AM13" i="1"/>
  <c r="AL13" i="1"/>
  <c r="AL102" i="1" s="1"/>
  <c r="AL141" i="1" s="1"/>
  <c r="AL146" i="1" s="1"/>
  <c r="AK13" i="1"/>
  <c r="AJ13" i="1"/>
  <c r="AI13" i="1"/>
  <c r="AH13" i="1"/>
  <c r="AG13" i="1"/>
  <c r="AF13" i="1"/>
  <c r="AE13" i="1"/>
  <c r="AD13" i="1"/>
  <c r="AC13" i="1"/>
  <c r="AB13" i="1"/>
  <c r="AA13" i="1"/>
  <c r="V13" i="1"/>
  <c r="C13" i="1"/>
  <c r="EY13" i="1" s="1"/>
  <c r="EY12" i="1"/>
  <c r="BX12" i="1"/>
  <c r="CZ12" i="1" s="1"/>
  <c r="CR12" i="1" s="1"/>
  <c r="C12" i="1"/>
  <c r="BX11" i="1"/>
  <c r="CZ11" i="1" s="1"/>
  <c r="CR11" i="1" s="1"/>
  <c r="C11" i="1"/>
  <c r="EY11" i="1" s="1"/>
  <c r="EY10" i="1"/>
  <c r="EY9" i="1"/>
  <c r="EY8" i="1"/>
  <c r="BX6" i="1" a="1"/>
  <c r="BX6" i="1" s="1"/>
  <c r="V6" i="1" a="1"/>
  <c r="V6" i="1" s="1"/>
  <c r="A6" i="1" a="1"/>
  <c r="A6" i="1" s="1"/>
  <c r="D5" i="1"/>
  <c r="B5" i="1" a="1"/>
  <c r="B5" i="1" s="1"/>
  <c r="D4" i="1"/>
  <c r="B4" i="1" a="1"/>
  <c r="B4" i="1" s="1"/>
  <c r="D3" i="1"/>
  <c r="B3" i="1" a="1"/>
  <c r="B3" i="1" s="1"/>
  <c r="A3" i="1" a="1"/>
  <c r="AC102" i="1" l="1"/>
  <c r="AC141" i="1" s="1"/>
  <c r="AC146" i="1" s="1"/>
  <c r="AC156" i="1" s="1"/>
  <c r="AC166" i="1" s="1"/>
  <c r="AC170" i="1" s="1"/>
  <c r="AG102" i="1"/>
  <c r="AG141" i="1" s="1"/>
  <c r="AG146" i="1" s="1"/>
  <c r="AG174" i="1" s="1"/>
  <c r="AG181" i="1" s="1"/>
  <c r="AP102" i="1"/>
  <c r="AP141" i="1" s="1"/>
  <c r="AP146" i="1" s="1"/>
  <c r="AP156" i="1" s="1"/>
  <c r="AP166" i="1" s="1"/>
  <c r="AP170" i="1" s="1"/>
  <c r="AK102" i="1"/>
  <c r="AK141" i="1" s="1"/>
  <c r="AK146" i="1" s="1"/>
  <c r="AK156" i="1" s="1"/>
  <c r="AK166" i="1" s="1"/>
  <c r="AK170" i="1" s="1"/>
  <c r="AE102" i="1"/>
  <c r="AE141" i="1" s="1"/>
  <c r="AE146" i="1" s="1"/>
  <c r="AE174" i="1" s="1"/>
  <c r="AE181" i="1" s="1"/>
  <c r="BJ102" i="1"/>
  <c r="BJ141" i="1" s="1"/>
  <c r="BJ146" i="1" s="1"/>
  <c r="BJ156" i="1" s="1"/>
  <c r="BJ166" i="1" s="1"/>
  <c r="BJ170" i="1" s="1"/>
  <c r="AH102" i="1"/>
  <c r="AH141" i="1" s="1"/>
  <c r="AH146" i="1" s="1"/>
  <c r="AH174" i="1" s="1"/>
  <c r="AH181" i="1" s="1"/>
  <c r="AX102" i="1"/>
  <c r="AX141" i="1" s="1"/>
  <c r="AX146" i="1" s="1"/>
  <c r="AX156" i="1" s="1"/>
  <c r="AX166" i="1" s="1"/>
  <c r="AX170" i="1" s="1"/>
  <c r="BA102" i="1"/>
  <c r="BA141" i="1" s="1"/>
  <c r="BA146" i="1" s="1"/>
  <c r="BA156" i="1" s="1"/>
  <c r="BA166" i="1" s="1"/>
  <c r="BA170" i="1" s="1"/>
  <c r="AD102" i="1"/>
  <c r="AD141" i="1" s="1"/>
  <c r="AD146" i="1" s="1"/>
  <c r="AD174" i="1" s="1"/>
  <c r="AD181" i="1" s="1"/>
  <c r="BB102" i="1"/>
  <c r="BB141" i="1" s="1"/>
  <c r="BB146" i="1" s="1"/>
  <c r="BB156" i="1" s="1"/>
  <c r="BB166" i="1" s="1"/>
  <c r="BB170" i="1" s="1"/>
  <c r="BC102" i="1"/>
  <c r="BC141" i="1" s="1"/>
  <c r="BC146" i="1" s="1"/>
  <c r="BC174" i="1" s="1"/>
  <c r="BC181" i="1" s="1"/>
  <c r="AW102" i="1"/>
  <c r="AW141" i="1" s="1"/>
  <c r="AW146" i="1" s="1"/>
  <c r="AW174" i="1" s="1"/>
  <c r="AW181" i="1" s="1"/>
  <c r="AO102" i="1"/>
  <c r="AO141" i="1" s="1"/>
  <c r="AO146" i="1" s="1"/>
  <c r="AO156" i="1" s="1"/>
  <c r="AO166" i="1" s="1"/>
  <c r="AO170" i="1" s="1"/>
  <c r="V102" i="1"/>
  <c r="V141" i="1" s="1"/>
  <c r="CE102" i="1"/>
  <c r="CE141" i="1" s="1"/>
  <c r="CE146" i="1" s="1"/>
  <c r="CE174" i="1" s="1"/>
  <c r="CE181" i="1" s="1"/>
  <c r="CF102" i="1"/>
  <c r="CF141" i="1" s="1"/>
  <c r="CF146" i="1" s="1"/>
  <c r="CF174" i="1" s="1"/>
  <c r="CF181" i="1" s="1"/>
  <c r="AM102" i="1"/>
  <c r="AM141" i="1" s="1"/>
  <c r="AM146" i="1" s="1"/>
  <c r="AM174" i="1" s="1"/>
  <c r="AM181" i="1" s="1"/>
  <c r="CI102" i="1"/>
  <c r="CI141" i="1" s="1"/>
  <c r="CI146" i="1" s="1"/>
  <c r="CI174" i="1" s="1"/>
  <c r="CI181" i="1" s="1"/>
  <c r="CH102" i="1"/>
  <c r="CH141" i="1" s="1"/>
  <c r="CH146" i="1" s="1"/>
  <c r="CH174" i="1" s="1"/>
  <c r="CH181" i="1" s="1"/>
  <c r="AU102" i="1"/>
  <c r="AU141" i="1" s="1"/>
  <c r="AU146" i="1" s="1"/>
  <c r="AU156" i="1" s="1"/>
  <c r="AU166" i="1" s="1"/>
  <c r="AU170" i="1" s="1"/>
  <c r="BE102" i="1"/>
  <c r="BE141" i="1" s="1"/>
  <c r="BE146" i="1" s="1"/>
  <c r="BE174" i="1" s="1"/>
  <c r="BE181" i="1" s="1"/>
  <c r="BF102" i="1"/>
  <c r="BF141" i="1" s="1"/>
  <c r="BF146" i="1" s="1"/>
  <c r="BF174" i="1" s="1"/>
  <c r="BF181" i="1" s="1"/>
  <c r="AT102" i="1"/>
  <c r="AT141" i="1" s="1"/>
  <c r="AT146" i="1" s="1"/>
  <c r="AT156" i="1" s="1"/>
  <c r="AT166" i="1" s="1"/>
  <c r="AT170" i="1" s="1"/>
  <c r="CZ23" i="1"/>
  <c r="CR23" i="1" s="1"/>
  <c r="CZ17" i="1"/>
  <c r="CR17" i="1" s="1"/>
  <c r="CZ27" i="1"/>
  <c r="CR27" i="1" s="1"/>
  <c r="CZ33" i="1"/>
  <c r="CR33" i="1" s="1"/>
  <c r="CZ42" i="1"/>
  <c r="CR42" i="1" s="1"/>
  <c r="BB1012" i="9"/>
  <c r="BB521" i="9"/>
  <c r="BB291" i="9"/>
  <c r="BC285" i="9"/>
  <c r="BB1011" i="9"/>
  <c r="BB520" i="9"/>
  <c r="BB272" i="9"/>
  <c r="BC266" i="9"/>
  <c r="CI59" i="33"/>
  <c r="BB544" i="9"/>
  <c r="BB297" i="9"/>
  <c r="V59" i="33"/>
  <c r="E14" i="50" s="1"/>
  <c r="CY156" i="30"/>
  <c r="CQ156" i="30" s="1"/>
  <c r="CD23" i="30"/>
  <c r="CD179" i="20"/>
  <c r="CD102" i="20"/>
  <c r="CD141" i="20" s="1"/>
  <c r="CD146" i="20" s="1"/>
  <c r="DH54" i="1"/>
  <c r="CZ60" i="1"/>
  <c r="CR60" i="1" s="1"/>
  <c r="BB1010" i="9"/>
  <c r="BB519" i="9"/>
  <c r="BB253" i="9"/>
  <c r="BC247" i="9"/>
  <c r="Y179" i="20"/>
  <c r="Y102" i="20"/>
  <c r="BB1014" i="9"/>
  <c r="BB523" i="9"/>
  <c r="BC323" i="9"/>
  <c r="BB329" i="9"/>
  <c r="BB612" i="9"/>
  <c r="BB894" i="9" s="1"/>
  <c r="BC275" i="9"/>
  <c r="BB618" i="9"/>
  <c r="BB900" i="9" s="1"/>
  <c r="BC389" i="9"/>
  <c r="CD59" i="33"/>
  <c r="BB1017" i="9"/>
  <c r="BB526" i="9"/>
  <c r="BB386" i="9"/>
  <c r="BC380" i="9"/>
  <c r="AP174" i="1"/>
  <c r="AP181" i="1" s="1"/>
  <c r="AA102" i="1"/>
  <c r="AA141" i="1" s="1"/>
  <c r="AA146" i="1" s="1"/>
  <c r="AI102" i="1"/>
  <c r="AI141" i="1" s="1"/>
  <c r="AI146" i="1" s="1"/>
  <c r="AQ102" i="1"/>
  <c r="AQ141" i="1" s="1"/>
  <c r="AQ146" i="1" s="1"/>
  <c r="AY102" i="1"/>
  <c r="AY141" i="1" s="1"/>
  <c r="AY146" i="1" s="1"/>
  <c r="BG102" i="1"/>
  <c r="BG141" i="1" s="1"/>
  <c r="BG146" i="1" s="1"/>
  <c r="CB102" i="1"/>
  <c r="CB141" i="1" s="1"/>
  <c r="CZ58" i="1"/>
  <c r="CR58" i="1" s="1"/>
  <c r="DC61" i="1"/>
  <c r="CZ64" i="1"/>
  <c r="CR64" i="1" s="1"/>
  <c r="BB1005" i="9"/>
  <c r="BB514" i="9"/>
  <c r="BB158" i="9"/>
  <c r="BC152" i="9"/>
  <c r="CX156" i="30"/>
  <c r="BB610" i="9"/>
  <c r="BB892" i="9" s="1"/>
  <c r="BC237" i="9"/>
  <c r="CB23" i="30"/>
  <c r="CB24" i="30" s="1"/>
  <c r="CB179" i="20"/>
  <c r="CB102" i="20"/>
  <c r="CB141" i="20" s="1"/>
  <c r="BB547" i="9"/>
  <c r="BB354" i="9"/>
  <c r="BB542" i="9"/>
  <c r="BB259" i="9"/>
  <c r="BB546" i="9"/>
  <c r="BB335" i="9"/>
  <c r="CE23" i="30"/>
  <c r="CE179" i="20"/>
  <c r="CE102" i="20"/>
  <c r="CE141" i="20" s="1"/>
  <c r="CE146" i="20" s="1"/>
  <c r="AB102" i="1"/>
  <c r="AB141" i="1" s="1"/>
  <c r="AB146" i="1" s="1"/>
  <c r="AJ102" i="1"/>
  <c r="AJ141" i="1" s="1"/>
  <c r="AJ146" i="1" s="1"/>
  <c r="AR102" i="1"/>
  <c r="AR141" i="1" s="1"/>
  <c r="AR146" i="1" s="1"/>
  <c r="AZ102" i="1"/>
  <c r="AZ141" i="1" s="1"/>
  <c r="AZ146" i="1" s="1"/>
  <c r="BH102" i="1"/>
  <c r="BH141" i="1" s="1"/>
  <c r="BH146" i="1" s="1"/>
  <c r="CC102" i="1"/>
  <c r="CC141" i="1" s="1"/>
  <c r="CC146" i="1" s="1"/>
  <c r="DP14" i="1"/>
  <c r="BB605" i="9"/>
  <c r="BB887" i="9" s="1"/>
  <c r="BC142" i="9"/>
  <c r="BB537" i="9"/>
  <c r="BB164" i="9"/>
  <c r="CC23" i="30"/>
  <c r="CC24" i="30" s="1"/>
  <c r="CC179" i="20"/>
  <c r="CC102" i="20"/>
  <c r="CC141" i="20" s="1"/>
  <c r="CC146" i="20" s="1"/>
  <c r="X179" i="20"/>
  <c r="X102" i="20"/>
  <c r="CB59" i="33"/>
  <c r="CB158" i="30"/>
  <c r="BB604" i="9"/>
  <c r="BB886" i="9" s="1"/>
  <c r="BC123" i="9"/>
  <c r="CH23" i="30"/>
  <c r="CH179" i="20"/>
  <c r="CH102" i="20"/>
  <c r="CH141" i="20" s="1"/>
  <c r="CH146" i="20" s="1"/>
  <c r="BC540" i="9"/>
  <c r="BC221" i="9"/>
  <c r="CF23" i="30"/>
  <c r="CF179" i="20"/>
  <c r="CF102" i="20"/>
  <c r="CF141" i="20" s="1"/>
  <c r="CF146" i="20" s="1"/>
  <c r="CE59" i="33"/>
  <c r="BB620" i="9"/>
  <c r="BB902" i="9" s="1"/>
  <c r="BC427" i="9"/>
  <c r="BX102" i="1"/>
  <c r="BX141" i="1" s="1"/>
  <c r="AC174" i="1"/>
  <c r="AC181" i="1" s="1"/>
  <c r="AS174" i="1"/>
  <c r="AS181" i="1" s="1"/>
  <c r="AS156" i="1"/>
  <c r="AS166" i="1" s="1"/>
  <c r="AS170" i="1" s="1"/>
  <c r="BI174" i="1"/>
  <c r="BI181" i="1" s="1"/>
  <c r="BI156" i="1"/>
  <c r="BI166" i="1" s="1"/>
  <c r="BI170" i="1" s="1"/>
  <c r="CD174" i="1"/>
  <c r="CD181" i="1" s="1"/>
  <c r="CD156" i="1"/>
  <c r="CD166" i="1" s="1"/>
  <c r="CD170" i="1" s="1"/>
  <c r="CZ13" i="1"/>
  <c r="CR13" i="1" s="1"/>
  <c r="CZ96" i="1"/>
  <c r="CR96" i="1" s="1"/>
  <c r="CC59" i="33"/>
  <c r="CC158" i="30"/>
  <c r="CW156" i="30"/>
  <c r="BB1009" i="9"/>
  <c r="BB518" i="9"/>
  <c r="BC228" i="9"/>
  <c r="BB234" i="9"/>
  <c r="BB534" i="9"/>
  <c r="BB107" i="9"/>
  <c r="BB1003" i="9"/>
  <c r="BB512" i="9"/>
  <c r="BC114" i="9"/>
  <c r="BB120" i="9"/>
  <c r="CH59" i="33"/>
  <c r="BB539" i="9"/>
  <c r="BB202" i="9"/>
  <c r="CG23" i="30"/>
  <c r="CG179" i="20"/>
  <c r="CG102" i="20"/>
  <c r="CG141" i="20" s="1"/>
  <c r="CG146" i="20" s="1"/>
  <c r="BB607" i="9"/>
  <c r="BB889" i="9" s="1"/>
  <c r="BC180" i="9"/>
  <c r="CF59" i="33"/>
  <c r="BB453" i="9"/>
  <c r="BB308" i="9"/>
  <c r="BB446" i="9"/>
  <c r="BB175" i="9"/>
  <c r="AL174" i="1"/>
  <c r="AL181" i="1" s="1"/>
  <c r="AL156" i="1"/>
  <c r="AL166" i="1" s="1"/>
  <c r="AL170" i="1" s="1"/>
  <c r="BB174" i="1"/>
  <c r="BB181" i="1" s="1"/>
  <c r="DR14" i="1"/>
  <c r="CZ98" i="1"/>
  <c r="CR98" i="1" s="1"/>
  <c r="CY27" i="30"/>
  <c r="CQ27" i="30" s="1"/>
  <c r="BC1019" i="9"/>
  <c r="BC528" i="9"/>
  <c r="BD418" i="9"/>
  <c r="BC424" i="9"/>
  <c r="BB1000" i="9"/>
  <c r="BB509" i="9"/>
  <c r="BB63" i="9"/>
  <c r="BC57" i="9"/>
  <c r="W179" i="20"/>
  <c r="W102" i="20"/>
  <c r="BB533" i="9"/>
  <c r="BB88" i="9"/>
  <c r="V179" i="1"/>
  <c r="CZ179" i="1" s="1"/>
  <c r="CR179" i="1" s="1"/>
  <c r="CZ100" i="1"/>
  <c r="CR100" i="1" s="1"/>
  <c r="BB550" i="9"/>
  <c r="BB411" i="9"/>
  <c r="BB447" i="9"/>
  <c r="BB194" i="9"/>
  <c r="V179" i="20"/>
  <c r="DB100" i="20"/>
  <c r="CT100" i="20" s="1"/>
  <c r="V102" i="20"/>
  <c r="CG59" i="33"/>
  <c r="BB614" i="9"/>
  <c r="BB896" i="9" s="1"/>
  <c r="BC313" i="9"/>
  <c r="BX23" i="30"/>
  <c r="BX179" i="20"/>
  <c r="BX102" i="20"/>
  <c r="BX141" i="20" s="1"/>
  <c r="CV156" i="30"/>
  <c r="BB1016" i="9"/>
  <c r="BB367" i="9"/>
  <c r="BB525" i="9"/>
  <c r="BC361" i="9"/>
  <c r="BB1004" i="9"/>
  <c r="BB513" i="9"/>
  <c r="BB139" i="9"/>
  <c r="BC133" i="9"/>
  <c r="BB442" i="9"/>
  <c r="BB99" i="9"/>
  <c r="BB617" i="9"/>
  <c r="BB899" i="9" s="1"/>
  <c r="BC370" i="9"/>
  <c r="BX59" i="33"/>
  <c r="AF102" i="1"/>
  <c r="AF141" i="1" s="1"/>
  <c r="AF146" i="1" s="1"/>
  <c r="AN102" i="1"/>
  <c r="AN141" i="1" s="1"/>
  <c r="AN146" i="1" s="1"/>
  <c r="AV102" i="1"/>
  <c r="AV141" i="1" s="1"/>
  <c r="AV146" i="1" s="1"/>
  <c r="BD102" i="1"/>
  <c r="BD141" i="1" s="1"/>
  <c r="BD146" i="1" s="1"/>
  <c r="CG102" i="1"/>
  <c r="CG141" i="1" s="1"/>
  <c r="CG146" i="1" s="1"/>
  <c r="DC14" i="1"/>
  <c r="DL14" i="1"/>
  <c r="BB455" i="9"/>
  <c r="BB346" i="9"/>
  <c r="BB1008" i="9"/>
  <c r="BB215" i="9"/>
  <c r="BB517" i="9"/>
  <c r="BC209" i="9"/>
  <c r="CI23" i="30"/>
  <c r="CI179" i="20"/>
  <c r="CI102" i="20"/>
  <c r="CI141" i="20" s="1"/>
  <c r="CI146" i="20" s="1"/>
  <c r="BB441" i="9"/>
  <c r="BB80" i="9"/>
  <c r="BB1018" i="9"/>
  <c r="BB527" i="9"/>
  <c r="BC399" i="9"/>
  <c r="BB405" i="9"/>
  <c r="BB532" i="9"/>
  <c r="BB69" i="9"/>
  <c r="A3" i="1"/>
  <c r="Y2" i="1"/>
  <c r="X2" i="1"/>
  <c r="W2" i="1"/>
  <c r="V2" i="1"/>
  <c r="B2" i="1" a="1"/>
  <c r="AE156" i="1" l="1"/>
  <c r="AE166" i="1" s="1"/>
  <c r="AE170" i="1" s="1"/>
  <c r="BJ174" i="1"/>
  <c r="BJ181" i="1" s="1"/>
  <c r="AU174" i="1"/>
  <c r="AU181" i="1" s="1"/>
  <c r="AH156" i="1"/>
  <c r="AH166" i="1" s="1"/>
  <c r="AH170" i="1" s="1"/>
  <c r="AH7" i="1" s="1" a="1"/>
  <c r="AH7" i="1" s="1"/>
  <c r="AH8" i="1" s="1"/>
  <c r="AW156" i="1"/>
  <c r="AW166" i="1" s="1"/>
  <c r="AW170" i="1" s="1"/>
  <c r="AG156" i="1"/>
  <c r="AG166" i="1" s="1"/>
  <c r="AG170" i="1" s="1"/>
  <c r="AK174" i="1"/>
  <c r="AK181" i="1" s="1"/>
  <c r="AX174" i="1"/>
  <c r="AX181" i="1" s="1"/>
  <c r="BA174" i="1"/>
  <c r="BA181" i="1" s="1"/>
  <c r="CE156" i="1"/>
  <c r="CE166" i="1" s="1"/>
  <c r="CE170" i="1" s="1"/>
  <c r="AM156" i="1"/>
  <c r="AM166" i="1" s="1"/>
  <c r="AM170" i="1" s="1"/>
  <c r="BC156" i="1"/>
  <c r="BC166" i="1" s="1"/>
  <c r="BC170" i="1" s="1"/>
  <c r="AO174" i="1"/>
  <c r="AO181" i="1" s="1"/>
  <c r="AD156" i="1"/>
  <c r="AD166" i="1" s="1"/>
  <c r="AD170" i="1" s="1"/>
  <c r="BE156" i="1"/>
  <c r="BE166" i="1" s="1"/>
  <c r="BE170" i="1" s="1"/>
  <c r="CI156" i="1"/>
  <c r="CI166" i="1" s="1"/>
  <c r="CI170" i="1" s="1"/>
  <c r="CF156" i="1"/>
  <c r="CF166" i="1" s="1"/>
  <c r="CF170" i="1" s="1"/>
  <c r="CH156" i="1"/>
  <c r="CH166" i="1" s="1"/>
  <c r="CH170" i="1" s="1"/>
  <c r="AT174" i="1"/>
  <c r="AT181" i="1" s="1"/>
  <c r="CP156" i="30"/>
  <c r="BF156" i="1"/>
  <c r="BF166" i="1" s="1"/>
  <c r="BF170" i="1" s="1"/>
  <c r="BB601" i="9"/>
  <c r="BB883" i="9" s="1"/>
  <c r="BC66" i="9"/>
  <c r="CI174" i="20"/>
  <c r="CI181" i="20" s="1"/>
  <c r="CI156" i="20"/>
  <c r="CI166" i="20" s="1"/>
  <c r="BC444" i="9"/>
  <c r="BC137" i="9"/>
  <c r="V141" i="20"/>
  <c r="DB102" i="20"/>
  <c r="CT102" i="20" s="1"/>
  <c r="BC440" i="9"/>
  <c r="BC61" i="9"/>
  <c r="BB1013" i="9"/>
  <c r="BB522" i="9"/>
  <c r="BB310" i="9"/>
  <c r="BC304" i="9"/>
  <c r="BC609" i="9"/>
  <c r="BC891" i="9" s="1"/>
  <c r="BD218" i="9"/>
  <c r="BC535" i="9"/>
  <c r="BC126" i="9"/>
  <c r="CC14" i="32"/>
  <c r="CC66" i="32" s="1"/>
  <c r="CC32" i="30"/>
  <c r="CC36" i="30" s="1"/>
  <c r="AZ174" i="1"/>
  <c r="AZ181" i="1" s="1"/>
  <c r="AZ156" i="1"/>
  <c r="AZ166" i="1" s="1"/>
  <c r="AZ170" i="1" s="1"/>
  <c r="BB616" i="9"/>
  <c r="BB898" i="9" s="1"/>
  <c r="BC351" i="9"/>
  <c r="AQ174" i="1"/>
  <c r="AQ181" i="1" s="1"/>
  <c r="AQ156" i="1"/>
  <c r="AQ166" i="1" s="1"/>
  <c r="AQ170" i="1" s="1"/>
  <c r="BC430" i="9"/>
  <c r="BC551" i="9"/>
  <c r="BB606" i="9"/>
  <c r="BB888" i="9" s="1"/>
  <c r="BC161" i="9"/>
  <c r="AR174" i="1"/>
  <c r="AR181" i="1" s="1"/>
  <c r="AR156" i="1"/>
  <c r="AR166" i="1" s="1"/>
  <c r="AR170" i="1" s="1"/>
  <c r="CE174" i="20"/>
  <c r="CE181" i="20" s="1"/>
  <c r="CE156" i="20"/>
  <c r="CE166" i="20" s="1"/>
  <c r="AI174" i="1"/>
  <c r="AI181" i="1" s="1"/>
  <c r="AI156" i="1"/>
  <c r="AI166" i="1" s="1"/>
  <c r="AI170" i="1" s="1"/>
  <c r="BC450" i="9"/>
  <c r="BC251" i="9"/>
  <c r="BC451" i="9"/>
  <c r="BC270" i="9"/>
  <c r="V23" i="30"/>
  <c r="BB608" i="9"/>
  <c r="BB890" i="9" s="1"/>
  <c r="BC199" i="9"/>
  <c r="BB603" i="9"/>
  <c r="BB885" i="9" s="1"/>
  <c r="BC104" i="9"/>
  <c r="AJ174" i="1"/>
  <c r="AJ181" i="1" s="1"/>
  <c r="AJ156" i="1"/>
  <c r="AJ166" i="1" s="1"/>
  <c r="AJ170" i="1" s="1"/>
  <c r="AA174" i="1"/>
  <c r="AA181" i="1" s="1"/>
  <c r="AA156" i="1"/>
  <c r="AA166" i="1" s="1"/>
  <c r="AA170" i="1" s="1"/>
  <c r="BC327" i="9"/>
  <c r="BC454" i="9"/>
  <c r="CG174" i="1"/>
  <c r="CG181" i="1" s="1"/>
  <c r="CG156" i="1"/>
  <c r="CG166" i="1" s="1"/>
  <c r="CG170" i="1" s="1"/>
  <c r="BC548" i="9"/>
  <c r="BC373" i="9"/>
  <c r="BC536" i="9"/>
  <c r="BC145" i="9"/>
  <c r="AB174" i="1"/>
  <c r="AB181" i="1" s="1"/>
  <c r="AB156" i="1"/>
  <c r="AB166" i="1" s="1"/>
  <c r="AB170" i="1" s="1"/>
  <c r="BC458" i="9"/>
  <c r="BC403" i="9"/>
  <c r="BC448" i="9"/>
  <c r="BC213" i="9"/>
  <c r="BC545" i="9"/>
  <c r="BC316" i="9"/>
  <c r="DB179" i="20"/>
  <c r="CT179" i="20" s="1"/>
  <c r="BD174" i="1"/>
  <c r="BD181" i="1" s="1"/>
  <c r="BD156" i="1"/>
  <c r="BD166" i="1" s="1"/>
  <c r="BD170" i="1" s="1"/>
  <c r="BB1007" i="9"/>
  <c r="BB516" i="9"/>
  <c r="BC190" i="9"/>
  <c r="BB196" i="9"/>
  <c r="BB602" i="9"/>
  <c r="BB884" i="9" s="1"/>
  <c r="BC85" i="9"/>
  <c r="CH174" i="20"/>
  <c r="CH181" i="20" s="1"/>
  <c r="CH156" i="20"/>
  <c r="CH166" i="20" s="1"/>
  <c r="BB615" i="9"/>
  <c r="BB897" i="9" s="1"/>
  <c r="BC332" i="9"/>
  <c r="BC445" i="9"/>
  <c r="BC156" i="9"/>
  <c r="CZ102" i="1"/>
  <c r="CR102" i="1" s="1"/>
  <c r="AV174" i="1"/>
  <c r="AV181" i="1" s="1"/>
  <c r="AV156" i="1"/>
  <c r="AV166" i="1" s="1"/>
  <c r="AV170" i="1" s="1"/>
  <c r="BD422" i="9"/>
  <c r="BD459" i="9"/>
  <c r="BC538" i="9"/>
  <c r="BC183" i="9"/>
  <c r="BC449" i="9"/>
  <c r="BC232" i="9"/>
  <c r="CF174" i="20"/>
  <c r="CF181" i="20" s="1"/>
  <c r="CF156" i="20"/>
  <c r="CF166" i="20" s="1"/>
  <c r="BC392" i="9"/>
  <c r="BC549" i="9"/>
  <c r="CZ141" i="1"/>
  <c r="CR141" i="1" s="1"/>
  <c r="BB613" i="9"/>
  <c r="BB895" i="9" s="1"/>
  <c r="BC294" i="9"/>
  <c r="BC452" i="9"/>
  <c r="BC289" i="9"/>
  <c r="AN174" i="1"/>
  <c r="AN181" i="1" s="1"/>
  <c r="AN156" i="1"/>
  <c r="AN166" i="1" s="1"/>
  <c r="AN170" i="1" s="1"/>
  <c r="BB1002" i="9"/>
  <c r="BB511" i="9"/>
  <c r="BB101" i="9"/>
  <c r="BC95" i="9"/>
  <c r="BC456" i="9"/>
  <c r="BC365" i="9"/>
  <c r="BB1006" i="9"/>
  <c r="BB515" i="9"/>
  <c r="BB177" i="9"/>
  <c r="BC171" i="9"/>
  <c r="CC174" i="20"/>
  <c r="CC181" i="20" s="1"/>
  <c r="CC62" i="30" s="1"/>
  <c r="CC45" i="32" s="1"/>
  <c r="CC156" i="20"/>
  <c r="CC166" i="20" s="1"/>
  <c r="CC174" i="1"/>
  <c r="CC181" i="1" s="1"/>
  <c r="CC156" i="1"/>
  <c r="CC166" i="1" s="1"/>
  <c r="CC170" i="1" s="1"/>
  <c r="BB611" i="9"/>
  <c r="BB893" i="9" s="1"/>
  <c r="BC256" i="9"/>
  <c r="CB14" i="32"/>
  <c r="CB66" i="32" s="1"/>
  <c r="CB32" i="30"/>
  <c r="BG174" i="1"/>
  <c r="BG181" i="1" s="1"/>
  <c r="BG156" i="1"/>
  <c r="BG166" i="1" s="1"/>
  <c r="BG170" i="1" s="1"/>
  <c r="CD174" i="20"/>
  <c r="CD181" i="20" s="1"/>
  <c r="CD156" i="20"/>
  <c r="CD166" i="20" s="1"/>
  <c r="BB1001" i="9"/>
  <c r="BB510" i="9"/>
  <c r="BB82" i="9"/>
  <c r="BC76" i="9"/>
  <c r="BB1015" i="9"/>
  <c r="BB524" i="9"/>
  <c r="BB348" i="9"/>
  <c r="BC342" i="9"/>
  <c r="AF174" i="1"/>
  <c r="AF181" i="1" s="1"/>
  <c r="AF156" i="1"/>
  <c r="AF166" i="1" s="1"/>
  <c r="AF170" i="1" s="1"/>
  <c r="BB619" i="9"/>
  <c r="BB901" i="9" s="1"/>
  <c r="BC408" i="9"/>
  <c r="CG174" i="20"/>
  <c r="CG181" i="20" s="1"/>
  <c r="CG156" i="20"/>
  <c r="CG166" i="20" s="1"/>
  <c r="BC443" i="9"/>
  <c r="BC118" i="9"/>
  <c r="BH174" i="1"/>
  <c r="BH181" i="1" s="1"/>
  <c r="BH156" i="1"/>
  <c r="BH166" i="1" s="1"/>
  <c r="BH170" i="1" s="1"/>
  <c r="BC240" i="9"/>
  <c r="BC541" i="9"/>
  <c r="AY174" i="1"/>
  <c r="AY181" i="1" s="1"/>
  <c r="AY156" i="1"/>
  <c r="AY166" i="1" s="1"/>
  <c r="AY170" i="1" s="1"/>
  <c r="BC384" i="9"/>
  <c r="BC457" i="9"/>
  <c r="BC543" i="9"/>
  <c r="BC278" i="9"/>
  <c r="B2" i="1"/>
  <c r="BX1" i="1"/>
  <c r="AA1" i="1"/>
  <c r="V1" i="1"/>
  <c r="D1" i="1"/>
  <c r="EX21" i="37"/>
  <c r="CN21" i="37" a="1"/>
  <c r="CN21" i="37" s="1"/>
  <c r="A21" i="37" s="1" a="1"/>
  <c r="A21" i="37" s="1"/>
  <c r="CL21" i="37"/>
  <c r="EX20" i="37"/>
  <c r="EX19" i="37"/>
  <c r="EX18" i="37"/>
  <c r="Y18" i="37"/>
  <c r="X18" i="37"/>
  <c r="W18" i="37"/>
  <c r="V18" i="37"/>
  <c r="EX17" i="37"/>
  <c r="CN17" i="37" a="1"/>
  <c r="CN17" i="37"/>
  <c r="CL17" i="37"/>
  <c r="A17" i="37" a="1"/>
  <c r="A17" i="37" s="1"/>
  <c r="EX16" i="37"/>
  <c r="CN16" i="37" a="1"/>
  <c r="CN16" i="37" s="1"/>
  <c r="A16" i="37" s="1" a="1"/>
  <c r="A16" i="37" s="1"/>
  <c r="CL16" i="37"/>
  <c r="EX15" i="37"/>
  <c r="EX14" i="37"/>
  <c r="EX13" i="37"/>
  <c r="CN13" i="37" a="1"/>
  <c r="CN13" i="37" s="1"/>
  <c r="A13" i="37" s="1" a="1"/>
  <c r="A13" i="37" s="1"/>
  <c r="CL13" i="37"/>
  <c r="EX12" i="37"/>
  <c r="CN12" i="37" a="1"/>
  <c r="CN12" i="37" s="1"/>
  <c r="A12" i="37" s="1" a="1"/>
  <c r="A12" i="37" s="1"/>
  <c r="CL12" i="37"/>
  <c r="EX11" i="37"/>
  <c r="EX10" i="37"/>
  <c r="EX9" i="37"/>
  <c r="EX8" i="37"/>
  <c r="A6" i="37" a="1"/>
  <c r="A6" i="37" s="1"/>
  <c r="D5" i="37"/>
  <c r="D4" i="37"/>
  <c r="D3" i="37"/>
  <c r="A3" i="37" a="1"/>
  <c r="AI7" i="1" l="1" a="1"/>
  <c r="AI7" i="1" s="1"/>
  <c r="AI8" i="1" s="1"/>
  <c r="BC1009" i="9"/>
  <c r="BC518" i="9"/>
  <c r="BD228" i="9"/>
  <c r="BC234" i="9"/>
  <c r="BC539" i="9"/>
  <c r="BC202" i="9"/>
  <c r="BC1010" i="9"/>
  <c r="BC519" i="9"/>
  <c r="BC253" i="9"/>
  <c r="BD247" i="9"/>
  <c r="BC537" i="9"/>
  <c r="BC164" i="9"/>
  <c r="CG257" i="6"/>
  <c r="CG170" i="20"/>
  <c r="BC612" i="9"/>
  <c r="BC894" i="9" s="1"/>
  <c r="BD275" i="9"/>
  <c r="BC610" i="9"/>
  <c r="BC892" i="9" s="1"/>
  <c r="BD237" i="9"/>
  <c r="BC546" i="9"/>
  <c r="BC335" i="9"/>
  <c r="BC617" i="9"/>
  <c r="BC899" i="9" s="1"/>
  <c r="BD370" i="9"/>
  <c r="CC43" i="32"/>
  <c r="CC47" i="30"/>
  <c r="CC38" i="30"/>
  <c r="BC1004" i="9"/>
  <c r="BC513" i="9"/>
  <c r="BC139" i="9"/>
  <c r="BD133" i="9"/>
  <c r="CC257" i="6"/>
  <c r="CC170" i="20"/>
  <c r="CC60" i="30" s="1"/>
  <c r="CC39" i="32" s="1"/>
  <c r="BC607" i="9"/>
  <c r="BC889" i="9" s="1"/>
  <c r="BD180" i="9"/>
  <c r="BC447" i="9"/>
  <c r="BC194" i="9"/>
  <c r="CC56" i="32"/>
  <c r="CC55" i="32"/>
  <c r="CC54" i="32"/>
  <c r="CC53" i="32"/>
  <c r="CC52" i="32"/>
  <c r="CC51" i="32"/>
  <c r="CC50" i="32"/>
  <c r="CC46" i="32"/>
  <c r="CC59" i="32"/>
  <c r="CC44" i="32"/>
  <c r="CC42" i="32"/>
  <c r="CC40" i="32"/>
  <c r="CC38" i="32"/>
  <c r="CC63" i="32"/>
  <c r="CC28" i="32"/>
  <c r="CC34" i="32"/>
  <c r="CC33" i="32"/>
  <c r="CC67" i="32"/>
  <c r="BC550" i="9"/>
  <c r="BC411" i="9"/>
  <c r="BC614" i="9"/>
  <c r="BC896" i="9" s="1"/>
  <c r="BD313" i="9"/>
  <c r="V75" i="35"/>
  <c r="V76" i="35" s="1"/>
  <c r="CY23" i="30"/>
  <c r="CQ23" i="30" s="1"/>
  <c r="BC604" i="9"/>
  <c r="BC886" i="9" s="1"/>
  <c r="BD123" i="9"/>
  <c r="BC1000" i="9"/>
  <c r="BC509" i="9"/>
  <c r="BD57" i="9"/>
  <c r="BC63" i="9"/>
  <c r="CI257" i="6"/>
  <c r="CI170" i="20"/>
  <c r="BC441" i="9"/>
  <c r="BC80" i="9"/>
  <c r="BC1017" i="9"/>
  <c r="BC526" i="9"/>
  <c r="BC386" i="9"/>
  <c r="BD380" i="9"/>
  <c r="BC1016" i="9"/>
  <c r="BC525" i="9"/>
  <c r="BD361" i="9"/>
  <c r="BC367" i="9"/>
  <c r="BC618" i="9"/>
  <c r="BC900" i="9" s="1"/>
  <c r="BD389" i="9"/>
  <c r="CE257" i="6"/>
  <c r="CE170" i="20"/>
  <c r="BC620" i="9"/>
  <c r="BC902" i="9" s="1"/>
  <c r="BD427" i="9"/>
  <c r="CB56" i="32"/>
  <c r="CB55" i="32"/>
  <c r="CB54" i="32"/>
  <c r="CB53" i="32"/>
  <c r="CB52" i="32"/>
  <c r="CB51" i="32"/>
  <c r="CB50" i="32"/>
  <c r="CB46" i="32"/>
  <c r="CB59" i="32"/>
  <c r="CB44" i="32"/>
  <c r="CB42" i="32"/>
  <c r="CB40" i="32"/>
  <c r="CB38" i="32"/>
  <c r="CB63" i="32"/>
  <c r="CB28" i="32"/>
  <c r="CB34" i="32"/>
  <c r="CB33" i="32"/>
  <c r="CB67" i="32"/>
  <c r="BC1012" i="9"/>
  <c r="BC521" i="9"/>
  <c r="BC291" i="9"/>
  <c r="BD285" i="9"/>
  <c r="BD1019" i="9"/>
  <c r="BD528" i="9"/>
  <c r="BE418" i="9"/>
  <c r="BD424" i="9"/>
  <c r="CH257" i="6"/>
  <c r="CH170" i="20"/>
  <c r="BC1008" i="9"/>
  <c r="BC517" i="9"/>
  <c r="BC215" i="9"/>
  <c r="BD209" i="9"/>
  <c r="BC605" i="9"/>
  <c r="BC887" i="9" s="1"/>
  <c r="BD142" i="9"/>
  <c r="BC547" i="9"/>
  <c r="BC354" i="9"/>
  <c r="BD540" i="9"/>
  <c r="BD221" i="9"/>
  <c r="BC532" i="9"/>
  <c r="BC69" i="9"/>
  <c r="BC1003" i="9"/>
  <c r="BC512" i="9"/>
  <c r="BC120" i="9"/>
  <c r="BD114" i="9"/>
  <c r="BC542" i="9"/>
  <c r="BC259" i="9"/>
  <c r="BC442" i="9"/>
  <c r="BC99" i="9"/>
  <c r="CF257" i="6"/>
  <c r="CF170" i="20"/>
  <c r="BC1005" i="9"/>
  <c r="BC514" i="9"/>
  <c r="BC158" i="9"/>
  <c r="BD152" i="9"/>
  <c r="BC1014" i="9"/>
  <c r="BC523" i="9"/>
  <c r="BC329" i="9"/>
  <c r="BD323" i="9"/>
  <c r="BC534" i="9"/>
  <c r="BC107" i="9"/>
  <c r="BC1011" i="9"/>
  <c r="BC520" i="9"/>
  <c r="BC272" i="9"/>
  <c r="BD266" i="9"/>
  <c r="BC455" i="9"/>
  <c r="BC346" i="9"/>
  <c r="CD257" i="6"/>
  <c r="CD170" i="20"/>
  <c r="BC446" i="9"/>
  <c r="BC175" i="9"/>
  <c r="BC544" i="9"/>
  <c r="BC297" i="9"/>
  <c r="BC533" i="9"/>
  <c r="BC88" i="9"/>
  <c r="BC1018" i="9"/>
  <c r="BC527" i="9"/>
  <c r="BC405" i="9"/>
  <c r="BD399" i="9"/>
  <c r="BC453" i="9"/>
  <c r="BC308" i="9"/>
  <c r="DB141" i="20"/>
  <c r="CT141" i="20" s="1"/>
  <c r="A3" i="37"/>
  <c r="Y2" i="37"/>
  <c r="X2" i="37"/>
  <c r="W2" i="37"/>
  <c r="V2" i="37"/>
  <c r="B2" i="37" a="1"/>
  <c r="A7" i="1" l="1"/>
  <c r="BC1013" i="9"/>
  <c r="BC522" i="9"/>
  <c r="BD304" i="9"/>
  <c r="BC310" i="9"/>
  <c r="BC1015" i="9"/>
  <c r="BC524" i="9"/>
  <c r="BC348" i="9"/>
  <c r="BD342" i="9"/>
  <c r="BD445" i="9"/>
  <c r="BD156" i="9"/>
  <c r="BC611" i="9"/>
  <c r="BC893" i="9" s="1"/>
  <c r="BD256" i="9"/>
  <c r="BD448" i="9"/>
  <c r="BD213" i="9"/>
  <c r="BD549" i="9"/>
  <c r="BD392" i="9"/>
  <c r="BD457" i="9"/>
  <c r="BD384" i="9"/>
  <c r="BC606" i="9"/>
  <c r="BC888" i="9" s="1"/>
  <c r="BD161" i="9"/>
  <c r="BC602" i="9"/>
  <c r="BC884" i="9" s="1"/>
  <c r="BD85" i="9"/>
  <c r="BC613" i="9"/>
  <c r="BC895" i="9" s="1"/>
  <c r="BD294" i="9"/>
  <c r="BC603" i="9"/>
  <c r="BC885" i="9" s="1"/>
  <c r="BD104" i="9"/>
  <c r="BD609" i="9"/>
  <c r="BD891" i="9" s="1"/>
  <c r="BE218" i="9"/>
  <c r="BD440" i="9"/>
  <c r="BD61" i="9"/>
  <c r="BD545" i="9"/>
  <c r="BD316" i="9"/>
  <c r="BC1007" i="9"/>
  <c r="BC516" i="9"/>
  <c r="BD190" i="9"/>
  <c r="BC196" i="9"/>
  <c r="BD536" i="9"/>
  <c r="BD145" i="9"/>
  <c r="BD458" i="9"/>
  <c r="BD403" i="9"/>
  <c r="BD452" i="9"/>
  <c r="BD289" i="9"/>
  <c r="BD444" i="9"/>
  <c r="BD137" i="9"/>
  <c r="BD541" i="9"/>
  <c r="BD240" i="9"/>
  <c r="BD450" i="9"/>
  <c r="BD251" i="9"/>
  <c r="BD449" i="9"/>
  <c r="BD232" i="9"/>
  <c r="BC1006" i="9"/>
  <c r="BC515" i="9"/>
  <c r="BC177" i="9"/>
  <c r="BD171" i="9"/>
  <c r="BD454" i="9"/>
  <c r="BD327" i="9"/>
  <c r="BD443" i="9"/>
  <c r="BD118" i="9"/>
  <c r="BC616" i="9"/>
  <c r="BC898" i="9" s="1"/>
  <c r="BD351" i="9"/>
  <c r="BD551" i="9"/>
  <c r="BD430" i="9"/>
  <c r="BD456" i="9"/>
  <c r="BD365" i="9"/>
  <c r="BC619" i="9"/>
  <c r="BC901" i="9" s="1"/>
  <c r="BD408" i="9"/>
  <c r="BD548" i="9"/>
  <c r="BD373" i="9"/>
  <c r="BD451" i="9"/>
  <c r="BD270" i="9"/>
  <c r="BC1001" i="9"/>
  <c r="BC510" i="9"/>
  <c r="BC82" i="9"/>
  <c r="BD76" i="9"/>
  <c r="BD535" i="9"/>
  <c r="BD126" i="9"/>
  <c r="BD538" i="9"/>
  <c r="BD183" i="9"/>
  <c r="BD543" i="9"/>
  <c r="BD278" i="9"/>
  <c r="BC615" i="9"/>
  <c r="BC897" i="9" s="1"/>
  <c r="BD332" i="9"/>
  <c r="BC608" i="9"/>
  <c r="BC890" i="9" s="1"/>
  <c r="BD199" i="9"/>
  <c r="BC1002" i="9"/>
  <c r="BC511" i="9"/>
  <c r="BD95" i="9"/>
  <c r="BC101" i="9"/>
  <c r="BC601" i="9"/>
  <c r="BC883" i="9" s="1"/>
  <c r="BD66" i="9"/>
  <c r="BE422" i="9"/>
  <c r="BE459" i="9"/>
  <c r="CC54" i="33"/>
  <c r="CC41" i="32"/>
  <c r="CC148" i="30"/>
  <c r="CC180" i="30" s="1"/>
  <c r="CC56" i="30"/>
  <c r="B2" i="37"/>
  <c r="V1" i="37"/>
  <c r="D1" i="37"/>
  <c r="EX75" i="28"/>
  <c r="EX74" i="28"/>
  <c r="EX73" i="28"/>
  <c r="EX71" i="28"/>
  <c r="EX70" i="28"/>
  <c r="EX69" i="28"/>
  <c r="D68" i="28"/>
  <c r="EX68" i="28" s="1"/>
  <c r="EX67" i="28"/>
  <c r="EX66" i="28"/>
  <c r="EX65" i="28"/>
  <c r="EX64" i="28"/>
  <c r="EX63" i="28"/>
  <c r="EX62" i="28"/>
  <c r="EX61" i="28"/>
  <c r="EX60" i="28"/>
  <c r="EX59" i="28"/>
  <c r="EX58" i="28"/>
  <c r="EX57" i="28"/>
  <c r="EX55" i="28"/>
  <c r="EX54" i="28"/>
  <c r="EX53" i="28"/>
  <c r="EX52" i="28"/>
  <c r="EX51" i="28"/>
  <c r="EX50" i="28"/>
  <c r="CL50" i="28"/>
  <c r="D49" i="28"/>
  <c r="EX49" i="28" s="1"/>
  <c r="EX48" i="28"/>
  <c r="EX47" i="28"/>
  <c r="EX46" i="28"/>
  <c r="EX45" i="28"/>
  <c r="EX42" i="28"/>
  <c r="D42" i="28"/>
  <c r="EX44" i="28" s="1"/>
  <c r="EX41" i="28"/>
  <c r="EX38" i="28"/>
  <c r="D38" i="28"/>
  <c r="D56" i="28" s="1"/>
  <c r="EX56" i="28" s="1"/>
  <c r="EX37" i="28"/>
  <c r="EX34" i="28"/>
  <c r="D34" i="28"/>
  <c r="EX35" i="28" s="1"/>
  <c r="EX33" i="28"/>
  <c r="EX32" i="28"/>
  <c r="EX31" i="28"/>
  <c r="EX30" i="28"/>
  <c r="EX29" i="28"/>
  <c r="EX28" i="28"/>
  <c r="EX27" i="28"/>
  <c r="EX26" i="28"/>
  <c r="EX25" i="28"/>
  <c r="EX24" i="28"/>
  <c r="EX23" i="28"/>
  <c r="E23" i="28"/>
  <c r="E8" i="3" s="1"/>
  <c r="EX22" i="28"/>
  <c r="EX21" i="28"/>
  <c r="EX20" i="28"/>
  <c r="EX19" i="28"/>
  <c r="EX18" i="28"/>
  <c r="EX17" i="28"/>
  <c r="EX16" i="28"/>
  <c r="EX15" i="28"/>
  <c r="CP15" i="28"/>
  <c r="A15" i="28" s="1" a="1"/>
  <c r="A15" i="28" s="1"/>
  <c r="E15" i="28"/>
  <c r="EX14" i="28"/>
  <c r="CP14" i="28"/>
  <c r="A14" i="28" s="1" a="1"/>
  <c r="A14" i="28" s="1"/>
  <c r="E14" i="28"/>
  <c r="EX13" i="28"/>
  <c r="CP13" i="28"/>
  <c r="A13" i="28" s="1" a="1"/>
  <c r="A13" i="28" s="1"/>
  <c r="E13" i="28"/>
  <c r="EX12" i="28"/>
  <c r="CP12" i="28"/>
  <c r="A12" i="28" s="1" a="1"/>
  <c r="A12" i="28" s="1"/>
  <c r="E12" i="28"/>
  <c r="EX11" i="28"/>
  <c r="EX10" i="28"/>
  <c r="CO10" i="28"/>
  <c r="A10" i="28" s="1" a="1"/>
  <c r="A10" i="28" s="1"/>
  <c r="EX9" i="28"/>
  <c r="EX8" i="28"/>
  <c r="BX6" i="28" a="1"/>
  <c r="BX6" i="28" s="1"/>
  <c r="V6" i="28" a="1"/>
  <c r="V6" i="28" s="1"/>
  <c r="A6" i="28" a="1"/>
  <c r="A6" i="28" s="1"/>
  <c r="A3" i="28" a="1"/>
  <c r="E25" i="28" l="1"/>
  <c r="E27" i="28" s="1"/>
  <c r="E10" i="3" s="1"/>
  <c r="CN19" i="28"/>
  <c r="A19" i="28" s="1" a="1"/>
  <c r="A19" i="28" s="1"/>
  <c r="EX39" i="28"/>
  <c r="EX40" i="28"/>
  <c r="BD546" i="9"/>
  <c r="BD335" i="9"/>
  <c r="BD441" i="9"/>
  <c r="BD80" i="9"/>
  <c r="BD1003" i="9"/>
  <c r="BD512" i="9"/>
  <c r="BD120" i="9"/>
  <c r="BE114" i="9"/>
  <c r="BD533" i="9"/>
  <c r="BD88" i="9"/>
  <c r="BD1008" i="9"/>
  <c r="BD517" i="9"/>
  <c r="BD215" i="9"/>
  <c r="BE209" i="9"/>
  <c r="EX36" i="28"/>
  <c r="BD532" i="9"/>
  <c r="BD69" i="9"/>
  <c r="BD612" i="9"/>
  <c r="BD894" i="9" s="1"/>
  <c r="BE275" i="9"/>
  <c r="BD1016" i="9"/>
  <c r="BD525" i="9"/>
  <c r="BD367" i="9"/>
  <c r="BE361" i="9"/>
  <c r="BD1009" i="9"/>
  <c r="BD518" i="9"/>
  <c r="BE228" i="9"/>
  <c r="BD234" i="9"/>
  <c r="BD194" i="9"/>
  <c r="BD447" i="9"/>
  <c r="CC37" i="32"/>
  <c r="CC58" i="30"/>
  <c r="BD539" i="9"/>
  <c r="BD202" i="9"/>
  <c r="BD1012" i="9"/>
  <c r="BD521" i="9"/>
  <c r="BE285" i="9"/>
  <c r="BD291" i="9"/>
  <c r="BE540" i="9"/>
  <c r="BE221" i="9"/>
  <c r="BD537" i="9"/>
  <c r="BD164" i="9"/>
  <c r="BD542" i="9"/>
  <c r="BD259" i="9"/>
  <c r="CC82" i="35"/>
  <c r="CC67" i="33"/>
  <c r="CC69" i="33" s="1"/>
  <c r="CC31" i="32"/>
  <c r="CC27" i="32"/>
  <c r="BD617" i="9"/>
  <c r="BD899" i="9" s="1"/>
  <c r="BE370" i="9"/>
  <c r="BD620" i="9"/>
  <c r="BD902" i="9" s="1"/>
  <c r="BE427" i="9"/>
  <c r="BD1014" i="9"/>
  <c r="BD329" i="9"/>
  <c r="BD523" i="9"/>
  <c r="BE323" i="9"/>
  <c r="BD1010" i="9"/>
  <c r="BD519" i="9"/>
  <c r="BE247" i="9"/>
  <c r="BD253" i="9"/>
  <c r="BD607" i="9"/>
  <c r="BD889" i="9" s="1"/>
  <c r="BE180" i="9"/>
  <c r="BD1018" i="9"/>
  <c r="BD527" i="9"/>
  <c r="BE399" i="9"/>
  <c r="BD405" i="9"/>
  <c r="BD614" i="9"/>
  <c r="BD896" i="9" s="1"/>
  <c r="BE313" i="9"/>
  <c r="BD534" i="9"/>
  <c r="BD107" i="9"/>
  <c r="BD1017" i="9"/>
  <c r="BD526" i="9"/>
  <c r="BD386" i="9"/>
  <c r="BE380" i="9"/>
  <c r="BD1005" i="9"/>
  <c r="BD514" i="9"/>
  <c r="BD158" i="9"/>
  <c r="BE152" i="9"/>
  <c r="BD453" i="9"/>
  <c r="BD308" i="9"/>
  <c r="EX43" i="28"/>
  <c r="BD442" i="9"/>
  <c r="BD99" i="9"/>
  <c r="BD550" i="9"/>
  <c r="BD411" i="9"/>
  <c r="BD446" i="9"/>
  <c r="BD175" i="9"/>
  <c r="BD610" i="9"/>
  <c r="BD892" i="9" s="1"/>
  <c r="BE237" i="9"/>
  <c r="BD604" i="9"/>
  <c r="BD886" i="9" s="1"/>
  <c r="BE123" i="9"/>
  <c r="BD547" i="9"/>
  <c r="BD354" i="9"/>
  <c r="BD605" i="9"/>
  <c r="BD887" i="9" s="1"/>
  <c r="BE142" i="9"/>
  <c r="BD1000" i="9"/>
  <c r="BD509" i="9"/>
  <c r="BD63" i="9"/>
  <c r="BE57" i="9"/>
  <c r="BD544" i="9"/>
  <c r="BD297" i="9"/>
  <c r="BD618" i="9"/>
  <c r="BD900" i="9" s="1"/>
  <c r="BE389" i="9"/>
  <c r="W8" i="3"/>
  <c r="AA8" i="3"/>
  <c r="BE1019" i="9"/>
  <c r="BE528" i="9"/>
  <c r="BF418" i="9"/>
  <c r="BE424" i="9"/>
  <c r="BD1011" i="9"/>
  <c r="BD520" i="9"/>
  <c r="BD272" i="9"/>
  <c r="BE266" i="9"/>
  <c r="BD1004" i="9"/>
  <c r="BD513" i="9"/>
  <c r="BE133" i="9"/>
  <c r="BD139" i="9"/>
  <c r="BD455" i="9"/>
  <c r="BD346" i="9"/>
  <c r="A3" i="28"/>
  <c r="CL2" i="28" a="1"/>
  <c r="CL2" i="28" s="1"/>
  <c r="B2" i="28" a="1"/>
  <c r="CN21" i="28" l="1"/>
  <c r="A21" i="28" s="1" a="1"/>
  <c r="A21" i="28" s="1"/>
  <c r="A2" i="28" s="1" a="1"/>
  <c r="A2" i="28" s="1"/>
  <c r="BD1015" i="9"/>
  <c r="BD524" i="9"/>
  <c r="BE342" i="9"/>
  <c r="BD348" i="9"/>
  <c r="BE538" i="9"/>
  <c r="BE183" i="9"/>
  <c r="BE451" i="9"/>
  <c r="BE270" i="9"/>
  <c r="BE289" i="9"/>
  <c r="BE452" i="9"/>
  <c r="BD611" i="9"/>
  <c r="BD893" i="9" s="1"/>
  <c r="BE256" i="9"/>
  <c r="BE448" i="9"/>
  <c r="BE213" i="9"/>
  <c r="BF459" i="9"/>
  <c r="BF422" i="9"/>
  <c r="BD613" i="9"/>
  <c r="BD895" i="9" s="1"/>
  <c r="BE294" i="9"/>
  <c r="BD616" i="9"/>
  <c r="BD898" i="9" s="1"/>
  <c r="BE351" i="9"/>
  <c r="BD1006" i="9"/>
  <c r="BD515" i="9"/>
  <c r="BE171" i="9"/>
  <c r="BD177" i="9"/>
  <c r="BE251" i="9"/>
  <c r="BE450" i="9"/>
  <c r="BD601" i="9"/>
  <c r="BD883" i="9" s="1"/>
  <c r="BE66" i="9"/>
  <c r="BD615" i="9"/>
  <c r="BD897" i="9" s="1"/>
  <c r="BE332" i="9"/>
  <c r="BE548" i="9"/>
  <c r="BE373" i="9"/>
  <c r="BE456" i="9"/>
  <c r="BE365" i="9"/>
  <c r="BD1002" i="9"/>
  <c r="BD511" i="9"/>
  <c r="BD101" i="9"/>
  <c r="BE95" i="9"/>
  <c r="BE445" i="9"/>
  <c r="BE156" i="9"/>
  <c r="BD619" i="9"/>
  <c r="BD901" i="9" s="1"/>
  <c r="BE408" i="9"/>
  <c r="BE443" i="9"/>
  <c r="BE118" i="9"/>
  <c r="BY8" i="3"/>
  <c r="V8" i="3"/>
  <c r="W10" i="3"/>
  <c r="W140" i="3" s="1"/>
  <c r="W7" i="16"/>
  <c r="BD1007" i="9"/>
  <c r="BD516" i="9"/>
  <c r="BE190" i="9"/>
  <c r="BD196" i="9"/>
  <c r="BE457" i="9"/>
  <c r="BE384" i="9"/>
  <c r="BD606" i="9"/>
  <c r="BD888" i="9" s="1"/>
  <c r="BE161" i="9"/>
  <c r="BD608" i="9"/>
  <c r="BD890" i="9" s="1"/>
  <c r="BE199" i="9"/>
  <c r="BE543" i="9"/>
  <c r="BE278" i="9"/>
  <c r="BE535" i="9"/>
  <c r="BE126" i="9"/>
  <c r="BE454" i="9"/>
  <c r="BE327" i="9"/>
  <c r="BE444" i="9"/>
  <c r="BE137" i="9"/>
  <c r="BE549" i="9"/>
  <c r="BE392" i="9"/>
  <c r="BE536" i="9"/>
  <c r="BE145" i="9"/>
  <c r="BE541" i="9"/>
  <c r="BE240" i="9"/>
  <c r="BE458" i="9"/>
  <c r="BE403" i="9"/>
  <c r="BE449" i="9"/>
  <c r="BE232" i="9"/>
  <c r="BD1001" i="9"/>
  <c r="BD510" i="9"/>
  <c r="BE76" i="9"/>
  <c r="BD82" i="9"/>
  <c r="BD603" i="9"/>
  <c r="BD885" i="9" s="1"/>
  <c r="BE104" i="9"/>
  <c r="BE440" i="9"/>
  <c r="BE61" i="9"/>
  <c r="AA10" i="3"/>
  <c r="AA146" i="3" s="1"/>
  <c r="AA141" i="3"/>
  <c r="AA151" i="3"/>
  <c r="AA137" i="3"/>
  <c r="BE545" i="9"/>
  <c r="BE316" i="9"/>
  <c r="BD1013" i="9"/>
  <c r="BD522" i="9"/>
  <c r="BD310" i="9"/>
  <c r="BE304" i="9"/>
  <c r="BE551" i="9"/>
  <c r="BE430" i="9"/>
  <c r="CC330" i="3"/>
  <c r="CC338" i="3"/>
  <c r="CC334" i="3"/>
  <c r="CC340" i="3"/>
  <c r="CC333" i="3"/>
  <c r="CC332" i="3"/>
  <c r="CC329" i="3"/>
  <c r="CC327" i="3"/>
  <c r="CC339" i="3"/>
  <c r="CC331" i="3"/>
  <c r="CC328" i="3"/>
  <c r="CC325" i="3"/>
  <c r="CC324" i="3"/>
  <c r="CC337" i="3"/>
  <c r="CC322" i="3"/>
  <c r="CC335" i="3"/>
  <c r="CC326" i="3"/>
  <c r="CC323" i="3"/>
  <c r="CC321" i="3"/>
  <c r="CC336" i="3"/>
  <c r="BE609" i="9"/>
  <c r="BE891" i="9" s="1"/>
  <c r="BF218" i="9"/>
  <c r="BD602" i="9"/>
  <c r="BD884" i="9" s="1"/>
  <c r="BE85" i="9"/>
  <c r="B2" i="28"/>
  <c r="BX1" i="28"/>
  <c r="AA1" i="28"/>
  <c r="V1" i="28"/>
  <c r="D1" i="28"/>
  <c r="C220" i="23" a="1"/>
  <c r="W4" i="3" l="1"/>
  <c r="W4" i="12" s="1"/>
  <c r="AA154" i="3"/>
  <c r="AA177" i="3" s="1"/>
  <c r="AA200" i="3" s="1"/>
  <c r="AA155" i="3"/>
  <c r="AA178" i="3" s="1"/>
  <c r="AA201" i="3" s="1"/>
  <c r="W147" i="3"/>
  <c r="AA152" i="3"/>
  <c r="AA175" i="3" s="1"/>
  <c r="AA198" i="3" s="1"/>
  <c r="AA142" i="3"/>
  <c r="W144" i="3"/>
  <c r="AA156" i="3"/>
  <c r="W142" i="3"/>
  <c r="W155" i="3"/>
  <c r="W153" i="3"/>
  <c r="AA140" i="3"/>
  <c r="AA163" i="3" s="1"/>
  <c r="AA186" i="3" s="1"/>
  <c r="W143" i="3"/>
  <c r="W141" i="3"/>
  <c r="AA138" i="3"/>
  <c r="AA161" i="3" s="1"/>
  <c r="AA184" i="3" s="1"/>
  <c r="W139" i="3"/>
  <c r="W138" i="3"/>
  <c r="AA144" i="3"/>
  <c r="AA167" i="3" s="1"/>
  <c r="AA190" i="3" s="1"/>
  <c r="AA149" i="3"/>
  <c r="AA172" i="3" s="1"/>
  <c r="W150" i="3"/>
  <c r="W137" i="3"/>
  <c r="W152" i="3"/>
  <c r="W146" i="3"/>
  <c r="AA169" i="3"/>
  <c r="AA192" i="3" s="1"/>
  <c r="AA153" i="3"/>
  <c r="AA139" i="3"/>
  <c r="AA148" i="3"/>
  <c r="W149" i="3"/>
  <c r="BY10" i="3"/>
  <c r="BY142" i="3" s="1"/>
  <c r="BE1003" i="9"/>
  <c r="BE512" i="9"/>
  <c r="BF114" i="9"/>
  <c r="BE120" i="9"/>
  <c r="BE617" i="9"/>
  <c r="BE899" i="9" s="1"/>
  <c r="BF370" i="9"/>
  <c r="BE354" i="9"/>
  <c r="BE547" i="9"/>
  <c r="AA160" i="3"/>
  <c r="AA183" i="3" s="1"/>
  <c r="BE441" i="9"/>
  <c r="BE80" i="9"/>
  <c r="BE1018" i="9"/>
  <c r="BE527" i="9"/>
  <c r="BF399" i="9"/>
  <c r="BE405" i="9"/>
  <c r="BE1004" i="9"/>
  <c r="BE513" i="9"/>
  <c r="BF133" i="9"/>
  <c r="BE139" i="9"/>
  <c r="BE612" i="9"/>
  <c r="BE894" i="9" s="1"/>
  <c r="BF275" i="9"/>
  <c r="BE1010" i="9"/>
  <c r="BE519" i="9"/>
  <c r="BF247" i="9"/>
  <c r="BE253" i="9"/>
  <c r="BE542" i="9"/>
  <c r="BE259" i="9"/>
  <c r="BE607" i="9"/>
  <c r="BE889" i="9" s="1"/>
  <c r="BF180" i="9"/>
  <c r="AA174" i="3"/>
  <c r="AA197" i="3" s="1"/>
  <c r="BE442" i="9"/>
  <c r="BE99" i="9"/>
  <c r="BE546" i="9"/>
  <c r="BE335" i="9"/>
  <c r="BE544" i="9"/>
  <c r="BE297" i="9"/>
  <c r="BE620" i="9"/>
  <c r="BE902" i="9" s="1"/>
  <c r="BF427" i="9"/>
  <c r="AA164" i="3"/>
  <c r="AA187" i="3" s="1"/>
  <c r="AA165" i="3"/>
  <c r="AA188" i="3" s="1"/>
  <c r="BE610" i="9"/>
  <c r="BE892" i="9" s="1"/>
  <c r="BF237" i="9"/>
  <c r="BE539" i="9"/>
  <c r="BE202" i="9"/>
  <c r="BE550" i="9"/>
  <c r="BE411" i="9"/>
  <c r="AA179" i="3"/>
  <c r="AA202" i="3" s="1"/>
  <c r="BE1000" i="9"/>
  <c r="BE509" i="9"/>
  <c r="BF57" i="9"/>
  <c r="BE63" i="9"/>
  <c r="AA4" i="3"/>
  <c r="BE1014" i="9"/>
  <c r="BE523" i="9"/>
  <c r="BE329" i="9"/>
  <c r="BF323" i="9"/>
  <c r="BE447" i="9"/>
  <c r="BE194" i="9"/>
  <c r="BE532" i="9"/>
  <c r="BE69" i="9"/>
  <c r="BF1019" i="9"/>
  <c r="BF528" i="9"/>
  <c r="BF424" i="9"/>
  <c r="BG418" i="9"/>
  <c r="BE1012" i="9"/>
  <c r="BE521" i="9"/>
  <c r="BE291" i="9"/>
  <c r="BF285" i="9"/>
  <c r="BE455" i="9"/>
  <c r="BE346" i="9"/>
  <c r="BF540" i="9"/>
  <c r="BF221" i="9"/>
  <c r="BE453" i="9"/>
  <c r="BE308" i="9"/>
  <c r="BE614" i="9"/>
  <c r="BE896" i="9" s="1"/>
  <c r="BF313" i="9"/>
  <c r="AA147" i="3"/>
  <c r="AA143" i="3"/>
  <c r="BE605" i="9"/>
  <c r="BE887" i="9" s="1"/>
  <c r="BF142" i="9"/>
  <c r="BE537" i="9"/>
  <c r="BE164" i="9"/>
  <c r="W151" i="3"/>
  <c r="W145" i="3"/>
  <c r="BE446" i="9"/>
  <c r="BE175" i="9"/>
  <c r="BE533" i="9"/>
  <c r="BE88" i="9"/>
  <c r="AA145" i="3"/>
  <c r="BE534" i="9"/>
  <c r="BE107" i="9"/>
  <c r="W16" i="3"/>
  <c r="W22" i="3"/>
  <c r="W4" i="35"/>
  <c r="W4" i="33"/>
  <c r="W4" i="16"/>
  <c r="W4" i="1"/>
  <c r="W4" i="37"/>
  <c r="W4" i="28"/>
  <c r="BE1009" i="9"/>
  <c r="BE518" i="9"/>
  <c r="BE234" i="9"/>
  <c r="BF228" i="9"/>
  <c r="BE604" i="9"/>
  <c r="BE886" i="9" s="1"/>
  <c r="BF123" i="9"/>
  <c r="W41" i="3"/>
  <c r="X8" i="3"/>
  <c r="W5" i="3"/>
  <c r="W24" i="3"/>
  <c r="W12" i="3"/>
  <c r="W3" i="3" s="1"/>
  <c r="W148" i="3"/>
  <c r="BE1005" i="9"/>
  <c r="BE514" i="9"/>
  <c r="BF152" i="9"/>
  <c r="BE158" i="9"/>
  <c r="BE1016" i="9"/>
  <c r="BE525" i="9"/>
  <c r="BE367" i="9"/>
  <c r="BF361" i="9"/>
  <c r="AA12" i="3"/>
  <c r="AA3" i="3" s="1"/>
  <c r="AA24" i="3"/>
  <c r="AA41" i="3"/>
  <c r="AA5" i="3"/>
  <c r="AB8" i="3"/>
  <c r="AA150" i="3"/>
  <c r="BE618" i="9"/>
  <c r="BE900" i="9" s="1"/>
  <c r="BF389" i="9"/>
  <c r="BE1017" i="9"/>
  <c r="BE526" i="9"/>
  <c r="BE386" i="9"/>
  <c r="BF380" i="9"/>
  <c r="W156" i="3"/>
  <c r="V10" i="3"/>
  <c r="V140" i="3" s="1"/>
  <c r="BX8" i="3"/>
  <c r="V7" i="16"/>
  <c r="W154" i="3"/>
  <c r="BE1008" i="9"/>
  <c r="BE517" i="9"/>
  <c r="BE215" i="9"/>
  <c r="BF209" i="9"/>
  <c r="BE1011" i="9"/>
  <c r="BE520" i="9"/>
  <c r="BF266" i="9"/>
  <c r="BE272" i="9"/>
  <c r="C220" i="23"/>
  <c r="E217" i="23" a="1"/>
  <c r="W4" i="6" l="1"/>
  <c r="W4" i="38"/>
  <c r="W4" i="30"/>
  <c r="W4" i="26"/>
  <c r="W4" i="36"/>
  <c r="W4" i="9"/>
  <c r="W4" i="13"/>
  <c r="AB4" i="13" s="1"/>
  <c r="W4" i="20"/>
  <c r="W4" i="32"/>
  <c r="T4" i="11"/>
  <c r="W4" i="22"/>
  <c r="BY151" i="3"/>
  <c r="AA195" i="3"/>
  <c r="AA264" i="3" s="1"/>
  <c r="V149" i="3"/>
  <c r="BY153" i="3"/>
  <c r="BY139" i="3"/>
  <c r="BY143" i="3"/>
  <c r="V141" i="3"/>
  <c r="BY141" i="3"/>
  <c r="V138" i="3"/>
  <c r="BY155" i="3"/>
  <c r="V152" i="3"/>
  <c r="V137" i="3"/>
  <c r="BY147" i="3"/>
  <c r="BY148" i="3"/>
  <c r="BY145" i="3"/>
  <c r="BY154" i="3"/>
  <c r="V151" i="3"/>
  <c r="V143" i="3"/>
  <c r="BY138" i="3"/>
  <c r="BY146" i="3"/>
  <c r="AA252" i="3"/>
  <c r="AA206" i="3"/>
  <c r="AA269" i="3"/>
  <c r="AA223" i="3"/>
  <c r="AA267" i="3"/>
  <c r="AA221" i="3"/>
  <c r="AA224" i="3"/>
  <c r="AA270" i="3"/>
  <c r="AA225" i="3"/>
  <c r="AA271" i="3"/>
  <c r="AA220" i="3"/>
  <c r="AA266" i="3"/>
  <c r="AA213" i="3"/>
  <c r="AA259" i="3"/>
  <c r="AA261" i="3"/>
  <c r="AA215" i="3"/>
  <c r="BX10" i="3"/>
  <c r="BX138" i="3" s="1"/>
  <c r="AA173" i="3"/>
  <c r="AA196" i="3" s="1"/>
  <c r="W28" i="3"/>
  <c r="W26" i="3"/>
  <c r="AA170" i="3"/>
  <c r="AA193" i="3" s="1"/>
  <c r="BF541" i="9"/>
  <c r="BF240" i="9"/>
  <c r="AA207" i="3"/>
  <c r="AA253" i="3"/>
  <c r="BF444" i="9"/>
  <c r="BF137" i="9"/>
  <c r="BE616" i="9"/>
  <c r="BE898" i="9" s="1"/>
  <c r="BF351" i="9"/>
  <c r="BY152" i="3"/>
  <c r="BY149" i="3"/>
  <c r="V5" i="3"/>
  <c r="V41" i="3"/>
  <c r="V24" i="3"/>
  <c r="V12" i="3"/>
  <c r="V3" i="3" s="1"/>
  <c r="AA14" i="3" s="1"/>
  <c r="V4" i="3"/>
  <c r="BF457" i="9"/>
  <c r="BF384" i="9"/>
  <c r="AB10" i="3"/>
  <c r="AB146" i="3" s="1"/>
  <c r="BF456" i="9"/>
  <c r="BF365" i="9"/>
  <c r="BF535" i="9"/>
  <c r="BF126" i="9"/>
  <c r="BF545" i="9"/>
  <c r="BF316" i="9"/>
  <c r="AA4" i="11"/>
  <c r="AA16" i="3"/>
  <c r="AA30" i="3"/>
  <c r="AA22" i="3"/>
  <c r="AA20" i="3"/>
  <c r="AA4" i="35"/>
  <c r="AA4" i="33"/>
  <c r="AB4" i="12"/>
  <c r="AA4" i="32"/>
  <c r="AA4" i="30"/>
  <c r="AA4" i="38"/>
  <c r="AA4" i="6"/>
  <c r="AA4" i="9"/>
  <c r="AA4" i="26"/>
  <c r="AA4" i="16"/>
  <c r="AA4" i="22"/>
  <c r="AA4" i="20"/>
  <c r="AA4" i="1"/>
  <c r="AA4" i="28"/>
  <c r="AA209" i="3"/>
  <c r="AA255" i="3"/>
  <c r="BF548" i="9"/>
  <c r="BF373" i="9"/>
  <c r="T3" i="11"/>
  <c r="W3" i="35"/>
  <c r="W3" i="13"/>
  <c r="AB3" i="13" s="1"/>
  <c r="W3" i="36"/>
  <c r="W3" i="33"/>
  <c r="W3" i="12"/>
  <c r="W3" i="32"/>
  <c r="W3" i="30"/>
  <c r="W3" i="38"/>
  <c r="W3" i="6"/>
  <c r="W3" i="9"/>
  <c r="W3" i="26"/>
  <c r="W3" i="16"/>
  <c r="W3" i="22"/>
  <c r="W3" i="20"/>
  <c r="J3" i="20" s="1"/>
  <c r="W3" i="1"/>
  <c r="W3" i="37"/>
  <c r="W3" i="28"/>
  <c r="BE602" i="9"/>
  <c r="BE884" i="9" s="1"/>
  <c r="BF85" i="9"/>
  <c r="BE606" i="9"/>
  <c r="BE888" i="9" s="1"/>
  <c r="BF161" i="9"/>
  <c r="BE1007" i="9"/>
  <c r="BE516" i="9"/>
  <c r="BE196" i="9"/>
  <c r="BF190" i="9"/>
  <c r="BF450" i="9"/>
  <c r="BF251" i="9"/>
  <c r="BF448" i="9"/>
  <c r="BF213" i="9"/>
  <c r="BE1013" i="9"/>
  <c r="BE522" i="9"/>
  <c r="BE310" i="9"/>
  <c r="BF304" i="9"/>
  <c r="BG459" i="9"/>
  <c r="BG422" i="9"/>
  <c r="BF440" i="9"/>
  <c r="BF61" i="9"/>
  <c r="AA211" i="3"/>
  <c r="AA257" i="3"/>
  <c r="BE613" i="9"/>
  <c r="BE895" i="9" s="1"/>
  <c r="BF294" i="9"/>
  <c r="V142" i="3"/>
  <c r="BF408" i="9"/>
  <c r="BE619" i="9"/>
  <c r="BE901" i="9" s="1"/>
  <c r="AA256" i="3"/>
  <c r="AA210" i="3"/>
  <c r="BF538" i="9"/>
  <c r="BF183" i="9"/>
  <c r="BF403" i="9"/>
  <c r="BF458" i="9"/>
  <c r="BF443" i="9"/>
  <c r="BF118" i="9"/>
  <c r="BF449" i="9"/>
  <c r="BF232" i="9"/>
  <c r="V146" i="3"/>
  <c r="V148" i="3"/>
  <c r="T5" i="11"/>
  <c r="W60" i="3"/>
  <c r="W52" i="3"/>
  <c r="W62" i="3"/>
  <c r="W49" i="3"/>
  <c r="W57" i="3"/>
  <c r="W64" i="3"/>
  <c r="W59" i="3"/>
  <c r="W58" i="3"/>
  <c r="W56" i="3"/>
  <c r="W54" i="3"/>
  <c r="W47" i="3"/>
  <c r="W50" i="3"/>
  <c r="W63" i="3"/>
  <c r="W61" i="3"/>
  <c r="W48" i="3"/>
  <c r="W45" i="3"/>
  <c r="W55" i="3"/>
  <c r="W53" i="3"/>
  <c r="W51" i="3"/>
  <c r="W46" i="3"/>
  <c r="W5" i="35"/>
  <c r="W5" i="13"/>
  <c r="AB5" i="13" s="1"/>
  <c r="W5" i="36"/>
  <c r="W5" i="33"/>
  <c r="W5" i="12"/>
  <c r="W5" i="32"/>
  <c r="W5" i="30"/>
  <c r="W5" i="38"/>
  <c r="W5" i="6"/>
  <c r="W5" i="9"/>
  <c r="W5" i="26"/>
  <c r="W5" i="16"/>
  <c r="W5" i="22"/>
  <c r="W5" i="20"/>
  <c r="W5" i="1"/>
  <c r="W5" i="37"/>
  <c r="W5" i="28"/>
  <c r="BE603" i="9"/>
  <c r="BE885" i="9" s="1"/>
  <c r="BF104" i="9"/>
  <c r="BE1006" i="9"/>
  <c r="BE515" i="9"/>
  <c r="BF171" i="9"/>
  <c r="BE177" i="9"/>
  <c r="BF536" i="9"/>
  <c r="BF145" i="9"/>
  <c r="V147" i="3"/>
  <c r="V145" i="3"/>
  <c r="V150" i="3"/>
  <c r="BF549" i="9"/>
  <c r="BF392" i="9"/>
  <c r="AA3" i="11"/>
  <c r="AA37" i="3"/>
  <c r="AA3" i="35"/>
  <c r="AA3" i="33"/>
  <c r="AB3" i="12"/>
  <c r="AA3" i="32"/>
  <c r="AA3" i="30"/>
  <c r="AA3" i="38"/>
  <c r="AA3" i="6"/>
  <c r="AA3" i="9"/>
  <c r="AA3" i="26"/>
  <c r="AA3" i="16"/>
  <c r="AA3" i="22"/>
  <c r="AA3" i="20"/>
  <c r="AA3" i="1"/>
  <c r="AA3" i="28"/>
  <c r="X10" i="3"/>
  <c r="X154" i="3" s="1"/>
  <c r="BZ8" i="3"/>
  <c r="BE1015" i="9"/>
  <c r="BE524" i="9"/>
  <c r="BE348" i="9"/>
  <c r="BF342" i="9"/>
  <c r="BF454" i="9"/>
  <c r="BF327" i="9"/>
  <c r="BE615" i="9"/>
  <c r="BE897" i="9" s="1"/>
  <c r="BF332" i="9"/>
  <c r="BF543" i="9"/>
  <c r="BF278" i="9"/>
  <c r="BY41" i="3"/>
  <c r="BY24" i="3"/>
  <c r="BY12" i="3"/>
  <c r="BY3" i="3" s="1"/>
  <c r="BY5" i="3"/>
  <c r="BY4" i="3"/>
  <c r="AA171" i="3"/>
  <c r="AA194" i="3" s="1"/>
  <c r="BF451" i="9"/>
  <c r="BF270" i="9"/>
  <c r="V139" i="3"/>
  <c r="V155" i="3"/>
  <c r="V144" i="3"/>
  <c r="AA168" i="3"/>
  <c r="AA191" i="3" s="1"/>
  <c r="BE608" i="9"/>
  <c r="BE890" i="9" s="1"/>
  <c r="BF199" i="9"/>
  <c r="BF551" i="9"/>
  <c r="BF430" i="9"/>
  <c r="BE611" i="9"/>
  <c r="BE893" i="9" s="1"/>
  <c r="BF256" i="9"/>
  <c r="BY150" i="3"/>
  <c r="BY140" i="3"/>
  <c r="AA162" i="3"/>
  <c r="AA185" i="3" s="1"/>
  <c r="AA5" i="11"/>
  <c r="AA130" i="3"/>
  <c r="AA61" i="3"/>
  <c r="AA53" i="3"/>
  <c r="AA45" i="3"/>
  <c r="AA128" i="3"/>
  <c r="AA117" i="3"/>
  <c r="AA114" i="3"/>
  <c r="AA787" i="9" s="1"/>
  <c r="AA118" i="3"/>
  <c r="AA791" i="9" s="1"/>
  <c r="AA132" i="3"/>
  <c r="AA126" i="3"/>
  <c r="AA122" i="3"/>
  <c r="AA55" i="3"/>
  <c r="AA50" i="3"/>
  <c r="AA63" i="3"/>
  <c r="AA58" i="3"/>
  <c r="AA127" i="3"/>
  <c r="AA800" i="9" s="1"/>
  <c r="AA123" i="3"/>
  <c r="AA116" i="3"/>
  <c r="AA57" i="3"/>
  <c r="AA52" i="3"/>
  <c r="AA48" i="3"/>
  <c r="AA47" i="3"/>
  <c r="AA64" i="3"/>
  <c r="AA60" i="3"/>
  <c r="AA62" i="3"/>
  <c r="AA51" i="3"/>
  <c r="AA46" i="3"/>
  <c r="AA56" i="3"/>
  <c r="AA59" i="3"/>
  <c r="AA54" i="3"/>
  <c r="AA49" i="3"/>
  <c r="AA125" i="3"/>
  <c r="AA798" i="9" s="1"/>
  <c r="AA120" i="3"/>
  <c r="AA121" i="3"/>
  <c r="AA131" i="3"/>
  <c r="AA129" i="3"/>
  <c r="AA133" i="3"/>
  <c r="AA806" i="9" s="1"/>
  <c r="AA115" i="3"/>
  <c r="AA124" i="3"/>
  <c r="AA797" i="9" s="1"/>
  <c r="AA119" i="3"/>
  <c r="AA792" i="9" s="1"/>
  <c r="AA5" i="35"/>
  <c r="AA5" i="33"/>
  <c r="AB5" i="12"/>
  <c r="AA5" i="32"/>
  <c r="AA5" i="30"/>
  <c r="AA5" i="38"/>
  <c r="AA5" i="6"/>
  <c r="AA5" i="9"/>
  <c r="AA5" i="26"/>
  <c r="AA5" i="16"/>
  <c r="AA5" i="22"/>
  <c r="AA5" i="20"/>
  <c r="AA5" i="1"/>
  <c r="AA5" i="28"/>
  <c r="BF445" i="9"/>
  <c r="BF156" i="9"/>
  <c r="V156" i="3"/>
  <c r="V153" i="3"/>
  <c r="V154" i="3"/>
  <c r="AA166" i="3"/>
  <c r="AA189" i="3" s="1"/>
  <c r="BF609" i="9"/>
  <c r="BF891" i="9" s="1"/>
  <c r="BG218" i="9"/>
  <c r="BF452" i="9"/>
  <c r="BF289" i="9"/>
  <c r="BE601" i="9"/>
  <c r="BE883" i="9" s="1"/>
  <c r="BF66" i="9"/>
  <c r="AA218" i="3"/>
  <c r="BE1002" i="9"/>
  <c r="BE511" i="9"/>
  <c r="BE101" i="9"/>
  <c r="BF95" i="9"/>
  <c r="BE1001" i="9"/>
  <c r="BE510" i="9"/>
  <c r="BE82" i="9"/>
  <c r="BF76" i="9"/>
  <c r="BY137" i="3"/>
  <c r="BY156" i="3"/>
  <c r="BY144" i="3"/>
  <c r="AA176" i="3"/>
  <c r="AA199" i="3" s="1"/>
  <c r="E217" i="23"/>
  <c r="E215" i="23" a="1"/>
  <c r="AA801" i="9" l="1"/>
  <c r="AA802" i="9"/>
  <c r="AA788" i="9"/>
  <c r="AA790" i="9"/>
  <c r="AB151" i="3"/>
  <c r="AB174" i="3" s="1"/>
  <c r="AB197" i="3" s="1"/>
  <c r="AB141" i="3"/>
  <c r="AB150" i="3"/>
  <c r="X147" i="3"/>
  <c r="X149" i="3"/>
  <c r="X139" i="3"/>
  <c r="AA794" i="9"/>
  <c r="AA789" i="9"/>
  <c r="AA799" i="9"/>
  <c r="AA793" i="9"/>
  <c r="AA796" i="9"/>
  <c r="AA805" i="9"/>
  <c r="AA803" i="9"/>
  <c r="X4" i="3"/>
  <c r="X141" i="3"/>
  <c r="AA804" i="9"/>
  <c r="AA795" i="9"/>
  <c r="X146" i="3"/>
  <c r="BX149" i="3"/>
  <c r="AA258" i="3"/>
  <c r="AA212" i="3"/>
  <c r="AA265" i="3"/>
  <c r="AA219" i="3"/>
  <c r="AA263" i="3"/>
  <c r="AA217" i="3"/>
  <c r="AA214" i="3"/>
  <c r="AA260" i="3"/>
  <c r="AB169" i="3"/>
  <c r="AB192" i="3" s="1"/>
  <c r="BG540" i="9"/>
  <c r="BG221" i="9"/>
  <c r="AA91" i="3"/>
  <c r="AA68" i="3"/>
  <c r="X151" i="3"/>
  <c r="X137" i="3"/>
  <c r="X155" i="3"/>
  <c r="BF1009" i="9"/>
  <c r="BF518" i="9"/>
  <c r="BF234" i="9"/>
  <c r="BG228" i="9"/>
  <c r="BF544" i="9"/>
  <c r="BF297" i="9"/>
  <c r="BF453" i="9"/>
  <c r="BF308" i="9"/>
  <c r="BF1010" i="9"/>
  <c r="BF519" i="9"/>
  <c r="BG247" i="9"/>
  <c r="BF253" i="9"/>
  <c r="BF537" i="9"/>
  <c r="BF164" i="9"/>
  <c r="BF604" i="9"/>
  <c r="BF886" i="9" s="1"/>
  <c r="BG123" i="9"/>
  <c r="AB153" i="3"/>
  <c r="AB143" i="3"/>
  <c r="AB148" i="3"/>
  <c r="BF610" i="9"/>
  <c r="BF892" i="9" s="1"/>
  <c r="BG237" i="9"/>
  <c r="BX4" i="3"/>
  <c r="BX147" i="3"/>
  <c r="BX151" i="3"/>
  <c r="AA284" i="3"/>
  <c r="AA247" i="3"/>
  <c r="AA736" i="9"/>
  <c r="AA72" i="3"/>
  <c r="AA95" i="3"/>
  <c r="AA87" i="3"/>
  <c r="AA110" i="3"/>
  <c r="BF441" i="9"/>
  <c r="BF80" i="9"/>
  <c r="AA77" i="3"/>
  <c r="AA100" i="3"/>
  <c r="AA93" i="3"/>
  <c r="AA70" i="3"/>
  <c r="AA99" i="3"/>
  <c r="AA76" i="3"/>
  <c r="BM4" i="11"/>
  <c r="BY16" i="3"/>
  <c r="BY22" i="3"/>
  <c r="BY4" i="35"/>
  <c r="BY4" i="33"/>
  <c r="BZ4" i="12"/>
  <c r="BY4" i="32"/>
  <c r="BY4" i="30"/>
  <c r="BY4" i="38"/>
  <c r="BY4" i="6"/>
  <c r="BY4" i="9"/>
  <c r="BY4" i="26"/>
  <c r="BY4" i="16"/>
  <c r="BY4" i="22"/>
  <c r="BY4" i="20"/>
  <c r="BY4" i="1"/>
  <c r="BY4" i="28"/>
  <c r="BF546" i="9"/>
  <c r="BF335" i="9"/>
  <c r="X153" i="3"/>
  <c r="X143" i="3"/>
  <c r="AA233" i="3"/>
  <c r="AA722" i="9"/>
  <c r="AB145" i="3"/>
  <c r="AB149" i="3"/>
  <c r="BF1017" i="9"/>
  <c r="BF526" i="9"/>
  <c r="BG380" i="9"/>
  <c r="BF386" i="9"/>
  <c r="BX156" i="3"/>
  <c r="BX137" i="3"/>
  <c r="AA282" i="3"/>
  <c r="AA244" i="3"/>
  <c r="AA733" i="9"/>
  <c r="AA94" i="3"/>
  <c r="AA71" i="3"/>
  <c r="AA104" i="3"/>
  <c r="AA81" i="3"/>
  <c r="AA107" i="3"/>
  <c r="AA84" i="3"/>
  <c r="AA208" i="3"/>
  <c r="AA254" i="3"/>
  <c r="BF542" i="9"/>
  <c r="BF259" i="9"/>
  <c r="BM5" i="11"/>
  <c r="BY64" i="3"/>
  <c r="BY56" i="3"/>
  <c r="BY48" i="3"/>
  <c r="BY61" i="3"/>
  <c r="BY59" i="3"/>
  <c r="BY46" i="3"/>
  <c r="BY54" i="3"/>
  <c r="BY63" i="3"/>
  <c r="BY58" i="3"/>
  <c r="BY51" i="3"/>
  <c r="BY47" i="3"/>
  <c r="BY53" i="3"/>
  <c r="BY52" i="3"/>
  <c r="BY50" i="3"/>
  <c r="BY57" i="3"/>
  <c r="BY55" i="3"/>
  <c r="BY62" i="3"/>
  <c r="BY60" i="3"/>
  <c r="BY49" i="3"/>
  <c r="BY45" i="3"/>
  <c r="BY5" i="35"/>
  <c r="BY5" i="33"/>
  <c r="BZ5" i="12"/>
  <c r="BY5" i="32"/>
  <c r="BY5" i="30"/>
  <c r="BY5" i="38"/>
  <c r="BY5" i="6"/>
  <c r="BY5" i="9"/>
  <c r="BY5" i="26"/>
  <c r="BY5" i="16"/>
  <c r="BY5" i="22"/>
  <c r="BY5" i="20"/>
  <c r="BY5" i="1"/>
  <c r="BY5" i="28"/>
  <c r="BF618" i="9"/>
  <c r="BF900" i="9" s="1"/>
  <c r="BG389" i="9"/>
  <c r="BF446" i="9"/>
  <c r="BF175" i="9"/>
  <c r="BF1003" i="9"/>
  <c r="BF512" i="9"/>
  <c r="BG114" i="9"/>
  <c r="BF120" i="9"/>
  <c r="AA279" i="3"/>
  <c r="AA280" i="3"/>
  <c r="BF447" i="9"/>
  <c r="BF194" i="9"/>
  <c r="BF533" i="9"/>
  <c r="BF88" i="9"/>
  <c r="AA180" i="20" a="1"/>
  <c r="AA180" i="20" s="1"/>
  <c r="AA162" i="20" a="1"/>
  <c r="AA162" i="20" s="1"/>
  <c r="AA153" i="20" a="1"/>
  <c r="AA153" i="20" s="1"/>
  <c r="AA150" i="20" a="1"/>
  <c r="AA150" i="20" s="1"/>
  <c r="AA135" i="20" a="1"/>
  <c r="AA135" i="20" s="1"/>
  <c r="AA129" i="20" a="1"/>
  <c r="AA129" i="20" s="1"/>
  <c r="AA130" i="20" a="1"/>
  <c r="AA130" i="20" s="1"/>
  <c r="AA127" i="20" a="1"/>
  <c r="AA127" i="20" s="1"/>
  <c r="AA128" i="20" a="1"/>
  <c r="AA128" i="20" s="1"/>
  <c r="AA121" i="20" a="1"/>
  <c r="AA121" i="20" s="1"/>
  <c r="AA117" i="20" a="1"/>
  <c r="AA117" i="20" s="1"/>
  <c r="AA122" i="20" a="1"/>
  <c r="AA122" i="20" s="1"/>
  <c r="AA124" i="20" a="1"/>
  <c r="AA124" i="20" s="1"/>
  <c r="AA123" i="20" a="1"/>
  <c r="AA123" i="20" s="1"/>
  <c r="AA119" i="20" a="1"/>
  <c r="AA119" i="20" s="1"/>
  <c r="AA125" i="20" a="1"/>
  <c r="AA125" i="20" s="1"/>
  <c r="AA120" i="20" a="1"/>
  <c r="AA120" i="20" s="1"/>
  <c r="AA118" i="20" a="1"/>
  <c r="AA118" i="20" s="1"/>
  <c r="AA107" i="20" a="1"/>
  <c r="AA107" i="20" s="1"/>
  <c r="AA108" i="20" a="1"/>
  <c r="AA108" i="20" s="1"/>
  <c r="AA111" i="20" a="1"/>
  <c r="AA111" i="20" s="1"/>
  <c r="AA112" i="20" a="1"/>
  <c r="AA112" i="20" s="1"/>
  <c r="AA109" i="20" a="1"/>
  <c r="AA109" i="20" s="1"/>
  <c r="AA105" i="20" a="1"/>
  <c r="AA105" i="20" s="1"/>
  <c r="AA110" i="20" a="1"/>
  <c r="AA110" i="20" s="1"/>
  <c r="AA106" i="20" a="1"/>
  <c r="AA106" i="20" s="1"/>
  <c r="AA93" i="20" a="1"/>
  <c r="AA93" i="20" s="1"/>
  <c r="AA88" i="20" a="1"/>
  <c r="AA88" i="20" s="1"/>
  <c r="AA83" i="20" a="1"/>
  <c r="AA83" i="20" s="1"/>
  <c r="AA79" i="20" a="1"/>
  <c r="AA79" i="20" s="1"/>
  <c r="AA70" i="20" a="1"/>
  <c r="AA70" i="20" s="1"/>
  <c r="AA66" i="20" a="1"/>
  <c r="AA66" i="20" s="1"/>
  <c r="AA47" i="20" a="1"/>
  <c r="AA47" i="20" s="1"/>
  <c r="AA61" i="20" a="1"/>
  <c r="AA61" i="20" s="1"/>
  <c r="AA57" i="20" a="1"/>
  <c r="AA57" i="20" s="1"/>
  <c r="AA94" i="20" a="1"/>
  <c r="AA94" i="20" s="1"/>
  <c r="AA89" i="20" a="1"/>
  <c r="AA89" i="20" s="1"/>
  <c r="AA84" i="20" a="1"/>
  <c r="AA84" i="20" s="1"/>
  <c r="AA80" i="20" a="1"/>
  <c r="AA80" i="20" s="1"/>
  <c r="AA71" i="20" a="1"/>
  <c r="AA71" i="20" s="1"/>
  <c r="AA67" i="20" a="1"/>
  <c r="AA67" i="20" s="1"/>
  <c r="AA50" i="20" a="1"/>
  <c r="AA50" i="20" s="1"/>
  <c r="AA42" i="20" a="1"/>
  <c r="AA42" i="20" s="1"/>
  <c r="AA34" i="20" a="1"/>
  <c r="AA34" i="20" s="1"/>
  <c r="AA24" i="20" a="1"/>
  <c r="AA24" i="20" s="1"/>
  <c r="AA22" i="20" a="1"/>
  <c r="AA22" i="20" s="1"/>
  <c r="AA18" i="20" a="1"/>
  <c r="AA18" i="20" s="1"/>
  <c r="AA98" i="20" a="1"/>
  <c r="AA98" i="20" s="1"/>
  <c r="AA43" i="20" a="1"/>
  <c r="AA43" i="20" s="1"/>
  <c r="AA95" i="20" a="1"/>
  <c r="AA95" i="20" s="1"/>
  <c r="AA81" i="20" a="1"/>
  <c r="AA81" i="20" s="1"/>
  <c r="AA77" i="20" a="1"/>
  <c r="AA77" i="20" s="1"/>
  <c r="AA72" i="20" a="1"/>
  <c r="AA72" i="20" s="1"/>
  <c r="AA68" i="20" a="1"/>
  <c r="AA68" i="20" s="1"/>
  <c r="AA64" i="20" a="1"/>
  <c r="AA64" i="20" s="1"/>
  <c r="AA58" i="20" a="1"/>
  <c r="AA58" i="20" s="1"/>
  <c r="AA51" i="20" a="1"/>
  <c r="AA51" i="20" s="1"/>
  <c r="AA82" i="20" a="1"/>
  <c r="AA82" i="20" s="1"/>
  <c r="AA78" i="20" a="1"/>
  <c r="AA78" i="20" s="1"/>
  <c r="AA73" i="20" a="1"/>
  <c r="AA73" i="20" s="1"/>
  <c r="AA69" i="20" a="1"/>
  <c r="AA69" i="20" s="1"/>
  <c r="AA65" i="20" a="1"/>
  <c r="AA65" i="20" s="1"/>
  <c r="AA54" i="20" a="1"/>
  <c r="AA54" i="20" s="1"/>
  <c r="AA52" i="20" a="1"/>
  <c r="AA52" i="20" s="1"/>
  <c r="AA59" i="20" a="1"/>
  <c r="AA59" i="20" s="1"/>
  <c r="AA35" i="20" a="1"/>
  <c r="AA35" i="20" s="1"/>
  <c r="AA27" i="20" a="1"/>
  <c r="AA27" i="20" s="1"/>
  <c r="AA45" i="20" a="1"/>
  <c r="AA45" i="20" s="1"/>
  <c r="AA39" i="20" a="1"/>
  <c r="AA39" i="20" s="1"/>
  <c r="AA37" i="20" a="1"/>
  <c r="AA37" i="20" s="1"/>
  <c r="AA21" i="20" a="1"/>
  <c r="AA21" i="20" s="1"/>
  <c r="AA44" i="20" a="1"/>
  <c r="AA44" i="20" s="1"/>
  <c r="AA36" i="20" a="1"/>
  <c r="AA36" i="20" s="1"/>
  <c r="AA28" i="20" a="1"/>
  <c r="AA28" i="20" s="1"/>
  <c r="AA19" i="20" a="1"/>
  <c r="AA19" i="20" s="1"/>
  <c r="AA17" i="20" a="1"/>
  <c r="AA17" i="20" s="1"/>
  <c r="AA14" i="20" a="1"/>
  <c r="AA14" i="20" s="1"/>
  <c r="AA30" i="20" a="1"/>
  <c r="AA30" i="20" s="1"/>
  <c r="AA12" i="20" a="1"/>
  <c r="AA12" i="20" s="1"/>
  <c r="AA33" i="20" a="1"/>
  <c r="AA33" i="20" s="1"/>
  <c r="AA20" i="20" a="1"/>
  <c r="AA20" i="20" s="1"/>
  <c r="AA11" i="20" a="1"/>
  <c r="AA11" i="20" s="1"/>
  <c r="AA18" i="3"/>
  <c r="BF1016" i="9"/>
  <c r="BF525" i="9"/>
  <c r="BF367" i="9"/>
  <c r="BG361" i="9"/>
  <c r="AB147" i="3"/>
  <c r="BF547" i="9"/>
  <c r="BF354" i="9"/>
  <c r="BX12" i="3"/>
  <c r="BX3" i="3" s="1"/>
  <c r="BX24" i="3"/>
  <c r="BX41" i="3"/>
  <c r="BX5" i="3"/>
  <c r="BX150" i="3"/>
  <c r="AA236" i="3"/>
  <c r="AA725" i="9"/>
  <c r="AA290" i="3"/>
  <c r="BZ10" i="3"/>
  <c r="BZ137" i="3" s="1"/>
  <c r="AA234" i="3"/>
  <c r="AA723" i="9"/>
  <c r="BF617" i="9"/>
  <c r="BF899" i="9" s="1"/>
  <c r="BG370" i="9"/>
  <c r="AB164" i="3"/>
  <c r="AB187" i="3" s="1"/>
  <c r="S4" i="11"/>
  <c r="W20" i="3"/>
  <c r="V22" i="3"/>
  <c r="V20" i="3"/>
  <c r="V16" i="3"/>
  <c r="V4" i="35"/>
  <c r="V4" i="13"/>
  <c r="AA4" i="13" s="1"/>
  <c r="V4" i="36"/>
  <c r="V4" i="33"/>
  <c r="V4" i="12"/>
  <c r="V4" i="32"/>
  <c r="V4" i="30"/>
  <c r="V4" i="38"/>
  <c r="V4" i="6"/>
  <c r="V4" i="9"/>
  <c r="V4" i="26"/>
  <c r="V4" i="16"/>
  <c r="V4" i="22"/>
  <c r="V4" i="20"/>
  <c r="V4" i="1"/>
  <c r="V4" i="37"/>
  <c r="V4" i="28"/>
  <c r="AA216" i="3"/>
  <c r="AA262" i="3"/>
  <c r="BX145" i="3"/>
  <c r="BX146" i="3"/>
  <c r="BX154" i="3"/>
  <c r="AA289" i="3"/>
  <c r="AA246" i="3"/>
  <c r="AA735" i="9"/>
  <c r="AA287" i="3"/>
  <c r="AA105" i="3"/>
  <c r="AA82" i="3"/>
  <c r="AA241" i="3"/>
  <c r="AA730" i="9"/>
  <c r="AA69" i="3"/>
  <c r="AA92" i="3"/>
  <c r="AA80" i="3"/>
  <c r="AA103" i="3"/>
  <c r="AA73" i="3"/>
  <c r="AA96" i="3"/>
  <c r="BF620" i="9"/>
  <c r="BF902" i="9" s="1"/>
  <c r="BG427" i="9"/>
  <c r="BF1014" i="9"/>
  <c r="BF523" i="9"/>
  <c r="BF329" i="9"/>
  <c r="BG323" i="9"/>
  <c r="X41" i="3"/>
  <c r="X5" i="3"/>
  <c r="Y8" i="3"/>
  <c r="X24" i="3"/>
  <c r="X12" i="3"/>
  <c r="X3" i="3" s="1"/>
  <c r="BF550" i="9"/>
  <c r="BF411" i="9"/>
  <c r="BF1000" i="9"/>
  <c r="BF509" i="9"/>
  <c r="BF63" i="9"/>
  <c r="BG57" i="9"/>
  <c r="BF1008" i="9"/>
  <c r="BF517" i="9"/>
  <c r="BF215" i="9"/>
  <c r="BG209" i="9"/>
  <c r="AB24" i="3"/>
  <c r="AB12" i="3"/>
  <c r="AB3" i="3" s="1"/>
  <c r="AB41" i="3"/>
  <c r="AC8" i="3"/>
  <c r="AB5" i="3"/>
  <c r="AB4" i="3"/>
  <c r="AB140" i="3"/>
  <c r="S3" i="11"/>
  <c r="E6" i="50"/>
  <c r="V3" i="35"/>
  <c r="V3" i="13"/>
  <c r="AA3" i="13" s="1"/>
  <c r="V3" i="36"/>
  <c r="V3" i="33"/>
  <c r="V3" i="12"/>
  <c r="V3" i="32"/>
  <c r="V3" i="30"/>
  <c r="V3" i="38"/>
  <c r="V3" i="6"/>
  <c r="V3" i="9"/>
  <c r="V3" i="26"/>
  <c r="V3" i="16"/>
  <c r="V3" i="22"/>
  <c r="V3" i="20"/>
  <c r="V3" i="1"/>
  <c r="DC2" i="1" s="1"/>
  <c r="V3" i="37"/>
  <c r="V3" i="28"/>
  <c r="BF1004" i="9"/>
  <c r="BF513" i="9"/>
  <c r="BG133" i="9"/>
  <c r="BF139" i="9"/>
  <c r="BX143" i="3"/>
  <c r="BX139" i="3"/>
  <c r="BX155" i="3"/>
  <c r="AA243" i="3"/>
  <c r="AA732" i="9"/>
  <c r="AA292" i="3"/>
  <c r="AA79" i="3"/>
  <c r="AA102" i="3"/>
  <c r="AA98" i="3"/>
  <c r="AA75" i="3"/>
  <c r="H6" i="50"/>
  <c r="L6" i="50" s="1"/>
  <c r="BM3" i="11"/>
  <c r="BY14" i="3"/>
  <c r="BY3" i="35"/>
  <c r="BY3" i="33"/>
  <c r="BZ3" i="12"/>
  <c r="BY3" i="32"/>
  <c r="BY3" i="30"/>
  <c r="BY3" i="38"/>
  <c r="BY3" i="6"/>
  <c r="BY3" i="9"/>
  <c r="BY3" i="26"/>
  <c r="BY3" i="16"/>
  <c r="BY3" i="22"/>
  <c r="BY3" i="20"/>
  <c r="BY3" i="1"/>
  <c r="BY3" i="28"/>
  <c r="BF532" i="9"/>
  <c r="BF69" i="9"/>
  <c r="BF442" i="9"/>
  <c r="BF99" i="9"/>
  <c r="AA74" i="3"/>
  <c r="AA97" i="3"/>
  <c r="AA101" i="3"/>
  <c r="AA78" i="3"/>
  <c r="X144" i="3"/>
  <c r="X145" i="3"/>
  <c r="X140" i="3"/>
  <c r="BF534" i="9"/>
  <c r="BF107" i="9"/>
  <c r="BF1018" i="9"/>
  <c r="BF527" i="9"/>
  <c r="BG399" i="9"/>
  <c r="BF405" i="9"/>
  <c r="AA278" i="3"/>
  <c r="BF614" i="9"/>
  <c r="BF896" i="9" s="1"/>
  <c r="BG313" i="9"/>
  <c r="AB139" i="3"/>
  <c r="AB144" i="3"/>
  <c r="AB142" i="3"/>
  <c r="BX144" i="3"/>
  <c r="BX140" i="3"/>
  <c r="BX142" i="3"/>
  <c r="AA294" i="3"/>
  <c r="AA222" i="3"/>
  <c r="AA268" i="3"/>
  <c r="BF1005" i="9"/>
  <c r="BF514" i="9"/>
  <c r="BG152" i="9"/>
  <c r="BF158" i="9"/>
  <c r="AA108" i="3"/>
  <c r="AA85" i="3"/>
  <c r="BF539" i="9"/>
  <c r="BF202" i="9"/>
  <c r="BF1011" i="9"/>
  <c r="BF520" i="9"/>
  <c r="BF272" i="9"/>
  <c r="BG266" i="9"/>
  <c r="BF612" i="9"/>
  <c r="BF894" i="9" s="1"/>
  <c r="BG275" i="9"/>
  <c r="BF455" i="9"/>
  <c r="BF346" i="9"/>
  <c r="X156" i="3"/>
  <c r="X150" i="3"/>
  <c r="X142" i="3"/>
  <c r="BG1019" i="9"/>
  <c r="BG528" i="9"/>
  <c r="BG424" i="9"/>
  <c r="BH418" i="9"/>
  <c r="AA232" i="3"/>
  <c r="AA721" i="9"/>
  <c r="AA773" i="9"/>
  <c r="AA772" i="9"/>
  <c r="AA766" i="9"/>
  <c r="AA779" i="9"/>
  <c r="AA781" i="9"/>
  <c r="AA780" i="9"/>
  <c r="AA774" i="9"/>
  <c r="AA767" i="9"/>
  <c r="AA769" i="9"/>
  <c r="AA768" i="9"/>
  <c r="AA782" i="9"/>
  <c r="AA775" i="9"/>
  <c r="AA777" i="9"/>
  <c r="AA776" i="9"/>
  <c r="AA770" i="9"/>
  <c r="AA783" i="9"/>
  <c r="AA778" i="9"/>
  <c r="AA771" i="9"/>
  <c r="AA710" i="9"/>
  <c r="AA702" i="9"/>
  <c r="AA708" i="9"/>
  <c r="AA705" i="9"/>
  <c r="AA695" i="9"/>
  <c r="AA714" i="9"/>
  <c r="AA712" i="9"/>
  <c r="AA707" i="9"/>
  <c r="AA700" i="9"/>
  <c r="AA697" i="9"/>
  <c r="AA764" i="9"/>
  <c r="AA709" i="9"/>
  <c r="AA704" i="9"/>
  <c r="AA699" i="9"/>
  <c r="AA711" i="9"/>
  <c r="AA706" i="9"/>
  <c r="AA701" i="9"/>
  <c r="AA696" i="9"/>
  <c r="AA765" i="9"/>
  <c r="AA713" i="9"/>
  <c r="AA703" i="9"/>
  <c r="AA698" i="9"/>
  <c r="AB156" i="3"/>
  <c r="AB137" i="3"/>
  <c r="AB154" i="3"/>
  <c r="AA276" i="3"/>
  <c r="AB173" i="3"/>
  <c r="AB196" i="3" s="1"/>
  <c r="BX152" i="3"/>
  <c r="BX153" i="3"/>
  <c r="AA248" i="3"/>
  <c r="AA737" i="9"/>
  <c r="AA229" i="3"/>
  <c r="AA718" i="9"/>
  <c r="AA86" i="3"/>
  <c r="AA109" i="3"/>
  <c r="U4" i="11"/>
  <c r="X22" i="3"/>
  <c r="X16" i="3"/>
  <c r="X4" i="35"/>
  <c r="X4" i="13"/>
  <c r="AC4" i="13" s="1"/>
  <c r="X4" i="36"/>
  <c r="X4" i="33"/>
  <c r="X4" i="12"/>
  <c r="X4" i="32"/>
  <c r="X4" i="30"/>
  <c r="X4" i="38"/>
  <c r="X4" i="6"/>
  <c r="X4" i="9"/>
  <c r="X4" i="26"/>
  <c r="X4" i="16"/>
  <c r="X4" i="22"/>
  <c r="X4" i="20"/>
  <c r="X4" i="1"/>
  <c r="X4" i="37"/>
  <c r="X4" i="28"/>
  <c r="X20" i="3"/>
  <c r="BF1012" i="9"/>
  <c r="BF291" i="9"/>
  <c r="BF521" i="9"/>
  <c r="BG285" i="9"/>
  <c r="AA358" i="9"/>
  <c r="AA206" i="9"/>
  <c r="AA339" i="9"/>
  <c r="AA415" i="9"/>
  <c r="AA396" i="9"/>
  <c r="AA225" i="9"/>
  <c r="AA320" i="9"/>
  <c r="AA263" i="9"/>
  <c r="AA187" i="9"/>
  <c r="AA301" i="9"/>
  <c r="AA377" i="9"/>
  <c r="AA244" i="9"/>
  <c r="AA149" i="9"/>
  <c r="AA92" i="9"/>
  <c r="AA111" i="9"/>
  <c r="AA434" i="9"/>
  <c r="AA282" i="9"/>
  <c r="AA73" i="9"/>
  <c r="AA168" i="9"/>
  <c r="AA130" i="9"/>
  <c r="AA106" i="3"/>
  <c r="AA83" i="3"/>
  <c r="X152" i="3"/>
  <c r="X138" i="3"/>
  <c r="X148" i="3"/>
  <c r="BF605" i="9"/>
  <c r="BF887" i="9" s="1"/>
  <c r="BG142" i="9"/>
  <c r="BF607" i="9"/>
  <c r="BF889" i="9" s="1"/>
  <c r="BG180" i="9"/>
  <c r="DD2" i="1"/>
  <c r="AA26" i="3"/>
  <c r="AA28" i="3"/>
  <c r="AB152" i="3"/>
  <c r="AB138" i="3"/>
  <c r="AB155" i="3"/>
  <c r="S5" i="11"/>
  <c r="V57" i="3"/>
  <c r="V103" i="3" s="1"/>
  <c r="V49" i="3"/>
  <c r="V95" i="3" s="1"/>
  <c r="V54" i="3"/>
  <c r="V100" i="3" s="1"/>
  <c r="V52" i="3"/>
  <c r="V98" i="3" s="1"/>
  <c r="V62" i="3"/>
  <c r="V108" i="3" s="1"/>
  <c r="V61" i="3"/>
  <c r="V107" i="3" s="1"/>
  <c r="V56" i="3"/>
  <c r="V102" i="3" s="1"/>
  <c r="V51" i="3"/>
  <c r="V97" i="3" s="1"/>
  <c r="V55" i="3"/>
  <c r="V101" i="3" s="1"/>
  <c r="V53" i="3"/>
  <c r="V99" i="3" s="1"/>
  <c r="V46" i="3"/>
  <c r="V92" i="3" s="1"/>
  <c r="V59" i="3"/>
  <c r="V105" i="3" s="1"/>
  <c r="V58" i="3"/>
  <c r="V104" i="3" s="1"/>
  <c r="V60" i="3"/>
  <c r="V106" i="3" s="1"/>
  <c r="V50" i="3"/>
  <c r="V96" i="3" s="1"/>
  <c r="V47" i="3"/>
  <c r="V93" i="3" s="1"/>
  <c r="V64" i="3"/>
  <c r="V110" i="3" s="1"/>
  <c r="V63" i="3"/>
  <c r="V109" i="3" s="1"/>
  <c r="V48" i="3"/>
  <c r="V94" i="3" s="1"/>
  <c r="V45" i="3"/>
  <c r="V91" i="3" s="1"/>
  <c r="V5" i="35"/>
  <c r="V5" i="13"/>
  <c r="AA5" i="13" s="1"/>
  <c r="V5" i="36"/>
  <c r="V5" i="33"/>
  <c r="V5" i="12"/>
  <c r="V5" i="32"/>
  <c r="V5" i="30"/>
  <c r="V5" i="38"/>
  <c r="V5" i="6"/>
  <c r="V5" i="9"/>
  <c r="V5" i="26"/>
  <c r="V5" i="16"/>
  <c r="V5" i="22"/>
  <c r="V5" i="20"/>
  <c r="V5" i="1"/>
  <c r="V5" i="37"/>
  <c r="V5" i="28"/>
  <c r="AA230" i="3"/>
  <c r="AA719" i="9"/>
  <c r="BX141" i="3"/>
  <c r="BX148" i="3"/>
  <c r="AA238" i="3"/>
  <c r="AA727" i="9"/>
  <c r="AA293" i="3"/>
  <c r="AA275" i="3"/>
  <c r="E215" i="23"/>
  <c r="E214" i="23" a="1"/>
  <c r="AA750" i="9" l="1"/>
  <c r="BZ154" i="3"/>
  <c r="AA745" i="9"/>
  <c r="AA748" i="9"/>
  <c r="AA758" i="9"/>
  <c r="AA746" i="9"/>
  <c r="W103" i="3"/>
  <c r="W107" i="3"/>
  <c r="BZ141" i="3"/>
  <c r="AA741" i="9"/>
  <c r="AA755" i="9"/>
  <c r="BZ4" i="3"/>
  <c r="BZ4" i="30" s="1"/>
  <c r="AB220" i="3"/>
  <c r="AB266" i="3"/>
  <c r="AB265" i="3"/>
  <c r="AB219" i="3"/>
  <c r="AB731" i="9" s="1"/>
  <c r="AB261" i="3"/>
  <c r="AB215" i="3"/>
  <c r="AA760" i="9"/>
  <c r="BH459" i="9"/>
  <c r="BH422" i="9"/>
  <c r="BG543" i="9"/>
  <c r="BG278" i="9"/>
  <c r="AA291" i="3"/>
  <c r="DE2" i="20"/>
  <c r="AB163" i="3"/>
  <c r="AB186" i="3" s="1"/>
  <c r="AA285" i="3"/>
  <c r="BZ152" i="3"/>
  <c r="BZ140" i="3"/>
  <c r="BZ151" i="3"/>
  <c r="BG456" i="9"/>
  <c r="BG365" i="9"/>
  <c r="AA38" i="20"/>
  <c r="AA100" i="20"/>
  <c r="AA114" i="20"/>
  <c r="BF1001" i="9"/>
  <c r="BF510" i="9"/>
  <c r="BF82" i="9"/>
  <c r="BG76" i="9"/>
  <c r="BG541" i="9"/>
  <c r="BG240" i="9"/>
  <c r="BF1013" i="9"/>
  <c r="BF522" i="9"/>
  <c r="BF310" i="9"/>
  <c r="BG304" i="9"/>
  <c r="W95" i="3"/>
  <c r="AA283" i="3"/>
  <c r="AA245" i="3"/>
  <c r="AA734" i="9"/>
  <c r="BF1002" i="9"/>
  <c r="BF511" i="9"/>
  <c r="BG95" i="9"/>
  <c r="BF101" i="9"/>
  <c r="AB4" i="11"/>
  <c r="AB16" i="3"/>
  <c r="AB22" i="3"/>
  <c r="AB30" i="3"/>
  <c r="AB4" i="35"/>
  <c r="AB4" i="33"/>
  <c r="AC4" i="12"/>
  <c r="AB4" i="32"/>
  <c r="AB4" i="30"/>
  <c r="AB4" i="38"/>
  <c r="AB4" i="6"/>
  <c r="AB4" i="9"/>
  <c r="AB4" i="26"/>
  <c r="AB4" i="16"/>
  <c r="AB4" i="22"/>
  <c r="AB4" i="20"/>
  <c r="AB4" i="1"/>
  <c r="AB4" i="28"/>
  <c r="AB20" i="3"/>
  <c r="U3" i="11"/>
  <c r="X3" i="35"/>
  <c r="X3" i="13"/>
  <c r="AC3" i="13" s="1"/>
  <c r="X3" i="36"/>
  <c r="X3" i="33"/>
  <c r="X3" i="12"/>
  <c r="X3" i="32"/>
  <c r="X3" i="30"/>
  <c r="X3" i="38"/>
  <c r="X3" i="6"/>
  <c r="X3" i="9"/>
  <c r="X3" i="26"/>
  <c r="X3" i="16"/>
  <c r="X3" i="22"/>
  <c r="X3" i="20"/>
  <c r="K3" i="20" s="1"/>
  <c r="X3" i="1"/>
  <c r="X3" i="37"/>
  <c r="X3" i="28"/>
  <c r="AA239" i="3"/>
  <c r="AA728" i="9"/>
  <c r="AB256" i="3"/>
  <c r="AB210" i="3"/>
  <c r="W106" i="3"/>
  <c r="BZ156" i="3"/>
  <c r="BZ155" i="3"/>
  <c r="AA74" i="20"/>
  <c r="BG549" i="9"/>
  <c r="BG392" i="9"/>
  <c r="BL4" i="11"/>
  <c r="BX16" i="3"/>
  <c r="BX22" i="3"/>
  <c r="BX20" i="3"/>
  <c r="BY20" i="3"/>
  <c r="BX4" i="35"/>
  <c r="BX4" i="33"/>
  <c r="BY4" i="12"/>
  <c r="BX4" i="32"/>
  <c r="BX4" i="30"/>
  <c r="BX4" i="38"/>
  <c r="BX4" i="6"/>
  <c r="BX4" i="9"/>
  <c r="BX4" i="26"/>
  <c r="BX4" i="16"/>
  <c r="BX4" i="22"/>
  <c r="BX4" i="20"/>
  <c r="BX4" i="1"/>
  <c r="BX4" i="28"/>
  <c r="W96" i="3"/>
  <c r="AA237" i="3"/>
  <c r="AA726" i="9"/>
  <c r="AA151" i="26"/>
  <c r="W148" i="26"/>
  <c r="AA143" i="26"/>
  <c r="W140" i="26"/>
  <c r="W202" i="26"/>
  <c r="W205" i="26"/>
  <c r="AA203" i="26"/>
  <c r="W197" i="26"/>
  <c r="AA195" i="26"/>
  <c r="W208" i="26"/>
  <c r="W200" i="26"/>
  <c r="AA175" i="26"/>
  <c r="W174" i="26"/>
  <c r="AA150" i="26"/>
  <c r="W149" i="26"/>
  <c r="AA145" i="26"/>
  <c r="W178" i="26"/>
  <c r="W182" i="26"/>
  <c r="W150" i="26"/>
  <c r="AA146" i="26"/>
  <c r="W144" i="26"/>
  <c r="AA202" i="26"/>
  <c r="W207" i="26"/>
  <c r="AA205" i="26"/>
  <c r="W204" i="26"/>
  <c r="W199" i="26"/>
  <c r="AA197" i="26"/>
  <c r="W196" i="26"/>
  <c r="AA174" i="26"/>
  <c r="AA148" i="26"/>
  <c r="W146" i="26"/>
  <c r="W125" i="26"/>
  <c r="AA120" i="26"/>
  <c r="W117" i="26"/>
  <c r="AA112" i="26"/>
  <c r="W99" i="26"/>
  <c r="W95" i="26"/>
  <c r="W91" i="26"/>
  <c r="W87" i="26"/>
  <c r="AA72" i="26"/>
  <c r="W69" i="26"/>
  <c r="AA64" i="26"/>
  <c r="W61" i="26"/>
  <c r="AA149" i="26"/>
  <c r="AA144" i="26"/>
  <c r="W137" i="26"/>
  <c r="AA125" i="26"/>
  <c r="W123" i="26"/>
  <c r="AA113" i="26"/>
  <c r="AA91" i="26"/>
  <c r="W90" i="26"/>
  <c r="AA85" i="26"/>
  <c r="AA62" i="26"/>
  <c r="AA142" i="26"/>
  <c r="AA141" i="26"/>
  <c r="AA140" i="26"/>
  <c r="W124" i="26"/>
  <c r="AA119" i="26"/>
  <c r="W118" i="26"/>
  <c r="AA114" i="26"/>
  <c r="W111" i="26"/>
  <c r="AA98" i="26"/>
  <c r="W97" i="26"/>
  <c r="AA88" i="26"/>
  <c r="W73" i="26"/>
  <c r="W72" i="26"/>
  <c r="AA69" i="26"/>
  <c r="W67" i="26"/>
  <c r="AA182" i="26"/>
  <c r="W151" i="26"/>
  <c r="AA147" i="26"/>
  <c r="W141" i="26"/>
  <c r="W139" i="26"/>
  <c r="W138" i="26"/>
  <c r="AA121" i="26"/>
  <c r="AA95" i="26"/>
  <c r="W94" i="26"/>
  <c r="AA89" i="26"/>
  <c r="W74" i="26"/>
  <c r="W68" i="26"/>
  <c r="AA63" i="26"/>
  <c r="W62" i="26"/>
  <c r="AA65" i="26"/>
  <c r="W173" i="26"/>
  <c r="W142" i="26"/>
  <c r="AA122" i="26"/>
  <c r="W119" i="26"/>
  <c r="AA115" i="26"/>
  <c r="W113" i="26"/>
  <c r="W112" i="26"/>
  <c r="AA92" i="26"/>
  <c r="W88" i="26"/>
  <c r="AA86" i="26"/>
  <c r="W85" i="26"/>
  <c r="AA70" i="26"/>
  <c r="AA180" i="26"/>
  <c r="W147" i="26"/>
  <c r="AA116" i="26"/>
  <c r="W114" i="26"/>
  <c r="AA99" i="26"/>
  <c r="W98" i="26"/>
  <c r="AA93" i="26"/>
  <c r="AA66" i="26"/>
  <c r="W63" i="26"/>
  <c r="W143" i="26"/>
  <c r="AA137" i="26"/>
  <c r="AA123" i="26"/>
  <c r="W121" i="26"/>
  <c r="W120" i="26"/>
  <c r="AA96" i="26"/>
  <c r="W92" i="26"/>
  <c r="AA90" i="26"/>
  <c r="W89" i="26"/>
  <c r="AA71" i="26"/>
  <c r="W70" i="26"/>
  <c r="W177" i="26"/>
  <c r="AA124" i="26"/>
  <c r="W122" i="26"/>
  <c r="AA117" i="26"/>
  <c r="W115" i="26"/>
  <c r="AA97" i="26"/>
  <c r="AA87" i="26"/>
  <c r="W86" i="26"/>
  <c r="AA73" i="26"/>
  <c r="AA67" i="26"/>
  <c r="W65" i="26"/>
  <c r="W64" i="26"/>
  <c r="AA178" i="26"/>
  <c r="W175" i="26"/>
  <c r="W145" i="26"/>
  <c r="AA139" i="26"/>
  <c r="AA138" i="26"/>
  <c r="AA118" i="26"/>
  <c r="W116" i="26"/>
  <c r="AA111" i="26"/>
  <c r="W96" i="26"/>
  <c r="AA94" i="26"/>
  <c r="W93" i="26"/>
  <c r="AA74" i="26"/>
  <c r="W71" i="26"/>
  <c r="AA68" i="26"/>
  <c r="W66" i="26"/>
  <c r="W60" i="26"/>
  <c r="AA60" i="26"/>
  <c r="Z5" i="26"/>
  <c r="AA61" i="26"/>
  <c r="AA183" i="26"/>
  <c r="AA209" i="26"/>
  <c r="AA199" i="26"/>
  <c r="W176" i="26"/>
  <c r="AA181" i="26"/>
  <c r="W171" i="26"/>
  <c r="W201" i="26"/>
  <c r="AA196" i="26"/>
  <c r="AA185" i="26"/>
  <c r="W203" i="26"/>
  <c r="W184" i="26"/>
  <c r="AA207" i="26"/>
  <c r="AA200" i="26"/>
  <c r="W198" i="26"/>
  <c r="AA204" i="26"/>
  <c r="AA172" i="26"/>
  <c r="AA176" i="26"/>
  <c r="AA184" i="26"/>
  <c r="W206" i="26"/>
  <c r="AA177" i="26"/>
  <c r="AA208" i="26"/>
  <c r="W209" i="26"/>
  <c r="AA206" i="26"/>
  <c r="AA171" i="26"/>
  <c r="W172" i="26"/>
  <c r="W179" i="26"/>
  <c r="W185" i="26"/>
  <c r="W181" i="26"/>
  <c r="W183" i="26"/>
  <c r="W195" i="26"/>
  <c r="AA201" i="26"/>
  <c r="W180" i="26"/>
  <c r="AA198" i="26"/>
  <c r="AA179" i="26"/>
  <c r="AA173" i="26"/>
  <c r="V202" i="26"/>
  <c r="V201" i="26"/>
  <c r="V93" i="26"/>
  <c r="V149" i="26"/>
  <c r="V62" i="26"/>
  <c r="V91" i="26"/>
  <c r="V85" i="26"/>
  <c r="V143" i="26"/>
  <c r="V99" i="26"/>
  <c r="V183" i="26"/>
  <c r="V176" i="26"/>
  <c r="V97" i="26"/>
  <c r="V205" i="26"/>
  <c r="V151" i="26"/>
  <c r="V71" i="26"/>
  <c r="V144" i="26"/>
  <c r="V182" i="26"/>
  <c r="V74" i="26"/>
  <c r="V69" i="26"/>
  <c r="V121" i="26"/>
  <c r="V86" i="26"/>
  <c r="V171" i="26"/>
  <c r="V175" i="26"/>
  <c r="V172" i="26"/>
  <c r="V70" i="26"/>
  <c r="V197" i="26"/>
  <c r="V124" i="26"/>
  <c r="V137" i="26"/>
  <c r="V118" i="26"/>
  <c r="V150" i="26"/>
  <c r="V173" i="26"/>
  <c r="V180" i="26"/>
  <c r="V120" i="26"/>
  <c r="V65" i="26"/>
  <c r="V208" i="26"/>
  <c r="V179" i="26"/>
  <c r="V177" i="26"/>
  <c r="V111" i="26"/>
  <c r="V141" i="26"/>
  <c r="V114" i="26"/>
  <c r="V92" i="26"/>
  <c r="V64" i="26"/>
  <c r="V185" i="26"/>
  <c r="V68" i="26"/>
  <c r="V89" i="26"/>
  <c r="V116" i="26"/>
  <c r="V123" i="26"/>
  <c r="V142" i="26"/>
  <c r="V196" i="26"/>
  <c r="V60" i="26"/>
  <c r="V61" i="26"/>
  <c r="V174" i="26"/>
  <c r="V73" i="26"/>
  <c r="V138" i="26"/>
  <c r="V113" i="26"/>
  <c r="V95" i="26"/>
  <c r="V199" i="26"/>
  <c r="V204" i="26"/>
  <c r="V90" i="26"/>
  <c r="V147" i="26"/>
  <c r="V178" i="26"/>
  <c r="V145" i="26"/>
  <c r="V87" i="26"/>
  <c r="V72" i="26"/>
  <c r="V125" i="26"/>
  <c r="V112" i="26"/>
  <c r="V63" i="26"/>
  <c r="V122" i="26"/>
  <c r="V207" i="26"/>
  <c r="V203" i="26"/>
  <c r="V139" i="26"/>
  <c r="V209" i="26"/>
  <c r="V96" i="26"/>
  <c r="V184" i="26"/>
  <c r="V67" i="26"/>
  <c r="V94" i="26"/>
  <c r="V88" i="26"/>
  <c r="V146" i="26"/>
  <c r="V115" i="26"/>
  <c r="V200" i="26"/>
  <c r="V198" i="26"/>
  <c r="V195" i="26"/>
  <c r="V148" i="26"/>
  <c r="V117" i="26"/>
  <c r="V140" i="26"/>
  <c r="V119" i="26"/>
  <c r="V98" i="26"/>
  <c r="V66" i="26"/>
  <c r="V206" i="26"/>
  <c r="V181" i="26"/>
  <c r="AB178" i="3"/>
  <c r="AB201" i="3" s="1"/>
  <c r="X18" i="3"/>
  <c r="AA742" i="9"/>
  <c r="V282" i="9"/>
  <c r="V434" i="9"/>
  <c r="V415" i="9"/>
  <c r="V396" i="9"/>
  <c r="V320" i="9"/>
  <c r="V377" i="9"/>
  <c r="V187" i="9"/>
  <c r="V301" i="9"/>
  <c r="V244" i="9"/>
  <c r="V168" i="9"/>
  <c r="V206" i="9"/>
  <c r="V358" i="9"/>
  <c r="V225" i="9"/>
  <c r="V339" i="9"/>
  <c r="V263" i="9"/>
  <c r="V73" i="9"/>
  <c r="V130" i="9"/>
  <c r="V149" i="9"/>
  <c r="V111" i="9"/>
  <c r="V92" i="9"/>
  <c r="AB161" i="3"/>
  <c r="AB184" i="3" s="1"/>
  <c r="W109" i="3"/>
  <c r="X28" i="3"/>
  <c r="X26" i="3"/>
  <c r="AB160" i="3"/>
  <c r="AB183" i="3" s="1"/>
  <c r="BG451" i="9"/>
  <c r="BG270" i="9"/>
  <c r="BG403" i="9"/>
  <c r="BG458" i="9"/>
  <c r="AB5" i="11"/>
  <c r="AB64" i="3"/>
  <c r="AB110" i="3" s="1"/>
  <c r="AB56" i="3"/>
  <c r="AB102" i="3" s="1"/>
  <c r="AB48" i="3"/>
  <c r="AB94" i="3" s="1"/>
  <c r="AB63" i="3"/>
  <c r="AB109" i="3" s="1"/>
  <c r="AB58" i="3"/>
  <c r="AB104" i="3" s="1"/>
  <c r="AB45" i="3"/>
  <c r="AB91" i="3" s="1"/>
  <c r="AB53" i="3"/>
  <c r="AB99" i="3" s="1"/>
  <c r="AB51" i="3"/>
  <c r="AB97" i="3" s="1"/>
  <c r="AB60" i="3"/>
  <c r="AB106" i="3" s="1"/>
  <c r="AB61" i="3"/>
  <c r="AB107" i="3" s="1"/>
  <c r="AB50" i="3"/>
  <c r="AB96" i="3" s="1"/>
  <c r="AB62" i="3"/>
  <c r="AB108" i="3" s="1"/>
  <c r="AB46" i="3"/>
  <c r="AB92" i="3" s="1"/>
  <c r="AB59" i="3"/>
  <c r="AB105" i="3" s="1"/>
  <c r="AB54" i="3"/>
  <c r="AB100" i="3" s="1"/>
  <c r="AB55" i="3"/>
  <c r="AB101" i="3" s="1"/>
  <c r="AB52" i="3"/>
  <c r="AB98" i="3" s="1"/>
  <c r="AB49" i="3"/>
  <c r="AB95" i="3" s="1"/>
  <c r="AB47" i="3"/>
  <c r="AB93" i="3" s="1"/>
  <c r="AB57" i="3"/>
  <c r="AB103" i="3" s="1"/>
  <c r="AB5" i="35"/>
  <c r="AB5" i="33"/>
  <c r="AC5" i="12"/>
  <c r="AB5" i="32"/>
  <c r="AB5" i="30"/>
  <c r="AB5" i="38"/>
  <c r="AB5" i="6"/>
  <c r="AB5" i="9"/>
  <c r="AB5" i="26"/>
  <c r="AB5" i="16"/>
  <c r="AB5" i="22"/>
  <c r="AB5" i="20"/>
  <c r="AB5" i="1"/>
  <c r="AB5" i="28"/>
  <c r="AB133" i="3"/>
  <c r="AB126" i="3"/>
  <c r="AB127" i="3"/>
  <c r="AB128" i="3"/>
  <c r="AB121" i="3"/>
  <c r="AB122" i="3"/>
  <c r="AB123" i="3"/>
  <c r="AB115" i="3"/>
  <c r="AB117" i="3"/>
  <c r="AB130" i="3"/>
  <c r="AB120" i="3"/>
  <c r="AB129" i="3"/>
  <c r="AB114" i="3"/>
  <c r="AB125" i="3"/>
  <c r="AB132" i="3"/>
  <c r="AB118" i="3"/>
  <c r="AB124" i="3"/>
  <c r="AB131" i="3"/>
  <c r="AB119" i="3"/>
  <c r="AB116" i="3"/>
  <c r="BG551" i="9"/>
  <c r="BG430" i="9"/>
  <c r="BG548" i="9"/>
  <c r="BG373" i="9"/>
  <c r="W102" i="3"/>
  <c r="BZ150" i="3"/>
  <c r="BZ145" i="3"/>
  <c r="BF602" i="9"/>
  <c r="BF884" i="9" s="1"/>
  <c r="BG85" i="9"/>
  <c r="W98" i="3"/>
  <c r="AB172" i="3"/>
  <c r="AB195" i="3" s="1"/>
  <c r="W108" i="3"/>
  <c r="AB194" i="3"/>
  <c r="AB171" i="3"/>
  <c r="BF606" i="9"/>
  <c r="BF888" i="9" s="1"/>
  <c r="BG161" i="9"/>
  <c r="BF613" i="9"/>
  <c r="BF895" i="9" s="1"/>
  <c r="BG294" i="9"/>
  <c r="W92" i="3"/>
  <c r="AA240" i="3"/>
  <c r="AA729" i="9"/>
  <c r="AB177" i="3"/>
  <c r="AB200" i="3" s="1"/>
  <c r="AB175" i="3"/>
  <c r="AB198" i="3" s="1"/>
  <c r="BG536" i="9"/>
  <c r="BG145" i="9"/>
  <c r="BG452" i="9"/>
  <c r="BG289" i="9"/>
  <c r="AB179" i="3"/>
  <c r="AB202" i="3" s="1"/>
  <c r="AB165" i="3"/>
  <c r="AB188" i="3" s="1"/>
  <c r="BF603" i="9"/>
  <c r="BF885" i="9" s="1"/>
  <c r="BG104" i="9"/>
  <c r="BF601" i="9"/>
  <c r="BF883" i="9" s="1"/>
  <c r="BG66" i="9"/>
  <c r="AC10" i="3"/>
  <c r="AC138" i="3" s="1"/>
  <c r="BG448" i="9"/>
  <c r="BG213" i="9"/>
  <c r="BF619" i="9"/>
  <c r="BF901" i="9" s="1"/>
  <c r="BG408" i="9"/>
  <c r="Y10" i="3"/>
  <c r="Y142" i="3" s="1"/>
  <c r="CA8" i="3"/>
  <c r="AA753" i="9"/>
  <c r="W101" i="3"/>
  <c r="BZ147" i="3"/>
  <c r="AA25" i="30"/>
  <c r="AA137" i="20"/>
  <c r="AA29" i="30" s="1"/>
  <c r="W100" i="3"/>
  <c r="BF611" i="9"/>
  <c r="BF893" i="9" s="1"/>
  <c r="BG256" i="9"/>
  <c r="AB168" i="3"/>
  <c r="AB191" i="3" s="1"/>
  <c r="W93" i="3"/>
  <c r="AB87" i="3"/>
  <c r="AB166" i="3"/>
  <c r="AB189" i="3" s="1"/>
  <c r="AA286" i="3"/>
  <c r="AA744" i="9"/>
  <c r="W110" i="3"/>
  <c r="AB167" i="3"/>
  <c r="AB190" i="3" s="1"/>
  <c r="U5" i="11"/>
  <c r="X63" i="3"/>
  <c r="X109" i="3" s="1"/>
  <c r="X55" i="3"/>
  <c r="X101" i="3" s="1"/>
  <c r="X47" i="3"/>
  <c r="X93" i="3" s="1"/>
  <c r="X57" i="3"/>
  <c r="X103" i="3" s="1"/>
  <c r="X52" i="3"/>
  <c r="X98" i="3" s="1"/>
  <c r="X50" i="3"/>
  <c r="X96" i="3" s="1"/>
  <c r="X60" i="3"/>
  <c r="X106" i="3" s="1"/>
  <c r="X54" i="3"/>
  <c r="X100" i="3" s="1"/>
  <c r="X59" i="3"/>
  <c r="X105" i="3" s="1"/>
  <c r="X49" i="3"/>
  <c r="X95" i="3" s="1"/>
  <c r="X61" i="3"/>
  <c r="X107" i="3" s="1"/>
  <c r="X48" i="3"/>
  <c r="X94" i="3" s="1"/>
  <c r="X64" i="3"/>
  <c r="X110" i="3" s="1"/>
  <c r="X62" i="3"/>
  <c r="X108" i="3" s="1"/>
  <c r="X45" i="3"/>
  <c r="X91" i="3" s="1"/>
  <c r="X53" i="3"/>
  <c r="X99" i="3" s="1"/>
  <c r="X51" i="3"/>
  <c r="X97" i="3" s="1"/>
  <c r="X46" i="3"/>
  <c r="X92" i="3" s="1"/>
  <c r="X58" i="3"/>
  <c r="X104" i="3" s="1"/>
  <c r="X56" i="3"/>
  <c r="X102" i="3" s="1"/>
  <c r="X5" i="35"/>
  <c r="X5" i="13"/>
  <c r="AC5" i="13" s="1"/>
  <c r="X5" i="36"/>
  <c r="X5" i="33"/>
  <c r="X5" i="12"/>
  <c r="X5" i="32"/>
  <c r="X5" i="30"/>
  <c r="X5" i="38"/>
  <c r="X5" i="6"/>
  <c r="X5" i="9"/>
  <c r="X5" i="26"/>
  <c r="X5" i="16"/>
  <c r="X5" i="22"/>
  <c r="X5" i="20"/>
  <c r="X5" i="1"/>
  <c r="X5" i="37"/>
  <c r="X5" i="28"/>
  <c r="W18" i="3"/>
  <c r="V18" i="3"/>
  <c r="BZ22" i="3"/>
  <c r="BZ16" i="3"/>
  <c r="BZ18" i="3" s="1"/>
  <c r="BZ4" i="35"/>
  <c r="BZ4" i="33"/>
  <c r="BZ4" i="38"/>
  <c r="BZ4" i="26"/>
  <c r="BZ4" i="16"/>
  <c r="BZ4" i="22"/>
  <c r="BZ4" i="28"/>
  <c r="BZ5" i="3"/>
  <c r="BZ41" i="3"/>
  <c r="BZ24" i="3"/>
  <c r="BZ12" i="3"/>
  <c r="BZ3" i="3" s="1"/>
  <c r="BL5" i="11"/>
  <c r="BY132" i="3"/>
  <c r="BY124" i="3"/>
  <c r="BY116" i="3"/>
  <c r="BY131" i="3"/>
  <c r="BY126" i="3"/>
  <c r="BX130" i="3"/>
  <c r="BY129" i="3"/>
  <c r="BX122" i="3"/>
  <c r="BY119" i="3"/>
  <c r="BX61" i="3"/>
  <c r="BX107" i="3" s="1"/>
  <c r="BX53" i="3"/>
  <c r="BX99" i="3" s="1"/>
  <c r="BX45" i="3"/>
  <c r="BX91" i="3" s="1"/>
  <c r="BY127" i="3"/>
  <c r="BY115" i="3"/>
  <c r="BX132" i="3"/>
  <c r="BY123" i="3"/>
  <c r="BX116" i="3"/>
  <c r="BY120" i="3"/>
  <c r="BY133" i="3"/>
  <c r="BX124" i="3"/>
  <c r="BX133" i="3"/>
  <c r="BY128" i="3"/>
  <c r="BY121" i="3"/>
  <c r="BY117" i="3"/>
  <c r="BY114" i="3"/>
  <c r="BY125" i="3"/>
  <c r="BX114" i="3"/>
  <c r="BY130" i="3"/>
  <c r="BX56" i="3"/>
  <c r="BX102" i="3" s="1"/>
  <c r="BX51" i="3"/>
  <c r="BX97" i="3" s="1"/>
  <c r="BY118" i="3"/>
  <c r="BX64" i="3"/>
  <c r="BX110" i="3" s="1"/>
  <c r="BX59" i="3"/>
  <c r="BX105" i="3" s="1"/>
  <c r="BX55" i="3"/>
  <c r="BX101" i="3" s="1"/>
  <c r="BX50" i="3"/>
  <c r="BX96" i="3" s="1"/>
  <c r="BX63" i="3"/>
  <c r="BX109" i="3" s="1"/>
  <c r="BX54" i="3"/>
  <c r="BX100" i="3" s="1"/>
  <c r="BX47" i="3"/>
  <c r="BX93" i="3" s="1"/>
  <c r="BY122" i="3"/>
  <c r="BX52" i="3"/>
  <c r="BX98" i="3" s="1"/>
  <c r="BX58" i="3"/>
  <c r="BX104" i="3" s="1"/>
  <c r="BX57" i="3"/>
  <c r="BX103" i="3" s="1"/>
  <c r="BX48" i="3"/>
  <c r="BX94" i="3" s="1"/>
  <c r="BX60" i="3"/>
  <c r="BX106" i="3" s="1"/>
  <c r="BX49" i="3"/>
  <c r="BX95" i="3" s="1"/>
  <c r="BX62" i="3"/>
  <c r="BX108" i="3" s="1"/>
  <c r="BX46" i="3"/>
  <c r="BX92" i="3" s="1"/>
  <c r="BX121" i="3"/>
  <c r="BX125" i="3"/>
  <c r="BX118" i="3"/>
  <c r="BX115" i="3"/>
  <c r="BX126" i="3"/>
  <c r="BX120" i="3"/>
  <c r="BX129" i="3"/>
  <c r="BX119" i="3"/>
  <c r="BX131" i="3"/>
  <c r="BX127" i="3"/>
  <c r="BX117" i="3"/>
  <c r="BX123" i="3"/>
  <c r="BX128" i="3"/>
  <c r="BX5" i="35"/>
  <c r="BX5" i="33"/>
  <c r="BY5" i="12"/>
  <c r="BX5" i="32"/>
  <c r="BX5" i="30"/>
  <c r="BX5" i="38"/>
  <c r="BX5" i="6"/>
  <c r="BX5" i="9"/>
  <c r="BX5" i="26"/>
  <c r="BX5" i="16"/>
  <c r="BX5" i="22"/>
  <c r="BX5" i="20"/>
  <c r="BX5" i="1"/>
  <c r="BX5" i="28"/>
  <c r="AA827" i="9"/>
  <c r="AA828" i="9"/>
  <c r="AA820" i="9"/>
  <c r="AA812" i="9"/>
  <c r="AA829" i="9"/>
  <c r="AA826" i="9"/>
  <c r="AA818" i="9"/>
  <c r="AA810" i="9"/>
  <c r="AA819" i="9"/>
  <c r="AA813" i="9"/>
  <c r="AA825" i="9"/>
  <c r="AA824" i="9"/>
  <c r="AA816" i="9"/>
  <c r="AA815" i="9"/>
  <c r="AA814" i="9"/>
  <c r="AA817" i="9"/>
  <c r="AA811" i="9"/>
  <c r="AA823" i="9"/>
  <c r="AA822" i="9"/>
  <c r="AA821" i="9"/>
  <c r="AA23" i="20"/>
  <c r="AA85" i="20"/>
  <c r="AA90" i="20"/>
  <c r="AA41" i="30"/>
  <c r="BF1007" i="9"/>
  <c r="BF516" i="9"/>
  <c r="BF196" i="9"/>
  <c r="BG190" i="9"/>
  <c r="W99" i="3"/>
  <c r="W97" i="3"/>
  <c r="AB176" i="3"/>
  <c r="AB199" i="3" s="1"/>
  <c r="BG449" i="9"/>
  <c r="BG232" i="9"/>
  <c r="BG609" i="9"/>
  <c r="BG891" i="9" s="1"/>
  <c r="BH218" i="9"/>
  <c r="AA242" i="3"/>
  <c r="AB242" i="3"/>
  <c r="AA731" i="9"/>
  <c r="BG156" i="9"/>
  <c r="BG445" i="9"/>
  <c r="AB162" i="3"/>
  <c r="AB185" i="3" s="1"/>
  <c r="W105" i="3"/>
  <c r="AB3" i="11"/>
  <c r="AB14" i="3"/>
  <c r="AB3" i="35"/>
  <c r="AB3" i="33"/>
  <c r="AC3" i="12"/>
  <c r="AB3" i="32"/>
  <c r="AB3" i="30"/>
  <c r="AB3" i="38"/>
  <c r="AB3" i="6"/>
  <c r="AB3" i="9"/>
  <c r="AB3" i="26"/>
  <c r="AB3" i="16"/>
  <c r="AB3" i="22"/>
  <c r="AB3" i="20"/>
  <c r="AB3" i="1"/>
  <c r="AB3" i="28"/>
  <c r="AB37" i="3"/>
  <c r="W104" i="3"/>
  <c r="BZ148" i="3"/>
  <c r="BZ149" i="3"/>
  <c r="BZ139" i="3"/>
  <c r="BF616" i="9"/>
  <c r="BF898" i="9" s="1"/>
  <c r="BG351" i="9"/>
  <c r="AA29" i="20"/>
  <c r="AA46" i="20"/>
  <c r="AA60" i="20"/>
  <c r="AA96" i="20"/>
  <c r="AA44" i="30"/>
  <c r="AA154" i="20"/>
  <c r="AA277" i="3"/>
  <c r="BF615" i="9"/>
  <c r="BF897" i="9" s="1"/>
  <c r="BG332" i="9"/>
  <c r="BZ20" i="3"/>
  <c r="BG535" i="9"/>
  <c r="BG126" i="9"/>
  <c r="BG251" i="9"/>
  <c r="BG450" i="9"/>
  <c r="AA288" i="3"/>
  <c r="AB288" i="3"/>
  <c r="AB86" i="3"/>
  <c r="BF1015" i="9"/>
  <c r="BF524" i="9"/>
  <c r="BG342" i="9"/>
  <c r="BF348" i="9"/>
  <c r="BF608" i="9"/>
  <c r="BF890" i="9" s="1"/>
  <c r="BG199" i="9"/>
  <c r="BG316" i="9"/>
  <c r="BG545" i="9"/>
  <c r="W94" i="3"/>
  <c r="U6" i="50"/>
  <c r="Y6" i="50" s="1"/>
  <c r="AC6" i="50" s="1"/>
  <c r="AG6" i="50" s="1"/>
  <c r="P6" i="50"/>
  <c r="BG444" i="9"/>
  <c r="BG137" i="9"/>
  <c r="W91" i="3"/>
  <c r="BG454" i="9"/>
  <c r="BG327" i="9"/>
  <c r="V28" i="3"/>
  <c r="V26" i="3"/>
  <c r="BZ143" i="3"/>
  <c r="BZ153" i="3"/>
  <c r="BZ144" i="3"/>
  <c r="AA13" i="20"/>
  <c r="AA53" i="20"/>
  <c r="AA52" i="30"/>
  <c r="AA54" i="30" s="1"/>
  <c r="AA41" i="6"/>
  <c r="AA44" i="6" s="1"/>
  <c r="AA164" i="20"/>
  <c r="AA231" i="3"/>
  <c r="AA720" i="9"/>
  <c r="AA756" i="9"/>
  <c r="BY28" i="3"/>
  <c r="BY26" i="3"/>
  <c r="AA759" i="9"/>
  <c r="AA235" i="3"/>
  <c r="AA724" i="9"/>
  <c r="BG538" i="9"/>
  <c r="BG183" i="9"/>
  <c r="AB74" i="3"/>
  <c r="DI2" i="1"/>
  <c r="AB75" i="3"/>
  <c r="BG440" i="9"/>
  <c r="BG61" i="9"/>
  <c r="AB80" i="3"/>
  <c r="BZ138" i="3"/>
  <c r="BZ142" i="3"/>
  <c r="BZ146" i="3"/>
  <c r="BL3" i="11"/>
  <c r="BX14" i="3"/>
  <c r="BX3" i="35"/>
  <c r="BX3" i="33"/>
  <c r="BY3" i="12"/>
  <c r="BX3" i="32"/>
  <c r="BX3" i="30"/>
  <c r="BX3" i="38"/>
  <c r="BX3" i="6"/>
  <c r="BX3" i="9"/>
  <c r="BX3" i="26"/>
  <c r="BX3" i="16"/>
  <c r="BX3" i="22"/>
  <c r="BX3" i="20"/>
  <c r="BX3" i="1"/>
  <c r="DH2" i="1" s="1"/>
  <c r="BX3" i="28"/>
  <c r="AB170" i="3"/>
  <c r="AB193" i="3" s="1"/>
  <c r="AA24" i="32"/>
  <c r="AA25" i="32" s="1"/>
  <c r="AA24" i="35" s="1"/>
  <c r="AA131" i="20"/>
  <c r="AA132" i="20" s="1"/>
  <c r="AA28" i="30" s="1"/>
  <c r="AA26" i="32" s="1"/>
  <c r="AA25" i="35" s="1"/>
  <c r="BG443" i="9"/>
  <c r="BG118" i="9"/>
  <c r="BF1006" i="9"/>
  <c r="BF515" i="9"/>
  <c r="BF177" i="9"/>
  <c r="BG171" i="9"/>
  <c r="BG384" i="9"/>
  <c r="BG457" i="9"/>
  <c r="AA281" i="3"/>
  <c r="E214" i="23"/>
  <c r="E212" i="23" a="1"/>
  <c r="CA4" i="12" l="1"/>
  <c r="BZ4" i="9"/>
  <c r="BN4" i="11"/>
  <c r="BZ4" i="6"/>
  <c r="BY108" i="3"/>
  <c r="AB84" i="3"/>
  <c r="AB72" i="3"/>
  <c r="AB77" i="3"/>
  <c r="AC153" i="3"/>
  <c r="AC176" i="3" s="1"/>
  <c r="AC140" i="3"/>
  <c r="AC163" i="3" s="1"/>
  <c r="AC186" i="3" s="1"/>
  <c r="AC137" i="3"/>
  <c r="AC149" i="3"/>
  <c r="AC172" i="3" s="1"/>
  <c r="AC195" i="3" s="1"/>
  <c r="BY103" i="3"/>
  <c r="AB73" i="3"/>
  <c r="AC148" i="3"/>
  <c r="AC171" i="3" s="1"/>
  <c r="AC194" i="3" s="1"/>
  <c r="AB70" i="3"/>
  <c r="AC151" i="3"/>
  <c r="AC174" i="3" s="1"/>
  <c r="AC197" i="3" s="1"/>
  <c r="AB82" i="3"/>
  <c r="AC152" i="3"/>
  <c r="AC175" i="3" s="1"/>
  <c r="AB68" i="3"/>
  <c r="AC141" i="3"/>
  <c r="AC164" i="3" s="1"/>
  <c r="AC187" i="3" s="1"/>
  <c r="AA45" i="30"/>
  <c r="Y149" i="3"/>
  <c r="Y146" i="3"/>
  <c r="AC154" i="3"/>
  <c r="AC177" i="3" s="1"/>
  <c r="AC200" i="3" s="1"/>
  <c r="AC144" i="3"/>
  <c r="AC167" i="3" s="1"/>
  <c r="AC155" i="3"/>
  <c r="AB78" i="3"/>
  <c r="Y152" i="3"/>
  <c r="AC156" i="3"/>
  <c r="AC179" i="3" s="1"/>
  <c r="AC202" i="3" s="1"/>
  <c r="AC139" i="3"/>
  <c r="AC162" i="3" s="1"/>
  <c r="Y147" i="3"/>
  <c r="AC142" i="3"/>
  <c r="AC165" i="3" s="1"/>
  <c r="AC188" i="3" s="1"/>
  <c r="AC147" i="3"/>
  <c r="AC170" i="3" s="1"/>
  <c r="Y140" i="3"/>
  <c r="BY104" i="3"/>
  <c r="BY106" i="3"/>
  <c r="AB71" i="3"/>
  <c r="Y138" i="3"/>
  <c r="AC145" i="3"/>
  <c r="AC143" i="3"/>
  <c r="AC166" i="3" s="1"/>
  <c r="AC189" i="3" s="1"/>
  <c r="AC146" i="3"/>
  <c r="BY101" i="3"/>
  <c r="Y137" i="3"/>
  <c r="Y151" i="3"/>
  <c r="Y4" i="3"/>
  <c r="Y4" i="13" s="1"/>
  <c r="AD4" i="13" s="1"/>
  <c r="Y148" i="3"/>
  <c r="BY109" i="3"/>
  <c r="BZ4" i="20"/>
  <c r="BZ4" i="32"/>
  <c r="Y145" i="3"/>
  <c r="Y139" i="3"/>
  <c r="Y155" i="3"/>
  <c r="Y156" i="3"/>
  <c r="BZ4" i="1"/>
  <c r="Y141" i="3"/>
  <c r="Y144" i="3"/>
  <c r="AB221" i="3"/>
  <c r="AB267" i="3"/>
  <c r="AB264" i="3"/>
  <c r="AB218" i="3"/>
  <c r="AB224" i="3"/>
  <c r="AB270" i="3"/>
  <c r="AB209" i="3"/>
  <c r="AB255" i="3"/>
  <c r="AB271" i="3"/>
  <c r="AB225" i="3"/>
  <c r="AB258" i="3"/>
  <c r="AB212" i="3"/>
  <c r="AB252" i="3"/>
  <c r="AB206" i="3"/>
  <c r="BG607" i="9"/>
  <c r="BG889" i="9" s="1"/>
  <c r="BH180" i="9"/>
  <c r="BG539" i="9"/>
  <c r="BG202" i="9"/>
  <c r="BH540" i="9"/>
  <c r="BH221" i="9"/>
  <c r="BY110" i="3"/>
  <c r="Y24" i="3"/>
  <c r="Y12" i="3"/>
  <c r="Y3" i="3" s="1"/>
  <c r="Y5" i="3"/>
  <c r="Y41" i="3"/>
  <c r="Y150" i="3"/>
  <c r="BG1008" i="9"/>
  <c r="BG517" i="9"/>
  <c r="BG215" i="9"/>
  <c r="BH209" i="9"/>
  <c r="BG532" i="9"/>
  <c r="BG69" i="9"/>
  <c r="AB269" i="3"/>
  <c r="AB223" i="3"/>
  <c r="BG620" i="9"/>
  <c r="BG902" i="9" s="1"/>
  <c r="BH427" i="9"/>
  <c r="AB791" i="9"/>
  <c r="AB788" i="9"/>
  <c r="BX66" i="26"/>
  <c r="DH66" i="26" s="1"/>
  <c r="CY66" i="26" s="1"/>
  <c r="BX200" i="26"/>
  <c r="DH200" i="26" s="1"/>
  <c r="CY200" i="26" s="1"/>
  <c r="BX209" i="26"/>
  <c r="DH209" i="26" s="1"/>
  <c r="CY209" i="26" s="1"/>
  <c r="BX72" i="26"/>
  <c r="DH72" i="26" s="1"/>
  <c r="CY72" i="26" s="1"/>
  <c r="BX95" i="26"/>
  <c r="DH95" i="26" s="1"/>
  <c r="CY95" i="26" s="1"/>
  <c r="BX142" i="26"/>
  <c r="DH142" i="26" s="1"/>
  <c r="CY142" i="26" s="1"/>
  <c r="BX114" i="26"/>
  <c r="DH114" i="26" s="1"/>
  <c r="CY114" i="26" s="1"/>
  <c r="BX180" i="26"/>
  <c r="DH180" i="26" s="1"/>
  <c r="CY180" i="26" s="1"/>
  <c r="BX172" i="26"/>
  <c r="DH172" i="26" s="1"/>
  <c r="CY172" i="26" s="1"/>
  <c r="BX144" i="26"/>
  <c r="DH144" i="26" s="1"/>
  <c r="CY144" i="26" s="1"/>
  <c r="BX143" i="26"/>
  <c r="DH143" i="26" s="1"/>
  <c r="CY143" i="26" s="1"/>
  <c r="BY98" i="3"/>
  <c r="AB69" i="3"/>
  <c r="BG453" i="9"/>
  <c r="BG308" i="9"/>
  <c r="AB754" i="9"/>
  <c r="BG1004" i="9"/>
  <c r="BG513" i="9"/>
  <c r="BH133" i="9"/>
  <c r="BG139" i="9"/>
  <c r="BG1010" i="9"/>
  <c r="BG519" i="9"/>
  <c r="BH247" i="9"/>
  <c r="BG253" i="9"/>
  <c r="AA22" i="30"/>
  <c r="AA175" i="20"/>
  <c r="AA14" i="30"/>
  <c r="BG447" i="9"/>
  <c r="BG194" i="9"/>
  <c r="BY105" i="3"/>
  <c r="AA752" i="9"/>
  <c r="BY102" i="3"/>
  <c r="AB805" i="9"/>
  <c r="AB796" i="9"/>
  <c r="AB253" i="3"/>
  <c r="AB207" i="3"/>
  <c r="BX98" i="26"/>
  <c r="DH98" i="26" s="1"/>
  <c r="CY98" i="26" s="1"/>
  <c r="BX115" i="26"/>
  <c r="DH115" i="26" s="1"/>
  <c r="CY115" i="26" s="1"/>
  <c r="BX139" i="26"/>
  <c r="DH139" i="26" s="1"/>
  <c r="CY139" i="26" s="1"/>
  <c r="BX87" i="26"/>
  <c r="DH87" i="26" s="1"/>
  <c r="CY87" i="26" s="1"/>
  <c r="BX113" i="26"/>
  <c r="DH113" i="26" s="1"/>
  <c r="CY113" i="26" s="1"/>
  <c r="BX123" i="26"/>
  <c r="DH123" i="26" s="1"/>
  <c r="CY123" i="26" s="1"/>
  <c r="BX141" i="26"/>
  <c r="DH141" i="26" s="1"/>
  <c r="CY141" i="26" s="1"/>
  <c r="BX173" i="26"/>
  <c r="DH173" i="26" s="1"/>
  <c r="CY173" i="26" s="1"/>
  <c r="BX175" i="26"/>
  <c r="DH175" i="26" s="1"/>
  <c r="CY175" i="26" s="1"/>
  <c r="BX71" i="26"/>
  <c r="DH71" i="26" s="1"/>
  <c r="CY71" i="26" s="1"/>
  <c r="BX85" i="26"/>
  <c r="DH85" i="26" s="1"/>
  <c r="CY85" i="26" s="1"/>
  <c r="BX28" i="3"/>
  <c r="BX26" i="3"/>
  <c r="AA27" i="30"/>
  <c r="AA30" i="30" s="1"/>
  <c r="AA139" i="20"/>
  <c r="AA15" i="30"/>
  <c r="AB216" i="3"/>
  <c r="AB262" i="3"/>
  <c r="AA747" i="9"/>
  <c r="AA743" i="9"/>
  <c r="BG1014" i="9"/>
  <c r="BG523" i="9"/>
  <c r="BG329" i="9"/>
  <c r="BH323" i="9"/>
  <c r="BG604" i="9"/>
  <c r="BG886" i="9" s="1"/>
  <c r="BH123" i="9"/>
  <c r="BG1009" i="9"/>
  <c r="BG518" i="9"/>
  <c r="BH228" i="9"/>
  <c r="BG234" i="9"/>
  <c r="AA21" i="30"/>
  <c r="BN3" i="11"/>
  <c r="I6" i="50"/>
  <c r="M6" i="50" s="1"/>
  <c r="BZ14" i="3"/>
  <c r="BZ3" i="35"/>
  <c r="BZ3" i="33"/>
  <c r="CA3" i="12"/>
  <c r="BZ3" i="32"/>
  <c r="BZ3" i="30"/>
  <c r="BZ3" i="38"/>
  <c r="BZ3" i="6"/>
  <c r="BZ3" i="9"/>
  <c r="BZ3" i="26"/>
  <c r="BZ3" i="16"/>
  <c r="BZ3" i="22"/>
  <c r="BZ3" i="20"/>
  <c r="BZ3" i="1"/>
  <c r="BZ3" i="28"/>
  <c r="X197" i="26"/>
  <c r="X202" i="26"/>
  <c r="X117" i="26"/>
  <c r="X138" i="26"/>
  <c r="X113" i="26"/>
  <c r="X98" i="26"/>
  <c r="X60" i="26"/>
  <c r="X64" i="26"/>
  <c r="X137" i="26"/>
  <c r="X185" i="26"/>
  <c r="X173" i="26"/>
  <c r="X201" i="26"/>
  <c r="X208" i="26"/>
  <c r="X111" i="26"/>
  <c r="X94" i="26"/>
  <c r="X112" i="26"/>
  <c r="X69" i="26"/>
  <c r="X177" i="26"/>
  <c r="X183" i="26"/>
  <c r="X123" i="26"/>
  <c r="X184" i="26"/>
  <c r="X199" i="26"/>
  <c r="X200" i="26"/>
  <c r="X147" i="26"/>
  <c r="X97" i="26"/>
  <c r="X74" i="26"/>
  <c r="X91" i="26"/>
  <c r="X143" i="26"/>
  <c r="X174" i="26"/>
  <c r="X116" i="26"/>
  <c r="X90" i="26"/>
  <c r="X198" i="26"/>
  <c r="X172" i="26"/>
  <c r="X178" i="26"/>
  <c r="X140" i="26"/>
  <c r="X87" i="26"/>
  <c r="X68" i="26"/>
  <c r="X88" i="26"/>
  <c r="X121" i="26"/>
  <c r="X146" i="26"/>
  <c r="X99" i="26"/>
  <c r="X72" i="26"/>
  <c r="X179" i="26"/>
  <c r="X195" i="26"/>
  <c r="X182" i="26"/>
  <c r="X118" i="26"/>
  <c r="X73" i="26"/>
  <c r="X150" i="26"/>
  <c r="X85" i="26"/>
  <c r="X120" i="26"/>
  <c r="X122" i="26"/>
  <c r="X96" i="26"/>
  <c r="X67" i="26"/>
  <c r="X181" i="26"/>
  <c r="X180" i="26"/>
  <c r="X149" i="26"/>
  <c r="X175" i="26"/>
  <c r="X70" i="26"/>
  <c r="X151" i="26"/>
  <c r="X142" i="26"/>
  <c r="X63" i="26"/>
  <c r="X95" i="26"/>
  <c r="X115" i="26"/>
  <c r="X93" i="26"/>
  <c r="X61" i="26"/>
  <c r="X206" i="26"/>
  <c r="X209" i="26"/>
  <c r="X141" i="26"/>
  <c r="X62" i="26"/>
  <c r="X144" i="26"/>
  <c r="X125" i="26"/>
  <c r="X148" i="26"/>
  <c r="X92" i="26"/>
  <c r="X86" i="26"/>
  <c r="X71" i="26"/>
  <c r="X176" i="26"/>
  <c r="X196" i="26"/>
  <c r="X204" i="26"/>
  <c r="X205" i="26"/>
  <c r="X145" i="26"/>
  <c r="X124" i="26"/>
  <c r="X139" i="26"/>
  <c r="X119" i="26"/>
  <c r="X114" i="26"/>
  <c r="X89" i="26"/>
  <c r="X65" i="26"/>
  <c r="X66" i="26"/>
  <c r="X207" i="26"/>
  <c r="X171" i="26"/>
  <c r="X203" i="26"/>
  <c r="BY93" i="3"/>
  <c r="BG534" i="9"/>
  <c r="BG107" i="9"/>
  <c r="BY92" i="3"/>
  <c r="AB798" i="9"/>
  <c r="AB795" i="9"/>
  <c r="AB79" i="3"/>
  <c r="AC161" i="3"/>
  <c r="AC184" i="3" s="1"/>
  <c r="BX119" i="26"/>
  <c r="DH119" i="26" s="1"/>
  <c r="CY119" i="26" s="1"/>
  <c r="BX146" i="26"/>
  <c r="DH146" i="26" s="1"/>
  <c r="CY146" i="26" s="1"/>
  <c r="BX203" i="26"/>
  <c r="DH203" i="26" s="1"/>
  <c r="CY203" i="26" s="1"/>
  <c r="BX145" i="26"/>
  <c r="DH145" i="26" s="1"/>
  <c r="CY145" i="26" s="1"/>
  <c r="BX138" i="26"/>
  <c r="DH138" i="26" s="1"/>
  <c r="CY138" i="26" s="1"/>
  <c r="BX116" i="26"/>
  <c r="DH116" i="26" s="1"/>
  <c r="CY116" i="26" s="1"/>
  <c r="BX111" i="26"/>
  <c r="DH111" i="26" s="1"/>
  <c r="CY111" i="26" s="1"/>
  <c r="BX150" i="26"/>
  <c r="DH150" i="26" s="1"/>
  <c r="CY150" i="26" s="1"/>
  <c r="BX171" i="26"/>
  <c r="DH171" i="26" s="1"/>
  <c r="CY171" i="26" s="1"/>
  <c r="BX151" i="26"/>
  <c r="DH151" i="26" s="1"/>
  <c r="CY151" i="26" s="1"/>
  <c r="BX91" i="26"/>
  <c r="DH91" i="26" s="1"/>
  <c r="CY91" i="26" s="1"/>
  <c r="BY18" i="3"/>
  <c r="BX18" i="3"/>
  <c r="AB781" i="9"/>
  <c r="AB777" i="9"/>
  <c r="AB773" i="9"/>
  <c r="AB769" i="9"/>
  <c r="AB765" i="9"/>
  <c r="AB779" i="9"/>
  <c r="AB712" i="9"/>
  <c r="AB780" i="9"/>
  <c r="AB774" i="9"/>
  <c r="AB767" i="9"/>
  <c r="AB768" i="9"/>
  <c r="AB782" i="9"/>
  <c r="AB775" i="9"/>
  <c r="AB776" i="9"/>
  <c r="AB770" i="9"/>
  <c r="AB783" i="9"/>
  <c r="AB778" i="9"/>
  <c r="AB771" i="9"/>
  <c r="AB772" i="9"/>
  <c r="AB766" i="9"/>
  <c r="AB707" i="9"/>
  <c r="AB699" i="9"/>
  <c r="AB695" i="9"/>
  <c r="AB714" i="9"/>
  <c r="AB702" i="9"/>
  <c r="AB700" i="9"/>
  <c r="AB697" i="9"/>
  <c r="AB764" i="9"/>
  <c r="AB709" i="9"/>
  <c r="AB704" i="9"/>
  <c r="AB711" i="9"/>
  <c r="AB706" i="9"/>
  <c r="AB701" i="9"/>
  <c r="AB696" i="9"/>
  <c r="AB713" i="9"/>
  <c r="AB703" i="9"/>
  <c r="AB698" i="9"/>
  <c r="AB710" i="9"/>
  <c r="AB708" i="9"/>
  <c r="AB705" i="9"/>
  <c r="BG442" i="9"/>
  <c r="BG99" i="9"/>
  <c r="AB727" i="9"/>
  <c r="AB238" i="3"/>
  <c r="BG1003" i="9"/>
  <c r="BG512" i="9"/>
  <c r="BH114" i="9"/>
  <c r="BG120" i="9"/>
  <c r="E112" i="50"/>
  <c r="E108" i="50"/>
  <c r="E104" i="50"/>
  <c r="E100" i="50"/>
  <c r="E96" i="50"/>
  <c r="E92" i="50"/>
  <c r="E88" i="50"/>
  <c r="E84" i="50"/>
  <c r="E80" i="50"/>
  <c r="E76" i="50"/>
  <c r="E72" i="50"/>
  <c r="E68" i="50"/>
  <c r="E64" i="50"/>
  <c r="E60" i="50"/>
  <c r="E56" i="50"/>
  <c r="E52" i="50"/>
  <c r="BG455" i="9"/>
  <c r="BG346" i="9"/>
  <c r="AA18" i="30"/>
  <c r="BG547" i="9"/>
  <c r="BG354" i="9"/>
  <c r="AB208" i="3"/>
  <c r="AB254" i="3"/>
  <c r="AB222" i="3"/>
  <c r="AB268" i="3"/>
  <c r="BY95" i="3"/>
  <c r="AB257" i="3"/>
  <c r="AB211" i="3"/>
  <c r="BY99" i="3"/>
  <c r="AB787" i="9"/>
  <c r="AB794" i="9"/>
  <c r="BX140" i="26"/>
  <c r="DH140" i="26" s="1"/>
  <c r="CY140" i="26" s="1"/>
  <c r="BX88" i="26"/>
  <c r="DH88" i="26" s="1"/>
  <c r="CY88" i="26" s="1"/>
  <c r="BX207" i="26"/>
  <c r="DH207" i="26" s="1"/>
  <c r="CY207" i="26" s="1"/>
  <c r="BX178" i="26"/>
  <c r="DH178" i="26" s="1"/>
  <c r="CY178" i="26" s="1"/>
  <c r="BX73" i="26"/>
  <c r="DH73" i="26" s="1"/>
  <c r="CY73" i="26" s="1"/>
  <c r="BX89" i="26"/>
  <c r="DH89" i="26" s="1"/>
  <c r="CY89" i="26" s="1"/>
  <c r="BX177" i="26"/>
  <c r="DH177" i="26" s="1"/>
  <c r="CY177" i="26" s="1"/>
  <c r="BX118" i="26"/>
  <c r="DH118" i="26" s="1"/>
  <c r="CY118" i="26" s="1"/>
  <c r="BX86" i="26"/>
  <c r="DH86" i="26" s="1"/>
  <c r="CY86" i="26" s="1"/>
  <c r="BX205" i="26"/>
  <c r="DH205" i="26" s="1"/>
  <c r="CY205" i="26" s="1"/>
  <c r="BX62" i="26"/>
  <c r="DH62" i="26" s="1"/>
  <c r="CY62" i="26" s="1"/>
  <c r="BG618" i="9"/>
  <c r="BG900" i="9" s="1"/>
  <c r="BH389" i="9"/>
  <c r="BY100" i="3"/>
  <c r="BG1016" i="9"/>
  <c r="BG525" i="9"/>
  <c r="BH361" i="9"/>
  <c r="BG367" i="9"/>
  <c r="AB85" i="3"/>
  <c r="AB284" i="3"/>
  <c r="BG1017" i="9"/>
  <c r="BG526" i="9"/>
  <c r="BH380" i="9"/>
  <c r="BG386" i="9"/>
  <c r="BY148" i="26"/>
  <c r="BY140" i="26"/>
  <c r="BY196" i="26"/>
  <c r="BY202" i="26"/>
  <c r="BY145" i="26"/>
  <c r="BY205" i="26"/>
  <c r="BY197" i="26"/>
  <c r="BY177" i="26"/>
  <c r="BY174" i="26"/>
  <c r="BY146" i="26"/>
  <c r="BY149" i="26"/>
  <c r="BY142" i="26"/>
  <c r="BY125" i="26"/>
  <c r="BY117" i="26"/>
  <c r="BY99" i="26"/>
  <c r="BY95" i="26"/>
  <c r="BY91" i="26"/>
  <c r="BY87" i="26"/>
  <c r="BY69" i="26"/>
  <c r="BY61" i="26"/>
  <c r="BY119" i="26"/>
  <c r="BY113" i="26"/>
  <c r="BY112" i="26"/>
  <c r="BY88" i="26"/>
  <c r="BY85" i="26"/>
  <c r="BY60" i="26"/>
  <c r="BY178" i="26"/>
  <c r="BY137" i="26"/>
  <c r="BY114" i="26"/>
  <c r="BY98" i="26"/>
  <c r="BY63" i="26"/>
  <c r="BY121" i="26"/>
  <c r="BY120" i="26"/>
  <c r="BY92" i="26"/>
  <c r="BY89" i="26"/>
  <c r="BY70" i="26"/>
  <c r="BY65" i="26"/>
  <c r="BY139" i="26"/>
  <c r="BY138" i="26"/>
  <c r="BY122" i="26"/>
  <c r="BY115" i="26"/>
  <c r="BY86" i="26"/>
  <c r="BY64" i="26"/>
  <c r="BY182" i="26"/>
  <c r="BY151" i="26"/>
  <c r="BY144" i="26"/>
  <c r="BY141" i="26"/>
  <c r="BY116" i="26"/>
  <c r="BY96" i="26"/>
  <c r="BY93" i="26"/>
  <c r="BY71" i="26"/>
  <c r="BY66" i="26"/>
  <c r="BY150" i="26"/>
  <c r="BY123" i="26"/>
  <c r="BY90" i="26"/>
  <c r="BY147" i="26"/>
  <c r="BY124" i="26"/>
  <c r="BY118" i="26"/>
  <c r="BY111" i="26"/>
  <c r="BY97" i="26"/>
  <c r="BY73" i="26"/>
  <c r="BY72" i="26"/>
  <c r="BY67" i="26"/>
  <c r="BY143" i="26"/>
  <c r="BY94" i="26"/>
  <c r="BY74" i="26"/>
  <c r="BY68" i="26"/>
  <c r="BY62" i="26"/>
  <c r="BY171" i="26"/>
  <c r="BY183" i="26"/>
  <c r="BY175" i="26"/>
  <c r="BY172" i="26"/>
  <c r="BY195" i="26"/>
  <c r="BY180" i="26"/>
  <c r="BY201" i="26"/>
  <c r="BY176" i="26"/>
  <c r="BY185" i="26"/>
  <c r="BY181" i="26"/>
  <c r="BY209" i="26"/>
  <c r="BY200" i="26"/>
  <c r="BY203" i="26"/>
  <c r="BY184" i="26"/>
  <c r="BY204" i="26"/>
  <c r="BY179" i="26"/>
  <c r="BY198" i="26"/>
  <c r="BY208" i="26"/>
  <c r="BY207" i="26"/>
  <c r="BY206" i="26"/>
  <c r="BY173" i="26"/>
  <c r="BY199" i="26"/>
  <c r="AB260" i="3"/>
  <c r="AB214" i="3"/>
  <c r="AC169" i="3"/>
  <c r="AC192" i="3" s="1"/>
  <c r="BG544" i="9"/>
  <c r="BG297" i="9"/>
  <c r="BY91" i="3"/>
  <c r="AB789" i="9"/>
  <c r="AB802" i="9"/>
  <c r="AB801" i="9"/>
  <c r="BG1018" i="9"/>
  <c r="BG527" i="9"/>
  <c r="BG405" i="9"/>
  <c r="BH399" i="9"/>
  <c r="BX117" i="26"/>
  <c r="DH117" i="26" s="1"/>
  <c r="CY117" i="26" s="1"/>
  <c r="BX94" i="26"/>
  <c r="DH94" i="26" s="1"/>
  <c r="CY94" i="26" s="1"/>
  <c r="BX122" i="26"/>
  <c r="DH122" i="26" s="1"/>
  <c r="CY122" i="26" s="1"/>
  <c r="BX147" i="26"/>
  <c r="DH147" i="26" s="1"/>
  <c r="CY147" i="26" s="1"/>
  <c r="BX174" i="26"/>
  <c r="DH174" i="26" s="1"/>
  <c r="CY174" i="26" s="1"/>
  <c r="BX68" i="26"/>
  <c r="DH68" i="26" s="1"/>
  <c r="CY68" i="26" s="1"/>
  <c r="BX179" i="26"/>
  <c r="DH179" i="26" s="1"/>
  <c r="CY179" i="26" s="1"/>
  <c r="BX137" i="26"/>
  <c r="DH137" i="26" s="1"/>
  <c r="CY137" i="26" s="1"/>
  <c r="BX121" i="26"/>
  <c r="DH121" i="26" s="1"/>
  <c r="CY121" i="26" s="1"/>
  <c r="BX97" i="26"/>
  <c r="DH97" i="26" s="1"/>
  <c r="CY97" i="26" s="1"/>
  <c r="BX149" i="26"/>
  <c r="DH149" i="26" s="1"/>
  <c r="CY149" i="26" s="1"/>
  <c r="AB76" i="3"/>
  <c r="DE2" i="1"/>
  <c r="AB26" i="3"/>
  <c r="AB28" i="3"/>
  <c r="BY96" i="3"/>
  <c r="BG612" i="9"/>
  <c r="BG894" i="9" s="1"/>
  <c r="BH275" i="9"/>
  <c r="AA13" i="30"/>
  <c r="AA102" i="20"/>
  <c r="AA16" i="30"/>
  <c r="BG1005" i="9"/>
  <c r="BG514" i="9"/>
  <c r="BG158" i="9"/>
  <c r="BH152" i="9"/>
  <c r="BY107" i="3"/>
  <c r="BX358" i="9"/>
  <c r="BX206" i="9"/>
  <c r="BX339" i="9"/>
  <c r="BX434" i="9"/>
  <c r="BX415" i="9"/>
  <c r="BX396" i="9"/>
  <c r="BX377" i="9"/>
  <c r="BX263" i="9"/>
  <c r="BX301" i="9"/>
  <c r="BX244" i="9"/>
  <c r="BX187" i="9"/>
  <c r="BX282" i="9"/>
  <c r="BX320" i="9"/>
  <c r="BX149" i="9"/>
  <c r="BX130" i="9"/>
  <c r="BX73" i="9"/>
  <c r="BX168" i="9"/>
  <c r="BX225" i="9"/>
  <c r="BX92" i="9"/>
  <c r="BX111" i="9"/>
  <c r="BN5" i="11"/>
  <c r="BZ59" i="3"/>
  <c r="BZ105" i="3" s="1"/>
  <c r="BZ51" i="3"/>
  <c r="BZ97" i="3" s="1"/>
  <c r="BZ64" i="3"/>
  <c r="BZ110" i="3" s="1"/>
  <c r="BZ54" i="3"/>
  <c r="BZ100" i="3" s="1"/>
  <c r="BZ49" i="3"/>
  <c r="BZ95" i="3" s="1"/>
  <c r="BZ62" i="3"/>
  <c r="BZ108" i="3" s="1"/>
  <c r="BZ53" i="3"/>
  <c r="BZ99" i="3" s="1"/>
  <c r="BZ47" i="3"/>
  <c r="BZ93" i="3" s="1"/>
  <c r="BZ52" i="3"/>
  <c r="BZ98" i="3" s="1"/>
  <c r="BZ50" i="3"/>
  <c r="BZ96" i="3" s="1"/>
  <c r="BZ57" i="3"/>
  <c r="BZ103" i="3" s="1"/>
  <c r="BZ56" i="3"/>
  <c r="BZ102" i="3" s="1"/>
  <c r="BZ55" i="3"/>
  <c r="BZ101" i="3" s="1"/>
  <c r="BZ58" i="3"/>
  <c r="BZ104" i="3" s="1"/>
  <c r="BZ60" i="3"/>
  <c r="BZ106" i="3" s="1"/>
  <c r="BZ48" i="3"/>
  <c r="BZ94" i="3" s="1"/>
  <c r="BZ45" i="3"/>
  <c r="BZ91" i="3" s="1"/>
  <c r="BZ61" i="3"/>
  <c r="BZ107" i="3" s="1"/>
  <c r="BZ46" i="3"/>
  <c r="BZ92" i="3" s="1"/>
  <c r="BZ63" i="3"/>
  <c r="BZ109" i="3" s="1"/>
  <c r="BZ5" i="35"/>
  <c r="BZ5" i="33"/>
  <c r="CA5" i="12"/>
  <c r="BZ5" i="32"/>
  <c r="BZ5" i="30"/>
  <c r="BZ5" i="38"/>
  <c r="BZ5" i="6"/>
  <c r="BZ5" i="9"/>
  <c r="BZ5" i="26"/>
  <c r="BZ5" i="16"/>
  <c r="BZ5" i="22"/>
  <c r="BZ5" i="20"/>
  <c r="BZ5" i="1"/>
  <c r="BZ5" i="28"/>
  <c r="BZ121" i="3"/>
  <c r="BZ131" i="3"/>
  <c r="BZ130" i="3"/>
  <c r="BZ116" i="3"/>
  <c r="BZ120" i="3"/>
  <c r="BZ122" i="3"/>
  <c r="BZ132" i="3"/>
  <c r="BZ133" i="3"/>
  <c r="BZ118" i="3"/>
  <c r="BZ126" i="3"/>
  <c r="BZ115" i="3"/>
  <c r="BZ124" i="3"/>
  <c r="BZ128" i="3"/>
  <c r="BZ117" i="3"/>
  <c r="BZ127" i="3"/>
  <c r="BZ114" i="3"/>
  <c r="BZ129" i="3"/>
  <c r="BZ119" i="3"/>
  <c r="BZ123" i="3"/>
  <c r="BZ125" i="3"/>
  <c r="Y153" i="3"/>
  <c r="Y143" i="3"/>
  <c r="Y154" i="3"/>
  <c r="AC198" i="3"/>
  <c r="AC24" i="3"/>
  <c r="AC12" i="3"/>
  <c r="AC3" i="3" s="1"/>
  <c r="AC41" i="3"/>
  <c r="AD8" i="3"/>
  <c r="AC5" i="3"/>
  <c r="AC4" i="3"/>
  <c r="AC150" i="3"/>
  <c r="BG1012" i="9"/>
  <c r="BG521" i="9"/>
  <c r="BG291" i="9"/>
  <c r="BH285" i="9"/>
  <c r="AB792" i="9"/>
  <c r="AB793" i="9"/>
  <c r="AB800" i="9"/>
  <c r="AB205" i="26"/>
  <c r="AB113" i="26"/>
  <c r="AB151" i="26"/>
  <c r="AB150" i="26"/>
  <c r="AB115" i="26"/>
  <c r="AB99" i="26"/>
  <c r="AB87" i="26"/>
  <c r="AB111" i="26"/>
  <c r="AB69" i="26"/>
  <c r="AB179" i="26"/>
  <c r="AB198" i="26"/>
  <c r="AB197" i="26"/>
  <c r="AB97" i="26"/>
  <c r="AB141" i="26"/>
  <c r="AB148" i="26"/>
  <c r="AB92" i="26"/>
  <c r="AB123" i="26"/>
  <c r="AB67" i="26"/>
  <c r="AB94" i="26"/>
  <c r="AB63" i="26"/>
  <c r="AB177" i="26"/>
  <c r="AB199" i="26"/>
  <c r="AB208" i="26"/>
  <c r="AB93" i="26"/>
  <c r="AB140" i="26"/>
  <c r="AB95" i="26"/>
  <c r="AB86" i="26"/>
  <c r="AB96" i="26"/>
  <c r="AB61" i="26"/>
  <c r="AB74" i="26"/>
  <c r="AB64" i="26"/>
  <c r="AB183" i="26"/>
  <c r="AB174" i="26"/>
  <c r="AB200" i="26"/>
  <c r="AB89" i="26"/>
  <c r="AB119" i="26"/>
  <c r="AB60" i="26"/>
  <c r="AB70" i="26"/>
  <c r="AB90" i="26"/>
  <c r="AB175" i="26"/>
  <c r="AB72" i="26"/>
  <c r="AB181" i="26"/>
  <c r="AB209" i="26"/>
  <c r="AB172" i="26"/>
  <c r="AB144" i="26"/>
  <c r="AB149" i="26"/>
  <c r="AB85" i="26"/>
  <c r="AB114" i="26"/>
  <c r="AB173" i="26"/>
  <c r="AB66" i="26"/>
  <c r="AB71" i="26"/>
  <c r="AB171" i="26"/>
  <c r="AB68" i="26"/>
  <c r="AB206" i="26"/>
  <c r="AB202" i="26"/>
  <c r="AB176" i="26"/>
  <c r="AB203" i="26"/>
  <c r="AB142" i="26"/>
  <c r="AB73" i="26"/>
  <c r="AB112" i="26"/>
  <c r="AB143" i="26"/>
  <c r="AB180" i="26"/>
  <c r="AB145" i="26"/>
  <c r="AB139" i="26"/>
  <c r="AB125" i="26"/>
  <c r="AB207" i="26"/>
  <c r="AB185" i="26"/>
  <c r="AB204" i="26"/>
  <c r="AB122" i="26"/>
  <c r="AB195" i="26"/>
  <c r="AB137" i="26"/>
  <c r="AB65" i="26"/>
  <c r="AB98" i="26"/>
  <c r="AB146" i="26"/>
  <c r="AB124" i="26"/>
  <c r="AB138" i="26"/>
  <c r="AB91" i="26"/>
  <c r="AB201" i="26"/>
  <c r="AB178" i="26"/>
  <c r="AB147" i="26"/>
  <c r="AB121" i="26"/>
  <c r="AB184" i="26"/>
  <c r="AB88" i="26"/>
  <c r="AB120" i="26"/>
  <c r="AB116" i="26"/>
  <c r="AB117" i="26"/>
  <c r="AB118" i="26"/>
  <c r="AB62" i="26"/>
  <c r="AB182" i="26"/>
  <c r="AB196" i="26"/>
  <c r="BG1011" i="9"/>
  <c r="BG520" i="9"/>
  <c r="BG272" i="9"/>
  <c r="BH266" i="9"/>
  <c r="AB83" i="3"/>
  <c r="AC178" i="3"/>
  <c r="AC201" i="3" s="1"/>
  <c r="BX148" i="26"/>
  <c r="DH148" i="26" s="1"/>
  <c r="CY148" i="26" s="1"/>
  <c r="BX67" i="26"/>
  <c r="DH67" i="26" s="1"/>
  <c r="CY67" i="26" s="1"/>
  <c r="BX63" i="26"/>
  <c r="DH63" i="26" s="1"/>
  <c r="CY63" i="26" s="1"/>
  <c r="BX90" i="26"/>
  <c r="DH90" i="26" s="1"/>
  <c r="CY90" i="26" s="1"/>
  <c r="BX61" i="26"/>
  <c r="DH61" i="26" s="1"/>
  <c r="CY61" i="26" s="1"/>
  <c r="BX185" i="26"/>
  <c r="DH185" i="26" s="1"/>
  <c r="CY185" i="26" s="1"/>
  <c r="BX208" i="26"/>
  <c r="DH208" i="26" s="1"/>
  <c r="CY208" i="26" s="1"/>
  <c r="BX124" i="26"/>
  <c r="DH124" i="26" s="1"/>
  <c r="CY124" i="26" s="1"/>
  <c r="BX69" i="26"/>
  <c r="DH69" i="26" s="1"/>
  <c r="CY69" i="26" s="1"/>
  <c r="BX176" i="26"/>
  <c r="DH176" i="26" s="1"/>
  <c r="CY176" i="26" s="1"/>
  <c r="BX93" i="26"/>
  <c r="DH93" i="26" s="1"/>
  <c r="CY93" i="26" s="1"/>
  <c r="AA749" i="9"/>
  <c r="AB722" i="9"/>
  <c r="AB233" i="3"/>
  <c r="AB18" i="3"/>
  <c r="AA757" i="9"/>
  <c r="BG610" i="9"/>
  <c r="BG892" i="9" s="1"/>
  <c r="BH237" i="9"/>
  <c r="AA23" i="30"/>
  <c r="AA179" i="20"/>
  <c r="BG1000" i="9"/>
  <c r="BG509" i="9"/>
  <c r="BG63" i="9"/>
  <c r="BH57" i="9"/>
  <c r="AA17" i="30"/>
  <c r="BG546" i="9"/>
  <c r="BG335" i="9"/>
  <c r="BY97" i="3"/>
  <c r="AA194" i="30"/>
  <c r="AA179" i="30"/>
  <c r="AA65" i="33" s="1"/>
  <c r="AA20" i="30"/>
  <c r="BZ28" i="3"/>
  <c r="BZ26" i="3"/>
  <c r="AB259" i="3"/>
  <c r="AB213" i="3"/>
  <c r="BG542" i="9"/>
  <c r="BG259" i="9"/>
  <c r="BG550" i="9"/>
  <c r="BG411" i="9"/>
  <c r="AC190" i="3"/>
  <c r="BG537" i="9"/>
  <c r="BG164" i="9"/>
  <c r="BG617" i="9"/>
  <c r="BG899" i="9" s="1"/>
  <c r="BH370" i="9"/>
  <c r="AB804" i="9"/>
  <c r="AB803" i="9"/>
  <c r="AB799" i="9"/>
  <c r="AB339" i="9"/>
  <c r="AB415" i="9"/>
  <c r="AB396" i="9"/>
  <c r="AB434" i="9"/>
  <c r="AB377" i="9"/>
  <c r="AB358" i="9"/>
  <c r="AB225" i="9"/>
  <c r="AB320" i="9"/>
  <c r="AB263" i="9"/>
  <c r="AB187" i="9"/>
  <c r="AB301" i="9"/>
  <c r="AB244" i="9"/>
  <c r="AB282" i="9"/>
  <c r="AB206" i="9"/>
  <c r="AB130" i="9"/>
  <c r="AB111" i="9"/>
  <c r="AB92" i="9"/>
  <c r="AB73" i="9"/>
  <c r="AB149" i="9"/>
  <c r="AB168" i="9"/>
  <c r="BX181" i="26"/>
  <c r="DH181" i="26" s="1"/>
  <c r="CY181" i="26" s="1"/>
  <c r="BX195" i="26"/>
  <c r="DH195" i="26" s="1"/>
  <c r="CY195" i="26" s="1"/>
  <c r="BX184" i="26"/>
  <c r="DH184" i="26" s="1"/>
  <c r="CY184" i="26" s="1"/>
  <c r="BX112" i="26"/>
  <c r="DH112" i="26" s="1"/>
  <c r="CY112" i="26" s="1"/>
  <c r="BX204" i="26"/>
  <c r="DH204" i="26" s="1"/>
  <c r="CY204" i="26" s="1"/>
  <c r="BX60" i="26"/>
  <c r="DH60" i="26" s="1"/>
  <c r="CY60" i="26" s="1"/>
  <c r="BX64" i="26"/>
  <c r="DH64" i="26" s="1"/>
  <c r="CY64" i="26" s="1"/>
  <c r="BX65" i="26"/>
  <c r="DH65" i="26" s="1"/>
  <c r="CY65" i="26" s="1"/>
  <c r="BX197" i="26"/>
  <c r="DH197" i="26" s="1"/>
  <c r="CY197" i="26" s="1"/>
  <c r="BX74" i="26"/>
  <c r="DH74" i="26" s="1"/>
  <c r="CY74" i="26" s="1"/>
  <c r="BX183" i="26"/>
  <c r="DH183" i="26" s="1"/>
  <c r="CY183" i="26" s="1"/>
  <c r="BX201" i="26"/>
  <c r="DH201" i="26" s="1"/>
  <c r="CY201" i="26" s="1"/>
  <c r="AB81" i="3"/>
  <c r="AA19" i="30"/>
  <c r="AB279" i="3"/>
  <c r="AB180" i="20" a="1"/>
  <c r="AB180" i="20" s="1"/>
  <c r="AB162" i="20" a="1"/>
  <c r="AB162" i="20" s="1"/>
  <c r="AB153" i="20" a="1"/>
  <c r="AB153" i="20" s="1"/>
  <c r="AB150" i="20" a="1"/>
  <c r="AB150" i="20" s="1"/>
  <c r="AB129" i="20" a="1"/>
  <c r="AB129" i="20" s="1"/>
  <c r="AB130" i="20" a="1"/>
  <c r="AB130" i="20" s="1"/>
  <c r="AB127" i="20" a="1"/>
  <c r="AB127" i="20" s="1"/>
  <c r="AB135" i="20" a="1"/>
  <c r="AB135" i="20" s="1"/>
  <c r="AB128" i="20" a="1"/>
  <c r="AB128" i="20" s="1"/>
  <c r="AB122" i="20" a="1"/>
  <c r="AB122" i="20" s="1"/>
  <c r="AB118" i="20" a="1"/>
  <c r="AB118" i="20" s="1"/>
  <c r="AB124" i="20" a="1"/>
  <c r="AB124" i="20" s="1"/>
  <c r="AB119" i="20" a="1"/>
  <c r="AB119" i="20" s="1"/>
  <c r="AB123" i="20" a="1"/>
  <c r="AB123" i="20" s="1"/>
  <c r="AB125" i="20" a="1"/>
  <c r="AB125" i="20" s="1"/>
  <c r="AB120" i="20" a="1"/>
  <c r="AB120" i="20" s="1"/>
  <c r="AB117" i="20" a="1"/>
  <c r="AB117" i="20" s="1"/>
  <c r="AB121" i="20" a="1"/>
  <c r="AB121" i="20" s="1"/>
  <c r="AB105" i="20" a="1"/>
  <c r="AB105" i="20" s="1"/>
  <c r="AB112" i="20" a="1"/>
  <c r="AB112" i="20" s="1"/>
  <c r="AB108" i="20" a="1"/>
  <c r="AB108" i="20" s="1"/>
  <c r="AB109" i="20" a="1"/>
  <c r="AB109" i="20" s="1"/>
  <c r="AB110" i="20" a="1"/>
  <c r="AB110" i="20" s="1"/>
  <c r="AB106" i="20" a="1"/>
  <c r="AB106" i="20" s="1"/>
  <c r="AB107" i="20" a="1"/>
  <c r="AB107" i="20" s="1"/>
  <c r="AB111" i="20" a="1"/>
  <c r="AB111" i="20" s="1"/>
  <c r="AB94" i="20" a="1"/>
  <c r="AB94" i="20" s="1"/>
  <c r="AB89" i="20" a="1"/>
  <c r="AB89" i="20" s="1"/>
  <c r="AB84" i="20" a="1"/>
  <c r="AB84" i="20" s="1"/>
  <c r="AB80" i="20" a="1"/>
  <c r="AB80" i="20" s="1"/>
  <c r="AB71" i="20" a="1"/>
  <c r="AB71" i="20" s="1"/>
  <c r="AB67" i="20" a="1"/>
  <c r="AB67" i="20" s="1"/>
  <c r="AB50" i="20" a="1"/>
  <c r="AB50" i="20" s="1"/>
  <c r="AB98" i="20" a="1"/>
  <c r="AB98" i="20" s="1"/>
  <c r="AB95" i="20" a="1"/>
  <c r="AB95" i="20" s="1"/>
  <c r="AB81" i="20" a="1"/>
  <c r="AB81" i="20" s="1"/>
  <c r="AB77" i="20" a="1"/>
  <c r="AB77" i="20" s="1"/>
  <c r="AB72" i="20" a="1"/>
  <c r="AB72" i="20" s="1"/>
  <c r="AB68" i="20" a="1"/>
  <c r="AB68" i="20" s="1"/>
  <c r="AB64" i="20" a="1"/>
  <c r="AB64" i="20" s="1"/>
  <c r="AB58" i="20" a="1"/>
  <c r="AB58" i="20" s="1"/>
  <c r="AB51" i="20" a="1"/>
  <c r="AB51" i="20" s="1"/>
  <c r="AB43" i="20" a="1"/>
  <c r="AB43" i="20" s="1"/>
  <c r="AB35" i="20" a="1"/>
  <c r="AB35" i="20" s="1"/>
  <c r="AB27" i="20" a="1"/>
  <c r="AB27" i="20" s="1"/>
  <c r="AB19" i="20" a="1"/>
  <c r="AB19" i="20" s="1"/>
  <c r="AB11" i="20" a="1"/>
  <c r="AB11" i="20" s="1"/>
  <c r="AB44" i="20" a="1"/>
  <c r="AB44" i="20" s="1"/>
  <c r="AB82" i="20" a="1"/>
  <c r="AB82" i="20" s="1"/>
  <c r="AB78" i="20" a="1"/>
  <c r="AB78" i="20" s="1"/>
  <c r="AB73" i="20" a="1"/>
  <c r="AB73" i="20" s="1"/>
  <c r="AB69" i="20" a="1"/>
  <c r="AB69" i="20" s="1"/>
  <c r="AB65" i="20" a="1"/>
  <c r="AB65" i="20" s="1"/>
  <c r="AB54" i="20" a="1"/>
  <c r="AB54" i="20" s="1"/>
  <c r="AB52" i="20" a="1"/>
  <c r="AB52" i="20" s="1"/>
  <c r="AB59" i="20" a="1"/>
  <c r="AB59" i="20" s="1"/>
  <c r="AB93" i="20" a="1"/>
  <c r="AB93" i="20" s="1"/>
  <c r="AB88" i="20" a="1"/>
  <c r="AB88" i="20" s="1"/>
  <c r="AB83" i="20" a="1"/>
  <c r="AB83" i="20" s="1"/>
  <c r="AB79" i="20" a="1"/>
  <c r="AB79" i="20" s="1"/>
  <c r="AB70" i="20" a="1"/>
  <c r="AB70" i="20" s="1"/>
  <c r="AB66" i="20" a="1"/>
  <c r="AB66" i="20" s="1"/>
  <c r="AB47" i="20" a="1"/>
  <c r="AB47" i="20" s="1"/>
  <c r="AB61" i="20" a="1"/>
  <c r="AB61" i="20" s="1"/>
  <c r="AB57" i="20" a="1"/>
  <c r="AB57" i="20" s="1"/>
  <c r="AB45" i="20" a="1"/>
  <c r="AB45" i="20" s="1"/>
  <c r="AB39" i="20" a="1"/>
  <c r="AB39" i="20" s="1"/>
  <c r="AB20" i="20" a="1"/>
  <c r="AB20" i="20" s="1"/>
  <c r="AB37" i="20" a="1"/>
  <c r="AB37" i="20" s="1"/>
  <c r="AB36" i="20" a="1"/>
  <c r="AB36" i="20" s="1"/>
  <c r="AB28" i="20" a="1"/>
  <c r="AB28" i="20" s="1"/>
  <c r="AB21" i="20" a="1"/>
  <c r="AB21" i="20" s="1"/>
  <c r="AB14" i="20" a="1"/>
  <c r="AB14" i="20" s="1"/>
  <c r="AB22" i="20" a="1"/>
  <c r="AB22" i="20" s="1"/>
  <c r="AB17" i="20" a="1"/>
  <c r="AB17" i="20" s="1"/>
  <c r="AB12" i="20" a="1"/>
  <c r="AB12" i="20" s="1"/>
  <c r="AB30" i="20" a="1"/>
  <c r="AB30" i="20" s="1"/>
  <c r="AB18" i="20" a="1"/>
  <c r="AB18" i="20" s="1"/>
  <c r="AB42" i="20" a="1"/>
  <c r="AB42" i="20" s="1"/>
  <c r="AB33" i="20" a="1"/>
  <c r="AB33" i="20" s="1"/>
  <c r="AB34" i="20" a="1"/>
  <c r="AB34" i="20" s="1"/>
  <c r="AB24" i="20" a="1"/>
  <c r="AB24" i="20" s="1"/>
  <c r="BH1019" i="9"/>
  <c r="BH528" i="9"/>
  <c r="BI418" i="9"/>
  <c r="BH424" i="9"/>
  <c r="AB289" i="3"/>
  <c r="BG446" i="9"/>
  <c r="BG175" i="9"/>
  <c r="AA72" i="30"/>
  <c r="AA74" i="30" s="1"/>
  <c r="AB40" i="6"/>
  <c r="AA12" i="6"/>
  <c r="BG614" i="9"/>
  <c r="BG896" i="9" s="1"/>
  <c r="BH313" i="9"/>
  <c r="AA754" i="9"/>
  <c r="AC168" i="3"/>
  <c r="AC191" i="3" s="1"/>
  <c r="V4" i="11"/>
  <c r="Y22" i="3"/>
  <c r="Y4" i="35"/>
  <c r="Y4" i="36"/>
  <c r="Y4" i="33"/>
  <c r="Y4" i="12"/>
  <c r="Y4" i="32"/>
  <c r="Y4" i="30"/>
  <c r="Y4" i="38"/>
  <c r="Y4" i="6"/>
  <c r="Y4" i="26"/>
  <c r="Y4" i="16"/>
  <c r="Y4" i="22"/>
  <c r="Y4" i="20"/>
  <c r="Y4" i="1"/>
  <c r="Y4" i="37"/>
  <c r="Y4" i="28"/>
  <c r="CA10" i="3"/>
  <c r="CA154" i="3" s="1"/>
  <c r="AC185" i="3"/>
  <c r="BG605" i="9"/>
  <c r="BG887" i="9" s="1"/>
  <c r="BH142" i="9"/>
  <c r="AB217" i="3"/>
  <c r="AB263" i="3"/>
  <c r="BG533" i="9"/>
  <c r="BG88" i="9"/>
  <c r="AB797" i="9"/>
  <c r="AB790" i="9"/>
  <c r="AB806" i="9"/>
  <c r="AC160" i="3"/>
  <c r="AC183" i="3" s="1"/>
  <c r="BX206" i="26"/>
  <c r="DH206" i="26" s="1"/>
  <c r="CY206" i="26" s="1"/>
  <c r="BX198" i="26"/>
  <c r="DH198" i="26" s="1"/>
  <c r="CY198" i="26" s="1"/>
  <c r="BX96" i="26"/>
  <c r="DH96" i="26" s="1"/>
  <c r="CY96" i="26" s="1"/>
  <c r="BX125" i="26"/>
  <c r="DH125" i="26" s="1"/>
  <c r="CY125" i="26" s="1"/>
  <c r="BX199" i="26"/>
  <c r="DH199" i="26" s="1"/>
  <c r="CY199" i="26" s="1"/>
  <c r="BX196" i="26"/>
  <c r="DH196" i="26" s="1"/>
  <c r="CY196" i="26" s="1"/>
  <c r="BX92" i="26"/>
  <c r="DH92" i="26" s="1"/>
  <c r="CY92" i="26" s="1"/>
  <c r="BX120" i="26"/>
  <c r="DH120" i="26" s="1"/>
  <c r="CY120" i="26" s="1"/>
  <c r="BX70" i="26"/>
  <c r="DH70" i="26" s="1"/>
  <c r="CY70" i="26" s="1"/>
  <c r="BX182" i="26"/>
  <c r="DH182" i="26" s="1"/>
  <c r="CY182" i="26" s="1"/>
  <c r="BX99" i="26"/>
  <c r="DH99" i="26" s="1"/>
  <c r="CY99" i="26" s="1"/>
  <c r="BX202" i="26"/>
  <c r="DH202" i="26" s="1"/>
  <c r="CY202" i="26" s="1"/>
  <c r="BY94" i="3"/>
  <c r="AA751" i="9"/>
  <c r="BG441" i="9"/>
  <c r="BG80" i="9"/>
  <c r="AB732" i="9"/>
  <c r="AB243" i="3"/>
  <c r="E212" i="23"/>
  <c r="E211" i="23" a="1"/>
  <c r="CA151" i="3" l="1"/>
  <c r="CA137" i="3"/>
  <c r="AC199" i="3"/>
  <c r="AC222" i="3" s="1"/>
  <c r="AC734" i="9" s="1"/>
  <c r="CA147" i="3"/>
  <c r="Y16" i="3"/>
  <c r="Y18" i="3" s="1"/>
  <c r="CA152" i="3"/>
  <c r="Y20" i="3"/>
  <c r="Y4" i="9"/>
  <c r="CA146" i="3"/>
  <c r="AC193" i="3"/>
  <c r="AC262" i="3" s="1"/>
  <c r="AC285" i="3" s="1"/>
  <c r="CA148" i="3"/>
  <c r="CA143" i="3"/>
  <c r="CA150" i="3"/>
  <c r="CA144" i="3"/>
  <c r="CA4" i="3"/>
  <c r="CA4" i="33" s="1"/>
  <c r="CA156" i="3"/>
  <c r="CA138" i="3"/>
  <c r="CA139" i="3"/>
  <c r="CA155" i="3"/>
  <c r="CA140" i="3"/>
  <c r="CA149" i="3"/>
  <c r="CA153" i="3"/>
  <c r="CA142" i="3"/>
  <c r="AC210" i="3"/>
  <c r="AC256" i="3"/>
  <c r="AC255" i="3"/>
  <c r="AC209" i="3"/>
  <c r="AC721" i="9" s="1"/>
  <c r="AC252" i="3"/>
  <c r="AC275" i="3" s="1"/>
  <c r="AC206" i="3"/>
  <c r="AC718" i="9" s="1"/>
  <c r="AC261" i="3"/>
  <c r="AC215" i="3"/>
  <c r="AC260" i="3"/>
  <c r="AC283" i="3" s="1"/>
  <c r="AC214" i="3"/>
  <c r="AC726" i="9" s="1"/>
  <c r="AC220" i="3"/>
  <c r="AC266" i="3"/>
  <c r="AC224" i="3"/>
  <c r="AC736" i="9" s="1"/>
  <c r="AC270" i="3"/>
  <c r="AC293" i="3" s="1"/>
  <c r="AB29" i="20"/>
  <c r="AB90" i="20"/>
  <c r="Y26" i="3"/>
  <c r="Y28" i="3"/>
  <c r="AB25" i="30"/>
  <c r="AB60" i="20"/>
  <c r="AB96" i="20"/>
  <c r="AB53" i="20"/>
  <c r="AB131" i="20"/>
  <c r="BG606" i="9"/>
  <c r="BG888" i="9" s="1"/>
  <c r="BH161" i="9"/>
  <c r="BG619" i="9"/>
  <c r="BG901" i="9" s="1"/>
  <c r="BH408" i="9"/>
  <c r="AA77" i="33"/>
  <c r="AA195" i="30"/>
  <c r="AA78" i="33" s="1"/>
  <c r="BH440" i="9"/>
  <c r="BH61" i="9"/>
  <c r="BH541" i="9"/>
  <c r="BH240" i="9"/>
  <c r="AC173" i="3"/>
  <c r="AC196" i="3" s="1"/>
  <c r="BH445" i="9"/>
  <c r="BH156" i="9"/>
  <c r="BH543" i="9"/>
  <c r="BH278" i="9"/>
  <c r="BH458" i="9"/>
  <c r="BH403" i="9"/>
  <c r="AC258" i="3"/>
  <c r="AC212" i="3"/>
  <c r="AC724" i="9" s="1"/>
  <c r="BH456" i="9"/>
  <c r="BH365" i="9"/>
  <c r="AC264" i="3"/>
  <c r="AC287" i="3" s="1"/>
  <c r="AC218" i="3"/>
  <c r="AC730" i="9" s="1"/>
  <c r="BH449" i="9"/>
  <c r="BH232" i="9"/>
  <c r="BH535" i="9"/>
  <c r="BH126" i="9"/>
  <c r="AB719" i="9"/>
  <c r="AB230" i="3"/>
  <c r="BH450" i="9"/>
  <c r="BH251" i="9"/>
  <c r="BG1013" i="9"/>
  <c r="BG522" i="9"/>
  <c r="BG310" i="9"/>
  <c r="BH304" i="9"/>
  <c r="AB735" i="9"/>
  <c r="AB246" i="3"/>
  <c r="AB736" i="9"/>
  <c r="AB247" i="3"/>
  <c r="AB38" i="20"/>
  <c r="AB74" i="20"/>
  <c r="AB137" i="20"/>
  <c r="AB29" i="30" s="1"/>
  <c r="BH451" i="9"/>
  <c r="BH270" i="9"/>
  <c r="AC4" i="11"/>
  <c r="AC16" i="3"/>
  <c r="AC22" i="3"/>
  <c r="AC30" i="3"/>
  <c r="AC4" i="35"/>
  <c r="AC4" i="33"/>
  <c r="AD4" i="12"/>
  <c r="AC4" i="32"/>
  <c r="AC4" i="30"/>
  <c r="AC4" i="38"/>
  <c r="AC4" i="6"/>
  <c r="AC4" i="9"/>
  <c r="AC4" i="26"/>
  <c r="AC4" i="16"/>
  <c r="AC4" i="22"/>
  <c r="AC4" i="20"/>
  <c r="AC4" i="1"/>
  <c r="AC4" i="28"/>
  <c r="AC20" i="3"/>
  <c r="AC263" i="3"/>
  <c r="AC286" i="3" s="1"/>
  <c r="AC217" i="3"/>
  <c r="AC729" i="9" s="1"/>
  <c r="BG1002" i="9"/>
  <c r="BG511" i="9"/>
  <c r="BG101" i="9"/>
  <c r="BH95" i="9"/>
  <c r="Q6" i="50"/>
  <c r="V6" i="50"/>
  <c r="Z6" i="50" s="1"/>
  <c r="AD6" i="50" s="1"/>
  <c r="AH6" i="50" s="1"/>
  <c r="AB276" i="3"/>
  <c r="AC216" i="3"/>
  <c r="AC728" i="9" s="1"/>
  <c r="AB292" i="3"/>
  <c r="BH538" i="9"/>
  <c r="BH183" i="9"/>
  <c r="AB737" i="9"/>
  <c r="AB248" i="3"/>
  <c r="AB730" i="9"/>
  <c r="AB241" i="3"/>
  <c r="AB46" i="20"/>
  <c r="AB13" i="20"/>
  <c r="BH548" i="9"/>
  <c r="BH373" i="9"/>
  <c r="BG611" i="9"/>
  <c r="BG893" i="9" s="1"/>
  <c r="BH256" i="9"/>
  <c r="BG615" i="9"/>
  <c r="BG897" i="9" s="1"/>
  <c r="BH332" i="9"/>
  <c r="AC5" i="11"/>
  <c r="AC59" i="3"/>
  <c r="AC51" i="3"/>
  <c r="AC53" i="3"/>
  <c r="AC99" i="3" s="1"/>
  <c r="AC48" i="3"/>
  <c r="AC61" i="3"/>
  <c r="AC56" i="3"/>
  <c r="AC102" i="3" s="1"/>
  <c r="AC55" i="3"/>
  <c r="AC64" i="3"/>
  <c r="AC62" i="3"/>
  <c r="AC108" i="3" s="1"/>
  <c r="AC60" i="3"/>
  <c r="AC106" i="3" s="1"/>
  <c r="AC63" i="3"/>
  <c r="AC46" i="3"/>
  <c r="AC92" i="3" s="1"/>
  <c r="AC45" i="3"/>
  <c r="AC54" i="3"/>
  <c r="AC52" i="3"/>
  <c r="AC49" i="3"/>
  <c r="AC58" i="3"/>
  <c r="AC104" i="3" s="1"/>
  <c r="AC57" i="3"/>
  <c r="AC47" i="3"/>
  <c r="AC50" i="3"/>
  <c r="AC5" i="35"/>
  <c r="AC5" i="33"/>
  <c r="AD5" i="12"/>
  <c r="AC5" i="32"/>
  <c r="AC5" i="30"/>
  <c r="AC5" i="38"/>
  <c r="AC5" i="6"/>
  <c r="AC5" i="9"/>
  <c r="AC5" i="26"/>
  <c r="AC5" i="16"/>
  <c r="AC5" i="22"/>
  <c r="AC5" i="20"/>
  <c r="AC5" i="1"/>
  <c r="AC5" i="28"/>
  <c r="AC126" i="3"/>
  <c r="AC120" i="3"/>
  <c r="AC122" i="3"/>
  <c r="AC127" i="3"/>
  <c r="AC132" i="3"/>
  <c r="AC119" i="3"/>
  <c r="AC128" i="3"/>
  <c r="AC129" i="3"/>
  <c r="AC123" i="3"/>
  <c r="AC121" i="3"/>
  <c r="AC115" i="3"/>
  <c r="AC118" i="3"/>
  <c r="AC117" i="3"/>
  <c r="AC133" i="3"/>
  <c r="AC131" i="3"/>
  <c r="AC114" i="3"/>
  <c r="AC130" i="3"/>
  <c r="AC124" i="3"/>
  <c r="AC125" i="3"/>
  <c r="AC116" i="3"/>
  <c r="AB726" i="9"/>
  <c r="AB237" i="3"/>
  <c r="AB723" i="9"/>
  <c r="AB234" i="3"/>
  <c r="AB291" i="3"/>
  <c r="BG1015" i="9"/>
  <c r="BG524" i="9"/>
  <c r="BG348" i="9"/>
  <c r="BH342" i="9"/>
  <c r="AC211" i="3"/>
  <c r="AC723" i="9" s="1"/>
  <c r="AC257" i="3"/>
  <c r="BH551" i="9"/>
  <c r="BH430" i="9"/>
  <c r="BG601" i="9"/>
  <c r="BG883" i="9" s="1"/>
  <c r="BH66" i="9"/>
  <c r="AB724" i="9"/>
  <c r="AB235" i="3"/>
  <c r="AB294" i="3"/>
  <c r="AB287" i="3"/>
  <c r="BG1001" i="9"/>
  <c r="BG510" i="9"/>
  <c r="BG82" i="9"/>
  <c r="BH76" i="9"/>
  <c r="BH536" i="9"/>
  <c r="BH145" i="9"/>
  <c r="BG1006" i="9"/>
  <c r="BG515" i="9"/>
  <c r="BG177" i="9"/>
  <c r="BH171" i="9"/>
  <c r="BI459" i="9"/>
  <c r="BI422" i="9"/>
  <c r="AB24" i="32"/>
  <c r="AB25" i="32" s="1"/>
  <c r="AB24" i="35" s="1"/>
  <c r="AD10" i="3"/>
  <c r="AD148" i="3" s="1"/>
  <c r="AB283" i="3"/>
  <c r="AB280" i="3"/>
  <c r="AB734" i="9"/>
  <c r="AB245" i="3"/>
  <c r="BG603" i="9"/>
  <c r="BG885" i="9" s="1"/>
  <c r="BH104" i="9"/>
  <c r="DJ2" i="1"/>
  <c r="BH454" i="9"/>
  <c r="BH327" i="9"/>
  <c r="AC281" i="3"/>
  <c r="AB281" i="3"/>
  <c r="AB828" i="9"/>
  <c r="AB820" i="9"/>
  <c r="AB829" i="9"/>
  <c r="AB821" i="9"/>
  <c r="AB813" i="9"/>
  <c r="AB827" i="9"/>
  <c r="AB819" i="9"/>
  <c r="AB811" i="9"/>
  <c r="AB826" i="9"/>
  <c r="AB825" i="9"/>
  <c r="AB824" i="9"/>
  <c r="AB818" i="9"/>
  <c r="AB816" i="9"/>
  <c r="AB815" i="9"/>
  <c r="AB814" i="9"/>
  <c r="AB817" i="9"/>
  <c r="AB812" i="9"/>
  <c r="AB823" i="9"/>
  <c r="AB810" i="9"/>
  <c r="AB822" i="9"/>
  <c r="BG613" i="9"/>
  <c r="BG895" i="9" s="1"/>
  <c r="BH294" i="9"/>
  <c r="AB277" i="3"/>
  <c r="DF2" i="20"/>
  <c r="AB285" i="3"/>
  <c r="BG1007" i="9"/>
  <c r="BG516" i="9"/>
  <c r="BH190" i="9"/>
  <c r="BG196" i="9"/>
  <c r="AB85" i="20"/>
  <c r="AB755" i="9"/>
  <c r="BG602" i="9"/>
  <c r="BG884" i="9" s="1"/>
  <c r="BH85" i="9"/>
  <c r="AB286" i="3"/>
  <c r="AC254" i="3"/>
  <c r="AC208" i="3"/>
  <c r="AC720" i="9" s="1"/>
  <c r="CA145" i="3"/>
  <c r="CA141" i="3"/>
  <c r="AB41" i="30"/>
  <c r="AC207" i="3"/>
  <c r="AC719" i="9" s="1"/>
  <c r="AC253" i="3"/>
  <c r="AB282" i="3"/>
  <c r="AB745" i="9"/>
  <c r="BH452" i="9"/>
  <c r="BH289" i="9"/>
  <c r="AC3" i="11"/>
  <c r="AC14" i="3"/>
  <c r="AC3" i="35"/>
  <c r="AC3" i="33"/>
  <c r="AD3" i="12"/>
  <c r="AC3" i="32"/>
  <c r="AC3" i="30"/>
  <c r="AC3" i="38"/>
  <c r="AC3" i="6"/>
  <c r="AC3" i="9"/>
  <c r="AC3" i="26"/>
  <c r="AC3" i="16"/>
  <c r="AC3" i="22"/>
  <c r="AC3" i="20"/>
  <c r="AC3" i="1"/>
  <c r="AC3" i="28"/>
  <c r="AC37" i="3"/>
  <c r="AB720" i="9"/>
  <c r="AB231" i="3"/>
  <c r="AB728" i="9"/>
  <c r="AB239" i="3"/>
  <c r="V5" i="11"/>
  <c r="Y58" i="3"/>
  <c r="Y104" i="3" s="1"/>
  <c r="Y50" i="3"/>
  <c r="Y96" i="3" s="1"/>
  <c r="Y60" i="3"/>
  <c r="Y106" i="3" s="1"/>
  <c r="Y47" i="3"/>
  <c r="Y93" i="3" s="1"/>
  <c r="Y55" i="3"/>
  <c r="Y101" i="3" s="1"/>
  <c r="Y62" i="3"/>
  <c r="Y108" i="3" s="1"/>
  <c r="Y57" i="3"/>
  <c r="Y103" i="3" s="1"/>
  <c r="Y49" i="3"/>
  <c r="Y95" i="3" s="1"/>
  <c r="Y48" i="3"/>
  <c r="Y94" i="3" s="1"/>
  <c r="Y61" i="3"/>
  <c r="Y107" i="3" s="1"/>
  <c r="Y64" i="3"/>
  <c r="Y110" i="3" s="1"/>
  <c r="Y63" i="3"/>
  <c r="Y109" i="3" s="1"/>
  <c r="Y45" i="3"/>
  <c r="Y91" i="3" s="1"/>
  <c r="Y53" i="3"/>
  <c r="Y99" i="3" s="1"/>
  <c r="Y51" i="3"/>
  <c r="Y97" i="3" s="1"/>
  <c r="Y46" i="3"/>
  <c r="Y92" i="3" s="1"/>
  <c r="Y56" i="3"/>
  <c r="Y102" i="3" s="1"/>
  <c r="Y54" i="3"/>
  <c r="Y100" i="3" s="1"/>
  <c r="Y52" i="3"/>
  <c r="Y98" i="3" s="1"/>
  <c r="Y59" i="3"/>
  <c r="Y105" i="3" s="1"/>
  <c r="Y5" i="35"/>
  <c r="Y5" i="13"/>
  <c r="AD5" i="13" s="1"/>
  <c r="Y5" i="36"/>
  <c r="Y5" i="33"/>
  <c r="Y5" i="12"/>
  <c r="Y5" i="32"/>
  <c r="Y5" i="30"/>
  <c r="Y5" i="38"/>
  <c r="Y5" i="6"/>
  <c r="Y5" i="9"/>
  <c r="Y5" i="26"/>
  <c r="Y5" i="16"/>
  <c r="Y5" i="22"/>
  <c r="Y5" i="20"/>
  <c r="Y5" i="1"/>
  <c r="Y5" i="37"/>
  <c r="Y5" i="28"/>
  <c r="AC278" i="3"/>
  <c r="AB278" i="3"/>
  <c r="AB290" i="3"/>
  <c r="AB725" i="9"/>
  <c r="AB236" i="3"/>
  <c r="AB729" i="9"/>
  <c r="AB240" i="3"/>
  <c r="AC240" i="3"/>
  <c r="AC271" i="3"/>
  <c r="AC225" i="3"/>
  <c r="AC737" i="9" s="1"/>
  <c r="CA5" i="3"/>
  <c r="CB8" i="3"/>
  <c r="CA41" i="3"/>
  <c r="CA24" i="3"/>
  <c r="CA12" i="3"/>
  <c r="CA3" i="3" s="1"/>
  <c r="AB23" i="20"/>
  <c r="AB114" i="20"/>
  <c r="AB44" i="30"/>
  <c r="AB154" i="20"/>
  <c r="AC259" i="3"/>
  <c r="AC282" i="3" s="1"/>
  <c r="AC213" i="3"/>
  <c r="AC725" i="9" s="1"/>
  <c r="AA141" i="20"/>
  <c r="AA146" i="20" s="1"/>
  <c r="BH549" i="9"/>
  <c r="BH392" i="9"/>
  <c r="BG616" i="9"/>
  <c r="BG898" i="9" s="1"/>
  <c r="BH351" i="9"/>
  <c r="BH443" i="9"/>
  <c r="BH118" i="9"/>
  <c r="AB750" i="9"/>
  <c r="BH444" i="9"/>
  <c r="BH137" i="9"/>
  <c r="V3" i="11"/>
  <c r="Y3" i="35"/>
  <c r="Y3" i="13"/>
  <c r="AD3" i="13" s="1"/>
  <c r="Y3" i="36"/>
  <c r="Y3" i="33"/>
  <c r="Y3" i="12"/>
  <c r="Y3" i="32"/>
  <c r="Y3" i="30"/>
  <c r="Y3" i="38"/>
  <c r="Y3" i="6"/>
  <c r="Y3" i="9"/>
  <c r="Y3" i="26"/>
  <c r="Y3" i="16"/>
  <c r="Y3" i="22"/>
  <c r="Y3" i="20"/>
  <c r="L3" i="20" s="1"/>
  <c r="Y3" i="1"/>
  <c r="Y3" i="37"/>
  <c r="Y3" i="28"/>
  <c r="BH609" i="9"/>
  <c r="BH891" i="9" s="1"/>
  <c r="BI218" i="9"/>
  <c r="AB718" i="9"/>
  <c r="AB229" i="3"/>
  <c r="AB721" i="9"/>
  <c r="AC232" i="3"/>
  <c r="AB232" i="3"/>
  <c r="AB733" i="9"/>
  <c r="AB244" i="3"/>
  <c r="BH545" i="9"/>
  <c r="BH316" i="9"/>
  <c r="AB100" i="20"/>
  <c r="AB52" i="30"/>
  <c r="AB54" i="30" s="1"/>
  <c r="AB41" i="6"/>
  <c r="AB44" i="6" s="1"/>
  <c r="AB164" i="20"/>
  <c r="AC269" i="3"/>
  <c r="AC223" i="3"/>
  <c r="AC735" i="9" s="1"/>
  <c r="AC221" i="3"/>
  <c r="AC733" i="9" s="1"/>
  <c r="AC267" i="3"/>
  <c r="BZ205" i="26"/>
  <c r="BZ147" i="26"/>
  <c r="BZ69" i="26"/>
  <c r="BZ138" i="26"/>
  <c r="BZ182" i="26"/>
  <c r="BZ150" i="26"/>
  <c r="BZ111" i="26"/>
  <c r="BZ94" i="26"/>
  <c r="BZ91" i="26"/>
  <c r="BZ171" i="26"/>
  <c r="BZ184" i="26"/>
  <c r="BZ197" i="26"/>
  <c r="BZ137" i="26"/>
  <c r="BZ145" i="26"/>
  <c r="BZ122" i="26"/>
  <c r="BZ144" i="26"/>
  <c r="BZ142" i="26"/>
  <c r="BZ97" i="26"/>
  <c r="BZ74" i="26"/>
  <c r="BZ88" i="26"/>
  <c r="BZ199" i="26"/>
  <c r="BZ179" i="26"/>
  <c r="BZ177" i="26"/>
  <c r="BZ118" i="26"/>
  <c r="BZ121" i="26"/>
  <c r="BZ115" i="26"/>
  <c r="BZ116" i="26"/>
  <c r="BZ140" i="26"/>
  <c r="BZ87" i="26"/>
  <c r="BZ68" i="26"/>
  <c r="BZ85" i="26"/>
  <c r="BZ195" i="26"/>
  <c r="BZ198" i="26"/>
  <c r="BZ151" i="26"/>
  <c r="BZ70" i="26"/>
  <c r="BZ120" i="26"/>
  <c r="BZ86" i="26"/>
  <c r="BZ99" i="26"/>
  <c r="BZ123" i="26"/>
  <c r="BZ73" i="26"/>
  <c r="BZ146" i="26"/>
  <c r="BZ63" i="26"/>
  <c r="BZ201" i="26"/>
  <c r="BZ206" i="26"/>
  <c r="BZ208" i="26"/>
  <c r="BZ62" i="26"/>
  <c r="BZ95" i="26"/>
  <c r="BZ65" i="26"/>
  <c r="BZ96" i="26"/>
  <c r="BZ90" i="26"/>
  <c r="BZ72" i="26"/>
  <c r="BZ125" i="26"/>
  <c r="BZ172" i="26"/>
  <c r="BZ183" i="26"/>
  <c r="BZ203" i="26"/>
  <c r="BZ149" i="26"/>
  <c r="BZ200" i="26"/>
  <c r="BZ175" i="26"/>
  <c r="BZ92" i="26"/>
  <c r="BZ64" i="26"/>
  <c r="BZ93" i="26"/>
  <c r="BZ148" i="26"/>
  <c r="BZ67" i="26"/>
  <c r="BZ119" i="26"/>
  <c r="BZ180" i="26"/>
  <c r="BZ176" i="26"/>
  <c r="BZ185" i="26"/>
  <c r="BZ141" i="26"/>
  <c r="BZ174" i="26"/>
  <c r="BZ114" i="26"/>
  <c r="BZ89" i="26"/>
  <c r="BZ66" i="26"/>
  <c r="BZ71" i="26"/>
  <c r="BZ124" i="26"/>
  <c r="BZ61" i="26"/>
  <c r="BZ113" i="26"/>
  <c r="BZ196" i="26"/>
  <c r="BZ204" i="26"/>
  <c r="BZ181" i="26"/>
  <c r="BZ202" i="26"/>
  <c r="BZ178" i="26"/>
  <c r="BZ98" i="26"/>
  <c r="BZ139" i="26"/>
  <c r="BZ60" i="26"/>
  <c r="BZ173" i="26"/>
  <c r="BZ117" i="26"/>
  <c r="BZ143" i="26"/>
  <c r="BZ112" i="26"/>
  <c r="BZ209" i="26"/>
  <c r="BZ207" i="26"/>
  <c r="AA24" i="30"/>
  <c r="BH457" i="9"/>
  <c r="BH384" i="9"/>
  <c r="BH213" i="9"/>
  <c r="BH448" i="9"/>
  <c r="BG608" i="9"/>
  <c r="BG890" i="9" s="1"/>
  <c r="BH199" i="9"/>
  <c r="AB275" i="3"/>
  <c r="AB293" i="3"/>
  <c r="E211" i="23"/>
  <c r="E210" i="23" a="1"/>
  <c r="CA4" i="38" l="1"/>
  <c r="CA4" i="1"/>
  <c r="AC79" i="3"/>
  <c r="AC237" i="3"/>
  <c r="AC749" i="9" s="1"/>
  <c r="AC76" i="3"/>
  <c r="AC268" i="3"/>
  <c r="AC291" i="3" s="1"/>
  <c r="AC247" i="3"/>
  <c r="AC759" i="9" s="1"/>
  <c r="CA4" i="32"/>
  <c r="CA4" i="28"/>
  <c r="CA4" i="22"/>
  <c r="CB4" i="12"/>
  <c r="BO4" i="11"/>
  <c r="AC229" i="3"/>
  <c r="AC85" i="3"/>
  <c r="CA20" i="3"/>
  <c r="AC235" i="3"/>
  <c r="CA4" i="20"/>
  <c r="AD143" i="3"/>
  <c r="AD146" i="3"/>
  <c r="AD169" i="3" s="1"/>
  <c r="AD192" i="3" s="1"/>
  <c r="CA4" i="30"/>
  <c r="AD138" i="3"/>
  <c r="AD149" i="3"/>
  <c r="CA22" i="3"/>
  <c r="CA28" i="3" s="1"/>
  <c r="AD144" i="3"/>
  <c r="AC239" i="3"/>
  <c r="AD155" i="3"/>
  <c r="CA4" i="6"/>
  <c r="AB45" i="30"/>
  <c r="AC69" i="3"/>
  <c r="AC245" i="3"/>
  <c r="AC757" i="9" s="1"/>
  <c r="AD145" i="3"/>
  <c r="AD168" i="3" s="1"/>
  <c r="AD191" i="3" s="1"/>
  <c r="AC81" i="3"/>
  <c r="AC83" i="3"/>
  <c r="AD151" i="3"/>
  <c r="AD174" i="3" s="1"/>
  <c r="AD197" i="3" s="1"/>
  <c r="AC794" i="9"/>
  <c r="AC793" i="9"/>
  <c r="CA4" i="26"/>
  <c r="CA4" i="35"/>
  <c r="CA4" i="9"/>
  <c r="CA16" i="3"/>
  <c r="AC231" i="3"/>
  <c r="AC236" i="3"/>
  <c r="AC748" i="9" s="1"/>
  <c r="AC241" i="3"/>
  <c r="CA4" i="16"/>
  <c r="AD171" i="3"/>
  <c r="AD194" i="3" s="1"/>
  <c r="AB72" i="30"/>
  <c r="AB74" i="30" s="1"/>
  <c r="AC40" i="6"/>
  <c r="AB12" i="6"/>
  <c r="BH1008" i="9"/>
  <c r="BH517" i="9"/>
  <c r="BI209" i="9"/>
  <c r="BH215" i="9"/>
  <c r="AC244" i="3"/>
  <c r="AC756" i="9" s="1"/>
  <c r="BH533" i="9"/>
  <c r="BH88" i="9"/>
  <c r="AD156" i="3"/>
  <c r="AD153" i="3"/>
  <c r="AB746" i="9"/>
  <c r="AC789" i="9"/>
  <c r="AC791" i="9"/>
  <c r="AC800" i="9"/>
  <c r="AC100" i="3"/>
  <c r="AC77" i="3"/>
  <c r="AC97" i="3"/>
  <c r="AC74" i="3"/>
  <c r="BH617" i="9"/>
  <c r="BH899" i="9" s="1"/>
  <c r="BI370" i="9"/>
  <c r="BH607" i="9"/>
  <c r="BH889" i="9" s="1"/>
  <c r="BI180" i="9"/>
  <c r="AC752" i="9"/>
  <c r="BH1009" i="9"/>
  <c r="BH518" i="9"/>
  <c r="BI228" i="9"/>
  <c r="BH234" i="9"/>
  <c r="BH1016" i="9"/>
  <c r="BH525" i="9"/>
  <c r="BI361" i="9"/>
  <c r="BH367" i="9"/>
  <c r="BH1000" i="9"/>
  <c r="BH509" i="9"/>
  <c r="BH63" i="9"/>
  <c r="BI57" i="9"/>
  <c r="AC284" i="3"/>
  <c r="AC744" i="9"/>
  <c r="BH1017" i="9"/>
  <c r="BH526" i="9"/>
  <c r="BH386" i="9"/>
  <c r="BI380" i="9"/>
  <c r="DF2" i="1"/>
  <c r="BH547" i="9"/>
  <c r="BH354" i="9"/>
  <c r="AB752" i="9"/>
  <c r="AB194" i="30"/>
  <c r="AB179" i="30"/>
  <c r="AB65" i="33" s="1"/>
  <c r="BH1014" i="9"/>
  <c r="BH523" i="9"/>
  <c r="BH329" i="9"/>
  <c r="BI323" i="9"/>
  <c r="BH441" i="9"/>
  <c r="BH80" i="9"/>
  <c r="AC294" i="3"/>
  <c r="AC798" i="9"/>
  <c r="AC788" i="9"/>
  <c r="AC795" i="9"/>
  <c r="AC137" i="26"/>
  <c r="AC74" i="26"/>
  <c r="AC147" i="26"/>
  <c r="AC70" i="26"/>
  <c r="AC93" i="26"/>
  <c r="AC61" i="26"/>
  <c r="AC73" i="26"/>
  <c r="AC141" i="26"/>
  <c r="AC69" i="26"/>
  <c r="AC176" i="26"/>
  <c r="AC178" i="26"/>
  <c r="AC174" i="26"/>
  <c r="AC151" i="26"/>
  <c r="AC66" i="26"/>
  <c r="AC143" i="26"/>
  <c r="AC116" i="26"/>
  <c r="AC90" i="26"/>
  <c r="AC175" i="26"/>
  <c r="AC72" i="26"/>
  <c r="AC140" i="26"/>
  <c r="AC198" i="26"/>
  <c r="AC179" i="26"/>
  <c r="AC171" i="26"/>
  <c r="AC146" i="26"/>
  <c r="AC150" i="26"/>
  <c r="AC121" i="26"/>
  <c r="AC99" i="26"/>
  <c r="AC71" i="26"/>
  <c r="AC139" i="26"/>
  <c r="AC68" i="26"/>
  <c r="AC119" i="26"/>
  <c r="AC205" i="26"/>
  <c r="AC196" i="26"/>
  <c r="AC183" i="26"/>
  <c r="AC208" i="26"/>
  <c r="AC148" i="26"/>
  <c r="AC120" i="26"/>
  <c r="AC65" i="26"/>
  <c r="AC177" i="26"/>
  <c r="AC138" i="26"/>
  <c r="AC125" i="26"/>
  <c r="AC113" i="26"/>
  <c r="AC185" i="26"/>
  <c r="AC203" i="26"/>
  <c r="AC207" i="26"/>
  <c r="AC200" i="26"/>
  <c r="AC142" i="26"/>
  <c r="AC115" i="26"/>
  <c r="AC64" i="26"/>
  <c r="AC124" i="26"/>
  <c r="AC118" i="26"/>
  <c r="AC91" i="26"/>
  <c r="AC112" i="26"/>
  <c r="AC195" i="26"/>
  <c r="AC182" i="26"/>
  <c r="AC209" i="26"/>
  <c r="AC184" i="26"/>
  <c r="AC95" i="26"/>
  <c r="AC92" i="26"/>
  <c r="AC60" i="26"/>
  <c r="AC117" i="26"/>
  <c r="AC111" i="26"/>
  <c r="AC62" i="26"/>
  <c r="AC98" i="26"/>
  <c r="AC180" i="26"/>
  <c r="AC181" i="26"/>
  <c r="AC206" i="26"/>
  <c r="AC122" i="26"/>
  <c r="AC63" i="26"/>
  <c r="AC89" i="26"/>
  <c r="AC123" i="26"/>
  <c r="AC87" i="26"/>
  <c r="AC97" i="26"/>
  <c r="AC149" i="26"/>
  <c r="AC88" i="26"/>
  <c r="AC202" i="26"/>
  <c r="AC199" i="26"/>
  <c r="AC197" i="26"/>
  <c r="AC145" i="26"/>
  <c r="AC114" i="26"/>
  <c r="AC173" i="26"/>
  <c r="AC86" i="26"/>
  <c r="AC96" i="26"/>
  <c r="AC67" i="26"/>
  <c r="AC94" i="26"/>
  <c r="AC144" i="26"/>
  <c r="AC85" i="26"/>
  <c r="AC172" i="26"/>
  <c r="AC204" i="26"/>
  <c r="AC201" i="26"/>
  <c r="AC91" i="3"/>
  <c r="AC68" i="3"/>
  <c r="AC107" i="3"/>
  <c r="AC84" i="3"/>
  <c r="AC105" i="3"/>
  <c r="AC82" i="3"/>
  <c r="AB13" i="30"/>
  <c r="AB102" i="20"/>
  <c r="AC28" i="3"/>
  <c r="AC26" i="3"/>
  <c r="BH612" i="9"/>
  <c r="BH894" i="9" s="1"/>
  <c r="BI275" i="9"/>
  <c r="AB21" i="30"/>
  <c r="AC279" i="3"/>
  <c r="AB748" i="9"/>
  <c r="AB751" i="9"/>
  <c r="BH447" i="9"/>
  <c r="BH194" i="9"/>
  <c r="AD161" i="3"/>
  <c r="AD184" i="3" s="1"/>
  <c r="BH446" i="9"/>
  <c r="BH175" i="9"/>
  <c r="AB747" i="9"/>
  <c r="AC797" i="9"/>
  <c r="AC320" i="9"/>
  <c r="AC415" i="9"/>
  <c r="AC396" i="9"/>
  <c r="AC434" i="9"/>
  <c r="AC358" i="9"/>
  <c r="AC339" i="9"/>
  <c r="AC263" i="9"/>
  <c r="AC187" i="9"/>
  <c r="AC301" i="9"/>
  <c r="AC244" i="9"/>
  <c r="AC377" i="9"/>
  <c r="AC282" i="9"/>
  <c r="AC206" i="9"/>
  <c r="AC111" i="9"/>
  <c r="AC73" i="9"/>
  <c r="AC168" i="9"/>
  <c r="AC130" i="9"/>
  <c r="AC92" i="9"/>
  <c r="AC225" i="9"/>
  <c r="AC149" i="9"/>
  <c r="AC96" i="3"/>
  <c r="AC73" i="3"/>
  <c r="AC94" i="3"/>
  <c r="AC71" i="3"/>
  <c r="AC18" i="3"/>
  <c r="AA80" i="33"/>
  <c r="AC722" i="9"/>
  <c r="AC233" i="3"/>
  <c r="AB23" i="30"/>
  <c r="AB179" i="20"/>
  <c r="BH618" i="9"/>
  <c r="BH900" i="9" s="1"/>
  <c r="BI389" i="9"/>
  <c r="BO3" i="11"/>
  <c r="J6" i="50"/>
  <c r="N6" i="50" s="1"/>
  <c r="CA14" i="3"/>
  <c r="CA3" i="35"/>
  <c r="CA3" i="33"/>
  <c r="CB3" i="12"/>
  <c r="CA3" i="32"/>
  <c r="CA3" i="30"/>
  <c r="CA3" i="38"/>
  <c r="CA3" i="6"/>
  <c r="CA3" i="9"/>
  <c r="CA3" i="26"/>
  <c r="CA3" i="16"/>
  <c r="CA3" i="22"/>
  <c r="CA3" i="20"/>
  <c r="CA3" i="1"/>
  <c r="CA3" i="28"/>
  <c r="BH1012" i="9"/>
  <c r="BH521" i="9"/>
  <c r="BH291" i="9"/>
  <c r="BI285" i="9"/>
  <c r="BH534" i="9"/>
  <c r="BH107" i="9"/>
  <c r="AD178" i="3"/>
  <c r="AD201" i="3" s="1"/>
  <c r="AD167" i="3"/>
  <c r="AD190" i="3" s="1"/>
  <c r="AC803" i="9"/>
  <c r="AC796" i="9"/>
  <c r="AC799" i="9"/>
  <c r="AC93" i="3"/>
  <c r="AC70" i="3"/>
  <c r="AC109" i="3"/>
  <c r="AC86" i="3"/>
  <c r="BH442" i="9"/>
  <c r="BH99" i="9"/>
  <c r="AC180" i="20" a="1"/>
  <c r="AC180" i="20" s="1"/>
  <c r="AC162" i="20" a="1"/>
  <c r="AC162" i="20" s="1"/>
  <c r="AC153" i="20" a="1"/>
  <c r="AC153" i="20" s="1"/>
  <c r="AC150" i="20" a="1"/>
  <c r="AC150" i="20" s="1"/>
  <c r="AC127" i="20" a="1"/>
  <c r="AC127" i="20" s="1"/>
  <c r="AC130" i="20" a="1"/>
  <c r="AC130" i="20" s="1"/>
  <c r="AC135" i="20" a="1"/>
  <c r="AC135" i="20" s="1"/>
  <c r="AC128" i="20" a="1"/>
  <c r="AC128" i="20" s="1"/>
  <c r="AC129" i="20" a="1"/>
  <c r="AC129" i="20" s="1"/>
  <c r="AC124" i="20" a="1"/>
  <c r="AC124" i="20" s="1"/>
  <c r="AC123" i="20" a="1"/>
  <c r="AC123" i="20" s="1"/>
  <c r="AC119" i="20" a="1"/>
  <c r="AC119" i="20" s="1"/>
  <c r="AC125" i="20" a="1"/>
  <c r="AC125" i="20" s="1"/>
  <c r="AC120" i="20" a="1"/>
  <c r="AC120" i="20" s="1"/>
  <c r="AC121" i="20" a="1"/>
  <c r="AC121" i="20" s="1"/>
  <c r="AC117" i="20" a="1"/>
  <c r="AC117" i="20" s="1"/>
  <c r="AC118" i="20" a="1"/>
  <c r="AC118" i="20" s="1"/>
  <c r="AC122" i="20" a="1"/>
  <c r="AC122" i="20" s="1"/>
  <c r="AC109" i="20" a="1"/>
  <c r="AC109" i="20" s="1"/>
  <c r="AC105" i="20" a="1"/>
  <c r="AC105" i="20" s="1"/>
  <c r="AC106" i="20" a="1"/>
  <c r="AC106" i="20" s="1"/>
  <c r="AC110" i="20" a="1"/>
  <c r="AC110" i="20" s="1"/>
  <c r="AC111" i="20" a="1"/>
  <c r="AC111" i="20" s="1"/>
  <c r="AC107" i="20" a="1"/>
  <c r="AC107" i="20" s="1"/>
  <c r="AC112" i="20" a="1"/>
  <c r="AC112" i="20" s="1"/>
  <c r="AC108" i="20" a="1"/>
  <c r="AC108" i="20" s="1"/>
  <c r="AC95" i="20" a="1"/>
  <c r="AC95" i="20" s="1"/>
  <c r="AC81" i="20" a="1"/>
  <c r="AC81" i="20" s="1"/>
  <c r="AC77" i="20" a="1"/>
  <c r="AC77" i="20" s="1"/>
  <c r="AC72" i="20" a="1"/>
  <c r="AC72" i="20" s="1"/>
  <c r="AC68" i="20" a="1"/>
  <c r="AC68" i="20" s="1"/>
  <c r="AC64" i="20" a="1"/>
  <c r="AC64" i="20" s="1"/>
  <c r="AC58" i="20" a="1"/>
  <c r="AC58" i="20" s="1"/>
  <c r="AC51" i="20" a="1"/>
  <c r="AC51" i="20" s="1"/>
  <c r="AC82" i="20" a="1"/>
  <c r="AC82" i="20" s="1"/>
  <c r="AC78" i="20" a="1"/>
  <c r="AC78" i="20" s="1"/>
  <c r="AC73" i="20" a="1"/>
  <c r="AC73" i="20" s="1"/>
  <c r="AC69" i="20" a="1"/>
  <c r="AC69" i="20" s="1"/>
  <c r="AC65" i="20" a="1"/>
  <c r="AC65" i="20" s="1"/>
  <c r="AC54" i="20" a="1"/>
  <c r="AC54" i="20" s="1"/>
  <c r="AC52" i="20" a="1"/>
  <c r="AC52" i="20" s="1"/>
  <c r="AC44" i="20" a="1"/>
  <c r="AC44" i="20" s="1"/>
  <c r="AC36" i="20" a="1"/>
  <c r="AC36" i="20" s="1"/>
  <c r="AC30" i="20" a="1"/>
  <c r="AC30" i="20" s="1"/>
  <c r="AC28" i="20" a="1"/>
  <c r="AC28" i="20" s="1"/>
  <c r="AC20" i="20" a="1"/>
  <c r="AC20" i="20" s="1"/>
  <c r="AC14" i="20" a="1"/>
  <c r="AC14" i="20" s="1"/>
  <c r="AC12" i="20" a="1"/>
  <c r="AC12" i="20" s="1"/>
  <c r="AC45" i="20" a="1"/>
  <c r="AC45" i="20" s="1"/>
  <c r="AC59" i="20" a="1"/>
  <c r="AC59" i="20" s="1"/>
  <c r="AC47" i="20" a="1"/>
  <c r="AC47" i="20" s="1"/>
  <c r="AC39" i="20" a="1"/>
  <c r="AC39" i="20" s="1"/>
  <c r="AC37" i="20" a="1"/>
  <c r="AC37" i="20" s="1"/>
  <c r="AC93" i="20" a="1"/>
  <c r="AC93" i="20" s="1"/>
  <c r="AC88" i="20" a="1"/>
  <c r="AC88" i="20" s="1"/>
  <c r="AC83" i="20" a="1"/>
  <c r="AC83" i="20" s="1"/>
  <c r="AC79" i="20" a="1"/>
  <c r="AC79" i="20" s="1"/>
  <c r="AC70" i="20" a="1"/>
  <c r="AC70" i="20" s="1"/>
  <c r="AC66" i="20" a="1"/>
  <c r="AC66" i="20" s="1"/>
  <c r="AC61" i="20" a="1"/>
  <c r="AC61" i="20" s="1"/>
  <c r="AC57" i="20" a="1"/>
  <c r="AC57" i="20" s="1"/>
  <c r="AC94" i="20" a="1"/>
  <c r="AC94" i="20" s="1"/>
  <c r="AC89" i="20" a="1"/>
  <c r="AC89" i="20" s="1"/>
  <c r="AC84" i="20" a="1"/>
  <c r="AC84" i="20" s="1"/>
  <c r="AC80" i="20" a="1"/>
  <c r="AC80" i="20" s="1"/>
  <c r="AC71" i="20" a="1"/>
  <c r="AC71" i="20" s="1"/>
  <c r="AC67" i="20" a="1"/>
  <c r="AC67" i="20" s="1"/>
  <c r="AC50" i="20" a="1"/>
  <c r="AC50" i="20" s="1"/>
  <c r="AC98" i="20" a="1"/>
  <c r="AC98" i="20" s="1"/>
  <c r="AC11" i="20" a="1"/>
  <c r="AC11" i="20" s="1"/>
  <c r="AC17" i="20" a="1"/>
  <c r="AC17" i="20" s="1"/>
  <c r="AC43" i="20" a="1"/>
  <c r="AC43" i="20" s="1"/>
  <c r="AC22" i="20" a="1"/>
  <c r="AC22" i="20" s="1"/>
  <c r="AC18" i="20" a="1"/>
  <c r="AC18" i="20" s="1"/>
  <c r="AC19" i="20" a="1"/>
  <c r="AC19" i="20" s="1"/>
  <c r="AC33" i="20" a="1"/>
  <c r="AC33" i="20" s="1"/>
  <c r="AC42" i="20" a="1"/>
  <c r="AC42" i="20" s="1"/>
  <c r="AC35" i="20" a="1"/>
  <c r="AC35" i="20" s="1"/>
  <c r="AC34" i="20" a="1"/>
  <c r="AC34" i="20" s="1"/>
  <c r="AC27" i="20" a="1"/>
  <c r="AC27" i="20" s="1"/>
  <c r="AC24" i="20" a="1"/>
  <c r="AC24" i="20" s="1"/>
  <c r="AC21" i="20" a="1"/>
  <c r="AC21" i="20" s="1"/>
  <c r="AB15" i="30"/>
  <c r="AB759" i="9"/>
  <c r="AB758" i="9"/>
  <c r="BH1010" i="9"/>
  <c r="BH253" i="9"/>
  <c r="BH519" i="9"/>
  <c r="BI247" i="9"/>
  <c r="BH1005" i="9"/>
  <c r="BH514" i="9"/>
  <c r="BH158" i="9"/>
  <c r="BI152" i="9"/>
  <c r="AC219" i="3"/>
  <c r="AC265" i="3"/>
  <c r="AB22" i="30"/>
  <c r="AB175" i="20"/>
  <c r="CA18" i="3"/>
  <c r="AC289" i="3"/>
  <c r="AB756" i="9"/>
  <c r="AB744" i="9"/>
  <c r="AB741" i="9"/>
  <c r="AD152" i="3"/>
  <c r="AD147" i="3"/>
  <c r="AD140" i="3"/>
  <c r="BH455" i="9"/>
  <c r="BH346" i="9"/>
  <c r="AC234" i="3"/>
  <c r="AC746" i="9" s="1"/>
  <c r="AC787" i="9"/>
  <c r="AC802" i="9"/>
  <c r="AC103" i="3"/>
  <c r="AC80" i="3"/>
  <c r="BH546" i="9"/>
  <c r="BH335" i="9"/>
  <c r="AC292" i="3"/>
  <c r="AC751" i="9"/>
  <c r="BH1011" i="9"/>
  <c r="BH520" i="9"/>
  <c r="BH272" i="9"/>
  <c r="BI266" i="9"/>
  <c r="AC246" i="3"/>
  <c r="AC758" i="9" s="1"/>
  <c r="AB742" i="9"/>
  <c r="BH550" i="9"/>
  <c r="BH411" i="9"/>
  <c r="AB132" i="20"/>
  <c r="AB28" i="30" s="1"/>
  <c r="AB26" i="32" s="1"/>
  <c r="AB25" i="35" s="1"/>
  <c r="AC732" i="9"/>
  <c r="AC243" i="3"/>
  <c r="BI540" i="9"/>
  <c r="BI221" i="9"/>
  <c r="AA174" i="20"/>
  <c r="AA181" i="20" s="1"/>
  <c r="AA62" i="30" s="1"/>
  <c r="AA156" i="20"/>
  <c r="AA166" i="20" s="1"/>
  <c r="AB20" i="30"/>
  <c r="AC277" i="3"/>
  <c r="BH544" i="9"/>
  <c r="BH297" i="9"/>
  <c r="AB757" i="9"/>
  <c r="AC280" i="3"/>
  <c r="AD137" i="3"/>
  <c r="AD141" i="3"/>
  <c r="BH532" i="9"/>
  <c r="BH69" i="9"/>
  <c r="AB749" i="9"/>
  <c r="AC804" i="9"/>
  <c r="AC801" i="9"/>
  <c r="AC248" i="3"/>
  <c r="AC760" i="9" s="1"/>
  <c r="AB19" i="30"/>
  <c r="BH453" i="9"/>
  <c r="BH308" i="9"/>
  <c r="AC747" i="9"/>
  <c r="BH610" i="9"/>
  <c r="BH892" i="9" s="1"/>
  <c r="BI237" i="9"/>
  <c r="AB18" i="30"/>
  <c r="BH614" i="9"/>
  <c r="BH896" i="9" s="1"/>
  <c r="BI313" i="9"/>
  <c r="BH539" i="9"/>
  <c r="BH202" i="9"/>
  <c r="BH1004" i="9"/>
  <c r="BH513" i="9"/>
  <c r="BH139" i="9"/>
  <c r="BI133" i="9"/>
  <c r="AB27" i="30"/>
  <c r="CB10" i="3"/>
  <c r="CB143" i="3" s="1"/>
  <c r="AB743" i="9"/>
  <c r="AD166" i="3"/>
  <c r="AD189" i="3" s="1"/>
  <c r="AD41" i="3"/>
  <c r="AD24" i="3"/>
  <c r="AD12" i="3"/>
  <c r="AD3" i="3" s="1"/>
  <c r="AE8" i="3"/>
  <c r="AD5" i="3"/>
  <c r="AD4" i="3"/>
  <c r="AD142" i="3"/>
  <c r="BH605" i="9"/>
  <c r="BH887" i="9" s="1"/>
  <c r="BI142" i="9"/>
  <c r="AC806" i="9"/>
  <c r="AC792" i="9"/>
  <c r="AC95" i="3"/>
  <c r="AC72" i="3"/>
  <c r="AC110" i="3"/>
  <c r="AC87" i="3"/>
  <c r="BH542" i="9"/>
  <c r="BH259" i="9"/>
  <c r="AB16" i="30"/>
  <c r="AC276" i="3"/>
  <c r="E109" i="50"/>
  <c r="E105" i="50"/>
  <c r="E101" i="50"/>
  <c r="E97" i="50"/>
  <c r="E93" i="50"/>
  <c r="E89" i="50"/>
  <c r="E85" i="50"/>
  <c r="E81" i="50"/>
  <c r="E77" i="50"/>
  <c r="E73" i="50"/>
  <c r="E69" i="50"/>
  <c r="E65" i="50"/>
  <c r="E61" i="50"/>
  <c r="E57" i="50"/>
  <c r="E53" i="50"/>
  <c r="BH604" i="9"/>
  <c r="BH886" i="9" s="1"/>
  <c r="BI123" i="9"/>
  <c r="AC753" i="9"/>
  <c r="BH537" i="9"/>
  <c r="BH164" i="9"/>
  <c r="AC741" i="9"/>
  <c r="AA14" i="32"/>
  <c r="AA32" i="30"/>
  <c r="AA36" i="30" s="1"/>
  <c r="BH1003" i="9"/>
  <c r="BH512" i="9"/>
  <c r="BH120" i="9"/>
  <c r="BI114" i="9"/>
  <c r="BO5" i="11"/>
  <c r="CA62" i="3"/>
  <c r="CA108" i="3" s="1"/>
  <c r="CA54" i="3"/>
  <c r="CA100" i="3" s="1"/>
  <c r="CA46" i="3"/>
  <c r="CA92" i="3" s="1"/>
  <c r="CA49" i="3"/>
  <c r="CA95" i="3" s="1"/>
  <c r="CA52" i="3"/>
  <c r="CA98" i="3" s="1"/>
  <c r="CA57" i="3"/>
  <c r="CA103" i="3" s="1"/>
  <c r="CA61" i="3"/>
  <c r="CA107" i="3" s="1"/>
  <c r="CA56" i="3"/>
  <c r="CA102" i="3" s="1"/>
  <c r="CA51" i="3"/>
  <c r="CA97" i="3" s="1"/>
  <c r="CA47" i="3"/>
  <c r="CA93" i="3" s="1"/>
  <c r="CA50" i="3"/>
  <c r="CA96" i="3" s="1"/>
  <c r="CA55" i="3"/>
  <c r="CA101" i="3" s="1"/>
  <c r="CA53" i="3"/>
  <c r="CA99" i="3" s="1"/>
  <c r="CA59" i="3"/>
  <c r="CA105" i="3" s="1"/>
  <c r="CA58" i="3"/>
  <c r="CA104" i="3" s="1"/>
  <c r="CA60" i="3"/>
  <c r="CA106" i="3" s="1"/>
  <c r="CA48" i="3"/>
  <c r="CA94" i="3" s="1"/>
  <c r="CA45" i="3"/>
  <c r="CA91" i="3" s="1"/>
  <c r="CA64" i="3"/>
  <c r="CA110" i="3" s="1"/>
  <c r="CA63" i="3"/>
  <c r="CA109" i="3" s="1"/>
  <c r="CA5" i="35"/>
  <c r="CA5" i="33"/>
  <c r="CB5" i="12"/>
  <c r="CA5" i="32"/>
  <c r="CA5" i="30"/>
  <c r="CA5" i="38"/>
  <c r="CA5" i="6"/>
  <c r="CA5" i="9"/>
  <c r="CA5" i="26"/>
  <c r="CA5" i="16"/>
  <c r="CA5" i="22"/>
  <c r="CA5" i="20"/>
  <c r="CA5" i="1"/>
  <c r="CA5" i="28"/>
  <c r="CA130" i="3"/>
  <c r="CA123" i="3"/>
  <c r="CA117" i="3"/>
  <c r="CA122" i="3"/>
  <c r="CA125" i="3"/>
  <c r="CA114" i="3"/>
  <c r="CA121" i="3"/>
  <c r="CA129" i="3"/>
  <c r="CA131" i="3"/>
  <c r="CA118" i="3"/>
  <c r="CA124" i="3"/>
  <c r="CA120" i="3"/>
  <c r="CA126" i="3"/>
  <c r="CA119" i="3"/>
  <c r="CA116" i="3"/>
  <c r="CA115" i="3"/>
  <c r="CA132" i="3"/>
  <c r="CA133" i="3"/>
  <c r="CA127" i="3"/>
  <c r="CA128" i="3"/>
  <c r="AC290" i="3"/>
  <c r="Y150" i="26"/>
  <c r="Y202" i="26"/>
  <c r="Y88" i="26"/>
  <c r="Y184" i="26"/>
  <c r="Y140" i="26"/>
  <c r="Y95" i="26"/>
  <c r="Y65" i="26"/>
  <c r="Y145" i="26"/>
  <c r="Y73" i="26"/>
  <c r="Y172" i="26"/>
  <c r="Y203" i="26"/>
  <c r="Y171" i="26"/>
  <c r="Y142" i="26"/>
  <c r="Y205" i="26"/>
  <c r="Y71" i="26"/>
  <c r="Y149" i="26"/>
  <c r="Y114" i="26"/>
  <c r="Y89" i="26"/>
  <c r="Y64" i="26"/>
  <c r="Y137" i="26"/>
  <c r="Y72" i="26"/>
  <c r="Y173" i="26"/>
  <c r="Y195" i="26"/>
  <c r="Y198" i="26"/>
  <c r="Y208" i="26"/>
  <c r="Y197" i="26"/>
  <c r="Y63" i="26"/>
  <c r="Y125" i="26"/>
  <c r="Y98" i="26"/>
  <c r="Y174" i="26"/>
  <c r="Y183" i="26"/>
  <c r="Y123" i="26"/>
  <c r="Y67" i="26"/>
  <c r="Y206" i="26"/>
  <c r="Y204" i="26"/>
  <c r="Y200" i="26"/>
  <c r="Y141" i="26"/>
  <c r="Y178" i="26"/>
  <c r="Y113" i="26"/>
  <c r="Y69" i="26"/>
  <c r="Y146" i="26"/>
  <c r="Y116" i="26"/>
  <c r="Y90" i="26"/>
  <c r="Y61" i="26"/>
  <c r="Y207" i="26"/>
  <c r="Y209" i="26"/>
  <c r="Y182" i="26"/>
  <c r="Y119" i="26"/>
  <c r="Y139" i="26"/>
  <c r="Y112" i="26"/>
  <c r="Y147" i="26"/>
  <c r="Y122" i="26"/>
  <c r="Y99" i="26"/>
  <c r="Y124" i="26"/>
  <c r="Y74" i="26"/>
  <c r="Y181" i="26"/>
  <c r="Y176" i="26"/>
  <c r="Y144" i="26"/>
  <c r="Y111" i="26"/>
  <c r="Y138" i="26"/>
  <c r="Y91" i="26"/>
  <c r="Y143" i="26"/>
  <c r="Y115" i="26"/>
  <c r="Y93" i="26"/>
  <c r="Y117" i="26"/>
  <c r="Y68" i="26"/>
  <c r="Y196" i="26"/>
  <c r="Y180" i="26"/>
  <c r="Y175" i="26"/>
  <c r="Y96" i="26"/>
  <c r="Y118" i="26"/>
  <c r="Y85" i="26"/>
  <c r="Y121" i="26"/>
  <c r="Y86" i="26"/>
  <c r="Y66" i="26"/>
  <c r="Y97" i="26"/>
  <c r="Y62" i="26"/>
  <c r="Y179" i="26"/>
  <c r="Y177" i="26"/>
  <c r="Y151" i="26"/>
  <c r="Y92" i="26"/>
  <c r="Y94" i="26"/>
  <c r="Y148" i="26"/>
  <c r="Y120" i="26"/>
  <c r="Y70" i="26"/>
  <c r="Y60" i="26"/>
  <c r="Y87" i="26"/>
  <c r="Y199" i="26"/>
  <c r="Y185" i="26"/>
  <c r="Y201" i="26"/>
  <c r="AC743" i="9"/>
  <c r="AD150" i="3"/>
  <c r="AD139" i="3"/>
  <c r="AD154" i="3"/>
  <c r="BI1019" i="9"/>
  <c r="BI528" i="9"/>
  <c r="BJ418" i="9"/>
  <c r="BI424" i="9"/>
  <c r="BH620" i="9"/>
  <c r="BH902" i="9" s="1"/>
  <c r="BI427" i="9"/>
  <c r="AC790" i="9"/>
  <c r="AC805" i="9"/>
  <c r="AC98" i="3"/>
  <c r="AC75" i="3"/>
  <c r="AC101" i="3"/>
  <c r="AC78" i="3"/>
  <c r="AB753" i="9"/>
  <c r="AB760" i="9"/>
  <c r="AC780" i="9"/>
  <c r="AC774" i="9"/>
  <c r="AC767" i="9"/>
  <c r="AC781" i="9"/>
  <c r="AC768" i="9"/>
  <c r="AC782" i="9"/>
  <c r="AC775" i="9"/>
  <c r="AC769" i="9"/>
  <c r="AC776" i="9"/>
  <c r="AC770" i="9"/>
  <c r="AC783" i="9"/>
  <c r="AC777" i="9"/>
  <c r="AC778" i="9"/>
  <c r="AC771" i="9"/>
  <c r="AC772" i="9"/>
  <c r="AC766" i="9"/>
  <c r="AC779" i="9"/>
  <c r="AC773" i="9"/>
  <c r="AC712" i="9"/>
  <c r="AC704" i="9"/>
  <c r="AC696" i="9"/>
  <c r="AC714" i="9"/>
  <c r="AC702" i="9"/>
  <c r="AC700" i="9"/>
  <c r="AC697" i="9"/>
  <c r="AC764" i="9"/>
  <c r="AC709" i="9"/>
  <c r="AC707" i="9"/>
  <c r="AC711" i="9"/>
  <c r="AC706" i="9"/>
  <c r="AC701" i="9"/>
  <c r="AC699" i="9"/>
  <c r="AC765" i="9"/>
  <c r="AC713" i="9"/>
  <c r="AC703" i="9"/>
  <c r="AC698" i="9"/>
  <c r="AC710" i="9"/>
  <c r="AC708" i="9"/>
  <c r="AC705" i="9"/>
  <c r="AC695" i="9"/>
  <c r="AC230" i="3"/>
  <c r="AC742" i="9" s="1"/>
  <c r="BH1018" i="9"/>
  <c r="BH405" i="9"/>
  <c r="BH527" i="9"/>
  <c r="BI399" i="9"/>
  <c r="AB17" i="30"/>
  <c r="AB14" i="30"/>
  <c r="AC727" i="9"/>
  <c r="AC238" i="3"/>
  <c r="E210" i="23"/>
  <c r="C208" i="23" a="1"/>
  <c r="CA26" i="3" l="1"/>
  <c r="AD172" i="3"/>
  <c r="AD195" i="3" s="1"/>
  <c r="CB142" i="3"/>
  <c r="CB165" i="3" s="1"/>
  <c r="AC755" i="9"/>
  <c r="CB155" i="3"/>
  <c r="CB178" i="3" s="1"/>
  <c r="AB30" i="30"/>
  <c r="CB152" i="3"/>
  <c r="CB175" i="3" s="1"/>
  <c r="CB139" i="3"/>
  <c r="CB162" i="3" s="1"/>
  <c r="CB138" i="3"/>
  <c r="CB161" i="3" s="1"/>
  <c r="CB151" i="3"/>
  <c r="CB144" i="3"/>
  <c r="CB137" i="3"/>
  <c r="CB160" i="3" s="1"/>
  <c r="CB141" i="3"/>
  <c r="CB164" i="3" s="1"/>
  <c r="CB150" i="3"/>
  <c r="CB173" i="3" s="1"/>
  <c r="CB140" i="3"/>
  <c r="CB163" i="3" s="1"/>
  <c r="CB156" i="3"/>
  <c r="CB179" i="3" s="1"/>
  <c r="CB166" i="3"/>
  <c r="AD253" i="3"/>
  <c r="AD207" i="3"/>
  <c r="AD224" i="3"/>
  <c r="AD270" i="3"/>
  <c r="AD261" i="3"/>
  <c r="AD215" i="3"/>
  <c r="AD173" i="3"/>
  <c r="AD196" i="3" s="1"/>
  <c r="BI535" i="9"/>
  <c r="BI126" i="9"/>
  <c r="BI451" i="9"/>
  <c r="BI270" i="9"/>
  <c r="BI332" i="9"/>
  <c r="BH615" i="9"/>
  <c r="BH897" i="9" s="1"/>
  <c r="AD163" i="3"/>
  <c r="AD186" i="3" s="1"/>
  <c r="AC46" i="20"/>
  <c r="AC100" i="20"/>
  <c r="AC60" i="20"/>
  <c r="AC85" i="20"/>
  <c r="AD260" i="3"/>
  <c r="AD214" i="3"/>
  <c r="AC745" i="9"/>
  <c r="BH616" i="9"/>
  <c r="BH898" i="9" s="1"/>
  <c r="BI351" i="9"/>
  <c r="BI213" i="9"/>
  <c r="BI448" i="9"/>
  <c r="BI458" i="9"/>
  <c r="BI403" i="9"/>
  <c r="BI551" i="9"/>
  <c r="BI430" i="9"/>
  <c r="AD3" i="11"/>
  <c r="AD14" i="3"/>
  <c r="AD3" i="35"/>
  <c r="AD3" i="33"/>
  <c r="AE3" i="12"/>
  <c r="AD3" i="32"/>
  <c r="AD3" i="30"/>
  <c r="AD3" i="38"/>
  <c r="AD3" i="6"/>
  <c r="AD3" i="9"/>
  <c r="AD3" i="26"/>
  <c r="AD3" i="16"/>
  <c r="AD3" i="22"/>
  <c r="AD3" i="20"/>
  <c r="AD3" i="1"/>
  <c r="AD3" i="28"/>
  <c r="AD37" i="3"/>
  <c r="AD258" i="3"/>
  <c r="AD212" i="3"/>
  <c r="BI443" i="9"/>
  <c r="BI118" i="9"/>
  <c r="CB146" i="3"/>
  <c r="CB148" i="3"/>
  <c r="BH601" i="9"/>
  <c r="BH883" i="9" s="1"/>
  <c r="BI66" i="9"/>
  <c r="AD164" i="3"/>
  <c r="AD187" i="3" s="1"/>
  <c r="AD170" i="3"/>
  <c r="AD193" i="3" s="1"/>
  <c r="AC288" i="3"/>
  <c r="AC38" i="20"/>
  <c r="AC53" i="20"/>
  <c r="AC114" i="20"/>
  <c r="AC41" i="30"/>
  <c r="R6" i="50"/>
  <c r="W6" i="50"/>
  <c r="AA6" i="50" s="1"/>
  <c r="AE6" i="50" s="1"/>
  <c r="AI6" i="50" s="1"/>
  <c r="BH1001" i="9"/>
  <c r="BH510" i="9"/>
  <c r="BH82" i="9"/>
  <c r="BI76" i="9"/>
  <c r="AD220" i="3"/>
  <c r="AD266" i="3"/>
  <c r="AB77" i="33"/>
  <c r="AB195" i="30"/>
  <c r="AB78" i="33" s="1"/>
  <c r="AD160" i="3"/>
  <c r="AD183" i="3" s="1"/>
  <c r="AD175" i="3"/>
  <c r="AD198" i="3" s="1"/>
  <c r="AC731" i="9"/>
  <c r="AC242" i="3"/>
  <c r="AC24" i="32"/>
  <c r="AC25" i="32" s="1"/>
  <c r="AC24" i="35" s="1"/>
  <c r="AC44" i="30"/>
  <c r="AC154" i="20"/>
  <c r="AD213" i="3"/>
  <c r="AD259" i="3"/>
  <c r="BH1007" i="9"/>
  <c r="BH516" i="9"/>
  <c r="BI190" i="9"/>
  <c r="BH196" i="9"/>
  <c r="BI543" i="9"/>
  <c r="BI278" i="9"/>
  <c r="AD176" i="3"/>
  <c r="AD199" i="3" s="1"/>
  <c r="AA47" i="30"/>
  <c r="AA38" i="30"/>
  <c r="BH606" i="9"/>
  <c r="BH888" i="9" s="1"/>
  <c r="BI161" i="9"/>
  <c r="CC8" i="3"/>
  <c r="CB5" i="3"/>
  <c r="CB41" i="3"/>
  <c r="CB24" i="3"/>
  <c r="CB12" i="3"/>
  <c r="CB3" i="3" s="1"/>
  <c r="CB154" i="3"/>
  <c r="BI444" i="9"/>
  <c r="BI137" i="9"/>
  <c r="BI545" i="9"/>
  <c r="BI316" i="9"/>
  <c r="BI541" i="9"/>
  <c r="BI240" i="9"/>
  <c r="AC52" i="30"/>
  <c r="AC54" i="30" s="1"/>
  <c r="AC41" i="6"/>
  <c r="AC44" i="6" s="1"/>
  <c r="AC164" i="20"/>
  <c r="BI452" i="9"/>
  <c r="BI289" i="9"/>
  <c r="DK2" i="1"/>
  <c r="BI549" i="9"/>
  <c r="BI392" i="9"/>
  <c r="BI454" i="9"/>
  <c r="BI327" i="9"/>
  <c r="AD179" i="3"/>
  <c r="AD202" i="3" s="1"/>
  <c r="BH602" i="9"/>
  <c r="BH884" i="9" s="1"/>
  <c r="BI85" i="9"/>
  <c r="AD217" i="3"/>
  <c r="AD263" i="3"/>
  <c r="BI536" i="9"/>
  <c r="BI145" i="9"/>
  <c r="AA28" i="32"/>
  <c r="AA33" i="32"/>
  <c r="BH619" i="9"/>
  <c r="BH901" i="9" s="1"/>
  <c r="BI408" i="9"/>
  <c r="DG2" i="20"/>
  <c r="BH1006" i="9"/>
  <c r="BH515" i="9"/>
  <c r="BH177" i="9"/>
  <c r="BI171" i="9"/>
  <c r="AB24" i="30"/>
  <c r="AC750" i="9"/>
  <c r="BH611" i="9"/>
  <c r="BH893" i="9" s="1"/>
  <c r="BI256" i="9"/>
  <c r="AD165" i="3"/>
  <c r="AD188" i="3" s="1"/>
  <c r="AD177" i="3"/>
  <c r="AD200" i="3" s="1"/>
  <c r="CA197" i="26"/>
  <c r="CA199" i="26"/>
  <c r="CA71" i="26"/>
  <c r="CA139" i="26"/>
  <c r="CA99" i="26"/>
  <c r="CA123" i="26"/>
  <c r="CA72" i="26"/>
  <c r="CA125" i="26"/>
  <c r="CA69" i="26"/>
  <c r="CA201" i="26"/>
  <c r="CA171" i="26"/>
  <c r="CA208" i="26"/>
  <c r="CA144" i="26"/>
  <c r="CA63" i="26"/>
  <c r="CA138" i="26"/>
  <c r="CA93" i="26"/>
  <c r="CA90" i="26"/>
  <c r="CA67" i="26"/>
  <c r="CA113" i="26"/>
  <c r="CA64" i="26"/>
  <c r="CA176" i="26"/>
  <c r="CA181" i="26"/>
  <c r="CA142" i="26"/>
  <c r="CA178" i="26"/>
  <c r="CA96" i="26"/>
  <c r="CA70" i="26"/>
  <c r="CA149" i="26"/>
  <c r="CA97" i="26"/>
  <c r="CA175" i="26"/>
  <c r="CA204" i="26"/>
  <c r="CA206" i="26"/>
  <c r="CA200" i="26"/>
  <c r="CA143" i="26"/>
  <c r="CA145" i="26"/>
  <c r="CA122" i="26"/>
  <c r="CA66" i="26"/>
  <c r="CA148" i="26"/>
  <c r="CA147" i="26"/>
  <c r="CA112" i="26"/>
  <c r="CA61" i="26"/>
  <c r="CA183" i="26"/>
  <c r="CA203" i="26"/>
  <c r="CA120" i="26"/>
  <c r="CA173" i="26"/>
  <c r="CA174" i="26"/>
  <c r="CA119" i="26"/>
  <c r="CA137" i="26"/>
  <c r="CA115" i="26"/>
  <c r="CA60" i="26"/>
  <c r="CA124" i="26"/>
  <c r="CA118" i="26"/>
  <c r="CA91" i="26"/>
  <c r="CA62" i="26"/>
  <c r="CA198" i="26"/>
  <c r="CA196" i="26"/>
  <c r="CA74" i="26"/>
  <c r="CA150" i="26"/>
  <c r="CA146" i="26"/>
  <c r="CA111" i="26"/>
  <c r="CA121" i="26"/>
  <c r="CA86" i="26"/>
  <c r="CA151" i="26"/>
  <c r="CA117" i="26"/>
  <c r="CA94" i="26"/>
  <c r="CA85" i="26"/>
  <c r="CA179" i="26"/>
  <c r="CA195" i="26"/>
  <c r="CA185" i="26"/>
  <c r="CA202" i="26"/>
  <c r="CA182" i="26"/>
  <c r="CA92" i="26"/>
  <c r="CA95" i="26"/>
  <c r="CA65" i="26"/>
  <c r="CA141" i="26"/>
  <c r="CA87" i="26"/>
  <c r="CA68" i="26"/>
  <c r="CA114" i="26"/>
  <c r="CA209" i="26"/>
  <c r="CA184" i="26"/>
  <c r="CA205" i="26"/>
  <c r="CA207" i="26"/>
  <c r="CA88" i="26"/>
  <c r="CA89" i="26"/>
  <c r="CA116" i="26"/>
  <c r="CA140" i="26"/>
  <c r="CA73" i="26"/>
  <c r="CA180" i="26"/>
  <c r="CA98" i="26"/>
  <c r="CA177" i="26"/>
  <c r="CA172" i="26"/>
  <c r="AD4" i="11"/>
  <c r="AD22" i="3"/>
  <c r="AD16" i="3"/>
  <c r="AD30" i="3"/>
  <c r="AD4" i="35"/>
  <c r="AD4" i="33"/>
  <c r="AE4" i="12"/>
  <c r="AD4" i="32"/>
  <c r="AD4" i="30"/>
  <c r="AD4" i="38"/>
  <c r="AD4" i="6"/>
  <c r="AD4" i="9"/>
  <c r="AD4" i="26"/>
  <c r="AD4" i="16"/>
  <c r="AD4" i="22"/>
  <c r="AD4" i="20"/>
  <c r="AD4" i="1"/>
  <c r="AD4" i="28"/>
  <c r="AD20" i="3"/>
  <c r="CB153" i="3"/>
  <c r="CB147" i="3"/>
  <c r="AB139" i="20"/>
  <c r="AB141" i="20" s="1"/>
  <c r="AB146" i="20" s="1"/>
  <c r="BI445" i="9"/>
  <c r="BI156" i="9"/>
  <c r="BI450" i="9"/>
  <c r="BI251" i="9"/>
  <c r="AC29" i="20"/>
  <c r="AC74" i="20"/>
  <c r="AC131" i="20"/>
  <c r="AC132" i="20" s="1"/>
  <c r="AC28" i="30" s="1"/>
  <c r="AC26" i="32" s="1"/>
  <c r="AC25" i="35" s="1"/>
  <c r="BJ422" i="9"/>
  <c r="BJ459" i="9"/>
  <c r="AD162" i="3"/>
  <c r="AD185" i="3" s="1"/>
  <c r="AD5" i="11"/>
  <c r="AD62" i="3"/>
  <c r="AD54" i="3"/>
  <c r="AD100" i="3" s="1"/>
  <c r="AD46" i="3"/>
  <c r="AD61" i="3"/>
  <c r="AD107" i="3" s="1"/>
  <c r="AD56" i="3"/>
  <c r="AD51" i="3"/>
  <c r="AD97" i="3" s="1"/>
  <c r="AD64" i="3"/>
  <c r="AD110" i="3" s="1"/>
  <c r="AD59" i="3"/>
  <c r="AD105" i="3" s="1"/>
  <c r="AD63" i="3"/>
  <c r="AD109" i="3" s="1"/>
  <c r="AD58" i="3"/>
  <c r="AD45" i="3"/>
  <c r="AD91" i="3" s="1"/>
  <c r="AD53" i="3"/>
  <c r="AD52" i="3"/>
  <c r="AD98" i="3" s="1"/>
  <c r="AD49" i="3"/>
  <c r="AD95" i="3" s="1"/>
  <c r="AD57" i="3"/>
  <c r="AD103" i="3" s="1"/>
  <c r="AD55" i="3"/>
  <c r="AD101" i="3" s="1"/>
  <c r="AD47" i="3"/>
  <c r="AD93" i="3" s="1"/>
  <c r="AD50" i="3"/>
  <c r="AD96" i="3" s="1"/>
  <c r="AD48" i="3"/>
  <c r="AD94" i="3" s="1"/>
  <c r="AD60" i="3"/>
  <c r="AD5" i="35"/>
  <c r="AD5" i="33"/>
  <c r="AE5" i="12"/>
  <c r="AD5" i="32"/>
  <c r="AD5" i="30"/>
  <c r="AD5" i="38"/>
  <c r="AD5" i="6"/>
  <c r="AD5" i="9"/>
  <c r="AD5" i="26"/>
  <c r="AD5" i="16"/>
  <c r="AD5" i="22"/>
  <c r="AD5" i="20"/>
  <c r="AD5" i="1"/>
  <c r="AD5" i="28"/>
  <c r="AD114" i="3"/>
  <c r="AD125" i="3"/>
  <c r="AD123" i="3"/>
  <c r="AD131" i="3"/>
  <c r="AD118" i="3"/>
  <c r="AD116" i="3"/>
  <c r="AD126" i="3"/>
  <c r="AD132" i="3"/>
  <c r="AD120" i="3"/>
  <c r="AD128" i="3"/>
  <c r="AD129" i="3"/>
  <c r="AD124" i="3"/>
  <c r="AD121" i="3"/>
  <c r="AD119" i="3"/>
  <c r="AD117" i="3"/>
  <c r="AD115" i="3"/>
  <c r="AD130" i="3"/>
  <c r="AD133" i="3"/>
  <c r="AD122" i="3"/>
  <c r="AD127" i="3"/>
  <c r="CB4" i="3"/>
  <c r="CB145" i="3"/>
  <c r="CB149" i="3"/>
  <c r="BH1013" i="9"/>
  <c r="BH522" i="9"/>
  <c r="BI304" i="9"/>
  <c r="BH310" i="9"/>
  <c r="AA257" i="6"/>
  <c r="AA259" i="6" s="1"/>
  <c r="AA170" i="20"/>
  <c r="AA60" i="30" s="1"/>
  <c r="BH1015" i="9"/>
  <c r="BH524" i="9"/>
  <c r="BI342" i="9"/>
  <c r="BH348" i="9"/>
  <c r="AC23" i="20"/>
  <c r="AC90" i="20"/>
  <c r="AC25" i="30"/>
  <c r="AC137" i="20"/>
  <c r="AC29" i="30" s="1"/>
  <c r="BI457" i="9"/>
  <c r="BI384" i="9"/>
  <c r="BI449" i="9"/>
  <c r="BI232" i="9"/>
  <c r="AE10" i="3"/>
  <c r="AE144" i="3" s="1"/>
  <c r="CB174" i="3"/>
  <c r="CB167" i="3"/>
  <c r="BH608" i="9"/>
  <c r="BH890" i="9" s="1"/>
  <c r="BI199" i="9"/>
  <c r="BH613" i="9"/>
  <c r="BH895" i="9" s="1"/>
  <c r="BI294" i="9"/>
  <c r="BI609" i="9"/>
  <c r="BI891" i="9" s="1"/>
  <c r="BJ218" i="9"/>
  <c r="AC13" i="20"/>
  <c r="AC96" i="20"/>
  <c r="BH1002" i="9"/>
  <c r="BH511" i="9"/>
  <c r="BI95" i="9"/>
  <c r="BH101" i="9"/>
  <c r="BH603" i="9"/>
  <c r="BH885" i="9" s="1"/>
  <c r="BI104" i="9"/>
  <c r="AC829" i="9"/>
  <c r="AC821" i="9"/>
  <c r="AC822" i="9"/>
  <c r="AC814" i="9"/>
  <c r="AC828" i="9"/>
  <c r="AC820" i="9"/>
  <c r="AC812" i="9"/>
  <c r="AC826" i="9"/>
  <c r="AC825" i="9"/>
  <c r="AC824" i="9"/>
  <c r="AC819" i="9"/>
  <c r="AC818" i="9"/>
  <c r="AC816" i="9"/>
  <c r="AC815" i="9"/>
  <c r="AC813" i="9"/>
  <c r="AC817" i="9"/>
  <c r="AC823" i="9"/>
  <c r="AC811" i="9"/>
  <c r="AC810" i="9"/>
  <c r="AC827" i="9"/>
  <c r="BI440" i="9"/>
  <c r="BI61" i="9"/>
  <c r="BI365" i="9"/>
  <c r="BI456" i="9"/>
  <c r="BI538" i="9"/>
  <c r="BI183" i="9"/>
  <c r="BI548" i="9"/>
  <c r="BI373" i="9"/>
  <c r="C208" i="23"/>
  <c r="E179" i="23" a="1"/>
  <c r="AE153" i="3" l="1"/>
  <c r="AE145" i="3"/>
  <c r="AD71" i="3"/>
  <c r="AE156" i="3"/>
  <c r="AE154" i="3"/>
  <c r="AE177" i="3" s="1"/>
  <c r="AE200" i="3" s="1"/>
  <c r="AD264" i="3"/>
  <c r="AD218" i="3"/>
  <c r="AD730" i="9" s="1"/>
  <c r="AE155" i="3"/>
  <c r="AD70" i="3"/>
  <c r="AE148" i="3"/>
  <c r="AE171" i="3" s="1"/>
  <c r="AE194" i="3" s="1"/>
  <c r="AE149" i="3"/>
  <c r="AE172" i="3" s="1"/>
  <c r="AE195" i="3" s="1"/>
  <c r="AE150" i="3"/>
  <c r="AE139" i="3"/>
  <c r="AE162" i="3" s="1"/>
  <c r="AE185" i="3" s="1"/>
  <c r="AE137" i="3"/>
  <c r="AE140" i="3"/>
  <c r="AD792" i="9"/>
  <c r="AD797" i="9"/>
  <c r="AD806" i="9"/>
  <c r="AD801" i="9"/>
  <c r="AD798" i="9"/>
  <c r="AC45" i="30"/>
  <c r="AD269" i="3"/>
  <c r="AD223" i="3"/>
  <c r="AD254" i="3"/>
  <c r="AD208" i="3"/>
  <c r="AD221" i="3"/>
  <c r="AD267" i="3"/>
  <c r="AD219" i="3"/>
  <c r="AD265" i="3"/>
  <c r="AD252" i="3"/>
  <c r="AD206" i="3"/>
  <c r="AD209" i="3"/>
  <c r="AD255" i="3"/>
  <c r="AB174" i="20"/>
  <c r="AB181" i="20" s="1"/>
  <c r="AB62" i="30" s="1"/>
  <c r="AB156" i="20"/>
  <c r="AB166" i="20" s="1"/>
  <c r="AD257" i="3"/>
  <c r="AD211" i="3"/>
  <c r="AD210" i="3"/>
  <c r="AD256" i="3"/>
  <c r="AD222" i="3"/>
  <c r="AD268" i="3"/>
  <c r="AD271" i="3"/>
  <c r="AD225" i="3"/>
  <c r="AD106" i="3"/>
  <c r="AD83" i="3"/>
  <c r="BI539" i="9"/>
  <c r="BI202" i="9"/>
  <c r="AF8" i="3"/>
  <c r="AE5" i="3"/>
  <c r="AE41" i="3"/>
  <c r="AE12" i="3"/>
  <c r="AE3" i="3" s="1"/>
  <c r="AE24" i="3"/>
  <c r="AE4" i="3"/>
  <c r="BI1017" i="9"/>
  <c r="BI526" i="9"/>
  <c r="BI386" i="9"/>
  <c r="BJ380" i="9"/>
  <c r="BP4" i="11"/>
  <c r="CB16" i="3"/>
  <c r="CB22" i="3"/>
  <c r="CB4" i="35"/>
  <c r="CB4" i="33"/>
  <c r="CC4" i="12"/>
  <c r="CB4" i="32"/>
  <c r="CB4" i="30"/>
  <c r="CB4" i="38"/>
  <c r="CB4" i="6"/>
  <c r="CB4" i="9"/>
  <c r="CB4" i="26"/>
  <c r="CB4" i="16"/>
  <c r="CB4" i="22"/>
  <c r="CB4" i="20"/>
  <c r="CB4" i="1"/>
  <c r="CB4" i="28"/>
  <c r="CB20" i="3"/>
  <c r="AD794" i="9"/>
  <c r="AD791" i="9"/>
  <c r="CB170" i="3"/>
  <c r="AD286" i="3"/>
  <c r="CB177" i="3"/>
  <c r="AD725" i="9"/>
  <c r="AD236" i="3"/>
  <c r="AD289" i="3"/>
  <c r="AD68" i="3"/>
  <c r="AC27" i="30"/>
  <c r="AC30" i="30" s="1"/>
  <c r="AC139" i="20"/>
  <c r="BI1003" i="9"/>
  <c r="BI512" i="9"/>
  <c r="BI120" i="9"/>
  <c r="BJ114" i="9"/>
  <c r="AD724" i="9"/>
  <c r="AD235" i="3"/>
  <c r="AC16" i="30"/>
  <c r="AD719" i="9"/>
  <c r="AD230" i="3"/>
  <c r="BI617" i="9"/>
  <c r="BI899" i="9" s="1"/>
  <c r="BJ370" i="9"/>
  <c r="BI607" i="9"/>
  <c r="BI889" i="9" s="1"/>
  <c r="BJ180" i="9"/>
  <c r="AC13" i="30"/>
  <c r="AC102" i="20"/>
  <c r="AE141" i="3"/>
  <c r="AE143" i="3"/>
  <c r="AD800" i="9"/>
  <c r="AD804" i="9"/>
  <c r="AD92" i="3"/>
  <c r="AD69" i="3"/>
  <c r="CB176" i="3"/>
  <c r="AD729" i="9"/>
  <c r="AD240" i="3"/>
  <c r="AD287" i="3"/>
  <c r="BI1012" i="9"/>
  <c r="BI521" i="9"/>
  <c r="BI291" i="9"/>
  <c r="BJ285" i="9"/>
  <c r="BP3" i="11"/>
  <c r="CB14" i="3"/>
  <c r="CB3" i="35"/>
  <c r="CB3" i="33"/>
  <c r="CC3" i="12"/>
  <c r="CB3" i="32"/>
  <c r="CB3" i="30"/>
  <c r="CB3" i="38"/>
  <c r="CB3" i="6"/>
  <c r="CB3" i="9"/>
  <c r="CB3" i="26"/>
  <c r="CB3" i="16"/>
  <c r="CB3" i="22"/>
  <c r="CB3" i="20"/>
  <c r="DH2" i="20" s="1"/>
  <c r="CB3" i="1"/>
  <c r="DL2" i="1" s="1"/>
  <c r="CB3" i="28"/>
  <c r="AD732" i="9"/>
  <c r="AD243" i="3"/>
  <c r="AD281" i="3"/>
  <c r="BI547" i="9"/>
  <c r="BI354" i="9"/>
  <c r="AD73" i="3"/>
  <c r="AC20" i="30"/>
  <c r="AD293" i="3"/>
  <c r="AD276" i="3"/>
  <c r="BJ540" i="9"/>
  <c r="BJ221" i="9"/>
  <c r="AC21" i="30"/>
  <c r="BI346" i="9"/>
  <c r="BI455" i="9"/>
  <c r="BI453" i="9"/>
  <c r="BI308" i="9"/>
  <c r="AD795" i="9"/>
  <c r="AD802" i="9"/>
  <c r="AD796" i="9"/>
  <c r="AD148" i="26"/>
  <c r="AD115" i="26"/>
  <c r="AD92" i="26"/>
  <c r="AD61" i="26"/>
  <c r="AD117" i="26"/>
  <c r="AD73" i="26"/>
  <c r="AD149" i="26"/>
  <c r="AD69" i="26"/>
  <c r="AD204" i="26"/>
  <c r="AD201" i="26"/>
  <c r="AD209" i="26"/>
  <c r="AD146" i="26"/>
  <c r="AD203" i="26"/>
  <c r="AD98" i="26"/>
  <c r="AD89" i="26"/>
  <c r="AD96" i="26"/>
  <c r="AD87" i="26"/>
  <c r="AD72" i="26"/>
  <c r="AD141" i="26"/>
  <c r="AD151" i="26"/>
  <c r="AD198" i="26"/>
  <c r="AD185" i="26"/>
  <c r="AD175" i="26"/>
  <c r="AD138" i="26"/>
  <c r="AD195" i="26"/>
  <c r="AD94" i="26"/>
  <c r="AD182" i="26"/>
  <c r="AD93" i="26"/>
  <c r="AD145" i="26"/>
  <c r="AD68" i="26"/>
  <c r="AD140" i="26"/>
  <c r="AD142" i="26"/>
  <c r="AD200" i="26"/>
  <c r="AD171" i="26"/>
  <c r="AD179" i="26"/>
  <c r="AD205" i="26"/>
  <c r="AD178" i="26"/>
  <c r="AD90" i="26"/>
  <c r="AD122" i="26"/>
  <c r="AD71" i="26"/>
  <c r="AD139" i="26"/>
  <c r="AD125" i="26"/>
  <c r="AD119" i="26"/>
  <c r="AD114" i="26"/>
  <c r="AD196" i="26"/>
  <c r="AD206" i="26"/>
  <c r="AD197" i="26"/>
  <c r="AD150" i="26"/>
  <c r="AD86" i="26"/>
  <c r="AD116" i="26"/>
  <c r="AD66" i="26"/>
  <c r="AD137" i="26"/>
  <c r="AD91" i="26"/>
  <c r="AD113" i="26"/>
  <c r="AD95" i="26"/>
  <c r="AD207" i="26"/>
  <c r="AD173" i="26"/>
  <c r="AD147" i="26"/>
  <c r="AD144" i="26"/>
  <c r="AD67" i="26"/>
  <c r="AD99" i="26"/>
  <c r="AD177" i="26"/>
  <c r="AD118" i="26"/>
  <c r="AD74" i="26"/>
  <c r="AD112" i="26"/>
  <c r="AD63" i="26"/>
  <c r="AD172" i="26"/>
  <c r="AD208" i="26"/>
  <c r="AD180" i="26"/>
  <c r="AD143" i="26"/>
  <c r="AD121" i="26"/>
  <c r="AD65" i="26"/>
  <c r="AD174" i="26"/>
  <c r="AD111" i="26"/>
  <c r="AD62" i="26"/>
  <c r="AD88" i="26"/>
  <c r="AD70" i="26"/>
  <c r="AD183" i="26"/>
  <c r="AD176" i="26"/>
  <c r="AD202" i="26"/>
  <c r="AD123" i="26"/>
  <c r="AD120" i="26"/>
  <c r="AD64" i="26"/>
  <c r="AD124" i="26"/>
  <c r="AD97" i="26"/>
  <c r="AD181" i="26"/>
  <c r="AD85" i="26"/>
  <c r="AD60" i="26"/>
  <c r="AD199" i="26"/>
  <c r="AD184" i="26"/>
  <c r="AD102" i="3"/>
  <c r="AD79" i="3"/>
  <c r="AC14" i="30"/>
  <c r="AD782" i="9"/>
  <c r="AD778" i="9"/>
  <c r="AD774" i="9"/>
  <c r="AD770" i="9"/>
  <c r="AD766" i="9"/>
  <c r="AD781" i="9"/>
  <c r="AD768" i="9"/>
  <c r="AD714" i="9"/>
  <c r="AD775" i="9"/>
  <c r="AD769" i="9"/>
  <c r="AD776" i="9"/>
  <c r="AD783" i="9"/>
  <c r="AD777" i="9"/>
  <c r="AD771" i="9"/>
  <c r="AD765" i="9"/>
  <c r="AD772" i="9"/>
  <c r="AD779" i="9"/>
  <c r="AD773" i="9"/>
  <c r="AD780" i="9"/>
  <c r="AD767" i="9"/>
  <c r="AD709" i="9"/>
  <c r="AD701" i="9"/>
  <c r="AD764" i="9"/>
  <c r="AD707" i="9"/>
  <c r="AD712" i="9"/>
  <c r="AD704" i="9"/>
  <c r="AD711" i="9"/>
  <c r="AD706" i="9"/>
  <c r="AD699" i="9"/>
  <c r="AD696" i="9"/>
  <c r="AD713" i="9"/>
  <c r="AD703" i="9"/>
  <c r="AD698" i="9"/>
  <c r="AD710" i="9"/>
  <c r="AD708" i="9"/>
  <c r="AD705" i="9"/>
  <c r="AD695" i="9"/>
  <c r="AD702" i="9"/>
  <c r="AD700" i="9"/>
  <c r="AD697" i="9"/>
  <c r="AC72" i="30"/>
  <c r="AC74" i="30" s="1"/>
  <c r="AD40" i="6"/>
  <c r="AC12" i="6"/>
  <c r="BI618" i="9"/>
  <c r="BI900" i="9" s="1"/>
  <c r="BJ389" i="9"/>
  <c r="BI610" i="9"/>
  <c r="BI892" i="9" s="1"/>
  <c r="BJ237" i="9"/>
  <c r="AA54" i="33"/>
  <c r="AA148" i="30"/>
  <c r="AA180" i="30" s="1"/>
  <c r="AA56" i="30"/>
  <c r="AA58" i="30" s="1"/>
  <c r="AE176" i="3"/>
  <c r="AE199" i="3" s="1"/>
  <c r="E110" i="50"/>
  <c r="E106" i="50"/>
  <c r="E102" i="50"/>
  <c r="E98" i="50"/>
  <c r="E94" i="50"/>
  <c r="E90" i="50"/>
  <c r="E86" i="50"/>
  <c r="E82" i="50"/>
  <c r="E78" i="50"/>
  <c r="E74" i="50"/>
  <c r="E70" i="50"/>
  <c r="E66" i="50"/>
  <c r="E62" i="50"/>
  <c r="E58" i="50"/>
  <c r="E54" i="50"/>
  <c r="BI620" i="9"/>
  <c r="BI902" i="9" s="1"/>
  <c r="BJ427" i="9"/>
  <c r="BI1018" i="9"/>
  <c r="BI527" i="9"/>
  <c r="BJ399" i="9"/>
  <c r="BI405" i="9"/>
  <c r="AD736" i="9"/>
  <c r="AD247" i="3"/>
  <c r="BI533" i="9"/>
  <c r="BI88" i="9"/>
  <c r="AD77" i="3"/>
  <c r="AD80" i="3"/>
  <c r="AD74" i="3"/>
  <c r="BI532" i="9"/>
  <c r="BI69" i="9"/>
  <c r="BI546" i="9"/>
  <c r="BI335" i="9"/>
  <c r="AE173" i="3"/>
  <c r="AE196" i="3" s="1"/>
  <c r="AD727" i="9"/>
  <c r="AD238" i="3"/>
  <c r="AD301" i="9"/>
  <c r="AD415" i="9"/>
  <c r="AD434" i="9"/>
  <c r="AD339" i="9"/>
  <c r="AD320" i="9"/>
  <c r="AD263" i="9"/>
  <c r="AD396" i="9"/>
  <c r="AD187" i="9"/>
  <c r="AD244" i="9"/>
  <c r="AD377" i="9"/>
  <c r="AD282" i="9"/>
  <c r="AD206" i="9"/>
  <c r="AD225" i="9"/>
  <c r="AD92" i="9"/>
  <c r="AD73" i="9"/>
  <c r="AD168" i="9"/>
  <c r="AD130" i="9"/>
  <c r="AD358" i="9"/>
  <c r="AD149" i="9"/>
  <c r="AD111" i="9"/>
  <c r="AD99" i="3"/>
  <c r="AD76" i="3"/>
  <c r="AD108" i="3"/>
  <c r="AD85" i="3"/>
  <c r="AE152" i="3"/>
  <c r="AE146" i="3"/>
  <c r="AE142" i="3"/>
  <c r="AD803" i="9"/>
  <c r="AD793" i="9"/>
  <c r="AB14" i="32"/>
  <c r="AB32" i="30"/>
  <c r="AB36" i="30" s="1"/>
  <c r="BI605" i="9"/>
  <c r="BI887" i="9" s="1"/>
  <c r="BJ142" i="9"/>
  <c r="BI1014" i="9"/>
  <c r="BI523" i="9"/>
  <c r="BI329" i="9"/>
  <c r="BJ323" i="9"/>
  <c r="BI614" i="9"/>
  <c r="BI896" i="9" s="1"/>
  <c r="BJ313" i="9"/>
  <c r="BP5" i="11"/>
  <c r="CB57" i="3"/>
  <c r="CB103" i="3" s="1"/>
  <c r="CB49" i="3"/>
  <c r="CB95" i="3" s="1"/>
  <c r="CB62" i="3"/>
  <c r="CB108" i="3" s="1"/>
  <c r="CB52" i="3"/>
  <c r="CB98" i="3" s="1"/>
  <c r="CB60" i="3"/>
  <c r="CB106" i="3" s="1"/>
  <c r="CB64" i="3"/>
  <c r="CB110" i="3" s="1"/>
  <c r="CB59" i="3"/>
  <c r="CB105" i="3" s="1"/>
  <c r="CB50" i="3"/>
  <c r="CB96" i="3" s="1"/>
  <c r="CB51" i="3"/>
  <c r="CB97" i="3" s="1"/>
  <c r="CB55" i="3"/>
  <c r="CB101" i="3" s="1"/>
  <c r="CB53" i="3"/>
  <c r="CB99" i="3" s="1"/>
  <c r="CB58" i="3"/>
  <c r="CB104" i="3" s="1"/>
  <c r="CB56" i="3"/>
  <c r="CB102" i="3" s="1"/>
  <c r="CB54" i="3"/>
  <c r="CB100" i="3" s="1"/>
  <c r="CB48" i="3"/>
  <c r="CB94" i="3" s="1"/>
  <c r="CB45" i="3"/>
  <c r="CB91" i="3" s="1"/>
  <c r="CB63" i="3"/>
  <c r="CB109" i="3" s="1"/>
  <c r="CB61" i="3"/>
  <c r="CB107" i="3" s="1"/>
  <c r="CB46" i="3"/>
  <c r="CB92" i="3" s="1"/>
  <c r="CB47" i="3"/>
  <c r="CB93" i="3" s="1"/>
  <c r="CB5" i="35"/>
  <c r="CB5" i="33"/>
  <c r="CC5" i="12"/>
  <c r="CB5" i="32"/>
  <c r="CB5" i="30"/>
  <c r="CB5" i="38"/>
  <c r="CB5" i="6"/>
  <c r="CB5" i="9"/>
  <c r="CB5" i="26"/>
  <c r="CB5" i="16"/>
  <c r="CB5" i="22"/>
  <c r="CB5" i="20"/>
  <c r="CB5" i="1"/>
  <c r="CB5" i="28"/>
  <c r="CB132" i="3"/>
  <c r="CB120" i="3"/>
  <c r="CB118" i="3"/>
  <c r="CB133" i="3"/>
  <c r="CB116" i="3"/>
  <c r="CB130" i="3"/>
  <c r="CB123" i="3"/>
  <c r="CB126" i="3"/>
  <c r="CB119" i="3"/>
  <c r="CB129" i="3"/>
  <c r="CB125" i="3"/>
  <c r="CB117" i="3"/>
  <c r="CB122" i="3"/>
  <c r="CB127" i="3"/>
  <c r="CB128" i="3"/>
  <c r="CB115" i="3"/>
  <c r="CB114" i="3"/>
  <c r="CB124" i="3"/>
  <c r="CB131" i="3"/>
  <c r="CB121" i="3"/>
  <c r="BI447" i="9"/>
  <c r="BI194" i="9"/>
  <c r="AC754" i="9"/>
  <c r="BI441" i="9"/>
  <c r="BI80" i="9"/>
  <c r="AD216" i="3"/>
  <c r="AD262" i="3"/>
  <c r="AD726" i="9"/>
  <c r="AD237" i="3"/>
  <c r="AC18" i="30"/>
  <c r="BI1011" i="9"/>
  <c r="BI520" i="9"/>
  <c r="BI272" i="9"/>
  <c r="BJ266" i="9"/>
  <c r="AD284" i="3"/>
  <c r="BI1010" i="9"/>
  <c r="BI519" i="9"/>
  <c r="BJ247" i="9"/>
  <c r="BI253" i="9"/>
  <c r="BI1016" i="9"/>
  <c r="BI525" i="9"/>
  <c r="BI367" i="9"/>
  <c r="BJ361" i="9"/>
  <c r="AD787" i="9"/>
  <c r="BJ1019" i="9"/>
  <c r="BJ528" i="9"/>
  <c r="BK418" i="9"/>
  <c r="BJ424" i="9"/>
  <c r="AD18" i="3"/>
  <c r="BI1000" i="9"/>
  <c r="BI509" i="9"/>
  <c r="BI63" i="9"/>
  <c r="BJ57" i="9"/>
  <c r="AD84" i="3"/>
  <c r="BI442" i="9"/>
  <c r="BI99" i="9"/>
  <c r="BI544" i="9"/>
  <c r="BI297" i="9"/>
  <c r="AE147" i="3"/>
  <c r="AE138" i="3"/>
  <c r="AE151" i="3"/>
  <c r="AD788" i="9"/>
  <c r="AD805" i="9"/>
  <c r="AD104" i="3"/>
  <c r="AD81" i="3"/>
  <c r="AD87" i="3"/>
  <c r="AD82" i="3"/>
  <c r="BI1005" i="9"/>
  <c r="BI514" i="9"/>
  <c r="BI158" i="9"/>
  <c r="BJ152" i="9"/>
  <c r="AD28" i="3"/>
  <c r="AD26" i="3"/>
  <c r="CC10" i="3"/>
  <c r="CC150" i="3" s="1"/>
  <c r="CC156" i="3"/>
  <c r="AE160" i="3"/>
  <c r="AE183" i="3" s="1"/>
  <c r="AC194" i="30"/>
  <c r="AC179" i="30"/>
  <c r="AC65" i="33" s="1"/>
  <c r="AC17" i="30"/>
  <c r="CB171" i="3"/>
  <c r="BI1008" i="9"/>
  <c r="BI517" i="9"/>
  <c r="BI215" i="9"/>
  <c r="BJ209" i="9"/>
  <c r="AD283" i="3"/>
  <c r="AD78" i="3"/>
  <c r="AC22" i="30"/>
  <c r="AC175" i="20"/>
  <c r="AE168" i="3"/>
  <c r="AE191" i="3" s="1"/>
  <c r="AE167" i="3"/>
  <c r="AE190" i="3" s="1"/>
  <c r="BI1009" i="9"/>
  <c r="BI518" i="9"/>
  <c r="BI234" i="9"/>
  <c r="BJ228" i="9"/>
  <c r="AA136" i="30"/>
  <c r="AA137" i="30" s="1"/>
  <c r="AB256" i="6"/>
  <c r="CB172" i="3"/>
  <c r="AD790" i="9"/>
  <c r="AD799" i="9"/>
  <c r="AC19" i="30"/>
  <c r="AD180" i="20" a="1"/>
  <c r="AD180" i="20" s="1"/>
  <c r="AD162" i="20" a="1"/>
  <c r="AD162" i="20" s="1"/>
  <c r="AD153" i="20" a="1"/>
  <c r="AD153" i="20" s="1"/>
  <c r="AD150" i="20" a="1"/>
  <c r="AD150" i="20" s="1"/>
  <c r="AD130" i="20" a="1"/>
  <c r="AD130" i="20" s="1"/>
  <c r="AD127" i="20" a="1"/>
  <c r="AD127" i="20" s="1"/>
  <c r="AD135" i="20" a="1"/>
  <c r="AD135" i="20" s="1"/>
  <c r="AD128" i="20" a="1"/>
  <c r="AD128" i="20" s="1"/>
  <c r="AD129" i="20" a="1"/>
  <c r="AD129" i="20" s="1"/>
  <c r="AD125" i="20" a="1"/>
  <c r="AD125" i="20" s="1"/>
  <c r="AD120" i="20" a="1"/>
  <c r="AD120" i="20" s="1"/>
  <c r="AD121" i="20" a="1"/>
  <c r="AD121" i="20" s="1"/>
  <c r="AD122" i="20" a="1"/>
  <c r="AD122" i="20" s="1"/>
  <c r="AD118" i="20" a="1"/>
  <c r="AD118" i="20" s="1"/>
  <c r="AD117" i="20" a="1"/>
  <c r="AD117" i="20" s="1"/>
  <c r="AD124" i="20" a="1"/>
  <c r="AD124" i="20" s="1"/>
  <c r="AD123" i="20" a="1"/>
  <c r="AD123" i="20" s="1"/>
  <c r="AD119" i="20" a="1"/>
  <c r="AD119" i="20" s="1"/>
  <c r="AD110" i="20" a="1"/>
  <c r="AD110" i="20" s="1"/>
  <c r="AD106" i="20" a="1"/>
  <c r="AD106" i="20" s="1"/>
  <c r="AD107" i="20" a="1"/>
  <c r="AD107" i="20" s="1"/>
  <c r="AD111" i="20" a="1"/>
  <c r="AD111" i="20" s="1"/>
  <c r="AD112" i="20" a="1"/>
  <c r="AD112" i="20" s="1"/>
  <c r="AD108" i="20" a="1"/>
  <c r="AD108" i="20" s="1"/>
  <c r="AD105" i="20" a="1"/>
  <c r="AD105" i="20" s="1"/>
  <c r="AD109" i="20" a="1"/>
  <c r="AD109" i="20" s="1"/>
  <c r="AD82" i="20" a="1"/>
  <c r="AD82" i="20" s="1"/>
  <c r="AD78" i="20" a="1"/>
  <c r="AD78" i="20" s="1"/>
  <c r="AD73" i="20" a="1"/>
  <c r="AD73" i="20" s="1"/>
  <c r="AD69" i="20" a="1"/>
  <c r="AD69" i="20" s="1"/>
  <c r="AD65" i="20" a="1"/>
  <c r="AD65" i="20" s="1"/>
  <c r="AD54" i="20" a="1"/>
  <c r="AD54" i="20" s="1"/>
  <c r="AD52" i="20" a="1"/>
  <c r="AD52" i="20" s="1"/>
  <c r="AD59" i="20" a="1"/>
  <c r="AD59" i="20" s="1"/>
  <c r="AD93" i="20" a="1"/>
  <c r="AD93" i="20" s="1"/>
  <c r="AD88" i="20" a="1"/>
  <c r="AD88" i="20" s="1"/>
  <c r="AD83" i="20" a="1"/>
  <c r="AD83" i="20" s="1"/>
  <c r="AD79" i="20" a="1"/>
  <c r="AD79" i="20" s="1"/>
  <c r="AD70" i="20" a="1"/>
  <c r="AD70" i="20" s="1"/>
  <c r="AD66" i="20" a="1"/>
  <c r="AD66" i="20" s="1"/>
  <c r="AD47" i="20" a="1"/>
  <c r="AD47" i="20" s="1"/>
  <c r="AD45" i="20" a="1"/>
  <c r="AD45" i="20" s="1"/>
  <c r="AD39" i="20" a="1"/>
  <c r="AD39" i="20" s="1"/>
  <c r="AD37" i="20" a="1"/>
  <c r="AD37" i="20" s="1"/>
  <c r="AD33" i="20" a="1"/>
  <c r="AD33" i="20" s="1"/>
  <c r="AD21" i="20" a="1"/>
  <c r="AD21" i="20" s="1"/>
  <c r="AD17" i="20" a="1"/>
  <c r="AD17" i="20" s="1"/>
  <c r="AD42" i="20" a="1"/>
  <c r="AD42" i="20" s="1"/>
  <c r="AD61" i="20" a="1"/>
  <c r="AD61" i="20" s="1"/>
  <c r="AD57" i="20" a="1"/>
  <c r="AD57" i="20" s="1"/>
  <c r="AD50" i="20" a="1"/>
  <c r="AD50" i="20" s="1"/>
  <c r="AD94" i="20" a="1"/>
  <c r="AD94" i="20" s="1"/>
  <c r="AD89" i="20" a="1"/>
  <c r="AD89" i="20" s="1"/>
  <c r="AD84" i="20" a="1"/>
  <c r="AD84" i="20" s="1"/>
  <c r="AD80" i="20" a="1"/>
  <c r="AD80" i="20" s="1"/>
  <c r="AD71" i="20" a="1"/>
  <c r="AD71" i="20" s="1"/>
  <c r="AD67" i="20" a="1"/>
  <c r="AD67" i="20" s="1"/>
  <c r="AD98" i="20" a="1"/>
  <c r="AD98" i="20" s="1"/>
  <c r="AD95" i="20" a="1"/>
  <c r="AD95" i="20" s="1"/>
  <c r="AD81" i="20" a="1"/>
  <c r="AD81" i="20" s="1"/>
  <c r="AD77" i="20" a="1"/>
  <c r="AD77" i="20" s="1"/>
  <c r="AD72" i="20" a="1"/>
  <c r="AD72" i="20" s="1"/>
  <c r="AD68" i="20" a="1"/>
  <c r="AD68" i="20" s="1"/>
  <c r="AD64" i="20" a="1"/>
  <c r="AD64" i="20" s="1"/>
  <c r="AD58" i="20" a="1"/>
  <c r="AD58" i="20" s="1"/>
  <c r="AD51" i="20" a="1"/>
  <c r="AD51" i="20" s="1"/>
  <c r="AD22" i="20" a="1"/>
  <c r="AD22" i="20" s="1"/>
  <c r="AD28" i="20" a="1"/>
  <c r="AD28" i="20" s="1"/>
  <c r="AD14" i="20" a="1"/>
  <c r="AD14" i="20" s="1"/>
  <c r="AD43" i="20" a="1"/>
  <c r="AD43" i="20" s="1"/>
  <c r="AD36" i="20" a="1"/>
  <c r="AD36" i="20" s="1"/>
  <c r="AD18" i="20" a="1"/>
  <c r="AD18" i="20" s="1"/>
  <c r="AD30" i="20" a="1"/>
  <c r="AD30" i="20" s="1"/>
  <c r="AD19" i="20" a="1"/>
  <c r="AD19" i="20" s="1"/>
  <c r="AD12" i="20" a="1"/>
  <c r="AD12" i="20" s="1"/>
  <c r="AD44" i="20" a="1"/>
  <c r="AD44" i="20" s="1"/>
  <c r="AD34" i="20" a="1"/>
  <c r="AD34" i="20" s="1"/>
  <c r="AD35" i="20" a="1"/>
  <c r="AD35" i="20" s="1"/>
  <c r="AD27" i="20" a="1"/>
  <c r="AD27" i="20" s="1"/>
  <c r="AD24" i="20" a="1"/>
  <c r="AD24" i="20" s="1"/>
  <c r="AD20" i="20" a="1"/>
  <c r="AD20" i="20" s="1"/>
  <c r="AD11" i="20" a="1"/>
  <c r="AD11" i="20" s="1"/>
  <c r="BI542" i="9"/>
  <c r="BI259" i="9"/>
  <c r="BI550" i="9"/>
  <c r="BI411" i="9"/>
  <c r="AE179" i="3"/>
  <c r="AE202" i="3" s="1"/>
  <c r="BI1004" i="9"/>
  <c r="BI513" i="9"/>
  <c r="BI139" i="9"/>
  <c r="BJ133" i="9"/>
  <c r="BI612" i="9"/>
  <c r="BI894" i="9" s="1"/>
  <c r="BJ275" i="9"/>
  <c r="AB80" i="33"/>
  <c r="CB169" i="3"/>
  <c r="AC23" i="30"/>
  <c r="AC179" i="20"/>
  <c r="AD72" i="3"/>
  <c r="BI534" i="9"/>
  <c r="BI107" i="9"/>
  <c r="AE178" i="3"/>
  <c r="AE201" i="3" s="1"/>
  <c r="CB168" i="3"/>
  <c r="AD789" i="9"/>
  <c r="AD86" i="3"/>
  <c r="BI446" i="9"/>
  <c r="BI175" i="9"/>
  <c r="BI537" i="9"/>
  <c r="BI164" i="9"/>
  <c r="AD282" i="3"/>
  <c r="AC15" i="30"/>
  <c r="AD75" i="3"/>
  <c r="AE163" i="3"/>
  <c r="AE186" i="3" s="1"/>
  <c r="BI604" i="9"/>
  <c r="BI886" i="9" s="1"/>
  <c r="BJ123" i="9"/>
  <c r="E179" i="23"/>
  <c r="E177" i="23" a="1"/>
  <c r="AD241" i="3" l="1"/>
  <c r="AD742" i="9"/>
  <c r="AD755" i="9"/>
  <c r="AD747" i="9"/>
  <c r="AD749" i="9"/>
  <c r="AD85" i="20"/>
  <c r="AD20" i="30" s="1"/>
  <c r="AE259" i="3"/>
  <c r="AE213" i="3"/>
  <c r="AE218" i="3"/>
  <c r="AE264" i="3"/>
  <c r="CC173" i="3"/>
  <c r="AE260" i="3"/>
  <c r="AE214" i="3"/>
  <c r="AE208" i="3"/>
  <c r="AE720" i="9" s="1"/>
  <c r="AE254" i="3"/>
  <c r="AE277" i="3" s="1"/>
  <c r="AE222" i="3"/>
  <c r="AE734" i="9" s="1"/>
  <c r="AE268" i="3"/>
  <c r="AE291" i="3" s="1"/>
  <c r="AE225" i="3"/>
  <c r="AE737" i="9" s="1"/>
  <c r="AE271" i="3"/>
  <c r="AE294" i="3" s="1"/>
  <c r="AE255" i="3"/>
  <c r="AE278" i="3" s="1"/>
  <c r="AE209" i="3"/>
  <c r="AE721" i="9" s="1"/>
  <c r="AE224" i="3"/>
  <c r="AE270" i="3"/>
  <c r="AE252" i="3"/>
  <c r="AE275" i="3" s="1"/>
  <c r="AE206" i="3"/>
  <c r="AE718" i="9" s="1"/>
  <c r="BI619" i="9"/>
  <c r="BI901" i="9" s="1"/>
  <c r="BJ408" i="9"/>
  <c r="AC77" i="33"/>
  <c r="AC195" i="30"/>
  <c r="AC78" i="33" s="1"/>
  <c r="CC137" i="3"/>
  <c r="CC145" i="3"/>
  <c r="BI613" i="9"/>
  <c r="BI895" i="9" s="1"/>
  <c r="BJ294" i="9"/>
  <c r="BJ440" i="9"/>
  <c r="BJ61" i="9"/>
  <c r="BK422" i="9"/>
  <c r="BK459" i="9"/>
  <c r="AD759" i="9"/>
  <c r="AE166" i="3"/>
  <c r="AE189" i="3" s="1"/>
  <c r="BJ443" i="9"/>
  <c r="BJ118" i="9"/>
  <c r="AD279" i="3"/>
  <c r="AD290" i="3"/>
  <c r="AD25" i="30"/>
  <c r="CC179" i="3"/>
  <c r="CC5" i="3"/>
  <c r="CD8" i="3"/>
  <c r="CC41" i="3"/>
  <c r="CC24" i="3"/>
  <c r="CC12" i="3"/>
  <c r="CC3" i="3" s="1"/>
  <c r="CC154" i="3"/>
  <c r="BJ456" i="9"/>
  <c r="BJ365" i="9"/>
  <c r="BJ451" i="9"/>
  <c r="BJ270" i="9"/>
  <c r="BI1007" i="9"/>
  <c r="BI516" i="9"/>
  <c r="BJ190" i="9"/>
  <c r="BI196" i="9"/>
  <c r="BJ454" i="9"/>
  <c r="BJ327" i="9"/>
  <c r="AE165" i="3"/>
  <c r="AE188" i="3" s="1"/>
  <c r="BI601" i="9"/>
  <c r="BI883" i="9" s="1"/>
  <c r="BJ66" i="9"/>
  <c r="BJ541" i="9"/>
  <c r="BJ240" i="9"/>
  <c r="BJ609" i="9"/>
  <c r="BJ891" i="9" s="1"/>
  <c r="BK218" i="9"/>
  <c r="BI616" i="9"/>
  <c r="BI898" i="9" s="1"/>
  <c r="BJ351" i="9"/>
  <c r="AE164" i="3"/>
  <c r="AE187" i="3" s="1"/>
  <c r="BJ548" i="9"/>
  <c r="BJ373" i="9"/>
  <c r="BJ457" i="9"/>
  <c r="BJ384" i="9"/>
  <c r="AE5" i="11"/>
  <c r="AE57" i="3"/>
  <c r="AE103" i="3" s="1"/>
  <c r="AE49" i="3"/>
  <c r="AE95" i="3" s="1"/>
  <c r="AE64" i="3"/>
  <c r="AE110" i="3" s="1"/>
  <c r="AE59" i="3"/>
  <c r="AE105" i="3" s="1"/>
  <c r="AE46" i="3"/>
  <c r="AE92" i="3" s="1"/>
  <c r="AE54" i="3"/>
  <c r="AE100" i="3" s="1"/>
  <c r="AE53" i="3"/>
  <c r="AE99" i="3" s="1"/>
  <c r="AE63" i="3"/>
  <c r="AE109" i="3" s="1"/>
  <c r="AE45" i="3"/>
  <c r="AE91" i="3" s="1"/>
  <c r="AE52" i="3"/>
  <c r="AE98" i="3" s="1"/>
  <c r="AE51" i="3"/>
  <c r="AE97" i="3" s="1"/>
  <c r="AE56" i="3"/>
  <c r="AE102" i="3" s="1"/>
  <c r="AE55" i="3"/>
  <c r="AE101" i="3" s="1"/>
  <c r="AE47" i="3"/>
  <c r="AE58" i="3"/>
  <c r="AE104" i="3" s="1"/>
  <c r="AE50" i="3"/>
  <c r="AE96" i="3" s="1"/>
  <c r="AE60" i="3"/>
  <c r="AE106" i="3" s="1"/>
  <c r="AE48" i="3"/>
  <c r="AE62" i="3"/>
  <c r="AE108" i="3" s="1"/>
  <c r="AE61" i="3"/>
  <c r="AE107" i="3" s="1"/>
  <c r="AE5" i="35"/>
  <c r="AE5" i="33"/>
  <c r="AF5" i="12"/>
  <c r="AE5" i="32"/>
  <c r="AE5" i="30"/>
  <c r="AE5" i="38"/>
  <c r="AE5" i="6"/>
  <c r="AE5" i="9"/>
  <c r="AE5" i="26"/>
  <c r="AE5" i="16"/>
  <c r="AE5" i="22"/>
  <c r="AE5" i="20"/>
  <c r="AE5" i="1"/>
  <c r="AE5" i="28"/>
  <c r="AE121" i="3"/>
  <c r="AE129" i="3"/>
  <c r="AE120" i="3"/>
  <c r="AE116" i="3"/>
  <c r="AE126" i="3"/>
  <c r="AE131" i="3"/>
  <c r="AE132" i="3"/>
  <c r="AE122" i="3"/>
  <c r="AE124" i="3"/>
  <c r="AE114" i="3"/>
  <c r="AE119" i="3"/>
  <c r="AE128" i="3"/>
  <c r="AE133" i="3"/>
  <c r="AE127" i="3"/>
  <c r="AE125" i="3"/>
  <c r="AE123" i="3"/>
  <c r="AE115" i="3"/>
  <c r="AE117" i="3"/>
  <c r="AE118" i="3"/>
  <c r="AE130" i="3"/>
  <c r="AD722" i="9"/>
  <c r="AD233" i="3"/>
  <c r="AD278" i="3"/>
  <c r="AD733" i="9"/>
  <c r="AD244" i="3"/>
  <c r="BI611" i="9"/>
  <c r="BI893" i="9" s="1"/>
  <c r="BJ256" i="9"/>
  <c r="AD90" i="20"/>
  <c r="AD41" i="30"/>
  <c r="CC144" i="3"/>
  <c r="CC138" i="3"/>
  <c r="AD822" i="9"/>
  <c r="AD823" i="9"/>
  <c r="AD815" i="9"/>
  <c r="AD824" i="9"/>
  <c r="AD829" i="9"/>
  <c r="AD821" i="9"/>
  <c r="AD813" i="9"/>
  <c r="AD820" i="9"/>
  <c r="AD825" i="9"/>
  <c r="AD819" i="9"/>
  <c r="AD818" i="9"/>
  <c r="AD816" i="9"/>
  <c r="AD817" i="9"/>
  <c r="AD814" i="9"/>
  <c r="AD828" i="9"/>
  <c r="AD812" i="9"/>
  <c r="AD811" i="9"/>
  <c r="AD810" i="9"/>
  <c r="AD827" i="9"/>
  <c r="AD826" i="9"/>
  <c r="AE169" i="3"/>
  <c r="AE192" i="3" s="1"/>
  <c r="AE217" i="3"/>
  <c r="AE263" i="3"/>
  <c r="BI1015" i="9"/>
  <c r="BI524" i="9"/>
  <c r="BJ342" i="9"/>
  <c r="BI348" i="9"/>
  <c r="CB28" i="3"/>
  <c r="CB26" i="3"/>
  <c r="AF10" i="3"/>
  <c r="AF140" i="3" s="1"/>
  <c r="AD723" i="9"/>
  <c r="AD234" i="3"/>
  <c r="AD721" i="9"/>
  <c r="AD232" i="3"/>
  <c r="AD720" i="9"/>
  <c r="AD231" i="3"/>
  <c r="BI603" i="9"/>
  <c r="BI885" i="9" s="1"/>
  <c r="BJ104" i="9"/>
  <c r="BI1002" i="9"/>
  <c r="BI511" i="9"/>
  <c r="BJ95" i="9"/>
  <c r="BI101" i="9"/>
  <c r="BJ450" i="9"/>
  <c r="BJ251" i="9"/>
  <c r="CB197" i="26"/>
  <c r="CB209" i="26"/>
  <c r="CB72" i="26"/>
  <c r="CB99" i="26"/>
  <c r="CB123" i="26"/>
  <c r="CB87" i="26"/>
  <c r="CB174" i="26"/>
  <c r="CB146" i="26"/>
  <c r="CB95" i="26"/>
  <c r="CB171" i="26"/>
  <c r="CB179" i="26"/>
  <c r="CB208" i="26"/>
  <c r="CB201" i="26"/>
  <c r="CB64" i="26"/>
  <c r="CB93" i="26"/>
  <c r="CB96" i="26"/>
  <c r="CB73" i="26"/>
  <c r="CB125" i="26"/>
  <c r="CB119" i="26"/>
  <c r="CB89" i="26"/>
  <c r="CB206" i="26"/>
  <c r="CB185" i="26"/>
  <c r="CB200" i="26"/>
  <c r="CB202" i="26"/>
  <c r="CB139" i="26"/>
  <c r="CB66" i="26"/>
  <c r="CB90" i="26"/>
  <c r="CB118" i="26"/>
  <c r="CB113" i="26"/>
  <c r="CB114" i="26"/>
  <c r="CB63" i="26"/>
  <c r="CB195" i="26"/>
  <c r="CB172" i="26"/>
  <c r="CB178" i="26"/>
  <c r="CB150" i="26"/>
  <c r="CB122" i="26"/>
  <c r="CB67" i="26"/>
  <c r="CB71" i="26"/>
  <c r="CB111" i="26"/>
  <c r="CB91" i="26"/>
  <c r="CB98" i="26"/>
  <c r="CB70" i="26"/>
  <c r="CB173" i="26"/>
  <c r="CB207" i="26"/>
  <c r="CB147" i="26"/>
  <c r="CB145" i="26"/>
  <c r="CB115" i="26"/>
  <c r="CB149" i="26"/>
  <c r="CB142" i="26"/>
  <c r="CB94" i="26"/>
  <c r="CB85" i="26"/>
  <c r="CB88" i="26"/>
  <c r="CB65" i="26"/>
  <c r="CB203" i="26"/>
  <c r="CB204" i="26"/>
  <c r="CB151" i="26"/>
  <c r="CB182" i="26"/>
  <c r="CB138" i="26"/>
  <c r="CB92" i="26"/>
  <c r="CB144" i="26"/>
  <c r="CB124" i="26"/>
  <c r="CB74" i="26"/>
  <c r="CB62" i="26"/>
  <c r="CB69" i="26"/>
  <c r="CB60" i="26"/>
  <c r="CB199" i="26"/>
  <c r="CB177" i="26"/>
  <c r="CB143" i="26"/>
  <c r="CB175" i="26"/>
  <c r="CB120" i="26"/>
  <c r="CB86" i="26"/>
  <c r="CB141" i="26"/>
  <c r="CB117" i="26"/>
  <c r="CB68" i="26"/>
  <c r="CB184" i="26"/>
  <c r="CB137" i="26"/>
  <c r="CB61" i="26"/>
  <c r="CB181" i="26"/>
  <c r="CB198" i="26"/>
  <c r="CB205" i="26"/>
  <c r="CB148" i="26"/>
  <c r="CB112" i="26"/>
  <c r="CB116" i="26"/>
  <c r="CB140" i="26"/>
  <c r="CB97" i="26"/>
  <c r="CB180" i="26"/>
  <c r="CB183" i="26"/>
  <c r="CB121" i="26"/>
  <c r="CB176" i="26"/>
  <c r="CB196" i="26"/>
  <c r="AE75" i="3"/>
  <c r="AD53" i="20"/>
  <c r="AD96" i="20"/>
  <c r="AD44" i="30"/>
  <c r="AD154" i="20"/>
  <c r="CC151" i="3"/>
  <c r="CC140" i="3"/>
  <c r="BJ536" i="9"/>
  <c r="BJ145" i="9"/>
  <c r="AE175" i="3"/>
  <c r="AE198" i="3" s="1"/>
  <c r="AD750" i="9"/>
  <c r="BI615" i="9"/>
  <c r="BI897" i="9" s="1"/>
  <c r="BJ332" i="9"/>
  <c r="BJ549" i="9"/>
  <c r="BJ392" i="9"/>
  <c r="BJ452" i="9"/>
  <c r="BJ289" i="9"/>
  <c r="AD753" i="9"/>
  <c r="CB18" i="3"/>
  <c r="AD737" i="9"/>
  <c r="AD248" i="3"/>
  <c r="AD280" i="3"/>
  <c r="AD718" i="9"/>
  <c r="AD229" i="3"/>
  <c r="AD277" i="3"/>
  <c r="BI606" i="9"/>
  <c r="BI888" i="9" s="1"/>
  <c r="BJ161" i="9"/>
  <c r="AD13" i="20"/>
  <c r="AD100" i="20"/>
  <c r="AD60" i="20"/>
  <c r="AD52" i="30"/>
  <c r="AD54" i="30" s="1"/>
  <c r="AD41" i="6"/>
  <c r="AD44" i="6" s="1"/>
  <c r="AD164" i="20"/>
  <c r="CC4" i="3"/>
  <c r="CC152" i="3"/>
  <c r="CC149" i="3"/>
  <c r="BJ545" i="9"/>
  <c r="BJ316" i="9"/>
  <c r="BJ458" i="9"/>
  <c r="BJ403" i="9"/>
  <c r="AC141" i="20"/>
  <c r="AC146" i="20" s="1"/>
  <c r="BI608" i="9"/>
  <c r="BI890" i="9" s="1"/>
  <c r="BJ199" i="9"/>
  <c r="AD294" i="3"/>
  <c r="AD275" i="3"/>
  <c r="AD38" i="20"/>
  <c r="AD114" i="20"/>
  <c r="BJ445" i="9"/>
  <c r="BJ156" i="9"/>
  <c r="AB47" i="30"/>
  <c r="AB38" i="30"/>
  <c r="BI602" i="9"/>
  <c r="BI884" i="9" s="1"/>
  <c r="BJ85" i="9"/>
  <c r="AE269" i="3"/>
  <c r="AE292" i="3" s="1"/>
  <c r="AE223" i="3"/>
  <c r="AE735" i="9" s="1"/>
  <c r="AC24" i="30"/>
  <c r="AE4" i="11"/>
  <c r="AE30" i="3"/>
  <c r="AE22" i="3"/>
  <c r="AE16" i="3"/>
  <c r="AE4" i="35"/>
  <c r="AE4" i="33"/>
  <c r="AF4" i="12"/>
  <c r="AE4" i="32"/>
  <c r="AE4" i="30"/>
  <c r="AE4" i="38"/>
  <c r="AE4" i="6"/>
  <c r="AE4" i="9"/>
  <c r="AE4" i="26"/>
  <c r="AE4" i="16"/>
  <c r="AE4" i="22"/>
  <c r="AE4" i="20"/>
  <c r="AE4" i="1"/>
  <c r="AE4" i="28"/>
  <c r="AE20" i="3"/>
  <c r="AB257" i="6"/>
  <c r="AB259" i="6" s="1"/>
  <c r="AB170" i="20"/>
  <c r="AB60" i="30" s="1"/>
  <c r="AD288" i="3"/>
  <c r="AE265" i="3"/>
  <c r="AE219" i="3"/>
  <c r="AE731" i="9" s="1"/>
  <c r="CC153" i="3"/>
  <c r="AE174" i="3"/>
  <c r="AE197" i="3" s="1"/>
  <c r="AD285" i="3"/>
  <c r="AD74" i="20"/>
  <c r="AD46" i="20"/>
  <c r="AD131" i="20"/>
  <c r="AD132" i="20" s="1"/>
  <c r="AD28" i="30" s="1"/>
  <c r="AD26" i="32" s="1"/>
  <c r="AD25" i="35" s="1"/>
  <c r="CC143" i="3"/>
  <c r="CC139" i="3"/>
  <c r="CC142" i="3"/>
  <c r="AE161" i="3"/>
  <c r="AE184" i="3" s="1"/>
  <c r="AD728" i="9"/>
  <c r="AD239" i="3"/>
  <c r="AB28" i="32"/>
  <c r="AB33" i="32"/>
  <c r="AE79" i="3"/>
  <c r="AD752" i="9"/>
  <c r="AE68" i="3"/>
  <c r="AD291" i="3"/>
  <c r="AD731" i="9"/>
  <c r="AD242" i="3"/>
  <c r="AD735" i="9"/>
  <c r="AD246" i="3"/>
  <c r="BI1006" i="9"/>
  <c r="BI515" i="9"/>
  <c r="BI177" i="9"/>
  <c r="BJ171" i="9"/>
  <c r="BJ543" i="9"/>
  <c r="BJ278" i="9"/>
  <c r="BJ449" i="9"/>
  <c r="BJ232" i="9"/>
  <c r="CC155" i="3"/>
  <c r="CC146" i="3"/>
  <c r="BJ535" i="9"/>
  <c r="BJ126" i="9"/>
  <c r="BJ444" i="9"/>
  <c r="BJ137" i="9"/>
  <c r="AD29" i="20"/>
  <c r="AD24" i="32"/>
  <c r="AD25" i="32" s="1"/>
  <c r="AD24" i="35" s="1"/>
  <c r="AD23" i="20"/>
  <c r="AD137" i="20"/>
  <c r="AD29" i="30" s="1"/>
  <c r="BJ448" i="9"/>
  <c r="BJ213" i="9"/>
  <c r="CC147" i="3"/>
  <c r="CC141" i="3"/>
  <c r="CC148" i="3"/>
  <c r="AE170" i="3"/>
  <c r="AE193" i="3" s="1"/>
  <c r="BI1001" i="9"/>
  <c r="BI510" i="9"/>
  <c r="BI82" i="9"/>
  <c r="BJ76" i="9"/>
  <c r="AE77" i="3"/>
  <c r="BJ551" i="9"/>
  <c r="BJ430" i="9"/>
  <c r="AA82" i="35"/>
  <c r="AA67" i="33"/>
  <c r="AA69" i="33" s="1"/>
  <c r="AA27" i="32"/>
  <c r="AA31" i="32"/>
  <c r="AA208" i="30"/>
  <c r="BI1013" i="9"/>
  <c r="BI522" i="9"/>
  <c r="BJ304" i="9"/>
  <c r="BI310" i="9"/>
  <c r="BJ538" i="9"/>
  <c r="BJ183" i="9"/>
  <c r="AD748" i="9"/>
  <c r="AE3" i="11"/>
  <c r="AE14" i="3"/>
  <c r="AE3" i="35"/>
  <c r="AE3" i="33"/>
  <c r="AF3" i="12"/>
  <c r="AE3" i="32"/>
  <c r="AE3" i="30"/>
  <c r="AE3" i="38"/>
  <c r="AE3" i="6"/>
  <c r="AE3" i="9"/>
  <c r="AE3" i="26"/>
  <c r="AE3" i="16"/>
  <c r="AE3" i="22"/>
  <c r="AE3" i="20"/>
  <c r="AE3" i="1"/>
  <c r="AE3" i="28"/>
  <c r="AE37" i="3"/>
  <c r="AD734" i="9"/>
  <c r="AD245" i="3"/>
  <c r="AD292" i="3"/>
  <c r="E177" i="23"/>
  <c r="E175" i="23" a="1"/>
  <c r="AE69" i="3" l="1"/>
  <c r="AE246" i="3"/>
  <c r="AE245" i="3"/>
  <c r="AE78" i="3"/>
  <c r="AE84" i="3"/>
  <c r="AE231" i="3"/>
  <c r="AE83" i="3"/>
  <c r="AD45" i="30"/>
  <c r="AD760" i="9"/>
  <c r="AE74" i="3"/>
  <c r="AE76" i="3"/>
  <c r="AF143" i="3"/>
  <c r="AF166" i="3" s="1"/>
  <c r="AE248" i="3"/>
  <c r="AE86" i="3"/>
  <c r="AE229" i="3"/>
  <c r="AE242" i="3"/>
  <c r="AE754" i="9" s="1"/>
  <c r="AE232" i="3"/>
  <c r="AE744" i="9" s="1"/>
  <c r="AD745" i="9"/>
  <c r="AB136" i="30"/>
  <c r="AB137" i="30" s="1"/>
  <c r="AC256" i="6"/>
  <c r="AF163" i="3"/>
  <c r="AF186" i="3" s="1"/>
  <c r="AE211" i="3"/>
  <c r="AE257" i="3"/>
  <c r="AE220" i="3"/>
  <c r="AE266" i="3"/>
  <c r="AE258" i="3"/>
  <c r="AE212" i="3"/>
  <c r="BJ607" i="9"/>
  <c r="BJ889" i="9" s="1"/>
  <c r="BK180" i="9"/>
  <c r="BJ441" i="9"/>
  <c r="BJ80" i="9"/>
  <c r="AE262" i="3"/>
  <c r="AE216" i="3"/>
  <c r="AD757" i="9"/>
  <c r="BJ453" i="9"/>
  <c r="BJ308" i="9"/>
  <c r="CC164" i="3"/>
  <c r="BJ1004" i="9"/>
  <c r="BJ513" i="9"/>
  <c r="BJ139" i="9"/>
  <c r="BK133" i="9"/>
  <c r="BJ612" i="9"/>
  <c r="BJ894" i="9" s="1"/>
  <c r="BK275" i="9"/>
  <c r="AD16" i="30"/>
  <c r="CC176" i="3"/>
  <c r="AE758" i="9"/>
  <c r="BJ539" i="9"/>
  <c r="BJ202" i="9"/>
  <c r="CC172" i="3"/>
  <c r="AD72" i="30"/>
  <c r="AD74" i="30" s="1"/>
  <c r="AE40" i="6"/>
  <c r="AD12" i="6"/>
  <c r="AF141" i="3"/>
  <c r="AF149" i="3"/>
  <c r="AF150" i="3"/>
  <c r="AE729" i="9"/>
  <c r="AE240" i="3"/>
  <c r="AE791" i="9"/>
  <c r="AE792" i="9"/>
  <c r="AE793" i="9"/>
  <c r="AE197" i="26"/>
  <c r="AE60" i="26"/>
  <c r="AE93" i="26"/>
  <c r="AE87" i="26"/>
  <c r="AE72" i="26"/>
  <c r="AE119" i="26"/>
  <c r="AE144" i="26"/>
  <c r="AE121" i="26"/>
  <c r="AE173" i="26"/>
  <c r="AE175" i="26"/>
  <c r="AE195" i="26"/>
  <c r="AE149" i="26"/>
  <c r="AE143" i="26"/>
  <c r="AE71" i="26"/>
  <c r="AE61" i="26"/>
  <c r="AE125" i="26"/>
  <c r="AE113" i="26"/>
  <c r="AE142" i="26"/>
  <c r="AE120" i="26"/>
  <c r="AE172" i="26"/>
  <c r="AE198" i="26"/>
  <c r="AE180" i="26"/>
  <c r="AE182" i="26"/>
  <c r="AE122" i="26"/>
  <c r="AE66" i="26"/>
  <c r="AE67" i="26"/>
  <c r="AE94" i="26"/>
  <c r="AE112" i="26"/>
  <c r="AE114" i="26"/>
  <c r="AE92" i="26"/>
  <c r="AE171" i="26"/>
  <c r="AE185" i="26"/>
  <c r="AE209" i="26"/>
  <c r="AE145" i="26"/>
  <c r="AE115" i="26"/>
  <c r="AE174" i="26"/>
  <c r="AE137" i="26"/>
  <c r="AE91" i="26"/>
  <c r="AE88" i="26"/>
  <c r="AE98" i="26"/>
  <c r="AE89" i="26"/>
  <c r="AE208" i="26"/>
  <c r="AE179" i="26"/>
  <c r="AE200" i="26"/>
  <c r="AE147" i="26"/>
  <c r="AE138" i="26"/>
  <c r="AE99" i="26"/>
  <c r="AE146" i="26"/>
  <c r="AE118" i="26"/>
  <c r="AE74" i="26"/>
  <c r="AE85" i="26"/>
  <c r="AE95" i="26"/>
  <c r="AE70" i="26"/>
  <c r="AE207" i="26"/>
  <c r="AE206" i="26"/>
  <c r="AE199" i="26"/>
  <c r="AE139" i="26"/>
  <c r="AE124" i="26"/>
  <c r="AE86" i="26"/>
  <c r="AE123" i="26"/>
  <c r="AE111" i="26"/>
  <c r="AE181" i="26"/>
  <c r="AE69" i="26"/>
  <c r="AE63" i="26"/>
  <c r="AE65" i="26"/>
  <c r="AE203" i="26"/>
  <c r="AE204" i="26"/>
  <c r="AE201" i="26"/>
  <c r="AE202" i="26"/>
  <c r="AE116" i="26"/>
  <c r="AE64" i="26"/>
  <c r="AE117" i="26"/>
  <c r="AE97" i="26"/>
  <c r="AE141" i="26"/>
  <c r="AE178" i="26"/>
  <c r="AE150" i="26"/>
  <c r="AE62" i="26"/>
  <c r="AE184" i="26"/>
  <c r="AE177" i="26"/>
  <c r="AE205" i="26"/>
  <c r="AE68" i="26"/>
  <c r="AE96" i="26"/>
  <c r="AE90" i="26"/>
  <c r="AE73" i="26"/>
  <c r="AE140" i="26"/>
  <c r="AE151" i="26"/>
  <c r="AE148" i="26"/>
  <c r="AE183" i="26"/>
  <c r="AE196" i="26"/>
  <c r="AE176" i="26"/>
  <c r="BJ1014" i="9"/>
  <c r="BJ523" i="9"/>
  <c r="BK323" i="9"/>
  <c r="BJ329" i="9"/>
  <c r="BQ3" i="11"/>
  <c r="CC14" i="3"/>
  <c r="CC3" i="35"/>
  <c r="CC3" i="33"/>
  <c r="CD3" i="12"/>
  <c r="CC3" i="32"/>
  <c r="CC3" i="30"/>
  <c r="CC3" i="38"/>
  <c r="CC3" i="6"/>
  <c r="CC3" i="9"/>
  <c r="CC3" i="26"/>
  <c r="CC3" i="16"/>
  <c r="CC3" i="22"/>
  <c r="CC3" i="20"/>
  <c r="DI2" i="20" s="1"/>
  <c r="CC3" i="1"/>
  <c r="DM2" i="1" s="1"/>
  <c r="CC3" i="28"/>
  <c r="AE73" i="3"/>
  <c r="CC168" i="3"/>
  <c r="AE730" i="9"/>
  <c r="AE241" i="3"/>
  <c r="CC170" i="3"/>
  <c r="AE253" i="3"/>
  <c r="AE207" i="3"/>
  <c r="BJ533" i="9"/>
  <c r="BJ88" i="9"/>
  <c r="AD27" i="30"/>
  <c r="AD30" i="30" s="1"/>
  <c r="AD139" i="20"/>
  <c r="CC175" i="3"/>
  <c r="AD18" i="30"/>
  <c r="BJ618" i="9"/>
  <c r="BJ900" i="9" s="1"/>
  <c r="BK389" i="9"/>
  <c r="AD743" i="9"/>
  <c r="AF155" i="3"/>
  <c r="AF147" i="3"/>
  <c r="BJ455" i="9"/>
  <c r="BJ346" i="9"/>
  <c r="AE85" i="3"/>
  <c r="AD21" i="30"/>
  <c r="AE790" i="9"/>
  <c r="AE787" i="9"/>
  <c r="AE802" i="9"/>
  <c r="AE282" i="9"/>
  <c r="AE415" i="9"/>
  <c r="AE396" i="9"/>
  <c r="AE434" i="9"/>
  <c r="AE320" i="9"/>
  <c r="AE339" i="9"/>
  <c r="AE187" i="9"/>
  <c r="AE168" i="9"/>
  <c r="AE301" i="9"/>
  <c r="AE244" i="9"/>
  <c r="AE377" i="9"/>
  <c r="AE206" i="9"/>
  <c r="AE225" i="9"/>
  <c r="AE358" i="9"/>
  <c r="AE73" i="9"/>
  <c r="AE263" i="9"/>
  <c r="AE130" i="9"/>
  <c r="AE149" i="9"/>
  <c r="AE111" i="9"/>
  <c r="AE92" i="9"/>
  <c r="BJ532" i="9"/>
  <c r="BJ69" i="9"/>
  <c r="BJ1011" i="9"/>
  <c r="BJ520" i="9"/>
  <c r="BJ272" i="9"/>
  <c r="BK266" i="9"/>
  <c r="BJ1003" i="9"/>
  <c r="BJ512" i="9"/>
  <c r="BK114" i="9"/>
  <c r="BJ120" i="9"/>
  <c r="BK1019" i="9"/>
  <c r="BK528" i="9"/>
  <c r="BL418" i="9"/>
  <c r="BK424" i="9"/>
  <c r="CC160" i="3"/>
  <c r="AE741" i="9"/>
  <c r="AE725" i="9"/>
  <c r="AE236" i="3"/>
  <c r="AA92" i="33"/>
  <c r="AA94" i="33" s="1"/>
  <c r="AA212" i="30"/>
  <c r="BJ1008" i="9"/>
  <c r="BJ517" i="9"/>
  <c r="BJ215" i="9"/>
  <c r="BK209" i="9"/>
  <c r="BJ604" i="9"/>
  <c r="BJ886" i="9" s="1"/>
  <c r="BK123" i="9"/>
  <c r="CC165" i="3"/>
  <c r="AE775" i="9"/>
  <c r="AE769" i="9"/>
  <c r="AE782" i="9"/>
  <c r="AE776" i="9"/>
  <c r="AE783" i="9"/>
  <c r="AE777" i="9"/>
  <c r="AE770" i="9"/>
  <c r="AE764" i="9"/>
  <c r="AE771" i="9"/>
  <c r="AE778" i="9"/>
  <c r="AE772" i="9"/>
  <c r="AE779" i="9"/>
  <c r="AE773" i="9"/>
  <c r="AE766" i="9"/>
  <c r="AE780" i="9"/>
  <c r="AE767" i="9"/>
  <c r="AE781" i="9"/>
  <c r="AE774" i="9"/>
  <c r="AE768" i="9"/>
  <c r="AE714" i="9"/>
  <c r="AE706" i="9"/>
  <c r="AE698" i="9"/>
  <c r="AE712" i="9"/>
  <c r="AE709" i="9"/>
  <c r="AE704" i="9"/>
  <c r="AE711" i="9"/>
  <c r="AE699" i="9"/>
  <c r="AE701" i="9"/>
  <c r="AE696" i="9"/>
  <c r="AE713" i="9"/>
  <c r="AE703" i="9"/>
  <c r="AE765" i="9"/>
  <c r="AE710" i="9"/>
  <c r="AE708" i="9"/>
  <c r="AE705" i="9"/>
  <c r="AE695" i="9"/>
  <c r="AE702" i="9"/>
  <c r="AE700" i="9"/>
  <c r="AE697" i="9"/>
  <c r="AE707" i="9"/>
  <c r="AE18" i="3"/>
  <c r="BJ614" i="9"/>
  <c r="BJ896" i="9" s="1"/>
  <c r="BK313" i="9"/>
  <c r="BQ4" i="11"/>
  <c r="CC22" i="3"/>
  <c r="CC16" i="3"/>
  <c r="CC4" i="35"/>
  <c r="CC4" i="33"/>
  <c r="CD4" i="12"/>
  <c r="CC4" i="32"/>
  <c r="CC4" i="30"/>
  <c r="CC4" i="38"/>
  <c r="CC4" i="6"/>
  <c r="CC4" i="9"/>
  <c r="CC4" i="26"/>
  <c r="CC4" i="16"/>
  <c r="CC4" i="22"/>
  <c r="CC4" i="20"/>
  <c r="CC4" i="1"/>
  <c r="CC4" i="28"/>
  <c r="CC20" i="3"/>
  <c r="BJ534" i="9"/>
  <c r="BJ107" i="9"/>
  <c r="AF189" i="3"/>
  <c r="AF41" i="3"/>
  <c r="AF5" i="3"/>
  <c r="AF24" i="3"/>
  <c r="AF12" i="3"/>
  <c r="AF3" i="3" s="1"/>
  <c r="AG8" i="3"/>
  <c r="AF4" i="3"/>
  <c r="AF148" i="3"/>
  <c r="BJ542" i="9"/>
  <c r="BJ259" i="9"/>
  <c r="AE788" i="9"/>
  <c r="AE797" i="9"/>
  <c r="AE794" i="9"/>
  <c r="BJ1017" i="9"/>
  <c r="BJ526" i="9"/>
  <c r="BK380" i="9"/>
  <c r="BJ386" i="9"/>
  <c r="AE256" i="3"/>
  <c r="AE210" i="3"/>
  <c r="BJ1000" i="9"/>
  <c r="BJ509" i="9"/>
  <c r="BJ63" i="9"/>
  <c r="BK57" i="9"/>
  <c r="AC80" i="33"/>
  <c r="AE282" i="3"/>
  <c r="CC162" i="3"/>
  <c r="AD19" i="30"/>
  <c r="AE28" i="3"/>
  <c r="AE26" i="3"/>
  <c r="AD23" i="30"/>
  <c r="AD179" i="20"/>
  <c r="AD741" i="9"/>
  <c r="AD22" i="30"/>
  <c r="AD175" i="20"/>
  <c r="AF145" i="3"/>
  <c r="AF138" i="3"/>
  <c r="CC161" i="3"/>
  <c r="AD756" i="9"/>
  <c r="AE796" i="9"/>
  <c r="AE795" i="9"/>
  <c r="AE94" i="3"/>
  <c r="AE71" i="3"/>
  <c r="BJ547" i="9"/>
  <c r="BJ354" i="9"/>
  <c r="BJ1016" i="9"/>
  <c r="BJ367" i="9"/>
  <c r="BJ525" i="9"/>
  <c r="BK361" i="9"/>
  <c r="CD10" i="3"/>
  <c r="CD142" i="3" s="1"/>
  <c r="AE743" i="9"/>
  <c r="CC169" i="3"/>
  <c r="AD754" i="9"/>
  <c r="CC166" i="3"/>
  <c r="AB54" i="33"/>
  <c r="AB148" i="30"/>
  <c r="AB180" i="30" s="1"/>
  <c r="AB56" i="30"/>
  <c r="AB58" i="30" s="1"/>
  <c r="AD15" i="30"/>
  <c r="AC174" i="20"/>
  <c r="AC181" i="20" s="1"/>
  <c r="AC62" i="30" s="1"/>
  <c r="AC156" i="20"/>
  <c r="AC166" i="20" s="1"/>
  <c r="BJ1012" i="9"/>
  <c r="BJ521" i="9"/>
  <c r="BJ291" i="9"/>
  <c r="BK285" i="9"/>
  <c r="BJ546" i="9"/>
  <c r="BJ335" i="9"/>
  <c r="AE267" i="3"/>
  <c r="AE221" i="3"/>
  <c r="CC163" i="3"/>
  <c r="AF156" i="3"/>
  <c r="AF142" i="3"/>
  <c r="CC167" i="3"/>
  <c r="AE798" i="9"/>
  <c r="AE805" i="9"/>
  <c r="BJ617" i="9"/>
  <c r="BJ899" i="9" s="1"/>
  <c r="BK370" i="9"/>
  <c r="BQ5" i="11"/>
  <c r="CC60" i="3"/>
  <c r="CC106" i="3" s="1"/>
  <c r="CC52" i="3"/>
  <c r="CC98" i="3" s="1"/>
  <c r="CC57" i="3"/>
  <c r="CC103" i="3" s="1"/>
  <c r="CC47" i="3"/>
  <c r="CC93" i="3" s="1"/>
  <c r="CC55" i="3"/>
  <c r="CC101" i="3" s="1"/>
  <c r="CC50" i="3"/>
  <c r="CC96" i="3" s="1"/>
  <c r="CC54" i="3"/>
  <c r="CC100" i="3" s="1"/>
  <c r="CC53" i="3"/>
  <c r="CC99" i="3" s="1"/>
  <c r="CC51" i="3"/>
  <c r="CC97" i="3" s="1"/>
  <c r="CC45" i="3"/>
  <c r="CC91" i="3" s="1"/>
  <c r="CC58" i="3"/>
  <c r="CC104" i="3" s="1"/>
  <c r="CC56" i="3"/>
  <c r="CC102" i="3" s="1"/>
  <c r="CC59" i="3"/>
  <c r="CC105" i="3" s="1"/>
  <c r="CC48" i="3"/>
  <c r="CC94" i="3" s="1"/>
  <c r="CC63" i="3"/>
  <c r="CC109" i="3" s="1"/>
  <c r="CC61" i="3"/>
  <c r="CC107" i="3" s="1"/>
  <c r="CC46" i="3"/>
  <c r="CC92" i="3" s="1"/>
  <c r="CC64" i="3"/>
  <c r="CC110" i="3" s="1"/>
  <c r="CC62" i="3"/>
  <c r="CC108" i="3" s="1"/>
  <c r="CC49" i="3"/>
  <c r="CC95" i="3" s="1"/>
  <c r="CC5" i="35"/>
  <c r="CC5" i="33"/>
  <c r="CD5" i="12"/>
  <c r="CC5" i="32"/>
  <c r="CC5" i="30"/>
  <c r="CC5" i="38"/>
  <c r="CC5" i="6"/>
  <c r="CC5" i="9"/>
  <c r="CC5" i="26"/>
  <c r="CC5" i="16"/>
  <c r="CC5" i="22"/>
  <c r="CC5" i="20"/>
  <c r="CC5" i="1"/>
  <c r="CC5" i="28"/>
  <c r="CC130" i="3"/>
  <c r="CC125" i="3"/>
  <c r="CC118" i="3"/>
  <c r="CC114" i="3"/>
  <c r="CC133" i="3"/>
  <c r="CC126" i="3"/>
  <c r="CC127" i="3"/>
  <c r="CC132" i="3"/>
  <c r="CC129" i="3"/>
  <c r="CC116" i="3"/>
  <c r="CC128" i="3"/>
  <c r="CC124" i="3"/>
  <c r="CC115" i="3"/>
  <c r="CC131" i="3"/>
  <c r="CC120" i="3"/>
  <c r="CC121" i="3"/>
  <c r="CC123" i="3"/>
  <c r="CC122" i="3"/>
  <c r="CC117" i="3"/>
  <c r="CC119" i="3"/>
  <c r="BJ544" i="9"/>
  <c r="BJ297" i="9"/>
  <c r="AE760" i="9"/>
  <c r="CC178" i="3"/>
  <c r="BJ446" i="9"/>
  <c r="BJ175" i="9"/>
  <c r="AD751" i="9"/>
  <c r="BJ1005" i="9"/>
  <c r="BJ514" i="9"/>
  <c r="BJ158" i="9"/>
  <c r="BK152" i="9"/>
  <c r="BJ1018" i="9"/>
  <c r="BJ527" i="9"/>
  <c r="BK399" i="9"/>
  <c r="BJ405" i="9"/>
  <c r="AD13" i="30"/>
  <c r="AD102" i="20"/>
  <c r="BJ605" i="9"/>
  <c r="BJ887" i="9" s="1"/>
  <c r="BK142" i="9"/>
  <c r="CC174" i="3"/>
  <c r="AD746" i="9"/>
  <c r="AF152" i="3"/>
  <c r="AF154" i="3"/>
  <c r="AE800" i="9"/>
  <c r="AE804" i="9"/>
  <c r="BK540" i="9"/>
  <c r="BK221" i="9"/>
  <c r="AE81" i="3"/>
  <c r="AE293" i="3"/>
  <c r="AD758" i="9"/>
  <c r="AE180" i="20" a="1"/>
  <c r="AE180" i="20" s="1"/>
  <c r="AE162" i="20" a="1"/>
  <c r="AE162" i="20" s="1"/>
  <c r="AE153" i="20" a="1"/>
  <c r="AE153" i="20" s="1"/>
  <c r="AE150" i="20" a="1"/>
  <c r="AE150" i="20" s="1"/>
  <c r="AE135" i="20" a="1"/>
  <c r="AE135" i="20" s="1"/>
  <c r="AE128" i="20" a="1"/>
  <c r="AE128" i="20" s="1"/>
  <c r="AE129" i="20" a="1"/>
  <c r="AE129" i="20" s="1"/>
  <c r="AE130" i="20" a="1"/>
  <c r="AE130" i="20" s="1"/>
  <c r="AE127" i="20" a="1"/>
  <c r="AE127" i="20" s="1"/>
  <c r="AE121" i="20" a="1"/>
  <c r="AE121" i="20" s="1"/>
  <c r="AE118" i="20" a="1"/>
  <c r="AE118" i="20" s="1"/>
  <c r="AE117" i="20" a="1"/>
  <c r="AE117" i="20" s="1"/>
  <c r="AE122" i="20" a="1"/>
  <c r="AE122" i="20" s="1"/>
  <c r="AE124" i="20" a="1"/>
  <c r="AE124" i="20" s="1"/>
  <c r="AE123" i="20" a="1"/>
  <c r="AE123" i="20" s="1"/>
  <c r="AE119" i="20" a="1"/>
  <c r="AE119" i="20" s="1"/>
  <c r="AE125" i="20" a="1"/>
  <c r="AE125" i="20" s="1"/>
  <c r="AE120" i="20" a="1"/>
  <c r="AE120" i="20" s="1"/>
  <c r="AE111" i="20" a="1"/>
  <c r="AE111" i="20" s="1"/>
  <c r="AE107" i="20" a="1"/>
  <c r="AE107" i="20" s="1"/>
  <c r="AE112" i="20" a="1"/>
  <c r="AE112" i="20" s="1"/>
  <c r="AE108" i="20" a="1"/>
  <c r="AE108" i="20" s="1"/>
  <c r="AE109" i="20" a="1"/>
  <c r="AE109" i="20" s="1"/>
  <c r="AE105" i="20" a="1"/>
  <c r="AE105" i="20" s="1"/>
  <c r="AE106" i="20" a="1"/>
  <c r="AE106" i="20" s="1"/>
  <c r="AE110" i="20" a="1"/>
  <c r="AE110" i="20" s="1"/>
  <c r="AE93" i="20" a="1"/>
  <c r="AE93" i="20" s="1"/>
  <c r="AE88" i="20" a="1"/>
  <c r="AE88" i="20" s="1"/>
  <c r="AE83" i="20" a="1"/>
  <c r="AE83" i="20" s="1"/>
  <c r="AE79" i="20" a="1"/>
  <c r="AE79" i="20" s="1"/>
  <c r="AE70" i="20" a="1"/>
  <c r="AE70" i="20" s="1"/>
  <c r="AE66" i="20" a="1"/>
  <c r="AE66" i="20" s="1"/>
  <c r="AE47" i="20" a="1"/>
  <c r="AE47" i="20" s="1"/>
  <c r="AE61" i="20" a="1"/>
  <c r="AE61" i="20" s="1"/>
  <c r="AE57" i="20" a="1"/>
  <c r="AE57" i="20" s="1"/>
  <c r="AE94" i="20" a="1"/>
  <c r="AE94" i="20" s="1"/>
  <c r="AE89" i="20" a="1"/>
  <c r="AE89" i="20" s="1"/>
  <c r="AE84" i="20" a="1"/>
  <c r="AE84" i="20" s="1"/>
  <c r="AE80" i="20" a="1"/>
  <c r="AE80" i="20" s="1"/>
  <c r="AE71" i="20" a="1"/>
  <c r="AE71" i="20" s="1"/>
  <c r="AE67" i="20" a="1"/>
  <c r="AE67" i="20" s="1"/>
  <c r="AE50" i="20" a="1"/>
  <c r="AE50" i="20" s="1"/>
  <c r="AE42" i="20" a="1"/>
  <c r="AE42" i="20" s="1"/>
  <c r="AE34" i="20" a="1"/>
  <c r="AE34" i="20" s="1"/>
  <c r="AE24" i="20" a="1"/>
  <c r="AE24" i="20" s="1"/>
  <c r="AE22" i="20" a="1"/>
  <c r="AE22" i="20" s="1"/>
  <c r="AE18" i="20" a="1"/>
  <c r="AE18" i="20" s="1"/>
  <c r="AE43" i="20" a="1"/>
  <c r="AE43" i="20" s="1"/>
  <c r="AE98" i="20" a="1"/>
  <c r="AE98" i="20" s="1"/>
  <c r="AE100" i="20" s="1"/>
  <c r="AE95" i="20" a="1"/>
  <c r="AE95" i="20" s="1"/>
  <c r="AE81" i="20" a="1"/>
  <c r="AE81" i="20" s="1"/>
  <c r="AE77" i="20" a="1"/>
  <c r="AE77" i="20" s="1"/>
  <c r="AE72" i="20" a="1"/>
  <c r="AE72" i="20" s="1"/>
  <c r="AE68" i="20" a="1"/>
  <c r="AE68" i="20" s="1"/>
  <c r="AE64" i="20" a="1"/>
  <c r="AE64" i="20" s="1"/>
  <c r="AE58" i="20" a="1"/>
  <c r="AE58" i="20" s="1"/>
  <c r="AE51" i="20" a="1"/>
  <c r="AE51" i="20" s="1"/>
  <c r="AE82" i="20" a="1"/>
  <c r="AE82" i="20" s="1"/>
  <c r="AE78" i="20" a="1"/>
  <c r="AE78" i="20" s="1"/>
  <c r="AE73" i="20" a="1"/>
  <c r="AE73" i="20" s="1"/>
  <c r="AE69" i="20" a="1"/>
  <c r="AE69" i="20" s="1"/>
  <c r="AE65" i="20" a="1"/>
  <c r="AE65" i="20" s="1"/>
  <c r="AE54" i="20" a="1"/>
  <c r="AE54" i="20" s="1"/>
  <c r="AE52" i="20" a="1"/>
  <c r="AE52" i="20" s="1"/>
  <c r="AE59" i="20" a="1"/>
  <c r="AE59" i="20" s="1"/>
  <c r="AE19" i="20" a="1"/>
  <c r="AE19" i="20" s="1"/>
  <c r="AE36" i="20" a="1"/>
  <c r="AE36" i="20" s="1"/>
  <c r="AE28" i="20" a="1"/>
  <c r="AE28" i="20" s="1"/>
  <c r="AE30" i="20" a="1"/>
  <c r="AE30" i="20" s="1"/>
  <c r="AE44" i="20" a="1"/>
  <c r="AE44" i="20" s="1"/>
  <c r="AE27" i="20" a="1"/>
  <c r="AE27" i="20" s="1"/>
  <c r="AE35" i="20" a="1"/>
  <c r="AE35" i="20" s="1"/>
  <c r="AE33" i="20" a="1"/>
  <c r="AE33" i="20" s="1"/>
  <c r="AE39" i="20" a="1"/>
  <c r="AE39" i="20" s="1"/>
  <c r="AE20" i="20" a="1"/>
  <c r="AE20" i="20" s="1"/>
  <c r="AE11" i="20" a="1"/>
  <c r="AE11" i="20" s="1"/>
  <c r="AE45" i="20" a="1"/>
  <c r="AE45" i="20" s="1"/>
  <c r="AE37" i="20" a="1"/>
  <c r="AE37" i="20" s="1"/>
  <c r="AE21" i="20" a="1"/>
  <c r="AE21" i="20" s="1"/>
  <c r="AE17" i="20" a="1"/>
  <c r="AE17" i="20" s="1"/>
  <c r="AE14" i="20" a="1"/>
  <c r="AE14" i="20" s="1"/>
  <c r="AE12" i="20" a="1"/>
  <c r="AE12" i="20" s="1"/>
  <c r="BJ537" i="9"/>
  <c r="BJ164" i="9"/>
  <c r="AD17" i="30"/>
  <c r="BJ442" i="9"/>
  <c r="BJ99" i="9"/>
  <c r="AF153" i="3"/>
  <c r="AF139" i="3"/>
  <c r="AF151" i="3"/>
  <c r="AE261" i="3"/>
  <c r="AE215" i="3"/>
  <c r="AE806" i="9"/>
  <c r="AE799" i="9"/>
  <c r="BJ447" i="9"/>
  <c r="BJ194" i="9"/>
  <c r="AE82" i="3"/>
  <c r="AE72" i="3"/>
  <c r="AE80" i="3"/>
  <c r="AE87" i="3"/>
  <c r="AE736" i="9"/>
  <c r="AE247" i="3"/>
  <c r="AE726" i="9"/>
  <c r="AE237" i="3"/>
  <c r="BJ1009" i="9"/>
  <c r="BJ518" i="9"/>
  <c r="BK228" i="9"/>
  <c r="BJ234" i="9"/>
  <c r="BJ620" i="9"/>
  <c r="BJ902" i="9" s="1"/>
  <c r="BK427" i="9"/>
  <c r="CC171" i="3"/>
  <c r="AD14" i="30"/>
  <c r="AE288" i="3"/>
  <c r="AC14" i="32"/>
  <c r="AC32" i="30"/>
  <c r="AC36" i="30" s="1"/>
  <c r="BJ1010" i="9"/>
  <c r="BJ519" i="9"/>
  <c r="BK247" i="9"/>
  <c r="BJ253" i="9"/>
  <c r="AD744" i="9"/>
  <c r="AF144" i="3"/>
  <c r="AF137" i="3"/>
  <c r="AF146" i="3"/>
  <c r="AE286" i="3"/>
  <c r="AD194" i="30"/>
  <c r="AD179" i="30"/>
  <c r="AD65" i="33" s="1"/>
  <c r="AE803" i="9"/>
  <c r="AE801" i="9"/>
  <c r="AE789" i="9"/>
  <c r="AE93" i="3"/>
  <c r="AE70" i="3"/>
  <c r="BJ610" i="9"/>
  <c r="BJ892" i="9" s="1"/>
  <c r="BK237" i="9"/>
  <c r="CC177" i="3"/>
  <c r="BJ550" i="9"/>
  <c r="BJ411" i="9"/>
  <c r="AE757" i="9"/>
  <c r="AE283" i="3"/>
  <c r="AE287" i="3"/>
  <c r="E175" i="23"/>
  <c r="E173" i="23" a="1"/>
  <c r="CD4" i="3" l="1"/>
  <c r="CD152" i="3"/>
  <c r="CD150" i="3"/>
  <c r="CD140" i="3"/>
  <c r="CD163" i="3" s="1"/>
  <c r="CD148" i="3"/>
  <c r="CD171" i="3" s="1"/>
  <c r="CD149" i="3"/>
  <c r="CD143" i="3"/>
  <c r="CD151" i="3"/>
  <c r="CD174" i="3" s="1"/>
  <c r="CD138" i="3"/>
  <c r="CD161" i="3" s="1"/>
  <c r="CD156" i="3"/>
  <c r="CD179" i="3" s="1"/>
  <c r="CD147" i="3"/>
  <c r="CD170" i="3" s="1"/>
  <c r="CD139" i="3"/>
  <c r="CD162" i="3" s="1"/>
  <c r="AE24" i="32"/>
  <c r="AE25" i="32" s="1"/>
  <c r="AE24" i="35" s="1"/>
  <c r="AE29" i="20"/>
  <c r="AE14" i="30" s="1"/>
  <c r="CD145" i="3"/>
  <c r="CD168" i="3" s="1"/>
  <c r="CD141" i="3"/>
  <c r="CD164" i="3" s="1"/>
  <c r="CD155" i="3"/>
  <c r="CD178" i="3" s="1"/>
  <c r="CD146" i="3"/>
  <c r="CD169" i="3" s="1"/>
  <c r="CD144" i="3"/>
  <c r="CD167" i="3" s="1"/>
  <c r="CD154" i="3"/>
  <c r="CD177" i="3" s="1"/>
  <c r="AE753" i="9"/>
  <c r="AF255" i="3"/>
  <c r="AF209" i="3"/>
  <c r="CD165" i="3"/>
  <c r="CC415" i="9"/>
  <c r="CC263" i="9"/>
  <c r="CC396" i="9"/>
  <c r="CC434" i="9"/>
  <c r="CC206" i="9"/>
  <c r="CC168" i="9"/>
  <c r="CC339" i="9"/>
  <c r="CC282" i="9"/>
  <c r="CC149" i="9"/>
  <c r="CC225" i="9"/>
  <c r="CC320" i="9"/>
  <c r="CC377" i="9"/>
  <c r="CC358" i="9"/>
  <c r="CC301" i="9"/>
  <c r="CC187" i="9"/>
  <c r="CC111" i="9"/>
  <c r="CC92" i="9"/>
  <c r="CC244" i="9"/>
  <c r="CC130" i="9"/>
  <c r="CC73" i="9"/>
  <c r="CC28" i="3"/>
  <c r="CC26" i="3"/>
  <c r="AE276" i="3"/>
  <c r="BK444" i="9"/>
  <c r="BK137" i="9"/>
  <c r="BK430" i="9"/>
  <c r="BK551" i="9"/>
  <c r="AE727" i="9"/>
  <c r="AE238" i="3"/>
  <c r="AE137" i="20"/>
  <c r="AE29" i="30" s="1"/>
  <c r="AF175" i="3"/>
  <c r="AF198" i="3" s="1"/>
  <c r="BJ613" i="9"/>
  <c r="BJ895" i="9" s="1"/>
  <c r="BK294" i="9"/>
  <c r="BR4" i="11"/>
  <c r="CD16" i="3"/>
  <c r="CD18" i="3" s="1"/>
  <c r="CD22" i="3"/>
  <c r="CD4" i="35"/>
  <c r="CD4" i="33"/>
  <c r="CE4" i="12"/>
  <c r="CD4" i="32"/>
  <c r="CD4" i="30"/>
  <c r="CD4" i="38"/>
  <c r="CD4" i="6"/>
  <c r="CD4" i="9"/>
  <c r="CD4" i="26"/>
  <c r="CD4" i="16"/>
  <c r="CD4" i="22"/>
  <c r="CD4" i="20"/>
  <c r="CD4" i="1"/>
  <c r="CD4" i="28"/>
  <c r="AF168" i="3"/>
  <c r="AF191" i="3" s="1"/>
  <c r="AE279" i="3"/>
  <c r="AG10" i="3"/>
  <c r="AG141" i="3" s="1"/>
  <c r="BK541" i="9"/>
  <c r="BK240" i="9"/>
  <c r="AD77" i="33"/>
  <c r="AD195" i="30"/>
  <c r="AD78" i="33" s="1"/>
  <c r="AE284" i="3"/>
  <c r="BJ606" i="9"/>
  <c r="BJ888" i="9" s="1"/>
  <c r="BK161" i="9"/>
  <c r="AE13" i="20"/>
  <c r="AE85" i="20"/>
  <c r="AE20" i="30" s="1"/>
  <c r="AE90" i="20"/>
  <c r="AE21" i="30" s="1"/>
  <c r="AE41" i="30"/>
  <c r="AC257" i="6"/>
  <c r="AC259" i="6" s="1"/>
  <c r="AC170" i="20"/>
  <c r="AC60" i="30" s="1"/>
  <c r="CD137" i="3"/>
  <c r="CD153" i="3"/>
  <c r="AF3" i="11"/>
  <c r="AF14" i="3"/>
  <c r="AF3" i="35"/>
  <c r="AF3" i="33"/>
  <c r="AG3" i="12"/>
  <c r="AF3" i="32"/>
  <c r="AF3" i="30"/>
  <c r="AF3" i="38"/>
  <c r="AF3" i="6"/>
  <c r="AF3" i="9"/>
  <c r="AF3" i="26"/>
  <c r="AF3" i="16"/>
  <c r="AF3" i="22"/>
  <c r="AF3" i="20"/>
  <c r="AF3" i="1"/>
  <c r="AF3" i="28"/>
  <c r="AF37" i="3"/>
  <c r="CD20" i="3"/>
  <c r="BJ601" i="9"/>
  <c r="BJ883" i="9" s="1"/>
  <c r="BK66" i="9"/>
  <c r="BJ1015" i="9"/>
  <c r="BJ524" i="9"/>
  <c r="BJ348" i="9"/>
  <c r="BK342" i="9"/>
  <c r="BK392" i="9"/>
  <c r="BK549" i="9"/>
  <c r="AE752" i="9"/>
  <c r="BJ608" i="9"/>
  <c r="BJ890" i="9" s="1"/>
  <c r="BK199" i="9"/>
  <c r="BK538" i="9"/>
  <c r="BK183" i="9"/>
  <c r="AE280" i="3"/>
  <c r="AE46" i="20"/>
  <c r="AE16" i="30" s="1"/>
  <c r="BK548" i="9"/>
  <c r="BK373" i="9"/>
  <c r="BK456" i="9"/>
  <c r="BK365" i="9"/>
  <c r="BK448" i="9"/>
  <c r="BK213" i="9"/>
  <c r="AF173" i="3"/>
  <c r="AF196" i="3" s="1"/>
  <c r="BK543" i="9"/>
  <c r="BK278" i="9"/>
  <c r="AE728" i="9"/>
  <c r="AE239" i="3"/>
  <c r="AE723" i="9"/>
  <c r="AE234" i="3"/>
  <c r="BK536" i="9"/>
  <c r="BK145" i="9"/>
  <c r="AE759" i="9"/>
  <c r="BJ1007" i="9"/>
  <c r="BJ516" i="9"/>
  <c r="BK190" i="9"/>
  <c r="BJ196" i="9"/>
  <c r="AF162" i="3"/>
  <c r="AF185" i="3" s="1"/>
  <c r="AE53" i="20"/>
  <c r="AE17" i="30" s="1"/>
  <c r="AE52" i="30"/>
  <c r="AE54" i="30" s="1"/>
  <c r="AE41" i="6"/>
  <c r="AE44" i="6" s="1"/>
  <c r="AE164" i="20"/>
  <c r="AF5" i="11"/>
  <c r="AF60" i="3"/>
  <c r="AF52" i="3"/>
  <c r="AF54" i="3"/>
  <c r="AF62" i="3"/>
  <c r="AF108" i="3" s="1"/>
  <c r="AF49" i="3"/>
  <c r="AF95" i="3" s="1"/>
  <c r="AF61" i="3"/>
  <c r="AF56" i="3"/>
  <c r="AF51" i="3"/>
  <c r="AF46" i="3"/>
  <c r="AF55" i="3"/>
  <c r="AF53" i="3"/>
  <c r="AF47" i="3"/>
  <c r="AF93" i="3" s="1"/>
  <c r="AF59" i="3"/>
  <c r="AF105" i="3" s="1"/>
  <c r="AF58" i="3"/>
  <c r="AF104" i="3" s="1"/>
  <c r="AF57" i="3"/>
  <c r="AF103" i="3" s="1"/>
  <c r="AF50" i="3"/>
  <c r="AF96" i="3" s="1"/>
  <c r="AF48" i="3"/>
  <c r="AF94" i="3" s="1"/>
  <c r="AF64" i="3"/>
  <c r="AF110" i="3" s="1"/>
  <c r="AF63" i="3"/>
  <c r="AF45" i="3"/>
  <c r="AF5" i="35"/>
  <c r="AF5" i="33"/>
  <c r="AG5" i="12"/>
  <c r="AF5" i="32"/>
  <c r="AF5" i="30"/>
  <c r="AF5" i="38"/>
  <c r="AF5" i="6"/>
  <c r="AF5" i="9"/>
  <c r="AF5" i="26"/>
  <c r="AF5" i="16"/>
  <c r="AF5" i="22"/>
  <c r="AF5" i="20"/>
  <c r="AF5" i="1"/>
  <c r="AF5" i="28"/>
  <c r="AF120" i="3"/>
  <c r="AF116" i="3"/>
  <c r="AF129" i="3"/>
  <c r="AF126" i="3"/>
  <c r="AF131" i="3"/>
  <c r="AF124" i="3"/>
  <c r="AF122" i="3"/>
  <c r="AF117" i="3"/>
  <c r="AF119" i="3"/>
  <c r="AF115" i="3"/>
  <c r="AF114" i="3"/>
  <c r="AF132" i="3"/>
  <c r="AF127" i="3"/>
  <c r="AF125" i="3"/>
  <c r="AF123" i="3"/>
  <c r="AF118" i="3"/>
  <c r="AF133" i="3"/>
  <c r="AF128" i="3"/>
  <c r="AF130" i="3"/>
  <c r="AF121" i="3"/>
  <c r="BK545" i="9"/>
  <c r="BK316" i="9"/>
  <c r="AF170" i="3"/>
  <c r="AF193" i="3" s="1"/>
  <c r="BK327" i="9"/>
  <c r="BK454" i="9"/>
  <c r="AF172" i="3"/>
  <c r="AF195" i="3" s="1"/>
  <c r="BJ1013" i="9"/>
  <c r="BJ522" i="9"/>
  <c r="BK304" i="9"/>
  <c r="BJ310" i="9"/>
  <c r="AE285" i="3"/>
  <c r="AE724" i="9"/>
  <c r="AE235" i="3"/>
  <c r="AF174" i="3"/>
  <c r="AF197" i="3" s="1"/>
  <c r="AE96" i="20"/>
  <c r="AE25" i="30"/>
  <c r="AE23" i="30"/>
  <c r="AE179" i="20"/>
  <c r="BK445" i="9"/>
  <c r="BK156" i="9"/>
  <c r="BJ1006" i="9"/>
  <c r="BJ515" i="9"/>
  <c r="BK171" i="9"/>
  <c r="BJ177" i="9"/>
  <c r="AF165" i="3"/>
  <c r="AF188" i="3" s="1"/>
  <c r="BJ611" i="9"/>
  <c r="BJ893" i="9" s="1"/>
  <c r="BK256" i="9"/>
  <c r="BK535" i="9"/>
  <c r="BK126" i="9"/>
  <c r="AF178" i="3"/>
  <c r="AF201" i="3" s="1"/>
  <c r="AF164" i="3"/>
  <c r="AF187" i="3" s="1"/>
  <c r="CD172" i="3"/>
  <c r="BJ1001" i="9"/>
  <c r="BJ510" i="9"/>
  <c r="BJ82" i="9"/>
  <c r="BK76" i="9"/>
  <c r="AE281" i="3"/>
  <c r="BK450" i="9"/>
  <c r="BK251" i="9"/>
  <c r="AE60" i="20"/>
  <c r="AE18" i="30" s="1"/>
  <c r="BJ619" i="9"/>
  <c r="BJ901" i="9" s="1"/>
  <c r="BK408" i="9"/>
  <c r="BK458" i="9"/>
  <c r="BK403" i="9"/>
  <c r="AF179" i="3"/>
  <c r="AF202" i="3" s="1"/>
  <c r="AE733" i="9"/>
  <c r="AE244" i="3"/>
  <c r="BK452" i="9"/>
  <c r="BK289" i="9"/>
  <c r="AF258" i="3"/>
  <c r="AF212" i="3"/>
  <c r="AF724" i="9" s="1"/>
  <c r="BL422" i="9"/>
  <c r="BL459" i="9"/>
  <c r="BK451" i="9"/>
  <c r="BK270" i="9"/>
  <c r="AE289" i="3"/>
  <c r="AF176" i="3"/>
  <c r="AF199" i="3" s="1"/>
  <c r="AE38" i="20"/>
  <c r="AE15" i="30" s="1"/>
  <c r="BJ1002" i="9"/>
  <c r="BJ511" i="9"/>
  <c r="BJ101" i="9"/>
  <c r="BK95" i="9"/>
  <c r="AE23" i="20"/>
  <c r="AE114" i="20"/>
  <c r="AC47" i="30"/>
  <c r="AC38" i="30"/>
  <c r="AE74" i="20"/>
  <c r="AE19" i="30" s="1"/>
  <c r="AD141" i="20"/>
  <c r="AD146" i="20" s="1"/>
  <c r="AE290" i="3"/>
  <c r="AB82" i="35"/>
  <c r="AB67" i="33"/>
  <c r="AB69" i="33" s="1"/>
  <c r="AB31" i="32"/>
  <c r="AB27" i="32"/>
  <c r="AB208" i="30"/>
  <c r="AB92" i="33" s="1"/>
  <c r="CD166" i="3"/>
  <c r="CD173" i="3"/>
  <c r="CE8" i="3"/>
  <c r="CD12" i="3"/>
  <c r="CD3" i="3" s="1"/>
  <c r="CD41" i="3"/>
  <c r="CD24" i="3"/>
  <c r="CD5" i="3"/>
  <c r="BJ616" i="9"/>
  <c r="BJ898" i="9" s="1"/>
  <c r="BK351" i="9"/>
  <c r="BK457" i="9"/>
  <c r="BK384" i="9"/>
  <c r="AF171" i="3"/>
  <c r="AF194" i="3" s="1"/>
  <c r="BJ603" i="9"/>
  <c r="BJ885" i="9" s="1"/>
  <c r="BK104" i="9"/>
  <c r="AE823" i="9"/>
  <c r="AE824" i="9"/>
  <c r="AE816" i="9"/>
  <c r="AE825" i="9"/>
  <c r="AE822" i="9"/>
  <c r="AE814" i="9"/>
  <c r="AE829" i="9"/>
  <c r="AE819" i="9"/>
  <c r="AE818" i="9"/>
  <c r="AE817" i="9"/>
  <c r="AE815" i="9"/>
  <c r="AE813" i="9"/>
  <c r="AE828" i="9"/>
  <c r="AE812" i="9"/>
  <c r="AE811" i="9"/>
  <c r="AE810" i="9"/>
  <c r="AE827" i="9"/>
  <c r="AE826" i="9"/>
  <c r="AE821" i="9"/>
  <c r="AE820" i="9"/>
  <c r="AA96" i="33"/>
  <c r="AA101" i="33" s="1"/>
  <c r="AA104" i="33" s="1"/>
  <c r="AB211" i="30"/>
  <c r="AA214" i="30"/>
  <c r="AA217" i="30" s="1"/>
  <c r="AA83" i="6"/>
  <c r="BK443" i="9"/>
  <c r="BK118" i="9"/>
  <c r="CD175" i="3"/>
  <c r="AE732" i="9"/>
  <c r="AE243" i="3"/>
  <c r="AF167" i="3"/>
  <c r="AF190" i="3" s="1"/>
  <c r="AE44" i="30"/>
  <c r="AE154" i="20"/>
  <c r="BK609" i="9"/>
  <c r="BK891" i="9" s="1"/>
  <c r="BL218" i="9"/>
  <c r="AF169" i="3"/>
  <c r="AF192" i="3" s="1"/>
  <c r="AE749" i="9"/>
  <c r="AF160" i="3"/>
  <c r="AF183" i="3" s="1"/>
  <c r="AC28" i="32"/>
  <c r="AC33" i="32"/>
  <c r="BK449" i="9"/>
  <c r="BK232" i="9"/>
  <c r="AE131" i="20"/>
  <c r="AE132" i="20" s="1"/>
  <c r="AE28" i="30" s="1"/>
  <c r="AE26" i="32" s="1"/>
  <c r="AE25" i="35" s="1"/>
  <c r="AF177" i="3"/>
  <c r="AF200" i="3" s="1"/>
  <c r="AD24" i="30"/>
  <c r="CC205" i="26"/>
  <c r="CC85" i="26"/>
  <c r="CC141" i="26"/>
  <c r="CC124" i="26"/>
  <c r="CC150" i="26"/>
  <c r="CC91" i="26"/>
  <c r="CC88" i="26"/>
  <c r="CC120" i="26"/>
  <c r="CC176" i="26"/>
  <c r="CC181" i="26"/>
  <c r="CC201" i="26"/>
  <c r="CC144" i="26"/>
  <c r="CC197" i="26"/>
  <c r="CC73" i="26"/>
  <c r="CC140" i="26"/>
  <c r="CC117" i="26"/>
  <c r="CC148" i="26"/>
  <c r="CC184" i="26"/>
  <c r="CC69" i="26"/>
  <c r="CC115" i="26"/>
  <c r="CC203" i="26"/>
  <c r="CC180" i="26"/>
  <c r="CC206" i="26"/>
  <c r="CC208" i="26"/>
  <c r="CC139" i="26"/>
  <c r="CC65" i="26"/>
  <c r="CC123" i="26"/>
  <c r="CC87" i="26"/>
  <c r="CC118" i="26"/>
  <c r="CC146" i="26"/>
  <c r="CC177" i="26"/>
  <c r="CC92" i="26"/>
  <c r="CC178" i="26"/>
  <c r="CC174" i="26"/>
  <c r="CC202" i="26"/>
  <c r="CC200" i="26"/>
  <c r="CC121" i="26"/>
  <c r="CC138" i="26"/>
  <c r="CC96" i="26"/>
  <c r="CC67" i="26"/>
  <c r="CC111" i="26"/>
  <c r="CC143" i="26"/>
  <c r="CC137" i="26"/>
  <c r="CC86" i="26"/>
  <c r="CC183" i="26"/>
  <c r="CC171" i="26"/>
  <c r="CC175" i="26"/>
  <c r="CC113" i="26"/>
  <c r="CC116" i="26"/>
  <c r="CC90" i="26"/>
  <c r="CC61" i="26"/>
  <c r="CC94" i="26"/>
  <c r="CC119" i="26"/>
  <c r="CC95" i="26"/>
  <c r="CC70" i="26"/>
  <c r="CC209" i="26"/>
  <c r="CC172" i="26"/>
  <c r="CC149" i="26"/>
  <c r="CC97" i="26"/>
  <c r="CC99" i="26"/>
  <c r="CC71" i="26"/>
  <c r="CC72" i="26"/>
  <c r="CC74" i="26"/>
  <c r="CC114" i="26"/>
  <c r="CC63" i="26"/>
  <c r="CC60" i="26"/>
  <c r="CC195" i="26"/>
  <c r="CC182" i="26"/>
  <c r="CC204" i="26"/>
  <c r="CC93" i="26"/>
  <c r="CC66" i="26"/>
  <c r="CC151" i="26"/>
  <c r="CC68" i="26"/>
  <c r="CC147" i="26"/>
  <c r="CC112" i="26"/>
  <c r="CC145" i="26"/>
  <c r="CC62" i="26"/>
  <c r="CC199" i="26"/>
  <c r="CC198" i="26"/>
  <c r="CC196" i="26"/>
  <c r="CC89" i="26"/>
  <c r="CC64" i="26"/>
  <c r="CC142" i="26"/>
  <c r="CC173" i="26"/>
  <c r="CC125" i="26"/>
  <c r="CC98" i="26"/>
  <c r="CC122" i="26"/>
  <c r="CC179" i="26"/>
  <c r="CC185" i="26"/>
  <c r="CC207" i="26"/>
  <c r="BJ615" i="9"/>
  <c r="BJ897" i="9" s="1"/>
  <c r="BK332" i="9"/>
  <c r="AF161" i="3"/>
  <c r="AF184" i="3" s="1"/>
  <c r="BK440" i="9"/>
  <c r="BK61" i="9"/>
  <c r="AE722" i="9"/>
  <c r="AE233" i="3"/>
  <c r="AF4" i="11"/>
  <c r="AF22" i="3"/>
  <c r="AF30" i="3"/>
  <c r="AF16" i="3"/>
  <c r="AF4" i="35"/>
  <c r="AF4" i="33"/>
  <c r="AG4" i="12"/>
  <c r="AF4" i="32"/>
  <c r="AF4" i="30"/>
  <c r="AF4" i="38"/>
  <c r="AF4" i="6"/>
  <c r="AF4" i="9"/>
  <c r="AF4" i="26"/>
  <c r="AF4" i="16"/>
  <c r="AF4" i="22"/>
  <c r="AF4" i="20"/>
  <c r="AF4" i="1"/>
  <c r="AF4" i="28"/>
  <c r="AF20" i="3"/>
  <c r="CC18" i="3"/>
  <c r="AE748" i="9"/>
  <c r="BJ602" i="9"/>
  <c r="BJ884" i="9" s="1"/>
  <c r="BK85" i="9"/>
  <c r="AE719" i="9"/>
  <c r="AE230" i="3"/>
  <c r="E173" i="23"/>
  <c r="E170" i="23" a="1"/>
  <c r="AE45" i="30" l="1"/>
  <c r="AF73" i="3"/>
  <c r="AG146" i="3"/>
  <c r="AG138" i="3"/>
  <c r="AF87" i="3"/>
  <c r="AG152" i="3"/>
  <c r="AG175" i="3" s="1"/>
  <c r="AG198" i="3" s="1"/>
  <c r="AG155" i="3"/>
  <c r="AG140" i="3"/>
  <c r="AG148" i="3"/>
  <c r="AG144" i="3"/>
  <c r="AG167" i="3" s="1"/>
  <c r="AG151" i="3"/>
  <c r="AG174" i="3" s="1"/>
  <c r="AG197" i="3" s="1"/>
  <c r="AG154" i="3"/>
  <c r="AG177" i="3" s="1"/>
  <c r="AG200" i="3" s="1"/>
  <c r="AG145" i="3"/>
  <c r="AG147" i="3"/>
  <c r="AG170" i="3" s="1"/>
  <c r="AF80" i="3"/>
  <c r="AD80" i="33"/>
  <c r="AG139" i="3"/>
  <c r="AG162" i="3" s="1"/>
  <c r="AG142" i="3"/>
  <c r="AG165" i="3" s="1"/>
  <c r="AG188" i="3" s="1"/>
  <c r="AG143" i="3"/>
  <c r="AG153" i="3"/>
  <c r="AG176" i="3" s="1"/>
  <c r="AG149" i="3"/>
  <c r="AE742" i="9"/>
  <c r="AG156" i="3"/>
  <c r="AG179" i="3" s="1"/>
  <c r="AG202" i="3" s="1"/>
  <c r="AE751" i="9"/>
  <c r="AE747" i="9"/>
  <c r="AB212" i="30"/>
  <c r="AC211" i="30" s="1"/>
  <c r="AF206" i="3"/>
  <c r="AF252" i="3"/>
  <c r="AF268" i="3"/>
  <c r="AF222" i="3"/>
  <c r="AF214" i="3"/>
  <c r="AF260" i="3"/>
  <c r="AE72" i="30"/>
  <c r="AE74" i="30" s="1"/>
  <c r="AF40" i="6"/>
  <c r="AE12" i="6"/>
  <c r="AF265" i="3"/>
  <c r="AF219" i="3"/>
  <c r="AF208" i="3"/>
  <c r="AF254" i="3"/>
  <c r="AF261" i="3"/>
  <c r="AF284" i="3" s="1"/>
  <c r="AF215" i="3"/>
  <c r="AF211" i="3"/>
  <c r="AF257" i="3"/>
  <c r="AF262" i="3"/>
  <c r="AF216" i="3"/>
  <c r="AF259" i="3"/>
  <c r="AF213" i="3"/>
  <c r="AF224" i="3"/>
  <c r="AF270" i="3"/>
  <c r="AF220" i="3"/>
  <c r="AF266" i="3"/>
  <c r="AF289" i="3" s="1"/>
  <c r="AA19" i="32"/>
  <c r="AA85" i="30"/>
  <c r="AA88" i="30" s="1"/>
  <c r="AA14" i="6"/>
  <c r="BK534" i="9"/>
  <c r="BK107" i="9"/>
  <c r="AF281" i="3"/>
  <c r="AF800" i="9"/>
  <c r="AF804" i="9"/>
  <c r="AF102" i="3"/>
  <c r="AF79" i="3"/>
  <c r="BK605" i="9"/>
  <c r="BK887" i="9" s="1"/>
  <c r="BL142" i="9"/>
  <c r="BK617" i="9"/>
  <c r="BK899" i="9" s="1"/>
  <c r="BL370" i="9"/>
  <c r="AF72" i="3"/>
  <c r="AG166" i="3"/>
  <c r="AG189" i="3" s="1"/>
  <c r="AG161" i="3"/>
  <c r="AG184" i="3" s="1"/>
  <c r="AF71" i="3"/>
  <c r="CD28" i="3"/>
  <c r="CD26" i="3"/>
  <c r="AF721" i="9"/>
  <c r="AF232" i="3"/>
  <c r="AF180" i="20" a="1"/>
  <c r="AF180" i="20" s="1"/>
  <c r="AF162" i="20" a="1"/>
  <c r="AF162" i="20" s="1"/>
  <c r="AF153" i="20" a="1"/>
  <c r="AF153" i="20" s="1"/>
  <c r="AF150" i="20" a="1"/>
  <c r="AF150" i="20" s="1"/>
  <c r="AF41" i="30" s="1"/>
  <c r="AF129" i="20" a="1"/>
  <c r="AF129" i="20" s="1"/>
  <c r="AF130" i="20" a="1"/>
  <c r="AF130" i="20" s="1"/>
  <c r="AF127" i="20" a="1"/>
  <c r="AF127" i="20" s="1"/>
  <c r="AF135" i="20" a="1"/>
  <c r="AF135" i="20" s="1"/>
  <c r="AF137" i="20" s="1"/>
  <c r="AF29" i="30" s="1"/>
  <c r="AF128" i="20" a="1"/>
  <c r="AF128" i="20" s="1"/>
  <c r="AF122" i="20" a="1"/>
  <c r="AF122" i="20" s="1"/>
  <c r="AF118" i="20" a="1"/>
  <c r="AF118" i="20" s="1"/>
  <c r="AF124" i="20" a="1"/>
  <c r="AF124" i="20" s="1"/>
  <c r="AF123" i="20" a="1"/>
  <c r="AF123" i="20" s="1"/>
  <c r="AF125" i="20" a="1"/>
  <c r="AF125" i="20" s="1"/>
  <c r="AF120" i="20" a="1"/>
  <c r="AF120" i="20" s="1"/>
  <c r="AF121" i="20" a="1"/>
  <c r="AF121" i="20" s="1"/>
  <c r="AF117" i="20" a="1"/>
  <c r="AF117" i="20" s="1"/>
  <c r="AF119" i="20" a="1"/>
  <c r="AF119" i="20" s="1"/>
  <c r="AF108" i="20" a="1"/>
  <c r="AF108" i="20" s="1"/>
  <c r="AF112" i="20" a="1"/>
  <c r="AF112" i="20" s="1"/>
  <c r="AF105" i="20" a="1"/>
  <c r="AF105" i="20" s="1"/>
  <c r="AF109" i="20" a="1"/>
  <c r="AF109" i="20" s="1"/>
  <c r="AF110" i="20" a="1"/>
  <c r="AF110" i="20" s="1"/>
  <c r="AF106" i="20" a="1"/>
  <c r="AF106" i="20" s="1"/>
  <c r="AF111" i="20" a="1"/>
  <c r="AF111" i="20" s="1"/>
  <c r="AF107" i="20" a="1"/>
  <c r="AF107" i="20" s="1"/>
  <c r="AF94" i="20" a="1"/>
  <c r="AF94" i="20" s="1"/>
  <c r="AF89" i="20" a="1"/>
  <c r="AF89" i="20" s="1"/>
  <c r="AF84" i="20" a="1"/>
  <c r="AF84" i="20" s="1"/>
  <c r="AF80" i="20" a="1"/>
  <c r="AF80" i="20" s="1"/>
  <c r="AF71" i="20" a="1"/>
  <c r="AF71" i="20" s="1"/>
  <c r="AF67" i="20" a="1"/>
  <c r="AF67" i="20" s="1"/>
  <c r="AF50" i="20" a="1"/>
  <c r="AF50" i="20" s="1"/>
  <c r="AF98" i="20" a="1"/>
  <c r="AF98" i="20" s="1"/>
  <c r="AF100" i="20" s="1"/>
  <c r="AF95" i="20" a="1"/>
  <c r="AF95" i="20" s="1"/>
  <c r="AF81" i="20" a="1"/>
  <c r="AF81" i="20" s="1"/>
  <c r="AF77" i="20" a="1"/>
  <c r="AF77" i="20" s="1"/>
  <c r="AF72" i="20" a="1"/>
  <c r="AF72" i="20" s="1"/>
  <c r="AF68" i="20" a="1"/>
  <c r="AF68" i="20" s="1"/>
  <c r="AF64" i="20" a="1"/>
  <c r="AF64" i="20" s="1"/>
  <c r="AF58" i="20" a="1"/>
  <c r="AF58" i="20" s="1"/>
  <c r="AF51" i="20" a="1"/>
  <c r="AF51" i="20" s="1"/>
  <c r="AF43" i="20" a="1"/>
  <c r="AF43" i="20" s="1"/>
  <c r="AF35" i="20" a="1"/>
  <c r="AF35" i="20" s="1"/>
  <c r="AF27" i="20" a="1"/>
  <c r="AF27" i="20" s="1"/>
  <c r="AF19" i="20" a="1"/>
  <c r="AF19" i="20" s="1"/>
  <c r="AF11" i="20" a="1"/>
  <c r="AF11" i="20" s="1"/>
  <c r="AF44" i="20" a="1"/>
  <c r="AF44" i="20" s="1"/>
  <c r="AF82" i="20" a="1"/>
  <c r="AF82" i="20" s="1"/>
  <c r="AF78" i="20" a="1"/>
  <c r="AF78" i="20" s="1"/>
  <c r="AF73" i="20" a="1"/>
  <c r="AF73" i="20" s="1"/>
  <c r="AF69" i="20" a="1"/>
  <c r="AF69" i="20" s="1"/>
  <c r="AF65" i="20" a="1"/>
  <c r="AF65" i="20" s="1"/>
  <c r="AF54" i="20" a="1"/>
  <c r="AF54" i="20" s="1"/>
  <c r="AF52" i="20" a="1"/>
  <c r="AF52" i="20" s="1"/>
  <c r="AF59" i="20" a="1"/>
  <c r="AF59" i="20" s="1"/>
  <c r="AF93" i="20" a="1"/>
  <c r="AF93" i="20" s="1"/>
  <c r="AF88" i="20" a="1"/>
  <c r="AF88" i="20" s="1"/>
  <c r="AF83" i="20" a="1"/>
  <c r="AF83" i="20" s="1"/>
  <c r="AF79" i="20" a="1"/>
  <c r="AF79" i="20" s="1"/>
  <c r="AF70" i="20" a="1"/>
  <c r="AF70" i="20" s="1"/>
  <c r="AF66" i="20" a="1"/>
  <c r="AF66" i="20" s="1"/>
  <c r="AF47" i="20" a="1"/>
  <c r="AF47" i="20" s="1"/>
  <c r="AF61" i="20" a="1"/>
  <c r="AF61" i="20" s="1"/>
  <c r="AF57" i="20" a="1"/>
  <c r="AF57" i="20" s="1"/>
  <c r="AF17" i="20" a="1"/>
  <c r="AF17" i="20" s="1"/>
  <c r="AF22" i="20" a="1"/>
  <c r="AF22" i="20" s="1"/>
  <c r="AF18" i="20" a="1"/>
  <c r="AF18" i="20" s="1"/>
  <c r="AF33" i="20" a="1"/>
  <c r="AF33" i="20" s="1"/>
  <c r="AF20" i="20" a="1"/>
  <c r="AF20" i="20" s="1"/>
  <c r="AF34" i="20" a="1"/>
  <c r="AF34" i="20" s="1"/>
  <c r="AF42" i="20" a="1"/>
  <c r="AF42" i="20" s="1"/>
  <c r="AF39" i="20" a="1"/>
  <c r="AF39" i="20" s="1"/>
  <c r="AF24" i="20" a="1"/>
  <c r="AF24" i="20" s="1"/>
  <c r="AF45" i="20" a="1"/>
  <c r="AF45" i="20" s="1"/>
  <c r="AF37" i="20" a="1"/>
  <c r="AF37" i="20" s="1"/>
  <c r="AF36" i="20" a="1"/>
  <c r="AF36" i="20" s="1"/>
  <c r="AF28" i="20" a="1"/>
  <c r="AF28" i="20" s="1"/>
  <c r="AF21" i="20" a="1"/>
  <c r="AF21" i="20" s="1"/>
  <c r="AF14" i="20" a="1"/>
  <c r="AF14" i="20" s="1"/>
  <c r="AF30" i="20" a="1"/>
  <c r="AF30" i="20" s="1"/>
  <c r="AF12" i="20" a="1"/>
  <c r="AF12" i="20" s="1"/>
  <c r="AC136" i="30"/>
  <c r="AC137" i="30" s="1"/>
  <c r="AD256" i="6"/>
  <c r="BR5" i="11"/>
  <c r="CD63" i="3"/>
  <c r="CD109" i="3" s="1"/>
  <c r="CD55" i="3"/>
  <c r="CD101" i="3" s="1"/>
  <c r="CD47" i="3"/>
  <c r="CD93" i="3" s="1"/>
  <c r="CD60" i="3"/>
  <c r="CD106" i="3" s="1"/>
  <c r="CD50" i="3"/>
  <c r="CD96" i="3" s="1"/>
  <c r="CD58" i="3"/>
  <c r="CD104" i="3" s="1"/>
  <c r="CD62" i="3"/>
  <c r="CD108" i="3" s="1"/>
  <c r="CD56" i="3"/>
  <c r="CD102" i="3" s="1"/>
  <c r="CD48" i="3"/>
  <c r="CD94" i="3" s="1"/>
  <c r="CD45" i="3"/>
  <c r="CD91" i="3" s="1"/>
  <c r="CD59" i="3"/>
  <c r="CD105" i="3" s="1"/>
  <c r="CD54" i="3"/>
  <c r="CD100" i="3" s="1"/>
  <c r="CD52" i="3"/>
  <c r="CD98" i="3" s="1"/>
  <c r="CD57" i="3"/>
  <c r="CD103" i="3" s="1"/>
  <c r="CD61" i="3"/>
  <c r="CD107" i="3" s="1"/>
  <c r="CD46" i="3"/>
  <c r="CD92" i="3" s="1"/>
  <c r="CD64" i="3"/>
  <c r="CD110" i="3" s="1"/>
  <c r="CD49" i="3"/>
  <c r="CD95" i="3" s="1"/>
  <c r="CD51" i="3"/>
  <c r="CD97" i="3" s="1"/>
  <c r="CD53" i="3"/>
  <c r="CD99" i="3" s="1"/>
  <c r="CD5" i="35"/>
  <c r="CD5" i="33"/>
  <c r="CE5" i="12"/>
  <c r="CD5" i="32"/>
  <c r="CD5" i="30"/>
  <c r="CD5" i="38"/>
  <c r="CD5" i="6"/>
  <c r="CD5" i="9"/>
  <c r="CD5" i="26"/>
  <c r="CD5" i="16"/>
  <c r="CD5" i="22"/>
  <c r="CD5" i="20"/>
  <c r="CD5" i="1"/>
  <c r="CD5" i="28"/>
  <c r="CD131" i="3"/>
  <c r="CD129" i="3"/>
  <c r="CD123" i="3"/>
  <c r="CD122" i="3"/>
  <c r="CD120" i="3"/>
  <c r="CD115" i="3"/>
  <c r="CD128" i="3"/>
  <c r="CD119" i="3"/>
  <c r="CD130" i="3"/>
  <c r="CD121" i="3"/>
  <c r="CD127" i="3"/>
  <c r="CD117" i="3"/>
  <c r="CD125" i="3"/>
  <c r="CD116" i="3"/>
  <c r="CD133" i="3"/>
  <c r="CD118" i="3"/>
  <c r="CD132" i="3"/>
  <c r="CD114" i="3"/>
  <c r="CD126" i="3"/>
  <c r="CD124" i="3"/>
  <c r="BK1010" i="9"/>
  <c r="BK519" i="9"/>
  <c r="BK253" i="9"/>
  <c r="BL247" i="9"/>
  <c r="BK446" i="9"/>
  <c r="BK175" i="9"/>
  <c r="AF794" i="9"/>
  <c r="AF805" i="9"/>
  <c r="AF799" i="9"/>
  <c r="AF107" i="3"/>
  <c r="AF84" i="3"/>
  <c r="AF98" i="3"/>
  <c r="AF75" i="3"/>
  <c r="BK539" i="9"/>
  <c r="BK202" i="9"/>
  <c r="AE13" i="30"/>
  <c r="AE102" i="20"/>
  <c r="AG163" i="3"/>
  <c r="AG186" i="3" s="1"/>
  <c r="AE750" i="9"/>
  <c r="AF278" i="3"/>
  <c r="AC54" i="33"/>
  <c r="AC148" i="30"/>
  <c r="AC180" i="30" s="1"/>
  <c r="AC56" i="30"/>
  <c r="AC58" i="30" s="1"/>
  <c r="BK442" i="9"/>
  <c r="BK99" i="9"/>
  <c r="AF225" i="3"/>
  <c r="AF271" i="3"/>
  <c r="AF210" i="3"/>
  <c r="AF256" i="3"/>
  <c r="AF279" i="3" s="1"/>
  <c r="BK542" i="9"/>
  <c r="BK259" i="9"/>
  <c r="AF235" i="3"/>
  <c r="AF747" i="9" s="1"/>
  <c r="AF218" i="3"/>
  <c r="AF264" i="3"/>
  <c r="AF803" i="9"/>
  <c r="AF787" i="9"/>
  <c r="AF802" i="9"/>
  <c r="AF199" i="26"/>
  <c r="AF139" i="26"/>
  <c r="AF61" i="26"/>
  <c r="AF123" i="26"/>
  <c r="AF72" i="26"/>
  <c r="AF138" i="26"/>
  <c r="AF149" i="26"/>
  <c r="AF120" i="26"/>
  <c r="AF65" i="26"/>
  <c r="AF200" i="26"/>
  <c r="AF172" i="26"/>
  <c r="AF196" i="26"/>
  <c r="AF125" i="26"/>
  <c r="AF182" i="26"/>
  <c r="AF90" i="26"/>
  <c r="AF67" i="26"/>
  <c r="AF119" i="26"/>
  <c r="AF144" i="26"/>
  <c r="AF92" i="26"/>
  <c r="AF64" i="26"/>
  <c r="AF184" i="26"/>
  <c r="AF175" i="26"/>
  <c r="AF202" i="26"/>
  <c r="AF117" i="26"/>
  <c r="AF147" i="26"/>
  <c r="AF137" i="26"/>
  <c r="AF145" i="26"/>
  <c r="AF113" i="26"/>
  <c r="AF142" i="26"/>
  <c r="AF89" i="26"/>
  <c r="AF71" i="26"/>
  <c r="AF198" i="26"/>
  <c r="AF195" i="26"/>
  <c r="AF205" i="26"/>
  <c r="AF99" i="26"/>
  <c r="AF116" i="26"/>
  <c r="AF124" i="26"/>
  <c r="AF94" i="26"/>
  <c r="AF112" i="26"/>
  <c r="AF114" i="26"/>
  <c r="AF70" i="26"/>
  <c r="AF66" i="26"/>
  <c r="AF204" i="26"/>
  <c r="AF180" i="26"/>
  <c r="AF197" i="26"/>
  <c r="AF95" i="26"/>
  <c r="AF96" i="26"/>
  <c r="AF118" i="26"/>
  <c r="AF74" i="26"/>
  <c r="AF88" i="26"/>
  <c r="AF98" i="26"/>
  <c r="AF143" i="26"/>
  <c r="AF60" i="26"/>
  <c r="AF206" i="26"/>
  <c r="AF185" i="26"/>
  <c r="AF177" i="26"/>
  <c r="AF91" i="26"/>
  <c r="AF93" i="26"/>
  <c r="AF111" i="26"/>
  <c r="AF62" i="26"/>
  <c r="AF85" i="26"/>
  <c r="AF63" i="26"/>
  <c r="AF122" i="26"/>
  <c r="AF176" i="26"/>
  <c r="AF208" i="26"/>
  <c r="AF181" i="26"/>
  <c r="AF148" i="26"/>
  <c r="AF174" i="26"/>
  <c r="AF87" i="26"/>
  <c r="AF68" i="26"/>
  <c r="AF97" i="26"/>
  <c r="AF183" i="26"/>
  <c r="AF178" i="26"/>
  <c r="AF150" i="26"/>
  <c r="AF115" i="26"/>
  <c r="AF209" i="26"/>
  <c r="AF207" i="26"/>
  <c r="AF179" i="26"/>
  <c r="AF140" i="26"/>
  <c r="AF151" i="26"/>
  <c r="AF69" i="26"/>
  <c r="AF146" i="26"/>
  <c r="AF73" i="26"/>
  <c r="AF141" i="26"/>
  <c r="AF171" i="26"/>
  <c r="AF121" i="26"/>
  <c r="AF86" i="26"/>
  <c r="AF203" i="26"/>
  <c r="AF173" i="26"/>
  <c r="AF201" i="26"/>
  <c r="AF106" i="3"/>
  <c r="AF83" i="3"/>
  <c r="AE746" i="9"/>
  <c r="BK612" i="9"/>
  <c r="BK894" i="9" s="1"/>
  <c r="BL275" i="9"/>
  <c r="BK537" i="9"/>
  <c r="BK164" i="9"/>
  <c r="AG171" i="3"/>
  <c r="AG194" i="3" s="1"/>
  <c r="AG168" i="3"/>
  <c r="AG191" i="3" s="1"/>
  <c r="AF221" i="3"/>
  <c r="AF267" i="3"/>
  <c r="AF28" i="3"/>
  <c r="AF26" i="3"/>
  <c r="AF269" i="3"/>
  <c r="AF223" i="3"/>
  <c r="AF263" i="3"/>
  <c r="AF217" i="3"/>
  <c r="AE27" i="30"/>
  <c r="AE30" i="30" s="1"/>
  <c r="AE139" i="20"/>
  <c r="BK1018" i="9"/>
  <c r="BK527" i="9"/>
  <c r="BK405" i="9"/>
  <c r="BL399" i="9"/>
  <c r="BK441" i="9"/>
  <c r="BK80" i="9"/>
  <c r="AE22" i="30"/>
  <c r="AE175" i="20"/>
  <c r="AF801" i="9"/>
  <c r="AF788" i="9"/>
  <c r="AF789" i="9"/>
  <c r="AF415" i="9"/>
  <c r="AF263" i="9"/>
  <c r="AF396" i="9"/>
  <c r="AF434" i="9"/>
  <c r="AF168" i="9"/>
  <c r="AF301" i="9"/>
  <c r="AF244" i="9"/>
  <c r="AF149" i="9"/>
  <c r="AF377" i="9"/>
  <c r="AF206" i="9"/>
  <c r="AF282" i="9"/>
  <c r="AF225" i="9"/>
  <c r="AF358" i="9"/>
  <c r="AF187" i="9"/>
  <c r="AF130" i="9"/>
  <c r="AF320" i="9"/>
  <c r="AF111" i="9"/>
  <c r="AF92" i="9"/>
  <c r="AF73" i="9"/>
  <c r="AF339" i="9"/>
  <c r="AF91" i="3"/>
  <c r="AF68" i="3"/>
  <c r="BK447" i="9"/>
  <c r="BK194" i="9"/>
  <c r="AF82" i="3"/>
  <c r="BK1008" i="9"/>
  <c r="BK517" i="9"/>
  <c r="BK215" i="9"/>
  <c r="BL209" i="9"/>
  <c r="BK618" i="9"/>
  <c r="BK900" i="9" s="1"/>
  <c r="BL389" i="9"/>
  <c r="BK532" i="9"/>
  <c r="BK69" i="9"/>
  <c r="AG178" i="3"/>
  <c r="AG201" i="3" s="1"/>
  <c r="BK544" i="9"/>
  <c r="BK297" i="9"/>
  <c r="BK620" i="9"/>
  <c r="BK902" i="9" s="1"/>
  <c r="BL427" i="9"/>
  <c r="BK533" i="9"/>
  <c r="BK88" i="9"/>
  <c r="AD14" i="32"/>
  <c r="AD32" i="30"/>
  <c r="AD36" i="30" s="1"/>
  <c r="BK1017" i="9"/>
  <c r="BK526" i="9"/>
  <c r="BK386" i="9"/>
  <c r="BL380" i="9"/>
  <c r="BR3" i="11"/>
  <c r="CD14" i="3"/>
  <c r="CD3" i="35"/>
  <c r="CD3" i="33"/>
  <c r="CE3" i="12"/>
  <c r="CD3" i="32"/>
  <c r="CD3" i="30"/>
  <c r="CD3" i="38"/>
  <c r="CD3" i="6"/>
  <c r="CD3" i="9"/>
  <c r="CD3" i="26"/>
  <c r="CD3" i="16"/>
  <c r="CD3" i="22"/>
  <c r="CD3" i="20"/>
  <c r="DJ2" i="20" s="1"/>
  <c r="CD3" i="1"/>
  <c r="DN2" i="1" s="1"/>
  <c r="CD3" i="28"/>
  <c r="BK1011" i="9"/>
  <c r="BK520" i="9"/>
  <c r="BK272" i="9"/>
  <c r="BL266" i="9"/>
  <c r="AE756" i="9"/>
  <c r="BK1005" i="9"/>
  <c r="BK514" i="9"/>
  <c r="BL152" i="9"/>
  <c r="BK158" i="9"/>
  <c r="BK453" i="9"/>
  <c r="BK308" i="9"/>
  <c r="AF806" i="9"/>
  <c r="AF792" i="9"/>
  <c r="AF793" i="9"/>
  <c r="AF109" i="3"/>
  <c r="AF86" i="3"/>
  <c r="AF99" i="3"/>
  <c r="AF76" i="3"/>
  <c r="CD176" i="3"/>
  <c r="AE194" i="30"/>
  <c r="AE179" i="30"/>
  <c r="AE65" i="33" s="1"/>
  <c r="AG164" i="3"/>
  <c r="AG187" i="3" s="1"/>
  <c r="AG172" i="3"/>
  <c r="AG195" i="3" s="1"/>
  <c r="BK1004" i="9"/>
  <c r="BK513" i="9"/>
  <c r="BK139" i="9"/>
  <c r="BL133" i="9"/>
  <c r="AF18" i="3"/>
  <c r="CE10" i="3"/>
  <c r="CE138" i="3" s="1"/>
  <c r="AB94" i="33"/>
  <c r="BK550" i="9"/>
  <c r="BK411" i="9"/>
  <c r="AF791" i="9"/>
  <c r="AF790" i="9"/>
  <c r="AF101" i="3"/>
  <c r="AF78" i="3"/>
  <c r="CD160" i="3"/>
  <c r="AG193" i="3"/>
  <c r="AF253" i="3"/>
  <c r="AF276" i="3" s="1"/>
  <c r="AF207" i="3"/>
  <c r="BK546" i="9"/>
  <c r="BK335" i="9"/>
  <c r="AF783" i="9"/>
  <c r="AF779" i="9"/>
  <c r="AF775" i="9"/>
  <c r="AF771" i="9"/>
  <c r="AF767" i="9"/>
  <c r="AF782" i="9"/>
  <c r="AF776" i="9"/>
  <c r="AF777" i="9"/>
  <c r="AF770" i="9"/>
  <c r="AF764" i="9"/>
  <c r="AF765" i="9"/>
  <c r="AF778" i="9"/>
  <c r="AF772" i="9"/>
  <c r="AF773" i="9"/>
  <c r="AF766" i="9"/>
  <c r="AF780" i="9"/>
  <c r="AF781" i="9"/>
  <c r="AF774" i="9"/>
  <c r="AF768" i="9"/>
  <c r="AF769" i="9"/>
  <c r="AF711" i="9"/>
  <c r="AF703" i="9"/>
  <c r="AF695" i="9"/>
  <c r="AF699" i="9"/>
  <c r="AF706" i="9"/>
  <c r="AF701" i="9"/>
  <c r="AF696" i="9"/>
  <c r="AF713" i="9"/>
  <c r="AF710" i="9"/>
  <c r="AF708" i="9"/>
  <c r="AF705" i="9"/>
  <c r="AF698" i="9"/>
  <c r="AF702" i="9"/>
  <c r="AF700" i="9"/>
  <c r="AF697" i="9"/>
  <c r="AF707" i="9"/>
  <c r="AF714" i="9"/>
  <c r="AF712" i="9"/>
  <c r="AF709" i="9"/>
  <c r="AF704" i="9"/>
  <c r="AE745" i="9"/>
  <c r="BK1009" i="9"/>
  <c r="BK518" i="9"/>
  <c r="BL228" i="9"/>
  <c r="BK234" i="9"/>
  <c r="AE755" i="9"/>
  <c r="BK1003" i="9"/>
  <c r="BK512" i="9"/>
  <c r="BK120" i="9"/>
  <c r="BL114" i="9"/>
  <c r="BK1012" i="9"/>
  <c r="BK521" i="9"/>
  <c r="BK291" i="9"/>
  <c r="BL285" i="9"/>
  <c r="AF81" i="3"/>
  <c r="AF796" i="9"/>
  <c r="AF795" i="9"/>
  <c r="AF92" i="3"/>
  <c r="AF69" i="3"/>
  <c r="AF100" i="3"/>
  <c r="AF77" i="3"/>
  <c r="BK1016" i="9"/>
  <c r="BK525" i="9"/>
  <c r="BK367" i="9"/>
  <c r="BL361" i="9"/>
  <c r="BK607" i="9"/>
  <c r="BK889" i="9" s="1"/>
  <c r="BL180" i="9"/>
  <c r="BK610" i="9"/>
  <c r="BK892" i="9" s="1"/>
  <c r="BL237" i="9"/>
  <c r="AG169" i="3"/>
  <c r="AG192" i="3" s="1"/>
  <c r="AG41" i="3"/>
  <c r="AG5" i="3"/>
  <c r="AH8" i="3"/>
  <c r="AG24" i="3"/>
  <c r="AG12" i="3"/>
  <c r="AG3" i="3" s="1"/>
  <c r="AG4" i="3"/>
  <c r="AF85" i="3"/>
  <c r="BK1000" i="9"/>
  <c r="BK509" i="9"/>
  <c r="BK63" i="9"/>
  <c r="BL57" i="9"/>
  <c r="BL540" i="9"/>
  <c r="BL221" i="9"/>
  <c r="BK547" i="9"/>
  <c r="BK354" i="9"/>
  <c r="AD174" i="20"/>
  <c r="AD181" i="20" s="1"/>
  <c r="AD62" i="30" s="1"/>
  <c r="AD156" i="20"/>
  <c r="AD166" i="20" s="1"/>
  <c r="BL1019" i="9"/>
  <c r="BL528" i="9"/>
  <c r="BM418" i="9"/>
  <c r="BL424" i="9"/>
  <c r="BK604" i="9"/>
  <c r="BK886" i="9" s="1"/>
  <c r="BL123" i="9"/>
  <c r="BK1014" i="9"/>
  <c r="BK523" i="9"/>
  <c r="BK329" i="9"/>
  <c r="BL323" i="9"/>
  <c r="BK614" i="9"/>
  <c r="BK896" i="9" s="1"/>
  <c r="BL313" i="9"/>
  <c r="AF798" i="9"/>
  <c r="AF797" i="9"/>
  <c r="AF97" i="3"/>
  <c r="AF74" i="3"/>
  <c r="AF70" i="3"/>
  <c r="BK455" i="9"/>
  <c r="BK346" i="9"/>
  <c r="AG150" i="3"/>
  <c r="AG137" i="3"/>
  <c r="E170" i="23"/>
  <c r="E168" i="23" a="1"/>
  <c r="AG185" i="3" l="1"/>
  <c r="CE145" i="3"/>
  <c r="CE168" i="3" s="1"/>
  <c r="AG190" i="3"/>
  <c r="CE139" i="3"/>
  <c r="CE141" i="3"/>
  <c r="CE146" i="3"/>
  <c r="CE169" i="3" s="1"/>
  <c r="CE4" i="3"/>
  <c r="CE16" i="3" s="1"/>
  <c r="AG199" i="3"/>
  <c r="AG222" i="3" s="1"/>
  <c r="AG734" i="9" s="1"/>
  <c r="CE137" i="3"/>
  <c r="CE160" i="3" s="1"/>
  <c r="CE144" i="3"/>
  <c r="CE140" i="3"/>
  <c r="CE163" i="3" s="1"/>
  <c r="CE151" i="3"/>
  <c r="AB214" i="30"/>
  <c r="AB217" i="30" s="1"/>
  <c r="AB96" i="33"/>
  <c r="AB101" i="33" s="1"/>
  <c r="AB104" i="33" s="1"/>
  <c r="CE156" i="3"/>
  <c r="CE179" i="3" s="1"/>
  <c r="CE152" i="3"/>
  <c r="CE147" i="3"/>
  <c r="CE170" i="3" s="1"/>
  <c r="CE154" i="3"/>
  <c r="CE177" i="3" s="1"/>
  <c r="AB83" i="6"/>
  <c r="AB85" i="30" s="1"/>
  <c r="AB88" i="30" s="1"/>
  <c r="CE148" i="3"/>
  <c r="CE171" i="3" s="1"/>
  <c r="AF46" i="20"/>
  <c r="AF16" i="30" s="1"/>
  <c r="CE149" i="3"/>
  <c r="CE172" i="3" s="1"/>
  <c r="CE143" i="3"/>
  <c r="CE166" i="3" s="1"/>
  <c r="CE155" i="3"/>
  <c r="CE178" i="3" s="1"/>
  <c r="AF13" i="20"/>
  <c r="AF744" i="9"/>
  <c r="CE150" i="3"/>
  <c r="CE173" i="3" s="1"/>
  <c r="CE153" i="3"/>
  <c r="CE176" i="3" s="1"/>
  <c r="AG255" i="3"/>
  <c r="AG209" i="3"/>
  <c r="AG211" i="3"/>
  <c r="AG257" i="3"/>
  <c r="AG280" i="3" s="1"/>
  <c r="AG269" i="3"/>
  <c r="AG292" i="3" s="1"/>
  <c r="AG223" i="3"/>
  <c r="AG735" i="9" s="1"/>
  <c r="AG264" i="3"/>
  <c r="AG287" i="3" s="1"/>
  <c r="AG218" i="3"/>
  <c r="AG730" i="9" s="1"/>
  <c r="AG260" i="3"/>
  <c r="AG214" i="3"/>
  <c r="AG726" i="9" s="1"/>
  <c r="AG253" i="3"/>
  <c r="AG276" i="3" s="1"/>
  <c r="AG207" i="3"/>
  <c r="AG221" i="3"/>
  <c r="AG733" i="9" s="1"/>
  <c r="AG267" i="3"/>
  <c r="AG290" i="3" s="1"/>
  <c r="AG256" i="3"/>
  <c r="AG279" i="3" s="1"/>
  <c r="AG210" i="3"/>
  <c r="AG217" i="3"/>
  <c r="AG729" i="9" s="1"/>
  <c r="AG263" i="3"/>
  <c r="AG258" i="3"/>
  <c r="AG281" i="3" s="1"/>
  <c r="AG212" i="3"/>
  <c r="BK616" i="9"/>
  <c r="BK898" i="9" s="1"/>
  <c r="BL351" i="9"/>
  <c r="AH10" i="3"/>
  <c r="AH138" i="3" s="1"/>
  <c r="BL449" i="9"/>
  <c r="BL232" i="9"/>
  <c r="AG216" i="3"/>
  <c r="AG728" i="9" s="1"/>
  <c r="AG262" i="3"/>
  <c r="AG285" i="3" s="1"/>
  <c r="BK1015" i="9"/>
  <c r="BK524" i="9"/>
  <c r="BK348" i="9"/>
  <c r="BL342" i="9"/>
  <c r="AG261" i="3"/>
  <c r="AG284" i="3" s="1"/>
  <c r="AG215" i="3"/>
  <c r="BK615" i="9"/>
  <c r="BK897" i="9" s="1"/>
  <c r="BL332" i="9"/>
  <c r="BK619" i="9"/>
  <c r="BK901" i="9" s="1"/>
  <c r="BL408" i="9"/>
  <c r="AG224" i="3"/>
  <c r="AG736" i="9" s="1"/>
  <c r="AG270" i="3"/>
  <c r="BK611" i="9"/>
  <c r="BK893" i="9" s="1"/>
  <c r="BL256" i="9"/>
  <c r="CD203" i="26"/>
  <c r="CD74" i="26"/>
  <c r="CD62" i="26"/>
  <c r="CD150" i="26"/>
  <c r="CD147" i="26"/>
  <c r="CD98" i="26"/>
  <c r="CD120" i="26"/>
  <c r="CD116" i="26"/>
  <c r="CD172" i="26"/>
  <c r="CD198" i="26"/>
  <c r="CD174" i="26"/>
  <c r="CD195" i="26"/>
  <c r="CD66" i="26"/>
  <c r="CD149" i="26"/>
  <c r="CD118" i="26"/>
  <c r="CD125" i="26"/>
  <c r="CD88" i="26"/>
  <c r="CD115" i="26"/>
  <c r="CD99" i="26"/>
  <c r="CD173" i="26"/>
  <c r="CD178" i="26"/>
  <c r="CD185" i="26"/>
  <c r="CD69" i="26"/>
  <c r="CD146" i="26"/>
  <c r="CD96" i="26"/>
  <c r="CD117" i="26"/>
  <c r="CD119" i="26"/>
  <c r="CD95" i="26"/>
  <c r="CD70" i="26"/>
  <c r="CD206" i="26"/>
  <c r="CD207" i="26"/>
  <c r="CD202" i="26"/>
  <c r="CD175" i="26"/>
  <c r="CD141" i="26"/>
  <c r="CD144" i="26"/>
  <c r="CD111" i="26"/>
  <c r="CD91" i="26"/>
  <c r="CD85" i="26"/>
  <c r="CD92" i="26"/>
  <c r="CD65" i="26"/>
  <c r="CD184" i="26"/>
  <c r="CD179" i="26"/>
  <c r="CD181" i="26"/>
  <c r="CD142" i="26"/>
  <c r="CD199" i="26"/>
  <c r="CD176" i="26"/>
  <c r="CD71" i="26"/>
  <c r="CD137" i="26"/>
  <c r="CD114" i="26"/>
  <c r="CD67" i="26"/>
  <c r="CD112" i="26"/>
  <c r="CD121" i="26"/>
  <c r="CD171" i="26"/>
  <c r="CD196" i="26"/>
  <c r="CD148" i="26"/>
  <c r="CD140" i="26"/>
  <c r="CD97" i="26"/>
  <c r="CD180" i="26"/>
  <c r="CD89" i="26"/>
  <c r="CD64" i="26"/>
  <c r="CD204" i="26"/>
  <c r="CD123" i="26"/>
  <c r="CD60" i="26"/>
  <c r="CD200" i="26"/>
  <c r="CD201" i="26"/>
  <c r="CD151" i="26"/>
  <c r="CD124" i="26"/>
  <c r="CD94" i="26"/>
  <c r="CD143" i="26"/>
  <c r="CD177" i="26"/>
  <c r="CD86" i="26"/>
  <c r="CD182" i="26"/>
  <c r="CD183" i="26"/>
  <c r="CD73" i="26"/>
  <c r="CD68" i="26"/>
  <c r="CD145" i="26"/>
  <c r="CD122" i="26"/>
  <c r="CD93" i="26"/>
  <c r="CD87" i="26"/>
  <c r="CD72" i="26"/>
  <c r="CD113" i="26"/>
  <c r="CD63" i="26"/>
  <c r="CD139" i="26"/>
  <c r="CD61" i="26"/>
  <c r="CD197" i="26"/>
  <c r="CD205" i="26"/>
  <c r="CD208" i="26"/>
  <c r="CD90" i="26"/>
  <c r="CD138" i="26"/>
  <c r="CD209" i="26"/>
  <c r="AF25" i="30"/>
  <c r="AF74" i="20"/>
  <c r="AF19" i="30" s="1"/>
  <c r="AF736" i="9"/>
  <c r="AF247" i="3"/>
  <c r="BL440" i="9"/>
  <c r="BL61" i="9"/>
  <c r="AG160" i="3"/>
  <c r="AG183" i="3" s="1"/>
  <c r="AG173" i="3"/>
  <c r="AG196" i="3" s="1"/>
  <c r="BL454" i="9"/>
  <c r="BL327" i="9"/>
  <c r="AG4" i="11"/>
  <c r="AG30" i="3"/>
  <c r="AG16" i="3"/>
  <c r="AG22" i="3"/>
  <c r="AG4" i="35"/>
  <c r="AG4" i="33"/>
  <c r="AH4" i="12"/>
  <c r="AG4" i="32"/>
  <c r="AG4" i="30"/>
  <c r="AG4" i="38"/>
  <c r="AG4" i="6"/>
  <c r="AG4" i="9"/>
  <c r="AG4" i="26"/>
  <c r="AG4" i="16"/>
  <c r="AG4" i="22"/>
  <c r="AG4" i="20"/>
  <c r="AG4" i="1"/>
  <c r="AG4" i="28"/>
  <c r="AG20" i="3"/>
  <c r="BL541" i="9"/>
  <c r="BL240" i="9"/>
  <c r="BL456" i="9"/>
  <c r="BL365" i="9"/>
  <c r="BL452" i="9"/>
  <c r="BL289" i="9"/>
  <c r="CE175" i="3"/>
  <c r="BL444" i="9"/>
  <c r="BL137" i="9"/>
  <c r="BL451" i="9"/>
  <c r="BL270" i="9"/>
  <c r="BL384" i="9"/>
  <c r="BL457" i="9"/>
  <c r="BL551" i="9"/>
  <c r="BL430" i="9"/>
  <c r="BK606" i="9"/>
  <c r="BK888" i="9" s="1"/>
  <c r="BL161" i="9"/>
  <c r="AF287" i="3"/>
  <c r="AF294" i="3"/>
  <c r="BK1006" i="9"/>
  <c r="BK515" i="9"/>
  <c r="BK177" i="9"/>
  <c r="BL171" i="9"/>
  <c r="CD434" i="9"/>
  <c r="CD396" i="9"/>
  <c r="CD244" i="9"/>
  <c r="CD377" i="9"/>
  <c r="CD339" i="9"/>
  <c r="CD282" i="9"/>
  <c r="CD149" i="9"/>
  <c r="CD415" i="9"/>
  <c r="CD225" i="9"/>
  <c r="CD130" i="9"/>
  <c r="CD320" i="9"/>
  <c r="CD263" i="9"/>
  <c r="CD358" i="9"/>
  <c r="CD301" i="9"/>
  <c r="CD187" i="9"/>
  <c r="CD206" i="9"/>
  <c r="CD111" i="9"/>
  <c r="CD92" i="9"/>
  <c r="CD168" i="9"/>
  <c r="CD73" i="9"/>
  <c r="AF725" i="9"/>
  <c r="AF236" i="3"/>
  <c r="AF277" i="3"/>
  <c r="AD257" i="6"/>
  <c r="AD259" i="6" s="1"/>
  <c r="AD170" i="20"/>
  <c r="AD60" i="30" s="1"/>
  <c r="AG3" i="11"/>
  <c r="AG14" i="3"/>
  <c r="AG3" i="35"/>
  <c r="AG3" i="33"/>
  <c r="AH3" i="12"/>
  <c r="AG3" i="32"/>
  <c r="AG3" i="30"/>
  <c r="AG3" i="38"/>
  <c r="AG3" i="6"/>
  <c r="AG3" i="9"/>
  <c r="AG3" i="26"/>
  <c r="AG3" i="16"/>
  <c r="AG3" i="22"/>
  <c r="AG3" i="20"/>
  <c r="AG3" i="1"/>
  <c r="AG3" i="28"/>
  <c r="AG37" i="3"/>
  <c r="BL443" i="9"/>
  <c r="BL118" i="9"/>
  <c r="AF719" i="9"/>
  <c r="AF230" i="3"/>
  <c r="CE161" i="3"/>
  <c r="AG225" i="3"/>
  <c r="AG737" i="9" s="1"/>
  <c r="AG271" i="3"/>
  <c r="AG294" i="3" s="1"/>
  <c r="BK1007" i="9"/>
  <c r="BK516" i="9"/>
  <c r="BL190" i="9"/>
  <c r="BK196" i="9"/>
  <c r="BK1001" i="9"/>
  <c r="BK510" i="9"/>
  <c r="BK82" i="9"/>
  <c r="BL76" i="9"/>
  <c r="AF290" i="3"/>
  <c r="AF730" i="9"/>
  <c r="AF241" i="3"/>
  <c r="AF737" i="9"/>
  <c r="AF248" i="3"/>
  <c r="BK608" i="9"/>
  <c r="BK890" i="9" s="1"/>
  <c r="BL199" i="9"/>
  <c r="AA23" i="32"/>
  <c r="AA112" i="30"/>
  <c r="AA114" i="30"/>
  <c r="AF282" i="3"/>
  <c r="AF720" i="9"/>
  <c r="AF231" i="3"/>
  <c r="AF283" i="3"/>
  <c r="AG283" i="3"/>
  <c r="BL545" i="9"/>
  <c r="BL316" i="9"/>
  <c r="BL535" i="9"/>
  <c r="BL126" i="9"/>
  <c r="BL538" i="9"/>
  <c r="BL183" i="9"/>
  <c r="AF824" i="9"/>
  <c r="AF825" i="9"/>
  <c r="AF817" i="9"/>
  <c r="AF826" i="9"/>
  <c r="AF823" i="9"/>
  <c r="AF815" i="9"/>
  <c r="AF816" i="9"/>
  <c r="AF813" i="9"/>
  <c r="AF828" i="9"/>
  <c r="AF814" i="9"/>
  <c r="AF812" i="9"/>
  <c r="AF811" i="9"/>
  <c r="AF810" i="9"/>
  <c r="AF827" i="9"/>
  <c r="AF822" i="9"/>
  <c r="AF821" i="9"/>
  <c r="AF820" i="9"/>
  <c r="AF829" i="9"/>
  <c r="AF819" i="9"/>
  <c r="AF818" i="9"/>
  <c r="AG220" i="3"/>
  <c r="AG266" i="3"/>
  <c r="AG289" i="3" s="1"/>
  <c r="BL445" i="9"/>
  <c r="BL156" i="9"/>
  <c r="BK613" i="9"/>
  <c r="BK895" i="9" s="1"/>
  <c r="BL294" i="9"/>
  <c r="AF733" i="9"/>
  <c r="AF244" i="3"/>
  <c r="AF722" i="9"/>
  <c r="AF233" i="3"/>
  <c r="BL450" i="9"/>
  <c r="BL251" i="9"/>
  <c r="AF24" i="32"/>
  <c r="AF25" i="32" s="1"/>
  <c r="AF24" i="35" s="1"/>
  <c r="AF38" i="20"/>
  <c r="AF15" i="30" s="1"/>
  <c r="AF29" i="20"/>
  <c r="AF14" i="30" s="1"/>
  <c r="AF85" i="20"/>
  <c r="AF20" i="30" s="1"/>
  <c r="AF114" i="20"/>
  <c r="BL548" i="9"/>
  <c r="BL373" i="9"/>
  <c r="AF728" i="9"/>
  <c r="AF239" i="3"/>
  <c r="AG239" i="3"/>
  <c r="AF731" i="9"/>
  <c r="AF242" i="3"/>
  <c r="AF726" i="9"/>
  <c r="AF237" i="3"/>
  <c r="CE22" i="3"/>
  <c r="CE4" i="33"/>
  <c r="CE4" i="26"/>
  <c r="CE4" i="16"/>
  <c r="CE4" i="22"/>
  <c r="AF729" i="9"/>
  <c r="AF240" i="3"/>
  <c r="BK1002" i="9"/>
  <c r="BK511" i="9"/>
  <c r="BL95" i="9"/>
  <c r="BK101" i="9"/>
  <c r="AF194" i="30"/>
  <c r="AF179" i="30"/>
  <c r="AF65" i="33" s="1"/>
  <c r="AF285" i="3"/>
  <c r="AF288" i="3"/>
  <c r="AF734" i="9"/>
  <c r="AF245" i="3"/>
  <c r="AG5" i="11"/>
  <c r="AG63" i="3"/>
  <c r="AG109" i="3" s="1"/>
  <c r="AG55" i="3"/>
  <c r="AG101" i="3" s="1"/>
  <c r="AG47" i="3"/>
  <c r="AG93" i="3" s="1"/>
  <c r="AG62" i="3"/>
  <c r="AG108" i="3" s="1"/>
  <c r="AG49" i="3"/>
  <c r="AG95" i="3" s="1"/>
  <c r="AG57" i="3"/>
  <c r="AG52" i="3"/>
  <c r="AG98" i="3" s="1"/>
  <c r="AG64" i="3"/>
  <c r="AG59" i="3"/>
  <c r="AG105" i="3" s="1"/>
  <c r="AG46" i="3"/>
  <c r="AG92" i="3" s="1"/>
  <c r="AG53" i="3"/>
  <c r="AG99" i="3" s="1"/>
  <c r="AG51" i="3"/>
  <c r="AG97" i="3" s="1"/>
  <c r="AG58" i="3"/>
  <c r="AG104" i="3" s="1"/>
  <c r="AG56" i="3"/>
  <c r="AG102" i="3" s="1"/>
  <c r="AG54" i="3"/>
  <c r="AG100" i="3" s="1"/>
  <c r="AG50" i="3"/>
  <c r="AG48" i="3"/>
  <c r="AG94" i="3" s="1"/>
  <c r="AG60" i="3"/>
  <c r="AG106" i="3" s="1"/>
  <c r="AG61" i="3"/>
  <c r="AG107" i="3" s="1"/>
  <c r="AG45" i="3"/>
  <c r="AG91" i="3" s="1"/>
  <c r="AG5" i="35"/>
  <c r="AG5" i="33"/>
  <c r="AH5" i="12"/>
  <c r="AG5" i="32"/>
  <c r="AG5" i="30"/>
  <c r="AG5" i="38"/>
  <c r="AG5" i="6"/>
  <c r="AG5" i="9"/>
  <c r="AG5" i="26"/>
  <c r="AG5" i="16"/>
  <c r="AG5" i="22"/>
  <c r="AG5" i="20"/>
  <c r="AG5" i="1"/>
  <c r="AG5" i="28"/>
  <c r="AG132" i="3"/>
  <c r="AG119" i="3"/>
  <c r="AG117" i="3"/>
  <c r="AG127" i="3"/>
  <c r="AG133" i="3"/>
  <c r="AG114" i="3"/>
  <c r="AG130" i="3"/>
  <c r="AG126" i="3"/>
  <c r="AG116" i="3"/>
  <c r="AG122" i="3"/>
  <c r="AG120" i="3"/>
  <c r="AG118" i="3"/>
  <c r="AG131" i="3"/>
  <c r="AG124" i="3"/>
  <c r="AG125" i="3"/>
  <c r="AG123" i="3"/>
  <c r="AG128" i="3"/>
  <c r="AG115" i="3"/>
  <c r="AG129" i="3"/>
  <c r="AG121" i="3"/>
  <c r="AG208" i="3"/>
  <c r="AG720" i="9" s="1"/>
  <c r="AG254" i="3"/>
  <c r="AG277" i="3" s="1"/>
  <c r="CE162" i="3"/>
  <c r="AE77" i="33"/>
  <c r="AE195" i="30"/>
  <c r="AE78" i="33" s="1"/>
  <c r="AD47" i="30"/>
  <c r="AD38" i="30"/>
  <c r="BK601" i="9"/>
  <c r="BK883" i="9" s="1"/>
  <c r="BL66" i="9"/>
  <c r="BL448" i="9"/>
  <c r="BL213" i="9"/>
  <c r="AF286" i="3"/>
  <c r="AG286" i="3"/>
  <c r="BL543" i="9"/>
  <c r="BL278" i="9"/>
  <c r="AG213" i="3"/>
  <c r="AG725" i="9" s="1"/>
  <c r="AG259" i="3"/>
  <c r="AG282" i="3" s="1"/>
  <c r="AF44" i="30"/>
  <c r="AF45" i="30" s="1"/>
  <c r="AF154" i="20"/>
  <c r="BL536" i="9"/>
  <c r="BL145" i="9"/>
  <c r="AF280" i="3"/>
  <c r="AF291" i="3"/>
  <c r="BM422" i="9"/>
  <c r="BM459" i="9"/>
  <c r="BL609" i="9"/>
  <c r="BL891" i="9" s="1"/>
  <c r="BM218" i="9"/>
  <c r="CE174" i="3"/>
  <c r="CE164" i="3"/>
  <c r="CE167" i="3"/>
  <c r="AD28" i="32"/>
  <c r="AD33" i="32"/>
  <c r="BL458" i="9"/>
  <c r="BL403" i="9"/>
  <c r="AF735" i="9"/>
  <c r="AF246" i="3"/>
  <c r="AE141" i="20"/>
  <c r="AE146" i="20" s="1"/>
  <c r="AF23" i="20"/>
  <c r="AF90" i="20"/>
  <c r="AF21" i="30" s="1"/>
  <c r="AF23" i="30"/>
  <c r="AF179" i="20"/>
  <c r="AF52" i="30"/>
  <c r="AF54" i="30" s="1"/>
  <c r="AF41" i="6"/>
  <c r="AF44" i="6" s="1"/>
  <c r="AF164" i="20"/>
  <c r="AF732" i="9"/>
  <c r="AF243" i="3"/>
  <c r="AF723" i="9"/>
  <c r="AF234" i="3"/>
  <c r="AF275" i="3"/>
  <c r="AG69" i="3"/>
  <c r="CE41" i="3"/>
  <c r="CE24" i="3"/>
  <c r="CE12" i="3"/>
  <c r="CE3" i="3" s="1"/>
  <c r="CE5" i="3"/>
  <c r="CF8" i="3"/>
  <c r="CE142" i="3"/>
  <c r="BK1013" i="9"/>
  <c r="BK522" i="9"/>
  <c r="BL304" i="9"/>
  <c r="BK310" i="9"/>
  <c r="BK602" i="9"/>
  <c r="BK884" i="9" s="1"/>
  <c r="BL85" i="9"/>
  <c r="BL549" i="9"/>
  <c r="BL392" i="9"/>
  <c r="AF292" i="3"/>
  <c r="AC82" i="35"/>
  <c r="AC67" i="33"/>
  <c r="AC69" i="33" s="1"/>
  <c r="AC31" i="32"/>
  <c r="AC27" i="32"/>
  <c r="AC208" i="30"/>
  <c r="AC92" i="33" s="1"/>
  <c r="AE24" i="30"/>
  <c r="AF60" i="20"/>
  <c r="AF18" i="30" s="1"/>
  <c r="AF96" i="20"/>
  <c r="AF53" i="20"/>
  <c r="AF17" i="30" s="1"/>
  <c r="AF131" i="20"/>
  <c r="AF132" i="20" s="1"/>
  <c r="AF28" i="30" s="1"/>
  <c r="AF26" i="32" s="1"/>
  <c r="AF25" i="35" s="1"/>
  <c r="BK603" i="9"/>
  <c r="BK885" i="9" s="1"/>
  <c r="BL104" i="9"/>
  <c r="AF293" i="3"/>
  <c r="AG293" i="3"/>
  <c r="AF727" i="9"/>
  <c r="AF238" i="3"/>
  <c r="AF718" i="9"/>
  <c r="AF229" i="3"/>
  <c r="E168" i="23"/>
  <c r="E166" i="23" a="1"/>
  <c r="AF13" i="30" l="1"/>
  <c r="CE4" i="35"/>
  <c r="AG77" i="3"/>
  <c r="AG268" i="3"/>
  <c r="BS4" i="11"/>
  <c r="CE4" i="1"/>
  <c r="AG237" i="3"/>
  <c r="CE4" i="9"/>
  <c r="AG240" i="3"/>
  <c r="CE4" i="38"/>
  <c r="CE4" i="30"/>
  <c r="AG801" i="9"/>
  <c r="AG805" i="9"/>
  <c r="AG796" i="9"/>
  <c r="AG803" i="9"/>
  <c r="CE4" i="28"/>
  <c r="CF4" i="12"/>
  <c r="AG802" i="9"/>
  <c r="AG793" i="9"/>
  <c r="AG241" i="3"/>
  <c r="AG753" i="9" s="1"/>
  <c r="AG79" i="3"/>
  <c r="AG797" i="9"/>
  <c r="AG71" i="3"/>
  <c r="AG244" i="3"/>
  <c r="AG247" i="3"/>
  <c r="AH139" i="3"/>
  <c r="AH148" i="3"/>
  <c r="AH171" i="3" s="1"/>
  <c r="AH194" i="3" s="1"/>
  <c r="AG789" i="9"/>
  <c r="AG246" i="3"/>
  <c r="AG758" i="9" s="1"/>
  <c r="AG788" i="9"/>
  <c r="AG795" i="9"/>
  <c r="CE4" i="20"/>
  <c r="CE4" i="32"/>
  <c r="AH149" i="3"/>
  <c r="AH172" i="3" s="1"/>
  <c r="AH195" i="3" s="1"/>
  <c r="AH137" i="3"/>
  <c r="AH160" i="3" s="1"/>
  <c r="AH183" i="3" s="1"/>
  <c r="AH144" i="3"/>
  <c r="AH167" i="3" s="1"/>
  <c r="AH190" i="3" s="1"/>
  <c r="AG72" i="3"/>
  <c r="AG84" i="3"/>
  <c r="AG806" i="9"/>
  <c r="CE20" i="3"/>
  <c r="CE4" i="6"/>
  <c r="AH156" i="3"/>
  <c r="AH179" i="3" s="1"/>
  <c r="AH202" i="3" s="1"/>
  <c r="AH146" i="3"/>
  <c r="AH169" i="3" s="1"/>
  <c r="AH192" i="3" s="1"/>
  <c r="AH152" i="3"/>
  <c r="AH155" i="3"/>
  <c r="AH178" i="3" s="1"/>
  <c r="AH201" i="3" s="1"/>
  <c r="AG792" i="9"/>
  <c r="AH141" i="3"/>
  <c r="AH153" i="3"/>
  <c r="AH176" i="3" s="1"/>
  <c r="AH199" i="3" s="1"/>
  <c r="AH154" i="3"/>
  <c r="AH177" i="3" s="1"/>
  <c r="AH200" i="3" s="1"/>
  <c r="AH151" i="3"/>
  <c r="AH147" i="3"/>
  <c r="AH170" i="3" s="1"/>
  <c r="AH193" i="3" s="1"/>
  <c r="AF752" i="9"/>
  <c r="AH143" i="3"/>
  <c r="AH166" i="3" s="1"/>
  <c r="AH189" i="3" s="1"/>
  <c r="AH140" i="3"/>
  <c r="AH163" i="3" s="1"/>
  <c r="AH186" i="3" s="1"/>
  <c r="AH150" i="3"/>
  <c r="AH173" i="3" s="1"/>
  <c r="AH196" i="3" s="1"/>
  <c r="AB14" i="6"/>
  <c r="AB19" i="32"/>
  <c r="AF741" i="9"/>
  <c r="AG799" i="9"/>
  <c r="AF743" i="9"/>
  <c r="AG790" i="9"/>
  <c r="AF745" i="9"/>
  <c r="AG248" i="3"/>
  <c r="AG760" i="9" s="1"/>
  <c r="AF750" i="9"/>
  <c r="AG798" i="9"/>
  <c r="AG787" i="9"/>
  <c r="AF748" i="9"/>
  <c r="AG804" i="9"/>
  <c r="AF759" i="9"/>
  <c r="AG794" i="9"/>
  <c r="AG791" i="9"/>
  <c r="AG800" i="9"/>
  <c r="AC94" i="33"/>
  <c r="AG265" i="3"/>
  <c r="AG288" i="3" s="1"/>
  <c r="AG219" i="3"/>
  <c r="AG434" i="9"/>
  <c r="AG396" i="9"/>
  <c r="AG244" i="9"/>
  <c r="AG377" i="9"/>
  <c r="AG301" i="9"/>
  <c r="AG149" i="9"/>
  <c r="AG206" i="9"/>
  <c r="AG130" i="9"/>
  <c r="AG282" i="9"/>
  <c r="AG225" i="9"/>
  <c r="AG358" i="9"/>
  <c r="AG339" i="9"/>
  <c r="AG320" i="9"/>
  <c r="AG263" i="9"/>
  <c r="AG187" i="9"/>
  <c r="AG168" i="9"/>
  <c r="AG415" i="9"/>
  <c r="AG111" i="9"/>
  <c r="AG92" i="9"/>
  <c r="AG73" i="9"/>
  <c r="BL544" i="9"/>
  <c r="BL297" i="9"/>
  <c r="BL446" i="9"/>
  <c r="BL175" i="9"/>
  <c r="BL620" i="9"/>
  <c r="BL902" i="9" s="1"/>
  <c r="BM427" i="9"/>
  <c r="AG78" i="3"/>
  <c r="AG252" i="3"/>
  <c r="AG206" i="3"/>
  <c r="BL542" i="9"/>
  <c r="BL259" i="9"/>
  <c r="BL546" i="9"/>
  <c r="BL335" i="9"/>
  <c r="BL455" i="9"/>
  <c r="BL346" i="9"/>
  <c r="AG81" i="3"/>
  <c r="AG724" i="9"/>
  <c r="AG235" i="3"/>
  <c r="AG756" i="9"/>
  <c r="AE14" i="32"/>
  <c r="AE32" i="30"/>
  <c r="AE36" i="30" s="1"/>
  <c r="BS5" i="11"/>
  <c r="CE58" i="3"/>
  <c r="CE104" i="3" s="1"/>
  <c r="CE50" i="3"/>
  <c r="CE96" i="3" s="1"/>
  <c r="CE55" i="3"/>
  <c r="CE101" i="3" s="1"/>
  <c r="CE45" i="3"/>
  <c r="CE91" i="3" s="1"/>
  <c r="CE63" i="3"/>
  <c r="CE109" i="3" s="1"/>
  <c r="CE53" i="3"/>
  <c r="CE99" i="3" s="1"/>
  <c r="CE48" i="3"/>
  <c r="CE94" i="3" s="1"/>
  <c r="CE57" i="3"/>
  <c r="CE103" i="3" s="1"/>
  <c r="CE52" i="3"/>
  <c r="CE98" i="3" s="1"/>
  <c r="CE59" i="3"/>
  <c r="CE105" i="3" s="1"/>
  <c r="CE54" i="3"/>
  <c r="CE100" i="3" s="1"/>
  <c r="CE61" i="3"/>
  <c r="CE107" i="3" s="1"/>
  <c r="CE46" i="3"/>
  <c r="CE92" i="3" s="1"/>
  <c r="CE64" i="3"/>
  <c r="CE110" i="3" s="1"/>
  <c r="CE60" i="3"/>
  <c r="CE106" i="3" s="1"/>
  <c r="CE49" i="3"/>
  <c r="CE95" i="3" s="1"/>
  <c r="CE62" i="3"/>
  <c r="CE108" i="3" s="1"/>
  <c r="CE51" i="3"/>
  <c r="CE97" i="3" s="1"/>
  <c r="CE47" i="3"/>
  <c r="CE93" i="3" s="1"/>
  <c r="CE56" i="3"/>
  <c r="CE102" i="3" s="1"/>
  <c r="CE5" i="35"/>
  <c r="CE5" i="33"/>
  <c r="CF5" i="12"/>
  <c r="CE5" i="32"/>
  <c r="CE5" i="30"/>
  <c r="CE5" i="38"/>
  <c r="CE5" i="6"/>
  <c r="CE5" i="9"/>
  <c r="CE5" i="26"/>
  <c r="CE5" i="16"/>
  <c r="CE5" i="22"/>
  <c r="CE5" i="20"/>
  <c r="CE5" i="1"/>
  <c r="CE5" i="28"/>
  <c r="CE118" i="3"/>
  <c r="CE127" i="3"/>
  <c r="CE132" i="3"/>
  <c r="CE125" i="3"/>
  <c r="CE117" i="3"/>
  <c r="CE123" i="3"/>
  <c r="CE120" i="3"/>
  <c r="CE114" i="3"/>
  <c r="CE116" i="3"/>
  <c r="CE133" i="3"/>
  <c r="CE129" i="3"/>
  <c r="CE131" i="3"/>
  <c r="CE128" i="3"/>
  <c r="CE122" i="3"/>
  <c r="CE121" i="3"/>
  <c r="CE130" i="3"/>
  <c r="CE119" i="3"/>
  <c r="CE126" i="3"/>
  <c r="CE115" i="3"/>
  <c r="CE124" i="3"/>
  <c r="AF746" i="9"/>
  <c r="AF758" i="9"/>
  <c r="BM1019" i="9"/>
  <c r="BM528" i="9"/>
  <c r="BN418" i="9"/>
  <c r="BM424" i="9"/>
  <c r="BL1008" i="9"/>
  <c r="BL517" i="9"/>
  <c r="BL215" i="9"/>
  <c r="BM209" i="9"/>
  <c r="BL614" i="9"/>
  <c r="BL896" i="9" s="1"/>
  <c r="BM313" i="9"/>
  <c r="BL1012" i="9"/>
  <c r="BL521" i="9"/>
  <c r="BM285" i="9"/>
  <c r="BL291" i="9"/>
  <c r="BL1000" i="9"/>
  <c r="BL509" i="9"/>
  <c r="BL63" i="9"/>
  <c r="BM57" i="9"/>
  <c r="AH161" i="3"/>
  <c r="AH184" i="3" s="1"/>
  <c r="AG719" i="9"/>
  <c r="AG230" i="3"/>
  <c r="CF10" i="3"/>
  <c r="CF149" i="3" s="1"/>
  <c r="BL442" i="9"/>
  <c r="BL99" i="9"/>
  <c r="AG68" i="3"/>
  <c r="BL1005" i="9"/>
  <c r="BL514" i="9"/>
  <c r="BM152" i="9"/>
  <c r="BL158" i="9"/>
  <c r="AG231" i="3"/>
  <c r="AG743" i="9" s="1"/>
  <c r="BL539" i="9"/>
  <c r="BL202" i="9"/>
  <c r="AF102" i="20"/>
  <c r="AG180" i="20" a="1"/>
  <c r="AG180" i="20" s="1"/>
  <c r="AG162" i="20" a="1"/>
  <c r="AG162" i="20" s="1"/>
  <c r="AG153" i="20" a="1"/>
  <c r="AG153" i="20" s="1"/>
  <c r="AG150" i="20" a="1"/>
  <c r="AG150" i="20" s="1"/>
  <c r="AG41" i="30" s="1"/>
  <c r="AG129" i="20" a="1"/>
  <c r="AG129" i="20" s="1"/>
  <c r="AG127" i="20" a="1"/>
  <c r="AG127" i="20" s="1"/>
  <c r="AG130" i="20" a="1"/>
  <c r="AG130" i="20" s="1"/>
  <c r="AG135" i="20" a="1"/>
  <c r="AG135" i="20" s="1"/>
  <c r="AG137" i="20" s="1"/>
  <c r="AG29" i="30" s="1"/>
  <c r="AG128" i="20" a="1"/>
  <c r="AG128" i="20" s="1"/>
  <c r="AG124" i="20" a="1"/>
  <c r="AG124" i="20" s="1"/>
  <c r="AG123" i="20" a="1"/>
  <c r="AG123" i="20" s="1"/>
  <c r="AG119" i="20" a="1"/>
  <c r="AG119" i="20" s="1"/>
  <c r="AG125" i="20" a="1"/>
  <c r="AG125" i="20" s="1"/>
  <c r="AG120" i="20" a="1"/>
  <c r="AG120" i="20" s="1"/>
  <c r="AG121" i="20" a="1"/>
  <c r="AG121" i="20" s="1"/>
  <c r="AG117" i="20" a="1"/>
  <c r="AG117" i="20" s="1"/>
  <c r="AG122" i="20" a="1"/>
  <c r="AG122" i="20" s="1"/>
  <c r="AG118" i="20" a="1"/>
  <c r="AG118" i="20" s="1"/>
  <c r="AG105" i="20" a="1"/>
  <c r="AG105" i="20" s="1"/>
  <c r="AG106" i="20" a="1"/>
  <c r="AG106" i="20" s="1"/>
  <c r="AG109" i="20" a="1"/>
  <c r="AG109" i="20" s="1"/>
  <c r="AG110" i="20" a="1"/>
  <c r="AG110" i="20" s="1"/>
  <c r="AG111" i="20" a="1"/>
  <c r="AG111" i="20" s="1"/>
  <c r="AG107" i="20" a="1"/>
  <c r="AG107" i="20" s="1"/>
  <c r="AG112" i="20" a="1"/>
  <c r="AG112" i="20" s="1"/>
  <c r="AG108" i="20" a="1"/>
  <c r="AG108" i="20" s="1"/>
  <c r="AG95" i="20" a="1"/>
  <c r="AG95" i="20" s="1"/>
  <c r="AG81" i="20" a="1"/>
  <c r="AG81" i="20" s="1"/>
  <c r="AG77" i="20" a="1"/>
  <c r="AG77" i="20" s="1"/>
  <c r="AG72" i="20" a="1"/>
  <c r="AG72" i="20" s="1"/>
  <c r="AG68" i="20" a="1"/>
  <c r="AG68" i="20" s="1"/>
  <c r="AG64" i="20" a="1"/>
  <c r="AG64" i="20" s="1"/>
  <c r="AG58" i="20" a="1"/>
  <c r="AG58" i="20" s="1"/>
  <c r="AG51" i="20" a="1"/>
  <c r="AG51" i="20" s="1"/>
  <c r="AG82" i="20" a="1"/>
  <c r="AG82" i="20" s="1"/>
  <c r="AG78" i="20" a="1"/>
  <c r="AG78" i="20" s="1"/>
  <c r="AG73" i="20" a="1"/>
  <c r="AG73" i="20" s="1"/>
  <c r="AG69" i="20" a="1"/>
  <c r="AG69" i="20" s="1"/>
  <c r="AG65" i="20" a="1"/>
  <c r="AG65" i="20" s="1"/>
  <c r="AG54" i="20" a="1"/>
  <c r="AG54" i="20" s="1"/>
  <c r="AG52" i="20" a="1"/>
  <c r="AG52" i="20" s="1"/>
  <c r="AG44" i="20" a="1"/>
  <c r="AG44" i="20" s="1"/>
  <c r="AG36" i="20" a="1"/>
  <c r="AG36" i="20" s="1"/>
  <c r="AG30" i="20" a="1"/>
  <c r="AG30" i="20" s="1"/>
  <c r="AG28" i="20" a="1"/>
  <c r="AG28" i="20" s="1"/>
  <c r="AG20" i="20" a="1"/>
  <c r="AG20" i="20" s="1"/>
  <c r="AG14" i="20" a="1"/>
  <c r="AG14" i="20" s="1"/>
  <c r="AG12" i="20" a="1"/>
  <c r="AG12" i="20" s="1"/>
  <c r="AG47" i="20" a="1"/>
  <c r="AG47" i="20" s="1"/>
  <c r="AG45" i="20" a="1"/>
  <c r="AG45" i="20" s="1"/>
  <c r="AG39" i="20" a="1"/>
  <c r="AG39" i="20" s="1"/>
  <c r="AG37" i="20" a="1"/>
  <c r="AG37" i="20" s="1"/>
  <c r="AG59" i="20" a="1"/>
  <c r="AG59" i="20" s="1"/>
  <c r="AG93" i="20" a="1"/>
  <c r="AG93" i="20" s="1"/>
  <c r="AG88" i="20" a="1"/>
  <c r="AG88" i="20" s="1"/>
  <c r="AG83" i="20" a="1"/>
  <c r="AG83" i="20" s="1"/>
  <c r="AG79" i="20" a="1"/>
  <c r="AG79" i="20" s="1"/>
  <c r="AG70" i="20" a="1"/>
  <c r="AG70" i="20" s="1"/>
  <c r="AG66" i="20" a="1"/>
  <c r="AG66" i="20" s="1"/>
  <c r="AG61" i="20" a="1"/>
  <c r="AG61" i="20" s="1"/>
  <c r="AG57" i="20" a="1"/>
  <c r="AG57" i="20" s="1"/>
  <c r="AG94" i="20" a="1"/>
  <c r="AG94" i="20" s="1"/>
  <c r="AG89" i="20" a="1"/>
  <c r="AG89" i="20" s="1"/>
  <c r="AG84" i="20" a="1"/>
  <c r="AG84" i="20" s="1"/>
  <c r="AG80" i="20" a="1"/>
  <c r="AG80" i="20" s="1"/>
  <c r="AG71" i="20" a="1"/>
  <c r="AG71" i="20" s="1"/>
  <c r="AG67" i="20" a="1"/>
  <c r="AG67" i="20" s="1"/>
  <c r="AG50" i="20" a="1"/>
  <c r="AG50" i="20" s="1"/>
  <c r="AG98" i="20" a="1"/>
  <c r="AG98" i="20" s="1"/>
  <c r="AG100" i="20" s="1"/>
  <c r="AG18" i="20" a="1"/>
  <c r="AG18" i="20" s="1"/>
  <c r="AG43" i="20" a="1"/>
  <c r="AG43" i="20" s="1"/>
  <c r="AG33" i="20" a="1"/>
  <c r="AG33" i="20" s="1"/>
  <c r="AG35" i="20" a="1"/>
  <c r="AG35" i="20" s="1"/>
  <c r="AG34" i="20" a="1"/>
  <c r="AG34" i="20" s="1"/>
  <c r="AG27" i="20" a="1"/>
  <c r="AG27" i="20" s="1"/>
  <c r="AG24" i="20" a="1"/>
  <c r="AG24" i="20" s="1"/>
  <c r="AG42" i="20" a="1"/>
  <c r="AG42" i="20" s="1"/>
  <c r="AG21" i="20" a="1"/>
  <c r="AG21" i="20" s="1"/>
  <c r="AG11" i="20" a="1"/>
  <c r="AG11" i="20" s="1"/>
  <c r="AG17" i="20" a="1"/>
  <c r="AG17" i="20" s="1"/>
  <c r="AG22" i="20" a="1"/>
  <c r="AG22" i="20" s="1"/>
  <c r="AG19" i="20" a="1"/>
  <c r="AG19" i="20" s="1"/>
  <c r="AG83" i="3"/>
  <c r="AG727" i="9"/>
  <c r="AG238" i="3"/>
  <c r="AF72" i="30"/>
  <c r="AF74" i="30" s="1"/>
  <c r="AG40" i="6"/>
  <c r="AF12" i="6"/>
  <c r="BS3" i="11"/>
  <c r="CE14" i="3"/>
  <c r="CE3" i="35"/>
  <c r="CE3" i="33"/>
  <c r="CF3" i="12"/>
  <c r="CE3" i="32"/>
  <c r="CE3" i="30"/>
  <c r="CE3" i="38"/>
  <c r="CE3" i="6"/>
  <c r="CE3" i="9"/>
  <c r="CE3" i="26"/>
  <c r="CE3" i="16"/>
  <c r="CE3" i="22"/>
  <c r="CE3" i="20"/>
  <c r="DK2" i="20" s="1"/>
  <c r="CE3" i="1"/>
  <c r="DO2" i="1" s="1"/>
  <c r="CE3" i="28"/>
  <c r="BL1018" i="9"/>
  <c r="BL527" i="9"/>
  <c r="BM399" i="9"/>
  <c r="BL405" i="9"/>
  <c r="AF755" i="9"/>
  <c r="BL532" i="9"/>
  <c r="BL69" i="9"/>
  <c r="AG245" i="3"/>
  <c r="AG757" i="9" s="1"/>
  <c r="AF77" i="33"/>
  <c r="AF195" i="30"/>
  <c r="AF78" i="33" s="1"/>
  <c r="AF749" i="9"/>
  <c r="AF751" i="9"/>
  <c r="AG74" i="3"/>
  <c r="AF753" i="9"/>
  <c r="AG86" i="3"/>
  <c r="AF742" i="9"/>
  <c r="BL1017" i="9"/>
  <c r="BL526" i="9"/>
  <c r="BL386" i="9"/>
  <c r="BM380" i="9"/>
  <c r="BL1016" i="9"/>
  <c r="BL525" i="9"/>
  <c r="BL367" i="9"/>
  <c r="BM361" i="9"/>
  <c r="BL1014" i="9"/>
  <c r="BL329" i="9"/>
  <c r="BL523" i="9"/>
  <c r="BM323" i="9"/>
  <c r="AH164" i="3"/>
  <c r="AH187" i="3" s="1"/>
  <c r="AG752" i="9"/>
  <c r="AG749" i="9"/>
  <c r="AG723" i="9"/>
  <c r="AG234" i="3"/>
  <c r="BL534" i="9"/>
  <c r="BL107" i="9"/>
  <c r="BL453" i="9"/>
  <c r="BL308" i="9"/>
  <c r="BL612" i="9"/>
  <c r="BL894" i="9" s="1"/>
  <c r="BM275" i="9"/>
  <c r="AG96" i="3"/>
  <c r="AG73" i="3"/>
  <c r="AG110" i="3"/>
  <c r="AG87" i="3"/>
  <c r="AF757" i="9"/>
  <c r="AD136" i="30"/>
  <c r="AD137" i="30" s="1"/>
  <c r="AE256" i="6"/>
  <c r="BL1010" i="9"/>
  <c r="BL519" i="9"/>
  <c r="BL253" i="9"/>
  <c r="BM247" i="9"/>
  <c r="BL1003" i="9"/>
  <c r="BL512" i="9"/>
  <c r="BL120" i="9"/>
  <c r="BM114" i="9"/>
  <c r="BL1011" i="9"/>
  <c r="BL520" i="9"/>
  <c r="BL272" i="9"/>
  <c r="BM266" i="9"/>
  <c r="AG85" i="3"/>
  <c r="AH174" i="3"/>
  <c r="AH197" i="3" s="1"/>
  <c r="AG721" i="9"/>
  <c r="AG232" i="3"/>
  <c r="BL618" i="9"/>
  <c r="BL900" i="9" s="1"/>
  <c r="BM389" i="9"/>
  <c r="AE174" i="20"/>
  <c r="AE181" i="20" s="1"/>
  <c r="AE62" i="30" s="1"/>
  <c r="AE156" i="20"/>
  <c r="AE166" i="20" s="1"/>
  <c r="AG291" i="3"/>
  <c r="AG75" i="3"/>
  <c r="CE26" i="3"/>
  <c r="CE28" i="3"/>
  <c r="BL617" i="9"/>
  <c r="BL899" i="9" s="1"/>
  <c r="BM370" i="9"/>
  <c r="BL607" i="9"/>
  <c r="BL889" i="9" s="1"/>
  <c r="BM180" i="9"/>
  <c r="BL441" i="9"/>
  <c r="BL80" i="9"/>
  <c r="AG70" i="3"/>
  <c r="AG236" i="3"/>
  <c r="AG748" i="9" s="1"/>
  <c r="AB23" i="32"/>
  <c r="AB112" i="30"/>
  <c r="AB114" i="30"/>
  <c r="BL537" i="9"/>
  <c r="BL164" i="9"/>
  <c r="BL610" i="9"/>
  <c r="BL892" i="9" s="1"/>
  <c r="BM237" i="9"/>
  <c r="AG759" i="9"/>
  <c r="AG751" i="9"/>
  <c r="AH162" i="3"/>
  <c r="AH185" i="3" s="1"/>
  <c r="AG722" i="9"/>
  <c r="AG233" i="3"/>
  <c r="AG278" i="3"/>
  <c r="BL533" i="9"/>
  <c r="BL88" i="9"/>
  <c r="BM540" i="9"/>
  <c r="BM221" i="9"/>
  <c r="BL605" i="9"/>
  <c r="BL887" i="9" s="1"/>
  <c r="BM142" i="9"/>
  <c r="AD54" i="33"/>
  <c r="AD148" i="30"/>
  <c r="AD180" i="30" s="1"/>
  <c r="AD56" i="30"/>
  <c r="AD58" i="30" s="1"/>
  <c r="AG103" i="3"/>
  <c r="AG80" i="3"/>
  <c r="CE18" i="3"/>
  <c r="AC212" i="30"/>
  <c r="AG732" i="9"/>
  <c r="AG243" i="3"/>
  <c r="BL447" i="9"/>
  <c r="BL194" i="9"/>
  <c r="AG777" i="9"/>
  <c r="AG770" i="9"/>
  <c r="AG764" i="9"/>
  <c r="AG713" i="9"/>
  <c r="AG783" i="9"/>
  <c r="AG765" i="9"/>
  <c r="AG778" i="9"/>
  <c r="AG772" i="9"/>
  <c r="AG771" i="9"/>
  <c r="AG773" i="9"/>
  <c r="AG780" i="9"/>
  <c r="AG779" i="9"/>
  <c r="AG781" i="9"/>
  <c r="AG774" i="9"/>
  <c r="AG768" i="9"/>
  <c r="AG767" i="9"/>
  <c r="AG769" i="9"/>
  <c r="AG782" i="9"/>
  <c r="AG776" i="9"/>
  <c r="AG775" i="9"/>
  <c r="AG708" i="9"/>
  <c r="AG700" i="9"/>
  <c r="AG711" i="9"/>
  <c r="AG706" i="9"/>
  <c r="AG701" i="9"/>
  <c r="AG696" i="9"/>
  <c r="AG710" i="9"/>
  <c r="AG705" i="9"/>
  <c r="AG703" i="9"/>
  <c r="AG698" i="9"/>
  <c r="AG702" i="9"/>
  <c r="AG697" i="9"/>
  <c r="AG695" i="9"/>
  <c r="AG707" i="9"/>
  <c r="AG714" i="9"/>
  <c r="AG712" i="9"/>
  <c r="AG709" i="9"/>
  <c r="AG704" i="9"/>
  <c r="AG766" i="9"/>
  <c r="AG699" i="9"/>
  <c r="AG28" i="3"/>
  <c r="AG26" i="3"/>
  <c r="AG76" i="3"/>
  <c r="BL550" i="9"/>
  <c r="BL411" i="9"/>
  <c r="BL1009" i="9"/>
  <c r="BL518" i="9"/>
  <c r="BM228" i="9"/>
  <c r="BL234" i="9"/>
  <c r="AH41" i="3"/>
  <c r="AH5" i="3"/>
  <c r="AI8" i="3"/>
  <c r="AH24" i="3"/>
  <c r="AH12" i="3"/>
  <c r="AH3" i="3" s="1"/>
  <c r="AH4" i="3"/>
  <c r="BL547" i="9"/>
  <c r="BL354" i="9"/>
  <c r="AF22" i="30"/>
  <c r="AF24" i="30" s="1"/>
  <c r="AF175" i="20"/>
  <c r="CE165" i="3"/>
  <c r="AE80" i="33"/>
  <c r="AG148" i="26"/>
  <c r="AG118" i="26"/>
  <c r="AG117" i="26"/>
  <c r="AG94" i="26"/>
  <c r="AG113" i="26"/>
  <c r="AG140" i="26"/>
  <c r="AG95" i="26"/>
  <c r="AG64" i="26"/>
  <c r="AG66" i="26"/>
  <c r="AG185" i="26"/>
  <c r="AG201" i="26"/>
  <c r="AG208" i="26"/>
  <c r="AG70" i="26"/>
  <c r="AG111" i="26"/>
  <c r="AG74" i="26"/>
  <c r="AG112" i="26"/>
  <c r="AG114" i="26"/>
  <c r="AG92" i="26"/>
  <c r="AG182" i="26"/>
  <c r="AG60" i="26"/>
  <c r="AG181" i="26"/>
  <c r="AG176" i="26"/>
  <c r="AG149" i="26"/>
  <c r="AG200" i="26"/>
  <c r="AG62" i="26"/>
  <c r="AG97" i="26"/>
  <c r="AG68" i="26"/>
  <c r="AG91" i="26"/>
  <c r="AG98" i="26"/>
  <c r="AG89" i="26"/>
  <c r="AG147" i="26"/>
  <c r="AG61" i="26"/>
  <c r="AG206" i="26"/>
  <c r="AG199" i="26"/>
  <c r="AG141" i="26"/>
  <c r="AG174" i="26"/>
  <c r="AG173" i="26"/>
  <c r="AG87" i="26"/>
  <c r="AG183" i="26"/>
  <c r="AG88" i="26"/>
  <c r="AG69" i="26"/>
  <c r="AG143" i="26"/>
  <c r="AG116" i="26"/>
  <c r="AG179" i="26"/>
  <c r="AG203" i="26"/>
  <c r="AG195" i="26"/>
  <c r="AG202" i="26"/>
  <c r="AG178" i="26"/>
  <c r="AG123" i="26"/>
  <c r="AG73" i="26"/>
  <c r="AG139" i="26"/>
  <c r="AG85" i="26"/>
  <c r="AG63" i="26"/>
  <c r="AG122" i="26"/>
  <c r="AG99" i="26"/>
  <c r="AG204" i="26"/>
  <c r="AG172" i="26"/>
  <c r="AG205" i="26"/>
  <c r="AG150" i="26"/>
  <c r="AG90" i="26"/>
  <c r="AG72" i="26"/>
  <c r="AG138" i="26"/>
  <c r="AG175" i="26"/>
  <c r="AG151" i="26"/>
  <c r="AG115" i="26"/>
  <c r="AG96" i="26"/>
  <c r="AG184" i="26"/>
  <c r="AG180" i="26"/>
  <c r="AG197" i="26"/>
  <c r="AG144" i="26"/>
  <c r="AG137" i="26"/>
  <c r="AG67" i="26"/>
  <c r="AG125" i="26"/>
  <c r="AG171" i="26"/>
  <c r="AG121" i="26"/>
  <c r="AG86" i="26"/>
  <c r="AG93" i="26"/>
  <c r="AG207" i="26"/>
  <c r="AG209" i="26"/>
  <c r="AG177" i="26"/>
  <c r="AG146" i="26"/>
  <c r="AG124" i="26"/>
  <c r="AG145" i="26"/>
  <c r="AG119" i="26"/>
  <c r="AG142" i="26"/>
  <c r="AG120" i="26"/>
  <c r="AG65" i="26"/>
  <c r="AG71" i="26"/>
  <c r="AG198" i="26"/>
  <c r="AG196" i="26"/>
  <c r="AF754" i="9"/>
  <c r="AF27" i="30"/>
  <c r="AF30" i="30" s="1"/>
  <c r="AF139" i="20"/>
  <c r="AF756" i="9"/>
  <c r="BL604" i="9"/>
  <c r="BL886" i="9" s="1"/>
  <c r="BM123" i="9"/>
  <c r="AF760" i="9"/>
  <c r="AG82" i="3"/>
  <c r="BL1004" i="9"/>
  <c r="BL513" i="9"/>
  <c r="BL139" i="9"/>
  <c r="BM133" i="9"/>
  <c r="AG18" i="3"/>
  <c r="AH145" i="3"/>
  <c r="AH142" i="3"/>
  <c r="E166" i="23"/>
  <c r="E164" i="23" a="1"/>
  <c r="AG746" i="9" l="1"/>
  <c r="AH175" i="3"/>
  <c r="AH198" i="3" s="1"/>
  <c r="AG60" i="20"/>
  <c r="AG18" i="30" s="1"/>
  <c r="AG53" i="20"/>
  <c r="AG17" i="30" s="1"/>
  <c r="CF152" i="3"/>
  <c r="CF175" i="3" s="1"/>
  <c r="AG13" i="20"/>
  <c r="AG747" i="9"/>
  <c r="AG750" i="9"/>
  <c r="AG742" i="9"/>
  <c r="AH266" i="3"/>
  <c r="AH289" i="3" s="1"/>
  <c r="AH220" i="3"/>
  <c r="AH255" i="3"/>
  <c r="AH278" i="3" s="1"/>
  <c r="AH209" i="3"/>
  <c r="CF172" i="3"/>
  <c r="AH265" i="3"/>
  <c r="AH288" i="3" s="1"/>
  <c r="AH219" i="3"/>
  <c r="AH731" i="9" s="1"/>
  <c r="AH263" i="3"/>
  <c r="AH286" i="3" s="1"/>
  <c r="AH217" i="3"/>
  <c r="AH253" i="3"/>
  <c r="AH276" i="3" s="1"/>
  <c r="AH207" i="3"/>
  <c r="AH254" i="3"/>
  <c r="AH277" i="3" s="1"/>
  <c r="AH208" i="3"/>
  <c r="AH264" i="3"/>
  <c r="AH287" i="3" s="1"/>
  <c r="AH218" i="3"/>
  <c r="AH213" i="3"/>
  <c r="AH259" i="3"/>
  <c r="AH282" i="3" s="1"/>
  <c r="AF14" i="32"/>
  <c r="AF32" i="30"/>
  <c r="AF36" i="30" s="1"/>
  <c r="AH271" i="3"/>
  <c r="AH294" i="3" s="1"/>
  <c r="AH225" i="3"/>
  <c r="AH206" i="3"/>
  <c r="AH718" i="9" s="1"/>
  <c r="AH252" i="3"/>
  <c r="AH275" i="3" s="1"/>
  <c r="AH165" i="3"/>
  <c r="AH188" i="3" s="1"/>
  <c r="AG825" i="9"/>
  <c r="AG826" i="9"/>
  <c r="AG818" i="9"/>
  <c r="AG810" i="9"/>
  <c r="AG827" i="9"/>
  <c r="AG824" i="9"/>
  <c r="AG816" i="9"/>
  <c r="AG828" i="9"/>
  <c r="AG817" i="9"/>
  <c r="AG815" i="9"/>
  <c r="AG814" i="9"/>
  <c r="AG812" i="9"/>
  <c r="AG811" i="9"/>
  <c r="AG823" i="9"/>
  <c r="AG822" i="9"/>
  <c r="AG821" i="9"/>
  <c r="AG820" i="9"/>
  <c r="AG829" i="9"/>
  <c r="AG819" i="9"/>
  <c r="AG813" i="9"/>
  <c r="AH5" i="11"/>
  <c r="AH58" i="3"/>
  <c r="AH104" i="3" s="1"/>
  <c r="AH50" i="3"/>
  <c r="AH96" i="3" s="1"/>
  <c r="AH57" i="3"/>
  <c r="AH103" i="3" s="1"/>
  <c r="AH52" i="3"/>
  <c r="AH98" i="3" s="1"/>
  <c r="AH60" i="3"/>
  <c r="AH106" i="3" s="1"/>
  <c r="AH54" i="3"/>
  <c r="AH53" i="3"/>
  <c r="AH99" i="3" s="1"/>
  <c r="AH51" i="3"/>
  <c r="AH97" i="3" s="1"/>
  <c r="AH56" i="3"/>
  <c r="AH55" i="3"/>
  <c r="AH101" i="3" s="1"/>
  <c r="AH47" i="3"/>
  <c r="AH93" i="3" s="1"/>
  <c r="AH59" i="3"/>
  <c r="AH105" i="3" s="1"/>
  <c r="AH49" i="3"/>
  <c r="AH48" i="3"/>
  <c r="AH61" i="3"/>
  <c r="AH45" i="3"/>
  <c r="AH91" i="3" s="1"/>
  <c r="AH64" i="3"/>
  <c r="AH110" i="3" s="1"/>
  <c r="AH63" i="3"/>
  <c r="AH109" i="3" s="1"/>
  <c r="AH62" i="3"/>
  <c r="AH108" i="3" s="1"/>
  <c r="AH46" i="3"/>
  <c r="AH5" i="35"/>
  <c r="AH5" i="33"/>
  <c r="AI5" i="12"/>
  <c r="AH5" i="32"/>
  <c r="AH5" i="30"/>
  <c r="AH5" i="38"/>
  <c r="AH5" i="6"/>
  <c r="AH5" i="9"/>
  <c r="AH5" i="26"/>
  <c r="AH5" i="16"/>
  <c r="AH5" i="22"/>
  <c r="AH5" i="20"/>
  <c r="AH5" i="1"/>
  <c r="AH5" i="28"/>
  <c r="AH126" i="3"/>
  <c r="AH119" i="3"/>
  <c r="AH131" i="3"/>
  <c r="AH118" i="3"/>
  <c r="AH115" i="3"/>
  <c r="AH124" i="3"/>
  <c r="AH122" i="3"/>
  <c r="AH133" i="3"/>
  <c r="AH128" i="3"/>
  <c r="AH130" i="3"/>
  <c r="AH132" i="3"/>
  <c r="AH121" i="3"/>
  <c r="AH129" i="3"/>
  <c r="AH127" i="3"/>
  <c r="AH117" i="3"/>
  <c r="AH123" i="3"/>
  <c r="AH125" i="3"/>
  <c r="AH116" i="3"/>
  <c r="AH114" i="3"/>
  <c r="AH120" i="3"/>
  <c r="BM536" i="9"/>
  <c r="BM145" i="9"/>
  <c r="BM541" i="9"/>
  <c r="BM240" i="9"/>
  <c r="BL1001" i="9"/>
  <c r="BL510" i="9"/>
  <c r="BM76" i="9"/>
  <c r="BL82" i="9"/>
  <c r="AE257" i="6"/>
  <c r="AE259" i="6" s="1"/>
  <c r="AE170" i="20"/>
  <c r="AE60" i="30" s="1"/>
  <c r="AH256" i="3"/>
  <c r="AH279" i="3" s="1"/>
  <c r="AH210" i="3"/>
  <c r="AG23" i="20"/>
  <c r="AG38" i="20"/>
  <c r="AG15" i="30" s="1"/>
  <c r="AG74" i="20"/>
  <c r="AG19" i="30" s="1"/>
  <c r="AF141" i="20"/>
  <c r="AF146" i="20" s="1"/>
  <c r="CF145" i="3"/>
  <c r="CF138" i="3"/>
  <c r="BL615" i="9"/>
  <c r="BL897" i="9" s="1"/>
  <c r="BM332" i="9"/>
  <c r="BL602" i="9"/>
  <c r="BL884" i="9" s="1"/>
  <c r="BM85" i="9"/>
  <c r="AH223" i="3"/>
  <c r="AH269" i="3"/>
  <c r="AH292" i="3" s="1"/>
  <c r="BM548" i="9"/>
  <c r="BM373" i="9"/>
  <c r="AH224" i="3"/>
  <c r="AH270" i="3"/>
  <c r="AH293" i="3" s="1"/>
  <c r="BM443" i="9"/>
  <c r="BM118" i="9"/>
  <c r="BM543" i="9"/>
  <c r="BM278" i="9"/>
  <c r="AG90" i="20"/>
  <c r="AG21" i="30" s="1"/>
  <c r="AG25" i="30"/>
  <c r="CF151" i="3"/>
  <c r="CF150" i="3"/>
  <c r="BM545" i="9"/>
  <c r="BM316" i="9"/>
  <c r="CE146" i="26"/>
  <c r="CE150" i="26"/>
  <c r="CE98" i="26"/>
  <c r="CE117" i="26"/>
  <c r="CE68" i="26"/>
  <c r="CE180" i="26"/>
  <c r="CE184" i="26"/>
  <c r="CE92" i="26"/>
  <c r="CE65" i="26"/>
  <c r="CE177" i="26"/>
  <c r="CE204" i="26"/>
  <c r="CE208" i="26"/>
  <c r="CE138" i="26"/>
  <c r="CE144" i="26"/>
  <c r="CE94" i="26"/>
  <c r="CE87" i="26"/>
  <c r="CE173" i="26"/>
  <c r="CE119" i="26"/>
  <c r="CE174" i="26"/>
  <c r="CE89" i="26"/>
  <c r="CE141" i="26"/>
  <c r="CE175" i="26"/>
  <c r="CE199" i="26"/>
  <c r="CE209" i="26"/>
  <c r="CE205" i="26"/>
  <c r="CE143" i="26"/>
  <c r="CE90" i="26"/>
  <c r="CE151" i="26"/>
  <c r="CE148" i="26"/>
  <c r="CE113" i="26"/>
  <c r="CE114" i="26"/>
  <c r="CE70" i="26"/>
  <c r="CE96" i="26"/>
  <c r="CE196" i="26"/>
  <c r="CE206" i="26"/>
  <c r="CE197" i="26"/>
  <c r="CE202" i="26"/>
  <c r="CE86" i="26"/>
  <c r="CE118" i="26"/>
  <c r="CE125" i="26"/>
  <c r="CE112" i="26"/>
  <c r="CE95" i="26"/>
  <c r="CE145" i="26"/>
  <c r="CE93" i="26"/>
  <c r="CE179" i="26"/>
  <c r="CE200" i="26"/>
  <c r="CE203" i="26"/>
  <c r="CE147" i="26"/>
  <c r="CE67" i="26"/>
  <c r="CE111" i="26"/>
  <c r="CE91" i="26"/>
  <c r="CE88" i="26"/>
  <c r="CE63" i="26"/>
  <c r="CE139" i="26"/>
  <c r="CE71" i="26"/>
  <c r="CE198" i="26"/>
  <c r="CE201" i="26"/>
  <c r="CE195" i="26"/>
  <c r="CE140" i="26"/>
  <c r="CE178" i="26"/>
  <c r="CE97" i="26"/>
  <c r="CE74" i="26"/>
  <c r="CE85" i="26"/>
  <c r="CE137" i="26"/>
  <c r="CE122" i="26"/>
  <c r="CE66" i="26"/>
  <c r="CE172" i="26"/>
  <c r="CE183" i="26"/>
  <c r="CE182" i="26"/>
  <c r="CE123" i="26"/>
  <c r="CE142" i="26"/>
  <c r="CE73" i="26"/>
  <c r="CE62" i="26"/>
  <c r="CE69" i="26"/>
  <c r="CE121" i="26"/>
  <c r="CE116" i="26"/>
  <c r="CE61" i="26"/>
  <c r="CE176" i="26"/>
  <c r="CE207" i="26"/>
  <c r="CE149" i="26"/>
  <c r="CE115" i="26"/>
  <c r="CE124" i="26"/>
  <c r="CE72" i="26"/>
  <c r="CE60" i="26"/>
  <c r="CE64" i="26"/>
  <c r="CE120" i="26"/>
  <c r="CE99" i="26"/>
  <c r="CE181" i="26"/>
  <c r="CE185" i="26"/>
  <c r="CE171" i="26"/>
  <c r="BL1006" i="9"/>
  <c r="BL515" i="9"/>
  <c r="BM171" i="9"/>
  <c r="BL177" i="9"/>
  <c r="BL616" i="9"/>
  <c r="BL898" i="9" s="1"/>
  <c r="BM351" i="9"/>
  <c r="BL1007" i="9"/>
  <c r="BL516" i="9"/>
  <c r="BM190" i="9"/>
  <c r="BL196" i="9"/>
  <c r="AG755" i="9"/>
  <c r="BL606" i="9"/>
  <c r="BL888" i="9" s="1"/>
  <c r="BM161" i="9"/>
  <c r="BM549" i="9"/>
  <c r="BM392" i="9"/>
  <c r="AH87" i="3"/>
  <c r="AG96" i="20"/>
  <c r="BL608" i="9"/>
  <c r="BL890" i="9" s="1"/>
  <c r="BM199" i="9"/>
  <c r="BL1002" i="9"/>
  <c r="BL511" i="9"/>
  <c r="BM95" i="9"/>
  <c r="BL101" i="9"/>
  <c r="CF4" i="3"/>
  <c r="CF144" i="3"/>
  <c r="CE434" i="9"/>
  <c r="CE377" i="9"/>
  <c r="CE225" i="9"/>
  <c r="CE358" i="9"/>
  <c r="CE415" i="9"/>
  <c r="CE130" i="9"/>
  <c r="CE320" i="9"/>
  <c r="CE111" i="9"/>
  <c r="CE263" i="9"/>
  <c r="CE396" i="9"/>
  <c r="CE301" i="9"/>
  <c r="CE187" i="9"/>
  <c r="CE244" i="9"/>
  <c r="CE206" i="9"/>
  <c r="CE168" i="9"/>
  <c r="CE92" i="9"/>
  <c r="CE339" i="9"/>
  <c r="CE73" i="9"/>
  <c r="CE282" i="9"/>
  <c r="CE149" i="9"/>
  <c r="BL611" i="9"/>
  <c r="BL893" i="9" s="1"/>
  <c r="BM256" i="9"/>
  <c r="BM449" i="9"/>
  <c r="BM232" i="9"/>
  <c r="AH258" i="3"/>
  <c r="AH281" i="3" s="1"/>
  <c r="AH212" i="3"/>
  <c r="AH216" i="3"/>
  <c r="AH262" i="3"/>
  <c r="AH285" i="3" s="1"/>
  <c r="AH222" i="3"/>
  <c r="AH268" i="3"/>
  <c r="BM451" i="9"/>
  <c r="BM270" i="9"/>
  <c r="BL1013" i="9"/>
  <c r="BL522" i="9"/>
  <c r="BL310" i="9"/>
  <c r="BM304" i="9"/>
  <c r="AG46" i="20"/>
  <c r="AG16" i="30" s="1"/>
  <c r="AG23" i="30"/>
  <c r="AG179" i="20"/>
  <c r="AG85" i="20"/>
  <c r="AG20" i="30" s="1"/>
  <c r="CF12" i="3"/>
  <c r="CF3" i="3" s="1"/>
  <c r="CF41" i="3"/>
  <c r="CF24" i="3"/>
  <c r="CG8" i="3"/>
  <c r="CF5" i="3"/>
  <c r="CF146" i="3"/>
  <c r="BN459" i="9"/>
  <c r="BN422" i="9"/>
  <c r="AE47" i="30"/>
  <c r="AE38" i="30"/>
  <c r="AC96" i="33"/>
  <c r="AC101" i="33" s="1"/>
  <c r="AC104" i="33" s="1"/>
  <c r="AD211" i="30"/>
  <c r="AC214" i="30"/>
  <c r="AC217" i="30" s="1"/>
  <c r="AC83" i="6"/>
  <c r="BL619" i="9"/>
  <c r="BL901" i="9" s="1"/>
  <c r="BM408" i="9"/>
  <c r="AH215" i="3"/>
  <c r="AH261" i="3"/>
  <c r="AH284" i="3" s="1"/>
  <c r="BL601" i="9"/>
  <c r="BL883" i="9" s="1"/>
  <c r="BM66" i="9"/>
  <c r="BM458" i="9"/>
  <c r="BM403" i="9"/>
  <c r="AG194" i="30"/>
  <c r="AG179" i="30"/>
  <c r="AG65" i="33" s="1"/>
  <c r="CF147" i="3"/>
  <c r="CF139" i="3"/>
  <c r="CF140" i="3"/>
  <c r="BM440" i="9"/>
  <c r="BM61" i="9"/>
  <c r="AE28" i="32"/>
  <c r="AE33" i="32"/>
  <c r="AG718" i="9"/>
  <c r="AH229" i="3"/>
  <c r="AG229" i="3"/>
  <c r="BL613" i="9"/>
  <c r="BL895" i="9" s="1"/>
  <c r="BM294" i="9"/>
  <c r="AG731" i="9"/>
  <c r="AG242" i="3"/>
  <c r="AH3" i="11"/>
  <c r="AH14" i="3"/>
  <c r="AH3" i="35"/>
  <c r="AH3" i="33"/>
  <c r="AI3" i="12"/>
  <c r="AH3" i="32"/>
  <c r="AH3" i="30"/>
  <c r="AH3" i="38"/>
  <c r="AH3" i="6"/>
  <c r="AH3" i="9"/>
  <c r="AH3" i="26"/>
  <c r="AH3" i="16"/>
  <c r="AH3" i="22"/>
  <c r="AH3" i="20"/>
  <c r="AH3" i="1"/>
  <c r="AH3" i="28"/>
  <c r="AH37" i="3"/>
  <c r="BL603" i="9"/>
  <c r="BL885" i="9" s="1"/>
  <c r="BM104" i="9"/>
  <c r="BM454" i="9"/>
  <c r="BM327" i="9"/>
  <c r="BM456" i="9"/>
  <c r="BM365" i="9"/>
  <c r="BM457" i="9"/>
  <c r="BM384" i="9"/>
  <c r="AG29" i="20"/>
  <c r="AG14" i="30" s="1"/>
  <c r="AG24" i="32"/>
  <c r="AG25" i="32" s="1"/>
  <c r="AG24" i="35" s="1"/>
  <c r="AG114" i="20"/>
  <c r="AG44" i="30"/>
  <c r="AG45" i="30" s="1"/>
  <c r="AG154" i="20"/>
  <c r="CF153" i="3"/>
  <c r="CF143" i="3"/>
  <c r="CF154" i="3"/>
  <c r="BM289" i="9"/>
  <c r="BM452" i="9"/>
  <c r="BM448" i="9"/>
  <c r="BM213" i="9"/>
  <c r="AH81" i="3"/>
  <c r="AG275" i="3"/>
  <c r="AD82" i="35"/>
  <c r="AD67" i="33"/>
  <c r="AD69" i="33" s="1"/>
  <c r="AD31" i="32"/>
  <c r="AD27" i="32"/>
  <c r="AD208" i="30"/>
  <c r="AD92" i="33" s="1"/>
  <c r="BM450" i="9"/>
  <c r="BM251" i="9"/>
  <c r="AG52" i="30"/>
  <c r="AG54" i="30" s="1"/>
  <c r="AG41" i="6"/>
  <c r="AG44" i="6" s="1"/>
  <c r="AG164" i="20"/>
  <c r="BM445" i="9"/>
  <c r="BM156" i="9"/>
  <c r="CF141" i="3"/>
  <c r="CF148" i="3"/>
  <c r="CF155" i="3"/>
  <c r="BL1015" i="9"/>
  <c r="BL524" i="9"/>
  <c r="BL348" i="9"/>
  <c r="BM342" i="9"/>
  <c r="AH4" i="11"/>
  <c r="AH22" i="3"/>
  <c r="AH30" i="3"/>
  <c r="AH16" i="3"/>
  <c r="AH4" i="35"/>
  <c r="AH4" i="33"/>
  <c r="AI4" i="12"/>
  <c r="AH4" i="32"/>
  <c r="AH4" i="30"/>
  <c r="AH4" i="38"/>
  <c r="AH4" i="6"/>
  <c r="AH4" i="9"/>
  <c r="AH4" i="26"/>
  <c r="AH4" i="16"/>
  <c r="AH4" i="22"/>
  <c r="AH4" i="20"/>
  <c r="AH4" i="1"/>
  <c r="AH4" i="28"/>
  <c r="AH20" i="3"/>
  <c r="BM444" i="9"/>
  <c r="BM137" i="9"/>
  <c r="AH76" i="3"/>
  <c r="AH168" i="3"/>
  <c r="AH191" i="3" s="1"/>
  <c r="BM535" i="9"/>
  <c r="BM126" i="9"/>
  <c r="AI10" i="3"/>
  <c r="AI138" i="3" s="1"/>
  <c r="BM609" i="9"/>
  <c r="BM891" i="9" s="1"/>
  <c r="BN218" i="9"/>
  <c r="AG745" i="9"/>
  <c r="BM538" i="9"/>
  <c r="BM183" i="9"/>
  <c r="AG744" i="9"/>
  <c r="AF80" i="33"/>
  <c r="AG131" i="20"/>
  <c r="AG132" i="20" s="1"/>
  <c r="AG28" i="30" s="1"/>
  <c r="AG26" i="32" s="1"/>
  <c r="AG25" i="35" s="1"/>
  <c r="CF156" i="3"/>
  <c r="CF137" i="3"/>
  <c r="CF142" i="3"/>
  <c r="BM551" i="9"/>
  <c r="BM430" i="9"/>
  <c r="E164" i="23"/>
  <c r="E162" i="23" a="1"/>
  <c r="AG13" i="30" l="1"/>
  <c r="AH74" i="3"/>
  <c r="AH80" i="3"/>
  <c r="AH86" i="3"/>
  <c r="AH75" i="3"/>
  <c r="AH78" i="3"/>
  <c r="AH70" i="3"/>
  <c r="AH68" i="3"/>
  <c r="AH267" i="3"/>
  <c r="AH290" i="3" s="1"/>
  <c r="AH221" i="3"/>
  <c r="AH733" i="9" s="1"/>
  <c r="AG754" i="9"/>
  <c r="AH85" i="3"/>
  <c r="AH82" i="3"/>
  <c r="AH73" i="3"/>
  <c r="AI153" i="3"/>
  <c r="AH83" i="3"/>
  <c r="AI146" i="3"/>
  <c r="AI169" i="3" s="1"/>
  <c r="AI192" i="3" s="1"/>
  <c r="AI151" i="3"/>
  <c r="AI174" i="3" s="1"/>
  <c r="AI197" i="3" s="1"/>
  <c r="AI156" i="3"/>
  <c r="AI179" i="3" s="1"/>
  <c r="AI202" i="3" s="1"/>
  <c r="AI141" i="3"/>
  <c r="AI164" i="3" s="1"/>
  <c r="AI187" i="3" s="1"/>
  <c r="AI150" i="3"/>
  <c r="AI173" i="3" s="1"/>
  <c r="AI196" i="3" s="1"/>
  <c r="AI155" i="3"/>
  <c r="AI178" i="3" s="1"/>
  <c r="AI201" i="3" s="1"/>
  <c r="AD94" i="33"/>
  <c r="AH242" i="3"/>
  <c r="AH257" i="3"/>
  <c r="AH280" i="3" s="1"/>
  <c r="AH211" i="3"/>
  <c r="AG72" i="30"/>
  <c r="AG74" i="30" s="1"/>
  <c r="AH40" i="6"/>
  <c r="AG12" i="6"/>
  <c r="AI161" i="3"/>
  <c r="AI184" i="3" s="1"/>
  <c r="CF179" i="3"/>
  <c r="AI147" i="3"/>
  <c r="AI139" i="3"/>
  <c r="AH180" i="20" a="1"/>
  <c r="AH180" i="20" s="1"/>
  <c r="AH162" i="20" a="1"/>
  <c r="AH162" i="20" s="1"/>
  <c r="AH153" i="20" a="1"/>
  <c r="AH153" i="20" s="1"/>
  <c r="AH150" i="20" a="1"/>
  <c r="AH150" i="20" s="1"/>
  <c r="AH41" i="30" s="1"/>
  <c r="AH135" i="20" a="1"/>
  <c r="AH135" i="20" s="1"/>
  <c r="AH137" i="20" s="1"/>
  <c r="AH29" i="30" s="1"/>
  <c r="AH128" i="20" a="1"/>
  <c r="AH128" i="20" s="1"/>
  <c r="AH129" i="20" a="1"/>
  <c r="AH129" i="20" s="1"/>
  <c r="AH127" i="20" a="1"/>
  <c r="AH127" i="20" s="1"/>
  <c r="AH130" i="20" a="1"/>
  <c r="AH130" i="20" s="1"/>
  <c r="AH125" i="20" a="1"/>
  <c r="AH125" i="20" s="1"/>
  <c r="AH120" i="20" a="1"/>
  <c r="AH120" i="20" s="1"/>
  <c r="AH121" i="20" a="1"/>
  <c r="AH121" i="20" s="1"/>
  <c r="AH117" i="20" a="1"/>
  <c r="AH117" i="20" s="1"/>
  <c r="AH122" i="20" a="1"/>
  <c r="AH122" i="20" s="1"/>
  <c r="AH118" i="20" a="1"/>
  <c r="AH118" i="20" s="1"/>
  <c r="AH124" i="20" a="1"/>
  <c r="AH124" i="20" s="1"/>
  <c r="AH123" i="20" a="1"/>
  <c r="AH123" i="20" s="1"/>
  <c r="AH119" i="20" a="1"/>
  <c r="AH119" i="20" s="1"/>
  <c r="AH106" i="20" a="1"/>
  <c r="AH106" i="20" s="1"/>
  <c r="AH107" i="20" a="1"/>
  <c r="AH107" i="20" s="1"/>
  <c r="AH110" i="20" a="1"/>
  <c r="AH110" i="20" s="1"/>
  <c r="AH111" i="20" a="1"/>
  <c r="AH111" i="20" s="1"/>
  <c r="AH105" i="20" a="1"/>
  <c r="AH105" i="20" s="1"/>
  <c r="AH112" i="20" a="1"/>
  <c r="AH112" i="20" s="1"/>
  <c r="AH108" i="20" a="1"/>
  <c r="AH108" i="20" s="1"/>
  <c r="AH109" i="20" a="1"/>
  <c r="AH109" i="20" s="1"/>
  <c r="AH82" i="20" a="1"/>
  <c r="AH82" i="20" s="1"/>
  <c r="AH78" i="20" a="1"/>
  <c r="AH78" i="20" s="1"/>
  <c r="AH73" i="20" a="1"/>
  <c r="AH73" i="20" s="1"/>
  <c r="AH69" i="20" a="1"/>
  <c r="AH69" i="20" s="1"/>
  <c r="AH65" i="20" a="1"/>
  <c r="AH65" i="20" s="1"/>
  <c r="AH54" i="20" a="1"/>
  <c r="AH54" i="20" s="1"/>
  <c r="AH52" i="20" a="1"/>
  <c r="AH52" i="20" s="1"/>
  <c r="AH59" i="20" a="1"/>
  <c r="AH59" i="20" s="1"/>
  <c r="AH93" i="20" a="1"/>
  <c r="AH93" i="20" s="1"/>
  <c r="AH88" i="20" a="1"/>
  <c r="AH88" i="20" s="1"/>
  <c r="AH83" i="20" a="1"/>
  <c r="AH83" i="20" s="1"/>
  <c r="AH79" i="20" a="1"/>
  <c r="AH79" i="20" s="1"/>
  <c r="AH70" i="20" a="1"/>
  <c r="AH70" i="20" s="1"/>
  <c r="AH66" i="20" a="1"/>
  <c r="AH66" i="20" s="1"/>
  <c r="AH47" i="20" a="1"/>
  <c r="AH47" i="20" s="1"/>
  <c r="AH45" i="20" a="1"/>
  <c r="AH45" i="20" s="1"/>
  <c r="AH39" i="20" a="1"/>
  <c r="AH39" i="20" s="1"/>
  <c r="AH37" i="20" a="1"/>
  <c r="AH37" i="20" s="1"/>
  <c r="AH33" i="20" a="1"/>
  <c r="AH33" i="20" s="1"/>
  <c r="AH21" i="20" a="1"/>
  <c r="AH21" i="20" s="1"/>
  <c r="AH17" i="20" a="1"/>
  <c r="AH17" i="20" s="1"/>
  <c r="AH42" i="20" a="1"/>
  <c r="AH42" i="20" s="1"/>
  <c r="AH61" i="20" a="1"/>
  <c r="AH61" i="20" s="1"/>
  <c r="AH57" i="20" a="1"/>
  <c r="AH57" i="20" s="1"/>
  <c r="AH94" i="20" a="1"/>
  <c r="AH94" i="20" s="1"/>
  <c r="AH89" i="20" a="1"/>
  <c r="AH89" i="20" s="1"/>
  <c r="AH84" i="20" a="1"/>
  <c r="AH84" i="20" s="1"/>
  <c r="AH80" i="20" a="1"/>
  <c r="AH80" i="20" s="1"/>
  <c r="AH71" i="20" a="1"/>
  <c r="AH71" i="20" s="1"/>
  <c r="AH67" i="20" a="1"/>
  <c r="AH67" i="20" s="1"/>
  <c r="AH50" i="20" a="1"/>
  <c r="AH50" i="20" s="1"/>
  <c r="AH98" i="20" a="1"/>
  <c r="AH98" i="20" s="1"/>
  <c r="AH100" i="20" s="1"/>
  <c r="AH95" i="20" a="1"/>
  <c r="AH95" i="20" s="1"/>
  <c r="AH81" i="20" a="1"/>
  <c r="AH81" i="20" s="1"/>
  <c r="AH77" i="20" a="1"/>
  <c r="AH77" i="20" s="1"/>
  <c r="AH72" i="20" a="1"/>
  <c r="AH72" i="20" s="1"/>
  <c r="AH68" i="20" a="1"/>
  <c r="AH68" i="20" s="1"/>
  <c r="AH64" i="20" a="1"/>
  <c r="AH64" i="20" s="1"/>
  <c r="AH58" i="20" a="1"/>
  <c r="AH58" i="20" s="1"/>
  <c r="AH51" i="20" a="1"/>
  <c r="AH51" i="20" s="1"/>
  <c r="AH12" i="20" a="1"/>
  <c r="AH12" i="20" s="1"/>
  <c r="AH27" i="20" a="1"/>
  <c r="AH27" i="20" s="1"/>
  <c r="AH43" i="20" a="1"/>
  <c r="AH43" i="20" s="1"/>
  <c r="AH34" i="20" a="1"/>
  <c r="AH34" i="20" s="1"/>
  <c r="AH44" i="20" a="1"/>
  <c r="AH44" i="20" s="1"/>
  <c r="AH35" i="20" a="1"/>
  <c r="AH35" i="20" s="1"/>
  <c r="AH24" i="20" a="1"/>
  <c r="AH24" i="20" s="1"/>
  <c r="AH20" i="20" a="1"/>
  <c r="AH20" i="20" s="1"/>
  <c r="AH11" i="20" a="1"/>
  <c r="AH11" i="20" s="1"/>
  <c r="AH22" i="20" a="1"/>
  <c r="AH22" i="20" s="1"/>
  <c r="AH36" i="20" a="1"/>
  <c r="AH36" i="20" s="1"/>
  <c r="AH28" i="20" a="1"/>
  <c r="AH28" i="20" s="1"/>
  <c r="AH18" i="20" a="1"/>
  <c r="AH18" i="20" s="1"/>
  <c r="AH14" i="20" a="1"/>
  <c r="AH14" i="20" s="1"/>
  <c r="AH30" i="20" a="1"/>
  <c r="AH30" i="20" s="1"/>
  <c r="AH19" i="20" a="1"/>
  <c r="AH19" i="20" s="1"/>
  <c r="BM1012" i="9"/>
  <c r="BM521" i="9"/>
  <c r="BN285" i="9"/>
  <c r="BM291" i="9"/>
  <c r="BM534" i="9"/>
  <c r="BM107" i="9"/>
  <c r="AG77" i="33"/>
  <c r="AG195" i="30"/>
  <c r="AG78" i="33" s="1"/>
  <c r="AH727" i="9"/>
  <c r="AH238" i="3"/>
  <c r="BT5" i="11"/>
  <c r="CF61" i="3"/>
  <c r="CF107" i="3" s="1"/>
  <c r="CF53" i="3"/>
  <c r="CF99" i="3" s="1"/>
  <c r="CF45" i="3"/>
  <c r="CF91" i="3" s="1"/>
  <c r="CF63" i="3"/>
  <c r="CF109" i="3" s="1"/>
  <c r="CF58" i="3"/>
  <c r="CF104" i="3" s="1"/>
  <c r="CF48" i="3"/>
  <c r="CF94" i="3" s="1"/>
  <c r="CF51" i="3"/>
  <c r="CF97" i="3" s="1"/>
  <c r="CF56" i="3"/>
  <c r="CF102" i="3" s="1"/>
  <c r="CF60" i="3"/>
  <c r="CF106" i="3" s="1"/>
  <c r="CF55" i="3"/>
  <c r="CF101" i="3" s="1"/>
  <c r="CF52" i="3"/>
  <c r="CF98" i="3" s="1"/>
  <c r="CF46" i="3"/>
  <c r="CF92" i="3" s="1"/>
  <c r="CF57" i="3"/>
  <c r="CF103" i="3" s="1"/>
  <c r="CF64" i="3"/>
  <c r="CF110" i="3" s="1"/>
  <c r="CF49" i="3"/>
  <c r="CF95" i="3" s="1"/>
  <c r="CF62" i="3"/>
  <c r="CF108" i="3" s="1"/>
  <c r="CF47" i="3"/>
  <c r="CF93" i="3" s="1"/>
  <c r="CF59" i="3"/>
  <c r="CF105" i="3" s="1"/>
  <c r="CF50" i="3"/>
  <c r="CF96" i="3" s="1"/>
  <c r="CF54" i="3"/>
  <c r="CF100" i="3" s="1"/>
  <c r="CF5" i="35"/>
  <c r="CF5" i="33"/>
  <c r="CG5" i="12"/>
  <c r="CF5" i="32"/>
  <c r="CF5" i="30"/>
  <c r="CF5" i="38"/>
  <c r="CF5" i="6"/>
  <c r="CF5" i="9"/>
  <c r="CF5" i="26"/>
  <c r="CF5" i="16"/>
  <c r="CF5" i="22"/>
  <c r="CF5" i="20"/>
  <c r="CF5" i="1"/>
  <c r="CF5" i="28"/>
  <c r="CF133" i="3"/>
  <c r="CF125" i="3"/>
  <c r="CF116" i="3"/>
  <c r="CF128" i="3"/>
  <c r="CF118" i="3"/>
  <c r="CF132" i="3"/>
  <c r="CF115" i="3"/>
  <c r="CF126" i="3"/>
  <c r="CF124" i="3"/>
  <c r="CF131" i="3"/>
  <c r="CF122" i="3"/>
  <c r="CF120" i="3"/>
  <c r="CF117" i="3"/>
  <c r="CF130" i="3"/>
  <c r="CF114" i="3"/>
  <c r="CF119" i="3"/>
  <c r="CF129" i="3"/>
  <c r="CF127" i="3"/>
  <c r="CF121" i="3"/>
  <c r="CF123" i="3"/>
  <c r="AH291" i="3"/>
  <c r="AG102" i="20"/>
  <c r="BM1003" i="9"/>
  <c r="BM512" i="9"/>
  <c r="BN114" i="9"/>
  <c r="BM120" i="9"/>
  <c r="BM533" i="9"/>
  <c r="BM88" i="9"/>
  <c r="AH790" i="9"/>
  <c r="AH795" i="9"/>
  <c r="AH102" i="3"/>
  <c r="AH79" i="3"/>
  <c r="BM1010" i="9"/>
  <c r="BM519" i="9"/>
  <c r="BN247" i="9"/>
  <c r="BM253" i="9"/>
  <c r="BN540" i="9"/>
  <c r="BN221" i="9"/>
  <c r="AI144" i="3"/>
  <c r="AI137" i="3"/>
  <c r="AI148" i="3"/>
  <c r="AH214" i="3"/>
  <c r="AH260" i="3"/>
  <c r="AH283" i="3" s="1"/>
  <c r="CF177" i="3"/>
  <c r="AD212" i="30"/>
  <c r="CG10" i="3"/>
  <c r="CG146" i="3" s="1"/>
  <c r="BM453" i="9"/>
  <c r="BM308" i="9"/>
  <c r="AH734" i="9"/>
  <c r="AH245" i="3"/>
  <c r="BM442" i="9"/>
  <c r="BM99" i="9"/>
  <c r="BM618" i="9"/>
  <c r="BM900" i="9" s="1"/>
  <c r="BN389" i="9"/>
  <c r="BM614" i="9"/>
  <c r="BM896" i="9" s="1"/>
  <c r="BN313" i="9"/>
  <c r="BM605" i="9"/>
  <c r="BM887" i="9" s="1"/>
  <c r="BN142" i="9"/>
  <c r="AH800" i="9"/>
  <c r="AH797" i="9"/>
  <c r="AF47" i="30"/>
  <c r="AF38" i="30"/>
  <c r="AH719" i="9"/>
  <c r="AH230" i="3"/>
  <c r="CF178" i="3"/>
  <c r="BM1000" i="9"/>
  <c r="BM509" i="9"/>
  <c r="BN57" i="9"/>
  <c r="BM63" i="9"/>
  <c r="BM1018" i="9"/>
  <c r="BM527" i="9"/>
  <c r="BN399" i="9"/>
  <c r="BM405" i="9"/>
  <c r="BM542" i="9"/>
  <c r="BM259" i="9"/>
  <c r="BM447" i="9"/>
  <c r="BM194" i="9"/>
  <c r="BM446" i="9"/>
  <c r="BM175" i="9"/>
  <c r="BM546" i="9"/>
  <c r="BM335" i="9"/>
  <c r="AH802" i="9"/>
  <c r="AH788" i="9"/>
  <c r="AH107" i="3"/>
  <c r="AH84" i="3"/>
  <c r="AF33" i="32"/>
  <c r="AF28" i="32"/>
  <c r="BM544" i="9"/>
  <c r="BM297" i="9"/>
  <c r="AH728" i="9"/>
  <c r="AH239" i="3"/>
  <c r="BM537" i="9"/>
  <c r="BM164" i="9"/>
  <c r="CF173" i="3"/>
  <c r="AH736" i="9"/>
  <c r="AH247" i="3"/>
  <c r="AH722" i="9"/>
  <c r="AH233" i="3"/>
  <c r="AH793" i="9"/>
  <c r="AH794" i="9"/>
  <c r="AH791" i="9"/>
  <c r="AH94" i="3"/>
  <c r="AH71" i="3"/>
  <c r="AH100" i="3"/>
  <c r="AH77" i="3"/>
  <c r="AH721" i="9"/>
  <c r="AH232" i="3"/>
  <c r="BM1004" i="9"/>
  <c r="BM513" i="9"/>
  <c r="BN133" i="9"/>
  <c r="BM139" i="9"/>
  <c r="CF171" i="3"/>
  <c r="CF176" i="3"/>
  <c r="BM620" i="9"/>
  <c r="BM902" i="9" s="1"/>
  <c r="BN427" i="9"/>
  <c r="BM607" i="9"/>
  <c r="BM889" i="9" s="1"/>
  <c r="BN180" i="9"/>
  <c r="AI152" i="3"/>
  <c r="AI145" i="3"/>
  <c r="AI142" i="3"/>
  <c r="AH780" i="9"/>
  <c r="AH776" i="9"/>
  <c r="AH772" i="9"/>
  <c r="AH768" i="9"/>
  <c r="AH764" i="9"/>
  <c r="AH783" i="9"/>
  <c r="AH765" i="9"/>
  <c r="AH778" i="9"/>
  <c r="AH771" i="9"/>
  <c r="AH773" i="9"/>
  <c r="AH766" i="9"/>
  <c r="AH779" i="9"/>
  <c r="AH781" i="9"/>
  <c r="AH774" i="9"/>
  <c r="AH767" i="9"/>
  <c r="AH769" i="9"/>
  <c r="AH782" i="9"/>
  <c r="AH775" i="9"/>
  <c r="AH777" i="9"/>
  <c r="AH770" i="9"/>
  <c r="AH713" i="9"/>
  <c r="AH705" i="9"/>
  <c r="AH697" i="9"/>
  <c r="AH710" i="9"/>
  <c r="AH703" i="9"/>
  <c r="AH698" i="9"/>
  <c r="AH708" i="9"/>
  <c r="AH702" i="9"/>
  <c r="AH695" i="9"/>
  <c r="AH707" i="9"/>
  <c r="AH700" i="9"/>
  <c r="AH714" i="9"/>
  <c r="AH712" i="9"/>
  <c r="AH709" i="9"/>
  <c r="AH704" i="9"/>
  <c r="AH699" i="9"/>
  <c r="AH711" i="9"/>
  <c r="AH706" i="9"/>
  <c r="AH701" i="9"/>
  <c r="AH696" i="9"/>
  <c r="AH18" i="3"/>
  <c r="CF164" i="3"/>
  <c r="BM1016" i="9"/>
  <c r="BM525" i="9"/>
  <c r="BM367" i="9"/>
  <c r="BN361" i="9"/>
  <c r="CF163" i="3"/>
  <c r="BM532" i="9"/>
  <c r="BM69" i="9"/>
  <c r="AE54" i="33"/>
  <c r="AE148" i="30"/>
  <c r="AE180" i="30" s="1"/>
  <c r="AE56" i="30"/>
  <c r="AE58" i="30" s="1"/>
  <c r="BT3" i="11"/>
  <c r="CF14" i="3"/>
  <c r="CF3" i="35"/>
  <c r="CF3" i="33"/>
  <c r="CG3" i="12"/>
  <c r="CF3" i="32"/>
  <c r="CF3" i="30"/>
  <c r="CF3" i="38"/>
  <c r="CF3" i="6"/>
  <c r="CF3" i="9"/>
  <c r="CF3" i="26"/>
  <c r="CF3" i="16"/>
  <c r="CF3" i="22"/>
  <c r="CF3" i="20"/>
  <c r="DL2" i="20" s="1"/>
  <c r="CF3" i="1"/>
  <c r="DP2" i="1" s="1"/>
  <c r="CF3" i="28"/>
  <c r="CF167" i="3"/>
  <c r="BM202" i="9"/>
  <c r="BM539" i="9"/>
  <c r="CF174" i="3"/>
  <c r="BM617" i="9"/>
  <c r="BM899" i="9" s="1"/>
  <c r="BN370" i="9"/>
  <c r="CF161" i="3"/>
  <c r="BM441" i="9"/>
  <c r="BM80" i="9"/>
  <c r="AH787" i="9"/>
  <c r="AH805" i="9"/>
  <c r="AH804" i="9"/>
  <c r="AH200" i="26"/>
  <c r="AH147" i="26"/>
  <c r="AH63" i="26"/>
  <c r="AH118" i="26"/>
  <c r="AH113" i="26"/>
  <c r="AH98" i="26"/>
  <c r="AH143" i="26"/>
  <c r="AH116" i="26"/>
  <c r="AH72" i="26"/>
  <c r="AH184" i="26"/>
  <c r="AH209" i="26"/>
  <c r="AH174" i="26"/>
  <c r="AH146" i="26"/>
  <c r="AH94" i="26"/>
  <c r="AH112" i="26"/>
  <c r="AH69" i="26"/>
  <c r="AH122" i="26"/>
  <c r="AH99" i="26"/>
  <c r="AH67" i="26"/>
  <c r="AH181" i="26"/>
  <c r="AH183" i="26"/>
  <c r="AH111" i="26"/>
  <c r="AH202" i="26"/>
  <c r="AH88" i="26"/>
  <c r="AH206" i="26"/>
  <c r="AH140" i="26"/>
  <c r="AH142" i="26"/>
  <c r="AH182" i="26"/>
  <c r="AH117" i="26"/>
  <c r="AH180" i="26"/>
  <c r="AH62" i="26"/>
  <c r="AH121" i="26"/>
  <c r="AH70" i="26"/>
  <c r="AH60" i="26"/>
  <c r="AH198" i="26"/>
  <c r="AH197" i="26"/>
  <c r="AH150" i="26"/>
  <c r="AH149" i="26"/>
  <c r="AH119" i="26"/>
  <c r="AH137" i="26"/>
  <c r="AH74" i="26"/>
  <c r="AH91" i="26"/>
  <c r="AH151" i="26"/>
  <c r="AH115" i="26"/>
  <c r="AH93" i="26"/>
  <c r="AH172" i="26"/>
  <c r="AH196" i="26"/>
  <c r="AH177" i="26"/>
  <c r="AH178" i="26"/>
  <c r="AH85" i="26"/>
  <c r="AH144" i="26"/>
  <c r="AH86" i="26"/>
  <c r="AH171" i="26"/>
  <c r="AH185" i="26"/>
  <c r="AH96" i="26"/>
  <c r="AH203" i="26"/>
  <c r="AH138" i="26"/>
  <c r="AH124" i="26"/>
  <c r="AH201" i="26"/>
  <c r="AH87" i="26"/>
  <c r="AH141" i="26"/>
  <c r="AH95" i="26"/>
  <c r="AH64" i="26"/>
  <c r="AH179" i="26"/>
  <c r="AH205" i="26"/>
  <c r="AH145" i="26"/>
  <c r="AH92" i="26"/>
  <c r="AH97" i="26"/>
  <c r="AH139" i="26"/>
  <c r="AH175" i="26"/>
  <c r="AH120" i="26"/>
  <c r="AH65" i="26"/>
  <c r="AH123" i="26"/>
  <c r="AH173" i="26"/>
  <c r="AH176" i="26"/>
  <c r="AH207" i="26"/>
  <c r="AH208" i="26"/>
  <c r="AH199" i="26"/>
  <c r="AH71" i="26"/>
  <c r="AH61" i="26"/>
  <c r="AH125" i="26"/>
  <c r="AH114" i="26"/>
  <c r="AH89" i="26"/>
  <c r="AH148" i="26"/>
  <c r="AH73" i="26"/>
  <c r="AH195" i="26"/>
  <c r="AH204" i="26"/>
  <c r="AH68" i="26"/>
  <c r="AH66" i="26"/>
  <c r="AH90" i="26"/>
  <c r="AH95" i="3"/>
  <c r="AH72" i="3"/>
  <c r="AH725" i="9"/>
  <c r="AH236" i="3"/>
  <c r="AH729" i="9"/>
  <c r="AH240" i="3"/>
  <c r="BM1017" i="9"/>
  <c r="BM386" i="9"/>
  <c r="BM526" i="9"/>
  <c r="BN380" i="9"/>
  <c r="BM1005" i="9"/>
  <c r="BM514" i="9"/>
  <c r="BN152" i="9"/>
  <c r="BM158" i="9"/>
  <c r="BM1008" i="9"/>
  <c r="BM517" i="9"/>
  <c r="BM215" i="9"/>
  <c r="BN209" i="9"/>
  <c r="CF162" i="3"/>
  <c r="BM550" i="9"/>
  <c r="BM411" i="9"/>
  <c r="BN1019" i="9"/>
  <c r="BN528" i="9"/>
  <c r="BN424" i="9"/>
  <c r="BO418" i="9"/>
  <c r="AE136" i="30"/>
  <c r="AE137" i="30" s="1"/>
  <c r="AF256" i="6"/>
  <c r="AH724" i="9"/>
  <c r="AH235" i="3"/>
  <c r="BT4" i="11"/>
  <c r="CF22" i="3"/>
  <c r="CF16" i="3"/>
  <c r="CF4" i="35"/>
  <c r="CF4" i="33"/>
  <c r="CG4" i="12"/>
  <c r="CF4" i="32"/>
  <c r="CF4" i="30"/>
  <c r="CF4" i="38"/>
  <c r="CF4" i="6"/>
  <c r="CF4" i="9"/>
  <c r="CF4" i="26"/>
  <c r="CF4" i="16"/>
  <c r="CF4" i="22"/>
  <c r="CF4" i="20"/>
  <c r="CF4" i="1"/>
  <c r="CF4" i="28"/>
  <c r="CF20" i="3"/>
  <c r="BM354" i="9"/>
  <c r="BM547" i="9"/>
  <c r="CF168" i="3"/>
  <c r="AH789" i="9"/>
  <c r="AH803" i="9"/>
  <c r="AH792" i="9"/>
  <c r="AH434" i="9"/>
  <c r="AH377" i="9"/>
  <c r="AH225" i="9"/>
  <c r="AH358" i="9"/>
  <c r="AH415" i="9"/>
  <c r="AH396" i="9"/>
  <c r="AH244" i="9"/>
  <c r="AH206" i="9"/>
  <c r="AH130" i="9"/>
  <c r="AH282" i="9"/>
  <c r="AH111" i="9"/>
  <c r="AH339" i="9"/>
  <c r="AH320" i="9"/>
  <c r="AH263" i="9"/>
  <c r="AH187" i="9"/>
  <c r="AH168" i="9"/>
  <c r="AH149" i="9"/>
  <c r="AH92" i="9"/>
  <c r="AH73" i="9"/>
  <c r="AH301" i="9"/>
  <c r="AH92" i="3"/>
  <c r="AH69" i="3"/>
  <c r="AH741" i="9"/>
  <c r="AH730" i="9"/>
  <c r="AH241" i="3"/>
  <c r="AI176" i="3"/>
  <c r="AI199" i="3" s="1"/>
  <c r="CF165" i="3"/>
  <c r="AI149" i="3"/>
  <c r="BM604" i="9"/>
  <c r="BM886" i="9" s="1"/>
  <c r="BN123" i="9"/>
  <c r="AH26" i="3"/>
  <c r="AH28" i="3"/>
  <c r="BM455" i="9"/>
  <c r="BM346" i="9"/>
  <c r="AG27" i="30"/>
  <c r="AG30" i="30" s="1"/>
  <c r="AG139" i="20"/>
  <c r="BM1014" i="9"/>
  <c r="BM523" i="9"/>
  <c r="BM329" i="9"/>
  <c r="BN323" i="9"/>
  <c r="CF170" i="3"/>
  <c r="BM1011" i="9"/>
  <c r="BM520" i="9"/>
  <c r="BN266" i="9"/>
  <c r="BM272" i="9"/>
  <c r="AG22" i="30"/>
  <c r="AG24" i="30" s="1"/>
  <c r="AG175" i="20"/>
  <c r="BM612" i="9"/>
  <c r="BM894" i="9" s="1"/>
  <c r="BN275" i="9"/>
  <c r="AF174" i="20"/>
  <c r="AF181" i="20" s="1"/>
  <c r="AF62" i="30" s="1"/>
  <c r="AF156" i="20"/>
  <c r="AF166" i="20" s="1"/>
  <c r="AH798" i="9"/>
  <c r="AH801" i="9"/>
  <c r="AH799" i="9"/>
  <c r="AH754" i="9"/>
  <c r="AH732" i="9"/>
  <c r="AH243" i="3"/>
  <c r="CF166" i="3"/>
  <c r="AI12" i="3"/>
  <c r="AI3" i="3" s="1"/>
  <c r="AJ8" i="3"/>
  <c r="AI24" i="3"/>
  <c r="AI41" i="3"/>
  <c r="AI5" i="3"/>
  <c r="AI4" i="3"/>
  <c r="AI154" i="3"/>
  <c r="CF160" i="3"/>
  <c r="AI143" i="3"/>
  <c r="AI140" i="3"/>
  <c r="AG741" i="9"/>
  <c r="AC19" i="32"/>
  <c r="AC85" i="30"/>
  <c r="AC88" i="30" s="1"/>
  <c r="AC14" i="6"/>
  <c r="CF169" i="3"/>
  <c r="BM1009" i="9"/>
  <c r="BM518" i="9"/>
  <c r="BN228" i="9"/>
  <c r="BM234" i="9"/>
  <c r="AH735" i="9"/>
  <c r="AH246" i="3"/>
  <c r="BM610" i="9"/>
  <c r="BM892" i="9" s="1"/>
  <c r="BN237" i="9"/>
  <c r="AH796" i="9"/>
  <c r="AH806" i="9"/>
  <c r="AH737" i="9"/>
  <c r="AH248" i="3"/>
  <c r="AH720" i="9"/>
  <c r="AH231" i="3"/>
  <c r="E162" i="23"/>
  <c r="E160" i="23" a="1"/>
  <c r="AH13" i="20" l="1"/>
  <c r="AH244" i="3"/>
  <c r="AH25" i="30"/>
  <c r="AH74" i="20"/>
  <c r="AH19" i="30" s="1"/>
  <c r="CG144" i="3"/>
  <c r="CG167" i="3" s="1"/>
  <c r="AH748" i="9"/>
  <c r="CG4" i="3"/>
  <c r="CG20" i="3" s="1"/>
  <c r="AH757" i="9"/>
  <c r="AH753" i="9"/>
  <c r="AH29" i="20"/>
  <c r="AH14" i="30" s="1"/>
  <c r="AH745" i="9"/>
  <c r="CG145" i="3"/>
  <c r="CG168" i="3" s="1"/>
  <c r="AH760" i="9"/>
  <c r="CG152" i="3"/>
  <c r="CG175" i="3" s="1"/>
  <c r="AH60" i="20"/>
  <c r="AH18" i="30" s="1"/>
  <c r="AG14" i="32"/>
  <c r="AG32" i="30"/>
  <c r="AG36" i="30" s="1"/>
  <c r="AI265" i="3"/>
  <c r="AI288" i="3" s="1"/>
  <c r="AI219" i="3"/>
  <c r="AI261" i="3"/>
  <c r="AI284" i="3" s="1"/>
  <c r="AI215" i="3"/>
  <c r="CG169" i="3"/>
  <c r="AI222" i="3"/>
  <c r="AI268" i="3"/>
  <c r="AI291" i="3" s="1"/>
  <c r="AI224" i="3"/>
  <c r="AI270" i="3"/>
  <c r="AI293" i="3" s="1"/>
  <c r="BN541" i="9"/>
  <c r="BN240" i="9"/>
  <c r="AI163" i="3"/>
  <c r="AI186" i="3" s="1"/>
  <c r="AI5" i="11"/>
  <c r="AI61" i="3"/>
  <c r="AI107" i="3" s="1"/>
  <c r="AI53" i="3"/>
  <c r="AI45" i="3"/>
  <c r="AI60" i="3"/>
  <c r="AI47" i="3"/>
  <c r="AI55" i="3"/>
  <c r="AI50" i="3"/>
  <c r="AI62" i="3"/>
  <c r="AI51" i="3"/>
  <c r="AI56" i="3"/>
  <c r="AI102" i="3" s="1"/>
  <c r="AI59" i="3"/>
  <c r="AI58" i="3"/>
  <c r="AI54" i="3"/>
  <c r="AI100" i="3" s="1"/>
  <c r="AI52" i="3"/>
  <c r="AI49" i="3"/>
  <c r="AI95" i="3" s="1"/>
  <c r="AI48" i="3"/>
  <c r="AI94" i="3" s="1"/>
  <c r="AI57" i="3"/>
  <c r="AI64" i="3"/>
  <c r="AI63" i="3"/>
  <c r="AI46" i="3"/>
  <c r="AI92" i="3" s="1"/>
  <c r="AI5" i="35"/>
  <c r="AI5" i="33"/>
  <c r="AJ5" i="12"/>
  <c r="AI5" i="32"/>
  <c r="AI5" i="30"/>
  <c r="AI5" i="38"/>
  <c r="AI5" i="6"/>
  <c r="AI5" i="9"/>
  <c r="AI5" i="26"/>
  <c r="AI5" i="16"/>
  <c r="AI5" i="22"/>
  <c r="AI5" i="20"/>
  <c r="AI5" i="1"/>
  <c r="AI5" i="28"/>
  <c r="AI119" i="3"/>
  <c r="AI120" i="3"/>
  <c r="AI115" i="3"/>
  <c r="AI131" i="3"/>
  <c r="AI124" i="3"/>
  <c r="AI126" i="3"/>
  <c r="AI129" i="3"/>
  <c r="AI128" i="3"/>
  <c r="AI122" i="3"/>
  <c r="AI121" i="3"/>
  <c r="AI132" i="3"/>
  <c r="AI125" i="3"/>
  <c r="AI130" i="3"/>
  <c r="AI127" i="3"/>
  <c r="AI114" i="3"/>
  <c r="AI117" i="3"/>
  <c r="AI123" i="3"/>
  <c r="AI118" i="3"/>
  <c r="AI133" i="3"/>
  <c r="AI116" i="3"/>
  <c r="BN445" i="9"/>
  <c r="BN156" i="9"/>
  <c r="AH756" i="9"/>
  <c r="AH751" i="9"/>
  <c r="BM611" i="9"/>
  <c r="BM893" i="9" s="1"/>
  <c r="BN256" i="9"/>
  <c r="BN458" i="9"/>
  <c r="BN403" i="9"/>
  <c r="BN440" i="9"/>
  <c r="BN61" i="9"/>
  <c r="AF54" i="33"/>
  <c r="AF148" i="30"/>
  <c r="AF180" i="30" s="1"/>
  <c r="AF56" i="30"/>
  <c r="AF58" i="30" s="1"/>
  <c r="CG149" i="3"/>
  <c r="CG172" i="3" s="1"/>
  <c r="CG139" i="3"/>
  <c r="CG162" i="3" s="1"/>
  <c r="BN609" i="9"/>
  <c r="BN891" i="9" s="1"/>
  <c r="BO218" i="9"/>
  <c r="BN452" i="9"/>
  <c r="BN289" i="9"/>
  <c r="AH24" i="32"/>
  <c r="AH25" i="32" s="1"/>
  <c r="AH24" i="35" s="1"/>
  <c r="AH85" i="20"/>
  <c r="AH20" i="30" s="1"/>
  <c r="AH38" i="20"/>
  <c r="AH15" i="30" s="1"/>
  <c r="BN449" i="9"/>
  <c r="BN232" i="9"/>
  <c r="AC23" i="32"/>
  <c r="AC112" i="30"/>
  <c r="AC114" i="30"/>
  <c r="AI166" i="3"/>
  <c r="AI189" i="3" s="1"/>
  <c r="BM1015" i="9"/>
  <c r="BM524" i="9"/>
  <c r="BM348" i="9"/>
  <c r="BN342" i="9"/>
  <c r="AH747" i="9"/>
  <c r="BO459" i="9"/>
  <c r="BO422" i="9"/>
  <c r="BM1001" i="9"/>
  <c r="BM510" i="9"/>
  <c r="BM82" i="9"/>
  <c r="BN76" i="9"/>
  <c r="BN456" i="9"/>
  <c r="BN365" i="9"/>
  <c r="BN551" i="9"/>
  <c r="BN430" i="9"/>
  <c r="BM1002" i="9"/>
  <c r="BM511" i="9"/>
  <c r="BM101" i="9"/>
  <c r="BN95" i="9"/>
  <c r="CG41" i="3"/>
  <c r="CG24" i="3"/>
  <c r="CG12" i="3"/>
  <c r="CG3" i="3" s="1"/>
  <c r="CH8" i="3"/>
  <c r="CG5" i="3"/>
  <c r="CG140" i="3"/>
  <c r="BN450" i="9"/>
  <c r="BN251" i="9"/>
  <c r="BN443" i="9"/>
  <c r="BN118" i="9"/>
  <c r="BM603" i="9"/>
  <c r="BM885" i="9" s="1"/>
  <c r="BN104" i="9"/>
  <c r="AH90" i="20"/>
  <c r="AH21" i="30" s="1"/>
  <c r="AH194" i="30"/>
  <c r="AH179" i="30"/>
  <c r="AH65" i="33" s="1"/>
  <c r="AI253" i="3"/>
  <c r="AI276" i="3" s="1"/>
  <c r="AI207" i="3"/>
  <c r="AF257" i="6"/>
  <c r="AF259" i="6" s="1"/>
  <c r="AF170" i="20"/>
  <c r="AF60" i="30" s="1"/>
  <c r="AH826" i="9"/>
  <c r="AH827" i="9"/>
  <c r="AH819" i="9"/>
  <c r="AH811" i="9"/>
  <c r="AH828" i="9"/>
  <c r="AH825" i="9"/>
  <c r="AH817" i="9"/>
  <c r="AH810" i="9"/>
  <c r="AH824" i="9"/>
  <c r="AH823" i="9"/>
  <c r="AH822" i="9"/>
  <c r="AH821" i="9"/>
  <c r="AH820" i="9"/>
  <c r="AH829" i="9"/>
  <c r="AH818" i="9"/>
  <c r="AH813" i="9"/>
  <c r="AH816" i="9"/>
  <c r="AH815" i="9"/>
  <c r="AH814" i="9"/>
  <c r="AH812" i="9"/>
  <c r="BM613" i="9"/>
  <c r="BM895" i="9" s="1"/>
  <c r="BN294" i="9"/>
  <c r="BM615" i="9"/>
  <c r="BM897" i="9" s="1"/>
  <c r="BN332" i="9"/>
  <c r="CG153" i="3"/>
  <c r="CG176" i="3" s="1"/>
  <c r="CG143" i="3"/>
  <c r="CG154" i="3"/>
  <c r="BM602" i="9"/>
  <c r="BM884" i="9" s="1"/>
  <c r="BN85" i="9"/>
  <c r="AH96" i="20"/>
  <c r="AH44" i="30"/>
  <c r="AH45" i="30" s="1"/>
  <c r="AH154" i="20"/>
  <c r="AH743" i="9"/>
  <c r="AH758" i="9"/>
  <c r="AJ10" i="3"/>
  <c r="AJ146" i="3" s="1"/>
  <c r="AJ137" i="3"/>
  <c r="BN454" i="9"/>
  <c r="BN327" i="9"/>
  <c r="AH744" i="9"/>
  <c r="BN536" i="9"/>
  <c r="BN145" i="9"/>
  <c r="CG147" i="3"/>
  <c r="CG170" i="3" s="1"/>
  <c r="CG137" i="3"/>
  <c r="CG148" i="3"/>
  <c r="CG171" i="3" s="1"/>
  <c r="AI210" i="3"/>
  <c r="AI256" i="3"/>
  <c r="AI279" i="3" s="1"/>
  <c r="CF139" i="26"/>
  <c r="CF124" i="26"/>
  <c r="CF111" i="26"/>
  <c r="CF74" i="26"/>
  <c r="CF143" i="26"/>
  <c r="CF121" i="26"/>
  <c r="CF86" i="26"/>
  <c r="CF178" i="26"/>
  <c r="CF73" i="26"/>
  <c r="CF195" i="26"/>
  <c r="CF198" i="26"/>
  <c r="CF175" i="26"/>
  <c r="CF145" i="26"/>
  <c r="CF116" i="26"/>
  <c r="CF97" i="26"/>
  <c r="CF182" i="26"/>
  <c r="CF114" i="26"/>
  <c r="CF120" i="26"/>
  <c r="CF65" i="26"/>
  <c r="CF142" i="26"/>
  <c r="CF72" i="26"/>
  <c r="CF207" i="26"/>
  <c r="CF171" i="26"/>
  <c r="CF202" i="26"/>
  <c r="CF68" i="26"/>
  <c r="CF173" i="26"/>
  <c r="CF119" i="26"/>
  <c r="CF98" i="26"/>
  <c r="CF92" i="26"/>
  <c r="CF64" i="26"/>
  <c r="CF140" i="26"/>
  <c r="CF67" i="26"/>
  <c r="CF209" i="26"/>
  <c r="CF208" i="26"/>
  <c r="CF184" i="26"/>
  <c r="CF60" i="26"/>
  <c r="CF150" i="26"/>
  <c r="CF113" i="26"/>
  <c r="CF95" i="26"/>
  <c r="CF89" i="26"/>
  <c r="CF138" i="26"/>
  <c r="CF123" i="26"/>
  <c r="CF62" i="26"/>
  <c r="CF206" i="26"/>
  <c r="CF172" i="26"/>
  <c r="CF205" i="26"/>
  <c r="CF151" i="26"/>
  <c r="CF148" i="26"/>
  <c r="CF112" i="26"/>
  <c r="CF63" i="26"/>
  <c r="CF70" i="26"/>
  <c r="CF96" i="26"/>
  <c r="CF117" i="26"/>
  <c r="CF179" i="26"/>
  <c r="CF200" i="26"/>
  <c r="CF176" i="26"/>
  <c r="CF197" i="26"/>
  <c r="CF149" i="26"/>
  <c r="CF125" i="26"/>
  <c r="CF88" i="26"/>
  <c r="CF177" i="26"/>
  <c r="CF122" i="26"/>
  <c r="CF93" i="26"/>
  <c r="CF90" i="26"/>
  <c r="CF181" i="26"/>
  <c r="CF201" i="26"/>
  <c r="CF203" i="26"/>
  <c r="CF174" i="26"/>
  <c r="CF144" i="26"/>
  <c r="CF94" i="26"/>
  <c r="CF85" i="26"/>
  <c r="CF146" i="26"/>
  <c r="CF115" i="26"/>
  <c r="CF71" i="26"/>
  <c r="CF87" i="26"/>
  <c r="CF199" i="26"/>
  <c r="CF185" i="26"/>
  <c r="CF196" i="26"/>
  <c r="CF147" i="26"/>
  <c r="CF141" i="26"/>
  <c r="CF118" i="26"/>
  <c r="CF91" i="26"/>
  <c r="CF69" i="26"/>
  <c r="CF137" i="26"/>
  <c r="CF99" i="26"/>
  <c r="CF66" i="26"/>
  <c r="CF61" i="26"/>
  <c r="CF204" i="26"/>
  <c r="CF183" i="26"/>
  <c r="CF180" i="26"/>
  <c r="AH23" i="30"/>
  <c r="AH179" i="20"/>
  <c r="AH52" i="30"/>
  <c r="AH54" i="30" s="1"/>
  <c r="AH41" i="6"/>
  <c r="AH44" i="6" s="1"/>
  <c r="AH164" i="20"/>
  <c r="AI3" i="11"/>
  <c r="AI14" i="3"/>
  <c r="AI3" i="35"/>
  <c r="AI3" i="33"/>
  <c r="AJ3" i="12"/>
  <c r="AI3" i="32"/>
  <c r="AI3" i="30"/>
  <c r="AI3" i="38"/>
  <c r="AI3" i="6"/>
  <c r="AI3" i="9"/>
  <c r="AI3" i="26"/>
  <c r="AI3" i="16"/>
  <c r="AI3" i="22"/>
  <c r="AI3" i="20"/>
  <c r="AI3" i="1"/>
  <c r="AI3" i="28"/>
  <c r="AI37" i="3"/>
  <c r="BN543" i="9"/>
  <c r="BN278" i="9"/>
  <c r="BM616" i="9"/>
  <c r="BM898" i="9" s="1"/>
  <c r="BN351" i="9"/>
  <c r="AE82" i="35"/>
  <c r="AE67" i="33"/>
  <c r="AE69" i="33" s="1"/>
  <c r="AE31" i="32"/>
  <c r="AE27" i="32"/>
  <c r="AE208" i="30"/>
  <c r="AE92" i="33" s="1"/>
  <c r="AI165" i="3"/>
  <c r="AI188" i="3" s="1"/>
  <c r="BM1006" i="9"/>
  <c r="BM515" i="9"/>
  <c r="BN171" i="9"/>
  <c r="BM177" i="9"/>
  <c r="AI225" i="3"/>
  <c r="AI271" i="3"/>
  <c r="AI294" i="3" s="1"/>
  <c r="CG156" i="3"/>
  <c r="CG179" i="3" s="1"/>
  <c r="CG142" i="3"/>
  <c r="CG165" i="3" s="1"/>
  <c r="CG155" i="3"/>
  <c r="AH726" i="9"/>
  <c r="AH237" i="3"/>
  <c r="AG141" i="20"/>
  <c r="AG146" i="20" s="1"/>
  <c r="CF358" i="9"/>
  <c r="CF206" i="9"/>
  <c r="CF339" i="9"/>
  <c r="CF434" i="9"/>
  <c r="CF415" i="9"/>
  <c r="CF396" i="9"/>
  <c r="CF320" i="9"/>
  <c r="CF225" i="9"/>
  <c r="CF263" i="9"/>
  <c r="CF377" i="9"/>
  <c r="CF301" i="9"/>
  <c r="CF187" i="9"/>
  <c r="CF244" i="9"/>
  <c r="CF282" i="9"/>
  <c r="CF149" i="9"/>
  <c r="CF92" i="9"/>
  <c r="CF73" i="9"/>
  <c r="CF168" i="9"/>
  <c r="CF130" i="9"/>
  <c r="CF111" i="9"/>
  <c r="AH53" i="20"/>
  <c r="AH17" i="30" s="1"/>
  <c r="AH755" i="9"/>
  <c r="BN451" i="9"/>
  <c r="BN270" i="9"/>
  <c r="BN535" i="9"/>
  <c r="BN126" i="9"/>
  <c r="CF18" i="3"/>
  <c r="BM619" i="9"/>
  <c r="BM901" i="9" s="1"/>
  <c r="BN408" i="9"/>
  <c r="AH752" i="9"/>
  <c r="BM608" i="9"/>
  <c r="BM890" i="9" s="1"/>
  <c r="BN199" i="9"/>
  <c r="AI168" i="3"/>
  <c r="AI191" i="3" s="1"/>
  <c r="BM606" i="9"/>
  <c r="BM888" i="9" s="1"/>
  <c r="BN161" i="9"/>
  <c r="BN545" i="9"/>
  <c r="BN316" i="9"/>
  <c r="BM1013" i="9"/>
  <c r="BM522" i="9"/>
  <c r="BM310" i="9"/>
  <c r="BN304" i="9"/>
  <c r="CG141" i="3"/>
  <c r="CG164" i="3" s="1"/>
  <c r="CG150" i="3"/>
  <c r="CG173" i="3" s="1"/>
  <c r="AD96" i="33"/>
  <c r="AD101" i="33" s="1"/>
  <c r="AD104" i="33" s="1"/>
  <c r="AD214" i="30"/>
  <c r="AD217" i="30" s="1"/>
  <c r="AE211" i="30"/>
  <c r="AD83" i="6"/>
  <c r="AI171" i="3"/>
  <c r="AI194" i="3" s="1"/>
  <c r="AH46" i="20"/>
  <c r="AH16" i="30" s="1"/>
  <c r="AI162" i="3"/>
  <c r="AI185" i="3" s="1"/>
  <c r="AH723" i="9"/>
  <c r="AH234" i="3"/>
  <c r="AI177" i="3"/>
  <c r="AI200" i="3" s="1"/>
  <c r="AI220" i="3"/>
  <c r="AI266" i="3"/>
  <c r="AI289" i="3" s="1"/>
  <c r="CF26" i="3"/>
  <c r="CF28" i="3"/>
  <c r="BN548" i="9"/>
  <c r="BN373" i="9"/>
  <c r="BM601" i="9"/>
  <c r="BM883" i="9" s="1"/>
  <c r="BN66" i="9"/>
  <c r="AI175" i="3"/>
  <c r="AI198" i="3" s="1"/>
  <c r="AH759" i="9"/>
  <c r="AI84" i="3"/>
  <c r="BM1007" i="9"/>
  <c r="BM516" i="9"/>
  <c r="BM196" i="9"/>
  <c r="BN190" i="9"/>
  <c r="AH742" i="9"/>
  <c r="CG151" i="3"/>
  <c r="CG138" i="3"/>
  <c r="AI160" i="3"/>
  <c r="AI183" i="3" s="1"/>
  <c r="AH750" i="9"/>
  <c r="AH23" i="20"/>
  <c r="AH13" i="30" s="1"/>
  <c r="AH114" i="20"/>
  <c r="AI170" i="3"/>
  <c r="AI193" i="3" s="1"/>
  <c r="AI4" i="11"/>
  <c r="AI16" i="3"/>
  <c r="AI22" i="3"/>
  <c r="AI30" i="3"/>
  <c r="AI4" i="35"/>
  <c r="AI4" i="33"/>
  <c r="AJ4" i="12"/>
  <c r="AI4" i="32"/>
  <c r="AI4" i="30"/>
  <c r="AI4" i="38"/>
  <c r="AI4" i="6"/>
  <c r="AI4" i="9"/>
  <c r="AI4" i="26"/>
  <c r="AI4" i="16"/>
  <c r="AI4" i="22"/>
  <c r="AI4" i="20"/>
  <c r="AI4" i="1"/>
  <c r="AI4" i="28"/>
  <c r="AI20" i="3"/>
  <c r="AI172" i="3"/>
  <c r="AI195" i="3" s="1"/>
  <c r="BN448" i="9"/>
  <c r="BN213" i="9"/>
  <c r="BN457" i="9"/>
  <c r="BN384" i="9"/>
  <c r="BN538" i="9"/>
  <c r="BN183" i="9"/>
  <c r="BN444" i="9"/>
  <c r="BN137" i="9"/>
  <c r="BN549" i="9"/>
  <c r="BN392" i="9"/>
  <c r="BU4" i="11"/>
  <c r="CG16" i="3"/>
  <c r="CG4" i="35"/>
  <c r="CG4" i="33"/>
  <c r="CG4" i="32"/>
  <c r="CG4" i="30"/>
  <c r="CG4" i="38"/>
  <c r="CG4" i="6"/>
  <c r="CG4" i="26"/>
  <c r="CG4" i="16"/>
  <c r="CG4" i="22"/>
  <c r="CG4" i="20"/>
  <c r="CG4" i="1"/>
  <c r="CG4" i="28"/>
  <c r="AI167" i="3"/>
  <c r="AI190" i="3" s="1"/>
  <c r="AG80" i="33"/>
  <c r="AH131" i="20"/>
  <c r="AH132" i="20" s="1"/>
  <c r="AH28" i="30" s="1"/>
  <c r="AH26" i="32" s="1"/>
  <c r="AH25" i="35" s="1"/>
  <c r="E160" i="23"/>
  <c r="E158" i="23" a="1"/>
  <c r="CH4" i="12" l="1"/>
  <c r="CG4" i="9"/>
  <c r="CG22" i="3"/>
  <c r="AI72" i="3"/>
  <c r="AI71" i="3"/>
  <c r="AI77" i="3"/>
  <c r="AJ140" i="3"/>
  <c r="AJ156" i="3"/>
  <c r="AJ139" i="3"/>
  <c r="AJ162" i="3" s="1"/>
  <c r="AJ185" i="3" s="1"/>
  <c r="AI79" i="3"/>
  <c r="AJ141" i="3"/>
  <c r="AJ150" i="3"/>
  <c r="AJ173" i="3" s="1"/>
  <c r="AJ196" i="3" s="1"/>
  <c r="AJ152" i="3"/>
  <c r="AJ175" i="3" s="1"/>
  <c r="AJ198" i="3" s="1"/>
  <c r="AJ147" i="3"/>
  <c r="AJ143" i="3"/>
  <c r="AJ149" i="3"/>
  <c r="AJ144" i="3"/>
  <c r="AJ167" i="3" s="1"/>
  <c r="AJ190" i="3" s="1"/>
  <c r="AI69" i="3"/>
  <c r="AJ155" i="3"/>
  <c r="AJ151" i="3"/>
  <c r="AJ174" i="3" s="1"/>
  <c r="AJ197" i="3" s="1"/>
  <c r="AJ138" i="3"/>
  <c r="AJ161" i="3" s="1"/>
  <c r="AJ148" i="3"/>
  <c r="AJ171" i="3" s="1"/>
  <c r="AJ194" i="3" s="1"/>
  <c r="AJ153" i="3"/>
  <c r="AJ176" i="3" s="1"/>
  <c r="AJ199" i="3" s="1"/>
  <c r="AJ142" i="3"/>
  <c r="AJ165" i="3" s="1"/>
  <c r="AJ188" i="3" s="1"/>
  <c r="AH749" i="9"/>
  <c r="AE94" i="33"/>
  <c r="AE212" i="30"/>
  <c r="AE83" i="6" s="1"/>
  <c r="AI257" i="3"/>
  <c r="AI280" i="3" s="1"/>
  <c r="AI211" i="3"/>
  <c r="AI260" i="3"/>
  <c r="AI283" i="3" s="1"/>
  <c r="AI214" i="3"/>
  <c r="AJ169" i="3"/>
  <c r="AJ192" i="3" s="1"/>
  <c r="AI209" i="3"/>
  <c r="AI255" i="3"/>
  <c r="AI278" i="3" s="1"/>
  <c r="AI269" i="3"/>
  <c r="AI292" i="3" s="1"/>
  <c r="AI223" i="3"/>
  <c r="AI213" i="3"/>
  <c r="AI259" i="3"/>
  <c r="AI282" i="3" s="1"/>
  <c r="BN1017" i="9"/>
  <c r="BN526" i="9"/>
  <c r="BO380" i="9"/>
  <c r="BN386" i="9"/>
  <c r="AI18" i="3"/>
  <c r="BN447" i="9"/>
  <c r="BN194" i="9"/>
  <c r="AI221" i="3"/>
  <c r="AI267" i="3"/>
  <c r="AI290" i="3" s="1"/>
  <c r="AI732" i="9"/>
  <c r="AI243" i="3"/>
  <c r="BN614" i="9"/>
  <c r="BN896" i="9" s="1"/>
  <c r="BO313" i="9"/>
  <c r="BN446" i="9"/>
  <c r="BN175" i="9"/>
  <c r="BN605" i="9"/>
  <c r="BN887" i="9" s="1"/>
  <c r="BO142" i="9"/>
  <c r="CG166" i="3"/>
  <c r="BU5" i="11"/>
  <c r="CG64" i="3"/>
  <c r="CG110" i="3" s="1"/>
  <c r="CG56" i="3"/>
  <c r="CG102" i="3" s="1"/>
  <c r="CG48" i="3"/>
  <c r="CG94" i="3" s="1"/>
  <c r="CG53" i="3"/>
  <c r="CG99" i="3" s="1"/>
  <c r="CG51" i="3"/>
  <c r="CG97" i="3" s="1"/>
  <c r="CG61" i="3"/>
  <c r="CG107" i="3" s="1"/>
  <c r="CG59" i="3"/>
  <c r="CG105" i="3" s="1"/>
  <c r="CG55" i="3"/>
  <c r="CG101" i="3" s="1"/>
  <c r="CG50" i="3"/>
  <c r="CG96" i="3" s="1"/>
  <c r="CG58" i="3"/>
  <c r="CG104" i="3" s="1"/>
  <c r="CG57" i="3"/>
  <c r="CG103" i="3" s="1"/>
  <c r="CG46" i="3"/>
  <c r="CG92" i="3" s="1"/>
  <c r="CG45" i="3"/>
  <c r="CG91" i="3" s="1"/>
  <c r="CG49" i="3"/>
  <c r="CG95" i="3" s="1"/>
  <c r="CG62" i="3"/>
  <c r="CG108" i="3" s="1"/>
  <c r="CG60" i="3"/>
  <c r="CG106" i="3" s="1"/>
  <c r="CG63" i="3"/>
  <c r="CG109" i="3" s="1"/>
  <c r="CG47" i="3"/>
  <c r="CG93" i="3" s="1"/>
  <c r="CG54" i="3"/>
  <c r="CG100" i="3" s="1"/>
  <c r="CG52" i="3"/>
  <c r="CG98" i="3" s="1"/>
  <c r="CG5" i="35"/>
  <c r="CG5" i="33"/>
  <c r="CH5" i="12"/>
  <c r="CG5" i="32"/>
  <c r="CG5" i="30"/>
  <c r="CG5" i="38"/>
  <c r="CG5" i="6"/>
  <c r="CG5" i="9"/>
  <c r="CG5" i="26"/>
  <c r="CG5" i="16"/>
  <c r="CG5" i="22"/>
  <c r="CG5" i="20"/>
  <c r="CG5" i="1"/>
  <c r="CG5" i="28"/>
  <c r="CG118" i="3"/>
  <c r="CG122" i="3"/>
  <c r="CG131" i="3"/>
  <c r="CG130" i="3"/>
  <c r="CG133" i="3"/>
  <c r="CG129" i="3"/>
  <c r="CG125" i="3"/>
  <c r="CG119" i="3"/>
  <c r="CG121" i="3"/>
  <c r="CG132" i="3"/>
  <c r="CG127" i="3"/>
  <c r="CG124" i="3"/>
  <c r="CG115" i="3"/>
  <c r="CG114" i="3"/>
  <c r="CG116" i="3"/>
  <c r="CG120" i="3"/>
  <c r="CG128" i="3"/>
  <c r="CG123" i="3"/>
  <c r="CG126" i="3"/>
  <c r="CG117" i="3"/>
  <c r="BN1000" i="9"/>
  <c r="BN509" i="9"/>
  <c r="BN63" i="9"/>
  <c r="BO57" i="9"/>
  <c r="AI103" i="3"/>
  <c r="AI80" i="3"/>
  <c r="AI97" i="3"/>
  <c r="AI74" i="3"/>
  <c r="AI106" i="3"/>
  <c r="AI83" i="3"/>
  <c r="BN610" i="9"/>
  <c r="BN892" i="9" s="1"/>
  <c r="BO237" i="9"/>
  <c r="AI216" i="3"/>
  <c r="AI262" i="3"/>
  <c r="AI285" i="3" s="1"/>
  <c r="AI180" i="20" a="1"/>
  <c r="AI180" i="20" s="1"/>
  <c r="AI162" i="20" a="1"/>
  <c r="AI162" i="20" s="1"/>
  <c r="AI153" i="20" a="1"/>
  <c r="AI153" i="20" s="1"/>
  <c r="AI150" i="20" a="1"/>
  <c r="AI150" i="20" s="1"/>
  <c r="AI41" i="30" s="1"/>
  <c r="AI135" i="20" a="1"/>
  <c r="AI135" i="20" s="1"/>
  <c r="AI137" i="20" s="1"/>
  <c r="AI29" i="30" s="1"/>
  <c r="AI128" i="20" a="1"/>
  <c r="AI128" i="20" s="1"/>
  <c r="AI129" i="20" a="1"/>
  <c r="AI129" i="20" s="1"/>
  <c r="AI130" i="20" a="1"/>
  <c r="AI130" i="20" s="1"/>
  <c r="AI127" i="20" a="1"/>
  <c r="AI127" i="20" s="1"/>
  <c r="AI121" i="20" a="1"/>
  <c r="AI121" i="20" s="1"/>
  <c r="AI117" i="20" a="1"/>
  <c r="AI117" i="20" s="1"/>
  <c r="AI118" i="20" a="1"/>
  <c r="AI118" i="20" s="1"/>
  <c r="AI122" i="20" a="1"/>
  <c r="AI122" i="20" s="1"/>
  <c r="AI124" i="20" a="1"/>
  <c r="AI124" i="20" s="1"/>
  <c r="AI123" i="20" a="1"/>
  <c r="AI123" i="20" s="1"/>
  <c r="AI119" i="20" a="1"/>
  <c r="AI119" i="20" s="1"/>
  <c r="AI125" i="20" a="1"/>
  <c r="AI125" i="20" s="1"/>
  <c r="AI120" i="20" a="1"/>
  <c r="AI120" i="20" s="1"/>
  <c r="AI107" i="20" a="1"/>
  <c r="AI107" i="20" s="1"/>
  <c r="AI111" i="20" a="1"/>
  <c r="AI111" i="20" s="1"/>
  <c r="AI108" i="20" a="1"/>
  <c r="AI108" i="20" s="1"/>
  <c r="AI112" i="20" a="1"/>
  <c r="AI112" i="20" s="1"/>
  <c r="AI109" i="20" a="1"/>
  <c r="AI109" i="20" s="1"/>
  <c r="AI105" i="20" a="1"/>
  <c r="AI105" i="20" s="1"/>
  <c r="AI106" i="20" a="1"/>
  <c r="AI106" i="20" s="1"/>
  <c r="AI110" i="20" a="1"/>
  <c r="AI110" i="20" s="1"/>
  <c r="AI93" i="20" a="1"/>
  <c r="AI93" i="20" s="1"/>
  <c r="AI88" i="20" a="1"/>
  <c r="AI88" i="20" s="1"/>
  <c r="AI83" i="20" a="1"/>
  <c r="AI83" i="20" s="1"/>
  <c r="AI79" i="20" a="1"/>
  <c r="AI79" i="20" s="1"/>
  <c r="AI70" i="20" a="1"/>
  <c r="AI70" i="20" s="1"/>
  <c r="AI66" i="20" a="1"/>
  <c r="AI66" i="20" s="1"/>
  <c r="AI47" i="20" a="1"/>
  <c r="AI47" i="20" s="1"/>
  <c r="AI61" i="20" a="1"/>
  <c r="AI61" i="20" s="1"/>
  <c r="AI57" i="20" a="1"/>
  <c r="AI57" i="20" s="1"/>
  <c r="AI94" i="20" a="1"/>
  <c r="AI94" i="20" s="1"/>
  <c r="AI89" i="20" a="1"/>
  <c r="AI89" i="20" s="1"/>
  <c r="AI84" i="20" a="1"/>
  <c r="AI84" i="20" s="1"/>
  <c r="AI80" i="20" a="1"/>
  <c r="AI80" i="20" s="1"/>
  <c r="AI71" i="20" a="1"/>
  <c r="AI71" i="20" s="1"/>
  <c r="AI67" i="20" a="1"/>
  <c r="AI67" i="20" s="1"/>
  <c r="AI50" i="20" a="1"/>
  <c r="AI50" i="20" s="1"/>
  <c r="AI42" i="20" a="1"/>
  <c r="AI42" i="20" s="1"/>
  <c r="AI34" i="20" a="1"/>
  <c r="AI34" i="20" s="1"/>
  <c r="AI24" i="20" a="1"/>
  <c r="AI24" i="20" s="1"/>
  <c r="AI22" i="20" a="1"/>
  <c r="AI22" i="20" s="1"/>
  <c r="AI18" i="20" a="1"/>
  <c r="AI18" i="20" s="1"/>
  <c r="AI98" i="20" a="1"/>
  <c r="AI98" i="20" s="1"/>
  <c r="AI100" i="20" s="1"/>
  <c r="AI43" i="20" a="1"/>
  <c r="AI43" i="20" s="1"/>
  <c r="AI95" i="20" a="1"/>
  <c r="AI95" i="20" s="1"/>
  <c r="AI81" i="20" a="1"/>
  <c r="AI81" i="20" s="1"/>
  <c r="AI77" i="20" a="1"/>
  <c r="AI77" i="20" s="1"/>
  <c r="AI72" i="20" a="1"/>
  <c r="AI72" i="20" s="1"/>
  <c r="AI68" i="20" a="1"/>
  <c r="AI68" i="20" s="1"/>
  <c r="AI64" i="20" a="1"/>
  <c r="AI64" i="20" s="1"/>
  <c r="AI58" i="20" a="1"/>
  <c r="AI58" i="20" s="1"/>
  <c r="AI51" i="20" a="1"/>
  <c r="AI51" i="20" s="1"/>
  <c r="AI82" i="20" a="1"/>
  <c r="AI82" i="20" s="1"/>
  <c r="AI78" i="20" a="1"/>
  <c r="AI78" i="20" s="1"/>
  <c r="AI73" i="20" a="1"/>
  <c r="AI73" i="20" s="1"/>
  <c r="AI69" i="20" a="1"/>
  <c r="AI69" i="20" s="1"/>
  <c r="AI65" i="20" a="1"/>
  <c r="AI65" i="20" s="1"/>
  <c r="AI54" i="20" a="1"/>
  <c r="AI54" i="20" s="1"/>
  <c r="AI52" i="20" a="1"/>
  <c r="AI52" i="20" s="1"/>
  <c r="AI59" i="20" a="1"/>
  <c r="AI59" i="20" s="1"/>
  <c r="AI11" i="20" a="1"/>
  <c r="AI11" i="20" s="1"/>
  <c r="AI35" i="20" a="1"/>
  <c r="AI35" i="20" s="1"/>
  <c r="AI20" i="20" a="1"/>
  <c r="AI20" i="20" s="1"/>
  <c r="AI44" i="20" a="1"/>
  <c r="AI44" i="20" s="1"/>
  <c r="AI39" i="20" a="1"/>
  <c r="AI39" i="20" s="1"/>
  <c r="AI21" i="20" a="1"/>
  <c r="AI21" i="20" s="1"/>
  <c r="AI37" i="20" a="1"/>
  <c r="AI37" i="20" s="1"/>
  <c r="AI45" i="20" a="1"/>
  <c r="AI45" i="20" s="1"/>
  <c r="AI36" i="20" a="1"/>
  <c r="AI36" i="20" s="1"/>
  <c r="AI28" i="20" a="1"/>
  <c r="AI28" i="20" s="1"/>
  <c r="AI19" i="20" a="1"/>
  <c r="AI19" i="20" s="1"/>
  <c r="AI17" i="20" a="1"/>
  <c r="AI17" i="20" s="1"/>
  <c r="AI14" i="20" a="1"/>
  <c r="AI14" i="20" s="1"/>
  <c r="AI30" i="20" a="1"/>
  <c r="AI30" i="20" s="1"/>
  <c r="AI12" i="20" a="1"/>
  <c r="AI12" i="20" s="1"/>
  <c r="AI33" i="20" a="1"/>
  <c r="AI33" i="20" s="1"/>
  <c r="AI27" i="20" a="1"/>
  <c r="AI27" i="20" s="1"/>
  <c r="AI252" i="3"/>
  <c r="AI275" i="3" s="1"/>
  <c r="AI206" i="3"/>
  <c r="BN532" i="9"/>
  <c r="BN69" i="9"/>
  <c r="AI263" i="3"/>
  <c r="AI286" i="3" s="1"/>
  <c r="AI217" i="3"/>
  <c r="BN550" i="9"/>
  <c r="BN411" i="9"/>
  <c r="AH72" i="30"/>
  <c r="AH74" i="30" s="1"/>
  <c r="AH7" i="6" a="1"/>
  <c r="AH7" i="6" s="1"/>
  <c r="AI40" i="6"/>
  <c r="AH12" i="6"/>
  <c r="AJ178" i="3"/>
  <c r="AJ201" i="3" s="1"/>
  <c r="BN534" i="9"/>
  <c r="BN107" i="9"/>
  <c r="CH10" i="3"/>
  <c r="CH151" i="3" s="1"/>
  <c r="CH174" i="3" s="1"/>
  <c r="BO540" i="9"/>
  <c r="BO221" i="9"/>
  <c r="BN1005" i="9"/>
  <c r="BN514" i="9"/>
  <c r="BO152" i="9"/>
  <c r="BN158" i="9"/>
  <c r="AI108" i="3"/>
  <c r="AI85" i="3"/>
  <c r="BN618" i="9"/>
  <c r="BN900" i="9" s="1"/>
  <c r="BO389" i="9"/>
  <c r="BN1008" i="9"/>
  <c r="BN517" i="9"/>
  <c r="BN215" i="9"/>
  <c r="BO209" i="9"/>
  <c r="CG161" i="3"/>
  <c r="AD19" i="32"/>
  <c r="AD85" i="30"/>
  <c r="AD88" i="30" s="1"/>
  <c r="AD14" i="6"/>
  <c r="BN537" i="9"/>
  <c r="BN164" i="9"/>
  <c r="AJ160" i="3"/>
  <c r="AJ183" i="3" s="1"/>
  <c r="AJ166" i="3"/>
  <c r="AJ189" i="3" s="1"/>
  <c r="AH22" i="30"/>
  <c r="AH24" i="30" s="1"/>
  <c r="AH175" i="20"/>
  <c r="BN546" i="9"/>
  <c r="BN335" i="9"/>
  <c r="BU3" i="11"/>
  <c r="CG14" i="3"/>
  <c r="CG3" i="35"/>
  <c r="CG3" i="33"/>
  <c r="CH3" i="12"/>
  <c r="CG3" i="32"/>
  <c r="CG3" i="30"/>
  <c r="CG3" i="38"/>
  <c r="CG3" i="6"/>
  <c r="CG3" i="9"/>
  <c r="CG3" i="26"/>
  <c r="CG3" i="16"/>
  <c r="CG3" i="22"/>
  <c r="CG3" i="20"/>
  <c r="DM2" i="20" s="1"/>
  <c r="CG3" i="1"/>
  <c r="DQ2" i="1" s="1"/>
  <c r="CG3" i="28"/>
  <c r="BN441" i="9"/>
  <c r="BN80" i="9"/>
  <c r="BN1018" i="9"/>
  <c r="BN527" i="9"/>
  <c r="BO399" i="9"/>
  <c r="BN405" i="9"/>
  <c r="AI91" i="3"/>
  <c r="AI68" i="3"/>
  <c r="AI727" i="9"/>
  <c r="AI238" i="3"/>
  <c r="CG174" i="3"/>
  <c r="BN617" i="9"/>
  <c r="BN899" i="9" s="1"/>
  <c r="BO370" i="9"/>
  <c r="AI737" i="9"/>
  <c r="AI248" i="3"/>
  <c r="BN547" i="9"/>
  <c r="BN354" i="9"/>
  <c r="AF136" i="30"/>
  <c r="AF137" i="30" s="1"/>
  <c r="AG256" i="6"/>
  <c r="AJ164" i="3"/>
  <c r="AJ187" i="3" s="1"/>
  <c r="AH102" i="20"/>
  <c r="BN1003" i="9"/>
  <c r="BN512" i="9"/>
  <c r="BO114" i="9"/>
  <c r="BN120" i="9"/>
  <c r="BN620" i="9"/>
  <c r="BN902" i="9" s="1"/>
  <c r="BO427" i="9"/>
  <c r="AI258" i="3"/>
  <c r="AI281" i="3" s="1"/>
  <c r="AI212" i="3"/>
  <c r="AI98" i="3"/>
  <c r="AI75" i="3"/>
  <c r="AI99" i="3"/>
  <c r="AI76" i="3"/>
  <c r="AI736" i="9"/>
  <c r="AI247" i="3"/>
  <c r="BN1004" i="9"/>
  <c r="BN513" i="9"/>
  <c r="BO133" i="9"/>
  <c r="BN139" i="9"/>
  <c r="AH27" i="30"/>
  <c r="AH30" i="30" s="1"/>
  <c r="AH139" i="20"/>
  <c r="AH746" i="9"/>
  <c r="BN453" i="9"/>
  <c r="BN308" i="9"/>
  <c r="CG18" i="3"/>
  <c r="AG174" i="20"/>
  <c r="AG181" i="20" s="1"/>
  <c r="AG62" i="30" s="1"/>
  <c r="AG156" i="20"/>
  <c r="AG166" i="20" s="1"/>
  <c r="AI722" i="9"/>
  <c r="AI233" i="3"/>
  <c r="BN1014" i="9"/>
  <c r="BN523" i="9"/>
  <c r="BN329" i="9"/>
  <c r="BO323" i="9"/>
  <c r="AJ163" i="3"/>
  <c r="AJ186" i="3" s="1"/>
  <c r="BN544" i="9"/>
  <c r="BN297" i="9"/>
  <c r="AI719" i="9"/>
  <c r="AI230" i="3"/>
  <c r="BN542" i="9"/>
  <c r="BN259" i="9"/>
  <c r="AI178" i="26"/>
  <c r="AI120" i="26"/>
  <c r="AI174" i="26"/>
  <c r="AI119" i="26"/>
  <c r="AI121" i="26"/>
  <c r="AI70" i="26"/>
  <c r="AI60" i="26"/>
  <c r="AI137" i="26"/>
  <c r="AI74" i="26"/>
  <c r="AI204" i="26"/>
  <c r="AI173" i="26"/>
  <c r="AI144" i="26"/>
  <c r="AI112" i="26"/>
  <c r="AI145" i="26"/>
  <c r="AI114" i="26"/>
  <c r="AI95" i="26"/>
  <c r="AI65" i="26"/>
  <c r="AI147" i="26"/>
  <c r="AI124" i="26"/>
  <c r="AI68" i="26"/>
  <c r="AI176" i="26"/>
  <c r="AI195" i="26"/>
  <c r="AI151" i="26"/>
  <c r="AI182" i="26"/>
  <c r="AI72" i="26"/>
  <c r="AI139" i="26"/>
  <c r="AI98" i="26"/>
  <c r="AI89" i="26"/>
  <c r="AI150" i="26"/>
  <c r="AI123" i="26"/>
  <c r="AI117" i="26"/>
  <c r="AI62" i="26"/>
  <c r="AI171" i="26"/>
  <c r="AI183" i="26"/>
  <c r="AI143" i="26"/>
  <c r="AI175" i="26"/>
  <c r="AI64" i="26"/>
  <c r="AI138" i="26"/>
  <c r="AI88" i="26"/>
  <c r="AI149" i="26"/>
  <c r="AI148" i="26"/>
  <c r="AI96" i="26"/>
  <c r="AI97" i="26"/>
  <c r="AI181" i="26"/>
  <c r="AI177" i="26"/>
  <c r="AI199" i="26"/>
  <c r="AI205" i="26"/>
  <c r="AI209" i="26"/>
  <c r="AI118" i="26"/>
  <c r="AI125" i="26"/>
  <c r="AI69" i="26"/>
  <c r="AI122" i="26"/>
  <c r="AI116" i="26"/>
  <c r="AI90" i="26"/>
  <c r="AI87" i="26"/>
  <c r="AI203" i="26"/>
  <c r="AI198" i="26"/>
  <c r="AI197" i="26"/>
  <c r="AI201" i="26"/>
  <c r="AI111" i="26"/>
  <c r="AI113" i="26"/>
  <c r="AI63" i="26"/>
  <c r="AI115" i="26"/>
  <c r="AI99" i="26"/>
  <c r="AI71" i="26"/>
  <c r="AI73" i="26"/>
  <c r="AI196" i="26"/>
  <c r="AI172" i="26"/>
  <c r="AI208" i="26"/>
  <c r="AI202" i="26"/>
  <c r="AI94" i="26"/>
  <c r="AI91" i="26"/>
  <c r="AI142" i="26"/>
  <c r="AI92" i="26"/>
  <c r="AI93" i="26"/>
  <c r="AI184" i="26"/>
  <c r="AI67" i="26"/>
  <c r="AI185" i="26"/>
  <c r="AI179" i="26"/>
  <c r="AI200" i="26"/>
  <c r="AI141" i="26"/>
  <c r="AI180" i="26"/>
  <c r="AI85" i="26"/>
  <c r="AI140" i="26"/>
  <c r="AI86" i="26"/>
  <c r="AI66" i="26"/>
  <c r="AI146" i="26"/>
  <c r="AI61" i="26"/>
  <c r="AI207" i="26"/>
  <c r="AI206" i="26"/>
  <c r="AI731" i="9"/>
  <c r="AI242" i="3"/>
  <c r="AI218" i="3"/>
  <c r="AI264" i="3"/>
  <c r="AI287" i="3" s="1"/>
  <c r="AI710" i="9"/>
  <c r="AI779" i="9" s="1"/>
  <c r="AI702" i="9"/>
  <c r="AI771" i="9" s="1"/>
  <c r="AI794" i="9" s="1"/>
  <c r="AI703" i="9"/>
  <c r="AI772" i="9" s="1"/>
  <c r="AI795" i="9" s="1"/>
  <c r="AI698" i="9"/>
  <c r="AI767" i="9" s="1"/>
  <c r="AI713" i="9"/>
  <c r="AI782" i="9" s="1"/>
  <c r="AI805" i="9" s="1"/>
  <c r="AI708" i="9"/>
  <c r="AI777" i="9" s="1"/>
  <c r="AI800" i="9" s="1"/>
  <c r="AI705" i="9"/>
  <c r="AI774" i="9" s="1"/>
  <c r="AI797" i="9" s="1"/>
  <c r="AI695" i="9"/>
  <c r="AI764" i="9" s="1"/>
  <c r="AI707" i="9"/>
  <c r="AI776" i="9" s="1"/>
  <c r="AI700" i="9"/>
  <c r="AI769" i="9" s="1"/>
  <c r="AI697" i="9"/>
  <c r="AI766" i="9" s="1"/>
  <c r="AI714" i="9"/>
  <c r="AI783" i="9" s="1"/>
  <c r="AI806" i="9" s="1"/>
  <c r="AI712" i="9"/>
  <c r="AI781" i="9" s="1"/>
  <c r="AI709" i="9"/>
  <c r="AI778" i="9" s="1"/>
  <c r="AI801" i="9" s="1"/>
  <c r="AI704" i="9"/>
  <c r="AI773" i="9" s="1"/>
  <c r="AI796" i="9" s="1"/>
  <c r="AI699" i="9"/>
  <c r="AI768" i="9" s="1"/>
  <c r="AI791" i="9" s="1"/>
  <c r="AI711" i="9"/>
  <c r="AI780" i="9" s="1"/>
  <c r="AI803" i="9" s="1"/>
  <c r="AI706" i="9"/>
  <c r="AI775" i="9" s="1"/>
  <c r="AI798" i="9" s="1"/>
  <c r="AI701" i="9"/>
  <c r="AI770" i="9" s="1"/>
  <c r="AI696" i="9"/>
  <c r="AI765" i="9" s="1"/>
  <c r="AI788" i="9" s="1"/>
  <c r="BN604" i="9"/>
  <c r="BN886" i="9" s="1"/>
  <c r="BO123" i="9"/>
  <c r="AJ145" i="3"/>
  <c r="BN533" i="9"/>
  <c r="BN88" i="9"/>
  <c r="BN1010" i="9"/>
  <c r="BN519" i="9"/>
  <c r="BO247" i="9"/>
  <c r="BN253" i="9"/>
  <c r="BN1016" i="9"/>
  <c r="BN525" i="9"/>
  <c r="BO361" i="9"/>
  <c r="BN367" i="9"/>
  <c r="AI358" i="9"/>
  <c r="AI206" i="9"/>
  <c r="AI434" i="9"/>
  <c r="AI339" i="9"/>
  <c r="AI415" i="9"/>
  <c r="AI396" i="9"/>
  <c r="AI282" i="9"/>
  <c r="AI377" i="9"/>
  <c r="AI225" i="9"/>
  <c r="AI320" i="9"/>
  <c r="AI263" i="9"/>
  <c r="AI187" i="9"/>
  <c r="AI301" i="9"/>
  <c r="AI149" i="9"/>
  <c r="AI168" i="9"/>
  <c r="AI92" i="9"/>
  <c r="AI244" i="9"/>
  <c r="AI130" i="9"/>
  <c r="AI111" i="9"/>
  <c r="AI73" i="9"/>
  <c r="AI104" i="3"/>
  <c r="AI81" i="3"/>
  <c r="AI96" i="3"/>
  <c r="AI73" i="3"/>
  <c r="AI734" i="9"/>
  <c r="AI245" i="3"/>
  <c r="BN607" i="9"/>
  <c r="BN889" i="9" s="1"/>
  <c r="BO180" i="9"/>
  <c r="AI208" i="3"/>
  <c r="AI254" i="3"/>
  <c r="AI277" i="3" s="1"/>
  <c r="BN539" i="9"/>
  <c r="BN202" i="9"/>
  <c r="BN612" i="9"/>
  <c r="BN894" i="9" s="1"/>
  <c r="BO275" i="9"/>
  <c r="CG160" i="3"/>
  <c r="AJ172" i="3"/>
  <c r="AJ195" i="3" s="1"/>
  <c r="AJ170" i="3"/>
  <c r="AJ193" i="3" s="1"/>
  <c r="AJ179" i="3"/>
  <c r="AJ202" i="3" s="1"/>
  <c r="BO1019" i="9"/>
  <c r="BO528" i="9"/>
  <c r="BO424" i="9"/>
  <c r="BP418" i="9"/>
  <c r="BN455" i="9"/>
  <c r="BN346" i="9"/>
  <c r="AF82" i="35"/>
  <c r="AF67" i="33"/>
  <c r="AF69" i="33" s="1"/>
  <c r="AF31" i="32"/>
  <c r="AF27" i="32"/>
  <c r="AF208" i="30"/>
  <c r="AF92" i="33" s="1"/>
  <c r="AI109" i="3"/>
  <c r="AI86" i="3"/>
  <c r="AI105" i="3"/>
  <c r="AI82" i="3"/>
  <c r="AI101" i="3"/>
  <c r="AI78" i="3"/>
  <c r="AG47" i="30"/>
  <c r="AG38" i="30"/>
  <c r="CG28" i="3"/>
  <c r="CG26" i="3"/>
  <c r="AI28" i="3"/>
  <c r="AI26" i="3"/>
  <c r="BN1011" i="9"/>
  <c r="BN520" i="9"/>
  <c r="BN272" i="9"/>
  <c r="BO266" i="9"/>
  <c r="CG178" i="3"/>
  <c r="AJ24" i="3"/>
  <c r="AJ41" i="3"/>
  <c r="AJ5" i="3"/>
  <c r="AJ12" i="3"/>
  <c r="AJ3" i="3" s="1"/>
  <c r="AK8" i="3"/>
  <c r="AJ4" i="3"/>
  <c r="AJ154" i="3"/>
  <c r="CG177" i="3"/>
  <c r="AH77" i="33"/>
  <c r="AH195" i="30"/>
  <c r="AH78" i="33" s="1"/>
  <c r="CG163" i="3"/>
  <c r="BN442" i="9"/>
  <c r="BN99" i="9"/>
  <c r="BN1009" i="9"/>
  <c r="BN518" i="9"/>
  <c r="BN234" i="9"/>
  <c r="BO228" i="9"/>
  <c r="BN1012" i="9"/>
  <c r="BN291" i="9"/>
  <c r="BN521" i="9"/>
  <c r="BO285" i="9"/>
  <c r="AI110" i="3"/>
  <c r="AI87" i="3"/>
  <c r="AI93" i="3"/>
  <c r="AI70" i="3"/>
  <c r="AG33" i="32"/>
  <c r="AG28" i="32"/>
  <c r="E158" i="23"/>
  <c r="E151" i="23" a="1"/>
  <c r="AE214" i="30" l="1"/>
  <c r="AE217" i="30" s="1"/>
  <c r="CH146" i="3"/>
  <c r="CH169" i="3" s="1"/>
  <c r="AI804" i="9"/>
  <c r="AI793" i="9"/>
  <c r="AI792" i="9"/>
  <c r="AI802" i="9"/>
  <c r="CH141" i="3"/>
  <c r="CH164" i="3" s="1"/>
  <c r="CH145" i="3"/>
  <c r="CH168" i="3" s="1"/>
  <c r="AI799" i="9"/>
  <c r="AI822" i="9" s="1"/>
  <c r="CH148" i="3"/>
  <c r="CH171" i="3" s="1"/>
  <c r="AI787" i="9"/>
  <c r="AF211" i="30"/>
  <c r="AF212" i="30" s="1"/>
  <c r="CH147" i="3"/>
  <c r="CH170" i="3" s="1"/>
  <c r="AI29" i="20"/>
  <c r="AI14" i="30" s="1"/>
  <c r="CH140" i="3"/>
  <c r="CH163" i="3" s="1"/>
  <c r="AJ184" i="3"/>
  <c r="AJ207" i="3" s="1"/>
  <c r="CH143" i="3"/>
  <c r="CH166" i="3" s="1"/>
  <c r="CH154" i="3"/>
  <c r="CH177" i="3" s="1"/>
  <c r="CH155" i="3"/>
  <c r="CH178" i="3" s="1"/>
  <c r="CH149" i="3"/>
  <c r="CH172" i="3" s="1"/>
  <c r="AI759" i="9"/>
  <c r="AE96" i="33"/>
  <c r="AE101" i="33" s="1"/>
  <c r="AE104" i="33" s="1"/>
  <c r="AI745" i="9"/>
  <c r="AH80" i="33"/>
  <c r="AI789" i="9"/>
  <c r="AI812" i="9" s="1"/>
  <c r="CH152" i="3"/>
  <c r="CH175" i="3" s="1"/>
  <c r="CH138" i="3"/>
  <c r="CH161" i="3" s="1"/>
  <c r="CH137" i="3"/>
  <c r="CH160" i="3" s="1"/>
  <c r="AI24" i="32"/>
  <c r="AI25" i="32" s="1"/>
  <c r="AI24" i="35" s="1"/>
  <c r="AI38" i="20"/>
  <c r="AI15" i="30" s="1"/>
  <c r="AI742" i="9"/>
  <c r="CH4" i="3"/>
  <c r="CH22" i="3" s="1"/>
  <c r="CH150" i="3"/>
  <c r="CH173" i="3" s="1"/>
  <c r="CH139" i="3"/>
  <c r="CH162" i="3" s="1"/>
  <c r="AI790" i="9"/>
  <c r="AI813" i="9" s="1"/>
  <c r="CH153" i="3"/>
  <c r="CH176" i="3" s="1"/>
  <c r="CH156" i="3"/>
  <c r="CH179" i="3" s="1"/>
  <c r="AI74" i="20"/>
  <c r="AI19" i="30" s="1"/>
  <c r="AJ264" i="3"/>
  <c r="AJ287" i="3" s="1"/>
  <c r="AJ218" i="3"/>
  <c r="AJ224" i="3"/>
  <c r="AJ270" i="3"/>
  <c r="AJ293" i="3" s="1"/>
  <c r="AJ265" i="3"/>
  <c r="AJ288" i="3" s="1"/>
  <c r="AJ219" i="3"/>
  <c r="AH14" i="32"/>
  <c r="AH32" i="30"/>
  <c r="AH36" i="30" s="1"/>
  <c r="AJ211" i="3"/>
  <c r="AJ257" i="3"/>
  <c r="AJ280" i="3" s="1"/>
  <c r="AJ213" i="3"/>
  <c r="AJ259" i="3"/>
  <c r="AJ282" i="3" s="1"/>
  <c r="AJ222" i="3"/>
  <c r="AJ268" i="3"/>
  <c r="AJ291" i="3" s="1"/>
  <c r="AJ261" i="3"/>
  <c r="AJ284" i="3" s="1"/>
  <c r="AJ215" i="3"/>
  <c r="AJ258" i="3"/>
  <c r="AJ281" i="3" s="1"/>
  <c r="AJ212" i="3"/>
  <c r="AJ206" i="3"/>
  <c r="AJ252" i="3"/>
  <c r="AJ275" i="3" s="1"/>
  <c r="AJ225" i="3"/>
  <c r="AJ271" i="3"/>
  <c r="AJ294" i="3" s="1"/>
  <c r="AJ220" i="3"/>
  <c r="AJ266" i="3"/>
  <c r="AJ289" i="3" s="1"/>
  <c r="AJ262" i="3"/>
  <c r="AJ285" i="3" s="1"/>
  <c r="AJ216" i="3"/>
  <c r="BO452" i="9"/>
  <c r="BO289" i="9"/>
  <c r="AJ3" i="11"/>
  <c r="AJ14" i="3"/>
  <c r="AJ3" i="35"/>
  <c r="AJ3" i="33"/>
  <c r="AK3" i="12"/>
  <c r="AJ3" i="32"/>
  <c r="AJ3" i="30"/>
  <c r="AJ3" i="38"/>
  <c r="AJ3" i="6"/>
  <c r="AJ3" i="9"/>
  <c r="AJ3" i="26"/>
  <c r="AJ3" i="16"/>
  <c r="AJ3" i="22"/>
  <c r="AJ3" i="20"/>
  <c r="AJ3" i="1"/>
  <c r="AJ3" i="28"/>
  <c r="AJ37" i="3"/>
  <c r="AJ4" i="11"/>
  <c r="AJ16" i="3"/>
  <c r="AJ30" i="3"/>
  <c r="AJ22" i="3"/>
  <c r="AJ4" i="35"/>
  <c r="AJ4" i="33"/>
  <c r="AK4" i="12"/>
  <c r="AJ4" i="32"/>
  <c r="AJ4" i="30"/>
  <c r="AJ4" i="38"/>
  <c r="AJ4" i="6"/>
  <c r="AJ4" i="9"/>
  <c r="AJ4" i="26"/>
  <c r="AJ4" i="16"/>
  <c r="AJ4" i="22"/>
  <c r="AJ4" i="20"/>
  <c r="AJ4" i="1"/>
  <c r="AJ4" i="28"/>
  <c r="AJ20" i="3"/>
  <c r="BN1015" i="9"/>
  <c r="BN524" i="9"/>
  <c r="BN348" i="9"/>
  <c r="BO342" i="9"/>
  <c r="AI720" i="9"/>
  <c r="AI231" i="3"/>
  <c r="BO535" i="9"/>
  <c r="BO126" i="9"/>
  <c r="AJ267" i="3"/>
  <c r="AJ290" i="3" s="1"/>
  <c r="AJ221" i="3"/>
  <c r="BO445" i="9"/>
  <c r="BO156" i="9"/>
  <c r="CH41" i="3"/>
  <c r="CH24" i="3"/>
  <c r="CH12" i="3"/>
  <c r="CH3" i="3" s="1"/>
  <c r="CI8" i="3"/>
  <c r="CH5" i="3"/>
  <c r="AI46" i="20"/>
  <c r="AI16" i="30" s="1"/>
  <c r="AI60" i="20"/>
  <c r="AI18" i="30" s="1"/>
  <c r="AI96" i="20"/>
  <c r="AI44" i="30"/>
  <c r="AI45" i="30" s="1"/>
  <c r="AI154" i="20"/>
  <c r="AJ253" i="3"/>
  <c r="AJ276" i="3" s="1"/>
  <c r="AI721" i="9"/>
  <c r="AI232" i="3"/>
  <c r="AG54" i="33"/>
  <c r="AG148" i="30"/>
  <c r="AG180" i="30" s="1"/>
  <c r="AG56" i="30"/>
  <c r="AG58" i="30" s="1"/>
  <c r="AI724" i="9"/>
  <c r="AI235" i="3"/>
  <c r="AJ256" i="3"/>
  <c r="AJ279" i="3" s="1"/>
  <c r="AJ210" i="3"/>
  <c r="AJ263" i="3"/>
  <c r="AJ286" i="3" s="1"/>
  <c r="AJ217" i="3"/>
  <c r="AD23" i="32"/>
  <c r="AD112" i="30"/>
  <c r="AD114" i="30"/>
  <c r="BO448" i="9"/>
  <c r="BO213" i="9"/>
  <c r="BN619" i="9"/>
  <c r="BN901" i="9" s="1"/>
  <c r="BO408" i="9"/>
  <c r="AI13" i="20"/>
  <c r="AI53" i="20"/>
  <c r="AI17" i="30" s="1"/>
  <c r="AI52" i="30"/>
  <c r="AI54" i="30" s="1"/>
  <c r="AI41" i="6"/>
  <c r="AI44" i="6" s="1"/>
  <c r="AI164" i="20"/>
  <c r="CG144" i="26"/>
  <c r="CG178" i="26"/>
  <c r="CG61" i="26"/>
  <c r="CG85" i="26"/>
  <c r="CG137" i="26"/>
  <c r="CG86" i="26"/>
  <c r="CG71" i="26"/>
  <c r="CG123" i="26"/>
  <c r="CG72" i="26"/>
  <c r="CG180" i="26"/>
  <c r="CG199" i="26"/>
  <c r="CG143" i="26"/>
  <c r="CG125" i="26"/>
  <c r="CG94" i="26"/>
  <c r="CG147" i="26"/>
  <c r="CG121" i="26"/>
  <c r="CG65" i="26"/>
  <c r="CG66" i="26"/>
  <c r="CG90" i="26"/>
  <c r="CG67" i="26"/>
  <c r="CG196" i="26"/>
  <c r="CG198" i="26"/>
  <c r="CG202" i="26"/>
  <c r="CG117" i="26"/>
  <c r="CG74" i="26"/>
  <c r="CG114" i="26"/>
  <c r="CG120" i="26"/>
  <c r="CG145" i="26"/>
  <c r="CG60" i="26"/>
  <c r="CG149" i="26"/>
  <c r="CG68" i="26"/>
  <c r="CG204" i="26"/>
  <c r="CG179" i="26"/>
  <c r="CG151" i="26"/>
  <c r="CG99" i="26"/>
  <c r="CG182" i="26"/>
  <c r="CG98" i="26"/>
  <c r="CG92" i="26"/>
  <c r="CG139" i="26"/>
  <c r="CG181" i="26"/>
  <c r="CG124" i="26"/>
  <c r="CG62" i="26"/>
  <c r="CG201" i="26"/>
  <c r="CG207" i="26"/>
  <c r="CG205" i="26"/>
  <c r="CG95" i="26"/>
  <c r="CG119" i="26"/>
  <c r="CG63" i="26"/>
  <c r="CG89" i="26"/>
  <c r="CG138" i="26"/>
  <c r="CG175" i="26"/>
  <c r="CG118" i="26"/>
  <c r="CG64" i="26"/>
  <c r="CG176" i="26"/>
  <c r="CG206" i="26"/>
  <c r="CG148" i="26"/>
  <c r="CG197" i="26"/>
  <c r="CG91" i="26"/>
  <c r="CG113" i="26"/>
  <c r="CG177" i="26"/>
  <c r="CG70" i="26"/>
  <c r="CG116" i="26"/>
  <c r="CG171" i="26"/>
  <c r="CG111" i="26"/>
  <c r="CG172" i="26"/>
  <c r="CG209" i="26"/>
  <c r="CG173" i="26"/>
  <c r="CG140" i="26"/>
  <c r="CG208" i="26"/>
  <c r="CG87" i="26"/>
  <c r="CG112" i="26"/>
  <c r="CG174" i="26"/>
  <c r="CG122" i="26"/>
  <c r="CG96" i="26"/>
  <c r="CG142" i="26"/>
  <c r="CG97" i="26"/>
  <c r="CG185" i="26"/>
  <c r="CG203" i="26"/>
  <c r="CG183" i="26"/>
  <c r="CG150" i="26"/>
  <c r="CG200" i="26"/>
  <c r="CG69" i="26"/>
  <c r="CG88" i="26"/>
  <c r="CG146" i="26"/>
  <c r="CG115" i="26"/>
  <c r="CG93" i="26"/>
  <c r="CG141" i="26"/>
  <c r="CG73" i="26"/>
  <c r="CG195" i="26"/>
  <c r="CG184" i="26"/>
  <c r="BO538" i="9"/>
  <c r="BO183" i="9"/>
  <c r="BO456" i="9"/>
  <c r="BO365" i="9"/>
  <c r="BO251" i="9"/>
  <c r="BO450" i="9"/>
  <c r="BN1013" i="9"/>
  <c r="BN522" i="9"/>
  <c r="BN310" i="9"/>
  <c r="BO304" i="9"/>
  <c r="BO443" i="9"/>
  <c r="BO118" i="9"/>
  <c r="AI760" i="9"/>
  <c r="BN1001" i="9"/>
  <c r="BN510" i="9"/>
  <c r="BN82" i="9"/>
  <c r="BO76" i="9"/>
  <c r="CG339" i="9"/>
  <c r="CG434" i="9"/>
  <c r="CG415" i="9"/>
  <c r="CG396" i="9"/>
  <c r="CG377" i="9"/>
  <c r="CG263" i="9"/>
  <c r="CG301" i="9"/>
  <c r="CG187" i="9"/>
  <c r="CG244" i="9"/>
  <c r="CG358" i="9"/>
  <c r="CG282" i="9"/>
  <c r="CG206" i="9"/>
  <c r="CG130" i="9"/>
  <c r="CG225" i="9"/>
  <c r="CG168" i="9"/>
  <c r="CG73" i="9"/>
  <c r="CG149" i="9"/>
  <c r="CG92" i="9"/>
  <c r="CG320" i="9"/>
  <c r="CG111" i="9"/>
  <c r="AI755" i="9"/>
  <c r="AJ5" i="11"/>
  <c r="AJ64" i="3"/>
  <c r="AJ110" i="3" s="1"/>
  <c r="AJ56" i="3"/>
  <c r="AJ48" i="3"/>
  <c r="AJ55" i="3"/>
  <c r="AJ101" i="3" s="1"/>
  <c r="AJ50" i="3"/>
  <c r="AJ96" i="3" s="1"/>
  <c r="AJ63" i="3"/>
  <c r="AJ109" i="3" s="1"/>
  <c r="AJ58" i="3"/>
  <c r="AJ104" i="3" s="1"/>
  <c r="AJ57" i="3"/>
  <c r="AJ103" i="3" s="1"/>
  <c r="AJ52" i="3"/>
  <c r="AJ98" i="3" s="1"/>
  <c r="AJ53" i="3"/>
  <c r="AJ99" i="3" s="1"/>
  <c r="AJ49" i="3"/>
  <c r="AJ59" i="3"/>
  <c r="AJ105" i="3" s="1"/>
  <c r="AJ54" i="3"/>
  <c r="AJ47" i="3"/>
  <c r="AJ93" i="3" s="1"/>
  <c r="AJ61" i="3"/>
  <c r="AJ60" i="3"/>
  <c r="AJ106" i="3" s="1"/>
  <c r="AJ45" i="3"/>
  <c r="AJ91" i="3" s="1"/>
  <c r="AJ62" i="3"/>
  <c r="AJ108" i="3" s="1"/>
  <c r="AJ46" i="3"/>
  <c r="AJ51" i="3"/>
  <c r="AJ97" i="3" s="1"/>
  <c r="AJ5" i="35"/>
  <c r="AJ5" i="33"/>
  <c r="AK5" i="12"/>
  <c r="AJ5" i="32"/>
  <c r="AJ5" i="30"/>
  <c r="AJ5" i="38"/>
  <c r="AJ5" i="6"/>
  <c r="AJ5" i="9"/>
  <c r="AJ5" i="26"/>
  <c r="AJ5" i="16"/>
  <c r="AJ5" i="22"/>
  <c r="AJ5" i="20"/>
  <c r="AJ5" i="1"/>
  <c r="AJ5" i="28"/>
  <c r="AJ133" i="3"/>
  <c r="AJ128" i="3"/>
  <c r="AJ127" i="3"/>
  <c r="AJ121" i="3"/>
  <c r="AJ123" i="3"/>
  <c r="AJ117" i="3"/>
  <c r="AJ132" i="3"/>
  <c r="AJ114" i="3"/>
  <c r="AJ119" i="3"/>
  <c r="AJ124" i="3"/>
  <c r="AJ118" i="3"/>
  <c r="AJ115" i="3"/>
  <c r="AJ116" i="3"/>
  <c r="AJ126" i="3"/>
  <c r="AJ129" i="3"/>
  <c r="AJ125" i="3"/>
  <c r="AJ131" i="3"/>
  <c r="AJ122" i="3"/>
  <c r="AJ120" i="3"/>
  <c r="AJ130" i="3"/>
  <c r="AF94" i="33"/>
  <c r="BO543" i="9"/>
  <c r="BO278" i="9"/>
  <c r="AI730" i="9"/>
  <c r="AI241" i="3"/>
  <c r="BN613" i="9"/>
  <c r="BN895" i="9" s="1"/>
  <c r="BO294" i="9"/>
  <c r="BO551" i="9"/>
  <c r="BO430" i="9"/>
  <c r="AE19" i="32"/>
  <c r="AE85" i="30"/>
  <c r="AE88" i="30" s="1"/>
  <c r="AE14" i="6"/>
  <c r="AI729" i="9"/>
  <c r="AI240" i="3"/>
  <c r="AI23" i="30"/>
  <c r="AI179" i="20"/>
  <c r="AI114" i="20"/>
  <c r="AJ80" i="3"/>
  <c r="BO536" i="9"/>
  <c r="BO145" i="9"/>
  <c r="AI725" i="9"/>
  <c r="AI236" i="3"/>
  <c r="AK10" i="3"/>
  <c r="AK145" i="3" s="1"/>
  <c r="AK137" i="3"/>
  <c r="AJ75" i="3"/>
  <c r="BN615" i="9"/>
  <c r="BN897" i="9" s="1"/>
  <c r="BO332" i="9"/>
  <c r="BP218" i="9"/>
  <c r="BO609" i="9"/>
  <c r="BO891" i="9" s="1"/>
  <c r="AJ254" i="3"/>
  <c r="AJ277" i="3" s="1"/>
  <c r="AJ208" i="3"/>
  <c r="AI728" i="9"/>
  <c r="AI239" i="3"/>
  <c r="BO440" i="9"/>
  <c r="BO61" i="9"/>
  <c r="AI733" i="9"/>
  <c r="AI244" i="3"/>
  <c r="AI735" i="9"/>
  <c r="AI246" i="3"/>
  <c r="AI726" i="9"/>
  <c r="AI237" i="3"/>
  <c r="BN1002" i="9"/>
  <c r="BN511" i="9"/>
  <c r="BO95" i="9"/>
  <c r="BN101" i="9"/>
  <c r="BN608" i="9"/>
  <c r="BN890" i="9" s="1"/>
  <c r="BO199" i="9"/>
  <c r="AI757" i="9"/>
  <c r="BN602" i="9"/>
  <c r="BN884" i="9" s="1"/>
  <c r="BO85" i="9"/>
  <c r="AI754" i="9"/>
  <c r="BN611" i="9"/>
  <c r="BN893" i="9" s="1"/>
  <c r="BO256" i="9"/>
  <c r="BO454" i="9"/>
  <c r="BO327" i="9"/>
  <c r="BO444" i="9"/>
  <c r="BO137" i="9"/>
  <c r="AH141" i="20"/>
  <c r="AH146" i="20" s="1"/>
  <c r="AI750" i="9"/>
  <c r="BO549" i="9"/>
  <c r="BO392" i="9"/>
  <c r="BN603" i="9"/>
  <c r="BN885" i="9" s="1"/>
  <c r="BO104" i="9"/>
  <c r="BN601" i="9"/>
  <c r="BN883" i="9" s="1"/>
  <c r="BO66" i="9"/>
  <c r="AI25" i="30"/>
  <c r="AI131" i="20"/>
  <c r="AI132" i="20" s="1"/>
  <c r="AI28" i="30" s="1"/>
  <c r="AI26" i="32" s="1"/>
  <c r="AI25" i="35" s="1"/>
  <c r="BO541" i="9"/>
  <c r="BO240" i="9"/>
  <c r="BN1006" i="9"/>
  <c r="BN515" i="9"/>
  <c r="BN177" i="9"/>
  <c r="BO171" i="9"/>
  <c r="BN1007" i="9"/>
  <c r="BN516" i="9"/>
  <c r="BN196" i="9"/>
  <c r="BO190" i="9"/>
  <c r="BO449" i="9"/>
  <c r="BO232" i="9"/>
  <c r="BN616" i="9"/>
  <c r="BN898" i="9" s="1"/>
  <c r="BO351" i="9"/>
  <c r="BN606" i="9"/>
  <c r="BN888" i="9" s="1"/>
  <c r="BO161" i="9"/>
  <c r="AI23" i="20"/>
  <c r="BO384" i="9"/>
  <c r="BO457" i="9"/>
  <c r="AI723" i="9"/>
  <c r="AI234" i="3"/>
  <c r="BP459" i="9"/>
  <c r="BP422" i="9"/>
  <c r="AJ255" i="3"/>
  <c r="AJ278" i="3" s="1"/>
  <c r="AJ209" i="3"/>
  <c r="AJ177" i="3"/>
  <c r="AJ200" i="3" s="1"/>
  <c r="BO451" i="9"/>
  <c r="BO270" i="9"/>
  <c r="AJ168" i="3"/>
  <c r="AJ191" i="3" s="1"/>
  <c r="AG257" i="6"/>
  <c r="AG259" i="6" s="1"/>
  <c r="AG170" i="20"/>
  <c r="AG60" i="30" s="1"/>
  <c r="BO548" i="9"/>
  <c r="BO373" i="9"/>
  <c r="BO458" i="9"/>
  <c r="BO403" i="9"/>
  <c r="AJ85" i="3"/>
  <c r="CH4" i="28"/>
  <c r="CH144" i="3"/>
  <c r="CH142" i="3"/>
  <c r="CH165" i="3" s="1"/>
  <c r="AH8" i="6"/>
  <c r="AI718" i="9"/>
  <c r="AI229" i="3"/>
  <c r="AI85" i="20"/>
  <c r="AI20" i="30" s="1"/>
  <c r="AI90" i="20"/>
  <c r="AI21" i="30" s="1"/>
  <c r="AI194" i="30"/>
  <c r="AI179" i="30"/>
  <c r="AI65" i="33" s="1"/>
  <c r="BO316" i="9"/>
  <c r="BO545" i="9"/>
  <c r="AI827" i="9"/>
  <c r="AI819" i="9"/>
  <c r="AI828" i="9"/>
  <c r="AI820" i="9"/>
  <c r="AI829" i="9"/>
  <c r="AI826" i="9"/>
  <c r="AI818" i="9"/>
  <c r="AI810" i="9"/>
  <c r="AI825" i="9"/>
  <c r="AI824" i="9"/>
  <c r="AI823" i="9"/>
  <c r="AI821" i="9"/>
  <c r="AI816" i="9"/>
  <c r="AI815" i="9"/>
  <c r="AI814" i="9"/>
  <c r="AI817" i="9"/>
  <c r="AI811" i="9"/>
  <c r="E151" i="23"/>
  <c r="E149" i="23" a="1"/>
  <c r="CH4" i="6" l="1"/>
  <c r="CH4" i="32"/>
  <c r="CH4" i="38"/>
  <c r="CH4" i="30"/>
  <c r="CI4" i="12"/>
  <c r="AK147" i="3"/>
  <c r="AK146" i="3"/>
  <c r="AJ68" i="3"/>
  <c r="CH20" i="3"/>
  <c r="AK152" i="3"/>
  <c r="AK143" i="3"/>
  <c r="AK156" i="3"/>
  <c r="AK144" i="3"/>
  <c r="AK140" i="3"/>
  <c r="AK163" i="3" s="1"/>
  <c r="AK186" i="3" s="1"/>
  <c r="AJ83" i="3"/>
  <c r="AJ86" i="3"/>
  <c r="AK151" i="3"/>
  <c r="AJ70" i="3"/>
  <c r="CH4" i="1"/>
  <c r="CH16" i="3"/>
  <c r="AJ82" i="3"/>
  <c r="AK149" i="3"/>
  <c r="AJ73" i="3"/>
  <c r="CH4" i="20"/>
  <c r="BV4" i="11"/>
  <c r="CH4" i="22"/>
  <c r="AK153" i="3"/>
  <c r="AK138" i="3"/>
  <c r="AJ74" i="3"/>
  <c r="CH4" i="16"/>
  <c r="CH4" i="33"/>
  <c r="AI747" i="9"/>
  <c r="CH4" i="26"/>
  <c r="CH4" i="35"/>
  <c r="AI746" i="9"/>
  <c r="CH4" i="9"/>
  <c r="AI748" i="9"/>
  <c r="AI752" i="9"/>
  <c r="AI744" i="9"/>
  <c r="AJ269" i="3"/>
  <c r="AJ292" i="3" s="1"/>
  <c r="AJ223" i="3"/>
  <c r="AG136" i="30"/>
  <c r="AG137" i="30" s="1"/>
  <c r="AH256" i="6"/>
  <c r="AK168" i="3"/>
  <c r="AK191" i="3" s="1"/>
  <c r="BO1018" i="9"/>
  <c r="BO527" i="9"/>
  <c r="BO405" i="9"/>
  <c r="BP399" i="9"/>
  <c r="AI72" i="30"/>
  <c r="AI74" i="30" s="1"/>
  <c r="AJ40" i="6"/>
  <c r="AI7" i="6" a="1"/>
  <c r="AI7" i="6" s="1"/>
  <c r="AI12" i="6"/>
  <c r="BO1017" i="9"/>
  <c r="BO526" i="9"/>
  <c r="BP380" i="9"/>
  <c r="BO386" i="9"/>
  <c r="BO610" i="9"/>
  <c r="BO892" i="9" s="1"/>
  <c r="BP237" i="9"/>
  <c r="BO534" i="9"/>
  <c r="BO107" i="9"/>
  <c r="BO1000" i="9"/>
  <c r="BO509" i="9"/>
  <c r="BO63" i="9"/>
  <c r="BP57" i="9"/>
  <c r="BO546" i="9"/>
  <c r="BO335" i="9"/>
  <c r="AK142" i="3"/>
  <c r="BO544" i="9"/>
  <c r="BO297" i="9"/>
  <c r="AJ200" i="26"/>
  <c r="AJ205" i="26"/>
  <c r="AJ85" i="26"/>
  <c r="AJ114" i="26"/>
  <c r="AJ140" i="26"/>
  <c r="AJ86" i="26"/>
  <c r="AJ61" i="26"/>
  <c r="AJ124" i="26"/>
  <c r="AJ74" i="26"/>
  <c r="AJ206" i="26"/>
  <c r="AJ199" i="26"/>
  <c r="AJ150" i="26"/>
  <c r="AJ197" i="26"/>
  <c r="AJ73" i="26"/>
  <c r="AJ95" i="26"/>
  <c r="AJ70" i="26"/>
  <c r="AJ147" i="26"/>
  <c r="AJ117" i="26"/>
  <c r="AJ72" i="26"/>
  <c r="AJ179" i="26"/>
  <c r="AJ178" i="26"/>
  <c r="AJ112" i="26"/>
  <c r="AJ145" i="26"/>
  <c r="AJ148" i="26"/>
  <c r="AJ65" i="26"/>
  <c r="AJ98" i="26"/>
  <c r="AJ63" i="26"/>
  <c r="AJ143" i="26"/>
  <c r="AJ123" i="26"/>
  <c r="AJ87" i="26"/>
  <c r="AJ68" i="26"/>
  <c r="AJ172" i="26"/>
  <c r="AJ171" i="26"/>
  <c r="AJ175" i="26"/>
  <c r="AJ121" i="26"/>
  <c r="AJ139" i="26"/>
  <c r="AJ88" i="26"/>
  <c r="AJ149" i="26"/>
  <c r="AJ116" i="26"/>
  <c r="AJ96" i="26"/>
  <c r="AJ67" i="26"/>
  <c r="AJ62" i="26"/>
  <c r="AJ183" i="26"/>
  <c r="AJ209" i="26"/>
  <c r="AJ151" i="26"/>
  <c r="AJ113" i="26"/>
  <c r="AJ138" i="26"/>
  <c r="AJ69" i="26"/>
  <c r="AJ122" i="26"/>
  <c r="AJ99" i="26"/>
  <c r="AJ90" i="26"/>
  <c r="AJ173" i="26"/>
  <c r="AJ176" i="26"/>
  <c r="AJ202" i="26"/>
  <c r="AJ195" i="26"/>
  <c r="AJ146" i="26"/>
  <c r="AJ97" i="26"/>
  <c r="AJ125" i="26"/>
  <c r="AJ177" i="26"/>
  <c r="AJ120" i="26"/>
  <c r="AJ66" i="26"/>
  <c r="AJ71" i="26"/>
  <c r="AJ118" i="26"/>
  <c r="AJ198" i="26"/>
  <c r="AJ185" i="26"/>
  <c r="AJ180" i="26"/>
  <c r="AJ144" i="26"/>
  <c r="AJ204" i="26"/>
  <c r="AJ93" i="26"/>
  <c r="AJ91" i="26"/>
  <c r="AJ142" i="26"/>
  <c r="AJ115" i="26"/>
  <c r="AJ64" i="26"/>
  <c r="AJ184" i="26"/>
  <c r="AJ111" i="26"/>
  <c r="AJ174" i="26"/>
  <c r="AJ181" i="26"/>
  <c r="AJ207" i="26"/>
  <c r="AJ208" i="26"/>
  <c r="AJ196" i="26"/>
  <c r="AJ89" i="26"/>
  <c r="AJ119" i="26"/>
  <c r="AJ141" i="26"/>
  <c r="AJ92" i="26"/>
  <c r="AJ60" i="26"/>
  <c r="AJ137" i="26"/>
  <c r="AJ94" i="26"/>
  <c r="AJ201" i="26"/>
  <c r="AJ203" i="26"/>
  <c r="AJ182" i="26"/>
  <c r="AJ100" i="3"/>
  <c r="AJ77" i="3"/>
  <c r="AJ102" i="3"/>
  <c r="AJ79" i="3"/>
  <c r="BO441" i="9"/>
  <c r="BO80" i="9"/>
  <c r="BO1010" i="9"/>
  <c r="BO519" i="9"/>
  <c r="BP247" i="9"/>
  <c r="BO253" i="9"/>
  <c r="BO550" i="9"/>
  <c r="BO411" i="9"/>
  <c r="AJ87" i="3"/>
  <c r="AI22" i="30"/>
  <c r="AI175" i="20"/>
  <c r="AJ180" i="20" a="1"/>
  <c r="AJ180" i="20" s="1"/>
  <c r="AJ162" i="20" a="1"/>
  <c r="AJ162" i="20" s="1"/>
  <c r="AJ153" i="20" a="1"/>
  <c r="AJ153" i="20" s="1"/>
  <c r="AJ150" i="20" a="1"/>
  <c r="AJ150" i="20" s="1"/>
  <c r="AJ41" i="30" s="1"/>
  <c r="AJ129" i="20" a="1"/>
  <c r="AJ129" i="20" s="1"/>
  <c r="AJ130" i="20" a="1"/>
  <c r="AJ130" i="20" s="1"/>
  <c r="AJ127" i="20" a="1"/>
  <c r="AJ127" i="20" s="1"/>
  <c r="AJ135" i="20" a="1"/>
  <c r="AJ135" i="20" s="1"/>
  <c r="AJ137" i="20" s="1"/>
  <c r="AJ29" i="30" s="1"/>
  <c r="AJ128" i="20" a="1"/>
  <c r="AJ128" i="20" s="1"/>
  <c r="AJ122" i="20" a="1"/>
  <c r="AJ122" i="20" s="1"/>
  <c r="AJ118" i="20" a="1"/>
  <c r="AJ118" i="20" s="1"/>
  <c r="AJ124" i="20" a="1"/>
  <c r="AJ124" i="20" s="1"/>
  <c r="AJ123" i="20" a="1"/>
  <c r="AJ123" i="20" s="1"/>
  <c r="AJ125" i="20" a="1"/>
  <c r="AJ125" i="20" s="1"/>
  <c r="AJ120" i="20" a="1"/>
  <c r="AJ120" i="20" s="1"/>
  <c r="AJ117" i="20" a="1"/>
  <c r="AJ117" i="20" s="1"/>
  <c r="AJ119" i="20" a="1"/>
  <c r="AJ119" i="20" s="1"/>
  <c r="AJ121" i="20" a="1"/>
  <c r="AJ121" i="20" s="1"/>
  <c r="AJ112" i="20" a="1"/>
  <c r="AJ112" i="20" s="1"/>
  <c r="AJ108" i="20" a="1"/>
  <c r="AJ108" i="20" s="1"/>
  <c r="AJ109" i="20" a="1"/>
  <c r="AJ109" i="20" s="1"/>
  <c r="AJ105" i="20" a="1"/>
  <c r="AJ105" i="20" s="1"/>
  <c r="AJ110" i="20" a="1"/>
  <c r="AJ110" i="20" s="1"/>
  <c r="AJ106" i="20" a="1"/>
  <c r="AJ106" i="20" s="1"/>
  <c r="AJ111" i="20" a="1"/>
  <c r="AJ111" i="20" s="1"/>
  <c r="AJ107" i="20" a="1"/>
  <c r="AJ107" i="20" s="1"/>
  <c r="AJ94" i="20" a="1"/>
  <c r="AJ94" i="20" s="1"/>
  <c r="AJ89" i="20" a="1"/>
  <c r="AJ89" i="20" s="1"/>
  <c r="AJ84" i="20" a="1"/>
  <c r="AJ84" i="20" s="1"/>
  <c r="AJ80" i="20" a="1"/>
  <c r="AJ80" i="20" s="1"/>
  <c r="AJ71" i="20" a="1"/>
  <c r="AJ71" i="20" s="1"/>
  <c r="AJ67" i="20" a="1"/>
  <c r="AJ67" i="20" s="1"/>
  <c r="AJ50" i="20" a="1"/>
  <c r="AJ50" i="20" s="1"/>
  <c r="AJ98" i="20" a="1"/>
  <c r="AJ98" i="20" s="1"/>
  <c r="AJ100" i="20" s="1"/>
  <c r="AJ95" i="20" a="1"/>
  <c r="AJ95" i="20" s="1"/>
  <c r="AJ81" i="20" a="1"/>
  <c r="AJ81" i="20" s="1"/>
  <c r="AJ77" i="20" a="1"/>
  <c r="AJ77" i="20" s="1"/>
  <c r="AJ72" i="20" a="1"/>
  <c r="AJ72" i="20" s="1"/>
  <c r="AJ68" i="20" a="1"/>
  <c r="AJ68" i="20" s="1"/>
  <c r="AJ64" i="20" a="1"/>
  <c r="AJ64" i="20" s="1"/>
  <c r="AJ58" i="20" a="1"/>
  <c r="AJ58" i="20" s="1"/>
  <c r="AJ51" i="20" a="1"/>
  <c r="AJ51" i="20" s="1"/>
  <c r="AJ43" i="20" a="1"/>
  <c r="AJ43" i="20" s="1"/>
  <c r="AJ35" i="20" a="1"/>
  <c r="AJ35" i="20" s="1"/>
  <c r="AJ27" i="20" a="1"/>
  <c r="AJ27" i="20" s="1"/>
  <c r="AJ19" i="20" a="1"/>
  <c r="AJ19" i="20" s="1"/>
  <c r="AJ11" i="20" a="1"/>
  <c r="AJ11" i="20" s="1"/>
  <c r="AJ44" i="20" a="1"/>
  <c r="AJ44" i="20" s="1"/>
  <c r="AJ82" i="20" a="1"/>
  <c r="AJ82" i="20" s="1"/>
  <c r="AJ78" i="20" a="1"/>
  <c r="AJ78" i="20" s="1"/>
  <c r="AJ73" i="20" a="1"/>
  <c r="AJ73" i="20" s="1"/>
  <c r="AJ69" i="20" a="1"/>
  <c r="AJ69" i="20" s="1"/>
  <c r="AJ65" i="20" a="1"/>
  <c r="AJ65" i="20" s="1"/>
  <c r="AJ54" i="20" a="1"/>
  <c r="AJ54" i="20" s="1"/>
  <c r="AJ52" i="20" a="1"/>
  <c r="AJ52" i="20" s="1"/>
  <c r="AJ59" i="20" a="1"/>
  <c r="AJ59" i="20" s="1"/>
  <c r="AJ93" i="20" a="1"/>
  <c r="AJ93" i="20" s="1"/>
  <c r="AJ88" i="20" a="1"/>
  <c r="AJ88" i="20" s="1"/>
  <c r="AJ83" i="20" a="1"/>
  <c r="AJ83" i="20" s="1"/>
  <c r="AJ79" i="20" a="1"/>
  <c r="AJ79" i="20" s="1"/>
  <c r="AJ70" i="20" a="1"/>
  <c r="AJ70" i="20" s="1"/>
  <c r="AJ66" i="20" a="1"/>
  <c r="AJ66" i="20" s="1"/>
  <c r="AJ47" i="20" a="1"/>
  <c r="AJ47" i="20" s="1"/>
  <c r="AJ61" i="20" a="1"/>
  <c r="AJ61" i="20" s="1"/>
  <c r="AJ57" i="20" a="1"/>
  <c r="AJ57" i="20" s="1"/>
  <c r="AJ34" i="20" a="1"/>
  <c r="AJ34" i="20" s="1"/>
  <c r="AJ39" i="20" a="1"/>
  <c r="AJ39" i="20" s="1"/>
  <c r="AJ42" i="20" a="1"/>
  <c r="AJ42" i="20" s="1"/>
  <c r="AJ37" i="20" a="1"/>
  <c r="AJ37" i="20" s="1"/>
  <c r="AJ36" i="20" a="1"/>
  <c r="AJ36" i="20" s="1"/>
  <c r="AJ28" i="20" a="1"/>
  <c r="AJ28" i="20" s="1"/>
  <c r="AJ21" i="20" a="1"/>
  <c r="AJ21" i="20" s="1"/>
  <c r="AJ14" i="20" a="1"/>
  <c r="AJ14" i="20" s="1"/>
  <c r="AJ22" i="20" a="1"/>
  <c r="AJ22" i="20" s="1"/>
  <c r="AJ12" i="20" a="1"/>
  <c r="AJ12" i="20" s="1"/>
  <c r="AJ45" i="20" a="1"/>
  <c r="AJ45" i="20" s="1"/>
  <c r="AJ30" i="20" a="1"/>
  <c r="AJ30" i="20" s="1"/>
  <c r="AJ17" i="20" a="1"/>
  <c r="AJ17" i="20" s="1"/>
  <c r="AJ18" i="20" a="1"/>
  <c r="AJ18" i="20" s="1"/>
  <c r="AJ33" i="20" a="1"/>
  <c r="AJ33" i="20" s="1"/>
  <c r="AJ20" i="20" a="1"/>
  <c r="AJ20" i="20" s="1"/>
  <c r="AJ24" i="20" a="1"/>
  <c r="AJ24" i="20" s="1"/>
  <c r="AH28" i="32"/>
  <c r="AH33" i="32"/>
  <c r="BO618" i="9"/>
  <c r="BO900" i="9" s="1"/>
  <c r="BP389" i="9"/>
  <c r="AI741" i="9"/>
  <c r="AJ260" i="3"/>
  <c r="AJ283" i="3" s="1"/>
  <c r="AJ214" i="3"/>
  <c r="BO1009" i="9"/>
  <c r="BO518" i="9"/>
  <c r="BP228" i="9"/>
  <c r="BO234" i="9"/>
  <c r="BO1014" i="9"/>
  <c r="BO523" i="9"/>
  <c r="BP323" i="9"/>
  <c r="BO329" i="9"/>
  <c r="BO539" i="9"/>
  <c r="BO202" i="9"/>
  <c r="AK175" i="3"/>
  <c r="AK198" i="3" s="1"/>
  <c r="AK12" i="3"/>
  <c r="AK3" i="3" s="1"/>
  <c r="AK24" i="3"/>
  <c r="AK41" i="3"/>
  <c r="AL8" i="3"/>
  <c r="AK5" i="3"/>
  <c r="AK4" i="3"/>
  <c r="AJ434" i="9"/>
  <c r="AJ339" i="9"/>
  <c r="AJ415" i="9"/>
  <c r="AJ396" i="9"/>
  <c r="AJ377" i="9"/>
  <c r="AJ225" i="9"/>
  <c r="AJ358" i="9"/>
  <c r="AJ320" i="9"/>
  <c r="AJ263" i="9"/>
  <c r="AJ187" i="9"/>
  <c r="AJ301" i="9"/>
  <c r="AJ244" i="9"/>
  <c r="AJ130" i="9"/>
  <c r="AJ92" i="9"/>
  <c r="AJ111" i="9"/>
  <c r="AJ168" i="9"/>
  <c r="AJ282" i="9"/>
  <c r="AJ149" i="9"/>
  <c r="AJ73" i="9"/>
  <c r="AJ206" i="9"/>
  <c r="BO1016" i="9"/>
  <c r="BO525" i="9"/>
  <c r="BP361" i="9"/>
  <c r="BO367" i="9"/>
  <c r="AJ722" i="9"/>
  <c r="AJ233" i="3"/>
  <c r="BO1005" i="9"/>
  <c r="BO514" i="9"/>
  <c r="BO158" i="9"/>
  <c r="BP152" i="9"/>
  <c r="BO455" i="9"/>
  <c r="BO346" i="9"/>
  <c r="AJ737" i="9"/>
  <c r="AJ248" i="3"/>
  <c r="AJ731" i="9"/>
  <c r="AJ242" i="3"/>
  <c r="BO614" i="9"/>
  <c r="BO896" i="9" s="1"/>
  <c r="BP313" i="9"/>
  <c r="BO1011" i="9"/>
  <c r="BO520" i="9"/>
  <c r="BO272" i="9"/>
  <c r="BP266" i="9"/>
  <c r="AJ92" i="3"/>
  <c r="AJ69" i="3"/>
  <c r="AJ95" i="3"/>
  <c r="AJ72" i="3"/>
  <c r="BO1008" i="9"/>
  <c r="BO517" i="9"/>
  <c r="BO215" i="9"/>
  <c r="BP209" i="9"/>
  <c r="AJ81" i="3"/>
  <c r="BO1012" i="9"/>
  <c r="BO521" i="9"/>
  <c r="BO291" i="9"/>
  <c r="BP285" i="9"/>
  <c r="AJ734" i="9"/>
  <c r="AJ245" i="3"/>
  <c r="BO605" i="9"/>
  <c r="BO887" i="9" s="1"/>
  <c r="BP142" i="9"/>
  <c r="AI749" i="9"/>
  <c r="AE23" i="32"/>
  <c r="AE112" i="30"/>
  <c r="AE114" i="30"/>
  <c r="AI753" i="9"/>
  <c r="BO453" i="9"/>
  <c r="BO308" i="9"/>
  <c r="BO607" i="9"/>
  <c r="BO889" i="9" s="1"/>
  <c r="BP180" i="9"/>
  <c r="AJ719" i="9"/>
  <c r="AJ230" i="3"/>
  <c r="AJ718" i="9"/>
  <c r="AJ229" i="3"/>
  <c r="AK160" i="3"/>
  <c r="AK183" i="3" s="1"/>
  <c r="BO542" i="9"/>
  <c r="BO259" i="9"/>
  <c r="BO617" i="9"/>
  <c r="BO899" i="9" s="1"/>
  <c r="BP370" i="9"/>
  <c r="BO446" i="9"/>
  <c r="BO175" i="9"/>
  <c r="BO532" i="9"/>
  <c r="BO69" i="9"/>
  <c r="AJ720" i="9"/>
  <c r="AJ231" i="3"/>
  <c r="AK176" i="3"/>
  <c r="AK199" i="3" s="1"/>
  <c r="AK174" i="3"/>
  <c r="AK197" i="3" s="1"/>
  <c r="AK167" i="3"/>
  <c r="AK190" i="3" s="1"/>
  <c r="BO612" i="9"/>
  <c r="BO894" i="9" s="1"/>
  <c r="BP275" i="9"/>
  <c r="BV5" i="11"/>
  <c r="CH59" i="3"/>
  <c r="CH105" i="3" s="1"/>
  <c r="CH51" i="3"/>
  <c r="CH97" i="3" s="1"/>
  <c r="CH61" i="3"/>
  <c r="CH107" i="3" s="1"/>
  <c r="CH56" i="3"/>
  <c r="CH102" i="3" s="1"/>
  <c r="CH46" i="3"/>
  <c r="CH92" i="3" s="1"/>
  <c r="CH64" i="3"/>
  <c r="CH110" i="3" s="1"/>
  <c r="CH54" i="3"/>
  <c r="CH100" i="3" s="1"/>
  <c r="CH63" i="3"/>
  <c r="CH109" i="3" s="1"/>
  <c r="CH58" i="3"/>
  <c r="CH104" i="3" s="1"/>
  <c r="CH49" i="3"/>
  <c r="CH95" i="3" s="1"/>
  <c r="CH48" i="3"/>
  <c r="CH94" i="3" s="1"/>
  <c r="CH62" i="3"/>
  <c r="CH108" i="3" s="1"/>
  <c r="CH60" i="3"/>
  <c r="CH106" i="3" s="1"/>
  <c r="CH47" i="3"/>
  <c r="CH93" i="3" s="1"/>
  <c r="CH53" i="3"/>
  <c r="CH99" i="3" s="1"/>
  <c r="CH52" i="3"/>
  <c r="CH98" i="3" s="1"/>
  <c r="CH50" i="3"/>
  <c r="CH96" i="3" s="1"/>
  <c r="CH45" i="3"/>
  <c r="CH91" i="3" s="1"/>
  <c r="CH57" i="3"/>
  <c r="CH103" i="3" s="1"/>
  <c r="CH55" i="3"/>
  <c r="CH101" i="3" s="1"/>
  <c r="CH5" i="35"/>
  <c r="CH5" i="33"/>
  <c r="CI5" i="12"/>
  <c r="CH5" i="32"/>
  <c r="CH5" i="30"/>
  <c r="CH5" i="38"/>
  <c r="CH5" i="6"/>
  <c r="CH5" i="9"/>
  <c r="CH5" i="26"/>
  <c r="CH5" i="16"/>
  <c r="CH5" i="22"/>
  <c r="CH5" i="20"/>
  <c r="CH5" i="1"/>
  <c r="CH5" i="28"/>
  <c r="CH131" i="3"/>
  <c r="CH129" i="3"/>
  <c r="CH121" i="3"/>
  <c r="CH133" i="3"/>
  <c r="CH126" i="3"/>
  <c r="CH115" i="3"/>
  <c r="CH117" i="3"/>
  <c r="CH122" i="3"/>
  <c r="CH123" i="3"/>
  <c r="CH114" i="3"/>
  <c r="CH118" i="3"/>
  <c r="CH116" i="3"/>
  <c r="CH120" i="3"/>
  <c r="CH132" i="3"/>
  <c r="CH125" i="3"/>
  <c r="CH127" i="3"/>
  <c r="CH124" i="3"/>
  <c r="CH119" i="3"/>
  <c r="CH130" i="3"/>
  <c r="CH128" i="3"/>
  <c r="AI743" i="9"/>
  <c r="AJ712" i="9"/>
  <c r="AJ781" i="9" s="1"/>
  <c r="AJ714" i="9"/>
  <c r="AJ783" i="9" s="1"/>
  <c r="AJ806" i="9" s="1"/>
  <c r="AJ707" i="9"/>
  <c r="AJ776" i="9" s="1"/>
  <c r="AJ799" i="9" s="1"/>
  <c r="AJ699" i="9"/>
  <c r="AJ768" i="9" s="1"/>
  <c r="AJ791" i="9" s="1"/>
  <c r="AJ713" i="9"/>
  <c r="AJ782" i="9" s="1"/>
  <c r="AJ805" i="9" s="1"/>
  <c r="AJ710" i="9"/>
  <c r="AJ779" i="9" s="1"/>
  <c r="AJ802" i="9" s="1"/>
  <c r="AJ708" i="9"/>
  <c r="AJ777" i="9" s="1"/>
  <c r="AJ800" i="9" s="1"/>
  <c r="AJ705" i="9"/>
  <c r="AJ774" i="9" s="1"/>
  <c r="AJ797" i="9" s="1"/>
  <c r="AJ695" i="9"/>
  <c r="AJ764" i="9" s="1"/>
  <c r="AJ787" i="9" s="1"/>
  <c r="AJ702" i="9"/>
  <c r="AJ771" i="9" s="1"/>
  <c r="AJ794" i="9" s="1"/>
  <c r="AJ700" i="9"/>
  <c r="AJ769" i="9" s="1"/>
  <c r="AJ792" i="9" s="1"/>
  <c r="AJ697" i="9"/>
  <c r="AJ766" i="9" s="1"/>
  <c r="AJ789" i="9" s="1"/>
  <c r="AJ709" i="9"/>
  <c r="AJ778" i="9" s="1"/>
  <c r="AJ801" i="9" s="1"/>
  <c r="AJ704" i="9"/>
  <c r="AJ773" i="9" s="1"/>
  <c r="AJ796" i="9" s="1"/>
  <c r="AJ711" i="9"/>
  <c r="AJ780" i="9" s="1"/>
  <c r="AJ803" i="9" s="1"/>
  <c r="AJ706" i="9"/>
  <c r="AJ775" i="9" s="1"/>
  <c r="AJ798" i="9" s="1"/>
  <c r="AJ701" i="9"/>
  <c r="AJ770" i="9" s="1"/>
  <c r="AJ793" i="9" s="1"/>
  <c r="AJ696" i="9"/>
  <c r="AJ765" i="9" s="1"/>
  <c r="AJ788" i="9" s="1"/>
  <c r="AJ703" i="9"/>
  <c r="AJ772" i="9" s="1"/>
  <c r="AJ795" i="9" s="1"/>
  <c r="AJ698" i="9"/>
  <c r="AJ767" i="9" s="1"/>
  <c r="AJ790" i="9" s="1"/>
  <c r="AJ26" i="3"/>
  <c r="AJ28" i="3"/>
  <c r="AJ728" i="9"/>
  <c r="AJ239" i="3"/>
  <c r="AJ725" i="9"/>
  <c r="AJ236" i="3"/>
  <c r="AJ736" i="9"/>
  <c r="AJ247" i="3"/>
  <c r="BP1019" i="9"/>
  <c r="BP528" i="9"/>
  <c r="BQ418" i="9"/>
  <c r="BP424" i="9"/>
  <c r="BO537" i="9"/>
  <c r="BO164" i="9"/>
  <c r="AI751" i="9"/>
  <c r="AK179" i="3"/>
  <c r="AK202" i="3" s="1"/>
  <c r="AK166" i="3"/>
  <c r="AK189" i="3" s="1"/>
  <c r="AI77" i="33"/>
  <c r="AI195" i="30"/>
  <c r="AI78" i="33" s="1"/>
  <c r="CH167" i="3"/>
  <c r="BO447" i="9"/>
  <c r="BO194" i="9"/>
  <c r="AF96" i="33"/>
  <c r="AF101" i="33" s="1"/>
  <c r="AF104" i="33" s="1"/>
  <c r="AG211" i="30"/>
  <c r="AF214" i="30"/>
  <c r="AF217" i="30" s="1"/>
  <c r="AF83" i="6"/>
  <c r="AI758" i="9"/>
  <c r="AK154" i="3"/>
  <c r="AK148" i="3"/>
  <c r="AK150" i="3"/>
  <c r="AI27" i="30"/>
  <c r="AI30" i="30" s="1"/>
  <c r="AI139" i="20"/>
  <c r="BO1003" i="9"/>
  <c r="BO512" i="9"/>
  <c r="BP114" i="9"/>
  <c r="BO120" i="9"/>
  <c r="AJ78" i="3"/>
  <c r="CI10" i="3"/>
  <c r="CI152" i="3" s="1"/>
  <c r="CI175" i="3" s="1"/>
  <c r="AJ733" i="9"/>
  <c r="AJ244" i="3"/>
  <c r="AJ724" i="9"/>
  <c r="AJ235" i="3"/>
  <c r="AJ730" i="9"/>
  <c r="AJ241" i="3"/>
  <c r="AH174" i="20"/>
  <c r="AH181" i="20" s="1"/>
  <c r="AH62" i="30" s="1"/>
  <c r="AH156" i="20"/>
  <c r="AH166" i="20" s="1"/>
  <c r="BO533" i="9"/>
  <c r="BO88" i="9"/>
  <c r="AK170" i="3"/>
  <c r="AK193" i="3" s="1"/>
  <c r="AK172" i="3"/>
  <c r="AK195" i="3" s="1"/>
  <c r="AK169" i="3"/>
  <c r="AK192" i="3" s="1"/>
  <c r="BO620" i="9"/>
  <c r="BO902" i="9" s="1"/>
  <c r="BP427" i="9"/>
  <c r="AJ107" i="3"/>
  <c r="AJ84" i="3"/>
  <c r="AG82" i="35"/>
  <c r="AG67" i="33"/>
  <c r="AG69" i="33" s="1"/>
  <c r="AG31" i="32"/>
  <c r="AG27" i="32"/>
  <c r="AG208" i="30"/>
  <c r="AG92" i="33" s="1"/>
  <c r="BV3" i="11"/>
  <c r="CH14" i="3"/>
  <c r="CH3" i="35"/>
  <c r="CH3" i="33"/>
  <c r="CI3" i="12"/>
  <c r="CH3" i="32"/>
  <c r="CH3" i="30"/>
  <c r="CH3" i="38"/>
  <c r="CH3" i="6"/>
  <c r="CH3" i="9"/>
  <c r="CH3" i="26"/>
  <c r="CH3" i="16"/>
  <c r="CH3" i="22"/>
  <c r="CH3" i="20"/>
  <c r="DN2" i="20" s="1"/>
  <c r="CH3" i="1"/>
  <c r="DR2" i="1" s="1"/>
  <c r="CH3" i="28"/>
  <c r="AJ723" i="9"/>
  <c r="AJ234" i="3"/>
  <c r="AK161" i="3"/>
  <c r="AK184" i="3" s="1"/>
  <c r="CH28" i="3"/>
  <c r="CH26" i="3"/>
  <c r="BO547" i="9"/>
  <c r="BO354" i="9"/>
  <c r="CH18" i="3"/>
  <c r="AJ721" i="9"/>
  <c r="AJ232" i="3"/>
  <c r="BO1004" i="9"/>
  <c r="BO513" i="9"/>
  <c r="BP133" i="9"/>
  <c r="BO139" i="9"/>
  <c r="BO442" i="9"/>
  <c r="BO99" i="9"/>
  <c r="AI756" i="9"/>
  <c r="BP540" i="9"/>
  <c r="BP221" i="9"/>
  <c r="AK139" i="3"/>
  <c r="AK141" i="3"/>
  <c r="AK155" i="3"/>
  <c r="AJ94" i="3"/>
  <c r="AJ71" i="3"/>
  <c r="AJ76" i="3"/>
  <c r="AI13" i="30"/>
  <c r="AI24" i="30" s="1"/>
  <c r="AI102" i="20"/>
  <c r="AJ729" i="9"/>
  <c r="AJ240" i="3"/>
  <c r="BO604" i="9"/>
  <c r="BO886" i="9" s="1"/>
  <c r="BP123" i="9"/>
  <c r="AJ18" i="3"/>
  <c r="AJ732" i="9"/>
  <c r="AJ243" i="3"/>
  <c r="AJ727" i="9"/>
  <c r="AJ238" i="3"/>
  <c r="AH47" i="30"/>
  <c r="AH38" i="30"/>
  <c r="E149" i="23"/>
  <c r="E147" i="23" a="1"/>
  <c r="CI150" i="3" l="1"/>
  <c r="CI173" i="3" s="1"/>
  <c r="CI143" i="3"/>
  <c r="CI166" i="3" s="1"/>
  <c r="CI151" i="3"/>
  <c r="CI174" i="3" s="1"/>
  <c r="CI147" i="3"/>
  <c r="CI170" i="3" s="1"/>
  <c r="CI148" i="3"/>
  <c r="CI171" i="3" s="1"/>
  <c r="CI155" i="3"/>
  <c r="CI178" i="3" s="1"/>
  <c r="CI149" i="3"/>
  <c r="CI172" i="3" s="1"/>
  <c r="AJ751" i="9"/>
  <c r="AJ754" i="9"/>
  <c r="CI156" i="3"/>
  <c r="CI179" i="3" s="1"/>
  <c r="AJ804" i="9"/>
  <c r="AJ827" i="9" s="1"/>
  <c r="AJ760" i="9"/>
  <c r="CI153" i="3"/>
  <c r="CI176" i="3" s="1"/>
  <c r="AJ757" i="9"/>
  <c r="CI138" i="3"/>
  <c r="CI161" i="3" s="1"/>
  <c r="CI137" i="3"/>
  <c r="CI160" i="3" s="1"/>
  <c r="CI144" i="3"/>
  <c r="CI167" i="3" s="1"/>
  <c r="AJ23" i="20"/>
  <c r="CI146" i="3"/>
  <c r="CI169" i="3" s="1"/>
  <c r="CI142" i="3"/>
  <c r="CI165" i="3" s="1"/>
  <c r="AJ746" i="9"/>
  <c r="AJ756" i="9"/>
  <c r="CI141" i="3"/>
  <c r="CI164" i="3" s="1"/>
  <c r="CI139" i="3"/>
  <c r="CI162" i="3" s="1"/>
  <c r="AJ748" i="9"/>
  <c r="AJ742" i="9"/>
  <c r="CI4" i="3"/>
  <c r="CI22" i="3" s="1"/>
  <c r="CI145" i="3"/>
  <c r="CI168" i="3" s="1"/>
  <c r="CI140" i="3"/>
  <c r="CI163" i="3" s="1"/>
  <c r="AJ743" i="9"/>
  <c r="AJ24" i="32"/>
  <c r="AJ25" i="32" s="1"/>
  <c r="AJ24" i="35" s="1"/>
  <c r="AJ114" i="20"/>
  <c r="AJ27" i="30" s="1"/>
  <c r="AJ753" i="9"/>
  <c r="AI141" i="20"/>
  <c r="AI146" i="20" s="1"/>
  <c r="AI174" i="20" s="1"/>
  <c r="AI181" i="20" s="1"/>
  <c r="AI62" i="30" s="1"/>
  <c r="AG94" i="33"/>
  <c r="AK271" i="3"/>
  <c r="AK294" i="3" s="1"/>
  <c r="AK225" i="3"/>
  <c r="AK258" i="3"/>
  <c r="AK281" i="3" s="1"/>
  <c r="AK212" i="3"/>
  <c r="AK252" i="3"/>
  <c r="AK275" i="3" s="1"/>
  <c r="AK206" i="3"/>
  <c r="AK213" i="3"/>
  <c r="AK259" i="3"/>
  <c r="AK282" i="3" s="1"/>
  <c r="AK216" i="3"/>
  <c r="AK262" i="3"/>
  <c r="AK285" i="3" s="1"/>
  <c r="AK220" i="3"/>
  <c r="AK266" i="3"/>
  <c r="AK289" i="3" s="1"/>
  <c r="AK215" i="3"/>
  <c r="AK261" i="3"/>
  <c r="AK284" i="3" s="1"/>
  <c r="AK209" i="3"/>
  <c r="AK255" i="3"/>
  <c r="AK278" i="3" s="1"/>
  <c r="AK264" i="3"/>
  <c r="AK287" i="3" s="1"/>
  <c r="AK218" i="3"/>
  <c r="AJ828" i="9"/>
  <c r="AJ820" i="9"/>
  <c r="AJ829" i="9"/>
  <c r="AJ821" i="9"/>
  <c r="AJ813" i="9"/>
  <c r="AJ819" i="9"/>
  <c r="AJ811" i="9"/>
  <c r="AJ823" i="9"/>
  <c r="AJ822" i="9"/>
  <c r="AJ826" i="9"/>
  <c r="AJ818" i="9"/>
  <c r="AJ816" i="9"/>
  <c r="AJ815" i="9"/>
  <c r="AJ814" i="9"/>
  <c r="AJ817" i="9"/>
  <c r="AJ812" i="9"/>
  <c r="AJ825" i="9"/>
  <c r="AJ824" i="9"/>
  <c r="AJ810" i="9"/>
  <c r="AK162" i="3"/>
  <c r="AK185" i="3" s="1"/>
  <c r="AK207" i="3"/>
  <c r="AK253" i="3"/>
  <c r="AK276" i="3" s="1"/>
  <c r="AK268" i="3"/>
  <c r="AK291" i="3" s="1"/>
  <c r="AK222" i="3"/>
  <c r="BP548" i="9"/>
  <c r="BP373" i="9"/>
  <c r="BP448" i="9"/>
  <c r="BP213" i="9"/>
  <c r="AJ38" i="20"/>
  <c r="AJ15" i="30" s="1"/>
  <c r="AJ74" i="20"/>
  <c r="AJ19" i="30" s="1"/>
  <c r="AF19" i="32"/>
  <c r="AF85" i="30"/>
  <c r="AF88" i="30" s="1"/>
  <c r="AF14" i="6"/>
  <c r="BO606" i="9"/>
  <c r="BO888" i="9" s="1"/>
  <c r="BP161" i="9"/>
  <c r="CH145" i="26"/>
  <c r="CH148" i="26"/>
  <c r="CH113" i="26"/>
  <c r="CH69" i="26"/>
  <c r="CH89" i="26"/>
  <c r="CH99" i="26"/>
  <c r="CH123" i="26"/>
  <c r="CH87" i="26"/>
  <c r="CH74" i="26"/>
  <c r="CH176" i="26"/>
  <c r="CH179" i="26"/>
  <c r="CH202" i="26"/>
  <c r="CH142" i="26"/>
  <c r="CH112" i="26"/>
  <c r="CH174" i="26"/>
  <c r="CH65" i="26"/>
  <c r="CH96" i="26"/>
  <c r="CH90" i="26"/>
  <c r="CH73" i="26"/>
  <c r="CH68" i="26"/>
  <c r="CH195" i="26"/>
  <c r="CH198" i="26"/>
  <c r="CH205" i="26"/>
  <c r="CH118" i="26"/>
  <c r="CH91" i="26"/>
  <c r="CH143" i="26"/>
  <c r="CH122" i="26"/>
  <c r="CH93" i="26"/>
  <c r="CH178" i="26"/>
  <c r="CH72" i="26"/>
  <c r="CH63" i="26"/>
  <c r="CH171" i="26"/>
  <c r="CH207" i="26"/>
  <c r="CH197" i="26"/>
  <c r="CH70" i="26"/>
  <c r="CH88" i="26"/>
  <c r="CH137" i="26"/>
  <c r="CH115" i="26"/>
  <c r="CH71" i="26"/>
  <c r="CH140" i="26"/>
  <c r="CH67" i="26"/>
  <c r="CH64" i="26"/>
  <c r="CH183" i="26"/>
  <c r="CH206" i="26"/>
  <c r="CH146" i="26"/>
  <c r="CH62" i="26"/>
  <c r="CH85" i="26"/>
  <c r="CH121" i="26"/>
  <c r="CH86" i="26"/>
  <c r="CH66" i="26"/>
  <c r="CH124" i="26"/>
  <c r="CH61" i="26"/>
  <c r="CH185" i="26"/>
  <c r="CH199" i="26"/>
  <c r="CH196" i="26"/>
  <c r="CH208" i="26"/>
  <c r="CH150" i="26"/>
  <c r="CH147" i="26"/>
  <c r="CH120" i="26"/>
  <c r="CH139" i="26"/>
  <c r="CH60" i="26"/>
  <c r="CH117" i="26"/>
  <c r="CH151" i="26"/>
  <c r="CH177" i="26"/>
  <c r="CH203" i="26"/>
  <c r="CH172" i="26"/>
  <c r="CH149" i="26"/>
  <c r="CH200" i="26"/>
  <c r="CH125" i="26"/>
  <c r="CH114" i="26"/>
  <c r="CH95" i="26"/>
  <c r="CH138" i="26"/>
  <c r="CH181" i="26"/>
  <c r="CH111" i="26"/>
  <c r="CH144" i="26"/>
  <c r="CH209" i="26"/>
  <c r="CH173" i="26"/>
  <c r="CH180" i="26"/>
  <c r="CH141" i="26"/>
  <c r="CH182" i="26"/>
  <c r="CH119" i="26"/>
  <c r="CH98" i="26"/>
  <c r="CH92" i="26"/>
  <c r="CH116" i="26"/>
  <c r="CH175" i="26"/>
  <c r="CH97" i="26"/>
  <c r="CH94" i="26"/>
  <c r="CH201" i="26"/>
  <c r="CH184" i="26"/>
  <c r="CH204" i="26"/>
  <c r="BP451" i="9"/>
  <c r="BP270" i="9"/>
  <c r="BP445" i="9"/>
  <c r="BP156" i="9"/>
  <c r="AK221" i="3"/>
  <c r="AK267" i="3"/>
  <c r="AK290" i="3" s="1"/>
  <c r="AJ13" i="20"/>
  <c r="BP541" i="9"/>
  <c r="BP240" i="9"/>
  <c r="BP457" i="9"/>
  <c r="BP384" i="9"/>
  <c r="AK260" i="3"/>
  <c r="AK283" i="3" s="1"/>
  <c r="AK214" i="3"/>
  <c r="AI80" i="33"/>
  <c r="CH320" i="9"/>
  <c r="CH434" i="9"/>
  <c r="CH415" i="9"/>
  <c r="CH396" i="9"/>
  <c r="CH358" i="9"/>
  <c r="CH263" i="9"/>
  <c r="CH377" i="9"/>
  <c r="CH301" i="9"/>
  <c r="CH187" i="9"/>
  <c r="CH244" i="9"/>
  <c r="CH282" i="9"/>
  <c r="CH206" i="9"/>
  <c r="CH339" i="9"/>
  <c r="CH225" i="9"/>
  <c r="CH111" i="9"/>
  <c r="CH168" i="9"/>
  <c r="CH73" i="9"/>
  <c r="CH130" i="9"/>
  <c r="CH149" i="9"/>
  <c r="CH92" i="9"/>
  <c r="BO611" i="9"/>
  <c r="BO893" i="9" s="1"/>
  <c r="BP256" i="9"/>
  <c r="BP538" i="9"/>
  <c r="BP183" i="9"/>
  <c r="AK4" i="11"/>
  <c r="AK16" i="3"/>
  <c r="AK22" i="3"/>
  <c r="AK30" i="3"/>
  <c r="AK4" i="35"/>
  <c r="AK4" i="33"/>
  <c r="AL4" i="12"/>
  <c r="AK4" i="32"/>
  <c r="AK4" i="30"/>
  <c r="AK4" i="38"/>
  <c r="AK4" i="6"/>
  <c r="AK4" i="9"/>
  <c r="AK4" i="26"/>
  <c r="AK4" i="16"/>
  <c r="AK4" i="22"/>
  <c r="AK4" i="20"/>
  <c r="AK4" i="1"/>
  <c r="AK4" i="28"/>
  <c r="AK20" i="3"/>
  <c r="BP454" i="9"/>
  <c r="BP327" i="9"/>
  <c r="BP449" i="9"/>
  <c r="BP232" i="9"/>
  <c r="BP549" i="9"/>
  <c r="BP392" i="9"/>
  <c r="BP450" i="9"/>
  <c r="BP251" i="9"/>
  <c r="BO613" i="9"/>
  <c r="BO895" i="9" s="1"/>
  <c r="BP294" i="9"/>
  <c r="BP535" i="9"/>
  <c r="BP126" i="9"/>
  <c r="AG212" i="30"/>
  <c r="BQ459" i="9"/>
  <c r="BQ422" i="9"/>
  <c r="BO601" i="9"/>
  <c r="BO883" i="9" s="1"/>
  <c r="BP66" i="9"/>
  <c r="BO1015" i="9"/>
  <c r="BP342" i="9"/>
  <c r="BO524" i="9"/>
  <c r="BO348" i="9"/>
  <c r="AK5" i="11"/>
  <c r="AK59" i="3"/>
  <c r="AK51" i="3"/>
  <c r="AK63" i="3"/>
  <c r="AK58" i="3"/>
  <c r="AK104" i="3" s="1"/>
  <c r="AK45" i="3"/>
  <c r="AK53" i="3"/>
  <c r="AK99" i="3" s="1"/>
  <c r="AK60" i="3"/>
  <c r="AK56" i="3"/>
  <c r="AK102" i="3" s="1"/>
  <c r="AK54" i="3"/>
  <c r="AK100" i="3" s="1"/>
  <c r="AK49" i="3"/>
  <c r="AK95" i="3" s="1"/>
  <c r="AK47" i="3"/>
  <c r="AK48" i="3"/>
  <c r="AK94" i="3" s="1"/>
  <c r="AK55" i="3"/>
  <c r="AK101" i="3" s="1"/>
  <c r="AK52" i="3"/>
  <c r="AK57" i="3"/>
  <c r="AK50" i="3"/>
  <c r="AK61" i="3"/>
  <c r="AK107" i="3" s="1"/>
  <c r="AK64" i="3"/>
  <c r="AK110" i="3" s="1"/>
  <c r="AK62" i="3"/>
  <c r="AK46" i="3"/>
  <c r="AK92" i="3" s="1"/>
  <c r="AK5" i="35"/>
  <c r="AK5" i="33"/>
  <c r="AL5" i="12"/>
  <c r="AK5" i="32"/>
  <c r="AK5" i="30"/>
  <c r="AK5" i="38"/>
  <c r="AK5" i="6"/>
  <c r="AK5" i="9"/>
  <c r="AK5" i="26"/>
  <c r="AK5" i="16"/>
  <c r="AK5" i="22"/>
  <c r="AK5" i="20"/>
  <c r="AK5" i="1"/>
  <c r="AK5" i="28"/>
  <c r="AK119" i="3"/>
  <c r="AK125" i="3"/>
  <c r="AK133" i="3"/>
  <c r="AK131" i="3"/>
  <c r="AK118" i="3"/>
  <c r="AK128" i="3"/>
  <c r="AK130" i="3"/>
  <c r="AK126" i="3"/>
  <c r="AK115" i="3"/>
  <c r="AK120" i="3"/>
  <c r="AK122" i="3"/>
  <c r="AK132" i="3"/>
  <c r="AK124" i="3"/>
  <c r="AK129" i="3"/>
  <c r="AK116" i="3"/>
  <c r="AK121" i="3"/>
  <c r="AK117" i="3"/>
  <c r="AK127" i="3"/>
  <c r="AK114" i="3"/>
  <c r="AK123" i="3"/>
  <c r="BO608" i="9"/>
  <c r="BO890" i="9" s="1"/>
  <c r="BP199" i="9"/>
  <c r="AJ29" i="20"/>
  <c r="AJ14" i="30" s="1"/>
  <c r="AJ85" i="20"/>
  <c r="AJ20" i="30" s="1"/>
  <c r="BO619" i="9"/>
  <c r="BO901" i="9" s="1"/>
  <c r="BP408" i="9"/>
  <c r="BP440" i="9"/>
  <c r="BP61" i="9"/>
  <c r="BP551" i="9"/>
  <c r="BP430" i="9"/>
  <c r="BO1013" i="9"/>
  <c r="BO522" i="9"/>
  <c r="BO310" i="9"/>
  <c r="BP304" i="9"/>
  <c r="BP365" i="9"/>
  <c r="BP456" i="9"/>
  <c r="AL10" i="3"/>
  <c r="AL154" i="3" s="1"/>
  <c r="AJ46" i="20"/>
  <c r="AJ16" i="30" s="1"/>
  <c r="AJ194" i="30"/>
  <c r="AJ179" i="30"/>
  <c r="AJ65" i="33" s="1"/>
  <c r="AK165" i="3"/>
  <c r="AK188" i="3" s="1"/>
  <c r="BP458" i="9"/>
  <c r="BP403" i="9"/>
  <c r="BP444" i="9"/>
  <c r="BP137" i="9"/>
  <c r="BO602" i="9"/>
  <c r="BO884" i="9" s="1"/>
  <c r="BP85" i="9"/>
  <c r="AK173" i="3"/>
  <c r="AK196" i="3" s="1"/>
  <c r="BO1007" i="9"/>
  <c r="BO516" i="9"/>
  <c r="BP190" i="9"/>
  <c r="BO196" i="9"/>
  <c r="BO1006" i="9"/>
  <c r="BO515" i="9"/>
  <c r="BO177" i="9"/>
  <c r="BP171" i="9"/>
  <c r="BP545" i="9"/>
  <c r="BP316" i="9"/>
  <c r="AJ44" i="30"/>
  <c r="AJ45" i="30" s="1"/>
  <c r="AJ154" i="20"/>
  <c r="BO1001" i="9"/>
  <c r="BO510" i="9"/>
  <c r="BO82" i="9"/>
  <c r="BP76" i="9"/>
  <c r="BO615" i="9"/>
  <c r="BO897" i="9" s="1"/>
  <c r="BP332" i="9"/>
  <c r="AI8" i="6"/>
  <c r="A7" i="6"/>
  <c r="AJ747" i="9"/>
  <c r="BO1002" i="9"/>
  <c r="BO511" i="9"/>
  <c r="BP95" i="9"/>
  <c r="BO101" i="9"/>
  <c r="BP443" i="9"/>
  <c r="BP118" i="9"/>
  <c r="AK171" i="3"/>
  <c r="AK194" i="3" s="1"/>
  <c r="AJ745" i="9"/>
  <c r="AJ726" i="9"/>
  <c r="AJ237" i="3"/>
  <c r="AJ90" i="20"/>
  <c r="AJ21" i="30" s="1"/>
  <c r="AJ23" i="30"/>
  <c r="AJ179" i="20"/>
  <c r="AJ52" i="30"/>
  <c r="AJ54" i="30" s="1"/>
  <c r="AJ41" i="6"/>
  <c r="AJ44" i="6" s="1"/>
  <c r="AJ164" i="20"/>
  <c r="AJ735" i="9"/>
  <c r="AJ246" i="3"/>
  <c r="BP609" i="9"/>
  <c r="BP891" i="9" s="1"/>
  <c r="BQ218" i="9"/>
  <c r="BO616" i="9"/>
  <c r="BO898" i="9" s="1"/>
  <c r="BP351" i="9"/>
  <c r="AH54" i="33"/>
  <c r="AH148" i="30"/>
  <c r="AH180" i="30" s="1"/>
  <c r="AH56" i="30"/>
  <c r="AH58" i="30" s="1"/>
  <c r="AJ750" i="9"/>
  <c r="AJ752" i="9"/>
  <c r="AK178" i="3"/>
  <c r="AK201" i="3" s="1"/>
  <c r="AH257" i="6"/>
  <c r="AH259" i="6" s="1"/>
  <c r="AH170" i="20"/>
  <c r="AH60" i="30" s="1"/>
  <c r="AJ755" i="9"/>
  <c r="AI14" i="32"/>
  <c r="AI32" i="30"/>
  <c r="AI36" i="30" s="1"/>
  <c r="AK164" i="3"/>
  <c r="AK187" i="3" s="1"/>
  <c r="AJ744" i="9"/>
  <c r="CI5" i="3"/>
  <c r="CI12" i="3"/>
  <c r="CI3" i="3" s="1"/>
  <c r="CI41" i="3"/>
  <c r="CI24" i="3"/>
  <c r="CI154" i="3"/>
  <c r="CI177" i="3" s="1"/>
  <c r="AK177" i="3"/>
  <c r="AK200" i="3" s="1"/>
  <c r="AJ759" i="9"/>
  <c r="BP543" i="9"/>
  <c r="BP278" i="9"/>
  <c r="AJ741" i="9"/>
  <c r="BP536" i="9"/>
  <c r="BP145" i="9"/>
  <c r="BP452" i="9"/>
  <c r="BP289" i="9"/>
  <c r="AK3" i="11"/>
  <c r="AK14" i="3"/>
  <c r="AK3" i="35"/>
  <c r="AK3" i="33"/>
  <c r="AL3" i="12"/>
  <c r="AK3" i="32"/>
  <c r="AK3" i="30"/>
  <c r="AK3" i="38"/>
  <c r="AK3" i="6"/>
  <c r="AK3" i="9"/>
  <c r="AK3" i="26"/>
  <c r="AK3" i="16"/>
  <c r="AK3" i="22"/>
  <c r="AK3" i="20"/>
  <c r="AK3" i="1"/>
  <c r="AK3" i="28"/>
  <c r="AK37" i="3"/>
  <c r="AJ25" i="30"/>
  <c r="AJ60" i="20"/>
  <c r="AJ18" i="30" s="1"/>
  <c r="AJ96" i="20"/>
  <c r="AJ53" i="20"/>
  <c r="AJ17" i="30" s="1"/>
  <c r="AJ131" i="20"/>
  <c r="AJ132" i="20" s="1"/>
  <c r="BP104" i="9"/>
  <c r="BO603" i="9"/>
  <c r="BO885" i="9" s="1"/>
  <c r="E147" i="23"/>
  <c r="E146" i="23" a="1"/>
  <c r="CI4" i="32" l="1"/>
  <c r="CI4" i="20"/>
  <c r="AK72" i="3"/>
  <c r="CI4" i="28"/>
  <c r="CI4" i="1"/>
  <c r="AL139" i="3"/>
  <c r="AL152" i="3"/>
  <c r="AL175" i="3" s="1"/>
  <c r="AL198" i="3" s="1"/>
  <c r="AL151" i="3"/>
  <c r="AL174" i="3" s="1"/>
  <c r="AL197" i="3" s="1"/>
  <c r="AL148" i="3"/>
  <c r="AL171" i="3" s="1"/>
  <c r="AL194" i="3" s="1"/>
  <c r="AL147" i="3"/>
  <c r="AL170" i="3" s="1"/>
  <c r="AL193" i="3" s="1"/>
  <c r="AL138" i="3"/>
  <c r="AL161" i="3" s="1"/>
  <c r="AL184" i="3" s="1"/>
  <c r="BW4" i="11"/>
  <c r="AL153" i="3"/>
  <c r="AL137" i="3"/>
  <c r="AL160" i="3" s="1"/>
  <c r="AL149" i="3"/>
  <c r="AL172" i="3" s="1"/>
  <c r="AL195" i="3" s="1"/>
  <c r="CI4" i="38"/>
  <c r="AL143" i="3"/>
  <c r="AL166" i="3" s="1"/>
  <c r="AL189" i="3" s="1"/>
  <c r="AL140" i="3"/>
  <c r="AL163" i="3" s="1"/>
  <c r="AL186" i="3" s="1"/>
  <c r="AL146" i="3"/>
  <c r="AL169" i="3" s="1"/>
  <c r="AL192" i="3" s="1"/>
  <c r="AL150" i="3"/>
  <c r="CI4" i="30"/>
  <c r="CI4" i="22"/>
  <c r="CJ4" i="12"/>
  <c r="CI4" i="16"/>
  <c r="CI4" i="33"/>
  <c r="AK69" i="3"/>
  <c r="AL156" i="3"/>
  <c r="AL179" i="3" s="1"/>
  <c r="AL202" i="3" s="1"/>
  <c r="AL145" i="3"/>
  <c r="CI4" i="26"/>
  <c r="CI4" i="35"/>
  <c r="AK79" i="3"/>
  <c r="CI4" i="9"/>
  <c r="CI16" i="3"/>
  <c r="CI18" i="3" s="1"/>
  <c r="AK71" i="3"/>
  <c r="CI20" i="3"/>
  <c r="CI4" i="6"/>
  <c r="AI156" i="20"/>
  <c r="AI166" i="20" s="1"/>
  <c r="AI257" i="6" s="1"/>
  <c r="AJ758" i="9"/>
  <c r="AK257" i="3"/>
  <c r="AK280" i="3" s="1"/>
  <c r="AK211" i="3"/>
  <c r="AH136" i="30"/>
  <c r="AH137" i="30" s="1"/>
  <c r="AI256" i="6"/>
  <c r="AK219" i="3"/>
  <c r="AK265" i="3"/>
  <c r="AK288" i="3" s="1"/>
  <c r="AK224" i="3"/>
  <c r="AK270" i="3"/>
  <c r="AK293" i="3" s="1"/>
  <c r="AJ28" i="30"/>
  <c r="AJ26" i="32" s="1"/>
  <c r="AJ25" i="35" s="1"/>
  <c r="AJ139" i="20"/>
  <c r="AH82" i="35"/>
  <c r="AH67" i="33"/>
  <c r="AH69" i="33" s="1"/>
  <c r="AH27" i="32"/>
  <c r="AH31" i="32"/>
  <c r="AH208" i="30"/>
  <c r="AH92" i="33" s="1"/>
  <c r="BP612" i="9"/>
  <c r="BP894" i="9" s="1"/>
  <c r="BQ275" i="9"/>
  <c r="BW3" i="11"/>
  <c r="CI14" i="3"/>
  <c r="CI3" i="35"/>
  <c r="CI3" i="33"/>
  <c r="CJ3" i="12"/>
  <c r="CI3" i="32"/>
  <c r="CI3" i="30"/>
  <c r="CI3" i="38"/>
  <c r="CI3" i="6"/>
  <c r="CI3" i="9"/>
  <c r="CI3" i="26"/>
  <c r="CI3" i="16"/>
  <c r="CI3" i="22"/>
  <c r="CI3" i="20"/>
  <c r="DO2" i="20" s="1"/>
  <c r="CI3" i="1"/>
  <c r="DS2" i="1" s="1"/>
  <c r="CI3" i="28"/>
  <c r="AK269" i="3"/>
  <c r="AK292" i="3" s="1"/>
  <c r="AK223" i="3"/>
  <c r="AK256" i="3"/>
  <c r="AK279" i="3" s="1"/>
  <c r="AK210" i="3"/>
  <c r="AK217" i="3"/>
  <c r="AK263" i="3"/>
  <c r="AK286" i="3" s="1"/>
  <c r="BP1004" i="9"/>
  <c r="BP513" i="9"/>
  <c r="BP139" i="9"/>
  <c r="BQ133" i="9"/>
  <c r="BQ1019" i="9"/>
  <c r="BQ528" i="9"/>
  <c r="BR418" i="9"/>
  <c r="BQ424" i="9"/>
  <c r="BP1014" i="9"/>
  <c r="BP523" i="9"/>
  <c r="BQ323" i="9"/>
  <c r="BP329" i="9"/>
  <c r="BP542" i="9"/>
  <c r="BP259" i="9"/>
  <c r="AK84" i="3"/>
  <c r="AK725" i="9"/>
  <c r="AK236" i="3"/>
  <c r="BP605" i="9"/>
  <c r="BP887" i="9" s="1"/>
  <c r="BQ142" i="9"/>
  <c r="AI47" i="30"/>
  <c r="AI38" i="30"/>
  <c r="BP1003" i="9"/>
  <c r="BP512" i="9"/>
  <c r="BP120" i="9"/>
  <c r="BQ114" i="9"/>
  <c r="BP442" i="9"/>
  <c r="BP99" i="9"/>
  <c r="BP447" i="9"/>
  <c r="BP194" i="9"/>
  <c r="AJ77" i="33"/>
  <c r="AJ195" i="30"/>
  <c r="AJ78" i="33" s="1"/>
  <c r="BP1016" i="9"/>
  <c r="BP525" i="9"/>
  <c r="BQ361" i="9"/>
  <c r="BP367" i="9"/>
  <c r="BP620" i="9"/>
  <c r="BP902" i="9" s="1"/>
  <c r="BQ427" i="9"/>
  <c r="AK109" i="3"/>
  <c r="AK86" i="3"/>
  <c r="AK87" i="3"/>
  <c r="AK712" i="9"/>
  <c r="AK781" i="9" s="1"/>
  <c r="AK704" i="9"/>
  <c r="AK773" i="9" s="1"/>
  <c r="AK796" i="9" s="1"/>
  <c r="AK696" i="9"/>
  <c r="AK765" i="9" s="1"/>
  <c r="AK788" i="9" s="1"/>
  <c r="AK695" i="9"/>
  <c r="AK764" i="9" s="1"/>
  <c r="AK787" i="9" s="1"/>
  <c r="AK702" i="9"/>
  <c r="AK771" i="9" s="1"/>
  <c r="AK794" i="9" s="1"/>
  <c r="AK700" i="9"/>
  <c r="AK769" i="9" s="1"/>
  <c r="AK697" i="9"/>
  <c r="AK766" i="9" s="1"/>
  <c r="AK709" i="9"/>
  <c r="AK778" i="9" s="1"/>
  <c r="AK801" i="9" s="1"/>
  <c r="AK707" i="9"/>
  <c r="AK776" i="9" s="1"/>
  <c r="AK799" i="9" s="1"/>
  <c r="AK714" i="9"/>
  <c r="AK783" i="9" s="1"/>
  <c r="AK806" i="9" s="1"/>
  <c r="AK711" i="9"/>
  <c r="AK780" i="9" s="1"/>
  <c r="AK803" i="9" s="1"/>
  <c r="AK706" i="9"/>
  <c r="AK775" i="9" s="1"/>
  <c r="AK701" i="9"/>
  <c r="AK770" i="9" s="1"/>
  <c r="AK793" i="9" s="1"/>
  <c r="AK699" i="9"/>
  <c r="AK768" i="9" s="1"/>
  <c r="AK703" i="9"/>
  <c r="AK772" i="9" s="1"/>
  <c r="AK795" i="9" s="1"/>
  <c r="AK698" i="9"/>
  <c r="AK767" i="9" s="1"/>
  <c r="AK790" i="9" s="1"/>
  <c r="AK713" i="9"/>
  <c r="AK782" i="9" s="1"/>
  <c r="AK710" i="9"/>
  <c r="AK779" i="9" s="1"/>
  <c r="AK802" i="9" s="1"/>
  <c r="AK708" i="9"/>
  <c r="AK777" i="9" s="1"/>
  <c r="AK705" i="9"/>
  <c r="AK774" i="9" s="1"/>
  <c r="AK797" i="9" s="1"/>
  <c r="BP610" i="9"/>
  <c r="BP892" i="9" s="1"/>
  <c r="BQ237" i="9"/>
  <c r="BP1011" i="9"/>
  <c r="BP520" i="9"/>
  <c r="BP272" i="9"/>
  <c r="BQ266" i="9"/>
  <c r="BP537" i="9"/>
  <c r="BP164" i="9"/>
  <c r="BP1008" i="9"/>
  <c r="BP517" i="9"/>
  <c r="BQ209" i="9"/>
  <c r="BP215" i="9"/>
  <c r="AK718" i="9"/>
  <c r="AK229" i="3"/>
  <c r="AI33" i="32"/>
  <c r="BP446" i="9"/>
  <c r="BP175" i="9"/>
  <c r="BP1018" i="9"/>
  <c r="BP405" i="9"/>
  <c r="BP527" i="9"/>
  <c r="BQ399" i="9"/>
  <c r="AL173" i="3"/>
  <c r="AL196" i="3" s="1"/>
  <c r="BP539" i="9"/>
  <c r="BP202" i="9"/>
  <c r="AK96" i="3"/>
  <c r="AK73" i="3"/>
  <c r="AG96" i="33"/>
  <c r="AG101" i="33" s="1"/>
  <c r="AG104" i="33" s="1"/>
  <c r="AH211" i="30"/>
  <c r="AG214" i="30"/>
  <c r="AG217" i="30" s="1"/>
  <c r="AG83" i="6"/>
  <c r="AK719" i="9"/>
  <c r="AK230" i="3"/>
  <c r="AK730" i="9"/>
  <c r="AK241" i="3"/>
  <c r="AK727" i="9"/>
  <c r="AK238" i="3"/>
  <c r="BP614" i="9"/>
  <c r="BP896" i="9" s="1"/>
  <c r="BQ313" i="9"/>
  <c r="AL176" i="3"/>
  <c r="AL199" i="3" s="1"/>
  <c r="AK103" i="3"/>
  <c r="AK80" i="3"/>
  <c r="AK106" i="3"/>
  <c r="AK83" i="3"/>
  <c r="BP455" i="9"/>
  <c r="BP346" i="9"/>
  <c r="BP604" i="9"/>
  <c r="BP886" i="9" s="1"/>
  <c r="BQ123" i="9"/>
  <c r="AK26" i="3"/>
  <c r="AK28" i="3"/>
  <c r="CI28" i="3"/>
  <c r="CI26" i="3"/>
  <c r="AK77" i="3"/>
  <c r="BP617" i="9"/>
  <c r="BP899" i="9" s="1"/>
  <c r="BQ370" i="9"/>
  <c r="AK724" i="9"/>
  <c r="AK235" i="3"/>
  <c r="AJ22" i="30"/>
  <c r="AJ175" i="20"/>
  <c r="AL168" i="3"/>
  <c r="AL191" i="3" s="1"/>
  <c r="BP1000" i="9"/>
  <c r="BP509" i="9"/>
  <c r="BQ57" i="9"/>
  <c r="BP63" i="9"/>
  <c r="AK98" i="3"/>
  <c r="AK75" i="3"/>
  <c r="BP618" i="9"/>
  <c r="BP900" i="9" s="1"/>
  <c r="BQ389" i="9"/>
  <c r="AK18" i="3"/>
  <c r="AJ13" i="30"/>
  <c r="AJ102" i="20"/>
  <c r="AF23" i="32"/>
  <c r="AF112" i="30"/>
  <c r="AF114" i="30"/>
  <c r="AK208" i="3"/>
  <c r="AK254" i="3"/>
  <c r="AK277" i="3" s="1"/>
  <c r="AK732" i="9"/>
  <c r="AK243" i="3"/>
  <c r="BP441" i="9"/>
  <c r="BP80" i="9"/>
  <c r="BW5" i="11"/>
  <c r="CI62" i="3"/>
  <c r="CI108" i="3" s="1"/>
  <c r="CI54" i="3"/>
  <c r="CI100" i="3" s="1"/>
  <c r="CI46" i="3"/>
  <c r="CI92" i="3" s="1"/>
  <c r="CI64" i="3"/>
  <c r="CI110" i="3" s="1"/>
  <c r="CI59" i="3"/>
  <c r="CI105" i="3" s="1"/>
  <c r="CI49" i="3"/>
  <c r="CI95" i="3" s="1"/>
  <c r="CI53" i="3"/>
  <c r="CI99" i="3" s="1"/>
  <c r="CI60" i="3"/>
  <c r="CI106" i="3" s="1"/>
  <c r="CI61" i="3"/>
  <c r="CI107" i="3" s="1"/>
  <c r="CI63" i="3"/>
  <c r="CI109" i="3" s="1"/>
  <c r="CI47" i="3"/>
  <c r="CI93" i="3" s="1"/>
  <c r="CI52" i="3"/>
  <c r="CI98" i="3" s="1"/>
  <c r="CI51" i="3"/>
  <c r="CI97" i="3" s="1"/>
  <c r="CI50" i="3"/>
  <c r="CI96" i="3" s="1"/>
  <c r="CI57" i="3"/>
  <c r="CI103" i="3" s="1"/>
  <c r="CI56" i="3"/>
  <c r="CI102" i="3" s="1"/>
  <c r="CI55" i="3"/>
  <c r="CI101" i="3" s="1"/>
  <c r="CI45" i="3"/>
  <c r="CI91" i="3" s="1"/>
  <c r="CI58" i="3"/>
  <c r="CI104" i="3" s="1"/>
  <c r="CI48" i="3"/>
  <c r="CI94" i="3" s="1"/>
  <c r="CI5" i="35"/>
  <c r="CI5" i="33"/>
  <c r="CJ5" i="12"/>
  <c r="CI5" i="32"/>
  <c r="CI5" i="30"/>
  <c r="CI5" i="6"/>
  <c r="CI5" i="9"/>
  <c r="CI5" i="26"/>
  <c r="CI5" i="16"/>
  <c r="CI5" i="22"/>
  <c r="CI5" i="20"/>
  <c r="CI5" i="1"/>
  <c r="CI5" i="28"/>
  <c r="CI114" i="3"/>
  <c r="CI119" i="3"/>
  <c r="CI117" i="3"/>
  <c r="CI121" i="3"/>
  <c r="CI115" i="3"/>
  <c r="CI133" i="3"/>
  <c r="CI116" i="3"/>
  <c r="CI127" i="3"/>
  <c r="CI125" i="3"/>
  <c r="CI132" i="3"/>
  <c r="CI123" i="3"/>
  <c r="CI118" i="3"/>
  <c r="CI129" i="3"/>
  <c r="CI120" i="3"/>
  <c r="CI126" i="3"/>
  <c r="CI124" i="3"/>
  <c r="CI130" i="3"/>
  <c r="CI131" i="3"/>
  <c r="CI122" i="3"/>
  <c r="CI128" i="3"/>
  <c r="BP547" i="9"/>
  <c r="BP354" i="9"/>
  <c r="AL41" i="3"/>
  <c r="AL24" i="3"/>
  <c r="AL12" i="3"/>
  <c r="AL3" i="3" s="1"/>
  <c r="AM8" i="3"/>
  <c r="AL5" i="3"/>
  <c r="AL4" i="3"/>
  <c r="AL142" i="3"/>
  <c r="BP453" i="9"/>
  <c r="BP308" i="9"/>
  <c r="AK142" i="26"/>
  <c r="AK112" i="26"/>
  <c r="AK95" i="26"/>
  <c r="AK70" i="26"/>
  <c r="AK181" i="26"/>
  <c r="AK124" i="26"/>
  <c r="AK97" i="26"/>
  <c r="AK91" i="26"/>
  <c r="AK209" i="26"/>
  <c r="AK173" i="26"/>
  <c r="AK183" i="26"/>
  <c r="AK145" i="26"/>
  <c r="AK122" i="26"/>
  <c r="AK98" i="26"/>
  <c r="AK63" i="26"/>
  <c r="AK171" i="26"/>
  <c r="AK150" i="26"/>
  <c r="AK117" i="26"/>
  <c r="AK94" i="26"/>
  <c r="AK62" i="26"/>
  <c r="AK205" i="26"/>
  <c r="AK184" i="26"/>
  <c r="AK201" i="26"/>
  <c r="AK137" i="26"/>
  <c r="AK114" i="26"/>
  <c r="AK88" i="26"/>
  <c r="AK121" i="26"/>
  <c r="AK151" i="26"/>
  <c r="AK148" i="26"/>
  <c r="AK87" i="26"/>
  <c r="AK73" i="26"/>
  <c r="AK65" i="26"/>
  <c r="AK202" i="26"/>
  <c r="AK199" i="26"/>
  <c r="AK198" i="26"/>
  <c r="AK203" i="26"/>
  <c r="AK74" i="26"/>
  <c r="AK85" i="26"/>
  <c r="AK120" i="26"/>
  <c r="AK144" i="26"/>
  <c r="AK123" i="26"/>
  <c r="AK67" i="26"/>
  <c r="AK72" i="26"/>
  <c r="AK64" i="26"/>
  <c r="AK172" i="26"/>
  <c r="AK179" i="26"/>
  <c r="AK195" i="26"/>
  <c r="AK66" i="26"/>
  <c r="AK69" i="26"/>
  <c r="AK115" i="26"/>
  <c r="AK143" i="26"/>
  <c r="AK96" i="26"/>
  <c r="AK61" i="26"/>
  <c r="AK68" i="26"/>
  <c r="AK185" i="26"/>
  <c r="AK176" i="26"/>
  <c r="AK208" i="26"/>
  <c r="AK175" i="26"/>
  <c r="AK180" i="26"/>
  <c r="AK177" i="26"/>
  <c r="AK92" i="26"/>
  <c r="AK116" i="26"/>
  <c r="AK93" i="26"/>
  <c r="AK146" i="26"/>
  <c r="AK139" i="26"/>
  <c r="AK204" i="26"/>
  <c r="AK200" i="26"/>
  <c r="AK206" i="26"/>
  <c r="AK147" i="26"/>
  <c r="AK119" i="26"/>
  <c r="AK141" i="26"/>
  <c r="AK89" i="26"/>
  <c r="AK99" i="26"/>
  <c r="AK90" i="26"/>
  <c r="AK118" i="26"/>
  <c r="AK138" i="26"/>
  <c r="AK174" i="26"/>
  <c r="AK196" i="26"/>
  <c r="AK178" i="26"/>
  <c r="AK149" i="26"/>
  <c r="AK113" i="26"/>
  <c r="AK140" i="26"/>
  <c r="AK86" i="26"/>
  <c r="AK60" i="26"/>
  <c r="AK71" i="26"/>
  <c r="AK111" i="26"/>
  <c r="AK125" i="26"/>
  <c r="AK207" i="26"/>
  <c r="AK182" i="26"/>
  <c r="AK197" i="26"/>
  <c r="AK97" i="3"/>
  <c r="AK74" i="3"/>
  <c r="AK81" i="3"/>
  <c r="BP544" i="9"/>
  <c r="BP297" i="9"/>
  <c r="AK180" i="20" a="1"/>
  <c r="AK180" i="20" s="1"/>
  <c r="AK162" i="20" a="1"/>
  <c r="AK162" i="20" s="1"/>
  <c r="AK153" i="20" a="1"/>
  <c r="AK153" i="20" s="1"/>
  <c r="AK150" i="20" a="1"/>
  <c r="AK150" i="20" s="1"/>
  <c r="AK41" i="30" s="1"/>
  <c r="AK129" i="20" a="1"/>
  <c r="AK129" i="20" s="1"/>
  <c r="AK127" i="20" a="1"/>
  <c r="AK127" i="20" s="1"/>
  <c r="AK130" i="20" a="1"/>
  <c r="AK130" i="20" s="1"/>
  <c r="AK135" i="20" a="1"/>
  <c r="AK135" i="20" s="1"/>
  <c r="AK137" i="20" s="1"/>
  <c r="AK29" i="30" s="1"/>
  <c r="AK128" i="20" a="1"/>
  <c r="AK128" i="20" s="1"/>
  <c r="AK124" i="20" a="1"/>
  <c r="AK124" i="20" s="1"/>
  <c r="AK123" i="20" a="1"/>
  <c r="AK123" i="20" s="1"/>
  <c r="AK119" i="20" a="1"/>
  <c r="AK119" i="20" s="1"/>
  <c r="AK125" i="20" a="1"/>
  <c r="AK125" i="20" s="1"/>
  <c r="AK120" i="20" a="1"/>
  <c r="AK120" i="20" s="1"/>
  <c r="AK121" i="20" a="1"/>
  <c r="AK121" i="20" s="1"/>
  <c r="AK117" i="20" a="1"/>
  <c r="AK117" i="20" s="1"/>
  <c r="AK122" i="20" a="1"/>
  <c r="AK122" i="20" s="1"/>
  <c r="AK118" i="20" a="1"/>
  <c r="AK118" i="20" s="1"/>
  <c r="AK105" i="20" a="1"/>
  <c r="AK105" i="20" s="1"/>
  <c r="AK109" i="20" a="1"/>
  <c r="AK109" i="20" s="1"/>
  <c r="AK110" i="20" a="1"/>
  <c r="AK110" i="20" s="1"/>
  <c r="AK106" i="20" a="1"/>
  <c r="AK106" i="20" s="1"/>
  <c r="AK111" i="20" a="1"/>
  <c r="AK111" i="20" s="1"/>
  <c r="AK107" i="20" a="1"/>
  <c r="AK107" i="20" s="1"/>
  <c r="AK112" i="20" a="1"/>
  <c r="AK112" i="20" s="1"/>
  <c r="AK108" i="20" a="1"/>
  <c r="AK108" i="20" s="1"/>
  <c r="AK95" i="20" a="1"/>
  <c r="AK95" i="20" s="1"/>
  <c r="AK81" i="20" a="1"/>
  <c r="AK81" i="20" s="1"/>
  <c r="AK77" i="20" a="1"/>
  <c r="AK77" i="20" s="1"/>
  <c r="AK72" i="20" a="1"/>
  <c r="AK72" i="20" s="1"/>
  <c r="AK68" i="20" a="1"/>
  <c r="AK68" i="20" s="1"/>
  <c r="AK64" i="20" a="1"/>
  <c r="AK64" i="20" s="1"/>
  <c r="AK58" i="20" a="1"/>
  <c r="AK58" i="20" s="1"/>
  <c r="AK51" i="20" a="1"/>
  <c r="AK51" i="20" s="1"/>
  <c r="AK82" i="20" a="1"/>
  <c r="AK82" i="20" s="1"/>
  <c r="AK78" i="20" a="1"/>
  <c r="AK78" i="20" s="1"/>
  <c r="AK73" i="20" a="1"/>
  <c r="AK73" i="20" s="1"/>
  <c r="AK69" i="20" a="1"/>
  <c r="AK69" i="20" s="1"/>
  <c r="AK65" i="20" a="1"/>
  <c r="AK65" i="20" s="1"/>
  <c r="AK54" i="20" a="1"/>
  <c r="AK54" i="20" s="1"/>
  <c r="AK52" i="20" a="1"/>
  <c r="AK52" i="20" s="1"/>
  <c r="AK44" i="20" a="1"/>
  <c r="AK44" i="20" s="1"/>
  <c r="AK36" i="20" a="1"/>
  <c r="AK36" i="20" s="1"/>
  <c r="AK30" i="20" a="1"/>
  <c r="AK30" i="20" s="1"/>
  <c r="AK28" i="20" a="1"/>
  <c r="AK28" i="20" s="1"/>
  <c r="AK20" i="20" a="1"/>
  <c r="AK20" i="20" s="1"/>
  <c r="AK14" i="20" a="1"/>
  <c r="AK14" i="20" s="1"/>
  <c r="AK12" i="20" a="1"/>
  <c r="AK12" i="20" s="1"/>
  <c r="AK47" i="20" a="1"/>
  <c r="AK47" i="20" s="1"/>
  <c r="AK39" i="20" a="1"/>
  <c r="AK39" i="20" s="1"/>
  <c r="AK59" i="20" a="1"/>
  <c r="AK59" i="20" s="1"/>
  <c r="AK45" i="20" a="1"/>
  <c r="AK45" i="20" s="1"/>
  <c r="AK37" i="20" a="1"/>
  <c r="AK37" i="20" s="1"/>
  <c r="AK93" i="20" a="1"/>
  <c r="AK93" i="20" s="1"/>
  <c r="AK88" i="20" a="1"/>
  <c r="AK88" i="20" s="1"/>
  <c r="AK83" i="20" a="1"/>
  <c r="AK83" i="20" s="1"/>
  <c r="AK79" i="20" a="1"/>
  <c r="AK79" i="20" s="1"/>
  <c r="AK70" i="20" a="1"/>
  <c r="AK70" i="20" s="1"/>
  <c r="AK66" i="20" a="1"/>
  <c r="AK66" i="20" s="1"/>
  <c r="AK61" i="20" a="1"/>
  <c r="AK61" i="20" s="1"/>
  <c r="AK57" i="20" a="1"/>
  <c r="AK57" i="20" s="1"/>
  <c r="AK94" i="20" a="1"/>
  <c r="AK94" i="20" s="1"/>
  <c r="AK89" i="20" a="1"/>
  <c r="AK89" i="20" s="1"/>
  <c r="AK84" i="20" a="1"/>
  <c r="AK84" i="20" s="1"/>
  <c r="AK80" i="20" a="1"/>
  <c r="AK80" i="20" s="1"/>
  <c r="AK71" i="20" a="1"/>
  <c r="AK71" i="20" s="1"/>
  <c r="AK67" i="20" a="1"/>
  <c r="AK67" i="20" s="1"/>
  <c r="AK50" i="20" a="1"/>
  <c r="AK50" i="20" s="1"/>
  <c r="AK98" i="20" a="1"/>
  <c r="AK98" i="20" s="1"/>
  <c r="AK100" i="20" s="1"/>
  <c r="AK21" i="20" a="1"/>
  <c r="AK21" i="20" s="1"/>
  <c r="AK42" i="20" a="1"/>
  <c r="AK42" i="20" s="1"/>
  <c r="AK22" i="20" a="1"/>
  <c r="AK22" i="20" s="1"/>
  <c r="AK19" i="20" a="1"/>
  <c r="AK19" i="20" s="1"/>
  <c r="AK18" i="20" a="1"/>
  <c r="AK18" i="20" s="1"/>
  <c r="AK33" i="20" a="1"/>
  <c r="AK33" i="20" s="1"/>
  <c r="AK17" i="20" a="1"/>
  <c r="AK17" i="20" s="1"/>
  <c r="AK43" i="20" a="1"/>
  <c r="AK43" i="20" s="1"/>
  <c r="AK35" i="20" a="1"/>
  <c r="AK35" i="20" s="1"/>
  <c r="AK34" i="20" a="1"/>
  <c r="AK34" i="20" s="1"/>
  <c r="AK27" i="20" a="1"/>
  <c r="AK27" i="20" s="1"/>
  <c r="AK24" i="20" a="1"/>
  <c r="AK24" i="20" s="1"/>
  <c r="AK11" i="20" a="1"/>
  <c r="AK11" i="20" s="1"/>
  <c r="AK726" i="9"/>
  <c r="AK237" i="3"/>
  <c r="AK734" i="9"/>
  <c r="AK245" i="3"/>
  <c r="AK76" i="3"/>
  <c r="AK721" i="9"/>
  <c r="AK232" i="3"/>
  <c r="AJ72" i="30"/>
  <c r="AJ74" i="30" s="1"/>
  <c r="AK40" i="6"/>
  <c r="AJ12" i="6"/>
  <c r="AJ749" i="9"/>
  <c r="BP534" i="9"/>
  <c r="BP107" i="9"/>
  <c r="BP533" i="9"/>
  <c r="BP88" i="9"/>
  <c r="AL162" i="3"/>
  <c r="AL185" i="3" s="1"/>
  <c r="AL177" i="3"/>
  <c r="AL200" i="3" s="1"/>
  <c r="BP550" i="9"/>
  <c r="BP411" i="9"/>
  <c r="AK320" i="9"/>
  <c r="AK415" i="9"/>
  <c r="AK396" i="9"/>
  <c r="AK358" i="9"/>
  <c r="AK377" i="9"/>
  <c r="AK225" i="9"/>
  <c r="AK263" i="9"/>
  <c r="AK187" i="9"/>
  <c r="AK339" i="9"/>
  <c r="AK301" i="9"/>
  <c r="AK244" i="9"/>
  <c r="AK434" i="9"/>
  <c r="AK282" i="9"/>
  <c r="AK206" i="9"/>
  <c r="AK111" i="9"/>
  <c r="AK130" i="9"/>
  <c r="AK92" i="9"/>
  <c r="AK73" i="9"/>
  <c r="AK149" i="9"/>
  <c r="AK168" i="9"/>
  <c r="AK105" i="3"/>
  <c r="AK82" i="3"/>
  <c r="BP532" i="9"/>
  <c r="BP69" i="9"/>
  <c r="BP1009" i="9"/>
  <c r="BP518" i="9"/>
  <c r="BQ228" i="9"/>
  <c r="BP234" i="9"/>
  <c r="BP607" i="9"/>
  <c r="BP889" i="9" s="1"/>
  <c r="BQ180" i="9"/>
  <c r="AK733" i="9"/>
  <c r="AK244" i="3"/>
  <c r="AK728" i="9"/>
  <c r="AK239" i="3"/>
  <c r="AK737" i="9"/>
  <c r="AK248" i="3"/>
  <c r="BP1012" i="9"/>
  <c r="BP521" i="9"/>
  <c r="BP291" i="9"/>
  <c r="BQ285" i="9"/>
  <c r="BQ540" i="9"/>
  <c r="BQ221" i="9"/>
  <c r="BP546" i="9"/>
  <c r="BP335" i="9"/>
  <c r="AL141" i="3"/>
  <c r="AL144" i="3"/>
  <c r="AL155" i="3"/>
  <c r="AK108" i="3"/>
  <c r="AK85" i="3"/>
  <c r="AK93" i="3"/>
  <c r="AK70" i="3"/>
  <c r="AK91" i="3"/>
  <c r="AK68" i="3"/>
  <c r="BP1010" i="9"/>
  <c r="BP253" i="9"/>
  <c r="BP519" i="9"/>
  <c r="BQ247" i="9"/>
  <c r="BP1017" i="9"/>
  <c r="BP526" i="9"/>
  <c r="BP386" i="9"/>
  <c r="BQ380" i="9"/>
  <c r="BP1005" i="9"/>
  <c r="BP514" i="9"/>
  <c r="BP158" i="9"/>
  <c r="BQ152" i="9"/>
  <c r="AK78" i="3"/>
  <c r="E146" i="23"/>
  <c r="E143" i="23" a="1"/>
  <c r="AJ30" i="30" l="1"/>
  <c r="AI170" i="20"/>
  <c r="AI60" i="30" s="1"/>
  <c r="AK805" i="9"/>
  <c r="AK828" i="9" s="1"/>
  <c r="AK804" i="9"/>
  <c r="AK827" i="9" s="1"/>
  <c r="AK13" i="20"/>
  <c r="AK750" i="9"/>
  <c r="AL183" i="3"/>
  <c r="AK798" i="9"/>
  <c r="AK821" i="9" s="1"/>
  <c r="AK800" i="9"/>
  <c r="AJ80" i="33"/>
  <c r="AK744" i="9"/>
  <c r="AK789" i="9"/>
  <c r="AK812" i="9" s="1"/>
  <c r="AK742" i="9"/>
  <c r="AK791" i="9"/>
  <c r="AK792" i="9"/>
  <c r="AK756" i="9"/>
  <c r="AK46" i="20"/>
  <c r="AK16" i="30" s="1"/>
  <c r="AK23" i="20"/>
  <c r="AK53" i="20"/>
  <c r="AK17" i="30" s="1"/>
  <c r="AK747" i="9"/>
  <c r="AK753" i="9"/>
  <c r="AK741" i="9"/>
  <c r="AK760" i="9"/>
  <c r="AK38" i="20"/>
  <c r="AK15" i="30" s="1"/>
  <c r="AK114" i="20"/>
  <c r="AK27" i="30" s="1"/>
  <c r="AJ141" i="20"/>
  <c r="AJ146" i="20" s="1"/>
  <c r="AJ174" i="20" s="1"/>
  <c r="AJ181" i="20" s="1"/>
  <c r="AJ62" i="30" s="1"/>
  <c r="AK751" i="9"/>
  <c r="AK755" i="9"/>
  <c r="AH212" i="30"/>
  <c r="AH83" i="6" s="1"/>
  <c r="AL254" i="3"/>
  <c r="AL277" i="3" s="1"/>
  <c r="AL208" i="3"/>
  <c r="AL217" i="3"/>
  <c r="AL263" i="3"/>
  <c r="AL286" i="3" s="1"/>
  <c r="AL269" i="3"/>
  <c r="AL292" i="3" s="1"/>
  <c r="AL223" i="3"/>
  <c r="BQ609" i="9"/>
  <c r="BQ891" i="9" s="1"/>
  <c r="BR218" i="9"/>
  <c r="BQ449" i="9"/>
  <c r="BQ232" i="9"/>
  <c r="AK23" i="30"/>
  <c r="AK179" i="20"/>
  <c r="AK60" i="20"/>
  <c r="AK18" i="30" s="1"/>
  <c r="AK85" i="20"/>
  <c r="AK20" i="30" s="1"/>
  <c r="AL3" i="11"/>
  <c r="AL14" i="3"/>
  <c r="AL3" i="35"/>
  <c r="AL3" i="33"/>
  <c r="AM3" i="12"/>
  <c r="AL3" i="32"/>
  <c r="AL3" i="30"/>
  <c r="AL3" i="38"/>
  <c r="AL3" i="6"/>
  <c r="AL3" i="9"/>
  <c r="AL3" i="26"/>
  <c r="AL3" i="16"/>
  <c r="AL3" i="22"/>
  <c r="AL3" i="20"/>
  <c r="AL3" i="1"/>
  <c r="AL3" i="28"/>
  <c r="AL37" i="3"/>
  <c r="BQ61" i="9"/>
  <c r="BQ440" i="9"/>
  <c r="AL221" i="3"/>
  <c r="AL267" i="3"/>
  <c r="AL290" i="3" s="1"/>
  <c r="AI54" i="33"/>
  <c r="AI148" i="30"/>
  <c r="AI180" i="30" s="1"/>
  <c r="AI56" i="30"/>
  <c r="AI58" i="30" s="1"/>
  <c r="AK722" i="9"/>
  <c r="AK233" i="3"/>
  <c r="AL258" i="3"/>
  <c r="AL281" i="3" s="1"/>
  <c r="AL212" i="3"/>
  <c r="AK194" i="30"/>
  <c r="AK179" i="30"/>
  <c r="AK65" i="33" s="1"/>
  <c r="AJ24" i="30"/>
  <c r="BP1015" i="9"/>
  <c r="BP524" i="9"/>
  <c r="BQ342" i="9"/>
  <c r="BP348" i="9"/>
  <c r="AG19" i="32"/>
  <c r="AG85" i="30"/>
  <c r="AG88" i="30" s="1"/>
  <c r="AG14" i="6"/>
  <c r="BP608" i="9"/>
  <c r="BP890" i="9" s="1"/>
  <c r="BQ199" i="9"/>
  <c r="BP606" i="9"/>
  <c r="BP888" i="9" s="1"/>
  <c r="BQ161" i="9"/>
  <c r="BQ365" i="9"/>
  <c r="BQ456" i="9"/>
  <c r="BQ536" i="9"/>
  <c r="BQ145" i="9"/>
  <c r="AK731" i="9"/>
  <c r="AK242" i="3"/>
  <c r="BP619" i="9"/>
  <c r="BP901" i="9" s="1"/>
  <c r="BQ408" i="9"/>
  <c r="BP602" i="9"/>
  <c r="BP884" i="9" s="1"/>
  <c r="BQ85" i="9"/>
  <c r="AK749" i="9"/>
  <c r="AK24" i="32"/>
  <c r="AK25" i="32" s="1"/>
  <c r="AK24" i="35" s="1"/>
  <c r="AK44" i="30"/>
  <c r="AK45" i="30" s="1"/>
  <c r="AK154" i="20"/>
  <c r="BP1013" i="9"/>
  <c r="BP522" i="9"/>
  <c r="BP310" i="9"/>
  <c r="BQ304" i="9"/>
  <c r="CI142" i="26"/>
  <c r="CI203" i="26"/>
  <c r="CI88" i="26"/>
  <c r="CI121" i="26"/>
  <c r="CI70" i="26"/>
  <c r="CI93" i="26"/>
  <c r="CI140" i="26"/>
  <c r="CI61" i="26"/>
  <c r="CI112" i="26"/>
  <c r="CI201" i="26"/>
  <c r="CI200" i="26"/>
  <c r="CI209" i="26"/>
  <c r="CI202" i="26"/>
  <c r="CI195" i="26"/>
  <c r="CI71" i="26"/>
  <c r="CI120" i="26"/>
  <c r="CI65" i="26"/>
  <c r="CI145" i="26"/>
  <c r="CI124" i="26"/>
  <c r="CI144" i="26"/>
  <c r="CI91" i="26"/>
  <c r="CI176" i="26"/>
  <c r="CI196" i="26"/>
  <c r="CI151" i="26"/>
  <c r="CI149" i="26"/>
  <c r="CI63" i="26"/>
  <c r="CI95" i="26"/>
  <c r="CI64" i="26"/>
  <c r="CI123" i="26"/>
  <c r="CI117" i="26"/>
  <c r="CI118" i="26"/>
  <c r="CI85" i="26"/>
  <c r="CI184" i="26"/>
  <c r="CI185" i="26"/>
  <c r="CI205" i="26"/>
  <c r="CI137" i="26"/>
  <c r="CI182" i="26"/>
  <c r="CI89" i="26"/>
  <c r="CI66" i="26"/>
  <c r="CI90" i="26"/>
  <c r="CI97" i="26"/>
  <c r="CI94" i="26"/>
  <c r="CI62" i="26"/>
  <c r="CI179" i="26"/>
  <c r="CI198" i="26"/>
  <c r="CI197" i="26"/>
  <c r="CI119" i="26"/>
  <c r="CI148" i="26"/>
  <c r="CI146" i="26"/>
  <c r="CI139" i="26"/>
  <c r="CI183" i="26"/>
  <c r="CI87" i="26"/>
  <c r="CI74" i="26"/>
  <c r="CI69" i="26"/>
  <c r="CI175" i="26"/>
  <c r="CI206" i="26"/>
  <c r="CI180" i="26"/>
  <c r="CI111" i="26"/>
  <c r="CI114" i="26"/>
  <c r="CI122" i="26"/>
  <c r="CI138" i="26"/>
  <c r="CI178" i="26"/>
  <c r="CI73" i="26"/>
  <c r="CI68" i="26"/>
  <c r="CI60" i="26"/>
  <c r="CI173" i="26"/>
  <c r="CI208" i="26"/>
  <c r="CI174" i="26"/>
  <c r="CI96" i="26"/>
  <c r="CI98" i="26"/>
  <c r="CI115" i="26"/>
  <c r="CI116" i="26"/>
  <c r="CI171" i="26"/>
  <c r="CI72" i="26"/>
  <c r="CI125" i="26"/>
  <c r="CI177" i="26"/>
  <c r="CI181" i="26"/>
  <c r="CI204" i="26"/>
  <c r="CI150" i="26"/>
  <c r="CI147" i="26"/>
  <c r="CI92" i="26"/>
  <c r="CI143" i="26"/>
  <c r="CI86" i="26"/>
  <c r="CI99" i="26"/>
  <c r="CI141" i="26"/>
  <c r="CI67" i="26"/>
  <c r="CI113" i="26"/>
  <c r="CI199" i="26"/>
  <c r="CI172" i="26"/>
  <c r="CI207" i="26"/>
  <c r="AK829" i="9"/>
  <c r="AK822" i="9"/>
  <c r="AK814" i="9"/>
  <c r="AK823" i="9"/>
  <c r="AK820" i="9"/>
  <c r="AK826" i="9"/>
  <c r="AK818" i="9"/>
  <c r="AK816" i="9"/>
  <c r="AK815" i="9"/>
  <c r="AK813" i="9"/>
  <c r="AK819" i="9"/>
  <c r="AK817" i="9"/>
  <c r="AK825" i="9"/>
  <c r="AK824" i="9"/>
  <c r="AK811" i="9"/>
  <c r="AK810" i="9"/>
  <c r="BQ551" i="9"/>
  <c r="BQ430" i="9"/>
  <c r="BP1007" i="9"/>
  <c r="BP516" i="9"/>
  <c r="BQ190" i="9"/>
  <c r="BP196" i="9"/>
  <c r="BQ443" i="9"/>
  <c r="BQ118" i="9"/>
  <c r="BQ444" i="9"/>
  <c r="BQ137" i="9"/>
  <c r="AK735" i="9"/>
  <c r="AK246" i="3"/>
  <c r="AL178" i="3"/>
  <c r="AL201" i="3" s="1"/>
  <c r="BP601" i="9"/>
  <c r="BP883" i="9" s="1"/>
  <c r="BQ66" i="9"/>
  <c r="AK52" i="30"/>
  <c r="AK54" i="30" s="1"/>
  <c r="AK41" i="6"/>
  <c r="AK44" i="6" s="1"/>
  <c r="AK164" i="20"/>
  <c r="CI301" i="9"/>
  <c r="CI434" i="9"/>
  <c r="CI415" i="9"/>
  <c r="CI339" i="9"/>
  <c r="CI377" i="9"/>
  <c r="CI187" i="9"/>
  <c r="CI244" i="9"/>
  <c r="CI396" i="9"/>
  <c r="CI282" i="9"/>
  <c r="CI206" i="9"/>
  <c r="CI358" i="9"/>
  <c r="CI225" i="9"/>
  <c r="CI320" i="9"/>
  <c r="CI92" i="9"/>
  <c r="CI130" i="9"/>
  <c r="CI263" i="9"/>
  <c r="CI149" i="9"/>
  <c r="CI73" i="9"/>
  <c r="CI111" i="9"/>
  <c r="CI168" i="9"/>
  <c r="BQ458" i="9"/>
  <c r="BQ403" i="9"/>
  <c r="BQ541" i="9"/>
  <c r="BQ240" i="9"/>
  <c r="AL264" i="3"/>
  <c r="AL287" i="3" s="1"/>
  <c r="AL218" i="3"/>
  <c r="AI259" i="6"/>
  <c r="AK131" i="20"/>
  <c r="AK132" i="20" s="1"/>
  <c r="AK28" i="30" s="1"/>
  <c r="AK26" i="32" s="1"/>
  <c r="AK25" i="35" s="1"/>
  <c r="AL165" i="3"/>
  <c r="AL188" i="3" s="1"/>
  <c r="AL252" i="3"/>
  <c r="AL275" i="3" s="1"/>
  <c r="AL206" i="3"/>
  <c r="AK720" i="9"/>
  <c r="AK231" i="3"/>
  <c r="BQ549" i="9"/>
  <c r="BQ392" i="9"/>
  <c r="AL253" i="3"/>
  <c r="AL276" i="3" s="1"/>
  <c r="AL207" i="3"/>
  <c r="AL222" i="3"/>
  <c r="AL268" i="3"/>
  <c r="AL291" i="3" s="1"/>
  <c r="AL219" i="3"/>
  <c r="AL265" i="3"/>
  <c r="AL288" i="3" s="1"/>
  <c r="BP1002" i="9"/>
  <c r="BP511" i="9"/>
  <c r="BP101" i="9"/>
  <c r="BQ95" i="9"/>
  <c r="AK748" i="9"/>
  <c r="AL164" i="3"/>
  <c r="AL187" i="3" s="1"/>
  <c r="BP603" i="9"/>
  <c r="BP885" i="9" s="1"/>
  <c r="BQ104" i="9"/>
  <c r="AK29" i="20"/>
  <c r="AK14" i="30" s="1"/>
  <c r="AK74" i="20"/>
  <c r="AK19" i="30" s="1"/>
  <c r="BP613" i="9"/>
  <c r="BP895" i="9" s="1"/>
  <c r="BQ294" i="9"/>
  <c r="AL4" i="11"/>
  <c r="AL22" i="3"/>
  <c r="AL16" i="3"/>
  <c r="AL30" i="3"/>
  <c r="AL4" i="35"/>
  <c r="AL4" i="33"/>
  <c r="AM4" i="12"/>
  <c r="AL4" i="32"/>
  <c r="AL4" i="30"/>
  <c r="AL4" i="38"/>
  <c r="AL4" i="6"/>
  <c r="AL4" i="9"/>
  <c r="AL4" i="26"/>
  <c r="AL4" i="16"/>
  <c r="AL4" i="22"/>
  <c r="AL4" i="20"/>
  <c r="AL4" i="1"/>
  <c r="AL4" i="28"/>
  <c r="G6" i="50"/>
  <c r="AL20" i="3"/>
  <c r="BQ548" i="9"/>
  <c r="BQ373" i="9"/>
  <c r="AL209" i="3"/>
  <c r="AL255" i="3"/>
  <c r="AL278" i="3" s="1"/>
  <c r="BQ454" i="9"/>
  <c r="BQ327" i="9"/>
  <c r="BR459" i="9"/>
  <c r="BR422" i="9"/>
  <c r="AL261" i="3"/>
  <c r="AL284" i="3" s="1"/>
  <c r="AL215" i="3"/>
  <c r="BQ278" i="9"/>
  <c r="BQ543" i="9"/>
  <c r="AK723" i="9"/>
  <c r="AK234" i="3"/>
  <c r="AL167" i="3"/>
  <c r="AL190" i="3" s="1"/>
  <c r="BQ445" i="9"/>
  <c r="BQ156" i="9"/>
  <c r="BQ450" i="9"/>
  <c r="BQ251" i="9"/>
  <c r="BP615" i="9"/>
  <c r="BP897" i="9" s="1"/>
  <c r="BQ332" i="9"/>
  <c r="AK90" i="20"/>
  <c r="AK21" i="30" s="1"/>
  <c r="AK25" i="30"/>
  <c r="AL5" i="11"/>
  <c r="AL62" i="3"/>
  <c r="AL108" i="3" s="1"/>
  <c r="AL54" i="3"/>
  <c r="AL100" i="3" s="1"/>
  <c r="AL46" i="3"/>
  <c r="AL53" i="3"/>
  <c r="AL99" i="3" s="1"/>
  <c r="AL48" i="3"/>
  <c r="AL61" i="3"/>
  <c r="AL107" i="3" s="1"/>
  <c r="AL56" i="3"/>
  <c r="AL51" i="3"/>
  <c r="AL97" i="3" s="1"/>
  <c r="AL55" i="3"/>
  <c r="AL101" i="3" s="1"/>
  <c r="AL59" i="3"/>
  <c r="AL105" i="3" s="1"/>
  <c r="AL52" i="3"/>
  <c r="AL98" i="3" s="1"/>
  <c r="AL50" i="3"/>
  <c r="AL96" i="3" s="1"/>
  <c r="AL58" i="3"/>
  <c r="AL104" i="3" s="1"/>
  <c r="AL57" i="3"/>
  <c r="AL103" i="3" s="1"/>
  <c r="AL64" i="3"/>
  <c r="AL110" i="3" s="1"/>
  <c r="AL60" i="3"/>
  <c r="AL106" i="3" s="1"/>
  <c r="AL45" i="3"/>
  <c r="AL91" i="3" s="1"/>
  <c r="AL63" i="3"/>
  <c r="AL109" i="3" s="1"/>
  <c r="AL47" i="3"/>
  <c r="AL93" i="3" s="1"/>
  <c r="AL49" i="3"/>
  <c r="AL5" i="35"/>
  <c r="AL5" i="33"/>
  <c r="AM5" i="12"/>
  <c r="AL5" i="32"/>
  <c r="AL5" i="30"/>
  <c r="AL5" i="38"/>
  <c r="AL5" i="6"/>
  <c r="AL5" i="9"/>
  <c r="AL5" i="26"/>
  <c r="AL5" i="16"/>
  <c r="AL5" i="22"/>
  <c r="AL5" i="20"/>
  <c r="AL5" i="1"/>
  <c r="AL5" i="28"/>
  <c r="AL120" i="3"/>
  <c r="AL125" i="3"/>
  <c r="AL126" i="3"/>
  <c r="AL130" i="3"/>
  <c r="AL129" i="3"/>
  <c r="AL127" i="3"/>
  <c r="AL122" i="3"/>
  <c r="AL133" i="3"/>
  <c r="AL119" i="3"/>
  <c r="AL116" i="3"/>
  <c r="AL114" i="3"/>
  <c r="AL124" i="3"/>
  <c r="AL115" i="3"/>
  <c r="AL123" i="3"/>
  <c r="AL128" i="3"/>
  <c r="AL132" i="3"/>
  <c r="AL118" i="3"/>
  <c r="AL121" i="3"/>
  <c r="AL131" i="3"/>
  <c r="AL117" i="3"/>
  <c r="AL214" i="3"/>
  <c r="AL260" i="3"/>
  <c r="AL283" i="3" s="1"/>
  <c r="AL225" i="3"/>
  <c r="AL271" i="3"/>
  <c r="AL294" i="3" s="1"/>
  <c r="AL262" i="3"/>
  <c r="AL285" i="3" s="1"/>
  <c r="AL216" i="3"/>
  <c r="BQ448" i="9"/>
  <c r="BQ213" i="9"/>
  <c r="BP611" i="9"/>
  <c r="BP893" i="9" s="1"/>
  <c r="BQ256" i="9"/>
  <c r="BQ538" i="9"/>
  <c r="BQ183" i="9"/>
  <c r="BQ457" i="9"/>
  <c r="BQ384" i="9"/>
  <c r="BQ452" i="9"/>
  <c r="BQ289" i="9"/>
  <c r="AK757" i="9"/>
  <c r="AK96" i="20"/>
  <c r="AL81" i="3"/>
  <c r="AM10" i="3"/>
  <c r="AM144" i="3" s="1"/>
  <c r="BP616" i="9"/>
  <c r="BP898" i="9" s="1"/>
  <c r="BQ351" i="9"/>
  <c r="BP1001" i="9"/>
  <c r="BP510" i="9"/>
  <c r="BP82" i="9"/>
  <c r="BQ76" i="9"/>
  <c r="BQ535" i="9"/>
  <c r="BQ126" i="9"/>
  <c r="BQ545" i="9"/>
  <c r="BQ316" i="9"/>
  <c r="BP1006" i="9"/>
  <c r="BP515" i="9"/>
  <c r="BQ171" i="9"/>
  <c r="BP177" i="9"/>
  <c r="BQ451" i="9"/>
  <c r="BQ270" i="9"/>
  <c r="AL220" i="3"/>
  <c r="AL266" i="3"/>
  <c r="AL289" i="3" s="1"/>
  <c r="AK729" i="9"/>
  <c r="AK240" i="3"/>
  <c r="AH94" i="33"/>
  <c r="AK736" i="9"/>
  <c r="AK247" i="3"/>
  <c r="E143" i="23"/>
  <c r="E141" i="23" a="1"/>
  <c r="AK13" i="30" l="1"/>
  <c r="AM149" i="3"/>
  <c r="AM172" i="3" s="1"/>
  <c r="AM195" i="3" s="1"/>
  <c r="AM155" i="3"/>
  <c r="AM141" i="3"/>
  <c r="AM142" i="3"/>
  <c r="AM140" i="3"/>
  <c r="AM163" i="3" s="1"/>
  <c r="AM186" i="3" s="1"/>
  <c r="AM138" i="3"/>
  <c r="AL83" i="3"/>
  <c r="AM152" i="3"/>
  <c r="AM175" i="3" s="1"/>
  <c r="AM198" i="3" s="1"/>
  <c r="AM156" i="3"/>
  <c r="AM179" i="3" s="1"/>
  <c r="AM202" i="3" s="1"/>
  <c r="AM154" i="3"/>
  <c r="AM177" i="3" s="1"/>
  <c r="AM200" i="3" s="1"/>
  <c r="AK758" i="9"/>
  <c r="AH214" i="30"/>
  <c r="AH217" i="30" s="1"/>
  <c r="AI211" i="30"/>
  <c r="AH96" i="33"/>
  <c r="AH101" i="33" s="1"/>
  <c r="AH104" i="33" s="1"/>
  <c r="AJ156" i="20"/>
  <c r="AJ166" i="20" s="1"/>
  <c r="AJ170" i="20" s="1"/>
  <c r="AJ60" i="30" s="1"/>
  <c r="AK754" i="9"/>
  <c r="AL213" i="3"/>
  <c r="AL259" i="3"/>
  <c r="AL282" i="3" s="1"/>
  <c r="AL270" i="3"/>
  <c r="AL293" i="3" s="1"/>
  <c r="AL224" i="3"/>
  <c r="AK72" i="30"/>
  <c r="AK74" i="30" s="1"/>
  <c r="AL40" i="6"/>
  <c r="AK12" i="6"/>
  <c r="AM167" i="3"/>
  <c r="AM190" i="3" s="1"/>
  <c r="AK759" i="9"/>
  <c r="AM178" i="3"/>
  <c r="AM201" i="3" s="1"/>
  <c r="AM148" i="3"/>
  <c r="AM139" i="3"/>
  <c r="BQ542" i="9"/>
  <c r="BQ259" i="9"/>
  <c r="BQ1011" i="9"/>
  <c r="BQ520" i="9"/>
  <c r="BQ272" i="9"/>
  <c r="BR266" i="9"/>
  <c r="BQ441" i="9"/>
  <c r="BQ80" i="9"/>
  <c r="AM150" i="3"/>
  <c r="AM146" i="3"/>
  <c r="AL85" i="3"/>
  <c r="BQ1008" i="9"/>
  <c r="BQ517" i="9"/>
  <c r="BQ215" i="9"/>
  <c r="BR209" i="9"/>
  <c r="AL75" i="3"/>
  <c r="BQ1010" i="9"/>
  <c r="BQ519" i="9"/>
  <c r="BR247" i="9"/>
  <c r="BQ253" i="9"/>
  <c r="AL84" i="3"/>
  <c r="G39" i="50"/>
  <c r="G20" i="50"/>
  <c r="G28" i="50"/>
  <c r="G25" i="50"/>
  <c r="G14" i="50"/>
  <c r="G38" i="50"/>
  <c r="G26" i="50"/>
  <c r="G29" i="50"/>
  <c r="G30" i="50"/>
  <c r="G27" i="50"/>
  <c r="G12" i="50"/>
  <c r="G37" i="50"/>
  <c r="G19" i="50"/>
  <c r="G34" i="50"/>
  <c r="G35" i="50"/>
  <c r="G13" i="50"/>
  <c r="G21" i="50"/>
  <c r="G11" i="50"/>
  <c r="G36" i="50"/>
  <c r="AL257" i="3"/>
  <c r="AL280" i="3" s="1"/>
  <c r="AL211" i="3"/>
  <c r="BQ346" i="9"/>
  <c r="BQ455" i="9"/>
  <c r="AL724" i="9"/>
  <c r="AL235" i="3"/>
  <c r="BR540" i="9"/>
  <c r="BR221" i="9"/>
  <c r="BQ1017" i="9"/>
  <c r="BQ526" i="9"/>
  <c r="BQ386" i="9"/>
  <c r="BR380" i="9"/>
  <c r="AL102" i="3"/>
  <c r="AL79" i="3"/>
  <c r="AL92" i="3"/>
  <c r="AL69" i="3"/>
  <c r="BQ612" i="9"/>
  <c r="BQ894" i="9" s="1"/>
  <c r="BR275" i="9"/>
  <c r="AL210" i="3"/>
  <c r="AL256" i="3"/>
  <c r="AL279" i="3" s="1"/>
  <c r="BQ618" i="9"/>
  <c r="BQ900" i="9" s="1"/>
  <c r="BR389" i="9"/>
  <c r="AH19" i="32"/>
  <c r="AH85" i="30"/>
  <c r="AH88" i="30" s="1"/>
  <c r="AH14" i="6"/>
  <c r="AK102" i="20"/>
  <c r="BQ1004" i="9"/>
  <c r="BQ513" i="9"/>
  <c r="BQ139" i="9"/>
  <c r="BR133" i="9"/>
  <c r="BQ447" i="9"/>
  <c r="BQ194" i="9"/>
  <c r="BQ605" i="9"/>
  <c r="BQ887" i="9" s="1"/>
  <c r="BR142" i="9"/>
  <c r="AL733" i="9"/>
  <c r="AL244" i="3"/>
  <c r="BQ1005" i="9"/>
  <c r="BQ514" i="9"/>
  <c r="BQ158" i="9"/>
  <c r="BR152" i="9"/>
  <c r="AL727" i="9"/>
  <c r="AL238" i="3"/>
  <c r="AL721" i="9"/>
  <c r="AL232" i="3"/>
  <c r="AL714" i="9"/>
  <c r="AL783" i="9" s="1"/>
  <c r="AL806" i="9" s="1"/>
  <c r="AL709" i="9"/>
  <c r="AL778" i="9" s="1"/>
  <c r="AL801" i="9" s="1"/>
  <c r="AL701" i="9"/>
  <c r="AL770" i="9" s="1"/>
  <c r="AL793" i="9" s="1"/>
  <c r="AL702" i="9"/>
  <c r="AL771" i="9" s="1"/>
  <c r="AL700" i="9"/>
  <c r="AL769" i="9" s="1"/>
  <c r="AL697" i="9"/>
  <c r="AL766" i="9" s="1"/>
  <c r="AL789" i="9" s="1"/>
  <c r="AL707" i="9"/>
  <c r="AL776" i="9" s="1"/>
  <c r="AL799" i="9" s="1"/>
  <c r="AL704" i="9"/>
  <c r="AL773" i="9" s="1"/>
  <c r="AL796" i="9" s="1"/>
  <c r="AL712" i="9"/>
  <c r="AL781" i="9" s="1"/>
  <c r="AL804" i="9" s="1"/>
  <c r="AL711" i="9"/>
  <c r="AL780" i="9" s="1"/>
  <c r="AL803" i="9" s="1"/>
  <c r="AL706" i="9"/>
  <c r="AL775" i="9" s="1"/>
  <c r="AL798" i="9" s="1"/>
  <c r="AL699" i="9"/>
  <c r="AL768" i="9" s="1"/>
  <c r="AL696" i="9"/>
  <c r="AL765" i="9" s="1"/>
  <c r="AL788" i="9" s="1"/>
  <c r="AL703" i="9"/>
  <c r="AL772" i="9" s="1"/>
  <c r="AL795" i="9" s="1"/>
  <c r="AL698" i="9"/>
  <c r="AL767" i="9" s="1"/>
  <c r="AL790" i="9" s="1"/>
  <c r="AL713" i="9"/>
  <c r="AL782" i="9" s="1"/>
  <c r="AL710" i="9"/>
  <c r="AL779" i="9" s="1"/>
  <c r="AL802" i="9" s="1"/>
  <c r="AL708" i="9"/>
  <c r="AL777" i="9" s="1"/>
  <c r="AL800" i="9" s="1"/>
  <c r="AL705" i="9"/>
  <c r="AL774" i="9" s="1"/>
  <c r="AL797" i="9" s="1"/>
  <c r="AL695" i="9"/>
  <c r="AL764" i="9" s="1"/>
  <c r="AL787" i="9" s="1"/>
  <c r="AL70" i="3"/>
  <c r="AI136" i="30"/>
  <c r="AI137" i="30" s="1"/>
  <c r="AJ256" i="6"/>
  <c r="BQ533" i="9"/>
  <c r="BQ88" i="9"/>
  <c r="AG23" i="32"/>
  <c r="AG112" i="30"/>
  <c r="AG114" i="30"/>
  <c r="AL78" i="3"/>
  <c r="AL735" i="9"/>
  <c r="AL246" i="3"/>
  <c r="AL301" i="9"/>
  <c r="AL415" i="9"/>
  <c r="AL434" i="9"/>
  <c r="AL339" i="9"/>
  <c r="AL263" i="9"/>
  <c r="AL187" i="9"/>
  <c r="AL358" i="9"/>
  <c r="AL320" i="9"/>
  <c r="AL244" i="9"/>
  <c r="AL282" i="9"/>
  <c r="AL206" i="9"/>
  <c r="AL92" i="9"/>
  <c r="AL149" i="9"/>
  <c r="AL73" i="9"/>
  <c r="AL377" i="9"/>
  <c r="AL111" i="9"/>
  <c r="AL130" i="9"/>
  <c r="AL396" i="9"/>
  <c r="AL225" i="9"/>
  <c r="AL168" i="9"/>
  <c r="AL95" i="3"/>
  <c r="AL72" i="3"/>
  <c r="AL94" i="3"/>
  <c r="AL71" i="3"/>
  <c r="AL87" i="3"/>
  <c r="AL730" i="9"/>
  <c r="AL241" i="3"/>
  <c r="BQ532" i="9"/>
  <c r="BQ69" i="9"/>
  <c r="BQ1003" i="9"/>
  <c r="BQ512" i="9"/>
  <c r="BQ120" i="9"/>
  <c r="BR114" i="9"/>
  <c r="AL77" i="3"/>
  <c r="BQ1000" i="9"/>
  <c r="BQ509" i="9"/>
  <c r="BQ63" i="9"/>
  <c r="BR57" i="9"/>
  <c r="AL182" i="26"/>
  <c r="AL90" i="26"/>
  <c r="AL95" i="26"/>
  <c r="AL144" i="26"/>
  <c r="AL66" i="26"/>
  <c r="AL147" i="26"/>
  <c r="AL73" i="26"/>
  <c r="AL180" i="26"/>
  <c r="AL61" i="26"/>
  <c r="AL185" i="26"/>
  <c r="AL172" i="26"/>
  <c r="AL151" i="26"/>
  <c r="AL86" i="26"/>
  <c r="AL142" i="26"/>
  <c r="AL143" i="26"/>
  <c r="AL181" i="26"/>
  <c r="AL124" i="26"/>
  <c r="AL72" i="26"/>
  <c r="AL119" i="26"/>
  <c r="AL62" i="26"/>
  <c r="AL171" i="26"/>
  <c r="AL176" i="26"/>
  <c r="AL146" i="26"/>
  <c r="AL202" i="26"/>
  <c r="AL67" i="26"/>
  <c r="AL121" i="26"/>
  <c r="AL122" i="26"/>
  <c r="AL150" i="26"/>
  <c r="AL117" i="26"/>
  <c r="AL68" i="26"/>
  <c r="AL113" i="26"/>
  <c r="AL204" i="26"/>
  <c r="AL177" i="26"/>
  <c r="AL196" i="26"/>
  <c r="AL138" i="26"/>
  <c r="AL137" i="26"/>
  <c r="AL174" i="26"/>
  <c r="AL120" i="26"/>
  <c r="AL116" i="26"/>
  <c r="AL148" i="26"/>
  <c r="AL87" i="26"/>
  <c r="AL173" i="26"/>
  <c r="AL112" i="26"/>
  <c r="AL199" i="26"/>
  <c r="AL207" i="26"/>
  <c r="AL198" i="26"/>
  <c r="AL205" i="26"/>
  <c r="AL123" i="26"/>
  <c r="AL145" i="26"/>
  <c r="AL92" i="26"/>
  <c r="AL99" i="26"/>
  <c r="AL96" i="26"/>
  <c r="AL184" i="26"/>
  <c r="AL139" i="26"/>
  <c r="AL88" i="26"/>
  <c r="AL200" i="26"/>
  <c r="AL208" i="26"/>
  <c r="AL197" i="26"/>
  <c r="AL115" i="26"/>
  <c r="AL141" i="26"/>
  <c r="AL89" i="26"/>
  <c r="AL65" i="26"/>
  <c r="AL93" i="26"/>
  <c r="AL118" i="26"/>
  <c r="AL125" i="26"/>
  <c r="AL85" i="26"/>
  <c r="AL206" i="26"/>
  <c r="AL209" i="26"/>
  <c r="AL203" i="26"/>
  <c r="AL98" i="26"/>
  <c r="AL140" i="26"/>
  <c r="AL70" i="26"/>
  <c r="AL64" i="26"/>
  <c r="AL71" i="26"/>
  <c r="AL111" i="26"/>
  <c r="AL91" i="26"/>
  <c r="AL69" i="26"/>
  <c r="AL183" i="26"/>
  <c r="AL175" i="26"/>
  <c r="AL195" i="26"/>
  <c r="AL94" i="26"/>
  <c r="AL114" i="26"/>
  <c r="AL149" i="26"/>
  <c r="AL60" i="26"/>
  <c r="AL178" i="26"/>
  <c r="AL97" i="26"/>
  <c r="AL74" i="26"/>
  <c r="AL63" i="26"/>
  <c r="AL201" i="26"/>
  <c r="AL179" i="26"/>
  <c r="BQ604" i="9"/>
  <c r="BQ886" i="9" s="1"/>
  <c r="BR123" i="9"/>
  <c r="AM161" i="3"/>
  <c r="AM184" i="3" s="1"/>
  <c r="AK22" i="30"/>
  <c r="AK175" i="20"/>
  <c r="BR1019" i="9"/>
  <c r="BR528" i="9"/>
  <c r="BS418" i="9"/>
  <c r="BR424" i="9"/>
  <c r="AL73" i="3"/>
  <c r="AL18" i="3"/>
  <c r="AL76" i="3"/>
  <c r="AL731" i="9"/>
  <c r="AL242" i="3"/>
  <c r="AK743" i="9"/>
  <c r="BQ620" i="9"/>
  <c r="BQ902" i="9" s="1"/>
  <c r="BR427" i="9"/>
  <c r="BQ550" i="9"/>
  <c r="BQ411" i="9"/>
  <c r="BQ1016" i="9"/>
  <c r="BQ525" i="9"/>
  <c r="BQ367" i="9"/>
  <c r="BR361" i="9"/>
  <c r="AJ14" i="32"/>
  <c r="AJ32" i="30"/>
  <c r="AJ36" i="30" s="1"/>
  <c r="AK745" i="9"/>
  <c r="AM164" i="3"/>
  <c r="AM187" i="3" s="1"/>
  <c r="BQ607" i="9"/>
  <c r="BQ889" i="9" s="1"/>
  <c r="BR180" i="9"/>
  <c r="AN8" i="3"/>
  <c r="AM5" i="3"/>
  <c r="AM24" i="3"/>
  <c r="AM12" i="3"/>
  <c r="AM3" i="3" s="1"/>
  <c r="AM41" i="3"/>
  <c r="AM4" i="3"/>
  <c r="AK752" i="9"/>
  <c r="AL80" i="3"/>
  <c r="AL28" i="3"/>
  <c r="AL26" i="3"/>
  <c r="BQ534" i="9"/>
  <c r="BQ107" i="9"/>
  <c r="AL718" i="9"/>
  <c r="AL229" i="3"/>
  <c r="BQ610" i="9"/>
  <c r="BQ892" i="9" s="1"/>
  <c r="BR237" i="9"/>
  <c r="AK139" i="20"/>
  <c r="BQ537" i="9"/>
  <c r="BQ164" i="9"/>
  <c r="AL729" i="9"/>
  <c r="AL240" i="3"/>
  <c r="BQ614" i="9"/>
  <c r="BQ896" i="9" s="1"/>
  <c r="BR313" i="9"/>
  <c r="AL728" i="9"/>
  <c r="AL239" i="3"/>
  <c r="BQ547" i="9"/>
  <c r="BQ354" i="9"/>
  <c r="BQ446" i="9"/>
  <c r="BQ175" i="9"/>
  <c r="AK30" i="30"/>
  <c r="AL68" i="3"/>
  <c r="AK77" i="33"/>
  <c r="AK195" i="30"/>
  <c r="AK78" i="33" s="1"/>
  <c r="AI82" i="35"/>
  <c r="AI67" i="33"/>
  <c r="AI69" i="33" s="1"/>
  <c r="AI27" i="32"/>
  <c r="AI28" i="32" s="1"/>
  <c r="AI31" i="32"/>
  <c r="AI208" i="30"/>
  <c r="AI92" i="33" s="1"/>
  <c r="BQ1009" i="9"/>
  <c r="BQ518" i="9"/>
  <c r="BQ234" i="9"/>
  <c r="BR228" i="9"/>
  <c r="AL720" i="9"/>
  <c r="AL231" i="3"/>
  <c r="AM165" i="3"/>
  <c r="AM188" i="3" s="1"/>
  <c r="AL737" i="9"/>
  <c r="AL248" i="3"/>
  <c r="AM153" i="3"/>
  <c r="AM147" i="3"/>
  <c r="AM137" i="3"/>
  <c r="BQ1012" i="9"/>
  <c r="BQ521" i="9"/>
  <c r="BQ291" i="9"/>
  <c r="BR285" i="9"/>
  <c r="BQ546" i="9"/>
  <c r="BQ335" i="9"/>
  <c r="BQ1014" i="9"/>
  <c r="BQ523" i="9"/>
  <c r="BR323" i="9"/>
  <c r="BQ329" i="9"/>
  <c r="BQ617" i="9"/>
  <c r="BQ899" i="9" s="1"/>
  <c r="BR370" i="9"/>
  <c r="AL180" i="20" a="1"/>
  <c r="AL180" i="20" s="1"/>
  <c r="AL162" i="20" a="1"/>
  <c r="AL162" i="20" s="1"/>
  <c r="AL153" i="20" a="1"/>
  <c r="AL153" i="20" s="1"/>
  <c r="AL150" i="20" a="1"/>
  <c r="AL150" i="20" s="1"/>
  <c r="AL41" i="30" s="1"/>
  <c r="AL135" i="20" a="1"/>
  <c r="AL135" i="20" s="1"/>
  <c r="AL137" i="20" s="1"/>
  <c r="AL29" i="30" s="1"/>
  <c r="AL128" i="20" a="1"/>
  <c r="AL128" i="20" s="1"/>
  <c r="AL129" i="20" a="1"/>
  <c r="AL129" i="20" s="1"/>
  <c r="AL127" i="20" a="1"/>
  <c r="AL127" i="20" s="1"/>
  <c r="AL130" i="20" a="1"/>
  <c r="AL130" i="20" s="1"/>
  <c r="AL125" i="20" a="1"/>
  <c r="AL125" i="20" s="1"/>
  <c r="AL120" i="20" a="1"/>
  <c r="AL120" i="20" s="1"/>
  <c r="AL117" i="20" a="1"/>
  <c r="AL117" i="20" s="1"/>
  <c r="AL121" i="20" a="1"/>
  <c r="AL121" i="20" s="1"/>
  <c r="AL122" i="20" a="1"/>
  <c r="AL122" i="20" s="1"/>
  <c r="AL118" i="20" a="1"/>
  <c r="AL118" i="20" s="1"/>
  <c r="AL124" i="20" a="1"/>
  <c r="AL124" i="20" s="1"/>
  <c r="AL123" i="20" a="1"/>
  <c r="AL123" i="20" s="1"/>
  <c r="AL119" i="20" a="1"/>
  <c r="AL119" i="20" s="1"/>
  <c r="AL110" i="20" a="1"/>
  <c r="AL110" i="20" s="1"/>
  <c r="AL106" i="20" a="1"/>
  <c r="AL106" i="20" s="1"/>
  <c r="AL111" i="20" a="1"/>
  <c r="AL111" i="20" s="1"/>
  <c r="AL107" i="20" a="1"/>
  <c r="AL107" i="20" s="1"/>
  <c r="AL112" i="20" a="1"/>
  <c r="AL112" i="20" s="1"/>
  <c r="AL108" i="20" a="1"/>
  <c r="AL108" i="20" s="1"/>
  <c r="AL109" i="20" a="1"/>
  <c r="AL109" i="20" s="1"/>
  <c r="AL105" i="20" a="1"/>
  <c r="AL105" i="20" s="1"/>
  <c r="AL82" i="20" a="1"/>
  <c r="AL82" i="20" s="1"/>
  <c r="AL78" i="20" a="1"/>
  <c r="AL78" i="20" s="1"/>
  <c r="AL73" i="20" a="1"/>
  <c r="AL73" i="20" s="1"/>
  <c r="AL69" i="20" a="1"/>
  <c r="AL69" i="20" s="1"/>
  <c r="AL65" i="20" a="1"/>
  <c r="AL65" i="20" s="1"/>
  <c r="AL54" i="20" a="1"/>
  <c r="AL54" i="20" s="1"/>
  <c r="AL52" i="20" a="1"/>
  <c r="AL52" i="20" s="1"/>
  <c r="AL59" i="20" a="1"/>
  <c r="AL59" i="20" s="1"/>
  <c r="AL93" i="20" a="1"/>
  <c r="AL93" i="20" s="1"/>
  <c r="AL88" i="20" a="1"/>
  <c r="AL88" i="20" s="1"/>
  <c r="AL83" i="20" a="1"/>
  <c r="AL83" i="20" s="1"/>
  <c r="AL79" i="20" a="1"/>
  <c r="AL79" i="20" s="1"/>
  <c r="AL70" i="20" a="1"/>
  <c r="AL70" i="20" s="1"/>
  <c r="AL66" i="20" a="1"/>
  <c r="AL66" i="20" s="1"/>
  <c r="AL47" i="20" a="1"/>
  <c r="AL47" i="20" s="1"/>
  <c r="AL45" i="20" a="1"/>
  <c r="AL45" i="20" s="1"/>
  <c r="AL39" i="20" a="1"/>
  <c r="AL39" i="20" s="1"/>
  <c r="AL37" i="20" a="1"/>
  <c r="AL37" i="20" s="1"/>
  <c r="AL33" i="20" a="1"/>
  <c r="AL33" i="20" s="1"/>
  <c r="AL21" i="20" a="1"/>
  <c r="AL21" i="20" s="1"/>
  <c r="AL17" i="20" a="1"/>
  <c r="AL17" i="20" s="1"/>
  <c r="AL50" i="20" a="1"/>
  <c r="AL50" i="20" s="1"/>
  <c r="AL61" i="20" a="1"/>
  <c r="AL61" i="20" s="1"/>
  <c r="AL57" i="20" a="1"/>
  <c r="AL57" i="20" s="1"/>
  <c r="AL42" i="20" a="1"/>
  <c r="AL42" i="20" s="1"/>
  <c r="AL94" i="20" a="1"/>
  <c r="AL94" i="20" s="1"/>
  <c r="AL89" i="20" a="1"/>
  <c r="AL89" i="20" s="1"/>
  <c r="AL84" i="20" a="1"/>
  <c r="AL84" i="20" s="1"/>
  <c r="AL80" i="20" a="1"/>
  <c r="AL80" i="20" s="1"/>
  <c r="AL71" i="20" a="1"/>
  <c r="AL71" i="20" s="1"/>
  <c r="AL67" i="20" a="1"/>
  <c r="AL67" i="20" s="1"/>
  <c r="AL98" i="20" a="1"/>
  <c r="AL98" i="20" s="1"/>
  <c r="AL100" i="20" s="1"/>
  <c r="AL95" i="20" a="1"/>
  <c r="AL95" i="20" s="1"/>
  <c r="AL81" i="20" a="1"/>
  <c r="AL81" i="20" s="1"/>
  <c r="AL77" i="20" a="1"/>
  <c r="AL77" i="20" s="1"/>
  <c r="AL72" i="20" a="1"/>
  <c r="AL72" i="20" s="1"/>
  <c r="AL68" i="20" a="1"/>
  <c r="AL68" i="20" s="1"/>
  <c r="AL64" i="20" a="1"/>
  <c r="AL64" i="20" s="1"/>
  <c r="AL58" i="20" a="1"/>
  <c r="AL58" i="20" s="1"/>
  <c r="AL51" i="20" a="1"/>
  <c r="AL51" i="20" s="1"/>
  <c r="AL44" i="20" a="1"/>
  <c r="AL44" i="20" s="1"/>
  <c r="AL11" i="20" a="1"/>
  <c r="AL11" i="20" s="1"/>
  <c r="AL18" i="20" a="1"/>
  <c r="AL18" i="20" s="1"/>
  <c r="AL36" i="20" a="1"/>
  <c r="AL36" i="20" s="1"/>
  <c r="AL30" i="20" a="1"/>
  <c r="AL30" i="20" s="1"/>
  <c r="AL19" i="20" a="1"/>
  <c r="AL19" i="20" s="1"/>
  <c r="AL12" i="20" a="1"/>
  <c r="AL12" i="20" s="1"/>
  <c r="AL34" i="20" a="1"/>
  <c r="AL34" i="20" s="1"/>
  <c r="AL14" i="20" a="1"/>
  <c r="AL14" i="20" s="1"/>
  <c r="AL43" i="20" a="1"/>
  <c r="AL43" i="20" s="1"/>
  <c r="AL35" i="20" a="1"/>
  <c r="AL35" i="20" s="1"/>
  <c r="AL27" i="20" a="1"/>
  <c r="AL27" i="20" s="1"/>
  <c r="AL24" i="20" a="1"/>
  <c r="AL24" i="20" s="1"/>
  <c r="AL20" i="20" a="1"/>
  <c r="AL20" i="20" s="1"/>
  <c r="AL22" i="20" a="1"/>
  <c r="AL22" i="20" s="1"/>
  <c r="AL28" i="20" a="1"/>
  <c r="AL28" i="20" s="1"/>
  <c r="AL734" i="9"/>
  <c r="AL245" i="3"/>
  <c r="AL732" i="9"/>
  <c r="AL243" i="3"/>
  <c r="AM151" i="3"/>
  <c r="AM145" i="3"/>
  <c r="AM143" i="3"/>
  <c r="AL86" i="3"/>
  <c r="AL726" i="9"/>
  <c r="AL237" i="3"/>
  <c r="AK746" i="9"/>
  <c r="BQ544" i="9"/>
  <c r="BQ297" i="9"/>
  <c r="AL82" i="3"/>
  <c r="BQ442" i="9"/>
  <c r="BQ99" i="9"/>
  <c r="AL719" i="9"/>
  <c r="AL230" i="3"/>
  <c r="BQ1018" i="9"/>
  <c r="BQ527" i="9"/>
  <c r="BR399" i="9"/>
  <c r="BQ405" i="9"/>
  <c r="BQ453" i="9"/>
  <c r="BQ308" i="9"/>
  <c r="BQ539" i="9"/>
  <c r="BQ202" i="9"/>
  <c r="AL74" i="3"/>
  <c r="E141" i="23"/>
  <c r="E139" i="23" a="1"/>
  <c r="AK24" i="30" l="1"/>
  <c r="AK32" i="30" s="1"/>
  <c r="AK36" i="30" s="1"/>
  <c r="AL791" i="9"/>
  <c r="AL794" i="9"/>
  <c r="AJ257" i="6"/>
  <c r="AJ259" i="6" s="1"/>
  <c r="AK80" i="33"/>
  <c r="AL792" i="9"/>
  <c r="AL815" i="9" s="1"/>
  <c r="AL60" i="20"/>
  <c r="AL18" i="30" s="1"/>
  <c r="AL747" i="9"/>
  <c r="AL751" i="9"/>
  <c r="AL805" i="9"/>
  <c r="AL828" i="9" s="1"/>
  <c r="AL25" i="30"/>
  <c r="AL752" i="9"/>
  <c r="AL758" i="9"/>
  <c r="AI212" i="30"/>
  <c r="AJ211" i="30" s="1"/>
  <c r="G22" i="50"/>
  <c r="AL13" i="20"/>
  <c r="AL90" i="20"/>
  <c r="AL21" i="30" s="1"/>
  <c r="AI94" i="33"/>
  <c r="AM256" i="3"/>
  <c r="AM279" i="3" s="1"/>
  <c r="AM210" i="3"/>
  <c r="AM253" i="3"/>
  <c r="AM276" i="3" s="1"/>
  <c r="AM207" i="3"/>
  <c r="AM269" i="3"/>
  <c r="AM292" i="3" s="1"/>
  <c r="AM223" i="3"/>
  <c r="AM271" i="3"/>
  <c r="AM294" i="3" s="1"/>
  <c r="AM225" i="3"/>
  <c r="AM224" i="3"/>
  <c r="AM270" i="3"/>
  <c r="AM293" i="3" s="1"/>
  <c r="AK14" i="32"/>
  <c r="AM218" i="3"/>
  <c r="AM264" i="3"/>
  <c r="AM287" i="3" s="1"/>
  <c r="AM267" i="3"/>
  <c r="AM290" i="3" s="1"/>
  <c r="AM221" i="3"/>
  <c r="AL194" i="30"/>
  <c r="AL179" i="30"/>
  <c r="AL65" i="33" s="1"/>
  <c r="G15" i="50" s="1"/>
  <c r="BR449" i="9"/>
  <c r="BR232" i="9"/>
  <c r="BQ1006" i="9"/>
  <c r="BQ515" i="9"/>
  <c r="BQ177" i="9"/>
  <c r="BR171" i="9"/>
  <c r="BQ606" i="9"/>
  <c r="BQ888" i="9" s="1"/>
  <c r="BR161" i="9"/>
  <c r="AN10" i="3"/>
  <c r="AN137" i="3" s="1"/>
  <c r="BR551" i="9"/>
  <c r="BR430" i="9"/>
  <c r="BR535" i="9"/>
  <c r="BR126" i="9"/>
  <c r="BR444" i="9"/>
  <c r="BR137" i="9"/>
  <c r="BR549" i="9"/>
  <c r="BR392" i="9"/>
  <c r="AL723" i="9"/>
  <c r="AL234" i="3"/>
  <c r="AM162" i="3"/>
  <c r="AM185" i="3" s="1"/>
  <c r="AM259" i="3"/>
  <c r="AM282" i="3" s="1"/>
  <c r="AM213" i="3"/>
  <c r="AM211" i="3"/>
  <c r="AM257" i="3"/>
  <c r="AM280" i="3" s="1"/>
  <c r="AM209" i="3"/>
  <c r="AM255" i="3"/>
  <c r="AM278" i="3" s="1"/>
  <c r="BR538" i="9"/>
  <c r="BR183" i="9"/>
  <c r="AJ47" i="30"/>
  <c r="AJ38" i="30"/>
  <c r="BQ601" i="9"/>
  <c r="BQ883" i="9" s="1"/>
  <c r="BR66" i="9"/>
  <c r="AM171" i="3"/>
  <c r="AM194" i="3" s="1"/>
  <c r="AM160" i="3"/>
  <c r="AM183" i="3" s="1"/>
  <c r="AL741" i="9"/>
  <c r="AJ33" i="32"/>
  <c r="BR440" i="9"/>
  <c r="BR61" i="9"/>
  <c r="BQ602" i="9"/>
  <c r="BQ884" i="9" s="1"/>
  <c r="BR85" i="9"/>
  <c r="BQ1007" i="9"/>
  <c r="BQ516" i="9"/>
  <c r="BR190" i="9"/>
  <c r="BQ196" i="9"/>
  <c r="AM169" i="3"/>
  <c r="AM192" i="3" s="1"/>
  <c r="BR451" i="9"/>
  <c r="BR270" i="9"/>
  <c r="AL757" i="9"/>
  <c r="AL46" i="20"/>
  <c r="AL16" i="30" s="1"/>
  <c r="AL96" i="20"/>
  <c r="AL44" i="30"/>
  <c r="AL45" i="30" s="1"/>
  <c r="AL154" i="20"/>
  <c r="AM170" i="3"/>
  <c r="AM193" i="3" s="1"/>
  <c r="BQ613" i="9"/>
  <c r="BQ895" i="9" s="1"/>
  <c r="BR294" i="9"/>
  <c r="AM176" i="3"/>
  <c r="AM199" i="3" s="1"/>
  <c r="AL756" i="9"/>
  <c r="AL722" i="9"/>
  <c r="AL233" i="3"/>
  <c r="BR450" i="9"/>
  <c r="BR251" i="9"/>
  <c r="AM173" i="3"/>
  <c r="AM196" i="3" s="1"/>
  <c r="AM166" i="3"/>
  <c r="AM189" i="3" s="1"/>
  <c r="BR327" i="9"/>
  <c r="BR454" i="9"/>
  <c r="BQ603" i="9"/>
  <c r="BQ885" i="9" s="1"/>
  <c r="BR104" i="9"/>
  <c r="AM4" i="11"/>
  <c r="AM30" i="3"/>
  <c r="AM16" i="3"/>
  <c r="AM22" i="3"/>
  <c r="AM4" i="35"/>
  <c r="AM4" i="33"/>
  <c r="AN4" i="12"/>
  <c r="AM4" i="32"/>
  <c r="AM4" i="30"/>
  <c r="AM4" i="38"/>
  <c r="AM4" i="6"/>
  <c r="AM4" i="9"/>
  <c r="AM4" i="26"/>
  <c r="AM4" i="16"/>
  <c r="AM4" i="22"/>
  <c r="AM4" i="20"/>
  <c r="AM4" i="1"/>
  <c r="AM4" i="28"/>
  <c r="AM20" i="3"/>
  <c r="BQ619" i="9"/>
  <c r="BQ901" i="9" s="1"/>
  <c r="BR408" i="9"/>
  <c r="BR548" i="9"/>
  <c r="BR373" i="9"/>
  <c r="BR545" i="9"/>
  <c r="BR316" i="9"/>
  <c r="AL754" i="9"/>
  <c r="BR445" i="9"/>
  <c r="BR156" i="9"/>
  <c r="AK141" i="20"/>
  <c r="AK146" i="20" s="1"/>
  <c r="BR543" i="9"/>
  <c r="BR278" i="9"/>
  <c r="BQ1015" i="9"/>
  <c r="BQ524" i="9"/>
  <c r="BR342" i="9"/>
  <c r="BQ348" i="9"/>
  <c r="BQ1001" i="9"/>
  <c r="BQ510" i="9"/>
  <c r="BQ82" i="9"/>
  <c r="BR76" i="9"/>
  <c r="AL736" i="9"/>
  <c r="AL247" i="3"/>
  <c r="BQ1002" i="9"/>
  <c r="BQ511" i="9"/>
  <c r="BQ101" i="9"/>
  <c r="BR95" i="9"/>
  <c r="AL52" i="30"/>
  <c r="AL54" i="30" s="1"/>
  <c r="AL41" i="6"/>
  <c r="AL44" i="6" s="1"/>
  <c r="AL164" i="20"/>
  <c r="AM168" i="3"/>
  <c r="AM191" i="3" s="1"/>
  <c r="AL74" i="20"/>
  <c r="AL19" i="30" s="1"/>
  <c r="AL53" i="20"/>
  <c r="AL17" i="30" s="1"/>
  <c r="AL23" i="20"/>
  <c r="BR452" i="9"/>
  <c r="BR289" i="9"/>
  <c r="AM3" i="11"/>
  <c r="AM14" i="3"/>
  <c r="AM3" i="35"/>
  <c r="AM3" i="33"/>
  <c r="AN3" i="12"/>
  <c r="AM3" i="32"/>
  <c r="AM3" i="30"/>
  <c r="AM3" i="38"/>
  <c r="AM3" i="6"/>
  <c r="AM3" i="9"/>
  <c r="AM3" i="26"/>
  <c r="AM3" i="16"/>
  <c r="AM3" i="22"/>
  <c r="AM3" i="20"/>
  <c r="AM3" i="1"/>
  <c r="AM3" i="28"/>
  <c r="AM37" i="3"/>
  <c r="BR443" i="9"/>
  <c r="BR118" i="9"/>
  <c r="AL753" i="9"/>
  <c r="AL744" i="9"/>
  <c r="BR213" i="9"/>
  <c r="BR448" i="9"/>
  <c r="BQ1013" i="9"/>
  <c r="BQ310" i="9"/>
  <c r="BQ522" i="9"/>
  <c r="BR304" i="9"/>
  <c r="AL23" i="30"/>
  <c r="AL179" i="20"/>
  <c r="AL114" i="20"/>
  <c r="BR458" i="9"/>
  <c r="BR403" i="9"/>
  <c r="AL743" i="9"/>
  <c r="AM174" i="3"/>
  <c r="AM197" i="3" s="1"/>
  <c r="AL29" i="20"/>
  <c r="AL14" i="30" s="1"/>
  <c r="AL24" i="32"/>
  <c r="AL25" i="32" s="1"/>
  <c r="AL24" i="35" s="1"/>
  <c r="AL131" i="20"/>
  <c r="AL132" i="20" s="1"/>
  <c r="AL28" i="30" s="1"/>
  <c r="AL26" i="32" s="1"/>
  <c r="AL25" i="35" s="1"/>
  <c r="BQ615" i="9"/>
  <c r="BQ897" i="9" s="1"/>
  <c r="BR332" i="9"/>
  <c r="AL822" i="9"/>
  <c r="AL823" i="9"/>
  <c r="AL824" i="9"/>
  <c r="AL829" i="9"/>
  <c r="AL821" i="9"/>
  <c r="AL813" i="9"/>
  <c r="AL827" i="9"/>
  <c r="AL826" i="9"/>
  <c r="AL820" i="9"/>
  <c r="AL818" i="9"/>
  <c r="AL816" i="9"/>
  <c r="AL819" i="9"/>
  <c r="AL817" i="9"/>
  <c r="AL814" i="9"/>
  <c r="AL825" i="9"/>
  <c r="AL812" i="9"/>
  <c r="AL811" i="9"/>
  <c r="AL810" i="9"/>
  <c r="BS459" i="9"/>
  <c r="BS422" i="9"/>
  <c r="BR536" i="9"/>
  <c r="BR145" i="9"/>
  <c r="AH23" i="32"/>
  <c r="AH112" i="30"/>
  <c r="AH114" i="30"/>
  <c r="BQ611" i="9"/>
  <c r="BQ893" i="9" s="1"/>
  <c r="BR256" i="9"/>
  <c r="AL749" i="9"/>
  <c r="BQ616" i="9"/>
  <c r="BQ898" i="9" s="1"/>
  <c r="BR351" i="9"/>
  <c r="AL760" i="9"/>
  <c r="BQ608" i="9"/>
  <c r="BQ890" i="9" s="1"/>
  <c r="BR199" i="9"/>
  <c r="AL742" i="9"/>
  <c r="AL755" i="9"/>
  <c r="AL85" i="20"/>
  <c r="AL20" i="30" s="1"/>
  <c r="AL38" i="20"/>
  <c r="AL15" i="30" s="1"/>
  <c r="BR541" i="9"/>
  <c r="BR240" i="9"/>
  <c r="AM5" i="11"/>
  <c r="AM57" i="3"/>
  <c r="AM103" i="3" s="1"/>
  <c r="AM49" i="3"/>
  <c r="AM95" i="3" s="1"/>
  <c r="AM61" i="3"/>
  <c r="AM107" i="3" s="1"/>
  <c r="AM56" i="3"/>
  <c r="AM102" i="3" s="1"/>
  <c r="AM51" i="3"/>
  <c r="AM97" i="3" s="1"/>
  <c r="AM64" i="3"/>
  <c r="AM110" i="3" s="1"/>
  <c r="AM59" i="3"/>
  <c r="AM105" i="3" s="1"/>
  <c r="AM63" i="3"/>
  <c r="AM109" i="3" s="1"/>
  <c r="AM58" i="3"/>
  <c r="AM55" i="3"/>
  <c r="AM101" i="3" s="1"/>
  <c r="AM50" i="3"/>
  <c r="AM96" i="3" s="1"/>
  <c r="AM48" i="3"/>
  <c r="AM94" i="3" s="1"/>
  <c r="AM60" i="3"/>
  <c r="AM45" i="3"/>
  <c r="AM91" i="3" s="1"/>
  <c r="AM62" i="3"/>
  <c r="AM108" i="3" s="1"/>
  <c r="AM46" i="3"/>
  <c r="AM92" i="3" s="1"/>
  <c r="AM47" i="3"/>
  <c r="AM93" i="3" s="1"/>
  <c r="AM54" i="3"/>
  <c r="AM100" i="3" s="1"/>
  <c r="AM53" i="3"/>
  <c r="AM99" i="3" s="1"/>
  <c r="AM52" i="3"/>
  <c r="AM98" i="3" s="1"/>
  <c r="AM5" i="35"/>
  <c r="AM5" i="33"/>
  <c r="AN5" i="12"/>
  <c r="AM5" i="32"/>
  <c r="AM5" i="30"/>
  <c r="AM5" i="38"/>
  <c r="AM5" i="6"/>
  <c r="AM5" i="9"/>
  <c r="AM5" i="26"/>
  <c r="AM5" i="16"/>
  <c r="AM5" i="22"/>
  <c r="AM5" i="20"/>
  <c r="AM5" i="1"/>
  <c r="AM5" i="28"/>
  <c r="AM131" i="3"/>
  <c r="AM121" i="3"/>
  <c r="AM127" i="3"/>
  <c r="AM126" i="3"/>
  <c r="AM123" i="3"/>
  <c r="AM130" i="3"/>
  <c r="AM116" i="3"/>
  <c r="AM120" i="3"/>
  <c r="AM114" i="3"/>
  <c r="AM133" i="3"/>
  <c r="AM118" i="3"/>
  <c r="AM129" i="3"/>
  <c r="AM124" i="3"/>
  <c r="AM122" i="3"/>
  <c r="AM119" i="3"/>
  <c r="AM125" i="3"/>
  <c r="AM115" i="3"/>
  <c r="AM117" i="3"/>
  <c r="AM128" i="3"/>
  <c r="AM132" i="3"/>
  <c r="BR456" i="9"/>
  <c r="BR365" i="9"/>
  <c r="AL750" i="9"/>
  <c r="BR457" i="9"/>
  <c r="BR384" i="9"/>
  <c r="BR609" i="9"/>
  <c r="BR891" i="9" s="1"/>
  <c r="BS218" i="9"/>
  <c r="G40" i="50"/>
  <c r="AL725" i="9"/>
  <c r="AL236" i="3"/>
  <c r="E139" i="23"/>
  <c r="C131" i="23" a="1"/>
  <c r="AN142" i="3" l="1"/>
  <c r="AN165" i="3" s="1"/>
  <c r="AN188" i="3" s="1"/>
  <c r="AN148" i="3"/>
  <c r="AM74" i="3"/>
  <c r="AN155" i="3"/>
  <c r="AN178" i="3" s="1"/>
  <c r="AN201" i="3" s="1"/>
  <c r="AL13" i="30"/>
  <c r="AN141" i="3"/>
  <c r="AN164" i="3" s="1"/>
  <c r="AN187" i="3" s="1"/>
  <c r="AN151" i="3"/>
  <c r="AN143" i="3"/>
  <c r="AN144" i="3"/>
  <c r="AN167" i="3" s="1"/>
  <c r="AN190" i="3" s="1"/>
  <c r="AN150" i="3"/>
  <c r="AM77" i="3"/>
  <c r="AM76" i="3"/>
  <c r="AN139" i="3"/>
  <c r="AN162" i="3" s="1"/>
  <c r="AN185" i="3" s="1"/>
  <c r="AM71" i="3"/>
  <c r="AN153" i="3"/>
  <c r="AN176" i="3" s="1"/>
  <c r="AN199" i="3" s="1"/>
  <c r="AI96" i="33"/>
  <c r="AI101" i="33" s="1"/>
  <c r="AI104" i="33" s="1"/>
  <c r="AL745" i="9"/>
  <c r="AI83" i="6"/>
  <c r="AI14" i="6" s="1"/>
  <c r="AI214" i="30"/>
  <c r="AI217" i="30" s="1"/>
  <c r="AM258" i="3"/>
  <c r="AM281" i="3" s="1"/>
  <c r="AM212" i="3"/>
  <c r="AM217" i="3"/>
  <c r="AM263" i="3"/>
  <c r="AM286" i="3" s="1"/>
  <c r="AL72" i="30"/>
  <c r="AL74" i="30" s="1"/>
  <c r="AM40" i="6"/>
  <c r="AL12" i="6"/>
  <c r="AM220" i="3"/>
  <c r="AM266" i="3"/>
  <c r="AM289" i="3" s="1"/>
  <c r="AM208" i="3"/>
  <c r="AM254" i="3"/>
  <c r="AM277" i="3" s="1"/>
  <c r="BR610" i="9"/>
  <c r="BR892" i="9" s="1"/>
  <c r="BS237" i="9"/>
  <c r="AM87" i="3"/>
  <c r="BR546" i="9"/>
  <c r="BR335" i="9"/>
  <c r="BR1008" i="9"/>
  <c r="BR215" i="9"/>
  <c r="BS209" i="9"/>
  <c r="BR517" i="9"/>
  <c r="BR442" i="9"/>
  <c r="BR99" i="9"/>
  <c r="BR1005" i="9"/>
  <c r="BR514" i="9"/>
  <c r="BR158" i="9"/>
  <c r="BS152" i="9"/>
  <c r="AM714" i="9"/>
  <c r="AM783" i="9" s="1"/>
  <c r="AM806" i="9" s="1"/>
  <c r="AM706" i="9"/>
  <c r="AM775" i="9" s="1"/>
  <c r="AM698" i="9"/>
  <c r="AM767" i="9" s="1"/>
  <c r="AM790" i="9" s="1"/>
  <c r="AM707" i="9"/>
  <c r="AM776" i="9" s="1"/>
  <c r="AM799" i="9" s="1"/>
  <c r="AM709" i="9"/>
  <c r="AM778" i="9" s="1"/>
  <c r="AM704" i="9"/>
  <c r="AM773" i="9" s="1"/>
  <c r="AM712" i="9"/>
  <c r="AM781" i="9" s="1"/>
  <c r="AM804" i="9" s="1"/>
  <c r="AM711" i="9"/>
  <c r="AM780" i="9" s="1"/>
  <c r="AM699" i="9"/>
  <c r="AM768" i="9" s="1"/>
  <c r="AM791" i="9" s="1"/>
  <c r="AM701" i="9"/>
  <c r="AM770" i="9" s="1"/>
  <c r="AM696" i="9"/>
  <c r="AM765" i="9" s="1"/>
  <c r="AM788" i="9" s="1"/>
  <c r="AM703" i="9"/>
  <c r="AM772" i="9" s="1"/>
  <c r="AM713" i="9"/>
  <c r="AM782" i="9" s="1"/>
  <c r="AM805" i="9" s="1"/>
  <c r="AM710" i="9"/>
  <c r="AM779" i="9" s="1"/>
  <c r="AM802" i="9" s="1"/>
  <c r="AM708" i="9"/>
  <c r="AM777" i="9" s="1"/>
  <c r="AM705" i="9"/>
  <c r="AM774" i="9" s="1"/>
  <c r="AM695" i="9"/>
  <c r="AM764" i="9" s="1"/>
  <c r="AM702" i="9"/>
  <c r="AM771" i="9" s="1"/>
  <c r="AM794" i="9" s="1"/>
  <c r="AM700" i="9"/>
  <c r="AM769" i="9" s="1"/>
  <c r="AM792" i="9" s="1"/>
  <c r="AM697" i="9"/>
  <c r="AM766" i="9" s="1"/>
  <c r="AM789" i="9" s="1"/>
  <c r="AM28" i="3"/>
  <c r="AM26" i="3"/>
  <c r="AM261" i="3"/>
  <c r="AM284" i="3" s="1"/>
  <c r="AM215" i="3"/>
  <c r="AJ136" i="30"/>
  <c r="AJ137" i="30" s="1"/>
  <c r="AK256" i="6"/>
  <c r="AM75" i="3"/>
  <c r="BR604" i="9"/>
  <c r="BR886" i="9" s="1"/>
  <c r="BS123" i="9"/>
  <c r="AN41" i="3"/>
  <c r="AN5" i="3"/>
  <c r="AN24" i="3"/>
  <c r="AN12" i="3"/>
  <c r="AN3" i="3" s="1"/>
  <c r="AO8" i="3"/>
  <c r="AN4" i="3"/>
  <c r="AN154" i="3"/>
  <c r="BR446" i="9"/>
  <c r="BR175" i="9"/>
  <c r="AK33" i="32"/>
  <c r="BR547" i="9"/>
  <c r="BR354" i="9"/>
  <c r="AM69" i="3"/>
  <c r="BR1018" i="9"/>
  <c r="BR527" i="9"/>
  <c r="BS399" i="9"/>
  <c r="BR405" i="9"/>
  <c r="AM84" i="3"/>
  <c r="AM260" i="3"/>
  <c r="AM283" i="3" s="1"/>
  <c r="AM214" i="3"/>
  <c r="AM18" i="3"/>
  <c r="BR1014" i="9"/>
  <c r="BR523" i="9"/>
  <c r="BS323" i="9"/>
  <c r="BR329" i="9"/>
  <c r="AL22" i="30"/>
  <c r="AL24" i="30" s="1"/>
  <c r="AL175" i="20"/>
  <c r="BR533" i="9"/>
  <c r="BR88" i="9"/>
  <c r="AM252" i="3"/>
  <c r="AM275" i="3" s="1"/>
  <c r="AM206" i="3"/>
  <c r="AM72" i="3"/>
  <c r="AM721" i="9"/>
  <c r="AM232" i="3"/>
  <c r="AM733" i="9"/>
  <c r="AM244" i="3"/>
  <c r="AM736" i="9"/>
  <c r="AM247" i="3"/>
  <c r="BS1019" i="9"/>
  <c r="BS528" i="9"/>
  <c r="BT418" i="9"/>
  <c r="BS424" i="9"/>
  <c r="BR441" i="9"/>
  <c r="BR80" i="9"/>
  <c r="BR455" i="9"/>
  <c r="BR346" i="9"/>
  <c r="AM222" i="3"/>
  <c r="AM268" i="3"/>
  <c r="AM291" i="3" s="1"/>
  <c r="BR532" i="9"/>
  <c r="BR69" i="9"/>
  <c r="AL746" i="9"/>
  <c r="AM73" i="3"/>
  <c r="AN160" i="3"/>
  <c r="AN183" i="3" s="1"/>
  <c r="BR537" i="9"/>
  <c r="BR164" i="9"/>
  <c r="AM719" i="9"/>
  <c r="AM230" i="3"/>
  <c r="BR1017" i="9"/>
  <c r="BR526" i="9"/>
  <c r="BR386" i="9"/>
  <c r="BS380" i="9"/>
  <c r="AM82" i="3"/>
  <c r="AL27" i="30"/>
  <c r="AL30" i="30" s="1"/>
  <c r="AL139" i="20"/>
  <c r="BR453" i="9"/>
  <c r="BR308" i="9"/>
  <c r="BR1012" i="9"/>
  <c r="BR521" i="9"/>
  <c r="BR291" i="9"/>
  <c r="BS285" i="9"/>
  <c r="BR614" i="9"/>
  <c r="BR896" i="9" s="1"/>
  <c r="BS313" i="9"/>
  <c r="BR544" i="9"/>
  <c r="BR297" i="9"/>
  <c r="BR1000" i="9"/>
  <c r="BR509" i="9"/>
  <c r="BR63" i="9"/>
  <c r="BS57" i="9"/>
  <c r="AM723" i="9"/>
  <c r="AM234" i="3"/>
  <c r="AM79" i="3"/>
  <c r="BR620" i="9"/>
  <c r="BR902" i="9" s="1"/>
  <c r="BS427" i="9"/>
  <c r="AN156" i="3"/>
  <c r="AN147" i="3"/>
  <c r="BR1016" i="9"/>
  <c r="BR367" i="9"/>
  <c r="BR525" i="9"/>
  <c r="BS361" i="9"/>
  <c r="AM180" i="20" a="1"/>
  <c r="AM180" i="20" s="1"/>
  <c r="AM162" i="20" a="1"/>
  <c r="AM162" i="20" s="1"/>
  <c r="AM153" i="20" a="1"/>
  <c r="AM153" i="20" s="1"/>
  <c r="AM150" i="20" a="1"/>
  <c r="AM150" i="20" s="1"/>
  <c r="AM41" i="30" s="1"/>
  <c r="AM135" i="20" a="1"/>
  <c r="AM135" i="20" s="1"/>
  <c r="AM137" i="20" s="1"/>
  <c r="AM29" i="30" s="1"/>
  <c r="AM129" i="20" a="1"/>
  <c r="AM129" i="20" s="1"/>
  <c r="AM128" i="20" a="1"/>
  <c r="AM128" i="20" s="1"/>
  <c r="AM130" i="20" a="1"/>
  <c r="AM130" i="20" s="1"/>
  <c r="AM127" i="20" a="1"/>
  <c r="AM127" i="20" s="1"/>
  <c r="AM121" i="20" a="1"/>
  <c r="AM121" i="20" s="1"/>
  <c r="AM117" i="20" a="1"/>
  <c r="AM117" i="20" s="1"/>
  <c r="AM122" i="20" a="1"/>
  <c r="AM122" i="20" s="1"/>
  <c r="AM124" i="20" a="1"/>
  <c r="AM124" i="20" s="1"/>
  <c r="AM123" i="20" a="1"/>
  <c r="AM123" i="20" s="1"/>
  <c r="AM119" i="20" a="1"/>
  <c r="AM119" i="20" s="1"/>
  <c r="AM118" i="20" a="1"/>
  <c r="AM118" i="20" s="1"/>
  <c r="AM125" i="20" a="1"/>
  <c r="AM125" i="20" s="1"/>
  <c r="AM120" i="20" a="1"/>
  <c r="AM120" i="20" s="1"/>
  <c r="AM111" i="20" a="1"/>
  <c r="AM111" i="20" s="1"/>
  <c r="AM107" i="20" a="1"/>
  <c r="AM107" i="20" s="1"/>
  <c r="AM112" i="20" a="1"/>
  <c r="AM112" i="20" s="1"/>
  <c r="AM108" i="20" a="1"/>
  <c r="AM108" i="20" s="1"/>
  <c r="AM105" i="20" a="1"/>
  <c r="AM105" i="20" s="1"/>
  <c r="AM106" i="20" a="1"/>
  <c r="AM106" i="20" s="1"/>
  <c r="AM109" i="20" a="1"/>
  <c r="AM109" i="20" s="1"/>
  <c r="AM110" i="20" a="1"/>
  <c r="AM110" i="20" s="1"/>
  <c r="AM93" i="20" a="1"/>
  <c r="AM93" i="20" s="1"/>
  <c r="AM88" i="20" a="1"/>
  <c r="AM88" i="20" s="1"/>
  <c r="AM83" i="20" a="1"/>
  <c r="AM83" i="20" s="1"/>
  <c r="AM79" i="20" a="1"/>
  <c r="AM79" i="20" s="1"/>
  <c r="AM70" i="20" a="1"/>
  <c r="AM70" i="20" s="1"/>
  <c r="AM66" i="20" a="1"/>
  <c r="AM66" i="20" s="1"/>
  <c r="AM47" i="20" a="1"/>
  <c r="AM47" i="20" s="1"/>
  <c r="AM45" i="20" a="1"/>
  <c r="AM45" i="20" s="1"/>
  <c r="AM61" i="20" a="1"/>
  <c r="AM61" i="20" s="1"/>
  <c r="AM57" i="20" a="1"/>
  <c r="AM57" i="20" s="1"/>
  <c r="AM94" i="20" a="1"/>
  <c r="AM94" i="20" s="1"/>
  <c r="AM89" i="20" a="1"/>
  <c r="AM89" i="20" s="1"/>
  <c r="AM84" i="20" a="1"/>
  <c r="AM84" i="20" s="1"/>
  <c r="AM80" i="20" a="1"/>
  <c r="AM80" i="20" s="1"/>
  <c r="AM71" i="20" a="1"/>
  <c r="AM71" i="20" s="1"/>
  <c r="AM67" i="20" a="1"/>
  <c r="AM67" i="20" s="1"/>
  <c r="AM50" i="20" a="1"/>
  <c r="AM50" i="20" s="1"/>
  <c r="AM42" i="20" a="1"/>
  <c r="AM42" i="20" s="1"/>
  <c r="AM34" i="20" a="1"/>
  <c r="AM34" i="20" s="1"/>
  <c r="AM24" i="20" a="1"/>
  <c r="AM24" i="20" s="1"/>
  <c r="AM22" i="20" a="1"/>
  <c r="AM22" i="20" s="1"/>
  <c r="AM18" i="20" a="1"/>
  <c r="AM18" i="20" s="1"/>
  <c r="AM43" i="20" a="1"/>
  <c r="AM43" i="20" s="1"/>
  <c r="AM98" i="20" a="1"/>
  <c r="AM98" i="20" s="1"/>
  <c r="AM100" i="20" s="1"/>
  <c r="AM95" i="20" a="1"/>
  <c r="AM95" i="20" s="1"/>
  <c r="AM81" i="20" a="1"/>
  <c r="AM81" i="20" s="1"/>
  <c r="AM77" i="20" a="1"/>
  <c r="AM77" i="20" s="1"/>
  <c r="AM72" i="20" a="1"/>
  <c r="AM72" i="20" s="1"/>
  <c r="AM68" i="20" a="1"/>
  <c r="AM68" i="20" s="1"/>
  <c r="AM64" i="20" a="1"/>
  <c r="AM64" i="20" s="1"/>
  <c r="AM58" i="20" a="1"/>
  <c r="AM58" i="20" s="1"/>
  <c r="AM51" i="20" a="1"/>
  <c r="AM51" i="20" s="1"/>
  <c r="AM82" i="20" a="1"/>
  <c r="AM82" i="20" s="1"/>
  <c r="AM78" i="20" a="1"/>
  <c r="AM78" i="20" s="1"/>
  <c r="AM73" i="20" a="1"/>
  <c r="AM73" i="20" s="1"/>
  <c r="AM69" i="20" a="1"/>
  <c r="AM69" i="20" s="1"/>
  <c r="AM65" i="20" a="1"/>
  <c r="AM65" i="20" s="1"/>
  <c r="AM54" i="20" a="1"/>
  <c r="AM54" i="20" s="1"/>
  <c r="AM52" i="20" a="1"/>
  <c r="AM52" i="20" s="1"/>
  <c r="AM59" i="20" a="1"/>
  <c r="AM59" i="20" s="1"/>
  <c r="AM39" i="20" a="1"/>
  <c r="AM39" i="20" s="1"/>
  <c r="AM19" i="20" a="1"/>
  <c r="AM19" i="20" s="1"/>
  <c r="AM17" i="20" a="1"/>
  <c r="AM17" i="20" s="1"/>
  <c r="AM14" i="20" a="1"/>
  <c r="AM14" i="20" s="1"/>
  <c r="AM37" i="20" a="1"/>
  <c r="AM37" i="20" s="1"/>
  <c r="AM36" i="20" a="1"/>
  <c r="AM36" i="20" s="1"/>
  <c r="AM28" i="20" a="1"/>
  <c r="AM28" i="20" s="1"/>
  <c r="AM30" i="20" a="1"/>
  <c r="AM30" i="20" s="1"/>
  <c r="AM35" i="20" a="1"/>
  <c r="AM35" i="20" s="1"/>
  <c r="AM33" i="20" a="1"/>
  <c r="AM33" i="20" s="1"/>
  <c r="AM27" i="20" a="1"/>
  <c r="AM27" i="20" s="1"/>
  <c r="AM12" i="20" a="1"/>
  <c r="AM12" i="20" s="1"/>
  <c r="AM20" i="20" a="1"/>
  <c r="AM20" i="20" s="1"/>
  <c r="AM11" i="20" a="1"/>
  <c r="AM11" i="20" s="1"/>
  <c r="AM44" i="20" a="1"/>
  <c r="AM44" i="20" s="1"/>
  <c r="AM21" i="20" a="1"/>
  <c r="AM21" i="20" s="1"/>
  <c r="AM70" i="3"/>
  <c r="AM725" i="9"/>
  <c r="AM236" i="3"/>
  <c r="BR618" i="9"/>
  <c r="BR900" i="9" s="1"/>
  <c r="BS389" i="9"/>
  <c r="AN166" i="3"/>
  <c r="AN189" i="3" s="1"/>
  <c r="AN174" i="3"/>
  <c r="AN197" i="3" s="1"/>
  <c r="BR1009" i="9"/>
  <c r="BR518" i="9"/>
  <c r="BS228" i="9"/>
  <c r="BR234" i="9"/>
  <c r="AM737" i="9"/>
  <c r="AM248" i="3"/>
  <c r="AM722" i="9"/>
  <c r="AM233" i="3"/>
  <c r="BS540" i="9"/>
  <c r="BS221" i="9"/>
  <c r="AM104" i="3"/>
  <c r="AM81" i="3"/>
  <c r="AM205" i="26"/>
  <c r="AM68" i="26"/>
  <c r="AM149" i="26"/>
  <c r="AM93" i="26"/>
  <c r="AM87" i="26"/>
  <c r="AM137" i="26"/>
  <c r="AM119" i="26"/>
  <c r="AM140" i="26"/>
  <c r="AM208" i="26"/>
  <c r="AM179" i="26"/>
  <c r="AM183" i="26"/>
  <c r="AM144" i="26"/>
  <c r="AM197" i="26"/>
  <c r="AM60" i="26"/>
  <c r="AM122" i="26"/>
  <c r="AM71" i="26"/>
  <c r="AM118" i="26"/>
  <c r="AM125" i="26"/>
  <c r="AM113" i="26"/>
  <c r="AM114" i="26"/>
  <c r="AM201" i="26"/>
  <c r="AM181" i="26"/>
  <c r="AM207" i="26"/>
  <c r="AM147" i="26"/>
  <c r="AM174" i="26"/>
  <c r="AM177" i="26"/>
  <c r="AM115" i="26"/>
  <c r="AM66" i="26"/>
  <c r="AM111" i="26"/>
  <c r="AM94" i="26"/>
  <c r="AM112" i="26"/>
  <c r="AM98" i="26"/>
  <c r="AM172" i="26"/>
  <c r="AM196" i="26"/>
  <c r="AM209" i="26"/>
  <c r="AM139" i="26"/>
  <c r="AM150" i="26"/>
  <c r="AM142" i="26"/>
  <c r="AM99" i="26"/>
  <c r="AM61" i="26"/>
  <c r="AM97" i="26"/>
  <c r="AM91" i="26"/>
  <c r="AM88" i="26"/>
  <c r="AM95" i="26"/>
  <c r="AM176" i="26"/>
  <c r="AM195" i="26"/>
  <c r="AM206" i="26"/>
  <c r="AM146" i="26"/>
  <c r="AM121" i="26"/>
  <c r="AM86" i="26"/>
  <c r="AM178" i="26"/>
  <c r="AM73" i="26"/>
  <c r="AM74" i="26"/>
  <c r="AM85" i="26"/>
  <c r="AM63" i="26"/>
  <c r="AM203" i="26"/>
  <c r="AM199" i="26"/>
  <c r="AM148" i="26"/>
  <c r="AM143" i="26"/>
  <c r="AM120" i="26"/>
  <c r="AM65" i="26"/>
  <c r="AM123" i="26"/>
  <c r="AM72" i="26"/>
  <c r="AM62" i="26"/>
  <c r="AM69" i="26"/>
  <c r="AM70" i="26"/>
  <c r="AM198" i="26"/>
  <c r="AM204" i="26"/>
  <c r="AM202" i="26"/>
  <c r="AM124" i="26"/>
  <c r="AM92" i="26"/>
  <c r="AM151" i="26"/>
  <c r="AM117" i="26"/>
  <c r="AM67" i="26"/>
  <c r="AM182" i="26"/>
  <c r="AM145" i="26"/>
  <c r="AM64" i="26"/>
  <c r="AM175" i="26"/>
  <c r="AM200" i="26"/>
  <c r="AM184" i="26"/>
  <c r="AM116" i="26"/>
  <c r="AM89" i="26"/>
  <c r="AM96" i="26"/>
  <c r="AM90" i="26"/>
  <c r="AM173" i="26"/>
  <c r="AM138" i="26"/>
  <c r="AM141" i="26"/>
  <c r="AM171" i="26"/>
  <c r="AM180" i="26"/>
  <c r="AM185" i="26"/>
  <c r="AM106" i="3"/>
  <c r="AM83" i="3"/>
  <c r="AL102" i="20"/>
  <c r="BR605" i="9"/>
  <c r="BR887" i="9" s="1"/>
  <c r="BS142" i="9"/>
  <c r="AL759" i="9"/>
  <c r="BR612" i="9"/>
  <c r="BR894" i="9" s="1"/>
  <c r="BS275" i="9"/>
  <c r="BR617" i="9"/>
  <c r="BR899" i="9" s="1"/>
  <c r="BS370" i="9"/>
  <c r="BR534" i="9"/>
  <c r="BR107" i="9"/>
  <c r="BR1011" i="9"/>
  <c r="BR520" i="9"/>
  <c r="BR272" i="9"/>
  <c r="BS266" i="9"/>
  <c r="AJ54" i="33"/>
  <c r="AJ148" i="30"/>
  <c r="AJ180" i="30" s="1"/>
  <c r="AJ56" i="30"/>
  <c r="AJ58" i="30" s="1"/>
  <c r="AN152" i="3"/>
  <c r="AN138" i="3"/>
  <c r="AN146" i="3"/>
  <c r="AM282" i="9"/>
  <c r="AM415" i="9"/>
  <c r="AM396" i="9"/>
  <c r="AM434" i="9"/>
  <c r="AM320" i="9"/>
  <c r="AM263" i="9"/>
  <c r="AM187" i="9"/>
  <c r="AM358" i="9"/>
  <c r="AM168" i="9"/>
  <c r="AM339" i="9"/>
  <c r="AM301" i="9"/>
  <c r="AM244" i="9"/>
  <c r="AM206" i="9"/>
  <c r="AM377" i="9"/>
  <c r="AM225" i="9"/>
  <c r="AM73" i="9"/>
  <c r="AM111" i="9"/>
  <c r="AM92" i="9"/>
  <c r="AM130" i="9"/>
  <c r="AM149" i="9"/>
  <c r="BR539" i="9"/>
  <c r="BR202" i="9"/>
  <c r="AM86" i="3"/>
  <c r="AM216" i="3"/>
  <c r="AM262" i="3"/>
  <c r="AM285" i="3" s="1"/>
  <c r="BR447" i="9"/>
  <c r="BR194" i="9"/>
  <c r="AM85" i="3"/>
  <c r="BR607" i="9"/>
  <c r="BR889" i="9" s="1"/>
  <c r="BS180" i="9"/>
  <c r="BR1004" i="9"/>
  <c r="BR513" i="9"/>
  <c r="BR139" i="9"/>
  <c r="BS133" i="9"/>
  <c r="AN173" i="3"/>
  <c r="AN196" i="3" s="1"/>
  <c r="AN171" i="3"/>
  <c r="AN194" i="3" s="1"/>
  <c r="AM730" i="9"/>
  <c r="AM241" i="3"/>
  <c r="AM265" i="3"/>
  <c r="AM288" i="3" s="1"/>
  <c r="AM219" i="3"/>
  <c r="AL748" i="9"/>
  <c r="AM80" i="3"/>
  <c r="BR542" i="9"/>
  <c r="BR259" i="9"/>
  <c r="AM78" i="3"/>
  <c r="BR1003" i="9"/>
  <c r="BR512" i="9"/>
  <c r="BS114" i="9"/>
  <c r="BR120" i="9"/>
  <c r="AK174" i="20"/>
  <c r="AK181" i="20" s="1"/>
  <c r="AK62" i="30" s="1"/>
  <c r="AK156" i="20"/>
  <c r="AK166" i="20" s="1"/>
  <c r="BR550" i="9"/>
  <c r="BR411" i="9"/>
  <c r="AM68" i="3"/>
  <c r="BR1010" i="9"/>
  <c r="BR519" i="9"/>
  <c r="BS247" i="9"/>
  <c r="BR253" i="9"/>
  <c r="AN145" i="3"/>
  <c r="AN149" i="3"/>
  <c r="AN140" i="3"/>
  <c r="AL77" i="33"/>
  <c r="G31" i="50" s="1"/>
  <c r="G32" i="50" s="1"/>
  <c r="AL195" i="30"/>
  <c r="AL78" i="33" s="1"/>
  <c r="AK47" i="30"/>
  <c r="AK38" i="30"/>
  <c r="AM735" i="9"/>
  <c r="AM246" i="3"/>
  <c r="C131" i="23"/>
  <c r="C130" i="23" a="1"/>
  <c r="AM787" i="9" l="1"/>
  <c r="AM801" i="9"/>
  <c r="AM824" i="9" s="1"/>
  <c r="AM795" i="9"/>
  <c r="AM818" i="9" s="1"/>
  <c r="AM793" i="9"/>
  <c r="AM816" i="9" s="1"/>
  <c r="AM13" i="20"/>
  <c r="AM742" i="9"/>
  <c r="AM29" i="20"/>
  <c r="AM14" i="30" s="1"/>
  <c r="AM85" i="20"/>
  <c r="AM20" i="30" s="1"/>
  <c r="AM796" i="9"/>
  <c r="AM819" i="9" s="1"/>
  <c r="AM90" i="20"/>
  <c r="AM21" i="30" s="1"/>
  <c r="AM803" i="9"/>
  <c r="AM826" i="9" s="1"/>
  <c r="AI19" i="32"/>
  <c r="AM748" i="9"/>
  <c r="AM753" i="9"/>
  <c r="AI85" i="30"/>
  <c r="AI88" i="30" s="1"/>
  <c r="AI112" i="30" s="1"/>
  <c r="AM798" i="9"/>
  <c r="AM821" i="9" s="1"/>
  <c r="AL80" i="33"/>
  <c r="AM760" i="9"/>
  <c r="AN268" i="3"/>
  <c r="AN291" i="3" s="1"/>
  <c r="AN222" i="3"/>
  <c r="AN208" i="3"/>
  <c r="AN254" i="3"/>
  <c r="AN277" i="3" s="1"/>
  <c r="AN224" i="3"/>
  <c r="AN270" i="3"/>
  <c r="AN293" i="3" s="1"/>
  <c r="AN210" i="3"/>
  <c r="AN256" i="3"/>
  <c r="AN279" i="3" s="1"/>
  <c r="AN258" i="3"/>
  <c r="AN281" i="3" s="1"/>
  <c r="AN212" i="3"/>
  <c r="AN206" i="3"/>
  <c r="AN252" i="3"/>
  <c r="AN275" i="3" s="1"/>
  <c r="AN265" i="3"/>
  <c r="AN288" i="3" s="1"/>
  <c r="AN219" i="3"/>
  <c r="AN259" i="3"/>
  <c r="AN282" i="3" s="1"/>
  <c r="AN213" i="3"/>
  <c r="BS543" i="9"/>
  <c r="BS278" i="9"/>
  <c r="AM23" i="20"/>
  <c r="AN179" i="3"/>
  <c r="AN202" i="3" s="1"/>
  <c r="BS545" i="9"/>
  <c r="BS316" i="9"/>
  <c r="AM797" i="9"/>
  <c r="AM820" i="9" s="1"/>
  <c r="BR1015" i="9"/>
  <c r="BR524" i="9"/>
  <c r="BR348" i="9"/>
  <c r="BS342" i="9"/>
  <c r="AN4" i="11"/>
  <c r="AN30" i="3"/>
  <c r="AN22" i="3"/>
  <c r="AN16" i="3"/>
  <c r="AN4" i="35"/>
  <c r="AN4" i="33"/>
  <c r="AO4" i="12"/>
  <c r="AN4" i="32"/>
  <c r="AN4" i="30"/>
  <c r="AN4" i="38"/>
  <c r="AN4" i="6"/>
  <c r="AN4" i="9"/>
  <c r="AN4" i="26"/>
  <c r="AN4" i="16"/>
  <c r="AN4" i="22"/>
  <c r="AN4" i="20"/>
  <c r="AN4" i="1"/>
  <c r="AN4" i="28"/>
  <c r="AN20" i="3"/>
  <c r="BS535" i="9"/>
  <c r="BS126" i="9"/>
  <c r="AL14" i="32"/>
  <c r="AL32" i="30"/>
  <c r="AL36" i="30" s="1"/>
  <c r="AM38" i="20"/>
  <c r="AM15" i="30" s="1"/>
  <c r="AM46" i="20"/>
  <c r="AM16" i="30" s="1"/>
  <c r="AM60" i="20"/>
  <c r="AM18" i="30" s="1"/>
  <c r="AM194" i="30"/>
  <c r="AM179" i="30"/>
  <c r="AM65" i="33" s="1"/>
  <c r="BS551" i="9"/>
  <c r="BS430" i="9"/>
  <c r="BT422" i="9"/>
  <c r="BT459" i="9"/>
  <c r="AM756" i="9"/>
  <c r="AM744" i="9"/>
  <c r="AM825" i="9"/>
  <c r="AM822" i="9"/>
  <c r="AM814" i="9"/>
  <c r="AM827" i="9"/>
  <c r="AM817" i="9"/>
  <c r="AM815" i="9"/>
  <c r="AM813" i="9"/>
  <c r="AM829" i="9"/>
  <c r="AM812" i="9"/>
  <c r="AM811" i="9"/>
  <c r="AM810" i="9"/>
  <c r="AM828" i="9"/>
  <c r="BR616" i="9"/>
  <c r="BR898" i="9" s="1"/>
  <c r="BS351" i="9"/>
  <c r="AO10" i="3"/>
  <c r="AO148" i="3" s="1"/>
  <c r="BS448" i="9"/>
  <c r="BS213" i="9"/>
  <c r="AN217" i="3"/>
  <c r="AN263" i="3"/>
  <c r="AN286" i="3" s="1"/>
  <c r="BR1007" i="9"/>
  <c r="BR516" i="9"/>
  <c r="BS190" i="9"/>
  <c r="BR196" i="9"/>
  <c r="AN220" i="3"/>
  <c r="AN266" i="3"/>
  <c r="AN289" i="3" s="1"/>
  <c r="AM53" i="20"/>
  <c r="AM17" i="30" s="1"/>
  <c r="AM96" i="20"/>
  <c r="AM44" i="30"/>
  <c r="AM45" i="30" s="1"/>
  <c r="AM154" i="20"/>
  <c r="BS365" i="9"/>
  <c r="BS456" i="9"/>
  <c r="BS440" i="9"/>
  <c r="BS61" i="9"/>
  <c r="BR1013" i="9"/>
  <c r="BR522" i="9"/>
  <c r="BS304" i="9"/>
  <c r="BR310" i="9"/>
  <c r="BR1001" i="9"/>
  <c r="BR510" i="9"/>
  <c r="BR82" i="9"/>
  <c r="BS76" i="9"/>
  <c r="AN3" i="11"/>
  <c r="AN14" i="3"/>
  <c r="AN3" i="35"/>
  <c r="AN3" i="33"/>
  <c r="AO3" i="12"/>
  <c r="AN3" i="32"/>
  <c r="AN3" i="30"/>
  <c r="AN3" i="38"/>
  <c r="AN3" i="6"/>
  <c r="AN3" i="9"/>
  <c r="AN3" i="26"/>
  <c r="AN3" i="16"/>
  <c r="AN3" i="22"/>
  <c r="AN3" i="20"/>
  <c r="AN3" i="1"/>
  <c r="AN3" i="28"/>
  <c r="AN37" i="3"/>
  <c r="BR1002" i="9"/>
  <c r="BR511" i="9"/>
  <c r="BR101" i="9"/>
  <c r="BS95" i="9"/>
  <c r="BS444" i="9"/>
  <c r="BS137" i="9"/>
  <c r="AN169" i="3"/>
  <c r="AN192" i="3" s="1"/>
  <c r="BS609" i="9"/>
  <c r="BS891" i="9" s="1"/>
  <c r="BT218" i="9"/>
  <c r="AM23" i="30"/>
  <c r="AM179" i="20"/>
  <c r="AM52" i="30"/>
  <c r="AM54" i="30" s="1"/>
  <c r="AM41" i="6"/>
  <c r="AM44" i="6" s="1"/>
  <c r="AM164" i="20"/>
  <c r="AN211" i="3"/>
  <c r="AN257" i="3"/>
  <c r="AN280" i="3" s="1"/>
  <c r="AM718" i="9"/>
  <c r="AM229" i="3"/>
  <c r="AM726" i="9"/>
  <c r="AM237" i="3"/>
  <c r="AN161" i="3"/>
  <c r="AN184" i="3" s="1"/>
  <c r="BR603" i="9"/>
  <c r="BR885" i="9" s="1"/>
  <c r="BS104" i="9"/>
  <c r="BR606" i="9"/>
  <c r="BR888" i="9" s="1"/>
  <c r="BS161" i="9"/>
  <c r="BR601" i="9"/>
  <c r="BR883" i="9" s="1"/>
  <c r="BS66" i="9"/>
  <c r="BS458" i="9"/>
  <c r="BS403" i="9"/>
  <c r="AN5" i="11"/>
  <c r="AN60" i="3"/>
  <c r="AN106" i="3" s="1"/>
  <c r="AN52" i="3"/>
  <c r="AN98" i="3" s="1"/>
  <c r="AN64" i="3"/>
  <c r="AN110" i="3" s="1"/>
  <c r="AN59" i="3"/>
  <c r="AN105" i="3" s="1"/>
  <c r="AN46" i="3"/>
  <c r="AN92" i="3" s="1"/>
  <c r="AN54" i="3"/>
  <c r="AN53" i="3"/>
  <c r="AN58" i="3"/>
  <c r="AN104" i="3" s="1"/>
  <c r="AN57" i="3"/>
  <c r="AN103" i="3" s="1"/>
  <c r="AN45" i="3"/>
  <c r="AN91" i="3" s="1"/>
  <c r="AN62" i="3"/>
  <c r="AN108" i="3" s="1"/>
  <c r="AN61" i="3"/>
  <c r="AN107" i="3" s="1"/>
  <c r="AN63" i="3"/>
  <c r="AN109" i="3" s="1"/>
  <c r="AN47" i="3"/>
  <c r="AN93" i="3" s="1"/>
  <c r="AN51" i="3"/>
  <c r="AN49" i="3"/>
  <c r="AN95" i="3" s="1"/>
  <c r="AN50" i="3"/>
  <c r="AN96" i="3" s="1"/>
  <c r="AN56" i="3"/>
  <c r="AN102" i="3" s="1"/>
  <c r="AN55" i="3"/>
  <c r="AN101" i="3" s="1"/>
  <c r="AN48" i="3"/>
  <c r="AN5" i="35"/>
  <c r="AN5" i="33"/>
  <c r="AO5" i="12"/>
  <c r="AN5" i="32"/>
  <c r="AN5" i="30"/>
  <c r="AN5" i="38"/>
  <c r="AN5" i="6"/>
  <c r="AN5" i="9"/>
  <c r="AN5" i="26"/>
  <c r="AN5" i="16"/>
  <c r="AN5" i="22"/>
  <c r="AN5" i="20"/>
  <c r="AN5" i="1"/>
  <c r="AN5" i="28"/>
  <c r="AN131" i="3"/>
  <c r="AN126" i="3"/>
  <c r="AN122" i="3"/>
  <c r="AN124" i="3"/>
  <c r="AN116" i="3"/>
  <c r="AN123" i="3"/>
  <c r="AN128" i="3"/>
  <c r="AN119" i="3"/>
  <c r="AN117" i="3"/>
  <c r="AN130" i="3"/>
  <c r="AN120" i="3"/>
  <c r="AN115" i="3"/>
  <c r="AN125" i="3"/>
  <c r="AN121" i="3"/>
  <c r="AN114" i="3"/>
  <c r="AN127" i="3"/>
  <c r="AN132" i="3"/>
  <c r="AN118" i="3"/>
  <c r="AN133" i="3"/>
  <c r="AN129" i="3"/>
  <c r="BR615" i="9"/>
  <c r="BR897" i="9" s="1"/>
  <c r="BS332" i="9"/>
  <c r="AM729" i="9"/>
  <c r="AM240" i="3"/>
  <c r="AK257" i="6"/>
  <c r="AK259" i="6" s="1"/>
  <c r="AK170" i="20"/>
  <c r="AK60" i="30" s="1"/>
  <c r="AN172" i="3"/>
  <c r="AN195" i="3" s="1"/>
  <c r="AM728" i="9"/>
  <c r="AM239" i="3"/>
  <c r="AN175" i="3"/>
  <c r="AN198" i="3" s="1"/>
  <c r="BS451" i="9"/>
  <c r="BS270" i="9"/>
  <c r="BS536" i="9"/>
  <c r="BS145" i="9"/>
  <c r="BS392" i="9"/>
  <c r="BS549" i="9"/>
  <c r="AM24" i="32"/>
  <c r="AM25" i="32" s="1"/>
  <c r="AM24" i="35" s="1"/>
  <c r="AM74" i="20"/>
  <c r="AM19" i="30" s="1"/>
  <c r="AM746" i="9"/>
  <c r="BS457" i="9"/>
  <c r="BS384" i="9"/>
  <c r="BR602" i="9"/>
  <c r="BR884" i="9" s="1"/>
  <c r="BS85" i="9"/>
  <c r="BR1006" i="9"/>
  <c r="BR515" i="9"/>
  <c r="BS171" i="9"/>
  <c r="BR177" i="9"/>
  <c r="AM720" i="9"/>
  <c r="AM231" i="3"/>
  <c r="AM724" i="9"/>
  <c r="AM235" i="3"/>
  <c r="AM758" i="9"/>
  <c r="BS548" i="9"/>
  <c r="BS373" i="9"/>
  <c r="AM800" i="9"/>
  <c r="AM823" i="9" s="1"/>
  <c r="AM745" i="9"/>
  <c r="BS449" i="9"/>
  <c r="BS232" i="9"/>
  <c r="AM114" i="20"/>
  <c r="AM131" i="20"/>
  <c r="AM132" i="20" s="1"/>
  <c r="AM28" i="30" s="1"/>
  <c r="AM26" i="32" s="1"/>
  <c r="AM25" i="35" s="1"/>
  <c r="BR613" i="9"/>
  <c r="BR895" i="9" s="1"/>
  <c r="BS294" i="9"/>
  <c r="BS452" i="9"/>
  <c r="BS289" i="9"/>
  <c r="BS327" i="9"/>
  <c r="BS454" i="9"/>
  <c r="AM727" i="9"/>
  <c r="AM238" i="3"/>
  <c r="BS445" i="9"/>
  <c r="BS156" i="9"/>
  <c r="BS443" i="9"/>
  <c r="BS118" i="9"/>
  <c r="AN163" i="3"/>
  <c r="AN186" i="3" s="1"/>
  <c r="BS450" i="9"/>
  <c r="BS251" i="9"/>
  <c r="AM731" i="9"/>
  <c r="AM242" i="3"/>
  <c r="AN168" i="3"/>
  <c r="AN191" i="3" s="1"/>
  <c r="BR611" i="9"/>
  <c r="BR893" i="9" s="1"/>
  <c r="BS256" i="9"/>
  <c r="AK54" i="33"/>
  <c r="AK148" i="30"/>
  <c r="AK180" i="30" s="1"/>
  <c r="AK56" i="30"/>
  <c r="AK58" i="30" s="1"/>
  <c r="BR619" i="9"/>
  <c r="BR901" i="9" s="1"/>
  <c r="BS408" i="9"/>
  <c r="BS538" i="9"/>
  <c r="BS183" i="9"/>
  <c r="BR608" i="9"/>
  <c r="BR890" i="9" s="1"/>
  <c r="BS199" i="9"/>
  <c r="AJ82" i="35"/>
  <c r="AJ67" i="33"/>
  <c r="AJ69" i="33" s="1"/>
  <c r="AJ31" i="32"/>
  <c r="AJ27" i="32"/>
  <c r="AJ28" i="32" s="1"/>
  <c r="AJ208" i="30"/>
  <c r="AL141" i="20"/>
  <c r="AL146" i="20" s="1"/>
  <c r="AM25" i="30"/>
  <c r="AN170" i="3"/>
  <c r="AN193" i="3" s="1"/>
  <c r="AM734" i="9"/>
  <c r="AM245" i="3"/>
  <c r="AM759" i="9"/>
  <c r="AN177" i="3"/>
  <c r="AN200" i="3" s="1"/>
  <c r="BS240" i="9"/>
  <c r="BS541" i="9"/>
  <c r="AM732" i="9"/>
  <c r="AM243" i="3"/>
  <c r="C130" i="23"/>
  <c r="C129" i="23" a="1"/>
  <c r="AM13" i="30" l="1"/>
  <c r="AN87" i="3"/>
  <c r="AN68" i="3"/>
  <c r="AN79" i="3"/>
  <c r="AN78" i="3"/>
  <c r="AN82" i="3"/>
  <c r="AO144" i="3"/>
  <c r="AO167" i="3" s="1"/>
  <c r="AO190" i="3" s="1"/>
  <c r="AM102" i="20"/>
  <c r="AN84" i="3"/>
  <c r="AN80" i="3"/>
  <c r="AM741" i="9"/>
  <c r="AI23" i="32"/>
  <c r="AM757" i="9"/>
  <c r="AM747" i="9"/>
  <c r="AI114" i="30"/>
  <c r="AM749" i="9"/>
  <c r="AN269" i="3"/>
  <c r="AN292" i="3" s="1"/>
  <c r="AN223" i="3"/>
  <c r="AO171" i="3"/>
  <c r="AO194" i="3" s="1"/>
  <c r="AN267" i="3"/>
  <c r="AN290" i="3" s="1"/>
  <c r="AN221" i="3"/>
  <c r="AN261" i="3"/>
  <c r="AN284" i="3" s="1"/>
  <c r="AN215" i="3"/>
  <c r="AM72" i="30"/>
  <c r="AM74" i="30" s="1"/>
  <c r="AN40" i="6"/>
  <c r="AM12" i="6"/>
  <c r="AK136" i="30"/>
  <c r="AK137" i="30" s="1"/>
  <c r="AL256" i="6"/>
  <c r="AN197" i="26"/>
  <c r="AN99" i="26"/>
  <c r="AN86" i="26"/>
  <c r="AN93" i="26"/>
  <c r="AN67" i="26"/>
  <c r="AN94" i="26"/>
  <c r="AN113" i="26"/>
  <c r="AN177" i="26"/>
  <c r="AN64" i="26"/>
  <c r="AN185" i="26"/>
  <c r="AN181" i="26"/>
  <c r="AN208" i="26"/>
  <c r="AN95" i="26"/>
  <c r="AN65" i="26"/>
  <c r="AN71" i="26"/>
  <c r="AN124" i="26"/>
  <c r="AN74" i="26"/>
  <c r="AN112" i="26"/>
  <c r="AN174" i="26"/>
  <c r="AN203" i="26"/>
  <c r="AN196" i="26"/>
  <c r="AN173" i="26"/>
  <c r="AN148" i="26"/>
  <c r="AN200" i="26"/>
  <c r="AN91" i="26"/>
  <c r="AN60" i="26"/>
  <c r="AN66" i="26"/>
  <c r="AN118" i="26"/>
  <c r="AN68" i="26"/>
  <c r="AN88" i="26"/>
  <c r="AN142" i="26"/>
  <c r="AN184" i="26"/>
  <c r="AN207" i="26"/>
  <c r="AN209" i="26"/>
  <c r="AN140" i="26"/>
  <c r="AN178" i="26"/>
  <c r="AN87" i="26"/>
  <c r="AN151" i="26"/>
  <c r="AN175" i="26"/>
  <c r="AN111" i="26"/>
  <c r="AN62" i="26"/>
  <c r="AN85" i="26"/>
  <c r="AN121" i="26"/>
  <c r="AN179" i="26"/>
  <c r="AN172" i="26"/>
  <c r="AN176" i="26"/>
  <c r="AN147" i="26"/>
  <c r="AN145" i="26"/>
  <c r="AN69" i="26"/>
  <c r="AN144" i="26"/>
  <c r="AN171" i="26"/>
  <c r="AN97" i="26"/>
  <c r="AN182" i="26"/>
  <c r="AN141" i="26"/>
  <c r="AN120" i="26"/>
  <c r="AN198" i="26"/>
  <c r="AN195" i="26"/>
  <c r="AN202" i="26"/>
  <c r="AN138" i="26"/>
  <c r="AN61" i="26"/>
  <c r="AN143" i="26"/>
  <c r="AN150" i="26"/>
  <c r="AN73" i="26"/>
  <c r="AN146" i="26"/>
  <c r="AN114" i="26"/>
  <c r="AN92" i="26"/>
  <c r="AN183" i="26"/>
  <c r="AN180" i="26"/>
  <c r="AN149" i="26"/>
  <c r="AN125" i="26"/>
  <c r="AN122" i="26"/>
  <c r="AN116" i="26"/>
  <c r="AN123" i="26"/>
  <c r="AN72" i="26"/>
  <c r="AN139" i="26"/>
  <c r="AN98" i="26"/>
  <c r="AN89" i="26"/>
  <c r="AN206" i="26"/>
  <c r="AN199" i="26"/>
  <c r="AN205" i="26"/>
  <c r="AN117" i="26"/>
  <c r="AN115" i="26"/>
  <c r="AN96" i="26"/>
  <c r="AN90" i="26"/>
  <c r="AN137" i="26"/>
  <c r="AN119" i="26"/>
  <c r="AN63" i="26"/>
  <c r="AN70" i="26"/>
  <c r="AN204" i="26"/>
  <c r="AN201" i="26"/>
  <c r="AN100" i="3"/>
  <c r="AN77" i="3"/>
  <c r="AN262" i="3"/>
  <c r="AN285" i="3" s="1"/>
  <c r="AN216" i="3"/>
  <c r="BS550" i="9"/>
  <c r="BS411" i="9"/>
  <c r="AN214" i="3"/>
  <c r="AN260" i="3"/>
  <c r="AN283" i="3" s="1"/>
  <c r="BS1014" i="9"/>
  <c r="BS523" i="9"/>
  <c r="BS329" i="9"/>
  <c r="BT323" i="9"/>
  <c r="BS1009" i="9"/>
  <c r="BS518" i="9"/>
  <c r="BT228" i="9"/>
  <c r="BS234" i="9"/>
  <c r="BS617" i="9"/>
  <c r="BS899" i="9" s="1"/>
  <c r="BT370" i="9"/>
  <c r="BS446" i="9"/>
  <c r="BS175" i="9"/>
  <c r="BS605" i="9"/>
  <c r="BS887" i="9" s="1"/>
  <c r="BT142" i="9"/>
  <c r="AN97" i="3"/>
  <c r="AN74" i="3"/>
  <c r="BS537" i="9"/>
  <c r="BS164" i="9"/>
  <c r="AN723" i="9"/>
  <c r="AN234" i="3"/>
  <c r="AN72" i="3"/>
  <c r="AO146" i="3"/>
  <c r="AO143" i="3"/>
  <c r="BS620" i="9"/>
  <c r="BS902" i="9" s="1"/>
  <c r="BT427" i="9"/>
  <c r="AN711" i="9"/>
  <c r="AN780" i="9" s="1"/>
  <c r="AN803" i="9" s="1"/>
  <c r="AN703" i="9"/>
  <c r="AN772" i="9" s="1"/>
  <c r="AN695" i="9"/>
  <c r="AN764" i="9" s="1"/>
  <c r="AN787" i="9" s="1"/>
  <c r="AN709" i="9"/>
  <c r="AN778" i="9" s="1"/>
  <c r="AN801" i="9" s="1"/>
  <c r="AN704" i="9"/>
  <c r="AN773" i="9" s="1"/>
  <c r="AN712" i="9"/>
  <c r="AN781" i="9" s="1"/>
  <c r="AN699" i="9"/>
  <c r="AN768" i="9" s="1"/>
  <c r="AN791" i="9" s="1"/>
  <c r="AN714" i="9"/>
  <c r="AN783" i="9" s="1"/>
  <c r="AN706" i="9"/>
  <c r="AN775" i="9" s="1"/>
  <c r="AN798" i="9" s="1"/>
  <c r="AN701" i="9"/>
  <c r="AN770" i="9" s="1"/>
  <c r="AN793" i="9" s="1"/>
  <c r="AN696" i="9"/>
  <c r="AN765" i="9" s="1"/>
  <c r="AN713" i="9"/>
  <c r="AN782" i="9" s="1"/>
  <c r="AN805" i="9" s="1"/>
  <c r="AN710" i="9"/>
  <c r="AN779" i="9" s="1"/>
  <c r="AN802" i="9" s="1"/>
  <c r="AN708" i="9"/>
  <c r="AN777" i="9" s="1"/>
  <c r="AN800" i="9" s="1"/>
  <c r="AN705" i="9"/>
  <c r="AN774" i="9" s="1"/>
  <c r="AN698" i="9"/>
  <c r="AN767" i="9" s="1"/>
  <c r="AN702" i="9"/>
  <c r="AN771" i="9" s="1"/>
  <c r="AN794" i="9" s="1"/>
  <c r="AN700" i="9"/>
  <c r="AN769" i="9" s="1"/>
  <c r="AN792" i="9" s="1"/>
  <c r="AN697" i="9"/>
  <c r="AN766" i="9" s="1"/>
  <c r="AN789" i="9" s="1"/>
  <c r="AN707" i="9"/>
  <c r="AN776" i="9" s="1"/>
  <c r="AN18" i="3"/>
  <c r="BS455" i="9"/>
  <c r="BS346" i="9"/>
  <c r="AN225" i="3"/>
  <c r="AN271" i="3"/>
  <c r="AN294" i="3" s="1"/>
  <c r="AN218" i="3"/>
  <c r="AN264" i="3"/>
  <c r="AN287" i="3" s="1"/>
  <c r="AN99" i="3"/>
  <c r="AN76" i="3"/>
  <c r="AN253" i="3"/>
  <c r="AN276" i="3" s="1"/>
  <c r="AN207" i="3"/>
  <c r="AN73" i="3"/>
  <c r="AM22" i="30"/>
  <c r="AM24" i="30" s="1"/>
  <c r="AM175" i="20"/>
  <c r="BS447" i="9"/>
  <c r="BS194" i="9"/>
  <c r="AO147" i="3"/>
  <c r="AO139" i="3"/>
  <c r="AO149" i="3"/>
  <c r="AN731" i="9"/>
  <c r="AN242" i="3"/>
  <c r="AN722" i="9"/>
  <c r="AN233" i="3"/>
  <c r="BS1011" i="9"/>
  <c r="BS520" i="9"/>
  <c r="BS272" i="9"/>
  <c r="BT266" i="9"/>
  <c r="BS442" i="9"/>
  <c r="BS99" i="9"/>
  <c r="BS1000" i="9"/>
  <c r="BS509" i="9"/>
  <c r="BS63" i="9"/>
  <c r="BT57" i="9"/>
  <c r="AO153" i="3"/>
  <c r="AO150" i="3"/>
  <c r="AO151" i="3"/>
  <c r="AN85" i="3"/>
  <c r="AN28" i="3"/>
  <c r="AN26" i="3"/>
  <c r="BS610" i="9"/>
  <c r="BS892" i="9" s="1"/>
  <c r="BT237" i="9"/>
  <c r="AK82" i="35"/>
  <c r="AK67" i="33"/>
  <c r="AK69" i="33" s="1"/>
  <c r="AK31" i="32"/>
  <c r="AK27" i="32"/>
  <c r="AK28" i="32" s="1"/>
  <c r="AK208" i="30"/>
  <c r="AK92" i="33" s="1"/>
  <c r="AN86" i="3"/>
  <c r="AM743" i="9"/>
  <c r="BS533" i="9"/>
  <c r="BS88" i="9"/>
  <c r="AN415" i="9"/>
  <c r="AN263" i="9"/>
  <c r="AN396" i="9"/>
  <c r="AN434" i="9"/>
  <c r="AN358" i="9"/>
  <c r="AN168" i="9"/>
  <c r="AN320" i="9"/>
  <c r="AN149" i="9"/>
  <c r="AN339" i="9"/>
  <c r="AN301" i="9"/>
  <c r="AN244" i="9"/>
  <c r="AN206" i="9"/>
  <c r="AN282" i="9"/>
  <c r="AN377" i="9"/>
  <c r="AN225" i="9"/>
  <c r="AN73" i="9"/>
  <c r="AN130" i="9"/>
  <c r="AN187" i="9"/>
  <c r="AN92" i="9"/>
  <c r="AN111" i="9"/>
  <c r="AN94" i="3"/>
  <c r="AN71" i="3"/>
  <c r="AN70" i="3"/>
  <c r="AO156" i="3"/>
  <c r="AO138" i="3"/>
  <c r="AM77" i="33"/>
  <c r="AM195" i="30"/>
  <c r="AM78" i="33" s="1"/>
  <c r="AL47" i="30"/>
  <c r="AL38" i="30"/>
  <c r="AN736" i="9"/>
  <c r="AN247" i="3"/>
  <c r="BS1010" i="9"/>
  <c r="BS519" i="9"/>
  <c r="BT247" i="9"/>
  <c r="BS253" i="9"/>
  <c r="BS539" i="9"/>
  <c r="BS202" i="9"/>
  <c r="BS1018" i="9"/>
  <c r="BS527" i="9"/>
  <c r="BS405" i="9"/>
  <c r="BT399" i="9"/>
  <c r="AO5" i="3"/>
  <c r="AO41" i="3"/>
  <c r="AO24" i="3"/>
  <c r="AO12" i="3"/>
  <c r="AO3" i="3" s="1"/>
  <c r="AP8" i="3"/>
  <c r="AO4" i="3"/>
  <c r="AO140" i="3"/>
  <c r="AL28" i="32"/>
  <c r="AL33" i="32"/>
  <c r="AN180" i="20" a="1"/>
  <c r="AN180" i="20" s="1"/>
  <c r="AN162" i="20" a="1"/>
  <c r="AN162" i="20" s="1"/>
  <c r="AN153" i="20" a="1"/>
  <c r="AN153" i="20" s="1"/>
  <c r="AN150" i="20" a="1"/>
  <c r="AN150" i="20" s="1"/>
  <c r="AN41" i="30" s="1"/>
  <c r="AN129" i="20" a="1"/>
  <c r="AN129" i="20" s="1"/>
  <c r="AN130" i="20" a="1"/>
  <c r="AN130" i="20" s="1"/>
  <c r="AN127" i="20" a="1"/>
  <c r="AN127" i="20" s="1"/>
  <c r="AN135" i="20" a="1"/>
  <c r="AN135" i="20" s="1"/>
  <c r="AN137" i="20" s="1"/>
  <c r="AN29" i="30" s="1"/>
  <c r="AN128" i="20" a="1"/>
  <c r="AN128" i="20" s="1"/>
  <c r="AN122" i="20" a="1"/>
  <c r="AN122" i="20" s="1"/>
  <c r="AN118" i="20" a="1"/>
  <c r="AN118" i="20" s="1"/>
  <c r="AN124" i="20" a="1"/>
  <c r="AN124" i="20" s="1"/>
  <c r="AN123" i="20" a="1"/>
  <c r="AN123" i="20" s="1"/>
  <c r="AN119" i="20" a="1"/>
  <c r="AN119" i="20" s="1"/>
  <c r="AN125" i="20" a="1"/>
  <c r="AN125" i="20" s="1"/>
  <c r="AN120" i="20" a="1"/>
  <c r="AN120" i="20" s="1"/>
  <c r="AN117" i="20" a="1"/>
  <c r="AN117" i="20" s="1"/>
  <c r="AN121" i="20" a="1"/>
  <c r="AN121" i="20" s="1"/>
  <c r="AN112" i="20" a="1"/>
  <c r="AN112" i="20" s="1"/>
  <c r="AN108" i="20" a="1"/>
  <c r="AN108" i="20" s="1"/>
  <c r="AN105" i="20" a="1"/>
  <c r="AN105" i="20" s="1"/>
  <c r="AN109" i="20" a="1"/>
  <c r="AN109" i="20" s="1"/>
  <c r="AN110" i="20" a="1"/>
  <c r="AN110" i="20" s="1"/>
  <c r="AN106" i="20" a="1"/>
  <c r="AN106" i="20" s="1"/>
  <c r="AN111" i="20" a="1"/>
  <c r="AN111" i="20" s="1"/>
  <c r="AN107" i="20" a="1"/>
  <c r="AN107" i="20" s="1"/>
  <c r="AN94" i="20" a="1"/>
  <c r="AN94" i="20" s="1"/>
  <c r="AN89" i="20" a="1"/>
  <c r="AN89" i="20" s="1"/>
  <c r="AN84" i="20" a="1"/>
  <c r="AN84" i="20" s="1"/>
  <c r="AN80" i="20" a="1"/>
  <c r="AN80" i="20" s="1"/>
  <c r="AN71" i="20" a="1"/>
  <c r="AN71" i="20" s="1"/>
  <c r="AN67" i="20" a="1"/>
  <c r="AN67" i="20" s="1"/>
  <c r="AN50" i="20" a="1"/>
  <c r="AN50" i="20" s="1"/>
  <c r="AN98" i="20" a="1"/>
  <c r="AN98" i="20" s="1"/>
  <c r="AN100" i="20" s="1"/>
  <c r="AN95" i="20" a="1"/>
  <c r="AN95" i="20" s="1"/>
  <c r="AN81" i="20" a="1"/>
  <c r="AN81" i="20" s="1"/>
  <c r="AN77" i="20" a="1"/>
  <c r="AN77" i="20" s="1"/>
  <c r="AN72" i="20" a="1"/>
  <c r="AN72" i="20" s="1"/>
  <c r="AN68" i="20" a="1"/>
  <c r="AN68" i="20" s="1"/>
  <c r="AN64" i="20" a="1"/>
  <c r="AN64" i="20" s="1"/>
  <c r="AN58" i="20" a="1"/>
  <c r="AN58" i="20" s="1"/>
  <c r="AN51" i="20" a="1"/>
  <c r="AN51" i="20" s="1"/>
  <c r="AN43" i="20" a="1"/>
  <c r="AN43" i="20" s="1"/>
  <c r="AN35" i="20" a="1"/>
  <c r="AN35" i="20" s="1"/>
  <c r="AN27" i="20" a="1"/>
  <c r="AN27" i="20" s="1"/>
  <c r="AN19" i="20" a="1"/>
  <c r="AN19" i="20" s="1"/>
  <c r="AN11" i="20" a="1"/>
  <c r="AN11" i="20" s="1"/>
  <c r="AN44" i="20" a="1"/>
  <c r="AN44" i="20" s="1"/>
  <c r="AN82" i="20" a="1"/>
  <c r="AN82" i="20" s="1"/>
  <c r="AN78" i="20" a="1"/>
  <c r="AN78" i="20" s="1"/>
  <c r="AN73" i="20" a="1"/>
  <c r="AN73" i="20" s="1"/>
  <c r="AN69" i="20" a="1"/>
  <c r="AN69" i="20" s="1"/>
  <c r="AN65" i="20" a="1"/>
  <c r="AN65" i="20" s="1"/>
  <c r="AN54" i="20" a="1"/>
  <c r="AN54" i="20" s="1"/>
  <c r="AN52" i="20" a="1"/>
  <c r="AN52" i="20" s="1"/>
  <c r="AN59" i="20" a="1"/>
  <c r="AN59" i="20" s="1"/>
  <c r="AN93" i="20" a="1"/>
  <c r="AN93" i="20" s="1"/>
  <c r="AN88" i="20" a="1"/>
  <c r="AN88" i="20" s="1"/>
  <c r="AN83" i="20" a="1"/>
  <c r="AN83" i="20" s="1"/>
  <c r="AN79" i="20" a="1"/>
  <c r="AN79" i="20" s="1"/>
  <c r="AN70" i="20" a="1"/>
  <c r="AN70" i="20" s="1"/>
  <c r="AN66" i="20" a="1"/>
  <c r="AN66" i="20" s="1"/>
  <c r="AN47" i="20" a="1"/>
  <c r="AN47" i="20" s="1"/>
  <c r="AN45" i="20" a="1"/>
  <c r="AN45" i="20" s="1"/>
  <c r="AN61" i="20" a="1"/>
  <c r="AN61" i="20" s="1"/>
  <c r="AN57" i="20" a="1"/>
  <c r="AN57" i="20" s="1"/>
  <c r="AN37" i="20" a="1"/>
  <c r="AN37" i="20" s="1"/>
  <c r="AN30" i="20" a="1"/>
  <c r="AN30" i="20" s="1"/>
  <c r="AN42" i="20" a="1"/>
  <c r="AN42" i="20" s="1"/>
  <c r="AN33" i="20" a="1"/>
  <c r="AN33" i="20" s="1"/>
  <c r="AN20" i="20" a="1"/>
  <c r="AN20" i="20" s="1"/>
  <c r="AN34" i="20" a="1"/>
  <c r="AN34" i="20" s="1"/>
  <c r="AN24" i="20" a="1"/>
  <c r="AN24" i="20" s="1"/>
  <c r="AN39" i="20" a="1"/>
  <c r="AN39" i="20" s="1"/>
  <c r="AN36" i="20" a="1"/>
  <c r="AN36" i="20" s="1"/>
  <c r="AN28" i="20" a="1"/>
  <c r="AN28" i="20" s="1"/>
  <c r="AN21" i="20" a="1"/>
  <c r="AN21" i="20" s="1"/>
  <c r="AN14" i="20" a="1"/>
  <c r="AN14" i="20" s="1"/>
  <c r="AN22" i="20" a="1"/>
  <c r="AN22" i="20" s="1"/>
  <c r="AN17" i="20" a="1"/>
  <c r="AN17" i="20" s="1"/>
  <c r="AN12" i="20" a="1"/>
  <c r="AN12" i="20" s="1"/>
  <c r="AN18" i="20" a="1"/>
  <c r="AN18" i="20" s="1"/>
  <c r="AN83" i="3"/>
  <c r="AN718" i="9"/>
  <c r="AN229" i="3"/>
  <c r="BS544" i="9"/>
  <c r="BS297" i="9"/>
  <c r="BS542" i="9"/>
  <c r="BS259" i="9"/>
  <c r="AM750" i="9"/>
  <c r="BS1017" i="9"/>
  <c r="BS526" i="9"/>
  <c r="BS386" i="9"/>
  <c r="BT380" i="9"/>
  <c r="BS618" i="9"/>
  <c r="BS900" i="9" s="1"/>
  <c r="BT389" i="9"/>
  <c r="AM752" i="9"/>
  <c r="BS1004" i="9"/>
  <c r="BS513" i="9"/>
  <c r="BS139" i="9"/>
  <c r="BT133" i="9"/>
  <c r="BS441" i="9"/>
  <c r="BS80" i="9"/>
  <c r="BS1016" i="9"/>
  <c r="BS525" i="9"/>
  <c r="BS367" i="9"/>
  <c r="BT361" i="9"/>
  <c r="AN732" i="9"/>
  <c r="AN243" i="3"/>
  <c r="AN729" i="9"/>
  <c r="AN240" i="3"/>
  <c r="AO152" i="3"/>
  <c r="AO155" i="3"/>
  <c r="AO154" i="3"/>
  <c r="AN69" i="3"/>
  <c r="BS614" i="9"/>
  <c r="BS896" i="9" s="1"/>
  <c r="BT313" i="9"/>
  <c r="BS612" i="9"/>
  <c r="BS894" i="9" s="1"/>
  <c r="BT275" i="9"/>
  <c r="AN720" i="9"/>
  <c r="AN231" i="3"/>
  <c r="AM754" i="9"/>
  <c r="BS1005" i="9"/>
  <c r="BS514" i="9"/>
  <c r="BS158" i="9"/>
  <c r="BT152" i="9"/>
  <c r="BS1012" i="9"/>
  <c r="BS521" i="9"/>
  <c r="BS291" i="9"/>
  <c r="BT285" i="9"/>
  <c r="AL174" i="20"/>
  <c r="AL181" i="20" s="1"/>
  <c r="AL62" i="30" s="1"/>
  <c r="AL156" i="20"/>
  <c r="AL166" i="20" s="1"/>
  <c r="BS607" i="9"/>
  <c r="BS889" i="9" s="1"/>
  <c r="BT180" i="9"/>
  <c r="BS532" i="9"/>
  <c r="BS69" i="9"/>
  <c r="BS534" i="9"/>
  <c r="BS107" i="9"/>
  <c r="AN75" i="3"/>
  <c r="AO141" i="3"/>
  <c r="AO142" i="3"/>
  <c r="BS547" i="9"/>
  <c r="BS354" i="9"/>
  <c r="AN724" i="9"/>
  <c r="AN235" i="3"/>
  <c r="AN734" i="9"/>
  <c r="AN245" i="3"/>
  <c r="AN209" i="3"/>
  <c r="AN255" i="3"/>
  <c r="AN278" i="3" s="1"/>
  <c r="BS546" i="9"/>
  <c r="BS335" i="9"/>
  <c r="AM755" i="9"/>
  <c r="AJ92" i="33"/>
  <c r="AJ94" i="33" s="1"/>
  <c r="AJ212" i="30"/>
  <c r="BS1003" i="9"/>
  <c r="BS512" i="9"/>
  <c r="BS120" i="9"/>
  <c r="BT114" i="9"/>
  <c r="AM27" i="30"/>
  <c r="AM30" i="30" s="1"/>
  <c r="AM139" i="20"/>
  <c r="AM751" i="9"/>
  <c r="BT540" i="9"/>
  <c r="BT221" i="9"/>
  <c r="BS453" i="9"/>
  <c r="BS308" i="9"/>
  <c r="BS1008" i="9"/>
  <c r="BS517" i="9"/>
  <c r="BS215" i="9"/>
  <c r="BT209" i="9"/>
  <c r="AO145" i="3"/>
  <c r="AO137" i="3"/>
  <c r="BT1019" i="9"/>
  <c r="BT528" i="9"/>
  <c r="BU418" i="9"/>
  <c r="BT424" i="9"/>
  <c r="AN81" i="3"/>
  <c r="BS604" i="9"/>
  <c r="BS886" i="9" s="1"/>
  <c r="BT123" i="9"/>
  <c r="AN725" i="9"/>
  <c r="AN236" i="3"/>
  <c r="C129" i="23"/>
  <c r="C128" i="23" a="1"/>
  <c r="AM141" i="20" l="1"/>
  <c r="AM146" i="20" s="1"/>
  <c r="AM156" i="20" s="1"/>
  <c r="AM166" i="20" s="1"/>
  <c r="AN796" i="9"/>
  <c r="AN806" i="9"/>
  <c r="AN804" i="9"/>
  <c r="AN827" i="9" s="1"/>
  <c r="AN759" i="9"/>
  <c r="AN96" i="20"/>
  <c r="AN797" i="9"/>
  <c r="AN820" i="9" s="1"/>
  <c r="AN799" i="9"/>
  <c r="AN745" i="9"/>
  <c r="AN46" i="20"/>
  <c r="AN16" i="30" s="1"/>
  <c r="AN790" i="9"/>
  <c r="AN813" i="9" s="1"/>
  <c r="AN13" i="20"/>
  <c r="AN752" i="9"/>
  <c r="AN795" i="9"/>
  <c r="AN818" i="9" s="1"/>
  <c r="AO217" i="3"/>
  <c r="AO263" i="3"/>
  <c r="AO286" i="3" s="1"/>
  <c r="AM174" i="20"/>
  <c r="AM181" i="20" s="1"/>
  <c r="AM62" i="30" s="1"/>
  <c r="AO213" i="3"/>
  <c r="AO259" i="3"/>
  <c r="AO282" i="3" s="1"/>
  <c r="BS1013" i="9"/>
  <c r="BS522" i="9"/>
  <c r="BT304" i="9"/>
  <c r="BS310" i="9"/>
  <c r="AJ96" i="33"/>
  <c r="AJ101" i="33" s="1"/>
  <c r="AJ104" i="33" s="1"/>
  <c r="AK211" i="30"/>
  <c r="AK212" i="30" s="1"/>
  <c r="AJ214" i="30"/>
  <c r="AJ217" i="30" s="1"/>
  <c r="AJ83" i="6"/>
  <c r="AN721" i="9"/>
  <c r="AN232" i="3"/>
  <c r="AO164" i="3"/>
  <c r="AO187" i="3" s="1"/>
  <c r="BT452" i="9"/>
  <c r="BT289" i="9"/>
  <c r="BT445" i="9"/>
  <c r="BT156" i="9"/>
  <c r="BT549" i="9"/>
  <c r="BT392" i="9"/>
  <c r="AN23" i="20"/>
  <c r="AN74" i="20"/>
  <c r="AN19" i="30" s="1"/>
  <c r="AO5" i="11"/>
  <c r="AO63" i="3"/>
  <c r="AO109" i="3" s="1"/>
  <c r="AO55" i="3"/>
  <c r="AO47" i="3"/>
  <c r="AO93" i="3" s="1"/>
  <c r="AO54" i="3"/>
  <c r="AO100" i="3" s="1"/>
  <c r="AO49" i="3"/>
  <c r="AO95" i="3" s="1"/>
  <c r="AO62" i="3"/>
  <c r="AO108" i="3" s="1"/>
  <c r="AO61" i="3"/>
  <c r="AO56" i="3"/>
  <c r="AO51" i="3"/>
  <c r="AO97" i="3" s="1"/>
  <c r="AO45" i="3"/>
  <c r="AO60" i="3"/>
  <c r="AO106" i="3" s="1"/>
  <c r="AO64" i="3"/>
  <c r="AO46" i="3"/>
  <c r="AO92" i="3" s="1"/>
  <c r="AO53" i="3"/>
  <c r="AO99" i="3" s="1"/>
  <c r="AO52" i="3"/>
  <c r="AO98" i="3" s="1"/>
  <c r="AO50" i="3"/>
  <c r="AO96" i="3" s="1"/>
  <c r="AO48" i="3"/>
  <c r="AO94" i="3" s="1"/>
  <c r="AO59" i="3"/>
  <c r="AO58" i="3"/>
  <c r="AO104" i="3" s="1"/>
  <c r="AO57" i="3"/>
  <c r="AO5" i="35"/>
  <c r="AO5" i="33"/>
  <c r="AP5" i="12"/>
  <c r="AO5" i="32"/>
  <c r="AO5" i="30"/>
  <c r="AO5" i="38"/>
  <c r="AO5" i="6"/>
  <c r="AO5" i="9"/>
  <c r="AO5" i="26"/>
  <c r="AO5" i="16"/>
  <c r="AO5" i="22"/>
  <c r="AO5" i="20"/>
  <c r="AO5" i="1"/>
  <c r="AO5" i="28"/>
  <c r="AO129" i="3"/>
  <c r="AO130" i="3"/>
  <c r="AO124" i="3"/>
  <c r="AO120" i="3"/>
  <c r="AO121" i="3"/>
  <c r="AO119" i="3"/>
  <c r="AO125" i="3"/>
  <c r="AO132" i="3"/>
  <c r="AO118" i="3"/>
  <c r="AO128" i="3"/>
  <c r="AO126" i="3"/>
  <c r="AO123" i="3"/>
  <c r="AO117" i="3"/>
  <c r="AO127" i="3"/>
  <c r="AO115" i="3"/>
  <c r="AO114" i="3"/>
  <c r="AO116" i="3"/>
  <c r="AO133" i="3"/>
  <c r="AO131" i="3"/>
  <c r="AO122" i="3"/>
  <c r="BS1007" i="9"/>
  <c r="BS516" i="9"/>
  <c r="BT190" i="9"/>
  <c r="BS196" i="9"/>
  <c r="AN719" i="9"/>
  <c r="AN230" i="3"/>
  <c r="AN730" i="9"/>
  <c r="AN241" i="3"/>
  <c r="BT548" i="9"/>
  <c r="BT373" i="9"/>
  <c r="AN748" i="9"/>
  <c r="BT609" i="9"/>
  <c r="BT891" i="9" s="1"/>
  <c r="BU218" i="9"/>
  <c r="BT444" i="9"/>
  <c r="BT137" i="9"/>
  <c r="BT440" i="9"/>
  <c r="BT61" i="9"/>
  <c r="AO166" i="3"/>
  <c r="AO189" i="3" s="1"/>
  <c r="AN733" i="9"/>
  <c r="AN244" i="3"/>
  <c r="AL257" i="6"/>
  <c r="AL259" i="6" s="1"/>
  <c r="AL170" i="20"/>
  <c r="AL60" i="30" s="1"/>
  <c r="BT545" i="9"/>
  <c r="BT316" i="9"/>
  <c r="BT535" i="9"/>
  <c r="BT126" i="9"/>
  <c r="BU422" i="9"/>
  <c r="BU459" i="9"/>
  <c r="AN757" i="9"/>
  <c r="BS603" i="9"/>
  <c r="BS885" i="9" s="1"/>
  <c r="BT104" i="9"/>
  <c r="AN755" i="9"/>
  <c r="AN25" i="30"/>
  <c r="AN38" i="20"/>
  <c r="AN15" i="30" s="1"/>
  <c r="AO163" i="3"/>
  <c r="AO186" i="3" s="1"/>
  <c r="AL54" i="33"/>
  <c r="G10" i="50" s="1"/>
  <c r="G16" i="50" s="1"/>
  <c r="G42" i="50" s="1"/>
  <c r="G44" i="50" s="1"/>
  <c r="AL148" i="30"/>
  <c r="AL180" i="30" s="1"/>
  <c r="AL56" i="30"/>
  <c r="AL58" i="30" s="1"/>
  <c r="AM14" i="32"/>
  <c r="AM32" i="30"/>
  <c r="AM36" i="30" s="1"/>
  <c r="AO174" i="3"/>
  <c r="AO197" i="3" s="1"/>
  <c r="AN737" i="9"/>
  <c r="AN248" i="3"/>
  <c r="AO169" i="3"/>
  <c r="AO192" i="3" s="1"/>
  <c r="BS1001" i="9"/>
  <c r="BS510" i="9"/>
  <c r="BS82" i="9"/>
  <c r="BT76" i="9"/>
  <c r="AN29" i="20"/>
  <c r="AN14" i="30" s="1"/>
  <c r="AN85" i="20"/>
  <c r="AN20" i="30" s="1"/>
  <c r="AN114" i="20"/>
  <c r="AO4" i="11"/>
  <c r="AO22" i="3"/>
  <c r="AO30" i="3"/>
  <c r="AO16" i="3"/>
  <c r="AO4" i="35"/>
  <c r="AO4" i="33"/>
  <c r="AP4" i="12"/>
  <c r="AO4" i="32"/>
  <c r="AO4" i="30"/>
  <c r="AO4" i="38"/>
  <c r="AO4" i="6"/>
  <c r="AO4" i="9"/>
  <c r="AO4" i="26"/>
  <c r="AO4" i="16"/>
  <c r="AO4" i="22"/>
  <c r="AO4" i="20"/>
  <c r="AO4" i="1"/>
  <c r="AO4" i="28"/>
  <c r="AO20" i="3"/>
  <c r="BT450" i="9"/>
  <c r="BT251" i="9"/>
  <c r="AM80" i="33"/>
  <c r="BS602" i="9"/>
  <c r="BS884" i="9" s="1"/>
  <c r="BT85" i="9"/>
  <c r="AO173" i="3"/>
  <c r="AO196" i="3" s="1"/>
  <c r="BS1015" i="9"/>
  <c r="BS524" i="9"/>
  <c r="BS348" i="9"/>
  <c r="BT342" i="9"/>
  <c r="AN726" i="9"/>
  <c r="AN237" i="3"/>
  <c r="AO177" i="3"/>
  <c r="AO200" i="3" s="1"/>
  <c r="BS611" i="9"/>
  <c r="BS893" i="9" s="1"/>
  <c r="BT256" i="9"/>
  <c r="AN741" i="9"/>
  <c r="AN194" i="30"/>
  <c r="AN179" i="30"/>
  <c r="AN65" i="33" s="1"/>
  <c r="AP10" i="3"/>
  <c r="AP146" i="3" s="1"/>
  <c r="BS608" i="9"/>
  <c r="BS890" i="9" s="1"/>
  <c r="BT199" i="9"/>
  <c r="AO176" i="3"/>
  <c r="AO199" i="3" s="1"/>
  <c r="AN754" i="9"/>
  <c r="BT536" i="9"/>
  <c r="BT145" i="9"/>
  <c r="BS619" i="9"/>
  <c r="BS901" i="9" s="1"/>
  <c r="BT408" i="9"/>
  <c r="BT448" i="9"/>
  <c r="BT213" i="9"/>
  <c r="BS615" i="9"/>
  <c r="BS897" i="9" s="1"/>
  <c r="BT332" i="9"/>
  <c r="BS601" i="9"/>
  <c r="BS883" i="9" s="1"/>
  <c r="BT66" i="9"/>
  <c r="AN44" i="30"/>
  <c r="AN45" i="30" s="1"/>
  <c r="AN154" i="20"/>
  <c r="AO161" i="3"/>
  <c r="AO184" i="3" s="1"/>
  <c r="AO71" i="3"/>
  <c r="BT541" i="9"/>
  <c r="BT240" i="9"/>
  <c r="BT451" i="9"/>
  <c r="BT270" i="9"/>
  <c r="AO172" i="3"/>
  <c r="AO195" i="3" s="1"/>
  <c r="AN788" i="9"/>
  <c r="AN811" i="9" s="1"/>
  <c r="AN824" i="9"/>
  <c r="AN825" i="9"/>
  <c r="AN817" i="9"/>
  <c r="AN826" i="9"/>
  <c r="AN823" i="9"/>
  <c r="AN815" i="9"/>
  <c r="AN822" i="9"/>
  <c r="AN821" i="9"/>
  <c r="AN819" i="9"/>
  <c r="AN816" i="9"/>
  <c r="AN829" i="9"/>
  <c r="AN814" i="9"/>
  <c r="AN812" i="9"/>
  <c r="AN810" i="9"/>
  <c r="AN828" i="9"/>
  <c r="AN746" i="9"/>
  <c r="BT443" i="9"/>
  <c r="BT118" i="9"/>
  <c r="AN747" i="9"/>
  <c r="AO160" i="3"/>
  <c r="AO183" i="3" s="1"/>
  <c r="BS616" i="9"/>
  <c r="BS898" i="9" s="1"/>
  <c r="BT351" i="9"/>
  <c r="AO178" i="3"/>
  <c r="AO201" i="3" s="1"/>
  <c r="AN24" i="32"/>
  <c r="AN25" i="32" s="1"/>
  <c r="AN24" i="35" s="1"/>
  <c r="AO3" i="11"/>
  <c r="AO14" i="3"/>
  <c r="AO3" i="35"/>
  <c r="AO3" i="33"/>
  <c r="AP3" i="12"/>
  <c r="AO3" i="32"/>
  <c r="AO3" i="30"/>
  <c r="AO3" i="38"/>
  <c r="AO3" i="6"/>
  <c r="AO3" i="9"/>
  <c r="AO3" i="26"/>
  <c r="AO3" i="16"/>
  <c r="AO3" i="22"/>
  <c r="AO3" i="20"/>
  <c r="AO3" i="1"/>
  <c r="AO3" i="28"/>
  <c r="AO37" i="3"/>
  <c r="AO168" i="3"/>
  <c r="AO191" i="3" s="1"/>
  <c r="AN743" i="9"/>
  <c r="AO175" i="3"/>
  <c r="AO198" i="3" s="1"/>
  <c r="BT457" i="9"/>
  <c r="BT384" i="9"/>
  <c r="AN60" i="20"/>
  <c r="AN18" i="30" s="1"/>
  <c r="AN90" i="20"/>
  <c r="AN21" i="30" s="1"/>
  <c r="AN23" i="30"/>
  <c r="AN179" i="20"/>
  <c r="AN52" i="30"/>
  <c r="AN54" i="30" s="1"/>
  <c r="AN41" i="6"/>
  <c r="AN44" i="6" s="1"/>
  <c r="AN164" i="20"/>
  <c r="AO179" i="3"/>
  <c r="AO202" i="3" s="1"/>
  <c r="AO86" i="3"/>
  <c r="BS1002" i="9"/>
  <c r="BS511" i="9"/>
  <c r="BT95" i="9"/>
  <c r="BS101" i="9"/>
  <c r="AO162" i="3"/>
  <c r="AO185" i="3" s="1"/>
  <c r="AO73" i="3"/>
  <c r="BS606" i="9"/>
  <c r="BS888" i="9" s="1"/>
  <c r="BT161" i="9"/>
  <c r="BS1006" i="9"/>
  <c r="BS515" i="9"/>
  <c r="BS177" i="9"/>
  <c r="BT171" i="9"/>
  <c r="BT454" i="9"/>
  <c r="BT327" i="9"/>
  <c r="AN728" i="9"/>
  <c r="AN239" i="3"/>
  <c r="AN735" i="9"/>
  <c r="AN246" i="3"/>
  <c r="AO165" i="3"/>
  <c r="AO188" i="3" s="1"/>
  <c r="BT538" i="9"/>
  <c r="BT183" i="9"/>
  <c r="BT543" i="9"/>
  <c r="BT278" i="9"/>
  <c r="BT456" i="9"/>
  <c r="BT365" i="9"/>
  <c r="BS613" i="9"/>
  <c r="BS895" i="9" s="1"/>
  <c r="BT294" i="9"/>
  <c r="AN22" i="30"/>
  <c r="AN175" i="20"/>
  <c r="AN53" i="20"/>
  <c r="AN17" i="30" s="1"/>
  <c r="AN131" i="20"/>
  <c r="AN132" i="20" s="1"/>
  <c r="AN28" i="30" s="1"/>
  <c r="AN26" i="32" s="1"/>
  <c r="AN25" i="35" s="1"/>
  <c r="BT458" i="9"/>
  <c r="BT403" i="9"/>
  <c r="AK94" i="33"/>
  <c r="AO170" i="3"/>
  <c r="AO193" i="3" s="1"/>
  <c r="BT551" i="9"/>
  <c r="BT430" i="9"/>
  <c r="BT449" i="9"/>
  <c r="BT232" i="9"/>
  <c r="AN727" i="9"/>
  <c r="AN238" i="3"/>
  <c r="C128" i="23"/>
  <c r="C127" i="23" a="1"/>
  <c r="AO83" i="3" l="1"/>
  <c r="AO70" i="3"/>
  <c r="AO74" i="3"/>
  <c r="AO81" i="3"/>
  <c r="AP155" i="3"/>
  <c r="AP178" i="3" s="1"/>
  <c r="AP201" i="3" s="1"/>
  <c r="AO76" i="3"/>
  <c r="AO75" i="3"/>
  <c r="AO72" i="3"/>
  <c r="AO69" i="3"/>
  <c r="AP153" i="3"/>
  <c r="AP176" i="3" s="1"/>
  <c r="AP199" i="3" s="1"/>
  <c r="AP143" i="3"/>
  <c r="AP166" i="3" s="1"/>
  <c r="AP189" i="3" s="1"/>
  <c r="AN13" i="30"/>
  <c r="AN24" i="30" s="1"/>
  <c r="AP156" i="3"/>
  <c r="AP144" i="3"/>
  <c r="AP167" i="3" s="1"/>
  <c r="AP190" i="3" s="1"/>
  <c r="AP152" i="3"/>
  <c r="AP175" i="3" s="1"/>
  <c r="AP198" i="3" s="1"/>
  <c r="AP150" i="3"/>
  <c r="AP173" i="3" s="1"/>
  <c r="AP196" i="3" s="1"/>
  <c r="AO77" i="3"/>
  <c r="AP139" i="3"/>
  <c r="AP162" i="3" s="1"/>
  <c r="AP185" i="3" s="1"/>
  <c r="AP154" i="3"/>
  <c r="AP177" i="3" s="1"/>
  <c r="AP200" i="3" s="1"/>
  <c r="AO85" i="3"/>
  <c r="AP149" i="3"/>
  <c r="AP142" i="3"/>
  <c r="AN756" i="9"/>
  <c r="AN102" i="20"/>
  <c r="AN750" i="9"/>
  <c r="AN749" i="9"/>
  <c r="AO267" i="3"/>
  <c r="AO290" i="3" s="1"/>
  <c r="AO221" i="3"/>
  <c r="AO269" i="3"/>
  <c r="AO292" i="3" s="1"/>
  <c r="AO223" i="3"/>
  <c r="AO271" i="3"/>
  <c r="AO294" i="3" s="1"/>
  <c r="AO225" i="3"/>
  <c r="AO209" i="3"/>
  <c r="AO255" i="3"/>
  <c r="AO278" i="3" s="1"/>
  <c r="AO258" i="3"/>
  <c r="AO281" i="3" s="1"/>
  <c r="AO212" i="3"/>
  <c r="AO208" i="3"/>
  <c r="AO254" i="3"/>
  <c r="AO277" i="3" s="1"/>
  <c r="AO261" i="3"/>
  <c r="AO284" i="3" s="1"/>
  <c r="AO215" i="3"/>
  <c r="AO216" i="3"/>
  <c r="AO262" i="3"/>
  <c r="AO285" i="3" s="1"/>
  <c r="AO252" i="3"/>
  <c r="AO275" i="3" s="1"/>
  <c r="AO206" i="3"/>
  <c r="AN72" i="30"/>
  <c r="AN74" i="30" s="1"/>
  <c r="AO40" i="6"/>
  <c r="AN12" i="6"/>
  <c r="AO260" i="3"/>
  <c r="AO283" i="3" s="1"/>
  <c r="AO214" i="3"/>
  <c r="AO218" i="3"/>
  <c r="AO264" i="3"/>
  <c r="AO287" i="3" s="1"/>
  <c r="AP169" i="3"/>
  <c r="AP192" i="3" s="1"/>
  <c r="BT607" i="9"/>
  <c r="BT889" i="9" s="1"/>
  <c r="BU180" i="9"/>
  <c r="BT1011" i="9"/>
  <c r="BT520" i="9"/>
  <c r="BT272" i="9"/>
  <c r="BU266" i="9"/>
  <c r="AO222" i="3"/>
  <c r="AO268" i="3"/>
  <c r="AO291" i="3" s="1"/>
  <c r="AP165" i="3"/>
  <c r="AP188" i="3" s="1"/>
  <c r="AO149" i="26"/>
  <c r="AO151" i="26"/>
  <c r="AO99" i="26"/>
  <c r="AO178" i="26"/>
  <c r="AO72" i="26"/>
  <c r="AO146" i="26"/>
  <c r="AO138" i="26"/>
  <c r="AO140" i="26"/>
  <c r="AO86" i="26"/>
  <c r="AO206" i="26"/>
  <c r="AO185" i="26"/>
  <c r="AO177" i="26"/>
  <c r="AO141" i="26"/>
  <c r="AO139" i="26"/>
  <c r="AO96" i="26"/>
  <c r="AO148" i="26"/>
  <c r="AO67" i="26"/>
  <c r="AO125" i="26"/>
  <c r="AO114" i="26"/>
  <c r="AO121" i="26"/>
  <c r="AO65" i="26"/>
  <c r="AO173" i="26"/>
  <c r="AO203" i="26"/>
  <c r="AO184" i="26"/>
  <c r="AO202" i="26"/>
  <c r="AO118" i="26"/>
  <c r="AO93" i="26"/>
  <c r="AO124" i="26"/>
  <c r="AO61" i="26"/>
  <c r="AO119" i="26"/>
  <c r="AO98" i="26"/>
  <c r="AO120" i="26"/>
  <c r="AO64" i="26"/>
  <c r="AO181" i="26"/>
  <c r="AO209" i="26"/>
  <c r="AO205" i="26"/>
  <c r="AO70" i="26"/>
  <c r="AO66" i="26"/>
  <c r="AO117" i="26"/>
  <c r="AO147" i="26"/>
  <c r="AO113" i="26"/>
  <c r="AO69" i="26"/>
  <c r="AO95" i="26"/>
  <c r="AO71" i="26"/>
  <c r="AO195" i="26"/>
  <c r="AO171" i="26"/>
  <c r="AO197" i="26"/>
  <c r="AO62" i="26"/>
  <c r="AO175" i="26"/>
  <c r="AO111" i="26"/>
  <c r="AO137" i="26"/>
  <c r="AO112" i="26"/>
  <c r="AO63" i="26"/>
  <c r="AO92" i="26"/>
  <c r="AO60" i="26"/>
  <c r="AO207" i="26"/>
  <c r="AO183" i="26"/>
  <c r="AO208" i="26"/>
  <c r="AO144" i="26"/>
  <c r="AO150" i="26"/>
  <c r="AO97" i="26"/>
  <c r="AO94" i="26"/>
  <c r="AO91" i="26"/>
  <c r="AO174" i="26"/>
  <c r="AO89" i="26"/>
  <c r="AO198" i="26"/>
  <c r="AO172" i="26"/>
  <c r="AO204" i="26"/>
  <c r="AO200" i="26"/>
  <c r="AO143" i="26"/>
  <c r="AO123" i="26"/>
  <c r="AO87" i="26"/>
  <c r="AO74" i="26"/>
  <c r="AO88" i="26"/>
  <c r="AO145" i="26"/>
  <c r="AO122" i="26"/>
  <c r="AO199" i="26"/>
  <c r="AO180" i="26"/>
  <c r="AO201" i="26"/>
  <c r="AO182" i="26"/>
  <c r="AO116" i="26"/>
  <c r="AO90" i="26"/>
  <c r="AO73" i="26"/>
  <c r="AO68" i="26"/>
  <c r="AO85" i="26"/>
  <c r="AO142" i="26"/>
  <c r="AO115" i="26"/>
  <c r="AO179" i="26"/>
  <c r="AO196" i="26"/>
  <c r="AO176" i="26"/>
  <c r="AO107" i="3"/>
  <c r="AO84" i="3"/>
  <c r="BT1012" i="9"/>
  <c r="BT521" i="9"/>
  <c r="BU285" i="9"/>
  <c r="BT291" i="9"/>
  <c r="AK96" i="33"/>
  <c r="AK101" i="33" s="1"/>
  <c r="AK104" i="33" s="1"/>
  <c r="AL211" i="30"/>
  <c r="AK214" i="30"/>
  <c r="AK217" i="30" s="1"/>
  <c r="AK83" i="6"/>
  <c r="BT1009" i="9"/>
  <c r="BT518" i="9"/>
  <c r="BU228" i="9"/>
  <c r="BT234" i="9"/>
  <c r="BT612" i="9"/>
  <c r="BT894" i="9" s="1"/>
  <c r="BU275" i="9"/>
  <c r="AN751" i="9"/>
  <c r="BT1017" i="9"/>
  <c r="BT526" i="9"/>
  <c r="BT386" i="9"/>
  <c r="BU380" i="9"/>
  <c r="BT1003" i="9"/>
  <c r="BT512" i="9"/>
  <c r="BT120" i="9"/>
  <c r="BU114" i="9"/>
  <c r="AP151" i="3"/>
  <c r="AP137" i="3"/>
  <c r="BT1010" i="9"/>
  <c r="BT519" i="9"/>
  <c r="BT253" i="9"/>
  <c r="BU247" i="9"/>
  <c r="BU1019" i="9"/>
  <c r="BU528" i="9"/>
  <c r="BV418" i="9"/>
  <c r="BU424" i="9"/>
  <c r="BT617" i="9"/>
  <c r="BT899" i="9" s="1"/>
  <c r="BU370" i="9"/>
  <c r="AO434" i="9"/>
  <c r="AO396" i="9"/>
  <c r="AO244" i="9"/>
  <c r="AO377" i="9"/>
  <c r="AO320" i="9"/>
  <c r="AO149" i="9"/>
  <c r="AO339" i="9"/>
  <c r="AO301" i="9"/>
  <c r="AO130" i="9"/>
  <c r="AO206" i="9"/>
  <c r="AO282" i="9"/>
  <c r="AO225" i="9"/>
  <c r="AO415" i="9"/>
  <c r="AO187" i="9"/>
  <c r="AO263" i="9"/>
  <c r="AO358" i="9"/>
  <c r="AO168" i="9"/>
  <c r="AO92" i="9"/>
  <c r="AO111" i="9"/>
  <c r="AO73" i="9"/>
  <c r="AO103" i="3"/>
  <c r="AO80" i="3"/>
  <c r="AO101" i="3"/>
  <c r="AO78" i="3"/>
  <c r="BT544" i="9"/>
  <c r="BT297" i="9"/>
  <c r="BT1014" i="9"/>
  <c r="BT329" i="9"/>
  <c r="BT523" i="9"/>
  <c r="BU323" i="9"/>
  <c r="BT610" i="9"/>
  <c r="BT892" i="9" s="1"/>
  <c r="BU237" i="9"/>
  <c r="BT532" i="9"/>
  <c r="BT69" i="9"/>
  <c r="BT550" i="9"/>
  <c r="BT411" i="9"/>
  <c r="BT539" i="9"/>
  <c r="BT202" i="9"/>
  <c r="AN77" i="33"/>
  <c r="AN195" i="30"/>
  <c r="AN78" i="33" s="1"/>
  <c r="AO713" i="9"/>
  <c r="AO782" i="9" s="1"/>
  <c r="AO708" i="9"/>
  <c r="AO777" i="9" s="1"/>
  <c r="AO700" i="9"/>
  <c r="AO769" i="9" s="1"/>
  <c r="AO712" i="9"/>
  <c r="AO781" i="9" s="1"/>
  <c r="AO699" i="9"/>
  <c r="AO768" i="9" s="1"/>
  <c r="AO714" i="9"/>
  <c r="AO783" i="9" s="1"/>
  <c r="AO711" i="9"/>
  <c r="AO780" i="9" s="1"/>
  <c r="AO706" i="9"/>
  <c r="AO775" i="9" s="1"/>
  <c r="AO798" i="9" s="1"/>
  <c r="AO701" i="9"/>
  <c r="AO770" i="9" s="1"/>
  <c r="AO696" i="9"/>
  <c r="AO765" i="9" s="1"/>
  <c r="AO710" i="9"/>
  <c r="AO779" i="9" s="1"/>
  <c r="AO705" i="9"/>
  <c r="AO774" i="9" s="1"/>
  <c r="AO703" i="9"/>
  <c r="AO772" i="9" s="1"/>
  <c r="AO698" i="9"/>
  <c r="AO767" i="9" s="1"/>
  <c r="AO702" i="9"/>
  <c r="AO771" i="9" s="1"/>
  <c r="AO794" i="9" s="1"/>
  <c r="AO697" i="9"/>
  <c r="AO766" i="9" s="1"/>
  <c r="AO695" i="9"/>
  <c r="AO764" i="9" s="1"/>
  <c r="AO707" i="9"/>
  <c r="AO776" i="9" s="1"/>
  <c r="AO709" i="9"/>
  <c r="AO778" i="9" s="1"/>
  <c r="AO704" i="9"/>
  <c r="AO773" i="9" s="1"/>
  <c r="AO18" i="3"/>
  <c r="AL136" i="30"/>
  <c r="AL137" i="30" s="1"/>
  <c r="AM256" i="6"/>
  <c r="AO220" i="3"/>
  <c r="AO266" i="3"/>
  <c r="AO289" i="3" s="1"/>
  <c r="BT604" i="9"/>
  <c r="BT886" i="9" s="1"/>
  <c r="BU123" i="9"/>
  <c r="AO725" i="9"/>
  <c r="AO236" i="3"/>
  <c r="AO270" i="3"/>
  <c r="AO293" i="3" s="1"/>
  <c r="AO224" i="3"/>
  <c r="AM47" i="30"/>
  <c r="AM38" i="30"/>
  <c r="BT1004" i="9"/>
  <c r="BT513" i="9"/>
  <c r="BU133" i="9"/>
  <c r="BT139" i="9"/>
  <c r="AO105" i="3"/>
  <c r="AO82" i="3"/>
  <c r="AO110" i="3"/>
  <c r="AO87" i="3"/>
  <c r="AO256" i="3"/>
  <c r="AO279" i="3" s="1"/>
  <c r="AO210" i="3"/>
  <c r="AM257" i="6"/>
  <c r="AM170" i="20"/>
  <c r="AM60" i="30" s="1"/>
  <c r="AO211" i="3"/>
  <c r="AO257" i="3"/>
  <c r="AO280" i="3" s="1"/>
  <c r="BT1016" i="9"/>
  <c r="BT525" i="9"/>
  <c r="BT367" i="9"/>
  <c r="BU361" i="9"/>
  <c r="BT442" i="9"/>
  <c r="BT99" i="9"/>
  <c r="AP172" i="3"/>
  <c r="AP195" i="3" s="1"/>
  <c r="AO265" i="3"/>
  <c r="AO288" i="3" s="1"/>
  <c r="AO219" i="3"/>
  <c r="AM28" i="32"/>
  <c r="AM33" i="32"/>
  <c r="BT614" i="9"/>
  <c r="BT896" i="9" s="1"/>
  <c r="BU313" i="9"/>
  <c r="BT447" i="9"/>
  <c r="BT194" i="9"/>
  <c r="BT618" i="9"/>
  <c r="BT900" i="9" s="1"/>
  <c r="BU389" i="9"/>
  <c r="BT1018" i="9"/>
  <c r="BT527" i="9"/>
  <c r="BU399" i="9"/>
  <c r="BT405" i="9"/>
  <c r="BT547" i="9"/>
  <c r="BT354" i="9"/>
  <c r="BT546" i="9"/>
  <c r="BT335" i="9"/>
  <c r="BT605" i="9"/>
  <c r="BT887" i="9" s="1"/>
  <c r="BU142" i="9"/>
  <c r="BT542" i="9"/>
  <c r="BT259" i="9"/>
  <c r="BT620" i="9"/>
  <c r="BT902" i="9" s="1"/>
  <c r="BU427" i="9"/>
  <c r="AN758" i="9"/>
  <c r="AP147" i="3"/>
  <c r="AP145" i="3"/>
  <c r="BT533" i="9"/>
  <c r="BT88" i="9"/>
  <c r="AO28" i="3"/>
  <c r="AO26" i="3"/>
  <c r="BT534" i="9"/>
  <c r="BT107" i="9"/>
  <c r="BU540" i="9"/>
  <c r="BU221" i="9"/>
  <c r="AN753" i="9"/>
  <c r="AO91" i="3"/>
  <c r="AO68" i="3"/>
  <c r="AN744" i="9"/>
  <c r="AO253" i="3"/>
  <c r="AO276" i="3" s="1"/>
  <c r="AO207" i="3"/>
  <c r="BT1008" i="9"/>
  <c r="BT517" i="9"/>
  <c r="BT215" i="9"/>
  <c r="BU209" i="9"/>
  <c r="AP179" i="3"/>
  <c r="AP202" i="3" s="1"/>
  <c r="AP41" i="3"/>
  <c r="AQ8" i="3"/>
  <c r="AP5" i="3"/>
  <c r="AP24" i="3"/>
  <c r="AP12" i="3"/>
  <c r="AP3" i="3" s="1"/>
  <c r="AP4" i="3"/>
  <c r="AP148" i="3"/>
  <c r="AO180" i="20" a="1"/>
  <c r="AO180" i="20" s="1"/>
  <c r="AO162" i="20" a="1"/>
  <c r="AO162" i="20" s="1"/>
  <c r="AO153" i="20" a="1"/>
  <c r="AO153" i="20" s="1"/>
  <c r="AO150" i="20" a="1"/>
  <c r="AO150" i="20" s="1"/>
  <c r="AO41" i="30" s="1"/>
  <c r="AO129" i="20" a="1"/>
  <c r="AO129" i="20" s="1"/>
  <c r="AO130" i="20" a="1"/>
  <c r="AO130" i="20" s="1"/>
  <c r="AO127" i="20" a="1"/>
  <c r="AO127" i="20" s="1"/>
  <c r="AO135" i="20" a="1"/>
  <c r="AO135" i="20" s="1"/>
  <c r="AO137" i="20" s="1"/>
  <c r="AO29" i="30" s="1"/>
  <c r="AO128" i="20" a="1"/>
  <c r="AO128" i="20" s="1"/>
  <c r="AO124" i="20" a="1"/>
  <c r="AO124" i="20" s="1"/>
  <c r="AO123" i="20" a="1"/>
  <c r="AO123" i="20" s="1"/>
  <c r="AO119" i="20" a="1"/>
  <c r="AO119" i="20" s="1"/>
  <c r="AO125" i="20" a="1"/>
  <c r="AO125" i="20" s="1"/>
  <c r="AO120" i="20" a="1"/>
  <c r="AO120" i="20" s="1"/>
  <c r="AO121" i="20" a="1"/>
  <c r="AO121" i="20" s="1"/>
  <c r="AO117" i="20" a="1"/>
  <c r="AO117" i="20" s="1"/>
  <c r="AO122" i="20" a="1"/>
  <c r="AO122" i="20" s="1"/>
  <c r="AO118" i="20" a="1"/>
  <c r="AO118" i="20" s="1"/>
  <c r="AO106" i="20" a="1"/>
  <c r="AO106" i="20" s="1"/>
  <c r="AO109" i="20" a="1"/>
  <c r="AO109" i="20" s="1"/>
  <c r="AO105" i="20" a="1"/>
  <c r="AO105" i="20" s="1"/>
  <c r="AO110" i="20" a="1"/>
  <c r="AO110" i="20" s="1"/>
  <c r="AO111" i="20" a="1"/>
  <c r="AO111" i="20" s="1"/>
  <c r="AO107" i="20" a="1"/>
  <c r="AO107" i="20" s="1"/>
  <c r="AO112" i="20" a="1"/>
  <c r="AO112" i="20" s="1"/>
  <c r="AO108" i="20" a="1"/>
  <c r="AO108" i="20" s="1"/>
  <c r="AO95" i="20" a="1"/>
  <c r="AO95" i="20" s="1"/>
  <c r="AO81" i="20" a="1"/>
  <c r="AO81" i="20" s="1"/>
  <c r="AO77" i="20" a="1"/>
  <c r="AO77" i="20" s="1"/>
  <c r="AO72" i="20" a="1"/>
  <c r="AO72" i="20" s="1"/>
  <c r="AO68" i="20" a="1"/>
  <c r="AO68" i="20" s="1"/>
  <c r="AO64" i="20" a="1"/>
  <c r="AO64" i="20" s="1"/>
  <c r="AO58" i="20" a="1"/>
  <c r="AO58" i="20" s="1"/>
  <c r="AO51" i="20" a="1"/>
  <c r="AO51" i="20" s="1"/>
  <c r="AO82" i="20" a="1"/>
  <c r="AO82" i="20" s="1"/>
  <c r="AO78" i="20" a="1"/>
  <c r="AO78" i="20" s="1"/>
  <c r="AO73" i="20" a="1"/>
  <c r="AO73" i="20" s="1"/>
  <c r="AO69" i="20" a="1"/>
  <c r="AO69" i="20" s="1"/>
  <c r="AO65" i="20" a="1"/>
  <c r="AO65" i="20" s="1"/>
  <c r="AO54" i="20" a="1"/>
  <c r="AO54" i="20" s="1"/>
  <c r="AO52" i="20" a="1"/>
  <c r="AO52" i="20" s="1"/>
  <c r="AO44" i="20" a="1"/>
  <c r="AO44" i="20" s="1"/>
  <c r="AO36" i="20" a="1"/>
  <c r="AO36" i="20" s="1"/>
  <c r="AO30" i="20" a="1"/>
  <c r="AO30" i="20" s="1"/>
  <c r="AO28" i="20" a="1"/>
  <c r="AO28" i="20" s="1"/>
  <c r="AO20" i="20" a="1"/>
  <c r="AO20" i="20" s="1"/>
  <c r="AO14" i="20" a="1"/>
  <c r="AO14" i="20" s="1"/>
  <c r="AO12" i="20" a="1"/>
  <c r="AO12" i="20" s="1"/>
  <c r="AO45" i="20" a="1"/>
  <c r="AO45" i="20" s="1"/>
  <c r="AO39" i="20" a="1"/>
  <c r="AO39" i="20" s="1"/>
  <c r="AO37" i="20" a="1"/>
  <c r="AO37" i="20" s="1"/>
  <c r="AO59" i="20" a="1"/>
  <c r="AO59" i="20" s="1"/>
  <c r="AO93" i="20" a="1"/>
  <c r="AO93" i="20" s="1"/>
  <c r="AO88" i="20" a="1"/>
  <c r="AO88" i="20" s="1"/>
  <c r="AO83" i="20" a="1"/>
  <c r="AO83" i="20" s="1"/>
  <c r="AO79" i="20" a="1"/>
  <c r="AO79" i="20" s="1"/>
  <c r="AO70" i="20" a="1"/>
  <c r="AO70" i="20" s="1"/>
  <c r="AO66" i="20" a="1"/>
  <c r="AO66" i="20" s="1"/>
  <c r="AO47" i="20" a="1"/>
  <c r="AO47" i="20" s="1"/>
  <c r="AO61" i="20" a="1"/>
  <c r="AO61" i="20" s="1"/>
  <c r="AO57" i="20" a="1"/>
  <c r="AO57" i="20" s="1"/>
  <c r="AO94" i="20" a="1"/>
  <c r="AO94" i="20" s="1"/>
  <c r="AO89" i="20" a="1"/>
  <c r="AO89" i="20" s="1"/>
  <c r="AO84" i="20" a="1"/>
  <c r="AO84" i="20" s="1"/>
  <c r="AO80" i="20" a="1"/>
  <c r="AO80" i="20" s="1"/>
  <c r="AO71" i="20" a="1"/>
  <c r="AO71" i="20" s="1"/>
  <c r="AO67" i="20" a="1"/>
  <c r="AO67" i="20" s="1"/>
  <c r="AO50" i="20" a="1"/>
  <c r="AO50" i="20" s="1"/>
  <c r="AO98" i="20" a="1"/>
  <c r="AO98" i="20" s="1"/>
  <c r="AO100" i="20" s="1"/>
  <c r="AO42" i="20" a="1"/>
  <c r="AO42" i="20" s="1"/>
  <c r="AO33" i="20" a="1"/>
  <c r="AO33" i="20" s="1"/>
  <c r="AO35" i="20" a="1"/>
  <c r="AO35" i="20" s="1"/>
  <c r="AO34" i="20" a="1"/>
  <c r="AO34" i="20" s="1"/>
  <c r="AO27" i="20" a="1"/>
  <c r="AO27" i="20" s="1"/>
  <c r="AO24" i="20" a="1"/>
  <c r="AO24" i="20" s="1"/>
  <c r="AO43" i="20" a="1"/>
  <c r="AO43" i="20" s="1"/>
  <c r="AO21" i="20" a="1"/>
  <c r="AO21" i="20" s="1"/>
  <c r="AO11" i="20" a="1"/>
  <c r="AO11" i="20" s="1"/>
  <c r="AO17" i="20" a="1"/>
  <c r="AO17" i="20" s="1"/>
  <c r="AO22" i="20" a="1"/>
  <c r="AO22" i="20" s="1"/>
  <c r="AO19" i="20" a="1"/>
  <c r="AO19" i="20" s="1"/>
  <c r="AO18" i="20" a="1"/>
  <c r="AO18" i="20" s="1"/>
  <c r="BT441" i="9"/>
  <c r="BT80" i="9"/>
  <c r="AL82" i="35"/>
  <c r="AL67" i="33"/>
  <c r="AL69" i="33" s="1"/>
  <c r="AL31" i="32"/>
  <c r="AL27" i="32"/>
  <c r="AL208" i="30"/>
  <c r="AL92" i="33" s="1"/>
  <c r="BT1000" i="9"/>
  <c r="BT509" i="9"/>
  <c r="BT63" i="9"/>
  <c r="BU57" i="9"/>
  <c r="BT1005" i="9"/>
  <c r="BT514" i="9"/>
  <c r="BT158" i="9"/>
  <c r="BU152" i="9"/>
  <c r="AJ19" i="32"/>
  <c r="AJ85" i="30"/>
  <c r="AJ88" i="30" s="1"/>
  <c r="AJ14" i="6"/>
  <c r="BT453" i="9"/>
  <c r="BT308" i="9"/>
  <c r="BT537" i="9"/>
  <c r="BT164" i="9"/>
  <c r="BT446" i="9"/>
  <c r="BT175" i="9"/>
  <c r="AP141" i="3"/>
  <c r="AP138" i="3"/>
  <c r="AP140" i="3"/>
  <c r="BT455" i="9"/>
  <c r="BT346" i="9"/>
  <c r="AN27" i="30"/>
  <c r="AN30" i="30" s="1"/>
  <c r="AN139" i="20"/>
  <c r="AN141" i="20" s="1"/>
  <c r="AN146" i="20" s="1"/>
  <c r="AN760" i="9"/>
  <c r="AN742" i="9"/>
  <c r="AO102" i="3"/>
  <c r="AO79" i="3"/>
  <c r="AO729" i="9"/>
  <c r="AO240" i="3"/>
  <c r="C127" i="23"/>
  <c r="C126" i="23" a="1"/>
  <c r="AO787" i="9" l="1"/>
  <c r="AO793" i="9"/>
  <c r="AO816" i="9" s="1"/>
  <c r="AO796" i="9"/>
  <c r="AO819" i="9" s="1"/>
  <c r="AO789" i="9"/>
  <c r="AO812" i="9" s="1"/>
  <c r="AO804" i="9"/>
  <c r="AO802" i="9"/>
  <c r="AO825" i="9" s="1"/>
  <c r="AN80" i="33"/>
  <c r="AO797" i="9"/>
  <c r="AO820" i="9" s="1"/>
  <c r="AO801" i="9"/>
  <c r="AO824" i="9" s="1"/>
  <c r="AO788" i="9"/>
  <c r="AO811" i="9" s="1"/>
  <c r="AO805" i="9"/>
  <c r="AO828" i="9" s="1"/>
  <c r="AO792" i="9"/>
  <c r="AO815" i="9" s="1"/>
  <c r="AO25" i="30"/>
  <c r="AO799" i="9"/>
  <c r="AO822" i="9" s="1"/>
  <c r="AO800" i="9"/>
  <c r="AO823" i="9" s="1"/>
  <c r="AO13" i="20"/>
  <c r="AO795" i="9"/>
  <c r="AO818" i="9" s="1"/>
  <c r="AO791" i="9"/>
  <c r="AO814" i="9" s="1"/>
  <c r="AO806" i="9"/>
  <c r="AO829" i="9" s="1"/>
  <c r="AO23" i="20"/>
  <c r="AO38" i="20"/>
  <c r="AO15" i="30" s="1"/>
  <c r="AO46" i="20"/>
  <c r="AO16" i="30" s="1"/>
  <c r="AO60" i="20"/>
  <c r="AO18" i="30" s="1"/>
  <c r="AO803" i="9"/>
  <c r="AO826" i="9" s="1"/>
  <c r="AO53" i="20"/>
  <c r="AO17" i="30" s="1"/>
  <c r="AO790" i="9"/>
  <c r="AO813" i="9" s="1"/>
  <c r="AP265" i="3"/>
  <c r="AP288" i="3" s="1"/>
  <c r="AP219" i="3"/>
  <c r="AP222" i="3"/>
  <c r="AP268" i="3"/>
  <c r="AP291" i="3" s="1"/>
  <c r="AP224" i="3"/>
  <c r="AP270" i="3"/>
  <c r="AP293" i="3" s="1"/>
  <c r="AP223" i="3"/>
  <c r="AP269" i="3"/>
  <c r="AP292" i="3" s="1"/>
  <c r="AP257" i="3"/>
  <c r="AP280" i="3" s="1"/>
  <c r="AP211" i="3"/>
  <c r="AP208" i="3"/>
  <c r="AP254" i="3"/>
  <c r="AP277" i="3" s="1"/>
  <c r="AP267" i="3"/>
  <c r="AP290" i="3" s="1"/>
  <c r="AP221" i="3"/>
  <c r="AP215" i="3"/>
  <c r="AP261" i="3"/>
  <c r="AP284" i="3" s="1"/>
  <c r="AP258" i="3"/>
  <c r="AP281" i="3" s="1"/>
  <c r="AP212" i="3"/>
  <c r="AN174" i="20"/>
  <c r="AN181" i="20" s="1"/>
  <c r="AN62" i="30" s="1"/>
  <c r="AN156" i="20"/>
  <c r="AN166" i="20" s="1"/>
  <c r="AP264" i="3"/>
  <c r="AP287" i="3" s="1"/>
  <c r="AP218" i="3"/>
  <c r="AP213" i="3"/>
  <c r="AP259" i="3"/>
  <c r="AP282" i="3" s="1"/>
  <c r="BU445" i="9"/>
  <c r="BU156" i="9"/>
  <c r="AP164" i="3"/>
  <c r="AP187" i="3" s="1"/>
  <c r="BU440" i="9"/>
  <c r="BU61" i="9"/>
  <c r="AO23" i="30"/>
  <c r="AO179" i="20"/>
  <c r="AO96" i="20"/>
  <c r="AO85" i="20"/>
  <c r="AO20" i="30" s="1"/>
  <c r="BT1001" i="9"/>
  <c r="BT510" i="9"/>
  <c r="BU76" i="9"/>
  <c r="BT82" i="9"/>
  <c r="AP5" i="11"/>
  <c r="AP58" i="3"/>
  <c r="AP50" i="3"/>
  <c r="AP62" i="3"/>
  <c r="AP49" i="3"/>
  <c r="AP52" i="3"/>
  <c r="AP57" i="3"/>
  <c r="AP103" i="3" s="1"/>
  <c r="AP64" i="3"/>
  <c r="AP110" i="3" s="1"/>
  <c r="AP59" i="3"/>
  <c r="AP105" i="3" s="1"/>
  <c r="AP60" i="3"/>
  <c r="AP61" i="3"/>
  <c r="AP107" i="3" s="1"/>
  <c r="AP46" i="3"/>
  <c r="AP63" i="3"/>
  <c r="AP47" i="3"/>
  <c r="AP53" i="3"/>
  <c r="AP51" i="3"/>
  <c r="AP48" i="3"/>
  <c r="AP56" i="3"/>
  <c r="AP102" i="3" s="1"/>
  <c r="AP55" i="3"/>
  <c r="AP101" i="3" s="1"/>
  <c r="AP54" i="3"/>
  <c r="AP45" i="3"/>
  <c r="AP91" i="3" s="1"/>
  <c r="AP5" i="35"/>
  <c r="AP5" i="33"/>
  <c r="AQ5" i="12"/>
  <c r="AP5" i="32"/>
  <c r="AP5" i="30"/>
  <c r="AP5" i="38"/>
  <c r="AP5" i="6"/>
  <c r="AP5" i="9"/>
  <c r="AP5" i="26"/>
  <c r="AP5" i="16"/>
  <c r="AP5" i="22"/>
  <c r="AP5" i="20"/>
  <c r="AP5" i="1"/>
  <c r="AP5" i="28"/>
  <c r="AP118" i="3"/>
  <c r="AP122" i="3"/>
  <c r="AP133" i="3"/>
  <c r="AP132" i="3"/>
  <c r="AP129" i="3"/>
  <c r="AP124" i="3"/>
  <c r="AP127" i="3"/>
  <c r="AP119" i="3"/>
  <c r="AP114" i="3"/>
  <c r="AP115" i="3"/>
  <c r="AP128" i="3"/>
  <c r="AP125" i="3"/>
  <c r="AP123" i="3"/>
  <c r="AP131" i="3"/>
  <c r="AP116" i="3"/>
  <c r="AP130" i="3"/>
  <c r="AP121" i="3"/>
  <c r="AP117" i="3"/>
  <c r="AP126" i="3"/>
  <c r="AP120" i="3"/>
  <c r="AP163" i="3"/>
  <c r="AP186" i="3" s="1"/>
  <c r="BT1013" i="9"/>
  <c r="BT522" i="9"/>
  <c r="BU304" i="9"/>
  <c r="BT310" i="9"/>
  <c r="AO74" i="20"/>
  <c r="AO19" i="30" s="1"/>
  <c r="AP171" i="3"/>
  <c r="AP194" i="3" s="1"/>
  <c r="AP225" i="3"/>
  <c r="AP271" i="3"/>
  <c r="AP294" i="3" s="1"/>
  <c r="AM54" i="33"/>
  <c r="AM148" i="30"/>
  <c r="AM180" i="30" s="1"/>
  <c r="AM56" i="30"/>
  <c r="AM58" i="30" s="1"/>
  <c r="AO736" i="9"/>
  <c r="AO247" i="3"/>
  <c r="AN14" i="32"/>
  <c r="AN32" i="30"/>
  <c r="AN36" i="30" s="1"/>
  <c r="AO810" i="9"/>
  <c r="AO827" i="9"/>
  <c r="AO817" i="9"/>
  <c r="AO821" i="9"/>
  <c r="BT608" i="9"/>
  <c r="BT890" i="9" s="1"/>
  <c r="BU199" i="9"/>
  <c r="BT613" i="9"/>
  <c r="BT895" i="9" s="1"/>
  <c r="BU294" i="9"/>
  <c r="BV459" i="9"/>
  <c r="BV422" i="9"/>
  <c r="AO734" i="9"/>
  <c r="AO245" i="3"/>
  <c r="AO726" i="9"/>
  <c r="AO237" i="3"/>
  <c r="AO728" i="9"/>
  <c r="AO239" i="3"/>
  <c r="AO719" i="9"/>
  <c r="AO230" i="3"/>
  <c r="BU609" i="9"/>
  <c r="BU891" i="9" s="1"/>
  <c r="BV218" i="9"/>
  <c r="AP168" i="3"/>
  <c r="AP191" i="3" s="1"/>
  <c r="BT1007" i="9"/>
  <c r="BT516" i="9"/>
  <c r="BU190" i="9"/>
  <c r="BT196" i="9"/>
  <c r="BU535" i="9"/>
  <c r="BU126" i="9"/>
  <c r="BU548" i="9"/>
  <c r="BU373" i="9"/>
  <c r="AK19" i="32"/>
  <c r="AK85" i="30"/>
  <c r="AK88" i="30" s="1"/>
  <c r="AK14" i="6"/>
  <c r="BU538" i="9"/>
  <c r="BU183" i="9"/>
  <c r="AO727" i="9"/>
  <c r="AO238" i="3"/>
  <c r="AO721" i="9"/>
  <c r="AO232" i="3"/>
  <c r="AO90" i="20"/>
  <c r="AO21" i="30" s="1"/>
  <c r="AP3" i="11"/>
  <c r="AP14" i="3"/>
  <c r="AP3" i="35"/>
  <c r="AP3" i="33"/>
  <c r="AQ3" i="12"/>
  <c r="AP3" i="32"/>
  <c r="AP3" i="30"/>
  <c r="AP3" i="38"/>
  <c r="AP3" i="6"/>
  <c r="AP3" i="9"/>
  <c r="AP3" i="26"/>
  <c r="AP3" i="16"/>
  <c r="AP3" i="22"/>
  <c r="AP3" i="20"/>
  <c r="AP3" i="1"/>
  <c r="AP3" i="28"/>
  <c r="AP37" i="3"/>
  <c r="AP170" i="3"/>
  <c r="AP193" i="3" s="1"/>
  <c r="BU403" i="9"/>
  <c r="BU458" i="9"/>
  <c r="AO723" i="9"/>
  <c r="AO234" i="3"/>
  <c r="BT619" i="9"/>
  <c r="BT901" i="9" s="1"/>
  <c r="BU408" i="9"/>
  <c r="AP78" i="3"/>
  <c r="BU443" i="9"/>
  <c r="BU118" i="9"/>
  <c r="BU457" i="9"/>
  <c r="BU384" i="9"/>
  <c r="BU289" i="9"/>
  <c r="BU452" i="9"/>
  <c r="AO737" i="9"/>
  <c r="AO248" i="3"/>
  <c r="BT603" i="9"/>
  <c r="BT885" i="9" s="1"/>
  <c r="BU104" i="9"/>
  <c r="BT616" i="9"/>
  <c r="BT898" i="9" s="1"/>
  <c r="BU351" i="9"/>
  <c r="BU545" i="9"/>
  <c r="BU316" i="9"/>
  <c r="AP160" i="3"/>
  <c r="AP183" i="3" s="1"/>
  <c r="AL212" i="30"/>
  <c r="AJ23" i="32"/>
  <c r="AJ112" i="30"/>
  <c r="AJ114" i="30"/>
  <c r="BU444" i="9"/>
  <c r="BU137" i="9"/>
  <c r="AO748" i="9"/>
  <c r="AO732" i="9"/>
  <c r="AO243" i="3"/>
  <c r="BT601" i="9"/>
  <c r="BT883" i="9" s="1"/>
  <c r="BU66" i="9"/>
  <c r="BU327" i="9"/>
  <c r="BU454" i="9"/>
  <c r="AP174" i="3"/>
  <c r="AP197" i="3" s="1"/>
  <c r="AO720" i="9"/>
  <c r="AO231" i="3"/>
  <c r="AO735" i="9"/>
  <c r="AO246" i="3"/>
  <c r="AO194" i="30"/>
  <c r="AO179" i="30"/>
  <c r="AO65" i="33" s="1"/>
  <c r="AO24" i="32"/>
  <c r="AO25" i="32" s="1"/>
  <c r="AO24" i="35" s="1"/>
  <c r="AO44" i="30"/>
  <c r="AO45" i="30" s="1"/>
  <c r="AO154" i="20"/>
  <c r="AQ10" i="3"/>
  <c r="AQ146" i="3" s="1"/>
  <c r="BU448" i="9"/>
  <c r="BU213" i="9"/>
  <c r="BU551" i="9"/>
  <c r="BU430" i="9"/>
  <c r="BU536" i="9"/>
  <c r="BU145" i="9"/>
  <c r="BU549" i="9"/>
  <c r="BU392" i="9"/>
  <c r="BU456" i="9"/>
  <c r="BU365" i="9"/>
  <c r="BU451" i="9"/>
  <c r="BU270" i="9"/>
  <c r="AO718" i="9"/>
  <c r="AO229" i="3"/>
  <c r="AO724" i="9"/>
  <c r="AO235" i="3"/>
  <c r="AP4" i="11"/>
  <c r="AP30" i="3"/>
  <c r="AP16" i="3"/>
  <c r="AP22" i="3"/>
  <c r="AP4" i="35"/>
  <c r="AP4" i="33"/>
  <c r="AQ4" i="12"/>
  <c r="AP4" i="32"/>
  <c r="AP4" i="30"/>
  <c r="AP4" i="38"/>
  <c r="AP4" i="6"/>
  <c r="AP4" i="9"/>
  <c r="AP4" i="26"/>
  <c r="AP4" i="16"/>
  <c r="AP4" i="22"/>
  <c r="AP4" i="20"/>
  <c r="AP4" i="1"/>
  <c r="AP4" i="28"/>
  <c r="AP20" i="3"/>
  <c r="BT1015" i="9"/>
  <c r="BT524" i="9"/>
  <c r="BU342" i="9"/>
  <c r="BT348" i="9"/>
  <c r="BT606" i="9"/>
  <c r="BT888" i="9" s="1"/>
  <c r="BU161" i="9"/>
  <c r="AO29" i="20"/>
  <c r="AO14" i="30" s="1"/>
  <c r="AO52" i="30"/>
  <c r="AO54" i="30" s="1"/>
  <c r="AO41" i="6"/>
  <c r="AO44" i="6" s="1"/>
  <c r="AO164" i="20"/>
  <c r="AO722" i="9"/>
  <c r="AO233" i="3"/>
  <c r="AM259" i="6"/>
  <c r="BU541" i="9"/>
  <c r="BU240" i="9"/>
  <c r="BU449" i="9"/>
  <c r="BU232" i="9"/>
  <c r="AO733" i="9"/>
  <c r="AO244" i="3"/>
  <c r="AP161" i="3"/>
  <c r="AP184" i="3" s="1"/>
  <c r="AO752" i="9"/>
  <c r="AO114" i="20"/>
  <c r="BT1006" i="9"/>
  <c r="BT515" i="9"/>
  <c r="BU171" i="9"/>
  <c r="BT177" i="9"/>
  <c r="AL94" i="33"/>
  <c r="AO131" i="20"/>
  <c r="AO132" i="20" s="1"/>
  <c r="AO28" i="30" s="1"/>
  <c r="AO26" i="32" s="1"/>
  <c r="AO25" i="35" s="1"/>
  <c r="BT602" i="9"/>
  <c r="BT884" i="9" s="1"/>
  <c r="BU85" i="9"/>
  <c r="BT611" i="9"/>
  <c r="BT893" i="9" s="1"/>
  <c r="BU256" i="9"/>
  <c r="BT615" i="9"/>
  <c r="BT897" i="9" s="1"/>
  <c r="BU332" i="9"/>
  <c r="AO731" i="9"/>
  <c r="AO242" i="3"/>
  <c r="BT1002" i="9"/>
  <c r="BT511" i="9"/>
  <c r="BU95" i="9"/>
  <c r="BT101" i="9"/>
  <c r="BU450" i="9"/>
  <c r="BU251" i="9"/>
  <c r="BU543" i="9"/>
  <c r="BU278" i="9"/>
  <c r="AO730" i="9"/>
  <c r="AO241" i="3"/>
  <c r="C126" i="23"/>
  <c r="C125" i="23" a="1"/>
  <c r="AQ144" i="3" l="1"/>
  <c r="AQ148" i="3"/>
  <c r="AQ155" i="3"/>
  <c r="AP79" i="3"/>
  <c r="AP82" i="3"/>
  <c r="AO13" i="30"/>
  <c r="AQ153" i="3"/>
  <c r="AQ176" i="3" s="1"/>
  <c r="AQ199" i="3" s="1"/>
  <c r="AQ145" i="3"/>
  <c r="AQ168" i="3" s="1"/>
  <c r="AQ191" i="3" s="1"/>
  <c r="AP87" i="3"/>
  <c r="AQ150" i="3"/>
  <c r="AO759" i="9"/>
  <c r="AQ143" i="3"/>
  <c r="AQ166" i="3" s="1"/>
  <c r="AQ189" i="3" s="1"/>
  <c r="AP80" i="3"/>
  <c r="AO749" i="9"/>
  <c r="AO102" i="20"/>
  <c r="AO741" i="9"/>
  <c r="AP84" i="3"/>
  <c r="AO755" i="9"/>
  <c r="AP68" i="3"/>
  <c r="AO753" i="9"/>
  <c r="AO751" i="9"/>
  <c r="AP255" i="3"/>
  <c r="AP278" i="3" s="1"/>
  <c r="AP209" i="3"/>
  <c r="AP206" i="3"/>
  <c r="AP252" i="3"/>
  <c r="AP275" i="3" s="1"/>
  <c r="AQ169" i="3"/>
  <c r="AQ192" i="3" s="1"/>
  <c r="BU537" i="9"/>
  <c r="BU164" i="9"/>
  <c r="AQ156" i="3"/>
  <c r="AQ149" i="3"/>
  <c r="BU607" i="9"/>
  <c r="BU889" i="9" s="1"/>
  <c r="BV180" i="9"/>
  <c r="AN33" i="32"/>
  <c r="AN28" i="32"/>
  <c r="AP737" i="9"/>
  <c r="AP248" i="3"/>
  <c r="AP148" i="26"/>
  <c r="AP146" i="26"/>
  <c r="AP151" i="26"/>
  <c r="AP87" i="26"/>
  <c r="AP94" i="26"/>
  <c r="AP182" i="26"/>
  <c r="AP141" i="26"/>
  <c r="AP115" i="26"/>
  <c r="AP60" i="26"/>
  <c r="AP204" i="26"/>
  <c r="AP206" i="26"/>
  <c r="AP205" i="26"/>
  <c r="AP119" i="26"/>
  <c r="AP149" i="26"/>
  <c r="AP73" i="26"/>
  <c r="AP74" i="26"/>
  <c r="AP139" i="26"/>
  <c r="AP140" i="26"/>
  <c r="AP86" i="26"/>
  <c r="AP61" i="26"/>
  <c r="AP209" i="26"/>
  <c r="AP199" i="26"/>
  <c r="AP197" i="26"/>
  <c r="AP111" i="26"/>
  <c r="AP123" i="26"/>
  <c r="AP72" i="26"/>
  <c r="AP68" i="26"/>
  <c r="AP138" i="26"/>
  <c r="AP121" i="26"/>
  <c r="AP70" i="26"/>
  <c r="AP172" i="26"/>
  <c r="AP176" i="26"/>
  <c r="AP175" i="26"/>
  <c r="AP180" i="26"/>
  <c r="AP96" i="26"/>
  <c r="AP90" i="26"/>
  <c r="AP67" i="26"/>
  <c r="AP125" i="26"/>
  <c r="AP114" i="26"/>
  <c r="AP120" i="26"/>
  <c r="AP143" i="26"/>
  <c r="AP181" i="26"/>
  <c r="AP177" i="26"/>
  <c r="AP184" i="26"/>
  <c r="AP174" i="26"/>
  <c r="AP92" i="26"/>
  <c r="AP178" i="26"/>
  <c r="AP62" i="26"/>
  <c r="AP113" i="26"/>
  <c r="AP98" i="26"/>
  <c r="AP95" i="26"/>
  <c r="AP116" i="26"/>
  <c r="AP196" i="26"/>
  <c r="AP208" i="26"/>
  <c r="AP171" i="26"/>
  <c r="AP150" i="26"/>
  <c r="AP144" i="26"/>
  <c r="AP88" i="26"/>
  <c r="AP124" i="26"/>
  <c r="AP147" i="26"/>
  <c r="AP112" i="26"/>
  <c r="AP69" i="26"/>
  <c r="AP89" i="26"/>
  <c r="AP99" i="26"/>
  <c r="AP185" i="26"/>
  <c r="AP201" i="26"/>
  <c r="AP183" i="26"/>
  <c r="AP142" i="26"/>
  <c r="AP203" i="26"/>
  <c r="AP71" i="26"/>
  <c r="AP117" i="26"/>
  <c r="AP137" i="26"/>
  <c r="AP91" i="26"/>
  <c r="AP65" i="26"/>
  <c r="AP64" i="26"/>
  <c r="AP93" i="26"/>
  <c r="AP200" i="26"/>
  <c r="AP207" i="26"/>
  <c r="AP173" i="26"/>
  <c r="AP202" i="26"/>
  <c r="AP195" i="26"/>
  <c r="AP63" i="26"/>
  <c r="AP97" i="26"/>
  <c r="AP118" i="26"/>
  <c r="AP85" i="26"/>
  <c r="AP145" i="26"/>
  <c r="AP122" i="26"/>
  <c r="AP66" i="26"/>
  <c r="AP198" i="26"/>
  <c r="AP179" i="26"/>
  <c r="AP93" i="3"/>
  <c r="AP70" i="3"/>
  <c r="AP733" i="9"/>
  <c r="AP244" i="3"/>
  <c r="BU1010" i="9"/>
  <c r="BU519" i="9"/>
  <c r="BU253" i="9"/>
  <c r="BV247" i="9"/>
  <c r="BU533" i="9"/>
  <c r="BU88" i="9"/>
  <c r="AO745" i="9"/>
  <c r="AP713" i="9"/>
  <c r="AP782" i="9" s="1"/>
  <c r="AP805" i="9" s="1"/>
  <c r="AP705" i="9"/>
  <c r="AP774" i="9" s="1"/>
  <c r="AP697" i="9"/>
  <c r="AP766" i="9" s="1"/>
  <c r="AP789" i="9" s="1"/>
  <c r="AP714" i="9"/>
  <c r="AP783" i="9" s="1"/>
  <c r="AP806" i="9" s="1"/>
  <c r="AP711" i="9"/>
  <c r="AP780" i="9" s="1"/>
  <c r="AP803" i="9" s="1"/>
  <c r="AP706" i="9"/>
  <c r="AP775" i="9" s="1"/>
  <c r="AP701" i="9"/>
  <c r="AP770" i="9" s="1"/>
  <c r="AP793" i="9" s="1"/>
  <c r="AP696" i="9"/>
  <c r="AP765" i="9" s="1"/>
  <c r="AP710" i="9"/>
  <c r="AP779" i="9" s="1"/>
  <c r="AP802" i="9" s="1"/>
  <c r="AP703" i="9"/>
  <c r="AP772" i="9" s="1"/>
  <c r="AP698" i="9"/>
  <c r="AP767" i="9" s="1"/>
  <c r="AP708" i="9"/>
  <c r="AP777" i="9" s="1"/>
  <c r="AP800" i="9" s="1"/>
  <c r="AP702" i="9"/>
  <c r="AP771" i="9" s="1"/>
  <c r="AP794" i="9" s="1"/>
  <c r="AP695" i="9"/>
  <c r="AP764" i="9" s="1"/>
  <c r="AP707" i="9"/>
  <c r="AP776" i="9" s="1"/>
  <c r="AP799" i="9" s="1"/>
  <c r="AP700" i="9"/>
  <c r="AP769" i="9" s="1"/>
  <c r="AP792" i="9" s="1"/>
  <c r="AP709" i="9"/>
  <c r="AP778" i="9" s="1"/>
  <c r="AP704" i="9"/>
  <c r="AP773" i="9" s="1"/>
  <c r="AP796" i="9" s="1"/>
  <c r="AP712" i="9"/>
  <c r="AP781" i="9" s="1"/>
  <c r="AP804" i="9" s="1"/>
  <c r="AP699" i="9"/>
  <c r="AP768" i="9" s="1"/>
  <c r="AP26" i="3"/>
  <c r="AP28" i="3"/>
  <c r="AO756" i="9"/>
  <c r="BU612" i="9"/>
  <c r="BU894" i="9" s="1"/>
  <c r="BV275" i="9"/>
  <c r="BU542" i="9"/>
  <c r="BU259" i="9"/>
  <c r="AM136" i="30"/>
  <c r="AM137" i="30" s="1"/>
  <c r="AN256" i="6"/>
  <c r="AO747" i="9"/>
  <c r="BU618" i="9"/>
  <c r="BU900" i="9" s="1"/>
  <c r="BV389" i="9"/>
  <c r="AQ141" i="3"/>
  <c r="AQ137" i="3"/>
  <c r="BU354" i="9"/>
  <c r="BU547" i="9"/>
  <c r="BU550" i="9"/>
  <c r="BU411" i="9"/>
  <c r="AP216" i="3"/>
  <c r="AP262" i="3"/>
  <c r="AP285" i="3" s="1"/>
  <c r="BU539" i="9"/>
  <c r="BU202" i="9"/>
  <c r="BU453" i="9"/>
  <c r="BU308" i="9"/>
  <c r="AP434" i="9"/>
  <c r="AP377" i="9"/>
  <c r="AP225" i="9"/>
  <c r="AP358" i="9"/>
  <c r="AP425" i="9"/>
  <c r="AP415" i="9"/>
  <c r="AP339" i="9"/>
  <c r="AP301" i="9"/>
  <c r="AP130" i="9"/>
  <c r="AP244" i="9"/>
  <c r="AP206" i="9"/>
  <c r="AP111" i="9"/>
  <c r="AP282" i="9"/>
  <c r="AP187" i="9"/>
  <c r="AP396" i="9"/>
  <c r="AP263" i="9"/>
  <c r="AP168" i="9"/>
  <c r="AP320" i="9"/>
  <c r="AP92" i="9"/>
  <c r="AP149" i="9"/>
  <c r="AP73" i="9"/>
  <c r="AP109" i="3"/>
  <c r="AP86" i="3"/>
  <c r="AP736" i="9"/>
  <c r="AP247" i="3"/>
  <c r="AP253" i="3"/>
  <c r="AP276" i="3" s="1"/>
  <c r="AP207" i="3"/>
  <c r="AQ167" i="3"/>
  <c r="AQ190" i="3" s="1"/>
  <c r="AQ171" i="3"/>
  <c r="AQ194" i="3" s="1"/>
  <c r="AO77" i="33"/>
  <c r="AO195" i="30"/>
  <c r="AO78" i="33" s="1"/>
  <c r="AP220" i="3"/>
  <c r="AP266" i="3"/>
  <c r="AP289" i="3" s="1"/>
  <c r="BU1012" i="9"/>
  <c r="BU521" i="9"/>
  <c r="BU291" i="9"/>
  <c r="BV285" i="9"/>
  <c r="AP214" i="3"/>
  <c r="AP260" i="3"/>
  <c r="AP283" i="3" s="1"/>
  <c r="AP217" i="3"/>
  <c r="AP263" i="3"/>
  <c r="AP286" i="3" s="1"/>
  <c r="AP100" i="3"/>
  <c r="AP77" i="3"/>
  <c r="AP92" i="3"/>
  <c r="AP69" i="3"/>
  <c r="AP98" i="3"/>
  <c r="AP75" i="3"/>
  <c r="AP96" i="3"/>
  <c r="AP73" i="3"/>
  <c r="AP256" i="3"/>
  <c r="AP279" i="3" s="1"/>
  <c r="AP210" i="3"/>
  <c r="AN257" i="6"/>
  <c r="AN170" i="20"/>
  <c r="AN60" i="30" s="1"/>
  <c r="BU442" i="9"/>
  <c r="BU99" i="9"/>
  <c r="AO72" i="30"/>
  <c r="AO74" i="30" s="1"/>
  <c r="AP40" i="6"/>
  <c r="AO12" i="6"/>
  <c r="BU534" i="9"/>
  <c r="BU107" i="9"/>
  <c r="BU1017" i="9"/>
  <c r="BU526" i="9"/>
  <c r="BU386" i="9"/>
  <c r="BV380" i="9"/>
  <c r="AK23" i="32"/>
  <c r="AK112" i="30"/>
  <c r="AK114" i="30"/>
  <c r="BV540" i="9"/>
  <c r="BV221" i="9"/>
  <c r="BV609" i="9" s="1"/>
  <c r="BV891" i="9" s="1"/>
  <c r="AP95" i="3"/>
  <c r="AP72" i="3"/>
  <c r="AP104" i="3"/>
  <c r="AP81" i="3"/>
  <c r="BU1005" i="9"/>
  <c r="BU514" i="9"/>
  <c r="BV152" i="9"/>
  <c r="BU158" i="9"/>
  <c r="AP720" i="9"/>
  <c r="AP231" i="3"/>
  <c r="AQ173" i="3"/>
  <c r="AQ196" i="3" s="1"/>
  <c r="BU446" i="9"/>
  <c r="BU175" i="9"/>
  <c r="AP18" i="3"/>
  <c r="BU1011" i="9"/>
  <c r="BU520" i="9"/>
  <c r="BV266" i="9"/>
  <c r="BU272" i="9"/>
  <c r="AQ12" i="3"/>
  <c r="AQ3" i="3" s="1"/>
  <c r="AQ41" i="3"/>
  <c r="AQ5" i="3"/>
  <c r="AR8" i="3"/>
  <c r="AQ24" i="3"/>
  <c r="AQ4" i="3"/>
  <c r="AQ154" i="3"/>
  <c r="BU1004" i="9"/>
  <c r="BU513" i="9"/>
  <c r="BV133" i="9"/>
  <c r="BU139" i="9"/>
  <c r="AL96" i="33"/>
  <c r="AL101" i="33" s="1"/>
  <c r="AL104" i="33" s="1"/>
  <c r="AL214" i="30"/>
  <c r="AL217" i="30" s="1"/>
  <c r="AM211" i="30"/>
  <c r="AL83" i="6"/>
  <c r="AO757" i="9"/>
  <c r="AM82" i="35"/>
  <c r="AM67" i="33"/>
  <c r="AM69" i="33" s="1"/>
  <c r="AM31" i="32"/>
  <c r="AM27" i="32"/>
  <c r="AM208" i="30"/>
  <c r="AM92" i="33" s="1"/>
  <c r="AP106" i="3"/>
  <c r="AP83" i="3"/>
  <c r="AP108" i="3"/>
  <c r="AP85" i="3"/>
  <c r="AO22" i="30"/>
  <c r="AO175" i="20"/>
  <c r="AP724" i="9"/>
  <c r="AP235" i="3"/>
  <c r="AP723" i="9"/>
  <c r="AP234" i="3"/>
  <c r="AP734" i="9"/>
  <c r="AP245" i="3"/>
  <c r="BU1009" i="9"/>
  <c r="BU518" i="9"/>
  <c r="BV228" i="9"/>
  <c r="BU234" i="9"/>
  <c r="BU620" i="9"/>
  <c r="BU902" i="9" s="1"/>
  <c r="BV427" i="9"/>
  <c r="AQ151" i="3"/>
  <c r="AQ140" i="3"/>
  <c r="AQ142" i="3"/>
  <c r="AO758" i="9"/>
  <c r="BU1003" i="9"/>
  <c r="BU512" i="9"/>
  <c r="BU120" i="9"/>
  <c r="BV114" i="9"/>
  <c r="AO746" i="9"/>
  <c r="AO744" i="9"/>
  <c r="BU617" i="9"/>
  <c r="BU899" i="9" s="1"/>
  <c r="BV370" i="9"/>
  <c r="BV1019" i="9"/>
  <c r="BV528" i="9"/>
  <c r="BV424" i="9"/>
  <c r="AA425" i="9"/>
  <c r="AB425" i="9"/>
  <c r="AC425" i="9"/>
  <c r="AD425" i="9"/>
  <c r="AE425" i="9"/>
  <c r="AF425" i="9"/>
  <c r="AG425" i="9"/>
  <c r="AH425" i="9"/>
  <c r="AI425" i="9"/>
  <c r="AJ425" i="9"/>
  <c r="AO425" i="9"/>
  <c r="AN425" i="9"/>
  <c r="AL425" i="9"/>
  <c r="AM425" i="9"/>
  <c r="AK425" i="9"/>
  <c r="AP94" i="3"/>
  <c r="AP71" i="3"/>
  <c r="AP731" i="9"/>
  <c r="AP242" i="3"/>
  <c r="AQ178" i="3"/>
  <c r="AQ201" i="3" s="1"/>
  <c r="AQ139" i="3"/>
  <c r="AQ138" i="3"/>
  <c r="BU1014" i="9"/>
  <c r="BU523" i="9"/>
  <c r="BV323" i="9"/>
  <c r="BU329" i="9"/>
  <c r="AO760" i="9"/>
  <c r="BU447" i="9"/>
  <c r="BU194" i="9"/>
  <c r="AO742" i="9"/>
  <c r="AP97" i="3"/>
  <c r="AP74" i="3"/>
  <c r="AP725" i="9"/>
  <c r="AP236" i="3"/>
  <c r="BU605" i="9"/>
  <c r="BU887" i="9" s="1"/>
  <c r="BV142" i="9"/>
  <c r="AO754" i="9"/>
  <c r="BU546" i="9"/>
  <c r="BU335" i="9"/>
  <c r="AO27" i="30"/>
  <c r="AO30" i="30" s="1"/>
  <c r="AO139" i="20"/>
  <c r="BU610" i="9"/>
  <c r="BU892" i="9" s="1"/>
  <c r="BV237" i="9"/>
  <c r="BU455" i="9"/>
  <c r="BU346" i="9"/>
  <c r="AP180" i="20" a="1"/>
  <c r="AP180" i="20" s="1"/>
  <c r="AP162" i="20" a="1"/>
  <c r="AP162" i="20" s="1"/>
  <c r="AP153" i="20" a="1"/>
  <c r="AP153" i="20" s="1"/>
  <c r="AP150" i="20" a="1"/>
  <c r="AP150" i="20" s="1"/>
  <c r="AP41" i="30" s="1"/>
  <c r="AP130" i="20" a="1"/>
  <c r="AP130" i="20" s="1"/>
  <c r="AP127" i="20" a="1"/>
  <c r="AP127" i="20" s="1"/>
  <c r="AP135" i="20" a="1"/>
  <c r="AP135" i="20" s="1"/>
  <c r="AP137" i="20" s="1"/>
  <c r="AP29" i="30" s="1"/>
  <c r="AP128" i="20" a="1"/>
  <c r="AP128" i="20" s="1"/>
  <c r="AP129" i="20" a="1"/>
  <c r="AP129" i="20" s="1"/>
  <c r="AP125" i="20" a="1"/>
  <c r="AP125" i="20" s="1"/>
  <c r="AP120" i="20" a="1"/>
  <c r="AP120" i="20" s="1"/>
  <c r="AP117" i="20" a="1"/>
  <c r="AP117" i="20" s="1"/>
  <c r="AP121" i="20" a="1"/>
  <c r="AP121" i="20" s="1"/>
  <c r="AP122" i="20" a="1"/>
  <c r="AP122" i="20" s="1"/>
  <c r="AP118" i="20" a="1"/>
  <c r="AP118" i="20" s="1"/>
  <c r="AP124" i="20" a="1"/>
  <c r="AP124" i="20" s="1"/>
  <c r="AP123" i="20" a="1"/>
  <c r="AP123" i="20" s="1"/>
  <c r="AP119" i="20" a="1"/>
  <c r="AP119" i="20" s="1"/>
  <c r="AP106" i="20" a="1"/>
  <c r="AP106" i="20" s="1"/>
  <c r="AP107" i="20" a="1"/>
  <c r="AP107" i="20" s="1"/>
  <c r="AP110" i="20" a="1"/>
  <c r="AP110" i="20" s="1"/>
  <c r="AP111" i="20" a="1"/>
  <c r="AP111" i="20" s="1"/>
  <c r="AP112" i="20" a="1"/>
  <c r="AP112" i="20" s="1"/>
  <c r="AP108" i="20" a="1"/>
  <c r="AP108" i="20" s="1"/>
  <c r="AP105" i="20" a="1"/>
  <c r="AP105" i="20" s="1"/>
  <c r="AP109" i="20" a="1"/>
  <c r="AP109" i="20" s="1"/>
  <c r="AP82" i="20" a="1"/>
  <c r="AP82" i="20" s="1"/>
  <c r="AP78" i="20" a="1"/>
  <c r="AP78" i="20" s="1"/>
  <c r="AP73" i="20" a="1"/>
  <c r="AP73" i="20" s="1"/>
  <c r="AP69" i="20" a="1"/>
  <c r="AP69" i="20" s="1"/>
  <c r="AP65" i="20" a="1"/>
  <c r="AP65" i="20" s="1"/>
  <c r="AP54" i="20" a="1"/>
  <c r="AP54" i="20" s="1"/>
  <c r="AP52" i="20" a="1"/>
  <c r="AP52" i="20" s="1"/>
  <c r="AP59" i="20" a="1"/>
  <c r="AP59" i="20" s="1"/>
  <c r="AP93" i="20" a="1"/>
  <c r="AP93" i="20" s="1"/>
  <c r="AP88" i="20" a="1"/>
  <c r="AP88" i="20" s="1"/>
  <c r="AP83" i="20" a="1"/>
  <c r="AP83" i="20" s="1"/>
  <c r="AP79" i="20" a="1"/>
  <c r="AP79" i="20" s="1"/>
  <c r="AP70" i="20" a="1"/>
  <c r="AP70" i="20" s="1"/>
  <c r="AP66" i="20" a="1"/>
  <c r="AP66" i="20" s="1"/>
  <c r="AP47" i="20" a="1"/>
  <c r="AP47" i="20" s="1"/>
  <c r="AP45" i="20" a="1"/>
  <c r="AP45" i="20" s="1"/>
  <c r="AP39" i="20" a="1"/>
  <c r="AP39" i="20" s="1"/>
  <c r="AP37" i="20" a="1"/>
  <c r="AP37" i="20" s="1"/>
  <c r="AP33" i="20" a="1"/>
  <c r="AP33" i="20" s="1"/>
  <c r="AP21" i="20" a="1"/>
  <c r="AP21" i="20" s="1"/>
  <c r="AP17" i="20" a="1"/>
  <c r="AP17" i="20" s="1"/>
  <c r="AP42" i="20" a="1"/>
  <c r="AP42" i="20" s="1"/>
  <c r="AP61" i="20" a="1"/>
  <c r="AP61" i="20" s="1"/>
  <c r="AP57" i="20" a="1"/>
  <c r="AP57" i="20" s="1"/>
  <c r="AP94" i="20" a="1"/>
  <c r="AP94" i="20" s="1"/>
  <c r="AP89" i="20" a="1"/>
  <c r="AP89" i="20" s="1"/>
  <c r="AP84" i="20" a="1"/>
  <c r="AP84" i="20" s="1"/>
  <c r="AP80" i="20" a="1"/>
  <c r="AP80" i="20" s="1"/>
  <c r="AP71" i="20" a="1"/>
  <c r="AP71" i="20" s="1"/>
  <c r="AP67" i="20" a="1"/>
  <c r="AP67" i="20" s="1"/>
  <c r="AP50" i="20" a="1"/>
  <c r="AP50" i="20" s="1"/>
  <c r="AP98" i="20" a="1"/>
  <c r="AP98" i="20" s="1"/>
  <c r="AP100" i="20" s="1"/>
  <c r="AP95" i="20" a="1"/>
  <c r="AP95" i="20" s="1"/>
  <c r="AP81" i="20" a="1"/>
  <c r="AP81" i="20" s="1"/>
  <c r="AP77" i="20" a="1"/>
  <c r="AP77" i="20" s="1"/>
  <c r="AP72" i="20" a="1"/>
  <c r="AP72" i="20" s="1"/>
  <c r="AP68" i="20" a="1"/>
  <c r="AP68" i="20" s="1"/>
  <c r="AP64" i="20" a="1"/>
  <c r="AP64" i="20" s="1"/>
  <c r="AP58" i="20" a="1"/>
  <c r="AP58" i="20" s="1"/>
  <c r="AP51" i="20" a="1"/>
  <c r="AP51" i="20" s="1"/>
  <c r="AP24" i="20" a="1"/>
  <c r="AP24" i="20" s="1"/>
  <c r="AP34" i="20" a="1"/>
  <c r="AP34" i="20" s="1"/>
  <c r="AP35" i="20" a="1"/>
  <c r="AP35" i="20" s="1"/>
  <c r="AP27" i="20" a="1"/>
  <c r="AP27" i="20" s="1"/>
  <c r="AP20" i="20" a="1"/>
  <c r="AP20" i="20" s="1"/>
  <c r="AP43" i="20" a="1"/>
  <c r="AP43" i="20" s="1"/>
  <c r="AP11" i="20" a="1"/>
  <c r="AP11" i="20" s="1"/>
  <c r="AP22" i="20" a="1"/>
  <c r="AP22" i="20" s="1"/>
  <c r="AP44" i="20" a="1"/>
  <c r="AP44" i="20" s="1"/>
  <c r="AP36" i="20" a="1"/>
  <c r="AP36" i="20" s="1"/>
  <c r="AP28" i="20" a="1"/>
  <c r="AP28" i="20" s="1"/>
  <c r="AP18" i="20" a="1"/>
  <c r="AP18" i="20" s="1"/>
  <c r="AP14" i="20" a="1"/>
  <c r="AP14" i="20" s="1"/>
  <c r="AP30" i="20" a="1"/>
  <c r="AP30" i="20" s="1"/>
  <c r="AP19" i="20" a="1"/>
  <c r="AP19" i="20" s="1"/>
  <c r="AP12" i="20" a="1"/>
  <c r="AP12" i="20" s="1"/>
  <c r="BU1016" i="9"/>
  <c r="BU525" i="9"/>
  <c r="BU367" i="9"/>
  <c r="BV361" i="9"/>
  <c r="BU1008" i="9"/>
  <c r="BU517" i="9"/>
  <c r="BU215" i="9"/>
  <c r="BV209" i="9"/>
  <c r="AQ147" i="3"/>
  <c r="AQ152" i="3"/>
  <c r="AO743" i="9"/>
  <c r="BU532" i="9"/>
  <c r="BU69" i="9"/>
  <c r="BU614" i="9"/>
  <c r="BU896" i="9" s="1"/>
  <c r="BV313" i="9"/>
  <c r="BU1018" i="9"/>
  <c r="BU527" i="9"/>
  <c r="BV399" i="9"/>
  <c r="BU405" i="9"/>
  <c r="AO750" i="9"/>
  <c r="BU604" i="9"/>
  <c r="BU886" i="9" s="1"/>
  <c r="BV123" i="9"/>
  <c r="BU544" i="9"/>
  <c r="BU297" i="9"/>
  <c r="AN47" i="30"/>
  <c r="AN38" i="30"/>
  <c r="AP99" i="3"/>
  <c r="AP76" i="3"/>
  <c r="BU441" i="9"/>
  <c r="BU80" i="9"/>
  <c r="BU1000" i="9"/>
  <c r="BU509" i="9"/>
  <c r="BV57" i="9"/>
  <c r="BU63" i="9"/>
  <c r="AP730" i="9"/>
  <c r="AP241" i="3"/>
  <c r="AP727" i="9"/>
  <c r="AP238" i="3"/>
  <c r="AP735" i="9"/>
  <c r="AP246" i="3"/>
  <c r="C125" i="23"/>
  <c r="C124" i="23" a="1"/>
  <c r="AO24" i="30" l="1"/>
  <c r="AO80" i="33"/>
  <c r="AP790" i="9"/>
  <c r="AO141" i="20"/>
  <c r="AO146" i="20" s="1"/>
  <c r="AO174" i="20" s="1"/>
  <c r="AO181" i="20" s="1"/>
  <c r="AO62" i="30" s="1"/>
  <c r="AP795" i="9"/>
  <c r="AP818" i="9" s="1"/>
  <c r="AP787" i="9"/>
  <c r="AP810" i="9" s="1"/>
  <c r="AP798" i="9"/>
  <c r="AP821" i="9" s="1"/>
  <c r="AP60" i="20"/>
  <c r="AP18" i="30" s="1"/>
  <c r="AP758" i="9"/>
  <c r="AP801" i="9"/>
  <c r="AP824" i="9" s="1"/>
  <c r="AP797" i="9"/>
  <c r="AP820" i="9" s="1"/>
  <c r="AP754" i="9"/>
  <c r="AP788" i="9"/>
  <c r="AP811" i="9" s="1"/>
  <c r="AP756" i="9"/>
  <c r="AP29" i="20"/>
  <c r="AP14" i="30" s="1"/>
  <c r="AP746" i="9"/>
  <c r="AP24" i="32"/>
  <c r="AP25" i="32" s="1"/>
  <c r="AP24" i="35" s="1"/>
  <c r="AP747" i="9"/>
  <c r="AM94" i="33"/>
  <c r="AQ222" i="3"/>
  <c r="AQ268" i="3"/>
  <c r="AQ291" i="3" s="1"/>
  <c r="AQ215" i="3"/>
  <c r="AQ261" i="3"/>
  <c r="AQ284" i="3" s="1"/>
  <c r="AQ258" i="3"/>
  <c r="AQ281" i="3" s="1"/>
  <c r="AQ212" i="3"/>
  <c r="AQ263" i="3"/>
  <c r="AQ286" i="3" s="1"/>
  <c r="AQ217" i="3"/>
  <c r="AQ265" i="3"/>
  <c r="AQ288" i="3" s="1"/>
  <c r="AQ219" i="3"/>
  <c r="AQ224" i="3"/>
  <c r="AQ270" i="3"/>
  <c r="AQ293" i="3" s="1"/>
  <c r="AQ163" i="3"/>
  <c r="AQ186" i="3" s="1"/>
  <c r="AP728" i="9"/>
  <c r="AP239" i="3"/>
  <c r="BV535" i="9"/>
  <c r="BV126" i="9"/>
  <c r="BV604" i="9" s="1"/>
  <c r="BV886" i="9" s="1"/>
  <c r="BV403" i="9"/>
  <c r="BV458" i="9"/>
  <c r="AQ170" i="3"/>
  <c r="AQ193" i="3" s="1"/>
  <c r="AP96" i="20"/>
  <c r="BU613" i="9"/>
  <c r="BU895" i="9" s="1"/>
  <c r="BV294" i="9"/>
  <c r="BV448" i="9"/>
  <c r="BV213" i="9"/>
  <c r="BV456" i="9"/>
  <c r="BV365" i="9"/>
  <c r="BV541" i="9"/>
  <c r="BV240" i="9"/>
  <c r="BV610" i="9" s="1"/>
  <c r="BV892" i="9" s="1"/>
  <c r="BV536" i="9"/>
  <c r="BV145" i="9"/>
  <c r="BV605" i="9" s="1"/>
  <c r="BV887" i="9" s="1"/>
  <c r="AP85" i="20"/>
  <c r="AP20" i="30" s="1"/>
  <c r="AP38" i="20"/>
  <c r="AP15" i="30" s="1"/>
  <c r="BV548" i="9"/>
  <c r="BV373" i="9"/>
  <c r="BV617" i="9" s="1"/>
  <c r="BV899" i="9" s="1"/>
  <c r="AQ174" i="3"/>
  <c r="AQ197" i="3" s="1"/>
  <c r="BV449" i="9"/>
  <c r="BV232" i="9"/>
  <c r="AL19" i="32"/>
  <c r="AL85" i="30"/>
  <c r="AL88" i="30" s="1"/>
  <c r="AL14" i="6"/>
  <c r="AR10" i="3"/>
  <c r="AR142" i="3" s="1"/>
  <c r="BU1006" i="9"/>
  <c r="BU515" i="9"/>
  <c r="BV171" i="9"/>
  <c r="BU177" i="9"/>
  <c r="BU1002" i="9"/>
  <c r="BU511" i="9"/>
  <c r="BU101" i="9"/>
  <c r="BV95" i="9"/>
  <c r="AP732" i="9"/>
  <c r="AP243" i="3"/>
  <c r="AQ259" i="3"/>
  <c r="AQ282" i="3" s="1"/>
  <c r="AQ213" i="3"/>
  <c r="BU619" i="9"/>
  <c r="BU901" i="9" s="1"/>
  <c r="BV408" i="9"/>
  <c r="AP90" i="20"/>
  <c r="AP21" i="30" s="1"/>
  <c r="AP194" i="30"/>
  <c r="AP179" i="30"/>
  <c r="AP65" i="33" s="1"/>
  <c r="AO14" i="32"/>
  <c r="AO32" i="30"/>
  <c r="AO36" i="30" s="1"/>
  <c r="BV454" i="9"/>
  <c r="BV327" i="9"/>
  <c r="BV443" i="9"/>
  <c r="BV118" i="9"/>
  <c r="BV551" i="9"/>
  <c r="BV430" i="9"/>
  <c r="BV620" i="9" s="1"/>
  <c r="BV902" i="9" s="1"/>
  <c r="AM212" i="30"/>
  <c r="BV444" i="9"/>
  <c r="BV137" i="9"/>
  <c r="AQ5" i="11"/>
  <c r="AQ61" i="3"/>
  <c r="AQ53" i="3"/>
  <c r="AQ99" i="3" s="1"/>
  <c r="AQ45" i="3"/>
  <c r="AQ57" i="3"/>
  <c r="AQ52" i="3"/>
  <c r="AQ98" i="3" s="1"/>
  <c r="AQ60" i="3"/>
  <c r="AQ106" i="3" s="1"/>
  <c r="AQ54" i="3"/>
  <c r="AQ100" i="3" s="1"/>
  <c r="AQ46" i="3"/>
  <c r="AQ92" i="3" s="1"/>
  <c r="AQ64" i="3"/>
  <c r="AQ63" i="3"/>
  <c r="AQ109" i="3" s="1"/>
  <c r="AQ62" i="3"/>
  <c r="AQ108" i="3" s="1"/>
  <c r="AQ47" i="3"/>
  <c r="AQ93" i="3" s="1"/>
  <c r="AQ51" i="3"/>
  <c r="AQ97" i="3" s="1"/>
  <c r="AQ48" i="3"/>
  <c r="AQ94" i="3" s="1"/>
  <c r="AQ56" i="3"/>
  <c r="AQ55" i="3"/>
  <c r="AQ50" i="3"/>
  <c r="AQ96" i="3" s="1"/>
  <c r="AQ49" i="3"/>
  <c r="AQ95" i="3" s="1"/>
  <c r="AQ59" i="3"/>
  <c r="AQ58" i="3"/>
  <c r="AQ104" i="3" s="1"/>
  <c r="AQ5" i="35"/>
  <c r="AQ5" i="33"/>
  <c r="AR5" i="12"/>
  <c r="AQ5" i="32"/>
  <c r="AQ5" i="30"/>
  <c r="AQ5" i="38"/>
  <c r="AQ5" i="6"/>
  <c r="AQ5" i="9"/>
  <c r="AQ5" i="26"/>
  <c r="AQ5" i="16"/>
  <c r="AQ5" i="22"/>
  <c r="AQ5" i="20"/>
  <c r="AQ5" i="1"/>
  <c r="AQ5" i="28"/>
  <c r="AQ121" i="3"/>
  <c r="AQ115" i="3"/>
  <c r="AQ131" i="3"/>
  <c r="AQ114" i="3"/>
  <c r="AQ122" i="3"/>
  <c r="AQ127" i="3"/>
  <c r="AQ128" i="3"/>
  <c r="AQ130" i="3"/>
  <c r="AQ123" i="3"/>
  <c r="AQ117" i="3"/>
  <c r="AQ118" i="3"/>
  <c r="AQ116" i="3"/>
  <c r="AQ120" i="3"/>
  <c r="AQ133" i="3"/>
  <c r="AQ126" i="3"/>
  <c r="AQ132" i="3"/>
  <c r="AQ129" i="3"/>
  <c r="AQ119" i="3"/>
  <c r="AQ124" i="3"/>
  <c r="AQ125" i="3"/>
  <c r="AP719" i="9"/>
  <c r="AP230" i="3"/>
  <c r="BV538" i="9"/>
  <c r="BV183" i="9"/>
  <c r="BV607" i="9" s="1"/>
  <c r="BV889" i="9" s="1"/>
  <c r="BU603" i="9"/>
  <c r="BU885" i="9" s="1"/>
  <c r="BV104" i="9"/>
  <c r="AP729" i="9"/>
  <c r="AP240" i="3"/>
  <c r="BU1013" i="9"/>
  <c r="BU522" i="9"/>
  <c r="BU310" i="9"/>
  <c r="BV304" i="9"/>
  <c r="AN259" i="6"/>
  <c r="AQ260" i="3"/>
  <c r="AQ283" i="3" s="1"/>
  <c r="AQ214" i="3"/>
  <c r="AQ175" i="3"/>
  <c r="AQ198" i="3" s="1"/>
  <c r="AP750" i="9"/>
  <c r="BV440" i="9"/>
  <c r="BV61" i="9"/>
  <c r="AP748" i="9"/>
  <c r="BU1007" i="9"/>
  <c r="BU516" i="9"/>
  <c r="BU196" i="9"/>
  <c r="BV190" i="9"/>
  <c r="AQ3" i="11"/>
  <c r="AQ14" i="3"/>
  <c r="AQ3" i="35"/>
  <c r="AQ3" i="33"/>
  <c r="AR3" i="12"/>
  <c r="AQ3" i="32"/>
  <c r="AQ3" i="30"/>
  <c r="AQ3" i="38"/>
  <c r="AQ3" i="6"/>
  <c r="AQ3" i="9"/>
  <c r="AQ3" i="26"/>
  <c r="AQ3" i="16"/>
  <c r="AQ3" i="22"/>
  <c r="AQ3" i="20"/>
  <c r="AQ3" i="1"/>
  <c r="AQ3" i="28"/>
  <c r="AQ37" i="3"/>
  <c r="BV451" i="9"/>
  <c r="BV270" i="9"/>
  <c r="BV445" i="9"/>
  <c r="BV156" i="9"/>
  <c r="BV452" i="9"/>
  <c r="BV289" i="9"/>
  <c r="BU616" i="9"/>
  <c r="BU898" i="9" s="1"/>
  <c r="BV351" i="9"/>
  <c r="AP718" i="9"/>
  <c r="AP229" i="3"/>
  <c r="AQ161" i="3"/>
  <c r="AQ184" i="3" s="1"/>
  <c r="AP757" i="9"/>
  <c r="AP722" i="9"/>
  <c r="AP233" i="3"/>
  <c r="AP726" i="9"/>
  <c r="AP237" i="3"/>
  <c r="AP759" i="9"/>
  <c r="BU608" i="9"/>
  <c r="BU890" i="9" s="1"/>
  <c r="BV199" i="9"/>
  <c r="AQ160" i="3"/>
  <c r="AQ183" i="3" s="1"/>
  <c r="BU611" i="9"/>
  <c r="BU893" i="9" s="1"/>
  <c r="BV256" i="9"/>
  <c r="BV450" i="9"/>
  <c r="BV251" i="9"/>
  <c r="AQ172" i="3"/>
  <c r="AQ195" i="3" s="1"/>
  <c r="AP44" i="30"/>
  <c r="AP45" i="30" s="1"/>
  <c r="AP154" i="20"/>
  <c r="AP23" i="30"/>
  <c r="AP179" i="20"/>
  <c r="AP52" i="30"/>
  <c r="AP54" i="30" s="1"/>
  <c r="AP41" i="6"/>
  <c r="AP44" i="6" s="1"/>
  <c r="AP164" i="20"/>
  <c r="BU615" i="9"/>
  <c r="BU897" i="9" s="1"/>
  <c r="BV332" i="9"/>
  <c r="BV545" i="9"/>
  <c r="BV316" i="9"/>
  <c r="BV614" i="9" s="1"/>
  <c r="BV896" i="9" s="1"/>
  <c r="AP13" i="20"/>
  <c r="AP53" i="20"/>
  <c r="AP17" i="30" s="1"/>
  <c r="AP114" i="20"/>
  <c r="AP753" i="9"/>
  <c r="AP74" i="20"/>
  <c r="AP19" i="30" s="1"/>
  <c r="AP46" i="20"/>
  <c r="AP16" i="30" s="1"/>
  <c r="AP131" i="20"/>
  <c r="AP132" i="20" s="1"/>
  <c r="AP28" i="30" s="1"/>
  <c r="AP26" i="32" s="1"/>
  <c r="AP25" i="35" s="1"/>
  <c r="BU1015" i="9"/>
  <c r="BU524" i="9"/>
  <c r="BU348" i="9"/>
  <c r="BV342" i="9"/>
  <c r="AQ162" i="3"/>
  <c r="AQ185" i="3" s="1"/>
  <c r="AQ177" i="3"/>
  <c r="AQ200" i="3" s="1"/>
  <c r="AP743" i="9"/>
  <c r="AQ86" i="3"/>
  <c r="AQ164" i="3"/>
  <c r="AQ187" i="3" s="1"/>
  <c r="AQ179" i="3"/>
  <c r="AQ202" i="3" s="1"/>
  <c r="AP721" i="9"/>
  <c r="AP232" i="3"/>
  <c r="BU1001" i="9"/>
  <c r="BU510" i="9"/>
  <c r="BU82" i="9"/>
  <c r="BV76" i="9"/>
  <c r="AN54" i="33"/>
  <c r="AN148" i="30"/>
  <c r="AN180" i="30" s="1"/>
  <c r="AN56" i="30"/>
  <c r="AN58" i="30" s="1"/>
  <c r="BU601" i="9"/>
  <c r="BU883" i="9" s="1"/>
  <c r="BV66" i="9"/>
  <c r="AP25" i="30"/>
  <c r="AP23" i="20"/>
  <c r="AQ165" i="3"/>
  <c r="AQ188" i="3" s="1"/>
  <c r="AQ4" i="11"/>
  <c r="AQ22" i="3"/>
  <c r="AQ16" i="3"/>
  <c r="AQ30" i="3"/>
  <c r="AQ4" i="35"/>
  <c r="AQ4" i="33"/>
  <c r="AR4" i="12"/>
  <c r="AQ4" i="32"/>
  <c r="AQ4" i="30"/>
  <c r="AQ4" i="38"/>
  <c r="AQ4" i="6"/>
  <c r="AQ4" i="9"/>
  <c r="AQ4" i="26"/>
  <c r="AQ4" i="16"/>
  <c r="AQ4" i="22"/>
  <c r="AQ4" i="20"/>
  <c r="AQ4" i="1"/>
  <c r="AQ4" i="28"/>
  <c r="AQ20" i="3"/>
  <c r="AP826" i="9"/>
  <c r="AP827" i="9"/>
  <c r="AP819" i="9"/>
  <c r="AP828" i="9"/>
  <c r="AP825" i="9"/>
  <c r="AP817" i="9"/>
  <c r="AP813" i="9"/>
  <c r="AP829" i="9"/>
  <c r="AP816" i="9"/>
  <c r="AP815" i="9"/>
  <c r="AP812" i="9"/>
  <c r="AP823" i="9"/>
  <c r="AP822" i="9"/>
  <c r="BV457" i="9"/>
  <c r="BV384" i="9"/>
  <c r="AQ73" i="3"/>
  <c r="AP791" i="9"/>
  <c r="AP814" i="9" s="1"/>
  <c r="BV549" i="9"/>
  <c r="BV392" i="9"/>
  <c r="BV618" i="9" s="1"/>
  <c r="BV900" i="9" s="1"/>
  <c r="BV543" i="9"/>
  <c r="BV278" i="9"/>
  <c r="BV612" i="9" s="1"/>
  <c r="BV894" i="9" s="1"/>
  <c r="BU602" i="9"/>
  <c r="BU884" i="9" s="1"/>
  <c r="BV85" i="9"/>
  <c r="AP760" i="9"/>
  <c r="BU606" i="9"/>
  <c r="BU888" i="9" s="1"/>
  <c r="BV161" i="9"/>
  <c r="C124" i="23"/>
  <c r="C123" i="23" a="1"/>
  <c r="AO156" i="20" l="1"/>
  <c r="AO166" i="20" s="1"/>
  <c r="AQ81" i="3"/>
  <c r="AR144" i="3"/>
  <c r="AR143" i="3"/>
  <c r="AR156" i="3"/>
  <c r="AR179" i="3" s="1"/>
  <c r="AR202" i="3" s="1"/>
  <c r="AQ85" i="3"/>
  <c r="AQ72" i="3"/>
  <c r="AR145" i="3"/>
  <c r="AR168" i="3" s="1"/>
  <c r="AR191" i="3" s="1"/>
  <c r="AR146" i="3"/>
  <c r="AR169" i="3" s="1"/>
  <c r="AR192" i="3" s="1"/>
  <c r="AQ83" i="3"/>
  <c r="AQ74" i="3"/>
  <c r="AQ70" i="3"/>
  <c r="AR137" i="3"/>
  <c r="AR160" i="3" s="1"/>
  <c r="AR183" i="3" s="1"/>
  <c r="AR141" i="3"/>
  <c r="AQ71" i="3"/>
  <c r="AR147" i="3"/>
  <c r="AR170" i="3" s="1"/>
  <c r="AR193" i="3" s="1"/>
  <c r="AR149" i="3"/>
  <c r="AR172" i="3" s="1"/>
  <c r="AR195" i="3" s="1"/>
  <c r="AQ77" i="3"/>
  <c r="AR152" i="3"/>
  <c r="AR150" i="3"/>
  <c r="AR173" i="3" s="1"/>
  <c r="AR196" i="3" s="1"/>
  <c r="AP742" i="9"/>
  <c r="AP751" i="9"/>
  <c r="AP749" i="9"/>
  <c r="AQ269" i="3"/>
  <c r="AQ292" i="3" s="1"/>
  <c r="AQ223" i="3"/>
  <c r="AR165" i="3"/>
  <c r="AR188" i="3" s="1"/>
  <c r="AQ209" i="3"/>
  <c r="AQ255" i="3"/>
  <c r="AQ278" i="3" s="1"/>
  <c r="AQ220" i="3"/>
  <c r="AQ266" i="3"/>
  <c r="AQ289" i="3" s="1"/>
  <c r="AQ262" i="3"/>
  <c r="AQ285" i="3" s="1"/>
  <c r="AQ216" i="3"/>
  <c r="AQ225" i="3"/>
  <c r="AQ271" i="3"/>
  <c r="AQ294" i="3" s="1"/>
  <c r="AQ218" i="3"/>
  <c r="AQ264" i="3"/>
  <c r="AQ287" i="3" s="1"/>
  <c r="AQ253" i="3"/>
  <c r="AQ276" i="3" s="1"/>
  <c r="AQ207" i="3"/>
  <c r="AQ252" i="3"/>
  <c r="AQ275" i="3" s="1"/>
  <c r="AQ206" i="3"/>
  <c r="AQ211" i="3"/>
  <c r="AQ257" i="3"/>
  <c r="AQ280" i="3" s="1"/>
  <c r="AQ210" i="3"/>
  <c r="AQ256" i="3"/>
  <c r="AQ279" i="3" s="1"/>
  <c r="BV1010" i="9"/>
  <c r="BV519" i="9"/>
  <c r="BV253" i="9"/>
  <c r="AA254" i="9"/>
  <c r="AB254" i="9"/>
  <c r="AC254" i="9"/>
  <c r="AD254" i="9"/>
  <c r="AE254" i="9"/>
  <c r="AF254" i="9"/>
  <c r="AG254" i="9"/>
  <c r="AH254" i="9"/>
  <c r="AI254" i="9"/>
  <c r="AJ254" i="9"/>
  <c r="AK254" i="9"/>
  <c r="AM254" i="9"/>
  <c r="AO254" i="9"/>
  <c r="AN254" i="9"/>
  <c r="AL254" i="9"/>
  <c r="AP254" i="9"/>
  <c r="AP741" i="9"/>
  <c r="BV447" i="9"/>
  <c r="BV194" i="9"/>
  <c r="BV453" i="9"/>
  <c r="BV308" i="9"/>
  <c r="AQ101" i="3"/>
  <c r="AQ78" i="3"/>
  <c r="AO47" i="30"/>
  <c r="AO38" i="30"/>
  <c r="BV446" i="9"/>
  <c r="BV175" i="9"/>
  <c r="AR153" i="3"/>
  <c r="AP22" i="30"/>
  <c r="AP175" i="20"/>
  <c r="AQ724" i="9"/>
  <c r="AQ235" i="3"/>
  <c r="AN82" i="35"/>
  <c r="AN67" i="33"/>
  <c r="AN69" i="33" s="1"/>
  <c r="AN31" i="32"/>
  <c r="AN27" i="32"/>
  <c r="AN208" i="30"/>
  <c r="AN92" i="33" s="1"/>
  <c r="AQ208" i="3"/>
  <c r="AQ254" i="3"/>
  <c r="AQ277" i="3" s="1"/>
  <c r="AP13" i="30"/>
  <c r="AP102" i="20"/>
  <c r="BV547" i="9"/>
  <c r="BV354" i="9"/>
  <c r="BV616" i="9" s="1"/>
  <c r="BV898" i="9" s="1"/>
  <c r="AQ221" i="3"/>
  <c r="AQ267" i="3"/>
  <c r="AQ290" i="3" s="1"/>
  <c r="AQ102" i="3"/>
  <c r="AQ79" i="3"/>
  <c r="AQ91" i="3"/>
  <c r="AQ68" i="3"/>
  <c r="AO33" i="32"/>
  <c r="AO28" i="32"/>
  <c r="AL23" i="32"/>
  <c r="AL112" i="30"/>
  <c r="AL114" i="30"/>
  <c r="AP72" i="30"/>
  <c r="AP74" i="30" s="1"/>
  <c r="AQ40" i="6"/>
  <c r="AP12" i="6"/>
  <c r="BV542" i="9"/>
  <c r="BV259" i="9"/>
  <c r="BV611" i="9" s="1"/>
  <c r="BV893" i="9" s="1"/>
  <c r="AQ726" i="9"/>
  <c r="AQ237" i="3"/>
  <c r="BV1003" i="9"/>
  <c r="BV512" i="9"/>
  <c r="BV120" i="9"/>
  <c r="AA121" i="9"/>
  <c r="AB121" i="9"/>
  <c r="AC121" i="9"/>
  <c r="AD121" i="9"/>
  <c r="AE121" i="9"/>
  <c r="AF121" i="9"/>
  <c r="AG121" i="9"/>
  <c r="AH121" i="9"/>
  <c r="AI121" i="9"/>
  <c r="AJ121" i="9"/>
  <c r="AK121" i="9"/>
  <c r="AO121" i="9"/>
  <c r="AN121" i="9"/>
  <c r="AP121" i="9"/>
  <c r="AL121" i="9"/>
  <c r="AM121" i="9"/>
  <c r="AP755" i="9"/>
  <c r="BV1016" i="9"/>
  <c r="BV525" i="9"/>
  <c r="BV367" i="9"/>
  <c r="AA368" i="9"/>
  <c r="AB368" i="9"/>
  <c r="AC368" i="9"/>
  <c r="AD368" i="9"/>
  <c r="AE368" i="9"/>
  <c r="AF368" i="9"/>
  <c r="AG368" i="9"/>
  <c r="AH368" i="9"/>
  <c r="AI368" i="9"/>
  <c r="AJ368" i="9"/>
  <c r="AK368" i="9"/>
  <c r="AO368" i="9"/>
  <c r="AM368" i="9"/>
  <c r="AP368" i="9"/>
  <c r="AL368" i="9"/>
  <c r="AN368" i="9"/>
  <c r="BV1017" i="9"/>
  <c r="BV526" i="9"/>
  <c r="BV386" i="9"/>
  <c r="AA387" i="9"/>
  <c r="AB387" i="9"/>
  <c r="AC387" i="9"/>
  <c r="AD387" i="9"/>
  <c r="AE387" i="9"/>
  <c r="AF387" i="9"/>
  <c r="AG387" i="9"/>
  <c r="AH387" i="9"/>
  <c r="AI387" i="9"/>
  <c r="AJ387" i="9"/>
  <c r="AK387" i="9"/>
  <c r="AM387" i="9"/>
  <c r="AO387" i="9"/>
  <c r="AN387" i="9"/>
  <c r="AL387" i="9"/>
  <c r="AP387" i="9"/>
  <c r="AQ710" i="9"/>
  <c r="AQ779" i="9" s="1"/>
  <c r="AQ702" i="9"/>
  <c r="AQ771" i="9" s="1"/>
  <c r="AQ794" i="9" s="1"/>
  <c r="AQ703" i="9"/>
  <c r="AQ772" i="9" s="1"/>
  <c r="AQ795" i="9" s="1"/>
  <c r="AQ698" i="9"/>
  <c r="AQ767" i="9" s="1"/>
  <c r="AQ708" i="9"/>
  <c r="AQ777" i="9" s="1"/>
  <c r="AQ800" i="9" s="1"/>
  <c r="AQ705" i="9"/>
  <c r="AQ774" i="9" s="1"/>
  <c r="AQ713" i="9"/>
  <c r="AQ782" i="9" s="1"/>
  <c r="AQ805" i="9" s="1"/>
  <c r="AQ695" i="9"/>
  <c r="AQ764" i="9" s="1"/>
  <c r="AQ707" i="9"/>
  <c r="AQ776" i="9" s="1"/>
  <c r="AQ700" i="9"/>
  <c r="AQ769" i="9" s="1"/>
  <c r="AQ792" i="9" s="1"/>
  <c r="AQ697" i="9"/>
  <c r="AQ766" i="9" s="1"/>
  <c r="AQ709" i="9"/>
  <c r="AQ778" i="9" s="1"/>
  <c r="AQ704" i="9"/>
  <c r="AQ773" i="9" s="1"/>
  <c r="AQ796" i="9" s="1"/>
  <c r="AQ712" i="9"/>
  <c r="AQ781" i="9" s="1"/>
  <c r="AQ699" i="9"/>
  <c r="AQ768" i="9" s="1"/>
  <c r="AQ714" i="9"/>
  <c r="AQ783" i="9" s="1"/>
  <c r="AQ711" i="9"/>
  <c r="AQ780" i="9" s="1"/>
  <c r="AQ803" i="9" s="1"/>
  <c r="AQ706" i="9"/>
  <c r="AQ775" i="9" s="1"/>
  <c r="AQ798" i="9" s="1"/>
  <c r="AQ701" i="9"/>
  <c r="AQ770" i="9" s="1"/>
  <c r="AQ793" i="9" s="1"/>
  <c r="AQ696" i="9"/>
  <c r="AQ765" i="9" s="1"/>
  <c r="BV1012" i="9"/>
  <c r="BV291" i="9"/>
  <c r="BV521" i="9"/>
  <c r="AA292" i="9"/>
  <c r="AB292" i="9"/>
  <c r="AC292" i="9"/>
  <c r="AD292" i="9"/>
  <c r="AE292" i="9"/>
  <c r="AF292" i="9"/>
  <c r="AG292" i="9"/>
  <c r="AH292" i="9"/>
  <c r="AI292" i="9"/>
  <c r="AJ292" i="9"/>
  <c r="AK292" i="9"/>
  <c r="AP292" i="9"/>
  <c r="AM292" i="9"/>
  <c r="AL292" i="9"/>
  <c r="AO292" i="9"/>
  <c r="AN292" i="9"/>
  <c r="AQ205" i="26"/>
  <c r="AQ145" i="26"/>
  <c r="AQ124" i="26"/>
  <c r="AQ94" i="26"/>
  <c r="AQ182" i="26"/>
  <c r="AQ69" i="26"/>
  <c r="AQ122" i="26"/>
  <c r="AQ93" i="26"/>
  <c r="AQ67" i="26"/>
  <c r="AQ204" i="26"/>
  <c r="AQ173" i="26"/>
  <c r="AQ197" i="26"/>
  <c r="AQ147" i="26"/>
  <c r="AQ117" i="26"/>
  <c r="AQ74" i="26"/>
  <c r="AQ146" i="26"/>
  <c r="AQ60" i="26"/>
  <c r="AQ115" i="26"/>
  <c r="AQ66" i="26"/>
  <c r="AQ61" i="26"/>
  <c r="AQ183" i="26"/>
  <c r="AQ199" i="26"/>
  <c r="AQ149" i="26"/>
  <c r="AQ140" i="26"/>
  <c r="AQ97" i="26"/>
  <c r="AQ68" i="26"/>
  <c r="AQ139" i="26"/>
  <c r="AQ141" i="26"/>
  <c r="AQ92" i="26"/>
  <c r="AQ144" i="26"/>
  <c r="AQ172" i="26"/>
  <c r="AQ177" i="26"/>
  <c r="AQ179" i="26"/>
  <c r="AQ208" i="26"/>
  <c r="AQ120" i="26"/>
  <c r="AQ87" i="26"/>
  <c r="AQ125" i="26"/>
  <c r="AQ138" i="26"/>
  <c r="AQ121" i="26"/>
  <c r="AQ86" i="26"/>
  <c r="AQ123" i="26"/>
  <c r="AQ185" i="26"/>
  <c r="AQ184" i="26"/>
  <c r="AQ181" i="26"/>
  <c r="AQ200" i="26"/>
  <c r="AQ112" i="26"/>
  <c r="AQ148" i="26"/>
  <c r="AQ113" i="26"/>
  <c r="AQ119" i="26"/>
  <c r="AQ95" i="26"/>
  <c r="AQ70" i="26"/>
  <c r="AQ96" i="26"/>
  <c r="AQ195" i="26"/>
  <c r="AQ198" i="26"/>
  <c r="AQ180" i="26"/>
  <c r="AQ151" i="26"/>
  <c r="AQ174" i="26"/>
  <c r="AQ72" i="26"/>
  <c r="AQ137" i="26"/>
  <c r="AQ91" i="26"/>
  <c r="AQ114" i="26"/>
  <c r="AQ89" i="26"/>
  <c r="AQ65" i="26"/>
  <c r="AQ90" i="26"/>
  <c r="AQ207" i="26"/>
  <c r="AQ203" i="26"/>
  <c r="AQ196" i="26"/>
  <c r="AQ143" i="26"/>
  <c r="AQ178" i="26"/>
  <c r="AQ64" i="26"/>
  <c r="AQ118" i="26"/>
  <c r="AQ85" i="26"/>
  <c r="AQ98" i="26"/>
  <c r="AQ63" i="26"/>
  <c r="AQ116" i="26"/>
  <c r="AQ71" i="26"/>
  <c r="AQ201" i="26"/>
  <c r="AQ176" i="26"/>
  <c r="AQ209" i="26"/>
  <c r="AQ202" i="26"/>
  <c r="AQ150" i="26"/>
  <c r="AQ175" i="26"/>
  <c r="AQ111" i="26"/>
  <c r="AQ62" i="26"/>
  <c r="AQ88" i="26"/>
  <c r="AQ142" i="26"/>
  <c r="AQ99" i="26"/>
  <c r="AQ73" i="26"/>
  <c r="AQ171" i="26"/>
  <c r="AQ206" i="26"/>
  <c r="AQ107" i="3"/>
  <c r="AQ84" i="3"/>
  <c r="AP77" i="33"/>
  <c r="AP195" i="30"/>
  <c r="AP78" i="33" s="1"/>
  <c r="AQ75" i="3"/>
  <c r="AR164" i="3"/>
  <c r="AR187" i="3" s="1"/>
  <c r="AR167" i="3"/>
  <c r="AR190" i="3" s="1"/>
  <c r="BV1009" i="9"/>
  <c r="BV518" i="9"/>
  <c r="BV234" i="9"/>
  <c r="AA235" i="9"/>
  <c r="AB235" i="9"/>
  <c r="AC235" i="9"/>
  <c r="AD235" i="9"/>
  <c r="AE235" i="9"/>
  <c r="AF235" i="9"/>
  <c r="AG235" i="9"/>
  <c r="AH235" i="9"/>
  <c r="AI235" i="9"/>
  <c r="AJ235" i="9"/>
  <c r="AK235" i="9"/>
  <c r="AO235" i="9"/>
  <c r="AM235" i="9"/>
  <c r="AL235" i="9"/>
  <c r="AN235" i="9"/>
  <c r="AP235" i="9"/>
  <c r="AO257" i="6"/>
  <c r="AO170" i="20"/>
  <c r="AO60" i="30" s="1"/>
  <c r="AP744" i="9"/>
  <c r="BV546" i="9"/>
  <c r="BV335" i="9"/>
  <c r="BV615" i="9" s="1"/>
  <c r="BV897" i="9" s="1"/>
  <c r="AN136" i="30"/>
  <c r="AN137" i="30" s="1"/>
  <c r="AO256" i="6"/>
  <c r="AQ358" i="9"/>
  <c r="AQ311" i="9"/>
  <c r="AQ206" i="9"/>
  <c r="AQ339" i="9"/>
  <c r="AQ425" i="9"/>
  <c r="AQ434" i="9"/>
  <c r="AQ406" i="9"/>
  <c r="AQ415" i="9"/>
  <c r="AQ396" i="9"/>
  <c r="AQ273" i="9"/>
  <c r="AQ244" i="9"/>
  <c r="AQ235" i="9"/>
  <c r="AQ368" i="9"/>
  <c r="AQ330" i="9"/>
  <c r="AQ282" i="9"/>
  <c r="AQ197" i="9"/>
  <c r="AQ387" i="9"/>
  <c r="AQ225" i="9"/>
  <c r="AQ377" i="9"/>
  <c r="AQ254" i="9"/>
  <c r="AQ216" i="9"/>
  <c r="AQ187" i="9"/>
  <c r="AQ292" i="9"/>
  <c r="AQ263" i="9"/>
  <c r="AQ320" i="9"/>
  <c r="AQ149" i="9"/>
  <c r="AQ140" i="9"/>
  <c r="AQ121" i="9"/>
  <c r="AQ178" i="9"/>
  <c r="AQ168" i="9"/>
  <c r="AQ92" i="9"/>
  <c r="AQ130" i="9"/>
  <c r="AQ64" i="9"/>
  <c r="AQ301" i="9"/>
  <c r="AQ111" i="9"/>
  <c r="AQ73" i="9"/>
  <c r="AQ159" i="9"/>
  <c r="AR175" i="3"/>
  <c r="AR198" i="3" s="1"/>
  <c r="BV1008" i="9"/>
  <c r="BV517" i="9"/>
  <c r="BV215" i="9"/>
  <c r="AA216" i="9"/>
  <c r="AB216" i="9"/>
  <c r="AC216" i="9"/>
  <c r="AD216" i="9"/>
  <c r="AE216" i="9"/>
  <c r="AF216" i="9"/>
  <c r="AG216" i="9"/>
  <c r="AH216" i="9"/>
  <c r="AI216" i="9"/>
  <c r="AJ216" i="9"/>
  <c r="AK216" i="9"/>
  <c r="AN216" i="9"/>
  <c r="AO216" i="9"/>
  <c r="AM216" i="9"/>
  <c r="AL216" i="9"/>
  <c r="AP216" i="9"/>
  <c r="BV1018" i="9"/>
  <c r="BV527" i="9"/>
  <c r="BV405" i="9"/>
  <c r="AA406" i="9"/>
  <c r="AB406" i="9"/>
  <c r="AC406" i="9"/>
  <c r="AD406" i="9"/>
  <c r="AE406" i="9"/>
  <c r="AF406" i="9"/>
  <c r="AG406" i="9"/>
  <c r="AH406" i="9"/>
  <c r="AI406" i="9"/>
  <c r="AJ406" i="9"/>
  <c r="AK406" i="9"/>
  <c r="AO406" i="9"/>
  <c r="AM406" i="9"/>
  <c r="AN406" i="9"/>
  <c r="AP406" i="9"/>
  <c r="AL406" i="9"/>
  <c r="AQ727" i="9"/>
  <c r="AQ238" i="3"/>
  <c r="BV533" i="9"/>
  <c r="BV88" i="9"/>
  <c r="BV602" i="9" s="1"/>
  <c r="BV884" i="9" s="1"/>
  <c r="BV1005" i="9"/>
  <c r="BV514" i="9"/>
  <c r="BV158" i="9"/>
  <c r="AA159" i="9"/>
  <c r="AB159" i="9"/>
  <c r="AC159" i="9"/>
  <c r="AD159" i="9"/>
  <c r="AE159" i="9"/>
  <c r="AF159" i="9"/>
  <c r="AG159" i="9"/>
  <c r="AH159" i="9"/>
  <c r="AI159" i="9"/>
  <c r="AJ159" i="9"/>
  <c r="AK159" i="9"/>
  <c r="AM159" i="9"/>
  <c r="AL159" i="9"/>
  <c r="AN159" i="9"/>
  <c r="AP159" i="9"/>
  <c r="AO159" i="9"/>
  <c r="BV1000" i="9"/>
  <c r="BV509" i="9"/>
  <c r="BV63" i="9"/>
  <c r="AA64" i="9"/>
  <c r="AB64" i="9"/>
  <c r="AC64" i="9"/>
  <c r="AD64" i="9"/>
  <c r="AE64" i="9"/>
  <c r="AF64" i="9"/>
  <c r="AG64" i="9"/>
  <c r="AH64" i="9"/>
  <c r="AI64" i="9"/>
  <c r="AJ64" i="9"/>
  <c r="AK64" i="9"/>
  <c r="AM64" i="9"/>
  <c r="AP64" i="9"/>
  <c r="AL64" i="9"/>
  <c r="AN64" i="9"/>
  <c r="AO64" i="9"/>
  <c r="AP752" i="9"/>
  <c r="AQ105" i="3"/>
  <c r="AQ82" i="3"/>
  <c r="AQ103" i="3"/>
  <c r="AQ80" i="3"/>
  <c r="BV1004" i="9"/>
  <c r="BV513" i="9"/>
  <c r="BV139" i="9"/>
  <c r="AA140" i="9"/>
  <c r="AB140" i="9"/>
  <c r="AC140" i="9"/>
  <c r="AD140" i="9"/>
  <c r="AE140" i="9"/>
  <c r="AF140" i="9"/>
  <c r="AG140" i="9"/>
  <c r="AH140" i="9"/>
  <c r="AI140" i="9"/>
  <c r="AJ140" i="9"/>
  <c r="AK140" i="9"/>
  <c r="AP140" i="9"/>
  <c r="AO140" i="9"/>
  <c r="AL140" i="9"/>
  <c r="AN140" i="9"/>
  <c r="AM140" i="9"/>
  <c r="BV550" i="9"/>
  <c r="BV411" i="9"/>
  <c r="BV619" i="9" s="1"/>
  <c r="BV901" i="9" s="1"/>
  <c r="AR166" i="3"/>
  <c r="AR189" i="3" s="1"/>
  <c r="AR24" i="3"/>
  <c r="AS8" i="3"/>
  <c r="AR5" i="3"/>
  <c r="AR41" i="3"/>
  <c r="AR12" i="3"/>
  <c r="AR3" i="3" s="1"/>
  <c r="AR4" i="3"/>
  <c r="AR155" i="3"/>
  <c r="AQ76" i="3"/>
  <c r="AQ729" i="9"/>
  <c r="AQ240" i="3"/>
  <c r="AQ26" i="3"/>
  <c r="AQ28" i="3"/>
  <c r="BV532" i="9"/>
  <c r="BV69" i="9"/>
  <c r="BV601" i="9" s="1"/>
  <c r="BV883" i="9" s="1"/>
  <c r="BV455" i="9"/>
  <c r="BV346" i="9"/>
  <c r="BV539" i="9"/>
  <c r="BV202" i="9"/>
  <c r="BV608" i="9" s="1"/>
  <c r="BV890" i="9" s="1"/>
  <c r="AP745" i="9"/>
  <c r="AQ69" i="3"/>
  <c r="BV1014" i="9"/>
  <c r="BV523" i="9"/>
  <c r="BV329" i="9"/>
  <c r="AA330" i="9"/>
  <c r="AB330" i="9"/>
  <c r="AC330" i="9"/>
  <c r="AD330" i="9"/>
  <c r="AE330" i="9"/>
  <c r="AF330" i="9"/>
  <c r="AG330" i="9"/>
  <c r="AH330" i="9"/>
  <c r="AI330" i="9"/>
  <c r="AJ330" i="9"/>
  <c r="AK330" i="9"/>
  <c r="AN330" i="9"/>
  <c r="AM330" i="9"/>
  <c r="AP330" i="9"/>
  <c r="AO330" i="9"/>
  <c r="AL330" i="9"/>
  <c r="AR151" i="3"/>
  <c r="AR140" i="3"/>
  <c r="AR148" i="3"/>
  <c r="BV544" i="9"/>
  <c r="BV297" i="9"/>
  <c r="BV613" i="9" s="1"/>
  <c r="BV895" i="9" s="1"/>
  <c r="AQ736" i="9"/>
  <c r="AQ247" i="3"/>
  <c r="AQ734" i="9"/>
  <c r="AQ245" i="3"/>
  <c r="AQ18" i="3"/>
  <c r="BV537" i="9"/>
  <c r="BV164" i="9"/>
  <c r="BV606" i="9" s="1"/>
  <c r="BV888" i="9" s="1"/>
  <c r="AQ180" i="20" a="1"/>
  <c r="AQ180" i="20" s="1"/>
  <c r="AQ162" i="20" a="1"/>
  <c r="AQ162" i="20" s="1"/>
  <c r="AQ153" i="20" a="1"/>
  <c r="AQ153" i="20" s="1"/>
  <c r="AQ150" i="20" a="1"/>
  <c r="AQ150" i="20" s="1"/>
  <c r="AQ41" i="30" s="1"/>
  <c r="AQ135" i="20" a="1"/>
  <c r="AQ135" i="20" s="1"/>
  <c r="AQ137" i="20" s="1"/>
  <c r="AQ29" i="30" s="1"/>
  <c r="AQ129" i="20" a="1"/>
  <c r="AQ129" i="20" s="1"/>
  <c r="AQ130" i="20" a="1"/>
  <c r="AQ130" i="20" s="1"/>
  <c r="AQ127" i="20" a="1"/>
  <c r="AQ127" i="20" s="1"/>
  <c r="AQ128" i="20" a="1"/>
  <c r="AQ128" i="20" s="1"/>
  <c r="AQ121" i="20" a="1"/>
  <c r="AQ121" i="20" s="1"/>
  <c r="AQ117" i="20" a="1"/>
  <c r="AQ117" i="20" s="1"/>
  <c r="AQ118" i="20" a="1"/>
  <c r="AQ118" i="20" s="1"/>
  <c r="AQ122" i="20" a="1"/>
  <c r="AQ122" i="20" s="1"/>
  <c r="AQ124" i="20" a="1"/>
  <c r="AQ124" i="20" s="1"/>
  <c r="AQ123" i="20" a="1"/>
  <c r="AQ123" i="20" s="1"/>
  <c r="AQ119" i="20" a="1"/>
  <c r="AQ119" i="20" s="1"/>
  <c r="AQ125" i="20" a="1"/>
  <c r="AQ125" i="20" s="1"/>
  <c r="AQ120" i="20" a="1"/>
  <c r="AQ120" i="20" s="1"/>
  <c r="AQ107" i="20" a="1"/>
  <c r="AQ107" i="20" s="1"/>
  <c r="AQ111" i="20" a="1"/>
  <c r="AQ111" i="20" s="1"/>
  <c r="AQ112" i="20" a="1"/>
  <c r="AQ112" i="20" s="1"/>
  <c r="AQ108" i="20" a="1"/>
  <c r="AQ108" i="20" s="1"/>
  <c r="AQ109" i="20" a="1"/>
  <c r="AQ109" i="20" s="1"/>
  <c r="AQ105" i="20" a="1"/>
  <c r="AQ105" i="20" s="1"/>
  <c r="AQ106" i="20" a="1"/>
  <c r="AQ106" i="20" s="1"/>
  <c r="AQ110" i="20" a="1"/>
  <c r="AQ110" i="20" s="1"/>
  <c r="AQ93" i="20" a="1"/>
  <c r="AQ93" i="20" s="1"/>
  <c r="AQ88" i="20" a="1"/>
  <c r="AQ88" i="20" s="1"/>
  <c r="AQ83" i="20" a="1"/>
  <c r="AQ83" i="20" s="1"/>
  <c r="AQ79" i="20" a="1"/>
  <c r="AQ79" i="20" s="1"/>
  <c r="AQ70" i="20" a="1"/>
  <c r="AQ70" i="20" s="1"/>
  <c r="AQ66" i="20" a="1"/>
  <c r="AQ66" i="20" s="1"/>
  <c r="AQ45" i="20" a="1"/>
  <c r="AQ45" i="20" s="1"/>
  <c r="AQ61" i="20" a="1"/>
  <c r="AQ61" i="20" s="1"/>
  <c r="AQ57" i="20" a="1"/>
  <c r="AQ57" i="20" s="1"/>
  <c r="AQ94" i="20" a="1"/>
  <c r="AQ94" i="20" s="1"/>
  <c r="AQ89" i="20" a="1"/>
  <c r="AQ89" i="20" s="1"/>
  <c r="AQ84" i="20" a="1"/>
  <c r="AQ84" i="20" s="1"/>
  <c r="AQ80" i="20" a="1"/>
  <c r="AQ80" i="20" s="1"/>
  <c r="AQ71" i="20" a="1"/>
  <c r="AQ71" i="20" s="1"/>
  <c r="AQ67" i="20" a="1"/>
  <c r="AQ67" i="20" s="1"/>
  <c r="AQ50" i="20" a="1"/>
  <c r="AQ50" i="20" s="1"/>
  <c r="AQ42" i="20" a="1"/>
  <c r="AQ42" i="20" s="1"/>
  <c r="AQ34" i="20" a="1"/>
  <c r="AQ34" i="20" s="1"/>
  <c r="AQ24" i="20" a="1"/>
  <c r="AQ24" i="20" s="1"/>
  <c r="AQ22" i="20" a="1"/>
  <c r="AQ22" i="20" s="1"/>
  <c r="AQ18" i="20" a="1"/>
  <c r="AQ18" i="20" s="1"/>
  <c r="AQ98" i="20" a="1"/>
  <c r="AQ98" i="20" s="1"/>
  <c r="AQ100" i="20" s="1"/>
  <c r="AQ43" i="20" a="1"/>
  <c r="AQ43" i="20" s="1"/>
  <c r="AQ95" i="20" a="1"/>
  <c r="AQ95" i="20" s="1"/>
  <c r="AQ81" i="20" a="1"/>
  <c r="AQ81" i="20" s="1"/>
  <c r="AQ77" i="20" a="1"/>
  <c r="AQ77" i="20" s="1"/>
  <c r="AQ72" i="20" a="1"/>
  <c r="AQ72" i="20" s="1"/>
  <c r="AQ68" i="20" a="1"/>
  <c r="AQ68" i="20" s="1"/>
  <c r="AQ64" i="20" a="1"/>
  <c r="AQ64" i="20" s="1"/>
  <c r="AQ58" i="20" a="1"/>
  <c r="AQ58" i="20" s="1"/>
  <c r="AQ51" i="20" a="1"/>
  <c r="AQ51" i="20" s="1"/>
  <c r="AQ82" i="20" a="1"/>
  <c r="AQ82" i="20" s="1"/>
  <c r="AQ78" i="20" a="1"/>
  <c r="AQ78" i="20" s="1"/>
  <c r="AQ73" i="20" a="1"/>
  <c r="AQ73" i="20" s="1"/>
  <c r="AQ69" i="20" a="1"/>
  <c r="AQ69" i="20" s="1"/>
  <c r="AQ65" i="20" a="1"/>
  <c r="AQ65" i="20" s="1"/>
  <c r="AQ54" i="20" a="1"/>
  <c r="AQ54" i="20" s="1"/>
  <c r="AQ52" i="20" a="1"/>
  <c r="AQ52" i="20" s="1"/>
  <c r="AQ59" i="20" a="1"/>
  <c r="AQ59" i="20" s="1"/>
  <c r="AQ47" i="20" a="1"/>
  <c r="AQ47" i="20" s="1"/>
  <c r="AQ35" i="20" a="1"/>
  <c r="AQ35" i="20" s="1"/>
  <c r="AQ27" i="20" a="1"/>
  <c r="AQ27" i="20" s="1"/>
  <c r="AQ20" i="20" a="1"/>
  <c r="AQ20" i="20" s="1"/>
  <c r="AQ21" i="20" a="1"/>
  <c r="AQ21" i="20" s="1"/>
  <c r="AQ44" i="20" a="1"/>
  <c r="AQ44" i="20" s="1"/>
  <c r="AQ39" i="20" a="1"/>
  <c r="AQ39" i="20" s="1"/>
  <c r="AQ36" i="20" a="1"/>
  <c r="AQ36" i="20" s="1"/>
  <c r="AQ28" i="20" a="1"/>
  <c r="AQ28" i="20" s="1"/>
  <c r="AQ19" i="20" a="1"/>
  <c r="AQ19" i="20" s="1"/>
  <c r="AQ17" i="20" a="1"/>
  <c r="AQ17" i="20" s="1"/>
  <c r="AQ14" i="20" a="1"/>
  <c r="AQ14" i="20" s="1"/>
  <c r="AQ37" i="20" a="1"/>
  <c r="AQ37" i="20" s="1"/>
  <c r="AQ30" i="20" a="1"/>
  <c r="AQ30" i="20" s="1"/>
  <c r="AQ12" i="20" a="1"/>
  <c r="AQ12" i="20" s="1"/>
  <c r="AQ33" i="20" a="1"/>
  <c r="AQ33" i="20" s="1"/>
  <c r="AQ11" i="20" a="1"/>
  <c r="AQ11" i="20" s="1"/>
  <c r="BV441" i="9"/>
  <c r="BV80" i="9"/>
  <c r="AP27" i="30"/>
  <c r="AP30" i="30" s="1"/>
  <c r="AP139" i="20"/>
  <c r="BV1011" i="9"/>
  <c r="BV520" i="9"/>
  <c r="BV272" i="9"/>
  <c r="AA273" i="9"/>
  <c r="AB273" i="9"/>
  <c r="AC273" i="9"/>
  <c r="AD273" i="9"/>
  <c r="AE273" i="9"/>
  <c r="AF273" i="9"/>
  <c r="AG273" i="9"/>
  <c r="AH273" i="9"/>
  <c r="AI273" i="9"/>
  <c r="AJ273" i="9"/>
  <c r="AK273" i="9"/>
  <c r="AM273" i="9"/>
  <c r="AP273" i="9"/>
  <c r="AO273" i="9"/>
  <c r="AL273" i="9"/>
  <c r="AN273" i="9"/>
  <c r="BV534" i="9"/>
  <c r="BV107" i="9"/>
  <c r="BV603" i="9" s="1"/>
  <c r="BV885" i="9" s="1"/>
  <c r="AQ110" i="3"/>
  <c r="AQ87" i="3"/>
  <c r="AM96" i="33"/>
  <c r="AM101" i="33" s="1"/>
  <c r="AM104" i="33" s="1"/>
  <c r="AN211" i="30"/>
  <c r="AM214" i="30"/>
  <c r="AM217" i="30" s="1"/>
  <c r="AM83" i="6"/>
  <c r="AQ725" i="9"/>
  <c r="AQ236" i="3"/>
  <c r="BV442" i="9"/>
  <c r="BV99" i="9"/>
  <c r="AQ102" i="9" s="1"/>
  <c r="AR139" i="3"/>
  <c r="AR138" i="3"/>
  <c r="AR154" i="3"/>
  <c r="AQ731" i="9"/>
  <c r="AQ242" i="3"/>
  <c r="C123" i="23"/>
  <c r="C122" i="23" a="1"/>
  <c r="AQ789" i="9" l="1"/>
  <c r="AQ787" i="9"/>
  <c r="AQ810" i="9" s="1"/>
  <c r="AQ29" i="20"/>
  <c r="AQ14" i="30" s="1"/>
  <c r="AQ802" i="9"/>
  <c r="AQ825" i="9" s="1"/>
  <c r="AQ806" i="9"/>
  <c r="AQ829" i="9" s="1"/>
  <c r="AQ799" i="9"/>
  <c r="AQ822" i="9" s="1"/>
  <c r="AQ791" i="9"/>
  <c r="AQ752" i="9"/>
  <c r="AQ788" i="9"/>
  <c r="AQ801" i="9"/>
  <c r="AQ824" i="9" s="1"/>
  <c r="AQ790" i="9"/>
  <c r="AQ813" i="9" s="1"/>
  <c r="AP24" i="30"/>
  <c r="AP32" i="30" s="1"/>
  <c r="AP36" i="30" s="1"/>
  <c r="AQ114" i="20"/>
  <c r="AQ27" i="30" s="1"/>
  <c r="AQ804" i="9"/>
  <c r="AQ827" i="9" s="1"/>
  <c r="AQ797" i="9"/>
  <c r="AQ820" i="9" s="1"/>
  <c r="AP80" i="33"/>
  <c r="AO259" i="6"/>
  <c r="AP256" i="6" s="1"/>
  <c r="AN212" i="30"/>
  <c r="AN83" i="6" s="1"/>
  <c r="AR259" i="3"/>
  <c r="AR282" i="3" s="1"/>
  <c r="AR213" i="3"/>
  <c r="AR256" i="3"/>
  <c r="AR279" i="3" s="1"/>
  <c r="AR210" i="3"/>
  <c r="AR264" i="3"/>
  <c r="AR287" i="3" s="1"/>
  <c r="AR218" i="3"/>
  <c r="AR271" i="3"/>
  <c r="AR294" i="3" s="1"/>
  <c r="AR225" i="3"/>
  <c r="AR252" i="3"/>
  <c r="AR275" i="3" s="1"/>
  <c r="AR206" i="3"/>
  <c r="AR257" i="3"/>
  <c r="AR280" i="3" s="1"/>
  <c r="AR211" i="3"/>
  <c r="AR258" i="3"/>
  <c r="AR281" i="3" s="1"/>
  <c r="AR212" i="3"/>
  <c r="AR267" i="3"/>
  <c r="AR290" i="3" s="1"/>
  <c r="AR221" i="3"/>
  <c r="AQ23" i="30"/>
  <c r="AQ179" i="20"/>
  <c r="AP141" i="20"/>
  <c r="AP146" i="20" s="1"/>
  <c r="AR176" i="3"/>
  <c r="AR199" i="3" s="1"/>
  <c r="AQ732" i="9"/>
  <c r="AQ243" i="3"/>
  <c r="BV1002" i="9"/>
  <c r="BV511" i="9"/>
  <c r="BV101" i="9"/>
  <c r="AC102" i="9"/>
  <c r="AA102" i="9"/>
  <c r="AD102" i="9"/>
  <c r="AB102" i="9"/>
  <c r="AE102" i="9"/>
  <c r="AF102" i="9"/>
  <c r="AG102" i="9"/>
  <c r="AI102" i="9"/>
  <c r="AJ102" i="9"/>
  <c r="AH102" i="9"/>
  <c r="AL102" i="9"/>
  <c r="AK102" i="9"/>
  <c r="AO102" i="9"/>
  <c r="AM102" i="9"/>
  <c r="AN102" i="9"/>
  <c r="AP102" i="9"/>
  <c r="AQ74" i="20"/>
  <c r="AQ19" i="30" s="1"/>
  <c r="AQ759" i="9"/>
  <c r="AS10" i="3"/>
  <c r="AS150" i="3" s="1"/>
  <c r="AR260" i="3"/>
  <c r="AR283" i="3" s="1"/>
  <c r="AR214" i="3"/>
  <c r="AR216" i="3"/>
  <c r="AR262" i="3"/>
  <c r="AR285" i="3" s="1"/>
  <c r="BV1006" i="9"/>
  <c r="BV515" i="9"/>
  <c r="BV177" i="9"/>
  <c r="AA178" i="9"/>
  <c r="AB178" i="9"/>
  <c r="AC178" i="9"/>
  <c r="AD178" i="9"/>
  <c r="AE178" i="9"/>
  <c r="AF178" i="9"/>
  <c r="AG178" i="9"/>
  <c r="AJ178" i="9"/>
  <c r="AH178" i="9"/>
  <c r="AI178" i="9"/>
  <c r="AL178" i="9"/>
  <c r="AK178" i="9"/>
  <c r="AP178" i="9"/>
  <c r="AN178" i="9"/>
  <c r="AO178" i="9"/>
  <c r="AM178" i="9"/>
  <c r="BV1013" i="9"/>
  <c r="BV522" i="9"/>
  <c r="BV310" i="9"/>
  <c r="AC311" i="9"/>
  <c r="AA311" i="9"/>
  <c r="AB311" i="9"/>
  <c r="AD311" i="9"/>
  <c r="AF311" i="9"/>
  <c r="AE311" i="9"/>
  <c r="AG311" i="9"/>
  <c r="AH311" i="9"/>
  <c r="AJ311" i="9"/>
  <c r="AI311" i="9"/>
  <c r="AL311" i="9"/>
  <c r="AK311" i="9"/>
  <c r="AM311" i="9"/>
  <c r="AN311" i="9"/>
  <c r="AO311" i="9"/>
  <c r="AP311" i="9"/>
  <c r="BV1015" i="9"/>
  <c r="BV524" i="9"/>
  <c r="BV348" i="9"/>
  <c r="AA349" i="9"/>
  <c r="AC349" i="9"/>
  <c r="AB349" i="9"/>
  <c r="AD349" i="9"/>
  <c r="AF349" i="9"/>
  <c r="AG349" i="9"/>
  <c r="AE349" i="9"/>
  <c r="AH349" i="9"/>
  <c r="AI349" i="9"/>
  <c r="AJ349" i="9"/>
  <c r="AK349" i="9"/>
  <c r="AN349" i="9"/>
  <c r="AO349" i="9"/>
  <c r="AM349" i="9"/>
  <c r="AL349" i="9"/>
  <c r="AP349" i="9"/>
  <c r="AQ349" i="9"/>
  <c r="AQ722" i="9"/>
  <c r="AQ233" i="3"/>
  <c r="AQ730" i="9"/>
  <c r="AQ241" i="3"/>
  <c r="AQ721" i="9"/>
  <c r="AQ232" i="3"/>
  <c r="AR219" i="3"/>
  <c r="AR265" i="3"/>
  <c r="AR288" i="3" s="1"/>
  <c r="AQ720" i="9"/>
  <c r="AQ231" i="3"/>
  <c r="AQ747" i="9"/>
  <c r="BV1007" i="9"/>
  <c r="BV516" i="9"/>
  <c r="BV196" i="9"/>
  <c r="AA197" i="9"/>
  <c r="AC197" i="9"/>
  <c r="AB197" i="9"/>
  <c r="AD197" i="9"/>
  <c r="AE197" i="9"/>
  <c r="AF197" i="9"/>
  <c r="AG197" i="9"/>
  <c r="AH197" i="9"/>
  <c r="AI197" i="9"/>
  <c r="AJ197" i="9"/>
  <c r="AK197" i="9"/>
  <c r="AP197" i="9"/>
  <c r="AO197" i="9"/>
  <c r="AN197" i="9"/>
  <c r="AL197" i="9"/>
  <c r="AM197" i="9"/>
  <c r="AR5" i="11"/>
  <c r="AR64" i="3"/>
  <c r="AR110" i="3" s="1"/>
  <c r="AR56" i="3"/>
  <c r="AR102" i="3" s="1"/>
  <c r="AR48" i="3"/>
  <c r="AR60" i="3"/>
  <c r="AR47" i="3"/>
  <c r="AR50" i="3"/>
  <c r="AR55" i="3"/>
  <c r="AR101" i="3" s="1"/>
  <c r="AR62" i="3"/>
  <c r="AR63" i="3"/>
  <c r="AR61" i="3"/>
  <c r="AR107" i="3" s="1"/>
  <c r="AR51" i="3"/>
  <c r="AR53" i="3"/>
  <c r="AR99" i="3" s="1"/>
  <c r="AR49" i="3"/>
  <c r="AR59" i="3"/>
  <c r="AR105" i="3" s="1"/>
  <c r="AR58" i="3"/>
  <c r="AR54" i="3"/>
  <c r="AR52" i="3"/>
  <c r="AR98" i="3" s="1"/>
  <c r="AR57" i="3"/>
  <c r="AR103" i="3" s="1"/>
  <c r="AR45" i="3"/>
  <c r="AR91" i="3" s="1"/>
  <c r="AR46" i="3"/>
  <c r="AR92" i="3" s="1"/>
  <c r="AR5" i="35"/>
  <c r="AR5" i="33"/>
  <c r="AS5" i="12"/>
  <c r="AR5" i="32"/>
  <c r="AR5" i="30"/>
  <c r="AR5" i="38"/>
  <c r="AR5" i="6"/>
  <c r="AR5" i="9"/>
  <c r="AR5" i="26"/>
  <c r="AR5" i="16"/>
  <c r="AR5" i="22"/>
  <c r="AR5" i="20"/>
  <c r="AR5" i="1"/>
  <c r="AR5" i="28"/>
  <c r="AR117" i="3"/>
  <c r="AR119" i="3"/>
  <c r="AR121" i="3"/>
  <c r="AR133" i="3"/>
  <c r="AR115" i="3"/>
  <c r="AR114" i="3"/>
  <c r="AR126" i="3"/>
  <c r="AR127" i="3"/>
  <c r="AR122" i="3"/>
  <c r="AR123" i="3"/>
  <c r="AR132" i="3"/>
  <c r="AR120" i="3"/>
  <c r="AR124" i="3"/>
  <c r="AR131" i="3"/>
  <c r="AR118" i="3"/>
  <c r="AR116" i="3"/>
  <c r="AR128" i="3"/>
  <c r="AR130" i="3"/>
  <c r="AR129" i="3"/>
  <c r="AR125" i="3"/>
  <c r="AQ748" i="9"/>
  <c r="AQ85" i="20"/>
  <c r="AQ20" i="30" s="1"/>
  <c r="AO54" i="33"/>
  <c r="AO148" i="30"/>
  <c r="AO180" i="30" s="1"/>
  <c r="AO56" i="30"/>
  <c r="AO58" i="30" s="1"/>
  <c r="AQ723" i="9"/>
  <c r="AQ234" i="3"/>
  <c r="AQ737" i="9"/>
  <c r="AQ248" i="3"/>
  <c r="AQ819" i="9"/>
  <c r="AQ828" i="9"/>
  <c r="AQ812" i="9"/>
  <c r="AQ826" i="9"/>
  <c r="AQ818" i="9"/>
  <c r="AQ816" i="9"/>
  <c r="AQ815" i="9"/>
  <c r="AQ814" i="9"/>
  <c r="AQ817" i="9"/>
  <c r="AQ811" i="9"/>
  <c r="AQ823" i="9"/>
  <c r="AQ821" i="9"/>
  <c r="AQ754" i="9"/>
  <c r="BV1001" i="9"/>
  <c r="BV510" i="9"/>
  <c r="BV82" i="9"/>
  <c r="AB83" i="9"/>
  <c r="AA83" i="9"/>
  <c r="AD83" i="9"/>
  <c r="AC83" i="9"/>
  <c r="AF83" i="9"/>
  <c r="AE83" i="9"/>
  <c r="AG83" i="9"/>
  <c r="AH83" i="9"/>
  <c r="AI83" i="9"/>
  <c r="AJ83" i="9"/>
  <c r="AK83" i="9"/>
  <c r="AN83" i="9"/>
  <c r="AM83" i="9"/>
  <c r="AL83" i="9"/>
  <c r="AO83" i="9"/>
  <c r="AP83" i="9"/>
  <c r="AR178" i="3"/>
  <c r="AR201" i="3" s="1"/>
  <c r="AR177" i="3"/>
  <c r="AR200" i="3" s="1"/>
  <c r="AQ46" i="20"/>
  <c r="AQ16" i="30" s="1"/>
  <c r="AQ60" i="20"/>
  <c r="AQ18" i="30" s="1"/>
  <c r="AQ96" i="20"/>
  <c r="AQ44" i="30"/>
  <c r="AQ45" i="30" s="1"/>
  <c r="AQ154" i="20"/>
  <c r="AR163" i="3"/>
  <c r="AR186" i="3" s="1"/>
  <c r="AR4" i="11"/>
  <c r="AR16" i="3"/>
  <c r="AR22" i="3"/>
  <c r="AR30" i="3"/>
  <c r="AR4" i="35"/>
  <c r="AR4" i="33"/>
  <c r="AS4" i="12"/>
  <c r="AR4" i="32"/>
  <c r="AR4" i="30"/>
  <c r="AR4" i="38"/>
  <c r="AR4" i="6"/>
  <c r="AR4" i="9"/>
  <c r="AR4" i="26"/>
  <c r="AR4" i="16"/>
  <c r="AR4" i="22"/>
  <c r="AR4" i="20"/>
  <c r="AR4" i="1"/>
  <c r="AR4" i="28"/>
  <c r="AR20" i="3"/>
  <c r="AQ83" i="9"/>
  <c r="AQ733" i="9"/>
  <c r="AQ244" i="3"/>
  <c r="AN94" i="33"/>
  <c r="AQ718" i="9"/>
  <c r="AQ229" i="3"/>
  <c r="AQ728" i="9"/>
  <c r="AQ239" i="3"/>
  <c r="AQ735" i="9"/>
  <c r="AQ246" i="3"/>
  <c r="AM19" i="32"/>
  <c r="AM85" i="30"/>
  <c r="AM88" i="30" s="1"/>
  <c r="AM14" i="6"/>
  <c r="AQ23" i="20"/>
  <c r="AQ194" i="30"/>
  <c r="AQ179" i="30"/>
  <c r="AQ65" i="33" s="1"/>
  <c r="AR69" i="3"/>
  <c r="AR161" i="3"/>
  <c r="AR184" i="3" s="1"/>
  <c r="AQ53" i="20"/>
  <c r="AQ17" i="30" s="1"/>
  <c r="AQ52" i="30"/>
  <c r="AQ54" i="30" s="1"/>
  <c r="AQ41" i="6"/>
  <c r="AQ44" i="6" s="1"/>
  <c r="AQ164" i="20"/>
  <c r="AR174" i="3"/>
  <c r="AR197" i="3" s="1"/>
  <c r="AR3" i="11"/>
  <c r="AR14" i="3"/>
  <c r="AR3" i="35"/>
  <c r="AR3" i="33"/>
  <c r="AS3" i="12"/>
  <c r="AR3" i="32"/>
  <c r="AR3" i="30"/>
  <c r="AR3" i="38"/>
  <c r="AR3" i="6"/>
  <c r="AR3" i="9"/>
  <c r="AR3" i="26"/>
  <c r="AR3" i="16"/>
  <c r="AR3" i="22"/>
  <c r="AR3" i="20"/>
  <c r="AR3" i="1"/>
  <c r="AR3" i="28"/>
  <c r="AR37" i="3"/>
  <c r="AR84" i="3"/>
  <c r="AQ749" i="9"/>
  <c r="AQ25" i="30"/>
  <c r="AQ90" i="20"/>
  <c r="AQ21" i="30" s="1"/>
  <c r="AR171" i="3"/>
  <c r="AR194" i="3" s="1"/>
  <c r="AQ13" i="20"/>
  <c r="AR162" i="3"/>
  <c r="AR185" i="3" s="1"/>
  <c r="AQ38" i="20"/>
  <c r="AQ15" i="30" s="1"/>
  <c r="AQ24" i="32"/>
  <c r="AQ25" i="32" s="1"/>
  <c r="AQ24" i="35" s="1"/>
  <c r="AQ131" i="20"/>
  <c r="AQ132" i="20" s="1"/>
  <c r="AQ757" i="9"/>
  <c r="AQ750" i="9"/>
  <c r="AR261" i="3"/>
  <c r="AR284" i="3" s="1"/>
  <c r="AR215" i="3"/>
  <c r="AQ645" i="9"/>
  <c r="AQ719" i="9"/>
  <c r="AQ230" i="3"/>
  <c r="C122" i="23"/>
  <c r="C121" i="23" a="1"/>
  <c r="AO211" i="30" l="1"/>
  <c r="AN96" i="33"/>
  <c r="AN101" i="33" s="1"/>
  <c r="AN104" i="33" s="1"/>
  <c r="AO645" i="9"/>
  <c r="AL645" i="9"/>
  <c r="AQ745" i="9"/>
  <c r="AK645" i="9"/>
  <c r="AD645" i="9"/>
  <c r="AR80" i="3"/>
  <c r="AR68" i="3"/>
  <c r="AG645" i="9"/>
  <c r="AM645" i="9"/>
  <c r="AF645" i="9"/>
  <c r="AB645" i="9"/>
  <c r="AS142" i="3"/>
  <c r="AS143" i="3"/>
  <c r="AI645" i="9"/>
  <c r="AS144" i="3"/>
  <c r="AR82" i="3"/>
  <c r="AR76" i="3"/>
  <c r="AP645" i="9"/>
  <c r="AH645" i="9"/>
  <c r="AS145" i="3"/>
  <c r="AS168" i="3" s="1"/>
  <c r="AS153" i="3"/>
  <c r="AE645" i="9"/>
  <c r="AS139" i="3"/>
  <c r="AS162" i="3" s="1"/>
  <c r="AS185" i="3" s="1"/>
  <c r="AN645" i="9"/>
  <c r="AC645" i="9"/>
  <c r="AS138" i="3"/>
  <c r="AS161" i="3" s="1"/>
  <c r="AS184" i="3" s="1"/>
  <c r="AR78" i="3"/>
  <c r="AJ645" i="9"/>
  <c r="AA645" i="9"/>
  <c r="AS140" i="3"/>
  <c r="AS163" i="3" s="1"/>
  <c r="AS186" i="3" s="1"/>
  <c r="AS155" i="3"/>
  <c r="AS178" i="3" s="1"/>
  <c r="AS201" i="3" s="1"/>
  <c r="AO136" i="30"/>
  <c r="AO137" i="30" s="1"/>
  <c r="AN214" i="30"/>
  <c r="AN217" i="30" s="1"/>
  <c r="AQ758" i="9"/>
  <c r="AQ756" i="9"/>
  <c r="AP14" i="32"/>
  <c r="AP28" i="32" s="1"/>
  <c r="AQ742" i="9"/>
  <c r="AQ755" i="9"/>
  <c r="AR222" i="3"/>
  <c r="AR268" i="3"/>
  <c r="AR291" i="3" s="1"/>
  <c r="AS173" i="3"/>
  <c r="AS196" i="3" s="1"/>
  <c r="AR255" i="3"/>
  <c r="AR278" i="3" s="1"/>
  <c r="AR209" i="3"/>
  <c r="AR263" i="3"/>
  <c r="AR286" i="3" s="1"/>
  <c r="AR217" i="3"/>
  <c r="AR220" i="3"/>
  <c r="AR266" i="3"/>
  <c r="AR289" i="3" s="1"/>
  <c r="AR269" i="3"/>
  <c r="AR292" i="3" s="1"/>
  <c r="AR223" i="3"/>
  <c r="AR254" i="3"/>
  <c r="AR277" i="3" s="1"/>
  <c r="AR208" i="3"/>
  <c r="AQ72" i="30"/>
  <c r="AQ74" i="30" s="1"/>
  <c r="AR40" i="6"/>
  <c r="AQ12" i="6"/>
  <c r="AR253" i="3"/>
  <c r="AR276" i="3" s="1"/>
  <c r="AR207" i="3"/>
  <c r="AQ28" i="30"/>
  <c r="AQ26" i="32" s="1"/>
  <c r="AQ25" i="35" s="1"/>
  <c r="AQ139" i="20"/>
  <c r="AR224" i="3"/>
  <c r="AR270" i="3"/>
  <c r="AR293" i="3" s="1"/>
  <c r="AN19" i="32"/>
  <c r="AN85" i="30"/>
  <c r="AN88" i="30" s="1"/>
  <c r="AN14" i="6"/>
  <c r="AR106" i="3"/>
  <c r="AR83" i="3"/>
  <c r="AR75" i="3"/>
  <c r="AS147" i="3"/>
  <c r="AS141" i="3"/>
  <c r="AR28" i="3"/>
  <c r="AR26" i="3"/>
  <c r="AQ22" i="30"/>
  <c r="AQ175" i="20"/>
  <c r="AR109" i="3"/>
  <c r="AR86" i="3"/>
  <c r="AS165" i="3"/>
  <c r="AS188" i="3" s="1"/>
  <c r="AS167" i="3"/>
  <c r="AR724" i="9"/>
  <c r="AR235" i="3"/>
  <c r="AR730" i="9"/>
  <c r="AR241" i="3"/>
  <c r="AR100" i="3"/>
  <c r="AR77" i="3"/>
  <c r="AR108" i="3"/>
  <c r="AR85" i="3"/>
  <c r="AR728" i="9"/>
  <c r="AR239" i="3"/>
  <c r="AS24" i="3"/>
  <c r="AS41" i="3"/>
  <c r="AS5" i="3"/>
  <c r="AS12" i="3"/>
  <c r="AS3" i="3" s="1"/>
  <c r="AT8" i="3"/>
  <c r="AS4" i="3"/>
  <c r="AS146" i="3"/>
  <c r="AR18" i="3"/>
  <c r="AR727" i="9"/>
  <c r="AR238" i="3"/>
  <c r="AR180" i="20" a="1"/>
  <c r="AR180" i="20" s="1"/>
  <c r="AR162" i="20" a="1"/>
  <c r="AR162" i="20" s="1"/>
  <c r="AR153" i="20" a="1"/>
  <c r="AR153" i="20" s="1"/>
  <c r="AR150" i="20" a="1"/>
  <c r="AR150" i="20" s="1"/>
  <c r="AR41" i="30" s="1"/>
  <c r="AR129" i="20" a="1"/>
  <c r="AR129" i="20" s="1"/>
  <c r="AR130" i="20" a="1"/>
  <c r="AR130" i="20" s="1"/>
  <c r="AR127" i="20" a="1"/>
  <c r="AR127" i="20" s="1"/>
  <c r="AR135" i="20" a="1"/>
  <c r="AR135" i="20" s="1"/>
  <c r="AR137" i="20" s="1"/>
  <c r="AR29" i="30" s="1"/>
  <c r="AR128" i="20" a="1"/>
  <c r="AR128" i="20" s="1"/>
  <c r="AR122" i="20" a="1"/>
  <c r="AR122" i="20" s="1"/>
  <c r="AR118" i="20" a="1"/>
  <c r="AR118" i="20" s="1"/>
  <c r="AR119" i="20" a="1"/>
  <c r="AR119" i="20" s="1"/>
  <c r="AR124" i="20" a="1"/>
  <c r="AR124" i="20" s="1"/>
  <c r="AR123" i="20" a="1"/>
  <c r="AR123" i="20" s="1"/>
  <c r="AR125" i="20" a="1"/>
  <c r="AR125" i="20" s="1"/>
  <c r="AR120" i="20" a="1"/>
  <c r="AR120" i="20" s="1"/>
  <c r="AR121" i="20" a="1"/>
  <c r="AR121" i="20" s="1"/>
  <c r="AR117" i="20" a="1"/>
  <c r="AR117" i="20" s="1"/>
  <c r="AR105" i="20" a="1"/>
  <c r="AR105" i="20" s="1"/>
  <c r="AR112" i="20" a="1"/>
  <c r="AR112" i="20" s="1"/>
  <c r="AR108" i="20" a="1"/>
  <c r="AR108" i="20" s="1"/>
  <c r="AR109" i="20" a="1"/>
  <c r="AR109" i="20" s="1"/>
  <c r="AR110" i="20" a="1"/>
  <c r="AR110" i="20" s="1"/>
  <c r="AR106" i="20" a="1"/>
  <c r="AR106" i="20" s="1"/>
  <c r="AR111" i="20" a="1"/>
  <c r="AR111" i="20" s="1"/>
  <c r="AR107" i="20" a="1"/>
  <c r="AR107" i="20" s="1"/>
  <c r="AR94" i="20" a="1"/>
  <c r="AR94" i="20" s="1"/>
  <c r="AR89" i="20" a="1"/>
  <c r="AR89" i="20" s="1"/>
  <c r="AR84" i="20" a="1"/>
  <c r="AR84" i="20" s="1"/>
  <c r="AR80" i="20" a="1"/>
  <c r="AR80" i="20" s="1"/>
  <c r="AR71" i="20" a="1"/>
  <c r="AR71" i="20" s="1"/>
  <c r="AR67" i="20" a="1"/>
  <c r="AR67" i="20" s="1"/>
  <c r="AR50" i="20" a="1"/>
  <c r="AR50" i="20" s="1"/>
  <c r="AR98" i="20" a="1"/>
  <c r="AR98" i="20" s="1"/>
  <c r="AR100" i="20" s="1"/>
  <c r="AR95" i="20" a="1"/>
  <c r="AR95" i="20" s="1"/>
  <c r="AR81" i="20" a="1"/>
  <c r="AR81" i="20" s="1"/>
  <c r="AR77" i="20" a="1"/>
  <c r="AR77" i="20" s="1"/>
  <c r="AR72" i="20" a="1"/>
  <c r="AR72" i="20" s="1"/>
  <c r="AR68" i="20" a="1"/>
  <c r="AR68" i="20" s="1"/>
  <c r="AR64" i="20" a="1"/>
  <c r="AR64" i="20" s="1"/>
  <c r="AR58" i="20" a="1"/>
  <c r="AR58" i="20" s="1"/>
  <c r="AR51" i="20" a="1"/>
  <c r="AR51" i="20" s="1"/>
  <c r="AR43" i="20" a="1"/>
  <c r="AR43" i="20" s="1"/>
  <c r="AR35" i="20" a="1"/>
  <c r="AR35" i="20" s="1"/>
  <c r="AR27" i="20" a="1"/>
  <c r="AR27" i="20" s="1"/>
  <c r="AR19" i="20" a="1"/>
  <c r="AR19" i="20" s="1"/>
  <c r="AR11" i="20" a="1"/>
  <c r="AR11" i="20" s="1"/>
  <c r="AR44" i="20" a="1"/>
  <c r="AR44" i="20" s="1"/>
  <c r="AR82" i="20" a="1"/>
  <c r="AR82" i="20" s="1"/>
  <c r="AR78" i="20" a="1"/>
  <c r="AR78" i="20" s="1"/>
  <c r="AR73" i="20" a="1"/>
  <c r="AR73" i="20" s="1"/>
  <c r="AR69" i="20" a="1"/>
  <c r="AR69" i="20" s="1"/>
  <c r="AR65" i="20" a="1"/>
  <c r="AR65" i="20" s="1"/>
  <c r="AR54" i="20" a="1"/>
  <c r="AR54" i="20" s="1"/>
  <c r="AR52" i="20" a="1"/>
  <c r="AR52" i="20" s="1"/>
  <c r="AR59" i="20" a="1"/>
  <c r="AR59" i="20" s="1"/>
  <c r="AR93" i="20" a="1"/>
  <c r="AR93" i="20" s="1"/>
  <c r="AR88" i="20" a="1"/>
  <c r="AR88" i="20" s="1"/>
  <c r="AR83" i="20" a="1"/>
  <c r="AR83" i="20" s="1"/>
  <c r="AR79" i="20" a="1"/>
  <c r="AR79" i="20" s="1"/>
  <c r="AR70" i="20" a="1"/>
  <c r="AR70" i="20" s="1"/>
  <c r="AR66" i="20" a="1"/>
  <c r="AR66" i="20" s="1"/>
  <c r="AR47" i="20" a="1"/>
  <c r="AR47" i="20" s="1"/>
  <c r="AR45" i="20" a="1"/>
  <c r="AR45" i="20" s="1"/>
  <c r="AR61" i="20" a="1"/>
  <c r="AR61" i="20" s="1"/>
  <c r="AR57" i="20" a="1"/>
  <c r="AR57" i="20" s="1"/>
  <c r="AR34" i="20" a="1"/>
  <c r="AR34" i="20" s="1"/>
  <c r="AR24" i="20" a="1"/>
  <c r="AR24" i="20" s="1"/>
  <c r="AR36" i="20" a="1"/>
  <c r="AR36" i="20" s="1"/>
  <c r="AR28" i="20" a="1"/>
  <c r="AR28" i="20" s="1"/>
  <c r="AR21" i="20" a="1"/>
  <c r="AR21" i="20" s="1"/>
  <c r="AR14" i="20" a="1"/>
  <c r="AR14" i="20" s="1"/>
  <c r="AR22" i="20" a="1"/>
  <c r="AR22" i="20" s="1"/>
  <c r="AR17" i="20" a="1"/>
  <c r="AR17" i="20" s="1"/>
  <c r="AR12" i="20" a="1"/>
  <c r="AR12" i="20" s="1"/>
  <c r="AR39" i="20" a="1"/>
  <c r="AR39" i="20" s="1"/>
  <c r="AR30" i="20" a="1"/>
  <c r="AR30" i="20" s="1"/>
  <c r="AR37" i="20" a="1"/>
  <c r="AR37" i="20" s="1"/>
  <c r="AR18" i="20" a="1"/>
  <c r="AR18" i="20" s="1"/>
  <c r="AR42" i="20" a="1"/>
  <c r="AR42" i="20" s="1"/>
  <c r="AR33" i="20" a="1"/>
  <c r="AR33" i="20" s="1"/>
  <c r="AR20" i="20" a="1"/>
  <c r="AR20" i="20" s="1"/>
  <c r="AQ760" i="9"/>
  <c r="AR104" i="3"/>
  <c r="AR81" i="3"/>
  <c r="AR726" i="9"/>
  <c r="AR237" i="3"/>
  <c r="AS166" i="3"/>
  <c r="AS189" i="3" s="1"/>
  <c r="AR723" i="9"/>
  <c r="AR234" i="3"/>
  <c r="AR722" i="9"/>
  <c r="AR233" i="3"/>
  <c r="AR94" i="3"/>
  <c r="AR71" i="3"/>
  <c r="AQ743" i="9"/>
  <c r="AQ744" i="9"/>
  <c r="AQ77" i="33"/>
  <c r="AQ195" i="30"/>
  <c r="AQ78" i="33" s="1"/>
  <c r="W160" i="26"/>
  <c r="W159" i="26"/>
  <c r="AR208" i="26"/>
  <c r="AR89" i="26"/>
  <c r="AR111" i="26"/>
  <c r="AR138" i="26"/>
  <c r="AR63" i="26"/>
  <c r="AR86" i="26"/>
  <c r="AR143" i="26"/>
  <c r="AR124" i="26"/>
  <c r="AR201" i="26"/>
  <c r="AR182" i="26"/>
  <c r="AR181" i="26"/>
  <c r="AR200" i="26"/>
  <c r="AR85" i="26"/>
  <c r="AR94" i="26"/>
  <c r="AR119" i="26"/>
  <c r="AR145" i="26"/>
  <c r="AR70" i="26"/>
  <c r="AR123" i="26"/>
  <c r="AR117" i="26"/>
  <c r="AR176" i="26"/>
  <c r="AR183" i="26"/>
  <c r="AR207" i="26"/>
  <c r="AR177" i="26"/>
  <c r="AR73" i="26"/>
  <c r="AR74" i="26"/>
  <c r="AR114" i="26"/>
  <c r="AR142" i="26"/>
  <c r="AR116" i="26"/>
  <c r="AR96" i="26"/>
  <c r="AR87" i="26"/>
  <c r="AR198" i="26"/>
  <c r="AR203" i="26"/>
  <c r="AR178" i="26"/>
  <c r="AR141" i="26"/>
  <c r="AR65" i="26"/>
  <c r="AR147" i="26"/>
  <c r="AR112" i="26"/>
  <c r="AR140" i="26"/>
  <c r="AR99" i="26"/>
  <c r="AR90" i="26"/>
  <c r="AR67" i="26"/>
  <c r="AR174" i="26"/>
  <c r="AR199" i="26"/>
  <c r="AR172" i="26"/>
  <c r="AR144" i="26"/>
  <c r="AR121" i="26"/>
  <c r="AR150" i="26"/>
  <c r="AR125" i="26"/>
  <c r="AR98" i="26"/>
  <c r="AR122" i="26"/>
  <c r="AR66" i="26"/>
  <c r="AR71" i="26"/>
  <c r="AR61" i="26"/>
  <c r="AR209" i="26"/>
  <c r="AR206" i="26"/>
  <c r="AR179" i="26"/>
  <c r="AR196" i="26"/>
  <c r="AR113" i="26"/>
  <c r="AR148" i="26"/>
  <c r="AR91" i="26"/>
  <c r="AR88" i="26"/>
  <c r="AR120" i="26"/>
  <c r="AR64" i="26"/>
  <c r="AR175" i="26"/>
  <c r="AR72" i="26"/>
  <c r="AR195" i="26"/>
  <c r="AR173" i="26"/>
  <c r="AR171" i="26"/>
  <c r="AR205" i="26"/>
  <c r="AR97" i="26"/>
  <c r="AR137" i="26"/>
  <c r="AR146" i="26"/>
  <c r="AR69" i="26"/>
  <c r="AR115" i="26"/>
  <c r="AR60" i="26"/>
  <c r="AR151" i="26"/>
  <c r="AR68" i="26"/>
  <c r="AR184" i="26"/>
  <c r="AR202" i="26"/>
  <c r="AR197" i="26"/>
  <c r="AR93" i="26"/>
  <c r="AR118" i="26"/>
  <c r="AR139" i="26"/>
  <c r="AR95" i="26"/>
  <c r="AR92" i="26"/>
  <c r="AR180" i="26"/>
  <c r="AR149" i="26"/>
  <c r="AR62" i="26"/>
  <c r="AR204" i="26"/>
  <c r="AR185" i="26"/>
  <c r="AR95" i="3"/>
  <c r="AR72" i="3"/>
  <c r="AS148" i="3"/>
  <c r="AS151" i="3"/>
  <c r="AR718" i="9"/>
  <c r="AR229" i="3"/>
  <c r="AR725" i="9"/>
  <c r="AR236" i="3"/>
  <c r="AQ751" i="9"/>
  <c r="AM23" i="32"/>
  <c r="AM112" i="30"/>
  <c r="AM114" i="30"/>
  <c r="AQ746" i="9"/>
  <c r="AQ13" i="30"/>
  <c r="AQ102" i="20"/>
  <c r="AQ741" i="9"/>
  <c r="AR339" i="9"/>
  <c r="AR292" i="9"/>
  <c r="AR425" i="9"/>
  <c r="AR434" i="9"/>
  <c r="AR406" i="9"/>
  <c r="AR415" i="9"/>
  <c r="AR396" i="9"/>
  <c r="AR377" i="9"/>
  <c r="AR330" i="9"/>
  <c r="AR368" i="9"/>
  <c r="AR282" i="9"/>
  <c r="AR206" i="9"/>
  <c r="AR197" i="9"/>
  <c r="AR349" i="9"/>
  <c r="AR178" i="9"/>
  <c r="AR387" i="9"/>
  <c r="AR225" i="9"/>
  <c r="AR254" i="9"/>
  <c r="AR216" i="9"/>
  <c r="AR187" i="9"/>
  <c r="AR263" i="9"/>
  <c r="AR320" i="9"/>
  <c r="AR311" i="9"/>
  <c r="AR358" i="9"/>
  <c r="AR301" i="9"/>
  <c r="AR130" i="9"/>
  <c r="AR83" i="9"/>
  <c r="AR244" i="9"/>
  <c r="AR121" i="9"/>
  <c r="AR92" i="9"/>
  <c r="AR64" i="9"/>
  <c r="AR168" i="9"/>
  <c r="AR111" i="9"/>
  <c r="AR73" i="9"/>
  <c r="AR159" i="9"/>
  <c r="AR149" i="9"/>
  <c r="AR235" i="9"/>
  <c r="AR102" i="9"/>
  <c r="AR273" i="9"/>
  <c r="AR140" i="9"/>
  <c r="AR96" i="3"/>
  <c r="AR73" i="3"/>
  <c r="AQ753" i="9"/>
  <c r="AS152" i="3"/>
  <c r="AS156" i="3"/>
  <c r="AR87" i="3"/>
  <c r="AP174" i="20"/>
  <c r="AP181" i="20" s="1"/>
  <c r="AP62" i="30" s="1"/>
  <c r="AP156" i="20"/>
  <c r="AP166" i="20" s="1"/>
  <c r="AR712" i="9"/>
  <c r="AR781" i="9" s="1"/>
  <c r="AR714" i="9"/>
  <c r="AR783" i="9" s="1"/>
  <c r="AR806" i="9" s="1"/>
  <c r="AR707" i="9"/>
  <c r="AR776" i="9" s="1"/>
  <c r="AR799" i="9" s="1"/>
  <c r="AR699" i="9"/>
  <c r="AR768" i="9" s="1"/>
  <c r="AR791" i="9" s="1"/>
  <c r="AR703" i="9"/>
  <c r="AR772" i="9" s="1"/>
  <c r="AR795" i="9" s="1"/>
  <c r="AR698" i="9"/>
  <c r="AR767" i="9" s="1"/>
  <c r="AR710" i="9"/>
  <c r="AR779" i="9" s="1"/>
  <c r="AR802" i="9" s="1"/>
  <c r="AR708" i="9"/>
  <c r="AR777" i="9" s="1"/>
  <c r="AR800" i="9" s="1"/>
  <c r="AR705" i="9"/>
  <c r="AR774" i="9" s="1"/>
  <c r="AR797" i="9" s="1"/>
  <c r="AR713" i="9"/>
  <c r="AR782" i="9" s="1"/>
  <c r="AR695" i="9"/>
  <c r="AR764" i="9" s="1"/>
  <c r="AR787" i="9" s="1"/>
  <c r="AR702" i="9"/>
  <c r="AR771" i="9" s="1"/>
  <c r="AR794" i="9" s="1"/>
  <c r="AR700" i="9"/>
  <c r="AR769" i="9" s="1"/>
  <c r="AR792" i="9" s="1"/>
  <c r="AR697" i="9"/>
  <c r="AR766" i="9" s="1"/>
  <c r="AR709" i="9"/>
  <c r="AR778" i="9" s="1"/>
  <c r="AR801" i="9" s="1"/>
  <c r="AR704" i="9"/>
  <c r="AR773" i="9" s="1"/>
  <c r="AR796" i="9" s="1"/>
  <c r="AR711" i="9"/>
  <c r="AR780" i="9" s="1"/>
  <c r="AR803" i="9" s="1"/>
  <c r="AR706" i="9"/>
  <c r="AR775" i="9" s="1"/>
  <c r="AR701" i="9"/>
  <c r="AR770" i="9" s="1"/>
  <c r="AR793" i="9" s="1"/>
  <c r="AR696" i="9"/>
  <c r="AR765" i="9" s="1"/>
  <c r="AR788" i="9" s="1"/>
  <c r="AO82" i="35"/>
  <c r="AO67" i="33"/>
  <c r="AO69" i="33" s="1"/>
  <c r="AO31" i="32"/>
  <c r="AO27" i="32"/>
  <c r="AO208" i="30"/>
  <c r="AO92" i="33" s="1"/>
  <c r="W161" i="6"/>
  <c r="W60" i="6"/>
  <c r="W200" i="6"/>
  <c r="W194" i="6"/>
  <c r="W76" i="6"/>
  <c r="W182" i="6"/>
  <c r="W175" i="6"/>
  <c r="W64" i="6"/>
  <c r="W132" i="6"/>
  <c r="W163" i="6"/>
  <c r="W70" i="6"/>
  <c r="W203" i="6"/>
  <c r="W79" i="6"/>
  <c r="W86" i="6"/>
  <c r="W197" i="6"/>
  <c r="W191" i="6"/>
  <c r="W56" i="6"/>
  <c r="W170" i="6"/>
  <c r="W188" i="6"/>
  <c r="W157" i="6"/>
  <c r="W167" i="6"/>
  <c r="W185" i="6"/>
  <c r="W73" i="6"/>
  <c r="W173" i="6"/>
  <c r="AR97" i="3"/>
  <c r="AR74" i="3"/>
  <c r="AR93" i="3"/>
  <c r="AR70" i="3"/>
  <c r="AR731" i="9"/>
  <c r="AR242" i="3"/>
  <c r="AP47" i="30"/>
  <c r="AP38" i="30"/>
  <c r="AS154" i="3"/>
  <c r="AS137" i="3"/>
  <c r="AS149" i="3"/>
  <c r="AR79" i="3"/>
  <c r="AR733" i="9"/>
  <c r="AR244" i="3"/>
  <c r="AR737" i="9"/>
  <c r="AR248" i="3"/>
  <c r="C121" i="23"/>
  <c r="C120" i="23" a="1"/>
  <c r="AS190" i="3" l="1"/>
  <c r="AR798" i="9"/>
  <c r="AR804" i="9"/>
  <c r="AR827" i="9" s="1"/>
  <c r="AQ24" i="30"/>
  <c r="AS191" i="3"/>
  <c r="AS260" i="3" s="1"/>
  <c r="AS283" i="3" s="1"/>
  <c r="AR60" i="20"/>
  <c r="AR18" i="30" s="1"/>
  <c r="AR789" i="9"/>
  <c r="AR812" i="9" s="1"/>
  <c r="AR790" i="9"/>
  <c r="AR813" i="9" s="1"/>
  <c r="AS176" i="3"/>
  <c r="AS199" i="3" s="1"/>
  <c r="AR29" i="20"/>
  <c r="AR14" i="30" s="1"/>
  <c r="AQ30" i="30"/>
  <c r="AP33" i="32"/>
  <c r="AR805" i="9"/>
  <c r="AR828" i="9" s="1"/>
  <c r="AQ141" i="20"/>
  <c r="AQ146" i="20" s="1"/>
  <c r="AQ156" i="20" s="1"/>
  <c r="AQ166" i="20" s="1"/>
  <c r="AR751" i="9"/>
  <c r="AR747" i="9"/>
  <c r="AR114" i="20"/>
  <c r="AR27" i="30" s="1"/>
  <c r="AR750" i="9"/>
  <c r="AS211" i="3"/>
  <c r="AS257" i="3"/>
  <c r="AS280" i="3" s="1"/>
  <c r="AS258" i="3"/>
  <c r="AS281" i="3" s="1"/>
  <c r="AS212" i="3"/>
  <c r="AS208" i="3"/>
  <c r="AS254" i="3"/>
  <c r="AS277" i="3" s="1"/>
  <c r="W99" i="30"/>
  <c r="BY170" i="6"/>
  <c r="BY99" i="30" s="1"/>
  <c r="W97" i="30"/>
  <c r="BY163" i="6"/>
  <c r="BY97" i="30" s="1"/>
  <c r="W80" i="30"/>
  <c r="BY64" i="6"/>
  <c r="BY80" i="30" s="1"/>
  <c r="W107" i="30"/>
  <c r="BY197" i="6"/>
  <c r="BY107" i="30" s="1"/>
  <c r="BY171" i="30" s="1"/>
  <c r="W103" i="33"/>
  <c r="W216" i="30"/>
  <c r="W191" i="30"/>
  <c r="W86" i="30"/>
  <c r="BY86" i="6"/>
  <c r="AP257" i="6"/>
  <c r="AP259" i="6" s="1"/>
  <c r="AP170" i="20"/>
  <c r="AP60" i="30" s="1"/>
  <c r="AS174" i="3"/>
  <c r="AS197" i="3" s="1"/>
  <c r="AS172" i="3"/>
  <c r="AS195" i="3" s="1"/>
  <c r="W104" i="30"/>
  <c r="BY188" i="6"/>
  <c r="BY104" i="30" s="1"/>
  <c r="W81" i="30"/>
  <c r="X67" i="6"/>
  <c r="BY70" i="6"/>
  <c r="W108" i="30"/>
  <c r="BY200" i="6"/>
  <c r="BY108" i="30" s="1"/>
  <c r="BY165" i="30" s="1"/>
  <c r="AS179" i="3"/>
  <c r="AS202" i="3" s="1"/>
  <c r="W89" i="6"/>
  <c r="W161" i="26"/>
  <c r="BY159" i="26"/>
  <c r="DB159" i="26"/>
  <c r="AS224" i="3"/>
  <c r="AS270" i="3"/>
  <c r="AS293" i="3" s="1"/>
  <c r="AR820" i="9"/>
  <c r="AR829" i="9"/>
  <c r="AR821" i="9"/>
  <c r="AR819" i="9"/>
  <c r="AR811" i="9"/>
  <c r="AR817" i="9"/>
  <c r="AR826" i="9"/>
  <c r="AR810" i="9"/>
  <c r="AR825" i="9"/>
  <c r="AR824" i="9"/>
  <c r="AR823" i="9"/>
  <c r="AR822" i="9"/>
  <c r="AR818" i="9"/>
  <c r="AR816" i="9"/>
  <c r="AR815" i="9"/>
  <c r="AR814" i="9"/>
  <c r="W47" i="6"/>
  <c r="DB160" i="26"/>
  <c r="BY160" i="26"/>
  <c r="AS207" i="3"/>
  <c r="AS253" i="3"/>
  <c r="AS276" i="3" s="1"/>
  <c r="AR24" i="32"/>
  <c r="AR25" i="32" s="1"/>
  <c r="AR24" i="35" s="1"/>
  <c r="AR85" i="20"/>
  <c r="AR20" i="30" s="1"/>
  <c r="AO212" i="30"/>
  <c r="AR736" i="9"/>
  <c r="AR247" i="3"/>
  <c r="AR720" i="9"/>
  <c r="AR231" i="3"/>
  <c r="AR721" i="9"/>
  <c r="AR232" i="3"/>
  <c r="AS160" i="3"/>
  <c r="AS183" i="3" s="1"/>
  <c r="AS175" i="3"/>
  <c r="AS198" i="3" s="1"/>
  <c r="AS177" i="3"/>
  <c r="AS200" i="3" s="1"/>
  <c r="W78" i="30"/>
  <c r="BY56" i="6"/>
  <c r="BY78" i="30" s="1"/>
  <c r="W94" i="30"/>
  <c r="BY132" i="6"/>
  <c r="BY94" i="30" s="1"/>
  <c r="W164" i="6"/>
  <c r="BY161" i="6"/>
  <c r="AR645" i="9"/>
  <c r="AR748" i="9"/>
  <c r="AQ80" i="33"/>
  <c r="AR194" i="30"/>
  <c r="AR179" i="30"/>
  <c r="AR65" i="33" s="1"/>
  <c r="AS169" i="3"/>
  <c r="AS192" i="3" s="1"/>
  <c r="AS209" i="3"/>
  <c r="AS255" i="3"/>
  <c r="AS278" i="3" s="1"/>
  <c r="AS213" i="3"/>
  <c r="AS259" i="3"/>
  <c r="AS282" i="3" s="1"/>
  <c r="AS164" i="3"/>
  <c r="AS187" i="3" s="1"/>
  <c r="W79" i="30"/>
  <c r="BY60" i="6"/>
  <c r="BY79" i="30" s="1"/>
  <c r="W105" i="30"/>
  <c r="BY191" i="6"/>
  <c r="BY105" i="30" s="1"/>
  <c r="BY170" i="30" s="1"/>
  <c r="AR44" i="30"/>
  <c r="AR45" i="30" s="1"/>
  <c r="AR154" i="20"/>
  <c r="AS4" i="11"/>
  <c r="AS16" i="3"/>
  <c r="AS30" i="3"/>
  <c r="AS22" i="3"/>
  <c r="AS4" i="35"/>
  <c r="AS4" i="33"/>
  <c r="AT4" i="12"/>
  <c r="AS4" i="32"/>
  <c r="AS4" i="30"/>
  <c r="AS4" i="38"/>
  <c r="AS4" i="6"/>
  <c r="AS4" i="9"/>
  <c r="AS4" i="26"/>
  <c r="AS4" i="16"/>
  <c r="AS4" i="22"/>
  <c r="AS4" i="20"/>
  <c r="AS4" i="1"/>
  <c r="AS4" i="28"/>
  <c r="AS20" i="3"/>
  <c r="AS170" i="3"/>
  <c r="AS193" i="3" s="1"/>
  <c r="AR735" i="9"/>
  <c r="AR246" i="3"/>
  <c r="AR741" i="9"/>
  <c r="AR745" i="9"/>
  <c r="AR23" i="20"/>
  <c r="AR90" i="20"/>
  <c r="AR21" i="30" s="1"/>
  <c r="AR23" i="30"/>
  <c r="AR179" i="20"/>
  <c r="AR52" i="30"/>
  <c r="AR54" i="30" s="1"/>
  <c r="AR41" i="6"/>
  <c r="AR44" i="6" s="1"/>
  <c r="AR164" i="20"/>
  <c r="AT10" i="3"/>
  <c r="AT138" i="3" s="1"/>
  <c r="AR719" i="9"/>
  <c r="AR230" i="3"/>
  <c r="AS219" i="3"/>
  <c r="AS265" i="3"/>
  <c r="AS288" i="3" s="1"/>
  <c r="AR38" i="20"/>
  <c r="AR15" i="30" s="1"/>
  <c r="AR96" i="20"/>
  <c r="AR53" i="20"/>
  <c r="AR17" i="30" s="1"/>
  <c r="AR131" i="20"/>
  <c r="AR132" i="20" s="1"/>
  <c r="AS3" i="11"/>
  <c r="AS14" i="3"/>
  <c r="AS3" i="35"/>
  <c r="AS3" i="33"/>
  <c r="AT3" i="12"/>
  <c r="AS3" i="32"/>
  <c r="AS3" i="30"/>
  <c r="AS3" i="38"/>
  <c r="AS3" i="6"/>
  <c r="AS3" i="9"/>
  <c r="AS3" i="26"/>
  <c r="AS3" i="16"/>
  <c r="AS3" i="22"/>
  <c r="AS3" i="20"/>
  <c r="AS3" i="1"/>
  <c r="AS3" i="28"/>
  <c r="AS37" i="3"/>
  <c r="AR753" i="9"/>
  <c r="W176" i="6"/>
  <c r="BY173" i="6"/>
  <c r="AQ14" i="32"/>
  <c r="AR760" i="9"/>
  <c r="W100" i="30"/>
  <c r="BY175" i="6"/>
  <c r="BY100" i="30" s="1"/>
  <c r="BY21" i="35" s="1"/>
  <c r="W103" i="30"/>
  <c r="BY185" i="6"/>
  <c r="BY103" i="30" s="1"/>
  <c r="BY173" i="30" s="1"/>
  <c r="AR756" i="9"/>
  <c r="AR754" i="9"/>
  <c r="W98" i="30"/>
  <c r="BY167" i="6"/>
  <c r="BY98" i="30" s="1"/>
  <c r="W102" i="33"/>
  <c r="W215" i="30"/>
  <c r="W84" i="30"/>
  <c r="BY79" i="6"/>
  <c r="W83" i="30"/>
  <c r="BY76" i="6"/>
  <c r="BY83" i="30" s="1"/>
  <c r="BY168" i="30" s="1"/>
  <c r="AO94" i="33"/>
  <c r="AS171" i="3"/>
  <c r="AS194" i="3" s="1"/>
  <c r="AR746" i="9"/>
  <c r="AR749" i="9"/>
  <c r="AR46" i="20"/>
  <c r="AR16" i="30" s="1"/>
  <c r="AR25" i="30"/>
  <c r="AR74" i="20"/>
  <c r="AR19" i="30" s="1"/>
  <c r="AS5" i="11"/>
  <c r="AS59" i="3"/>
  <c r="AS51" i="3"/>
  <c r="AS97" i="3" s="1"/>
  <c r="AS55" i="3"/>
  <c r="AS50" i="3"/>
  <c r="AS96" i="3" s="1"/>
  <c r="AS63" i="3"/>
  <c r="AS109" i="3" s="1"/>
  <c r="AS58" i="3"/>
  <c r="AS104" i="3" s="1"/>
  <c r="AS57" i="3"/>
  <c r="AS52" i="3"/>
  <c r="AS98" i="3" s="1"/>
  <c r="AS64" i="3"/>
  <c r="AS110" i="3" s="1"/>
  <c r="AS62" i="3"/>
  <c r="AS108" i="3" s="1"/>
  <c r="AS47" i="3"/>
  <c r="AS93" i="3" s="1"/>
  <c r="AS53" i="3"/>
  <c r="AS49" i="3"/>
  <c r="AS95" i="3" s="1"/>
  <c r="AS48" i="3"/>
  <c r="AS94" i="3" s="1"/>
  <c r="AS56" i="3"/>
  <c r="AS102" i="3" s="1"/>
  <c r="AS54" i="3"/>
  <c r="AS100" i="3" s="1"/>
  <c r="AS45" i="3"/>
  <c r="AS46" i="3"/>
  <c r="AS61" i="3"/>
  <c r="AS60" i="3"/>
  <c r="AS106" i="3" s="1"/>
  <c r="AS5" i="35"/>
  <c r="AS5" i="33"/>
  <c r="AT5" i="12"/>
  <c r="AS5" i="32"/>
  <c r="AS5" i="30"/>
  <c r="AS5" i="38"/>
  <c r="AS5" i="6"/>
  <c r="AS5" i="9"/>
  <c r="AS5" i="26"/>
  <c r="AS5" i="16"/>
  <c r="AS5" i="22"/>
  <c r="AS5" i="20"/>
  <c r="AS5" i="1"/>
  <c r="AS5" i="28"/>
  <c r="AS115" i="3"/>
  <c r="AS130" i="3"/>
  <c r="AS128" i="3"/>
  <c r="AS127" i="3"/>
  <c r="AS124" i="3"/>
  <c r="AS119" i="3"/>
  <c r="AS121" i="3"/>
  <c r="AS126" i="3"/>
  <c r="AS125" i="3"/>
  <c r="AS123" i="3"/>
  <c r="AS117" i="3"/>
  <c r="AS122" i="3"/>
  <c r="AS120" i="3"/>
  <c r="AS116" i="3"/>
  <c r="AS114" i="3"/>
  <c r="AS133" i="3"/>
  <c r="AS132" i="3"/>
  <c r="AS118" i="3"/>
  <c r="AS129" i="3"/>
  <c r="AS131" i="3"/>
  <c r="AN23" i="32"/>
  <c r="AN112" i="30"/>
  <c r="AN114" i="30"/>
  <c r="AR732" i="9"/>
  <c r="AR243" i="3"/>
  <c r="AR734" i="9"/>
  <c r="AR245" i="3"/>
  <c r="AP54" i="33"/>
  <c r="AP148" i="30"/>
  <c r="AP180" i="30" s="1"/>
  <c r="AP56" i="30"/>
  <c r="AP58" i="30" s="1"/>
  <c r="W82" i="30"/>
  <c r="BY73" i="6"/>
  <c r="BY82" i="30" s="1"/>
  <c r="BY167" i="30" s="1"/>
  <c r="W102" i="30"/>
  <c r="BY182" i="6"/>
  <c r="BY102" i="30" s="1"/>
  <c r="BY172" i="30" s="1"/>
  <c r="AS79" i="3"/>
  <c r="W96" i="30"/>
  <c r="BY157" i="6"/>
  <c r="BY96" i="30" s="1"/>
  <c r="W109" i="30"/>
  <c r="BY203" i="6"/>
  <c r="BY109" i="30" s="1"/>
  <c r="BY166" i="30" s="1"/>
  <c r="W106" i="30"/>
  <c r="BY194" i="6"/>
  <c r="W144" i="1"/>
  <c r="AR13" i="20"/>
  <c r="AR729" i="9"/>
  <c r="AR240" i="3"/>
  <c r="C120" i="23"/>
  <c r="C119" i="23" a="1"/>
  <c r="AQ32" i="30" l="1"/>
  <c r="AQ36" i="30" s="1"/>
  <c r="AS214" i="3"/>
  <c r="AS81" i="3"/>
  <c r="AT147" i="3"/>
  <c r="AS222" i="3"/>
  <c r="AS268" i="3"/>
  <c r="AS291" i="3" s="1"/>
  <c r="AS83" i="3"/>
  <c r="AS70" i="3"/>
  <c r="AT153" i="3"/>
  <c r="AT140" i="3"/>
  <c r="AT163" i="3" s="1"/>
  <c r="AT186" i="3" s="1"/>
  <c r="AS75" i="3"/>
  <c r="AS86" i="3"/>
  <c r="AT155" i="3"/>
  <c r="AT178" i="3" s="1"/>
  <c r="AT201" i="3" s="1"/>
  <c r="AS74" i="3"/>
  <c r="AS85" i="3"/>
  <c r="BY176" i="6"/>
  <c r="BY123" i="30" s="1"/>
  <c r="AT152" i="3"/>
  <c r="AT146" i="3"/>
  <c r="AT169" i="3" s="1"/>
  <c r="AT192" i="3" s="1"/>
  <c r="BY164" i="6"/>
  <c r="BY122" i="30" s="1"/>
  <c r="AQ174" i="20"/>
  <c r="AQ181" i="20" s="1"/>
  <c r="AQ62" i="30" s="1"/>
  <c r="AR752" i="9"/>
  <c r="AR744" i="9"/>
  <c r="AR758" i="9"/>
  <c r="AR755" i="9"/>
  <c r="AS216" i="3"/>
  <c r="AS262" i="3"/>
  <c r="AS285" i="3" s="1"/>
  <c r="AS269" i="3"/>
  <c r="AS292" i="3" s="1"/>
  <c r="AS223" i="3"/>
  <c r="AS267" i="3"/>
  <c r="AS290" i="3" s="1"/>
  <c r="AS221" i="3"/>
  <c r="AR28" i="30"/>
  <c r="AR26" i="32" s="1"/>
  <c r="AR25" i="35" s="1"/>
  <c r="AR139" i="20"/>
  <c r="AT161" i="3"/>
  <c r="AT184" i="3" s="1"/>
  <c r="AS210" i="3"/>
  <c r="AS256" i="3"/>
  <c r="AS279" i="3" s="1"/>
  <c r="AS107" i="3"/>
  <c r="AS84" i="3"/>
  <c r="W175" i="30"/>
  <c r="CS84" i="30"/>
  <c r="W21" i="35"/>
  <c r="CV100" i="30"/>
  <c r="CS100" i="30"/>
  <c r="AT143" i="3"/>
  <c r="AT145" i="3"/>
  <c r="AS712" i="9"/>
  <c r="AS781" i="9" s="1"/>
  <c r="AS704" i="9"/>
  <c r="AS773" i="9" s="1"/>
  <c r="AS696" i="9"/>
  <c r="AS765" i="9" s="1"/>
  <c r="AS788" i="9" s="1"/>
  <c r="AS710" i="9"/>
  <c r="AS779" i="9" s="1"/>
  <c r="AS708" i="9"/>
  <c r="AS777" i="9" s="1"/>
  <c r="AS800" i="9" s="1"/>
  <c r="AS705" i="9"/>
  <c r="AS774" i="9" s="1"/>
  <c r="AS713" i="9"/>
  <c r="AS782" i="9" s="1"/>
  <c r="AS805" i="9" s="1"/>
  <c r="AS695" i="9"/>
  <c r="AS764" i="9" s="1"/>
  <c r="AS702" i="9"/>
  <c r="AS771" i="9" s="1"/>
  <c r="AS794" i="9" s="1"/>
  <c r="AS700" i="9"/>
  <c r="AS769" i="9" s="1"/>
  <c r="AS792" i="9" s="1"/>
  <c r="AS697" i="9"/>
  <c r="AS766" i="9" s="1"/>
  <c r="AS789" i="9" s="1"/>
  <c r="AS709" i="9"/>
  <c r="AS778" i="9" s="1"/>
  <c r="AS707" i="9"/>
  <c r="AS776" i="9" s="1"/>
  <c r="AS711" i="9"/>
  <c r="AS780" i="9" s="1"/>
  <c r="AS706" i="9"/>
  <c r="AS775" i="9" s="1"/>
  <c r="AS701" i="9"/>
  <c r="AS770" i="9" s="1"/>
  <c r="AS793" i="9" s="1"/>
  <c r="AS699" i="9"/>
  <c r="AS768" i="9" s="1"/>
  <c r="AS714" i="9"/>
  <c r="AS783" i="9" s="1"/>
  <c r="AS703" i="9"/>
  <c r="AS772" i="9" s="1"/>
  <c r="AS795" i="9" s="1"/>
  <c r="AS698" i="9"/>
  <c r="AS767" i="9" s="1"/>
  <c r="AS790" i="9" s="1"/>
  <c r="AS26" i="3"/>
  <c r="AS28" i="3"/>
  <c r="BY15" i="35"/>
  <c r="BY16" i="35" s="1"/>
  <c r="AQ257" i="6"/>
  <c r="AQ170" i="20"/>
  <c r="AQ60" i="30" s="1"/>
  <c r="AR743" i="9"/>
  <c r="W87" i="30"/>
  <c r="AP136" i="30"/>
  <c r="AP137" i="30" s="1"/>
  <c r="AQ256" i="6"/>
  <c r="BY106" i="30"/>
  <c r="BY169" i="30" s="1"/>
  <c r="BY144" i="1"/>
  <c r="W169" i="30"/>
  <c r="CS106" i="30"/>
  <c r="CS96" i="30"/>
  <c r="CV96" i="30"/>
  <c r="W172" i="30"/>
  <c r="CV102" i="30"/>
  <c r="CS102" i="30"/>
  <c r="AS92" i="3"/>
  <c r="AS69" i="3"/>
  <c r="AS101" i="3"/>
  <c r="AS78" i="3"/>
  <c r="AS731" i="9"/>
  <c r="AS242" i="3"/>
  <c r="AT175" i="3"/>
  <c r="AT198" i="3" s="1"/>
  <c r="AT41" i="3"/>
  <c r="AT24" i="3"/>
  <c r="AT12" i="3"/>
  <c r="AT3" i="3" s="1"/>
  <c r="AU8" i="3"/>
  <c r="AT5" i="3"/>
  <c r="AT4" i="3"/>
  <c r="AT150" i="3"/>
  <c r="AS726" i="9"/>
  <c r="AS237" i="3"/>
  <c r="AS721" i="9"/>
  <c r="AS232" i="3"/>
  <c r="BY47" i="6"/>
  <c r="BY73" i="30" s="1"/>
  <c r="DE160" i="26"/>
  <c r="AS72" i="3"/>
  <c r="CV80" i="30"/>
  <c r="CS80" i="30"/>
  <c r="CV99" i="30"/>
  <c r="CS99" i="30"/>
  <c r="AS91" i="3"/>
  <c r="AS68" i="3"/>
  <c r="AQ47" i="30"/>
  <c r="AQ38" i="30"/>
  <c r="AT170" i="3"/>
  <c r="AT193" i="3" s="1"/>
  <c r="CV94" i="30"/>
  <c r="CS94" i="30"/>
  <c r="AR759" i="9"/>
  <c r="CV104" i="30"/>
  <c r="CS104" i="30"/>
  <c r="AR13" i="30"/>
  <c r="AR102" i="20"/>
  <c r="AQ28" i="32"/>
  <c r="AQ33" i="32"/>
  <c r="AR742" i="9"/>
  <c r="AT141" i="3"/>
  <c r="AT139" i="3"/>
  <c r="AS18" i="3"/>
  <c r="W15" i="35"/>
  <c r="W16" i="35" s="1"/>
  <c r="W15" i="36"/>
  <c r="W162" i="30"/>
  <c r="CV79" i="30"/>
  <c r="CS79" i="30"/>
  <c r="AS215" i="3"/>
  <c r="AS261" i="3"/>
  <c r="AS284" i="3" s="1"/>
  <c r="AO96" i="33"/>
  <c r="AO101" i="33" s="1"/>
  <c r="AO104" i="33" s="1"/>
  <c r="AP211" i="30"/>
  <c r="AO214" i="30"/>
  <c r="AO217" i="30" s="1"/>
  <c r="AO83" i="6"/>
  <c r="W73" i="30"/>
  <c r="AS736" i="9"/>
  <c r="AS247" i="3"/>
  <c r="AS225" i="3"/>
  <c r="AS271" i="3"/>
  <c r="AS294" i="3" s="1"/>
  <c r="BY103" i="33"/>
  <c r="BY216" i="30"/>
  <c r="BY191" i="30"/>
  <c r="BY74" i="33" s="1"/>
  <c r="BY86" i="30"/>
  <c r="CV86" i="30" s="1"/>
  <c r="W171" i="30"/>
  <c r="CV107" i="30"/>
  <c r="CS107" i="30"/>
  <c r="AS720" i="9"/>
  <c r="AS231" i="3"/>
  <c r="AR757" i="9"/>
  <c r="AS87" i="3"/>
  <c r="AS103" i="3"/>
  <c r="AS80" i="3"/>
  <c r="W168" i="30"/>
  <c r="CV83" i="30"/>
  <c r="CS83" i="30"/>
  <c r="W173" i="30"/>
  <c r="CV103" i="30"/>
  <c r="CS103" i="30"/>
  <c r="AT176" i="3"/>
  <c r="AT199" i="3" s="1"/>
  <c r="AS180" i="20" a="1"/>
  <c r="AS180" i="20" s="1"/>
  <c r="AS162" i="20" a="1"/>
  <c r="AS162" i="20" s="1"/>
  <c r="AS153" i="20" a="1"/>
  <c r="AS153" i="20" s="1"/>
  <c r="AS150" i="20" a="1"/>
  <c r="AS150" i="20" s="1"/>
  <c r="AS41" i="30" s="1"/>
  <c r="AS129" i="20" a="1"/>
  <c r="AS129" i="20" s="1"/>
  <c r="AS127" i="20" a="1"/>
  <c r="AS127" i="20" s="1"/>
  <c r="AS130" i="20" a="1"/>
  <c r="AS130" i="20" s="1"/>
  <c r="AS135" i="20" a="1"/>
  <c r="AS135" i="20" s="1"/>
  <c r="AS137" i="20" s="1"/>
  <c r="AS29" i="30" s="1"/>
  <c r="AS128" i="20" a="1"/>
  <c r="AS128" i="20" s="1"/>
  <c r="AS124" i="20" a="1"/>
  <c r="AS124" i="20" s="1"/>
  <c r="AS123" i="20" a="1"/>
  <c r="AS123" i="20" s="1"/>
  <c r="AS119" i="20" a="1"/>
  <c r="AS119" i="20" s="1"/>
  <c r="AS125" i="20" a="1"/>
  <c r="AS125" i="20" s="1"/>
  <c r="AS120" i="20" a="1"/>
  <c r="AS120" i="20" s="1"/>
  <c r="AS121" i="20" a="1"/>
  <c r="AS121" i="20" s="1"/>
  <c r="AS117" i="20" a="1"/>
  <c r="AS117" i="20" s="1"/>
  <c r="AS122" i="20" a="1"/>
  <c r="AS122" i="20" s="1"/>
  <c r="AS118" i="20" a="1"/>
  <c r="AS118" i="20" s="1"/>
  <c r="AS105" i="20" a="1"/>
  <c r="AS105" i="20" s="1"/>
  <c r="AS109" i="20" a="1"/>
  <c r="AS109" i="20" s="1"/>
  <c r="AS106" i="20" a="1"/>
  <c r="AS106" i="20" s="1"/>
  <c r="AS110" i="20" a="1"/>
  <c r="AS110" i="20" s="1"/>
  <c r="AS111" i="20" a="1"/>
  <c r="AS111" i="20" s="1"/>
  <c r="AS107" i="20" a="1"/>
  <c r="AS107" i="20" s="1"/>
  <c r="AS112" i="20" a="1"/>
  <c r="AS112" i="20" s="1"/>
  <c r="AS108" i="20" a="1"/>
  <c r="AS108" i="20" s="1"/>
  <c r="AS95" i="20" a="1"/>
  <c r="AS95" i="20" s="1"/>
  <c r="AS81" i="20" a="1"/>
  <c r="AS81" i="20" s="1"/>
  <c r="AS77" i="20" a="1"/>
  <c r="AS77" i="20" s="1"/>
  <c r="AS72" i="20" a="1"/>
  <c r="AS72" i="20" s="1"/>
  <c r="AS68" i="20" a="1"/>
  <c r="AS68" i="20" s="1"/>
  <c r="AS64" i="20" a="1"/>
  <c r="AS64" i="20" s="1"/>
  <c r="AS58" i="20" a="1"/>
  <c r="AS58" i="20" s="1"/>
  <c r="AS51" i="20" a="1"/>
  <c r="AS51" i="20" s="1"/>
  <c r="AS82" i="20" a="1"/>
  <c r="AS82" i="20" s="1"/>
  <c r="AS78" i="20" a="1"/>
  <c r="AS78" i="20" s="1"/>
  <c r="AS73" i="20" a="1"/>
  <c r="AS73" i="20" s="1"/>
  <c r="AS69" i="20" a="1"/>
  <c r="AS69" i="20" s="1"/>
  <c r="AS65" i="20" a="1"/>
  <c r="AS65" i="20" s="1"/>
  <c r="AS54" i="20" a="1"/>
  <c r="AS54" i="20" s="1"/>
  <c r="AS52" i="20" a="1"/>
  <c r="AS52" i="20" s="1"/>
  <c r="AS44" i="20" a="1"/>
  <c r="AS44" i="20" s="1"/>
  <c r="AS36" i="20" a="1"/>
  <c r="AS36" i="20" s="1"/>
  <c r="AS30" i="20" a="1"/>
  <c r="AS30" i="20" s="1"/>
  <c r="AS28" i="20" a="1"/>
  <c r="AS28" i="20" s="1"/>
  <c r="AS20" i="20" a="1"/>
  <c r="AS20" i="20" s="1"/>
  <c r="AS14" i="20" a="1"/>
  <c r="AS14" i="20" s="1"/>
  <c r="AS12" i="20" a="1"/>
  <c r="AS12" i="20" s="1"/>
  <c r="AS47" i="20" a="1"/>
  <c r="AS47" i="20" s="1"/>
  <c r="AS37" i="20" a="1"/>
  <c r="AS37" i="20" s="1"/>
  <c r="AS59" i="20" a="1"/>
  <c r="AS59" i="20" s="1"/>
  <c r="AS39" i="20" a="1"/>
  <c r="AS39" i="20" s="1"/>
  <c r="AS93" i="20" a="1"/>
  <c r="AS93" i="20" s="1"/>
  <c r="AS88" i="20" a="1"/>
  <c r="AS88" i="20" s="1"/>
  <c r="AS83" i="20" a="1"/>
  <c r="AS83" i="20" s="1"/>
  <c r="AS79" i="20" a="1"/>
  <c r="AS79" i="20" s="1"/>
  <c r="AS70" i="20" a="1"/>
  <c r="AS70" i="20" s="1"/>
  <c r="AS66" i="20" a="1"/>
  <c r="AS66" i="20" s="1"/>
  <c r="AS45" i="20" a="1"/>
  <c r="AS45" i="20" s="1"/>
  <c r="AS61" i="20" a="1"/>
  <c r="AS61" i="20" s="1"/>
  <c r="AS57" i="20" a="1"/>
  <c r="AS57" i="20" s="1"/>
  <c r="AS94" i="20" a="1"/>
  <c r="AS94" i="20" s="1"/>
  <c r="AS89" i="20" a="1"/>
  <c r="AS89" i="20" s="1"/>
  <c r="AS84" i="20" a="1"/>
  <c r="AS84" i="20" s="1"/>
  <c r="AS80" i="20" a="1"/>
  <c r="AS80" i="20" s="1"/>
  <c r="AS71" i="20" a="1"/>
  <c r="AS71" i="20" s="1"/>
  <c r="AS67" i="20" a="1"/>
  <c r="AS67" i="20" s="1"/>
  <c r="AS50" i="20" a="1"/>
  <c r="AS50" i="20" s="1"/>
  <c r="AS98" i="20" a="1"/>
  <c r="AS98" i="20" s="1"/>
  <c r="AS100" i="20" s="1"/>
  <c r="AS43" i="20" a="1"/>
  <c r="AS43" i="20" s="1"/>
  <c r="AS22" i="20" a="1"/>
  <c r="AS22" i="20" s="1"/>
  <c r="AS19" i="20" a="1"/>
  <c r="AS19" i="20" s="1"/>
  <c r="AS18" i="20" a="1"/>
  <c r="AS18" i="20" s="1"/>
  <c r="AS33" i="20" a="1"/>
  <c r="AS33" i="20" s="1"/>
  <c r="AS11" i="20" a="1"/>
  <c r="AS11" i="20" s="1"/>
  <c r="AS42" i="20" a="1"/>
  <c r="AS42" i="20" s="1"/>
  <c r="AS35" i="20" a="1"/>
  <c r="AS35" i="20" s="1"/>
  <c r="AS34" i="20" a="1"/>
  <c r="AS34" i="20" s="1"/>
  <c r="AS27" i="20" a="1"/>
  <c r="AS27" i="20" s="1"/>
  <c r="AS24" i="20" a="1"/>
  <c r="AS24" i="20" s="1"/>
  <c r="AS21" i="20" a="1"/>
  <c r="AS21" i="20" s="1"/>
  <c r="AS17" i="20" a="1"/>
  <c r="AS17" i="20" s="1"/>
  <c r="AS252" i="3"/>
  <c r="AS275" i="3" s="1"/>
  <c r="AS206" i="3"/>
  <c r="BY81" i="30"/>
  <c r="BY162" i="30" s="1"/>
  <c r="AS264" i="3"/>
  <c r="AS287" i="3" s="1"/>
  <c r="AS218" i="3"/>
  <c r="CS86" i="30"/>
  <c r="AS73" i="3"/>
  <c r="AS724" i="9"/>
  <c r="AS235" i="3"/>
  <c r="W144" i="20"/>
  <c r="W178" i="20" s="1"/>
  <c r="W178" i="1"/>
  <c r="W166" i="30"/>
  <c r="CV109" i="30"/>
  <c r="CS109" i="30"/>
  <c r="W167" i="30"/>
  <c r="CV82" i="30"/>
  <c r="CS82" i="30"/>
  <c r="AS71" i="3"/>
  <c r="BY18" i="35"/>
  <c r="BY19" i="35" s="1"/>
  <c r="AS734" i="9"/>
  <c r="AS245" i="3"/>
  <c r="AT151" i="3"/>
  <c r="AT154" i="3"/>
  <c r="AR77" i="33"/>
  <c r="AR195" i="30"/>
  <c r="AR78" i="33" s="1"/>
  <c r="BY13" i="35"/>
  <c r="BY161" i="30"/>
  <c r="AS77" i="3"/>
  <c r="BZ67" i="6"/>
  <c r="W118" i="13"/>
  <c r="W74" i="33"/>
  <c r="H28" i="50" s="1"/>
  <c r="P28" i="50" s="1"/>
  <c r="G76" i="50" s="1"/>
  <c r="CV191" i="30"/>
  <c r="CS97" i="30"/>
  <c r="CV97" i="30"/>
  <c r="AR72" i="30"/>
  <c r="AR74" i="30" s="1"/>
  <c r="AS40" i="6"/>
  <c r="AR12" i="6"/>
  <c r="AS177" i="26"/>
  <c r="AS148" i="26"/>
  <c r="AS139" i="26"/>
  <c r="AS69" i="26"/>
  <c r="AS120" i="26"/>
  <c r="AS173" i="26"/>
  <c r="AS93" i="26"/>
  <c r="AS67" i="26"/>
  <c r="AS62" i="26"/>
  <c r="AS174" i="26"/>
  <c r="AS198" i="26"/>
  <c r="AS114" i="26"/>
  <c r="AS196" i="26"/>
  <c r="AS150" i="26"/>
  <c r="AS122" i="26"/>
  <c r="AS138" i="26"/>
  <c r="AS95" i="26"/>
  <c r="AS115" i="26"/>
  <c r="AS116" i="26"/>
  <c r="AS90" i="26"/>
  <c r="AS118" i="26"/>
  <c r="AS60" i="26"/>
  <c r="AS176" i="26"/>
  <c r="AS182" i="26"/>
  <c r="AS119" i="26"/>
  <c r="AS144" i="26"/>
  <c r="AS175" i="26"/>
  <c r="AS74" i="26"/>
  <c r="AS113" i="26"/>
  <c r="AS64" i="26"/>
  <c r="AS89" i="26"/>
  <c r="AS65" i="26"/>
  <c r="AS183" i="26"/>
  <c r="AS97" i="26"/>
  <c r="AS197" i="26"/>
  <c r="AS207" i="26"/>
  <c r="AS206" i="26"/>
  <c r="AS145" i="26"/>
  <c r="AS151" i="26"/>
  <c r="AS66" i="26"/>
  <c r="AS112" i="26"/>
  <c r="AS142" i="26"/>
  <c r="AS86" i="26"/>
  <c r="AS180" i="26"/>
  <c r="AS149" i="26"/>
  <c r="AS94" i="26"/>
  <c r="AS185" i="26"/>
  <c r="AS205" i="26"/>
  <c r="AS195" i="26"/>
  <c r="AS137" i="26"/>
  <c r="AS146" i="26"/>
  <c r="AS147" i="26"/>
  <c r="AS98" i="26"/>
  <c r="AS141" i="26"/>
  <c r="AS70" i="26"/>
  <c r="AS143" i="26"/>
  <c r="AS124" i="26"/>
  <c r="AS73" i="26"/>
  <c r="AS181" i="26"/>
  <c r="AS202" i="26"/>
  <c r="AS178" i="26"/>
  <c r="AS208" i="26"/>
  <c r="AS209" i="26"/>
  <c r="AS125" i="26"/>
  <c r="AS88" i="26"/>
  <c r="AS140" i="26"/>
  <c r="AS61" i="26"/>
  <c r="AS123" i="26"/>
  <c r="AS117" i="26"/>
  <c r="AS72" i="26"/>
  <c r="AS204" i="26"/>
  <c r="AS179" i="26"/>
  <c r="AS200" i="26"/>
  <c r="AS201" i="26"/>
  <c r="AS91" i="26"/>
  <c r="AS85" i="26"/>
  <c r="AS121" i="26"/>
  <c r="AS184" i="26"/>
  <c r="AS96" i="26"/>
  <c r="AS87" i="26"/>
  <c r="AS68" i="26"/>
  <c r="AS203" i="26"/>
  <c r="AS172" i="26"/>
  <c r="AS63" i="26"/>
  <c r="AS92" i="26"/>
  <c r="AS99" i="26"/>
  <c r="AS71" i="26"/>
  <c r="AS111" i="26"/>
  <c r="AS199" i="26"/>
  <c r="AS171" i="26"/>
  <c r="AS105" i="3"/>
  <c r="AS82" i="3"/>
  <c r="W18" i="35"/>
  <c r="W19" i="35" s="1"/>
  <c r="W17" i="36"/>
  <c r="CV98" i="30"/>
  <c r="CS98" i="30"/>
  <c r="W123" i="30"/>
  <c r="AR22" i="30"/>
  <c r="AR175" i="20"/>
  <c r="AT149" i="3"/>
  <c r="AT144" i="3"/>
  <c r="AT142" i="3"/>
  <c r="W170" i="30"/>
  <c r="CS105" i="30"/>
  <c r="CV105" i="30"/>
  <c r="W122" i="30"/>
  <c r="W13" i="35"/>
  <c r="W13" i="36"/>
  <c r="W161" i="30"/>
  <c r="CV78" i="30"/>
  <c r="CS78" i="30"/>
  <c r="BY89" i="6"/>
  <c r="BY87" i="30" s="1"/>
  <c r="BY161" i="26"/>
  <c r="DE159" i="26"/>
  <c r="BY62" i="33"/>
  <c r="CV81" i="30"/>
  <c r="CS81" i="30"/>
  <c r="AS220" i="3"/>
  <c r="AS266" i="3"/>
  <c r="AS289" i="3" s="1"/>
  <c r="AP82" i="35"/>
  <c r="AP67" i="33"/>
  <c r="AP69" i="33" s="1"/>
  <c r="AP27" i="32"/>
  <c r="AP31" i="32"/>
  <c r="AP208" i="30"/>
  <c r="AP92" i="33" s="1"/>
  <c r="AS425" i="9"/>
  <c r="AS320" i="9"/>
  <c r="AS273" i="9"/>
  <c r="AS434" i="9"/>
  <c r="AS406" i="9"/>
  <c r="AS415" i="9"/>
  <c r="AS396" i="9"/>
  <c r="AS358" i="9"/>
  <c r="AS311" i="9"/>
  <c r="AS349" i="9"/>
  <c r="AS330" i="9"/>
  <c r="AS178" i="9"/>
  <c r="AS387" i="9"/>
  <c r="AS225" i="9"/>
  <c r="AS159" i="9"/>
  <c r="AS254" i="9"/>
  <c r="AS216" i="9"/>
  <c r="AS187" i="9"/>
  <c r="AS377" i="9"/>
  <c r="AS263" i="9"/>
  <c r="AS292" i="9"/>
  <c r="AS301" i="9"/>
  <c r="AS244" i="9"/>
  <c r="AS235" i="9"/>
  <c r="AS111" i="9"/>
  <c r="AS64" i="9"/>
  <c r="AS83" i="9"/>
  <c r="AS92" i="9"/>
  <c r="AS121" i="9"/>
  <c r="AS282" i="9"/>
  <c r="AS168" i="9"/>
  <c r="AS197" i="9"/>
  <c r="AS130" i="9"/>
  <c r="AS73" i="9"/>
  <c r="AS206" i="9"/>
  <c r="AS149" i="9"/>
  <c r="AS339" i="9"/>
  <c r="AS102" i="9"/>
  <c r="AS140" i="9"/>
  <c r="AS368" i="9"/>
  <c r="AS99" i="3"/>
  <c r="AS76" i="3"/>
  <c r="AS217" i="3"/>
  <c r="AS263" i="3"/>
  <c r="AS286" i="3" s="1"/>
  <c r="BY102" i="33"/>
  <c r="BY215" i="30"/>
  <c r="BY84" i="30"/>
  <c r="BY175" i="30" s="1"/>
  <c r="AT137" i="3"/>
  <c r="AT156" i="3"/>
  <c r="AT148" i="3"/>
  <c r="AS725" i="9"/>
  <c r="AS236" i="3"/>
  <c r="AS719" i="9"/>
  <c r="AS230" i="3"/>
  <c r="W165" i="30"/>
  <c r="CS108" i="30"/>
  <c r="CV108" i="30"/>
  <c r="AS723" i="9"/>
  <c r="AS234" i="3"/>
  <c r="C119" i="23"/>
  <c r="C118" i="23" a="1"/>
  <c r="AS797" i="9" l="1"/>
  <c r="AS820" i="9" s="1"/>
  <c r="AS803" i="9"/>
  <c r="AS826" i="9" s="1"/>
  <c r="AR141" i="20"/>
  <c r="AR146" i="20" s="1"/>
  <c r="AR156" i="20" s="1"/>
  <c r="AR166" i="20" s="1"/>
  <c r="AS802" i="9"/>
  <c r="CV106" i="30"/>
  <c r="AS759" i="9"/>
  <c r="AS791" i="9"/>
  <c r="AS814" i="9" s="1"/>
  <c r="AS744" i="9"/>
  <c r="AS796" i="9"/>
  <c r="AS819" i="9" s="1"/>
  <c r="AS13" i="20"/>
  <c r="AR30" i="30"/>
  <c r="AS754" i="9"/>
  <c r="AS748" i="9"/>
  <c r="AR80" i="33"/>
  <c r="AS90" i="20"/>
  <c r="AS21" i="30" s="1"/>
  <c r="AS799" i="9"/>
  <c r="AS822" i="9" s="1"/>
  <c r="AS746" i="9"/>
  <c r="AS801" i="9"/>
  <c r="AS824" i="9" s="1"/>
  <c r="AS806" i="9"/>
  <c r="AS23" i="20"/>
  <c r="AS38" i="20"/>
  <c r="AS15" i="30" s="1"/>
  <c r="AS804" i="9"/>
  <c r="AS827" i="9" s="1"/>
  <c r="AS131" i="20"/>
  <c r="AS132" i="20" s="1"/>
  <c r="AS28" i="30" s="1"/>
  <c r="AS26" i="32" s="1"/>
  <c r="AS25" i="35" s="1"/>
  <c r="AS787" i="9"/>
  <c r="AS810" i="9" s="1"/>
  <c r="AS798" i="9"/>
  <c r="AS821" i="9" s="1"/>
  <c r="AP94" i="33"/>
  <c r="AQ259" i="6"/>
  <c r="AR256" i="6" s="1"/>
  <c r="AT270" i="3"/>
  <c r="AT293" i="3" s="1"/>
  <c r="AT224" i="3"/>
  <c r="AT255" i="3"/>
  <c r="AT278" i="3" s="1"/>
  <c r="AT209" i="3"/>
  <c r="AT221" i="3"/>
  <c r="AT267" i="3"/>
  <c r="AT290" i="3" s="1"/>
  <c r="AT261" i="3"/>
  <c r="AT284" i="3" s="1"/>
  <c r="AT215" i="3"/>
  <c r="AT253" i="3"/>
  <c r="AT276" i="3" s="1"/>
  <c r="AT207" i="3"/>
  <c r="AS729" i="9"/>
  <c r="AS240" i="3"/>
  <c r="AT172" i="3"/>
  <c r="AT195" i="3" s="1"/>
  <c r="CV163" i="30"/>
  <c r="AT174" i="3"/>
  <c r="AT197" i="3" s="1"/>
  <c r="AS29" i="20"/>
  <c r="AS14" i="30" s="1"/>
  <c r="AS25" i="30"/>
  <c r="AT222" i="3"/>
  <c r="AT268" i="3"/>
  <c r="AT291" i="3" s="1"/>
  <c r="CV168" i="30"/>
  <c r="AT262" i="3"/>
  <c r="AT285" i="3" s="1"/>
  <c r="AT216" i="3"/>
  <c r="CV171" i="30"/>
  <c r="AS727" i="9"/>
  <c r="AS238" i="3"/>
  <c r="AT162" i="3"/>
  <c r="AT185" i="3" s="1"/>
  <c r="AS742" i="9"/>
  <c r="AS645" i="9"/>
  <c r="CS122" i="30"/>
  <c r="CV122" i="30"/>
  <c r="AS757" i="9"/>
  <c r="AS23" i="30"/>
  <c r="AS179" i="20"/>
  <c r="AS60" i="20"/>
  <c r="AS18" i="30" s="1"/>
  <c r="AS96" i="20"/>
  <c r="AS85" i="20"/>
  <c r="AS20" i="30" s="1"/>
  <c r="AT164" i="3"/>
  <c r="AT187" i="3" s="1"/>
  <c r="AR24" i="30"/>
  <c r="AQ54" i="33"/>
  <c r="AQ148" i="30"/>
  <c r="AQ180" i="30" s="1"/>
  <c r="AQ56" i="30"/>
  <c r="AQ58" i="30" s="1"/>
  <c r="AS749" i="9"/>
  <c r="AS733" i="9"/>
  <c r="AS244" i="3"/>
  <c r="AT179" i="3"/>
  <c r="AT202" i="3" s="1"/>
  <c r="W62" i="33"/>
  <c r="H20" i="50" s="1"/>
  <c r="P20" i="50" s="1"/>
  <c r="G56" i="50" s="1"/>
  <c r="CV165" i="30"/>
  <c r="AT160" i="3"/>
  <c r="AT183" i="3" s="1"/>
  <c r="BY61" i="33"/>
  <c r="CV167" i="30"/>
  <c r="AS747" i="9"/>
  <c r="AS718" i="9"/>
  <c r="AS229" i="3"/>
  <c r="AS46" i="20"/>
  <c r="AS16" i="30" s="1"/>
  <c r="AS53" i="20"/>
  <c r="AS17" i="30" s="1"/>
  <c r="AS194" i="30"/>
  <c r="AS179" i="30"/>
  <c r="AS65" i="33" s="1"/>
  <c r="CS73" i="30"/>
  <c r="CV73" i="30"/>
  <c r="AT173" i="3"/>
  <c r="AT196" i="3" s="1"/>
  <c r="CV84" i="30"/>
  <c r="AS732" i="9"/>
  <c r="AS243" i="3"/>
  <c r="AS24" i="32"/>
  <c r="AS25" i="32" s="1"/>
  <c r="AS24" i="35" s="1"/>
  <c r="AS114" i="20"/>
  <c r="AS44" i="30"/>
  <c r="AS45" i="30" s="1"/>
  <c r="AS154" i="20"/>
  <c r="AO19" i="32"/>
  <c r="AO85" i="30"/>
  <c r="AO88" i="30" s="1"/>
  <c r="AO14" i="6"/>
  <c r="CV162" i="30"/>
  <c r="AT4" i="11"/>
  <c r="AT22" i="3"/>
  <c r="AT16" i="3"/>
  <c r="AT30" i="3"/>
  <c r="AT4" i="35"/>
  <c r="AT4" i="33"/>
  <c r="AU4" i="12"/>
  <c r="AT4" i="32"/>
  <c r="AT4" i="30"/>
  <c r="AT4" i="38"/>
  <c r="AT4" i="6"/>
  <c r="AT4" i="9"/>
  <c r="AT4" i="26"/>
  <c r="AT4" i="16"/>
  <c r="AT4" i="22"/>
  <c r="AT4" i="20"/>
  <c r="AT4" i="1"/>
  <c r="AT4" i="28"/>
  <c r="AT20" i="3"/>
  <c r="CV169" i="30"/>
  <c r="CV87" i="30"/>
  <c r="CS87" i="30"/>
  <c r="CV175" i="30"/>
  <c r="AS735" i="9"/>
  <c r="AS246" i="3"/>
  <c r="AT171" i="3"/>
  <c r="AT194" i="3" s="1"/>
  <c r="CV170" i="30"/>
  <c r="CS123" i="30"/>
  <c r="CV123" i="30"/>
  <c r="AS52" i="30"/>
  <c r="AS54" i="30" s="1"/>
  <c r="AS41" i="6"/>
  <c r="AS44" i="6" s="1"/>
  <c r="AS164" i="20"/>
  <c r="CV173" i="30"/>
  <c r="AT5" i="11"/>
  <c r="AT62" i="3"/>
  <c r="AT54" i="3"/>
  <c r="AT100" i="3" s="1"/>
  <c r="AT46" i="3"/>
  <c r="AT92" i="3" s="1"/>
  <c r="AT63" i="3"/>
  <c r="AT58" i="3"/>
  <c r="AT45" i="3"/>
  <c r="AT91" i="3" s="1"/>
  <c r="AT53" i="3"/>
  <c r="AT99" i="3" s="1"/>
  <c r="AT60" i="3"/>
  <c r="AT47" i="3"/>
  <c r="AT51" i="3"/>
  <c r="AT49" i="3"/>
  <c r="AT95" i="3" s="1"/>
  <c r="AT48" i="3"/>
  <c r="AT94" i="3" s="1"/>
  <c r="AT56" i="3"/>
  <c r="AT59" i="3"/>
  <c r="AT105" i="3" s="1"/>
  <c r="AT55" i="3"/>
  <c r="AT101" i="3" s="1"/>
  <c r="AT52" i="3"/>
  <c r="AT50" i="3"/>
  <c r="AT96" i="3" s="1"/>
  <c r="AT57" i="3"/>
  <c r="AT103" i="3" s="1"/>
  <c r="AT61" i="3"/>
  <c r="AT107" i="3" s="1"/>
  <c r="AT64" i="3"/>
  <c r="AT110" i="3" s="1"/>
  <c r="AT5" i="35"/>
  <c r="AT5" i="33"/>
  <c r="AU5" i="12"/>
  <c r="AT5" i="32"/>
  <c r="AT5" i="30"/>
  <c r="AT5" i="38"/>
  <c r="AT5" i="6"/>
  <c r="AT5" i="9"/>
  <c r="AT5" i="26"/>
  <c r="AT5" i="16"/>
  <c r="AT5" i="22"/>
  <c r="AT5" i="20"/>
  <c r="AT5" i="1"/>
  <c r="AT5" i="28"/>
  <c r="AT119" i="3"/>
  <c r="AT124" i="3"/>
  <c r="AT130" i="3"/>
  <c r="AT121" i="3"/>
  <c r="AT122" i="3"/>
  <c r="AT117" i="3"/>
  <c r="AT129" i="3"/>
  <c r="AT114" i="3"/>
  <c r="AT127" i="3"/>
  <c r="AT125" i="3"/>
  <c r="AT133" i="3"/>
  <c r="AT116" i="3"/>
  <c r="AT118" i="3"/>
  <c r="AT128" i="3"/>
  <c r="AT120" i="3"/>
  <c r="AT126" i="3"/>
  <c r="AT115" i="3"/>
  <c r="AT132" i="3"/>
  <c r="AT123" i="3"/>
  <c r="AT131" i="3"/>
  <c r="AT168" i="3"/>
  <c r="AT191" i="3" s="1"/>
  <c r="AS722" i="9"/>
  <c r="AS233" i="3"/>
  <c r="W61" i="33"/>
  <c r="H19" i="50" s="1"/>
  <c r="CV161" i="30"/>
  <c r="AT165" i="3"/>
  <c r="AT188" i="3" s="1"/>
  <c r="CV166" i="30"/>
  <c r="AS743" i="9"/>
  <c r="AP212" i="30"/>
  <c r="AU10" i="3"/>
  <c r="AU150" i="3" s="1"/>
  <c r="BY144" i="20"/>
  <c r="BY178" i="1"/>
  <c r="AT166" i="3"/>
  <c r="AT189" i="3" s="1"/>
  <c r="AT167" i="3"/>
  <c r="AT190" i="3" s="1"/>
  <c r="AT177" i="3"/>
  <c r="AT200" i="3" s="1"/>
  <c r="AS730" i="9"/>
  <c r="AS241" i="3"/>
  <c r="AS74" i="20"/>
  <c r="AS19" i="30" s="1"/>
  <c r="AS737" i="9"/>
  <c r="AS248" i="3"/>
  <c r="AS829" i="9"/>
  <c r="AS823" i="9"/>
  <c r="AS828" i="9"/>
  <c r="AS812" i="9"/>
  <c r="AS811" i="9"/>
  <c r="AS825" i="9"/>
  <c r="AS818" i="9"/>
  <c r="AS816" i="9"/>
  <c r="AS815" i="9"/>
  <c r="AS813" i="9"/>
  <c r="AS817" i="9"/>
  <c r="AT3" i="11"/>
  <c r="AT14" i="3"/>
  <c r="AT3" i="35"/>
  <c r="AT3" i="33"/>
  <c r="AU3" i="12"/>
  <c r="AT3" i="32"/>
  <c r="AT3" i="30"/>
  <c r="AT3" i="38"/>
  <c r="AT3" i="6"/>
  <c r="AT3" i="9"/>
  <c r="AT3" i="26"/>
  <c r="AT3" i="16"/>
  <c r="AT3" i="22"/>
  <c r="AT3" i="20"/>
  <c r="AT3" i="1"/>
  <c r="AT3" i="28"/>
  <c r="AT37" i="3"/>
  <c r="CV172" i="30"/>
  <c r="AS728" i="9"/>
  <c r="AS239" i="3"/>
  <c r="C118" i="23"/>
  <c r="C117" i="23" a="1"/>
  <c r="AR174" i="20" l="1"/>
  <c r="AR181" i="20" s="1"/>
  <c r="AR62" i="30" s="1"/>
  <c r="AT87" i="3"/>
  <c r="AS13" i="30"/>
  <c r="AU155" i="3"/>
  <c r="AT78" i="3"/>
  <c r="AU148" i="3"/>
  <c r="AU171" i="3" s="1"/>
  <c r="AU194" i="3" s="1"/>
  <c r="AU152" i="3"/>
  <c r="AU143" i="3"/>
  <c r="AU141" i="3"/>
  <c r="AU164" i="3" s="1"/>
  <c r="AU187" i="3" s="1"/>
  <c r="AT84" i="3"/>
  <c r="AU144" i="3"/>
  <c r="AS758" i="9"/>
  <c r="AS760" i="9"/>
  <c r="AQ136" i="30"/>
  <c r="AQ137" i="30" s="1"/>
  <c r="AS755" i="9"/>
  <c r="AS753" i="9"/>
  <c r="AS741" i="9"/>
  <c r="AS750" i="9"/>
  <c r="AU173" i="3"/>
  <c r="AU196" i="3" s="1"/>
  <c r="AT220" i="3"/>
  <c r="AT266" i="3"/>
  <c r="AT289" i="3" s="1"/>
  <c r="AT206" i="3"/>
  <c r="AT252" i="3"/>
  <c r="AT275" i="3" s="1"/>
  <c r="AT219" i="3"/>
  <c r="AT265" i="3"/>
  <c r="AT288" i="3" s="1"/>
  <c r="AT210" i="3"/>
  <c r="AT256" i="3"/>
  <c r="AT279" i="3" s="1"/>
  <c r="AT208" i="3"/>
  <c r="AT254" i="3"/>
  <c r="AT277" i="3" s="1"/>
  <c r="AT260" i="3"/>
  <c r="AT283" i="3" s="1"/>
  <c r="AT214" i="3"/>
  <c r="AT269" i="3"/>
  <c r="AT292" i="3" s="1"/>
  <c r="AT223" i="3"/>
  <c r="AT213" i="3"/>
  <c r="AT259" i="3"/>
  <c r="AT282" i="3" s="1"/>
  <c r="AT217" i="3"/>
  <c r="AT263" i="3"/>
  <c r="AT286" i="3" s="1"/>
  <c r="AT258" i="3"/>
  <c r="AT281" i="3" s="1"/>
  <c r="AT212" i="3"/>
  <c r="AU137" i="3"/>
  <c r="AU145" i="3"/>
  <c r="CV164" i="30"/>
  <c r="AO23" i="32"/>
  <c r="AO112" i="30"/>
  <c r="AO114" i="30"/>
  <c r="AQ82" i="35"/>
  <c r="AQ67" i="33"/>
  <c r="AQ69" i="33" s="1"/>
  <c r="AQ27" i="32"/>
  <c r="AQ31" i="32"/>
  <c r="AQ208" i="30"/>
  <c r="AQ92" i="33" s="1"/>
  <c r="AS22" i="30"/>
  <c r="AS175" i="20"/>
  <c r="AT727" i="9"/>
  <c r="AT238" i="3"/>
  <c r="AV8" i="3"/>
  <c r="AU5" i="3"/>
  <c r="AU24" i="3"/>
  <c r="AU12" i="3"/>
  <c r="AU3" i="3" s="1"/>
  <c r="AU41" i="3"/>
  <c r="AU4" i="3"/>
  <c r="AU154" i="3"/>
  <c r="P19" i="50"/>
  <c r="AT18" i="3"/>
  <c r="AT73" i="3"/>
  <c r="AT82" i="3"/>
  <c r="AT225" i="3"/>
  <c r="AT271" i="3"/>
  <c r="AT294" i="3" s="1"/>
  <c r="AT72" i="3"/>
  <c r="AU167" i="3"/>
  <c r="AT138" i="26"/>
  <c r="AT147" i="26"/>
  <c r="AT115" i="26"/>
  <c r="AT113" i="26"/>
  <c r="AT140" i="26"/>
  <c r="AT122" i="26"/>
  <c r="AT66" i="26"/>
  <c r="AT118" i="26"/>
  <c r="AT137" i="26"/>
  <c r="AT180" i="26"/>
  <c r="AT206" i="26"/>
  <c r="AT195" i="26"/>
  <c r="AT205" i="26"/>
  <c r="AT207" i="26"/>
  <c r="AT98" i="26"/>
  <c r="AT112" i="26"/>
  <c r="AT121" i="26"/>
  <c r="AT116" i="26"/>
  <c r="AT124" i="26"/>
  <c r="AT111" i="26"/>
  <c r="AT125" i="26"/>
  <c r="AT200" i="26"/>
  <c r="AT185" i="26"/>
  <c r="AT197" i="26"/>
  <c r="AT204" i="26"/>
  <c r="AT94" i="26"/>
  <c r="AT88" i="26"/>
  <c r="AT120" i="26"/>
  <c r="AT99" i="26"/>
  <c r="AT117" i="26"/>
  <c r="AT97" i="26"/>
  <c r="AT91" i="26"/>
  <c r="AT183" i="26"/>
  <c r="AT181" i="26"/>
  <c r="AT202" i="26"/>
  <c r="AT199" i="26"/>
  <c r="AT90" i="26"/>
  <c r="AT85" i="26"/>
  <c r="AT92" i="26"/>
  <c r="AT65" i="26"/>
  <c r="AT87" i="26"/>
  <c r="AT73" i="26"/>
  <c r="AT74" i="26"/>
  <c r="AT198" i="26"/>
  <c r="AT175" i="26"/>
  <c r="AT174" i="26"/>
  <c r="AT196" i="26"/>
  <c r="AT86" i="26"/>
  <c r="AT60" i="26"/>
  <c r="AT89" i="26"/>
  <c r="AT143" i="26"/>
  <c r="AT61" i="26"/>
  <c r="AT72" i="26"/>
  <c r="AT62" i="26"/>
  <c r="AT171" i="26"/>
  <c r="AT179" i="26"/>
  <c r="AT145" i="26"/>
  <c r="AT149" i="26"/>
  <c r="AT67" i="26"/>
  <c r="AT114" i="26"/>
  <c r="AT70" i="26"/>
  <c r="AT96" i="26"/>
  <c r="AT177" i="26"/>
  <c r="AT68" i="26"/>
  <c r="AT69" i="26"/>
  <c r="AT172" i="26"/>
  <c r="AT203" i="26"/>
  <c r="AT178" i="26"/>
  <c r="AT142" i="26"/>
  <c r="AT139" i="26"/>
  <c r="AT95" i="26"/>
  <c r="AT184" i="26"/>
  <c r="AT93" i="26"/>
  <c r="AT151" i="26"/>
  <c r="AT150" i="26"/>
  <c r="AT63" i="26"/>
  <c r="AT208" i="26"/>
  <c r="AT176" i="26"/>
  <c r="AT146" i="26"/>
  <c r="AT182" i="26"/>
  <c r="AT123" i="26"/>
  <c r="AT119" i="26"/>
  <c r="AT141" i="26"/>
  <c r="AT173" i="26"/>
  <c r="AT71" i="26"/>
  <c r="AT144" i="26"/>
  <c r="AT148" i="26"/>
  <c r="AT64" i="26"/>
  <c r="AT201" i="26"/>
  <c r="AT209" i="26"/>
  <c r="AT102" i="3"/>
  <c r="AT79" i="3"/>
  <c r="AT108" i="3"/>
  <c r="AT85" i="3"/>
  <c r="AT26" i="3"/>
  <c r="AT28" i="3"/>
  <c r="AT69" i="3"/>
  <c r="AT734" i="9"/>
  <c r="AT245" i="3"/>
  <c r="BY35" i="30"/>
  <c r="W35" i="30" s="1"/>
  <c r="BY178" i="20"/>
  <c r="AU147" i="3"/>
  <c r="AU139" i="3"/>
  <c r="AT434" i="9"/>
  <c r="AT406" i="9"/>
  <c r="AT301" i="9"/>
  <c r="AT254" i="9"/>
  <c r="AT387" i="9"/>
  <c r="AT415" i="9"/>
  <c r="AT339" i="9"/>
  <c r="AT225" i="9"/>
  <c r="AT159" i="9"/>
  <c r="AT216" i="9"/>
  <c r="AT187" i="9"/>
  <c r="AT140" i="9"/>
  <c r="AT425" i="9"/>
  <c r="AT377" i="9"/>
  <c r="AT263" i="9"/>
  <c r="AT292" i="9"/>
  <c r="AT320" i="9"/>
  <c r="AT311" i="9"/>
  <c r="AT396" i="9"/>
  <c r="AT358" i="9"/>
  <c r="AT244" i="9"/>
  <c r="AT235" i="9"/>
  <c r="AT368" i="9"/>
  <c r="AT282" i="9"/>
  <c r="AT273" i="9"/>
  <c r="AT206" i="9"/>
  <c r="AT197" i="9"/>
  <c r="AT92" i="9"/>
  <c r="AT168" i="9"/>
  <c r="AT64" i="9"/>
  <c r="AT330" i="9"/>
  <c r="AT73" i="9"/>
  <c r="AT178" i="9"/>
  <c r="AT130" i="9"/>
  <c r="AT149" i="9"/>
  <c r="AT111" i="9"/>
  <c r="AT102" i="9"/>
  <c r="AT121" i="9"/>
  <c r="AT349" i="9"/>
  <c r="AT83" i="9"/>
  <c r="AT180" i="20" a="1"/>
  <c r="AT180" i="20" s="1"/>
  <c r="AT162" i="20" a="1"/>
  <c r="AT162" i="20" s="1"/>
  <c r="AT153" i="20" a="1"/>
  <c r="AT153" i="20" s="1"/>
  <c r="AT150" i="20" a="1"/>
  <c r="AT150" i="20" s="1"/>
  <c r="AT41" i="30" s="1"/>
  <c r="AT127" i="20" a="1"/>
  <c r="AT127" i="20" s="1"/>
  <c r="AT135" i="20" a="1"/>
  <c r="AT135" i="20" s="1"/>
  <c r="AT137" i="20" s="1"/>
  <c r="AT29" i="30" s="1"/>
  <c r="AT128" i="20" a="1"/>
  <c r="AT128" i="20" s="1"/>
  <c r="AT129" i="20" a="1"/>
  <c r="AT129" i="20" s="1"/>
  <c r="AT130" i="20" a="1"/>
  <c r="AT130" i="20" s="1"/>
  <c r="AT125" i="20" a="1"/>
  <c r="AT125" i="20" s="1"/>
  <c r="AT120" i="20" a="1"/>
  <c r="AT120" i="20" s="1"/>
  <c r="AT121" i="20" a="1"/>
  <c r="AT121" i="20" s="1"/>
  <c r="AT122" i="20" a="1"/>
  <c r="AT122" i="20" s="1"/>
  <c r="AT118" i="20" a="1"/>
  <c r="AT118" i="20" s="1"/>
  <c r="AT117" i="20" a="1"/>
  <c r="AT117" i="20" s="1"/>
  <c r="AT124" i="20" a="1"/>
  <c r="AT124" i="20" s="1"/>
  <c r="AT123" i="20" a="1"/>
  <c r="AT123" i="20" s="1"/>
  <c r="AT119" i="20" a="1"/>
  <c r="AT119" i="20" s="1"/>
  <c r="AT110" i="20" a="1"/>
  <c r="AT110" i="20" s="1"/>
  <c r="AT106" i="20" a="1"/>
  <c r="AT106" i="20" s="1"/>
  <c r="AT107" i="20" a="1"/>
  <c r="AT107" i="20" s="1"/>
  <c r="AT111" i="20" a="1"/>
  <c r="AT111" i="20" s="1"/>
  <c r="AT105" i="20" a="1"/>
  <c r="AT105" i="20" s="1"/>
  <c r="AT112" i="20" a="1"/>
  <c r="AT112" i="20" s="1"/>
  <c r="AT108" i="20" a="1"/>
  <c r="AT108" i="20" s="1"/>
  <c r="AT109" i="20" a="1"/>
  <c r="AT109" i="20" s="1"/>
  <c r="AT82" i="20" a="1"/>
  <c r="AT82" i="20" s="1"/>
  <c r="AT78" i="20" a="1"/>
  <c r="AT78" i="20" s="1"/>
  <c r="AT73" i="20" a="1"/>
  <c r="AT73" i="20" s="1"/>
  <c r="AT69" i="20" a="1"/>
  <c r="AT69" i="20" s="1"/>
  <c r="AT65" i="20" a="1"/>
  <c r="AT65" i="20" s="1"/>
  <c r="AT54" i="20" a="1"/>
  <c r="AT54" i="20" s="1"/>
  <c r="AT52" i="20" a="1"/>
  <c r="AT52" i="20" s="1"/>
  <c r="AT59" i="20" a="1"/>
  <c r="AT59" i="20" s="1"/>
  <c r="AT93" i="20" a="1"/>
  <c r="AT93" i="20" s="1"/>
  <c r="AT88" i="20" a="1"/>
  <c r="AT88" i="20" s="1"/>
  <c r="AT83" i="20" a="1"/>
  <c r="AT83" i="20" s="1"/>
  <c r="AT79" i="20" a="1"/>
  <c r="AT79" i="20" s="1"/>
  <c r="AT70" i="20" a="1"/>
  <c r="AT70" i="20" s="1"/>
  <c r="AT66" i="20" a="1"/>
  <c r="AT66" i="20" s="1"/>
  <c r="AT47" i="20" a="1"/>
  <c r="AT47" i="20" s="1"/>
  <c r="AT45" i="20" a="1"/>
  <c r="AT45" i="20" s="1"/>
  <c r="AT39" i="20" a="1"/>
  <c r="AT39" i="20" s="1"/>
  <c r="AT37" i="20" a="1"/>
  <c r="AT37" i="20" s="1"/>
  <c r="AT33" i="20" a="1"/>
  <c r="AT33" i="20" s="1"/>
  <c r="AT21" i="20" a="1"/>
  <c r="AT21" i="20" s="1"/>
  <c r="AT17" i="20" a="1"/>
  <c r="AT17" i="20" s="1"/>
  <c r="AT50" i="20" a="1"/>
  <c r="AT50" i="20" s="1"/>
  <c r="AT61" i="20" a="1"/>
  <c r="AT61" i="20" s="1"/>
  <c r="AT57" i="20" a="1"/>
  <c r="AT57" i="20" s="1"/>
  <c r="AT42" i="20" a="1"/>
  <c r="AT42" i="20" s="1"/>
  <c r="AT94" i="20" a="1"/>
  <c r="AT94" i="20" s="1"/>
  <c r="AT89" i="20" a="1"/>
  <c r="AT89" i="20" s="1"/>
  <c r="AT84" i="20" a="1"/>
  <c r="AT84" i="20" s="1"/>
  <c r="AT80" i="20" a="1"/>
  <c r="AT80" i="20" s="1"/>
  <c r="AT71" i="20" a="1"/>
  <c r="AT71" i="20" s="1"/>
  <c r="AT67" i="20" a="1"/>
  <c r="AT67" i="20" s="1"/>
  <c r="AT98" i="20" a="1"/>
  <c r="AT98" i="20" s="1"/>
  <c r="AT100" i="20" s="1"/>
  <c r="AT95" i="20" a="1"/>
  <c r="AT95" i="20" s="1"/>
  <c r="AT81" i="20" a="1"/>
  <c r="AT81" i="20" s="1"/>
  <c r="AT77" i="20" a="1"/>
  <c r="AT77" i="20" s="1"/>
  <c r="AT72" i="20" a="1"/>
  <c r="AT72" i="20" s="1"/>
  <c r="AT68" i="20" a="1"/>
  <c r="AT68" i="20" s="1"/>
  <c r="AT64" i="20" a="1"/>
  <c r="AT64" i="20" s="1"/>
  <c r="AT58" i="20" a="1"/>
  <c r="AT58" i="20" s="1"/>
  <c r="AT51" i="20" a="1"/>
  <c r="AT51" i="20" s="1"/>
  <c r="AT22" i="20" a="1"/>
  <c r="AT22" i="20" s="1"/>
  <c r="AT43" i="20" a="1"/>
  <c r="AT43" i="20" s="1"/>
  <c r="AT36" i="20" a="1"/>
  <c r="AT36" i="20" s="1"/>
  <c r="AT28" i="20" a="1"/>
  <c r="AT28" i="20" s="1"/>
  <c r="AT14" i="20" a="1"/>
  <c r="AT14" i="20" s="1"/>
  <c r="AT30" i="20" a="1"/>
  <c r="AT30" i="20" s="1"/>
  <c r="AT19" i="20" a="1"/>
  <c r="AT19" i="20" s="1"/>
  <c r="AT12" i="20" a="1"/>
  <c r="AT12" i="20" s="1"/>
  <c r="AT44" i="20" a="1"/>
  <c r="AT44" i="20" s="1"/>
  <c r="AT34" i="20" a="1"/>
  <c r="AT34" i="20" s="1"/>
  <c r="AT35" i="20" a="1"/>
  <c r="AT35" i="20" s="1"/>
  <c r="AT27" i="20" a="1"/>
  <c r="AT27" i="20" s="1"/>
  <c r="AT29" i="20" s="1"/>
  <c r="AT14" i="30" s="1"/>
  <c r="AT24" i="20" a="1"/>
  <c r="AT24" i="20" s="1"/>
  <c r="AT20" i="20" a="1"/>
  <c r="AT20" i="20" s="1"/>
  <c r="AT11" i="20" a="1"/>
  <c r="AT11" i="20" s="1"/>
  <c r="AT18" i="20" a="1"/>
  <c r="AT18" i="20" s="1"/>
  <c r="AS756" i="9"/>
  <c r="AR14" i="32"/>
  <c r="AR32" i="30"/>
  <c r="AR36" i="30" s="1"/>
  <c r="AR257" i="6"/>
  <c r="AR259" i="6" s="1"/>
  <c r="AR170" i="20"/>
  <c r="AR60" i="30" s="1"/>
  <c r="AT80" i="3"/>
  <c r="AT264" i="3"/>
  <c r="AT287" i="3" s="1"/>
  <c r="AT218" i="3"/>
  <c r="AT733" i="9"/>
  <c r="AT244" i="3"/>
  <c r="AU153" i="3"/>
  <c r="AU142" i="3"/>
  <c r="AP96" i="33"/>
  <c r="AP101" i="33" s="1"/>
  <c r="AP104" i="33" s="1"/>
  <c r="AQ211" i="30"/>
  <c r="AP214" i="30"/>
  <c r="AP217" i="30" s="1"/>
  <c r="AP83" i="6"/>
  <c r="AS745" i="9"/>
  <c r="AT104" i="3"/>
  <c r="AT81" i="3"/>
  <c r="AT71" i="3"/>
  <c r="AT728" i="9"/>
  <c r="AT239" i="3"/>
  <c r="AT721" i="9"/>
  <c r="AT232" i="3"/>
  <c r="AU166" i="3"/>
  <c r="AU189" i="3" s="1"/>
  <c r="AT257" i="3"/>
  <c r="AT280" i="3" s="1"/>
  <c r="AT211" i="3"/>
  <c r="AT97" i="3"/>
  <c r="AT74" i="3"/>
  <c r="AT109" i="3"/>
  <c r="AT86" i="3"/>
  <c r="AS72" i="30"/>
  <c r="AS74" i="30" s="1"/>
  <c r="AT40" i="6"/>
  <c r="AS12" i="6"/>
  <c r="AS27" i="30"/>
  <c r="AS30" i="30" s="1"/>
  <c r="AS139" i="20"/>
  <c r="AS77" i="33"/>
  <c r="AS195" i="30"/>
  <c r="AS78" i="33" s="1"/>
  <c r="AS752" i="9"/>
  <c r="AU178" i="3"/>
  <c r="AU201" i="3" s="1"/>
  <c r="AT93" i="3"/>
  <c r="AT70" i="3"/>
  <c r="AT68" i="3"/>
  <c r="AT77" i="3"/>
  <c r="AT719" i="9"/>
  <c r="AT230" i="3"/>
  <c r="AT736" i="9"/>
  <c r="AT247" i="3"/>
  <c r="AU156" i="3"/>
  <c r="AU146" i="3"/>
  <c r="AU151" i="3"/>
  <c r="AS751" i="9"/>
  <c r="AU140" i="3"/>
  <c r="AU149" i="3"/>
  <c r="AU138" i="3"/>
  <c r="AT98" i="3"/>
  <c r="AT75" i="3"/>
  <c r="AT106" i="3"/>
  <c r="AT83" i="3"/>
  <c r="AT714" i="9"/>
  <c r="AT783" i="9" s="1"/>
  <c r="AT806" i="9" s="1"/>
  <c r="AT709" i="9"/>
  <c r="AT778" i="9" s="1"/>
  <c r="AT701" i="9"/>
  <c r="AT770" i="9" s="1"/>
  <c r="AT713" i="9"/>
  <c r="AT782" i="9" s="1"/>
  <c r="AT805" i="9" s="1"/>
  <c r="AT695" i="9"/>
  <c r="AT764" i="9" s="1"/>
  <c r="AT702" i="9"/>
  <c r="AT771" i="9" s="1"/>
  <c r="AT794" i="9" s="1"/>
  <c r="AT700" i="9"/>
  <c r="AT769" i="9" s="1"/>
  <c r="AT697" i="9"/>
  <c r="AT766" i="9" s="1"/>
  <c r="AT707" i="9"/>
  <c r="AT776" i="9" s="1"/>
  <c r="AT704" i="9"/>
  <c r="AT773" i="9" s="1"/>
  <c r="AT796" i="9" s="1"/>
  <c r="AT711" i="9"/>
  <c r="AT780" i="9" s="1"/>
  <c r="AT803" i="9" s="1"/>
  <c r="AT706" i="9"/>
  <c r="AT775" i="9" s="1"/>
  <c r="AT699" i="9"/>
  <c r="AT768" i="9" s="1"/>
  <c r="AT791" i="9" s="1"/>
  <c r="AT712" i="9"/>
  <c r="AT781" i="9" s="1"/>
  <c r="AT696" i="9"/>
  <c r="AT765" i="9" s="1"/>
  <c r="AT788" i="9" s="1"/>
  <c r="AT703" i="9"/>
  <c r="AT772" i="9" s="1"/>
  <c r="AT795" i="9" s="1"/>
  <c r="AT698" i="9"/>
  <c r="AT767" i="9" s="1"/>
  <c r="AT790" i="9" s="1"/>
  <c r="AT710" i="9"/>
  <c r="AT779" i="9" s="1"/>
  <c r="AT802" i="9" s="1"/>
  <c r="AT708" i="9"/>
  <c r="AT777" i="9" s="1"/>
  <c r="AT705" i="9"/>
  <c r="AT774" i="9" s="1"/>
  <c r="AT797" i="9" s="1"/>
  <c r="AS102" i="20"/>
  <c r="AT76" i="3"/>
  <c r="C117" i="23"/>
  <c r="C116" i="23" a="1"/>
  <c r="AT787" i="9" l="1"/>
  <c r="AT800" i="9"/>
  <c r="AT823" i="9" s="1"/>
  <c r="AT801" i="9"/>
  <c r="AS24" i="30"/>
  <c r="AS14" i="32" s="1"/>
  <c r="AT798" i="9"/>
  <c r="AT131" i="20"/>
  <c r="AT132" i="20" s="1"/>
  <c r="AT28" i="30" s="1"/>
  <c r="AT26" i="32" s="1"/>
  <c r="AT25" i="35" s="1"/>
  <c r="AU175" i="3"/>
  <c r="AU198" i="3" s="1"/>
  <c r="AT793" i="9"/>
  <c r="AU190" i="3"/>
  <c r="AU259" i="3" s="1"/>
  <c r="AU282" i="3" s="1"/>
  <c r="AT799" i="9"/>
  <c r="AT60" i="20"/>
  <c r="AT18" i="30" s="1"/>
  <c r="AT804" i="9"/>
  <c r="AT827" i="9" s="1"/>
  <c r="AT90" i="20"/>
  <c r="AT21" i="30" s="1"/>
  <c r="AT750" i="9"/>
  <c r="AT756" i="9"/>
  <c r="AT789" i="9"/>
  <c r="AS141" i="20"/>
  <c r="AS146" i="20" s="1"/>
  <c r="AS156" i="20" s="1"/>
  <c r="AS166" i="20" s="1"/>
  <c r="AT792" i="9"/>
  <c r="AT744" i="9"/>
  <c r="AT742" i="9"/>
  <c r="AQ212" i="30"/>
  <c r="AR211" i="30" s="1"/>
  <c r="AU224" i="3"/>
  <c r="AU270" i="3"/>
  <c r="AU293" i="3" s="1"/>
  <c r="AU256" i="3"/>
  <c r="AU279" i="3" s="1"/>
  <c r="AU210" i="3"/>
  <c r="AU258" i="3"/>
  <c r="AU281" i="3" s="1"/>
  <c r="AU212" i="3"/>
  <c r="AU265" i="3"/>
  <c r="AU288" i="3" s="1"/>
  <c r="AU219" i="3"/>
  <c r="AU161" i="3"/>
  <c r="AU184" i="3" s="1"/>
  <c r="AU172" i="3"/>
  <c r="AU195" i="3" s="1"/>
  <c r="AU179" i="3"/>
  <c r="AU202" i="3" s="1"/>
  <c r="AT723" i="9"/>
  <c r="AT234" i="3"/>
  <c r="AU165" i="3"/>
  <c r="AU188" i="3" s="1"/>
  <c r="AT74" i="20"/>
  <c r="AT19" i="30" s="1"/>
  <c r="AT53" i="20"/>
  <c r="AT17" i="30" s="1"/>
  <c r="CV35" i="30"/>
  <c r="AU177" i="3"/>
  <c r="AU200" i="3" s="1"/>
  <c r="AU217" i="3"/>
  <c r="AU263" i="3"/>
  <c r="AU286" i="3" s="1"/>
  <c r="AQ94" i="33"/>
  <c r="AT724" i="9"/>
  <c r="AT235" i="3"/>
  <c r="AU176" i="3"/>
  <c r="AU199" i="3" s="1"/>
  <c r="AT25" i="30"/>
  <c r="AT23" i="20"/>
  <c r="AT114" i="20"/>
  <c r="AT737" i="9"/>
  <c r="AT248" i="3"/>
  <c r="AU4" i="11"/>
  <c r="AU30" i="3"/>
  <c r="AU16" i="3"/>
  <c r="AU22" i="3"/>
  <c r="AU4" i="35"/>
  <c r="AU4" i="33"/>
  <c r="AV4" i="12"/>
  <c r="AU4" i="32"/>
  <c r="AU4" i="30"/>
  <c r="AU4" i="38"/>
  <c r="AU4" i="6"/>
  <c r="AU4" i="9"/>
  <c r="AU4" i="26"/>
  <c r="AU4" i="16"/>
  <c r="AU4" i="22"/>
  <c r="AU4" i="20"/>
  <c r="AU4" i="1"/>
  <c r="AU4" i="28"/>
  <c r="AU20" i="3"/>
  <c r="AT726" i="9"/>
  <c r="AT237" i="3"/>
  <c r="AT731" i="9"/>
  <c r="AT242" i="3"/>
  <c r="AR47" i="30"/>
  <c r="AR38" i="30"/>
  <c r="AT759" i="9"/>
  <c r="AT751" i="9"/>
  <c r="AR28" i="32"/>
  <c r="AR33" i="32"/>
  <c r="AT24" i="32"/>
  <c r="AT25" i="32" s="1"/>
  <c r="AT24" i="35" s="1"/>
  <c r="AT85" i="20"/>
  <c r="AT20" i="30" s="1"/>
  <c r="AT38" i="20"/>
  <c r="AT15" i="30" s="1"/>
  <c r="AT645" i="9"/>
  <c r="AU3" i="11"/>
  <c r="AU14" i="3"/>
  <c r="AU3" i="35"/>
  <c r="AU3" i="33"/>
  <c r="AV3" i="12"/>
  <c r="AU3" i="32"/>
  <c r="AU3" i="30"/>
  <c r="AU3" i="38"/>
  <c r="AU3" i="6"/>
  <c r="AU3" i="9"/>
  <c r="AU3" i="26"/>
  <c r="AU3" i="16"/>
  <c r="AU3" i="22"/>
  <c r="AU3" i="20"/>
  <c r="AU3" i="1"/>
  <c r="AU3" i="28"/>
  <c r="AU37" i="3"/>
  <c r="AT718" i="9"/>
  <c r="AT229" i="3"/>
  <c r="AP19" i="32"/>
  <c r="AP85" i="30"/>
  <c r="AP88" i="30" s="1"/>
  <c r="AP14" i="6"/>
  <c r="AT194" i="30"/>
  <c r="AT179" i="30"/>
  <c r="AT65" i="33" s="1"/>
  <c r="AU162" i="3"/>
  <c r="AU185" i="3" s="1"/>
  <c r="AT729" i="9"/>
  <c r="AT240" i="3"/>
  <c r="AT730" i="9"/>
  <c r="AT241" i="3"/>
  <c r="AT46" i="20"/>
  <c r="AT16" i="30" s="1"/>
  <c r="AT96" i="20"/>
  <c r="AT44" i="30"/>
  <c r="AT45" i="30" s="1"/>
  <c r="AT154" i="20"/>
  <c r="AU170" i="3"/>
  <c r="AU193" i="3" s="1"/>
  <c r="G52" i="50"/>
  <c r="AU5" i="11"/>
  <c r="AU57" i="3"/>
  <c r="AU103" i="3" s="1"/>
  <c r="AU49" i="3"/>
  <c r="AU95" i="3" s="1"/>
  <c r="AU53" i="3"/>
  <c r="AU99" i="3" s="1"/>
  <c r="AU48" i="3"/>
  <c r="AU94" i="3" s="1"/>
  <c r="AU56" i="3"/>
  <c r="AU102" i="3" s="1"/>
  <c r="AU51" i="3"/>
  <c r="AU97" i="3" s="1"/>
  <c r="AU61" i="3"/>
  <c r="AU55" i="3"/>
  <c r="AU47" i="3"/>
  <c r="AU93" i="3" s="1"/>
  <c r="AU59" i="3"/>
  <c r="AU105" i="3" s="1"/>
  <c r="AU54" i="3"/>
  <c r="AU100" i="3" s="1"/>
  <c r="AU52" i="3"/>
  <c r="AU98" i="3" s="1"/>
  <c r="AU50" i="3"/>
  <c r="AU96" i="3" s="1"/>
  <c r="AU58" i="3"/>
  <c r="AU104" i="3" s="1"/>
  <c r="AU45" i="3"/>
  <c r="AU91" i="3" s="1"/>
  <c r="AU46" i="3"/>
  <c r="AU92" i="3" s="1"/>
  <c r="AU64" i="3"/>
  <c r="AU60" i="3"/>
  <c r="AU106" i="3" s="1"/>
  <c r="AU63" i="3"/>
  <c r="AU109" i="3" s="1"/>
  <c r="AU62" i="3"/>
  <c r="AU108" i="3" s="1"/>
  <c r="AU5" i="35"/>
  <c r="AU5" i="33"/>
  <c r="AV5" i="12"/>
  <c r="AU5" i="32"/>
  <c r="AU5" i="30"/>
  <c r="AU5" i="38"/>
  <c r="AU5" i="6"/>
  <c r="AU5" i="9"/>
  <c r="AU5" i="26"/>
  <c r="AU5" i="16"/>
  <c r="AU5" i="22"/>
  <c r="AU5" i="20"/>
  <c r="AU5" i="1"/>
  <c r="AU5" i="28"/>
  <c r="AU123" i="3"/>
  <c r="AU120" i="3"/>
  <c r="AU129" i="3"/>
  <c r="AU118" i="3"/>
  <c r="AU132" i="3"/>
  <c r="AU122" i="3"/>
  <c r="AU131" i="3"/>
  <c r="AU124" i="3"/>
  <c r="AU127" i="3"/>
  <c r="AU130" i="3"/>
  <c r="AU116" i="3"/>
  <c r="AU128" i="3"/>
  <c r="AU133" i="3"/>
  <c r="AU121" i="3"/>
  <c r="AU119" i="3"/>
  <c r="AU125" i="3"/>
  <c r="AU114" i="3"/>
  <c r="AU117" i="3"/>
  <c r="AU126" i="3"/>
  <c r="AU115" i="3"/>
  <c r="AT720" i="9"/>
  <c r="AT231" i="3"/>
  <c r="AT732" i="9"/>
  <c r="AT243" i="3"/>
  <c r="AU174" i="3"/>
  <c r="AU197" i="3" s="1"/>
  <c r="AR136" i="30"/>
  <c r="AR137" i="30" s="1"/>
  <c r="AS256" i="6"/>
  <c r="AT23" i="30"/>
  <c r="AT179" i="20"/>
  <c r="AT52" i="30"/>
  <c r="AT54" i="30" s="1"/>
  <c r="AT41" i="6"/>
  <c r="AT44" i="6" s="1"/>
  <c r="AT164" i="20"/>
  <c r="AV10" i="3"/>
  <c r="AV154" i="3" s="1"/>
  <c r="AU168" i="3"/>
  <c r="AU191" i="3" s="1"/>
  <c r="AT725" i="9"/>
  <c r="AT236" i="3"/>
  <c r="AU163" i="3"/>
  <c r="AU186" i="3" s="1"/>
  <c r="AU169" i="3"/>
  <c r="AU192" i="3" s="1"/>
  <c r="AS80" i="33"/>
  <c r="AT13" i="20"/>
  <c r="AT757" i="9"/>
  <c r="AT822" i="9"/>
  <c r="AT815" i="9"/>
  <c r="AT824" i="9"/>
  <c r="AT829" i="9"/>
  <c r="AT821" i="9"/>
  <c r="AT813" i="9"/>
  <c r="AT825" i="9"/>
  <c r="AT828" i="9"/>
  <c r="AT818" i="9"/>
  <c r="AT816" i="9"/>
  <c r="AT820" i="9"/>
  <c r="AT817" i="9"/>
  <c r="AT814" i="9"/>
  <c r="AT826" i="9"/>
  <c r="AT819" i="9"/>
  <c r="AT812" i="9"/>
  <c r="AT811" i="9"/>
  <c r="AT810" i="9"/>
  <c r="AU160" i="3"/>
  <c r="AU183" i="3" s="1"/>
  <c r="AT735" i="9"/>
  <c r="AT246" i="3"/>
  <c r="AT722" i="9"/>
  <c r="AT233" i="3"/>
  <c r="C116" i="23"/>
  <c r="C110" i="23" a="1"/>
  <c r="AS32" i="30" l="1"/>
  <c r="AS36" i="30" s="1"/>
  <c r="AS47" i="30" s="1"/>
  <c r="AU85" i="3"/>
  <c r="AU213" i="3"/>
  <c r="AU725" i="9" s="1"/>
  <c r="AU80" i="3"/>
  <c r="AU267" i="3"/>
  <c r="AU290" i="3" s="1"/>
  <c r="AU221" i="3"/>
  <c r="AU244" i="3" s="1"/>
  <c r="AV149" i="3"/>
  <c r="AV172" i="3" s="1"/>
  <c r="AV195" i="3" s="1"/>
  <c r="AU81" i="3"/>
  <c r="AV138" i="3"/>
  <c r="AV142" i="3"/>
  <c r="AV165" i="3" s="1"/>
  <c r="AV188" i="3" s="1"/>
  <c r="AV147" i="3"/>
  <c r="AU77" i="3"/>
  <c r="AV146" i="3"/>
  <c r="AV151" i="3"/>
  <c r="AV174" i="3" s="1"/>
  <c r="AV197" i="3" s="1"/>
  <c r="AU72" i="3"/>
  <c r="AV144" i="3"/>
  <c r="AV167" i="3" s="1"/>
  <c r="AV190" i="3" s="1"/>
  <c r="AV155" i="3"/>
  <c r="AV143" i="3"/>
  <c r="AV166" i="3" s="1"/>
  <c r="AV189" i="3" s="1"/>
  <c r="AQ96" i="33"/>
  <c r="AQ101" i="33" s="1"/>
  <c r="AQ104" i="33" s="1"/>
  <c r="AQ83" i="6"/>
  <c r="AQ19" i="32" s="1"/>
  <c r="AQ214" i="30"/>
  <c r="AQ217" i="30" s="1"/>
  <c r="AT747" i="9"/>
  <c r="AT748" i="9"/>
  <c r="AT743" i="9"/>
  <c r="AS174" i="20"/>
  <c r="AS181" i="20" s="1"/>
  <c r="AS62" i="30" s="1"/>
  <c r="AT753" i="9"/>
  <c r="AT741" i="9"/>
  <c r="AT72" i="30"/>
  <c r="AT74" i="30" s="1"/>
  <c r="AU40" i="6"/>
  <c r="AT12" i="6"/>
  <c r="AU269" i="3"/>
  <c r="AU292" i="3" s="1"/>
  <c r="AU223" i="3"/>
  <c r="AU260" i="3"/>
  <c r="AU283" i="3" s="1"/>
  <c r="AU214" i="3"/>
  <c r="AU252" i="3"/>
  <c r="AU275" i="3" s="1"/>
  <c r="AU206" i="3"/>
  <c r="AU254" i="3"/>
  <c r="AU277" i="3" s="1"/>
  <c r="AU208" i="3"/>
  <c r="AV177" i="3"/>
  <c r="AV200" i="3" s="1"/>
  <c r="AU220" i="3"/>
  <c r="AU266" i="3"/>
  <c r="AU289" i="3" s="1"/>
  <c r="AU261" i="3"/>
  <c r="AU284" i="3" s="1"/>
  <c r="AU215" i="3"/>
  <c r="AU209" i="3"/>
  <c r="AU255" i="3"/>
  <c r="AU278" i="3" s="1"/>
  <c r="AU253" i="3"/>
  <c r="AU276" i="3" s="1"/>
  <c r="AU207" i="3"/>
  <c r="AT13" i="30"/>
  <c r="AT102" i="20"/>
  <c r="AV150" i="3"/>
  <c r="AV141" i="3"/>
  <c r="AV148" i="3"/>
  <c r="AU70" i="3"/>
  <c r="AU18" i="3"/>
  <c r="AT27" i="30"/>
  <c r="AT30" i="30" s="1"/>
  <c r="AT139" i="20"/>
  <c r="AU271" i="3"/>
  <c r="AU294" i="3" s="1"/>
  <c r="AU225" i="3"/>
  <c r="AU731" i="9"/>
  <c r="AU242" i="3"/>
  <c r="AV156" i="3"/>
  <c r="AV145" i="3"/>
  <c r="AU110" i="3"/>
  <c r="AU87" i="3"/>
  <c r="AU73" i="3"/>
  <c r="AU75" i="3"/>
  <c r="AV169" i="3"/>
  <c r="AV192" i="3" s="1"/>
  <c r="AU101" i="3"/>
  <c r="AU78" i="3"/>
  <c r="AU71" i="3"/>
  <c r="AT77" i="33"/>
  <c r="AT195" i="30"/>
  <c r="AT78" i="33" s="1"/>
  <c r="AU74" i="3"/>
  <c r="AR54" i="33"/>
  <c r="AR148" i="30"/>
  <c r="AR180" i="30" s="1"/>
  <c r="AR56" i="30"/>
  <c r="AR58" i="30" s="1"/>
  <c r="AU76" i="3"/>
  <c r="AU724" i="9"/>
  <c r="AU235" i="3"/>
  <c r="AS28" i="32"/>
  <c r="AS33" i="32"/>
  <c r="AU107" i="3"/>
  <c r="AU84" i="3"/>
  <c r="AU216" i="3"/>
  <c r="AU262" i="3"/>
  <c r="AU285" i="3" s="1"/>
  <c r="AU180" i="20" a="1"/>
  <c r="AU180" i="20" s="1"/>
  <c r="AU162" i="20" a="1"/>
  <c r="AU162" i="20" s="1"/>
  <c r="AU153" i="20" a="1"/>
  <c r="AU153" i="20" s="1"/>
  <c r="AU150" i="20" a="1"/>
  <c r="AU150" i="20" s="1"/>
  <c r="AU41" i="30" s="1"/>
  <c r="AU135" i="20" a="1"/>
  <c r="AU135" i="20" s="1"/>
  <c r="AU137" i="20" s="1"/>
  <c r="AU29" i="30" s="1"/>
  <c r="AU128" i="20" a="1"/>
  <c r="AU128" i="20" s="1"/>
  <c r="AU129" i="20" a="1"/>
  <c r="AU129" i="20" s="1"/>
  <c r="AU130" i="20" a="1"/>
  <c r="AU130" i="20" s="1"/>
  <c r="AU127" i="20" a="1"/>
  <c r="AU127" i="20" s="1"/>
  <c r="AU121" i="20" a="1"/>
  <c r="AU121" i="20" s="1"/>
  <c r="AU117" i="20" a="1"/>
  <c r="AU117" i="20" s="1"/>
  <c r="AU122" i="20" a="1"/>
  <c r="AU122" i="20" s="1"/>
  <c r="AU118" i="20" a="1"/>
  <c r="AU118" i="20" s="1"/>
  <c r="AU124" i="20" a="1"/>
  <c r="AU124" i="20" s="1"/>
  <c r="AU123" i="20" a="1"/>
  <c r="AU123" i="20" s="1"/>
  <c r="AU119" i="20" a="1"/>
  <c r="AU119" i="20" s="1"/>
  <c r="AU125" i="20" a="1"/>
  <c r="AU125" i="20" s="1"/>
  <c r="AU120" i="20" a="1"/>
  <c r="AU120" i="20" s="1"/>
  <c r="AU111" i="20" a="1"/>
  <c r="AU111" i="20" s="1"/>
  <c r="AU107" i="20" a="1"/>
  <c r="AU107" i="20" s="1"/>
  <c r="AU112" i="20" a="1"/>
  <c r="AU112" i="20" s="1"/>
  <c r="AU108" i="20" a="1"/>
  <c r="AU108" i="20" s="1"/>
  <c r="AU109" i="20" a="1"/>
  <c r="AU109" i="20" s="1"/>
  <c r="AU105" i="20" a="1"/>
  <c r="AU105" i="20" s="1"/>
  <c r="AU110" i="20" a="1"/>
  <c r="AU110" i="20" s="1"/>
  <c r="AU106" i="20" a="1"/>
  <c r="AU106" i="20" s="1"/>
  <c r="AU93" i="20" a="1"/>
  <c r="AU93" i="20" s="1"/>
  <c r="AU88" i="20" a="1"/>
  <c r="AU88" i="20" s="1"/>
  <c r="AU83" i="20" a="1"/>
  <c r="AU83" i="20" s="1"/>
  <c r="AU79" i="20" a="1"/>
  <c r="AU79" i="20" s="1"/>
  <c r="AU70" i="20" a="1"/>
  <c r="AU70" i="20" s="1"/>
  <c r="AU66" i="20" a="1"/>
  <c r="AU66" i="20" s="1"/>
  <c r="AU47" i="20" a="1"/>
  <c r="AU47" i="20" s="1"/>
  <c r="AU45" i="20" a="1"/>
  <c r="AU45" i="20" s="1"/>
  <c r="AU61" i="20" a="1"/>
  <c r="AU61" i="20" s="1"/>
  <c r="AU57" i="20" a="1"/>
  <c r="AU57" i="20" s="1"/>
  <c r="AU94" i="20" a="1"/>
  <c r="AU94" i="20" s="1"/>
  <c r="AU89" i="20" a="1"/>
  <c r="AU89" i="20" s="1"/>
  <c r="AU84" i="20" a="1"/>
  <c r="AU84" i="20" s="1"/>
  <c r="AU80" i="20" a="1"/>
  <c r="AU80" i="20" s="1"/>
  <c r="AU71" i="20" a="1"/>
  <c r="AU71" i="20" s="1"/>
  <c r="AU67" i="20" a="1"/>
  <c r="AU67" i="20" s="1"/>
  <c r="AU50" i="20" a="1"/>
  <c r="AU50" i="20" s="1"/>
  <c r="AU42" i="20" a="1"/>
  <c r="AU42" i="20" s="1"/>
  <c r="AU34" i="20" a="1"/>
  <c r="AU34" i="20" s="1"/>
  <c r="AU24" i="20" a="1"/>
  <c r="AU24" i="20" s="1"/>
  <c r="AU22" i="20" a="1"/>
  <c r="AU22" i="20" s="1"/>
  <c r="AU18" i="20" a="1"/>
  <c r="AU18" i="20" s="1"/>
  <c r="AU43" i="20" a="1"/>
  <c r="AU43" i="20" s="1"/>
  <c r="AU98" i="20" a="1"/>
  <c r="AU98" i="20" s="1"/>
  <c r="AU100" i="20" s="1"/>
  <c r="AU95" i="20" a="1"/>
  <c r="AU95" i="20" s="1"/>
  <c r="AU81" i="20" a="1"/>
  <c r="AU81" i="20" s="1"/>
  <c r="AU77" i="20" a="1"/>
  <c r="AU77" i="20" s="1"/>
  <c r="AU72" i="20" a="1"/>
  <c r="AU72" i="20" s="1"/>
  <c r="AU68" i="20" a="1"/>
  <c r="AU68" i="20" s="1"/>
  <c r="AU64" i="20" a="1"/>
  <c r="AU64" i="20" s="1"/>
  <c r="AU58" i="20" a="1"/>
  <c r="AU58" i="20" s="1"/>
  <c r="AU51" i="20" a="1"/>
  <c r="AU51" i="20" s="1"/>
  <c r="AU82" i="20" a="1"/>
  <c r="AU82" i="20" s="1"/>
  <c r="AU78" i="20" a="1"/>
  <c r="AU78" i="20" s="1"/>
  <c r="AU73" i="20" a="1"/>
  <c r="AU73" i="20" s="1"/>
  <c r="AU69" i="20" a="1"/>
  <c r="AU69" i="20" s="1"/>
  <c r="AU65" i="20" a="1"/>
  <c r="AU65" i="20" s="1"/>
  <c r="AU54" i="20" a="1"/>
  <c r="AU54" i="20" s="1"/>
  <c r="AU52" i="20" a="1"/>
  <c r="AU52" i="20" s="1"/>
  <c r="AU59" i="20" a="1"/>
  <c r="AU59" i="20" s="1"/>
  <c r="AU21" i="20" a="1"/>
  <c r="AU21" i="20" s="1"/>
  <c r="AU36" i="20" a="1"/>
  <c r="AU36" i="20" s="1"/>
  <c r="AU28" i="20" a="1"/>
  <c r="AU28" i="20" s="1"/>
  <c r="AU19" i="20" a="1"/>
  <c r="AU19" i="20" s="1"/>
  <c r="AU39" i="20" a="1"/>
  <c r="AU39" i="20" s="1"/>
  <c r="AU30" i="20" a="1"/>
  <c r="AU30" i="20" s="1"/>
  <c r="AU44" i="20" a="1"/>
  <c r="AU44" i="20" s="1"/>
  <c r="AU37" i="20" a="1"/>
  <c r="AU37" i="20" s="1"/>
  <c r="AU27" i="20" a="1"/>
  <c r="AU27" i="20" s="1"/>
  <c r="AU35" i="20" a="1"/>
  <c r="AU35" i="20" s="1"/>
  <c r="AU33" i="20" a="1"/>
  <c r="AU33" i="20" s="1"/>
  <c r="AU14" i="20" a="1"/>
  <c r="AU14" i="20" s="1"/>
  <c r="AU20" i="20" a="1"/>
  <c r="AU20" i="20" s="1"/>
  <c r="AU11" i="20" a="1"/>
  <c r="AU11" i="20" s="1"/>
  <c r="AU17" i="20" a="1"/>
  <c r="AU17" i="20" s="1"/>
  <c r="AU12" i="20" a="1"/>
  <c r="AU12" i="20" s="1"/>
  <c r="AU729" i="9"/>
  <c r="AU240" i="3"/>
  <c r="AP23" i="32"/>
  <c r="AP112" i="30"/>
  <c r="AP114" i="30"/>
  <c r="AS257" i="6"/>
  <c r="AS259" i="6" s="1"/>
  <c r="AS170" i="20"/>
  <c r="AS60" i="30" s="1"/>
  <c r="AT754" i="9"/>
  <c r="AU222" i="3"/>
  <c r="AU268" i="3"/>
  <c r="AU291" i="3" s="1"/>
  <c r="AU211" i="3"/>
  <c r="AU257" i="3"/>
  <c r="AU280" i="3" s="1"/>
  <c r="AU264" i="3"/>
  <c r="AU287" i="3" s="1"/>
  <c r="AU218" i="3"/>
  <c r="AU722" i="9"/>
  <c r="AU233" i="3"/>
  <c r="AU202" i="26"/>
  <c r="AU98" i="26"/>
  <c r="AU92" i="26"/>
  <c r="AU65" i="26"/>
  <c r="AU180" i="26"/>
  <c r="AU144" i="26"/>
  <c r="AU148" i="26"/>
  <c r="AU88" i="26"/>
  <c r="AU175" i="26"/>
  <c r="AU176" i="26"/>
  <c r="AU171" i="26"/>
  <c r="AU147" i="26"/>
  <c r="AU137" i="26"/>
  <c r="AU95" i="26"/>
  <c r="AU89" i="26"/>
  <c r="AU64" i="26"/>
  <c r="AU123" i="26"/>
  <c r="AU118" i="26"/>
  <c r="AU125" i="26"/>
  <c r="AU85" i="26"/>
  <c r="AU204" i="26"/>
  <c r="AU196" i="26"/>
  <c r="AU208" i="26"/>
  <c r="AU139" i="26"/>
  <c r="AU124" i="26"/>
  <c r="AU63" i="26"/>
  <c r="AU70" i="26"/>
  <c r="AU145" i="26"/>
  <c r="AU117" i="26"/>
  <c r="AU111" i="26"/>
  <c r="AU94" i="26"/>
  <c r="AU69" i="26"/>
  <c r="AU179" i="26"/>
  <c r="AU200" i="26"/>
  <c r="AU206" i="26"/>
  <c r="AU205" i="26"/>
  <c r="AU116" i="26"/>
  <c r="AU146" i="26"/>
  <c r="AU142" i="26"/>
  <c r="AU143" i="26"/>
  <c r="AU90" i="26"/>
  <c r="AU97" i="26"/>
  <c r="AU91" i="26"/>
  <c r="AU61" i="26"/>
  <c r="AU172" i="26"/>
  <c r="AU183" i="26"/>
  <c r="AU197" i="26"/>
  <c r="AU68" i="26"/>
  <c r="AU141" i="26"/>
  <c r="AU122" i="26"/>
  <c r="AU96" i="26"/>
  <c r="AU87" i="26"/>
  <c r="AU73" i="26"/>
  <c r="AU74" i="26"/>
  <c r="AU62" i="26"/>
  <c r="AU207" i="26"/>
  <c r="AU173" i="26"/>
  <c r="AU178" i="26"/>
  <c r="AU60" i="26"/>
  <c r="AU140" i="26"/>
  <c r="AU115" i="26"/>
  <c r="AU93" i="26"/>
  <c r="AU177" i="26"/>
  <c r="AU72" i="26"/>
  <c r="AU119" i="26"/>
  <c r="AU203" i="26"/>
  <c r="AU209" i="26"/>
  <c r="AU184" i="26"/>
  <c r="AU151" i="26"/>
  <c r="AU138" i="26"/>
  <c r="AU121" i="26"/>
  <c r="AU99" i="26"/>
  <c r="AU71" i="26"/>
  <c r="AU174" i="26"/>
  <c r="AU67" i="26"/>
  <c r="AU113" i="26"/>
  <c r="AU201" i="26"/>
  <c r="AU181" i="26"/>
  <c r="AU199" i="26"/>
  <c r="AU182" i="26"/>
  <c r="AU114" i="26"/>
  <c r="AU120" i="26"/>
  <c r="AU86" i="26"/>
  <c r="AU66" i="26"/>
  <c r="AU149" i="26"/>
  <c r="AU150" i="26"/>
  <c r="AU112" i="26"/>
  <c r="AU198" i="26"/>
  <c r="AU195" i="26"/>
  <c r="AU185" i="26"/>
  <c r="AT760" i="9"/>
  <c r="AU86" i="3"/>
  <c r="AU83" i="3"/>
  <c r="AV161" i="3"/>
  <c r="AV184" i="3" s="1"/>
  <c r="AU387" i="9"/>
  <c r="AU282" i="9"/>
  <c r="AU235" i="9"/>
  <c r="AU415" i="9"/>
  <c r="AU368" i="9"/>
  <c r="AU396" i="9"/>
  <c r="AU425" i="9"/>
  <c r="AU320" i="9"/>
  <c r="AU216" i="9"/>
  <c r="AU187" i="9"/>
  <c r="AU140" i="9"/>
  <c r="AU377" i="9"/>
  <c r="AU263" i="9"/>
  <c r="AU254" i="9"/>
  <c r="AU168" i="9"/>
  <c r="AU121" i="9"/>
  <c r="AU292" i="9"/>
  <c r="AU311" i="9"/>
  <c r="AU406" i="9"/>
  <c r="AU358" i="9"/>
  <c r="AU301" i="9"/>
  <c r="AU244" i="9"/>
  <c r="AU434" i="9"/>
  <c r="AU273" i="9"/>
  <c r="AU206" i="9"/>
  <c r="AU197" i="9"/>
  <c r="AU349" i="9"/>
  <c r="AU339" i="9"/>
  <c r="AU330" i="9"/>
  <c r="AU178" i="9"/>
  <c r="AU73" i="9"/>
  <c r="AU92" i="9"/>
  <c r="AU64" i="9"/>
  <c r="AU130" i="9"/>
  <c r="AU149" i="9"/>
  <c r="AU111" i="9"/>
  <c r="AU102" i="9"/>
  <c r="AU225" i="9"/>
  <c r="AU159" i="9"/>
  <c r="AU83" i="9"/>
  <c r="AT22" i="30"/>
  <c r="AT175" i="20"/>
  <c r="AT752" i="9"/>
  <c r="AU82" i="3"/>
  <c r="AT749" i="9"/>
  <c r="AU79" i="3"/>
  <c r="AU68" i="3"/>
  <c r="AU69" i="3"/>
  <c r="AT746" i="9"/>
  <c r="AT745" i="9"/>
  <c r="AV24" i="3"/>
  <c r="AV12" i="3"/>
  <c r="AV3" i="3" s="1"/>
  <c r="AV41" i="3"/>
  <c r="AW8" i="3"/>
  <c r="AV5" i="3"/>
  <c r="AV4" i="3"/>
  <c r="AT758" i="9"/>
  <c r="AV152" i="3"/>
  <c r="AV140" i="3"/>
  <c r="AV153" i="3"/>
  <c r="AV137" i="3"/>
  <c r="AV139" i="3"/>
  <c r="AT755" i="9"/>
  <c r="AU714" i="9"/>
  <c r="AU783" i="9" s="1"/>
  <c r="AU706" i="9"/>
  <c r="AU775" i="9" s="1"/>
  <c r="AU798" i="9" s="1"/>
  <c r="AU698" i="9"/>
  <c r="AU767" i="9" s="1"/>
  <c r="AU790" i="9" s="1"/>
  <c r="AU702" i="9"/>
  <c r="AU771" i="9" s="1"/>
  <c r="AU794" i="9" s="1"/>
  <c r="AU700" i="9"/>
  <c r="AU769" i="9" s="1"/>
  <c r="AU697" i="9"/>
  <c r="AU766" i="9" s="1"/>
  <c r="AU789" i="9" s="1"/>
  <c r="AU707" i="9"/>
  <c r="AU776" i="9" s="1"/>
  <c r="AU709" i="9"/>
  <c r="AU778" i="9" s="1"/>
  <c r="AU801" i="9" s="1"/>
  <c r="AU704" i="9"/>
  <c r="AU773" i="9" s="1"/>
  <c r="AU711" i="9"/>
  <c r="AU780" i="9" s="1"/>
  <c r="AU699" i="9"/>
  <c r="AU768" i="9" s="1"/>
  <c r="AU791" i="9" s="1"/>
  <c r="AU712" i="9"/>
  <c r="AU781" i="9" s="1"/>
  <c r="AU701" i="9"/>
  <c r="AU770" i="9" s="1"/>
  <c r="AU793" i="9" s="1"/>
  <c r="AU696" i="9"/>
  <c r="AU765" i="9" s="1"/>
  <c r="AU703" i="9"/>
  <c r="AU772" i="9" s="1"/>
  <c r="AU795" i="9" s="1"/>
  <c r="AU710" i="9"/>
  <c r="AU779" i="9" s="1"/>
  <c r="AU802" i="9" s="1"/>
  <c r="AU708" i="9"/>
  <c r="AU777" i="9" s="1"/>
  <c r="AU800" i="9" s="1"/>
  <c r="AU705" i="9"/>
  <c r="AU774" i="9" s="1"/>
  <c r="AU713" i="9"/>
  <c r="AU782" i="9" s="1"/>
  <c r="AU805" i="9" s="1"/>
  <c r="AU695" i="9"/>
  <c r="AU764" i="9" s="1"/>
  <c r="AU28" i="3"/>
  <c r="AU26" i="3"/>
  <c r="AU736" i="9"/>
  <c r="AU247" i="3"/>
  <c r="C110" i="23"/>
  <c r="C109" i="23" a="1"/>
  <c r="AS38" i="30" l="1"/>
  <c r="AU236" i="3"/>
  <c r="AU792" i="9"/>
  <c r="AU815" i="9" s="1"/>
  <c r="AU804" i="9"/>
  <c r="AU797" i="9"/>
  <c r="AU820" i="9" s="1"/>
  <c r="AU803" i="9"/>
  <c r="AU826" i="9" s="1"/>
  <c r="AU733" i="9"/>
  <c r="AU756" i="9" s="1"/>
  <c r="AU788" i="9"/>
  <c r="AU811" i="9" s="1"/>
  <c r="AU799" i="9"/>
  <c r="AU787" i="9"/>
  <c r="AU810" i="9" s="1"/>
  <c r="AQ85" i="30"/>
  <c r="AQ88" i="30" s="1"/>
  <c r="AQ23" i="32" s="1"/>
  <c r="AV170" i="3"/>
  <c r="AV193" i="3" s="1"/>
  <c r="AU796" i="9"/>
  <c r="AU819" i="9" s="1"/>
  <c r="AU806" i="9"/>
  <c r="AU829" i="9" s="1"/>
  <c r="AV178" i="3"/>
  <c r="AV201" i="3" s="1"/>
  <c r="AQ14" i="6"/>
  <c r="AU23" i="20"/>
  <c r="AU759" i="9"/>
  <c r="AU74" i="20"/>
  <c r="AU19" i="30" s="1"/>
  <c r="AU114" i="20"/>
  <c r="AU27" i="30" s="1"/>
  <c r="AT80" i="33"/>
  <c r="AU745" i="9"/>
  <c r="AU13" i="20"/>
  <c r="AV253" i="3"/>
  <c r="AV276" i="3" s="1"/>
  <c r="AV207" i="3"/>
  <c r="AV213" i="3"/>
  <c r="AV259" i="3"/>
  <c r="AV282" i="3" s="1"/>
  <c r="AS136" i="30"/>
  <c r="AS137" i="30" s="1"/>
  <c r="AT256" i="6"/>
  <c r="AV258" i="3"/>
  <c r="AV281" i="3" s="1"/>
  <c r="AV212" i="3"/>
  <c r="AV264" i="3"/>
  <c r="AV287" i="3" s="1"/>
  <c r="AV218" i="3"/>
  <c r="AV211" i="3"/>
  <c r="AV257" i="3"/>
  <c r="AV280" i="3" s="1"/>
  <c r="AV269" i="3"/>
  <c r="AV292" i="3" s="1"/>
  <c r="AV223" i="3"/>
  <c r="AV162" i="3"/>
  <c r="AV185" i="3" s="1"/>
  <c r="AV5" i="11"/>
  <c r="AV60" i="3"/>
  <c r="AV106" i="3" s="1"/>
  <c r="AV52" i="3"/>
  <c r="AV98" i="3" s="1"/>
  <c r="AV61" i="3"/>
  <c r="AV107" i="3" s="1"/>
  <c r="AV56" i="3"/>
  <c r="AV102" i="3" s="1"/>
  <c r="AV51" i="3"/>
  <c r="AV97" i="3" s="1"/>
  <c r="AV64" i="3"/>
  <c r="AV110" i="3" s="1"/>
  <c r="AV59" i="3"/>
  <c r="AV105" i="3" s="1"/>
  <c r="AV63" i="3"/>
  <c r="AV109" i="3" s="1"/>
  <c r="AV58" i="3"/>
  <c r="AV49" i="3"/>
  <c r="AV48" i="3"/>
  <c r="AV94" i="3" s="1"/>
  <c r="AV54" i="3"/>
  <c r="AV53" i="3"/>
  <c r="AV99" i="3" s="1"/>
  <c r="AV50" i="3"/>
  <c r="AV96" i="3" s="1"/>
  <c r="AV55" i="3"/>
  <c r="AV101" i="3" s="1"/>
  <c r="AV45" i="3"/>
  <c r="AV91" i="3" s="1"/>
  <c r="AV57" i="3"/>
  <c r="AV46" i="3"/>
  <c r="AV92" i="3" s="1"/>
  <c r="AV62" i="3"/>
  <c r="AV47" i="3"/>
  <c r="AV93" i="3" s="1"/>
  <c r="AV5" i="35"/>
  <c r="AV5" i="33"/>
  <c r="AW5" i="12"/>
  <c r="AV5" i="32"/>
  <c r="AV5" i="30"/>
  <c r="AV5" i="38"/>
  <c r="AV5" i="6"/>
  <c r="AV5" i="9"/>
  <c r="AV5" i="26"/>
  <c r="AV5" i="16"/>
  <c r="AV5" i="22"/>
  <c r="AV5" i="20"/>
  <c r="AV5" i="1"/>
  <c r="AV5" i="28"/>
  <c r="AV132" i="3"/>
  <c r="AV118" i="3"/>
  <c r="AV124" i="3"/>
  <c r="AV129" i="3"/>
  <c r="AV128" i="3"/>
  <c r="AV130" i="3"/>
  <c r="AV122" i="3"/>
  <c r="AV120" i="3"/>
  <c r="AV121" i="3"/>
  <c r="AV119" i="3"/>
  <c r="AV131" i="3"/>
  <c r="AV117" i="3"/>
  <c r="AV115" i="3"/>
  <c r="AV126" i="3"/>
  <c r="AV114" i="3"/>
  <c r="AV127" i="3"/>
  <c r="AV133" i="3"/>
  <c r="AV123" i="3"/>
  <c r="AV125" i="3"/>
  <c r="AV116" i="3"/>
  <c r="AU645" i="9"/>
  <c r="AU734" i="9"/>
  <c r="AU245" i="3"/>
  <c r="AU23" i="30"/>
  <c r="AU179" i="20"/>
  <c r="AU52" i="30"/>
  <c r="AU54" i="30" s="1"/>
  <c r="AU41" i="6"/>
  <c r="AU44" i="6" s="1"/>
  <c r="AU164" i="20"/>
  <c r="AV220" i="3"/>
  <c r="AV266" i="3"/>
  <c r="AV289" i="3" s="1"/>
  <c r="AV164" i="3"/>
  <c r="AV187" i="3" s="1"/>
  <c r="AU726" i="9"/>
  <c r="AU237" i="3"/>
  <c r="AV160" i="3"/>
  <c r="AV183" i="3" s="1"/>
  <c r="AW10" i="3"/>
  <c r="AW137" i="3" s="1"/>
  <c r="AU747" i="9"/>
  <c r="AV173" i="3"/>
  <c r="AV196" i="3" s="1"/>
  <c r="AU732" i="9"/>
  <c r="AU243" i="3"/>
  <c r="AS54" i="33"/>
  <c r="AS148" i="30"/>
  <c r="AS180" i="30" s="1"/>
  <c r="AS56" i="30"/>
  <c r="AS58" i="30" s="1"/>
  <c r="AU823" i="9"/>
  <c r="AU824" i="9"/>
  <c r="AU816" i="9"/>
  <c r="AU825" i="9"/>
  <c r="AU822" i="9"/>
  <c r="AU814" i="9"/>
  <c r="AU828" i="9"/>
  <c r="AU827" i="9"/>
  <c r="AU821" i="9"/>
  <c r="AU818" i="9"/>
  <c r="AU817" i="9"/>
  <c r="AU813" i="9"/>
  <c r="AU812" i="9"/>
  <c r="AT141" i="20"/>
  <c r="AT146" i="20" s="1"/>
  <c r="AU719" i="9"/>
  <c r="AU230" i="3"/>
  <c r="AU735" i="9"/>
  <c r="AU246" i="3"/>
  <c r="AU730" i="9"/>
  <c r="AU241" i="3"/>
  <c r="AT24" i="30"/>
  <c r="AU25" i="30"/>
  <c r="AU131" i="20"/>
  <c r="AU132" i="20" s="1"/>
  <c r="AU28" i="30" s="1"/>
  <c r="AU26" i="32" s="1"/>
  <c r="AU25" i="35" s="1"/>
  <c r="AR82" i="35"/>
  <c r="AR67" i="33"/>
  <c r="AR69" i="33" s="1"/>
  <c r="AR31" i="32"/>
  <c r="AR27" i="32"/>
  <c r="AR208" i="30"/>
  <c r="AV261" i="3"/>
  <c r="AV284" i="3" s="1"/>
  <c r="AV215" i="3"/>
  <c r="AU720" i="9"/>
  <c r="AU231" i="3"/>
  <c r="AV176" i="3"/>
  <c r="AV199" i="3" s="1"/>
  <c r="AV3" i="11"/>
  <c r="AV14" i="3"/>
  <c r="AV3" i="35"/>
  <c r="AV3" i="33"/>
  <c r="AW3" i="12"/>
  <c r="AV3" i="32"/>
  <c r="AV3" i="30"/>
  <c r="AV3" i="38"/>
  <c r="AV3" i="6"/>
  <c r="AV3" i="9"/>
  <c r="AV3" i="26"/>
  <c r="AV3" i="16"/>
  <c r="AV3" i="22"/>
  <c r="AV3" i="20"/>
  <c r="AV3" i="1"/>
  <c r="AV3" i="28"/>
  <c r="AV37" i="3"/>
  <c r="AV163" i="3"/>
  <c r="AV186" i="3" s="1"/>
  <c r="AV175" i="3"/>
  <c r="AV198" i="3" s="1"/>
  <c r="AU38" i="20"/>
  <c r="AU15" i="30" s="1"/>
  <c r="AU85" i="20"/>
  <c r="AU20" i="30" s="1"/>
  <c r="AV168" i="3"/>
  <c r="AV191" i="3" s="1"/>
  <c r="AU754" i="9"/>
  <c r="AU721" i="9"/>
  <c r="AU232" i="3"/>
  <c r="AU24" i="32"/>
  <c r="AU25" i="32" s="1"/>
  <c r="AU24" i="35" s="1"/>
  <c r="AU46" i="20"/>
  <c r="AU16" i="30" s="1"/>
  <c r="AU60" i="20"/>
  <c r="AU18" i="30" s="1"/>
  <c r="AU90" i="20"/>
  <c r="AU21" i="30" s="1"/>
  <c r="AU194" i="30"/>
  <c r="AU179" i="30"/>
  <c r="AU65" i="33" s="1"/>
  <c r="AV179" i="3"/>
  <c r="AV202" i="3" s="1"/>
  <c r="AU737" i="9"/>
  <c r="AU248" i="3"/>
  <c r="AU727" i="9"/>
  <c r="AU238" i="3"/>
  <c r="AU718" i="9"/>
  <c r="AU229" i="3"/>
  <c r="AU723" i="9"/>
  <c r="AU234" i="3"/>
  <c r="AV4" i="11"/>
  <c r="AV16" i="3"/>
  <c r="AV22" i="3"/>
  <c r="AV30" i="3"/>
  <c r="AV4" i="35"/>
  <c r="AV4" i="33"/>
  <c r="AW4" i="12"/>
  <c r="AV4" i="32"/>
  <c r="AV4" i="30"/>
  <c r="AV4" i="38"/>
  <c r="AV4" i="6"/>
  <c r="AV4" i="9"/>
  <c r="AV4" i="26"/>
  <c r="AV4" i="16"/>
  <c r="AV4" i="22"/>
  <c r="AV4" i="20"/>
  <c r="AV4" i="1"/>
  <c r="AV4" i="28"/>
  <c r="AV20" i="3"/>
  <c r="AU752" i="9"/>
  <c r="AU29" i="20"/>
  <c r="AU14" i="30" s="1"/>
  <c r="AU53" i="20"/>
  <c r="AU17" i="30" s="1"/>
  <c r="AU96" i="20"/>
  <c r="AU44" i="30"/>
  <c r="AU45" i="30" s="1"/>
  <c r="AU154" i="20"/>
  <c r="AU728" i="9"/>
  <c r="AU239" i="3"/>
  <c r="AU748" i="9"/>
  <c r="AV171" i="3"/>
  <c r="AV194" i="3" s="1"/>
  <c r="C109" i="23"/>
  <c r="C108" i="23" a="1"/>
  <c r="C108" i="23" s="1"/>
  <c r="C107" i="23" a="1"/>
  <c r="AQ114" i="30" l="1"/>
  <c r="AQ112" i="30"/>
  <c r="AV84" i="3"/>
  <c r="AV216" i="3"/>
  <c r="AV262" i="3"/>
  <c r="AV285" i="3" s="1"/>
  <c r="AV70" i="3"/>
  <c r="AU13" i="30"/>
  <c r="AV69" i="3"/>
  <c r="AV75" i="3"/>
  <c r="AV71" i="3"/>
  <c r="AV73" i="3"/>
  <c r="AV78" i="3"/>
  <c r="AV83" i="3"/>
  <c r="AW144" i="3"/>
  <c r="AW167" i="3" s="1"/>
  <c r="AW190" i="3" s="1"/>
  <c r="AV68" i="3"/>
  <c r="AW155" i="3"/>
  <c r="AW146" i="3"/>
  <c r="AW169" i="3" s="1"/>
  <c r="AW192" i="3" s="1"/>
  <c r="AW149" i="3"/>
  <c r="AW172" i="3" s="1"/>
  <c r="AW195" i="3" s="1"/>
  <c r="AW143" i="3"/>
  <c r="AW166" i="3" s="1"/>
  <c r="AW189" i="3" s="1"/>
  <c r="AW141" i="3"/>
  <c r="AW164" i="3" s="1"/>
  <c r="AW140" i="3"/>
  <c r="AW163" i="3" s="1"/>
  <c r="AW186" i="3" s="1"/>
  <c r="AV76" i="3"/>
  <c r="AW145" i="3"/>
  <c r="AW168" i="3" s="1"/>
  <c r="AW191" i="3" s="1"/>
  <c r="AW148" i="3"/>
  <c r="AV86" i="3"/>
  <c r="AV82" i="3"/>
  <c r="AW156" i="3"/>
  <c r="AW179" i="3" s="1"/>
  <c r="AW202" i="3" s="1"/>
  <c r="AV270" i="3"/>
  <c r="AV293" i="3" s="1"/>
  <c r="AV224" i="3"/>
  <c r="AV736" i="9" s="1"/>
  <c r="AU742" i="9"/>
  <c r="AW151" i="3"/>
  <c r="AW174" i="3" s="1"/>
  <c r="AW197" i="3" s="1"/>
  <c r="AW150" i="3"/>
  <c r="AW154" i="3"/>
  <c r="AW177" i="3" s="1"/>
  <c r="AW200" i="3" s="1"/>
  <c r="AW147" i="3"/>
  <c r="AW170" i="3" s="1"/>
  <c r="AW193" i="3" s="1"/>
  <c r="AW138" i="3"/>
  <c r="AW142" i="3"/>
  <c r="AW165" i="3" s="1"/>
  <c r="AW188" i="3" s="1"/>
  <c r="AV87" i="3"/>
  <c r="AW139" i="3"/>
  <c r="AW152" i="3"/>
  <c r="AV74" i="3"/>
  <c r="AV79" i="3"/>
  <c r="AW153" i="3"/>
  <c r="AW176" i="3" s="1"/>
  <c r="AW199" i="3" s="1"/>
  <c r="AU749" i="9"/>
  <c r="AU758" i="9"/>
  <c r="AU139" i="20"/>
  <c r="AU743" i="9"/>
  <c r="AU757" i="9"/>
  <c r="AU746" i="9"/>
  <c r="AV217" i="3"/>
  <c r="AV263" i="3"/>
  <c r="AV286" i="3" s="1"/>
  <c r="AV209" i="3"/>
  <c r="AV255" i="3"/>
  <c r="AV278" i="3" s="1"/>
  <c r="AV256" i="3"/>
  <c r="AV279" i="3" s="1"/>
  <c r="AV210" i="3"/>
  <c r="AV206" i="3"/>
  <c r="AV252" i="3"/>
  <c r="AV275" i="3" s="1"/>
  <c r="AU72" i="30"/>
  <c r="AU74" i="30" s="1"/>
  <c r="AV40" i="6"/>
  <c r="AU12" i="6"/>
  <c r="AV219" i="3"/>
  <c r="AV265" i="3"/>
  <c r="AV288" i="3" s="1"/>
  <c r="AV214" i="3"/>
  <c r="AV260" i="3"/>
  <c r="AV283" i="3" s="1"/>
  <c r="AV221" i="3"/>
  <c r="AV267" i="3"/>
  <c r="AV290" i="3" s="1"/>
  <c r="AV208" i="3"/>
  <c r="AV254" i="3"/>
  <c r="AV277" i="3" s="1"/>
  <c r="AU77" i="33"/>
  <c r="AU195" i="30"/>
  <c r="AU78" i="33" s="1"/>
  <c r="AV268" i="3"/>
  <c r="AV291" i="3" s="1"/>
  <c r="AV222" i="3"/>
  <c r="AU102" i="20"/>
  <c r="AW160" i="3"/>
  <c r="AW183" i="3" s="1"/>
  <c r="AV103" i="3"/>
  <c r="AV80" i="3"/>
  <c r="AV104" i="3"/>
  <c r="AV81" i="3"/>
  <c r="AT14" i="32"/>
  <c r="AT32" i="30"/>
  <c r="AT36" i="30" s="1"/>
  <c r="AT174" i="20"/>
  <c r="AT181" i="20" s="1"/>
  <c r="AT62" i="30" s="1"/>
  <c r="AT156" i="20"/>
  <c r="AT166" i="20" s="1"/>
  <c r="AV735" i="9"/>
  <c r="AV246" i="3"/>
  <c r="AR92" i="33"/>
  <c r="AR94" i="33" s="1"/>
  <c r="AR212" i="30"/>
  <c r="AW178" i="3"/>
  <c r="AW201" i="3" s="1"/>
  <c r="AU751" i="9"/>
  <c r="AU760" i="9"/>
  <c r="AV711" i="9"/>
  <c r="AV780" i="9" s="1"/>
  <c r="AV703" i="9"/>
  <c r="AV772" i="9" s="1"/>
  <c r="AV695" i="9"/>
  <c r="AV764" i="9" s="1"/>
  <c r="AV707" i="9"/>
  <c r="AV776" i="9" s="1"/>
  <c r="AV799" i="9" s="1"/>
  <c r="AV709" i="9"/>
  <c r="AV778" i="9" s="1"/>
  <c r="AV801" i="9" s="1"/>
  <c r="AV704" i="9"/>
  <c r="AV773" i="9" s="1"/>
  <c r="AV796" i="9" s="1"/>
  <c r="AV699" i="9"/>
  <c r="AV768" i="9" s="1"/>
  <c r="AV712" i="9"/>
  <c r="AV781" i="9" s="1"/>
  <c r="AV804" i="9" s="1"/>
  <c r="AV706" i="9"/>
  <c r="AV775" i="9" s="1"/>
  <c r="AV701" i="9"/>
  <c r="AV770" i="9" s="1"/>
  <c r="AV793" i="9" s="1"/>
  <c r="AV696" i="9"/>
  <c r="AV765" i="9" s="1"/>
  <c r="AV788" i="9" s="1"/>
  <c r="AV714" i="9"/>
  <c r="AV783" i="9" s="1"/>
  <c r="AV710" i="9"/>
  <c r="AV779" i="9" s="1"/>
  <c r="AV708" i="9"/>
  <c r="AV777" i="9" s="1"/>
  <c r="AV705" i="9"/>
  <c r="AV774" i="9" s="1"/>
  <c r="AV698" i="9"/>
  <c r="AV767" i="9" s="1"/>
  <c r="AV713" i="9"/>
  <c r="AV782" i="9" s="1"/>
  <c r="AV702" i="9"/>
  <c r="AV771" i="9" s="1"/>
  <c r="AV794" i="9" s="1"/>
  <c r="AV700" i="9"/>
  <c r="AV769" i="9" s="1"/>
  <c r="AV792" i="9" s="1"/>
  <c r="AV697" i="9"/>
  <c r="AV766" i="9" s="1"/>
  <c r="AU753" i="9"/>
  <c r="AS82" i="35"/>
  <c r="AS67" i="33"/>
  <c r="AS69" i="33" s="1"/>
  <c r="AS31" i="32"/>
  <c r="AS27" i="32"/>
  <c r="AS208" i="30"/>
  <c r="AS92" i="33" s="1"/>
  <c r="AU755" i="9"/>
  <c r="AW171" i="3"/>
  <c r="AW194" i="3" s="1"/>
  <c r="AW173" i="3"/>
  <c r="AW196" i="3" s="1"/>
  <c r="AV175" i="26"/>
  <c r="AV117" i="26"/>
  <c r="AV141" i="26"/>
  <c r="AV115" i="26"/>
  <c r="AV93" i="26"/>
  <c r="AV124" i="26"/>
  <c r="AV151" i="26"/>
  <c r="AV112" i="26"/>
  <c r="AV63" i="26"/>
  <c r="AV195" i="26"/>
  <c r="AV176" i="26"/>
  <c r="AV202" i="26"/>
  <c r="AV99" i="26"/>
  <c r="AV121" i="26"/>
  <c r="AV86" i="26"/>
  <c r="AV71" i="26"/>
  <c r="AV118" i="26"/>
  <c r="AV94" i="26"/>
  <c r="AV88" i="26"/>
  <c r="AV198" i="26"/>
  <c r="AV201" i="26"/>
  <c r="AV203" i="26"/>
  <c r="AV148" i="26"/>
  <c r="AV205" i="26"/>
  <c r="AV95" i="26"/>
  <c r="AV120" i="26"/>
  <c r="AV65" i="26"/>
  <c r="AV66" i="26"/>
  <c r="AV111" i="26"/>
  <c r="AV74" i="26"/>
  <c r="AV85" i="26"/>
  <c r="AV181" i="26"/>
  <c r="AV180" i="26"/>
  <c r="AV196" i="26"/>
  <c r="AV197" i="26"/>
  <c r="AV91" i="26"/>
  <c r="AV92" i="26"/>
  <c r="AV64" i="26"/>
  <c r="AV60" i="26"/>
  <c r="AV97" i="26"/>
  <c r="AV68" i="26"/>
  <c r="AV147" i="26"/>
  <c r="AV206" i="26"/>
  <c r="AV184" i="26"/>
  <c r="AV140" i="26"/>
  <c r="AV177" i="26"/>
  <c r="AV208" i="26"/>
  <c r="AV150" i="26"/>
  <c r="AV87" i="26"/>
  <c r="AV89" i="26"/>
  <c r="AV173" i="26"/>
  <c r="AV123" i="26"/>
  <c r="AV73" i="26"/>
  <c r="AV62" i="26"/>
  <c r="AV139" i="26"/>
  <c r="AV204" i="26"/>
  <c r="AV207" i="26"/>
  <c r="AV200" i="26"/>
  <c r="AV144" i="26"/>
  <c r="AV69" i="26"/>
  <c r="AV70" i="26"/>
  <c r="AV145" i="26"/>
  <c r="AV90" i="26"/>
  <c r="AV72" i="26"/>
  <c r="AV137" i="26"/>
  <c r="AV138" i="26"/>
  <c r="AV179" i="26"/>
  <c r="AV185" i="26"/>
  <c r="AV182" i="26"/>
  <c r="AV143" i="26"/>
  <c r="AV61" i="26"/>
  <c r="AV142" i="26"/>
  <c r="AV116" i="26"/>
  <c r="AV174" i="26"/>
  <c r="AV67" i="26"/>
  <c r="AV119" i="26"/>
  <c r="AV114" i="26"/>
  <c r="AV199" i="26"/>
  <c r="AV171" i="26"/>
  <c r="AV146" i="26"/>
  <c r="AV125" i="26"/>
  <c r="AV178" i="26"/>
  <c r="AV122" i="26"/>
  <c r="AV96" i="26"/>
  <c r="AV149" i="26"/>
  <c r="AV183" i="26"/>
  <c r="AV113" i="26"/>
  <c r="AV98" i="26"/>
  <c r="AV172" i="26"/>
  <c r="AV209" i="26"/>
  <c r="AV723" i="9"/>
  <c r="AV234" i="3"/>
  <c r="AV28" i="3"/>
  <c r="AV26" i="3"/>
  <c r="AU741" i="9"/>
  <c r="AV727" i="9"/>
  <c r="AV238" i="3"/>
  <c r="AV415" i="9"/>
  <c r="AV368" i="9"/>
  <c r="AV263" i="9"/>
  <c r="AV216" i="9"/>
  <c r="AV396" i="9"/>
  <c r="AV349" i="9"/>
  <c r="AV425" i="9"/>
  <c r="AV434" i="9"/>
  <c r="AV406" i="9"/>
  <c r="AV387" i="9"/>
  <c r="AV377" i="9"/>
  <c r="AV254" i="9"/>
  <c r="AV168" i="9"/>
  <c r="AV121" i="9"/>
  <c r="AV292" i="9"/>
  <c r="AV149" i="9"/>
  <c r="AV102" i="9"/>
  <c r="AV311" i="9"/>
  <c r="AV358" i="9"/>
  <c r="AV320" i="9"/>
  <c r="AV301" i="9"/>
  <c r="AV244" i="9"/>
  <c r="AV273" i="9"/>
  <c r="AV235" i="9"/>
  <c r="AV206" i="9"/>
  <c r="AV197" i="9"/>
  <c r="AV339" i="9"/>
  <c r="AV330" i="9"/>
  <c r="AV282" i="9"/>
  <c r="AV225" i="9"/>
  <c r="AV159" i="9"/>
  <c r="AV130" i="9"/>
  <c r="AV64" i="9"/>
  <c r="AV178" i="9"/>
  <c r="AV111" i="9"/>
  <c r="AV73" i="9"/>
  <c r="AV92" i="9"/>
  <c r="AV187" i="9"/>
  <c r="AV140" i="9"/>
  <c r="AV83" i="9"/>
  <c r="AV100" i="3"/>
  <c r="AV77" i="3"/>
  <c r="AV730" i="9"/>
  <c r="AV241" i="3"/>
  <c r="AV725" i="9"/>
  <c r="AV236" i="3"/>
  <c r="AV271" i="3"/>
  <c r="AV294" i="3" s="1"/>
  <c r="AV225" i="3"/>
  <c r="AU22" i="30"/>
  <c r="AU175" i="20"/>
  <c r="AW175" i="3"/>
  <c r="AW198" i="3" s="1"/>
  <c r="AV732" i="9"/>
  <c r="AV243" i="3"/>
  <c r="AV108" i="3"/>
  <c r="AV85" i="3"/>
  <c r="AV719" i="9"/>
  <c r="AV230" i="3"/>
  <c r="AV18" i="3"/>
  <c r="AV180" i="20" a="1"/>
  <c r="AV180" i="20" s="1"/>
  <c r="AV162" i="20" a="1"/>
  <c r="AV162" i="20" s="1"/>
  <c r="AV153" i="20" a="1"/>
  <c r="AV153" i="20" s="1"/>
  <c r="AV150" i="20" a="1"/>
  <c r="AV150" i="20" s="1"/>
  <c r="AV41" i="30" s="1"/>
  <c r="AV129" i="20" a="1"/>
  <c r="AV129" i="20" s="1"/>
  <c r="AV130" i="20" a="1"/>
  <c r="AV130" i="20" s="1"/>
  <c r="AV127" i="20" a="1"/>
  <c r="AV127" i="20" s="1"/>
  <c r="AV135" i="20" a="1"/>
  <c r="AV135" i="20" s="1"/>
  <c r="AV137" i="20" s="1"/>
  <c r="AV29" i="30" s="1"/>
  <c r="AV128" i="20" a="1"/>
  <c r="AV128" i="20" s="1"/>
  <c r="AV122" i="20" a="1"/>
  <c r="AV122" i="20" s="1"/>
  <c r="AV118" i="20" a="1"/>
  <c r="AV118" i="20" s="1"/>
  <c r="AV119" i="20" a="1"/>
  <c r="AV119" i="20" s="1"/>
  <c r="AV124" i="20" a="1"/>
  <c r="AV124" i="20" s="1"/>
  <c r="AV123" i="20" a="1"/>
  <c r="AV123" i="20" s="1"/>
  <c r="AV125" i="20" a="1"/>
  <c r="AV125" i="20" s="1"/>
  <c r="AV120" i="20" a="1"/>
  <c r="AV120" i="20" s="1"/>
  <c r="AV117" i="20" a="1"/>
  <c r="AV117" i="20" s="1"/>
  <c r="AV121" i="20" a="1"/>
  <c r="AV121" i="20" s="1"/>
  <c r="AV105" i="20" a="1"/>
  <c r="AV105" i="20" s="1"/>
  <c r="AV112" i="20" a="1"/>
  <c r="AV112" i="20" s="1"/>
  <c r="AV108" i="20" a="1"/>
  <c r="AV108" i="20" s="1"/>
  <c r="AV109" i="20" a="1"/>
  <c r="AV109" i="20" s="1"/>
  <c r="AV110" i="20" a="1"/>
  <c r="AV110" i="20" s="1"/>
  <c r="AV106" i="20" a="1"/>
  <c r="AV106" i="20" s="1"/>
  <c r="AV111" i="20" a="1"/>
  <c r="AV111" i="20" s="1"/>
  <c r="AV107" i="20" a="1"/>
  <c r="AV107" i="20" s="1"/>
  <c r="AV94" i="20" a="1"/>
  <c r="AV94" i="20" s="1"/>
  <c r="AV89" i="20" a="1"/>
  <c r="AV89" i="20" s="1"/>
  <c r="AV84" i="20" a="1"/>
  <c r="AV84" i="20" s="1"/>
  <c r="AV80" i="20" a="1"/>
  <c r="AV80" i="20" s="1"/>
  <c r="AV71" i="20" a="1"/>
  <c r="AV71" i="20" s="1"/>
  <c r="AV67" i="20" a="1"/>
  <c r="AV67" i="20" s="1"/>
  <c r="AV50" i="20" a="1"/>
  <c r="AV50" i="20" s="1"/>
  <c r="AV98" i="20" a="1"/>
  <c r="AV98" i="20" s="1"/>
  <c r="AV100" i="20" s="1"/>
  <c r="AV95" i="20" a="1"/>
  <c r="AV95" i="20" s="1"/>
  <c r="AV81" i="20" a="1"/>
  <c r="AV81" i="20" s="1"/>
  <c r="AV77" i="20" a="1"/>
  <c r="AV77" i="20" s="1"/>
  <c r="AV72" i="20" a="1"/>
  <c r="AV72" i="20" s="1"/>
  <c r="AV68" i="20" a="1"/>
  <c r="AV68" i="20" s="1"/>
  <c r="AV64" i="20" a="1"/>
  <c r="AV64" i="20" s="1"/>
  <c r="AV58" i="20" a="1"/>
  <c r="AV58" i="20" s="1"/>
  <c r="AV51" i="20" a="1"/>
  <c r="AV51" i="20" s="1"/>
  <c r="AV43" i="20" a="1"/>
  <c r="AV43" i="20" s="1"/>
  <c r="AV35" i="20" a="1"/>
  <c r="AV35" i="20" s="1"/>
  <c r="AV27" i="20" a="1"/>
  <c r="AV27" i="20" s="1"/>
  <c r="AV19" i="20" a="1"/>
  <c r="AV19" i="20" s="1"/>
  <c r="AV11" i="20" a="1"/>
  <c r="AV11" i="20" s="1"/>
  <c r="AV44" i="20" a="1"/>
  <c r="AV44" i="20" s="1"/>
  <c r="AV82" i="20" a="1"/>
  <c r="AV82" i="20" s="1"/>
  <c r="AV78" i="20" a="1"/>
  <c r="AV78" i="20" s="1"/>
  <c r="AV73" i="20" a="1"/>
  <c r="AV73" i="20" s="1"/>
  <c r="AV69" i="20" a="1"/>
  <c r="AV69" i="20" s="1"/>
  <c r="AV65" i="20" a="1"/>
  <c r="AV65" i="20" s="1"/>
  <c r="AV54" i="20" a="1"/>
  <c r="AV54" i="20" s="1"/>
  <c r="AV52" i="20" a="1"/>
  <c r="AV52" i="20" s="1"/>
  <c r="AV59" i="20" a="1"/>
  <c r="AV59" i="20" s="1"/>
  <c r="AV93" i="20" a="1"/>
  <c r="AV93" i="20" s="1"/>
  <c r="AV88" i="20" a="1"/>
  <c r="AV88" i="20" s="1"/>
  <c r="AV83" i="20" a="1"/>
  <c r="AV83" i="20" s="1"/>
  <c r="AV79" i="20" a="1"/>
  <c r="AV79" i="20" s="1"/>
  <c r="AV70" i="20" a="1"/>
  <c r="AV70" i="20" s="1"/>
  <c r="AV66" i="20" a="1"/>
  <c r="AV66" i="20" s="1"/>
  <c r="AV47" i="20" a="1"/>
  <c r="AV47" i="20" s="1"/>
  <c r="AV45" i="20" a="1"/>
  <c r="AV45" i="20" s="1"/>
  <c r="AV61" i="20" a="1"/>
  <c r="AV61" i="20" s="1"/>
  <c r="AV57" i="20" a="1"/>
  <c r="AV57" i="20" s="1"/>
  <c r="AV39" i="20" a="1"/>
  <c r="AV39" i="20" s="1"/>
  <c r="AV37" i="20" a="1"/>
  <c r="AV37" i="20" s="1"/>
  <c r="AV33" i="20" a="1"/>
  <c r="AV33" i="20" s="1"/>
  <c r="AV20" i="20" a="1"/>
  <c r="AV20" i="20" s="1"/>
  <c r="AV34" i="20" a="1"/>
  <c r="AV34" i="20" s="1"/>
  <c r="AV42" i="20" a="1"/>
  <c r="AV42" i="20" s="1"/>
  <c r="AV24" i="20" a="1"/>
  <c r="AV24" i="20" s="1"/>
  <c r="AV18" i="20" a="1"/>
  <c r="AV18" i="20" s="1"/>
  <c r="AV36" i="20" a="1"/>
  <c r="AV36" i="20" s="1"/>
  <c r="AV28" i="20" a="1"/>
  <c r="AV28" i="20" s="1"/>
  <c r="AV21" i="20" a="1"/>
  <c r="AV21" i="20" s="1"/>
  <c r="AV14" i="20" a="1"/>
  <c r="AV14" i="20" s="1"/>
  <c r="AV30" i="20" a="1"/>
  <c r="AV30" i="20" s="1"/>
  <c r="AV22" i="20" a="1"/>
  <c r="AV22" i="20" s="1"/>
  <c r="AV17" i="20" a="1"/>
  <c r="AV17" i="20" s="1"/>
  <c r="AV12" i="20" a="1"/>
  <c r="AV12" i="20" s="1"/>
  <c r="AU750" i="9"/>
  <c r="AU744" i="9"/>
  <c r="AV728" i="9"/>
  <c r="AV239" i="3"/>
  <c r="AU30" i="30"/>
  <c r="AW41" i="3"/>
  <c r="AX8" i="3"/>
  <c r="AW24" i="3"/>
  <c r="AW12" i="3"/>
  <c r="AW3" i="3" s="1"/>
  <c r="AW5" i="3"/>
  <c r="AW4" i="3"/>
  <c r="AV95" i="3"/>
  <c r="AV72" i="3"/>
  <c r="AV724" i="9"/>
  <c r="AV235" i="3"/>
  <c r="C107" i="23"/>
  <c r="C106" i="23" a="1"/>
  <c r="AV805" i="9" l="1"/>
  <c r="AV797" i="9"/>
  <c r="AV802" i="9"/>
  <c r="AV825" i="9" s="1"/>
  <c r="AU24" i="30"/>
  <c r="AU14" i="32" s="1"/>
  <c r="AV787" i="9"/>
  <c r="AV810" i="9" s="1"/>
  <c r="AW187" i="3"/>
  <c r="AW210" i="3" s="1"/>
  <c r="AV800" i="9"/>
  <c r="AV823" i="9" s="1"/>
  <c r="AV750" i="9"/>
  <c r="AW161" i="3"/>
  <c r="AW184" i="3" s="1"/>
  <c r="AV758" i="9"/>
  <c r="AU141" i="20"/>
  <c r="AU146" i="20" s="1"/>
  <c r="AU156" i="20" s="1"/>
  <c r="AU166" i="20" s="1"/>
  <c r="AV96" i="20"/>
  <c r="AV22" i="30" s="1"/>
  <c r="AV131" i="20"/>
  <c r="AV132" i="20" s="1"/>
  <c r="AV28" i="30" s="1"/>
  <c r="AV26" i="32" s="1"/>
  <c r="AV25" i="35" s="1"/>
  <c r="AV247" i="3"/>
  <c r="AV759" i="9" s="1"/>
  <c r="AV46" i="20"/>
  <c r="AV16" i="30" s="1"/>
  <c r="AW162" i="3"/>
  <c r="AW185" i="3" s="1"/>
  <c r="AV791" i="9"/>
  <c r="AV814" i="9" s="1"/>
  <c r="AV789" i="9"/>
  <c r="AV812" i="9" s="1"/>
  <c r="AV747" i="9"/>
  <c r="AV53" i="20"/>
  <c r="AV17" i="30" s="1"/>
  <c r="AV13" i="20"/>
  <c r="AV798" i="9"/>
  <c r="AV821" i="9" s="1"/>
  <c r="AV23" i="20"/>
  <c r="AV806" i="9"/>
  <c r="AV829" i="9" s="1"/>
  <c r="AV748" i="9"/>
  <c r="AV742" i="9"/>
  <c r="AV795" i="9"/>
  <c r="AV818" i="9" s="1"/>
  <c r="AV790" i="9"/>
  <c r="AV813" i="9" s="1"/>
  <c r="AV803" i="9"/>
  <c r="AV826" i="9" s="1"/>
  <c r="AW213" i="3"/>
  <c r="AW259" i="3"/>
  <c r="AW282" i="3" s="1"/>
  <c r="AW216" i="3"/>
  <c r="AW262" i="3"/>
  <c r="AW285" i="3" s="1"/>
  <c r="AW267" i="3"/>
  <c r="AW290" i="3" s="1"/>
  <c r="AW221" i="3"/>
  <c r="AW223" i="3"/>
  <c r="AW269" i="3"/>
  <c r="AW292" i="3" s="1"/>
  <c r="AW222" i="3"/>
  <c r="AW268" i="3"/>
  <c r="AW291" i="3" s="1"/>
  <c r="AW261" i="3"/>
  <c r="AW284" i="3" s="1"/>
  <c r="AW215" i="3"/>
  <c r="AW209" i="3"/>
  <c r="AW255" i="3"/>
  <c r="AW278" i="3" s="1"/>
  <c r="AW260" i="3"/>
  <c r="AW283" i="3" s="1"/>
  <c r="AW214" i="3"/>
  <c r="AW258" i="3"/>
  <c r="AW281" i="3" s="1"/>
  <c r="AW212" i="3"/>
  <c r="AW4" i="11"/>
  <c r="AW22" i="3"/>
  <c r="AW30" i="3"/>
  <c r="AW16" i="3"/>
  <c r="AW4" i="35"/>
  <c r="AW4" i="33"/>
  <c r="AX4" i="12"/>
  <c r="AW4" i="32"/>
  <c r="AW4" i="30"/>
  <c r="AW4" i="38"/>
  <c r="AW4" i="6"/>
  <c r="AW4" i="9"/>
  <c r="AW4" i="26"/>
  <c r="AW4" i="16"/>
  <c r="AW4" i="22"/>
  <c r="AW4" i="20"/>
  <c r="AW4" i="1"/>
  <c r="AW4" i="28"/>
  <c r="AW20" i="3"/>
  <c r="AV74" i="20"/>
  <c r="AV19" i="30" s="1"/>
  <c r="AV753" i="9"/>
  <c r="AT257" i="6"/>
  <c r="AT259" i="6" s="1"/>
  <c r="AT170" i="20"/>
  <c r="AT60" i="30" s="1"/>
  <c r="AV733" i="9"/>
  <c r="AV244" i="3"/>
  <c r="AW220" i="3"/>
  <c r="AW266" i="3"/>
  <c r="AW289" i="3" s="1"/>
  <c r="AW217" i="3"/>
  <c r="AW263" i="3"/>
  <c r="AW286" i="3" s="1"/>
  <c r="AV718" i="9"/>
  <c r="AV229" i="3"/>
  <c r="AT47" i="30"/>
  <c r="AT38" i="30"/>
  <c r="AU80" i="33"/>
  <c r="AV726" i="9"/>
  <c r="AV237" i="3"/>
  <c r="AV722" i="9"/>
  <c r="AV233" i="3"/>
  <c r="AW225" i="3"/>
  <c r="AW271" i="3"/>
  <c r="AW294" i="3" s="1"/>
  <c r="AW5" i="11"/>
  <c r="AW63" i="3"/>
  <c r="AW55" i="3"/>
  <c r="AW47" i="3"/>
  <c r="AW64" i="3"/>
  <c r="AW59" i="3"/>
  <c r="AW46" i="3"/>
  <c r="AW54" i="3"/>
  <c r="AW100" i="3" s="1"/>
  <c r="AW53" i="3"/>
  <c r="AW49" i="3"/>
  <c r="AW95" i="3" s="1"/>
  <c r="AW48" i="3"/>
  <c r="AW51" i="3"/>
  <c r="AW50" i="3"/>
  <c r="AW56" i="3"/>
  <c r="AW52" i="3"/>
  <c r="AW45" i="3"/>
  <c r="AW58" i="3"/>
  <c r="AW104" i="3" s="1"/>
  <c r="AW57" i="3"/>
  <c r="AW103" i="3" s="1"/>
  <c r="AW62" i="3"/>
  <c r="AW108" i="3" s="1"/>
  <c r="AW61" i="3"/>
  <c r="AW60" i="3"/>
  <c r="AW5" i="35"/>
  <c r="AW5" i="33"/>
  <c r="AX5" i="12"/>
  <c r="AW5" i="32"/>
  <c r="AW5" i="30"/>
  <c r="AW5" i="38"/>
  <c r="AW5" i="6"/>
  <c r="AW5" i="9"/>
  <c r="AW5" i="26"/>
  <c r="AW5" i="16"/>
  <c r="AW5" i="22"/>
  <c r="AW5" i="20"/>
  <c r="AW5" i="1"/>
  <c r="AW5" i="28"/>
  <c r="AW132" i="3"/>
  <c r="AW114" i="3"/>
  <c r="AW127" i="3"/>
  <c r="AW124" i="3"/>
  <c r="AW133" i="3"/>
  <c r="AW120" i="3"/>
  <c r="AW125" i="3"/>
  <c r="AW131" i="3"/>
  <c r="AW118" i="3"/>
  <c r="AW123" i="3"/>
  <c r="AW129" i="3"/>
  <c r="AW115" i="3"/>
  <c r="AW130" i="3"/>
  <c r="AW126" i="3"/>
  <c r="AW121" i="3"/>
  <c r="AW128" i="3"/>
  <c r="AW122" i="3"/>
  <c r="AW116" i="3"/>
  <c r="AW117" i="3"/>
  <c r="AW119" i="3"/>
  <c r="AV38" i="20"/>
  <c r="AV15" i="30" s="1"/>
  <c r="AV29" i="20"/>
  <c r="AV14" i="30" s="1"/>
  <c r="AV85" i="20"/>
  <c r="AV20" i="30" s="1"/>
  <c r="AV755" i="9"/>
  <c r="AV737" i="9"/>
  <c r="AV248" i="3"/>
  <c r="AV746" i="9"/>
  <c r="AT28" i="32"/>
  <c r="AT33" i="32"/>
  <c r="AW3" i="11"/>
  <c r="AW14" i="3"/>
  <c r="AW3" i="35"/>
  <c r="AW3" i="33"/>
  <c r="AX3" i="12"/>
  <c r="AW3" i="32"/>
  <c r="AW3" i="30"/>
  <c r="AW3" i="38"/>
  <c r="AW3" i="6"/>
  <c r="AW3" i="9"/>
  <c r="AW3" i="26"/>
  <c r="AW3" i="16"/>
  <c r="AW3" i="22"/>
  <c r="AW3" i="20"/>
  <c r="AW3" i="1"/>
  <c r="AW3" i="28"/>
  <c r="AW37" i="3"/>
  <c r="AV645" i="9"/>
  <c r="AW224" i="3"/>
  <c r="AW270" i="3"/>
  <c r="AW293" i="3" s="1"/>
  <c r="AV734" i="9"/>
  <c r="AV245" i="3"/>
  <c r="AV731" i="9"/>
  <c r="AV242" i="3"/>
  <c r="AV824" i="9"/>
  <c r="AV817" i="9"/>
  <c r="AV815" i="9"/>
  <c r="AV828" i="9"/>
  <c r="AV827" i="9"/>
  <c r="AV822" i="9"/>
  <c r="AV820" i="9"/>
  <c r="AV816" i="9"/>
  <c r="AV819" i="9"/>
  <c r="AV811" i="9"/>
  <c r="AV25" i="30"/>
  <c r="AV24" i="32"/>
  <c r="AV25" i="32" s="1"/>
  <c r="AV24" i="35" s="1"/>
  <c r="AV114" i="20"/>
  <c r="AV44" i="30"/>
  <c r="AV45" i="30" s="1"/>
  <c r="AV154" i="20"/>
  <c r="AW85" i="3"/>
  <c r="AW252" i="3"/>
  <c r="AW275" i="3" s="1"/>
  <c r="AW206" i="3"/>
  <c r="AV721" i="9"/>
  <c r="AV232" i="3"/>
  <c r="AV751" i="9"/>
  <c r="AX10" i="3"/>
  <c r="AX143" i="3" s="1"/>
  <c r="AX137" i="3"/>
  <c r="AV194" i="30"/>
  <c r="AV179" i="30"/>
  <c r="AV65" i="33" s="1"/>
  <c r="AV60" i="20"/>
  <c r="AV18" i="30" s="1"/>
  <c r="AV90" i="20"/>
  <c r="AV21" i="30" s="1"/>
  <c r="AV23" i="30"/>
  <c r="AV179" i="20"/>
  <c r="AV52" i="30"/>
  <c r="AV54" i="30" s="1"/>
  <c r="AV41" i="6"/>
  <c r="AV44" i="6" s="1"/>
  <c r="AV164" i="20"/>
  <c r="AW256" i="3"/>
  <c r="AW279" i="3" s="1"/>
  <c r="AW218" i="3"/>
  <c r="AW264" i="3"/>
  <c r="AW287" i="3" s="1"/>
  <c r="AV720" i="9"/>
  <c r="AV231" i="3"/>
  <c r="AW257" i="3"/>
  <c r="AW280" i="3" s="1"/>
  <c r="AW211" i="3"/>
  <c r="AW265" i="3"/>
  <c r="AW288" i="3" s="1"/>
  <c r="AW219" i="3"/>
  <c r="AS94" i="33"/>
  <c r="AR96" i="33"/>
  <c r="AR101" i="33" s="1"/>
  <c r="AR104" i="33" s="1"/>
  <c r="AS211" i="30"/>
  <c r="AS212" i="30" s="1"/>
  <c r="AR214" i="30"/>
  <c r="AR217" i="30" s="1"/>
  <c r="AR83" i="6"/>
  <c r="AV729" i="9"/>
  <c r="AV240" i="3"/>
  <c r="C106" i="23"/>
  <c r="C105" i="23" a="1"/>
  <c r="AV175" i="20" l="1"/>
  <c r="AU32" i="30"/>
  <c r="AU36" i="30" s="1"/>
  <c r="AU38" i="30" s="1"/>
  <c r="AV13" i="30"/>
  <c r="AV24" i="30" s="1"/>
  <c r="AU174" i="20"/>
  <c r="AU181" i="20" s="1"/>
  <c r="AU62" i="30" s="1"/>
  <c r="AW207" i="3"/>
  <c r="AW230" i="3" s="1"/>
  <c r="AW253" i="3"/>
  <c r="AW276" i="3" s="1"/>
  <c r="AW72" i="3"/>
  <c r="AW81" i="3"/>
  <c r="AW208" i="3"/>
  <c r="AW254" i="3"/>
  <c r="AW277" i="3" s="1"/>
  <c r="AV749" i="9"/>
  <c r="AX149" i="3"/>
  <c r="AX172" i="3" s="1"/>
  <c r="AX195" i="3" s="1"/>
  <c r="AX140" i="3"/>
  <c r="AX163" i="3" s="1"/>
  <c r="AX186" i="3" s="1"/>
  <c r="AV760" i="9"/>
  <c r="AV741" i="9"/>
  <c r="AX166" i="3"/>
  <c r="AX189" i="3" s="1"/>
  <c r="AW723" i="9"/>
  <c r="AW234" i="3"/>
  <c r="AX147" i="3"/>
  <c r="AX139" i="3"/>
  <c r="AX154" i="3"/>
  <c r="AW718" i="9"/>
  <c r="AW229" i="3"/>
  <c r="AW98" i="3"/>
  <c r="AW75" i="3"/>
  <c r="AW93" i="3"/>
  <c r="AW70" i="3"/>
  <c r="AW149" i="26"/>
  <c r="AW205" i="26"/>
  <c r="AW146" i="26"/>
  <c r="AW173" i="26"/>
  <c r="AW143" i="26"/>
  <c r="AW87" i="26"/>
  <c r="AW68" i="26"/>
  <c r="AW88" i="26"/>
  <c r="AW121" i="26"/>
  <c r="AW207" i="26"/>
  <c r="AW179" i="26"/>
  <c r="AW208" i="26"/>
  <c r="AW141" i="26"/>
  <c r="AW197" i="26"/>
  <c r="AW142" i="26"/>
  <c r="AW116" i="26"/>
  <c r="AW123" i="26"/>
  <c r="AW73" i="26"/>
  <c r="AW150" i="26"/>
  <c r="AW85" i="26"/>
  <c r="AW120" i="26"/>
  <c r="AW185" i="26"/>
  <c r="AW176" i="26"/>
  <c r="AW198" i="26"/>
  <c r="AW203" i="26"/>
  <c r="AW174" i="26"/>
  <c r="AW140" i="26"/>
  <c r="AW99" i="26"/>
  <c r="AW90" i="26"/>
  <c r="AW72" i="26"/>
  <c r="AW137" i="26"/>
  <c r="AW139" i="26"/>
  <c r="AW95" i="26"/>
  <c r="AW172" i="26"/>
  <c r="AW200" i="26"/>
  <c r="AW145" i="26"/>
  <c r="AW181" i="26"/>
  <c r="AW195" i="26"/>
  <c r="AW122" i="26"/>
  <c r="AW96" i="26"/>
  <c r="AW67" i="26"/>
  <c r="AW177" i="26"/>
  <c r="AW125" i="26"/>
  <c r="AW114" i="26"/>
  <c r="AW92" i="26"/>
  <c r="AW183" i="26"/>
  <c r="AW175" i="26"/>
  <c r="AW138" i="26"/>
  <c r="AW115" i="26"/>
  <c r="AW93" i="26"/>
  <c r="AW124" i="26"/>
  <c r="AW151" i="26"/>
  <c r="AW119" i="26"/>
  <c r="AW98" i="26"/>
  <c r="AW89" i="26"/>
  <c r="AW180" i="26"/>
  <c r="AW184" i="26"/>
  <c r="AW147" i="26"/>
  <c r="AW118" i="26"/>
  <c r="AW86" i="26"/>
  <c r="AW71" i="26"/>
  <c r="AW117" i="26"/>
  <c r="AW144" i="26"/>
  <c r="AW113" i="26"/>
  <c r="AW69" i="26"/>
  <c r="AW65" i="26"/>
  <c r="AW209" i="26"/>
  <c r="AW199" i="26"/>
  <c r="AW148" i="26"/>
  <c r="AW70" i="26"/>
  <c r="AW64" i="26"/>
  <c r="AW66" i="26"/>
  <c r="AW111" i="26"/>
  <c r="AW94" i="26"/>
  <c r="AW112" i="26"/>
  <c r="AW63" i="26"/>
  <c r="AW60" i="26"/>
  <c r="AW196" i="26"/>
  <c r="AW204" i="26"/>
  <c r="AW202" i="26"/>
  <c r="AW62" i="26"/>
  <c r="AW61" i="26"/>
  <c r="AW182" i="26"/>
  <c r="AW97" i="26"/>
  <c r="AW74" i="26"/>
  <c r="AW91" i="26"/>
  <c r="AW178" i="26"/>
  <c r="AW206" i="26"/>
  <c r="AW201" i="26"/>
  <c r="AW171" i="26"/>
  <c r="AW102" i="3"/>
  <c r="AW79" i="3"/>
  <c r="AW92" i="3"/>
  <c r="AW69" i="3"/>
  <c r="AW101" i="3"/>
  <c r="AW78" i="3"/>
  <c r="AW729" i="9"/>
  <c r="AW240" i="3"/>
  <c r="AU28" i="32"/>
  <c r="AU33" i="32"/>
  <c r="AW735" i="9"/>
  <c r="AW246" i="3"/>
  <c r="AW434" i="9"/>
  <c r="AW396" i="9"/>
  <c r="AW349" i="9"/>
  <c r="AW244" i="9"/>
  <c r="AW377" i="9"/>
  <c r="AW330" i="9"/>
  <c r="AW425" i="9"/>
  <c r="AW406" i="9"/>
  <c r="AW387" i="9"/>
  <c r="AW292" i="9"/>
  <c r="AW263" i="9"/>
  <c r="AW149" i="9"/>
  <c r="AW311" i="9"/>
  <c r="AW130" i="9"/>
  <c r="AW358" i="9"/>
  <c r="AW320" i="9"/>
  <c r="AW301" i="9"/>
  <c r="AW273" i="9"/>
  <c r="AW235" i="9"/>
  <c r="AW206" i="9"/>
  <c r="AW197" i="9"/>
  <c r="AW339" i="9"/>
  <c r="AW282" i="9"/>
  <c r="AW178" i="9"/>
  <c r="AW415" i="9"/>
  <c r="AW368" i="9"/>
  <c r="AW225" i="9"/>
  <c r="AW187" i="9"/>
  <c r="AW140" i="9"/>
  <c r="AW111" i="9"/>
  <c r="AW73" i="9"/>
  <c r="AW102" i="9"/>
  <c r="AW254" i="9"/>
  <c r="AW216" i="9"/>
  <c r="AW159" i="9"/>
  <c r="AW83" i="9"/>
  <c r="AW64" i="9"/>
  <c r="AW121" i="9"/>
  <c r="AW92" i="9"/>
  <c r="AW168" i="9"/>
  <c r="AW106" i="3"/>
  <c r="AW83" i="3"/>
  <c r="AW96" i="3"/>
  <c r="AW73" i="3"/>
  <c r="AW105" i="3"/>
  <c r="AW82" i="3"/>
  <c r="AW109" i="3"/>
  <c r="AW86" i="3"/>
  <c r="AV756" i="9"/>
  <c r="AW28" i="3"/>
  <c r="AW26" i="3"/>
  <c r="AW733" i="9"/>
  <c r="AW244" i="3"/>
  <c r="AX141" i="3"/>
  <c r="AW107" i="3"/>
  <c r="AW84" i="3"/>
  <c r="AW97" i="3"/>
  <c r="AW74" i="3"/>
  <c r="AW110" i="3"/>
  <c r="AW87" i="3"/>
  <c r="AT54" i="33"/>
  <c r="AT148" i="30"/>
  <c r="AT180" i="30" s="1"/>
  <c r="AT56" i="30"/>
  <c r="AT58" i="30" s="1"/>
  <c r="AW732" i="9"/>
  <c r="AW243" i="3"/>
  <c r="AW80" i="3"/>
  <c r="AW180" i="20" a="1"/>
  <c r="AW180" i="20" s="1"/>
  <c r="AW162" i="20" a="1"/>
  <c r="AW162" i="20" s="1"/>
  <c r="AW153" i="20" a="1"/>
  <c r="AW153" i="20" s="1"/>
  <c r="AW150" i="20" a="1"/>
  <c r="AW150" i="20" s="1"/>
  <c r="AW41" i="30" s="1"/>
  <c r="AW129" i="20" a="1"/>
  <c r="AW129" i="20" s="1"/>
  <c r="AW127" i="20" a="1"/>
  <c r="AW127" i="20" s="1"/>
  <c r="AW130" i="20" a="1"/>
  <c r="AW130" i="20" s="1"/>
  <c r="AW135" i="20" a="1"/>
  <c r="AW135" i="20" s="1"/>
  <c r="AW137" i="20" s="1"/>
  <c r="AW29" i="30" s="1"/>
  <c r="AW128" i="20" a="1"/>
  <c r="AW128" i="20" s="1"/>
  <c r="AW124" i="20" a="1"/>
  <c r="AW124" i="20" s="1"/>
  <c r="AW123" i="20" a="1"/>
  <c r="AW123" i="20" s="1"/>
  <c r="AW119" i="20" a="1"/>
  <c r="AW119" i="20" s="1"/>
  <c r="AW125" i="20" a="1"/>
  <c r="AW125" i="20" s="1"/>
  <c r="AW120" i="20" a="1"/>
  <c r="AW120" i="20" s="1"/>
  <c r="AW121" i="20" a="1"/>
  <c r="AW121" i="20" s="1"/>
  <c r="AW117" i="20" a="1"/>
  <c r="AW117" i="20" s="1"/>
  <c r="AW122" i="20" a="1"/>
  <c r="AW122" i="20" s="1"/>
  <c r="AW118" i="20" a="1"/>
  <c r="AW118" i="20" s="1"/>
  <c r="AW105" i="20" a="1"/>
  <c r="AW105" i="20" s="1"/>
  <c r="AW106" i="20" a="1"/>
  <c r="AW106" i="20" s="1"/>
  <c r="AW109" i="20" a="1"/>
  <c r="AW109" i="20" s="1"/>
  <c r="AW110" i="20" a="1"/>
  <c r="AW110" i="20" s="1"/>
  <c r="AW111" i="20" a="1"/>
  <c r="AW111" i="20" s="1"/>
  <c r="AW107" i="20" a="1"/>
  <c r="AW107" i="20" s="1"/>
  <c r="AW112" i="20" a="1"/>
  <c r="AW112" i="20" s="1"/>
  <c r="AW108" i="20" a="1"/>
  <c r="AW108" i="20" s="1"/>
  <c r="AW95" i="20" a="1"/>
  <c r="AW95" i="20" s="1"/>
  <c r="AW81" i="20" a="1"/>
  <c r="AW81" i="20" s="1"/>
  <c r="AW77" i="20" a="1"/>
  <c r="AW77" i="20" s="1"/>
  <c r="AW72" i="20" a="1"/>
  <c r="AW72" i="20" s="1"/>
  <c r="AW68" i="20" a="1"/>
  <c r="AW68" i="20" s="1"/>
  <c r="AW64" i="20" a="1"/>
  <c r="AW64" i="20" s="1"/>
  <c r="AW58" i="20" a="1"/>
  <c r="AW58" i="20" s="1"/>
  <c r="AW51" i="20" a="1"/>
  <c r="AW51" i="20" s="1"/>
  <c r="AW82" i="20" a="1"/>
  <c r="AW82" i="20" s="1"/>
  <c r="AW78" i="20" a="1"/>
  <c r="AW78" i="20" s="1"/>
  <c r="AW73" i="20" a="1"/>
  <c r="AW73" i="20" s="1"/>
  <c r="AW69" i="20" a="1"/>
  <c r="AW69" i="20" s="1"/>
  <c r="AW65" i="20" a="1"/>
  <c r="AW65" i="20" s="1"/>
  <c r="AW54" i="20" a="1"/>
  <c r="AW54" i="20" s="1"/>
  <c r="AW52" i="20" a="1"/>
  <c r="AW52" i="20" s="1"/>
  <c r="AW44" i="20" a="1"/>
  <c r="AW44" i="20" s="1"/>
  <c r="AW36" i="20" a="1"/>
  <c r="AW36" i="20" s="1"/>
  <c r="AW30" i="20" a="1"/>
  <c r="AW30" i="20" s="1"/>
  <c r="AW28" i="20" a="1"/>
  <c r="AW28" i="20" s="1"/>
  <c r="AW20" i="20" a="1"/>
  <c r="AW20" i="20" s="1"/>
  <c r="AW14" i="20" a="1"/>
  <c r="AW14" i="20" s="1"/>
  <c r="AW12" i="20" a="1"/>
  <c r="AW12" i="20" s="1"/>
  <c r="AW47" i="20" a="1"/>
  <c r="AW47" i="20" s="1"/>
  <c r="AW45" i="20" a="1"/>
  <c r="AW45" i="20" s="1"/>
  <c r="AW39" i="20" a="1"/>
  <c r="AW39" i="20" s="1"/>
  <c r="AW37" i="20" a="1"/>
  <c r="AW37" i="20" s="1"/>
  <c r="AW59" i="20" a="1"/>
  <c r="AW59" i="20" s="1"/>
  <c r="AW93" i="20" a="1"/>
  <c r="AW93" i="20" s="1"/>
  <c r="AW88" i="20" a="1"/>
  <c r="AW88" i="20" s="1"/>
  <c r="AW83" i="20" a="1"/>
  <c r="AW83" i="20" s="1"/>
  <c r="AW79" i="20" a="1"/>
  <c r="AW79" i="20" s="1"/>
  <c r="AW70" i="20" a="1"/>
  <c r="AW70" i="20" s="1"/>
  <c r="AW66" i="20" a="1"/>
  <c r="AW66" i="20" s="1"/>
  <c r="AW61" i="20" a="1"/>
  <c r="AW61" i="20" s="1"/>
  <c r="AW57" i="20" a="1"/>
  <c r="AW57" i="20" s="1"/>
  <c r="AW94" i="20" a="1"/>
  <c r="AW94" i="20" s="1"/>
  <c r="AW89" i="20" a="1"/>
  <c r="AW89" i="20" s="1"/>
  <c r="AW84" i="20" a="1"/>
  <c r="AW84" i="20" s="1"/>
  <c r="AW80" i="20" a="1"/>
  <c r="AW80" i="20" s="1"/>
  <c r="AW71" i="20" a="1"/>
  <c r="AW71" i="20" s="1"/>
  <c r="AW67" i="20" a="1"/>
  <c r="AW67" i="20" s="1"/>
  <c r="AW50" i="20" a="1"/>
  <c r="AW50" i="20" s="1"/>
  <c r="AW98" i="20" a="1"/>
  <c r="AW98" i="20" s="1"/>
  <c r="AW100" i="20" s="1"/>
  <c r="AW43" i="20" a="1"/>
  <c r="AW43" i="20" s="1"/>
  <c r="AW33" i="20" a="1"/>
  <c r="AW33" i="20" s="1"/>
  <c r="AW35" i="20" a="1"/>
  <c r="AW35" i="20" s="1"/>
  <c r="AW34" i="20" a="1"/>
  <c r="AW34" i="20" s="1"/>
  <c r="AW27" i="20" a="1"/>
  <c r="AW27" i="20" s="1"/>
  <c r="AW24" i="20" a="1"/>
  <c r="AW24" i="20" s="1"/>
  <c r="AW42" i="20" a="1"/>
  <c r="AW42" i="20" s="1"/>
  <c r="AW21" i="20" a="1"/>
  <c r="AW21" i="20" s="1"/>
  <c r="AW11" i="20" a="1"/>
  <c r="AW11" i="20" s="1"/>
  <c r="AW17" i="20" a="1"/>
  <c r="AW17" i="20" s="1"/>
  <c r="AW22" i="20" a="1"/>
  <c r="AW22" i="20" s="1"/>
  <c r="AW19" i="20" a="1"/>
  <c r="AW19" i="20" s="1"/>
  <c r="AW18" i="20" a="1"/>
  <c r="AW18" i="20" s="1"/>
  <c r="AW721" i="9"/>
  <c r="AW232" i="3"/>
  <c r="AX160" i="3"/>
  <c r="AX183" i="3" s="1"/>
  <c r="AX5" i="3"/>
  <c r="AX41" i="3"/>
  <c r="AX24" i="3"/>
  <c r="AX12" i="3"/>
  <c r="AX3" i="3" s="1"/>
  <c r="AY8" i="3"/>
  <c r="AX4" i="3"/>
  <c r="AX144" i="3"/>
  <c r="AW94" i="3"/>
  <c r="AW71" i="3"/>
  <c r="AW737" i="9"/>
  <c r="AW248" i="3"/>
  <c r="AW719" i="9"/>
  <c r="AW724" i="9"/>
  <c r="AW235" i="3"/>
  <c r="AW727" i="9"/>
  <c r="AW238" i="3"/>
  <c r="AV744" i="9"/>
  <c r="AV27" i="30"/>
  <c r="AV30" i="30" s="1"/>
  <c r="AV139" i="20"/>
  <c r="AV754" i="9"/>
  <c r="AT136" i="30"/>
  <c r="AT137" i="30" s="1"/>
  <c r="AU256" i="6"/>
  <c r="AW728" i="9"/>
  <c r="AW239" i="3"/>
  <c r="AR19" i="32"/>
  <c r="AR85" i="30"/>
  <c r="AR88" i="30" s="1"/>
  <c r="AR14" i="6"/>
  <c r="AW730" i="9"/>
  <c r="AW241" i="3"/>
  <c r="AX142" i="3"/>
  <c r="AX151" i="3"/>
  <c r="AX150" i="3"/>
  <c r="AX156" i="3"/>
  <c r="AX152" i="3"/>
  <c r="AX155" i="3"/>
  <c r="AV102" i="20"/>
  <c r="AW99" i="3"/>
  <c r="AW76" i="3"/>
  <c r="AV745" i="9"/>
  <c r="AU257" i="6"/>
  <c r="AU170" i="20"/>
  <c r="AU60" i="30" s="1"/>
  <c r="AW77" i="3"/>
  <c r="AW726" i="9"/>
  <c r="AW237" i="3"/>
  <c r="AW736" i="9"/>
  <c r="AW247" i="3"/>
  <c r="AX138" i="3"/>
  <c r="AS96" i="33"/>
  <c r="AS101" i="33" s="1"/>
  <c r="AS104" i="33" s="1"/>
  <c r="AT211" i="30"/>
  <c r="AS214" i="30"/>
  <c r="AS217" i="30" s="1"/>
  <c r="AS83" i="6"/>
  <c r="AW720" i="9"/>
  <c r="AW231" i="3"/>
  <c r="AW722" i="9"/>
  <c r="AW233" i="3"/>
  <c r="AV72" i="30"/>
  <c r="AV74" i="30" s="1"/>
  <c r="AW40" i="6"/>
  <c r="AV12" i="6"/>
  <c r="AV77" i="33"/>
  <c r="AV195" i="30"/>
  <c r="AV78" i="33" s="1"/>
  <c r="AX146" i="3"/>
  <c r="AW731" i="9"/>
  <c r="AW242" i="3"/>
  <c r="AV752" i="9"/>
  <c r="AV743" i="9"/>
  <c r="AX153" i="3"/>
  <c r="AX145" i="3"/>
  <c r="AX148" i="3"/>
  <c r="AV757" i="9"/>
  <c r="AW91" i="3"/>
  <c r="AW68" i="3"/>
  <c r="AW713" i="9"/>
  <c r="AW782" i="9" s="1"/>
  <c r="AW805" i="9" s="1"/>
  <c r="AW708" i="9"/>
  <c r="AW777" i="9" s="1"/>
  <c r="AW800" i="9" s="1"/>
  <c r="AW700" i="9"/>
  <c r="AW769" i="9" s="1"/>
  <c r="AW792" i="9" s="1"/>
  <c r="AW709" i="9"/>
  <c r="AW778" i="9" s="1"/>
  <c r="AW801" i="9" s="1"/>
  <c r="AW704" i="9"/>
  <c r="AW773" i="9" s="1"/>
  <c r="AW796" i="9" s="1"/>
  <c r="AW699" i="9"/>
  <c r="AW768" i="9" s="1"/>
  <c r="AW791" i="9" s="1"/>
  <c r="AW712" i="9"/>
  <c r="AW781" i="9" s="1"/>
  <c r="AW804" i="9" s="1"/>
  <c r="AW711" i="9"/>
  <c r="AW780" i="9" s="1"/>
  <c r="AW803" i="9" s="1"/>
  <c r="AW706" i="9"/>
  <c r="AW775" i="9" s="1"/>
  <c r="AW798" i="9" s="1"/>
  <c r="AW701" i="9"/>
  <c r="AW770" i="9" s="1"/>
  <c r="AW793" i="9" s="1"/>
  <c r="AW696" i="9"/>
  <c r="AW765" i="9" s="1"/>
  <c r="AW788" i="9" s="1"/>
  <c r="AW714" i="9"/>
  <c r="AW783" i="9" s="1"/>
  <c r="AW806" i="9" s="1"/>
  <c r="AW710" i="9"/>
  <c r="AW779" i="9" s="1"/>
  <c r="AW802" i="9" s="1"/>
  <c r="AW705" i="9"/>
  <c r="AW774" i="9" s="1"/>
  <c r="AW797" i="9" s="1"/>
  <c r="AW703" i="9"/>
  <c r="AW772" i="9" s="1"/>
  <c r="AW795" i="9" s="1"/>
  <c r="AW698" i="9"/>
  <c r="AW767" i="9" s="1"/>
  <c r="AW790" i="9" s="1"/>
  <c r="AW702" i="9"/>
  <c r="AW771" i="9" s="1"/>
  <c r="AW794" i="9" s="1"/>
  <c r="AW697" i="9"/>
  <c r="AW766" i="9" s="1"/>
  <c r="AW789" i="9" s="1"/>
  <c r="AW695" i="9"/>
  <c r="AW764" i="9" s="1"/>
  <c r="AW787" i="9" s="1"/>
  <c r="AW707" i="9"/>
  <c r="AW776" i="9" s="1"/>
  <c r="AW799" i="9" s="1"/>
  <c r="AW18" i="3"/>
  <c r="AW734" i="9"/>
  <c r="AW245" i="3"/>
  <c r="AW725" i="9"/>
  <c r="AW236" i="3"/>
  <c r="C105" i="23"/>
  <c r="C104" i="23" a="1"/>
  <c r="AU47" i="30" l="1"/>
  <c r="AU54" i="33" s="1"/>
  <c r="AV80" i="33"/>
  <c r="AW758" i="9"/>
  <c r="AW60" i="20"/>
  <c r="AW18" i="30" s="1"/>
  <c r="AW756" i="9"/>
  <c r="AW759" i="9"/>
  <c r="AW13" i="20"/>
  <c r="AW743" i="9"/>
  <c r="AV141" i="20"/>
  <c r="AV146" i="20" s="1"/>
  <c r="AV174" i="20" s="1"/>
  <c r="AV181" i="20" s="1"/>
  <c r="AV62" i="30" s="1"/>
  <c r="AW747" i="9"/>
  <c r="AW749" i="9"/>
  <c r="AW46" i="20"/>
  <c r="AW16" i="30" s="1"/>
  <c r="AW53" i="20"/>
  <c r="AW17" i="30" s="1"/>
  <c r="AW760" i="9"/>
  <c r="AW754" i="9"/>
  <c r="AW745" i="9"/>
  <c r="AW23" i="20"/>
  <c r="AW38" i="20"/>
  <c r="AW15" i="30" s="1"/>
  <c r="AW25" i="30"/>
  <c r="AX252" i="3"/>
  <c r="AX275" i="3" s="1"/>
  <c r="AX206" i="3"/>
  <c r="AX258" i="3"/>
  <c r="AX281" i="3" s="1"/>
  <c r="AX212" i="3"/>
  <c r="AW748" i="9"/>
  <c r="AX168" i="3"/>
  <c r="AX191" i="3" s="1"/>
  <c r="AS19" i="32"/>
  <c r="AS85" i="30"/>
  <c r="AS88" i="30" s="1"/>
  <c r="AS14" i="6"/>
  <c r="AX179" i="3"/>
  <c r="AX202" i="3" s="1"/>
  <c r="AW74" i="20"/>
  <c r="AW19" i="30" s="1"/>
  <c r="AW645" i="9"/>
  <c r="AX177" i="3"/>
  <c r="AX200" i="3" s="1"/>
  <c r="AV14" i="32"/>
  <c r="AV32" i="30"/>
  <c r="AV36" i="30" s="1"/>
  <c r="AX176" i="3"/>
  <c r="AX199" i="3" s="1"/>
  <c r="AX173" i="3"/>
  <c r="AX196" i="3" s="1"/>
  <c r="AX167" i="3"/>
  <c r="AX190" i="3" s="1"/>
  <c r="AX218" i="3"/>
  <c r="AX264" i="3"/>
  <c r="AX287" i="3" s="1"/>
  <c r="AW90" i="20"/>
  <c r="AW21" i="30" s="1"/>
  <c r="AX209" i="3"/>
  <c r="AX255" i="3"/>
  <c r="AX278" i="3" s="1"/>
  <c r="AX162" i="3"/>
  <c r="AX185" i="3" s="1"/>
  <c r="AX174" i="3"/>
  <c r="AX197" i="3" s="1"/>
  <c r="AW751" i="9"/>
  <c r="AW742" i="9"/>
  <c r="AX4" i="11"/>
  <c r="AX22" i="3"/>
  <c r="AX30" i="3"/>
  <c r="AX16" i="3"/>
  <c r="AX4" i="35"/>
  <c r="AX4" i="33"/>
  <c r="AY4" i="12"/>
  <c r="AX4" i="32"/>
  <c r="AX4" i="30"/>
  <c r="AX4" i="38"/>
  <c r="AX4" i="6"/>
  <c r="AX4" i="9"/>
  <c r="AX4" i="26"/>
  <c r="AX4" i="16"/>
  <c r="AX4" i="22"/>
  <c r="AX4" i="20"/>
  <c r="AX4" i="1"/>
  <c r="AX4" i="28"/>
  <c r="AX20" i="3"/>
  <c r="AW96" i="20"/>
  <c r="AW755" i="9"/>
  <c r="AX170" i="3"/>
  <c r="AX193" i="3" s="1"/>
  <c r="AX165" i="3"/>
  <c r="AX188" i="3" s="1"/>
  <c r="AY10" i="3"/>
  <c r="AY140" i="3" s="1"/>
  <c r="AW23" i="30"/>
  <c r="AW179" i="20"/>
  <c r="AW85" i="20"/>
  <c r="AW20" i="30" s="1"/>
  <c r="AW757" i="9"/>
  <c r="AW825" i="9"/>
  <c r="AW826" i="9"/>
  <c r="AW818" i="9"/>
  <c r="AW810" i="9"/>
  <c r="AW827" i="9"/>
  <c r="AW824" i="9"/>
  <c r="AW816" i="9"/>
  <c r="AW828" i="9"/>
  <c r="AW822" i="9"/>
  <c r="AW821" i="9"/>
  <c r="AW823" i="9"/>
  <c r="AW820" i="9"/>
  <c r="AW813" i="9"/>
  <c r="AW819" i="9"/>
  <c r="AW817" i="9"/>
  <c r="AW815" i="9"/>
  <c r="AW814" i="9"/>
  <c r="AW812" i="9"/>
  <c r="AW811" i="9"/>
  <c r="AW829" i="9"/>
  <c r="AU259" i="6"/>
  <c r="AX3" i="11"/>
  <c r="AX14" i="3"/>
  <c r="AX3" i="35"/>
  <c r="AX3" i="33"/>
  <c r="AY3" i="12"/>
  <c r="AX3" i="32"/>
  <c r="AX3" i="30"/>
  <c r="AX3" i="38"/>
  <c r="AX3" i="6"/>
  <c r="AX3" i="9"/>
  <c r="AX3" i="26"/>
  <c r="AX3" i="16"/>
  <c r="AX3" i="22"/>
  <c r="AX3" i="20"/>
  <c r="AX3" i="1"/>
  <c r="AX3" i="28"/>
  <c r="AX37" i="3"/>
  <c r="AW194" i="30"/>
  <c r="AW179" i="30"/>
  <c r="AW65" i="33" s="1"/>
  <c r="AT82" i="35"/>
  <c r="AT67" i="33"/>
  <c r="AT69" i="33" s="1"/>
  <c r="AT31" i="32"/>
  <c r="AT27" i="32"/>
  <c r="AT208" i="30"/>
  <c r="AT92" i="33" s="1"/>
  <c r="AX161" i="3"/>
  <c r="AX184" i="3" s="1"/>
  <c r="AW753" i="9"/>
  <c r="AW744" i="9"/>
  <c r="AW24" i="32"/>
  <c r="AW25" i="32" s="1"/>
  <c r="AW24" i="35" s="1"/>
  <c r="AW114" i="20"/>
  <c r="AW44" i="30"/>
  <c r="AW45" i="30" s="1"/>
  <c r="AW154" i="20"/>
  <c r="AW746" i="9"/>
  <c r="AX169" i="3"/>
  <c r="AX192" i="3" s="1"/>
  <c r="AX178" i="3"/>
  <c r="AX201" i="3" s="1"/>
  <c r="AW750" i="9"/>
  <c r="AW29" i="20"/>
  <c r="AW14" i="30" s="1"/>
  <c r="AW52" i="30"/>
  <c r="AW54" i="30" s="1"/>
  <c r="AW41" i="6"/>
  <c r="AW44" i="6" s="1"/>
  <c r="AW164" i="20"/>
  <c r="AU148" i="30"/>
  <c r="AU180" i="30" s="1"/>
  <c r="AU56" i="30"/>
  <c r="AU58" i="30" s="1"/>
  <c r="AX171" i="3"/>
  <c r="AX194" i="3" s="1"/>
  <c r="AX175" i="3"/>
  <c r="AX198" i="3" s="1"/>
  <c r="AR23" i="32"/>
  <c r="AR112" i="30"/>
  <c r="AR114" i="30"/>
  <c r="AX5" i="11"/>
  <c r="AX58" i="3"/>
  <c r="AX50" i="3"/>
  <c r="AX96" i="3" s="1"/>
  <c r="AX54" i="3"/>
  <c r="AX100" i="3" s="1"/>
  <c r="AX49" i="3"/>
  <c r="AX62" i="3"/>
  <c r="AX61" i="3"/>
  <c r="AX107" i="3" s="1"/>
  <c r="AX56" i="3"/>
  <c r="AX102" i="3" s="1"/>
  <c r="AX51" i="3"/>
  <c r="AX97" i="3" s="1"/>
  <c r="AX45" i="3"/>
  <c r="AX91" i="3" s="1"/>
  <c r="AX53" i="3"/>
  <c r="AX99" i="3" s="1"/>
  <c r="AX52" i="3"/>
  <c r="AX98" i="3" s="1"/>
  <c r="AX59" i="3"/>
  <c r="AX105" i="3" s="1"/>
  <c r="AX57" i="3"/>
  <c r="AX103" i="3" s="1"/>
  <c r="AX55" i="3"/>
  <c r="AX101" i="3" s="1"/>
  <c r="AX46" i="3"/>
  <c r="AX92" i="3" s="1"/>
  <c r="AX60" i="3"/>
  <c r="AX106" i="3" s="1"/>
  <c r="AX64" i="3"/>
  <c r="AX110" i="3" s="1"/>
  <c r="AX63" i="3"/>
  <c r="AX109" i="3" s="1"/>
  <c r="AX47" i="3"/>
  <c r="AX93" i="3" s="1"/>
  <c r="AX48" i="3"/>
  <c r="AX94" i="3" s="1"/>
  <c r="AX5" i="35"/>
  <c r="AX5" i="33"/>
  <c r="AY5" i="12"/>
  <c r="AX5" i="32"/>
  <c r="AX5" i="30"/>
  <c r="AX5" i="38"/>
  <c r="AX5" i="6"/>
  <c r="AX5" i="9"/>
  <c r="AX5" i="26"/>
  <c r="AX5" i="16"/>
  <c r="AX5" i="22"/>
  <c r="AX5" i="20"/>
  <c r="AX5" i="1"/>
  <c r="AX5" i="28"/>
  <c r="AX129" i="3"/>
  <c r="AX128" i="3"/>
  <c r="AX127" i="3"/>
  <c r="AX120" i="3"/>
  <c r="AX124" i="3"/>
  <c r="AX121" i="3"/>
  <c r="AX115" i="3"/>
  <c r="AX119" i="3"/>
  <c r="AX117" i="3"/>
  <c r="AX123" i="3"/>
  <c r="AX132" i="3"/>
  <c r="AX114" i="3"/>
  <c r="AX116" i="3"/>
  <c r="AX130" i="3"/>
  <c r="AX133" i="3"/>
  <c r="AX131" i="3"/>
  <c r="AX126" i="3"/>
  <c r="AX125" i="3"/>
  <c r="AX118" i="3"/>
  <c r="AX122" i="3"/>
  <c r="AW131" i="20"/>
  <c r="AW132" i="20" s="1"/>
  <c r="AW28" i="30" s="1"/>
  <c r="AW26" i="32" s="1"/>
  <c r="AW25" i="35" s="1"/>
  <c r="AX164" i="3"/>
  <c r="AX187" i="3" s="1"/>
  <c r="AW752" i="9"/>
  <c r="AW741" i="9"/>
  <c r="C104" i="23"/>
  <c r="C103" i="23" a="1"/>
  <c r="AY144" i="3" l="1"/>
  <c r="AV156" i="20"/>
  <c r="AV166" i="20" s="1"/>
  <c r="AV257" i="6" s="1"/>
  <c r="AX70" i="3"/>
  <c r="AY148" i="3"/>
  <c r="AY154" i="3"/>
  <c r="AW13" i="30"/>
  <c r="AY147" i="3"/>
  <c r="AY170" i="3" s="1"/>
  <c r="AY193" i="3" s="1"/>
  <c r="AY152" i="3"/>
  <c r="AY175" i="3" s="1"/>
  <c r="AY198" i="3" s="1"/>
  <c r="AY143" i="3"/>
  <c r="AY166" i="3" s="1"/>
  <c r="AY189" i="3" s="1"/>
  <c r="AY141" i="3"/>
  <c r="AY139" i="3"/>
  <c r="AY162" i="3" s="1"/>
  <c r="AY185" i="3" s="1"/>
  <c r="AX79" i="3"/>
  <c r="AY149" i="3"/>
  <c r="AY172" i="3" s="1"/>
  <c r="AY195" i="3" s="1"/>
  <c r="AX86" i="3"/>
  <c r="AY145" i="3"/>
  <c r="AY137" i="3"/>
  <c r="AY160" i="3" s="1"/>
  <c r="AY183" i="3" s="1"/>
  <c r="AT94" i="33"/>
  <c r="AX221" i="3"/>
  <c r="AX267" i="3"/>
  <c r="AX290" i="3" s="1"/>
  <c r="AX216" i="3"/>
  <c r="AX262" i="3"/>
  <c r="AX285" i="3" s="1"/>
  <c r="AX214" i="3"/>
  <c r="AX260" i="3"/>
  <c r="AX283" i="3" s="1"/>
  <c r="AX269" i="3"/>
  <c r="AX292" i="3" s="1"/>
  <c r="AX223" i="3"/>
  <c r="AW72" i="30"/>
  <c r="AW74" i="30" s="1"/>
  <c r="AX40" i="6"/>
  <c r="AW12" i="6"/>
  <c r="AX211" i="3"/>
  <c r="AX257" i="3"/>
  <c r="AX280" i="3" s="1"/>
  <c r="AX259" i="3"/>
  <c r="AX282" i="3" s="1"/>
  <c r="AX213" i="3"/>
  <c r="AX215" i="3"/>
  <c r="AX261" i="3"/>
  <c r="AX284" i="3" s="1"/>
  <c r="AX265" i="3"/>
  <c r="AX288" i="3" s="1"/>
  <c r="AX219" i="3"/>
  <c r="AX271" i="3"/>
  <c r="AX294" i="3" s="1"/>
  <c r="AX225" i="3"/>
  <c r="AX266" i="3"/>
  <c r="AX289" i="3" s="1"/>
  <c r="AX220" i="3"/>
  <c r="AY163" i="3"/>
  <c r="AY186" i="3" s="1"/>
  <c r="AX256" i="3"/>
  <c r="AX279" i="3" s="1"/>
  <c r="AX210" i="3"/>
  <c r="AX270" i="3"/>
  <c r="AX293" i="3" s="1"/>
  <c r="AX224" i="3"/>
  <c r="AW27" i="30"/>
  <c r="AW30" i="30" s="1"/>
  <c r="AW139" i="20"/>
  <c r="AW22" i="30"/>
  <c r="AW175" i="20"/>
  <c r="AX730" i="9"/>
  <c r="AX241" i="3"/>
  <c r="AX222" i="3"/>
  <c r="AX268" i="3"/>
  <c r="AX291" i="3" s="1"/>
  <c r="AX80" i="3"/>
  <c r="AX76" i="3"/>
  <c r="AU136" i="30"/>
  <c r="AU137" i="30" s="1"/>
  <c r="AV256" i="6"/>
  <c r="AW102" i="20"/>
  <c r="AX208" i="3"/>
  <c r="AX254" i="3"/>
  <c r="AX277" i="3" s="1"/>
  <c r="AV47" i="30"/>
  <c r="AV38" i="30"/>
  <c r="AY151" i="3"/>
  <c r="AY146" i="3"/>
  <c r="AX713" i="9"/>
  <c r="AX782" i="9" s="1"/>
  <c r="AX705" i="9"/>
  <c r="AX774" i="9" s="1"/>
  <c r="AX697" i="9"/>
  <c r="AX766" i="9" s="1"/>
  <c r="AX699" i="9"/>
  <c r="AX768" i="9" s="1"/>
  <c r="AX712" i="9"/>
  <c r="AX781" i="9" s="1"/>
  <c r="AX711" i="9"/>
  <c r="AX780" i="9" s="1"/>
  <c r="AX706" i="9"/>
  <c r="AX775" i="9" s="1"/>
  <c r="AX701" i="9"/>
  <c r="AX770" i="9" s="1"/>
  <c r="AX793" i="9" s="1"/>
  <c r="AX696" i="9"/>
  <c r="AX765" i="9" s="1"/>
  <c r="AX714" i="9"/>
  <c r="AX783" i="9" s="1"/>
  <c r="AX710" i="9"/>
  <c r="AX779" i="9" s="1"/>
  <c r="AX703" i="9"/>
  <c r="AX772" i="9" s="1"/>
  <c r="AX698" i="9"/>
  <c r="AX767" i="9" s="1"/>
  <c r="AX790" i="9" s="1"/>
  <c r="AX708" i="9"/>
  <c r="AX777" i="9" s="1"/>
  <c r="AX702" i="9"/>
  <c r="AX771" i="9" s="1"/>
  <c r="AX695" i="9"/>
  <c r="AX764" i="9" s="1"/>
  <c r="AX787" i="9" s="1"/>
  <c r="AX707" i="9"/>
  <c r="AX776" i="9" s="1"/>
  <c r="AX799" i="9" s="1"/>
  <c r="AX700" i="9"/>
  <c r="AX769" i="9" s="1"/>
  <c r="AX709" i="9"/>
  <c r="AX778" i="9" s="1"/>
  <c r="AX704" i="9"/>
  <c r="AX773" i="9" s="1"/>
  <c r="AX18" i="3"/>
  <c r="AX75" i="3"/>
  <c r="AV33" i="32"/>
  <c r="AV28" i="32"/>
  <c r="AX203" i="26"/>
  <c r="AX178" i="26"/>
  <c r="AX71" i="26"/>
  <c r="AX123" i="26"/>
  <c r="AX72" i="26"/>
  <c r="AX74" i="26"/>
  <c r="AX114" i="26"/>
  <c r="AX120" i="26"/>
  <c r="AX86" i="26"/>
  <c r="AX179" i="26"/>
  <c r="AX209" i="26"/>
  <c r="AX195" i="26"/>
  <c r="AX151" i="26"/>
  <c r="AX63" i="26"/>
  <c r="AX90" i="26"/>
  <c r="AX67" i="26"/>
  <c r="AX137" i="26"/>
  <c r="AX98" i="26"/>
  <c r="AX95" i="26"/>
  <c r="AX70" i="26"/>
  <c r="AX181" i="26"/>
  <c r="AX177" i="26"/>
  <c r="AX202" i="26"/>
  <c r="AX139" i="26"/>
  <c r="AX116" i="26"/>
  <c r="AX184" i="26"/>
  <c r="AX61" i="26"/>
  <c r="AX125" i="26"/>
  <c r="AX69" i="26"/>
  <c r="AX89" i="26"/>
  <c r="AX65" i="26"/>
  <c r="AX196" i="26"/>
  <c r="AX201" i="26"/>
  <c r="AX149" i="26"/>
  <c r="AX119" i="26"/>
  <c r="AX99" i="26"/>
  <c r="AX124" i="26"/>
  <c r="AX180" i="26"/>
  <c r="AX113" i="26"/>
  <c r="AX175" i="26"/>
  <c r="AX146" i="26"/>
  <c r="AX64" i="26"/>
  <c r="AX198" i="26"/>
  <c r="AX207" i="26"/>
  <c r="AX205" i="26"/>
  <c r="AX111" i="26"/>
  <c r="AX93" i="26"/>
  <c r="AX117" i="26"/>
  <c r="AX174" i="26"/>
  <c r="AX112" i="26"/>
  <c r="AX171" i="26"/>
  <c r="AX141" i="26"/>
  <c r="AX66" i="26"/>
  <c r="AX185" i="26"/>
  <c r="AX172" i="26"/>
  <c r="AX197" i="26"/>
  <c r="AX96" i="26"/>
  <c r="AX182" i="26"/>
  <c r="AX97" i="26"/>
  <c r="AX144" i="26"/>
  <c r="AX91" i="26"/>
  <c r="AX147" i="26"/>
  <c r="AX140" i="26"/>
  <c r="AX60" i="26"/>
  <c r="AX183" i="26"/>
  <c r="AX176" i="26"/>
  <c r="AX150" i="26"/>
  <c r="AX208" i="26"/>
  <c r="AX92" i="26"/>
  <c r="AX145" i="26"/>
  <c r="AX87" i="26"/>
  <c r="AX118" i="26"/>
  <c r="AX85" i="26"/>
  <c r="AX138" i="26"/>
  <c r="AX122" i="26"/>
  <c r="AX68" i="26"/>
  <c r="AX204" i="26"/>
  <c r="AX199" i="26"/>
  <c r="AX142" i="26"/>
  <c r="AX200" i="26"/>
  <c r="AX88" i="26"/>
  <c r="AX143" i="26"/>
  <c r="AX73" i="26"/>
  <c r="AX94" i="26"/>
  <c r="AX148" i="26"/>
  <c r="AX121" i="26"/>
  <c r="AX115" i="26"/>
  <c r="AX62" i="26"/>
  <c r="AX206" i="26"/>
  <c r="AX173" i="26"/>
  <c r="AX217" i="3"/>
  <c r="AX263" i="3"/>
  <c r="AX286" i="3" s="1"/>
  <c r="AX71" i="3"/>
  <c r="AY168" i="3"/>
  <c r="AY191" i="3" s="1"/>
  <c r="AY171" i="3"/>
  <c r="AY194" i="3" s="1"/>
  <c r="AX82" i="3"/>
  <c r="AX434" i="9"/>
  <c r="AX377" i="9"/>
  <c r="AX330" i="9"/>
  <c r="AX225" i="9"/>
  <c r="AX358" i="9"/>
  <c r="AX425" i="9"/>
  <c r="AX406" i="9"/>
  <c r="AX387" i="9"/>
  <c r="AX415" i="9"/>
  <c r="AX368" i="9"/>
  <c r="AX311" i="9"/>
  <c r="AX130" i="9"/>
  <c r="AX320" i="9"/>
  <c r="AX301" i="9"/>
  <c r="AX111" i="9"/>
  <c r="AX273" i="9"/>
  <c r="AX244" i="9"/>
  <c r="AX235" i="9"/>
  <c r="AX206" i="9"/>
  <c r="AX197" i="9"/>
  <c r="AX339" i="9"/>
  <c r="AX282" i="9"/>
  <c r="AX178" i="9"/>
  <c r="AX396" i="9"/>
  <c r="AX349" i="9"/>
  <c r="AX187" i="9"/>
  <c r="AX254" i="9"/>
  <c r="AX216" i="9"/>
  <c r="AX168" i="9"/>
  <c r="AX121" i="9"/>
  <c r="AX292" i="9"/>
  <c r="AX149" i="9"/>
  <c r="AX102" i="9"/>
  <c r="AX73" i="9"/>
  <c r="AX159" i="9"/>
  <c r="AX83" i="9"/>
  <c r="AX140" i="9"/>
  <c r="AX92" i="9"/>
  <c r="AX263" i="9"/>
  <c r="AX64" i="9"/>
  <c r="W828" i="9"/>
  <c r="BY828" i="9" s="1"/>
  <c r="W811" i="9"/>
  <c r="BY811" i="9" s="1"/>
  <c r="W824" i="9"/>
  <c r="BY824" i="9" s="1"/>
  <c r="W819" i="9"/>
  <c r="BY819" i="9" s="1"/>
  <c r="W810" i="9"/>
  <c r="BY810" i="9" s="1"/>
  <c r="W823" i="9"/>
  <c r="BY823" i="9" s="1"/>
  <c r="W818" i="9"/>
  <c r="BY818" i="9" s="1"/>
  <c r="W815" i="9"/>
  <c r="BY815" i="9" s="1"/>
  <c r="W816" i="9"/>
  <c r="BY816" i="9" s="1"/>
  <c r="W825" i="9"/>
  <c r="BY825" i="9" s="1"/>
  <c r="W822" i="9"/>
  <c r="BY822" i="9" s="1"/>
  <c r="W813" i="9"/>
  <c r="BY813" i="9" s="1"/>
  <c r="W817" i="9"/>
  <c r="BY817" i="9" s="1"/>
  <c r="W821" i="9"/>
  <c r="BY821" i="9" s="1"/>
  <c r="W827" i="9"/>
  <c r="BY827" i="9" s="1"/>
  <c r="W826" i="9"/>
  <c r="BY826" i="9" s="1"/>
  <c r="W829" i="9"/>
  <c r="BY829" i="9" s="1"/>
  <c r="W814" i="9"/>
  <c r="BY814" i="9" s="1"/>
  <c r="W820" i="9"/>
  <c r="BY820" i="9" s="1"/>
  <c r="W812" i="9"/>
  <c r="BY812" i="9" s="1"/>
  <c r="AX104" i="3"/>
  <c r="AX81" i="3"/>
  <c r="AY177" i="3"/>
  <c r="AY200" i="3" s="1"/>
  <c r="AX724" i="9"/>
  <c r="AX235" i="3"/>
  <c r="AX108" i="3"/>
  <c r="AX85" i="3"/>
  <c r="AU82" i="35"/>
  <c r="AU67" i="33"/>
  <c r="AU69" i="33" s="1"/>
  <c r="AU31" i="32"/>
  <c r="AU27" i="32"/>
  <c r="AU208" i="30"/>
  <c r="AU92" i="33" s="1"/>
  <c r="AX83" i="3"/>
  <c r="AY153" i="3"/>
  <c r="AY156" i="3"/>
  <c r="AX69" i="3"/>
  <c r="AX26" i="3"/>
  <c r="AX28" i="3"/>
  <c r="AX77" i="3"/>
  <c r="AX721" i="9"/>
  <c r="AX232" i="3"/>
  <c r="AX78" i="3"/>
  <c r="AX95" i="3"/>
  <c r="AX72" i="3"/>
  <c r="AX253" i="3"/>
  <c r="AX276" i="3" s="1"/>
  <c r="AX207" i="3"/>
  <c r="AY167" i="3"/>
  <c r="AY190" i="3" s="1"/>
  <c r="AY12" i="3"/>
  <c r="AY3" i="3" s="1"/>
  <c r="AY41" i="3"/>
  <c r="AY5" i="3"/>
  <c r="AZ8" i="3"/>
  <c r="AY24" i="3"/>
  <c r="AY4" i="3"/>
  <c r="AY150" i="3"/>
  <c r="AX84" i="3"/>
  <c r="AX180" i="20" a="1"/>
  <c r="AX180" i="20" s="1"/>
  <c r="AX162" i="20" a="1"/>
  <c r="AX162" i="20" s="1"/>
  <c r="AX153" i="20" a="1"/>
  <c r="AX153" i="20" s="1"/>
  <c r="AX150" i="20" a="1"/>
  <c r="AX150" i="20" s="1"/>
  <c r="AX41" i="30" s="1"/>
  <c r="AX130" i="20" a="1"/>
  <c r="AX130" i="20" s="1"/>
  <c r="AX135" i="20" a="1"/>
  <c r="AX135" i="20" s="1"/>
  <c r="AX137" i="20" s="1"/>
  <c r="AX29" i="30" s="1"/>
  <c r="AX128" i="20" a="1"/>
  <c r="AX128" i="20" s="1"/>
  <c r="AX129" i="20" a="1"/>
  <c r="AX129" i="20" s="1"/>
  <c r="AX127" i="20" a="1"/>
  <c r="AX127" i="20" s="1"/>
  <c r="AX125" i="20" a="1"/>
  <c r="AX125" i="20" s="1"/>
  <c r="AX120" i="20" a="1"/>
  <c r="AX120" i="20" s="1"/>
  <c r="AX117" i="20" a="1"/>
  <c r="AX117" i="20" s="1"/>
  <c r="AX121" i="20" a="1"/>
  <c r="AX121" i="20" s="1"/>
  <c r="AX122" i="20" a="1"/>
  <c r="AX122" i="20" s="1"/>
  <c r="AX118" i="20" a="1"/>
  <c r="AX118" i="20" s="1"/>
  <c r="AX124" i="20" a="1"/>
  <c r="AX124" i="20" s="1"/>
  <c r="AX123" i="20" a="1"/>
  <c r="AX123" i="20" s="1"/>
  <c r="AX119" i="20" a="1"/>
  <c r="AX119" i="20" s="1"/>
  <c r="AX106" i="20" a="1"/>
  <c r="AX106" i="20" s="1"/>
  <c r="AX107" i="20" a="1"/>
  <c r="AX107" i="20" s="1"/>
  <c r="AX110" i="20" a="1"/>
  <c r="AX110" i="20" s="1"/>
  <c r="AX111" i="20" a="1"/>
  <c r="AX111" i="20" s="1"/>
  <c r="AX112" i="20" a="1"/>
  <c r="AX112" i="20" s="1"/>
  <c r="AX108" i="20" a="1"/>
  <c r="AX108" i="20" s="1"/>
  <c r="AX109" i="20" a="1"/>
  <c r="AX109" i="20" s="1"/>
  <c r="AX105" i="20" a="1"/>
  <c r="AX105" i="20" s="1"/>
  <c r="AX82" i="20" a="1"/>
  <c r="AX82" i="20" s="1"/>
  <c r="AX78" i="20" a="1"/>
  <c r="AX78" i="20" s="1"/>
  <c r="AX73" i="20" a="1"/>
  <c r="AX73" i="20" s="1"/>
  <c r="AX69" i="20" a="1"/>
  <c r="AX69" i="20" s="1"/>
  <c r="AX65" i="20" a="1"/>
  <c r="AX65" i="20" s="1"/>
  <c r="AX54" i="20" a="1"/>
  <c r="AX54" i="20" s="1"/>
  <c r="AX52" i="20" a="1"/>
  <c r="AX52" i="20" s="1"/>
  <c r="AX59" i="20" a="1"/>
  <c r="AX59" i="20" s="1"/>
  <c r="AX93" i="20" a="1"/>
  <c r="AX93" i="20" s="1"/>
  <c r="AX88" i="20" a="1"/>
  <c r="AX88" i="20" s="1"/>
  <c r="AX83" i="20" a="1"/>
  <c r="AX83" i="20" s="1"/>
  <c r="AX79" i="20" a="1"/>
  <c r="AX79" i="20" s="1"/>
  <c r="AX70" i="20" a="1"/>
  <c r="AX70" i="20" s="1"/>
  <c r="AX66" i="20" a="1"/>
  <c r="AX66" i="20" s="1"/>
  <c r="AX47" i="20" a="1"/>
  <c r="AX47" i="20" s="1"/>
  <c r="AX45" i="20" a="1"/>
  <c r="AX45" i="20" s="1"/>
  <c r="AX39" i="20" a="1"/>
  <c r="AX39" i="20" s="1"/>
  <c r="AX37" i="20" a="1"/>
  <c r="AX37" i="20" s="1"/>
  <c r="AX33" i="20" a="1"/>
  <c r="AX33" i="20" s="1"/>
  <c r="AX21" i="20" a="1"/>
  <c r="AX21" i="20" s="1"/>
  <c r="AX17" i="20" a="1"/>
  <c r="AX17" i="20" s="1"/>
  <c r="AX42" i="20" a="1"/>
  <c r="AX42" i="20" s="1"/>
  <c r="AX61" i="20" a="1"/>
  <c r="AX61" i="20" s="1"/>
  <c r="AX57" i="20" a="1"/>
  <c r="AX57" i="20" s="1"/>
  <c r="AX94" i="20" a="1"/>
  <c r="AX94" i="20" s="1"/>
  <c r="AX89" i="20" a="1"/>
  <c r="AX89" i="20" s="1"/>
  <c r="AX84" i="20" a="1"/>
  <c r="AX84" i="20" s="1"/>
  <c r="AX80" i="20" a="1"/>
  <c r="AX80" i="20" s="1"/>
  <c r="AX71" i="20" a="1"/>
  <c r="AX71" i="20" s="1"/>
  <c r="AX67" i="20" a="1"/>
  <c r="AX67" i="20" s="1"/>
  <c r="AX50" i="20" a="1"/>
  <c r="AX50" i="20" s="1"/>
  <c r="AX98" i="20" a="1"/>
  <c r="AX98" i="20" s="1"/>
  <c r="AX100" i="20" s="1"/>
  <c r="AX95" i="20" a="1"/>
  <c r="AX95" i="20" s="1"/>
  <c r="AX81" i="20" a="1"/>
  <c r="AX81" i="20" s="1"/>
  <c r="AX77" i="20" a="1"/>
  <c r="AX77" i="20" s="1"/>
  <c r="AX72" i="20" a="1"/>
  <c r="AX72" i="20" s="1"/>
  <c r="AX68" i="20" a="1"/>
  <c r="AX68" i="20" s="1"/>
  <c r="AX64" i="20" a="1"/>
  <c r="AX64" i="20" s="1"/>
  <c r="AX58" i="20" a="1"/>
  <c r="AX58" i="20" s="1"/>
  <c r="AX51" i="20" a="1"/>
  <c r="AX51" i="20" s="1"/>
  <c r="AX43" i="20" a="1"/>
  <c r="AX43" i="20" s="1"/>
  <c r="AX34" i="20" a="1"/>
  <c r="AX34" i="20" s="1"/>
  <c r="AX44" i="20" a="1"/>
  <c r="AX44" i="20" s="1"/>
  <c r="AX35" i="20" a="1"/>
  <c r="AX35" i="20" s="1"/>
  <c r="AX27" i="20" a="1"/>
  <c r="AX27" i="20" s="1"/>
  <c r="AX20" i="20" a="1"/>
  <c r="AX20" i="20" s="1"/>
  <c r="AX11" i="20" a="1"/>
  <c r="AX11" i="20" s="1"/>
  <c r="AX22" i="20" a="1"/>
  <c r="AX22" i="20" s="1"/>
  <c r="AX36" i="20" a="1"/>
  <c r="AX36" i="20" s="1"/>
  <c r="AX28" i="20" a="1"/>
  <c r="AX28" i="20" s="1"/>
  <c r="AX18" i="20" a="1"/>
  <c r="AX18" i="20" s="1"/>
  <c r="AX14" i="20" a="1"/>
  <c r="AX14" i="20" s="1"/>
  <c r="AX30" i="20" a="1"/>
  <c r="AX30" i="20" s="1"/>
  <c r="AX19" i="20" a="1"/>
  <c r="AX19" i="20" s="1"/>
  <c r="AX12" i="20" a="1"/>
  <c r="AX12" i="20" s="1"/>
  <c r="AX24" i="20" a="1"/>
  <c r="AX24" i="20" s="1"/>
  <c r="AT212" i="30"/>
  <c r="AX718" i="9"/>
  <c r="AX229" i="3"/>
  <c r="AX87" i="3"/>
  <c r="AX68" i="3"/>
  <c r="AW77" i="33"/>
  <c r="AW195" i="30"/>
  <c r="AW78" i="33" s="1"/>
  <c r="AX73" i="3"/>
  <c r="AY155" i="3"/>
  <c r="AY138" i="3"/>
  <c r="AY142" i="3"/>
  <c r="AX74" i="3"/>
  <c r="AS23" i="32"/>
  <c r="AS112" i="30"/>
  <c r="AS114" i="30"/>
  <c r="C103" i="23"/>
  <c r="C102" i="23" a="1"/>
  <c r="AV170" i="20" l="1"/>
  <c r="AV60" i="30" s="1"/>
  <c r="AX804" i="9"/>
  <c r="AW24" i="30"/>
  <c r="AW32" i="30" s="1"/>
  <c r="AW36" i="30" s="1"/>
  <c r="AX803" i="9"/>
  <c r="AX826" i="9" s="1"/>
  <c r="AX802" i="9"/>
  <c r="AX825" i="9" s="1"/>
  <c r="AX800" i="9"/>
  <c r="AX823" i="9" s="1"/>
  <c r="AX798" i="9"/>
  <c r="AX821" i="9" s="1"/>
  <c r="AX805" i="9"/>
  <c r="AX828" i="9" s="1"/>
  <c r="AX792" i="9"/>
  <c r="AX806" i="9"/>
  <c r="AX829" i="9" s="1"/>
  <c r="AX797" i="9"/>
  <c r="AX820" i="9" s="1"/>
  <c r="AX796" i="9"/>
  <c r="AX819" i="9" s="1"/>
  <c r="AX53" i="20"/>
  <c r="AX17" i="30" s="1"/>
  <c r="AY164" i="3"/>
  <c r="AY187" i="3" s="1"/>
  <c r="AY210" i="3" s="1"/>
  <c r="AX25" i="30"/>
  <c r="AX794" i="9"/>
  <c r="AX817" i="9" s="1"/>
  <c r="AX795" i="9"/>
  <c r="AX818" i="9" s="1"/>
  <c r="AX791" i="9"/>
  <c r="AX814" i="9" s="1"/>
  <c r="AX801" i="9"/>
  <c r="AX824" i="9" s="1"/>
  <c r="AX789" i="9"/>
  <c r="AX812" i="9" s="1"/>
  <c r="AX753" i="9"/>
  <c r="AX741" i="9"/>
  <c r="AY258" i="3"/>
  <c r="AY281" i="3" s="1"/>
  <c r="AY212" i="3"/>
  <c r="AY216" i="3"/>
  <c r="AY262" i="3"/>
  <c r="AY285" i="3" s="1"/>
  <c r="AY269" i="3"/>
  <c r="AY292" i="3" s="1"/>
  <c r="AY223" i="3"/>
  <c r="AY260" i="3"/>
  <c r="AY283" i="3" s="1"/>
  <c r="AY214" i="3"/>
  <c r="AY218" i="3"/>
  <c r="AY264" i="3"/>
  <c r="AY287" i="3" s="1"/>
  <c r="AY252" i="3"/>
  <c r="AY275" i="3" s="1"/>
  <c r="AY206" i="3"/>
  <c r="AX13" i="20"/>
  <c r="AY3" i="11"/>
  <c r="AY14" i="3"/>
  <c r="AY3" i="35"/>
  <c r="AY3" i="33"/>
  <c r="AZ3" i="12"/>
  <c r="AY3" i="32"/>
  <c r="AY3" i="30"/>
  <c r="AY3" i="38"/>
  <c r="AY3" i="6"/>
  <c r="AY3" i="9"/>
  <c r="AY3" i="26"/>
  <c r="AY3" i="16"/>
  <c r="AY3" i="22"/>
  <c r="AY3" i="20"/>
  <c r="AY3" i="1"/>
  <c r="AY3" i="28"/>
  <c r="AY37" i="3"/>
  <c r="AY161" i="3"/>
  <c r="AY184" i="3" s="1"/>
  <c r="AX29" i="20"/>
  <c r="AX14" i="30" s="1"/>
  <c r="AX23" i="20"/>
  <c r="AX131" i="20"/>
  <c r="AX132" i="20" s="1"/>
  <c r="AX28" i="30" s="1"/>
  <c r="AX26" i="32" s="1"/>
  <c r="AX25" i="35" s="1"/>
  <c r="AY173" i="3"/>
  <c r="AY196" i="3" s="1"/>
  <c r="AY213" i="3"/>
  <c r="AY259" i="3"/>
  <c r="AY282" i="3" s="1"/>
  <c r="AY208" i="3"/>
  <c r="AY254" i="3"/>
  <c r="AY277" i="3" s="1"/>
  <c r="AW141" i="20"/>
  <c r="AW146" i="20" s="1"/>
  <c r="AY255" i="3"/>
  <c r="AY278" i="3" s="1"/>
  <c r="AY209" i="3"/>
  <c r="AX727" i="9"/>
  <c r="AX238" i="3"/>
  <c r="AX735" i="9"/>
  <c r="AX246" i="3"/>
  <c r="AX719" i="9"/>
  <c r="AX230" i="3"/>
  <c r="AY221" i="3"/>
  <c r="AY267" i="3"/>
  <c r="AY290" i="3" s="1"/>
  <c r="AX732" i="9"/>
  <c r="AX243" i="3"/>
  <c r="AX725" i="9"/>
  <c r="AX236" i="3"/>
  <c r="AX85" i="20"/>
  <c r="AX20" i="30" s="1"/>
  <c r="AX645" i="9"/>
  <c r="AX827" i="9"/>
  <c r="AX822" i="9"/>
  <c r="AX813" i="9"/>
  <c r="AX816" i="9"/>
  <c r="AX815" i="9"/>
  <c r="AX810" i="9"/>
  <c r="AW80" i="33"/>
  <c r="AX90" i="20"/>
  <c r="AX21" i="30" s="1"/>
  <c r="AX194" i="30"/>
  <c r="AX179" i="30"/>
  <c r="AX65" i="33" s="1"/>
  <c r="AZ10" i="3"/>
  <c r="AZ140" i="3" s="1"/>
  <c r="AX747" i="9"/>
  <c r="AX736" i="9"/>
  <c r="AX247" i="3"/>
  <c r="AX737" i="9"/>
  <c r="AX248" i="3"/>
  <c r="AX726" i="9"/>
  <c r="AX237" i="3"/>
  <c r="AY5" i="11"/>
  <c r="AY61" i="3"/>
  <c r="AY107" i="3" s="1"/>
  <c r="AY53" i="3"/>
  <c r="AY99" i="3" s="1"/>
  <c r="AY45" i="3"/>
  <c r="AY91" i="3" s="1"/>
  <c r="AY62" i="3"/>
  <c r="AY108" i="3" s="1"/>
  <c r="AY49" i="3"/>
  <c r="AY95" i="3" s="1"/>
  <c r="AY57" i="3"/>
  <c r="AY103" i="3" s="1"/>
  <c r="AY52" i="3"/>
  <c r="AY98" i="3" s="1"/>
  <c r="AY64" i="3"/>
  <c r="AY110" i="3" s="1"/>
  <c r="AY59" i="3"/>
  <c r="AY105" i="3" s="1"/>
  <c r="AY51" i="3"/>
  <c r="AY97" i="3" s="1"/>
  <c r="AY50" i="3"/>
  <c r="AY96" i="3" s="1"/>
  <c r="AY56" i="3"/>
  <c r="AY55" i="3"/>
  <c r="AY101" i="3" s="1"/>
  <c r="AY54" i="3"/>
  <c r="AY100" i="3" s="1"/>
  <c r="AY58" i="3"/>
  <c r="AY104" i="3" s="1"/>
  <c r="AY46" i="3"/>
  <c r="AY92" i="3" s="1"/>
  <c r="AY60" i="3"/>
  <c r="AY106" i="3" s="1"/>
  <c r="AY63" i="3"/>
  <c r="AY47" i="3"/>
  <c r="AY48" i="3"/>
  <c r="AY94" i="3" s="1"/>
  <c r="AY5" i="35"/>
  <c r="AY5" i="33"/>
  <c r="AZ5" i="12"/>
  <c r="AY5" i="32"/>
  <c r="AY5" i="30"/>
  <c r="AY5" i="38"/>
  <c r="AY5" i="6"/>
  <c r="AY5" i="9"/>
  <c r="AY5" i="26"/>
  <c r="AY5" i="16"/>
  <c r="AY5" i="22"/>
  <c r="AY5" i="20"/>
  <c r="AY5" i="1"/>
  <c r="AY5" i="28"/>
  <c r="AY114" i="3"/>
  <c r="AY122" i="3"/>
  <c r="AY128" i="3"/>
  <c r="AY118" i="3"/>
  <c r="AY117" i="3"/>
  <c r="AY126" i="3"/>
  <c r="AY119" i="3"/>
  <c r="AY130" i="3"/>
  <c r="AY129" i="3"/>
  <c r="AY115" i="3"/>
  <c r="AY124" i="3"/>
  <c r="AY121" i="3"/>
  <c r="AY133" i="3"/>
  <c r="AY123" i="3"/>
  <c r="AY132" i="3"/>
  <c r="AY131" i="3"/>
  <c r="AY116" i="3"/>
  <c r="AY127" i="3"/>
  <c r="AY125" i="3"/>
  <c r="AY120" i="3"/>
  <c r="AX723" i="9"/>
  <c r="AX234" i="3"/>
  <c r="AX38" i="20"/>
  <c r="AX15" i="30" s="1"/>
  <c r="AX24" i="32"/>
  <c r="AX25" i="32" s="1"/>
  <c r="AX24" i="35" s="1"/>
  <c r="AX96" i="20"/>
  <c r="AX23" i="30"/>
  <c r="AX179" i="20"/>
  <c r="AX60" i="20"/>
  <c r="AX18" i="30" s="1"/>
  <c r="AX114" i="20"/>
  <c r="AX52" i="30"/>
  <c r="AX54" i="30" s="1"/>
  <c r="AX41" i="6"/>
  <c r="AX44" i="6" s="1"/>
  <c r="AX164" i="20"/>
  <c r="AY176" i="3"/>
  <c r="AY199" i="3" s="1"/>
  <c r="AY169" i="3"/>
  <c r="AY192" i="3" s="1"/>
  <c r="AV54" i="33"/>
  <c r="AV148" i="30"/>
  <c r="AV180" i="30" s="1"/>
  <c r="AV56" i="30"/>
  <c r="AV58" i="30" s="1"/>
  <c r="AX722" i="9"/>
  <c r="AX233" i="3"/>
  <c r="AX731" i="9"/>
  <c r="AX242" i="3"/>
  <c r="AX728" i="9"/>
  <c r="AX239" i="3"/>
  <c r="AY178" i="3"/>
  <c r="AY201" i="3" s="1"/>
  <c r="AT96" i="33"/>
  <c r="AT101" i="33" s="1"/>
  <c r="AT104" i="33" s="1"/>
  <c r="AT214" i="30"/>
  <c r="AT217" i="30" s="1"/>
  <c r="AU211" i="30"/>
  <c r="AU212" i="30" s="1"/>
  <c r="AT83" i="6"/>
  <c r="AX44" i="30"/>
  <c r="AX45" i="30" s="1"/>
  <c r="AX154" i="20"/>
  <c r="AY179" i="3"/>
  <c r="AY202" i="3" s="1"/>
  <c r="AY217" i="3"/>
  <c r="AY263" i="3"/>
  <c r="AY286" i="3" s="1"/>
  <c r="AY174" i="3"/>
  <c r="AY197" i="3" s="1"/>
  <c r="AV259" i="6"/>
  <c r="AY4" i="11"/>
  <c r="AY30" i="3"/>
  <c r="AY16" i="3"/>
  <c r="AY22" i="3"/>
  <c r="AY4" i="35"/>
  <c r="AY4" i="33"/>
  <c r="AZ4" i="12"/>
  <c r="AY4" i="32"/>
  <c r="AY4" i="30"/>
  <c r="AY4" i="38"/>
  <c r="AY4" i="6"/>
  <c r="AY4" i="9"/>
  <c r="AY4" i="26"/>
  <c r="AY4" i="16"/>
  <c r="AY4" i="22"/>
  <c r="AY4" i="20"/>
  <c r="AY4" i="1"/>
  <c r="AY4" i="28"/>
  <c r="AY20" i="3"/>
  <c r="AY165" i="3"/>
  <c r="AY188" i="3" s="1"/>
  <c r="AX788" i="9"/>
  <c r="AX811" i="9" s="1"/>
  <c r="AX74" i="20"/>
  <c r="AX19" i="30" s="1"/>
  <c r="AX46" i="20"/>
  <c r="AX16" i="30" s="1"/>
  <c r="AX744" i="9"/>
  <c r="AU94" i="33"/>
  <c r="AX729" i="9"/>
  <c r="AX240" i="3"/>
  <c r="AX720" i="9"/>
  <c r="AX231" i="3"/>
  <c r="AX734" i="9"/>
  <c r="AX245" i="3"/>
  <c r="AX733" i="9"/>
  <c r="AX244" i="3"/>
  <c r="C102" i="23"/>
  <c r="C101" i="23" a="1"/>
  <c r="AW14" i="32" l="1"/>
  <c r="AY83" i="3"/>
  <c r="AY81" i="3"/>
  <c r="AX748" i="9"/>
  <c r="AY84" i="3"/>
  <c r="AY68" i="3"/>
  <c r="AY256" i="3"/>
  <c r="AY279" i="3" s="1"/>
  <c r="AZ153" i="3"/>
  <c r="AZ176" i="3" s="1"/>
  <c r="AZ199" i="3" s="1"/>
  <c r="AY78" i="3"/>
  <c r="AZ141" i="3"/>
  <c r="AY74" i="3"/>
  <c r="AY80" i="3"/>
  <c r="AZ156" i="3"/>
  <c r="AZ179" i="3" s="1"/>
  <c r="AZ202" i="3" s="1"/>
  <c r="AZ146" i="3"/>
  <c r="AZ169" i="3" s="1"/>
  <c r="AZ192" i="3" s="1"/>
  <c r="AY85" i="3"/>
  <c r="AX749" i="9"/>
  <c r="AX742" i="9"/>
  <c r="AX752" i="9"/>
  <c r="AX760" i="9"/>
  <c r="AX754" i="9"/>
  <c r="AX72" i="30"/>
  <c r="AX74" i="30" s="1"/>
  <c r="AY40" i="6"/>
  <c r="AX12" i="6"/>
  <c r="AY207" i="3"/>
  <c r="AY253" i="3"/>
  <c r="AY276" i="3" s="1"/>
  <c r="AZ163" i="3"/>
  <c r="AZ186" i="3" s="1"/>
  <c r="AY271" i="3"/>
  <c r="AY294" i="3" s="1"/>
  <c r="AY225" i="3"/>
  <c r="AY270" i="3"/>
  <c r="AY293" i="3" s="1"/>
  <c r="AY224" i="3"/>
  <c r="AY215" i="3"/>
  <c r="AY261" i="3"/>
  <c r="AY284" i="3" s="1"/>
  <c r="AY220" i="3"/>
  <c r="AY266" i="3"/>
  <c r="AY289" i="3" s="1"/>
  <c r="AY211" i="3"/>
  <c r="AY257" i="3"/>
  <c r="AY280" i="3" s="1"/>
  <c r="AY222" i="3"/>
  <c r="AY268" i="3"/>
  <c r="AY291" i="3" s="1"/>
  <c r="AY82" i="3"/>
  <c r="AY721" i="9"/>
  <c r="AY232" i="3"/>
  <c r="AY725" i="9"/>
  <c r="AY236" i="3"/>
  <c r="AY726" i="9"/>
  <c r="AY237" i="3"/>
  <c r="AX756" i="9"/>
  <c r="AY710" i="9"/>
  <c r="AY779" i="9" s="1"/>
  <c r="AY802" i="9" s="1"/>
  <c r="AY702" i="9"/>
  <c r="AY771" i="9" s="1"/>
  <c r="AY794" i="9" s="1"/>
  <c r="AY712" i="9"/>
  <c r="AY781" i="9" s="1"/>
  <c r="AY804" i="9" s="1"/>
  <c r="AY711" i="9"/>
  <c r="AY780" i="9" s="1"/>
  <c r="AY706" i="9"/>
  <c r="AY775" i="9" s="1"/>
  <c r="AY798" i="9" s="1"/>
  <c r="AY701" i="9"/>
  <c r="AY770" i="9" s="1"/>
  <c r="AY793" i="9" s="1"/>
  <c r="AY696" i="9"/>
  <c r="AY765" i="9" s="1"/>
  <c r="AY714" i="9"/>
  <c r="AY783" i="9" s="1"/>
  <c r="AY703" i="9"/>
  <c r="AY772" i="9" s="1"/>
  <c r="AY795" i="9" s="1"/>
  <c r="AY698" i="9"/>
  <c r="AY767" i="9" s="1"/>
  <c r="AY790" i="9" s="1"/>
  <c r="AY708" i="9"/>
  <c r="AY777" i="9" s="1"/>
  <c r="AY705" i="9"/>
  <c r="AY774" i="9" s="1"/>
  <c r="AY797" i="9" s="1"/>
  <c r="AY695" i="9"/>
  <c r="AY764" i="9" s="1"/>
  <c r="AY787" i="9" s="1"/>
  <c r="AY713" i="9"/>
  <c r="AY782" i="9" s="1"/>
  <c r="AY707" i="9"/>
  <c r="AY776" i="9" s="1"/>
  <c r="AY799" i="9" s="1"/>
  <c r="AY700" i="9"/>
  <c r="AY769" i="9" s="1"/>
  <c r="AY697" i="9"/>
  <c r="AY766" i="9" s="1"/>
  <c r="AY789" i="9" s="1"/>
  <c r="AY709" i="9"/>
  <c r="AY778" i="9" s="1"/>
  <c r="AY704" i="9"/>
  <c r="AY773" i="9" s="1"/>
  <c r="AY699" i="9"/>
  <c r="AY768" i="9" s="1"/>
  <c r="AY791" i="9" s="1"/>
  <c r="AY28" i="3"/>
  <c r="AY26" i="3"/>
  <c r="AX751" i="9"/>
  <c r="AW47" i="30"/>
  <c r="AW38" i="30"/>
  <c r="AZ145" i="3"/>
  <c r="AZ137" i="3"/>
  <c r="AY733" i="9"/>
  <c r="AY244" i="3"/>
  <c r="AY18" i="3"/>
  <c r="AT19" i="32"/>
  <c r="AT85" i="30"/>
  <c r="AT88" i="30" s="1"/>
  <c r="AT14" i="6"/>
  <c r="AV82" i="35"/>
  <c r="AV67" i="33"/>
  <c r="AV69" i="33" s="1"/>
  <c r="AV31" i="32"/>
  <c r="AV27" i="32"/>
  <c r="AV208" i="30"/>
  <c r="AV92" i="33" s="1"/>
  <c r="AX22" i="30"/>
  <c r="AX175" i="20"/>
  <c r="AW33" i="32"/>
  <c r="AW28" i="32"/>
  <c r="AZ41" i="3"/>
  <c r="AZ24" i="3"/>
  <c r="AZ5" i="3"/>
  <c r="BA8" i="3"/>
  <c r="AZ12" i="3"/>
  <c r="AZ3" i="3" s="1"/>
  <c r="AZ4" i="3"/>
  <c r="AZ155" i="3"/>
  <c r="AY76" i="3"/>
  <c r="AY265" i="3"/>
  <c r="AY288" i="3" s="1"/>
  <c r="AY219" i="3"/>
  <c r="AX13" i="30"/>
  <c r="AX102" i="20"/>
  <c r="AY735" i="9"/>
  <c r="AY246" i="3"/>
  <c r="AZ147" i="3"/>
  <c r="AZ142" i="3"/>
  <c r="AZ148" i="3"/>
  <c r="AW174" i="20"/>
  <c r="AW181" i="20" s="1"/>
  <c r="AW62" i="30" s="1"/>
  <c r="AW156" i="20"/>
  <c r="AW166" i="20" s="1"/>
  <c r="AY87" i="3"/>
  <c r="AU96" i="33"/>
  <c r="AU101" i="33" s="1"/>
  <c r="AU104" i="33" s="1"/>
  <c r="AV211" i="30"/>
  <c r="AU214" i="30"/>
  <c r="AU217" i="30" s="1"/>
  <c r="AU83" i="6"/>
  <c r="AX757" i="9"/>
  <c r="AY205" i="26"/>
  <c r="AY120" i="26"/>
  <c r="AY124" i="26"/>
  <c r="AY111" i="26"/>
  <c r="AY125" i="26"/>
  <c r="AY88" i="26"/>
  <c r="AY89" i="26"/>
  <c r="AY86" i="26"/>
  <c r="AY71" i="26"/>
  <c r="AY201" i="26"/>
  <c r="AY203" i="26"/>
  <c r="AY197" i="26"/>
  <c r="AY112" i="26"/>
  <c r="AY117" i="26"/>
  <c r="AY94" i="26"/>
  <c r="AY113" i="26"/>
  <c r="AY69" i="26"/>
  <c r="AY63" i="26"/>
  <c r="AY70" i="26"/>
  <c r="AY61" i="26"/>
  <c r="AY198" i="26"/>
  <c r="AY199" i="26"/>
  <c r="AY144" i="26"/>
  <c r="AY72" i="26"/>
  <c r="AY97" i="26"/>
  <c r="AY74" i="26"/>
  <c r="AY91" i="26"/>
  <c r="AY175" i="26"/>
  <c r="AY178" i="26"/>
  <c r="AY142" i="26"/>
  <c r="AY172" i="26"/>
  <c r="AY179" i="26"/>
  <c r="AY181" i="26"/>
  <c r="AY208" i="26"/>
  <c r="AY64" i="26"/>
  <c r="AY87" i="26"/>
  <c r="AY68" i="26"/>
  <c r="AY85" i="26"/>
  <c r="AY147" i="26"/>
  <c r="AY141" i="26"/>
  <c r="AY116" i="26"/>
  <c r="AY176" i="26"/>
  <c r="AY195" i="26"/>
  <c r="AY196" i="26"/>
  <c r="AY151" i="26"/>
  <c r="AY200" i="26"/>
  <c r="AY145" i="26"/>
  <c r="AY73" i="26"/>
  <c r="AY62" i="26"/>
  <c r="AY150" i="26"/>
  <c r="AY139" i="26"/>
  <c r="AY140" i="26"/>
  <c r="AY99" i="26"/>
  <c r="AY209" i="26"/>
  <c r="AY180" i="26"/>
  <c r="AY185" i="26"/>
  <c r="AY143" i="26"/>
  <c r="AY184" i="26"/>
  <c r="AY123" i="26"/>
  <c r="AY67" i="26"/>
  <c r="AY65" i="26"/>
  <c r="AY119" i="26"/>
  <c r="AY138" i="26"/>
  <c r="AY122" i="26"/>
  <c r="AY93" i="26"/>
  <c r="AY204" i="26"/>
  <c r="AY171" i="26"/>
  <c r="AY207" i="26"/>
  <c r="AY148" i="26"/>
  <c r="AY182" i="26"/>
  <c r="AY96" i="26"/>
  <c r="AY174" i="26"/>
  <c r="AY149" i="26"/>
  <c r="AY114" i="26"/>
  <c r="AY121" i="26"/>
  <c r="AY115" i="26"/>
  <c r="AY66" i="26"/>
  <c r="AY206" i="26"/>
  <c r="AY183" i="26"/>
  <c r="AY202" i="26"/>
  <c r="AY146" i="26"/>
  <c r="AY90" i="26"/>
  <c r="AY118" i="26"/>
  <c r="AY137" i="26"/>
  <c r="AY98" i="26"/>
  <c r="AY95" i="26"/>
  <c r="AY92" i="26"/>
  <c r="AY60" i="26"/>
  <c r="AY177" i="26"/>
  <c r="AY173" i="26"/>
  <c r="AX759" i="9"/>
  <c r="AZ150" i="3"/>
  <c r="AZ138" i="3"/>
  <c r="AZ154" i="3"/>
  <c r="AY718" i="9"/>
  <c r="AY229" i="3"/>
  <c r="AY180" i="20" a="1"/>
  <c r="AY180" i="20" s="1"/>
  <c r="AY162" i="20" a="1"/>
  <c r="AY162" i="20" s="1"/>
  <c r="AY153" i="20" a="1"/>
  <c r="AY153" i="20" s="1"/>
  <c r="AY150" i="20" a="1"/>
  <c r="AY150" i="20" s="1"/>
  <c r="AY41" i="30" s="1"/>
  <c r="AY135" i="20" a="1"/>
  <c r="AY135" i="20" s="1"/>
  <c r="AY137" i="20" s="1"/>
  <c r="AY29" i="30" s="1"/>
  <c r="AY128" i="20" a="1"/>
  <c r="AY128" i="20" s="1"/>
  <c r="AY129" i="20" a="1"/>
  <c r="AY129" i="20" s="1"/>
  <c r="AY130" i="20" a="1"/>
  <c r="AY130" i="20" s="1"/>
  <c r="AY127" i="20" a="1"/>
  <c r="AY127" i="20" s="1"/>
  <c r="AY121" i="20" a="1"/>
  <c r="AY121" i="20" s="1"/>
  <c r="AY118" i="20" a="1"/>
  <c r="AY118" i="20" s="1"/>
  <c r="AY117" i="20" a="1"/>
  <c r="AY117" i="20" s="1"/>
  <c r="AY122" i="20" a="1"/>
  <c r="AY122" i="20" s="1"/>
  <c r="AY124" i="20" a="1"/>
  <c r="AY124" i="20" s="1"/>
  <c r="AY123" i="20" a="1"/>
  <c r="AY123" i="20" s="1"/>
  <c r="AY119" i="20" a="1"/>
  <c r="AY119" i="20" s="1"/>
  <c r="AY125" i="20" a="1"/>
  <c r="AY125" i="20" s="1"/>
  <c r="AY120" i="20" a="1"/>
  <c r="AY120" i="20" s="1"/>
  <c r="AY107" i="20" a="1"/>
  <c r="AY107" i="20" s="1"/>
  <c r="AY111" i="20" a="1"/>
  <c r="AY111" i="20" s="1"/>
  <c r="AY112" i="20" a="1"/>
  <c r="AY112" i="20" s="1"/>
  <c r="AY108" i="20" a="1"/>
  <c r="AY108" i="20" s="1"/>
  <c r="AY109" i="20" a="1"/>
  <c r="AY109" i="20" s="1"/>
  <c r="AY105" i="20" a="1"/>
  <c r="AY105" i="20" s="1"/>
  <c r="AY106" i="20" a="1"/>
  <c r="AY106" i="20" s="1"/>
  <c r="AY110" i="20" a="1"/>
  <c r="AY110" i="20" s="1"/>
  <c r="AY93" i="20" a="1"/>
  <c r="AY93" i="20" s="1"/>
  <c r="AY88" i="20" a="1"/>
  <c r="AY88" i="20" s="1"/>
  <c r="AY83" i="20" a="1"/>
  <c r="AY83" i="20" s="1"/>
  <c r="AY79" i="20" a="1"/>
  <c r="AY79" i="20" s="1"/>
  <c r="AY70" i="20" a="1"/>
  <c r="AY70" i="20" s="1"/>
  <c r="AY66" i="20" a="1"/>
  <c r="AY66" i="20" s="1"/>
  <c r="AY47" i="20" a="1"/>
  <c r="AY47" i="20" s="1"/>
  <c r="AY45" i="20" a="1"/>
  <c r="AY45" i="20" s="1"/>
  <c r="AY61" i="20" a="1"/>
  <c r="AY61" i="20" s="1"/>
  <c r="AY57" i="20" a="1"/>
  <c r="AY57" i="20" s="1"/>
  <c r="AY94" i="20" a="1"/>
  <c r="AY94" i="20" s="1"/>
  <c r="AY89" i="20" a="1"/>
  <c r="AY89" i="20" s="1"/>
  <c r="AY84" i="20" a="1"/>
  <c r="AY84" i="20" s="1"/>
  <c r="AY80" i="20" a="1"/>
  <c r="AY80" i="20" s="1"/>
  <c r="AY71" i="20" a="1"/>
  <c r="AY71" i="20" s="1"/>
  <c r="AY67" i="20" a="1"/>
  <c r="AY67" i="20" s="1"/>
  <c r="AY50" i="20" a="1"/>
  <c r="AY50" i="20" s="1"/>
  <c r="AY42" i="20" a="1"/>
  <c r="AY42" i="20" s="1"/>
  <c r="AY34" i="20" a="1"/>
  <c r="AY34" i="20" s="1"/>
  <c r="AY24" i="20" a="1"/>
  <c r="AY24" i="20" s="1"/>
  <c r="AY22" i="20" a="1"/>
  <c r="AY22" i="20" s="1"/>
  <c r="AY18" i="20" a="1"/>
  <c r="AY18" i="20" s="1"/>
  <c r="AY98" i="20" a="1"/>
  <c r="AY98" i="20" s="1"/>
  <c r="AY100" i="20" s="1"/>
  <c r="AY43" i="20" a="1"/>
  <c r="AY43" i="20" s="1"/>
  <c r="AY95" i="20" a="1"/>
  <c r="AY95" i="20" s="1"/>
  <c r="AY81" i="20" a="1"/>
  <c r="AY81" i="20" s="1"/>
  <c r="AY77" i="20" a="1"/>
  <c r="AY77" i="20" s="1"/>
  <c r="AY72" i="20" a="1"/>
  <c r="AY72" i="20" s="1"/>
  <c r="AY68" i="20" a="1"/>
  <c r="AY68" i="20" s="1"/>
  <c r="AY64" i="20" a="1"/>
  <c r="AY64" i="20" s="1"/>
  <c r="AY58" i="20" a="1"/>
  <c r="AY58" i="20" s="1"/>
  <c r="AY51" i="20" a="1"/>
  <c r="AY51" i="20" s="1"/>
  <c r="AY82" i="20" a="1"/>
  <c r="AY82" i="20" s="1"/>
  <c r="AY78" i="20" a="1"/>
  <c r="AY78" i="20" s="1"/>
  <c r="AY73" i="20" a="1"/>
  <c r="AY73" i="20" s="1"/>
  <c r="AY69" i="20" a="1"/>
  <c r="AY69" i="20" s="1"/>
  <c r="AY65" i="20" a="1"/>
  <c r="AY65" i="20" s="1"/>
  <c r="AY54" i="20" a="1"/>
  <c r="AY54" i="20" s="1"/>
  <c r="AY52" i="20" a="1"/>
  <c r="AY52" i="20" s="1"/>
  <c r="AY59" i="20" a="1"/>
  <c r="AY59" i="20" s="1"/>
  <c r="AY37" i="20" a="1"/>
  <c r="AY37" i="20" s="1"/>
  <c r="AY35" i="20" a="1"/>
  <c r="AY35" i="20" s="1"/>
  <c r="AY33" i="20" a="1"/>
  <c r="AY33" i="20" s="1"/>
  <c r="AY20" i="20" a="1"/>
  <c r="AY20" i="20" s="1"/>
  <c r="AY44" i="20" a="1"/>
  <c r="AY44" i="20" s="1"/>
  <c r="AY21" i="20" a="1"/>
  <c r="AY21" i="20" s="1"/>
  <c r="AY36" i="20" a="1"/>
  <c r="AY36" i="20" s="1"/>
  <c r="AY28" i="20" a="1"/>
  <c r="AY28" i="20" s="1"/>
  <c r="AY19" i="20" a="1"/>
  <c r="AY19" i="20" s="1"/>
  <c r="AY17" i="20" a="1"/>
  <c r="AY17" i="20" s="1"/>
  <c r="AY14" i="20" a="1"/>
  <c r="AY14" i="20" s="1"/>
  <c r="AY11" i="20" a="1"/>
  <c r="AY11" i="20" s="1"/>
  <c r="AY30" i="20" a="1"/>
  <c r="AY30" i="20" s="1"/>
  <c r="AY12" i="20" a="1"/>
  <c r="AY12" i="20" s="1"/>
  <c r="AY39" i="20" a="1"/>
  <c r="AY39" i="20" s="1"/>
  <c r="AY27" i="20" a="1"/>
  <c r="AY27" i="20" s="1"/>
  <c r="AY29" i="20" s="1"/>
  <c r="AY14" i="30" s="1"/>
  <c r="AY358" i="9"/>
  <c r="AY311" i="9"/>
  <c r="AY206" i="9"/>
  <c r="AY339" i="9"/>
  <c r="AY425" i="9"/>
  <c r="AY406" i="9"/>
  <c r="AY434" i="9"/>
  <c r="AY415" i="9"/>
  <c r="AY396" i="9"/>
  <c r="AY349" i="9"/>
  <c r="AY320" i="9"/>
  <c r="AY301" i="9"/>
  <c r="AY273" i="9"/>
  <c r="AY244" i="9"/>
  <c r="AY235" i="9"/>
  <c r="AY197" i="9"/>
  <c r="AY282" i="9"/>
  <c r="AY368" i="9"/>
  <c r="AY330" i="9"/>
  <c r="AY225" i="9"/>
  <c r="AY187" i="9"/>
  <c r="AY254" i="9"/>
  <c r="AY216" i="9"/>
  <c r="AY292" i="9"/>
  <c r="AY263" i="9"/>
  <c r="AY149" i="9"/>
  <c r="AY102" i="9"/>
  <c r="AY377" i="9"/>
  <c r="AY178" i="9"/>
  <c r="AY83" i="9"/>
  <c r="AY159" i="9"/>
  <c r="AY111" i="9"/>
  <c r="AY140" i="9"/>
  <c r="AY130" i="9"/>
  <c r="AY121" i="9"/>
  <c r="AY92" i="9"/>
  <c r="AY64" i="9"/>
  <c r="AY387" i="9"/>
  <c r="AY168" i="9"/>
  <c r="AY73" i="9"/>
  <c r="X812" i="9"/>
  <c r="BZ812" i="9" s="1"/>
  <c r="X816" i="9"/>
  <c r="BZ816" i="9" s="1"/>
  <c r="X820" i="9"/>
  <c r="BZ820" i="9" s="1"/>
  <c r="X813" i="9"/>
  <c r="BZ813" i="9" s="1"/>
  <c r="X811" i="9"/>
  <c r="BZ811" i="9" s="1"/>
  <c r="X818" i="9"/>
  <c r="BZ818" i="9" s="1"/>
  <c r="X828" i="9"/>
  <c r="BZ828" i="9" s="1"/>
  <c r="X823" i="9"/>
  <c r="BZ823" i="9" s="1"/>
  <c r="X827" i="9"/>
  <c r="BZ827" i="9" s="1"/>
  <c r="X825" i="9"/>
  <c r="BZ825" i="9" s="1"/>
  <c r="X817" i="9"/>
  <c r="BZ817" i="9" s="1"/>
  <c r="X821" i="9"/>
  <c r="BZ821" i="9" s="1"/>
  <c r="X824" i="9"/>
  <c r="BZ824" i="9" s="1"/>
  <c r="X810" i="9"/>
  <c r="BZ810" i="9" s="1"/>
  <c r="X814" i="9"/>
  <c r="BZ814" i="9" s="1"/>
  <c r="X819" i="9"/>
  <c r="BZ819" i="9" s="1"/>
  <c r="X822" i="9"/>
  <c r="BZ822" i="9" s="1"/>
  <c r="X829" i="9"/>
  <c r="BZ829" i="9" s="1"/>
  <c r="X826" i="9"/>
  <c r="BZ826" i="9" s="1"/>
  <c r="X815" i="9"/>
  <c r="BZ815" i="9" s="1"/>
  <c r="AY102" i="3"/>
  <c r="AY79" i="3"/>
  <c r="AZ151" i="3"/>
  <c r="AZ144" i="3"/>
  <c r="AX758" i="9"/>
  <c r="AY720" i="9"/>
  <c r="AY231" i="3"/>
  <c r="AY728" i="9"/>
  <c r="AY239" i="3"/>
  <c r="AY729" i="9"/>
  <c r="AY240" i="3"/>
  <c r="AX746" i="9"/>
  <c r="AY93" i="3"/>
  <c r="AY70" i="3"/>
  <c r="AY73" i="3"/>
  <c r="AY69" i="3"/>
  <c r="AZ139" i="3"/>
  <c r="AZ143" i="3"/>
  <c r="AX77" i="33"/>
  <c r="AX195" i="30"/>
  <c r="AX78" i="33" s="1"/>
  <c r="AX755" i="9"/>
  <c r="AY77" i="3"/>
  <c r="AY724" i="9"/>
  <c r="AY235" i="3"/>
  <c r="AX27" i="30"/>
  <c r="AX30" i="30" s="1"/>
  <c r="AX139" i="20"/>
  <c r="AX743" i="9"/>
  <c r="AY71" i="3"/>
  <c r="AV136" i="30"/>
  <c r="AV137" i="30" s="1"/>
  <c r="AW256" i="6"/>
  <c r="AX745" i="9"/>
  <c r="AY722" i="9"/>
  <c r="AY233" i="3"/>
  <c r="AY109" i="3"/>
  <c r="AY86" i="3"/>
  <c r="AY72" i="3"/>
  <c r="AZ152" i="3"/>
  <c r="AZ149" i="3"/>
  <c r="AY75" i="3"/>
  <c r="AX750" i="9"/>
  <c r="AY730" i="9"/>
  <c r="AY241" i="3"/>
  <c r="C101" i="23"/>
  <c r="C100" i="23" a="1"/>
  <c r="AX80" i="33" l="1"/>
  <c r="AY788" i="9"/>
  <c r="AY803" i="9"/>
  <c r="AY826" i="9" s="1"/>
  <c r="AY741" i="9"/>
  <c r="AY796" i="9"/>
  <c r="AY13" i="20"/>
  <c r="AY60" i="20"/>
  <c r="AY18" i="30" s="1"/>
  <c r="AY53" i="20"/>
  <c r="AY17" i="30" s="1"/>
  <c r="AY792" i="9"/>
  <c r="AY815" i="9" s="1"/>
  <c r="AY801" i="9"/>
  <c r="AY824" i="9" s="1"/>
  <c r="AZ164" i="3"/>
  <c r="AZ187" i="3" s="1"/>
  <c r="AY748" i="9"/>
  <c r="AY25" i="30"/>
  <c r="AY800" i="9"/>
  <c r="AY823" i="9" s="1"/>
  <c r="AY753" i="9"/>
  <c r="AY743" i="9"/>
  <c r="AY90" i="20"/>
  <c r="AY21" i="30" s="1"/>
  <c r="AY805" i="9"/>
  <c r="AY828" i="9" s="1"/>
  <c r="AY752" i="9"/>
  <c r="AY744" i="9"/>
  <c r="AY747" i="9"/>
  <c r="AY131" i="20"/>
  <c r="AY132" i="20" s="1"/>
  <c r="AY28" i="30" s="1"/>
  <c r="AY26" i="32" s="1"/>
  <c r="AY25" i="35" s="1"/>
  <c r="AY23" i="20"/>
  <c r="AY46" i="20"/>
  <c r="AY16" i="30" s="1"/>
  <c r="AY806" i="9"/>
  <c r="AY829" i="9" s="1"/>
  <c r="AV212" i="30"/>
  <c r="AV83" i="6" s="1"/>
  <c r="AV94" i="33"/>
  <c r="AZ261" i="3"/>
  <c r="AZ284" i="3" s="1"/>
  <c r="AZ215" i="3"/>
  <c r="AZ209" i="3"/>
  <c r="AZ255" i="3"/>
  <c r="AZ278" i="3" s="1"/>
  <c r="AZ222" i="3"/>
  <c r="AZ268" i="3"/>
  <c r="AZ291" i="3" s="1"/>
  <c r="AZ170" i="3"/>
  <c r="AZ193" i="3" s="1"/>
  <c r="AY731" i="9"/>
  <c r="AY242" i="3"/>
  <c r="AT23" i="32"/>
  <c r="AT112" i="30"/>
  <c r="AT114" i="30"/>
  <c r="AY723" i="9"/>
  <c r="AY234" i="3"/>
  <c r="AY38" i="20"/>
  <c r="AY15" i="30" s="1"/>
  <c r="AY85" i="20"/>
  <c r="AY20" i="30" s="1"/>
  <c r="AY827" i="9"/>
  <c r="AY819" i="9"/>
  <c r="AY820" i="9"/>
  <c r="AY812" i="9"/>
  <c r="AY818" i="9"/>
  <c r="AY810" i="9"/>
  <c r="AY825" i="9"/>
  <c r="AY822" i="9"/>
  <c r="AY821" i="9"/>
  <c r="AY813" i="9"/>
  <c r="AY816" i="9"/>
  <c r="AY814" i="9"/>
  <c r="AY817" i="9"/>
  <c r="AY811" i="9"/>
  <c r="AY732" i="9"/>
  <c r="AY243" i="3"/>
  <c r="AZ167" i="3"/>
  <c r="AZ190" i="3" s="1"/>
  <c r="AY194" i="30"/>
  <c r="AY179" i="30"/>
  <c r="AY65" i="33" s="1"/>
  <c r="AZ177" i="3"/>
  <c r="AZ200" i="3" s="1"/>
  <c r="AZ178" i="3"/>
  <c r="AZ201" i="3" s="1"/>
  <c r="AZ225" i="3"/>
  <c r="AZ271" i="3"/>
  <c r="AZ294" i="3" s="1"/>
  <c r="AW54" i="33"/>
  <c r="AW148" i="30"/>
  <c r="AW180" i="30" s="1"/>
  <c r="AW56" i="30"/>
  <c r="AW58" i="30" s="1"/>
  <c r="AY751" i="9"/>
  <c r="AZ174" i="3"/>
  <c r="AZ197" i="3" s="1"/>
  <c r="AY96" i="20"/>
  <c r="AY44" i="30"/>
  <c r="AY45" i="30" s="1"/>
  <c r="AY154" i="20"/>
  <c r="AZ161" i="3"/>
  <c r="AZ184" i="3" s="1"/>
  <c r="AW257" i="6"/>
  <c r="AW259" i="6" s="1"/>
  <c r="AW170" i="20"/>
  <c r="AW60" i="30" s="1"/>
  <c r="AZ4" i="11"/>
  <c r="AZ16" i="3"/>
  <c r="AZ22" i="3"/>
  <c r="AZ30" i="3"/>
  <c r="AZ4" i="35"/>
  <c r="AZ4" i="33"/>
  <c r="BA4" i="12"/>
  <c r="AZ4" i="32"/>
  <c r="AZ4" i="30"/>
  <c r="AZ4" i="38"/>
  <c r="AZ4" i="6"/>
  <c r="AZ4" i="9"/>
  <c r="AZ4" i="26"/>
  <c r="AZ4" i="16"/>
  <c r="AZ4" i="22"/>
  <c r="AZ4" i="20"/>
  <c r="AZ4" i="1"/>
  <c r="AZ4" i="28"/>
  <c r="AZ20" i="3"/>
  <c r="AY727" i="9"/>
  <c r="AY238" i="3"/>
  <c r="AY719" i="9"/>
  <c r="AY230" i="3"/>
  <c r="AZ172" i="3"/>
  <c r="AZ195" i="3" s="1"/>
  <c r="AY745" i="9"/>
  <c r="AZ166" i="3"/>
  <c r="AZ189" i="3" s="1"/>
  <c r="AY52" i="30"/>
  <c r="AY54" i="30" s="1"/>
  <c r="AY41" i="6"/>
  <c r="AY44" i="6" s="1"/>
  <c r="AY164" i="20"/>
  <c r="AZ173" i="3"/>
  <c r="AZ196" i="3" s="1"/>
  <c r="AY758" i="9"/>
  <c r="AZ3" i="11"/>
  <c r="AZ14" i="3"/>
  <c r="AZ3" i="35"/>
  <c r="AZ3" i="33"/>
  <c r="BA3" i="12"/>
  <c r="AZ3" i="32"/>
  <c r="AZ3" i="30"/>
  <c r="AZ3" i="38"/>
  <c r="AZ3" i="6"/>
  <c r="AZ3" i="9"/>
  <c r="AZ3" i="26"/>
  <c r="AZ3" i="16"/>
  <c r="AZ3" i="22"/>
  <c r="AZ3" i="20"/>
  <c r="AZ3" i="1"/>
  <c r="AZ3" i="28"/>
  <c r="AZ37" i="3"/>
  <c r="AY756" i="9"/>
  <c r="AY749" i="9"/>
  <c r="AY734" i="9"/>
  <c r="AY245" i="3"/>
  <c r="AY736" i="9"/>
  <c r="AY247" i="3"/>
  <c r="AY645" i="9"/>
  <c r="AY24" i="32"/>
  <c r="AY25" i="32" s="1"/>
  <c r="AY24" i="35" s="1"/>
  <c r="AY23" i="30"/>
  <c r="AY179" i="20"/>
  <c r="AZ171" i="3"/>
  <c r="AZ194" i="3" s="1"/>
  <c r="AX141" i="20"/>
  <c r="AX146" i="20" s="1"/>
  <c r="BA10" i="3"/>
  <c r="BA152" i="3" s="1"/>
  <c r="AZ160" i="3"/>
  <c r="AZ183" i="3" s="1"/>
  <c r="AZ175" i="3"/>
  <c r="AZ198" i="3" s="1"/>
  <c r="AZ162" i="3"/>
  <c r="AZ185" i="3" s="1"/>
  <c r="AY74" i="20"/>
  <c r="AY19" i="30" s="1"/>
  <c r="AY114" i="20"/>
  <c r="AU19" i="32"/>
  <c r="AU85" i="30"/>
  <c r="AU88" i="30" s="1"/>
  <c r="AU14" i="6"/>
  <c r="AZ165" i="3"/>
  <c r="AZ188" i="3" s="1"/>
  <c r="AX24" i="30"/>
  <c r="AZ5" i="11"/>
  <c r="AZ64" i="3"/>
  <c r="AZ110" i="3" s="1"/>
  <c r="AZ56" i="3"/>
  <c r="AZ102" i="3" s="1"/>
  <c r="AZ48" i="3"/>
  <c r="AZ94" i="3" s="1"/>
  <c r="AZ57" i="3"/>
  <c r="AZ52" i="3"/>
  <c r="AZ98" i="3" s="1"/>
  <c r="AZ60" i="3"/>
  <c r="AZ54" i="3"/>
  <c r="AZ100" i="3" s="1"/>
  <c r="AZ55" i="3"/>
  <c r="AZ53" i="3"/>
  <c r="AZ99" i="3" s="1"/>
  <c r="AZ45" i="3"/>
  <c r="AZ46" i="3"/>
  <c r="AZ92" i="3" s="1"/>
  <c r="AZ59" i="3"/>
  <c r="AZ105" i="3" s="1"/>
  <c r="AZ58" i="3"/>
  <c r="AZ63" i="3"/>
  <c r="AZ109" i="3" s="1"/>
  <c r="AZ62" i="3"/>
  <c r="AZ61" i="3"/>
  <c r="AZ47" i="3"/>
  <c r="AZ93" i="3" s="1"/>
  <c r="AZ51" i="3"/>
  <c r="AZ50" i="3"/>
  <c r="AZ96" i="3" s="1"/>
  <c r="AZ49" i="3"/>
  <c r="AZ95" i="3" s="1"/>
  <c r="AZ5" i="35"/>
  <c r="AZ5" i="33"/>
  <c r="BA5" i="12"/>
  <c r="AZ5" i="32"/>
  <c r="AZ5" i="30"/>
  <c r="AZ5" i="38"/>
  <c r="AZ5" i="6"/>
  <c r="AZ5" i="9"/>
  <c r="AZ5" i="26"/>
  <c r="AZ5" i="16"/>
  <c r="AZ5" i="22"/>
  <c r="AZ5" i="20"/>
  <c r="AZ5" i="1"/>
  <c r="AZ5" i="28"/>
  <c r="AZ133" i="3"/>
  <c r="AZ118" i="3"/>
  <c r="AZ131" i="3"/>
  <c r="AZ126" i="3"/>
  <c r="AZ125" i="3"/>
  <c r="AZ129" i="3"/>
  <c r="AZ132" i="3"/>
  <c r="AZ121" i="3"/>
  <c r="AZ119" i="3"/>
  <c r="AZ124" i="3"/>
  <c r="AZ114" i="3"/>
  <c r="AZ115" i="3"/>
  <c r="AZ128" i="3"/>
  <c r="AZ116" i="3"/>
  <c r="AZ127" i="3"/>
  <c r="AZ117" i="3"/>
  <c r="AZ122" i="3"/>
  <c r="AZ123" i="3"/>
  <c r="AZ130" i="3"/>
  <c r="AZ120" i="3"/>
  <c r="AZ168" i="3"/>
  <c r="AZ191" i="3" s="1"/>
  <c r="AY737" i="9"/>
  <c r="AY248" i="3"/>
  <c r="C100" i="23"/>
  <c r="C99" i="23" a="1"/>
  <c r="AY13" i="30" l="1"/>
  <c r="AY759" i="9"/>
  <c r="AZ210" i="3"/>
  <c r="AZ722" i="9" s="1"/>
  <c r="AZ256" i="3"/>
  <c r="AZ279" i="3" s="1"/>
  <c r="BA138" i="3"/>
  <c r="BA161" i="3" s="1"/>
  <c r="BA145" i="3"/>
  <c r="BA168" i="3" s="1"/>
  <c r="BA191" i="3" s="1"/>
  <c r="BA148" i="3"/>
  <c r="BA171" i="3" s="1"/>
  <c r="BA194" i="3" s="1"/>
  <c r="BA146" i="3"/>
  <c r="BA169" i="3" s="1"/>
  <c r="BA192" i="3" s="1"/>
  <c r="AY742" i="9"/>
  <c r="BA153" i="3"/>
  <c r="BA176" i="3" s="1"/>
  <c r="BA199" i="3" s="1"/>
  <c r="BA139" i="3"/>
  <c r="BA149" i="3"/>
  <c r="BA172" i="3" s="1"/>
  <c r="BA195" i="3" s="1"/>
  <c r="BA143" i="3"/>
  <c r="BA166" i="3" s="1"/>
  <c r="BA189" i="3" s="1"/>
  <c r="BA137" i="3"/>
  <c r="BA160" i="3" s="1"/>
  <c r="BA183" i="3" s="1"/>
  <c r="AY755" i="9"/>
  <c r="AV214" i="30"/>
  <c r="AV217" i="30" s="1"/>
  <c r="AV96" i="33"/>
  <c r="AV101" i="33" s="1"/>
  <c r="AV104" i="33" s="1"/>
  <c r="AY754" i="9"/>
  <c r="AY750" i="9"/>
  <c r="AW211" i="30"/>
  <c r="AZ260" i="3"/>
  <c r="AZ283" i="3" s="1"/>
  <c r="AZ214" i="3"/>
  <c r="AZ216" i="3"/>
  <c r="AZ262" i="3"/>
  <c r="AZ285" i="3" s="1"/>
  <c r="AZ257" i="3"/>
  <c r="AZ280" i="3" s="1"/>
  <c r="AZ211" i="3"/>
  <c r="AZ224" i="3"/>
  <c r="AZ270" i="3"/>
  <c r="AZ293" i="3" s="1"/>
  <c r="AZ264" i="3"/>
  <c r="AZ287" i="3" s="1"/>
  <c r="AZ218" i="3"/>
  <c r="AZ269" i="3"/>
  <c r="AZ292" i="3" s="1"/>
  <c r="AZ223" i="3"/>
  <c r="AZ208" i="3"/>
  <c r="AZ254" i="3"/>
  <c r="AZ277" i="3" s="1"/>
  <c r="AZ221" i="3"/>
  <c r="AZ267" i="3"/>
  <c r="AZ290" i="3" s="1"/>
  <c r="BA175" i="3"/>
  <c r="BA198" i="3" s="1"/>
  <c r="AZ265" i="3"/>
  <c r="AZ288" i="3" s="1"/>
  <c r="AZ219" i="3"/>
  <c r="AW136" i="30"/>
  <c r="AW137" i="30" s="1"/>
  <c r="AX256" i="6"/>
  <c r="AZ107" i="3"/>
  <c r="AZ84" i="3"/>
  <c r="AZ101" i="3"/>
  <c r="AZ78" i="3"/>
  <c r="AZ220" i="3"/>
  <c r="AZ266" i="3"/>
  <c r="AZ289" i="3" s="1"/>
  <c r="AZ737" i="9"/>
  <c r="AZ248" i="3"/>
  <c r="AZ76" i="3"/>
  <c r="AZ86" i="3"/>
  <c r="AZ108" i="3"/>
  <c r="AZ85" i="3"/>
  <c r="AU23" i="32"/>
  <c r="AU112" i="30"/>
  <c r="AU114" i="30"/>
  <c r="AZ79" i="3"/>
  <c r="AZ213" i="3"/>
  <c r="AZ259" i="3"/>
  <c r="AZ282" i="3" s="1"/>
  <c r="AZ72" i="3"/>
  <c r="AZ75" i="3"/>
  <c r="BA147" i="3"/>
  <c r="BA154" i="3"/>
  <c r="BA155" i="3"/>
  <c r="AZ77" i="3"/>
  <c r="AZ197" i="26"/>
  <c r="AZ121" i="26"/>
  <c r="AZ143" i="26"/>
  <c r="AZ74" i="26"/>
  <c r="AZ151" i="26"/>
  <c r="AZ148" i="26"/>
  <c r="AZ120" i="26"/>
  <c r="AZ116" i="26"/>
  <c r="AZ67" i="26"/>
  <c r="AZ199" i="26"/>
  <c r="AZ206" i="26"/>
  <c r="AZ180" i="26"/>
  <c r="AZ113" i="26"/>
  <c r="AZ124" i="26"/>
  <c r="AZ72" i="26"/>
  <c r="AZ119" i="26"/>
  <c r="AZ139" i="26"/>
  <c r="AZ115" i="26"/>
  <c r="AZ99" i="26"/>
  <c r="AZ61" i="26"/>
  <c r="AZ172" i="26"/>
  <c r="AZ173" i="26"/>
  <c r="AZ150" i="26"/>
  <c r="AZ97" i="26"/>
  <c r="AZ117" i="26"/>
  <c r="AZ68" i="26"/>
  <c r="AZ114" i="26"/>
  <c r="AZ138" i="26"/>
  <c r="AZ92" i="26"/>
  <c r="AZ66" i="26"/>
  <c r="AZ179" i="26"/>
  <c r="AZ198" i="26"/>
  <c r="AZ202" i="26"/>
  <c r="AZ145" i="26"/>
  <c r="AZ93" i="26"/>
  <c r="AZ87" i="26"/>
  <c r="AZ137" i="26"/>
  <c r="AZ112" i="26"/>
  <c r="AZ95" i="26"/>
  <c r="AZ86" i="26"/>
  <c r="AZ64" i="26"/>
  <c r="AZ185" i="26"/>
  <c r="AZ196" i="26"/>
  <c r="AZ178" i="26"/>
  <c r="AZ203" i="26"/>
  <c r="AZ89" i="26"/>
  <c r="AZ60" i="26"/>
  <c r="AZ125" i="26"/>
  <c r="AZ98" i="26"/>
  <c r="AZ63" i="26"/>
  <c r="AZ70" i="26"/>
  <c r="AZ123" i="26"/>
  <c r="AZ174" i="26"/>
  <c r="AZ182" i="26"/>
  <c r="AZ175" i="26"/>
  <c r="AZ144" i="26"/>
  <c r="AZ195" i="26"/>
  <c r="AZ85" i="26"/>
  <c r="AZ118" i="26"/>
  <c r="AZ91" i="26"/>
  <c r="AZ88" i="26"/>
  <c r="AZ171" i="26"/>
  <c r="AZ181" i="26"/>
  <c r="AZ96" i="26"/>
  <c r="AZ176" i="26"/>
  <c r="AZ208" i="26"/>
  <c r="AZ184" i="26"/>
  <c r="AZ149" i="26"/>
  <c r="AZ147" i="26"/>
  <c r="AZ73" i="26"/>
  <c r="AZ111" i="26"/>
  <c r="AZ62" i="26"/>
  <c r="AZ69" i="26"/>
  <c r="AZ141" i="26"/>
  <c r="AZ146" i="26"/>
  <c r="AZ90" i="26"/>
  <c r="AZ200" i="26"/>
  <c r="AZ201" i="26"/>
  <c r="AZ209" i="26"/>
  <c r="AZ205" i="26"/>
  <c r="AZ140" i="26"/>
  <c r="AZ65" i="26"/>
  <c r="AZ94" i="26"/>
  <c r="AZ177" i="26"/>
  <c r="AZ183" i="26"/>
  <c r="AZ122" i="26"/>
  <c r="AZ142" i="26"/>
  <c r="AZ71" i="26"/>
  <c r="AZ204" i="26"/>
  <c r="AZ207" i="26"/>
  <c r="AZ104" i="3"/>
  <c r="AZ81" i="3"/>
  <c r="AY27" i="30"/>
  <c r="AY30" i="30" s="1"/>
  <c r="AY139" i="20"/>
  <c r="AY72" i="30"/>
  <c r="AY74" i="30" s="1"/>
  <c r="AZ40" i="6"/>
  <c r="AY12" i="6"/>
  <c r="BA151" i="3"/>
  <c r="AX174" i="20"/>
  <c r="AX181" i="20" s="1"/>
  <c r="AX62" i="30" s="1"/>
  <c r="AX156" i="20"/>
  <c r="AX166" i="20" s="1"/>
  <c r="AZ258" i="3"/>
  <c r="AZ281" i="3" s="1"/>
  <c r="AZ212" i="3"/>
  <c r="AZ712" i="9"/>
  <c r="AZ781" i="9" s="1"/>
  <c r="AZ714" i="9"/>
  <c r="AZ783" i="9" s="1"/>
  <c r="AZ806" i="9" s="1"/>
  <c r="AZ707" i="9"/>
  <c r="AZ776" i="9" s="1"/>
  <c r="AZ699" i="9"/>
  <c r="AZ768" i="9" s="1"/>
  <c r="AZ791" i="9" s="1"/>
  <c r="AZ703" i="9"/>
  <c r="AZ772" i="9" s="1"/>
  <c r="AZ698" i="9"/>
  <c r="AZ767" i="9" s="1"/>
  <c r="AZ790" i="9" s="1"/>
  <c r="AZ710" i="9"/>
  <c r="AZ779" i="9" s="1"/>
  <c r="AZ708" i="9"/>
  <c r="AZ777" i="9" s="1"/>
  <c r="AZ705" i="9"/>
  <c r="AZ774" i="9" s="1"/>
  <c r="AZ695" i="9"/>
  <c r="AZ764" i="9" s="1"/>
  <c r="AZ713" i="9"/>
  <c r="AZ782" i="9" s="1"/>
  <c r="AZ702" i="9"/>
  <c r="AZ771" i="9" s="1"/>
  <c r="AZ700" i="9"/>
  <c r="AZ769" i="9" s="1"/>
  <c r="AZ697" i="9"/>
  <c r="AZ766" i="9" s="1"/>
  <c r="AZ709" i="9"/>
  <c r="AZ778" i="9" s="1"/>
  <c r="AZ704" i="9"/>
  <c r="AZ773" i="9" s="1"/>
  <c r="AZ796" i="9" s="1"/>
  <c r="AZ711" i="9"/>
  <c r="AZ780" i="9" s="1"/>
  <c r="AZ803" i="9" s="1"/>
  <c r="AZ706" i="9"/>
  <c r="AZ775" i="9" s="1"/>
  <c r="AZ701" i="9"/>
  <c r="AZ770" i="9" s="1"/>
  <c r="AZ696" i="9"/>
  <c r="AZ765" i="9" s="1"/>
  <c r="AZ253" i="3"/>
  <c r="AZ276" i="3" s="1"/>
  <c r="AZ207" i="3"/>
  <c r="AZ82" i="3"/>
  <c r="AZ87" i="3"/>
  <c r="AZ70" i="3"/>
  <c r="AY102" i="20"/>
  <c r="AZ734" i="9"/>
  <c r="AZ245" i="3"/>
  <c r="AZ339" i="9"/>
  <c r="AZ292" i="9"/>
  <c r="AZ425" i="9"/>
  <c r="AZ406" i="9"/>
  <c r="AZ434" i="9"/>
  <c r="AZ415" i="9"/>
  <c r="AZ396" i="9"/>
  <c r="AZ377" i="9"/>
  <c r="AZ330" i="9"/>
  <c r="AZ273" i="9"/>
  <c r="AZ244" i="9"/>
  <c r="AZ235" i="9"/>
  <c r="AZ197" i="9"/>
  <c r="AZ358" i="9"/>
  <c r="AZ282" i="9"/>
  <c r="AZ206" i="9"/>
  <c r="AZ178" i="9"/>
  <c r="AZ368" i="9"/>
  <c r="AZ225" i="9"/>
  <c r="AZ187" i="9"/>
  <c r="AZ349" i="9"/>
  <c r="AZ254" i="9"/>
  <c r="AZ216" i="9"/>
  <c r="AZ263" i="9"/>
  <c r="AZ387" i="9"/>
  <c r="AZ130" i="9"/>
  <c r="AZ83" i="9"/>
  <c r="AZ311" i="9"/>
  <c r="AZ159" i="9"/>
  <c r="AZ149" i="9"/>
  <c r="AZ102" i="9"/>
  <c r="AZ320" i="9"/>
  <c r="AZ140" i="9"/>
  <c r="AZ121" i="9"/>
  <c r="AZ92" i="9"/>
  <c r="AZ301" i="9"/>
  <c r="AZ64" i="9"/>
  <c r="AZ168" i="9"/>
  <c r="AZ73" i="9"/>
  <c r="AZ111" i="9"/>
  <c r="BA41" i="3"/>
  <c r="BB8" i="3"/>
  <c r="BA24" i="3"/>
  <c r="BA12" i="3"/>
  <c r="BA3" i="3" s="1"/>
  <c r="BA5" i="3"/>
  <c r="BA4" i="3"/>
  <c r="AZ28" i="3"/>
  <c r="AZ26" i="3"/>
  <c r="AZ106" i="3"/>
  <c r="AZ83" i="3"/>
  <c r="AX14" i="32"/>
  <c r="AX32" i="30"/>
  <c r="AX36" i="30" s="1"/>
  <c r="AZ69" i="3"/>
  <c r="AZ252" i="3"/>
  <c r="AZ275" i="3" s="1"/>
  <c r="AZ206" i="3"/>
  <c r="AZ263" i="3"/>
  <c r="AZ286" i="3" s="1"/>
  <c r="AZ217" i="3"/>
  <c r="AW82" i="35"/>
  <c r="AW67" i="33"/>
  <c r="AW69" i="33" s="1"/>
  <c r="AW31" i="32"/>
  <c r="AW27" i="32"/>
  <c r="AW208" i="30"/>
  <c r="AW92" i="33" s="1"/>
  <c r="AZ233" i="3"/>
  <c r="AZ721" i="9"/>
  <c r="AZ232" i="3"/>
  <c r="AY760" i="9"/>
  <c r="AZ97" i="3"/>
  <c r="AZ74" i="3"/>
  <c r="AZ91" i="3"/>
  <c r="AZ68" i="3"/>
  <c r="BA142" i="3"/>
  <c r="BA141" i="3"/>
  <c r="BA144" i="3"/>
  <c r="AZ18" i="3"/>
  <c r="AY22" i="30"/>
  <c r="AY24" i="30" s="1"/>
  <c r="AY175" i="20"/>
  <c r="AY746" i="9"/>
  <c r="AZ73" i="3"/>
  <c r="AZ727" i="9"/>
  <c r="AZ238" i="3"/>
  <c r="AZ103" i="3"/>
  <c r="AZ80" i="3"/>
  <c r="BA140" i="3"/>
  <c r="BA156" i="3"/>
  <c r="BA150" i="3"/>
  <c r="AY757" i="9"/>
  <c r="AZ71" i="3"/>
  <c r="AZ180" i="20" a="1"/>
  <c r="AZ180" i="20" s="1"/>
  <c r="AZ162" i="20" a="1"/>
  <c r="AZ162" i="20" s="1"/>
  <c r="AZ153" i="20" a="1"/>
  <c r="AZ153" i="20" s="1"/>
  <c r="AZ150" i="20" a="1"/>
  <c r="AZ150" i="20" s="1"/>
  <c r="AZ41" i="30" s="1"/>
  <c r="AZ129" i="20" a="1"/>
  <c r="AZ129" i="20" s="1"/>
  <c r="AZ130" i="20" a="1"/>
  <c r="AZ130" i="20" s="1"/>
  <c r="AZ127" i="20" a="1"/>
  <c r="AZ127" i="20" s="1"/>
  <c r="AZ135" i="20" a="1"/>
  <c r="AZ135" i="20" s="1"/>
  <c r="AZ137" i="20" s="1"/>
  <c r="AZ29" i="30" s="1"/>
  <c r="AZ128" i="20" a="1"/>
  <c r="AZ128" i="20" s="1"/>
  <c r="AZ122" i="20" a="1"/>
  <c r="AZ122" i="20" s="1"/>
  <c r="AZ118" i="20" a="1"/>
  <c r="AZ118" i="20" s="1"/>
  <c r="AZ124" i="20" a="1"/>
  <c r="AZ124" i="20" s="1"/>
  <c r="AZ123" i="20" a="1"/>
  <c r="AZ123" i="20" s="1"/>
  <c r="AZ119" i="20" a="1"/>
  <c r="AZ119" i="20" s="1"/>
  <c r="AZ125" i="20" a="1"/>
  <c r="AZ125" i="20" s="1"/>
  <c r="AZ120" i="20" a="1"/>
  <c r="AZ120" i="20" s="1"/>
  <c r="AZ121" i="20" a="1"/>
  <c r="AZ121" i="20" s="1"/>
  <c r="AZ117" i="20" a="1"/>
  <c r="AZ117" i="20" s="1"/>
  <c r="AZ112" i="20" a="1"/>
  <c r="AZ112" i="20" s="1"/>
  <c r="AZ108" i="20" a="1"/>
  <c r="AZ108" i="20" s="1"/>
  <c r="AZ105" i="20" a="1"/>
  <c r="AZ105" i="20" s="1"/>
  <c r="AZ109" i="20" a="1"/>
  <c r="AZ109" i="20" s="1"/>
  <c r="AZ110" i="20" a="1"/>
  <c r="AZ110" i="20" s="1"/>
  <c r="AZ106" i="20" a="1"/>
  <c r="AZ106" i="20" s="1"/>
  <c r="AZ111" i="20" a="1"/>
  <c r="AZ111" i="20" s="1"/>
  <c r="AZ107" i="20" a="1"/>
  <c r="AZ107" i="20" s="1"/>
  <c r="AZ94" i="20" a="1"/>
  <c r="AZ94" i="20" s="1"/>
  <c r="AZ89" i="20" a="1"/>
  <c r="AZ89" i="20" s="1"/>
  <c r="AZ84" i="20" a="1"/>
  <c r="AZ84" i="20" s="1"/>
  <c r="AZ80" i="20" a="1"/>
  <c r="AZ80" i="20" s="1"/>
  <c r="AZ71" i="20" a="1"/>
  <c r="AZ71" i="20" s="1"/>
  <c r="AZ67" i="20" a="1"/>
  <c r="AZ67" i="20" s="1"/>
  <c r="AZ50" i="20" a="1"/>
  <c r="AZ50" i="20" s="1"/>
  <c r="AZ98" i="20" a="1"/>
  <c r="AZ98" i="20" s="1"/>
  <c r="AZ100" i="20" s="1"/>
  <c r="AZ95" i="20" a="1"/>
  <c r="AZ95" i="20" s="1"/>
  <c r="AZ81" i="20" a="1"/>
  <c r="AZ81" i="20" s="1"/>
  <c r="AZ77" i="20" a="1"/>
  <c r="AZ77" i="20" s="1"/>
  <c r="AZ72" i="20" a="1"/>
  <c r="AZ72" i="20" s="1"/>
  <c r="AZ68" i="20" a="1"/>
  <c r="AZ68" i="20" s="1"/>
  <c r="AZ64" i="20" a="1"/>
  <c r="AZ64" i="20" s="1"/>
  <c r="AZ58" i="20" a="1"/>
  <c r="AZ58" i="20" s="1"/>
  <c r="AZ51" i="20" a="1"/>
  <c r="AZ51" i="20" s="1"/>
  <c r="AZ43" i="20" a="1"/>
  <c r="AZ43" i="20" s="1"/>
  <c r="AZ35" i="20" a="1"/>
  <c r="AZ35" i="20" s="1"/>
  <c r="AZ27" i="20" a="1"/>
  <c r="AZ27" i="20" s="1"/>
  <c r="AZ19" i="20" a="1"/>
  <c r="AZ19" i="20" s="1"/>
  <c r="AZ11" i="20" a="1"/>
  <c r="AZ11" i="20" s="1"/>
  <c r="AZ44" i="20" a="1"/>
  <c r="AZ44" i="20" s="1"/>
  <c r="AZ82" i="20" a="1"/>
  <c r="AZ82" i="20" s="1"/>
  <c r="AZ78" i="20" a="1"/>
  <c r="AZ78" i="20" s="1"/>
  <c r="AZ73" i="20" a="1"/>
  <c r="AZ73" i="20" s="1"/>
  <c r="AZ69" i="20" a="1"/>
  <c r="AZ69" i="20" s="1"/>
  <c r="AZ65" i="20" a="1"/>
  <c r="AZ65" i="20" s="1"/>
  <c r="AZ54" i="20" a="1"/>
  <c r="AZ54" i="20" s="1"/>
  <c r="AZ52" i="20" a="1"/>
  <c r="AZ52" i="20" s="1"/>
  <c r="AZ59" i="20" a="1"/>
  <c r="AZ59" i="20" s="1"/>
  <c r="AZ93" i="20" a="1"/>
  <c r="AZ93" i="20" s="1"/>
  <c r="AZ88" i="20" a="1"/>
  <c r="AZ88" i="20" s="1"/>
  <c r="AZ83" i="20" a="1"/>
  <c r="AZ83" i="20" s="1"/>
  <c r="AZ79" i="20" a="1"/>
  <c r="AZ79" i="20" s="1"/>
  <c r="AZ70" i="20" a="1"/>
  <c r="AZ70" i="20" s="1"/>
  <c r="AZ66" i="20" a="1"/>
  <c r="AZ66" i="20" s="1"/>
  <c r="AZ47" i="20" a="1"/>
  <c r="AZ47" i="20" s="1"/>
  <c r="AZ45" i="20" a="1"/>
  <c r="AZ45" i="20" s="1"/>
  <c r="AZ61" i="20" a="1"/>
  <c r="AZ61" i="20" s="1"/>
  <c r="AZ57" i="20" a="1"/>
  <c r="AZ57" i="20" s="1"/>
  <c r="AZ24" i="20" a="1"/>
  <c r="AZ24" i="20" s="1"/>
  <c r="AZ42" i="20" a="1"/>
  <c r="AZ42" i="20" s="1"/>
  <c r="AZ36" i="20" a="1"/>
  <c r="AZ36" i="20" s="1"/>
  <c r="AZ28" i="20" a="1"/>
  <c r="AZ28" i="20" s="1"/>
  <c r="AZ21" i="20" a="1"/>
  <c r="AZ21" i="20" s="1"/>
  <c r="AZ14" i="20" a="1"/>
  <c r="AZ14" i="20" s="1"/>
  <c r="AZ17" i="20" a="1"/>
  <c r="AZ17" i="20" s="1"/>
  <c r="AZ30" i="20" a="1"/>
  <c r="AZ30" i="20" s="1"/>
  <c r="AZ22" i="20" a="1"/>
  <c r="AZ22" i="20" s="1"/>
  <c r="AZ12" i="20" a="1"/>
  <c r="AZ12" i="20" s="1"/>
  <c r="AZ18" i="20" a="1"/>
  <c r="AZ18" i="20" s="1"/>
  <c r="AZ39" i="20" a="1"/>
  <c r="AZ39" i="20" s="1"/>
  <c r="AZ37" i="20" a="1"/>
  <c r="AZ37" i="20" s="1"/>
  <c r="AZ33" i="20" a="1"/>
  <c r="AZ33" i="20" s="1"/>
  <c r="AZ34" i="20" a="1"/>
  <c r="AZ34" i="20" s="1"/>
  <c r="AZ20" i="20" a="1"/>
  <c r="AZ20" i="20" s="1"/>
  <c r="AY77" i="33"/>
  <c r="AY195" i="30"/>
  <c r="AY78" i="33" s="1"/>
  <c r="AV19" i="32"/>
  <c r="AV85" i="30"/>
  <c r="AV88" i="30" s="1"/>
  <c r="AV14" i="6"/>
  <c r="C99" i="23"/>
  <c r="C98" i="23" a="1"/>
  <c r="C98" i="23" s="1"/>
  <c r="C97" i="23" a="1"/>
  <c r="AZ795" i="9" l="1"/>
  <c r="AZ800" i="9"/>
  <c r="AZ823" i="9" s="1"/>
  <c r="AZ801" i="9"/>
  <c r="AZ824" i="9" s="1"/>
  <c r="AZ789" i="9"/>
  <c r="AZ812" i="9" s="1"/>
  <c r="AZ794" i="9"/>
  <c r="AZ817" i="9" s="1"/>
  <c r="AZ792" i="9"/>
  <c r="AZ815" i="9" s="1"/>
  <c r="AZ805" i="9"/>
  <c r="AZ828" i="9" s="1"/>
  <c r="AZ788" i="9"/>
  <c r="AZ797" i="9"/>
  <c r="AZ820" i="9" s="1"/>
  <c r="AZ804" i="9"/>
  <c r="AZ827" i="9" s="1"/>
  <c r="BA184" i="3"/>
  <c r="BA207" i="3" s="1"/>
  <c r="AZ799" i="9"/>
  <c r="AZ822" i="9" s="1"/>
  <c r="AZ798" i="9"/>
  <c r="AZ821" i="9" s="1"/>
  <c r="BA162" i="3"/>
  <c r="BA185" i="3" s="1"/>
  <c r="AZ802" i="9"/>
  <c r="AZ825" i="9" s="1"/>
  <c r="AZ96" i="20"/>
  <c r="AZ22" i="30" s="1"/>
  <c r="AZ744" i="9"/>
  <c r="AY80" i="33"/>
  <c r="AZ46" i="20"/>
  <c r="AZ16" i="30" s="1"/>
  <c r="AY141" i="20"/>
  <c r="AY146" i="20" s="1"/>
  <c r="AY174" i="20" s="1"/>
  <c r="AY181" i="20" s="1"/>
  <c r="AY62" i="30" s="1"/>
  <c r="AZ787" i="9"/>
  <c r="AZ810" i="9" s="1"/>
  <c r="AZ793" i="9"/>
  <c r="AZ816" i="9" s="1"/>
  <c r="AZ750" i="9"/>
  <c r="AZ24" i="32"/>
  <c r="AZ25" i="32" s="1"/>
  <c r="AZ24" i="35" s="1"/>
  <c r="AZ760" i="9"/>
  <c r="AY14" i="32"/>
  <c r="AY32" i="30"/>
  <c r="AY36" i="30" s="1"/>
  <c r="BA218" i="3"/>
  <c r="BA264" i="3"/>
  <c r="BA287" i="3" s="1"/>
  <c r="BA258" i="3"/>
  <c r="BA281" i="3" s="1"/>
  <c r="BA212" i="3"/>
  <c r="BA261" i="3"/>
  <c r="BA284" i="3" s="1"/>
  <c r="BA215" i="3"/>
  <c r="BA252" i="3"/>
  <c r="BA275" i="3" s="1"/>
  <c r="BA206" i="3"/>
  <c r="BA263" i="3"/>
  <c r="BA286" i="3" s="1"/>
  <c r="BA217" i="3"/>
  <c r="BA222" i="3"/>
  <c r="BA268" i="3"/>
  <c r="BA291" i="3" s="1"/>
  <c r="BA267" i="3"/>
  <c r="BA290" i="3" s="1"/>
  <c r="BA221" i="3"/>
  <c r="AZ194" i="30"/>
  <c r="AZ179" i="30"/>
  <c r="AZ65" i="33" s="1"/>
  <c r="AZ23" i="20"/>
  <c r="AZ175" i="20"/>
  <c r="AZ53" i="20"/>
  <c r="AZ17" i="30" s="1"/>
  <c r="AZ131" i="20"/>
  <c r="AZ132" i="20" s="1"/>
  <c r="AZ28" i="30" s="1"/>
  <c r="AZ26" i="32" s="1"/>
  <c r="AZ25" i="35" s="1"/>
  <c r="AZ38" i="20"/>
  <c r="AZ15" i="30" s="1"/>
  <c r="AZ25" i="30"/>
  <c r="AZ74" i="20"/>
  <c r="AZ19" i="30" s="1"/>
  <c r="AZ829" i="9"/>
  <c r="AZ813" i="9"/>
  <c r="AZ819" i="9"/>
  <c r="AZ811" i="9"/>
  <c r="AZ818" i="9"/>
  <c r="AZ814" i="9"/>
  <c r="AZ826" i="9"/>
  <c r="BA165" i="3"/>
  <c r="BA188" i="3" s="1"/>
  <c r="BA3" i="11"/>
  <c r="BA14" i="3"/>
  <c r="BA3" i="35"/>
  <c r="BA3" i="33"/>
  <c r="BB3" i="12"/>
  <c r="BA3" i="32"/>
  <c r="BA3" i="30"/>
  <c r="BA3" i="38"/>
  <c r="BA3" i="6"/>
  <c r="BA3" i="9"/>
  <c r="BA3" i="26"/>
  <c r="BA3" i="16"/>
  <c r="BA3" i="22"/>
  <c r="BA3" i="20"/>
  <c r="BA3" i="1"/>
  <c r="BA3" i="28"/>
  <c r="BA37" i="3"/>
  <c r="AZ757" i="9"/>
  <c r="BA260" i="3"/>
  <c r="BA283" i="3" s="1"/>
  <c r="BA214" i="3"/>
  <c r="AZ13" i="20"/>
  <c r="AX257" i="6"/>
  <c r="AX259" i="6" s="1"/>
  <c r="AX170" i="20"/>
  <c r="AX60" i="30" s="1"/>
  <c r="AZ733" i="9"/>
  <c r="AZ244" i="3"/>
  <c r="AZ736" i="9"/>
  <c r="AZ247" i="3"/>
  <c r="BA173" i="3"/>
  <c r="BA196" i="3" s="1"/>
  <c r="AZ718" i="9"/>
  <c r="AZ229" i="3"/>
  <c r="BB10" i="3"/>
  <c r="BB151" i="3" s="1"/>
  <c r="AZ732" i="9"/>
  <c r="AZ243" i="3"/>
  <c r="AZ723" i="9"/>
  <c r="AZ234" i="3"/>
  <c r="BA179" i="3"/>
  <c r="BA202" i="3" s="1"/>
  <c r="AZ645" i="9"/>
  <c r="BA174" i="3"/>
  <c r="BA197" i="3" s="1"/>
  <c r="AZ720" i="9"/>
  <c r="AZ231" i="3"/>
  <c r="AZ85" i="20"/>
  <c r="AZ20" i="30" s="1"/>
  <c r="AZ114" i="20"/>
  <c r="AZ729" i="9"/>
  <c r="AZ240" i="3"/>
  <c r="BA178" i="3"/>
  <c r="BA201" i="3" s="1"/>
  <c r="AZ731" i="9"/>
  <c r="AZ242" i="3"/>
  <c r="AZ735" i="9"/>
  <c r="AZ246" i="3"/>
  <c r="AV23" i="32"/>
  <c r="AV112" i="30"/>
  <c r="AV114" i="30"/>
  <c r="BA163" i="3"/>
  <c r="BA186" i="3" s="1"/>
  <c r="AZ44" i="30"/>
  <c r="AZ45" i="30" s="1"/>
  <c r="AZ154" i="20"/>
  <c r="AZ745" i="9"/>
  <c r="AX47" i="30"/>
  <c r="AX38" i="30"/>
  <c r="AZ719" i="9"/>
  <c r="AZ230" i="3"/>
  <c r="BA177" i="3"/>
  <c r="BA200" i="3" s="1"/>
  <c r="AW212" i="30"/>
  <c r="AZ728" i="9"/>
  <c r="AZ239" i="3"/>
  <c r="AZ60" i="20"/>
  <c r="AZ18" i="30" s="1"/>
  <c r="AZ90" i="20"/>
  <c r="AZ21" i="30" s="1"/>
  <c r="AZ23" i="30"/>
  <c r="AZ179" i="20"/>
  <c r="AZ52" i="30"/>
  <c r="AZ54" i="30" s="1"/>
  <c r="AZ41" i="6"/>
  <c r="AZ44" i="6" s="1"/>
  <c r="AZ164" i="20"/>
  <c r="BA167" i="3"/>
  <c r="BA190" i="3" s="1"/>
  <c r="AW94" i="33"/>
  <c r="AX28" i="32"/>
  <c r="AX33" i="32"/>
  <c r="BA4" i="11"/>
  <c r="BA22" i="3"/>
  <c r="BA30" i="3"/>
  <c r="BA16" i="3"/>
  <c r="BA4" i="35"/>
  <c r="BA4" i="33"/>
  <c r="BB4" i="12"/>
  <c r="BA4" i="32"/>
  <c r="BA4" i="30"/>
  <c r="BA4" i="38"/>
  <c r="BA4" i="6"/>
  <c r="BA4" i="9"/>
  <c r="BA4" i="26"/>
  <c r="BA4" i="16"/>
  <c r="BA4" i="22"/>
  <c r="BA4" i="20"/>
  <c r="BA4" i="1"/>
  <c r="BA4" i="28"/>
  <c r="BA20" i="3"/>
  <c r="BA170" i="3"/>
  <c r="BA193" i="3" s="1"/>
  <c r="AZ730" i="9"/>
  <c r="AZ241" i="3"/>
  <c r="AZ726" i="9"/>
  <c r="AZ237" i="3"/>
  <c r="AZ29" i="20"/>
  <c r="AZ14" i="30" s="1"/>
  <c r="BA164" i="3"/>
  <c r="BA187" i="3" s="1"/>
  <c r="BA5" i="11"/>
  <c r="BA59" i="3"/>
  <c r="BA105" i="3" s="1"/>
  <c r="BA51" i="3"/>
  <c r="BA97" i="3" s="1"/>
  <c r="BA60" i="3"/>
  <c r="BA106" i="3" s="1"/>
  <c r="BA47" i="3"/>
  <c r="BA93" i="3" s="1"/>
  <c r="BA55" i="3"/>
  <c r="BA101" i="3" s="1"/>
  <c r="BA50" i="3"/>
  <c r="BA96" i="3" s="1"/>
  <c r="BA62" i="3"/>
  <c r="BA108" i="3" s="1"/>
  <c r="BA58" i="3"/>
  <c r="BA104" i="3" s="1"/>
  <c r="BA56" i="3"/>
  <c r="BA102" i="3" s="1"/>
  <c r="BA54" i="3"/>
  <c r="BA100" i="3" s="1"/>
  <c r="BA52" i="3"/>
  <c r="BA98" i="3" s="1"/>
  <c r="BA46" i="3"/>
  <c r="BA92" i="3" s="1"/>
  <c r="BA57" i="3"/>
  <c r="BA103" i="3" s="1"/>
  <c r="BA63" i="3"/>
  <c r="BA109" i="3" s="1"/>
  <c r="BA61" i="3"/>
  <c r="BA107" i="3" s="1"/>
  <c r="BA64" i="3"/>
  <c r="BA110" i="3" s="1"/>
  <c r="BA48" i="3"/>
  <c r="BA94" i="3" s="1"/>
  <c r="BA49" i="3"/>
  <c r="BA95" i="3" s="1"/>
  <c r="BA53" i="3"/>
  <c r="BA99" i="3" s="1"/>
  <c r="BA45" i="3"/>
  <c r="BA91" i="3" s="1"/>
  <c r="BA5" i="35"/>
  <c r="BA5" i="33"/>
  <c r="BB5" i="12"/>
  <c r="BA5" i="32"/>
  <c r="BA5" i="30"/>
  <c r="BA5" i="38"/>
  <c r="BA5" i="6"/>
  <c r="BA5" i="9"/>
  <c r="BA5" i="26"/>
  <c r="BA5" i="16"/>
  <c r="BA5" i="22"/>
  <c r="BA5" i="20"/>
  <c r="BA5" i="1"/>
  <c r="BA5" i="28"/>
  <c r="BA133" i="3"/>
  <c r="BA129" i="3"/>
  <c r="BA132" i="3"/>
  <c r="BA115" i="3"/>
  <c r="BA118" i="3"/>
  <c r="BA123" i="3"/>
  <c r="BA120" i="3"/>
  <c r="BA125" i="3"/>
  <c r="BA127" i="3"/>
  <c r="BA116" i="3"/>
  <c r="BA121" i="3"/>
  <c r="BA119" i="3"/>
  <c r="BA128" i="3"/>
  <c r="BA114" i="3"/>
  <c r="BA124" i="3"/>
  <c r="BA130" i="3"/>
  <c r="BA126" i="3"/>
  <c r="BA117" i="3"/>
  <c r="BA122" i="3"/>
  <c r="BA131" i="3"/>
  <c r="AZ724" i="9"/>
  <c r="AZ235" i="3"/>
  <c r="AZ725" i="9"/>
  <c r="AZ236" i="3"/>
  <c r="C97" i="23"/>
  <c r="C96" i="23" a="1"/>
  <c r="BA253" i="3" l="1"/>
  <c r="BA276" i="3" s="1"/>
  <c r="BA208" i="3"/>
  <c r="BA254" i="3"/>
  <c r="BA277" i="3" s="1"/>
  <c r="BA81" i="3"/>
  <c r="BA75" i="3"/>
  <c r="AZ753" i="9"/>
  <c r="BA76" i="3"/>
  <c r="BA87" i="3"/>
  <c r="AZ741" i="9"/>
  <c r="AZ758" i="9"/>
  <c r="AZ746" i="9"/>
  <c r="AY156" i="20"/>
  <c r="AY166" i="20" s="1"/>
  <c r="AY257" i="6" s="1"/>
  <c r="AZ754" i="9"/>
  <c r="AZ749" i="9"/>
  <c r="AZ755" i="9"/>
  <c r="BA211" i="3"/>
  <c r="BA257" i="3"/>
  <c r="BA280" i="3" s="1"/>
  <c r="BA216" i="3"/>
  <c r="BA262" i="3"/>
  <c r="BA285" i="3" s="1"/>
  <c r="BA269" i="3"/>
  <c r="BA292" i="3" s="1"/>
  <c r="BA223" i="3"/>
  <c r="BA213" i="3"/>
  <c r="BA259" i="3"/>
  <c r="BA282" i="3" s="1"/>
  <c r="BA210" i="3"/>
  <c r="BA256" i="3"/>
  <c r="BA279" i="3" s="1"/>
  <c r="BA209" i="3"/>
  <c r="BA255" i="3"/>
  <c r="BA278" i="3" s="1"/>
  <c r="BA220" i="3"/>
  <c r="BA266" i="3"/>
  <c r="BA289" i="3" s="1"/>
  <c r="BA712" i="9"/>
  <c r="BA781" i="9" s="1"/>
  <c r="BA704" i="9"/>
  <c r="BA773" i="9" s="1"/>
  <c r="BA796" i="9" s="1"/>
  <c r="BA696" i="9"/>
  <c r="BA765" i="9" s="1"/>
  <c r="BA703" i="9"/>
  <c r="BA772" i="9" s="1"/>
  <c r="BA795" i="9" s="1"/>
  <c r="BA698" i="9"/>
  <c r="BA767" i="9" s="1"/>
  <c r="BA714" i="9"/>
  <c r="BA783" i="9" s="1"/>
  <c r="BA710" i="9"/>
  <c r="BA779" i="9" s="1"/>
  <c r="BA802" i="9" s="1"/>
  <c r="BA708" i="9"/>
  <c r="BA777" i="9" s="1"/>
  <c r="BA705" i="9"/>
  <c r="BA774" i="9" s="1"/>
  <c r="BA695" i="9"/>
  <c r="BA764" i="9" s="1"/>
  <c r="BA787" i="9" s="1"/>
  <c r="BA713" i="9"/>
  <c r="BA782" i="9" s="1"/>
  <c r="BA702" i="9"/>
  <c r="BA771" i="9" s="1"/>
  <c r="BA700" i="9"/>
  <c r="BA769" i="9" s="1"/>
  <c r="BA697" i="9"/>
  <c r="BA766" i="9" s="1"/>
  <c r="BA709" i="9"/>
  <c r="BA778" i="9" s="1"/>
  <c r="BA707" i="9"/>
  <c r="BA776" i="9" s="1"/>
  <c r="BA799" i="9" s="1"/>
  <c r="BA711" i="9"/>
  <c r="BA780" i="9" s="1"/>
  <c r="BA803" i="9" s="1"/>
  <c r="BA706" i="9"/>
  <c r="BA775" i="9" s="1"/>
  <c r="BA798" i="9" s="1"/>
  <c r="BA701" i="9"/>
  <c r="BA770" i="9" s="1"/>
  <c r="BA793" i="9" s="1"/>
  <c r="BA699" i="9"/>
  <c r="BA768" i="9" s="1"/>
  <c r="BA791" i="9" s="1"/>
  <c r="BA18" i="3"/>
  <c r="BA82" i="3"/>
  <c r="BA78" i="3"/>
  <c r="BA225" i="3"/>
  <c r="BA271" i="3"/>
  <c r="BA294" i="3" s="1"/>
  <c r="BB174" i="3"/>
  <c r="BB197" i="3" s="1"/>
  <c r="BB24" i="3"/>
  <c r="BB5" i="3"/>
  <c r="BC8" i="3"/>
  <c r="BB41" i="3"/>
  <c r="BB12" i="3"/>
  <c r="BB3" i="3" s="1"/>
  <c r="BB4" i="3"/>
  <c r="BB149" i="3"/>
  <c r="BA219" i="3"/>
  <c r="BA265" i="3"/>
  <c r="BA288" i="3" s="1"/>
  <c r="BA733" i="9"/>
  <c r="BA244" i="3"/>
  <c r="BA727" i="9"/>
  <c r="BA238" i="3"/>
  <c r="X160" i="26"/>
  <c r="X159" i="26"/>
  <c r="BA74" i="26"/>
  <c r="BA91" i="26"/>
  <c r="BA88" i="26"/>
  <c r="BA138" i="26"/>
  <c r="BA92" i="26"/>
  <c r="BA116" i="26"/>
  <c r="BA90" i="26"/>
  <c r="BA73" i="26"/>
  <c r="BA201" i="26"/>
  <c r="BA196" i="26"/>
  <c r="BA182" i="26"/>
  <c r="BA145" i="26"/>
  <c r="BA66" i="26"/>
  <c r="BA151" i="26"/>
  <c r="BA85" i="26"/>
  <c r="BA95" i="26"/>
  <c r="BA89" i="26"/>
  <c r="BA99" i="26"/>
  <c r="BA71" i="26"/>
  <c r="BA68" i="26"/>
  <c r="BA197" i="26"/>
  <c r="BA202" i="26"/>
  <c r="BA176" i="26"/>
  <c r="BA137" i="26"/>
  <c r="BA118" i="26"/>
  <c r="BA149" i="26"/>
  <c r="BA69" i="26"/>
  <c r="BA175" i="26"/>
  <c r="BA86" i="26"/>
  <c r="BA65" i="26"/>
  <c r="BA143" i="26"/>
  <c r="BA62" i="26"/>
  <c r="BA172" i="26"/>
  <c r="BA185" i="26"/>
  <c r="BA177" i="26"/>
  <c r="BA208" i="26"/>
  <c r="BA111" i="26"/>
  <c r="BA144" i="26"/>
  <c r="BA63" i="26"/>
  <c r="BA171" i="26"/>
  <c r="BA70" i="26"/>
  <c r="BA64" i="26"/>
  <c r="BA124" i="26"/>
  <c r="BA180" i="26"/>
  <c r="BA173" i="26"/>
  <c r="BA198" i="26"/>
  <c r="BA200" i="26"/>
  <c r="BA97" i="26"/>
  <c r="BA119" i="26"/>
  <c r="BA183" i="26"/>
  <c r="BA147" i="26"/>
  <c r="BA181" i="26"/>
  <c r="BA60" i="26"/>
  <c r="BA117" i="26"/>
  <c r="BA209" i="26"/>
  <c r="BA174" i="26"/>
  <c r="BA203" i="26"/>
  <c r="BA141" i="26"/>
  <c r="BA94" i="26"/>
  <c r="BA113" i="26"/>
  <c r="BA150" i="26"/>
  <c r="BA121" i="26"/>
  <c r="BA146" i="26"/>
  <c r="BA123" i="26"/>
  <c r="BA87" i="26"/>
  <c r="BA178" i="26"/>
  <c r="BA207" i="26"/>
  <c r="BA179" i="26"/>
  <c r="BA122" i="26"/>
  <c r="BA72" i="26"/>
  <c r="BA112" i="26"/>
  <c r="BA148" i="26"/>
  <c r="BA120" i="26"/>
  <c r="BA142" i="26"/>
  <c r="BA96" i="26"/>
  <c r="BA67" i="26"/>
  <c r="BA195" i="26"/>
  <c r="BA205" i="26"/>
  <c r="BA206" i="26"/>
  <c r="BA114" i="26"/>
  <c r="BA125" i="26"/>
  <c r="BA98" i="26"/>
  <c r="BA139" i="26"/>
  <c r="BA115" i="26"/>
  <c r="BA140" i="26"/>
  <c r="BA93" i="26"/>
  <c r="BA61" i="26"/>
  <c r="BA199" i="26"/>
  <c r="BA184" i="26"/>
  <c r="BA204" i="26"/>
  <c r="BA69" i="3"/>
  <c r="BA77" i="3"/>
  <c r="BB141" i="3"/>
  <c r="BB139" i="3"/>
  <c r="BB156" i="3"/>
  <c r="BA726" i="9"/>
  <c r="BA237" i="3"/>
  <c r="BA425" i="9"/>
  <c r="BA320" i="9"/>
  <c r="BA273" i="9"/>
  <c r="BA406" i="9"/>
  <c r="BA434" i="9"/>
  <c r="BA415" i="9"/>
  <c r="BA396" i="9"/>
  <c r="BA358" i="9"/>
  <c r="BA311" i="9"/>
  <c r="BA282" i="9"/>
  <c r="BA206" i="9"/>
  <c r="BA178" i="9"/>
  <c r="BA159" i="9"/>
  <c r="BA368" i="9"/>
  <c r="BA339" i="9"/>
  <c r="BA225" i="9"/>
  <c r="BA187" i="9"/>
  <c r="BA349" i="9"/>
  <c r="BA330" i="9"/>
  <c r="BA254" i="9"/>
  <c r="BA216" i="9"/>
  <c r="BA263" i="9"/>
  <c r="BA387" i="9"/>
  <c r="BA292" i="9"/>
  <c r="BA377" i="9"/>
  <c r="BA301" i="9"/>
  <c r="BA111" i="9"/>
  <c r="BA64" i="9"/>
  <c r="BA83" i="9"/>
  <c r="BA121" i="9"/>
  <c r="BA92" i="9"/>
  <c r="BA244" i="9"/>
  <c r="BA140" i="9"/>
  <c r="BA102" i="9"/>
  <c r="BA197" i="9"/>
  <c r="BA168" i="9"/>
  <c r="BA73" i="9"/>
  <c r="BA235" i="9"/>
  <c r="BA130" i="9"/>
  <c r="BA149" i="9"/>
  <c r="BA80" i="3"/>
  <c r="AZ72" i="30"/>
  <c r="AZ74" i="30" s="1"/>
  <c r="BA40" i="6"/>
  <c r="AZ12" i="6"/>
  <c r="BB145" i="3"/>
  <c r="BB142" i="3"/>
  <c r="BB148" i="3"/>
  <c r="AZ759" i="9"/>
  <c r="BA724" i="9"/>
  <c r="BA235" i="3"/>
  <c r="X203" i="6"/>
  <c r="X79" i="6"/>
  <c r="X70" i="6"/>
  <c r="X73" i="6"/>
  <c r="X185" i="6"/>
  <c r="X182" i="6"/>
  <c r="X175" i="6"/>
  <c r="X76" i="6"/>
  <c r="X194" i="6"/>
  <c r="X170" i="6"/>
  <c r="X197" i="6"/>
  <c r="X167" i="6"/>
  <c r="X157" i="6"/>
  <c r="X132" i="6"/>
  <c r="X56" i="6"/>
  <c r="X173" i="6"/>
  <c r="X161" i="6"/>
  <c r="X60" i="6"/>
  <c r="X200" i="6"/>
  <c r="X191" i="6"/>
  <c r="X64" i="6"/>
  <c r="X163" i="6"/>
  <c r="X86" i="6"/>
  <c r="X188" i="6"/>
  <c r="BA83" i="3"/>
  <c r="BA28" i="3"/>
  <c r="BA26" i="3"/>
  <c r="BA72" i="3"/>
  <c r="AZ752" i="9"/>
  <c r="AX136" i="30"/>
  <c r="AX137" i="30" s="1"/>
  <c r="AY256" i="6"/>
  <c r="BB152" i="3"/>
  <c r="BB138" i="3"/>
  <c r="BB155" i="3"/>
  <c r="BA720" i="9"/>
  <c r="BA231" i="3"/>
  <c r="BA79" i="3"/>
  <c r="BA734" i="9"/>
  <c r="BA245" i="3"/>
  <c r="AZ748" i="9"/>
  <c r="BA180" i="20" a="1"/>
  <c r="BA180" i="20" s="1"/>
  <c r="BA162" i="20" a="1"/>
  <c r="BA162" i="20" s="1"/>
  <c r="BA153" i="20" a="1"/>
  <c r="BA153" i="20" s="1"/>
  <c r="BA150" i="20" a="1"/>
  <c r="BA150" i="20" s="1"/>
  <c r="BA41" i="30" s="1"/>
  <c r="BA129" i="20" a="1"/>
  <c r="BA129" i="20" s="1"/>
  <c r="BA127" i="20" a="1"/>
  <c r="BA127" i="20" s="1"/>
  <c r="BA130" i="20" a="1"/>
  <c r="BA130" i="20" s="1"/>
  <c r="BA135" i="20" a="1"/>
  <c r="BA135" i="20" s="1"/>
  <c r="BA137" i="20" s="1"/>
  <c r="BA29" i="30" s="1"/>
  <c r="BA128" i="20" a="1"/>
  <c r="BA128" i="20" s="1"/>
  <c r="BA124" i="20" a="1"/>
  <c r="BA124" i="20" s="1"/>
  <c r="BA123" i="20" a="1"/>
  <c r="BA123" i="20" s="1"/>
  <c r="BA119" i="20" a="1"/>
  <c r="BA119" i="20" s="1"/>
  <c r="BA125" i="20" a="1"/>
  <c r="BA125" i="20" s="1"/>
  <c r="BA120" i="20" a="1"/>
  <c r="BA120" i="20" s="1"/>
  <c r="BA121" i="20" a="1"/>
  <c r="BA121" i="20" s="1"/>
  <c r="BA117" i="20" a="1"/>
  <c r="BA117" i="20" s="1"/>
  <c r="BA122" i="20" a="1"/>
  <c r="BA122" i="20" s="1"/>
  <c r="BA118" i="20" a="1"/>
  <c r="BA118" i="20" s="1"/>
  <c r="BA109" i="20" a="1"/>
  <c r="BA109" i="20" s="1"/>
  <c r="BA105" i="20" a="1"/>
  <c r="BA105" i="20" s="1"/>
  <c r="BA106" i="20" a="1"/>
  <c r="BA106" i="20" s="1"/>
  <c r="BA110" i="20" a="1"/>
  <c r="BA110" i="20" s="1"/>
  <c r="BA111" i="20" a="1"/>
  <c r="BA111" i="20" s="1"/>
  <c r="BA107" i="20" a="1"/>
  <c r="BA107" i="20" s="1"/>
  <c r="BA112" i="20" a="1"/>
  <c r="BA112" i="20" s="1"/>
  <c r="BA108" i="20" a="1"/>
  <c r="BA108" i="20" s="1"/>
  <c r="BA95" i="20" a="1"/>
  <c r="BA95" i="20" s="1"/>
  <c r="BA81" i="20" a="1"/>
  <c r="BA81" i="20" s="1"/>
  <c r="BA77" i="20" a="1"/>
  <c r="BA77" i="20" s="1"/>
  <c r="BA72" i="20" a="1"/>
  <c r="BA72" i="20" s="1"/>
  <c r="BA68" i="20" a="1"/>
  <c r="BA68" i="20" s="1"/>
  <c r="BA64" i="20" a="1"/>
  <c r="BA64" i="20" s="1"/>
  <c r="BA58" i="20" a="1"/>
  <c r="BA58" i="20" s="1"/>
  <c r="BA51" i="20" a="1"/>
  <c r="BA51" i="20" s="1"/>
  <c r="BA82" i="20" a="1"/>
  <c r="BA82" i="20" s="1"/>
  <c r="BA78" i="20" a="1"/>
  <c r="BA78" i="20" s="1"/>
  <c r="BA73" i="20" a="1"/>
  <c r="BA73" i="20" s="1"/>
  <c r="BA69" i="20" a="1"/>
  <c r="BA69" i="20" s="1"/>
  <c r="BA65" i="20" a="1"/>
  <c r="BA65" i="20" s="1"/>
  <c r="BA54" i="20" a="1"/>
  <c r="BA54" i="20" s="1"/>
  <c r="BA52" i="20" a="1"/>
  <c r="BA52" i="20" s="1"/>
  <c r="BA44" i="20" a="1"/>
  <c r="BA44" i="20" s="1"/>
  <c r="BA36" i="20" a="1"/>
  <c r="BA36" i="20" s="1"/>
  <c r="BA30" i="20" a="1"/>
  <c r="BA30" i="20" s="1"/>
  <c r="BA28" i="20" a="1"/>
  <c r="BA28" i="20" s="1"/>
  <c r="BA20" i="20" a="1"/>
  <c r="BA20" i="20" s="1"/>
  <c r="BA14" i="20" a="1"/>
  <c r="BA14" i="20" s="1"/>
  <c r="BA12" i="20" a="1"/>
  <c r="BA12" i="20" s="1"/>
  <c r="BA45" i="20" a="1"/>
  <c r="BA45" i="20" s="1"/>
  <c r="BA39" i="20" a="1"/>
  <c r="BA39" i="20" s="1"/>
  <c r="BA59" i="20" a="1"/>
  <c r="BA59" i="20" s="1"/>
  <c r="BA37" i="20" a="1"/>
  <c r="BA37" i="20" s="1"/>
  <c r="BA93" i="20" a="1"/>
  <c r="BA93" i="20" s="1"/>
  <c r="BA88" i="20" a="1"/>
  <c r="BA88" i="20" s="1"/>
  <c r="BA83" i="20" a="1"/>
  <c r="BA83" i="20" s="1"/>
  <c r="BA79" i="20" a="1"/>
  <c r="BA79" i="20" s="1"/>
  <c r="BA70" i="20" a="1"/>
  <c r="BA70" i="20" s="1"/>
  <c r="BA66" i="20" a="1"/>
  <c r="BA66" i="20" s="1"/>
  <c r="BA47" i="20" a="1"/>
  <c r="BA47" i="20" s="1"/>
  <c r="BA61" i="20" a="1"/>
  <c r="BA61" i="20" s="1"/>
  <c r="BA57" i="20" a="1"/>
  <c r="BA57" i="20" s="1"/>
  <c r="BA94" i="20" a="1"/>
  <c r="BA94" i="20" s="1"/>
  <c r="BA89" i="20" a="1"/>
  <c r="BA89" i="20" s="1"/>
  <c r="BA84" i="20" a="1"/>
  <c r="BA84" i="20" s="1"/>
  <c r="BA80" i="20" a="1"/>
  <c r="BA80" i="20" s="1"/>
  <c r="BA71" i="20" a="1"/>
  <c r="BA71" i="20" s="1"/>
  <c r="BA67" i="20" a="1"/>
  <c r="BA67" i="20" s="1"/>
  <c r="BA50" i="20" a="1"/>
  <c r="BA50" i="20" s="1"/>
  <c r="BA98" i="20" a="1"/>
  <c r="BA98" i="20" s="1"/>
  <c r="BA100" i="20" s="1"/>
  <c r="BA24" i="20" a="1"/>
  <c r="BA24" i="20" s="1"/>
  <c r="BA21" i="20" a="1"/>
  <c r="BA21" i="20" s="1"/>
  <c r="BA17" i="20" a="1"/>
  <c r="BA17" i="20" s="1"/>
  <c r="BA42" i="20" a="1"/>
  <c r="BA42" i="20" s="1"/>
  <c r="BA22" i="20" a="1"/>
  <c r="BA22" i="20" s="1"/>
  <c r="BA19" i="20" a="1"/>
  <c r="BA19" i="20" s="1"/>
  <c r="BA18" i="20" a="1"/>
  <c r="BA18" i="20" s="1"/>
  <c r="BA33" i="20" a="1"/>
  <c r="BA33" i="20" s="1"/>
  <c r="BA43" i="20" a="1"/>
  <c r="BA43" i="20" s="1"/>
  <c r="BA35" i="20" a="1"/>
  <c r="BA35" i="20" s="1"/>
  <c r="BA34" i="20" a="1"/>
  <c r="BA34" i="20" s="1"/>
  <c r="BA27" i="20" a="1"/>
  <c r="BA27" i="20" s="1"/>
  <c r="BA11" i="20" a="1"/>
  <c r="BA11" i="20" s="1"/>
  <c r="AZ751" i="9"/>
  <c r="AZ742" i="9"/>
  <c r="AZ27" i="30"/>
  <c r="AZ30" i="30" s="1"/>
  <c r="AZ139" i="20"/>
  <c r="BB153" i="3"/>
  <c r="BB144" i="3"/>
  <c r="BB154" i="3"/>
  <c r="AZ756" i="9"/>
  <c r="BA68" i="3"/>
  <c r="BA71" i="3"/>
  <c r="BA729" i="9"/>
  <c r="BA240" i="3"/>
  <c r="BA84" i="3"/>
  <c r="BB137" i="3"/>
  <c r="BB140" i="3"/>
  <c r="AZ13" i="30"/>
  <c r="AZ24" i="30" s="1"/>
  <c r="AZ102" i="20"/>
  <c r="BA73" i="3"/>
  <c r="BA730" i="9"/>
  <c r="BA241" i="3"/>
  <c r="BA224" i="3"/>
  <c r="BA270" i="3"/>
  <c r="BA293" i="3" s="1"/>
  <c r="BB147" i="3"/>
  <c r="BA718" i="9"/>
  <c r="BA229" i="3"/>
  <c r="AY47" i="30"/>
  <c r="AY38" i="30"/>
  <c r="BA719" i="9"/>
  <c r="BA230" i="3"/>
  <c r="BA86" i="3"/>
  <c r="AX54" i="33"/>
  <c r="AX148" i="30"/>
  <c r="AX180" i="30" s="1"/>
  <c r="AX56" i="30"/>
  <c r="AX58" i="30" s="1"/>
  <c r="BA74" i="3"/>
  <c r="BA85" i="3"/>
  <c r="BB143" i="3"/>
  <c r="AZ747" i="9"/>
  <c r="AW96" i="33"/>
  <c r="AW101" i="33" s="1"/>
  <c r="AW104" i="33" s="1"/>
  <c r="AX211" i="30"/>
  <c r="AW214" i="30"/>
  <c r="AW217" i="30" s="1"/>
  <c r="AW83" i="6"/>
  <c r="AZ743" i="9"/>
  <c r="BA70" i="3"/>
  <c r="BB146" i="3"/>
  <c r="BB150" i="3"/>
  <c r="AZ77" i="33"/>
  <c r="AZ195" i="30"/>
  <c r="AZ78" i="33" s="1"/>
  <c r="AY28" i="32"/>
  <c r="AY33" i="32"/>
  <c r="C96" i="23"/>
  <c r="C95" i="23" a="1"/>
  <c r="BA788" i="9" l="1"/>
  <c r="BA801" i="9"/>
  <c r="BA789" i="9"/>
  <c r="BA60" i="20"/>
  <c r="BA18" i="30" s="1"/>
  <c r="AZ80" i="33"/>
  <c r="BA53" i="20"/>
  <c r="BA17" i="30" s="1"/>
  <c r="BA792" i="9"/>
  <c r="BA757" i="9"/>
  <c r="BA794" i="9"/>
  <c r="BA797" i="9"/>
  <c r="BA820" i="9" s="1"/>
  <c r="BA13" i="20"/>
  <c r="BA800" i="9"/>
  <c r="BA750" i="9"/>
  <c r="BA790" i="9"/>
  <c r="BA38" i="20"/>
  <c r="BA15" i="30" s="1"/>
  <c r="AZ141" i="20"/>
  <c r="AZ146" i="20" s="1"/>
  <c r="AZ156" i="20" s="1"/>
  <c r="AZ166" i="20" s="1"/>
  <c r="AY170" i="20"/>
  <c r="AY60" i="30" s="1"/>
  <c r="BA96" i="20"/>
  <c r="BA175" i="20" s="1"/>
  <c r="BA743" i="9"/>
  <c r="BA752" i="9"/>
  <c r="BA804" i="9"/>
  <c r="BA827" i="9" s="1"/>
  <c r="BA806" i="9"/>
  <c r="BA829" i="9" s="1"/>
  <c r="BA114" i="20"/>
  <c r="BA27" i="30" s="1"/>
  <c r="AY259" i="6"/>
  <c r="AY136" i="30" s="1"/>
  <c r="AY137" i="30" s="1"/>
  <c r="BB177" i="3"/>
  <c r="BB200" i="3" s="1"/>
  <c r="BB173" i="3"/>
  <c r="BB196" i="3" s="1"/>
  <c r="AW19" i="32"/>
  <c r="AW85" i="30"/>
  <c r="AW88" i="30" s="1"/>
  <c r="AW14" i="6"/>
  <c r="BA736" i="9"/>
  <c r="BA247" i="3"/>
  <c r="BB160" i="3"/>
  <c r="BB183" i="3" s="1"/>
  <c r="BA90" i="20"/>
  <c r="BA21" i="30" s="1"/>
  <c r="BB161" i="3"/>
  <c r="BB184" i="3" s="1"/>
  <c r="X108" i="30"/>
  <c r="BZ200" i="6"/>
  <c r="BZ108" i="30" s="1"/>
  <c r="X94" i="30"/>
  <c r="BZ132" i="6"/>
  <c r="BZ94" i="30" s="1"/>
  <c r="X102" i="33"/>
  <c r="X215" i="30"/>
  <c r="X84" i="30"/>
  <c r="BZ79" i="6"/>
  <c r="BB164" i="3"/>
  <c r="BB187" i="3" s="1"/>
  <c r="X47" i="6"/>
  <c r="DC160" i="26"/>
  <c r="BZ160" i="26"/>
  <c r="BA731" i="9"/>
  <c r="BA242" i="3"/>
  <c r="BA85" i="20"/>
  <c r="BA20" i="30" s="1"/>
  <c r="BB175" i="3"/>
  <c r="BB198" i="3" s="1"/>
  <c r="X97" i="30"/>
  <c r="BZ163" i="6"/>
  <c r="BZ97" i="30" s="1"/>
  <c r="X79" i="30"/>
  <c r="BZ60" i="6"/>
  <c r="BZ79" i="30" s="1"/>
  <c r="X96" i="30"/>
  <c r="BZ157" i="6"/>
  <c r="BZ96" i="30" s="1"/>
  <c r="X102" i="30"/>
  <c r="BZ182" i="6"/>
  <c r="BZ102" i="30" s="1"/>
  <c r="BZ172" i="30" s="1"/>
  <c r="X109" i="30"/>
  <c r="BZ203" i="6"/>
  <c r="BZ109" i="30" s="1"/>
  <c r="BZ166" i="30" s="1"/>
  <c r="BB171" i="3"/>
  <c r="BB194" i="3" s="1"/>
  <c r="BB172" i="3"/>
  <c r="BB195" i="3" s="1"/>
  <c r="BB220" i="3"/>
  <c r="BB266" i="3"/>
  <c r="BB289" i="3" s="1"/>
  <c r="BA725" i="9"/>
  <c r="BA236" i="3"/>
  <c r="AX82" i="35"/>
  <c r="AX67" i="33"/>
  <c r="AX69" i="33" s="1"/>
  <c r="AX27" i="32"/>
  <c r="AX31" i="32"/>
  <c r="AX208" i="30"/>
  <c r="AX92" i="33" s="1"/>
  <c r="BA753" i="9"/>
  <c r="BA194" i="30"/>
  <c r="BA179" i="30"/>
  <c r="BA65" i="33" s="1"/>
  <c r="X80" i="30"/>
  <c r="BZ64" i="6"/>
  <c r="BZ80" i="30" s="1"/>
  <c r="X164" i="6"/>
  <c r="BZ161" i="6"/>
  <c r="X103" i="30"/>
  <c r="BZ185" i="6"/>
  <c r="BZ103" i="30" s="1"/>
  <c r="BZ173" i="30" s="1"/>
  <c r="BB165" i="3"/>
  <c r="BB188" i="3" s="1"/>
  <c r="BB4" i="11"/>
  <c r="BB22" i="3"/>
  <c r="BB16" i="3"/>
  <c r="BB30" i="3"/>
  <c r="BB4" i="35"/>
  <c r="BB4" i="33"/>
  <c r="BC4" i="12"/>
  <c r="BB4" i="32"/>
  <c r="BB4" i="30"/>
  <c r="BB4" i="38"/>
  <c r="BB4" i="6"/>
  <c r="BB4" i="9"/>
  <c r="BB4" i="26"/>
  <c r="BB4" i="16"/>
  <c r="BB4" i="22"/>
  <c r="BB4" i="20"/>
  <c r="BB4" i="1"/>
  <c r="BB4" i="28"/>
  <c r="BB20" i="3"/>
  <c r="BA735" i="9"/>
  <c r="BA246" i="3"/>
  <c r="BA23" i="30"/>
  <c r="BA179" i="20"/>
  <c r="BA24" i="32"/>
  <c r="BA25" i="32" s="1"/>
  <c r="BA24" i="35" s="1"/>
  <c r="X99" i="30"/>
  <c r="BZ170" i="6"/>
  <c r="BZ99" i="30" s="1"/>
  <c r="X82" i="30"/>
  <c r="BZ73" i="6"/>
  <c r="BZ82" i="30" s="1"/>
  <c r="BZ167" i="30" s="1"/>
  <c r="BB168" i="3"/>
  <c r="BB191" i="3" s="1"/>
  <c r="BA805" i="9"/>
  <c r="BA828" i="9" s="1"/>
  <c r="BA756" i="9"/>
  <c r="BB3" i="11"/>
  <c r="BB14" i="3"/>
  <c r="BB3" i="35"/>
  <c r="BB3" i="33"/>
  <c r="BC3" i="12"/>
  <c r="BB3" i="32"/>
  <c r="BB3" i="30"/>
  <c r="BB3" i="38"/>
  <c r="BB3" i="6"/>
  <c r="BB3" i="9"/>
  <c r="BB3" i="26"/>
  <c r="BB3" i="16"/>
  <c r="BB3" i="22"/>
  <c r="BB3" i="20"/>
  <c r="BB3" i="1"/>
  <c r="BB3" i="28"/>
  <c r="BB37" i="3"/>
  <c r="BA737" i="9"/>
  <c r="BA248" i="3"/>
  <c r="BA732" i="9"/>
  <c r="BA243" i="3"/>
  <c r="AY54" i="33"/>
  <c r="AY148" i="30"/>
  <c r="AY180" i="30" s="1"/>
  <c r="AY56" i="30"/>
  <c r="AY58" i="30" s="1"/>
  <c r="BA44" i="30"/>
  <c r="BA45" i="30" s="1"/>
  <c r="BA154" i="20"/>
  <c r="BB169" i="3"/>
  <c r="BB192" i="3" s="1"/>
  <c r="BA52" i="30"/>
  <c r="BA54" i="30" s="1"/>
  <c r="BA41" i="6"/>
  <c r="BA44" i="6" s="1"/>
  <c r="BA164" i="20"/>
  <c r="X105" i="30"/>
  <c r="BZ191" i="6"/>
  <c r="BZ105" i="30" s="1"/>
  <c r="BZ170" i="30" s="1"/>
  <c r="BB170" i="3"/>
  <c r="BB193" i="3" s="1"/>
  <c r="AZ14" i="32"/>
  <c r="AZ32" i="30"/>
  <c r="AZ36" i="30" s="1"/>
  <c r="BA29" i="20"/>
  <c r="BA14" i="30" s="1"/>
  <c r="BA46" i="20"/>
  <c r="BA16" i="30" s="1"/>
  <c r="BA131" i="20"/>
  <c r="BA132" i="20" s="1"/>
  <c r="BA28" i="30" s="1"/>
  <c r="BA26" i="32" s="1"/>
  <c r="BA25" i="35" s="1"/>
  <c r="X104" i="30"/>
  <c r="BZ188" i="6"/>
  <c r="BZ104" i="30" s="1"/>
  <c r="X98" i="30"/>
  <c r="BZ167" i="6"/>
  <c r="BZ98" i="30" s="1"/>
  <c r="X83" i="30"/>
  <c r="BZ76" i="6"/>
  <c r="BZ83" i="30" s="1"/>
  <c r="BZ168" i="30" s="1"/>
  <c r="BA749" i="9"/>
  <c r="BC10" i="3"/>
  <c r="BC144" i="3" s="1"/>
  <c r="BA721" i="9"/>
  <c r="BA232" i="3"/>
  <c r="BA728" i="9"/>
  <c r="BA239" i="3"/>
  <c r="BA741" i="9"/>
  <c r="BB176" i="3"/>
  <c r="BB199" i="3" s="1"/>
  <c r="X106" i="30"/>
  <c r="BZ194" i="6"/>
  <c r="X144" i="1"/>
  <c r="BA23" i="20"/>
  <c r="BA74" i="20"/>
  <c r="BA19" i="30" s="1"/>
  <c r="X103" i="33"/>
  <c r="X216" i="30"/>
  <c r="X191" i="30"/>
  <c r="X86" i="30"/>
  <c r="BZ86" i="6"/>
  <c r="X176" i="6"/>
  <c r="BZ173" i="6"/>
  <c r="X100" i="30"/>
  <c r="BZ175" i="6"/>
  <c r="BZ100" i="30" s="1"/>
  <c r="BZ21" i="35" s="1"/>
  <c r="BB179" i="3"/>
  <c r="BB202" i="3" s="1"/>
  <c r="BB5" i="11"/>
  <c r="BB62" i="3"/>
  <c r="BB108" i="3" s="1"/>
  <c r="BB54" i="3"/>
  <c r="BB100" i="3" s="1"/>
  <c r="BB46" i="3"/>
  <c r="BB92" i="3" s="1"/>
  <c r="BB55" i="3"/>
  <c r="BB101" i="3" s="1"/>
  <c r="BB50" i="3"/>
  <c r="BB96" i="3" s="1"/>
  <c r="BB63" i="3"/>
  <c r="BB109" i="3" s="1"/>
  <c r="BB58" i="3"/>
  <c r="BB57" i="3"/>
  <c r="BB103" i="3" s="1"/>
  <c r="BB52" i="3"/>
  <c r="BB59" i="3"/>
  <c r="BB105" i="3" s="1"/>
  <c r="BB61" i="3"/>
  <c r="BB107" i="3" s="1"/>
  <c r="BB60" i="3"/>
  <c r="BB106" i="3" s="1"/>
  <c r="BB64" i="3"/>
  <c r="BB47" i="3"/>
  <c r="BB93" i="3" s="1"/>
  <c r="BB48" i="3"/>
  <c r="BB94" i="3" s="1"/>
  <c r="BB49" i="3"/>
  <c r="BB95" i="3" s="1"/>
  <c r="BB53" i="3"/>
  <c r="BB51" i="3"/>
  <c r="BB97" i="3" s="1"/>
  <c r="BB45" i="3"/>
  <c r="BB91" i="3" s="1"/>
  <c r="BB56" i="3"/>
  <c r="BB102" i="3" s="1"/>
  <c r="BB5" i="35"/>
  <c r="BB5" i="33"/>
  <c r="BC5" i="12"/>
  <c r="BB5" i="32"/>
  <c r="BB5" i="30"/>
  <c r="BB5" i="38"/>
  <c r="BB5" i="6"/>
  <c r="BB5" i="9"/>
  <c r="BB5" i="26"/>
  <c r="BB5" i="16"/>
  <c r="BB5" i="22"/>
  <c r="BB5" i="20"/>
  <c r="BB5" i="1"/>
  <c r="BB5" i="28"/>
  <c r="BB114" i="3"/>
  <c r="BB115" i="3"/>
  <c r="BB121" i="3"/>
  <c r="BB125" i="3"/>
  <c r="BB123" i="3"/>
  <c r="BB117" i="3"/>
  <c r="BB132" i="3"/>
  <c r="BB120" i="3"/>
  <c r="BB119" i="3"/>
  <c r="BB133" i="3"/>
  <c r="BB127" i="3"/>
  <c r="BB126" i="3"/>
  <c r="BB116" i="3"/>
  <c r="BB128" i="3"/>
  <c r="BB130" i="3"/>
  <c r="BB124" i="3"/>
  <c r="BB118" i="3"/>
  <c r="BB129" i="3"/>
  <c r="BB122" i="3"/>
  <c r="BB131" i="3"/>
  <c r="BA821" i="9"/>
  <c r="BA822" i="9"/>
  <c r="BA814" i="9"/>
  <c r="BA823" i="9"/>
  <c r="BA812" i="9"/>
  <c r="BA818" i="9"/>
  <c r="BA816" i="9"/>
  <c r="BA815" i="9"/>
  <c r="BA813" i="9"/>
  <c r="BA817" i="9"/>
  <c r="BA811" i="9"/>
  <c r="BA810" i="9"/>
  <c r="BA819" i="9"/>
  <c r="BA826" i="9"/>
  <c r="BA825" i="9"/>
  <c r="BA824" i="9"/>
  <c r="BB167" i="3"/>
  <c r="BB190" i="3" s="1"/>
  <c r="BB166" i="3"/>
  <c r="BB189" i="3" s="1"/>
  <c r="BA742" i="9"/>
  <c r="BB163" i="3"/>
  <c r="BB186" i="3" s="1"/>
  <c r="BA25" i="30"/>
  <c r="BB178" i="3"/>
  <c r="BB201" i="3" s="1"/>
  <c r="X78" i="30"/>
  <c r="BZ56" i="6"/>
  <c r="BZ78" i="30" s="1"/>
  <c r="X107" i="30"/>
  <c r="BZ197" i="6"/>
  <c r="BZ107" i="30" s="1"/>
  <c r="BZ171" i="30" s="1"/>
  <c r="X81" i="30"/>
  <c r="BZ70" i="6"/>
  <c r="Y67" i="6"/>
  <c r="BA747" i="9"/>
  <c r="BB80" i="3"/>
  <c r="BA645" i="9"/>
  <c r="BB162" i="3"/>
  <c r="BB185" i="3" s="1"/>
  <c r="X89" i="6"/>
  <c r="X161" i="26"/>
  <c r="BZ159" i="26"/>
  <c r="DC159" i="26"/>
  <c r="BA722" i="9"/>
  <c r="BA233" i="3"/>
  <c r="BA723" i="9"/>
  <c r="BA234" i="3"/>
  <c r="C95" i="23"/>
  <c r="C94" i="23" a="1"/>
  <c r="AZ174" i="20" l="1"/>
  <c r="AZ181" i="20" s="1"/>
  <c r="AZ62" i="30" s="1"/>
  <c r="BA22" i="30"/>
  <c r="BC149" i="3"/>
  <c r="BC141" i="3"/>
  <c r="BC164" i="3" s="1"/>
  <c r="BC187" i="3" s="1"/>
  <c r="BC152" i="3"/>
  <c r="BC150" i="3"/>
  <c r="BC147" i="3"/>
  <c r="BC170" i="3" s="1"/>
  <c r="BC193" i="3" s="1"/>
  <c r="BC137" i="3"/>
  <c r="BC153" i="3"/>
  <c r="BC148" i="3"/>
  <c r="BC139" i="3"/>
  <c r="BC143" i="3"/>
  <c r="BC142" i="3"/>
  <c r="BZ164" i="6"/>
  <c r="BZ122" i="30" s="1"/>
  <c r="BA102" i="20"/>
  <c r="BC145" i="3"/>
  <c r="BC168" i="3" s="1"/>
  <c r="BC191" i="3" s="1"/>
  <c r="BC154" i="3"/>
  <c r="BC177" i="3" s="1"/>
  <c r="BC200" i="3" s="1"/>
  <c r="BC146" i="3"/>
  <c r="BC155" i="3"/>
  <c r="BC178" i="3" s="1"/>
  <c r="BC201" i="3" s="1"/>
  <c r="BC151" i="3"/>
  <c r="BC174" i="3" s="1"/>
  <c r="BC197" i="3" s="1"/>
  <c r="BA751" i="9"/>
  <c r="AZ256" i="6"/>
  <c r="BA746" i="9"/>
  <c r="BA744" i="9"/>
  <c r="BA755" i="9"/>
  <c r="BA745" i="9"/>
  <c r="BA748" i="9"/>
  <c r="BB217" i="3"/>
  <c r="BB263" i="3"/>
  <c r="BB286" i="3" s="1"/>
  <c r="BB252" i="3"/>
  <c r="BB275" i="3" s="1"/>
  <c r="BB206" i="3"/>
  <c r="BB260" i="3"/>
  <c r="BB283" i="3" s="1"/>
  <c r="BB214" i="3"/>
  <c r="BB257" i="3"/>
  <c r="BB280" i="3" s="1"/>
  <c r="BB211" i="3"/>
  <c r="BB221" i="3"/>
  <c r="BB267" i="3"/>
  <c r="BB290" i="3" s="1"/>
  <c r="BB261" i="3"/>
  <c r="BB284" i="3" s="1"/>
  <c r="BB215" i="3"/>
  <c r="BB253" i="3"/>
  <c r="BB276" i="3" s="1"/>
  <c r="BB207" i="3"/>
  <c r="BB219" i="3"/>
  <c r="BB265" i="3"/>
  <c r="BB288" i="3" s="1"/>
  <c r="BB258" i="3"/>
  <c r="BB281" i="3" s="1"/>
  <c r="BB212" i="3"/>
  <c r="BB269" i="3"/>
  <c r="BB292" i="3" s="1"/>
  <c r="BB223" i="3"/>
  <c r="BZ81" i="30"/>
  <c r="CW81" i="30" s="1"/>
  <c r="CA67" i="6"/>
  <c r="CS67" i="6" s="1"/>
  <c r="A67" i="6" s="1" a="1"/>
  <c r="A67" i="6" s="1"/>
  <c r="BB255" i="3"/>
  <c r="BB278" i="3" s="1"/>
  <c r="BB209" i="3"/>
  <c r="BB99" i="3"/>
  <c r="BB76" i="3"/>
  <c r="BB98" i="3"/>
  <c r="BB75" i="3"/>
  <c r="X123" i="30"/>
  <c r="BB72" i="3"/>
  <c r="X144" i="20"/>
  <c r="X178" i="20" s="1"/>
  <c r="X178" i="1"/>
  <c r="BC175" i="3"/>
  <c r="BC198" i="3" s="1"/>
  <c r="BA13" i="30"/>
  <c r="BA24" i="30" s="1"/>
  <c r="X167" i="30"/>
  <c r="CW82" i="30"/>
  <c r="CT82" i="30"/>
  <c r="BB180" i="20" a="1"/>
  <c r="BB180" i="20" s="1"/>
  <c r="BB162" i="20" a="1"/>
  <c r="BB162" i="20" s="1"/>
  <c r="BB153" i="20" a="1"/>
  <c r="BB153" i="20" s="1"/>
  <c r="BB150" i="20" a="1"/>
  <c r="BB150" i="20" s="1"/>
  <c r="BB41" i="30" s="1"/>
  <c r="BB135" i="20" a="1"/>
  <c r="BB135" i="20" s="1"/>
  <c r="BB137" i="20" s="1"/>
  <c r="BB29" i="30" s="1"/>
  <c r="BB128" i="20" a="1"/>
  <c r="BB128" i="20" s="1"/>
  <c r="BB127" i="20" a="1"/>
  <c r="BB127" i="20" s="1"/>
  <c r="BB129" i="20" a="1"/>
  <c r="BB129" i="20" s="1"/>
  <c r="BB130" i="20" a="1"/>
  <c r="BB130" i="20" s="1"/>
  <c r="BB125" i="20" a="1"/>
  <c r="BB125" i="20" s="1"/>
  <c r="BB120" i="20" a="1"/>
  <c r="BB120" i="20" s="1"/>
  <c r="BB121" i="20" a="1"/>
  <c r="BB121" i="20" s="1"/>
  <c r="BB117" i="20" a="1"/>
  <c r="BB117" i="20" s="1"/>
  <c r="BB122" i="20" a="1"/>
  <c r="BB122" i="20" s="1"/>
  <c r="BB118" i="20" a="1"/>
  <c r="BB118" i="20" s="1"/>
  <c r="BB124" i="20" a="1"/>
  <c r="BB124" i="20" s="1"/>
  <c r="BB123" i="20" a="1"/>
  <c r="BB123" i="20" s="1"/>
  <c r="BB119" i="20" a="1"/>
  <c r="BB119" i="20" s="1"/>
  <c r="BB110" i="20" a="1"/>
  <c r="BB110" i="20" s="1"/>
  <c r="BB106" i="20" a="1"/>
  <c r="BB106" i="20" s="1"/>
  <c r="BB111" i="20" a="1"/>
  <c r="BB111" i="20" s="1"/>
  <c r="BB107" i="20" a="1"/>
  <c r="BB107" i="20" s="1"/>
  <c r="BB112" i="20" a="1"/>
  <c r="BB112" i="20" s="1"/>
  <c r="BB108" i="20" a="1"/>
  <c r="BB108" i="20" s="1"/>
  <c r="BB105" i="20" a="1"/>
  <c r="BB105" i="20" s="1"/>
  <c r="BB109" i="20" a="1"/>
  <c r="BB109" i="20" s="1"/>
  <c r="BB82" i="20" a="1"/>
  <c r="BB82" i="20" s="1"/>
  <c r="BB78" i="20" a="1"/>
  <c r="BB78" i="20" s="1"/>
  <c r="BB73" i="20" a="1"/>
  <c r="BB73" i="20" s="1"/>
  <c r="BB69" i="20" a="1"/>
  <c r="BB69" i="20" s="1"/>
  <c r="BB65" i="20" a="1"/>
  <c r="BB65" i="20" s="1"/>
  <c r="BB54" i="20" a="1"/>
  <c r="BB54" i="20" s="1"/>
  <c r="BB52" i="20" a="1"/>
  <c r="BB52" i="20" s="1"/>
  <c r="BB59" i="20" a="1"/>
  <c r="BB59" i="20" s="1"/>
  <c r="BB93" i="20" a="1"/>
  <c r="BB93" i="20" s="1"/>
  <c r="BB88" i="20" a="1"/>
  <c r="BB88" i="20" s="1"/>
  <c r="BB83" i="20" a="1"/>
  <c r="BB83" i="20" s="1"/>
  <c r="BB79" i="20" a="1"/>
  <c r="BB79" i="20" s="1"/>
  <c r="BB70" i="20" a="1"/>
  <c r="BB70" i="20" s="1"/>
  <c r="BB66" i="20" a="1"/>
  <c r="BB66" i="20" s="1"/>
  <c r="BB47" i="20" a="1"/>
  <c r="BB47" i="20" s="1"/>
  <c r="BB45" i="20" a="1"/>
  <c r="BB45" i="20" s="1"/>
  <c r="BB39" i="20" a="1"/>
  <c r="BB39" i="20" s="1"/>
  <c r="BB37" i="20" a="1"/>
  <c r="BB37" i="20" s="1"/>
  <c r="BB33" i="20" a="1"/>
  <c r="BB33" i="20" s="1"/>
  <c r="BB21" i="20" a="1"/>
  <c r="BB21" i="20" s="1"/>
  <c r="BB17" i="20" a="1"/>
  <c r="BB17" i="20" s="1"/>
  <c r="BB61" i="20" a="1"/>
  <c r="BB61" i="20" s="1"/>
  <c r="BB57" i="20" a="1"/>
  <c r="BB57" i="20" s="1"/>
  <c r="BB42" i="20" a="1"/>
  <c r="BB42" i="20" s="1"/>
  <c r="BB94" i="20" a="1"/>
  <c r="BB94" i="20" s="1"/>
  <c r="BB89" i="20" a="1"/>
  <c r="BB89" i="20" s="1"/>
  <c r="BB84" i="20" a="1"/>
  <c r="BB84" i="20" s="1"/>
  <c r="BB80" i="20" a="1"/>
  <c r="BB80" i="20" s="1"/>
  <c r="BB71" i="20" a="1"/>
  <c r="BB71" i="20" s="1"/>
  <c r="BB67" i="20" a="1"/>
  <c r="BB67" i="20" s="1"/>
  <c r="BB50" i="20" a="1"/>
  <c r="BB50" i="20" s="1"/>
  <c r="BB98" i="20" a="1"/>
  <c r="BB98" i="20" s="1"/>
  <c r="BB100" i="20" s="1"/>
  <c r="BB95" i="20" a="1"/>
  <c r="BB95" i="20" s="1"/>
  <c r="BB81" i="20" a="1"/>
  <c r="BB81" i="20" s="1"/>
  <c r="BB77" i="20" a="1"/>
  <c r="BB77" i="20" s="1"/>
  <c r="BB72" i="20" a="1"/>
  <c r="BB72" i="20" s="1"/>
  <c r="BB68" i="20" a="1"/>
  <c r="BB68" i="20" s="1"/>
  <c r="BB64" i="20" a="1"/>
  <c r="BB64" i="20" s="1"/>
  <c r="BB58" i="20" a="1"/>
  <c r="BB58" i="20" s="1"/>
  <c r="BB51" i="20" a="1"/>
  <c r="BB51" i="20" s="1"/>
  <c r="BB44" i="20" a="1"/>
  <c r="BB44" i="20" s="1"/>
  <c r="BB18" i="20" a="1"/>
  <c r="BB18" i="20" s="1"/>
  <c r="BB36" i="20" a="1"/>
  <c r="BB36" i="20" s="1"/>
  <c r="BB28" i="20" a="1"/>
  <c r="BB28" i="20" s="1"/>
  <c r="BB30" i="20" a="1"/>
  <c r="BB30" i="20" s="1"/>
  <c r="BB19" i="20" a="1"/>
  <c r="BB19" i="20" s="1"/>
  <c r="BB12" i="20" a="1"/>
  <c r="BB12" i="20" s="1"/>
  <c r="BB34" i="20" a="1"/>
  <c r="BB34" i="20" s="1"/>
  <c r="BB43" i="20" a="1"/>
  <c r="BB43" i="20" s="1"/>
  <c r="BB35" i="20" a="1"/>
  <c r="BB35" i="20" s="1"/>
  <c r="BB27" i="20" a="1"/>
  <c r="BB27" i="20" s="1"/>
  <c r="BB24" i="20" a="1"/>
  <c r="BB24" i="20" s="1"/>
  <c r="BB20" i="20" a="1"/>
  <c r="BB20" i="20" s="1"/>
  <c r="BB11" i="20" a="1"/>
  <c r="BB11" i="20" s="1"/>
  <c r="BB22" i="20" a="1"/>
  <c r="BB22" i="20" s="1"/>
  <c r="BB14" i="20" a="1"/>
  <c r="BB14" i="20" s="1"/>
  <c r="CT80" i="30"/>
  <c r="CW80" i="30"/>
  <c r="BB264" i="3"/>
  <c r="BB287" i="3" s="1"/>
  <c r="BB218" i="3"/>
  <c r="CT97" i="30"/>
  <c r="CW97" i="30"/>
  <c r="BB85" i="3"/>
  <c r="BZ106" i="30"/>
  <c r="BZ169" i="30" s="1"/>
  <c r="BZ144" i="1"/>
  <c r="BC41" i="3"/>
  <c r="BD8" i="3"/>
  <c r="BC5" i="3"/>
  <c r="BC12" i="3"/>
  <c r="BC3" i="3" s="1"/>
  <c r="BC24" i="3"/>
  <c r="BC4" i="3"/>
  <c r="BZ18" i="35"/>
  <c r="BZ19" i="35" s="1"/>
  <c r="X170" i="30"/>
  <c r="CT105" i="30"/>
  <c r="CW105" i="30"/>
  <c r="BB69" i="3"/>
  <c r="BB77" i="3"/>
  <c r="BB83" i="3"/>
  <c r="BA754" i="9"/>
  <c r="CT94" i="30"/>
  <c r="CW94" i="30"/>
  <c r="BB68" i="3"/>
  <c r="BB104" i="3"/>
  <c r="BB81" i="3"/>
  <c r="X169" i="30"/>
  <c r="CT106" i="30"/>
  <c r="BC160" i="3"/>
  <c r="BC183" i="3" s="1"/>
  <c r="BC162" i="3"/>
  <c r="BC185" i="3" s="1"/>
  <c r="BA72" i="30"/>
  <c r="BA74" i="30" s="1"/>
  <c r="BB40" i="6"/>
  <c r="BA12" i="6"/>
  <c r="X18" i="35"/>
  <c r="X19" i="35" s="1"/>
  <c r="X17" i="36"/>
  <c r="CT98" i="30"/>
  <c r="CW98" i="30"/>
  <c r="AZ47" i="30"/>
  <c r="AZ38" i="30"/>
  <c r="AY82" i="35"/>
  <c r="AY67" i="33"/>
  <c r="AY69" i="33" s="1"/>
  <c r="AY27" i="32"/>
  <c r="AY31" i="32"/>
  <c r="AY208" i="30"/>
  <c r="AY92" i="33" s="1"/>
  <c r="BA77" i="33"/>
  <c r="BA195" i="30"/>
  <c r="BA78" i="33" s="1"/>
  <c r="BZ102" i="33"/>
  <c r="BZ215" i="30"/>
  <c r="BZ84" i="30"/>
  <c r="BZ175" i="30" s="1"/>
  <c r="AW23" i="32"/>
  <c r="AW112" i="30"/>
  <c r="AW114" i="30"/>
  <c r="BZ13" i="35"/>
  <c r="BZ161" i="30"/>
  <c r="CT81" i="30"/>
  <c r="X13" i="35"/>
  <c r="X13" i="36"/>
  <c r="X161" i="30"/>
  <c r="CT78" i="30"/>
  <c r="CW78" i="30"/>
  <c r="BZ103" i="33"/>
  <c r="BZ216" i="30"/>
  <c r="BZ191" i="30"/>
  <c r="BZ74" i="33" s="1"/>
  <c r="BZ86" i="30"/>
  <c r="CW86" i="30" s="1"/>
  <c r="BB79" i="3"/>
  <c r="BB82" i="3"/>
  <c r="BC165" i="3"/>
  <c r="BC188" i="3" s="1"/>
  <c r="AZ28" i="32"/>
  <c r="AZ33" i="32"/>
  <c r="X122" i="30"/>
  <c r="BA139" i="20"/>
  <c r="X172" i="30"/>
  <c r="CW102" i="30"/>
  <c r="CT102" i="30"/>
  <c r="BZ15" i="35"/>
  <c r="BZ16" i="35" s="1"/>
  <c r="BZ47" i="6"/>
  <c r="BZ73" i="30" s="1"/>
  <c r="DF160" i="26"/>
  <c r="X175" i="30"/>
  <c r="CT84" i="30"/>
  <c r="BB70" i="3"/>
  <c r="BB197" i="26"/>
  <c r="BB148" i="26"/>
  <c r="BB182" i="26"/>
  <c r="BB112" i="26"/>
  <c r="BB63" i="26"/>
  <c r="BB141" i="26"/>
  <c r="BB93" i="26"/>
  <c r="BB145" i="26"/>
  <c r="BB62" i="26"/>
  <c r="BB209" i="26"/>
  <c r="BB203" i="26"/>
  <c r="BB196" i="26"/>
  <c r="BB123" i="26"/>
  <c r="BB125" i="26"/>
  <c r="BB88" i="26"/>
  <c r="BB147" i="26"/>
  <c r="BB140" i="26"/>
  <c r="BB71" i="26"/>
  <c r="BB118" i="26"/>
  <c r="BB60" i="26"/>
  <c r="BB195" i="26"/>
  <c r="BB207" i="26"/>
  <c r="BB202" i="26"/>
  <c r="BB115" i="26"/>
  <c r="BB91" i="26"/>
  <c r="BB85" i="26"/>
  <c r="BB121" i="26"/>
  <c r="BB122" i="26"/>
  <c r="BB66" i="26"/>
  <c r="BB111" i="26"/>
  <c r="BB183" i="26"/>
  <c r="BB184" i="26"/>
  <c r="BB172" i="26"/>
  <c r="BB150" i="26"/>
  <c r="BB98" i="26"/>
  <c r="BB64" i="26"/>
  <c r="BB69" i="26"/>
  <c r="BB120" i="26"/>
  <c r="BB116" i="26"/>
  <c r="BB61" i="26"/>
  <c r="BB97" i="26"/>
  <c r="BB171" i="26"/>
  <c r="BB179" i="26"/>
  <c r="BB206" i="26"/>
  <c r="BB144" i="26"/>
  <c r="BB94" i="26"/>
  <c r="BB149" i="26"/>
  <c r="BB180" i="26"/>
  <c r="BB92" i="26"/>
  <c r="BB99" i="26"/>
  <c r="BB143" i="26"/>
  <c r="BB73" i="26"/>
  <c r="BB201" i="26"/>
  <c r="BB204" i="26"/>
  <c r="BB173" i="26"/>
  <c r="BB146" i="26"/>
  <c r="BB177" i="26"/>
  <c r="BB90" i="26"/>
  <c r="BB137" i="26"/>
  <c r="BB139" i="26"/>
  <c r="BB89" i="26"/>
  <c r="BB65" i="26"/>
  <c r="BB124" i="26"/>
  <c r="BB72" i="26"/>
  <c r="BB208" i="26"/>
  <c r="BB176" i="26"/>
  <c r="BB199" i="26"/>
  <c r="BB138" i="26"/>
  <c r="BB174" i="26"/>
  <c r="BB86" i="26"/>
  <c r="BB119" i="26"/>
  <c r="BB114" i="26"/>
  <c r="BB70" i="26"/>
  <c r="BB178" i="26"/>
  <c r="BB117" i="26"/>
  <c r="BB68" i="26"/>
  <c r="BB198" i="26"/>
  <c r="BB185" i="26"/>
  <c r="BB200" i="26"/>
  <c r="BB205" i="26"/>
  <c r="BB151" i="26"/>
  <c r="BB67" i="26"/>
  <c r="BB113" i="26"/>
  <c r="BB95" i="26"/>
  <c r="BB142" i="26"/>
  <c r="BB96" i="26"/>
  <c r="BB87" i="26"/>
  <c r="BB74" i="26"/>
  <c r="BB175" i="26"/>
  <c r="BB181" i="26"/>
  <c r="BB110" i="3"/>
  <c r="BB87" i="3"/>
  <c r="X21" i="35"/>
  <c r="CT100" i="30"/>
  <c r="CW100" i="30"/>
  <c r="CT86" i="30"/>
  <c r="BC140" i="3"/>
  <c r="BC156" i="3"/>
  <c r="BC138" i="3"/>
  <c r="BB73" i="3"/>
  <c r="CW99" i="30"/>
  <c r="CT99" i="30"/>
  <c r="BA758" i="9"/>
  <c r="BB714" i="9"/>
  <c r="BB783" i="9" s="1"/>
  <c r="BB709" i="9"/>
  <c r="BB778" i="9" s="1"/>
  <c r="BB801" i="9" s="1"/>
  <c r="BB701" i="9"/>
  <c r="BB770" i="9" s="1"/>
  <c r="BB710" i="9"/>
  <c r="BB779" i="9" s="1"/>
  <c r="BB708" i="9"/>
  <c r="BB777" i="9" s="1"/>
  <c r="BB705" i="9"/>
  <c r="BB774" i="9" s="1"/>
  <c r="BB695" i="9"/>
  <c r="BB764" i="9" s="1"/>
  <c r="BB787" i="9" s="1"/>
  <c r="BB713" i="9"/>
  <c r="BB782" i="9" s="1"/>
  <c r="BB702" i="9"/>
  <c r="BB771" i="9" s="1"/>
  <c r="BB700" i="9"/>
  <c r="BB769" i="9" s="1"/>
  <c r="BB792" i="9" s="1"/>
  <c r="BB697" i="9"/>
  <c r="BB766" i="9" s="1"/>
  <c r="BB707" i="9"/>
  <c r="BB776" i="9" s="1"/>
  <c r="BB704" i="9"/>
  <c r="BB773" i="9" s="1"/>
  <c r="BB796" i="9" s="1"/>
  <c r="BB711" i="9"/>
  <c r="BB780" i="9" s="1"/>
  <c r="BB706" i="9"/>
  <c r="BB775" i="9" s="1"/>
  <c r="BB798" i="9" s="1"/>
  <c r="BB699" i="9"/>
  <c r="BB768" i="9" s="1"/>
  <c r="BB696" i="9"/>
  <c r="BB765" i="9" s="1"/>
  <c r="BB712" i="9"/>
  <c r="BB781" i="9" s="1"/>
  <c r="BB804" i="9" s="1"/>
  <c r="BB703" i="9"/>
  <c r="BB772" i="9" s="1"/>
  <c r="BB698" i="9"/>
  <c r="BB767" i="9" s="1"/>
  <c r="BA30" i="30"/>
  <c r="X15" i="35"/>
  <c r="X16" i="35" s="1"/>
  <c r="X15" i="36"/>
  <c r="X162" i="30"/>
  <c r="CW79" i="30"/>
  <c r="CT79" i="30"/>
  <c r="BZ62" i="33"/>
  <c r="BB406" i="9"/>
  <c r="BB301" i="9"/>
  <c r="BB254" i="9"/>
  <c r="BB387" i="9"/>
  <c r="BB434" i="9"/>
  <c r="BB415" i="9"/>
  <c r="BB339" i="9"/>
  <c r="BB358" i="9"/>
  <c r="BB159" i="9"/>
  <c r="BB425" i="9"/>
  <c r="BB368" i="9"/>
  <c r="BB225" i="9"/>
  <c r="BB187" i="9"/>
  <c r="BB140" i="9"/>
  <c r="BB349" i="9"/>
  <c r="BB330" i="9"/>
  <c r="BB216" i="9"/>
  <c r="BB396" i="9"/>
  <c r="BB263" i="9"/>
  <c r="BB292" i="9"/>
  <c r="BB377" i="9"/>
  <c r="BB320" i="9"/>
  <c r="BB311" i="9"/>
  <c r="BB244" i="9"/>
  <c r="BB235" i="9"/>
  <c r="BB197" i="9"/>
  <c r="BB92" i="9"/>
  <c r="BB282" i="9"/>
  <c r="BB83" i="9"/>
  <c r="BB121" i="9"/>
  <c r="BB178" i="9"/>
  <c r="BB64" i="9"/>
  <c r="BB206" i="9"/>
  <c r="BB168" i="9"/>
  <c r="BB73" i="9"/>
  <c r="BB130" i="9"/>
  <c r="BB111" i="9"/>
  <c r="BB273" i="9"/>
  <c r="BB149" i="9"/>
  <c r="BB102" i="9"/>
  <c r="X118" i="13"/>
  <c r="X74" i="33"/>
  <c r="I28" i="50" s="1"/>
  <c r="Q28" i="50" s="1"/>
  <c r="G77" i="50" s="1"/>
  <c r="CW191" i="30"/>
  <c r="BB222" i="3"/>
  <c r="BB268" i="3"/>
  <c r="BB291" i="3" s="1"/>
  <c r="BC172" i="3"/>
  <c r="BC195" i="3" s="1"/>
  <c r="BC173" i="3"/>
  <c r="BC196" i="3" s="1"/>
  <c r="BB262" i="3"/>
  <c r="BB285" i="3" s="1"/>
  <c r="BB216" i="3"/>
  <c r="AZ257" i="6"/>
  <c r="AZ170" i="20"/>
  <c r="AZ60" i="30" s="1"/>
  <c r="BB84" i="3"/>
  <c r="X73" i="30"/>
  <c r="X165" i="30"/>
  <c r="CW108" i="30"/>
  <c r="CT108" i="30"/>
  <c r="BA759" i="9"/>
  <c r="BB208" i="3"/>
  <c r="BB254" i="3"/>
  <c r="BB277" i="3" s="1"/>
  <c r="BB213" i="3"/>
  <c r="BB259" i="3"/>
  <c r="BB282" i="3" s="1"/>
  <c r="BC171" i="3"/>
  <c r="BC194" i="3" s="1"/>
  <c r="BC169" i="3"/>
  <c r="BC192" i="3" s="1"/>
  <c r="BC167" i="3"/>
  <c r="BC190" i="3" s="1"/>
  <c r="X168" i="30"/>
  <c r="CW83" i="30"/>
  <c r="CT83" i="30"/>
  <c r="CW104" i="30"/>
  <c r="CT104" i="30"/>
  <c r="BB78" i="3"/>
  <c r="BB18" i="3"/>
  <c r="AX94" i="33"/>
  <c r="BB732" i="9"/>
  <c r="BB243" i="3"/>
  <c r="BB74" i="3"/>
  <c r="BZ89" i="6"/>
  <c r="BZ87" i="30" s="1"/>
  <c r="DF159" i="26"/>
  <c r="BZ161" i="26"/>
  <c r="BB224" i="3"/>
  <c r="BB270" i="3"/>
  <c r="BB293" i="3" s="1"/>
  <c r="X87" i="30"/>
  <c r="X171" i="30"/>
  <c r="CW107" i="30"/>
  <c r="CT107" i="30"/>
  <c r="BB271" i="3"/>
  <c r="BB294" i="3" s="1"/>
  <c r="BB225" i="3"/>
  <c r="BZ176" i="6"/>
  <c r="BZ123" i="30" s="1"/>
  <c r="BC166" i="3"/>
  <c r="BC189" i="3" s="1"/>
  <c r="BC176" i="3"/>
  <c r="BC199" i="3" s="1"/>
  <c r="BB86" i="3"/>
  <c r="BA760" i="9"/>
  <c r="BB26" i="3"/>
  <c r="BB28" i="3"/>
  <c r="X173" i="30"/>
  <c r="CT103" i="30"/>
  <c r="CW103" i="30"/>
  <c r="X166" i="30"/>
  <c r="CT109" i="30"/>
  <c r="CW109" i="30"/>
  <c r="CT96" i="30"/>
  <c r="CW96" i="30"/>
  <c r="AX212" i="30"/>
  <c r="BB210" i="3"/>
  <c r="BB256" i="3"/>
  <c r="BB279" i="3" s="1"/>
  <c r="BB71" i="3"/>
  <c r="C94" i="23"/>
  <c r="C93" i="23" a="1"/>
  <c r="BA141" i="20" l="1"/>
  <c r="BA146" i="20" s="1"/>
  <c r="BA174" i="20" s="1"/>
  <c r="BA181" i="20" s="1"/>
  <c r="BA62" i="30" s="1"/>
  <c r="AZ259" i="6"/>
  <c r="AZ136" i="30" s="1"/>
  <c r="AZ137" i="30" s="1"/>
  <c r="CW106" i="30"/>
  <c r="BB799" i="9"/>
  <c r="BB802" i="9"/>
  <c r="BB825" i="9" s="1"/>
  <c r="BB788" i="9"/>
  <c r="BB811" i="9" s="1"/>
  <c r="BB13" i="20"/>
  <c r="BB797" i="9"/>
  <c r="CW84" i="30"/>
  <c r="BB789" i="9"/>
  <c r="BB812" i="9" s="1"/>
  <c r="BB794" i="9"/>
  <c r="BB817" i="9" s="1"/>
  <c r="BB791" i="9"/>
  <c r="BB814" i="9" s="1"/>
  <c r="BB800" i="9"/>
  <c r="BB823" i="9" s="1"/>
  <c r="BB793" i="9"/>
  <c r="BB816" i="9" s="1"/>
  <c r="BZ162" i="30"/>
  <c r="CW162" i="30" s="1"/>
  <c r="BB25" i="30"/>
  <c r="BB29" i="20"/>
  <c r="BB14" i="30" s="1"/>
  <c r="BB24" i="32"/>
  <c r="BB25" i="32" s="1"/>
  <c r="BB24" i="35" s="1"/>
  <c r="BB85" i="20"/>
  <c r="BB20" i="30" s="1"/>
  <c r="BB790" i="9"/>
  <c r="BB805" i="9"/>
  <c r="BB131" i="20"/>
  <c r="BB132" i="20" s="1"/>
  <c r="BB28" i="30" s="1"/>
  <c r="BB26" i="32" s="1"/>
  <c r="BB25" i="35" s="1"/>
  <c r="BB803" i="9"/>
  <c r="BB826" i="9" s="1"/>
  <c r="BB795" i="9"/>
  <c r="BB818" i="9" s="1"/>
  <c r="BB806" i="9"/>
  <c r="BC222" i="3"/>
  <c r="BC268" i="3"/>
  <c r="BC291" i="3" s="1"/>
  <c r="BC260" i="3"/>
  <c r="BC283" i="3" s="1"/>
  <c r="BC214" i="3"/>
  <c r="BC252" i="3"/>
  <c r="BC275" i="3" s="1"/>
  <c r="BC206" i="3"/>
  <c r="BC220" i="3"/>
  <c r="BC266" i="3"/>
  <c r="BC289" i="3" s="1"/>
  <c r="BC210" i="3"/>
  <c r="BC256" i="3"/>
  <c r="BC279" i="3" s="1"/>
  <c r="BC221" i="3"/>
  <c r="BC267" i="3"/>
  <c r="BC290" i="3" s="1"/>
  <c r="BC263" i="3"/>
  <c r="BC286" i="3" s="1"/>
  <c r="BC217" i="3"/>
  <c r="BC258" i="3"/>
  <c r="BC281" i="3" s="1"/>
  <c r="BC212" i="3"/>
  <c r="BC259" i="3"/>
  <c r="BC282" i="3" s="1"/>
  <c r="BC213" i="3"/>
  <c r="BC254" i="3"/>
  <c r="BC277" i="3" s="1"/>
  <c r="BC208" i="3"/>
  <c r="AX96" i="33"/>
  <c r="AX101" i="33" s="1"/>
  <c r="AX104" i="33" s="1"/>
  <c r="AY211" i="30"/>
  <c r="AY212" i="30" s="1"/>
  <c r="AX214" i="30"/>
  <c r="AX217" i="30" s="1"/>
  <c r="AX83" i="6"/>
  <c r="CW166" i="30"/>
  <c r="BB722" i="9"/>
  <c r="BB233" i="3"/>
  <c r="BC269" i="3"/>
  <c r="BC292" i="3" s="1"/>
  <c r="BC223" i="3"/>
  <c r="BC261" i="3"/>
  <c r="BC284" i="3" s="1"/>
  <c r="BC215" i="3"/>
  <c r="BC218" i="3"/>
  <c r="BC264" i="3"/>
  <c r="BC287" i="3" s="1"/>
  <c r="CW175" i="30"/>
  <c r="CW172" i="30"/>
  <c r="BC211" i="3"/>
  <c r="BC257" i="3"/>
  <c r="BC280" i="3" s="1"/>
  <c r="BB730" i="9"/>
  <c r="BB241" i="3"/>
  <c r="CW167" i="30"/>
  <c r="BB723" i="9"/>
  <c r="BB234" i="3"/>
  <c r="BB728" i="9"/>
  <c r="BB239" i="3"/>
  <c r="BC161" i="3"/>
  <c r="BC184" i="3" s="1"/>
  <c r="BC3" i="11"/>
  <c r="BC14" i="3"/>
  <c r="BC3" i="35"/>
  <c r="BC3" i="33"/>
  <c r="BD3" i="12"/>
  <c r="BC3" i="32"/>
  <c r="BC3" i="30"/>
  <c r="BC3" i="38"/>
  <c r="BC3" i="6"/>
  <c r="BC3" i="9"/>
  <c r="BC3" i="26"/>
  <c r="BC3" i="16"/>
  <c r="BC3" i="22"/>
  <c r="BC3" i="20"/>
  <c r="BC3" i="1"/>
  <c r="BC3" i="28"/>
  <c r="BC37" i="3"/>
  <c r="BB38" i="20"/>
  <c r="BB15" i="30" s="1"/>
  <c r="BA14" i="32"/>
  <c r="BA32" i="30"/>
  <c r="BA36" i="30" s="1"/>
  <c r="BB731" i="9"/>
  <c r="BB242" i="3"/>
  <c r="CW173" i="30"/>
  <c r="BB755" i="9"/>
  <c r="BB734" i="9"/>
  <c r="BB245" i="3"/>
  <c r="BC179" i="3"/>
  <c r="BC202" i="3" s="1"/>
  <c r="CW169" i="30"/>
  <c r="BC5" i="11"/>
  <c r="BC57" i="3"/>
  <c r="BC49" i="3"/>
  <c r="BC95" i="3" s="1"/>
  <c r="BC63" i="3"/>
  <c r="BC109" i="3" s="1"/>
  <c r="BC58" i="3"/>
  <c r="BC104" i="3" s="1"/>
  <c r="BC45" i="3"/>
  <c r="BC91" i="3" s="1"/>
  <c r="BC53" i="3"/>
  <c r="BC99" i="3" s="1"/>
  <c r="BC60" i="3"/>
  <c r="BC106" i="3" s="1"/>
  <c r="BC61" i="3"/>
  <c r="BC107" i="3" s="1"/>
  <c r="BC64" i="3"/>
  <c r="BC110" i="3" s="1"/>
  <c r="BC47" i="3"/>
  <c r="BC93" i="3" s="1"/>
  <c r="BC62" i="3"/>
  <c r="BC108" i="3" s="1"/>
  <c r="BC48" i="3"/>
  <c r="BC94" i="3" s="1"/>
  <c r="BC51" i="3"/>
  <c r="BC97" i="3" s="1"/>
  <c r="BC56" i="3"/>
  <c r="BC102" i="3" s="1"/>
  <c r="BC50" i="3"/>
  <c r="BC96" i="3" s="1"/>
  <c r="BC59" i="3"/>
  <c r="BC105" i="3" s="1"/>
  <c r="BC52" i="3"/>
  <c r="BC98" i="3" s="1"/>
  <c r="BC46" i="3"/>
  <c r="BC92" i="3" s="1"/>
  <c r="BC55" i="3"/>
  <c r="BC101" i="3" s="1"/>
  <c r="BC54" i="3"/>
  <c r="BC100" i="3" s="1"/>
  <c r="BC5" i="35"/>
  <c r="BC5" i="33"/>
  <c r="BD5" i="12"/>
  <c r="BC5" i="32"/>
  <c r="BC5" i="30"/>
  <c r="BC5" i="38"/>
  <c r="BC5" i="6"/>
  <c r="BC5" i="9"/>
  <c r="BC5" i="26"/>
  <c r="BC5" i="16"/>
  <c r="BC5" i="22"/>
  <c r="BC5" i="20"/>
  <c r="BC5" i="1"/>
  <c r="BC5" i="28"/>
  <c r="BC129" i="3"/>
  <c r="BC116" i="3"/>
  <c r="BC114" i="3"/>
  <c r="BC122" i="3"/>
  <c r="BC120" i="3"/>
  <c r="BC124" i="3"/>
  <c r="BC133" i="3"/>
  <c r="BC131" i="3"/>
  <c r="BC126" i="3"/>
  <c r="BC125" i="3"/>
  <c r="BC121" i="3"/>
  <c r="BC117" i="3"/>
  <c r="BC123" i="3"/>
  <c r="BC132" i="3"/>
  <c r="BC128" i="3"/>
  <c r="BC119" i="3"/>
  <c r="BC130" i="3"/>
  <c r="BC115" i="3"/>
  <c r="BC127" i="3"/>
  <c r="BC118" i="3"/>
  <c r="BB90" i="20"/>
  <c r="BB21" i="30" s="1"/>
  <c r="BB194" i="30"/>
  <c r="BB179" i="30"/>
  <c r="BB65" i="33" s="1"/>
  <c r="BB719" i="9"/>
  <c r="BB230" i="3"/>
  <c r="BB726" i="9"/>
  <c r="BB237" i="3"/>
  <c r="BB736" i="9"/>
  <c r="BB247" i="3"/>
  <c r="X62" i="33"/>
  <c r="I20" i="50" s="1"/>
  <c r="Q20" i="50" s="1"/>
  <c r="G57" i="50" s="1"/>
  <c r="CW165" i="30"/>
  <c r="BC163" i="3"/>
  <c r="BC186" i="3" s="1"/>
  <c r="CT122" i="30"/>
  <c r="CW122" i="30"/>
  <c r="BZ61" i="33"/>
  <c r="BA80" i="33"/>
  <c r="AZ54" i="33"/>
  <c r="AZ148" i="30"/>
  <c r="AZ180" i="30" s="1"/>
  <c r="AZ56" i="30"/>
  <c r="AZ58" i="30" s="1"/>
  <c r="BD10" i="3"/>
  <c r="BD146" i="3" s="1"/>
  <c r="BC85" i="3"/>
  <c r="BB96" i="20"/>
  <c r="BB44" i="30"/>
  <c r="BB45" i="30" s="1"/>
  <c r="BB154" i="20"/>
  <c r="BC224" i="3"/>
  <c r="BC270" i="3"/>
  <c r="BC293" i="3" s="1"/>
  <c r="BB735" i="9"/>
  <c r="BB246" i="3"/>
  <c r="BB822" i="9"/>
  <c r="BB815" i="9"/>
  <c r="BB824" i="9"/>
  <c r="BB829" i="9"/>
  <c r="BB821" i="9"/>
  <c r="BB813" i="9"/>
  <c r="BB827" i="9"/>
  <c r="BB820" i="9"/>
  <c r="BB810" i="9"/>
  <c r="BB819" i="9"/>
  <c r="BB828" i="9"/>
  <c r="CW168" i="30"/>
  <c r="BC265" i="3"/>
  <c r="BC288" i="3" s="1"/>
  <c r="BC219" i="3"/>
  <c r="CW170" i="30"/>
  <c r="BB23" i="30"/>
  <c r="BB179" i="20"/>
  <c r="BB46" i="20"/>
  <c r="BB16" i="30" s="1"/>
  <c r="BB52" i="30"/>
  <c r="BB54" i="30" s="1"/>
  <c r="BB41" i="6"/>
  <c r="BB44" i="6" s="1"/>
  <c r="BB164" i="20"/>
  <c r="BB721" i="9"/>
  <c r="BB232" i="3"/>
  <c r="BB727" i="9"/>
  <c r="BB238" i="3"/>
  <c r="BB718" i="9"/>
  <c r="BB229" i="3"/>
  <c r="CW171" i="30"/>
  <c r="BB725" i="9"/>
  <c r="BB236" i="3"/>
  <c r="CT73" i="30"/>
  <c r="CW73" i="30"/>
  <c r="BB645" i="9"/>
  <c r="CW161" i="30"/>
  <c r="AY94" i="33"/>
  <c r="BB53" i="20"/>
  <c r="BB17" i="30" s="1"/>
  <c r="BB60" i="20"/>
  <c r="BB18" i="30" s="1"/>
  <c r="BB114" i="20"/>
  <c r="X61" i="33"/>
  <c r="I19" i="50" s="1"/>
  <c r="CT123" i="30"/>
  <c r="CW123" i="30"/>
  <c r="BB724" i="9"/>
  <c r="BB235" i="3"/>
  <c r="CW87" i="30"/>
  <c r="CT87" i="30"/>
  <c r="CW163" i="30"/>
  <c r="BC216" i="3"/>
  <c r="BC262" i="3"/>
  <c r="BC285" i="3" s="1"/>
  <c r="BB74" i="20"/>
  <c r="BB19" i="30" s="1"/>
  <c r="BB737" i="9"/>
  <c r="BB248" i="3"/>
  <c r="BC78" i="3"/>
  <c r="BB720" i="9"/>
  <c r="BB231" i="3"/>
  <c r="BC4" i="11"/>
  <c r="BC30" i="3"/>
  <c r="BC16" i="3"/>
  <c r="BC22" i="3"/>
  <c r="BC4" i="35"/>
  <c r="BC4" i="33"/>
  <c r="BD4" i="12"/>
  <c r="BC4" i="32"/>
  <c r="BC4" i="30"/>
  <c r="BC4" i="38"/>
  <c r="BC4" i="6"/>
  <c r="BC4" i="9"/>
  <c r="BC4" i="26"/>
  <c r="BC4" i="16"/>
  <c r="BC4" i="22"/>
  <c r="BC4" i="20"/>
  <c r="BC4" i="1"/>
  <c r="BC4" i="28"/>
  <c r="BC20" i="3"/>
  <c r="BZ144" i="20"/>
  <c r="BZ178" i="1"/>
  <c r="BB23" i="20"/>
  <c r="BB733" i="9"/>
  <c r="BB244" i="3"/>
  <c r="BB729" i="9"/>
  <c r="BB240" i="3"/>
  <c r="C93" i="23"/>
  <c r="C92" i="23" a="1"/>
  <c r="BA256" i="6" l="1"/>
  <c r="BA156" i="20"/>
  <c r="BA166" i="20" s="1"/>
  <c r="BA170" i="20" s="1"/>
  <c r="BA60" i="30" s="1"/>
  <c r="BC79" i="3"/>
  <c r="BC71" i="3"/>
  <c r="BD155" i="3"/>
  <c r="BC82" i="3"/>
  <c r="BC86" i="3"/>
  <c r="BC72" i="3"/>
  <c r="BC84" i="3"/>
  <c r="BD139" i="3"/>
  <c r="BD162" i="3" s="1"/>
  <c r="BD185" i="3" s="1"/>
  <c r="BB748" i="9"/>
  <c r="BD137" i="3"/>
  <c r="BD160" i="3" s="1"/>
  <c r="BD183" i="3" s="1"/>
  <c r="BD148" i="3"/>
  <c r="BB741" i="9"/>
  <c r="BC83" i="3"/>
  <c r="BC75" i="3"/>
  <c r="BD154" i="3"/>
  <c r="BD177" i="3" s="1"/>
  <c r="BD200" i="3" s="1"/>
  <c r="BB760" i="9"/>
  <c r="BB758" i="9"/>
  <c r="BD144" i="3"/>
  <c r="BB757" i="9"/>
  <c r="BD141" i="3"/>
  <c r="BD164" i="3" s="1"/>
  <c r="BC68" i="3"/>
  <c r="BB756" i="9"/>
  <c r="BB752" i="9"/>
  <c r="BB750" i="9"/>
  <c r="BB102" i="20"/>
  <c r="BB743" i="9"/>
  <c r="BB745" i="9"/>
  <c r="BB749" i="9"/>
  <c r="BB746" i="9"/>
  <c r="BD169" i="3"/>
  <c r="BD192" i="3" s="1"/>
  <c r="BB72" i="30"/>
  <c r="BB74" i="30" s="1"/>
  <c r="BC40" i="6"/>
  <c r="BB12" i="6"/>
  <c r="BZ35" i="30"/>
  <c r="X35" i="30" s="1"/>
  <c r="BZ178" i="20"/>
  <c r="BC714" i="9"/>
  <c r="BC783" i="9" s="1"/>
  <c r="BC706" i="9"/>
  <c r="BC775" i="9" s="1"/>
  <c r="BC798" i="9" s="1"/>
  <c r="BC698" i="9"/>
  <c r="BC767" i="9" s="1"/>
  <c r="BC695" i="9"/>
  <c r="BC764" i="9" s="1"/>
  <c r="BC787" i="9" s="1"/>
  <c r="BC713" i="9"/>
  <c r="BC782" i="9" s="1"/>
  <c r="BC805" i="9" s="1"/>
  <c r="BC702" i="9"/>
  <c r="BC771" i="9" s="1"/>
  <c r="BC794" i="9" s="1"/>
  <c r="BC700" i="9"/>
  <c r="BC769" i="9" s="1"/>
  <c r="BC792" i="9" s="1"/>
  <c r="BC697" i="9"/>
  <c r="BC766" i="9" s="1"/>
  <c r="BC789" i="9" s="1"/>
  <c r="BC707" i="9"/>
  <c r="BC776" i="9" s="1"/>
  <c r="BC799" i="9" s="1"/>
  <c r="BC709" i="9"/>
  <c r="BC778" i="9" s="1"/>
  <c r="BC801" i="9" s="1"/>
  <c r="BC704" i="9"/>
  <c r="BC773" i="9" s="1"/>
  <c r="BC796" i="9" s="1"/>
  <c r="BC711" i="9"/>
  <c r="BC780" i="9" s="1"/>
  <c r="BC803" i="9" s="1"/>
  <c r="BC699" i="9"/>
  <c r="BC768" i="9" s="1"/>
  <c r="BC791" i="9" s="1"/>
  <c r="BC701" i="9"/>
  <c r="BC770" i="9" s="1"/>
  <c r="BC793" i="9" s="1"/>
  <c r="BC696" i="9"/>
  <c r="BC765" i="9" s="1"/>
  <c r="BC712" i="9"/>
  <c r="BC781" i="9" s="1"/>
  <c r="BC804" i="9" s="1"/>
  <c r="BC703" i="9"/>
  <c r="BC772" i="9" s="1"/>
  <c r="BC795" i="9" s="1"/>
  <c r="BC710" i="9"/>
  <c r="BC779" i="9" s="1"/>
  <c r="BC802" i="9" s="1"/>
  <c r="BC708" i="9"/>
  <c r="BC777" i="9" s="1"/>
  <c r="BC800" i="9" s="1"/>
  <c r="BC705" i="9"/>
  <c r="BC774" i="9" s="1"/>
  <c r="BC797" i="9" s="1"/>
  <c r="BC26" i="3"/>
  <c r="BC28" i="3"/>
  <c r="BC18" i="3"/>
  <c r="BD156" i="3"/>
  <c r="BD151" i="3"/>
  <c r="BC174" i="26"/>
  <c r="BC116" i="26"/>
  <c r="BC88" i="26"/>
  <c r="BC95" i="26"/>
  <c r="BC70" i="26"/>
  <c r="BC86" i="26"/>
  <c r="BC90" i="26"/>
  <c r="BC67" i="26"/>
  <c r="BC63" i="26"/>
  <c r="BC199" i="26"/>
  <c r="BC198" i="26"/>
  <c r="BC147" i="26"/>
  <c r="BC178" i="26"/>
  <c r="BC68" i="26"/>
  <c r="BC85" i="26"/>
  <c r="BC150" i="26"/>
  <c r="BC65" i="26"/>
  <c r="BC96" i="26"/>
  <c r="BC87" i="26"/>
  <c r="BC182" i="26"/>
  <c r="BC185" i="26"/>
  <c r="BC204" i="26"/>
  <c r="BC208" i="26"/>
  <c r="BC139" i="26"/>
  <c r="BC146" i="26"/>
  <c r="BC60" i="26"/>
  <c r="BC184" i="26"/>
  <c r="BC148" i="26"/>
  <c r="BC64" i="26"/>
  <c r="BC93" i="26"/>
  <c r="BC61" i="26"/>
  <c r="BC125" i="26"/>
  <c r="BC181" i="26"/>
  <c r="BC207" i="26"/>
  <c r="BC203" i="26"/>
  <c r="BC202" i="26"/>
  <c r="BC209" i="26"/>
  <c r="BC173" i="26"/>
  <c r="BC180" i="26"/>
  <c r="BC138" i="26"/>
  <c r="BC141" i="26"/>
  <c r="BC71" i="26"/>
  <c r="BC118" i="26"/>
  <c r="BC94" i="26"/>
  <c r="BC175" i="26"/>
  <c r="BC195" i="26"/>
  <c r="BC205" i="26"/>
  <c r="BC201" i="26"/>
  <c r="BC137" i="26"/>
  <c r="BC151" i="26"/>
  <c r="BC121" i="26"/>
  <c r="BC140" i="26"/>
  <c r="BC66" i="26"/>
  <c r="BC111" i="26"/>
  <c r="BC91" i="26"/>
  <c r="BC196" i="26"/>
  <c r="BC200" i="26"/>
  <c r="BC197" i="26"/>
  <c r="BC149" i="26"/>
  <c r="BC119" i="26"/>
  <c r="BC144" i="26"/>
  <c r="BC120" i="26"/>
  <c r="BC122" i="26"/>
  <c r="BC143" i="26"/>
  <c r="BC97" i="26"/>
  <c r="BC74" i="26"/>
  <c r="BC206" i="26"/>
  <c r="BC183" i="26"/>
  <c r="BC177" i="26"/>
  <c r="BC142" i="26"/>
  <c r="BC113" i="26"/>
  <c r="BC114" i="26"/>
  <c r="BC92" i="26"/>
  <c r="BC115" i="26"/>
  <c r="BC123" i="26"/>
  <c r="BC73" i="26"/>
  <c r="BC62" i="26"/>
  <c r="BC179" i="26"/>
  <c r="BC172" i="26"/>
  <c r="BC145" i="26"/>
  <c r="BC124" i="26"/>
  <c r="BC112" i="26"/>
  <c r="BC98" i="26"/>
  <c r="BC89" i="26"/>
  <c r="BC99" i="26"/>
  <c r="BC117" i="26"/>
  <c r="BC72" i="26"/>
  <c r="BC69" i="26"/>
  <c r="BC176" i="26"/>
  <c r="BC171" i="26"/>
  <c r="BC103" i="3"/>
  <c r="BC80" i="3"/>
  <c r="BA47" i="30"/>
  <c r="BA38" i="30"/>
  <c r="BC73" i="3"/>
  <c r="AY96" i="33"/>
  <c r="AY101" i="33" s="1"/>
  <c r="AY104" i="33" s="1"/>
  <c r="AZ211" i="30"/>
  <c r="AY214" i="30"/>
  <c r="AY217" i="30" s="1"/>
  <c r="AY83" i="6"/>
  <c r="BC729" i="9"/>
  <c r="BC240" i="3"/>
  <c r="BA257" i="6"/>
  <c r="BA259" i="6" s="1"/>
  <c r="BD149" i="3"/>
  <c r="BD147" i="3"/>
  <c r="BD150" i="3"/>
  <c r="BC387" i="9"/>
  <c r="BC282" i="9"/>
  <c r="BC235" i="9"/>
  <c r="BC434" i="9"/>
  <c r="BC415" i="9"/>
  <c r="BC368" i="9"/>
  <c r="BC396" i="9"/>
  <c r="BC425" i="9"/>
  <c r="BC320" i="9"/>
  <c r="BC225" i="9"/>
  <c r="BC187" i="9"/>
  <c r="BC140" i="9"/>
  <c r="BC349" i="9"/>
  <c r="BC339" i="9"/>
  <c r="BC330" i="9"/>
  <c r="BC216" i="9"/>
  <c r="BC168" i="9"/>
  <c r="BC121" i="9"/>
  <c r="BC263" i="9"/>
  <c r="BC254" i="9"/>
  <c r="BC406" i="9"/>
  <c r="BC292" i="9"/>
  <c r="BC377" i="9"/>
  <c r="BC311" i="9"/>
  <c r="BC301" i="9"/>
  <c r="BC244" i="9"/>
  <c r="BC197" i="9"/>
  <c r="BC273" i="9"/>
  <c r="BC206" i="9"/>
  <c r="BC178" i="9"/>
  <c r="BC73" i="9"/>
  <c r="BC92" i="9"/>
  <c r="BC64" i="9"/>
  <c r="BC159" i="9"/>
  <c r="BC358" i="9"/>
  <c r="BC83" i="9"/>
  <c r="BC130" i="9"/>
  <c r="BC111" i="9"/>
  <c r="BC149" i="9"/>
  <c r="BC102" i="9"/>
  <c r="BC271" i="3"/>
  <c r="BC294" i="3" s="1"/>
  <c r="BC225" i="3"/>
  <c r="BA28" i="32"/>
  <c r="BA33" i="32"/>
  <c r="BC76" i="3"/>
  <c r="BC728" i="9"/>
  <c r="BC239" i="3"/>
  <c r="CW164" i="30"/>
  <c r="BB27" i="30"/>
  <c r="BB30" i="30" s="1"/>
  <c r="BB139" i="20"/>
  <c r="BD153" i="3"/>
  <c r="BD145" i="3"/>
  <c r="AZ82" i="35"/>
  <c r="AZ67" i="33"/>
  <c r="AZ69" i="33" s="1"/>
  <c r="AZ31" i="32"/>
  <c r="AZ27" i="32"/>
  <c r="AZ208" i="30"/>
  <c r="AZ92" i="33" s="1"/>
  <c r="BB742" i="9"/>
  <c r="BC87" i="3"/>
  <c r="BC730" i="9"/>
  <c r="BC241" i="3"/>
  <c r="BC720" i="9"/>
  <c r="BC231" i="3"/>
  <c r="BC718" i="9"/>
  <c r="BC229" i="3"/>
  <c r="BC180" i="20" a="1"/>
  <c r="BC180" i="20" s="1"/>
  <c r="BC162" i="20" a="1"/>
  <c r="BC162" i="20" s="1"/>
  <c r="BC153" i="20" a="1"/>
  <c r="BC153" i="20" s="1"/>
  <c r="BC150" i="20" a="1"/>
  <c r="BC150" i="20" s="1"/>
  <c r="BC41" i="30" s="1"/>
  <c r="BC135" i="20" a="1"/>
  <c r="BC135" i="20" s="1"/>
  <c r="BC137" i="20" s="1"/>
  <c r="BC29" i="30" s="1"/>
  <c r="BC129" i="20" a="1"/>
  <c r="BC129" i="20" s="1"/>
  <c r="BC130" i="20" a="1"/>
  <c r="BC130" i="20" s="1"/>
  <c r="BC127" i="20" a="1"/>
  <c r="BC127" i="20" s="1"/>
  <c r="BC128" i="20" a="1"/>
  <c r="BC128" i="20" s="1"/>
  <c r="BC121" i="20" a="1"/>
  <c r="BC121" i="20" s="1"/>
  <c r="BC117" i="20" a="1"/>
  <c r="BC117" i="20" s="1"/>
  <c r="BC118" i="20" a="1"/>
  <c r="BC118" i="20" s="1"/>
  <c r="BC122" i="20" a="1"/>
  <c r="BC122" i="20" s="1"/>
  <c r="BC124" i="20" a="1"/>
  <c r="BC124" i="20" s="1"/>
  <c r="BC123" i="20" a="1"/>
  <c r="BC123" i="20" s="1"/>
  <c r="BC119" i="20" a="1"/>
  <c r="BC119" i="20" s="1"/>
  <c r="BC125" i="20" a="1"/>
  <c r="BC125" i="20" s="1"/>
  <c r="BC120" i="20" a="1"/>
  <c r="BC120" i="20" s="1"/>
  <c r="BC111" i="20" a="1"/>
  <c r="BC111" i="20" s="1"/>
  <c r="BC107" i="20" a="1"/>
  <c r="BC107" i="20" s="1"/>
  <c r="BC112" i="20" a="1"/>
  <c r="BC112" i="20" s="1"/>
  <c r="BC108" i="20" a="1"/>
  <c r="BC108" i="20" s="1"/>
  <c r="BC109" i="20" a="1"/>
  <c r="BC109" i="20" s="1"/>
  <c r="BC105" i="20" a="1"/>
  <c r="BC105" i="20" s="1"/>
  <c r="BC110" i="20" a="1"/>
  <c r="BC110" i="20" s="1"/>
  <c r="BC106" i="20" a="1"/>
  <c r="BC106" i="20" s="1"/>
  <c r="BC93" i="20" a="1"/>
  <c r="BC93" i="20" s="1"/>
  <c r="BC88" i="20" a="1"/>
  <c r="BC88" i="20" s="1"/>
  <c r="BC83" i="20" a="1"/>
  <c r="BC83" i="20" s="1"/>
  <c r="BC79" i="20" a="1"/>
  <c r="BC79" i="20" s="1"/>
  <c r="BC70" i="20" a="1"/>
  <c r="BC70" i="20" s="1"/>
  <c r="BC66" i="20" a="1"/>
  <c r="BC66" i="20" s="1"/>
  <c r="BC47" i="20" a="1"/>
  <c r="BC47" i="20" s="1"/>
  <c r="BC45" i="20" a="1"/>
  <c r="BC45" i="20" s="1"/>
  <c r="BC61" i="20" a="1"/>
  <c r="BC61" i="20" s="1"/>
  <c r="BC57" i="20" a="1"/>
  <c r="BC57" i="20" s="1"/>
  <c r="BC94" i="20" a="1"/>
  <c r="BC94" i="20" s="1"/>
  <c r="BC89" i="20" a="1"/>
  <c r="BC89" i="20" s="1"/>
  <c r="BC84" i="20" a="1"/>
  <c r="BC84" i="20" s="1"/>
  <c r="BC80" i="20" a="1"/>
  <c r="BC80" i="20" s="1"/>
  <c r="BC71" i="20" a="1"/>
  <c r="BC71" i="20" s="1"/>
  <c r="BC67" i="20" a="1"/>
  <c r="BC67" i="20" s="1"/>
  <c r="BC50" i="20" a="1"/>
  <c r="BC50" i="20" s="1"/>
  <c r="BC42" i="20" a="1"/>
  <c r="BC42" i="20" s="1"/>
  <c r="BC34" i="20" a="1"/>
  <c r="BC34" i="20" s="1"/>
  <c r="BC24" i="20" a="1"/>
  <c r="BC24" i="20" s="1"/>
  <c r="BC22" i="20" a="1"/>
  <c r="BC22" i="20" s="1"/>
  <c r="BC18" i="20" a="1"/>
  <c r="BC18" i="20" s="1"/>
  <c r="BC43" i="20" a="1"/>
  <c r="BC43" i="20" s="1"/>
  <c r="BC98" i="20" a="1"/>
  <c r="BC98" i="20" s="1"/>
  <c r="BC100" i="20" s="1"/>
  <c r="BC95" i="20" a="1"/>
  <c r="BC95" i="20" s="1"/>
  <c r="BC81" i="20" a="1"/>
  <c r="BC81" i="20" s="1"/>
  <c r="BC77" i="20" a="1"/>
  <c r="BC77" i="20" s="1"/>
  <c r="BC72" i="20" a="1"/>
  <c r="BC72" i="20" s="1"/>
  <c r="BC68" i="20" a="1"/>
  <c r="BC68" i="20" s="1"/>
  <c r="BC64" i="20" a="1"/>
  <c r="BC64" i="20" s="1"/>
  <c r="BC58" i="20" a="1"/>
  <c r="BC58" i="20" s="1"/>
  <c r="BC51" i="20" a="1"/>
  <c r="BC51" i="20" s="1"/>
  <c r="BC82" i="20" a="1"/>
  <c r="BC82" i="20" s="1"/>
  <c r="BC78" i="20" a="1"/>
  <c r="BC78" i="20" s="1"/>
  <c r="BC73" i="20" a="1"/>
  <c r="BC73" i="20" s="1"/>
  <c r="BC69" i="20" a="1"/>
  <c r="BC69" i="20" s="1"/>
  <c r="BC65" i="20" a="1"/>
  <c r="BC65" i="20" s="1"/>
  <c r="BC54" i="20" a="1"/>
  <c r="BC54" i="20" s="1"/>
  <c r="BC52" i="20" a="1"/>
  <c r="BC52" i="20" s="1"/>
  <c r="BC59" i="20" a="1"/>
  <c r="BC59" i="20" s="1"/>
  <c r="BC17" i="20" a="1"/>
  <c r="BC17" i="20" s="1"/>
  <c r="BC14" i="20" a="1"/>
  <c r="BC14" i="20" s="1"/>
  <c r="BC36" i="20" a="1"/>
  <c r="BC36" i="20" s="1"/>
  <c r="BC28" i="20" a="1"/>
  <c r="BC28" i="20" s="1"/>
  <c r="BC30" i="20" a="1"/>
  <c r="BC30" i="20" s="1"/>
  <c r="BC39" i="20" a="1"/>
  <c r="BC39" i="20" s="1"/>
  <c r="BC35" i="20" a="1"/>
  <c r="BC35" i="20" s="1"/>
  <c r="BC33" i="20" a="1"/>
  <c r="BC33" i="20" s="1"/>
  <c r="BC27" i="20" a="1"/>
  <c r="BC27" i="20" s="1"/>
  <c r="BC37" i="20" a="1"/>
  <c r="BC37" i="20" s="1"/>
  <c r="BC20" i="20" a="1"/>
  <c r="BC20" i="20" s="1"/>
  <c r="BC11" i="20" a="1"/>
  <c r="BC11" i="20" s="1"/>
  <c r="BC44" i="20" a="1"/>
  <c r="BC44" i="20" s="1"/>
  <c r="BC21" i="20" a="1"/>
  <c r="BC21" i="20" s="1"/>
  <c r="BC19" i="20" a="1"/>
  <c r="BC19" i="20" s="1"/>
  <c r="BC12" i="20" a="1"/>
  <c r="BC12" i="20" s="1"/>
  <c r="BC736" i="9"/>
  <c r="BC247" i="3"/>
  <c r="BD167" i="3"/>
  <c r="BD190" i="3" s="1"/>
  <c r="BD12" i="3"/>
  <c r="BD3" i="3" s="1"/>
  <c r="BD24" i="3"/>
  <c r="BD41" i="3"/>
  <c r="BE8" i="3"/>
  <c r="BD5" i="3"/>
  <c r="BD4" i="3"/>
  <c r="BD138" i="3"/>
  <c r="BC723" i="9"/>
  <c r="BC234" i="3"/>
  <c r="BC727" i="9"/>
  <c r="BC238" i="3"/>
  <c r="BC733" i="9"/>
  <c r="BC244" i="3"/>
  <c r="BD171" i="3"/>
  <c r="BD194" i="3" s="1"/>
  <c r="BC209" i="3"/>
  <c r="BC255" i="3"/>
  <c r="BC278" i="3" s="1"/>
  <c r="BB77" i="33"/>
  <c r="BB195" i="30"/>
  <c r="BB78" i="33" s="1"/>
  <c r="BC69" i="3"/>
  <c r="BC253" i="3"/>
  <c r="BC276" i="3" s="1"/>
  <c r="BC207" i="3"/>
  <c r="BC725" i="9"/>
  <c r="BC236" i="3"/>
  <c r="BC726" i="9"/>
  <c r="BC237" i="3"/>
  <c r="BD178" i="3"/>
  <c r="BD201" i="3" s="1"/>
  <c r="BB759" i="9"/>
  <c r="BC722" i="9"/>
  <c r="BC233" i="3"/>
  <c r="Q19" i="50"/>
  <c r="BB13" i="30"/>
  <c r="BB747" i="9"/>
  <c r="BC731" i="9"/>
  <c r="BC242" i="3"/>
  <c r="BB22" i="30"/>
  <c r="BB175" i="20"/>
  <c r="BD143" i="3"/>
  <c r="BD142" i="3"/>
  <c r="BB754" i="9"/>
  <c r="BB751" i="9"/>
  <c r="BB753" i="9"/>
  <c r="BC74" i="3"/>
  <c r="AX19" i="32"/>
  <c r="AX85" i="30"/>
  <c r="AX88" i="30" s="1"/>
  <c r="AX14" i="6"/>
  <c r="BC724" i="9"/>
  <c r="BC235" i="3"/>
  <c r="BB744" i="9"/>
  <c r="BD152" i="3"/>
  <c r="BD140" i="3"/>
  <c r="BC81" i="3"/>
  <c r="BC70" i="3"/>
  <c r="BC77" i="3"/>
  <c r="BC735" i="9"/>
  <c r="BC246" i="3"/>
  <c r="BC732" i="9"/>
  <c r="BC243" i="3"/>
  <c r="BC734" i="9"/>
  <c r="BC245" i="3"/>
  <c r="C92" i="23"/>
  <c r="C91" i="23" a="1"/>
  <c r="BB24" i="30" l="1"/>
  <c r="BB14" i="32" s="1"/>
  <c r="BD187" i="3"/>
  <c r="BD210" i="3" s="1"/>
  <c r="BC747" i="9"/>
  <c r="BC806" i="9"/>
  <c r="BC829" i="9" s="1"/>
  <c r="BC13" i="20"/>
  <c r="BC790" i="9"/>
  <c r="BC813" i="9" s="1"/>
  <c r="BB141" i="20"/>
  <c r="BB146" i="20" s="1"/>
  <c r="BB174" i="20" s="1"/>
  <c r="BB181" i="20" s="1"/>
  <c r="BB62" i="30" s="1"/>
  <c r="BC758" i="9"/>
  <c r="BC750" i="9"/>
  <c r="BC746" i="9"/>
  <c r="BC24" i="32"/>
  <c r="BC25" i="32" s="1"/>
  <c r="BC24" i="35" s="1"/>
  <c r="BC85" i="20"/>
  <c r="BC20" i="30" s="1"/>
  <c r="BC25" i="30"/>
  <c r="BC60" i="20"/>
  <c r="BC18" i="30" s="1"/>
  <c r="BC749" i="9"/>
  <c r="BC751" i="9"/>
  <c r="BC755" i="9"/>
  <c r="BC756" i="9"/>
  <c r="BD206" i="3"/>
  <c r="BD252" i="3"/>
  <c r="BD275" i="3" s="1"/>
  <c r="BD224" i="3"/>
  <c r="BD270" i="3"/>
  <c r="BD293" i="3" s="1"/>
  <c r="BD261" i="3"/>
  <c r="BD284" i="3" s="1"/>
  <c r="BD215" i="3"/>
  <c r="BC754" i="9"/>
  <c r="BC745" i="9"/>
  <c r="BD161" i="3"/>
  <c r="BD184" i="3" s="1"/>
  <c r="BD213" i="3"/>
  <c r="BD259" i="3"/>
  <c r="BD282" i="3" s="1"/>
  <c r="BC74" i="20"/>
  <c r="BC19" i="30" s="1"/>
  <c r="BC114" i="20"/>
  <c r="BC788" i="9"/>
  <c r="BC811" i="9" s="1"/>
  <c r="BA54" i="33"/>
  <c r="BA148" i="30"/>
  <c r="BA180" i="30" s="1"/>
  <c r="BA56" i="30"/>
  <c r="BA58" i="30" s="1"/>
  <c r="CW35" i="30"/>
  <c r="AX23" i="32"/>
  <c r="AX112" i="30"/>
  <c r="AX114" i="30"/>
  <c r="BD254" i="3"/>
  <c r="BD277" i="3" s="1"/>
  <c r="BD208" i="3"/>
  <c r="BD4" i="11"/>
  <c r="BD16" i="3"/>
  <c r="BD22" i="3"/>
  <c r="BD30" i="3"/>
  <c r="BD4" i="35"/>
  <c r="BD4" i="33"/>
  <c r="BE4" i="12"/>
  <c r="BD4" i="32"/>
  <c r="BD4" i="30"/>
  <c r="BD4" i="38"/>
  <c r="BD4" i="6"/>
  <c r="BD4" i="9"/>
  <c r="BD4" i="26"/>
  <c r="BD4" i="16"/>
  <c r="BD4" i="22"/>
  <c r="BD4" i="20"/>
  <c r="BD4" i="1"/>
  <c r="BD4" i="28"/>
  <c r="BD20" i="3"/>
  <c r="BC741" i="9"/>
  <c r="BC752" i="9"/>
  <c r="BD269" i="3"/>
  <c r="BD292" i="3" s="1"/>
  <c r="BD223" i="3"/>
  <c r="BC748" i="9"/>
  <c r="BB80" i="33"/>
  <c r="BD5" i="11"/>
  <c r="BD60" i="3"/>
  <c r="BD52" i="3"/>
  <c r="BD53" i="3"/>
  <c r="BD99" i="3" s="1"/>
  <c r="BD48" i="3"/>
  <c r="BD61" i="3"/>
  <c r="BD56" i="3"/>
  <c r="BD51" i="3"/>
  <c r="BD97" i="3" s="1"/>
  <c r="BD55" i="3"/>
  <c r="BD50" i="3"/>
  <c r="BD96" i="3" s="1"/>
  <c r="BD57" i="3"/>
  <c r="BD103" i="3" s="1"/>
  <c r="BD47" i="3"/>
  <c r="BD93" i="3" s="1"/>
  <c r="BD64" i="3"/>
  <c r="BD110" i="3" s="1"/>
  <c r="BD63" i="3"/>
  <c r="BD62" i="3"/>
  <c r="BD49" i="3"/>
  <c r="BD45" i="3"/>
  <c r="BD59" i="3"/>
  <c r="BD54" i="3"/>
  <c r="BD100" i="3" s="1"/>
  <c r="BD46" i="3"/>
  <c r="BD92" i="3" s="1"/>
  <c r="BD58" i="3"/>
  <c r="BD104" i="3" s="1"/>
  <c r="BD5" i="35"/>
  <c r="BD5" i="33"/>
  <c r="BE5" i="12"/>
  <c r="BD5" i="32"/>
  <c r="BD5" i="30"/>
  <c r="BD5" i="38"/>
  <c r="BD5" i="6"/>
  <c r="BD5" i="9"/>
  <c r="BD5" i="26"/>
  <c r="BD5" i="16"/>
  <c r="BD5" i="22"/>
  <c r="BD5" i="20"/>
  <c r="BD5" i="1"/>
  <c r="BD5" i="28"/>
  <c r="BD120" i="3"/>
  <c r="BD114" i="3"/>
  <c r="BD129" i="3"/>
  <c r="BD133" i="3"/>
  <c r="BD127" i="3"/>
  <c r="BD126" i="3"/>
  <c r="BD123" i="3"/>
  <c r="BD116" i="3"/>
  <c r="BD125" i="3"/>
  <c r="BD118" i="3"/>
  <c r="BD124" i="3"/>
  <c r="BD131" i="3"/>
  <c r="BD121" i="3"/>
  <c r="BD119" i="3"/>
  <c r="BD132" i="3"/>
  <c r="BD115" i="3"/>
  <c r="BD130" i="3"/>
  <c r="BD128" i="3"/>
  <c r="BD117" i="3"/>
  <c r="BD122" i="3"/>
  <c r="BC759" i="9"/>
  <c r="BD168" i="3"/>
  <c r="BD191" i="3" s="1"/>
  <c r="BD173" i="3"/>
  <c r="BD196" i="3" s="1"/>
  <c r="AY19" i="32"/>
  <c r="AY85" i="30"/>
  <c r="AY88" i="30" s="1"/>
  <c r="AY14" i="6"/>
  <c r="BC823" i="9"/>
  <c r="BC824" i="9"/>
  <c r="BC816" i="9"/>
  <c r="BC825" i="9"/>
  <c r="BC822" i="9"/>
  <c r="BC814" i="9"/>
  <c r="BC827" i="9"/>
  <c r="BC820" i="9"/>
  <c r="BC812" i="9"/>
  <c r="BC810" i="9"/>
  <c r="BC819" i="9"/>
  <c r="BC826" i="9"/>
  <c r="BC828" i="9"/>
  <c r="BC818" i="9"/>
  <c r="BC821" i="9"/>
  <c r="BC817" i="9"/>
  <c r="BC815" i="9"/>
  <c r="BD165" i="3"/>
  <c r="BD188" i="3" s="1"/>
  <c r="BE10" i="3"/>
  <c r="BE148" i="3" s="1"/>
  <c r="BC743" i="9"/>
  <c r="BD176" i="3"/>
  <c r="BD199" i="3" s="1"/>
  <c r="BD170" i="3"/>
  <c r="BD193" i="3" s="1"/>
  <c r="BD166" i="3"/>
  <c r="BD189" i="3" s="1"/>
  <c r="BC46" i="20"/>
  <c r="BC16" i="30" s="1"/>
  <c r="BC90" i="20"/>
  <c r="BC21" i="30" s="1"/>
  <c r="BC194" i="30"/>
  <c r="BC179" i="30"/>
  <c r="BC65" i="33" s="1"/>
  <c r="BC737" i="9"/>
  <c r="BC248" i="3"/>
  <c r="BD172" i="3"/>
  <c r="BD195" i="3" s="1"/>
  <c r="AZ212" i="30"/>
  <c r="BD174" i="3"/>
  <c r="BD197" i="3" s="1"/>
  <c r="BC757" i="9"/>
  <c r="BA136" i="30"/>
  <c r="BA137" i="30" s="1"/>
  <c r="BB256" i="6"/>
  <c r="BC719" i="9"/>
  <c r="BC230" i="3"/>
  <c r="BC721" i="9"/>
  <c r="BC232" i="3"/>
  <c r="BC29" i="20"/>
  <c r="BC14" i="30" s="1"/>
  <c r="BC23" i="20"/>
  <c r="BC53" i="20"/>
  <c r="BC17" i="30" s="1"/>
  <c r="BC96" i="20"/>
  <c r="BC44" i="30"/>
  <c r="BC45" i="30" s="1"/>
  <c r="BC154" i="20"/>
  <c r="BC753" i="9"/>
  <c r="AZ94" i="33"/>
  <c r="BD179" i="3"/>
  <c r="BD202" i="3" s="1"/>
  <c r="BD163" i="3"/>
  <c r="BD186" i="3" s="1"/>
  <c r="G53" i="50"/>
  <c r="BD3" i="11"/>
  <c r="BD14" i="3"/>
  <c r="BD3" i="35"/>
  <c r="BD3" i="33"/>
  <c r="BE3" i="12"/>
  <c r="BD3" i="32"/>
  <c r="BD3" i="30"/>
  <c r="BD3" i="38"/>
  <c r="BD3" i="6"/>
  <c r="BD3" i="9"/>
  <c r="BD3" i="26"/>
  <c r="BD3" i="16"/>
  <c r="BD3" i="22"/>
  <c r="BD3" i="20"/>
  <c r="BD3" i="1"/>
  <c r="BD3" i="28"/>
  <c r="BD37" i="3"/>
  <c r="BC38" i="20"/>
  <c r="BC15" i="30" s="1"/>
  <c r="BC23" i="30"/>
  <c r="BC179" i="20"/>
  <c r="BC52" i="30"/>
  <c r="BC54" i="30" s="1"/>
  <c r="BC41" i="6"/>
  <c r="BC44" i="6" s="1"/>
  <c r="BC164" i="20"/>
  <c r="BC645" i="9"/>
  <c r="BD175" i="3"/>
  <c r="BD198" i="3" s="1"/>
  <c r="BD263" i="3"/>
  <c r="BD286" i="3" s="1"/>
  <c r="BD217" i="3"/>
  <c r="BC131" i="20"/>
  <c r="BC132" i="20" s="1"/>
  <c r="BC28" i="30" s="1"/>
  <c r="BC26" i="32" s="1"/>
  <c r="BC25" i="35" s="1"/>
  <c r="C91" i="23"/>
  <c r="E74" i="23" a="1"/>
  <c r="E74" i="23" s="1"/>
  <c r="D67" i="23" a="1"/>
  <c r="D67" i="23" s="1"/>
  <c r="D64" i="23" a="1"/>
  <c r="BB32" i="30" l="1"/>
  <c r="BB36" i="30" s="1"/>
  <c r="BC13" i="30"/>
  <c r="BD256" i="3"/>
  <c r="BD279" i="3" s="1"/>
  <c r="BD87" i="3"/>
  <c r="BD69" i="3"/>
  <c r="BE141" i="3"/>
  <c r="BD80" i="3"/>
  <c r="BE152" i="3"/>
  <c r="BD74" i="3"/>
  <c r="BB156" i="20"/>
  <c r="BB166" i="20" s="1"/>
  <c r="BB257" i="6" s="1"/>
  <c r="BB259" i="6" s="1"/>
  <c r="BD73" i="3"/>
  <c r="BE139" i="3"/>
  <c r="BE162" i="3" s="1"/>
  <c r="BE185" i="3" s="1"/>
  <c r="BE150" i="3"/>
  <c r="BE173" i="3" s="1"/>
  <c r="BE196" i="3" s="1"/>
  <c r="BE137" i="3"/>
  <c r="BE160" i="3" s="1"/>
  <c r="BE183" i="3" s="1"/>
  <c r="BE143" i="3"/>
  <c r="BE166" i="3" s="1"/>
  <c r="BE189" i="3" s="1"/>
  <c r="BE142" i="3"/>
  <c r="BE147" i="3"/>
  <c r="BE170" i="3" s="1"/>
  <c r="BE193" i="3" s="1"/>
  <c r="BE151" i="3"/>
  <c r="BE174" i="3" s="1"/>
  <c r="BE197" i="3" s="1"/>
  <c r="BE144" i="3"/>
  <c r="BE155" i="3"/>
  <c r="BE178" i="3" s="1"/>
  <c r="BC760" i="9"/>
  <c r="BC744" i="9"/>
  <c r="BD220" i="3"/>
  <c r="BD266" i="3"/>
  <c r="BD289" i="3" s="1"/>
  <c r="BD219" i="3"/>
  <c r="BD265" i="3"/>
  <c r="BD288" i="3" s="1"/>
  <c r="BD214" i="3"/>
  <c r="BD260" i="3"/>
  <c r="BD283" i="3" s="1"/>
  <c r="BD207" i="3"/>
  <c r="BD253" i="3"/>
  <c r="BD276" i="3" s="1"/>
  <c r="BE171" i="3"/>
  <c r="BE194" i="3" s="1"/>
  <c r="BD255" i="3"/>
  <c r="BD278" i="3" s="1"/>
  <c r="BD209" i="3"/>
  <c r="BD258" i="3"/>
  <c r="BD281" i="3" s="1"/>
  <c r="BD212" i="3"/>
  <c r="BD268" i="3"/>
  <c r="BD291" i="3" s="1"/>
  <c r="BD222" i="3"/>
  <c r="BD225" i="3"/>
  <c r="BD271" i="3"/>
  <c r="BD294" i="3" s="1"/>
  <c r="BD257" i="3"/>
  <c r="BD280" i="3" s="1"/>
  <c r="BD211" i="3"/>
  <c r="BC72" i="30"/>
  <c r="BC74" i="30" s="1"/>
  <c r="BD40" i="6"/>
  <c r="BC12" i="6"/>
  <c r="BD174" i="26"/>
  <c r="BD196" i="26"/>
  <c r="BD69" i="26"/>
  <c r="BD138" i="26"/>
  <c r="BD122" i="26"/>
  <c r="BD116" i="26"/>
  <c r="BD124" i="26"/>
  <c r="BD94" i="26"/>
  <c r="BD85" i="26"/>
  <c r="BD195" i="26"/>
  <c r="BD203" i="26"/>
  <c r="BD148" i="26"/>
  <c r="BD151" i="26"/>
  <c r="BD137" i="26"/>
  <c r="BD61" i="26"/>
  <c r="BD121" i="26"/>
  <c r="BD115" i="26"/>
  <c r="BD96" i="26"/>
  <c r="BD118" i="26"/>
  <c r="BD74" i="26"/>
  <c r="BD63" i="26"/>
  <c r="BD180" i="26"/>
  <c r="BD184" i="26"/>
  <c r="BD140" i="26"/>
  <c r="BD178" i="26"/>
  <c r="BD125" i="26"/>
  <c r="BD149" i="26"/>
  <c r="BD120" i="26"/>
  <c r="BD86" i="26"/>
  <c r="BD93" i="26"/>
  <c r="BD111" i="26"/>
  <c r="BD68" i="26"/>
  <c r="BD60" i="26"/>
  <c r="BD185" i="26"/>
  <c r="BD198" i="26"/>
  <c r="BD202" i="26"/>
  <c r="BD182" i="26"/>
  <c r="BD117" i="26"/>
  <c r="BD144" i="26"/>
  <c r="BD92" i="26"/>
  <c r="BD65" i="26"/>
  <c r="BD71" i="26"/>
  <c r="BD97" i="26"/>
  <c r="BD173" i="26"/>
  <c r="BD62" i="26"/>
  <c r="BD181" i="26"/>
  <c r="BD205" i="26"/>
  <c r="BD147" i="26"/>
  <c r="BD99" i="26"/>
  <c r="BD114" i="26"/>
  <c r="BD89" i="26"/>
  <c r="BD64" i="26"/>
  <c r="BD146" i="26"/>
  <c r="BD73" i="26"/>
  <c r="BD119" i="26"/>
  <c r="BD206" i="26"/>
  <c r="BD183" i="26"/>
  <c r="BD197" i="26"/>
  <c r="BD207" i="26"/>
  <c r="BD95" i="26"/>
  <c r="BD98" i="26"/>
  <c r="BD70" i="26"/>
  <c r="BD66" i="26"/>
  <c r="BD143" i="26"/>
  <c r="BD72" i="26"/>
  <c r="BD113" i="26"/>
  <c r="BD209" i="26"/>
  <c r="BD201" i="26"/>
  <c r="BD208" i="26"/>
  <c r="BD204" i="26"/>
  <c r="BD91" i="26"/>
  <c r="BD150" i="26"/>
  <c r="BD177" i="26"/>
  <c r="BD175" i="26"/>
  <c r="BD123" i="26"/>
  <c r="BD67" i="26"/>
  <c r="BD112" i="26"/>
  <c r="BD172" i="26"/>
  <c r="BD176" i="26"/>
  <c r="BD200" i="26"/>
  <c r="BD199" i="26"/>
  <c r="BD87" i="26"/>
  <c r="BD139" i="26"/>
  <c r="BD141" i="26"/>
  <c r="BD142" i="26"/>
  <c r="BD90" i="26"/>
  <c r="BD145" i="26"/>
  <c r="BD88" i="26"/>
  <c r="BD179" i="26"/>
  <c r="BD171" i="26"/>
  <c r="BD109" i="3"/>
  <c r="BD86" i="3"/>
  <c r="BD102" i="3"/>
  <c r="BD79" i="3"/>
  <c r="BD180" i="20" a="1"/>
  <c r="BD180" i="20" s="1"/>
  <c r="BD162" i="20" a="1"/>
  <c r="BD162" i="20" s="1"/>
  <c r="BD153" i="20" a="1"/>
  <c r="BD153" i="20" s="1"/>
  <c r="BD150" i="20" a="1"/>
  <c r="BD150" i="20" s="1"/>
  <c r="BD41" i="30" s="1"/>
  <c r="BD129" i="20" a="1"/>
  <c r="BD129" i="20" s="1"/>
  <c r="BD130" i="20" a="1"/>
  <c r="BD130" i="20" s="1"/>
  <c r="BD127" i="20" a="1"/>
  <c r="BD127" i="20" s="1"/>
  <c r="BD135" i="20" a="1"/>
  <c r="BD135" i="20" s="1"/>
  <c r="BD137" i="20" s="1"/>
  <c r="BD29" i="30" s="1"/>
  <c r="BD128" i="20" a="1"/>
  <c r="BD128" i="20" s="1"/>
  <c r="BD122" i="20" a="1"/>
  <c r="BD122" i="20" s="1"/>
  <c r="BD118" i="20" a="1"/>
  <c r="BD118" i="20" s="1"/>
  <c r="BD124" i="20" a="1"/>
  <c r="BD124" i="20" s="1"/>
  <c r="BD123" i="20" a="1"/>
  <c r="BD123" i="20" s="1"/>
  <c r="BD119" i="20" a="1"/>
  <c r="BD119" i="20" s="1"/>
  <c r="BD125" i="20" a="1"/>
  <c r="BD125" i="20" s="1"/>
  <c r="BD120" i="20" a="1"/>
  <c r="BD120" i="20" s="1"/>
  <c r="BD117" i="20" a="1"/>
  <c r="BD117" i="20" s="1"/>
  <c r="BD121" i="20" a="1"/>
  <c r="BD121" i="20" s="1"/>
  <c r="BD105" i="20" a="1"/>
  <c r="BD105" i="20" s="1"/>
  <c r="BD112" i="20" a="1"/>
  <c r="BD112" i="20" s="1"/>
  <c r="BD108" i="20" a="1"/>
  <c r="BD108" i="20" s="1"/>
  <c r="BD109" i="20" a="1"/>
  <c r="BD109" i="20" s="1"/>
  <c r="BD110" i="20" a="1"/>
  <c r="BD110" i="20" s="1"/>
  <c r="BD106" i="20" a="1"/>
  <c r="BD106" i="20" s="1"/>
  <c r="BD107" i="20" a="1"/>
  <c r="BD107" i="20" s="1"/>
  <c r="BD111" i="20" a="1"/>
  <c r="BD111" i="20" s="1"/>
  <c r="BD94" i="20" a="1"/>
  <c r="BD94" i="20" s="1"/>
  <c r="BD89" i="20" a="1"/>
  <c r="BD89" i="20" s="1"/>
  <c r="BD84" i="20" a="1"/>
  <c r="BD84" i="20" s="1"/>
  <c r="BD80" i="20" a="1"/>
  <c r="BD80" i="20" s="1"/>
  <c r="BD71" i="20" a="1"/>
  <c r="BD71" i="20" s="1"/>
  <c r="BD67" i="20" a="1"/>
  <c r="BD67" i="20" s="1"/>
  <c r="BD50" i="20" a="1"/>
  <c r="BD50" i="20" s="1"/>
  <c r="BD98" i="20" a="1"/>
  <c r="BD98" i="20" s="1"/>
  <c r="BD100" i="20" s="1"/>
  <c r="BD95" i="20" a="1"/>
  <c r="BD95" i="20" s="1"/>
  <c r="BD81" i="20" a="1"/>
  <c r="BD81" i="20" s="1"/>
  <c r="BD77" i="20" a="1"/>
  <c r="BD77" i="20" s="1"/>
  <c r="BD72" i="20" a="1"/>
  <c r="BD72" i="20" s="1"/>
  <c r="BD68" i="20" a="1"/>
  <c r="BD68" i="20" s="1"/>
  <c r="BD64" i="20" a="1"/>
  <c r="BD64" i="20" s="1"/>
  <c r="BD58" i="20" a="1"/>
  <c r="BD58" i="20" s="1"/>
  <c r="BD51" i="20" a="1"/>
  <c r="BD51" i="20" s="1"/>
  <c r="BD43" i="20" a="1"/>
  <c r="BD43" i="20" s="1"/>
  <c r="BD35" i="20" a="1"/>
  <c r="BD35" i="20" s="1"/>
  <c r="BD27" i="20" a="1"/>
  <c r="BD27" i="20" s="1"/>
  <c r="BD19" i="20" a="1"/>
  <c r="BD19" i="20" s="1"/>
  <c r="BD11" i="20" a="1"/>
  <c r="BD11" i="20" s="1"/>
  <c r="BD44" i="20" a="1"/>
  <c r="BD44" i="20" s="1"/>
  <c r="BD82" i="20" a="1"/>
  <c r="BD82" i="20" s="1"/>
  <c r="BD78" i="20" a="1"/>
  <c r="BD78" i="20" s="1"/>
  <c r="BD73" i="20" a="1"/>
  <c r="BD73" i="20" s="1"/>
  <c r="BD69" i="20" a="1"/>
  <c r="BD69" i="20" s="1"/>
  <c r="BD65" i="20" a="1"/>
  <c r="BD65" i="20" s="1"/>
  <c r="BD54" i="20" a="1"/>
  <c r="BD54" i="20" s="1"/>
  <c r="BD52" i="20" a="1"/>
  <c r="BD52" i="20" s="1"/>
  <c r="BD59" i="20" a="1"/>
  <c r="BD59" i="20" s="1"/>
  <c r="BD93" i="20" a="1"/>
  <c r="BD93" i="20" s="1"/>
  <c r="BD88" i="20" a="1"/>
  <c r="BD88" i="20" s="1"/>
  <c r="BD83" i="20" a="1"/>
  <c r="BD83" i="20" s="1"/>
  <c r="BD79" i="20" a="1"/>
  <c r="BD79" i="20" s="1"/>
  <c r="BD70" i="20" a="1"/>
  <c r="BD70" i="20" s="1"/>
  <c r="BD66" i="20" a="1"/>
  <c r="BD66" i="20" s="1"/>
  <c r="BD47" i="20" a="1"/>
  <c r="BD47" i="20" s="1"/>
  <c r="BD45" i="20" a="1"/>
  <c r="BD45" i="20" s="1"/>
  <c r="BD61" i="20" a="1"/>
  <c r="BD61" i="20" s="1"/>
  <c r="BD57" i="20" a="1"/>
  <c r="BD57" i="20" s="1"/>
  <c r="BD22" i="20" a="1"/>
  <c r="BD22" i="20" s="1"/>
  <c r="BD17" i="20" a="1"/>
  <c r="BD17" i="20" s="1"/>
  <c r="BD12" i="20" a="1"/>
  <c r="BD12" i="20" s="1"/>
  <c r="BD18" i="20" a="1"/>
  <c r="BD18" i="20" s="1"/>
  <c r="BD42" i="20" a="1"/>
  <c r="BD42" i="20" s="1"/>
  <c r="BD39" i="20" a="1"/>
  <c r="BD39" i="20" s="1"/>
  <c r="BD33" i="20" a="1"/>
  <c r="BD33" i="20" s="1"/>
  <c r="BD37" i="20" a="1"/>
  <c r="BD37" i="20" s="1"/>
  <c r="BD34" i="20" a="1"/>
  <c r="BD34" i="20" s="1"/>
  <c r="BD20" i="20" a="1"/>
  <c r="BD20" i="20" s="1"/>
  <c r="BD24" i="20" a="1"/>
  <c r="BD24" i="20" s="1"/>
  <c r="BD36" i="20" a="1"/>
  <c r="BD36" i="20" s="1"/>
  <c r="BD28" i="20" a="1"/>
  <c r="BD28" i="20" s="1"/>
  <c r="BD21" i="20" a="1"/>
  <c r="BD21" i="20" s="1"/>
  <c r="BD14" i="20" a="1"/>
  <c r="BD14" i="20" s="1"/>
  <c r="BD30" i="20" a="1"/>
  <c r="BD30" i="20" s="1"/>
  <c r="BD725" i="9"/>
  <c r="BD236" i="3"/>
  <c r="BD727" i="9"/>
  <c r="BD238" i="3"/>
  <c r="BC77" i="33"/>
  <c r="BC195" i="30"/>
  <c r="BC78" i="33" s="1"/>
  <c r="BE167" i="3"/>
  <c r="BE190" i="3" s="1"/>
  <c r="BD722" i="9"/>
  <c r="BD233" i="3"/>
  <c r="BD434" i="9"/>
  <c r="BD415" i="9"/>
  <c r="BD368" i="9"/>
  <c r="BD263" i="9"/>
  <c r="BD216" i="9"/>
  <c r="BD396" i="9"/>
  <c r="BD349" i="9"/>
  <c r="BD425" i="9"/>
  <c r="BD406" i="9"/>
  <c r="BD339" i="9"/>
  <c r="BD330" i="9"/>
  <c r="BD168" i="9"/>
  <c r="BD121" i="9"/>
  <c r="BD254" i="9"/>
  <c r="BD149" i="9"/>
  <c r="BD102" i="9"/>
  <c r="BD292" i="9"/>
  <c r="BD377" i="9"/>
  <c r="BD387" i="9"/>
  <c r="BD311" i="9"/>
  <c r="BD301" i="9"/>
  <c r="BD244" i="9"/>
  <c r="BD197" i="9"/>
  <c r="BD320" i="9"/>
  <c r="BD273" i="9"/>
  <c r="BD235" i="9"/>
  <c r="BD206" i="9"/>
  <c r="BD358" i="9"/>
  <c r="BD282" i="9"/>
  <c r="BD159" i="9"/>
  <c r="BD140" i="9"/>
  <c r="BD92" i="9"/>
  <c r="BD64" i="9"/>
  <c r="BD73" i="9"/>
  <c r="BD225" i="9"/>
  <c r="BD130" i="9"/>
  <c r="BD111" i="9"/>
  <c r="BD187" i="9"/>
  <c r="BD178" i="9"/>
  <c r="BD83" i="9"/>
  <c r="BD107" i="3"/>
  <c r="BD84" i="3"/>
  <c r="BD98" i="3"/>
  <c r="BD75" i="3"/>
  <c r="BD720" i="9"/>
  <c r="BD231" i="3"/>
  <c r="BC742" i="9"/>
  <c r="AZ96" i="33"/>
  <c r="AZ101" i="33" s="1"/>
  <c r="AZ104" i="33" s="1"/>
  <c r="BA211" i="30"/>
  <c r="AZ214" i="30"/>
  <c r="AZ217" i="30" s="1"/>
  <c r="AZ83" i="6"/>
  <c r="BE175" i="3"/>
  <c r="BE198" i="3" s="1"/>
  <c r="BE165" i="3"/>
  <c r="BE188" i="3" s="1"/>
  <c r="BD94" i="3"/>
  <c r="BD71" i="3"/>
  <c r="BD106" i="3"/>
  <c r="BD83" i="3"/>
  <c r="BA82" i="35"/>
  <c r="BA67" i="33"/>
  <c r="BA69" i="33" s="1"/>
  <c r="BA31" i="32"/>
  <c r="BA27" i="32"/>
  <c r="BA208" i="30"/>
  <c r="BA92" i="33" s="1"/>
  <c r="BC22" i="30"/>
  <c r="BC175" i="20"/>
  <c r="BE145" i="3"/>
  <c r="BE140" i="3"/>
  <c r="BB47" i="30"/>
  <c r="BB38" i="30"/>
  <c r="BD76" i="3"/>
  <c r="BD736" i="9"/>
  <c r="BD247" i="3"/>
  <c r="BC102" i="20"/>
  <c r="BD105" i="3"/>
  <c r="BD82" i="3"/>
  <c r="BD735" i="9"/>
  <c r="BD246" i="3"/>
  <c r="BD711" i="9"/>
  <c r="BD780" i="9" s="1"/>
  <c r="BD803" i="9" s="1"/>
  <c r="BD703" i="9"/>
  <c r="BD772" i="9" s="1"/>
  <c r="BD795" i="9" s="1"/>
  <c r="BD695" i="9"/>
  <c r="BD764" i="9" s="1"/>
  <c r="BD787" i="9" s="1"/>
  <c r="BD714" i="9"/>
  <c r="BD783" i="9" s="1"/>
  <c r="BD713" i="9"/>
  <c r="BD782" i="9" s="1"/>
  <c r="BD805" i="9" s="1"/>
  <c r="BD702" i="9"/>
  <c r="BD771" i="9" s="1"/>
  <c r="BD794" i="9" s="1"/>
  <c r="BD700" i="9"/>
  <c r="BD769" i="9" s="1"/>
  <c r="BD792" i="9" s="1"/>
  <c r="BD697" i="9"/>
  <c r="BD766" i="9" s="1"/>
  <c r="BD789" i="9" s="1"/>
  <c r="BD707" i="9"/>
  <c r="BD776" i="9" s="1"/>
  <c r="BD709" i="9"/>
  <c r="BD778" i="9" s="1"/>
  <c r="BD801" i="9" s="1"/>
  <c r="BD704" i="9"/>
  <c r="BD773" i="9" s="1"/>
  <c r="BD796" i="9" s="1"/>
  <c r="BD699" i="9"/>
  <c r="BD768" i="9" s="1"/>
  <c r="BD791" i="9" s="1"/>
  <c r="BD706" i="9"/>
  <c r="BD775" i="9" s="1"/>
  <c r="BD798" i="9" s="1"/>
  <c r="BD701" i="9"/>
  <c r="BD770" i="9" s="1"/>
  <c r="BD696" i="9"/>
  <c r="BD765" i="9" s="1"/>
  <c r="BD788" i="9" s="1"/>
  <c r="BD712" i="9"/>
  <c r="BD781" i="9" s="1"/>
  <c r="BD804" i="9" s="1"/>
  <c r="BD710" i="9"/>
  <c r="BD779" i="9" s="1"/>
  <c r="BD708" i="9"/>
  <c r="BD777" i="9" s="1"/>
  <c r="BD705" i="9"/>
  <c r="BD774" i="9" s="1"/>
  <c r="BD698" i="9"/>
  <c r="BD767" i="9" s="1"/>
  <c r="BD216" i="3"/>
  <c r="BD262" i="3"/>
  <c r="BD285" i="3" s="1"/>
  <c r="BD729" i="9"/>
  <c r="BD240" i="3"/>
  <c r="BD264" i="3"/>
  <c r="BD287" i="3" s="1"/>
  <c r="BD218" i="3"/>
  <c r="BE164" i="3"/>
  <c r="BE187" i="3" s="1"/>
  <c r="BB28" i="32"/>
  <c r="BB33" i="32"/>
  <c r="BE156" i="3"/>
  <c r="BE153" i="3"/>
  <c r="BE149" i="3"/>
  <c r="BD91" i="3"/>
  <c r="BD68" i="3"/>
  <c r="BD101" i="3"/>
  <c r="BD78" i="3"/>
  <c r="BC27" i="30"/>
  <c r="BC30" i="30" s="1"/>
  <c r="BC139" i="20"/>
  <c r="BD718" i="9"/>
  <c r="BD229" i="3"/>
  <c r="BD221" i="3"/>
  <c r="BD267" i="3"/>
  <c r="BD290" i="3" s="1"/>
  <c r="BD81" i="3"/>
  <c r="BE138" i="3"/>
  <c r="BE146" i="3"/>
  <c r="AY23" i="32"/>
  <c r="AY112" i="30"/>
  <c r="AY114" i="30"/>
  <c r="BD95" i="3"/>
  <c r="BD72" i="3"/>
  <c r="BD28" i="3"/>
  <c r="BD26" i="3"/>
  <c r="BD70" i="3"/>
  <c r="BE24" i="3"/>
  <c r="BE12" i="3"/>
  <c r="BE3" i="3" s="1"/>
  <c r="BE41" i="3"/>
  <c r="BF8" i="3"/>
  <c r="BE5" i="3"/>
  <c r="BE4" i="3"/>
  <c r="BE154" i="3"/>
  <c r="BD108" i="3"/>
  <c r="BD85" i="3"/>
  <c r="BD18" i="3"/>
  <c r="BD77" i="3"/>
  <c r="D64" i="23"/>
  <c r="D62" i="23" a="1"/>
  <c r="BC24" i="30" l="1"/>
  <c r="BD793" i="9"/>
  <c r="BD816" i="9" s="1"/>
  <c r="BB170" i="20"/>
  <c r="BB60" i="30" s="1"/>
  <c r="BD799" i="9"/>
  <c r="BD822" i="9" s="1"/>
  <c r="BE201" i="3"/>
  <c r="BE270" i="3" s="1"/>
  <c r="BE293" i="3" s="1"/>
  <c r="BD797" i="9"/>
  <c r="BD820" i="9" s="1"/>
  <c r="BD745" i="9"/>
  <c r="BD790" i="9"/>
  <c r="BD813" i="9" s="1"/>
  <c r="BD743" i="9"/>
  <c r="BD806" i="9"/>
  <c r="BD46" i="20"/>
  <c r="BD16" i="30" s="1"/>
  <c r="BD13" i="20"/>
  <c r="BD800" i="9"/>
  <c r="BD823" i="9" s="1"/>
  <c r="BD90" i="20"/>
  <c r="BD21" i="30" s="1"/>
  <c r="BD96" i="20"/>
  <c r="BD22" i="30" s="1"/>
  <c r="BD131" i="20"/>
  <c r="BD132" i="20" s="1"/>
  <c r="BD28" i="30" s="1"/>
  <c r="BD26" i="32" s="1"/>
  <c r="BD25" i="35" s="1"/>
  <c r="BD802" i="9"/>
  <c r="BD825" i="9" s="1"/>
  <c r="BA94" i="33"/>
  <c r="BB136" i="30"/>
  <c r="BB137" i="30" s="1"/>
  <c r="BC256" i="6"/>
  <c r="BE210" i="3"/>
  <c r="BE256" i="3"/>
  <c r="BE279" i="3" s="1"/>
  <c r="BC14" i="32"/>
  <c r="BC32" i="30"/>
  <c r="BC36" i="30" s="1"/>
  <c r="BE220" i="3"/>
  <c r="BE266" i="3"/>
  <c r="BE289" i="3" s="1"/>
  <c r="BE206" i="3"/>
  <c r="BE252" i="3"/>
  <c r="BE275" i="3" s="1"/>
  <c r="BE259" i="3"/>
  <c r="BE282" i="3" s="1"/>
  <c r="BE213" i="3"/>
  <c r="BE258" i="3"/>
  <c r="BE281" i="3" s="1"/>
  <c r="BE212" i="3"/>
  <c r="BF10" i="3"/>
  <c r="BF151" i="3" s="1"/>
  <c r="BE168" i="3"/>
  <c r="BE191" i="3" s="1"/>
  <c r="BE211" i="3"/>
  <c r="BE257" i="3"/>
  <c r="BE280" i="3" s="1"/>
  <c r="BC80" i="33"/>
  <c r="BD60" i="20"/>
  <c r="BD18" i="30" s="1"/>
  <c r="BD23" i="30"/>
  <c r="BD179" i="20"/>
  <c r="BD52" i="30"/>
  <c r="BD54" i="30" s="1"/>
  <c r="BD41" i="6"/>
  <c r="BD44" i="6" s="1"/>
  <c r="BD164" i="20"/>
  <c r="BD724" i="9"/>
  <c r="BD235" i="3"/>
  <c r="BE177" i="3"/>
  <c r="BE200" i="3" s="1"/>
  <c r="BE176" i="3"/>
  <c r="BE199" i="3" s="1"/>
  <c r="BD752" i="9"/>
  <c r="BD758" i="9"/>
  <c r="BE208" i="3"/>
  <c r="BE254" i="3"/>
  <c r="BE277" i="3" s="1"/>
  <c r="BD25" i="30"/>
  <c r="BD38" i="20"/>
  <c r="BD15" i="30" s="1"/>
  <c r="BD175" i="20"/>
  <c r="BD53" i="20"/>
  <c r="BD17" i="30" s="1"/>
  <c r="BD719" i="9"/>
  <c r="BD230" i="3"/>
  <c r="BD824" i="9"/>
  <c r="BD817" i="9"/>
  <c r="BD826" i="9"/>
  <c r="BD815" i="9"/>
  <c r="BD819" i="9"/>
  <c r="BD829" i="9"/>
  <c r="BD828" i="9"/>
  <c r="BD818" i="9"/>
  <c r="BD821" i="9"/>
  <c r="BD827" i="9"/>
  <c r="BD814" i="9"/>
  <c r="BD812" i="9"/>
  <c r="BD811" i="9"/>
  <c r="BD810" i="9"/>
  <c r="BE161" i="3"/>
  <c r="BE184" i="3" s="1"/>
  <c r="BE172" i="3"/>
  <c r="BE195" i="3" s="1"/>
  <c r="BE4" i="11"/>
  <c r="BE16" i="3"/>
  <c r="BE22" i="3"/>
  <c r="BE30" i="3"/>
  <c r="BE4" i="35"/>
  <c r="BE4" i="33"/>
  <c r="BF4" i="12"/>
  <c r="BE4" i="32"/>
  <c r="BE4" i="30"/>
  <c r="BE4" i="38"/>
  <c r="BE4" i="6"/>
  <c r="BE4" i="9"/>
  <c r="BE4" i="26"/>
  <c r="BE4" i="16"/>
  <c r="BE4" i="22"/>
  <c r="BE4" i="20"/>
  <c r="BE4" i="1"/>
  <c r="BE4" i="28"/>
  <c r="BE20" i="3"/>
  <c r="BE179" i="3"/>
  <c r="BE202" i="3" s="1"/>
  <c r="BE267" i="3"/>
  <c r="BE290" i="3" s="1"/>
  <c r="BE221" i="3"/>
  <c r="BD74" i="20"/>
  <c r="BD19" i="30" s="1"/>
  <c r="BD723" i="9"/>
  <c r="BD234" i="3"/>
  <c r="BE5" i="11"/>
  <c r="BE63" i="3"/>
  <c r="BE109" i="3" s="1"/>
  <c r="BE55" i="3"/>
  <c r="BE101" i="3" s="1"/>
  <c r="BE47" i="3"/>
  <c r="BE93" i="3" s="1"/>
  <c r="BE61" i="3"/>
  <c r="BE107" i="3" s="1"/>
  <c r="BE56" i="3"/>
  <c r="BE102" i="3" s="1"/>
  <c r="BE51" i="3"/>
  <c r="BE64" i="3"/>
  <c r="BE59" i="3"/>
  <c r="BE105" i="3" s="1"/>
  <c r="BE58" i="3"/>
  <c r="BE104" i="3" s="1"/>
  <c r="BE62" i="3"/>
  <c r="BE108" i="3" s="1"/>
  <c r="BE60" i="3"/>
  <c r="BE106" i="3" s="1"/>
  <c r="BE48" i="3"/>
  <c r="BE94" i="3" s="1"/>
  <c r="BE49" i="3"/>
  <c r="BE95" i="3" s="1"/>
  <c r="BE45" i="3"/>
  <c r="BE91" i="3" s="1"/>
  <c r="BE54" i="3"/>
  <c r="BE100" i="3" s="1"/>
  <c r="BE53" i="3"/>
  <c r="BE99" i="3" s="1"/>
  <c r="BE50" i="3"/>
  <c r="BE46" i="3"/>
  <c r="BE52" i="3"/>
  <c r="BE98" i="3" s="1"/>
  <c r="BE57" i="3"/>
  <c r="BE5" i="35"/>
  <c r="BE5" i="33"/>
  <c r="BF5" i="12"/>
  <c r="BE5" i="32"/>
  <c r="BE5" i="30"/>
  <c r="BE5" i="38"/>
  <c r="BE5" i="6"/>
  <c r="BE5" i="9"/>
  <c r="BE5" i="26"/>
  <c r="BE5" i="16"/>
  <c r="BE5" i="22"/>
  <c r="BE5" i="20"/>
  <c r="BE5" i="1"/>
  <c r="BE5" i="28"/>
  <c r="BE123" i="3"/>
  <c r="BE120" i="3"/>
  <c r="BE118" i="3"/>
  <c r="BE115" i="3"/>
  <c r="BE121" i="3"/>
  <c r="BE129" i="3"/>
  <c r="BE133" i="3"/>
  <c r="BE126" i="3"/>
  <c r="BE132" i="3"/>
  <c r="BE122" i="3"/>
  <c r="BE127" i="3"/>
  <c r="BE130" i="3"/>
  <c r="BE119" i="3"/>
  <c r="BE116" i="3"/>
  <c r="BE128" i="3"/>
  <c r="BE117" i="3"/>
  <c r="BE114" i="3"/>
  <c r="BE131" i="3"/>
  <c r="BE124" i="3"/>
  <c r="BE125" i="3"/>
  <c r="BD733" i="9"/>
  <c r="BD244" i="3"/>
  <c r="BE265" i="3"/>
  <c r="BE288" i="3" s="1"/>
  <c r="BE219" i="3"/>
  <c r="AZ19" i="32"/>
  <c r="AZ85" i="30"/>
  <c r="AZ88" i="30" s="1"/>
  <c r="AZ14" i="6"/>
  <c r="BE262" i="3"/>
  <c r="BE285" i="3" s="1"/>
  <c r="BE216" i="3"/>
  <c r="BD721" i="9"/>
  <c r="BD232" i="3"/>
  <c r="BD726" i="9"/>
  <c r="BD237" i="3"/>
  <c r="BD730" i="9"/>
  <c r="BD241" i="3"/>
  <c r="BD24" i="32"/>
  <c r="BD25" i="32" s="1"/>
  <c r="BD24" i="35" s="1"/>
  <c r="BD741" i="9"/>
  <c r="BC141" i="20"/>
  <c r="BC146" i="20" s="1"/>
  <c r="BA212" i="30"/>
  <c r="BD750" i="9"/>
  <c r="BD29" i="20"/>
  <c r="BD14" i="30" s="1"/>
  <c r="BD85" i="20"/>
  <c r="BD20" i="30" s="1"/>
  <c r="BD737" i="9"/>
  <c r="BD248" i="3"/>
  <c r="BD731" i="9"/>
  <c r="BD242" i="3"/>
  <c r="BB54" i="33"/>
  <c r="BB148" i="30"/>
  <c r="BB180" i="30" s="1"/>
  <c r="BB56" i="30"/>
  <c r="BB58" i="30" s="1"/>
  <c r="BD23" i="20"/>
  <c r="BD194" i="30"/>
  <c r="BD179" i="30"/>
  <c r="BD65" i="33" s="1"/>
  <c r="BD734" i="9"/>
  <c r="BD245" i="3"/>
  <c r="BE3" i="11"/>
  <c r="BE14" i="3"/>
  <c r="BE3" i="35"/>
  <c r="BE3" i="33"/>
  <c r="BF3" i="12"/>
  <c r="BE3" i="32"/>
  <c r="BE3" i="30"/>
  <c r="BE3" i="38"/>
  <c r="BE3" i="6"/>
  <c r="BE3" i="9"/>
  <c r="BE3" i="26"/>
  <c r="BE3" i="16"/>
  <c r="BE3" i="22"/>
  <c r="BE3" i="20"/>
  <c r="BE3" i="1"/>
  <c r="BE3" i="28"/>
  <c r="BE37" i="3"/>
  <c r="BE169" i="3"/>
  <c r="BE192" i="3" s="1"/>
  <c r="BD728" i="9"/>
  <c r="BD239" i="3"/>
  <c r="BD759" i="9"/>
  <c r="BE163" i="3"/>
  <c r="BE186" i="3" s="1"/>
  <c r="BD645" i="9"/>
  <c r="BD748" i="9"/>
  <c r="BD114" i="20"/>
  <c r="BD44" i="30"/>
  <c r="BD45" i="30" s="1"/>
  <c r="BD154" i="20"/>
  <c r="BE263" i="3"/>
  <c r="BE286" i="3" s="1"/>
  <c r="BE217" i="3"/>
  <c r="BD732" i="9"/>
  <c r="BD243" i="3"/>
  <c r="D62" i="23"/>
  <c r="D59" i="23" a="1"/>
  <c r="BD13" i="30" l="1"/>
  <c r="BD24" i="30" s="1"/>
  <c r="BD14" i="32" s="1"/>
  <c r="BE75" i="3"/>
  <c r="BF147" i="3"/>
  <c r="BF170" i="3" s="1"/>
  <c r="BF193" i="3" s="1"/>
  <c r="BE85" i="3"/>
  <c r="BE224" i="3"/>
  <c r="BE77" i="3"/>
  <c r="BE84" i="3"/>
  <c r="BE86" i="3"/>
  <c r="BD751" i="9"/>
  <c r="BF138" i="3"/>
  <c r="BF153" i="3"/>
  <c r="BF176" i="3" s="1"/>
  <c r="BF199" i="3" s="1"/>
  <c r="BD749" i="9"/>
  <c r="BE82" i="3"/>
  <c r="BD757" i="9"/>
  <c r="BD754" i="9"/>
  <c r="BF137" i="3"/>
  <c r="BF160" i="3" s="1"/>
  <c r="BF183" i="3" s="1"/>
  <c r="BF148" i="3"/>
  <c r="BF171" i="3" s="1"/>
  <c r="BF194" i="3" s="1"/>
  <c r="BD744" i="9"/>
  <c r="BD756" i="9"/>
  <c r="BD747" i="9"/>
  <c r="BD753" i="9"/>
  <c r="BE261" i="3"/>
  <c r="BE284" i="3" s="1"/>
  <c r="BE215" i="3"/>
  <c r="BE260" i="3"/>
  <c r="BE283" i="3" s="1"/>
  <c r="BE214" i="3"/>
  <c r="BE209" i="3"/>
  <c r="BE255" i="3"/>
  <c r="BE278" i="3" s="1"/>
  <c r="BE223" i="3"/>
  <c r="BE269" i="3"/>
  <c r="BE292" i="3" s="1"/>
  <c r="BF174" i="3"/>
  <c r="BF197" i="3" s="1"/>
  <c r="BD755" i="9"/>
  <c r="BE728" i="9"/>
  <c r="BE239" i="3"/>
  <c r="BE68" i="3"/>
  <c r="BE713" i="9"/>
  <c r="BE782" i="9" s="1"/>
  <c r="BE805" i="9" s="1"/>
  <c r="BE708" i="9"/>
  <c r="BE777" i="9" s="1"/>
  <c r="BE800" i="9" s="1"/>
  <c r="BE700" i="9"/>
  <c r="BE769" i="9" s="1"/>
  <c r="BE792" i="9" s="1"/>
  <c r="BE707" i="9"/>
  <c r="BE776" i="9" s="1"/>
  <c r="BE709" i="9"/>
  <c r="BE778" i="9" s="1"/>
  <c r="BE801" i="9" s="1"/>
  <c r="BE704" i="9"/>
  <c r="BE773" i="9" s="1"/>
  <c r="BE699" i="9"/>
  <c r="BE768" i="9" s="1"/>
  <c r="BE791" i="9" s="1"/>
  <c r="BE711" i="9"/>
  <c r="BE780" i="9" s="1"/>
  <c r="BE706" i="9"/>
  <c r="BE775" i="9" s="1"/>
  <c r="BE798" i="9" s="1"/>
  <c r="BE701" i="9"/>
  <c r="BE770" i="9" s="1"/>
  <c r="BE793" i="9" s="1"/>
  <c r="BE696" i="9"/>
  <c r="BE765" i="9" s="1"/>
  <c r="BE712" i="9"/>
  <c r="BE781" i="9" s="1"/>
  <c r="BE710" i="9"/>
  <c r="BE779" i="9" s="1"/>
  <c r="BE802" i="9" s="1"/>
  <c r="BE705" i="9"/>
  <c r="BE774" i="9" s="1"/>
  <c r="BE797" i="9" s="1"/>
  <c r="BE703" i="9"/>
  <c r="BE772" i="9" s="1"/>
  <c r="BE698" i="9"/>
  <c r="BE767" i="9" s="1"/>
  <c r="BE714" i="9"/>
  <c r="BE783" i="9" s="1"/>
  <c r="BE702" i="9"/>
  <c r="BE771" i="9" s="1"/>
  <c r="BE794" i="9" s="1"/>
  <c r="BE697" i="9"/>
  <c r="BE766" i="9" s="1"/>
  <c r="BE789" i="9" s="1"/>
  <c r="BE695" i="9"/>
  <c r="BE764" i="9" s="1"/>
  <c r="BE787" i="9" s="1"/>
  <c r="BE78" i="3"/>
  <c r="BE723" i="9"/>
  <c r="BE234" i="3"/>
  <c r="BF156" i="3"/>
  <c r="BF143" i="3"/>
  <c r="BF154" i="3"/>
  <c r="BE732" i="9"/>
  <c r="BE243" i="3"/>
  <c r="BE733" i="9"/>
  <c r="BE244" i="3"/>
  <c r="BE222" i="3"/>
  <c r="BE268" i="3"/>
  <c r="BE291" i="3" s="1"/>
  <c r="BE83" i="3"/>
  <c r="BE724" i="9"/>
  <c r="BE235" i="3"/>
  <c r="BC47" i="30"/>
  <c r="BC38" i="30"/>
  <c r="BD72" i="30"/>
  <c r="BD74" i="30" s="1"/>
  <c r="BE40" i="6"/>
  <c r="BD12" i="6"/>
  <c r="BE28" i="3"/>
  <c r="BE26" i="3"/>
  <c r="BE253" i="3"/>
  <c r="BE276" i="3" s="1"/>
  <c r="BE207" i="3"/>
  <c r="BE81" i="3"/>
  <c r="BC28" i="32"/>
  <c r="BC33" i="32"/>
  <c r="BA96" i="33"/>
  <c r="BA101" i="33" s="1"/>
  <c r="BA104" i="33" s="1"/>
  <c r="BB211" i="30"/>
  <c r="BA214" i="30"/>
  <c r="BA217" i="30" s="1"/>
  <c r="BA83" i="6"/>
  <c r="BE205" i="26"/>
  <c r="BE202" i="26"/>
  <c r="BE139" i="26"/>
  <c r="BE174" i="26"/>
  <c r="BE142" i="26"/>
  <c r="BE60" i="26"/>
  <c r="BE87" i="26"/>
  <c r="BE125" i="26"/>
  <c r="BE114" i="26"/>
  <c r="BE171" i="26"/>
  <c r="BE176" i="26"/>
  <c r="BE197" i="26"/>
  <c r="BE150" i="26"/>
  <c r="BE138" i="26"/>
  <c r="BE148" i="26"/>
  <c r="BE140" i="26"/>
  <c r="BE123" i="26"/>
  <c r="BE73" i="26"/>
  <c r="BE119" i="26"/>
  <c r="BE98" i="26"/>
  <c r="BE180" i="26"/>
  <c r="BE184" i="26"/>
  <c r="BE208" i="26"/>
  <c r="BE144" i="26"/>
  <c r="BE121" i="26"/>
  <c r="BE122" i="26"/>
  <c r="BE116" i="26"/>
  <c r="BE90" i="26"/>
  <c r="BE72" i="26"/>
  <c r="BE113" i="26"/>
  <c r="BE69" i="26"/>
  <c r="BE179" i="26"/>
  <c r="BE185" i="26"/>
  <c r="BE200" i="26"/>
  <c r="BE143" i="26"/>
  <c r="BE120" i="26"/>
  <c r="BE115" i="26"/>
  <c r="BE99" i="26"/>
  <c r="BE181" i="26"/>
  <c r="BE67" i="26"/>
  <c r="BE112" i="26"/>
  <c r="BE63" i="26"/>
  <c r="BE204" i="26"/>
  <c r="BE198" i="26"/>
  <c r="BE178" i="26"/>
  <c r="BE118" i="26"/>
  <c r="BE95" i="26"/>
  <c r="BE86" i="26"/>
  <c r="BE96" i="26"/>
  <c r="BE124" i="26"/>
  <c r="BE145" i="26"/>
  <c r="BE91" i="26"/>
  <c r="BE61" i="26"/>
  <c r="BE203" i="26"/>
  <c r="BE196" i="26"/>
  <c r="BE146" i="26"/>
  <c r="BE70" i="26"/>
  <c r="BE92" i="26"/>
  <c r="BE65" i="26"/>
  <c r="BE93" i="26"/>
  <c r="BE117" i="26"/>
  <c r="BE94" i="26"/>
  <c r="BE88" i="26"/>
  <c r="BE183" i="26"/>
  <c r="BE209" i="26"/>
  <c r="BE173" i="26"/>
  <c r="BE149" i="26"/>
  <c r="BE182" i="26"/>
  <c r="BE62" i="26"/>
  <c r="BE89" i="26"/>
  <c r="BE64" i="26"/>
  <c r="BE71" i="26"/>
  <c r="BE111" i="26"/>
  <c r="BE74" i="26"/>
  <c r="BE85" i="26"/>
  <c r="BE195" i="26"/>
  <c r="BE207" i="26"/>
  <c r="BE206" i="26"/>
  <c r="BE141" i="26"/>
  <c r="BE175" i="26"/>
  <c r="BE151" i="26"/>
  <c r="BE177" i="26"/>
  <c r="BE147" i="26"/>
  <c r="BE66" i="26"/>
  <c r="BE97" i="26"/>
  <c r="BE68" i="26"/>
  <c r="BE137" i="26"/>
  <c r="BE172" i="26"/>
  <c r="BE201" i="26"/>
  <c r="BE199" i="26"/>
  <c r="BE110" i="3"/>
  <c r="BE87" i="3"/>
  <c r="BE71" i="3"/>
  <c r="BE18" i="3"/>
  <c r="BD742" i="9"/>
  <c r="BF141" i="3"/>
  <c r="BF152" i="3"/>
  <c r="BE725" i="9"/>
  <c r="BE236" i="3"/>
  <c r="BD77" i="33"/>
  <c r="BD195" i="30"/>
  <c r="BD78" i="33" s="1"/>
  <c r="BD760" i="9"/>
  <c r="BC174" i="20"/>
  <c r="BC181" i="20" s="1"/>
  <c r="BC62" i="30" s="1"/>
  <c r="BC156" i="20"/>
  <c r="BC166" i="20" s="1"/>
  <c r="AZ23" i="32"/>
  <c r="AZ112" i="30"/>
  <c r="AZ114" i="30"/>
  <c r="BE434" i="9"/>
  <c r="BE396" i="9"/>
  <c r="BE349" i="9"/>
  <c r="BE244" i="9"/>
  <c r="BE377" i="9"/>
  <c r="BE330" i="9"/>
  <c r="BE425" i="9"/>
  <c r="BE406" i="9"/>
  <c r="BE387" i="9"/>
  <c r="BE368" i="9"/>
  <c r="BE254" i="9"/>
  <c r="BE216" i="9"/>
  <c r="BE149" i="9"/>
  <c r="BE292" i="9"/>
  <c r="BE263" i="9"/>
  <c r="BE130" i="9"/>
  <c r="BE311" i="9"/>
  <c r="BE301" i="9"/>
  <c r="BE197" i="9"/>
  <c r="BE415" i="9"/>
  <c r="BE320" i="9"/>
  <c r="BE273" i="9"/>
  <c r="BE235" i="9"/>
  <c r="BE206" i="9"/>
  <c r="BE178" i="9"/>
  <c r="BE358" i="9"/>
  <c r="BE282" i="9"/>
  <c r="BE225" i="9"/>
  <c r="BE187" i="9"/>
  <c r="BE140" i="9"/>
  <c r="BE121" i="9"/>
  <c r="BE64" i="9"/>
  <c r="BE73" i="9"/>
  <c r="BE111" i="9"/>
  <c r="BE168" i="9"/>
  <c r="BE339" i="9"/>
  <c r="BE102" i="9"/>
  <c r="BE83" i="9"/>
  <c r="BE159" i="9"/>
  <c r="BE92" i="9"/>
  <c r="BE103" i="3"/>
  <c r="BE80" i="3"/>
  <c r="BE97" i="3"/>
  <c r="BE74" i="3"/>
  <c r="BE76" i="3"/>
  <c r="BE180" i="20" a="1"/>
  <c r="BE180" i="20" s="1"/>
  <c r="BE162" i="20" a="1"/>
  <c r="BE162" i="20" s="1"/>
  <c r="BE153" i="20" a="1"/>
  <c r="BE153" i="20" s="1"/>
  <c r="BE150" i="20" a="1"/>
  <c r="BE150" i="20" s="1"/>
  <c r="BE41" i="30" s="1"/>
  <c r="BE129" i="20" a="1"/>
  <c r="BE129" i="20" s="1"/>
  <c r="BE130" i="20" a="1"/>
  <c r="BE130" i="20" s="1"/>
  <c r="BE127" i="20" a="1"/>
  <c r="BE127" i="20" s="1"/>
  <c r="BE135" i="20" a="1"/>
  <c r="BE135" i="20" s="1"/>
  <c r="BE137" i="20" s="1"/>
  <c r="BE29" i="30" s="1"/>
  <c r="BE128" i="20" a="1"/>
  <c r="BE128" i="20" s="1"/>
  <c r="BE124" i="20" a="1"/>
  <c r="BE124" i="20" s="1"/>
  <c r="BE123" i="20" a="1"/>
  <c r="BE123" i="20" s="1"/>
  <c r="BE119" i="20" a="1"/>
  <c r="BE119" i="20" s="1"/>
  <c r="BE125" i="20" a="1"/>
  <c r="BE125" i="20" s="1"/>
  <c r="BE120" i="20" a="1"/>
  <c r="BE120" i="20" s="1"/>
  <c r="BE121" i="20" a="1"/>
  <c r="BE121" i="20" s="1"/>
  <c r="BE117" i="20" a="1"/>
  <c r="BE117" i="20" s="1"/>
  <c r="BE122" i="20" a="1"/>
  <c r="BE122" i="20" s="1"/>
  <c r="BE118" i="20" a="1"/>
  <c r="BE118" i="20" s="1"/>
  <c r="BE105" i="20" a="1"/>
  <c r="BE105" i="20" s="1"/>
  <c r="BE109" i="20" a="1"/>
  <c r="BE109" i="20" s="1"/>
  <c r="BE110" i="20" a="1"/>
  <c r="BE110" i="20" s="1"/>
  <c r="BE106" i="20" a="1"/>
  <c r="BE106" i="20" s="1"/>
  <c r="BE111" i="20" a="1"/>
  <c r="BE111" i="20" s="1"/>
  <c r="BE107" i="20" a="1"/>
  <c r="BE107" i="20" s="1"/>
  <c r="BE112" i="20" a="1"/>
  <c r="BE112" i="20" s="1"/>
  <c r="BE108" i="20" a="1"/>
  <c r="BE108" i="20" s="1"/>
  <c r="BE95" i="20" a="1"/>
  <c r="BE95" i="20" s="1"/>
  <c r="BE81" i="20" a="1"/>
  <c r="BE81" i="20" s="1"/>
  <c r="BE77" i="20" a="1"/>
  <c r="BE77" i="20" s="1"/>
  <c r="BE72" i="20" a="1"/>
  <c r="BE72" i="20" s="1"/>
  <c r="BE68" i="20" a="1"/>
  <c r="BE68" i="20" s="1"/>
  <c r="BE64" i="20" a="1"/>
  <c r="BE64" i="20" s="1"/>
  <c r="BE58" i="20" a="1"/>
  <c r="BE58" i="20" s="1"/>
  <c r="BE51" i="20" a="1"/>
  <c r="BE51" i="20" s="1"/>
  <c r="BE82" i="20" a="1"/>
  <c r="BE82" i="20" s="1"/>
  <c r="BE78" i="20" a="1"/>
  <c r="BE78" i="20" s="1"/>
  <c r="BE73" i="20" a="1"/>
  <c r="BE73" i="20" s="1"/>
  <c r="BE69" i="20" a="1"/>
  <c r="BE69" i="20" s="1"/>
  <c r="BE65" i="20" a="1"/>
  <c r="BE65" i="20" s="1"/>
  <c r="BE54" i="20" a="1"/>
  <c r="BE54" i="20" s="1"/>
  <c r="BE52" i="20" a="1"/>
  <c r="BE52" i="20" s="1"/>
  <c r="BE44" i="20" a="1"/>
  <c r="BE44" i="20" s="1"/>
  <c r="BE36" i="20" a="1"/>
  <c r="BE36" i="20" s="1"/>
  <c r="BE30" i="20" a="1"/>
  <c r="BE30" i="20" s="1"/>
  <c r="BE28" i="20" a="1"/>
  <c r="BE28" i="20" s="1"/>
  <c r="BE20" i="20" a="1"/>
  <c r="BE20" i="20" s="1"/>
  <c r="BE14" i="20" a="1"/>
  <c r="BE14" i="20" s="1"/>
  <c r="BE12" i="20" a="1"/>
  <c r="BE12" i="20" s="1"/>
  <c r="BE47" i="20" a="1"/>
  <c r="BE47" i="20" s="1"/>
  <c r="BE45" i="20" a="1"/>
  <c r="BE45" i="20" s="1"/>
  <c r="BE39" i="20" a="1"/>
  <c r="BE39" i="20" s="1"/>
  <c r="BE37" i="20" a="1"/>
  <c r="BE37" i="20" s="1"/>
  <c r="BE59" i="20" a="1"/>
  <c r="BE59" i="20" s="1"/>
  <c r="BE93" i="20" a="1"/>
  <c r="BE93" i="20" s="1"/>
  <c r="BE88" i="20" a="1"/>
  <c r="BE88" i="20" s="1"/>
  <c r="BE83" i="20" a="1"/>
  <c r="BE83" i="20" s="1"/>
  <c r="BE79" i="20" a="1"/>
  <c r="BE79" i="20" s="1"/>
  <c r="BE70" i="20" a="1"/>
  <c r="BE70" i="20" s="1"/>
  <c r="BE66" i="20" a="1"/>
  <c r="BE66" i="20" s="1"/>
  <c r="BE61" i="20" a="1"/>
  <c r="BE61" i="20" s="1"/>
  <c r="BE57" i="20" a="1"/>
  <c r="BE57" i="20" s="1"/>
  <c r="BE94" i="20" a="1"/>
  <c r="BE94" i="20" s="1"/>
  <c r="BE89" i="20" a="1"/>
  <c r="BE89" i="20" s="1"/>
  <c r="BE84" i="20" a="1"/>
  <c r="BE84" i="20" s="1"/>
  <c r="BE80" i="20" a="1"/>
  <c r="BE80" i="20" s="1"/>
  <c r="BE71" i="20" a="1"/>
  <c r="BE71" i="20" s="1"/>
  <c r="BE67" i="20" a="1"/>
  <c r="BE67" i="20" s="1"/>
  <c r="BE50" i="20" a="1"/>
  <c r="BE50" i="20" s="1"/>
  <c r="BE98" i="20" a="1"/>
  <c r="BE98" i="20" s="1"/>
  <c r="BE100" i="20" s="1"/>
  <c r="BE42" i="20" a="1"/>
  <c r="BE42" i="20" s="1"/>
  <c r="BE33" i="20" a="1"/>
  <c r="BE33" i="20" s="1"/>
  <c r="BE35" i="20" a="1"/>
  <c r="BE35" i="20" s="1"/>
  <c r="BE34" i="20" a="1"/>
  <c r="BE34" i="20" s="1"/>
  <c r="BE27" i="20" a="1"/>
  <c r="BE27" i="20" s="1"/>
  <c r="BE24" i="20" a="1"/>
  <c r="BE24" i="20" s="1"/>
  <c r="BE43" i="20" a="1"/>
  <c r="BE43" i="20" s="1"/>
  <c r="BE21" i="20" a="1"/>
  <c r="BE21" i="20" s="1"/>
  <c r="BE11" i="20" a="1"/>
  <c r="BE11" i="20" s="1"/>
  <c r="BE17" i="20" a="1"/>
  <c r="BE17" i="20" s="1"/>
  <c r="BE22" i="20" a="1"/>
  <c r="BE22" i="20" s="1"/>
  <c r="BE19" i="20" a="1"/>
  <c r="BE19" i="20" s="1"/>
  <c r="BE18" i="20" a="1"/>
  <c r="BE18" i="20" s="1"/>
  <c r="BE736" i="9"/>
  <c r="BE247" i="3"/>
  <c r="BF150" i="3"/>
  <c r="BF155" i="3"/>
  <c r="BE722" i="9"/>
  <c r="BE233" i="3"/>
  <c r="BD27" i="30"/>
  <c r="BD30" i="30" s="1"/>
  <c r="BD139" i="20"/>
  <c r="BE720" i="9"/>
  <c r="BE231" i="3"/>
  <c r="BE72" i="3"/>
  <c r="BF161" i="3"/>
  <c r="BF184" i="3" s="1"/>
  <c r="BF41" i="3"/>
  <c r="BF12" i="3"/>
  <c r="BF3" i="3" s="1"/>
  <c r="BF24" i="3"/>
  <c r="BF5" i="3"/>
  <c r="BG8" i="3"/>
  <c r="BF4" i="3"/>
  <c r="BF142" i="3"/>
  <c r="BD102" i="20"/>
  <c r="BE731" i="9"/>
  <c r="BE242" i="3"/>
  <c r="BE92" i="3"/>
  <c r="BE69" i="3"/>
  <c r="BD746" i="9"/>
  <c r="BF149" i="3"/>
  <c r="BF140" i="3"/>
  <c r="BF146" i="3"/>
  <c r="BE718" i="9"/>
  <c r="BE229" i="3"/>
  <c r="BE729" i="9"/>
  <c r="BE240" i="3"/>
  <c r="BB82" i="35"/>
  <c r="BB67" i="33"/>
  <c r="BB69" i="33" s="1"/>
  <c r="BB31" i="32"/>
  <c r="BB27" i="32"/>
  <c r="BB208" i="30"/>
  <c r="BB92" i="33" s="1"/>
  <c r="BE96" i="3"/>
  <c r="BE73" i="3"/>
  <c r="BE79" i="3"/>
  <c r="BE271" i="3"/>
  <c r="BE294" i="3" s="1"/>
  <c r="BE225" i="3"/>
  <c r="BE264" i="3"/>
  <c r="BE287" i="3" s="1"/>
  <c r="BE218" i="3"/>
  <c r="BE70" i="3"/>
  <c r="BF145" i="3"/>
  <c r="BF139" i="3"/>
  <c r="BF144" i="3"/>
  <c r="D59" i="23"/>
  <c r="D57" i="23" a="1"/>
  <c r="BE795" i="9" l="1"/>
  <c r="BE796" i="9"/>
  <c r="BD141" i="20"/>
  <c r="BD146" i="20" s="1"/>
  <c r="BD174" i="20" s="1"/>
  <c r="BD181" i="20" s="1"/>
  <c r="BD62" i="30" s="1"/>
  <c r="BE46" i="20"/>
  <c r="BE16" i="30" s="1"/>
  <c r="BE788" i="9"/>
  <c r="BE74" i="20"/>
  <c r="BE19" i="30" s="1"/>
  <c r="BE804" i="9"/>
  <c r="BE827" i="9" s="1"/>
  <c r="BE90" i="20"/>
  <c r="BE21" i="30" s="1"/>
  <c r="BE743" i="9"/>
  <c r="BE759" i="9"/>
  <c r="BE29" i="20"/>
  <c r="BE14" i="30" s="1"/>
  <c r="BE806" i="9"/>
  <c r="BE829" i="9" s="1"/>
  <c r="BE741" i="9"/>
  <c r="BD32" i="30"/>
  <c r="BD36" i="30" s="1"/>
  <c r="BD47" i="30" s="1"/>
  <c r="BE748" i="9"/>
  <c r="BE790" i="9"/>
  <c r="BE813" i="9" s="1"/>
  <c r="BE803" i="9"/>
  <c r="BE826" i="9" s="1"/>
  <c r="BF266" i="3"/>
  <c r="BF289" i="3" s="1"/>
  <c r="BF220" i="3"/>
  <c r="BF217" i="3"/>
  <c r="BF263" i="3"/>
  <c r="BF286" i="3" s="1"/>
  <c r="BF252" i="3"/>
  <c r="BF275" i="3" s="1"/>
  <c r="BF206" i="3"/>
  <c r="BF4" i="11"/>
  <c r="BF22" i="3"/>
  <c r="BF30" i="3"/>
  <c r="BF16" i="3"/>
  <c r="BF4" i="35"/>
  <c r="BF4" i="33"/>
  <c r="BG4" i="12"/>
  <c r="BF4" i="32"/>
  <c r="BF4" i="30"/>
  <c r="BF4" i="38"/>
  <c r="BF4" i="6"/>
  <c r="BF4" i="9"/>
  <c r="BF4" i="26"/>
  <c r="BF4" i="16"/>
  <c r="BF4" i="22"/>
  <c r="BF4" i="20"/>
  <c r="BF4" i="1"/>
  <c r="BF4" i="28"/>
  <c r="BF20" i="3"/>
  <c r="BE737" i="9"/>
  <c r="BE248" i="3"/>
  <c r="BE799" i="9"/>
  <c r="BG10" i="3"/>
  <c r="BG140" i="3" s="1"/>
  <c r="BE52" i="30"/>
  <c r="BE54" i="30" s="1"/>
  <c r="BE41" i="6"/>
  <c r="BE44" i="6" s="1"/>
  <c r="BE164" i="20"/>
  <c r="BE645" i="9"/>
  <c r="BD80" i="33"/>
  <c r="BE719" i="9"/>
  <c r="BE230" i="3"/>
  <c r="BE746" i="9"/>
  <c r="BF167" i="3"/>
  <c r="BF190" i="3" s="1"/>
  <c r="BB94" i="33"/>
  <c r="BF5" i="11"/>
  <c r="BF58" i="3"/>
  <c r="BF104" i="3" s="1"/>
  <c r="BF50" i="3"/>
  <c r="BF96" i="3" s="1"/>
  <c r="BF64" i="3"/>
  <c r="BF110" i="3" s="1"/>
  <c r="BF59" i="3"/>
  <c r="BF46" i="3"/>
  <c r="BF92" i="3" s="1"/>
  <c r="BF54" i="3"/>
  <c r="BF63" i="3"/>
  <c r="BF53" i="3"/>
  <c r="BF99" i="3" s="1"/>
  <c r="BF62" i="3"/>
  <c r="BF61" i="3"/>
  <c r="BF60" i="3"/>
  <c r="BF106" i="3" s="1"/>
  <c r="BF47" i="3"/>
  <c r="BF93" i="3" s="1"/>
  <c r="BF48" i="3"/>
  <c r="BF94" i="3" s="1"/>
  <c r="BF49" i="3"/>
  <c r="BF95" i="3" s="1"/>
  <c r="BF45" i="3"/>
  <c r="BF91" i="3" s="1"/>
  <c r="BF51" i="3"/>
  <c r="BF97" i="3" s="1"/>
  <c r="BF56" i="3"/>
  <c r="BF102" i="3" s="1"/>
  <c r="BF52" i="3"/>
  <c r="BF57" i="3"/>
  <c r="BF103" i="3" s="1"/>
  <c r="BF55" i="3"/>
  <c r="BF101" i="3" s="1"/>
  <c r="BF5" i="35"/>
  <c r="BF5" i="33"/>
  <c r="BG5" i="12"/>
  <c r="BF5" i="32"/>
  <c r="BF5" i="30"/>
  <c r="BF5" i="38"/>
  <c r="BF5" i="6"/>
  <c r="BF5" i="9"/>
  <c r="BF5" i="26"/>
  <c r="BF5" i="16"/>
  <c r="BF5" i="22"/>
  <c r="BF5" i="20"/>
  <c r="BF5" i="1"/>
  <c r="BF5" i="28"/>
  <c r="BF116" i="3"/>
  <c r="BF130" i="3"/>
  <c r="BF119" i="3"/>
  <c r="BF132" i="3"/>
  <c r="BF128" i="3"/>
  <c r="BF123" i="3"/>
  <c r="BF117" i="3"/>
  <c r="BF114" i="3"/>
  <c r="BF126" i="3"/>
  <c r="BF125" i="3"/>
  <c r="BF127" i="3"/>
  <c r="BF118" i="3"/>
  <c r="BF129" i="3"/>
  <c r="BF131" i="3"/>
  <c r="BF124" i="3"/>
  <c r="BF122" i="3"/>
  <c r="BF115" i="3"/>
  <c r="BF121" i="3"/>
  <c r="BF120" i="3"/>
  <c r="BF133" i="3"/>
  <c r="BE131" i="20"/>
  <c r="BE132" i="20" s="1"/>
  <c r="BE28" i="30" s="1"/>
  <c r="BE26" i="32" s="1"/>
  <c r="BE25" i="35" s="1"/>
  <c r="BC54" i="33"/>
  <c r="BC148" i="30"/>
  <c r="BC180" i="30" s="1"/>
  <c r="BC56" i="30"/>
  <c r="BC58" i="30" s="1"/>
  <c r="BE721" i="9"/>
  <c r="BE232" i="3"/>
  <c r="BF169" i="3"/>
  <c r="BF192" i="3" s="1"/>
  <c r="BE734" i="9"/>
  <c r="BE245" i="3"/>
  <c r="BE726" i="9"/>
  <c r="BE237" i="3"/>
  <c r="BF162" i="3"/>
  <c r="BF185" i="3" s="1"/>
  <c r="BF3" i="11"/>
  <c r="BF14" i="3"/>
  <c r="BF3" i="35"/>
  <c r="BF3" i="33"/>
  <c r="BG3" i="12"/>
  <c r="BF3" i="32"/>
  <c r="BF3" i="30"/>
  <c r="BF3" i="38"/>
  <c r="BF3" i="6"/>
  <c r="BF3" i="9"/>
  <c r="BF3" i="26"/>
  <c r="BF3" i="16"/>
  <c r="BF3" i="22"/>
  <c r="BF3" i="20"/>
  <c r="BF3" i="1"/>
  <c r="BF3" i="28"/>
  <c r="BF37" i="3"/>
  <c r="BE745" i="9"/>
  <c r="BE23" i="20"/>
  <c r="BE25" i="30"/>
  <c r="BE747" i="9"/>
  <c r="BE755" i="9"/>
  <c r="BF175" i="3"/>
  <c r="BF198" i="3" s="1"/>
  <c r="BE756" i="9"/>
  <c r="BF177" i="3"/>
  <c r="BF200" i="3" s="1"/>
  <c r="BF163" i="3"/>
  <c r="BF186" i="3" s="1"/>
  <c r="BE754" i="9"/>
  <c r="BF172" i="3"/>
  <c r="BF195" i="3" s="1"/>
  <c r="BE13" i="20"/>
  <c r="BE96" i="20"/>
  <c r="BF173" i="3"/>
  <c r="BF196" i="3" s="1"/>
  <c r="BE23" i="30"/>
  <c r="BE179" i="20"/>
  <c r="BE60" i="20"/>
  <c r="BE18" i="30" s="1"/>
  <c r="BE85" i="20"/>
  <c r="BE20" i="30" s="1"/>
  <c r="BC257" i="6"/>
  <c r="BC259" i="6" s="1"/>
  <c r="BC170" i="20"/>
  <c r="BC60" i="30" s="1"/>
  <c r="BF164" i="3"/>
  <c r="BF187" i="3" s="1"/>
  <c r="BA19" i="32"/>
  <c r="BA85" i="30"/>
  <c r="BA88" i="30" s="1"/>
  <c r="BA14" i="6"/>
  <c r="BF166" i="3"/>
  <c r="BF189" i="3" s="1"/>
  <c r="BD33" i="32"/>
  <c r="BD28" i="32"/>
  <c r="BF73" i="3"/>
  <c r="BE38" i="20"/>
  <c r="BE15" i="30" s="1"/>
  <c r="BF168" i="3"/>
  <c r="BF191" i="3" s="1"/>
  <c r="BF178" i="3"/>
  <c r="BF201" i="3" s="1"/>
  <c r="BE730" i="9"/>
  <c r="BE241" i="3"/>
  <c r="BE752" i="9"/>
  <c r="BF69" i="3"/>
  <c r="BF165" i="3"/>
  <c r="BF188" i="3" s="1"/>
  <c r="BF253" i="3"/>
  <c r="BF276" i="3" s="1"/>
  <c r="BF207" i="3"/>
  <c r="BE53" i="20"/>
  <c r="BE17" i="30" s="1"/>
  <c r="BE194" i="30"/>
  <c r="BE179" i="30"/>
  <c r="BE65" i="33" s="1"/>
  <c r="BF216" i="3"/>
  <c r="BF262" i="3"/>
  <c r="BF285" i="3" s="1"/>
  <c r="BF179" i="3"/>
  <c r="BF202" i="3" s="1"/>
  <c r="BE751" i="9"/>
  <c r="BE727" i="9"/>
  <c r="BE238" i="3"/>
  <c r="BE24" i="32"/>
  <c r="BE25" i="32" s="1"/>
  <c r="BE24" i="35" s="1"/>
  <c r="BE114" i="20"/>
  <c r="BE44" i="30"/>
  <c r="BE45" i="30" s="1"/>
  <c r="BE154" i="20"/>
  <c r="BE825" i="9"/>
  <c r="BE818" i="9"/>
  <c r="BE810" i="9"/>
  <c r="BE824" i="9"/>
  <c r="BE816" i="9"/>
  <c r="BE828" i="9"/>
  <c r="BE822" i="9"/>
  <c r="BE821" i="9"/>
  <c r="BE820" i="9"/>
  <c r="BE817" i="9"/>
  <c r="BE815" i="9"/>
  <c r="BE814" i="9"/>
  <c r="BE812" i="9"/>
  <c r="BE811" i="9"/>
  <c r="BE823" i="9"/>
  <c r="BE819" i="9"/>
  <c r="BB212" i="30"/>
  <c r="BF268" i="3"/>
  <c r="BF291" i="3" s="1"/>
  <c r="BF222" i="3"/>
  <c r="BE735" i="9"/>
  <c r="BE246" i="3"/>
  <c r="D57" i="23"/>
  <c r="D56" i="23" a="1"/>
  <c r="BF72" i="3" l="1"/>
  <c r="BF87" i="3"/>
  <c r="BF80" i="3"/>
  <c r="BG143" i="3"/>
  <c r="BD156" i="20"/>
  <c r="BD166" i="20" s="1"/>
  <c r="BD170" i="20" s="1"/>
  <c r="BD60" i="30" s="1"/>
  <c r="BF68" i="3"/>
  <c r="BG156" i="3"/>
  <c r="BG155" i="3"/>
  <c r="BG178" i="3" s="1"/>
  <c r="BG201" i="3" s="1"/>
  <c r="BF74" i="3"/>
  <c r="BG148" i="3"/>
  <c r="BG171" i="3" s="1"/>
  <c r="BG194" i="3" s="1"/>
  <c r="BG138" i="3"/>
  <c r="BG161" i="3" s="1"/>
  <c r="BG184" i="3" s="1"/>
  <c r="BF76" i="3"/>
  <c r="BG150" i="3"/>
  <c r="BG144" i="3"/>
  <c r="BG137" i="3"/>
  <c r="BG160" i="3" s="1"/>
  <c r="BG183" i="3" s="1"/>
  <c r="BF81" i="3"/>
  <c r="BF70" i="3"/>
  <c r="BF71" i="3"/>
  <c r="BG152" i="3"/>
  <c r="BG175" i="3" s="1"/>
  <c r="BG198" i="3" s="1"/>
  <c r="BG151" i="3"/>
  <c r="BG145" i="3"/>
  <c r="BG139" i="3"/>
  <c r="BG162" i="3" s="1"/>
  <c r="BG185" i="3" s="1"/>
  <c r="BG149" i="3"/>
  <c r="BG172" i="3" s="1"/>
  <c r="BG195" i="3" s="1"/>
  <c r="BG154" i="3"/>
  <c r="BF79" i="3"/>
  <c r="BG153" i="3"/>
  <c r="BG176" i="3" s="1"/>
  <c r="BG199" i="3" s="1"/>
  <c r="BG141" i="3"/>
  <c r="BG164" i="3" s="1"/>
  <c r="BG187" i="3" s="1"/>
  <c r="BG142" i="3"/>
  <c r="BG147" i="3"/>
  <c r="BG170" i="3" s="1"/>
  <c r="BG193" i="3" s="1"/>
  <c r="BD38" i="30"/>
  <c r="BE744" i="9"/>
  <c r="BE758" i="9"/>
  <c r="BE749" i="9"/>
  <c r="BF218" i="3"/>
  <c r="BF264" i="3"/>
  <c r="BF287" i="3" s="1"/>
  <c r="BF214" i="3"/>
  <c r="BF260" i="3"/>
  <c r="BF283" i="3" s="1"/>
  <c r="BF256" i="3"/>
  <c r="BF279" i="3" s="1"/>
  <c r="BF210" i="3"/>
  <c r="BF219" i="3"/>
  <c r="BF265" i="3"/>
  <c r="BF288" i="3" s="1"/>
  <c r="BF224" i="3"/>
  <c r="BF270" i="3"/>
  <c r="BF293" i="3" s="1"/>
  <c r="BF225" i="3"/>
  <c r="BF271" i="3"/>
  <c r="BF294" i="3" s="1"/>
  <c r="BF209" i="3"/>
  <c r="BF255" i="3"/>
  <c r="BF278" i="3" s="1"/>
  <c r="BF261" i="3"/>
  <c r="BF284" i="3" s="1"/>
  <c r="BF215" i="3"/>
  <c r="BF213" i="3"/>
  <c r="BF259" i="3"/>
  <c r="BF282" i="3" s="1"/>
  <c r="BF221" i="3"/>
  <c r="BF267" i="3"/>
  <c r="BF290" i="3" s="1"/>
  <c r="BG163" i="3"/>
  <c r="BG186" i="3" s="1"/>
  <c r="BF718" i="9"/>
  <c r="BF229" i="3"/>
  <c r="BF105" i="3"/>
  <c r="BF82" i="3"/>
  <c r="BG173" i="3"/>
  <c r="BG196" i="3" s="1"/>
  <c r="BG166" i="3"/>
  <c r="BG189" i="3" s="1"/>
  <c r="BE77" i="33"/>
  <c r="BE195" i="30"/>
  <c r="BE78" i="33" s="1"/>
  <c r="BA23" i="32"/>
  <c r="BA112" i="30"/>
  <c r="BA114" i="30"/>
  <c r="BE757" i="9"/>
  <c r="BF98" i="3"/>
  <c r="BF75" i="3"/>
  <c r="BF107" i="3"/>
  <c r="BF84" i="3"/>
  <c r="BG167" i="3"/>
  <c r="BG190" i="3" s="1"/>
  <c r="BB96" i="33"/>
  <c r="BB101" i="33" s="1"/>
  <c r="BB104" i="33" s="1"/>
  <c r="BB214" i="30"/>
  <c r="BB217" i="30" s="1"/>
  <c r="BC211" i="30"/>
  <c r="BB83" i="6"/>
  <c r="BE753" i="9"/>
  <c r="BE72" i="30"/>
  <c r="BE74" i="30" s="1"/>
  <c r="BF40" i="6"/>
  <c r="BE12" i="6"/>
  <c r="BF108" i="3"/>
  <c r="BF85" i="3"/>
  <c r="BE760" i="9"/>
  <c r="BF713" i="9"/>
  <c r="BF782" i="9" s="1"/>
  <c r="BF705" i="9"/>
  <c r="BF774" i="9" s="1"/>
  <c r="BF797" i="9" s="1"/>
  <c r="BF697" i="9"/>
  <c r="BF766" i="9" s="1"/>
  <c r="BF709" i="9"/>
  <c r="BF778" i="9" s="1"/>
  <c r="BF801" i="9" s="1"/>
  <c r="BF704" i="9"/>
  <c r="BF773" i="9" s="1"/>
  <c r="BF699" i="9"/>
  <c r="BF768" i="9" s="1"/>
  <c r="BF711" i="9"/>
  <c r="BF780" i="9" s="1"/>
  <c r="BF803" i="9" s="1"/>
  <c r="BF706" i="9"/>
  <c r="BF775" i="9" s="1"/>
  <c r="BF798" i="9" s="1"/>
  <c r="BF701" i="9"/>
  <c r="BF770" i="9" s="1"/>
  <c r="BF696" i="9"/>
  <c r="BF765" i="9" s="1"/>
  <c r="BF788" i="9" s="1"/>
  <c r="BF712" i="9"/>
  <c r="BF781" i="9" s="1"/>
  <c r="BF710" i="9"/>
  <c r="BF779" i="9" s="1"/>
  <c r="BF703" i="9"/>
  <c r="BF772" i="9" s="1"/>
  <c r="BF795" i="9" s="1"/>
  <c r="BF698" i="9"/>
  <c r="BF767" i="9" s="1"/>
  <c r="BF708" i="9"/>
  <c r="BF777" i="9" s="1"/>
  <c r="BF714" i="9"/>
  <c r="BF783" i="9" s="1"/>
  <c r="BF702" i="9"/>
  <c r="BF771" i="9" s="1"/>
  <c r="BF695" i="9"/>
  <c r="BF764" i="9" s="1"/>
  <c r="BF787" i="9" s="1"/>
  <c r="BF707" i="9"/>
  <c r="BF776" i="9" s="1"/>
  <c r="BF700" i="9"/>
  <c r="BF769" i="9" s="1"/>
  <c r="BF18" i="3"/>
  <c r="BF729" i="9"/>
  <c r="BF240" i="3"/>
  <c r="BF728" i="9"/>
  <c r="BF239" i="3"/>
  <c r="BE13" i="30"/>
  <c r="BE102" i="20"/>
  <c r="BE750" i="9"/>
  <c r="BF719" i="9"/>
  <c r="BF230" i="3"/>
  <c r="BF254" i="3"/>
  <c r="BF277" i="3" s="1"/>
  <c r="BF208" i="3"/>
  <c r="BF83" i="3"/>
  <c r="BG179" i="3"/>
  <c r="BG202" i="3" s="1"/>
  <c r="BF732" i="9"/>
  <c r="BF243" i="3"/>
  <c r="BF78" i="3"/>
  <c r="BF212" i="3"/>
  <c r="BF258" i="3"/>
  <c r="BF281" i="3" s="1"/>
  <c r="BF734" i="9"/>
  <c r="BF245" i="3"/>
  <c r="BF150" i="26"/>
  <c r="BF202" i="26"/>
  <c r="BF92" i="26"/>
  <c r="BF86" i="26"/>
  <c r="BF90" i="26"/>
  <c r="BF73" i="26"/>
  <c r="BF125" i="26"/>
  <c r="BF98" i="26"/>
  <c r="BF95" i="26"/>
  <c r="BF195" i="26"/>
  <c r="BF201" i="26"/>
  <c r="BF203" i="26"/>
  <c r="BF142" i="26"/>
  <c r="BF205" i="26"/>
  <c r="BF88" i="26"/>
  <c r="BF66" i="26"/>
  <c r="BF67" i="26"/>
  <c r="BF72" i="26"/>
  <c r="BF113" i="26"/>
  <c r="BF69" i="26"/>
  <c r="BF89" i="26"/>
  <c r="BF176" i="26"/>
  <c r="BF199" i="26"/>
  <c r="BF196" i="26"/>
  <c r="BF208" i="26"/>
  <c r="BF197" i="26"/>
  <c r="BF71" i="26"/>
  <c r="BF141" i="26"/>
  <c r="BF146" i="26"/>
  <c r="BF61" i="26"/>
  <c r="BF112" i="26"/>
  <c r="BF151" i="26"/>
  <c r="BF70" i="26"/>
  <c r="BF179" i="26"/>
  <c r="BF172" i="26"/>
  <c r="BF200" i="26"/>
  <c r="BF145" i="26"/>
  <c r="BF63" i="26"/>
  <c r="BF140" i="26"/>
  <c r="BF143" i="26"/>
  <c r="BF178" i="26"/>
  <c r="BF91" i="26"/>
  <c r="BF149" i="26"/>
  <c r="BF65" i="26"/>
  <c r="BF180" i="26"/>
  <c r="BF171" i="26"/>
  <c r="BF182" i="26"/>
  <c r="BF138" i="26"/>
  <c r="BF184" i="26"/>
  <c r="BF116" i="26"/>
  <c r="BF124" i="26"/>
  <c r="BF118" i="26"/>
  <c r="BF85" i="26"/>
  <c r="BF144" i="26"/>
  <c r="BF64" i="26"/>
  <c r="BF204" i="26"/>
  <c r="BF206" i="26"/>
  <c r="BF147" i="26"/>
  <c r="BF119" i="26"/>
  <c r="BF174" i="26"/>
  <c r="BF99" i="26"/>
  <c r="BF117" i="26"/>
  <c r="BF94" i="26"/>
  <c r="BF62" i="26"/>
  <c r="BF139" i="26"/>
  <c r="BF60" i="26"/>
  <c r="BF209" i="26"/>
  <c r="BF207" i="26"/>
  <c r="BF175" i="26"/>
  <c r="BF111" i="26"/>
  <c r="BF122" i="26"/>
  <c r="BF93" i="26"/>
  <c r="BF97" i="26"/>
  <c r="BF74" i="26"/>
  <c r="BF137" i="26"/>
  <c r="BF121" i="26"/>
  <c r="BF183" i="26"/>
  <c r="BF177" i="26"/>
  <c r="BF173" i="26"/>
  <c r="BF148" i="26"/>
  <c r="BF96" i="26"/>
  <c r="BF115" i="26"/>
  <c r="BF123" i="26"/>
  <c r="BF87" i="26"/>
  <c r="BF68" i="26"/>
  <c r="BF114" i="26"/>
  <c r="BF120" i="26"/>
  <c r="BF185" i="26"/>
  <c r="BF198" i="26"/>
  <c r="BF181" i="26"/>
  <c r="BF109" i="3"/>
  <c r="BF86" i="3"/>
  <c r="BE742" i="9"/>
  <c r="BG12" i="3"/>
  <c r="BG3" i="3" s="1"/>
  <c r="BG5" i="3"/>
  <c r="BG41" i="3"/>
  <c r="BG24" i="3"/>
  <c r="BH8" i="3"/>
  <c r="BG4" i="3"/>
  <c r="BG146" i="3"/>
  <c r="BF26" i="3"/>
  <c r="BF28" i="3"/>
  <c r="BE27" i="30"/>
  <c r="BE30" i="30" s="1"/>
  <c r="BE139" i="20"/>
  <c r="BF211" i="3"/>
  <c r="BF257" i="3"/>
  <c r="BF280" i="3" s="1"/>
  <c r="BC136" i="30"/>
  <c r="BC137" i="30" s="1"/>
  <c r="BD256" i="6"/>
  <c r="BE22" i="30"/>
  <c r="BE175" i="20"/>
  <c r="BF269" i="3"/>
  <c r="BF292" i="3" s="1"/>
  <c r="BF223" i="3"/>
  <c r="BC82" i="35"/>
  <c r="BC67" i="33"/>
  <c r="BC69" i="33" s="1"/>
  <c r="BC31" i="32"/>
  <c r="BC27" i="32"/>
  <c r="BC208" i="30"/>
  <c r="BC92" i="33" s="1"/>
  <c r="BF434" i="9"/>
  <c r="BF377" i="9"/>
  <c r="BF330" i="9"/>
  <c r="BF225" i="9"/>
  <c r="BF358" i="9"/>
  <c r="BF425" i="9"/>
  <c r="BF406" i="9"/>
  <c r="BF387" i="9"/>
  <c r="BF415" i="9"/>
  <c r="BF368" i="9"/>
  <c r="BF349" i="9"/>
  <c r="BF292" i="9"/>
  <c r="BF263" i="9"/>
  <c r="BF130" i="9"/>
  <c r="BF111" i="9"/>
  <c r="BF396" i="9"/>
  <c r="BF311" i="9"/>
  <c r="BF301" i="9"/>
  <c r="BF197" i="9"/>
  <c r="BF320" i="9"/>
  <c r="BF273" i="9"/>
  <c r="BF244" i="9"/>
  <c r="BF235" i="9"/>
  <c r="BF206" i="9"/>
  <c r="BF178" i="9"/>
  <c r="BF282" i="9"/>
  <c r="BF187" i="9"/>
  <c r="BF339" i="9"/>
  <c r="BF168" i="9"/>
  <c r="BF121" i="9"/>
  <c r="BF73" i="9"/>
  <c r="BF140" i="9"/>
  <c r="BF254" i="9"/>
  <c r="BF216" i="9"/>
  <c r="BF102" i="9"/>
  <c r="BF64" i="9"/>
  <c r="BF149" i="9"/>
  <c r="BF83" i="9"/>
  <c r="BF159" i="9"/>
  <c r="BF92" i="9"/>
  <c r="BF100" i="3"/>
  <c r="BF77" i="3"/>
  <c r="BG177" i="3"/>
  <c r="BG200" i="3" s="1"/>
  <c r="BF180" i="20" a="1"/>
  <c r="BF180" i="20" s="1"/>
  <c r="BF162" i="20" a="1"/>
  <c r="BF162" i="20" s="1"/>
  <c r="BF153" i="20" a="1"/>
  <c r="BF153" i="20" s="1"/>
  <c r="BF150" i="20" a="1"/>
  <c r="BF150" i="20" s="1"/>
  <c r="BF41" i="30" s="1"/>
  <c r="BF130" i="20" a="1"/>
  <c r="BF130" i="20" s="1"/>
  <c r="BF135" i="20" a="1"/>
  <c r="BF135" i="20" s="1"/>
  <c r="BF137" i="20" s="1"/>
  <c r="BF29" i="30" s="1"/>
  <c r="BF128" i="20" a="1"/>
  <c r="BF128" i="20" s="1"/>
  <c r="BF129" i="20" a="1"/>
  <c r="BF129" i="20" s="1"/>
  <c r="BF127" i="20" a="1"/>
  <c r="BF127" i="20" s="1"/>
  <c r="BF125" i="20" a="1"/>
  <c r="BF125" i="20" s="1"/>
  <c r="BF120" i="20" a="1"/>
  <c r="BF120" i="20" s="1"/>
  <c r="BF121" i="20" a="1"/>
  <c r="BF121" i="20" s="1"/>
  <c r="BF122" i="20" a="1"/>
  <c r="BF122" i="20" s="1"/>
  <c r="BF118" i="20" a="1"/>
  <c r="BF118" i="20" s="1"/>
  <c r="BF117" i="20" a="1"/>
  <c r="BF117" i="20" s="1"/>
  <c r="BF124" i="20" a="1"/>
  <c r="BF124" i="20" s="1"/>
  <c r="BF123" i="20" a="1"/>
  <c r="BF123" i="20" s="1"/>
  <c r="BF119" i="20" a="1"/>
  <c r="BF119" i="20" s="1"/>
  <c r="BF106" i="20" a="1"/>
  <c r="BF106" i="20" s="1"/>
  <c r="BF110" i="20" a="1"/>
  <c r="BF110" i="20" s="1"/>
  <c r="BF107" i="20" a="1"/>
  <c r="BF107" i="20" s="1"/>
  <c r="BF111" i="20" a="1"/>
  <c r="BF111" i="20" s="1"/>
  <c r="BF105" i="20" a="1"/>
  <c r="BF105" i="20" s="1"/>
  <c r="BF112" i="20" a="1"/>
  <c r="BF112" i="20" s="1"/>
  <c r="BF108" i="20" a="1"/>
  <c r="BF108" i="20" s="1"/>
  <c r="BF109" i="20" a="1"/>
  <c r="BF109" i="20" s="1"/>
  <c r="BF82" i="20" a="1"/>
  <c r="BF82" i="20" s="1"/>
  <c r="BF78" i="20" a="1"/>
  <c r="BF78" i="20" s="1"/>
  <c r="BF73" i="20" a="1"/>
  <c r="BF73" i="20" s="1"/>
  <c r="BF69" i="20" a="1"/>
  <c r="BF69" i="20" s="1"/>
  <c r="BF65" i="20" a="1"/>
  <c r="BF65" i="20" s="1"/>
  <c r="BF54" i="20" a="1"/>
  <c r="BF54" i="20" s="1"/>
  <c r="BF52" i="20" a="1"/>
  <c r="BF52" i="20" s="1"/>
  <c r="BF59" i="20" a="1"/>
  <c r="BF59" i="20" s="1"/>
  <c r="BF93" i="20" a="1"/>
  <c r="BF93" i="20" s="1"/>
  <c r="BF88" i="20" a="1"/>
  <c r="BF88" i="20" s="1"/>
  <c r="BF83" i="20" a="1"/>
  <c r="BF83" i="20" s="1"/>
  <c r="BF79" i="20" a="1"/>
  <c r="BF79" i="20" s="1"/>
  <c r="BF70" i="20" a="1"/>
  <c r="BF70" i="20" s="1"/>
  <c r="BF66" i="20" a="1"/>
  <c r="BF66" i="20" s="1"/>
  <c r="BF47" i="20" a="1"/>
  <c r="BF47" i="20" s="1"/>
  <c r="BF45" i="20" a="1"/>
  <c r="BF45" i="20" s="1"/>
  <c r="BF39" i="20" a="1"/>
  <c r="BF39" i="20" s="1"/>
  <c r="BF37" i="20" a="1"/>
  <c r="BF37" i="20" s="1"/>
  <c r="BF33" i="20" a="1"/>
  <c r="BF33" i="20" s="1"/>
  <c r="BF21" i="20" a="1"/>
  <c r="BF21" i="20" s="1"/>
  <c r="BF17" i="20" a="1"/>
  <c r="BF17" i="20" s="1"/>
  <c r="BF61" i="20" a="1"/>
  <c r="BF61" i="20" s="1"/>
  <c r="BF57" i="20" a="1"/>
  <c r="BF57" i="20" s="1"/>
  <c r="BF42" i="20" a="1"/>
  <c r="BF42" i="20" s="1"/>
  <c r="BF94" i="20" a="1"/>
  <c r="BF94" i="20" s="1"/>
  <c r="BF89" i="20" a="1"/>
  <c r="BF89" i="20" s="1"/>
  <c r="BF84" i="20" a="1"/>
  <c r="BF84" i="20" s="1"/>
  <c r="BF80" i="20" a="1"/>
  <c r="BF80" i="20" s="1"/>
  <c r="BF71" i="20" a="1"/>
  <c r="BF71" i="20" s="1"/>
  <c r="BF67" i="20" a="1"/>
  <c r="BF67" i="20" s="1"/>
  <c r="BF50" i="20" a="1"/>
  <c r="BF50" i="20" s="1"/>
  <c r="BF98" i="20" a="1"/>
  <c r="BF98" i="20" s="1"/>
  <c r="BF100" i="20" s="1"/>
  <c r="BF95" i="20" a="1"/>
  <c r="BF95" i="20" s="1"/>
  <c r="BF81" i="20" a="1"/>
  <c r="BF81" i="20" s="1"/>
  <c r="BF77" i="20" a="1"/>
  <c r="BF77" i="20" s="1"/>
  <c r="BF72" i="20" a="1"/>
  <c r="BF72" i="20" s="1"/>
  <c r="BF68" i="20" a="1"/>
  <c r="BF68" i="20" s="1"/>
  <c r="BF64" i="20" a="1"/>
  <c r="BF64" i="20" s="1"/>
  <c r="BF58" i="20" a="1"/>
  <c r="BF58" i="20" s="1"/>
  <c r="BF51" i="20" a="1"/>
  <c r="BF51" i="20" s="1"/>
  <c r="BF24" i="20" a="1"/>
  <c r="BF24" i="20" s="1"/>
  <c r="BF34" i="20" a="1"/>
  <c r="BF34" i="20" s="1"/>
  <c r="BF27" i="20" a="1"/>
  <c r="BF27" i="20" s="1"/>
  <c r="BF35" i="20" a="1"/>
  <c r="BF35" i="20" s="1"/>
  <c r="BF20" i="20" a="1"/>
  <c r="BF20" i="20" s="1"/>
  <c r="BF11" i="20" a="1"/>
  <c r="BF11" i="20" s="1"/>
  <c r="BF43" i="20" a="1"/>
  <c r="BF43" i="20" s="1"/>
  <c r="BF22" i="20" a="1"/>
  <c r="BF22" i="20" s="1"/>
  <c r="BF44" i="20" a="1"/>
  <c r="BF44" i="20" s="1"/>
  <c r="BF36" i="20" a="1"/>
  <c r="BF36" i="20" s="1"/>
  <c r="BF28" i="20" a="1"/>
  <c r="BF28" i="20" s="1"/>
  <c r="BF18" i="20" a="1"/>
  <c r="BF18" i="20" s="1"/>
  <c r="BF14" i="20" a="1"/>
  <c r="BF14" i="20" s="1"/>
  <c r="BF30" i="20" a="1"/>
  <c r="BF30" i="20" s="1"/>
  <c r="BF19" i="20" a="1"/>
  <c r="BF19" i="20" s="1"/>
  <c r="BF12" i="20" a="1"/>
  <c r="BF12" i="20" s="1"/>
  <c r="BD54" i="33"/>
  <c r="BD148" i="30"/>
  <c r="BD180" i="30" s="1"/>
  <c r="BD56" i="30"/>
  <c r="D56" i="23"/>
  <c r="D55" i="23" a="1"/>
  <c r="BD257" i="6" l="1"/>
  <c r="BD259" i="6" s="1"/>
  <c r="BD136" i="30" s="1"/>
  <c r="BD137" i="30" s="1"/>
  <c r="BD58" i="30"/>
  <c r="BF742" i="9"/>
  <c r="BF802" i="9"/>
  <c r="BF825" i="9" s="1"/>
  <c r="BF805" i="9"/>
  <c r="BF741" i="9"/>
  <c r="BF790" i="9"/>
  <c r="BG168" i="3"/>
  <c r="BG191" i="3" s="1"/>
  <c r="BF806" i="9"/>
  <c r="BG165" i="3"/>
  <c r="BG188" i="3" s="1"/>
  <c r="BG174" i="3"/>
  <c r="BG197" i="3" s="1"/>
  <c r="BF789" i="9"/>
  <c r="BF812" i="9" s="1"/>
  <c r="BF793" i="9"/>
  <c r="BF816" i="9" s="1"/>
  <c r="BE80" i="33"/>
  <c r="BF794" i="9"/>
  <c r="BF817" i="9" s="1"/>
  <c r="BF796" i="9"/>
  <c r="BF819" i="9" s="1"/>
  <c r="BF792" i="9"/>
  <c r="BF799" i="9"/>
  <c r="BF804" i="9"/>
  <c r="BF827" i="9" s="1"/>
  <c r="BF757" i="9"/>
  <c r="BF46" i="20"/>
  <c r="BF16" i="30" s="1"/>
  <c r="BF800" i="9"/>
  <c r="BF823" i="9" s="1"/>
  <c r="BF755" i="9"/>
  <c r="BF752" i="9"/>
  <c r="BF791" i="9"/>
  <c r="BF814" i="9" s="1"/>
  <c r="BC94" i="33"/>
  <c r="BG252" i="3"/>
  <c r="BG275" i="3" s="1"/>
  <c r="BG206" i="3"/>
  <c r="BG258" i="3"/>
  <c r="BG281" i="3" s="1"/>
  <c r="BG212" i="3"/>
  <c r="BG217" i="3"/>
  <c r="BG263" i="3"/>
  <c r="BG286" i="3" s="1"/>
  <c r="BG216" i="3"/>
  <c r="BG262" i="3"/>
  <c r="BG285" i="3" s="1"/>
  <c r="BG256" i="3"/>
  <c r="BG279" i="3" s="1"/>
  <c r="BG210" i="3"/>
  <c r="BG221" i="3"/>
  <c r="BG267" i="3"/>
  <c r="BG290" i="3" s="1"/>
  <c r="BG222" i="3"/>
  <c r="BG268" i="3"/>
  <c r="BG291" i="3" s="1"/>
  <c r="BG271" i="3"/>
  <c r="BG294" i="3" s="1"/>
  <c r="BG225" i="3"/>
  <c r="BG269" i="3"/>
  <c r="BG292" i="3" s="1"/>
  <c r="BG223" i="3"/>
  <c r="BG208" i="3"/>
  <c r="BG254" i="3"/>
  <c r="BG277" i="3" s="1"/>
  <c r="BG270" i="3"/>
  <c r="BG293" i="3" s="1"/>
  <c r="BG224" i="3"/>
  <c r="BG169" i="3"/>
  <c r="BG192" i="3" s="1"/>
  <c r="BF90" i="20"/>
  <c r="BF21" i="30" s="1"/>
  <c r="BF52" i="30"/>
  <c r="BF54" i="30" s="1"/>
  <c r="BF41" i="6"/>
  <c r="BF164" i="20"/>
  <c r="BF13" i="20"/>
  <c r="BF74" i="20"/>
  <c r="BF19" i="30" s="1"/>
  <c r="BG5" i="11"/>
  <c r="BG61" i="3"/>
  <c r="BG107" i="3" s="1"/>
  <c r="BG53" i="3"/>
  <c r="BG45" i="3"/>
  <c r="BG54" i="3"/>
  <c r="BG100" i="3" s="1"/>
  <c r="BG62" i="3"/>
  <c r="BG108" i="3" s="1"/>
  <c r="BG49" i="3"/>
  <c r="BG56" i="3"/>
  <c r="BG51" i="3"/>
  <c r="BG64" i="3"/>
  <c r="BG48" i="3"/>
  <c r="BG63" i="3"/>
  <c r="BG109" i="3" s="1"/>
  <c r="BG52" i="3"/>
  <c r="BG98" i="3" s="1"/>
  <c r="BG50" i="3"/>
  <c r="BG46" i="3"/>
  <c r="BG59" i="3"/>
  <c r="BG105" i="3" s="1"/>
  <c r="BG57" i="3"/>
  <c r="BG55" i="3"/>
  <c r="BG101" i="3" s="1"/>
  <c r="BG58" i="3"/>
  <c r="BG60" i="3"/>
  <c r="BG106" i="3" s="1"/>
  <c r="BG47" i="3"/>
  <c r="BG5" i="35"/>
  <c r="BG5" i="33"/>
  <c r="BH5" i="12"/>
  <c r="BG5" i="32"/>
  <c r="BG5" i="30"/>
  <c r="BG5" i="38"/>
  <c r="BG5" i="6"/>
  <c r="BG5" i="9"/>
  <c r="BG5" i="26"/>
  <c r="BG5" i="16"/>
  <c r="BG5" i="22"/>
  <c r="BG5" i="20"/>
  <c r="BG5" i="1"/>
  <c r="BG5" i="28"/>
  <c r="BG118" i="3"/>
  <c r="BG123" i="3"/>
  <c r="BG129" i="3"/>
  <c r="BG130" i="3"/>
  <c r="BG133" i="3"/>
  <c r="BG121" i="3"/>
  <c r="BG128" i="3"/>
  <c r="BG126" i="3"/>
  <c r="BG124" i="3"/>
  <c r="BG117" i="3"/>
  <c r="BG127" i="3"/>
  <c r="BG116" i="3"/>
  <c r="BG119" i="3"/>
  <c r="BG114" i="3"/>
  <c r="BG115" i="3"/>
  <c r="BG132" i="3"/>
  <c r="BG125" i="3"/>
  <c r="BG120" i="3"/>
  <c r="BG131" i="3"/>
  <c r="BG122" i="3"/>
  <c r="BF724" i="9"/>
  <c r="BF235" i="3"/>
  <c r="BF826" i="9"/>
  <c r="BF811" i="9"/>
  <c r="BF828" i="9"/>
  <c r="BF829" i="9"/>
  <c r="BF822" i="9"/>
  <c r="BF821" i="9"/>
  <c r="BF818" i="9"/>
  <c r="BF813" i="9"/>
  <c r="BF824" i="9"/>
  <c r="BF820" i="9"/>
  <c r="BF815" i="9"/>
  <c r="BF810" i="9"/>
  <c r="BG213" i="3"/>
  <c r="BG259" i="3"/>
  <c r="BG282" i="3" s="1"/>
  <c r="BG265" i="3"/>
  <c r="BG288" i="3" s="1"/>
  <c r="BG219" i="3"/>
  <c r="BF727" i="9"/>
  <c r="BF238" i="3"/>
  <c r="BG207" i="3"/>
  <c r="BG253" i="3"/>
  <c r="BG276" i="3" s="1"/>
  <c r="BF194" i="30"/>
  <c r="BF179" i="30"/>
  <c r="BF65" i="33" s="1"/>
  <c r="BG77" i="3"/>
  <c r="BF25" i="30"/>
  <c r="BF23" i="20"/>
  <c r="BF114" i="20"/>
  <c r="BF131" i="20"/>
  <c r="BF132" i="20" s="1"/>
  <c r="BF28" i="30" s="1"/>
  <c r="BF26" i="32" s="1"/>
  <c r="BF25" i="35" s="1"/>
  <c r="BF735" i="9"/>
  <c r="BF246" i="3"/>
  <c r="BG3" i="11"/>
  <c r="BG14" i="3"/>
  <c r="BG3" i="35"/>
  <c r="BG3" i="33"/>
  <c r="BH3" i="12"/>
  <c r="BG3" i="32"/>
  <c r="BG3" i="30"/>
  <c r="BG3" i="38"/>
  <c r="BG3" i="6"/>
  <c r="BG3" i="9"/>
  <c r="BG3" i="26"/>
  <c r="BG3" i="16"/>
  <c r="BG3" i="22"/>
  <c r="BG3" i="20"/>
  <c r="BG3" i="1"/>
  <c r="BG3" i="28"/>
  <c r="BG37" i="3"/>
  <c r="BB19" i="32"/>
  <c r="BB85" i="30"/>
  <c r="BB88" i="30" s="1"/>
  <c r="BB14" i="6"/>
  <c r="BF731" i="9"/>
  <c r="BF242" i="3"/>
  <c r="BF645" i="9"/>
  <c r="BG218" i="3"/>
  <c r="BG264" i="3"/>
  <c r="BG287" i="3" s="1"/>
  <c r="BE141" i="20"/>
  <c r="BE146" i="20" s="1"/>
  <c r="BC212" i="30"/>
  <c r="BF722" i="9"/>
  <c r="BF233" i="3"/>
  <c r="BF723" i="9"/>
  <c r="BF234" i="3"/>
  <c r="BF720" i="9"/>
  <c r="BF231" i="3"/>
  <c r="BE24" i="30"/>
  <c r="BF721" i="9"/>
  <c r="BF232" i="3"/>
  <c r="BG4" i="11"/>
  <c r="BG22" i="3"/>
  <c r="BG30" i="3"/>
  <c r="BG16" i="3"/>
  <c r="BG4" i="35"/>
  <c r="BG4" i="33"/>
  <c r="BH4" i="12"/>
  <c r="BG4" i="32"/>
  <c r="BG4" i="30"/>
  <c r="BG4" i="38"/>
  <c r="BG4" i="6"/>
  <c r="BG4" i="9"/>
  <c r="BG4" i="26"/>
  <c r="BG4" i="16"/>
  <c r="BG4" i="22"/>
  <c r="BG4" i="20"/>
  <c r="BG4" i="1"/>
  <c r="BG4" i="28"/>
  <c r="BG20" i="3"/>
  <c r="BG255" i="3"/>
  <c r="BG278" i="3" s="1"/>
  <c r="BG209" i="3"/>
  <c r="BF29" i="20"/>
  <c r="BF14" i="30" s="1"/>
  <c r="BF85" i="20"/>
  <c r="BF20" i="30" s="1"/>
  <c r="BF38" i="20"/>
  <c r="BF15" i="30" s="1"/>
  <c r="BF24" i="32"/>
  <c r="BF25" i="32" s="1"/>
  <c r="BF24" i="35" s="1"/>
  <c r="BF96" i="20"/>
  <c r="BF44" i="30"/>
  <c r="BF45" i="30" s="1"/>
  <c r="BF154" i="20"/>
  <c r="BH10" i="3"/>
  <c r="BH148" i="3" s="1"/>
  <c r="BF751" i="9"/>
  <c r="BF44" i="6"/>
  <c r="BF733" i="9"/>
  <c r="BF244" i="3"/>
  <c r="BF737" i="9"/>
  <c r="BF248" i="3"/>
  <c r="BF726" i="9"/>
  <c r="BF237" i="3"/>
  <c r="BD82" i="35"/>
  <c r="BD67" i="33"/>
  <c r="BD69" i="33" s="1"/>
  <c r="BD31" i="32"/>
  <c r="BD27" i="32"/>
  <c r="BD208" i="30"/>
  <c r="BD92" i="33" s="1"/>
  <c r="BF23" i="30"/>
  <c r="BF179" i="20"/>
  <c r="BF53" i="20"/>
  <c r="BF17" i="30" s="1"/>
  <c r="BF60" i="20"/>
  <c r="BF18" i="30" s="1"/>
  <c r="BG85" i="3"/>
  <c r="BF725" i="9"/>
  <c r="BF236" i="3"/>
  <c r="BF736" i="9"/>
  <c r="BF247" i="3"/>
  <c r="BF730" i="9"/>
  <c r="BF241" i="3"/>
  <c r="D55" i="23"/>
  <c r="D54" i="23" a="1"/>
  <c r="BH137" i="3" l="1"/>
  <c r="BG82" i="3"/>
  <c r="BH141" i="3"/>
  <c r="BG75" i="3"/>
  <c r="BF750" i="9"/>
  <c r="BG211" i="3"/>
  <c r="BG257" i="3"/>
  <c r="BG280" i="3" s="1"/>
  <c r="BG260" i="3"/>
  <c r="BG283" i="3" s="1"/>
  <c r="BG214" i="3"/>
  <c r="BG726" i="9" s="1"/>
  <c r="BG83" i="3"/>
  <c r="BG84" i="3"/>
  <c r="BG78" i="3"/>
  <c r="BH154" i="3"/>
  <c r="BG220" i="3"/>
  <c r="BG266" i="3"/>
  <c r="BG289" i="3" s="1"/>
  <c r="BG86" i="3"/>
  <c r="BH145" i="3"/>
  <c r="BH168" i="3" s="1"/>
  <c r="BH191" i="3" s="1"/>
  <c r="BF746" i="9"/>
  <c r="BE256" i="6"/>
  <c r="BF760" i="9"/>
  <c r="BF744" i="9"/>
  <c r="BF745" i="9"/>
  <c r="BF753" i="9"/>
  <c r="BF759" i="9"/>
  <c r="BF748" i="9"/>
  <c r="BH171" i="3"/>
  <c r="BH194" i="3" s="1"/>
  <c r="BG215" i="3"/>
  <c r="BG261" i="3"/>
  <c r="BG284" i="3" s="1"/>
  <c r="BG180" i="20" a="1"/>
  <c r="BG180" i="20" s="1"/>
  <c r="BG162" i="20" a="1"/>
  <c r="BG162" i="20" s="1"/>
  <c r="BG153" i="20" a="1"/>
  <c r="BG153" i="20" s="1"/>
  <c r="BG150" i="20" a="1"/>
  <c r="BG150" i="20" s="1"/>
  <c r="BG41" i="30" s="1"/>
  <c r="BG135" i="20" a="1"/>
  <c r="BG135" i="20" s="1"/>
  <c r="BG137" i="20" s="1"/>
  <c r="BG29" i="30" s="1"/>
  <c r="BG128" i="20" a="1"/>
  <c r="BG128" i="20" s="1"/>
  <c r="BG129" i="20" a="1"/>
  <c r="BG129" i="20" s="1"/>
  <c r="BG130" i="20" a="1"/>
  <c r="BG130" i="20" s="1"/>
  <c r="BG127" i="20" a="1"/>
  <c r="BG127" i="20" s="1"/>
  <c r="BG121" i="20" a="1"/>
  <c r="BG121" i="20" s="1"/>
  <c r="BG117" i="20" a="1"/>
  <c r="BG117" i="20" s="1"/>
  <c r="BG118" i="20" a="1"/>
  <c r="BG118" i="20" s="1"/>
  <c r="BG122" i="20" a="1"/>
  <c r="BG122" i="20" s="1"/>
  <c r="BG124" i="20" a="1"/>
  <c r="BG124" i="20" s="1"/>
  <c r="BG123" i="20" a="1"/>
  <c r="BG123" i="20" s="1"/>
  <c r="BG119" i="20" a="1"/>
  <c r="BG119" i="20" s="1"/>
  <c r="BG125" i="20" a="1"/>
  <c r="BG125" i="20" s="1"/>
  <c r="BG120" i="20" a="1"/>
  <c r="BG120" i="20" s="1"/>
  <c r="BG107" i="20" a="1"/>
  <c r="BG107" i="20" s="1"/>
  <c r="BG111" i="20" a="1"/>
  <c r="BG111" i="20" s="1"/>
  <c r="BG112" i="20" a="1"/>
  <c r="BG112" i="20" s="1"/>
  <c r="BG108" i="20" a="1"/>
  <c r="BG108" i="20" s="1"/>
  <c r="BG109" i="20" a="1"/>
  <c r="BG109" i="20" s="1"/>
  <c r="BG105" i="20" a="1"/>
  <c r="BG105" i="20" s="1"/>
  <c r="BG106" i="20" a="1"/>
  <c r="BG106" i="20" s="1"/>
  <c r="BG110" i="20" a="1"/>
  <c r="BG110" i="20" s="1"/>
  <c r="BG93" i="20" a="1"/>
  <c r="BG93" i="20" s="1"/>
  <c r="BG88" i="20" a="1"/>
  <c r="BG88" i="20" s="1"/>
  <c r="BG83" i="20" a="1"/>
  <c r="BG83" i="20" s="1"/>
  <c r="BG79" i="20" a="1"/>
  <c r="BG79" i="20" s="1"/>
  <c r="BG70" i="20" a="1"/>
  <c r="BG70" i="20" s="1"/>
  <c r="BG66" i="20" a="1"/>
  <c r="BG66" i="20" s="1"/>
  <c r="BG47" i="20" a="1"/>
  <c r="BG47" i="20" s="1"/>
  <c r="BG45" i="20" a="1"/>
  <c r="BG45" i="20" s="1"/>
  <c r="BG61" i="20" a="1"/>
  <c r="BG61" i="20" s="1"/>
  <c r="BG57" i="20" a="1"/>
  <c r="BG57" i="20" s="1"/>
  <c r="BG94" i="20" a="1"/>
  <c r="BG94" i="20" s="1"/>
  <c r="BG89" i="20" a="1"/>
  <c r="BG89" i="20" s="1"/>
  <c r="BG84" i="20" a="1"/>
  <c r="BG84" i="20" s="1"/>
  <c r="BG80" i="20" a="1"/>
  <c r="BG80" i="20" s="1"/>
  <c r="BG71" i="20" a="1"/>
  <c r="BG71" i="20" s="1"/>
  <c r="BG67" i="20" a="1"/>
  <c r="BG67" i="20" s="1"/>
  <c r="BG50" i="20" a="1"/>
  <c r="BG50" i="20" s="1"/>
  <c r="BG42" i="20" a="1"/>
  <c r="BG42" i="20" s="1"/>
  <c r="BG34" i="20" a="1"/>
  <c r="BG34" i="20" s="1"/>
  <c r="BG24" i="20" a="1"/>
  <c r="BG24" i="20" s="1"/>
  <c r="BG22" i="20" a="1"/>
  <c r="BG22" i="20" s="1"/>
  <c r="BG18" i="20" a="1"/>
  <c r="BG18" i="20" s="1"/>
  <c r="BG98" i="20" a="1"/>
  <c r="BG98" i="20" s="1"/>
  <c r="BG100" i="20" s="1"/>
  <c r="BG43" i="20" a="1"/>
  <c r="BG43" i="20" s="1"/>
  <c r="BG95" i="20" a="1"/>
  <c r="BG95" i="20" s="1"/>
  <c r="BG81" i="20" a="1"/>
  <c r="BG81" i="20" s="1"/>
  <c r="BG77" i="20" a="1"/>
  <c r="BG77" i="20" s="1"/>
  <c r="BG72" i="20" a="1"/>
  <c r="BG72" i="20" s="1"/>
  <c r="BG68" i="20" a="1"/>
  <c r="BG68" i="20" s="1"/>
  <c r="BG64" i="20" a="1"/>
  <c r="BG64" i="20" s="1"/>
  <c r="BG58" i="20" a="1"/>
  <c r="BG58" i="20" s="1"/>
  <c r="BG51" i="20" a="1"/>
  <c r="BG51" i="20" s="1"/>
  <c r="BG82" i="20" a="1"/>
  <c r="BG82" i="20" s="1"/>
  <c r="BG78" i="20" a="1"/>
  <c r="BG78" i="20" s="1"/>
  <c r="BG73" i="20" a="1"/>
  <c r="BG73" i="20" s="1"/>
  <c r="BG69" i="20" a="1"/>
  <c r="BG69" i="20" s="1"/>
  <c r="BG65" i="20" a="1"/>
  <c r="BG65" i="20" s="1"/>
  <c r="BG54" i="20" a="1"/>
  <c r="BG54" i="20" s="1"/>
  <c r="BG52" i="20" a="1"/>
  <c r="BG52" i="20" s="1"/>
  <c r="BG59" i="20" a="1"/>
  <c r="BG59" i="20" s="1"/>
  <c r="BG35" i="20" a="1"/>
  <c r="BG35" i="20" s="1"/>
  <c r="BG27" i="20" a="1"/>
  <c r="BG27" i="20" s="1"/>
  <c r="BG11" i="20" a="1"/>
  <c r="BG11" i="20" s="1"/>
  <c r="BG39" i="20" a="1"/>
  <c r="BG39" i="20" s="1"/>
  <c r="BG37" i="20" a="1"/>
  <c r="BG37" i="20" s="1"/>
  <c r="BG21" i="20" a="1"/>
  <c r="BG21" i="20" s="1"/>
  <c r="BG44" i="20" a="1"/>
  <c r="BG44" i="20" s="1"/>
  <c r="BG36" i="20" a="1"/>
  <c r="BG36" i="20" s="1"/>
  <c r="BG28" i="20" a="1"/>
  <c r="BG28" i="20" s="1"/>
  <c r="BG19" i="20" a="1"/>
  <c r="BG19" i="20" s="1"/>
  <c r="BG17" i="20" a="1"/>
  <c r="BG17" i="20" s="1"/>
  <c r="BG14" i="20" a="1"/>
  <c r="BG14" i="20" s="1"/>
  <c r="BG20" i="20" a="1"/>
  <c r="BG20" i="20" s="1"/>
  <c r="BG30" i="20" a="1"/>
  <c r="BG30" i="20" s="1"/>
  <c r="BG12" i="20" a="1"/>
  <c r="BG12" i="20" s="1"/>
  <c r="BG33" i="20" a="1"/>
  <c r="BG33" i="20" s="1"/>
  <c r="BG719" i="9"/>
  <c r="BG230" i="3"/>
  <c r="BG725" i="9"/>
  <c r="BG236" i="3"/>
  <c r="BG149" i="26"/>
  <c r="BG72" i="26"/>
  <c r="BG99" i="26"/>
  <c r="BG146" i="26"/>
  <c r="BG178" i="26"/>
  <c r="BG125" i="26"/>
  <c r="BG98" i="26"/>
  <c r="BG63" i="26"/>
  <c r="BG66" i="26"/>
  <c r="BG176" i="26"/>
  <c r="BG185" i="26"/>
  <c r="BG64" i="26"/>
  <c r="BG93" i="26"/>
  <c r="BG124" i="26"/>
  <c r="BG171" i="26"/>
  <c r="BG113" i="26"/>
  <c r="BG88" i="26"/>
  <c r="BG138" i="26"/>
  <c r="BG60" i="26"/>
  <c r="BG209" i="26"/>
  <c r="BG200" i="26"/>
  <c r="BG202" i="26"/>
  <c r="BG205" i="26"/>
  <c r="BG180" i="26"/>
  <c r="BG147" i="26"/>
  <c r="BG117" i="26"/>
  <c r="BG118" i="26"/>
  <c r="BG91" i="26"/>
  <c r="BG69" i="26"/>
  <c r="BG122" i="26"/>
  <c r="BG208" i="26"/>
  <c r="BG173" i="26"/>
  <c r="BG207" i="26"/>
  <c r="BG197" i="26"/>
  <c r="BG97" i="26"/>
  <c r="BG85" i="26"/>
  <c r="BG182" i="26"/>
  <c r="BG115" i="26"/>
  <c r="BG177" i="26"/>
  <c r="BG184" i="26"/>
  <c r="BG151" i="26"/>
  <c r="BG150" i="26"/>
  <c r="BG142" i="26"/>
  <c r="BG111" i="26"/>
  <c r="BG179" i="26"/>
  <c r="BG143" i="26"/>
  <c r="BG174" i="26"/>
  <c r="BG148" i="26"/>
  <c r="BG123" i="26"/>
  <c r="BG87" i="26"/>
  <c r="BG94" i="26"/>
  <c r="BG62" i="26"/>
  <c r="BG144" i="26"/>
  <c r="BG92" i="26"/>
  <c r="BG206" i="26"/>
  <c r="BG199" i="26"/>
  <c r="BG203" i="26"/>
  <c r="BG139" i="26"/>
  <c r="BG141" i="26"/>
  <c r="BG96" i="26"/>
  <c r="BG73" i="26"/>
  <c r="BG74" i="26"/>
  <c r="BG137" i="26"/>
  <c r="BG121" i="26"/>
  <c r="BG86" i="26"/>
  <c r="BG172" i="26"/>
  <c r="BG181" i="26"/>
  <c r="BG195" i="26"/>
  <c r="BG120" i="26"/>
  <c r="BG140" i="26"/>
  <c r="BG90" i="26"/>
  <c r="BG67" i="26"/>
  <c r="BG68" i="26"/>
  <c r="BG119" i="26"/>
  <c r="BG95" i="26"/>
  <c r="BG70" i="26"/>
  <c r="BG201" i="26"/>
  <c r="BG183" i="26"/>
  <c r="BG175" i="26"/>
  <c r="BG112" i="26"/>
  <c r="BG116" i="26"/>
  <c r="BG71" i="26"/>
  <c r="BG61" i="26"/>
  <c r="BG145" i="26"/>
  <c r="BG114" i="26"/>
  <c r="BG89" i="26"/>
  <c r="BG65" i="26"/>
  <c r="BG198" i="26"/>
  <c r="BG196" i="26"/>
  <c r="BG204" i="26"/>
  <c r="BG96" i="3"/>
  <c r="BG73" i="3"/>
  <c r="BG95" i="3"/>
  <c r="BG72" i="3"/>
  <c r="BG91" i="3"/>
  <c r="BG68" i="3"/>
  <c r="BG737" i="9"/>
  <c r="BG248" i="3"/>
  <c r="BF756" i="9"/>
  <c r="BH147" i="3"/>
  <c r="BH152" i="3"/>
  <c r="BG721" i="9"/>
  <c r="BG232" i="3"/>
  <c r="BF27" i="30"/>
  <c r="BF30" i="30" s="1"/>
  <c r="BF139" i="20"/>
  <c r="BG358" i="9"/>
  <c r="BG311" i="9"/>
  <c r="BG206" i="9"/>
  <c r="BG339" i="9"/>
  <c r="BG425" i="9"/>
  <c r="BG406" i="9"/>
  <c r="BG415" i="9"/>
  <c r="BG396" i="9"/>
  <c r="BG349" i="9"/>
  <c r="BG301" i="9"/>
  <c r="BG197" i="9"/>
  <c r="BG377" i="9"/>
  <c r="BG320" i="9"/>
  <c r="BG273" i="9"/>
  <c r="BG244" i="9"/>
  <c r="BG235" i="9"/>
  <c r="BG387" i="9"/>
  <c r="BG282" i="9"/>
  <c r="BG434" i="9"/>
  <c r="BG187" i="9"/>
  <c r="BG225" i="9"/>
  <c r="BG254" i="9"/>
  <c r="BG216" i="9"/>
  <c r="BG149" i="9"/>
  <c r="BG102" i="9"/>
  <c r="BG330" i="9"/>
  <c r="BG292" i="9"/>
  <c r="BG73" i="9"/>
  <c r="BG168" i="9"/>
  <c r="BG111" i="9"/>
  <c r="BG130" i="9"/>
  <c r="BG83" i="9"/>
  <c r="BG159" i="9"/>
  <c r="BG263" i="9"/>
  <c r="BG178" i="9"/>
  <c r="BG92" i="9"/>
  <c r="BG368" i="9"/>
  <c r="BG140" i="9"/>
  <c r="BG64" i="9"/>
  <c r="BG121" i="9"/>
  <c r="BG93" i="3"/>
  <c r="BG70" i="3"/>
  <c r="BG99" i="3"/>
  <c r="BG76" i="3"/>
  <c r="BG728" i="9"/>
  <c r="BG239" i="3"/>
  <c r="BF72" i="30"/>
  <c r="BF74" i="30" s="1"/>
  <c r="BG40" i="6"/>
  <c r="BF12" i="6"/>
  <c r="BH160" i="3"/>
  <c r="BH183" i="3" s="1"/>
  <c r="BH41" i="3"/>
  <c r="BH24" i="3"/>
  <c r="BI8" i="3"/>
  <c r="BH5" i="3"/>
  <c r="BH12" i="3"/>
  <c r="BH3" i="3" s="1"/>
  <c r="BH4" i="3"/>
  <c r="BB23" i="32"/>
  <c r="BB112" i="30"/>
  <c r="BB114" i="30"/>
  <c r="BG736" i="9"/>
  <c r="BG247" i="3"/>
  <c r="BH155" i="3"/>
  <c r="BH138" i="3"/>
  <c r="BG730" i="9"/>
  <c r="BG241" i="3"/>
  <c r="BG731" i="9"/>
  <c r="BG242" i="3"/>
  <c r="BG104" i="3"/>
  <c r="BG81" i="3"/>
  <c r="BG94" i="3"/>
  <c r="BG71" i="3"/>
  <c r="BF13" i="30"/>
  <c r="BF102" i="20"/>
  <c r="BG734" i="9"/>
  <c r="BG245" i="3"/>
  <c r="BG729" i="9"/>
  <c r="BG240" i="3"/>
  <c r="BG732" i="9"/>
  <c r="BG243" i="3"/>
  <c r="BG18" i="3"/>
  <c r="BE14" i="32"/>
  <c r="BE32" i="30"/>
  <c r="BE36" i="30" s="1"/>
  <c r="BG723" i="9"/>
  <c r="BG234" i="3"/>
  <c r="BG110" i="3"/>
  <c r="BG87" i="3"/>
  <c r="BG724" i="9"/>
  <c r="BG235" i="3"/>
  <c r="BD94" i="33"/>
  <c r="BH153" i="3"/>
  <c r="BH143" i="3"/>
  <c r="BF22" i="30"/>
  <c r="BF175" i="20"/>
  <c r="BG710" i="9"/>
  <c r="BG779" i="9" s="1"/>
  <c r="BG802" i="9" s="1"/>
  <c r="BG702" i="9"/>
  <c r="BG771" i="9" s="1"/>
  <c r="BG794" i="9" s="1"/>
  <c r="BG699" i="9"/>
  <c r="BG768" i="9" s="1"/>
  <c r="BG791" i="9" s="1"/>
  <c r="BG711" i="9"/>
  <c r="BG780" i="9" s="1"/>
  <c r="BG803" i="9" s="1"/>
  <c r="BG706" i="9"/>
  <c r="BG775" i="9" s="1"/>
  <c r="BG798" i="9" s="1"/>
  <c r="BG701" i="9"/>
  <c r="BG770" i="9" s="1"/>
  <c r="BG793" i="9" s="1"/>
  <c r="BG696" i="9"/>
  <c r="BG765" i="9" s="1"/>
  <c r="BG788" i="9" s="1"/>
  <c r="BG712" i="9"/>
  <c r="BG781" i="9" s="1"/>
  <c r="BG804" i="9" s="1"/>
  <c r="BG703" i="9"/>
  <c r="BG772" i="9" s="1"/>
  <c r="BG795" i="9" s="1"/>
  <c r="BG698" i="9"/>
  <c r="BG767" i="9" s="1"/>
  <c r="BG790" i="9" s="1"/>
  <c r="BG708" i="9"/>
  <c r="BG777" i="9" s="1"/>
  <c r="BG800" i="9" s="1"/>
  <c r="BG705" i="9"/>
  <c r="BG774" i="9" s="1"/>
  <c r="BG797" i="9" s="1"/>
  <c r="BG714" i="9"/>
  <c r="BG783" i="9" s="1"/>
  <c r="BG806" i="9" s="1"/>
  <c r="BG695" i="9"/>
  <c r="BG764" i="9" s="1"/>
  <c r="BG787" i="9" s="1"/>
  <c r="BG707" i="9"/>
  <c r="BG776" i="9" s="1"/>
  <c r="BG799" i="9" s="1"/>
  <c r="BG700" i="9"/>
  <c r="BG769" i="9" s="1"/>
  <c r="BG697" i="9"/>
  <c r="BG766" i="9" s="1"/>
  <c r="BG789" i="9" s="1"/>
  <c r="BG713" i="9"/>
  <c r="BG782" i="9" s="1"/>
  <c r="BG805" i="9" s="1"/>
  <c r="BG709" i="9"/>
  <c r="BG778" i="9" s="1"/>
  <c r="BG801" i="9" s="1"/>
  <c r="BG704" i="9"/>
  <c r="BG773" i="9" s="1"/>
  <c r="BF749" i="9"/>
  <c r="BH156" i="3"/>
  <c r="BH151" i="3"/>
  <c r="BH150" i="3"/>
  <c r="BC96" i="33"/>
  <c r="BC101" i="33" s="1"/>
  <c r="BC104" i="33" s="1"/>
  <c r="BD211" i="30"/>
  <c r="BD212" i="30" s="1"/>
  <c r="BC214" i="30"/>
  <c r="BC217" i="30" s="1"/>
  <c r="BC83" i="6"/>
  <c r="BG103" i="3"/>
  <c r="BG80" i="3"/>
  <c r="BG97" i="3"/>
  <c r="BG74" i="3"/>
  <c r="BG720" i="9"/>
  <c r="BG231" i="3"/>
  <c r="BG733" i="9"/>
  <c r="BG244" i="3"/>
  <c r="BH164" i="3"/>
  <c r="BH187" i="3" s="1"/>
  <c r="BH177" i="3"/>
  <c r="BH200" i="3" s="1"/>
  <c r="BH146" i="3"/>
  <c r="BH139" i="3"/>
  <c r="BH140" i="3"/>
  <c r="BF743" i="9"/>
  <c r="BE174" i="20"/>
  <c r="BE181" i="20" s="1"/>
  <c r="BE62" i="30" s="1"/>
  <c r="BE156" i="20"/>
  <c r="BE166" i="20" s="1"/>
  <c r="BF754" i="9"/>
  <c r="BF758" i="9"/>
  <c r="BF77" i="33"/>
  <c r="BF195" i="30"/>
  <c r="BF78" i="33" s="1"/>
  <c r="BF747" i="9"/>
  <c r="BG102" i="3"/>
  <c r="BG79" i="3"/>
  <c r="BG735" i="9"/>
  <c r="BG246" i="3"/>
  <c r="BG722" i="9"/>
  <c r="BG233" i="3"/>
  <c r="BG718" i="9"/>
  <c r="BG229" i="3"/>
  <c r="BH149" i="3"/>
  <c r="BH144" i="3"/>
  <c r="BH142" i="3"/>
  <c r="BG28" i="3"/>
  <c r="BG26" i="3"/>
  <c r="BG92" i="3"/>
  <c r="BG69" i="3"/>
  <c r="D54" i="23"/>
  <c r="D47" i="23" a="1"/>
  <c r="BG748" i="9" l="1"/>
  <c r="BG237" i="3"/>
  <c r="BG796" i="9"/>
  <c r="BG819" i="9" s="1"/>
  <c r="BG757" i="9"/>
  <c r="BG754" i="9"/>
  <c r="BG792" i="9"/>
  <c r="BG815" i="9" s="1"/>
  <c r="BG751" i="9"/>
  <c r="BF141" i="20"/>
  <c r="BF146" i="20" s="1"/>
  <c r="BF174" i="20" s="1"/>
  <c r="BF181" i="20" s="1"/>
  <c r="BF62" i="30" s="1"/>
  <c r="BF24" i="30"/>
  <c r="BF32" i="30" s="1"/>
  <c r="BF36" i="30" s="1"/>
  <c r="BG753" i="9"/>
  <c r="BG741" i="9"/>
  <c r="BG24" i="32"/>
  <c r="BG25" i="32" s="1"/>
  <c r="BG24" i="35" s="1"/>
  <c r="BG743" i="9"/>
  <c r="BG38" i="20"/>
  <c r="BG15" i="30" s="1"/>
  <c r="BG745" i="9"/>
  <c r="BG759" i="9"/>
  <c r="BG760" i="9"/>
  <c r="BH260" i="3"/>
  <c r="BH283" i="3" s="1"/>
  <c r="BH214" i="3"/>
  <c r="BH252" i="3"/>
  <c r="BH275" i="3" s="1"/>
  <c r="BH206" i="3"/>
  <c r="BE257" i="6"/>
  <c r="BE259" i="6" s="1"/>
  <c r="BE170" i="20"/>
  <c r="BE60" i="30" s="1"/>
  <c r="BD96" i="33"/>
  <c r="BD101" i="33" s="1"/>
  <c r="BD104" i="33" s="1"/>
  <c r="BE211" i="30"/>
  <c r="BD214" i="30"/>
  <c r="BD217" i="30" s="1"/>
  <c r="BD83" i="6"/>
  <c r="BH166" i="3"/>
  <c r="BH189" i="3" s="1"/>
  <c r="BG827" i="9"/>
  <c r="BG828" i="9"/>
  <c r="BG820" i="9"/>
  <c r="BG812" i="9"/>
  <c r="BG829" i="9"/>
  <c r="BG826" i="9"/>
  <c r="BG818" i="9"/>
  <c r="BG810" i="9"/>
  <c r="BG822" i="9"/>
  <c r="BG821" i="9"/>
  <c r="BG813" i="9"/>
  <c r="BG825" i="9"/>
  <c r="BG824" i="9"/>
  <c r="BG816" i="9"/>
  <c r="BG814" i="9"/>
  <c r="BG823" i="9"/>
  <c r="BG817" i="9"/>
  <c r="BG811" i="9"/>
  <c r="BG53" i="20"/>
  <c r="BG17" i="30" s="1"/>
  <c r="BG96" i="20"/>
  <c r="BG44" i="30"/>
  <c r="BG45" i="30" s="1"/>
  <c r="BG154" i="20"/>
  <c r="BF80" i="33"/>
  <c r="BH210" i="3"/>
  <c r="BH256" i="3"/>
  <c r="BH279" i="3" s="1"/>
  <c r="BH176" i="3"/>
  <c r="BH199" i="3" s="1"/>
  <c r="BH4" i="11"/>
  <c r="BH16" i="3"/>
  <c r="BH30" i="3"/>
  <c r="BH22" i="3"/>
  <c r="BH4" i="35"/>
  <c r="BH4" i="33"/>
  <c r="BI4" i="12"/>
  <c r="BH4" i="32"/>
  <c r="BH4" i="30"/>
  <c r="BH4" i="38"/>
  <c r="BH4" i="6"/>
  <c r="BH4" i="9"/>
  <c r="BH4" i="26"/>
  <c r="BH4" i="16"/>
  <c r="BH4" i="22"/>
  <c r="BH4" i="20"/>
  <c r="BH4" i="1"/>
  <c r="BH4" i="28"/>
  <c r="BH20" i="3"/>
  <c r="BG52" i="30"/>
  <c r="BG54" i="30" s="1"/>
  <c r="BG41" i="6"/>
  <c r="BG44" i="6" s="1"/>
  <c r="BG164" i="20"/>
  <c r="BH3" i="11"/>
  <c r="BH14" i="3"/>
  <c r="BH3" i="35"/>
  <c r="BH3" i="33"/>
  <c r="BI3" i="12"/>
  <c r="BH3" i="32"/>
  <c r="BH3" i="30"/>
  <c r="BH3" i="38"/>
  <c r="BH3" i="6"/>
  <c r="BH3" i="9"/>
  <c r="BH3" i="26"/>
  <c r="BH3" i="16"/>
  <c r="BH3" i="22"/>
  <c r="BH3" i="20"/>
  <c r="BH3" i="1"/>
  <c r="BH3" i="28"/>
  <c r="BH37" i="3"/>
  <c r="BG23" i="30"/>
  <c r="BG179" i="20"/>
  <c r="BH5" i="11"/>
  <c r="BH64" i="3"/>
  <c r="BH110" i="3" s="1"/>
  <c r="BH56" i="3"/>
  <c r="BH102" i="3" s="1"/>
  <c r="BH48" i="3"/>
  <c r="BH94" i="3" s="1"/>
  <c r="BH62" i="3"/>
  <c r="BH49" i="3"/>
  <c r="BH95" i="3" s="1"/>
  <c r="BH52" i="3"/>
  <c r="BH57" i="3"/>
  <c r="BH103" i="3" s="1"/>
  <c r="BH61" i="3"/>
  <c r="BH59" i="3"/>
  <c r="BH63" i="3"/>
  <c r="BH45" i="3"/>
  <c r="BH91" i="3" s="1"/>
  <c r="BH51" i="3"/>
  <c r="BH97" i="3" s="1"/>
  <c r="BH50" i="3"/>
  <c r="BH96" i="3" s="1"/>
  <c r="BH46" i="3"/>
  <c r="BH92" i="3" s="1"/>
  <c r="BH55" i="3"/>
  <c r="BH54" i="3"/>
  <c r="BH53" i="3"/>
  <c r="BH99" i="3" s="1"/>
  <c r="BH58" i="3"/>
  <c r="BH104" i="3" s="1"/>
  <c r="BH60" i="3"/>
  <c r="BH47" i="3"/>
  <c r="BH93" i="3" s="1"/>
  <c r="BH5" i="35"/>
  <c r="BH5" i="33"/>
  <c r="BI5" i="12"/>
  <c r="BH5" i="32"/>
  <c r="BH5" i="30"/>
  <c r="BH5" i="38"/>
  <c r="BH5" i="6"/>
  <c r="BH5" i="9"/>
  <c r="BH5" i="26"/>
  <c r="BH5" i="16"/>
  <c r="BH5" i="22"/>
  <c r="BH5" i="20"/>
  <c r="BH5" i="1"/>
  <c r="BH5" i="28"/>
  <c r="BH124" i="3"/>
  <c r="BH130" i="3"/>
  <c r="BH133" i="3"/>
  <c r="BH120" i="3"/>
  <c r="BH116" i="3"/>
  <c r="BH128" i="3"/>
  <c r="BH126" i="3"/>
  <c r="BH129" i="3"/>
  <c r="BH117" i="3"/>
  <c r="BH119" i="3"/>
  <c r="BH127" i="3"/>
  <c r="BH125" i="3"/>
  <c r="BH115" i="3"/>
  <c r="BH114" i="3"/>
  <c r="BH121" i="3"/>
  <c r="BH123" i="3"/>
  <c r="BH131" i="3"/>
  <c r="BH122" i="3"/>
  <c r="BH132" i="3"/>
  <c r="BH118" i="3"/>
  <c r="BG742" i="9"/>
  <c r="BG74" i="20"/>
  <c r="BG19" i="30" s="1"/>
  <c r="BG114" i="20"/>
  <c r="BH163" i="3"/>
  <c r="BH186" i="3" s="1"/>
  <c r="BI10" i="3"/>
  <c r="BI146" i="3" s="1"/>
  <c r="BG758" i="9"/>
  <c r="BH167" i="3"/>
  <c r="BH190" i="3" s="1"/>
  <c r="BH179" i="3"/>
  <c r="BH202" i="3" s="1"/>
  <c r="BH169" i="3"/>
  <c r="BH192" i="3" s="1"/>
  <c r="BG756" i="9"/>
  <c r="BG746" i="9"/>
  <c r="BG752" i="9"/>
  <c r="BG749" i="9"/>
  <c r="BG744" i="9"/>
  <c r="BG25" i="30"/>
  <c r="BG131" i="20"/>
  <c r="BG132" i="20" s="1"/>
  <c r="BG28" i="30" s="1"/>
  <c r="BG26" i="32" s="1"/>
  <c r="BG25" i="35" s="1"/>
  <c r="BG727" i="9"/>
  <c r="BG238" i="3"/>
  <c r="BH174" i="3"/>
  <c r="BH197" i="3" s="1"/>
  <c r="BG755" i="9"/>
  <c r="BH162" i="3"/>
  <c r="BH185" i="3" s="1"/>
  <c r="BC19" i="32"/>
  <c r="BC85" i="30"/>
  <c r="BC88" i="30" s="1"/>
  <c r="BC14" i="6"/>
  <c r="BG747" i="9"/>
  <c r="BE47" i="30"/>
  <c r="BE38" i="30"/>
  <c r="BH161" i="3"/>
  <c r="BH184" i="3" s="1"/>
  <c r="BH175" i="3"/>
  <c r="BH198" i="3" s="1"/>
  <c r="BG23" i="20"/>
  <c r="BG13" i="20"/>
  <c r="BG85" i="20"/>
  <c r="BG20" i="30" s="1"/>
  <c r="BH173" i="3"/>
  <c r="BH196" i="3" s="1"/>
  <c r="BH165" i="3"/>
  <c r="BH188" i="3" s="1"/>
  <c r="BH172" i="3"/>
  <c r="BH195" i="3" s="1"/>
  <c r="BH269" i="3"/>
  <c r="BH292" i="3" s="1"/>
  <c r="BH223" i="3"/>
  <c r="BE33" i="32"/>
  <c r="BE28" i="32"/>
  <c r="BH178" i="3"/>
  <c r="BH201" i="3" s="1"/>
  <c r="BG645" i="9"/>
  <c r="BH170" i="3"/>
  <c r="BH193" i="3" s="1"/>
  <c r="BG29" i="20"/>
  <c r="BG14" i="30" s="1"/>
  <c r="BG46" i="20"/>
  <c r="BG16" i="30" s="1"/>
  <c r="BG60" i="20"/>
  <c r="BG18" i="30" s="1"/>
  <c r="BG90" i="20"/>
  <c r="BG21" i="30" s="1"/>
  <c r="BG194" i="30"/>
  <c r="BG179" i="30"/>
  <c r="BG65" i="33" s="1"/>
  <c r="BH263" i="3"/>
  <c r="BH286" i="3" s="1"/>
  <c r="BH217" i="3"/>
  <c r="D47" i="23"/>
  <c r="D46" i="23" a="1"/>
  <c r="BH71" i="3" l="1"/>
  <c r="BF14" i="32"/>
  <c r="BF28" i="32" s="1"/>
  <c r="BH68" i="3"/>
  <c r="BH79" i="3"/>
  <c r="BH87" i="3"/>
  <c r="BI143" i="3"/>
  <c r="BI166" i="3" s="1"/>
  <c r="BI189" i="3" s="1"/>
  <c r="BI150" i="3"/>
  <c r="BI152" i="3"/>
  <c r="BI151" i="3"/>
  <c r="BI148" i="3"/>
  <c r="BI171" i="3" s="1"/>
  <c r="BI194" i="3" s="1"/>
  <c r="BI145" i="3"/>
  <c r="BI168" i="3" s="1"/>
  <c r="BI191" i="3" s="1"/>
  <c r="BH72" i="3"/>
  <c r="BI149" i="3"/>
  <c r="BI172" i="3" s="1"/>
  <c r="BI195" i="3" s="1"/>
  <c r="BH69" i="3"/>
  <c r="BF156" i="20"/>
  <c r="BF166" i="20" s="1"/>
  <c r="BF257" i="6" s="1"/>
  <c r="BI142" i="3"/>
  <c r="BI165" i="3" s="1"/>
  <c r="BI188" i="3" s="1"/>
  <c r="BI138" i="3"/>
  <c r="BI161" i="3" s="1"/>
  <c r="BI184" i="3" s="1"/>
  <c r="BH73" i="3"/>
  <c r="BH220" i="3"/>
  <c r="BH266" i="3"/>
  <c r="BH289" i="3" s="1"/>
  <c r="BH258" i="3"/>
  <c r="BH281" i="3" s="1"/>
  <c r="BH212" i="3"/>
  <c r="BH211" i="3"/>
  <c r="BH257" i="3"/>
  <c r="BH280" i="3" s="1"/>
  <c r="BH271" i="3"/>
  <c r="BH294" i="3" s="1"/>
  <c r="BH225" i="3"/>
  <c r="BH265" i="3"/>
  <c r="BH288" i="3" s="1"/>
  <c r="BH219" i="3"/>
  <c r="BH259" i="3"/>
  <c r="BH282" i="3" s="1"/>
  <c r="BH213" i="3"/>
  <c r="BH216" i="3"/>
  <c r="BH262" i="3"/>
  <c r="BH285" i="3" s="1"/>
  <c r="BH218" i="3"/>
  <c r="BH264" i="3"/>
  <c r="BH287" i="3" s="1"/>
  <c r="BH261" i="3"/>
  <c r="BH284" i="3" s="1"/>
  <c r="BH215" i="3"/>
  <c r="BI169" i="3"/>
  <c r="BI192" i="3" s="1"/>
  <c r="BH729" i="9"/>
  <c r="BH240" i="3"/>
  <c r="BI140" i="3"/>
  <c r="BI154" i="3"/>
  <c r="BI153" i="3"/>
  <c r="BG27" i="30"/>
  <c r="BG30" i="30" s="1"/>
  <c r="BG139" i="20"/>
  <c r="BH106" i="3"/>
  <c r="BH83" i="3"/>
  <c r="BG22" i="30"/>
  <c r="BG175" i="20"/>
  <c r="BH253" i="3"/>
  <c r="BH276" i="3" s="1"/>
  <c r="BH207" i="3"/>
  <c r="BH109" i="3"/>
  <c r="BH86" i="3"/>
  <c r="BH712" i="9"/>
  <c r="BH781" i="9" s="1"/>
  <c r="BH804" i="9" s="1"/>
  <c r="BH714" i="9"/>
  <c r="BH783" i="9" s="1"/>
  <c r="BH806" i="9" s="1"/>
  <c r="BH707" i="9"/>
  <c r="BH776" i="9" s="1"/>
  <c r="BH699" i="9"/>
  <c r="BH768" i="9" s="1"/>
  <c r="BH791" i="9" s="1"/>
  <c r="BH711" i="9"/>
  <c r="BH780" i="9" s="1"/>
  <c r="BH706" i="9"/>
  <c r="BH775" i="9" s="1"/>
  <c r="BH798" i="9" s="1"/>
  <c r="BH701" i="9"/>
  <c r="BH770" i="9" s="1"/>
  <c r="BH793" i="9" s="1"/>
  <c r="BH696" i="9"/>
  <c r="BH765" i="9" s="1"/>
  <c r="BH703" i="9"/>
  <c r="BH772" i="9" s="1"/>
  <c r="BH795" i="9" s="1"/>
  <c r="BH698" i="9"/>
  <c r="BH767" i="9" s="1"/>
  <c r="BH710" i="9"/>
  <c r="BH779" i="9" s="1"/>
  <c r="BH708" i="9"/>
  <c r="BH777" i="9" s="1"/>
  <c r="BH705" i="9"/>
  <c r="BH774" i="9" s="1"/>
  <c r="BH695" i="9"/>
  <c r="BH764" i="9" s="1"/>
  <c r="BH787" i="9" s="1"/>
  <c r="BH702" i="9"/>
  <c r="BH771" i="9" s="1"/>
  <c r="BH794" i="9" s="1"/>
  <c r="BH700" i="9"/>
  <c r="BH769" i="9" s="1"/>
  <c r="BH697" i="9"/>
  <c r="BH766" i="9" s="1"/>
  <c r="BH713" i="9"/>
  <c r="BH782" i="9" s="1"/>
  <c r="BH709" i="9"/>
  <c r="BH778" i="9" s="1"/>
  <c r="BH704" i="9"/>
  <c r="BH773" i="9" s="1"/>
  <c r="BH28" i="3"/>
  <c r="BH26" i="3"/>
  <c r="BH222" i="3"/>
  <c r="BH268" i="3"/>
  <c r="BH291" i="3" s="1"/>
  <c r="BE136" i="30"/>
  <c r="BE137" i="30" s="1"/>
  <c r="BF256" i="6"/>
  <c r="BG13" i="30"/>
  <c r="BG102" i="20"/>
  <c r="BI141" i="3"/>
  <c r="BI139" i="3"/>
  <c r="BI155" i="3"/>
  <c r="BH105" i="3"/>
  <c r="BH82" i="3"/>
  <c r="BH70" i="3"/>
  <c r="BH76" i="3"/>
  <c r="BH81" i="3"/>
  <c r="BH100" i="3"/>
  <c r="BH77" i="3"/>
  <c r="BH107" i="3"/>
  <c r="BH84" i="3"/>
  <c r="BG72" i="30"/>
  <c r="BG74" i="30" s="1"/>
  <c r="BH40" i="6"/>
  <c r="BG12" i="6"/>
  <c r="BH722" i="9"/>
  <c r="BH233" i="3"/>
  <c r="BD19" i="32"/>
  <c r="BD85" i="30"/>
  <c r="BD88" i="30" s="1"/>
  <c r="BD14" i="6"/>
  <c r="BH80" i="3"/>
  <c r="BG77" i="33"/>
  <c r="BG195" i="30"/>
  <c r="BG78" i="33" s="1"/>
  <c r="BI147" i="3"/>
  <c r="BH101" i="3"/>
  <c r="BH78" i="3"/>
  <c r="BH18" i="3"/>
  <c r="BH718" i="9"/>
  <c r="BH229" i="3"/>
  <c r="BH735" i="9"/>
  <c r="BH246" i="3"/>
  <c r="BH208" i="3"/>
  <c r="BH254" i="3"/>
  <c r="BH277" i="3" s="1"/>
  <c r="BI173" i="3"/>
  <c r="BI196" i="3" s="1"/>
  <c r="BI174" i="3"/>
  <c r="BI197" i="3" s="1"/>
  <c r="BH224" i="3"/>
  <c r="BH270" i="3"/>
  <c r="BH293" i="3" s="1"/>
  <c r="BH267" i="3"/>
  <c r="BH290" i="3" s="1"/>
  <c r="BH221" i="3"/>
  <c r="BI175" i="3"/>
  <c r="BI198" i="3" s="1"/>
  <c r="BI5" i="3"/>
  <c r="BJ8" i="3"/>
  <c r="BI41" i="3"/>
  <c r="BI24" i="3"/>
  <c r="BI12" i="3"/>
  <c r="BI3" i="3" s="1"/>
  <c r="BI4" i="3"/>
  <c r="BH255" i="3"/>
  <c r="BH278" i="3" s="1"/>
  <c r="BH209" i="3"/>
  <c r="BH98" i="3"/>
  <c r="BH75" i="3"/>
  <c r="BH180" i="20" a="1"/>
  <c r="BH180" i="20" s="1"/>
  <c r="BH162" i="20" a="1"/>
  <c r="BH162" i="20" s="1"/>
  <c r="BH153" i="20" a="1"/>
  <c r="BH153" i="20" s="1"/>
  <c r="BH150" i="20" a="1"/>
  <c r="BH150" i="20" s="1"/>
  <c r="BH41" i="30" s="1"/>
  <c r="BH129" i="20" a="1"/>
  <c r="BH129" i="20" s="1"/>
  <c r="BH130" i="20" a="1"/>
  <c r="BH130" i="20" s="1"/>
  <c r="BH127" i="20" a="1"/>
  <c r="BH127" i="20" s="1"/>
  <c r="BH135" i="20" a="1"/>
  <c r="BH135" i="20" s="1"/>
  <c r="BH137" i="20" s="1"/>
  <c r="BH29" i="30" s="1"/>
  <c r="BH128" i="20" a="1"/>
  <c r="BH128" i="20" s="1"/>
  <c r="BH122" i="20" a="1"/>
  <c r="BH122" i="20" s="1"/>
  <c r="BH118" i="20" a="1"/>
  <c r="BH118" i="20" s="1"/>
  <c r="BH124" i="20" a="1"/>
  <c r="BH124" i="20" s="1"/>
  <c r="BH123" i="20" a="1"/>
  <c r="BH123" i="20" s="1"/>
  <c r="BH119" i="20" a="1"/>
  <c r="BH119" i="20" s="1"/>
  <c r="BH125" i="20" a="1"/>
  <c r="BH125" i="20" s="1"/>
  <c r="BH120" i="20" a="1"/>
  <c r="BH120" i="20" s="1"/>
  <c r="BH121" i="20" a="1"/>
  <c r="BH121" i="20" s="1"/>
  <c r="BH117" i="20" a="1"/>
  <c r="BH117" i="20" s="1"/>
  <c r="BH112" i="20" a="1"/>
  <c r="BH112" i="20" s="1"/>
  <c r="BH108" i="20" a="1"/>
  <c r="BH108" i="20" s="1"/>
  <c r="BH105" i="20" a="1"/>
  <c r="BH105" i="20" s="1"/>
  <c r="BH109" i="20" a="1"/>
  <c r="BH109" i="20" s="1"/>
  <c r="BH110" i="20" a="1"/>
  <c r="BH110" i="20" s="1"/>
  <c r="BH106" i="20" a="1"/>
  <c r="BH106" i="20" s="1"/>
  <c r="BH111" i="20" a="1"/>
  <c r="BH111" i="20" s="1"/>
  <c r="BH107" i="20" a="1"/>
  <c r="BH107" i="20" s="1"/>
  <c r="BH94" i="20" a="1"/>
  <c r="BH94" i="20" s="1"/>
  <c r="BH89" i="20" a="1"/>
  <c r="BH89" i="20" s="1"/>
  <c r="BH84" i="20" a="1"/>
  <c r="BH84" i="20" s="1"/>
  <c r="BH80" i="20" a="1"/>
  <c r="BH80" i="20" s="1"/>
  <c r="BH71" i="20" a="1"/>
  <c r="BH71" i="20" s="1"/>
  <c r="BH67" i="20" a="1"/>
  <c r="BH67" i="20" s="1"/>
  <c r="BH50" i="20" a="1"/>
  <c r="BH50" i="20" s="1"/>
  <c r="BH98" i="20" a="1"/>
  <c r="BH98" i="20" s="1"/>
  <c r="BH100" i="20" s="1"/>
  <c r="BH95" i="20" a="1"/>
  <c r="BH95" i="20" s="1"/>
  <c r="BH81" i="20" a="1"/>
  <c r="BH81" i="20" s="1"/>
  <c r="BH77" i="20" a="1"/>
  <c r="BH77" i="20" s="1"/>
  <c r="BH72" i="20" a="1"/>
  <c r="BH72" i="20" s="1"/>
  <c r="BH68" i="20" a="1"/>
  <c r="BH68" i="20" s="1"/>
  <c r="BH64" i="20" a="1"/>
  <c r="BH64" i="20" s="1"/>
  <c r="BH58" i="20" a="1"/>
  <c r="BH58" i="20" s="1"/>
  <c r="BH51" i="20" a="1"/>
  <c r="BH51" i="20" s="1"/>
  <c r="BH43" i="20" a="1"/>
  <c r="BH43" i="20" s="1"/>
  <c r="BH35" i="20" a="1"/>
  <c r="BH35" i="20" s="1"/>
  <c r="BH27" i="20" a="1"/>
  <c r="BH27" i="20" s="1"/>
  <c r="BH19" i="20" a="1"/>
  <c r="BH19" i="20" s="1"/>
  <c r="BH11" i="20" a="1"/>
  <c r="BH11" i="20" s="1"/>
  <c r="BH44" i="20" a="1"/>
  <c r="BH44" i="20" s="1"/>
  <c r="BH82" i="20" a="1"/>
  <c r="BH82" i="20" s="1"/>
  <c r="BH78" i="20" a="1"/>
  <c r="BH78" i="20" s="1"/>
  <c r="BH73" i="20" a="1"/>
  <c r="BH73" i="20" s="1"/>
  <c r="BH69" i="20" a="1"/>
  <c r="BH69" i="20" s="1"/>
  <c r="BH65" i="20" a="1"/>
  <c r="BH65" i="20" s="1"/>
  <c r="BH54" i="20" a="1"/>
  <c r="BH54" i="20" s="1"/>
  <c r="BH52" i="20" a="1"/>
  <c r="BH52" i="20" s="1"/>
  <c r="BH59" i="20" a="1"/>
  <c r="BH59" i="20" s="1"/>
  <c r="BH93" i="20" a="1"/>
  <c r="BH93" i="20" s="1"/>
  <c r="BH88" i="20" a="1"/>
  <c r="BH88" i="20" s="1"/>
  <c r="BH83" i="20" a="1"/>
  <c r="BH83" i="20" s="1"/>
  <c r="BH79" i="20" a="1"/>
  <c r="BH79" i="20" s="1"/>
  <c r="BH70" i="20" a="1"/>
  <c r="BH70" i="20" s="1"/>
  <c r="BH66" i="20" a="1"/>
  <c r="BH66" i="20" s="1"/>
  <c r="BH47" i="20" a="1"/>
  <c r="BH47" i="20" s="1"/>
  <c r="BH45" i="20" a="1"/>
  <c r="BH45" i="20" s="1"/>
  <c r="BH61" i="20" a="1"/>
  <c r="BH61" i="20" s="1"/>
  <c r="BH57" i="20" a="1"/>
  <c r="BH57" i="20" s="1"/>
  <c r="BH39" i="20" a="1"/>
  <c r="BH39" i="20" s="1"/>
  <c r="BH34" i="20" a="1"/>
  <c r="BH34" i="20" s="1"/>
  <c r="BH37" i="20" a="1"/>
  <c r="BH37" i="20" s="1"/>
  <c r="BH36" i="20" a="1"/>
  <c r="BH36" i="20" s="1"/>
  <c r="BH28" i="20" a="1"/>
  <c r="BH28" i="20" s="1"/>
  <c r="BH21" i="20" a="1"/>
  <c r="BH21" i="20" s="1"/>
  <c r="BH14" i="20" a="1"/>
  <c r="BH14" i="20" s="1"/>
  <c r="BH22" i="20" a="1"/>
  <c r="BH22" i="20" s="1"/>
  <c r="BH12" i="20" a="1"/>
  <c r="BH12" i="20" s="1"/>
  <c r="BH30" i="20" a="1"/>
  <c r="BH30" i="20" s="1"/>
  <c r="BH17" i="20" a="1"/>
  <c r="BH17" i="20" s="1"/>
  <c r="BH18" i="20" a="1"/>
  <c r="BH18" i="20" s="1"/>
  <c r="BH42" i="20" a="1"/>
  <c r="BH42" i="20" s="1"/>
  <c r="BH33" i="20" a="1"/>
  <c r="BH33" i="20" s="1"/>
  <c r="BH20" i="20" a="1"/>
  <c r="BH20" i="20" s="1"/>
  <c r="BH24" i="20" a="1"/>
  <c r="BH24" i="20" s="1"/>
  <c r="BE54" i="33"/>
  <c r="BE148" i="30"/>
  <c r="BE180" i="30" s="1"/>
  <c r="BE56" i="30"/>
  <c r="BE58" i="30" s="1"/>
  <c r="BC23" i="32"/>
  <c r="BC112" i="30"/>
  <c r="BC114" i="30"/>
  <c r="BG750" i="9"/>
  <c r="BI156" i="3"/>
  <c r="BI137" i="3"/>
  <c r="BI144" i="3"/>
  <c r="BH197" i="26"/>
  <c r="BH93" i="26"/>
  <c r="BH96" i="26"/>
  <c r="BH143" i="26"/>
  <c r="BH145" i="26"/>
  <c r="BH98" i="26"/>
  <c r="BH138" i="26"/>
  <c r="BH180" i="26"/>
  <c r="BH60" i="26"/>
  <c r="BH206" i="26"/>
  <c r="BH177" i="26"/>
  <c r="BH208" i="26"/>
  <c r="BH89" i="26"/>
  <c r="BH90" i="26"/>
  <c r="BH118" i="26"/>
  <c r="BH125" i="26"/>
  <c r="BH88" i="26"/>
  <c r="BH122" i="26"/>
  <c r="BH150" i="26"/>
  <c r="BH61" i="26"/>
  <c r="BH174" i="26"/>
  <c r="BH182" i="26"/>
  <c r="BH200" i="26"/>
  <c r="BH85" i="26"/>
  <c r="BH71" i="26"/>
  <c r="BH111" i="26"/>
  <c r="BH91" i="26"/>
  <c r="BH69" i="26"/>
  <c r="BH120" i="26"/>
  <c r="BH141" i="26"/>
  <c r="BH183" i="26"/>
  <c r="BH171" i="26"/>
  <c r="BH209" i="26"/>
  <c r="BH144" i="26"/>
  <c r="BH151" i="26"/>
  <c r="BH73" i="26"/>
  <c r="BH124" i="26"/>
  <c r="BH94" i="26"/>
  <c r="BH62" i="26"/>
  <c r="BH95" i="26"/>
  <c r="BH115" i="26"/>
  <c r="BH140" i="26"/>
  <c r="BH196" i="26"/>
  <c r="BH172" i="26"/>
  <c r="BH179" i="26"/>
  <c r="BH203" i="26"/>
  <c r="BH146" i="26"/>
  <c r="BH65" i="26"/>
  <c r="BH117" i="26"/>
  <c r="BH74" i="26"/>
  <c r="BH137" i="26"/>
  <c r="BH63" i="26"/>
  <c r="BH92" i="26"/>
  <c r="BH116" i="26"/>
  <c r="BH178" i="26"/>
  <c r="BH176" i="26"/>
  <c r="BH202" i="26"/>
  <c r="BH195" i="26"/>
  <c r="BH121" i="26"/>
  <c r="BH147" i="26"/>
  <c r="BH87" i="26"/>
  <c r="BH72" i="26"/>
  <c r="BH119" i="26"/>
  <c r="BH173" i="26"/>
  <c r="BH86" i="26"/>
  <c r="BH99" i="26"/>
  <c r="BH198" i="26"/>
  <c r="BH185" i="26"/>
  <c r="BH148" i="26"/>
  <c r="BH113" i="26"/>
  <c r="BH142" i="26"/>
  <c r="BH67" i="26"/>
  <c r="BH68" i="26"/>
  <c r="BH114" i="26"/>
  <c r="BH149" i="26"/>
  <c r="BH70" i="26"/>
  <c r="BH66" i="26"/>
  <c r="BH204" i="26"/>
  <c r="BH201" i="26"/>
  <c r="BH205" i="26"/>
  <c r="BH97" i="26"/>
  <c r="BH123" i="26"/>
  <c r="BH175" i="26"/>
  <c r="BH181" i="26"/>
  <c r="BH112" i="26"/>
  <c r="BH139" i="26"/>
  <c r="BH184" i="26"/>
  <c r="BH64" i="26"/>
  <c r="BH199" i="26"/>
  <c r="BH207" i="26"/>
  <c r="BF47" i="30"/>
  <c r="BF38" i="30"/>
  <c r="BH726" i="9"/>
  <c r="BH237" i="3"/>
  <c r="BH339" i="9"/>
  <c r="BH292" i="9"/>
  <c r="BH425" i="9"/>
  <c r="BH406" i="9"/>
  <c r="BH415" i="9"/>
  <c r="BH396" i="9"/>
  <c r="BH434" i="9"/>
  <c r="BH377" i="9"/>
  <c r="BH330" i="9"/>
  <c r="BH301" i="9"/>
  <c r="BH197" i="9"/>
  <c r="BH320" i="9"/>
  <c r="BH311" i="9"/>
  <c r="BH273" i="9"/>
  <c r="BH244" i="9"/>
  <c r="BH235" i="9"/>
  <c r="BH178" i="9"/>
  <c r="BH387" i="9"/>
  <c r="BH282" i="9"/>
  <c r="BH206" i="9"/>
  <c r="BH187" i="9"/>
  <c r="BH358" i="9"/>
  <c r="BH225" i="9"/>
  <c r="BH254" i="9"/>
  <c r="BH216" i="9"/>
  <c r="BH368" i="9"/>
  <c r="BH263" i="9"/>
  <c r="BH130" i="9"/>
  <c r="BH83" i="9"/>
  <c r="BH168" i="9"/>
  <c r="BH111" i="9"/>
  <c r="BH102" i="9"/>
  <c r="BH159" i="9"/>
  <c r="BH149" i="9"/>
  <c r="BH92" i="9"/>
  <c r="BH140" i="9"/>
  <c r="BH64" i="9"/>
  <c r="BH349" i="9"/>
  <c r="BH121" i="9"/>
  <c r="BH73" i="9"/>
  <c r="BH108" i="3"/>
  <c r="BH85" i="3"/>
  <c r="BH74" i="3"/>
  <c r="D46" i="23"/>
  <c r="D45" i="23" a="1"/>
  <c r="BF33" i="32" l="1"/>
  <c r="BF170" i="20"/>
  <c r="BF60" i="30" s="1"/>
  <c r="BG141" i="20"/>
  <c r="BG146" i="20" s="1"/>
  <c r="BG156" i="20" s="1"/>
  <c r="BG166" i="20" s="1"/>
  <c r="BH789" i="9"/>
  <c r="BH788" i="9"/>
  <c r="BH811" i="9" s="1"/>
  <c r="BH796" i="9"/>
  <c r="BH819" i="9" s="1"/>
  <c r="BH800" i="9"/>
  <c r="BH823" i="9" s="1"/>
  <c r="BH801" i="9"/>
  <c r="BH799" i="9"/>
  <c r="BG80" i="33"/>
  <c r="BH802" i="9"/>
  <c r="BH825" i="9" s="1"/>
  <c r="BH805" i="9"/>
  <c r="BH828" i="9" s="1"/>
  <c r="BH790" i="9"/>
  <c r="BH813" i="9" s="1"/>
  <c r="BH792" i="9"/>
  <c r="BH815" i="9" s="1"/>
  <c r="BH23" i="20"/>
  <c r="BH29" i="20"/>
  <c r="BH14" i="30" s="1"/>
  <c r="BH797" i="9"/>
  <c r="BH803" i="9"/>
  <c r="BH826" i="9" s="1"/>
  <c r="BH60" i="20"/>
  <c r="BH18" i="30" s="1"/>
  <c r="BG24" i="30"/>
  <c r="BG32" i="30" s="1"/>
  <c r="BG36" i="30" s="1"/>
  <c r="BH752" i="9"/>
  <c r="BF259" i="6"/>
  <c r="BI211" i="3"/>
  <c r="BI257" i="3"/>
  <c r="BI280" i="3" s="1"/>
  <c r="BI261" i="3"/>
  <c r="BI284" i="3" s="1"/>
  <c r="BI215" i="3"/>
  <c r="BI267" i="3"/>
  <c r="BI290" i="3" s="1"/>
  <c r="BI221" i="3"/>
  <c r="BI263" i="3"/>
  <c r="BI286" i="3" s="1"/>
  <c r="BI217" i="3"/>
  <c r="BI220" i="3"/>
  <c r="BI266" i="3"/>
  <c r="BI289" i="3" s="1"/>
  <c r="BI179" i="3"/>
  <c r="BI202" i="3" s="1"/>
  <c r="BH24" i="32"/>
  <c r="BH25" i="32" s="1"/>
  <c r="BH24" i="35" s="1"/>
  <c r="BI163" i="3"/>
  <c r="BI186" i="3" s="1"/>
  <c r="BH737" i="9"/>
  <c r="BH248" i="3"/>
  <c r="BI167" i="3"/>
  <c r="BI190" i="3" s="1"/>
  <c r="BE82" i="35"/>
  <c r="BE67" i="33"/>
  <c r="BE69" i="33" s="1"/>
  <c r="BE31" i="32"/>
  <c r="BE27" i="32"/>
  <c r="BE208" i="30"/>
  <c r="BH85" i="20"/>
  <c r="BH20" i="30" s="1"/>
  <c r="BH114" i="20"/>
  <c r="BJ10" i="3"/>
  <c r="BJ138" i="3" s="1"/>
  <c r="BH720" i="9"/>
  <c r="BH231" i="3"/>
  <c r="BI260" i="3"/>
  <c r="BI283" i="3" s="1"/>
  <c r="BI214" i="3"/>
  <c r="BH730" i="9"/>
  <c r="BH241" i="3"/>
  <c r="BH194" i="30"/>
  <c r="BH179" i="30"/>
  <c r="BH65" i="33" s="1"/>
  <c r="BI5" i="11"/>
  <c r="BI59" i="3"/>
  <c r="BI105" i="3" s="1"/>
  <c r="BI51" i="3"/>
  <c r="BI97" i="3" s="1"/>
  <c r="BI57" i="3"/>
  <c r="BI103" i="3" s="1"/>
  <c r="BI52" i="3"/>
  <c r="BI98" i="3" s="1"/>
  <c r="BI60" i="3"/>
  <c r="BI106" i="3" s="1"/>
  <c r="BI64" i="3"/>
  <c r="BI54" i="3"/>
  <c r="BI100" i="3" s="1"/>
  <c r="BI49" i="3"/>
  <c r="BI45" i="3"/>
  <c r="BI50" i="3"/>
  <c r="BI46" i="3"/>
  <c r="BI55" i="3"/>
  <c r="BI101" i="3" s="1"/>
  <c r="BI53" i="3"/>
  <c r="BI99" i="3" s="1"/>
  <c r="BI58" i="3"/>
  <c r="BI104" i="3" s="1"/>
  <c r="BI56" i="3"/>
  <c r="BI47" i="3"/>
  <c r="BI93" i="3" s="1"/>
  <c r="BI63" i="3"/>
  <c r="BI109" i="3" s="1"/>
  <c r="BI62" i="3"/>
  <c r="BI108" i="3" s="1"/>
  <c r="BI61" i="3"/>
  <c r="BI107" i="3" s="1"/>
  <c r="BI48" i="3"/>
  <c r="BI5" i="35"/>
  <c r="BI5" i="33"/>
  <c r="BJ5" i="12"/>
  <c r="BI5" i="32"/>
  <c r="BI5" i="30"/>
  <c r="BI5" i="38"/>
  <c r="BI5" i="6"/>
  <c r="BI5" i="9"/>
  <c r="BI5" i="26"/>
  <c r="BI5" i="16"/>
  <c r="BI5" i="22"/>
  <c r="BI5" i="20"/>
  <c r="BI5" i="1"/>
  <c r="BI5" i="28"/>
  <c r="BI117" i="3"/>
  <c r="BI118" i="3"/>
  <c r="BI127" i="3"/>
  <c r="BI133" i="3"/>
  <c r="BI119" i="3"/>
  <c r="BI126" i="3"/>
  <c r="BI132" i="3"/>
  <c r="BI129" i="3"/>
  <c r="BI122" i="3"/>
  <c r="BI125" i="3"/>
  <c r="BI115" i="3"/>
  <c r="BI130" i="3"/>
  <c r="BI121" i="3"/>
  <c r="BI123" i="3"/>
  <c r="BI128" i="3"/>
  <c r="BI114" i="3"/>
  <c r="BI120" i="3"/>
  <c r="BI124" i="3"/>
  <c r="BI131" i="3"/>
  <c r="BI116" i="3"/>
  <c r="BH736" i="9"/>
  <c r="BH247" i="3"/>
  <c r="BD23" i="32"/>
  <c r="BD112" i="30"/>
  <c r="BD114" i="30"/>
  <c r="BI160" i="3"/>
  <c r="BI183" i="3" s="1"/>
  <c r="BH44" i="30"/>
  <c r="BH45" i="30" s="1"/>
  <c r="BH154" i="20"/>
  <c r="BH721" i="9"/>
  <c r="BH232" i="3"/>
  <c r="BH758" i="9"/>
  <c r="BI264" i="3"/>
  <c r="BI287" i="3" s="1"/>
  <c r="BI218" i="3"/>
  <c r="BH728" i="9"/>
  <c r="BH239" i="3"/>
  <c r="BH723" i="9"/>
  <c r="BH234" i="3"/>
  <c r="BH725" i="9"/>
  <c r="BH236" i="3"/>
  <c r="BH724" i="9"/>
  <c r="BH235" i="3"/>
  <c r="BH645" i="9"/>
  <c r="BH749" i="9"/>
  <c r="BH90" i="20"/>
  <c r="BH21" i="30" s="1"/>
  <c r="BH23" i="30"/>
  <c r="BH179" i="20"/>
  <c r="BH25" i="30"/>
  <c r="BH96" i="20"/>
  <c r="BH53" i="20"/>
  <c r="BH17" i="30" s="1"/>
  <c r="BH131" i="20"/>
  <c r="BH132" i="20" s="1"/>
  <c r="BH28" i="30" s="1"/>
  <c r="BH26" i="32" s="1"/>
  <c r="BH25" i="35" s="1"/>
  <c r="BI4" i="11"/>
  <c r="BI16" i="3"/>
  <c r="BI22" i="3"/>
  <c r="BI30" i="3"/>
  <c r="BI4" i="35"/>
  <c r="BI4" i="33"/>
  <c r="BJ4" i="12"/>
  <c r="BI4" i="32"/>
  <c r="BI4" i="30"/>
  <c r="BI4" i="38"/>
  <c r="BI4" i="6"/>
  <c r="BI4" i="9"/>
  <c r="BI4" i="26"/>
  <c r="BI4" i="16"/>
  <c r="BI4" i="22"/>
  <c r="BI4" i="20"/>
  <c r="BI4" i="1"/>
  <c r="BI4" i="28"/>
  <c r="BI20" i="3"/>
  <c r="BH741" i="9"/>
  <c r="BI178" i="3"/>
  <c r="BI201" i="3" s="1"/>
  <c r="BH38" i="20"/>
  <c r="BH15" i="30" s="1"/>
  <c r="BH74" i="20"/>
  <c r="BH19" i="30" s="1"/>
  <c r="BI3" i="11"/>
  <c r="BI14" i="3"/>
  <c r="BI3" i="35"/>
  <c r="BI3" i="33"/>
  <c r="BJ3" i="12"/>
  <c r="BI3" i="32"/>
  <c r="BI3" i="30"/>
  <c r="BI3" i="38"/>
  <c r="BI3" i="6"/>
  <c r="BI3" i="9"/>
  <c r="BI3" i="26"/>
  <c r="BI3" i="16"/>
  <c r="BI3" i="22"/>
  <c r="BI3" i="20"/>
  <c r="BI3" i="1"/>
  <c r="BI3" i="28"/>
  <c r="BI37" i="3"/>
  <c r="BI219" i="3"/>
  <c r="BI265" i="3"/>
  <c r="BI288" i="3" s="1"/>
  <c r="BH820" i="9"/>
  <c r="BH829" i="9"/>
  <c r="BH821" i="9"/>
  <c r="BH827" i="9"/>
  <c r="BH822" i="9"/>
  <c r="BH824" i="9"/>
  <c r="BH818" i="9"/>
  <c r="BH816" i="9"/>
  <c r="BH814" i="9"/>
  <c r="BH817" i="9"/>
  <c r="BH812" i="9"/>
  <c r="BH810" i="9"/>
  <c r="BI162" i="3"/>
  <c r="BI185" i="3" s="1"/>
  <c r="BH734" i="9"/>
  <c r="BH245" i="3"/>
  <c r="BI258" i="3"/>
  <c r="BI281" i="3" s="1"/>
  <c r="BI212" i="3"/>
  <c r="BI176" i="3"/>
  <c r="BI199" i="3" s="1"/>
  <c r="BH727" i="9"/>
  <c r="BH238" i="3"/>
  <c r="BH731" i="9"/>
  <c r="BH242" i="3"/>
  <c r="BH52" i="30"/>
  <c r="BH54" i="30" s="1"/>
  <c r="BH41" i="6"/>
  <c r="BH44" i="6" s="1"/>
  <c r="BH164" i="20"/>
  <c r="BI170" i="3"/>
  <c r="BI193" i="3" s="1"/>
  <c r="BF54" i="33"/>
  <c r="BF148" i="30"/>
  <c r="BF180" i="30" s="1"/>
  <c r="BF56" i="30"/>
  <c r="BF58" i="30" s="1"/>
  <c r="BH46" i="20"/>
  <c r="BH16" i="30" s="1"/>
  <c r="BH13" i="20"/>
  <c r="BH733" i="9"/>
  <c r="BH244" i="3"/>
  <c r="BH745" i="9"/>
  <c r="BI164" i="3"/>
  <c r="BI187" i="3" s="1"/>
  <c r="BH719" i="9"/>
  <c r="BH230" i="3"/>
  <c r="BI177" i="3"/>
  <c r="BI200" i="3" s="1"/>
  <c r="BI207" i="3"/>
  <c r="BI253" i="3"/>
  <c r="BI276" i="3" s="1"/>
  <c r="BH732" i="9"/>
  <c r="BH243" i="3"/>
  <c r="D45" i="23"/>
  <c r="D43" i="23" a="1"/>
  <c r="BG174" i="20" l="1"/>
  <c r="BG181" i="20" s="1"/>
  <c r="BG62" i="30" s="1"/>
  <c r="BJ145" i="3"/>
  <c r="BI84" i="3"/>
  <c r="BJ142" i="3"/>
  <c r="BJ141" i="3"/>
  <c r="BI85" i="3"/>
  <c r="BJ146" i="3"/>
  <c r="BI76" i="3"/>
  <c r="BI81" i="3"/>
  <c r="BJ143" i="3"/>
  <c r="BJ155" i="3"/>
  <c r="BI77" i="3"/>
  <c r="BJ147" i="3"/>
  <c r="BJ170" i="3" s="1"/>
  <c r="BJ193" i="3" s="1"/>
  <c r="BJ152" i="3"/>
  <c r="BJ156" i="3"/>
  <c r="BJ149" i="3"/>
  <c r="BJ148" i="3"/>
  <c r="BJ171" i="3" s="1"/>
  <c r="BJ194" i="3" s="1"/>
  <c r="BJ151" i="3"/>
  <c r="BJ150" i="3"/>
  <c r="BI74" i="3"/>
  <c r="BJ137" i="3"/>
  <c r="BJ160" i="3" s="1"/>
  <c r="BJ183" i="3" s="1"/>
  <c r="BJ140" i="3"/>
  <c r="BI75" i="3"/>
  <c r="BI86" i="3"/>
  <c r="BI83" i="3"/>
  <c r="BJ153" i="3"/>
  <c r="BJ144" i="3"/>
  <c r="BH757" i="9"/>
  <c r="BJ139" i="3"/>
  <c r="BG14" i="32"/>
  <c r="BG28" i="32" s="1"/>
  <c r="BH743" i="9"/>
  <c r="BG256" i="6"/>
  <c r="BF136" i="30"/>
  <c r="BF137" i="30" s="1"/>
  <c r="BH760" i="9"/>
  <c r="BH746" i="9"/>
  <c r="BH744" i="9"/>
  <c r="BI271" i="3"/>
  <c r="BI294" i="3" s="1"/>
  <c r="BI225" i="3"/>
  <c r="BH72" i="30"/>
  <c r="BH74" i="30" s="1"/>
  <c r="BI40" i="6"/>
  <c r="BH12" i="6"/>
  <c r="BI208" i="3"/>
  <c r="BI254" i="3"/>
  <c r="BI277" i="3" s="1"/>
  <c r="BI222" i="3"/>
  <c r="BI268" i="3"/>
  <c r="BI291" i="3" s="1"/>
  <c r="BI269" i="3"/>
  <c r="BI292" i="3" s="1"/>
  <c r="BI223" i="3"/>
  <c r="BI216" i="3"/>
  <c r="BI262" i="3"/>
  <c r="BI285" i="3" s="1"/>
  <c r="BH756" i="9"/>
  <c r="BH750" i="9"/>
  <c r="BI256" i="3"/>
  <c r="BI279" i="3" s="1"/>
  <c r="BI210" i="3"/>
  <c r="BF82" i="35"/>
  <c r="BF67" i="33"/>
  <c r="BF69" i="33" s="1"/>
  <c r="BF27" i="32"/>
  <c r="BF31" i="32"/>
  <c r="BF208" i="30"/>
  <c r="BF92" i="33" s="1"/>
  <c r="BI110" i="3"/>
  <c r="BI87" i="3"/>
  <c r="BJ162" i="3"/>
  <c r="BJ185" i="3" s="1"/>
  <c r="BJ161" i="3"/>
  <c r="BJ184" i="3" s="1"/>
  <c r="BI729" i="9"/>
  <c r="BI240" i="3"/>
  <c r="BI224" i="3"/>
  <c r="BI270" i="3"/>
  <c r="BI293" i="3" s="1"/>
  <c r="BI252" i="3"/>
  <c r="BI275" i="3" s="1"/>
  <c r="BI206" i="3"/>
  <c r="BI208" i="26"/>
  <c r="BI66" i="26"/>
  <c r="BI175" i="26"/>
  <c r="BI72" i="26"/>
  <c r="BI98" i="26"/>
  <c r="BI138" i="26"/>
  <c r="BI60" i="26"/>
  <c r="BI123" i="26"/>
  <c r="BI206" i="26"/>
  <c r="BI198" i="26"/>
  <c r="BI172" i="26"/>
  <c r="BI200" i="26"/>
  <c r="BI68" i="26"/>
  <c r="BI121" i="26"/>
  <c r="BI151" i="26"/>
  <c r="BI96" i="26"/>
  <c r="BI178" i="26"/>
  <c r="BI174" i="26"/>
  <c r="BI143" i="26"/>
  <c r="BI179" i="26"/>
  <c r="BI199" i="26"/>
  <c r="BI122" i="26"/>
  <c r="BI177" i="26"/>
  <c r="BI146" i="26"/>
  <c r="BI88" i="26"/>
  <c r="BI176" i="26"/>
  <c r="BI141" i="26"/>
  <c r="BI205" i="26"/>
  <c r="BI67" i="26"/>
  <c r="BI119" i="26"/>
  <c r="BI63" i="26"/>
  <c r="BI89" i="26"/>
  <c r="BI64" i="26"/>
  <c r="BI181" i="26"/>
  <c r="BI197" i="26"/>
  <c r="BI196" i="26"/>
  <c r="BI184" i="26"/>
  <c r="BI124" i="26"/>
  <c r="BI125" i="26"/>
  <c r="BI85" i="26"/>
  <c r="BI120" i="26"/>
  <c r="BI93" i="26"/>
  <c r="BI195" i="26"/>
  <c r="BI145" i="26"/>
  <c r="BI147" i="26"/>
  <c r="BI117" i="26"/>
  <c r="BI118" i="26"/>
  <c r="BI69" i="26"/>
  <c r="BI115" i="26"/>
  <c r="BI116" i="26"/>
  <c r="BI90" i="26"/>
  <c r="BI185" i="26"/>
  <c r="BI180" i="26"/>
  <c r="BI204" i="26"/>
  <c r="BI87" i="26"/>
  <c r="BI92" i="26"/>
  <c r="BI71" i="26"/>
  <c r="BI182" i="26"/>
  <c r="BI97" i="26"/>
  <c r="BI62" i="26"/>
  <c r="BI149" i="26"/>
  <c r="BI137" i="26"/>
  <c r="BI140" i="26"/>
  <c r="BI111" i="26"/>
  <c r="BI99" i="26"/>
  <c r="BI150" i="26"/>
  <c r="BI114" i="26"/>
  <c r="BI61" i="26"/>
  <c r="BI94" i="26"/>
  <c r="BI113" i="26"/>
  <c r="BI173" i="26"/>
  <c r="BI86" i="26"/>
  <c r="BI148" i="26"/>
  <c r="BI207" i="26"/>
  <c r="BI171" i="26"/>
  <c r="BI202" i="26"/>
  <c r="BI144" i="26"/>
  <c r="BI74" i="26"/>
  <c r="BI65" i="26"/>
  <c r="BI73" i="26"/>
  <c r="BI112" i="26"/>
  <c r="BI139" i="26"/>
  <c r="BI70" i="26"/>
  <c r="BI142" i="26"/>
  <c r="BI209" i="26"/>
  <c r="BI183" i="26"/>
  <c r="BI203" i="26"/>
  <c r="BI91" i="26"/>
  <c r="BI95" i="26"/>
  <c r="BI201" i="26"/>
  <c r="BE92" i="33"/>
  <c r="BE94" i="33" s="1"/>
  <c r="BE212" i="30"/>
  <c r="BI80" i="3"/>
  <c r="BH22" i="30"/>
  <c r="BH175" i="20"/>
  <c r="BI425" i="9"/>
  <c r="BI320" i="9"/>
  <c r="BI273" i="9"/>
  <c r="BI406" i="9"/>
  <c r="BI415" i="9"/>
  <c r="BI396" i="9"/>
  <c r="BI434" i="9"/>
  <c r="BI358" i="9"/>
  <c r="BI311" i="9"/>
  <c r="BI244" i="9"/>
  <c r="BI235" i="9"/>
  <c r="BI178" i="9"/>
  <c r="BI387" i="9"/>
  <c r="BI377" i="9"/>
  <c r="BI282" i="9"/>
  <c r="BI206" i="9"/>
  <c r="BI159" i="9"/>
  <c r="BI187" i="9"/>
  <c r="BI225" i="9"/>
  <c r="BI254" i="9"/>
  <c r="BI216" i="9"/>
  <c r="BI368" i="9"/>
  <c r="BI339" i="9"/>
  <c r="BI263" i="9"/>
  <c r="BI349" i="9"/>
  <c r="BI330" i="9"/>
  <c r="BI292" i="9"/>
  <c r="BI111" i="9"/>
  <c r="BI64" i="9"/>
  <c r="BI102" i="9"/>
  <c r="BI83" i="9"/>
  <c r="BI197" i="9"/>
  <c r="BI130" i="9"/>
  <c r="BI168" i="9"/>
  <c r="BI149" i="9"/>
  <c r="BI301" i="9"/>
  <c r="BI92" i="9"/>
  <c r="BI140" i="9"/>
  <c r="BI121" i="9"/>
  <c r="BI73" i="9"/>
  <c r="BI94" i="3"/>
  <c r="BI71" i="3"/>
  <c r="BG47" i="30"/>
  <c r="BG38" i="30"/>
  <c r="BJ164" i="3"/>
  <c r="BJ187" i="3" s="1"/>
  <c r="BJ173" i="3"/>
  <c r="BI78" i="3"/>
  <c r="BI733" i="9"/>
  <c r="BI244" i="3"/>
  <c r="BH754" i="9"/>
  <c r="BI731" i="9"/>
  <c r="BI242" i="3"/>
  <c r="BH751" i="9"/>
  <c r="BI92" i="3"/>
  <c r="BI69" i="3"/>
  <c r="BJ168" i="3"/>
  <c r="BJ191" i="3" s="1"/>
  <c r="BJ166" i="3"/>
  <c r="BJ189" i="3" s="1"/>
  <c r="BJ163" i="3"/>
  <c r="BI209" i="3"/>
  <c r="BI255" i="3"/>
  <c r="BI278" i="3" s="1"/>
  <c r="BI28" i="3"/>
  <c r="BI26" i="3"/>
  <c r="BI96" i="3"/>
  <c r="BI73" i="3"/>
  <c r="BH77" i="33"/>
  <c r="BH195" i="30"/>
  <c r="BH78" i="33" s="1"/>
  <c r="BI82" i="3"/>
  <c r="BJ179" i="3"/>
  <c r="BJ202" i="3" s="1"/>
  <c r="BJ175" i="3"/>
  <c r="BJ198" i="3" s="1"/>
  <c r="BJ165" i="3"/>
  <c r="BJ188" i="3" s="1"/>
  <c r="BG257" i="6"/>
  <c r="BG170" i="20"/>
  <c r="BG60" i="30" s="1"/>
  <c r="BI727" i="9"/>
  <c r="BI238" i="3"/>
  <c r="BI719" i="9"/>
  <c r="BI230" i="3"/>
  <c r="BH13" i="30"/>
  <c r="BH102" i="20"/>
  <c r="BI18" i="3"/>
  <c r="BH747" i="9"/>
  <c r="BI91" i="3"/>
  <c r="BI68" i="3"/>
  <c r="BJ172" i="3"/>
  <c r="BJ195" i="3" s="1"/>
  <c r="BJ169" i="3"/>
  <c r="BJ192" i="3" s="1"/>
  <c r="BI712" i="9"/>
  <c r="BI781" i="9" s="1"/>
  <c r="BI704" i="9"/>
  <c r="BI773" i="9" s="1"/>
  <c r="BI796" i="9" s="1"/>
  <c r="BI696" i="9"/>
  <c r="BI765" i="9" s="1"/>
  <c r="BI788" i="9" s="1"/>
  <c r="BI703" i="9"/>
  <c r="BI772" i="9" s="1"/>
  <c r="BI795" i="9" s="1"/>
  <c r="BI698" i="9"/>
  <c r="BI767" i="9" s="1"/>
  <c r="BI710" i="9"/>
  <c r="BI779" i="9" s="1"/>
  <c r="BI802" i="9" s="1"/>
  <c r="BI708" i="9"/>
  <c r="BI777" i="9" s="1"/>
  <c r="BI800" i="9" s="1"/>
  <c r="BI705" i="9"/>
  <c r="BI774" i="9" s="1"/>
  <c r="BI695" i="9"/>
  <c r="BI764" i="9" s="1"/>
  <c r="BI714" i="9"/>
  <c r="BI783" i="9" s="1"/>
  <c r="BI806" i="9" s="1"/>
  <c r="BI702" i="9"/>
  <c r="BI771" i="9" s="1"/>
  <c r="BI700" i="9"/>
  <c r="BI769" i="9" s="1"/>
  <c r="BI792" i="9" s="1"/>
  <c r="BI697" i="9"/>
  <c r="BI766" i="9" s="1"/>
  <c r="BI789" i="9" s="1"/>
  <c r="BI713" i="9"/>
  <c r="BI782" i="9" s="1"/>
  <c r="BI709" i="9"/>
  <c r="BI778" i="9" s="1"/>
  <c r="BI801" i="9" s="1"/>
  <c r="BI707" i="9"/>
  <c r="BI776" i="9" s="1"/>
  <c r="BI799" i="9" s="1"/>
  <c r="BI711" i="9"/>
  <c r="BI780" i="9" s="1"/>
  <c r="BI706" i="9"/>
  <c r="BI775" i="9" s="1"/>
  <c r="BI798" i="9" s="1"/>
  <c r="BI701" i="9"/>
  <c r="BI770" i="9" s="1"/>
  <c r="BI793" i="9" s="1"/>
  <c r="BI699" i="9"/>
  <c r="BI768" i="9" s="1"/>
  <c r="BH742" i="9"/>
  <c r="BI95" i="3"/>
  <c r="BI72" i="3"/>
  <c r="BH753" i="9"/>
  <c r="BJ174" i="3"/>
  <c r="BJ197" i="3" s="1"/>
  <c r="BK8" i="3"/>
  <c r="BJ41" i="3"/>
  <c r="BJ24" i="3"/>
  <c r="BJ12" i="3"/>
  <c r="BJ3" i="3" s="1"/>
  <c r="BJ5" i="3"/>
  <c r="BJ4" i="3"/>
  <c r="BJ154" i="3"/>
  <c r="BI70" i="3"/>
  <c r="BH755" i="9"/>
  <c r="BI724" i="9"/>
  <c r="BI235" i="3"/>
  <c r="BI180" i="20" a="1"/>
  <c r="BI180" i="20" s="1"/>
  <c r="BI162" i="20" a="1"/>
  <c r="BI162" i="20" s="1"/>
  <c r="BI153" i="20" a="1"/>
  <c r="BI153" i="20" s="1"/>
  <c r="BI150" i="20" a="1"/>
  <c r="BI150" i="20" s="1"/>
  <c r="BI41" i="30" s="1"/>
  <c r="BI129" i="20" a="1"/>
  <c r="BI129" i="20" s="1"/>
  <c r="BI127" i="20" a="1"/>
  <c r="BI127" i="20" s="1"/>
  <c r="BI130" i="20" a="1"/>
  <c r="BI130" i="20" s="1"/>
  <c r="BI135" i="20" a="1"/>
  <c r="BI135" i="20" s="1"/>
  <c r="BI137" i="20" s="1"/>
  <c r="BI29" i="30" s="1"/>
  <c r="BI128" i="20" a="1"/>
  <c r="BI128" i="20" s="1"/>
  <c r="BI124" i="20" a="1"/>
  <c r="BI124" i="20" s="1"/>
  <c r="BI123" i="20" a="1"/>
  <c r="BI123" i="20" s="1"/>
  <c r="BI119" i="20" a="1"/>
  <c r="BI119" i="20" s="1"/>
  <c r="BI125" i="20" a="1"/>
  <c r="BI125" i="20" s="1"/>
  <c r="BI120" i="20" a="1"/>
  <c r="BI120" i="20" s="1"/>
  <c r="BI121" i="20" a="1"/>
  <c r="BI121" i="20" s="1"/>
  <c r="BI117" i="20" a="1"/>
  <c r="BI117" i="20" s="1"/>
  <c r="BI122" i="20" a="1"/>
  <c r="BI122" i="20" s="1"/>
  <c r="BI118" i="20" a="1"/>
  <c r="BI118" i="20" s="1"/>
  <c r="BI105" i="20" a="1"/>
  <c r="BI105" i="20" s="1"/>
  <c r="BI106" i="20" a="1"/>
  <c r="BI106" i="20" s="1"/>
  <c r="BI109" i="20" a="1"/>
  <c r="BI109" i="20" s="1"/>
  <c r="BI110" i="20" a="1"/>
  <c r="BI110" i="20" s="1"/>
  <c r="BI111" i="20" a="1"/>
  <c r="BI111" i="20" s="1"/>
  <c r="BI107" i="20" a="1"/>
  <c r="BI107" i="20" s="1"/>
  <c r="BI112" i="20" a="1"/>
  <c r="BI112" i="20" s="1"/>
  <c r="BI108" i="20" a="1"/>
  <c r="BI108" i="20" s="1"/>
  <c r="BI95" i="20" a="1"/>
  <c r="BI95" i="20" s="1"/>
  <c r="BI81" i="20" a="1"/>
  <c r="BI81" i="20" s="1"/>
  <c r="BI77" i="20" a="1"/>
  <c r="BI77" i="20" s="1"/>
  <c r="BI72" i="20" a="1"/>
  <c r="BI72" i="20" s="1"/>
  <c r="BI68" i="20" a="1"/>
  <c r="BI68" i="20" s="1"/>
  <c r="BI64" i="20" a="1"/>
  <c r="BI64" i="20" s="1"/>
  <c r="BI58" i="20" a="1"/>
  <c r="BI58" i="20" s="1"/>
  <c r="BI51" i="20" a="1"/>
  <c r="BI51" i="20" s="1"/>
  <c r="BI82" i="20" a="1"/>
  <c r="BI82" i="20" s="1"/>
  <c r="BI78" i="20" a="1"/>
  <c r="BI78" i="20" s="1"/>
  <c r="BI73" i="20" a="1"/>
  <c r="BI73" i="20" s="1"/>
  <c r="BI69" i="20" a="1"/>
  <c r="BI69" i="20" s="1"/>
  <c r="BI65" i="20" a="1"/>
  <c r="BI65" i="20" s="1"/>
  <c r="BI54" i="20" a="1"/>
  <c r="BI54" i="20" s="1"/>
  <c r="BI52" i="20" a="1"/>
  <c r="BI52" i="20" s="1"/>
  <c r="BI44" i="20" a="1"/>
  <c r="BI44" i="20" s="1"/>
  <c r="BI36" i="20" a="1"/>
  <c r="BI36" i="20" s="1"/>
  <c r="BI30" i="20" a="1"/>
  <c r="BI30" i="20" s="1"/>
  <c r="BI28" i="20" a="1"/>
  <c r="BI28" i="20" s="1"/>
  <c r="BI20" i="20" a="1"/>
  <c r="BI20" i="20" s="1"/>
  <c r="BI14" i="20" a="1"/>
  <c r="BI14" i="20" s="1"/>
  <c r="BI12" i="20" a="1"/>
  <c r="BI12" i="20" s="1"/>
  <c r="BI37" i="20" a="1"/>
  <c r="BI37" i="20" s="1"/>
  <c r="BI59" i="20" a="1"/>
  <c r="BI59" i="20" s="1"/>
  <c r="BI39" i="20" a="1"/>
  <c r="BI39" i="20" s="1"/>
  <c r="BI93" i="20" a="1"/>
  <c r="BI93" i="20" s="1"/>
  <c r="BI88" i="20" a="1"/>
  <c r="BI88" i="20" s="1"/>
  <c r="BI83" i="20" a="1"/>
  <c r="BI83" i="20" s="1"/>
  <c r="BI79" i="20" a="1"/>
  <c r="BI79" i="20" s="1"/>
  <c r="BI70" i="20" a="1"/>
  <c r="BI70" i="20" s="1"/>
  <c r="BI66" i="20" a="1"/>
  <c r="BI66" i="20" s="1"/>
  <c r="BI47" i="20" a="1"/>
  <c r="BI47" i="20" s="1"/>
  <c r="BI45" i="20" a="1"/>
  <c r="BI45" i="20" s="1"/>
  <c r="BI61" i="20" a="1"/>
  <c r="BI61" i="20" s="1"/>
  <c r="BI57" i="20" a="1"/>
  <c r="BI57" i="20" s="1"/>
  <c r="BI94" i="20" a="1"/>
  <c r="BI94" i="20" s="1"/>
  <c r="BI89" i="20" a="1"/>
  <c r="BI89" i="20" s="1"/>
  <c r="BI84" i="20" a="1"/>
  <c r="BI84" i="20" s="1"/>
  <c r="BI80" i="20" a="1"/>
  <c r="BI80" i="20" s="1"/>
  <c r="BI71" i="20" a="1"/>
  <c r="BI71" i="20" s="1"/>
  <c r="BI67" i="20" a="1"/>
  <c r="BI67" i="20" s="1"/>
  <c r="BI50" i="20" a="1"/>
  <c r="BI50" i="20" s="1"/>
  <c r="BI98" i="20" a="1"/>
  <c r="BI98" i="20" s="1"/>
  <c r="BI100" i="20" s="1"/>
  <c r="BI11" i="20" a="1"/>
  <c r="BI11" i="20" s="1"/>
  <c r="BI17" i="20" a="1"/>
  <c r="BI17" i="20" s="1"/>
  <c r="BI43" i="20" a="1"/>
  <c r="BI43" i="20" s="1"/>
  <c r="BI22" i="20" a="1"/>
  <c r="BI22" i="20" s="1"/>
  <c r="BI19" i="20" a="1"/>
  <c r="BI19" i="20" s="1"/>
  <c r="BI18" i="20" a="1"/>
  <c r="BI18" i="20" s="1"/>
  <c r="BI33" i="20" a="1"/>
  <c r="BI33" i="20" s="1"/>
  <c r="BI42" i="20" a="1"/>
  <c r="BI42" i="20" s="1"/>
  <c r="BI35" i="20" a="1"/>
  <c r="BI35" i="20" s="1"/>
  <c r="BI34" i="20" a="1"/>
  <c r="BI34" i="20" s="1"/>
  <c r="BI27" i="20" a="1"/>
  <c r="BI27" i="20" s="1"/>
  <c r="BI24" i="20" a="1"/>
  <c r="BI24" i="20" s="1"/>
  <c r="BI21" i="20" a="1"/>
  <c r="BI21" i="20" s="1"/>
  <c r="BH748" i="9"/>
  <c r="BI730" i="9"/>
  <c r="BI241" i="3"/>
  <c r="BH759" i="9"/>
  <c r="BI102" i="3"/>
  <c r="BI79" i="3"/>
  <c r="BI726" i="9"/>
  <c r="BI237" i="3"/>
  <c r="BJ176" i="3"/>
  <c r="BJ199" i="3" s="1"/>
  <c r="BJ167" i="3"/>
  <c r="BJ190" i="3" s="1"/>
  <c r="BH27" i="30"/>
  <c r="BH30" i="30" s="1"/>
  <c r="BH139" i="20"/>
  <c r="BI213" i="3"/>
  <c r="BI259" i="3"/>
  <c r="BI282" i="3" s="1"/>
  <c r="BI732" i="9"/>
  <c r="BI243" i="3"/>
  <c r="BI723" i="9"/>
  <c r="BI234" i="3"/>
  <c r="D43" i="23"/>
  <c r="D42" i="23" a="1"/>
  <c r="BG259" i="6" l="1"/>
  <c r="BH256" i="6" s="1"/>
  <c r="BI797" i="9"/>
  <c r="BI820" i="9" s="1"/>
  <c r="BJ178" i="3"/>
  <c r="BJ201" i="3" s="1"/>
  <c r="BJ186" i="3"/>
  <c r="BJ196" i="3"/>
  <c r="BJ265" i="3" s="1"/>
  <c r="BJ288" i="3" s="1"/>
  <c r="BI791" i="9"/>
  <c r="BI790" i="9"/>
  <c r="BI813" i="9" s="1"/>
  <c r="BI803" i="9"/>
  <c r="BI826" i="9" s="1"/>
  <c r="BI787" i="9"/>
  <c r="BI810" i="9" s="1"/>
  <c r="BI755" i="9"/>
  <c r="BG33" i="32"/>
  <c r="BI794" i="9"/>
  <c r="BI817" i="9" s="1"/>
  <c r="BH80" i="33"/>
  <c r="BI23" i="20"/>
  <c r="BI25" i="30"/>
  <c r="BI805" i="9"/>
  <c r="BI828" i="9" s="1"/>
  <c r="BI754" i="9"/>
  <c r="BI13" i="20"/>
  <c r="BI746" i="9"/>
  <c r="BI46" i="20"/>
  <c r="BI16" i="30" s="1"/>
  <c r="BI60" i="20"/>
  <c r="BI18" i="30" s="1"/>
  <c r="BI804" i="9"/>
  <c r="BI827" i="9" s="1"/>
  <c r="BI53" i="20"/>
  <c r="BI17" i="30" s="1"/>
  <c r="BI742" i="9"/>
  <c r="BF94" i="33"/>
  <c r="BJ262" i="3"/>
  <c r="BJ285" i="3" s="1"/>
  <c r="BJ216" i="3"/>
  <c r="BJ217" i="3"/>
  <c r="BJ263" i="3"/>
  <c r="BJ286" i="3" s="1"/>
  <c r="BJ220" i="3"/>
  <c r="BJ266" i="3"/>
  <c r="BJ289" i="3" s="1"/>
  <c r="BJ252" i="3"/>
  <c r="BJ275" i="3" s="1"/>
  <c r="BJ206" i="3"/>
  <c r="BJ264" i="3"/>
  <c r="BJ287" i="3" s="1"/>
  <c r="BJ218" i="3"/>
  <c r="BJ260" i="3"/>
  <c r="BJ283" i="3" s="1"/>
  <c r="BJ214" i="3"/>
  <c r="BJ253" i="3"/>
  <c r="BJ276" i="3" s="1"/>
  <c r="BJ207" i="3"/>
  <c r="BJ271" i="3"/>
  <c r="BJ294" i="3" s="1"/>
  <c r="BJ225" i="3"/>
  <c r="BI38" i="20"/>
  <c r="BI15" i="30" s="1"/>
  <c r="BI194" i="30"/>
  <c r="BI179" i="30"/>
  <c r="BI65" i="33" s="1"/>
  <c r="BI52" i="30"/>
  <c r="BI54" i="30" s="1"/>
  <c r="BI41" i="6"/>
  <c r="BI44" i="6" s="1"/>
  <c r="BI164" i="20"/>
  <c r="BI29" i="20"/>
  <c r="BI14" i="30" s="1"/>
  <c r="BI74" i="20"/>
  <c r="BI19" i="30" s="1"/>
  <c r="BJ3" i="11"/>
  <c r="BJ14" i="3"/>
  <c r="BJ3" i="35"/>
  <c r="BJ3" i="33"/>
  <c r="BK3" i="12"/>
  <c r="BJ3" i="32"/>
  <c r="BJ3" i="30"/>
  <c r="BJ3" i="38"/>
  <c r="BJ3" i="6"/>
  <c r="BJ3" i="9"/>
  <c r="BJ3" i="26"/>
  <c r="BJ3" i="16"/>
  <c r="BJ3" i="22"/>
  <c r="BJ3" i="20"/>
  <c r="BJ3" i="1"/>
  <c r="BJ3" i="28"/>
  <c r="BJ37" i="3"/>
  <c r="BJ261" i="3"/>
  <c r="BJ284" i="3" s="1"/>
  <c r="BJ215" i="3"/>
  <c r="BJ267" i="3"/>
  <c r="BJ290" i="3" s="1"/>
  <c r="BJ221" i="3"/>
  <c r="BI734" i="9"/>
  <c r="BI245" i="3"/>
  <c r="BI736" i="9"/>
  <c r="BI247" i="3"/>
  <c r="BJ210" i="3"/>
  <c r="BJ256" i="3"/>
  <c r="BJ279" i="3" s="1"/>
  <c r="BI747" i="9"/>
  <c r="BI750" i="9"/>
  <c r="BI720" i="9"/>
  <c r="BI231" i="3"/>
  <c r="BJ209" i="3"/>
  <c r="BJ255" i="3"/>
  <c r="BJ278" i="3" s="1"/>
  <c r="BI90" i="20"/>
  <c r="BI21" i="30" s="1"/>
  <c r="BJ258" i="3"/>
  <c r="BJ281" i="3" s="1"/>
  <c r="BJ212" i="3"/>
  <c r="BI752" i="9"/>
  <c r="BJ259" i="3"/>
  <c r="BJ282" i="3" s="1"/>
  <c r="BJ213" i="3"/>
  <c r="BI728" i="9"/>
  <c r="BI239" i="3"/>
  <c r="BI753" i="9"/>
  <c r="BI756" i="9"/>
  <c r="BI725" i="9"/>
  <c r="BI236" i="3"/>
  <c r="BI749" i="9"/>
  <c r="BI24" i="32"/>
  <c r="BI25" i="32" s="1"/>
  <c r="BI24" i="35" s="1"/>
  <c r="BI114" i="20"/>
  <c r="BI44" i="30"/>
  <c r="BI45" i="30" s="1"/>
  <c r="BI154" i="20"/>
  <c r="BJ177" i="3"/>
  <c r="BJ200" i="3" s="1"/>
  <c r="BH141" i="20"/>
  <c r="BH146" i="20" s="1"/>
  <c r="BG54" i="33"/>
  <c r="BG148" i="30"/>
  <c r="BG180" i="30" s="1"/>
  <c r="BG56" i="30"/>
  <c r="BG58" i="30" s="1"/>
  <c r="BI718" i="9"/>
  <c r="BI229" i="3"/>
  <c r="BI735" i="9"/>
  <c r="BI246" i="3"/>
  <c r="BI829" i="9"/>
  <c r="BI821" i="9"/>
  <c r="BI822" i="9"/>
  <c r="BI814" i="9"/>
  <c r="BI823" i="9"/>
  <c r="BI812" i="9"/>
  <c r="BI825" i="9"/>
  <c r="BI824" i="9"/>
  <c r="BI818" i="9"/>
  <c r="BI816" i="9"/>
  <c r="BI815" i="9"/>
  <c r="BI811" i="9"/>
  <c r="BI819" i="9"/>
  <c r="BJ222" i="3"/>
  <c r="BJ268" i="3"/>
  <c r="BJ291" i="3" s="1"/>
  <c r="BI23" i="30"/>
  <c r="BI179" i="20"/>
  <c r="BI85" i="20"/>
  <c r="BI20" i="30" s="1"/>
  <c r="BI96" i="20"/>
  <c r="BJ4" i="11"/>
  <c r="BJ22" i="3"/>
  <c r="BJ30" i="3"/>
  <c r="BJ16" i="3"/>
  <c r="BJ4" i="35"/>
  <c r="BJ4" i="33"/>
  <c r="BK4" i="12"/>
  <c r="BJ4" i="32"/>
  <c r="BJ4" i="30"/>
  <c r="BJ4" i="38"/>
  <c r="BJ4" i="6"/>
  <c r="AA7" i="6" s="1"/>
  <c r="BJ4" i="9"/>
  <c r="BJ4" i="26"/>
  <c r="BJ4" i="16"/>
  <c r="BJ4" i="22"/>
  <c r="BJ4" i="20"/>
  <c r="BJ4" i="1"/>
  <c r="BJ4" i="28"/>
  <c r="BJ20" i="3"/>
  <c r="BH24" i="30"/>
  <c r="BJ257" i="3"/>
  <c r="BJ280" i="3" s="1"/>
  <c r="BJ211" i="3"/>
  <c r="BI737" i="9"/>
  <c r="BI248" i="3"/>
  <c r="BK10" i="3"/>
  <c r="BK139" i="3" s="1"/>
  <c r="BI131" i="20"/>
  <c r="BI132" i="20" s="1"/>
  <c r="BI28" i="30" s="1"/>
  <c r="BI26" i="32" s="1"/>
  <c r="BI25" i="35" s="1"/>
  <c r="BJ5" i="11"/>
  <c r="BJ62" i="3"/>
  <c r="BJ54" i="3"/>
  <c r="BJ46" i="3"/>
  <c r="BJ92" i="3" s="1"/>
  <c r="BJ60" i="3"/>
  <c r="BJ47" i="3"/>
  <c r="BJ93" i="3" s="1"/>
  <c r="BJ50" i="3"/>
  <c r="BJ96" i="3" s="1"/>
  <c r="BJ55" i="3"/>
  <c r="BJ101" i="3" s="1"/>
  <c r="BJ49" i="3"/>
  <c r="BJ95" i="3" s="1"/>
  <c r="BJ45" i="3"/>
  <c r="BJ91" i="3" s="1"/>
  <c r="BJ53" i="3"/>
  <c r="BJ51" i="3"/>
  <c r="BJ58" i="3"/>
  <c r="BJ56" i="3"/>
  <c r="BJ102" i="3" s="1"/>
  <c r="BJ52" i="3"/>
  <c r="BJ59" i="3"/>
  <c r="BJ105" i="3" s="1"/>
  <c r="BJ57" i="3"/>
  <c r="BJ103" i="3" s="1"/>
  <c r="BJ63" i="3"/>
  <c r="BJ61" i="3"/>
  <c r="BJ48" i="3"/>
  <c r="BJ94" i="3" s="1"/>
  <c r="BJ64" i="3"/>
  <c r="BJ110" i="3" s="1"/>
  <c r="BJ5" i="35"/>
  <c r="BJ5" i="33"/>
  <c r="BK5" i="12"/>
  <c r="BJ5" i="32"/>
  <c r="BJ5" i="30"/>
  <c r="BJ5" i="38"/>
  <c r="BJ5" i="6"/>
  <c r="BJ5" i="9"/>
  <c r="BJ5" i="26"/>
  <c r="BJ5" i="16"/>
  <c r="BJ5" i="22"/>
  <c r="BJ5" i="20"/>
  <c r="BJ5" i="1"/>
  <c r="BJ5" i="28"/>
  <c r="BJ114" i="3"/>
  <c r="BJ118" i="3"/>
  <c r="BJ120" i="3"/>
  <c r="BJ117" i="3"/>
  <c r="BJ126" i="3"/>
  <c r="BJ116" i="3"/>
  <c r="BJ133" i="3"/>
  <c r="BJ132" i="3"/>
  <c r="BJ125" i="3"/>
  <c r="BJ129" i="3"/>
  <c r="BJ121" i="3"/>
  <c r="BJ115" i="3"/>
  <c r="BJ123" i="3"/>
  <c r="BJ128" i="3"/>
  <c r="BJ130" i="3"/>
  <c r="BJ119" i="3"/>
  <c r="BJ124" i="3"/>
  <c r="BJ122" i="3"/>
  <c r="BJ131" i="3"/>
  <c r="BJ127" i="3"/>
  <c r="BI721" i="9"/>
  <c r="BI232" i="3"/>
  <c r="BJ219" i="3"/>
  <c r="BI645" i="9"/>
  <c r="BE96" i="33"/>
  <c r="BE101" i="33" s="1"/>
  <c r="BE104" i="33" s="1"/>
  <c r="BF211" i="30"/>
  <c r="BF212" i="30" s="1"/>
  <c r="BE214" i="30"/>
  <c r="BE217" i="30" s="1"/>
  <c r="BE83" i="6"/>
  <c r="BJ208" i="3"/>
  <c r="BJ254" i="3"/>
  <c r="BJ277" i="3" s="1"/>
  <c r="BI722" i="9"/>
  <c r="BI233" i="3"/>
  <c r="D42" i="23"/>
  <c r="B20" i="23"/>
  <c r="B19" i="23"/>
  <c r="A2" i="23" a="1"/>
  <c r="BI13" i="30" l="1"/>
  <c r="BG136" i="30"/>
  <c r="BG137" i="30" s="1"/>
  <c r="BJ270" i="3"/>
  <c r="BJ293" i="3" s="1"/>
  <c r="BJ224" i="3"/>
  <c r="BK140" i="3"/>
  <c r="BK149" i="3"/>
  <c r="BK172" i="3" s="1"/>
  <c r="BK195" i="3" s="1"/>
  <c r="BK142" i="3"/>
  <c r="BK144" i="3"/>
  <c r="BK145" i="3"/>
  <c r="BK147" i="3"/>
  <c r="BK170" i="3" s="1"/>
  <c r="BK193" i="3" s="1"/>
  <c r="BK153" i="3"/>
  <c r="BK151" i="3"/>
  <c r="BJ72" i="3"/>
  <c r="BK152" i="3"/>
  <c r="BK154" i="3"/>
  <c r="W315" i="26"/>
  <c r="X315" i="26"/>
  <c r="Y315" i="26"/>
  <c r="BY112" i="6"/>
  <c r="BY113" i="6"/>
  <c r="BY111" i="6"/>
  <c r="BZ111" i="6"/>
  <c r="BZ113" i="6"/>
  <c r="BZ112" i="6"/>
  <c r="CA111" i="6"/>
  <c r="CA113" i="6"/>
  <c r="CA112" i="6"/>
  <c r="BK148" i="3"/>
  <c r="BK143" i="3"/>
  <c r="BJ68" i="3"/>
  <c r="BJ82" i="3"/>
  <c r="BI757" i="9"/>
  <c r="BI744" i="9"/>
  <c r="DB314" i="26"/>
  <c r="DE314" i="26"/>
  <c r="DD311" i="26"/>
  <c r="DF314" i="26"/>
  <c r="DC314" i="26"/>
  <c r="DD314" i="26"/>
  <c r="DG314" i="26"/>
  <c r="DB52" i="26"/>
  <c r="DE50" i="26"/>
  <c r="DB50" i="26"/>
  <c r="DE52" i="26"/>
  <c r="DC52" i="26"/>
  <c r="DF52" i="26"/>
  <c r="DC50" i="26"/>
  <c r="DF50" i="26"/>
  <c r="DD52" i="26"/>
  <c r="DG50" i="26"/>
  <c r="DD50" i="26"/>
  <c r="DG52" i="26"/>
  <c r="BI745" i="9"/>
  <c r="BE19" i="32"/>
  <c r="BE85" i="30"/>
  <c r="BE88" i="30" s="1"/>
  <c r="BE14" i="6"/>
  <c r="BL8" i="3"/>
  <c r="BK5" i="3"/>
  <c r="BK41" i="3"/>
  <c r="BK24" i="3"/>
  <c r="BK12" i="3"/>
  <c r="BK3" i="3" s="1"/>
  <c r="BK4" i="3"/>
  <c r="BK150" i="3"/>
  <c r="BJ723" i="9"/>
  <c r="BJ234" i="3"/>
  <c r="BJ180" i="20" a="1"/>
  <c r="BJ180" i="20" s="1"/>
  <c r="BJ162" i="20" a="1"/>
  <c r="BJ162" i="20" s="1"/>
  <c r="BJ153" i="20" a="1"/>
  <c r="BJ153" i="20" s="1"/>
  <c r="CA153" i="20" s="1"/>
  <c r="BJ150" i="20" a="1"/>
  <c r="BJ150" i="20" s="1"/>
  <c r="BJ41" i="30" s="1"/>
  <c r="BJ127" i="20" a="1"/>
  <c r="BJ127" i="20" s="1"/>
  <c r="CA127" i="20" s="1"/>
  <c r="BJ135" i="20" a="1"/>
  <c r="BJ135" i="20" s="1"/>
  <c r="BJ137" i="20" s="1"/>
  <c r="BJ29" i="30" s="1"/>
  <c r="BJ128" i="20" a="1"/>
  <c r="BJ128" i="20" s="1"/>
  <c r="BJ129" i="20" a="1"/>
  <c r="BJ129" i="20" s="1"/>
  <c r="BY129" i="20" s="1"/>
  <c r="CY129" i="20" s="1"/>
  <c r="BJ130" i="20" a="1"/>
  <c r="BJ130" i="20" s="1"/>
  <c r="BJ125" i="20" a="1"/>
  <c r="BJ125" i="20" s="1"/>
  <c r="BY125" i="20" s="1"/>
  <c r="CY125" i="20" s="1"/>
  <c r="BJ120" i="20" a="1"/>
  <c r="BJ120" i="20" s="1"/>
  <c r="CA120" i="20" s="1"/>
  <c r="BJ121" i="20" a="1"/>
  <c r="BJ121" i="20" s="1"/>
  <c r="BY121" i="20" s="1"/>
  <c r="CY121" i="20" s="1"/>
  <c r="BJ117" i="20" a="1"/>
  <c r="BJ117" i="20" s="1"/>
  <c r="CA117" i="20" s="1"/>
  <c r="BJ122" i="20" a="1"/>
  <c r="BJ122" i="20" s="1"/>
  <c r="BJ118" i="20" a="1"/>
  <c r="BJ118" i="20" s="1"/>
  <c r="BJ124" i="20" a="1"/>
  <c r="BJ124" i="20" s="1"/>
  <c r="BY124" i="20" s="1"/>
  <c r="CY124" i="20" s="1"/>
  <c r="BJ123" i="20" a="1"/>
  <c r="BJ123" i="20" s="1"/>
  <c r="BJ119" i="20" a="1"/>
  <c r="BJ119" i="20" s="1"/>
  <c r="BY119" i="20" s="1"/>
  <c r="CY119" i="20" s="1"/>
  <c r="BJ107" i="20" a="1"/>
  <c r="BJ107" i="20" s="1"/>
  <c r="CA107" i="20" s="1"/>
  <c r="BJ110" i="20" a="1"/>
  <c r="BJ110" i="20" s="1"/>
  <c r="BY110" i="20" s="1"/>
  <c r="CY110" i="20" s="1"/>
  <c r="BJ106" i="20" a="1"/>
  <c r="BJ106" i="20" s="1"/>
  <c r="CA106" i="20" s="1"/>
  <c r="BJ111" i="20" a="1"/>
  <c r="BJ111" i="20" s="1"/>
  <c r="BJ112" i="20" a="1"/>
  <c r="BJ112" i="20" s="1"/>
  <c r="BY112" i="20" s="1"/>
  <c r="CY112" i="20" s="1"/>
  <c r="BJ108" i="20" a="1"/>
  <c r="BJ108" i="20" s="1"/>
  <c r="BY108" i="20" s="1"/>
  <c r="CY108" i="20" s="1"/>
  <c r="BJ105" i="20" a="1"/>
  <c r="BJ105" i="20" s="1"/>
  <c r="BJ109" i="20" a="1"/>
  <c r="BJ109" i="20" s="1"/>
  <c r="CA109" i="20" s="1"/>
  <c r="BJ82" i="20" a="1"/>
  <c r="BJ82" i="20" s="1"/>
  <c r="BY82" i="20" s="1"/>
  <c r="CY82" i="20" s="1"/>
  <c r="BJ78" i="20" a="1"/>
  <c r="BJ78" i="20" s="1"/>
  <c r="BY78" i="20" s="1"/>
  <c r="CY78" i="20" s="1"/>
  <c r="BJ73" i="20" a="1"/>
  <c r="BJ73" i="20" s="1"/>
  <c r="CA73" i="20" s="1"/>
  <c r="BJ69" i="20" a="1"/>
  <c r="BJ69" i="20" s="1"/>
  <c r="BJ65" i="20" a="1"/>
  <c r="BJ65" i="20" s="1"/>
  <c r="BY65" i="20" s="1"/>
  <c r="CY65" i="20" s="1"/>
  <c r="BJ54" i="20" a="1"/>
  <c r="BJ54" i="20" s="1"/>
  <c r="BY54" i="20" s="1"/>
  <c r="BJ52" i="20" a="1"/>
  <c r="BJ52" i="20" s="1"/>
  <c r="BY52" i="20" s="1"/>
  <c r="CY52" i="20" s="1"/>
  <c r="BJ59" i="20" a="1"/>
  <c r="BJ59" i="20" s="1"/>
  <c r="BY59" i="20" s="1"/>
  <c r="CY59" i="20" s="1"/>
  <c r="BJ93" i="20" a="1"/>
  <c r="BJ93" i="20" s="1"/>
  <c r="CA93" i="20" s="1"/>
  <c r="BJ88" i="20" a="1"/>
  <c r="BJ88" i="20" s="1"/>
  <c r="BJ83" i="20" a="1"/>
  <c r="BJ83" i="20" s="1"/>
  <c r="CA83" i="20" s="1"/>
  <c r="BJ79" i="20" a="1"/>
  <c r="BJ79" i="20" s="1"/>
  <c r="BJ70" i="20" a="1"/>
  <c r="BJ70" i="20" s="1"/>
  <c r="BY70" i="20" s="1"/>
  <c r="CY70" i="20" s="1"/>
  <c r="BJ66" i="20" a="1"/>
  <c r="BJ66" i="20" s="1"/>
  <c r="BY66" i="20" s="1"/>
  <c r="CY66" i="20" s="1"/>
  <c r="BJ47" i="20" a="1"/>
  <c r="BJ47" i="20" s="1"/>
  <c r="BJ45" i="20" a="1"/>
  <c r="BJ45" i="20" s="1"/>
  <c r="BJ39" i="20" a="1"/>
  <c r="BJ39" i="20" s="1"/>
  <c r="BY39" i="20" s="1"/>
  <c r="BJ37" i="20" a="1"/>
  <c r="BJ37" i="20" s="1"/>
  <c r="CA37" i="20" s="1"/>
  <c r="BJ33" i="20" a="1"/>
  <c r="BJ33" i="20" s="1"/>
  <c r="CA33" i="20" s="1"/>
  <c r="BJ21" i="20" a="1"/>
  <c r="BJ21" i="20" s="1"/>
  <c r="BY21" i="20" s="1"/>
  <c r="CY21" i="20" s="1"/>
  <c r="BJ17" i="20" a="1"/>
  <c r="BJ17" i="20" s="1"/>
  <c r="BJ61" i="20" a="1"/>
  <c r="BJ61" i="20" s="1"/>
  <c r="BJ57" i="20" a="1"/>
  <c r="BJ57" i="20" s="1"/>
  <c r="BJ42" i="20" a="1"/>
  <c r="BJ42" i="20" s="1"/>
  <c r="CA42" i="20" s="1"/>
  <c r="BJ94" i="20" a="1"/>
  <c r="BJ94" i="20" s="1"/>
  <c r="BY94" i="20" s="1"/>
  <c r="CY94" i="20" s="1"/>
  <c r="BJ89" i="20" a="1"/>
  <c r="BJ89" i="20" s="1"/>
  <c r="CA89" i="20" s="1"/>
  <c r="BJ84" i="20" a="1"/>
  <c r="BJ84" i="20" s="1"/>
  <c r="CA84" i="20" s="1"/>
  <c r="BJ80" i="20" a="1"/>
  <c r="BJ80" i="20" s="1"/>
  <c r="CA80" i="20" s="1"/>
  <c r="BJ71" i="20" a="1"/>
  <c r="BJ71" i="20" s="1"/>
  <c r="BY71" i="20" s="1"/>
  <c r="CY71" i="20" s="1"/>
  <c r="BJ67" i="20" a="1"/>
  <c r="BJ67" i="20" s="1"/>
  <c r="BY67" i="20" s="1"/>
  <c r="CY67" i="20" s="1"/>
  <c r="BJ50" i="20" a="1"/>
  <c r="BJ50" i="20" s="1"/>
  <c r="BJ98" i="20" a="1"/>
  <c r="BJ98" i="20" s="1"/>
  <c r="BJ100" i="20" s="1"/>
  <c r="BJ95" i="20" a="1"/>
  <c r="BJ95" i="20" s="1"/>
  <c r="CA95" i="20" s="1"/>
  <c r="BJ81" i="20" a="1"/>
  <c r="BJ81" i="20" s="1"/>
  <c r="BY81" i="20" s="1"/>
  <c r="CY81" i="20" s="1"/>
  <c r="BJ77" i="20" a="1"/>
  <c r="BJ77" i="20" s="1"/>
  <c r="CA77" i="20" s="1"/>
  <c r="BJ72" i="20" a="1"/>
  <c r="BJ72" i="20" s="1"/>
  <c r="BJ68" i="20" a="1"/>
  <c r="BJ68" i="20" s="1"/>
  <c r="BY68" i="20" s="1"/>
  <c r="CY68" i="20" s="1"/>
  <c r="BJ64" i="20" a="1"/>
  <c r="BJ64" i="20" s="1"/>
  <c r="BJ58" i="20" a="1"/>
  <c r="BJ58" i="20" s="1"/>
  <c r="BY58" i="20" s="1"/>
  <c r="CY58" i="20" s="1"/>
  <c r="BJ51" i="20" a="1"/>
  <c r="BJ51" i="20" s="1"/>
  <c r="BJ11" i="20" a="1"/>
  <c r="BJ11" i="20" s="1"/>
  <c r="CA11" i="20" s="1"/>
  <c r="BJ22" i="20" a="1"/>
  <c r="BJ22" i="20" s="1"/>
  <c r="BY22" i="20" s="1"/>
  <c r="CY22" i="20" s="1"/>
  <c r="BJ14" i="20" a="1"/>
  <c r="BJ14" i="20" s="1"/>
  <c r="CA14" i="20" s="1"/>
  <c r="BJ43" i="20" a="1"/>
  <c r="BJ43" i="20" s="1"/>
  <c r="BJ36" i="20" a="1"/>
  <c r="BJ36" i="20" s="1"/>
  <c r="BJ28" i="20" a="1"/>
  <c r="BJ28" i="20" s="1"/>
  <c r="BJ30" i="20" a="1"/>
  <c r="BJ30" i="20" s="1"/>
  <c r="BJ19" i="20" a="1"/>
  <c r="BJ19" i="20" s="1"/>
  <c r="BJ12" i="20" a="1"/>
  <c r="BJ12" i="20" s="1"/>
  <c r="BY12" i="20" s="1"/>
  <c r="CY12" i="20" s="1"/>
  <c r="BJ44" i="20" a="1"/>
  <c r="BJ44" i="20" s="1"/>
  <c r="BY44" i="20" s="1"/>
  <c r="CY44" i="20" s="1"/>
  <c r="BJ34" i="20" a="1"/>
  <c r="BJ34" i="20" s="1"/>
  <c r="CA34" i="20" s="1"/>
  <c r="BJ35" i="20" a="1"/>
  <c r="BJ35" i="20" s="1"/>
  <c r="BY35" i="20" s="1"/>
  <c r="CY35" i="20" s="1"/>
  <c r="BJ27" i="20" a="1"/>
  <c r="BJ27" i="20" s="1"/>
  <c r="BJ24" i="20" a="1"/>
  <c r="BJ24" i="20" s="1"/>
  <c r="BJ20" i="20" a="1"/>
  <c r="BJ20" i="20" s="1"/>
  <c r="BJ18" i="20" a="1"/>
  <c r="BJ18" i="20" s="1"/>
  <c r="BJ734" i="9"/>
  <c r="BJ245" i="3"/>
  <c r="BJ269" i="3"/>
  <c r="BJ292" i="3" s="1"/>
  <c r="BJ223" i="3"/>
  <c r="BJ727" i="9"/>
  <c r="BJ238" i="3"/>
  <c r="DB268" i="26"/>
  <c r="DE326" i="26"/>
  <c r="DB266" i="26"/>
  <c r="DB222" i="26"/>
  <c r="DB264" i="26"/>
  <c r="DE223" i="26"/>
  <c r="DE285" i="26"/>
  <c r="DE268" i="26"/>
  <c r="DE325" i="26"/>
  <c r="DB285" i="26"/>
  <c r="DE37" i="26"/>
  <c r="DE250" i="26"/>
  <c r="DB209" i="26"/>
  <c r="DB73" i="26"/>
  <c r="DB112" i="26"/>
  <c r="DB200" i="26"/>
  <c r="DB225" i="26"/>
  <c r="DE39" i="26"/>
  <c r="DB228" i="26"/>
  <c r="DE253" i="26"/>
  <c r="DB155" i="26"/>
  <c r="DE224" i="26"/>
  <c r="DB250" i="26"/>
  <c r="DE322" i="26"/>
  <c r="DB325" i="26"/>
  <c r="DB326" i="26"/>
  <c r="DB203" i="26"/>
  <c r="DB120" i="26"/>
  <c r="DB121" i="26"/>
  <c r="DB204" i="26"/>
  <c r="DB143" i="26"/>
  <c r="DB178" i="26"/>
  <c r="DB144" i="26"/>
  <c r="DE239" i="26"/>
  <c r="DB224" i="26"/>
  <c r="DE242" i="26"/>
  <c r="DE251" i="26"/>
  <c r="DB215" i="26"/>
  <c r="DB36" i="26"/>
  <c r="DB39" i="26"/>
  <c r="DB276" i="26"/>
  <c r="DE36" i="26"/>
  <c r="DE252" i="26"/>
  <c r="DB145" i="26"/>
  <c r="DB61" i="26"/>
  <c r="DB118" i="26"/>
  <c r="DB141" i="26"/>
  <c r="DB114" i="26"/>
  <c r="DB67" i="26"/>
  <c r="DB89" i="26"/>
  <c r="DB147" i="26"/>
  <c r="DB142" i="26"/>
  <c r="DB196" i="26"/>
  <c r="DE215" i="26"/>
  <c r="DE324" i="26"/>
  <c r="DB238" i="26"/>
  <c r="DE264" i="26"/>
  <c r="DE256" i="26"/>
  <c r="DE265" i="26"/>
  <c r="DB302" i="26"/>
  <c r="DB90" i="26"/>
  <c r="DB201" i="26"/>
  <c r="DB69" i="26"/>
  <c r="DB156" i="26"/>
  <c r="DB265" i="26"/>
  <c r="DE225" i="26"/>
  <c r="DB242" i="26"/>
  <c r="DB38" i="26"/>
  <c r="DE191" i="26"/>
  <c r="DB322" i="26"/>
  <c r="DE276" i="26"/>
  <c r="DB138" i="26"/>
  <c r="DB115" i="26"/>
  <c r="DB202" i="26"/>
  <c r="DB150" i="26"/>
  <c r="DB95" i="26"/>
  <c r="DB180" i="26"/>
  <c r="DB198" i="26"/>
  <c r="DB256" i="26"/>
  <c r="DE237" i="26"/>
  <c r="DB253" i="26"/>
  <c r="DE157" i="26"/>
  <c r="DE304" i="26"/>
  <c r="DB237" i="26"/>
  <c r="DE153" i="26"/>
  <c r="DE236" i="26"/>
  <c r="DB153" i="26"/>
  <c r="DB157" i="26"/>
  <c r="DE156" i="26"/>
  <c r="DB94" i="26"/>
  <c r="DB149" i="26"/>
  <c r="DB177" i="26"/>
  <c r="DB154" i="26"/>
  <c r="DB251" i="26"/>
  <c r="DB191" i="26"/>
  <c r="DE238" i="26"/>
  <c r="DB323" i="26"/>
  <c r="DE302" i="26"/>
  <c r="DE38" i="26"/>
  <c r="DB37" i="26"/>
  <c r="DB252" i="26"/>
  <c r="DE287" i="26"/>
  <c r="DB174" i="26"/>
  <c r="DB63" i="26"/>
  <c r="DB70" i="26"/>
  <c r="DB93" i="26"/>
  <c r="DB175" i="26"/>
  <c r="DB98" i="26"/>
  <c r="DB172" i="26"/>
  <c r="DB179" i="26"/>
  <c r="DB99" i="26"/>
  <c r="DB182" i="26"/>
  <c r="DB195" i="26"/>
  <c r="DB287" i="26"/>
  <c r="DB324" i="26"/>
  <c r="DE155" i="26"/>
  <c r="DE266" i="26"/>
  <c r="DE154" i="26"/>
  <c r="DB223" i="26"/>
  <c r="DE222" i="26"/>
  <c r="DB239" i="26"/>
  <c r="DB304" i="26"/>
  <c r="DE228" i="26"/>
  <c r="DB236" i="26"/>
  <c r="DB111" i="26"/>
  <c r="DB124" i="26"/>
  <c r="DB206" i="26"/>
  <c r="DB139" i="26"/>
  <c r="DB71" i="26"/>
  <c r="DB197" i="26"/>
  <c r="DB207" i="26"/>
  <c r="DE204" i="26"/>
  <c r="DB87" i="26"/>
  <c r="DB85" i="26"/>
  <c r="DB65" i="26"/>
  <c r="DB151" i="26"/>
  <c r="DB181" i="26"/>
  <c r="DB97" i="26"/>
  <c r="DB205" i="26"/>
  <c r="DB123" i="26"/>
  <c r="DB68" i="26"/>
  <c r="DB113" i="26"/>
  <c r="DB64" i="26"/>
  <c r="DB116" i="26"/>
  <c r="DB119" i="26"/>
  <c r="DE179" i="26"/>
  <c r="DB60" i="26"/>
  <c r="DB183" i="26"/>
  <c r="DB125" i="26"/>
  <c r="DB171" i="26"/>
  <c r="DB66" i="26"/>
  <c r="DE71" i="26"/>
  <c r="DB176" i="26"/>
  <c r="DE150" i="26"/>
  <c r="DE61" i="26"/>
  <c r="DB96" i="26"/>
  <c r="DE90" i="26"/>
  <c r="DE72" i="26"/>
  <c r="DE144" i="26"/>
  <c r="DC238" i="26"/>
  <c r="DC154" i="26"/>
  <c r="DB190" i="26"/>
  <c r="DE212" i="26"/>
  <c r="DE130" i="26"/>
  <c r="DE31" i="26"/>
  <c r="DB129" i="26"/>
  <c r="DE284" i="26"/>
  <c r="DE190" i="26"/>
  <c r="DB212" i="26"/>
  <c r="DE186" i="26"/>
  <c r="DC38" i="26"/>
  <c r="DE275" i="26"/>
  <c r="DB213" i="26"/>
  <c r="DC215" i="26"/>
  <c r="DB35" i="26"/>
  <c r="DB188" i="26"/>
  <c r="DE94" i="26"/>
  <c r="DB210" i="26"/>
  <c r="DC225" i="26"/>
  <c r="DE152" i="26"/>
  <c r="DC155" i="26"/>
  <c r="DB321" i="26"/>
  <c r="DC242" i="26"/>
  <c r="DB29" i="26"/>
  <c r="DE211" i="26"/>
  <c r="DC156" i="26"/>
  <c r="DE75" i="26"/>
  <c r="DE43" i="26"/>
  <c r="DE101" i="26"/>
  <c r="DC228" i="26"/>
  <c r="DB103" i="26"/>
  <c r="DC223" i="26"/>
  <c r="DB100" i="26"/>
  <c r="DB214" i="26"/>
  <c r="DC265" i="26"/>
  <c r="DB31" i="26"/>
  <c r="DC224" i="26"/>
  <c r="DB78" i="26"/>
  <c r="DE103" i="26"/>
  <c r="DC264" i="26"/>
  <c r="DE188" i="26"/>
  <c r="DC285" i="26"/>
  <c r="DC250" i="26"/>
  <c r="DB43" i="26"/>
  <c r="DC252" i="26"/>
  <c r="DC153" i="26"/>
  <c r="DB275" i="26"/>
  <c r="DE45" i="26"/>
  <c r="DC37" i="26"/>
  <c r="DE321" i="26"/>
  <c r="DC157" i="26"/>
  <c r="DE128" i="26"/>
  <c r="DC276" i="26"/>
  <c r="DC324" i="26"/>
  <c r="DE189" i="26"/>
  <c r="DE127" i="26"/>
  <c r="DB127" i="26"/>
  <c r="DC322" i="26"/>
  <c r="DE210" i="26"/>
  <c r="DC237" i="26"/>
  <c r="DB284" i="26"/>
  <c r="DC239" i="26"/>
  <c r="DC251" i="26"/>
  <c r="DB211" i="26"/>
  <c r="DE76" i="26"/>
  <c r="DB152" i="26"/>
  <c r="DB75" i="26"/>
  <c r="DC268" i="26"/>
  <c r="DB186" i="26"/>
  <c r="DB235" i="26"/>
  <c r="DB45" i="26"/>
  <c r="DE126" i="26"/>
  <c r="DB126" i="26"/>
  <c r="DE35" i="26"/>
  <c r="DC36" i="26"/>
  <c r="DE93" i="26"/>
  <c r="DE120" i="26"/>
  <c r="DE29" i="26"/>
  <c r="DE129" i="26"/>
  <c r="DC235" i="26"/>
  <c r="DE235" i="26"/>
  <c r="DB130" i="26"/>
  <c r="DB189" i="26"/>
  <c r="DC191" i="26"/>
  <c r="DB76" i="26"/>
  <c r="DE78" i="26"/>
  <c r="DB128" i="26"/>
  <c r="DC302" i="26"/>
  <c r="DC326" i="26"/>
  <c r="DE199" i="26"/>
  <c r="DB101" i="26"/>
  <c r="DB77" i="26"/>
  <c r="DE77" i="26"/>
  <c r="DE104" i="26"/>
  <c r="DC253" i="26"/>
  <c r="DB102" i="26"/>
  <c r="DE100" i="26"/>
  <c r="DC275" i="26"/>
  <c r="DC256" i="26"/>
  <c r="DC236" i="26"/>
  <c r="DE102" i="26"/>
  <c r="DC287" i="26"/>
  <c r="DC323" i="26"/>
  <c r="DB187" i="26"/>
  <c r="DB104" i="26"/>
  <c r="DE187" i="26"/>
  <c r="DC222" i="26"/>
  <c r="DC39" i="26"/>
  <c r="DE213" i="26"/>
  <c r="DC304" i="26"/>
  <c r="DE323" i="26"/>
  <c r="DC284" i="26"/>
  <c r="DE214" i="26"/>
  <c r="DC266" i="26"/>
  <c r="DC325" i="26"/>
  <c r="DE148" i="26"/>
  <c r="DE85" i="26"/>
  <c r="DE89" i="26"/>
  <c r="DE70" i="26"/>
  <c r="DB137" i="26"/>
  <c r="DE172" i="26"/>
  <c r="DE147" i="26"/>
  <c r="DE174" i="26"/>
  <c r="DE149" i="26"/>
  <c r="DE68" i="26"/>
  <c r="DE180" i="26"/>
  <c r="DE112" i="26"/>
  <c r="DE207" i="26"/>
  <c r="DE116" i="26"/>
  <c r="DE173" i="26"/>
  <c r="DE96" i="26"/>
  <c r="DE121" i="26"/>
  <c r="DB91" i="26"/>
  <c r="DE151" i="26"/>
  <c r="DE182" i="26"/>
  <c r="DE138" i="26"/>
  <c r="DE86" i="26"/>
  <c r="DE118" i="26"/>
  <c r="DE91" i="26"/>
  <c r="DB146" i="26"/>
  <c r="DE200" i="26"/>
  <c r="DE60" i="26"/>
  <c r="DE95" i="26"/>
  <c r="DE196" i="26"/>
  <c r="DE124" i="26"/>
  <c r="DE146" i="26"/>
  <c r="DE145" i="26"/>
  <c r="DE184" i="26"/>
  <c r="DE201" i="26"/>
  <c r="DE195" i="26"/>
  <c r="DE122" i="26"/>
  <c r="DE143" i="26"/>
  <c r="DE203" i="26"/>
  <c r="DE88" i="26"/>
  <c r="DE111" i="26"/>
  <c r="DE115" i="26"/>
  <c r="DB122" i="26"/>
  <c r="DE177" i="26"/>
  <c r="DE87" i="26"/>
  <c r="DE74" i="26"/>
  <c r="DE140" i="26"/>
  <c r="DE206" i="26"/>
  <c r="DE137" i="26"/>
  <c r="DC74" i="26"/>
  <c r="DD222" i="26"/>
  <c r="DC45" i="26"/>
  <c r="DC187" i="26"/>
  <c r="DC176" i="26"/>
  <c r="DD264" i="26"/>
  <c r="DC143" i="26"/>
  <c r="DF275" i="26"/>
  <c r="W14" i="26"/>
  <c r="DC129" i="26"/>
  <c r="DC75" i="26"/>
  <c r="DC102" i="26"/>
  <c r="DF325" i="26"/>
  <c r="DD235" i="26"/>
  <c r="DC140" i="26"/>
  <c r="DC78" i="26"/>
  <c r="DC141" i="26"/>
  <c r="DF38" i="26"/>
  <c r="DC179" i="26"/>
  <c r="W22" i="26"/>
  <c r="DC113" i="26"/>
  <c r="DF304" i="26"/>
  <c r="DC186" i="26"/>
  <c r="DE58" i="26"/>
  <c r="W27" i="26"/>
  <c r="DF228" i="26"/>
  <c r="DF302" i="26"/>
  <c r="DC103" i="26"/>
  <c r="DD285" i="26"/>
  <c r="DC68" i="26"/>
  <c r="W344" i="26"/>
  <c r="DC63" i="26"/>
  <c r="DF157" i="26"/>
  <c r="DC214" i="26"/>
  <c r="DC100" i="26"/>
  <c r="DD242" i="26"/>
  <c r="DD322" i="26"/>
  <c r="DF268" i="26"/>
  <c r="DF252" i="26"/>
  <c r="DD324" i="26"/>
  <c r="DC139" i="26"/>
  <c r="DF236" i="26"/>
  <c r="DF322" i="26"/>
  <c r="W18" i="26"/>
  <c r="W297" i="26"/>
  <c r="DD153" i="26"/>
  <c r="DC203" i="26"/>
  <c r="DC95" i="26"/>
  <c r="DC211" i="26"/>
  <c r="DC144" i="26"/>
  <c r="DF324" i="26"/>
  <c r="DC142" i="26"/>
  <c r="DF276" i="26"/>
  <c r="DC116" i="26"/>
  <c r="W17" i="26"/>
  <c r="W286" i="26"/>
  <c r="DC204" i="26"/>
  <c r="DD268" i="26"/>
  <c r="DF266" i="26"/>
  <c r="DC321" i="26"/>
  <c r="DD39" i="26"/>
  <c r="DD154" i="26"/>
  <c r="DD323" i="26"/>
  <c r="DC177" i="26"/>
  <c r="DF37" i="26"/>
  <c r="DD236" i="26"/>
  <c r="DC188" i="26"/>
  <c r="W23" i="26"/>
  <c r="DD237" i="26"/>
  <c r="W254" i="26"/>
  <c r="DC29" i="26"/>
  <c r="DC208" i="26"/>
  <c r="DD276" i="26"/>
  <c r="DF224" i="26"/>
  <c r="DD239" i="26"/>
  <c r="DC181" i="26"/>
  <c r="DD155" i="26"/>
  <c r="DD252" i="26"/>
  <c r="DD326" i="26"/>
  <c r="DC104" i="26"/>
  <c r="W16" i="26"/>
  <c r="W13" i="26"/>
  <c r="W15" i="26"/>
  <c r="DD266" i="26"/>
  <c r="DD253" i="26"/>
  <c r="DF284" i="26"/>
  <c r="DF265" i="26"/>
  <c r="DC101" i="26"/>
  <c r="DC35" i="26"/>
  <c r="DD304" i="26"/>
  <c r="DF242" i="26"/>
  <c r="DF235" i="26"/>
  <c r="DC138" i="26"/>
  <c r="W19" i="26"/>
  <c r="W25" i="26"/>
  <c r="DF238" i="26"/>
  <c r="DF222" i="26"/>
  <c r="DC201" i="26"/>
  <c r="W21" i="26"/>
  <c r="DC128" i="26"/>
  <c r="DC212" i="26"/>
  <c r="DF39" i="26"/>
  <c r="DD228" i="26"/>
  <c r="DF239" i="26"/>
  <c r="DF155" i="26"/>
  <c r="DD191" i="26"/>
  <c r="DF153" i="26"/>
  <c r="W338" i="26"/>
  <c r="W277" i="26"/>
  <c r="DF264" i="26"/>
  <c r="DD275" i="26"/>
  <c r="DC77" i="26"/>
  <c r="DC184" i="26"/>
  <c r="DD265" i="26"/>
  <c r="W296" i="26"/>
  <c r="DC88" i="26"/>
  <c r="W166" i="26"/>
  <c r="W332" i="26"/>
  <c r="DC96" i="26"/>
  <c r="DC209" i="26"/>
  <c r="DC65" i="26"/>
  <c r="W255" i="26"/>
  <c r="DC126" i="26"/>
  <c r="DD36" i="26"/>
  <c r="DC202" i="26"/>
  <c r="DF191" i="26"/>
  <c r="W263" i="26"/>
  <c r="DD238" i="26"/>
  <c r="DC67" i="26"/>
  <c r="DC87" i="26"/>
  <c r="DD156" i="26"/>
  <c r="DC206" i="26"/>
  <c r="DC127" i="26"/>
  <c r="W241" i="26"/>
  <c r="DC89" i="26"/>
  <c r="DC62" i="26"/>
  <c r="DF215" i="26"/>
  <c r="DC195" i="26"/>
  <c r="DC111" i="26"/>
  <c r="DF256" i="26"/>
  <c r="DC190" i="26"/>
  <c r="DD157" i="26"/>
  <c r="DF36" i="26"/>
  <c r="DF285" i="26"/>
  <c r="W267" i="26"/>
  <c r="DC117" i="26"/>
  <c r="W26" i="26"/>
  <c r="DC196" i="26"/>
  <c r="DF156" i="26"/>
  <c r="DC152" i="26"/>
  <c r="DF250" i="26"/>
  <c r="DC43" i="26"/>
  <c r="DD224" i="26"/>
  <c r="DF237" i="26"/>
  <c r="W24" i="26"/>
  <c r="DD215" i="26"/>
  <c r="DC189" i="26"/>
  <c r="W295" i="26"/>
  <c r="W227" i="26"/>
  <c r="DF287" i="26"/>
  <c r="DF225" i="26"/>
  <c r="DC182" i="26"/>
  <c r="DD287" i="26"/>
  <c r="DD251" i="26"/>
  <c r="DC130" i="26"/>
  <c r="DC174" i="26"/>
  <c r="DC122" i="26"/>
  <c r="DF251" i="26"/>
  <c r="DC213" i="26"/>
  <c r="DC199" i="26"/>
  <c r="DD302" i="26"/>
  <c r="DC114" i="26"/>
  <c r="DD225" i="26"/>
  <c r="W165" i="26"/>
  <c r="DD37" i="26"/>
  <c r="DC151" i="26"/>
  <c r="DD38" i="26"/>
  <c r="W20" i="26"/>
  <c r="DF326" i="26"/>
  <c r="W305" i="26"/>
  <c r="W226" i="26"/>
  <c r="DC31" i="26"/>
  <c r="DD223" i="26"/>
  <c r="DE65" i="26"/>
  <c r="DD250" i="26"/>
  <c r="DD256" i="26"/>
  <c r="DC123" i="26"/>
  <c r="DC98" i="26"/>
  <c r="DF253" i="26"/>
  <c r="DD284" i="26"/>
  <c r="DE176" i="26"/>
  <c r="DD325" i="26"/>
  <c r="W240" i="26"/>
  <c r="DC210" i="26"/>
  <c r="DF223" i="26"/>
  <c r="DC118" i="26"/>
  <c r="DE97" i="26"/>
  <c r="DC76" i="26"/>
  <c r="DF154" i="26"/>
  <c r="W294" i="26"/>
  <c r="DD189" i="26"/>
  <c r="DG242" i="26"/>
  <c r="DC119" i="26"/>
  <c r="DF93" i="26"/>
  <c r="X267" i="26"/>
  <c r="DF201" i="26"/>
  <c r="DF180" i="26"/>
  <c r="DF211" i="26"/>
  <c r="DF127" i="26"/>
  <c r="DD127" i="26"/>
  <c r="DG39" i="26"/>
  <c r="DC148" i="26"/>
  <c r="DF60" i="26"/>
  <c r="DF212" i="26"/>
  <c r="DC64" i="26"/>
  <c r="X16" i="26"/>
  <c r="X23" i="26"/>
  <c r="DF89" i="26"/>
  <c r="DF196" i="26"/>
  <c r="DF78" i="26"/>
  <c r="X15" i="26"/>
  <c r="DD214" i="26"/>
  <c r="DC172" i="26"/>
  <c r="DF68" i="26"/>
  <c r="DF205" i="26"/>
  <c r="DG264" i="26"/>
  <c r="X26" i="26"/>
  <c r="DF31" i="26"/>
  <c r="X277" i="26"/>
  <c r="DF177" i="26"/>
  <c r="DF96" i="26"/>
  <c r="DG250" i="26"/>
  <c r="DF115" i="26"/>
  <c r="DC94" i="26"/>
  <c r="DG326" i="26"/>
  <c r="DF119" i="26"/>
  <c r="X20" i="26"/>
  <c r="DG325" i="26"/>
  <c r="DF102" i="26"/>
  <c r="DC115" i="26"/>
  <c r="DF199" i="26"/>
  <c r="DF150" i="26"/>
  <c r="DF101" i="26"/>
  <c r="DF175" i="26"/>
  <c r="DF75" i="26"/>
  <c r="DC137" i="26"/>
  <c r="DD211" i="26"/>
  <c r="DC173" i="26"/>
  <c r="DC60" i="26"/>
  <c r="DD103" i="26"/>
  <c r="DF206" i="26"/>
  <c r="DG222" i="26"/>
  <c r="DF43" i="26"/>
  <c r="DF97" i="26"/>
  <c r="DF69" i="26"/>
  <c r="DF184" i="26"/>
  <c r="DG324" i="26"/>
  <c r="DG322" i="26"/>
  <c r="DF189" i="26"/>
  <c r="DF128" i="26"/>
  <c r="DD321" i="26"/>
  <c r="DF29" i="26"/>
  <c r="DD43" i="26"/>
  <c r="DC185" i="26"/>
  <c r="DF103" i="26"/>
  <c r="DC71" i="26"/>
  <c r="DG236" i="26"/>
  <c r="DF213" i="26"/>
  <c r="DF149" i="26"/>
  <c r="DD29" i="26"/>
  <c r="DF321" i="26"/>
  <c r="DG266" i="26"/>
  <c r="DF100" i="26"/>
  <c r="X294" i="26"/>
  <c r="DC205" i="26"/>
  <c r="X295" i="26"/>
  <c r="DC91" i="26"/>
  <c r="DF114" i="26"/>
  <c r="DD78" i="26"/>
  <c r="DG304" i="26"/>
  <c r="DF72" i="26"/>
  <c r="X13" i="26"/>
  <c r="DF138" i="26"/>
  <c r="DC97" i="26"/>
  <c r="DC198" i="26"/>
  <c r="DC145" i="26"/>
  <c r="X263" i="26"/>
  <c r="DF183" i="26"/>
  <c r="DC207" i="26"/>
  <c r="X305" i="26"/>
  <c r="X165" i="26"/>
  <c r="DG237" i="26"/>
  <c r="DF120" i="26"/>
  <c r="X338" i="26"/>
  <c r="DF147" i="26"/>
  <c r="DF143" i="26"/>
  <c r="X22" i="26"/>
  <c r="DG238" i="26"/>
  <c r="DF202" i="26"/>
  <c r="DF129" i="26"/>
  <c r="X226" i="26"/>
  <c r="DC86" i="26"/>
  <c r="DF90" i="26"/>
  <c r="DF124" i="26"/>
  <c r="DG225" i="26"/>
  <c r="DF151" i="26"/>
  <c r="DF91" i="26"/>
  <c r="DF144" i="26"/>
  <c r="DG223" i="26"/>
  <c r="DC85" i="26"/>
  <c r="DC93" i="26"/>
  <c r="DF145" i="26"/>
  <c r="DD190" i="26"/>
  <c r="DF141" i="26"/>
  <c r="DF116" i="26"/>
  <c r="DF139" i="26"/>
  <c r="DF70" i="26"/>
  <c r="DD45" i="26"/>
  <c r="DG251" i="26"/>
  <c r="DF67" i="26"/>
  <c r="DF204" i="26"/>
  <c r="DC149" i="26"/>
  <c r="DF87" i="26"/>
  <c r="DF98" i="26"/>
  <c r="DF104" i="26"/>
  <c r="X241" i="26"/>
  <c r="DC180" i="26"/>
  <c r="DD188" i="26"/>
  <c r="DG156" i="26"/>
  <c r="DF64" i="26"/>
  <c r="DC61" i="26"/>
  <c r="DC197" i="26"/>
  <c r="DF179" i="26"/>
  <c r="DF214" i="26"/>
  <c r="DF88" i="26"/>
  <c r="DF207" i="26"/>
  <c r="DD212" i="26"/>
  <c r="X255" i="26"/>
  <c r="DF186" i="26"/>
  <c r="DD129" i="26"/>
  <c r="DF130" i="26"/>
  <c r="DG191" i="26"/>
  <c r="DF62" i="26"/>
  <c r="X14" i="26"/>
  <c r="DD77" i="26"/>
  <c r="DG285" i="26"/>
  <c r="DC125" i="26"/>
  <c r="X19" i="26"/>
  <c r="DD126" i="26"/>
  <c r="X27" i="26"/>
  <c r="DG287" i="26"/>
  <c r="DC69" i="26"/>
  <c r="DG268" i="26"/>
  <c r="X25" i="26"/>
  <c r="DF73" i="26"/>
  <c r="X254" i="26"/>
  <c r="DD100" i="26"/>
  <c r="DG235" i="26"/>
  <c r="DG302" i="26"/>
  <c r="DF210" i="26"/>
  <c r="DC175" i="26"/>
  <c r="DD213" i="26"/>
  <c r="DC90" i="26"/>
  <c r="DD187" i="26"/>
  <c r="DG276" i="26"/>
  <c r="DG155" i="26"/>
  <c r="DF113" i="26"/>
  <c r="X240" i="26"/>
  <c r="DF176" i="26"/>
  <c r="DF137" i="26"/>
  <c r="DC178" i="26"/>
  <c r="DG275" i="26"/>
  <c r="DF190" i="26"/>
  <c r="DF92" i="26"/>
  <c r="X344" i="26"/>
  <c r="DG265" i="26"/>
  <c r="DF142" i="26"/>
  <c r="DF111" i="26"/>
  <c r="DF125" i="26"/>
  <c r="DC66" i="26"/>
  <c r="DF188" i="26"/>
  <c r="DF203" i="26"/>
  <c r="DG239" i="26"/>
  <c r="DC124" i="26"/>
  <c r="DF118" i="26"/>
  <c r="DF65" i="26"/>
  <c r="DF123" i="26"/>
  <c r="DC73" i="26"/>
  <c r="DD76" i="26"/>
  <c r="DC171" i="26"/>
  <c r="DF181" i="26"/>
  <c r="DG284" i="26"/>
  <c r="DG154" i="26"/>
  <c r="DF86" i="26"/>
  <c r="DD210" i="26"/>
  <c r="DC70" i="26"/>
  <c r="DD104" i="26"/>
  <c r="DF85" i="26"/>
  <c r="DF121" i="26"/>
  <c r="DG38" i="26"/>
  <c r="DF197" i="26"/>
  <c r="DF61" i="26"/>
  <c r="DD130" i="26"/>
  <c r="DC112" i="26"/>
  <c r="DC92" i="26"/>
  <c r="DC147" i="26"/>
  <c r="DF195" i="26"/>
  <c r="DG224" i="26"/>
  <c r="DF208" i="26"/>
  <c r="DF140" i="26"/>
  <c r="DF185" i="26"/>
  <c r="DF178" i="26"/>
  <c r="DG215" i="26"/>
  <c r="DF200" i="26"/>
  <c r="DC150" i="26"/>
  <c r="DF99" i="26"/>
  <c r="X332" i="26"/>
  <c r="DF126" i="26"/>
  <c r="X297" i="26"/>
  <c r="DF112" i="26"/>
  <c r="DF146" i="26"/>
  <c r="DF66" i="26"/>
  <c r="DG256" i="26"/>
  <c r="DG37" i="26"/>
  <c r="X24" i="26"/>
  <c r="X18" i="26"/>
  <c r="DF63" i="26"/>
  <c r="DF323" i="26"/>
  <c r="DD31" i="26"/>
  <c r="DG252" i="26"/>
  <c r="X21" i="26"/>
  <c r="DF172" i="26"/>
  <c r="DD152" i="26"/>
  <c r="DF174" i="26"/>
  <c r="DF173" i="26"/>
  <c r="DG153" i="26"/>
  <c r="DC146" i="26"/>
  <c r="DC183" i="26"/>
  <c r="DF45" i="26"/>
  <c r="DD186" i="26"/>
  <c r="DC99" i="26"/>
  <c r="DG36" i="26"/>
  <c r="DG157" i="26"/>
  <c r="DF74" i="26"/>
  <c r="DF152" i="26"/>
  <c r="DF171" i="26"/>
  <c r="DD75" i="26"/>
  <c r="DF122" i="26"/>
  <c r="DF209" i="26"/>
  <c r="X166" i="26"/>
  <c r="DD128" i="26"/>
  <c r="DF94" i="26"/>
  <c r="DF187" i="26"/>
  <c r="X17" i="26"/>
  <c r="DD35" i="26"/>
  <c r="DD102" i="26"/>
  <c r="X227" i="26"/>
  <c r="DD101" i="26"/>
  <c r="DG253" i="26"/>
  <c r="DF182" i="26"/>
  <c r="DF117" i="26"/>
  <c r="DF148" i="26"/>
  <c r="X296" i="26"/>
  <c r="DF71" i="26"/>
  <c r="DC120" i="26"/>
  <c r="X286" i="26"/>
  <c r="DC200" i="26"/>
  <c r="DF198" i="26"/>
  <c r="DG228" i="26"/>
  <c r="DF95" i="26"/>
  <c r="DF77" i="26"/>
  <c r="DF76" i="26"/>
  <c r="DF35" i="26"/>
  <c r="DC121" i="26"/>
  <c r="DC72" i="26"/>
  <c r="Y25" i="26"/>
  <c r="Y297" i="26"/>
  <c r="Y15" i="26"/>
  <c r="Y16" i="26"/>
  <c r="Y277" i="26"/>
  <c r="DG128" i="26"/>
  <c r="DG214" i="26"/>
  <c r="DG189" i="26"/>
  <c r="DG29" i="26"/>
  <c r="DG187" i="26"/>
  <c r="Y18" i="26"/>
  <c r="DG127" i="26"/>
  <c r="DG188" i="26"/>
  <c r="DG130" i="26"/>
  <c r="Y305" i="26"/>
  <c r="DG213" i="26"/>
  <c r="DG210" i="26"/>
  <c r="DG101" i="26"/>
  <c r="DG126" i="26"/>
  <c r="Y296" i="26"/>
  <c r="DG323" i="26"/>
  <c r="DG45" i="26"/>
  <c r="Y254" i="26"/>
  <c r="DG212" i="26"/>
  <c r="Y17" i="26"/>
  <c r="DG186" i="26"/>
  <c r="Y27" i="26"/>
  <c r="Y241" i="26"/>
  <c r="DG75" i="26"/>
  <c r="Y240" i="26"/>
  <c r="Y19" i="26"/>
  <c r="Y26" i="26"/>
  <c r="Y166" i="26"/>
  <c r="DG100" i="26"/>
  <c r="DG103" i="26"/>
  <c r="Y332" i="26"/>
  <c r="Y22" i="26"/>
  <c r="Y344" i="26"/>
  <c r="DG102" i="26"/>
  <c r="DG129" i="26"/>
  <c r="Y165" i="26"/>
  <c r="Y226" i="26"/>
  <c r="DG76" i="26"/>
  <c r="DG321" i="26"/>
  <c r="Y263" i="26"/>
  <c r="Y21" i="26"/>
  <c r="Y267" i="26"/>
  <c r="Y23" i="26"/>
  <c r="DG31" i="26"/>
  <c r="DG190" i="26"/>
  <c r="Y14" i="26"/>
  <c r="DG152" i="26"/>
  <c r="Y286" i="26"/>
  <c r="DG35" i="26"/>
  <c r="Y255" i="26"/>
  <c r="DG43" i="26"/>
  <c r="Y24" i="26"/>
  <c r="Y227" i="26"/>
  <c r="DG211" i="26"/>
  <c r="Y295" i="26"/>
  <c r="Y20" i="26"/>
  <c r="DG77" i="26"/>
  <c r="DG104" i="26"/>
  <c r="DG78" i="26"/>
  <c r="Y338" i="26"/>
  <c r="Y294" i="26"/>
  <c r="Y13" i="26"/>
  <c r="BJ732" i="9"/>
  <c r="BJ243" i="3"/>
  <c r="BK141" i="3"/>
  <c r="BK138" i="3"/>
  <c r="BK155" i="3"/>
  <c r="BJ70" i="3"/>
  <c r="BI741" i="9"/>
  <c r="BI743" i="9"/>
  <c r="BI759" i="9"/>
  <c r="CU23" i="9"/>
  <c r="A23" i="9" s="1" a="1"/>
  <c r="A23" i="9" s="1"/>
  <c r="CU16" i="9"/>
  <c r="A16" i="9" s="1" a="1"/>
  <c r="A16" i="9" s="1"/>
  <c r="CU14" i="9"/>
  <c r="A14" i="9" s="1" a="1"/>
  <c r="A14" i="9" s="1"/>
  <c r="CU17" i="9"/>
  <c r="A17" i="9" s="1" a="1"/>
  <c r="A17" i="9" s="1"/>
  <c r="CU22" i="9"/>
  <c r="A22" i="9" s="1" a="1"/>
  <c r="A22" i="9" s="1"/>
  <c r="CU24" i="9"/>
  <c r="A24" i="9" s="1" a="1"/>
  <c r="A24" i="9" s="1"/>
  <c r="CU31" i="9"/>
  <c r="A31" i="9" s="1" a="1"/>
  <c r="A31" i="9" s="1"/>
  <c r="CU19" i="9"/>
  <c r="A19" i="9" s="1" a="1"/>
  <c r="A19" i="9" s="1"/>
  <c r="CU30" i="9"/>
  <c r="A30" i="9" s="1" a="1"/>
  <c r="A30" i="9" s="1"/>
  <c r="CU13" i="9"/>
  <c r="A13" i="9" s="1" a="1"/>
  <c r="A13" i="9" s="1"/>
  <c r="CU18" i="9"/>
  <c r="A18" i="9" s="1" a="1"/>
  <c r="A18" i="9" s="1"/>
  <c r="CU25" i="9"/>
  <c r="A25" i="9" s="1" a="1"/>
  <c r="A25" i="9" s="1"/>
  <c r="CU32" i="9"/>
  <c r="A32" i="9" s="1" a="1"/>
  <c r="A32" i="9" s="1"/>
  <c r="CU29" i="9"/>
  <c r="A29" i="9" s="1" a="1"/>
  <c r="A29" i="9" s="1"/>
  <c r="CU27" i="9"/>
  <c r="A27" i="9" s="1" a="1"/>
  <c r="A27" i="9" s="1"/>
  <c r="CU15" i="9"/>
  <c r="A15" i="9" s="1" a="1"/>
  <c r="A15" i="9" s="1"/>
  <c r="CU20" i="9"/>
  <c r="A20" i="9" s="1" a="1"/>
  <c r="A20" i="9" s="1"/>
  <c r="CU28" i="9"/>
  <c r="A28" i="9" s="1" a="1"/>
  <c r="A28" i="9" s="1"/>
  <c r="CU21" i="9"/>
  <c r="A21" i="9" s="1" a="1"/>
  <c r="A21" i="9" s="1"/>
  <c r="CU26" i="9"/>
  <c r="A26" i="9" s="1" a="1"/>
  <c r="A26" i="9" s="1"/>
  <c r="BJ79" i="3"/>
  <c r="BJ726" i="9"/>
  <c r="BJ237" i="3"/>
  <c r="BJ108" i="3"/>
  <c r="BJ85" i="3"/>
  <c r="BF96" i="33"/>
  <c r="BF101" i="33" s="1"/>
  <c r="BF104" i="33" s="1"/>
  <c r="BG211" i="30"/>
  <c r="BF214" i="30"/>
  <c r="BF217" i="30" s="1"/>
  <c r="BF83" i="6"/>
  <c r="BJ98" i="3"/>
  <c r="BJ75" i="3"/>
  <c r="BJ100" i="3"/>
  <c r="BJ77" i="3"/>
  <c r="BK168" i="3"/>
  <c r="BK191" i="3" s="1"/>
  <c r="BK177" i="3"/>
  <c r="BK200" i="3" s="1"/>
  <c r="BH14" i="32"/>
  <c r="BH32" i="30"/>
  <c r="BH36" i="30" s="1"/>
  <c r="BI22" i="30"/>
  <c r="BI24" i="30" s="1"/>
  <c r="BI175" i="20"/>
  <c r="BI72" i="30"/>
  <c r="BI74" i="30" s="1"/>
  <c r="BJ40" i="6"/>
  <c r="BI12" i="6"/>
  <c r="W240" i="6"/>
  <c r="W207" i="6"/>
  <c r="W42" i="6"/>
  <c r="W221" i="6"/>
  <c r="W59" i="6"/>
  <c r="W147" i="6"/>
  <c r="W149" i="6"/>
  <c r="W63" i="6"/>
  <c r="W154" i="6"/>
  <c r="W265" i="6"/>
  <c r="W212" i="6"/>
  <c r="W146" i="6"/>
  <c r="W143" i="6"/>
  <c r="W55" i="6"/>
  <c r="W144" i="6"/>
  <c r="W230" i="6"/>
  <c r="W82" i="6"/>
  <c r="W235" i="6"/>
  <c r="W148" i="6"/>
  <c r="W153" i="6"/>
  <c r="W223" i="6"/>
  <c r="W277" i="6"/>
  <c r="W234" i="6"/>
  <c r="W210" i="6"/>
  <c r="W216" i="6"/>
  <c r="W152" i="6"/>
  <c r="W271" i="6"/>
  <c r="W225" i="6"/>
  <c r="W241" i="6"/>
  <c r="W121" i="6"/>
  <c r="W129" i="6" s="1"/>
  <c r="W119" i="6"/>
  <c r="W120" i="6"/>
  <c r="W128" i="6" s="1"/>
  <c r="W150" i="6"/>
  <c r="W211" i="6"/>
  <c r="W215" i="6"/>
  <c r="W231" i="6"/>
  <c r="W151" i="6"/>
  <c r="W208" i="6"/>
  <c r="W232" i="6"/>
  <c r="W43" i="6"/>
  <c r="W145" i="6"/>
  <c r="W214" i="6"/>
  <c r="W222" i="6"/>
  <c r="W209" i="6"/>
  <c r="W233" i="6"/>
  <c r="W224" i="6"/>
  <c r="W213" i="6"/>
  <c r="X207" i="6"/>
  <c r="X119" i="6"/>
  <c r="X63" i="6"/>
  <c r="BZ63" i="6" s="1"/>
  <c r="X265" i="6"/>
  <c r="X55" i="6"/>
  <c r="BZ55" i="6" s="1"/>
  <c r="X235" i="6"/>
  <c r="BZ235" i="6" s="1"/>
  <c r="X148" i="6"/>
  <c r="BZ148" i="6" s="1"/>
  <c r="X221" i="6"/>
  <c r="X143" i="6"/>
  <c r="X212" i="6"/>
  <c r="X225" i="6"/>
  <c r="BZ225" i="6" s="1"/>
  <c r="X277" i="6"/>
  <c r="X214" i="6"/>
  <c r="X240" i="6"/>
  <c r="X234" i="6"/>
  <c r="BZ234" i="6" s="1"/>
  <c r="X224" i="6"/>
  <c r="BZ224" i="6" s="1"/>
  <c r="X210" i="6"/>
  <c r="BZ210" i="6" s="1"/>
  <c r="X43" i="6"/>
  <c r="BZ43" i="6" s="1"/>
  <c r="X230" i="6"/>
  <c r="BZ230" i="6" s="1"/>
  <c r="X232" i="6"/>
  <c r="BZ232" i="6" s="1"/>
  <c r="X151" i="6"/>
  <c r="X149" i="6"/>
  <c r="BZ149" i="6" s="1"/>
  <c r="X120" i="6"/>
  <c r="X215" i="6"/>
  <c r="X153" i="6"/>
  <c r="BZ153" i="6" s="1"/>
  <c r="X146" i="6"/>
  <c r="BZ146" i="6" s="1"/>
  <c r="X241" i="6"/>
  <c r="X59" i="6"/>
  <c r="X213" i="6"/>
  <c r="BZ213" i="6" s="1"/>
  <c r="X42" i="6"/>
  <c r="X233" i="6"/>
  <c r="BZ233" i="6" s="1"/>
  <c r="X144" i="6"/>
  <c r="BZ144" i="6" s="1"/>
  <c r="X223" i="6"/>
  <c r="BZ223" i="6" s="1"/>
  <c r="X222" i="6"/>
  <c r="BZ222" i="6" s="1"/>
  <c r="X211" i="6"/>
  <c r="BZ211" i="6" s="1"/>
  <c r="X152" i="6"/>
  <c r="BZ152" i="6" s="1"/>
  <c r="X271" i="6"/>
  <c r="X82" i="6"/>
  <c r="X147" i="6"/>
  <c r="X150" i="6"/>
  <c r="BZ150" i="6" s="1"/>
  <c r="X216" i="6"/>
  <c r="BZ216" i="6" s="1"/>
  <c r="X154" i="6"/>
  <c r="BZ154" i="6" s="1"/>
  <c r="X121" i="6"/>
  <c r="X145" i="6"/>
  <c r="BZ145" i="6" s="1"/>
  <c r="X208" i="6"/>
  <c r="BZ208" i="6" s="1"/>
  <c r="X231" i="6"/>
  <c r="BZ231" i="6" s="1"/>
  <c r="X209" i="6"/>
  <c r="Y240" i="6"/>
  <c r="Y143" i="6"/>
  <c r="Y151" i="6"/>
  <c r="Y82" i="6"/>
  <c r="Y216" i="6"/>
  <c r="CA216" i="6" s="1"/>
  <c r="Y211" i="6"/>
  <c r="CA211" i="6" s="1"/>
  <c r="Y233" i="6"/>
  <c r="CA233" i="6" s="1"/>
  <c r="Y277" i="6"/>
  <c r="Y120" i="6"/>
  <c r="Y223" i="6"/>
  <c r="CA223" i="6" s="1"/>
  <c r="Y55" i="6"/>
  <c r="CA55" i="6" s="1"/>
  <c r="Y213" i="6"/>
  <c r="CA213" i="6" s="1"/>
  <c r="Y153" i="6"/>
  <c r="CA153" i="6" s="1"/>
  <c r="Y224" i="6"/>
  <c r="CA224" i="6" s="1"/>
  <c r="Y63" i="6"/>
  <c r="CA63" i="6" s="1"/>
  <c r="Y231" i="6"/>
  <c r="CA231" i="6" s="1"/>
  <c r="Y265" i="6"/>
  <c r="Y145" i="6"/>
  <c r="CA145" i="6" s="1"/>
  <c r="Y149" i="6"/>
  <c r="CA149" i="6" s="1"/>
  <c r="Y154" i="6"/>
  <c r="CA154" i="6" s="1"/>
  <c r="Y150" i="6"/>
  <c r="CA150" i="6" s="1"/>
  <c r="Y234" i="6"/>
  <c r="CA234" i="6" s="1"/>
  <c r="Y230" i="6"/>
  <c r="CA230" i="6" s="1"/>
  <c r="Y232" i="6"/>
  <c r="CA232" i="6" s="1"/>
  <c r="Y147" i="6"/>
  <c r="Y222" i="6"/>
  <c r="CA222" i="6" s="1"/>
  <c r="Y208" i="6"/>
  <c r="CA208" i="6" s="1"/>
  <c r="Y225" i="6"/>
  <c r="CA225" i="6" s="1"/>
  <c r="Y209" i="6"/>
  <c r="Y144" i="6"/>
  <c r="CA144" i="6" s="1"/>
  <c r="Y148" i="6"/>
  <c r="CA148" i="6" s="1"/>
  <c r="Y210" i="6"/>
  <c r="CA210" i="6" s="1"/>
  <c r="Y119" i="6"/>
  <c r="Y43" i="6"/>
  <c r="CA43" i="6" s="1"/>
  <c r="Y59" i="6"/>
  <c r="Y241" i="6"/>
  <c r="Y212" i="6"/>
  <c r="Y235" i="6"/>
  <c r="CA235" i="6" s="1"/>
  <c r="Y121" i="6"/>
  <c r="Y221" i="6"/>
  <c r="Y152" i="6"/>
  <c r="CA152" i="6" s="1"/>
  <c r="Y214" i="6"/>
  <c r="Y42" i="6"/>
  <c r="Y271" i="6"/>
  <c r="Y215" i="6"/>
  <c r="Y146" i="6"/>
  <c r="CA146" i="6" s="1"/>
  <c r="Y207" i="6"/>
  <c r="BJ729" i="9"/>
  <c r="BJ240" i="3"/>
  <c r="Y159" i="26"/>
  <c r="Y160" i="26"/>
  <c r="BJ205" i="26"/>
  <c r="DE205" i="26" s="1"/>
  <c r="BJ141" i="26"/>
  <c r="DE141" i="26" s="1"/>
  <c r="BJ143" i="26"/>
  <c r="DD143" i="26" s="1"/>
  <c r="BJ74" i="26"/>
  <c r="BJ137" i="26"/>
  <c r="DG137" i="26" s="1"/>
  <c r="BJ70" i="26"/>
  <c r="CU70" i="26" s="1" a="1"/>
  <c r="CU70" i="26" s="1"/>
  <c r="BJ65" i="26"/>
  <c r="CU65" i="26" s="1" a="1"/>
  <c r="CU65" i="26" s="1"/>
  <c r="BJ93" i="26"/>
  <c r="DG93" i="26" s="1"/>
  <c r="BJ87" i="26"/>
  <c r="DD87" i="26" s="1"/>
  <c r="BJ185" i="26"/>
  <c r="DG185" i="26" s="1"/>
  <c r="BJ207" i="26"/>
  <c r="DD207" i="26" s="1"/>
  <c r="BJ197" i="26"/>
  <c r="DE197" i="26" s="1"/>
  <c r="BJ123" i="26"/>
  <c r="DE123" i="26" s="1"/>
  <c r="BJ118" i="26"/>
  <c r="DG118" i="26" s="1"/>
  <c r="BJ119" i="26"/>
  <c r="DE119" i="26" s="1"/>
  <c r="BJ114" i="26"/>
  <c r="DE114" i="26" s="1"/>
  <c r="BJ182" i="26"/>
  <c r="DG182" i="26" s="1"/>
  <c r="BJ64" i="26"/>
  <c r="DG64" i="26" s="1"/>
  <c r="BJ71" i="26"/>
  <c r="CU71" i="26" s="1" a="1"/>
  <c r="CU71" i="26" s="1"/>
  <c r="BJ61" i="26"/>
  <c r="CU61" i="26" s="1" a="1"/>
  <c r="CU61" i="26" s="1"/>
  <c r="BJ172" i="26"/>
  <c r="DG172" i="26" s="1"/>
  <c r="BJ181" i="26"/>
  <c r="DE181" i="26" s="1"/>
  <c r="BJ180" i="26"/>
  <c r="DD180" i="26" s="1"/>
  <c r="BJ115" i="26"/>
  <c r="DD115" i="26" s="1"/>
  <c r="BJ111" i="26"/>
  <c r="DG111" i="26" s="1"/>
  <c r="BJ113" i="26"/>
  <c r="DE113" i="26" s="1"/>
  <c r="BJ95" i="26"/>
  <c r="DG95" i="26" s="1"/>
  <c r="BJ151" i="26"/>
  <c r="DD151" i="26" s="1"/>
  <c r="BJ60" i="26"/>
  <c r="DG60" i="26" s="1"/>
  <c r="BJ66" i="26"/>
  <c r="BJ72" i="26"/>
  <c r="BJ176" i="26"/>
  <c r="DG176" i="26" s="1"/>
  <c r="BJ200" i="26"/>
  <c r="DG200" i="26" s="1"/>
  <c r="BJ202" i="26"/>
  <c r="DE202" i="26" s="1"/>
  <c r="BJ98" i="26"/>
  <c r="DE98" i="26" s="1"/>
  <c r="BJ97" i="26"/>
  <c r="DD97" i="26" s="1"/>
  <c r="BJ112" i="26"/>
  <c r="DD112" i="26" s="1"/>
  <c r="BJ139" i="26"/>
  <c r="DE139" i="26" s="1"/>
  <c r="BJ149" i="26"/>
  <c r="DD149" i="26" s="1"/>
  <c r="BJ150" i="26"/>
  <c r="DD150" i="26" s="1"/>
  <c r="BJ177" i="26"/>
  <c r="DG177" i="26" s="1"/>
  <c r="BJ62" i="26"/>
  <c r="DG62" i="26" s="1"/>
  <c r="BJ175" i="26"/>
  <c r="DE175" i="26" s="1"/>
  <c r="BJ199" i="26"/>
  <c r="DB199" i="26" s="1"/>
  <c r="BJ145" i="26"/>
  <c r="DD145" i="26" s="1"/>
  <c r="BJ94" i="26"/>
  <c r="DD94" i="26" s="1"/>
  <c r="BJ73" i="26"/>
  <c r="BJ88" i="26"/>
  <c r="DB88" i="26" s="1"/>
  <c r="BJ121" i="26"/>
  <c r="DG121" i="26" s="1"/>
  <c r="BJ144" i="26"/>
  <c r="DG144" i="26" s="1"/>
  <c r="BJ148" i="26"/>
  <c r="DB148" i="26" s="1"/>
  <c r="BJ174" i="26"/>
  <c r="DG174" i="26" s="1"/>
  <c r="BJ171" i="26"/>
  <c r="DE171" i="26" s="1"/>
  <c r="BJ179" i="26"/>
  <c r="DD179" i="26" s="1"/>
  <c r="BJ201" i="26"/>
  <c r="DD201" i="26" s="1"/>
  <c r="BJ203" i="26"/>
  <c r="DG203" i="26" s="1"/>
  <c r="BJ90" i="26"/>
  <c r="DG90" i="26" s="1"/>
  <c r="BJ68" i="26"/>
  <c r="CU68" i="26" s="1" a="1"/>
  <c r="CU68" i="26" s="1"/>
  <c r="BJ85" i="26"/>
  <c r="DG85" i="26" s="1"/>
  <c r="BJ120" i="26"/>
  <c r="DG120" i="26" s="1"/>
  <c r="BJ122" i="26"/>
  <c r="DD122" i="26" s="1"/>
  <c r="BJ142" i="26"/>
  <c r="DE142" i="26" s="1"/>
  <c r="BJ147" i="26"/>
  <c r="DD147" i="26" s="1"/>
  <c r="BJ184" i="26"/>
  <c r="DB184" i="26" s="1"/>
  <c r="BJ204" i="26"/>
  <c r="DD204" i="26" s="1"/>
  <c r="BJ183" i="26"/>
  <c r="DE183" i="26" s="1"/>
  <c r="BJ146" i="26"/>
  <c r="DG146" i="26" s="1"/>
  <c r="BJ195" i="26"/>
  <c r="DD195" i="26" s="1"/>
  <c r="BJ86" i="26"/>
  <c r="DB86" i="26" s="1"/>
  <c r="BJ125" i="26"/>
  <c r="BJ69" i="26"/>
  <c r="BJ92" i="26"/>
  <c r="DD92" i="26" s="1"/>
  <c r="BJ116" i="26"/>
  <c r="DD116" i="26" s="1"/>
  <c r="BJ140" i="26"/>
  <c r="DB140" i="26" s="1"/>
  <c r="BJ124" i="26"/>
  <c r="DD124" i="26" s="1"/>
  <c r="BJ208" i="26"/>
  <c r="BJ198" i="26"/>
  <c r="DE198" i="26" s="1"/>
  <c r="BJ206" i="26"/>
  <c r="DG206" i="26" s="1"/>
  <c r="BJ138" i="26"/>
  <c r="DG138" i="26" s="1"/>
  <c r="BJ178" i="26"/>
  <c r="DE178" i="26" s="1"/>
  <c r="BJ67" i="26"/>
  <c r="DG67" i="26" s="1"/>
  <c r="BJ91" i="26"/>
  <c r="DG91" i="26" s="1"/>
  <c r="BJ63" i="26"/>
  <c r="BJ89" i="26"/>
  <c r="DG89" i="26" s="1"/>
  <c r="BJ99" i="26"/>
  <c r="DG99" i="26" s="1"/>
  <c r="BJ96" i="26"/>
  <c r="DG96" i="26" s="1"/>
  <c r="BJ117" i="26"/>
  <c r="BJ209" i="26"/>
  <c r="DG209" i="26" s="1"/>
  <c r="BJ196" i="26"/>
  <c r="DD196" i="26" s="1"/>
  <c r="BJ173" i="26"/>
  <c r="DB173" i="26" s="1"/>
  <c r="BK162" i="3"/>
  <c r="BK185" i="3" s="1"/>
  <c r="BG82" i="35"/>
  <c r="BG67" i="33"/>
  <c r="BG69" i="33" s="1"/>
  <c r="BG27" i="32"/>
  <c r="BG31" i="32"/>
  <c r="BG208" i="30"/>
  <c r="BG92" i="33" s="1"/>
  <c r="BI27" i="30"/>
  <c r="BI30" i="30" s="1"/>
  <c r="BI139" i="20"/>
  <c r="BJ724" i="9"/>
  <c r="BJ235" i="3"/>
  <c r="BI77" i="33"/>
  <c r="BI195" i="30"/>
  <c r="BI78" i="33" s="1"/>
  <c r="BJ730" i="9"/>
  <c r="BJ241" i="3"/>
  <c r="BJ406" i="9"/>
  <c r="BJ301" i="9"/>
  <c r="BJ254" i="9"/>
  <c r="BJ387" i="9"/>
  <c r="BJ415" i="9"/>
  <c r="BJ434" i="9"/>
  <c r="BJ339" i="9"/>
  <c r="BJ425" i="9"/>
  <c r="BJ377" i="9"/>
  <c r="BJ320" i="9"/>
  <c r="BJ311" i="9"/>
  <c r="BJ282" i="9"/>
  <c r="BJ273" i="9"/>
  <c r="BJ206" i="9"/>
  <c r="BJ159" i="9"/>
  <c r="BJ396" i="9"/>
  <c r="BJ187" i="9"/>
  <c r="BJ140" i="9"/>
  <c r="BJ225" i="9"/>
  <c r="BJ358" i="9"/>
  <c r="BJ216" i="9"/>
  <c r="BJ368" i="9"/>
  <c r="BJ263" i="9"/>
  <c r="BJ349" i="9"/>
  <c r="BJ330" i="9"/>
  <c r="BJ292" i="9"/>
  <c r="BJ197" i="9"/>
  <c r="BJ92" i="9"/>
  <c r="BJ130" i="9"/>
  <c r="BJ102" i="9"/>
  <c r="BJ83" i="9"/>
  <c r="BJ149" i="9"/>
  <c r="BJ235" i="9"/>
  <c r="BJ178" i="9"/>
  <c r="BJ121" i="9"/>
  <c r="BJ73" i="9"/>
  <c r="BJ64" i="9"/>
  <c r="BJ244" i="9"/>
  <c r="BJ168" i="9"/>
  <c r="BJ111" i="9"/>
  <c r="BJ104" i="3"/>
  <c r="BJ81" i="3"/>
  <c r="BK176" i="3"/>
  <c r="BK199" i="3" s="1"/>
  <c r="BK165" i="3"/>
  <c r="BK188" i="3" s="1"/>
  <c r="BI760" i="9"/>
  <c r="BJ736" i="9"/>
  <c r="BJ247" i="3"/>
  <c r="BJ714" i="9"/>
  <c r="BJ783" i="9" s="1"/>
  <c r="BJ806" i="9" s="1"/>
  <c r="BJ709" i="9"/>
  <c r="BJ778" i="9" s="1"/>
  <c r="BJ801" i="9" s="1"/>
  <c r="BJ701" i="9"/>
  <c r="BJ770" i="9" s="1"/>
  <c r="BJ793" i="9" s="1"/>
  <c r="BJ703" i="9"/>
  <c r="BJ772" i="9" s="1"/>
  <c r="BJ795" i="9" s="1"/>
  <c r="BJ698" i="9"/>
  <c r="BJ767" i="9" s="1"/>
  <c r="BJ790" i="9" s="1"/>
  <c r="BJ712" i="9"/>
  <c r="BJ781" i="9" s="1"/>
  <c r="BJ710" i="9"/>
  <c r="BJ779" i="9" s="1"/>
  <c r="BJ802" i="9" s="1"/>
  <c r="BJ708" i="9"/>
  <c r="BJ777" i="9" s="1"/>
  <c r="BJ800" i="9" s="1"/>
  <c r="BJ705" i="9"/>
  <c r="BJ774" i="9" s="1"/>
  <c r="BJ797" i="9" s="1"/>
  <c r="BJ695" i="9"/>
  <c r="BJ764" i="9" s="1"/>
  <c r="BJ787" i="9" s="1"/>
  <c r="BJ702" i="9"/>
  <c r="BJ771" i="9" s="1"/>
  <c r="BJ794" i="9" s="1"/>
  <c r="BJ700" i="9"/>
  <c r="BJ769" i="9" s="1"/>
  <c r="BJ792" i="9" s="1"/>
  <c r="BJ697" i="9"/>
  <c r="BJ766" i="9" s="1"/>
  <c r="BJ789" i="9" s="1"/>
  <c r="BJ713" i="9"/>
  <c r="BJ782" i="9" s="1"/>
  <c r="BJ805" i="9" s="1"/>
  <c r="BJ707" i="9"/>
  <c r="BJ776" i="9" s="1"/>
  <c r="BJ799" i="9" s="1"/>
  <c r="BJ704" i="9"/>
  <c r="BJ773" i="9" s="1"/>
  <c r="BJ796" i="9" s="1"/>
  <c r="BJ711" i="9"/>
  <c r="BJ780" i="9" s="1"/>
  <c r="BJ803" i="9" s="1"/>
  <c r="BJ706" i="9"/>
  <c r="BJ775" i="9" s="1"/>
  <c r="BJ798" i="9" s="1"/>
  <c r="BJ699" i="9"/>
  <c r="BJ768" i="9" s="1"/>
  <c r="BJ791" i="9" s="1"/>
  <c r="BJ696" i="9"/>
  <c r="BJ765" i="9" s="1"/>
  <c r="BJ788" i="9" s="1"/>
  <c r="BJ18" i="3"/>
  <c r="BI751" i="9"/>
  <c r="BI102" i="20"/>
  <c r="BJ87" i="3"/>
  <c r="CT99" i="1"/>
  <c r="CT160" i="1"/>
  <c r="W44" i="1"/>
  <c r="W117" i="1"/>
  <c r="W69" i="1"/>
  <c r="W78" i="1"/>
  <c r="W42" i="1"/>
  <c r="W82" i="1"/>
  <c r="W66" i="1"/>
  <c r="W18" i="1"/>
  <c r="W47" i="1"/>
  <c r="W64" i="1"/>
  <c r="W118" i="1"/>
  <c r="W30" i="1"/>
  <c r="W135" i="1"/>
  <c r="W122" i="1"/>
  <c r="W52" i="1"/>
  <c r="CX160" i="1"/>
  <c r="W121" i="1"/>
  <c r="W123" i="1"/>
  <c r="W127" i="1"/>
  <c r="W70" i="1"/>
  <c r="W24" i="1"/>
  <c r="W81" i="1"/>
  <c r="W14" i="1"/>
  <c r="W80" i="1"/>
  <c r="W22" i="1"/>
  <c r="CT159" i="1"/>
  <c r="W43" i="1"/>
  <c r="W45" i="1"/>
  <c r="CX161" i="1"/>
  <c r="W68" i="1"/>
  <c r="W21" i="1"/>
  <c r="W73" i="1"/>
  <c r="W107" i="1"/>
  <c r="W89" i="1"/>
  <c r="W35" i="1"/>
  <c r="W59" i="1"/>
  <c r="W153" i="1"/>
  <c r="W20" i="1"/>
  <c r="W120" i="1"/>
  <c r="CW159" i="1"/>
  <c r="W105" i="1"/>
  <c r="W34" i="1"/>
  <c r="CX159" i="1"/>
  <c r="W79" i="1"/>
  <c r="W119" i="1"/>
  <c r="W17" i="1"/>
  <c r="W110" i="1"/>
  <c r="W180" i="1"/>
  <c r="W33" i="1"/>
  <c r="W94" i="1"/>
  <c r="W150" i="1"/>
  <c r="CU160" i="1"/>
  <c r="W65" i="1"/>
  <c r="W19" i="1"/>
  <c r="W108" i="1"/>
  <c r="W130" i="1"/>
  <c r="W84" i="1"/>
  <c r="W163" i="1"/>
  <c r="W129" i="1"/>
  <c r="W124" i="1"/>
  <c r="W93" i="1"/>
  <c r="CU161" i="1"/>
  <c r="W128" i="1"/>
  <c r="W95" i="1"/>
  <c r="W112" i="1"/>
  <c r="W83" i="1"/>
  <c r="W11" i="1"/>
  <c r="W51" i="1"/>
  <c r="W71" i="1"/>
  <c r="CW160" i="1"/>
  <c r="W54" i="1"/>
  <c r="W27" i="1"/>
  <c r="CW99" i="1"/>
  <c r="W12" i="1"/>
  <c r="W36" i="1"/>
  <c r="W125" i="1"/>
  <c r="W162" i="1"/>
  <c r="W28" i="1"/>
  <c r="W39" i="1"/>
  <c r="W109" i="1"/>
  <c r="W111" i="1"/>
  <c r="W67" i="1"/>
  <c r="W72" i="1"/>
  <c r="W61" i="1"/>
  <c r="W88" i="1"/>
  <c r="W37" i="1"/>
  <c r="W106" i="1"/>
  <c r="W58" i="1"/>
  <c r="CT161" i="1"/>
  <c r="W50" i="1"/>
  <c r="W98" i="1"/>
  <c r="CU99" i="1"/>
  <c r="W77" i="1"/>
  <c r="W57" i="1"/>
  <c r="X135" i="1"/>
  <c r="X95" i="1"/>
  <c r="X27" i="1"/>
  <c r="X72" i="1"/>
  <c r="X45" i="1"/>
  <c r="X39" i="1"/>
  <c r="X150" i="1"/>
  <c r="X17" i="1"/>
  <c r="X36" i="1"/>
  <c r="X37" i="1"/>
  <c r="X106" i="1"/>
  <c r="X119" i="1"/>
  <c r="CW161" i="1"/>
  <c r="X82" i="1"/>
  <c r="X68" i="1"/>
  <c r="X44" i="1"/>
  <c r="X71" i="1"/>
  <c r="CW40" i="1"/>
  <c r="X180" i="1"/>
  <c r="X66" i="1"/>
  <c r="X24" i="1"/>
  <c r="CV99" i="1"/>
  <c r="X125" i="1"/>
  <c r="X105" i="1"/>
  <c r="X93" i="1"/>
  <c r="X33" i="1"/>
  <c r="CV161" i="1"/>
  <c r="X117" i="1"/>
  <c r="X28" i="1"/>
  <c r="X79" i="1"/>
  <c r="X52" i="1"/>
  <c r="X47" i="1"/>
  <c r="X70" i="1"/>
  <c r="X111" i="1"/>
  <c r="X130" i="1"/>
  <c r="CW31" i="1"/>
  <c r="X58" i="1"/>
  <c r="X89" i="1"/>
  <c r="X34" i="1"/>
  <c r="X81" i="1"/>
  <c r="X123" i="1"/>
  <c r="X57" i="1"/>
  <c r="X110" i="1"/>
  <c r="X61" i="1"/>
  <c r="X84" i="1"/>
  <c r="X153" i="1"/>
  <c r="X121" i="1"/>
  <c r="X21" i="1"/>
  <c r="X163" i="1"/>
  <c r="X129" i="1"/>
  <c r="X35" i="1"/>
  <c r="X67" i="1"/>
  <c r="X83" i="1"/>
  <c r="X14" i="1"/>
  <c r="X162" i="1"/>
  <c r="X98" i="1"/>
  <c r="X65" i="1"/>
  <c r="X80" i="1"/>
  <c r="X42" i="1"/>
  <c r="X112" i="1"/>
  <c r="X122" i="1"/>
  <c r="X59" i="1"/>
  <c r="X54" i="1"/>
  <c r="X127" i="1"/>
  <c r="X51" i="1"/>
  <c r="X73" i="1"/>
  <c r="X20" i="1"/>
  <c r="X94" i="1"/>
  <c r="X88" i="1"/>
  <c r="X128" i="1"/>
  <c r="X43" i="1"/>
  <c r="X18" i="1"/>
  <c r="X124" i="1"/>
  <c r="CU159" i="1"/>
  <c r="X69" i="1"/>
  <c r="CX99" i="1"/>
  <c r="X64" i="1"/>
  <c r="X120" i="1"/>
  <c r="X50" i="1"/>
  <c r="X108" i="1"/>
  <c r="X77" i="1"/>
  <c r="CW25" i="1"/>
  <c r="X109" i="1"/>
  <c r="X19" i="1"/>
  <c r="X78" i="1"/>
  <c r="X12" i="1"/>
  <c r="X11" i="1"/>
  <c r="X30" i="1"/>
  <c r="X107" i="1"/>
  <c r="X22" i="1"/>
  <c r="X118" i="1"/>
  <c r="Y128" i="1"/>
  <c r="Y12" i="1"/>
  <c r="Y68" i="1"/>
  <c r="Y79" i="1"/>
  <c r="Y44" i="1"/>
  <c r="Y39" i="1"/>
  <c r="Y37" i="1"/>
  <c r="Y95" i="1"/>
  <c r="Y59" i="1"/>
  <c r="Y33" i="1"/>
  <c r="Y84" i="1"/>
  <c r="Y163" i="1"/>
  <c r="Y27" i="1"/>
  <c r="CV160" i="1"/>
  <c r="Y82" i="1"/>
  <c r="Y180" i="1"/>
  <c r="Y110" i="1"/>
  <c r="Y130" i="1"/>
  <c r="Y47" i="1"/>
  <c r="Y35" i="1"/>
  <c r="Y119" i="1"/>
  <c r="Y78" i="1"/>
  <c r="Y14" i="1"/>
  <c r="Y43" i="1"/>
  <c r="Y108" i="1"/>
  <c r="Y98" i="1"/>
  <c r="Y45" i="1"/>
  <c r="Y57" i="1"/>
  <c r="Y107" i="1"/>
  <c r="Y20" i="1"/>
  <c r="Y28" i="1"/>
  <c r="Y17" i="1"/>
  <c r="Y21" i="1"/>
  <c r="Y22" i="1"/>
  <c r="Y72" i="1"/>
  <c r="Y18" i="1"/>
  <c r="Y83" i="1"/>
  <c r="Y112" i="1"/>
  <c r="Y52" i="1"/>
  <c r="Y42" i="1"/>
  <c r="CV159" i="1"/>
  <c r="Y88" i="1"/>
  <c r="Y77" i="1"/>
  <c r="Y117" i="1"/>
  <c r="Y118" i="1"/>
  <c r="Y121" i="1"/>
  <c r="Y73" i="1"/>
  <c r="Y51" i="1"/>
  <c r="CY161" i="1"/>
  <c r="Y36" i="1"/>
  <c r="Y30" i="1"/>
  <c r="Y69" i="1"/>
  <c r="Y61" i="1"/>
  <c r="Y65" i="1"/>
  <c r="Y106" i="1"/>
  <c r="Y127" i="1"/>
  <c r="Y80" i="1"/>
  <c r="Y71" i="1"/>
  <c r="Y58" i="1"/>
  <c r="Y123" i="1"/>
  <c r="Y109" i="1"/>
  <c r="Y89" i="1"/>
  <c r="Y50" i="1"/>
  <c r="Y153" i="1"/>
  <c r="Y19" i="1"/>
  <c r="Y124" i="1"/>
  <c r="Y34" i="1"/>
  <c r="Y64" i="1"/>
  <c r="Y81" i="1"/>
  <c r="Y120" i="1"/>
  <c r="Y125" i="1"/>
  <c r="Y54" i="1"/>
  <c r="Y111" i="1"/>
  <c r="Y162" i="1"/>
  <c r="CY160" i="1"/>
  <c r="Y11" i="1"/>
  <c r="CY99" i="1"/>
  <c r="Y93" i="1"/>
  <c r="Y122" i="1"/>
  <c r="Y150" i="1"/>
  <c r="Y67" i="1"/>
  <c r="Y66" i="1"/>
  <c r="Y24" i="1"/>
  <c r="Y70" i="1"/>
  <c r="Y135" i="1"/>
  <c r="Y94" i="1"/>
  <c r="Y105" i="1"/>
  <c r="Y129" i="1"/>
  <c r="CY159" i="1"/>
  <c r="CT178" i="1"/>
  <c r="CT144" i="1"/>
  <c r="CW178" i="1"/>
  <c r="CW144" i="1"/>
  <c r="CU178" i="1"/>
  <c r="CU144" i="1"/>
  <c r="CX178" i="1"/>
  <c r="CX144" i="1"/>
  <c r="CS156" i="30"/>
  <c r="CS203" i="30"/>
  <c r="CS51" i="30"/>
  <c r="CS198" i="30"/>
  <c r="CS50" i="30"/>
  <c r="CS199" i="30"/>
  <c r="CS188" i="30"/>
  <c r="CS186" i="30"/>
  <c r="CS201" i="30"/>
  <c r="CS49" i="30"/>
  <c r="CS202" i="30"/>
  <c r="CT50" i="30"/>
  <c r="CT49" i="30"/>
  <c r="CT203" i="30"/>
  <c r="CT156" i="30"/>
  <c r="CT188" i="30"/>
  <c r="CT199" i="30"/>
  <c r="CT186" i="30"/>
  <c r="CT202" i="30"/>
  <c r="CT201" i="30"/>
  <c r="CT198" i="30"/>
  <c r="CT51" i="30"/>
  <c r="CU186" i="30"/>
  <c r="CU49" i="30"/>
  <c r="CU203" i="30"/>
  <c r="CU201" i="30"/>
  <c r="CU51" i="30"/>
  <c r="CU198" i="30"/>
  <c r="CU199" i="30"/>
  <c r="CU188" i="30"/>
  <c r="CU50" i="30"/>
  <c r="CU156" i="30"/>
  <c r="CU202" i="30"/>
  <c r="CS191" i="30"/>
  <c r="CS167" i="30"/>
  <c r="CS161" i="30"/>
  <c r="CS168" i="30"/>
  <c r="CS169" i="30"/>
  <c r="CS172" i="30"/>
  <c r="CS165" i="30"/>
  <c r="CS171" i="30"/>
  <c r="CS35" i="30"/>
  <c r="CS166" i="30"/>
  <c r="CS170" i="30"/>
  <c r="CS173" i="30"/>
  <c r="CS163" i="30"/>
  <c r="CS175" i="30"/>
  <c r="CS162" i="30"/>
  <c r="CS164" i="30"/>
  <c r="CT191" i="30"/>
  <c r="CT167" i="30"/>
  <c r="CT175" i="30"/>
  <c r="CT166" i="30"/>
  <c r="CT35" i="30"/>
  <c r="CT172" i="30"/>
  <c r="CT161" i="30"/>
  <c r="CT169" i="30"/>
  <c r="CT163" i="30"/>
  <c r="CT171" i="30"/>
  <c r="CT168" i="30"/>
  <c r="CT170" i="30"/>
  <c r="CT173" i="30"/>
  <c r="CT165" i="30"/>
  <c r="CT162" i="30"/>
  <c r="CT164" i="30"/>
  <c r="Y170" i="6"/>
  <c r="Y203" i="6"/>
  <c r="Y182" i="6"/>
  <c r="Y194" i="6"/>
  <c r="Y188" i="6"/>
  <c r="Y161" i="6"/>
  <c r="Y157" i="6"/>
  <c r="Y86" i="6"/>
  <c r="Y73" i="6"/>
  <c r="Y76" i="6"/>
  <c r="Y167" i="6"/>
  <c r="Y56" i="6"/>
  <c r="Y163" i="6"/>
  <c r="Y60" i="6"/>
  <c r="Y197" i="6"/>
  <c r="Y200" i="6"/>
  <c r="Y132" i="6"/>
  <c r="Y64" i="6"/>
  <c r="Y191" i="6"/>
  <c r="Y175" i="6"/>
  <c r="Y79" i="6"/>
  <c r="Y70" i="6"/>
  <c r="Y173" i="6"/>
  <c r="Y185" i="6"/>
  <c r="BJ97" i="3"/>
  <c r="BJ74" i="3"/>
  <c r="BJ106" i="3"/>
  <c r="BJ83" i="3"/>
  <c r="BK175" i="3"/>
  <c r="BK198" i="3" s="1"/>
  <c r="BK167" i="3"/>
  <c r="BK190" i="3" s="1"/>
  <c r="BJ80" i="3"/>
  <c r="BJ78" i="3"/>
  <c r="BJ69" i="3"/>
  <c r="BY150" i="20"/>
  <c r="BY11" i="20"/>
  <c r="BY98" i="20"/>
  <c r="BY127" i="20"/>
  <c r="CY127" i="20" s="1"/>
  <c r="BY84" i="20"/>
  <c r="CY84" i="20" s="1"/>
  <c r="BY17" i="20"/>
  <c r="BY43" i="20"/>
  <c r="CY43" i="20" s="1"/>
  <c r="BY33" i="20"/>
  <c r="BY51" i="20"/>
  <c r="CY51" i="20" s="1"/>
  <c r="BY111" i="20"/>
  <c r="CY111" i="20" s="1"/>
  <c r="BY20" i="20"/>
  <c r="CY20" i="20" s="1"/>
  <c r="BY37" i="20"/>
  <c r="CY37" i="20" s="1"/>
  <c r="BY118" i="20"/>
  <c r="CY118" i="20" s="1"/>
  <c r="BY123" i="20"/>
  <c r="BY28" i="20"/>
  <c r="CY28" i="20" s="1"/>
  <c r="BY19" i="20"/>
  <c r="CY19" i="20" s="1"/>
  <c r="CY99" i="20"/>
  <c r="CY160" i="20"/>
  <c r="BY117" i="20"/>
  <c r="BY24" i="20"/>
  <c r="CY161" i="20"/>
  <c r="BY109" i="20"/>
  <c r="CY109" i="20" s="1"/>
  <c r="CY159" i="20"/>
  <c r="BY128" i="20"/>
  <c r="BY106" i="20"/>
  <c r="CY106" i="20" s="1"/>
  <c r="BY47" i="20"/>
  <c r="BY80" i="20"/>
  <c r="CY80" i="20" s="1"/>
  <c r="BY30" i="20"/>
  <c r="BY93" i="20"/>
  <c r="BY61" i="20"/>
  <c r="BY34" i="20"/>
  <c r="CY34" i="20" s="1"/>
  <c r="BY95" i="20"/>
  <c r="CY95" i="20" s="1"/>
  <c r="BY45" i="20"/>
  <c r="CY45" i="20" s="1"/>
  <c r="BY180" i="20"/>
  <c r="CY180" i="20" s="1"/>
  <c r="BY83" i="20"/>
  <c r="CY83" i="20" s="1"/>
  <c r="BY79" i="20"/>
  <c r="CY79" i="20" s="1"/>
  <c r="BY73" i="20"/>
  <c r="CY73" i="20" s="1"/>
  <c r="BY130" i="20"/>
  <c r="CY130" i="20" s="1"/>
  <c r="BY89" i="20"/>
  <c r="CY89" i="20" s="1"/>
  <c r="BY135" i="20"/>
  <c r="BY107" i="20"/>
  <c r="CY107" i="20" s="1"/>
  <c r="BY72" i="20"/>
  <c r="CY72" i="20" s="1"/>
  <c r="BY50" i="20"/>
  <c r="BY36" i="20"/>
  <c r="BY122" i="20"/>
  <c r="CY122" i="20" s="1"/>
  <c r="BY69" i="20"/>
  <c r="CY69" i="20" s="1"/>
  <c r="BY88" i="20"/>
  <c r="BY77" i="20"/>
  <c r="BY120" i="20"/>
  <c r="CY120" i="20" s="1"/>
  <c r="BY64" i="20"/>
  <c r="CZ159" i="20"/>
  <c r="CZ160" i="20"/>
  <c r="BZ129" i="20"/>
  <c r="CZ129" i="20" s="1"/>
  <c r="BZ27" i="20"/>
  <c r="BZ24" i="20"/>
  <c r="BZ89" i="20"/>
  <c r="CZ89" i="20" s="1"/>
  <c r="BZ66" i="20"/>
  <c r="CZ66" i="20" s="1"/>
  <c r="BZ135" i="20"/>
  <c r="BZ64" i="20"/>
  <c r="BZ30" i="20"/>
  <c r="BZ28" i="20"/>
  <c r="CZ28" i="20" s="1"/>
  <c r="BZ72" i="20"/>
  <c r="CZ72" i="20" s="1"/>
  <c r="BZ108" i="20"/>
  <c r="CZ108" i="20" s="1"/>
  <c r="BZ105" i="20"/>
  <c r="BZ122" i="20"/>
  <c r="CZ122" i="20" s="1"/>
  <c r="CZ161" i="20"/>
  <c r="BZ130" i="20"/>
  <c r="CZ130" i="20" s="1"/>
  <c r="BZ94" i="20"/>
  <c r="CZ94" i="20" s="1"/>
  <c r="BZ52" i="20"/>
  <c r="CZ52" i="20" s="1"/>
  <c r="BZ19" i="20"/>
  <c r="CZ19" i="20" s="1"/>
  <c r="BZ124" i="20"/>
  <c r="CZ124" i="20" s="1"/>
  <c r="BZ44" i="20"/>
  <c r="CZ44" i="20" s="1"/>
  <c r="BZ77" i="20"/>
  <c r="CZ99" i="20"/>
  <c r="BZ80" i="20"/>
  <c r="CZ80" i="20" s="1"/>
  <c r="BZ34" i="20"/>
  <c r="CZ34" i="20" s="1"/>
  <c r="BZ47" i="20"/>
  <c r="BZ112" i="20"/>
  <c r="CZ112" i="20" s="1"/>
  <c r="BZ119" i="20"/>
  <c r="CZ119" i="20" s="1"/>
  <c r="BZ18" i="20"/>
  <c r="CZ18" i="20" s="1"/>
  <c r="BZ39" i="20"/>
  <c r="BZ78" i="20"/>
  <c r="CZ78" i="20" s="1"/>
  <c r="BZ93" i="20"/>
  <c r="BZ36" i="20"/>
  <c r="BZ33" i="20"/>
  <c r="BZ123" i="20"/>
  <c r="BZ45" i="20"/>
  <c r="CZ45" i="20" s="1"/>
  <c r="BZ73" i="20"/>
  <c r="CZ73" i="20" s="1"/>
  <c r="BZ21" i="20"/>
  <c r="CZ21" i="20" s="1"/>
  <c r="BZ20" i="20"/>
  <c r="CZ20" i="20" s="1"/>
  <c r="DA99" i="20"/>
  <c r="BZ117" i="20"/>
  <c r="BZ84" i="20"/>
  <c r="CZ84" i="20" s="1"/>
  <c r="BZ120" i="20"/>
  <c r="CZ120" i="20" s="1"/>
  <c r="BZ106" i="20"/>
  <c r="CZ106" i="20" s="1"/>
  <c r="BZ22" i="20"/>
  <c r="CZ22" i="20" s="1"/>
  <c r="BZ61" i="20"/>
  <c r="BZ79" i="20"/>
  <c r="CZ79" i="20" s="1"/>
  <c r="BZ81" i="20"/>
  <c r="CZ81" i="20" s="1"/>
  <c r="BZ59" i="20"/>
  <c r="CZ59" i="20" s="1"/>
  <c r="BZ107" i="20"/>
  <c r="CZ107" i="20" s="1"/>
  <c r="BZ51" i="20"/>
  <c r="CZ51" i="20" s="1"/>
  <c r="BZ127" i="20"/>
  <c r="CZ127" i="20" s="1"/>
  <c r="BZ118" i="20"/>
  <c r="CZ118" i="20" s="1"/>
  <c r="BZ50" i="20"/>
  <c r="BZ162" i="20"/>
  <c r="BZ95" i="20"/>
  <c r="CZ95" i="20" s="1"/>
  <c r="BZ83" i="20"/>
  <c r="CZ83" i="20" s="1"/>
  <c r="BZ128" i="20"/>
  <c r="BZ109" i="20"/>
  <c r="CZ109" i="20" s="1"/>
  <c r="DA161" i="20"/>
  <c r="DA160" i="20"/>
  <c r="BZ54" i="20"/>
  <c r="BZ67" i="20"/>
  <c r="CZ67" i="20" s="1"/>
  <c r="DA159" i="20"/>
  <c r="BZ150" i="20"/>
  <c r="BZ82" i="20"/>
  <c r="CZ82" i="20" s="1"/>
  <c r="BZ65" i="20"/>
  <c r="CZ65" i="20" s="1"/>
  <c r="BZ125" i="20"/>
  <c r="CZ125" i="20" s="1"/>
  <c r="BZ14" i="20"/>
  <c r="BZ11" i="20"/>
  <c r="BZ88" i="20"/>
  <c r="BZ42" i="20"/>
  <c r="BZ180" i="20"/>
  <c r="CZ180" i="20" s="1"/>
  <c r="BZ35" i="20"/>
  <c r="CZ35" i="20" s="1"/>
  <c r="BZ121" i="20"/>
  <c r="CZ121" i="20" s="1"/>
  <c r="BZ69" i="20"/>
  <c r="CZ69" i="20" s="1"/>
  <c r="BZ57" i="20"/>
  <c r="BZ71" i="20"/>
  <c r="CZ71" i="20" s="1"/>
  <c r="BZ70" i="20"/>
  <c r="CZ70" i="20" s="1"/>
  <c r="BZ153" i="20"/>
  <c r="BZ98" i="20"/>
  <c r="BZ110" i="20"/>
  <c r="CZ110" i="20" s="1"/>
  <c r="BZ43" i="20"/>
  <c r="CZ43" i="20" s="1"/>
  <c r="BZ17" i="20"/>
  <c r="BZ68" i="20"/>
  <c r="CZ68" i="20" s="1"/>
  <c r="BZ111" i="20"/>
  <c r="CZ111" i="20" s="1"/>
  <c r="BZ12" i="20"/>
  <c r="CZ12" i="20" s="1"/>
  <c r="BZ58" i="20"/>
  <c r="CZ58" i="20" s="1"/>
  <c r="BZ37" i="20"/>
  <c r="CZ37" i="20" s="1"/>
  <c r="CA36" i="20"/>
  <c r="CA135" i="20"/>
  <c r="CA71" i="20"/>
  <c r="CA128" i="20"/>
  <c r="CA111" i="20"/>
  <c r="CA79" i="20"/>
  <c r="CA52" i="20"/>
  <c r="CA54" i="20"/>
  <c r="CA43" i="20"/>
  <c r="CA64" i="20"/>
  <c r="CA162" i="20"/>
  <c r="CA28" i="20"/>
  <c r="CA45" i="20"/>
  <c r="CA69" i="20"/>
  <c r="CA129" i="20"/>
  <c r="CA27" i="20"/>
  <c r="CA44" i="20"/>
  <c r="CA19" i="20"/>
  <c r="CA57" i="20"/>
  <c r="CA72" i="20"/>
  <c r="CA50" i="20"/>
  <c r="CA130" i="20"/>
  <c r="CA20" i="20"/>
  <c r="CA18" i="20"/>
  <c r="CA123" i="20"/>
  <c r="CA65" i="20"/>
  <c r="CA51" i="20"/>
  <c r="CA112" i="20"/>
  <c r="CA105" i="20"/>
  <c r="CA124" i="20"/>
  <c r="CA35" i="20"/>
  <c r="CA59" i="20"/>
  <c r="CA61" i="20"/>
  <c r="CA118" i="20"/>
  <c r="CA47" i="20"/>
  <c r="CA88" i="20"/>
  <c r="CA30" i="20"/>
  <c r="CA68" i="20"/>
  <c r="CA119" i="20"/>
  <c r="CA98" i="20"/>
  <c r="CA108" i="20"/>
  <c r="CA66" i="20"/>
  <c r="CA67" i="20"/>
  <c r="CA122" i="20"/>
  <c r="CA58" i="20"/>
  <c r="CA24" i="20"/>
  <c r="CA125" i="20"/>
  <c r="CA17" i="20"/>
  <c r="CA21" i="20"/>
  <c r="CA70" i="20"/>
  <c r="CA180" i="20"/>
  <c r="CA22" i="20"/>
  <c r="CA78" i="20"/>
  <c r="CY144" i="20"/>
  <c r="CY178" i="20"/>
  <c r="CZ144" i="20"/>
  <c r="CZ178" i="20"/>
  <c r="BJ737" i="9"/>
  <c r="BJ248" i="3"/>
  <c r="BJ718" i="9"/>
  <c r="BJ229" i="3"/>
  <c r="BJ731" i="9"/>
  <c r="BJ242" i="3"/>
  <c r="BJ107" i="3"/>
  <c r="BJ84" i="3"/>
  <c r="BJ99" i="3"/>
  <c r="BJ76" i="3"/>
  <c r="BK171" i="3"/>
  <c r="BK194" i="3" s="1"/>
  <c r="BK163" i="3"/>
  <c r="BK186" i="3" s="1"/>
  <c r="BK174" i="3"/>
  <c r="BK197" i="3" s="1"/>
  <c r="BJ71" i="3"/>
  <c r="BH174" i="20"/>
  <c r="BH181" i="20" s="1"/>
  <c r="BH62" i="30" s="1"/>
  <c r="BH156" i="20"/>
  <c r="BH166" i="20" s="1"/>
  <c r="BJ725" i="9"/>
  <c r="BJ236" i="3"/>
  <c r="BJ733" i="9"/>
  <c r="BJ244" i="3"/>
  <c r="BJ178" i="22"/>
  <c r="BJ176" i="22"/>
  <c r="BJ174" i="22"/>
  <c r="BJ172" i="22"/>
  <c r="BJ170" i="22"/>
  <c r="BJ168" i="22"/>
  <c r="BJ166" i="22"/>
  <c r="BJ164" i="22"/>
  <c r="BJ162" i="22"/>
  <c r="BJ160" i="22"/>
  <c r="BJ158" i="22"/>
  <c r="BJ156" i="22"/>
  <c r="BJ154" i="22"/>
  <c r="BJ152" i="22"/>
  <c r="BJ150" i="22"/>
  <c r="BJ148" i="22"/>
  <c r="BJ146" i="22"/>
  <c r="BJ144" i="22"/>
  <c r="BJ142" i="22"/>
  <c r="BJ140" i="22"/>
  <c r="BJ138" i="22"/>
  <c r="BJ136" i="22"/>
  <c r="BJ134" i="22"/>
  <c r="BJ132" i="22"/>
  <c r="BJ130" i="22"/>
  <c r="BJ128" i="22"/>
  <c r="BJ126" i="22"/>
  <c r="BJ124" i="22"/>
  <c r="BJ122" i="22"/>
  <c r="BJ120" i="22"/>
  <c r="BJ118" i="22"/>
  <c r="BJ116" i="22"/>
  <c r="BJ114" i="22"/>
  <c r="BJ112" i="22"/>
  <c r="BJ110" i="22"/>
  <c r="BJ108" i="22"/>
  <c r="BJ106" i="22"/>
  <c r="BJ104" i="22"/>
  <c r="BJ102" i="22"/>
  <c r="BJ100" i="22"/>
  <c r="BJ97" i="22"/>
  <c r="BJ107" i="22"/>
  <c r="BJ96" i="22"/>
  <c r="BJ98" i="22"/>
  <c r="BJ99" i="22"/>
  <c r="BJ111" i="22"/>
  <c r="BJ103" i="22"/>
  <c r="BJ101" i="22"/>
  <c r="BJ179" i="22"/>
  <c r="BJ177" i="22"/>
  <c r="BJ175" i="22"/>
  <c r="BJ173" i="22"/>
  <c r="BJ171" i="22"/>
  <c r="BJ169" i="22"/>
  <c r="BJ167" i="22"/>
  <c r="BJ165" i="22"/>
  <c r="BJ163" i="22"/>
  <c r="BJ161" i="22"/>
  <c r="BJ159" i="22"/>
  <c r="BJ157" i="22"/>
  <c r="BJ155" i="22"/>
  <c r="BJ153" i="22"/>
  <c r="BJ151" i="22"/>
  <c r="BJ149" i="22"/>
  <c r="BJ147" i="22"/>
  <c r="BJ145" i="22"/>
  <c r="BJ143" i="22"/>
  <c r="BJ141" i="22"/>
  <c r="BJ139" i="22"/>
  <c r="BJ137" i="22"/>
  <c r="BJ135" i="22"/>
  <c r="BJ133" i="22"/>
  <c r="BJ131" i="22"/>
  <c r="BJ129" i="22"/>
  <c r="BJ127" i="22"/>
  <c r="BJ125" i="22"/>
  <c r="BJ123" i="22"/>
  <c r="BJ121" i="22"/>
  <c r="BJ119" i="22"/>
  <c r="BJ117" i="22"/>
  <c r="BJ115" i="22"/>
  <c r="BJ113" i="22"/>
  <c r="BJ109" i="22"/>
  <c r="BJ105" i="22"/>
  <c r="AA145" i="22"/>
  <c r="AA108" i="22"/>
  <c r="AA101" i="22"/>
  <c r="AA150" i="22"/>
  <c r="AA139" i="22"/>
  <c r="AA132" i="22"/>
  <c r="AA117" i="22"/>
  <c r="AA125" i="22"/>
  <c r="AA176" i="22"/>
  <c r="AA111" i="22"/>
  <c r="AA127" i="22"/>
  <c r="AA170" i="22"/>
  <c r="AA138" i="22"/>
  <c r="AA136" i="22"/>
  <c r="AA106" i="22"/>
  <c r="AA148" i="22"/>
  <c r="AA107" i="22"/>
  <c r="AA153" i="22"/>
  <c r="AA177" i="22"/>
  <c r="AA147" i="22"/>
  <c r="AA116" i="22"/>
  <c r="AA115" i="22"/>
  <c r="AA163" i="22"/>
  <c r="AA152" i="22"/>
  <c r="AA133" i="22"/>
  <c r="AA100" i="22"/>
  <c r="AA122" i="22"/>
  <c r="AA98" i="22"/>
  <c r="AA96" i="22"/>
  <c r="AA144" i="22"/>
  <c r="AA121" i="22"/>
  <c r="AA137" i="22"/>
  <c r="AA110" i="22"/>
  <c r="AA146" i="22"/>
  <c r="AA120" i="22"/>
  <c r="AA131" i="22"/>
  <c r="AA175" i="22"/>
  <c r="AA102" i="22"/>
  <c r="AA97" i="22"/>
  <c r="AA179" i="22"/>
  <c r="AA113" i="22"/>
  <c r="AA156" i="22"/>
  <c r="AA149" i="22"/>
  <c r="AA119" i="22"/>
  <c r="AA123" i="22"/>
  <c r="AA118" i="22"/>
  <c r="AA159" i="22"/>
  <c r="AA160" i="22"/>
  <c r="AA130" i="22"/>
  <c r="AA174" i="22"/>
  <c r="AA126" i="22"/>
  <c r="AA154" i="22"/>
  <c r="AA135" i="22"/>
  <c r="AA129" i="22"/>
  <c r="AA157" i="22"/>
  <c r="AA142" i="22"/>
  <c r="AA158" i="22"/>
  <c r="AA103" i="22"/>
  <c r="AA165" i="22"/>
  <c r="AA99" i="22"/>
  <c r="AA151" i="22"/>
  <c r="AA168" i="22"/>
  <c r="AA140" i="22"/>
  <c r="AA164" i="22"/>
  <c r="AA173" i="22"/>
  <c r="AA134" i="22"/>
  <c r="AA172" i="22"/>
  <c r="AA114" i="22"/>
  <c r="AA104" i="22"/>
  <c r="AA109" i="22"/>
  <c r="AA169" i="22"/>
  <c r="AA155" i="22"/>
  <c r="AA143" i="22"/>
  <c r="AA124" i="22"/>
  <c r="AA167" i="22"/>
  <c r="AA161" i="22"/>
  <c r="AA162" i="22"/>
  <c r="AA178" i="22"/>
  <c r="AA112" i="22"/>
  <c r="AA105" i="22"/>
  <c r="AA171" i="22"/>
  <c r="AA128" i="22"/>
  <c r="AA141" i="22"/>
  <c r="AA166" i="22"/>
  <c r="AB177" i="22"/>
  <c r="AB148" i="22"/>
  <c r="AB99" i="22"/>
  <c r="AB173" i="22"/>
  <c r="AB147" i="22"/>
  <c r="AB105" i="22"/>
  <c r="AB157" i="22"/>
  <c r="AB144" i="22"/>
  <c r="AB159" i="22"/>
  <c r="AB135" i="22"/>
  <c r="AB127" i="22"/>
  <c r="AB166" i="22"/>
  <c r="AB161" i="22"/>
  <c r="AB117" i="22"/>
  <c r="AB143" i="22"/>
  <c r="AB165" i="22"/>
  <c r="AB141" i="22"/>
  <c r="AB132" i="22"/>
  <c r="AB116" i="22"/>
  <c r="AB160" i="22"/>
  <c r="AB164" i="22"/>
  <c r="AB102" i="22"/>
  <c r="AB170" i="22"/>
  <c r="AB138" i="22"/>
  <c r="AB155" i="22"/>
  <c r="AB176" i="22"/>
  <c r="AB137" i="22"/>
  <c r="AB100" i="22"/>
  <c r="AB129" i="22"/>
  <c r="AB140" i="22"/>
  <c r="AB130" i="22"/>
  <c r="AB146" i="22"/>
  <c r="AB118" i="22"/>
  <c r="AB111" i="22"/>
  <c r="AB131" i="22"/>
  <c r="AB113" i="22"/>
  <c r="AB96" i="22"/>
  <c r="AB162" i="22"/>
  <c r="AB154" i="22"/>
  <c r="AB136" i="22"/>
  <c r="AB156" i="22"/>
  <c r="AB101" i="22"/>
  <c r="AB168" i="22"/>
  <c r="AB151" i="22"/>
  <c r="AB172" i="22"/>
  <c r="AB115" i="22"/>
  <c r="AB120" i="22"/>
  <c r="AB98" i="22"/>
  <c r="AB169" i="22"/>
  <c r="AB171" i="22"/>
  <c r="AB122" i="22"/>
  <c r="AB174" i="22"/>
  <c r="AB109" i="22"/>
  <c r="AB112" i="22"/>
  <c r="AB145" i="22"/>
  <c r="AB179" i="22"/>
  <c r="AB110" i="22"/>
  <c r="AB103" i="22"/>
  <c r="AB104" i="22"/>
  <c r="AB124" i="22"/>
  <c r="AB139" i="22"/>
  <c r="AB114" i="22"/>
  <c r="AB126" i="22"/>
  <c r="AB178" i="22"/>
  <c r="AB108" i="22"/>
  <c r="AB158" i="22"/>
  <c r="AB97" i="22"/>
  <c r="AB175" i="22"/>
  <c r="AB106" i="22"/>
  <c r="AB125" i="22"/>
  <c r="AB119" i="22"/>
  <c r="AB150" i="22"/>
  <c r="AB149" i="22"/>
  <c r="AB107" i="22"/>
  <c r="AB123" i="22"/>
  <c r="AB167" i="22"/>
  <c r="AB133" i="22"/>
  <c r="AB152" i="22"/>
  <c r="AB153" i="22"/>
  <c r="AB163" i="22"/>
  <c r="AB128" i="22"/>
  <c r="AB134" i="22"/>
  <c r="AB142" i="22"/>
  <c r="AB121" i="22"/>
  <c r="AC123" i="22"/>
  <c r="AC149" i="22"/>
  <c r="AC155" i="22"/>
  <c r="AC146" i="22"/>
  <c r="AC154" i="22"/>
  <c r="AC134" i="22"/>
  <c r="AC165" i="22"/>
  <c r="AC108" i="22"/>
  <c r="AC141" i="22"/>
  <c r="AC124" i="22"/>
  <c r="AC126" i="22"/>
  <c r="AC121" i="22"/>
  <c r="AC109" i="22"/>
  <c r="AC132" i="22"/>
  <c r="AC156" i="22"/>
  <c r="AC172" i="22"/>
  <c r="AC102" i="22"/>
  <c r="AC168" i="22"/>
  <c r="AC140" i="22"/>
  <c r="AC160" i="22"/>
  <c r="AC144" i="22"/>
  <c r="AC111" i="22"/>
  <c r="AC110" i="22"/>
  <c r="AC147" i="22"/>
  <c r="AC135" i="22"/>
  <c r="AC170" i="22"/>
  <c r="AC158" i="22"/>
  <c r="AC114" i="22"/>
  <c r="AC173" i="22"/>
  <c r="AC115" i="22"/>
  <c r="AC105" i="22"/>
  <c r="AC97" i="22"/>
  <c r="AC137" i="22"/>
  <c r="AC175" i="22"/>
  <c r="AC161" i="22"/>
  <c r="AC174" i="22"/>
  <c r="AC119" i="22"/>
  <c r="AC99" i="22"/>
  <c r="AC122" i="22"/>
  <c r="AC143" i="22"/>
  <c r="AC117" i="22"/>
  <c r="AC150" i="22"/>
  <c r="AC98" i="22"/>
  <c r="AC103" i="22"/>
  <c r="AC113" i="22"/>
  <c r="AC96" i="22"/>
  <c r="AC166" i="22"/>
  <c r="AC153" i="22"/>
  <c r="AC104" i="22"/>
  <c r="AC118" i="22"/>
  <c r="AC125" i="22"/>
  <c r="AC136" i="22"/>
  <c r="AC148" i="22"/>
  <c r="AC106" i="22"/>
  <c r="AC176" i="22"/>
  <c r="AC101" i="22"/>
  <c r="AC145" i="22"/>
  <c r="AC142" i="22"/>
  <c r="AC167" i="22"/>
  <c r="AC164" i="22"/>
  <c r="AC179" i="22"/>
  <c r="AC130" i="22"/>
  <c r="AC162" i="22"/>
  <c r="AC138" i="22"/>
  <c r="AC112" i="22"/>
  <c r="AC178" i="22"/>
  <c r="AC177" i="22"/>
  <c r="AC129" i="22"/>
  <c r="AC163" i="22"/>
  <c r="AC139" i="22"/>
  <c r="AC100" i="22"/>
  <c r="AC159" i="22"/>
  <c r="AC131" i="22"/>
  <c r="AC171" i="22"/>
  <c r="AC157" i="22"/>
  <c r="AC127" i="22"/>
  <c r="AC107" i="22"/>
  <c r="AC169" i="22"/>
  <c r="AC120" i="22"/>
  <c r="AC116" i="22"/>
  <c r="AC152" i="22"/>
  <c r="AC128" i="22"/>
  <c r="AC133" i="22"/>
  <c r="AC151" i="22"/>
  <c r="AD176" i="22"/>
  <c r="AD121" i="22"/>
  <c r="AD119" i="22"/>
  <c r="AD175" i="22"/>
  <c r="AD110" i="22"/>
  <c r="AD117" i="22"/>
  <c r="AD132" i="22"/>
  <c r="AD150" i="22"/>
  <c r="AD123" i="22"/>
  <c r="AD143" i="22"/>
  <c r="AD168" i="22"/>
  <c r="AD113" i="22"/>
  <c r="AD167" i="22"/>
  <c r="AD118" i="22"/>
  <c r="AD99" i="22"/>
  <c r="AD128" i="22"/>
  <c r="AD120" i="22"/>
  <c r="AD140" i="22"/>
  <c r="AD104" i="22"/>
  <c r="AD178" i="22"/>
  <c r="AD114" i="22"/>
  <c r="AD130" i="22"/>
  <c r="AD154" i="22"/>
  <c r="AD103" i="22"/>
  <c r="AD171" i="22"/>
  <c r="AD142" i="22"/>
  <c r="AD177" i="22"/>
  <c r="AD173" i="22"/>
  <c r="AD115" i="22"/>
  <c r="AD155" i="22"/>
  <c r="AD152" i="22"/>
  <c r="AD147" i="22"/>
  <c r="AD101" i="22"/>
  <c r="AD133" i="22"/>
  <c r="AD157" i="22"/>
  <c r="AD109" i="22"/>
  <c r="AD159" i="22"/>
  <c r="AD164" i="22"/>
  <c r="AD111" i="22"/>
  <c r="AD151" i="22"/>
  <c r="AD163" i="22"/>
  <c r="AD112" i="22"/>
  <c r="AD116" i="22"/>
  <c r="AD134" i="22"/>
  <c r="AD153" i="22"/>
  <c r="AD139" i="22"/>
  <c r="AD144" i="22"/>
  <c r="AD174" i="22"/>
  <c r="AD162" i="22"/>
  <c r="AD124" i="22"/>
  <c r="AD106" i="22"/>
  <c r="AD170" i="22"/>
  <c r="AD138" i="22"/>
  <c r="AD166" i="22"/>
  <c r="AD98" i="22"/>
  <c r="AD179" i="22"/>
  <c r="AD96" i="22"/>
  <c r="AD102" i="22"/>
  <c r="AD135" i="22"/>
  <c r="AD156" i="22"/>
  <c r="AD165" i="22"/>
  <c r="AD125" i="22"/>
  <c r="AD127" i="22"/>
  <c r="AD100" i="22"/>
  <c r="AD169" i="22"/>
  <c r="AD137" i="22"/>
  <c r="AD136" i="22"/>
  <c r="AD108" i="22"/>
  <c r="AD148" i="22"/>
  <c r="AD145" i="22"/>
  <c r="AD97" i="22"/>
  <c r="AD161" i="22"/>
  <c r="AD160" i="22"/>
  <c r="AD126" i="22"/>
  <c r="AD172" i="22"/>
  <c r="AD131" i="22"/>
  <c r="AD105" i="22"/>
  <c r="AD107" i="22"/>
  <c r="AD146" i="22"/>
  <c r="AD149" i="22"/>
  <c r="AD158" i="22"/>
  <c r="AD122" i="22"/>
  <c r="AD129" i="22"/>
  <c r="AD141" i="22"/>
  <c r="AE117" i="22"/>
  <c r="AE153" i="22"/>
  <c r="AE148" i="22"/>
  <c r="AE118" i="22"/>
  <c r="AE121" i="22"/>
  <c r="AE105" i="22"/>
  <c r="AE132" i="22"/>
  <c r="AE150" i="22"/>
  <c r="AE106" i="22"/>
  <c r="AE164" i="22"/>
  <c r="AE102" i="22"/>
  <c r="AE163" i="22"/>
  <c r="AE113" i="22"/>
  <c r="AE107" i="22"/>
  <c r="AE165" i="22"/>
  <c r="AE101" i="22"/>
  <c r="AE114" i="22"/>
  <c r="AE151" i="22"/>
  <c r="AE174" i="22"/>
  <c r="AE135" i="22"/>
  <c r="AE103" i="22"/>
  <c r="AE111" i="22"/>
  <c r="AE139" i="22"/>
  <c r="AE99" i="22"/>
  <c r="AE147" i="22"/>
  <c r="AE131" i="22"/>
  <c r="AE159" i="22"/>
  <c r="AE134" i="22"/>
  <c r="AE176" i="22"/>
  <c r="AE143" i="22"/>
  <c r="AE129" i="22"/>
  <c r="AE97" i="22"/>
  <c r="AE128" i="22"/>
  <c r="AE109" i="22"/>
  <c r="AE157" i="22"/>
  <c r="AE119" i="22"/>
  <c r="AE110" i="22"/>
  <c r="AE104" i="22"/>
  <c r="AE136" i="22"/>
  <c r="AE169" i="22"/>
  <c r="AE172" i="22"/>
  <c r="AE156" i="22"/>
  <c r="AE146" i="22"/>
  <c r="AE162" i="22"/>
  <c r="AE141" i="22"/>
  <c r="AE100" i="22"/>
  <c r="AE96" i="22"/>
  <c r="AE177" i="22"/>
  <c r="AE145" i="22"/>
  <c r="AE170" i="22"/>
  <c r="AE158" i="22"/>
  <c r="AE125" i="22"/>
  <c r="AE179" i="22"/>
  <c r="AE122" i="22"/>
  <c r="AE161" i="22"/>
  <c r="AE155" i="22"/>
  <c r="AE140" i="22"/>
  <c r="AE160" i="22"/>
  <c r="AE112" i="22"/>
  <c r="AE127" i="22"/>
  <c r="AE98" i="22"/>
  <c r="AE154" i="22"/>
  <c r="AE144" i="22"/>
  <c r="AE126" i="22"/>
  <c r="AE173" i="22"/>
  <c r="AE115" i="22"/>
  <c r="AE166" i="22"/>
  <c r="AE152" i="22"/>
  <c r="AE138" i="22"/>
  <c r="AE124" i="22"/>
  <c r="AE167" i="22"/>
  <c r="AE168" i="22"/>
  <c r="AE130" i="22"/>
  <c r="AE123" i="22"/>
  <c r="AE137" i="22"/>
  <c r="AE116" i="22"/>
  <c r="AE178" i="22"/>
  <c r="AE171" i="22"/>
  <c r="AE142" i="22"/>
  <c r="AE175" i="22"/>
  <c r="AE149" i="22"/>
  <c r="AE120" i="22"/>
  <c r="AE108" i="22"/>
  <c r="AE133" i="22"/>
  <c r="AF136" i="22"/>
  <c r="AF108" i="22"/>
  <c r="AF148" i="22"/>
  <c r="AF106" i="22"/>
  <c r="AF176" i="22"/>
  <c r="AF99" i="22"/>
  <c r="AF122" i="22"/>
  <c r="AF119" i="22"/>
  <c r="AF112" i="22"/>
  <c r="AF141" i="22"/>
  <c r="AF121" i="22"/>
  <c r="AF115" i="22"/>
  <c r="AF127" i="22"/>
  <c r="AF161" i="22"/>
  <c r="AF109" i="22"/>
  <c r="AF126" i="22"/>
  <c r="AF145" i="22"/>
  <c r="AF154" i="22"/>
  <c r="AF162" i="22"/>
  <c r="AF174" i="22"/>
  <c r="AF97" i="22"/>
  <c r="AF164" i="22"/>
  <c r="AF102" i="22"/>
  <c r="AF130" i="22"/>
  <c r="AF157" i="22"/>
  <c r="AF165" i="22"/>
  <c r="AF163" i="22"/>
  <c r="AF171" i="22"/>
  <c r="AF120" i="22"/>
  <c r="AF139" i="22"/>
  <c r="AF168" i="22"/>
  <c r="AF178" i="22"/>
  <c r="AF143" i="22"/>
  <c r="AF169" i="22"/>
  <c r="AF110" i="22"/>
  <c r="AF131" i="22"/>
  <c r="AF105" i="22"/>
  <c r="AF147" i="22"/>
  <c r="AF132" i="22"/>
  <c r="AF117" i="22"/>
  <c r="AF140" i="22"/>
  <c r="AF128" i="22"/>
  <c r="AF124" i="22"/>
  <c r="AF159" i="22"/>
  <c r="AF152" i="22"/>
  <c r="AF116" i="22"/>
  <c r="AF129" i="22"/>
  <c r="AF137" i="22"/>
  <c r="AF98" i="22"/>
  <c r="AF100" i="22"/>
  <c r="AF111" i="22"/>
  <c r="AF172" i="22"/>
  <c r="AF156" i="22"/>
  <c r="AF134" i="22"/>
  <c r="AF151" i="22"/>
  <c r="AF118" i="22"/>
  <c r="AF123" i="22"/>
  <c r="AF135" i="22"/>
  <c r="AF166" i="22"/>
  <c r="AF158" i="22"/>
  <c r="AF146" i="22"/>
  <c r="AF149" i="22"/>
  <c r="AF173" i="22"/>
  <c r="AF104" i="22"/>
  <c r="AF153" i="22"/>
  <c r="AF179" i="22"/>
  <c r="AF103" i="22"/>
  <c r="AF160" i="22"/>
  <c r="AF142" i="22"/>
  <c r="AF177" i="22"/>
  <c r="AF150" i="22"/>
  <c r="AF170" i="22"/>
  <c r="AF167" i="22"/>
  <c r="AF113" i="22"/>
  <c r="AF175" i="22"/>
  <c r="AF101" i="22"/>
  <c r="AF155" i="22"/>
  <c r="AF133" i="22"/>
  <c r="AF107" i="22"/>
  <c r="AF144" i="22"/>
  <c r="AF96" i="22"/>
  <c r="AF138" i="22"/>
  <c r="AF114" i="22"/>
  <c r="AF125" i="22"/>
  <c r="AG146" i="22"/>
  <c r="AG159" i="22"/>
  <c r="AG154" i="22"/>
  <c r="AG99" i="22"/>
  <c r="AG113" i="22"/>
  <c r="AG167" i="22"/>
  <c r="AG168" i="22"/>
  <c r="AG110" i="22"/>
  <c r="AG131" i="22"/>
  <c r="AG117" i="22"/>
  <c r="AG176" i="22"/>
  <c r="AG102" i="22"/>
  <c r="AG164" i="22"/>
  <c r="AG118" i="22"/>
  <c r="AG123" i="22"/>
  <c r="AG155" i="22"/>
  <c r="AG124" i="22"/>
  <c r="AG109" i="22"/>
  <c r="AG107" i="22"/>
  <c r="AG141" i="22"/>
  <c r="AG148" i="22"/>
  <c r="AG160" i="22"/>
  <c r="AG96" i="22"/>
  <c r="AG174" i="22"/>
  <c r="AG149" i="22"/>
  <c r="AG144" i="22"/>
  <c r="AG105" i="22"/>
  <c r="AG135" i="22"/>
  <c r="AG179" i="22"/>
  <c r="AG137" i="22"/>
  <c r="AG178" i="22"/>
  <c r="AG172" i="22"/>
  <c r="AG98" i="22"/>
  <c r="AG165" i="22"/>
  <c r="AG119" i="22"/>
  <c r="AG173" i="22"/>
  <c r="AG175" i="22"/>
  <c r="AG158" i="22"/>
  <c r="AG162" i="22"/>
  <c r="AG101" i="22"/>
  <c r="AG171" i="22"/>
  <c r="AG152" i="22"/>
  <c r="AG138" i="22"/>
  <c r="AG127" i="22"/>
  <c r="AG97" i="22"/>
  <c r="AG116" i="22"/>
  <c r="AG139" i="22"/>
  <c r="AG126" i="22"/>
  <c r="AG157" i="22"/>
  <c r="AG114" i="22"/>
  <c r="AG120" i="22"/>
  <c r="AG125" i="22"/>
  <c r="AG142" i="22"/>
  <c r="AG130" i="22"/>
  <c r="AG108" i="22"/>
  <c r="AG169" i="22"/>
  <c r="AG177" i="22"/>
  <c r="AG132" i="22"/>
  <c r="AG136" i="22"/>
  <c r="AG166" i="22"/>
  <c r="AG153" i="22"/>
  <c r="AG106" i="22"/>
  <c r="AG112" i="22"/>
  <c r="AG129" i="22"/>
  <c r="AG103" i="22"/>
  <c r="AG170" i="22"/>
  <c r="AG140" i="22"/>
  <c r="AG115" i="22"/>
  <c r="AG143" i="22"/>
  <c r="AG156" i="22"/>
  <c r="AG163" i="22"/>
  <c r="AG128" i="22"/>
  <c r="AG100" i="22"/>
  <c r="AG150" i="22"/>
  <c r="AG121" i="22"/>
  <c r="AG145" i="22"/>
  <c r="AG151" i="22"/>
  <c r="AG134" i="22"/>
  <c r="AG122" i="22"/>
  <c r="AG133" i="22"/>
  <c r="AG111" i="22"/>
  <c r="AG104" i="22"/>
  <c r="AG147" i="22"/>
  <c r="AG161" i="22"/>
  <c r="AH107" i="22"/>
  <c r="AH103" i="22"/>
  <c r="AH153" i="22"/>
  <c r="AH150" i="22"/>
  <c r="AH104" i="22"/>
  <c r="AH176" i="22"/>
  <c r="AH114" i="22"/>
  <c r="AH101" i="22"/>
  <c r="AH171" i="22"/>
  <c r="AH100" i="22"/>
  <c r="AH146" i="22"/>
  <c r="AH118" i="22"/>
  <c r="AH154" i="22"/>
  <c r="AH111" i="22"/>
  <c r="AH105" i="22"/>
  <c r="AH130" i="22"/>
  <c r="AH126" i="22"/>
  <c r="AH165" i="22"/>
  <c r="AH143" i="22"/>
  <c r="AH142" i="22"/>
  <c r="AH141" i="22"/>
  <c r="AH125" i="22"/>
  <c r="AH127" i="22"/>
  <c r="AH97" i="22"/>
  <c r="AH178" i="22"/>
  <c r="AH159" i="22"/>
  <c r="AH117" i="22"/>
  <c r="AH102" i="22"/>
  <c r="AH113" i="22"/>
  <c r="AH164" i="22"/>
  <c r="AH155" i="22"/>
  <c r="AH139" i="22"/>
  <c r="AH169" i="22"/>
  <c r="AH168" i="22"/>
  <c r="AH131" i="22"/>
  <c r="AH166" i="22"/>
  <c r="AH129" i="22"/>
  <c r="AH112" i="22"/>
  <c r="AH122" i="22"/>
  <c r="AH158" i="22"/>
  <c r="AH124" i="22"/>
  <c r="AH163" i="22"/>
  <c r="AH115" i="22"/>
  <c r="AH119" i="22"/>
  <c r="AH99" i="22"/>
  <c r="AH167" i="22"/>
  <c r="AH106" i="22"/>
  <c r="AH172" i="22"/>
  <c r="AH162" i="22"/>
  <c r="AH134" i="22"/>
  <c r="AH152" i="22"/>
  <c r="AH148" i="22"/>
  <c r="AH149" i="22"/>
  <c r="AH179" i="22"/>
  <c r="AH121" i="22"/>
  <c r="AH109" i="22"/>
  <c r="AH108" i="22"/>
  <c r="AH120" i="22"/>
  <c r="AH144" i="22"/>
  <c r="AH110" i="22"/>
  <c r="AH157" i="22"/>
  <c r="AH145" i="22"/>
  <c r="AH160" i="22"/>
  <c r="AH98" i="22"/>
  <c r="AH136" i="22"/>
  <c r="AH133" i="22"/>
  <c r="AH161" i="22"/>
  <c r="AH173" i="22"/>
  <c r="AH96" i="22"/>
  <c r="AH174" i="22"/>
  <c r="AH128" i="22"/>
  <c r="AH123" i="22"/>
  <c r="AH151" i="22"/>
  <c r="AH156" i="22"/>
  <c r="AH138" i="22"/>
  <c r="AH116" i="22"/>
  <c r="AH137" i="22"/>
  <c r="AH147" i="22"/>
  <c r="AH170" i="22"/>
  <c r="AH132" i="22"/>
  <c r="AH177" i="22"/>
  <c r="AH140" i="22"/>
  <c r="AH135" i="22"/>
  <c r="AH175" i="22"/>
  <c r="AI176" i="22"/>
  <c r="AI121" i="22"/>
  <c r="AI142" i="22"/>
  <c r="AI168" i="22"/>
  <c r="AI125" i="22"/>
  <c r="AI128" i="22"/>
  <c r="AI174" i="22"/>
  <c r="AI126" i="22"/>
  <c r="AI164" i="22"/>
  <c r="AI108" i="22"/>
  <c r="AI140" i="22"/>
  <c r="AI175" i="22"/>
  <c r="AI138" i="22"/>
  <c r="AI141" i="22"/>
  <c r="AI99" i="22"/>
  <c r="AI135" i="22"/>
  <c r="AI132" i="22"/>
  <c r="AI102" i="22"/>
  <c r="AI156" i="22"/>
  <c r="AI143" i="22"/>
  <c r="AI127" i="22"/>
  <c r="AI96" i="22"/>
  <c r="AI179" i="22"/>
  <c r="AI178" i="22"/>
  <c r="AI101" i="22"/>
  <c r="AI115" i="22"/>
  <c r="AI150" i="22"/>
  <c r="AI158" i="22"/>
  <c r="AI104" i="22"/>
  <c r="AI169" i="22"/>
  <c r="AI124" i="22"/>
  <c r="AI137" i="22"/>
  <c r="AI173" i="22"/>
  <c r="AI139" i="22"/>
  <c r="AI148" i="22"/>
  <c r="AI120" i="22"/>
  <c r="AI111" i="22"/>
  <c r="AI163" i="22"/>
  <c r="AI123" i="22"/>
  <c r="AI152" i="22"/>
  <c r="AI157" i="22"/>
  <c r="AI113" i="22"/>
  <c r="AI122" i="22"/>
  <c r="AI119" i="22"/>
  <c r="AI153" i="22"/>
  <c r="AI145" i="22"/>
  <c r="AI155" i="22"/>
  <c r="AI159" i="22"/>
  <c r="AI160" i="22"/>
  <c r="AI118" i="22"/>
  <c r="AI131" i="22"/>
  <c r="AI177" i="22"/>
  <c r="AI110" i="22"/>
  <c r="AI117" i="22"/>
  <c r="AI130" i="22"/>
  <c r="AI165" i="22"/>
  <c r="AI154" i="22"/>
  <c r="AI146" i="22"/>
  <c r="AI98" i="22"/>
  <c r="AI106" i="22"/>
  <c r="AI162" i="22"/>
  <c r="AI129" i="22"/>
  <c r="AI134" i="22"/>
  <c r="AI109" i="22"/>
  <c r="AI136" i="22"/>
  <c r="AI171" i="22"/>
  <c r="AI103" i="22"/>
  <c r="AI133" i="22"/>
  <c r="AI100" i="22"/>
  <c r="AI151" i="22"/>
  <c r="AI144" i="22"/>
  <c r="AI170" i="22"/>
  <c r="AI167" i="22"/>
  <c r="AI112" i="22"/>
  <c r="AI116" i="22"/>
  <c r="AI172" i="22"/>
  <c r="AI97" i="22"/>
  <c r="AI105" i="22"/>
  <c r="AI114" i="22"/>
  <c r="AI161" i="22"/>
  <c r="AI166" i="22"/>
  <c r="AI149" i="22"/>
  <c r="AI147" i="22"/>
  <c r="AI107" i="22"/>
  <c r="AJ144" i="22"/>
  <c r="AJ145" i="22"/>
  <c r="AJ113" i="22"/>
  <c r="AJ178" i="22"/>
  <c r="AJ177" i="22"/>
  <c r="AJ125" i="22"/>
  <c r="AJ147" i="22"/>
  <c r="AJ136" i="22"/>
  <c r="AJ172" i="22"/>
  <c r="AJ176" i="22"/>
  <c r="AJ122" i="22"/>
  <c r="AJ98" i="22"/>
  <c r="AJ126" i="22"/>
  <c r="AJ170" i="22"/>
  <c r="AJ123" i="22"/>
  <c r="AJ115" i="22"/>
  <c r="AJ120" i="22"/>
  <c r="AJ112" i="22"/>
  <c r="AJ117" i="22"/>
  <c r="AJ111" i="22"/>
  <c r="AJ148" i="22"/>
  <c r="AJ179" i="22"/>
  <c r="AJ142" i="22"/>
  <c r="AJ134" i="22"/>
  <c r="AJ154" i="22"/>
  <c r="AJ127" i="22"/>
  <c r="AJ128" i="22"/>
  <c r="AJ133" i="22"/>
  <c r="AJ152" i="22"/>
  <c r="AJ151" i="22"/>
  <c r="AJ161" i="22"/>
  <c r="AJ137" i="22"/>
  <c r="AJ140" i="22"/>
  <c r="AJ165" i="22"/>
  <c r="AJ131" i="22"/>
  <c r="AJ169" i="22"/>
  <c r="AJ138" i="22"/>
  <c r="AJ99" i="22"/>
  <c r="AJ109" i="22"/>
  <c r="AJ101" i="22"/>
  <c r="AJ171" i="22"/>
  <c r="AJ166" i="22"/>
  <c r="AJ110" i="22"/>
  <c r="AJ175" i="22"/>
  <c r="AJ97" i="22"/>
  <c r="AJ153" i="22"/>
  <c r="AJ100" i="22"/>
  <c r="AJ167" i="22"/>
  <c r="AJ141" i="22"/>
  <c r="AJ108" i="22"/>
  <c r="AJ106" i="22"/>
  <c r="AJ102" i="22"/>
  <c r="AJ168" i="22"/>
  <c r="AJ105" i="22"/>
  <c r="AJ104" i="22"/>
  <c r="AJ146" i="22"/>
  <c r="AJ158" i="22"/>
  <c r="AJ130" i="22"/>
  <c r="AJ119" i="22"/>
  <c r="AJ116" i="22"/>
  <c r="AJ157" i="22"/>
  <c r="AJ160" i="22"/>
  <c r="AJ164" i="22"/>
  <c r="AJ174" i="22"/>
  <c r="AJ103" i="22"/>
  <c r="AJ156" i="22"/>
  <c r="AJ143" i="22"/>
  <c r="AJ139" i="22"/>
  <c r="AJ173" i="22"/>
  <c r="AJ135" i="22"/>
  <c r="AJ121" i="22"/>
  <c r="AJ149" i="22"/>
  <c r="AJ118" i="22"/>
  <c r="AJ107" i="22"/>
  <c r="AJ129" i="22"/>
  <c r="AJ124" i="22"/>
  <c r="AJ162" i="22"/>
  <c r="AJ132" i="22"/>
  <c r="AJ114" i="22"/>
  <c r="AJ163" i="22"/>
  <c r="AJ155" i="22"/>
  <c r="AJ159" i="22"/>
  <c r="AJ96" i="22"/>
  <c r="AJ150" i="22"/>
  <c r="AK97" i="22"/>
  <c r="AK121" i="22"/>
  <c r="AK132" i="22"/>
  <c r="AK129" i="22"/>
  <c r="AK99" i="22"/>
  <c r="AK116" i="22"/>
  <c r="AK173" i="22"/>
  <c r="AK156" i="22"/>
  <c r="AK159" i="22"/>
  <c r="AK158" i="22"/>
  <c r="AK127" i="22"/>
  <c r="AK135" i="22"/>
  <c r="AK115" i="22"/>
  <c r="AK163" i="22"/>
  <c r="AK104" i="22"/>
  <c r="AK161" i="22"/>
  <c r="AK136" i="22"/>
  <c r="AK165" i="22"/>
  <c r="AK101" i="22"/>
  <c r="AK148" i="22"/>
  <c r="AK172" i="22"/>
  <c r="AK131" i="22"/>
  <c r="AK142" i="22"/>
  <c r="AK120" i="22"/>
  <c r="AK108" i="22"/>
  <c r="AK154" i="22"/>
  <c r="AK143" i="22"/>
  <c r="AK114" i="22"/>
  <c r="AK113" i="22"/>
  <c r="AK137" i="22"/>
  <c r="AK174" i="22"/>
  <c r="AK168" i="22"/>
  <c r="AK134" i="22"/>
  <c r="AK124" i="22"/>
  <c r="AK144" i="22"/>
  <c r="AK153" i="22"/>
  <c r="AK140" i="22"/>
  <c r="AK166" i="22"/>
  <c r="AK179" i="22"/>
  <c r="AK146" i="22"/>
  <c r="AK177" i="22"/>
  <c r="AK111" i="22"/>
  <c r="AK100" i="22"/>
  <c r="AK152" i="22"/>
  <c r="AK178" i="22"/>
  <c r="AK139" i="22"/>
  <c r="AK130" i="22"/>
  <c r="AK112" i="22"/>
  <c r="AK138" i="22"/>
  <c r="AK133" i="22"/>
  <c r="AK147" i="22"/>
  <c r="AK155" i="22"/>
  <c r="AK170" i="22"/>
  <c r="AK141" i="22"/>
  <c r="AK103" i="22"/>
  <c r="AK110" i="22"/>
  <c r="AK107" i="22"/>
  <c r="AK106" i="22"/>
  <c r="AK123" i="22"/>
  <c r="AK151" i="22"/>
  <c r="AK175" i="22"/>
  <c r="AK171" i="22"/>
  <c r="AK160" i="22"/>
  <c r="AK105" i="22"/>
  <c r="AK122" i="22"/>
  <c r="AK176" i="22"/>
  <c r="AK162" i="22"/>
  <c r="AK126" i="22"/>
  <c r="AK164" i="22"/>
  <c r="AK167" i="22"/>
  <c r="AK102" i="22"/>
  <c r="AK150" i="22"/>
  <c r="AK98" i="22"/>
  <c r="AK109" i="22"/>
  <c r="AK128" i="22"/>
  <c r="AK145" i="22"/>
  <c r="AK117" i="22"/>
  <c r="AK157" i="22"/>
  <c r="AK125" i="22"/>
  <c r="AK169" i="22"/>
  <c r="AK149" i="22"/>
  <c r="AK118" i="22"/>
  <c r="AK96" i="22"/>
  <c r="AK119" i="22"/>
  <c r="AL156" i="22"/>
  <c r="AL126" i="22"/>
  <c r="AL139" i="22"/>
  <c r="AL145" i="22"/>
  <c r="AL160" i="22"/>
  <c r="AL125" i="22"/>
  <c r="AL99" i="22"/>
  <c r="AL116" i="22"/>
  <c r="AL161" i="22"/>
  <c r="AL150" i="22"/>
  <c r="AL144" i="22"/>
  <c r="AL157" i="22"/>
  <c r="AL96" i="22"/>
  <c r="AL132" i="22"/>
  <c r="AL104" i="22"/>
  <c r="AL113" i="22"/>
  <c r="AL178" i="22"/>
  <c r="AL176" i="22"/>
  <c r="AL133" i="22"/>
  <c r="AL152" i="22"/>
  <c r="AL114" i="22"/>
  <c r="AL101" i="22"/>
  <c r="AL134" i="22"/>
  <c r="AL165" i="22"/>
  <c r="AL159" i="22"/>
  <c r="AL164" i="22"/>
  <c r="AL112" i="22"/>
  <c r="AL100" i="22"/>
  <c r="AL117" i="22"/>
  <c r="AL140" i="22"/>
  <c r="AL118" i="22"/>
  <c r="AL175" i="22"/>
  <c r="AL141" i="22"/>
  <c r="AL127" i="22"/>
  <c r="AL121" i="22"/>
  <c r="AL98" i="22"/>
  <c r="AL123" i="22"/>
  <c r="AL168" i="22"/>
  <c r="AL109" i="22"/>
  <c r="AL97" i="22"/>
  <c r="AL179" i="22"/>
  <c r="AL111" i="22"/>
  <c r="AL174" i="22"/>
  <c r="AL106" i="22"/>
  <c r="AL136" i="22"/>
  <c r="AL147" i="22"/>
  <c r="AL171" i="22"/>
  <c r="AL103" i="22"/>
  <c r="AL172" i="22"/>
  <c r="AL130" i="22"/>
  <c r="AL162" i="22"/>
  <c r="AL158" i="22"/>
  <c r="AL173" i="22"/>
  <c r="AL128" i="22"/>
  <c r="AL163" i="22"/>
  <c r="AL137" i="22"/>
  <c r="AL154" i="22"/>
  <c r="AL167" i="22"/>
  <c r="AL135" i="22"/>
  <c r="AL169" i="22"/>
  <c r="AL108" i="22"/>
  <c r="AL148" i="22"/>
  <c r="AL149" i="22"/>
  <c r="AL119" i="22"/>
  <c r="AL170" i="22"/>
  <c r="AL166" i="22"/>
  <c r="AL120" i="22"/>
  <c r="AL143" i="22"/>
  <c r="AL115" i="22"/>
  <c r="AL129" i="22"/>
  <c r="AL138" i="22"/>
  <c r="AL153" i="22"/>
  <c r="AL122" i="22"/>
  <c r="AL151" i="22"/>
  <c r="AL142" i="22"/>
  <c r="AL107" i="22"/>
  <c r="AL110" i="22"/>
  <c r="AL146" i="22"/>
  <c r="AL177" i="22"/>
  <c r="AL155" i="22"/>
  <c r="AL102" i="22"/>
  <c r="AL105" i="22"/>
  <c r="AL124" i="22"/>
  <c r="AL131" i="22"/>
  <c r="AM158" i="22"/>
  <c r="AM139" i="22"/>
  <c r="AM111" i="22"/>
  <c r="AM108" i="22"/>
  <c r="AM169" i="22"/>
  <c r="AM166" i="22"/>
  <c r="AM109" i="22"/>
  <c r="AM141" i="22"/>
  <c r="AM151" i="22"/>
  <c r="AM128" i="22"/>
  <c r="AM129" i="22"/>
  <c r="AM125" i="22"/>
  <c r="AM149" i="22"/>
  <c r="AM126" i="22"/>
  <c r="AM173" i="22"/>
  <c r="AM145" i="22"/>
  <c r="AM144" i="22"/>
  <c r="AM132" i="22"/>
  <c r="AM104" i="22"/>
  <c r="AM163" i="22"/>
  <c r="AM124" i="22"/>
  <c r="AM97" i="22"/>
  <c r="AM164" i="22"/>
  <c r="AM98" i="22"/>
  <c r="AM123" i="22"/>
  <c r="AM155" i="22"/>
  <c r="AM167" i="22"/>
  <c r="AM175" i="22"/>
  <c r="AM114" i="22"/>
  <c r="AM135" i="22"/>
  <c r="AM168" i="22"/>
  <c r="AM105" i="22"/>
  <c r="AM127" i="22"/>
  <c r="AM148" i="22"/>
  <c r="AM133" i="22"/>
  <c r="AM159" i="22"/>
  <c r="AM131" i="22"/>
  <c r="AM160" i="22"/>
  <c r="AM147" i="22"/>
  <c r="AM138" i="22"/>
  <c r="AM177" i="22"/>
  <c r="AM179" i="22"/>
  <c r="AM122" i="22"/>
  <c r="AM116" i="22"/>
  <c r="AM112" i="22"/>
  <c r="AM117" i="22"/>
  <c r="AM162" i="22"/>
  <c r="AM100" i="22"/>
  <c r="AM103" i="22"/>
  <c r="AM152" i="22"/>
  <c r="AM143" i="22"/>
  <c r="AM157" i="22"/>
  <c r="AM99" i="22"/>
  <c r="AM102" i="22"/>
  <c r="AM115" i="22"/>
  <c r="AM134" i="22"/>
  <c r="AM119" i="22"/>
  <c r="AM140" i="22"/>
  <c r="AM171" i="22"/>
  <c r="AM172" i="22"/>
  <c r="AM101" i="22"/>
  <c r="AM178" i="22"/>
  <c r="AM113" i="22"/>
  <c r="AM150" i="22"/>
  <c r="AM161" i="22"/>
  <c r="AM107" i="22"/>
  <c r="AM106" i="22"/>
  <c r="AM154" i="22"/>
  <c r="AM174" i="22"/>
  <c r="AM96" i="22"/>
  <c r="AM170" i="22"/>
  <c r="AM176" i="22"/>
  <c r="AM146" i="22"/>
  <c r="AM153" i="22"/>
  <c r="AM121" i="22"/>
  <c r="AM118" i="22"/>
  <c r="AM137" i="22"/>
  <c r="AM110" i="22"/>
  <c r="AM156" i="22"/>
  <c r="AM165" i="22"/>
  <c r="AM136" i="22"/>
  <c r="AM120" i="22"/>
  <c r="AM142" i="22"/>
  <c r="AM130" i="22"/>
  <c r="AN112" i="22"/>
  <c r="AN165" i="22"/>
  <c r="AN140" i="22"/>
  <c r="AN164" i="22"/>
  <c r="AN162" i="22"/>
  <c r="AN147" i="22"/>
  <c r="AN153" i="22"/>
  <c r="AN123" i="22"/>
  <c r="AN111" i="22"/>
  <c r="AN166" i="22"/>
  <c r="AN155" i="22"/>
  <c r="AN177" i="22"/>
  <c r="AN143" i="22"/>
  <c r="AN142" i="22"/>
  <c r="AN104" i="22"/>
  <c r="AN159" i="22"/>
  <c r="AN167" i="22"/>
  <c r="AN125" i="22"/>
  <c r="AN128" i="22"/>
  <c r="AN170" i="22"/>
  <c r="AN120" i="22"/>
  <c r="AN113" i="22"/>
  <c r="AN121" i="22"/>
  <c r="AN133" i="22"/>
  <c r="AN106" i="22"/>
  <c r="AN108" i="22"/>
  <c r="AN129" i="22"/>
  <c r="AN161" i="22"/>
  <c r="AN114" i="22"/>
  <c r="AN102" i="22"/>
  <c r="AN179" i="22"/>
  <c r="AN139" i="22"/>
  <c r="AN132" i="22"/>
  <c r="AN146" i="22"/>
  <c r="AN163" i="22"/>
  <c r="AN175" i="22"/>
  <c r="AN137" i="22"/>
  <c r="AN152" i="22"/>
  <c r="AN154" i="22"/>
  <c r="AN130" i="22"/>
  <c r="AN138" i="22"/>
  <c r="AN118" i="22"/>
  <c r="AN178" i="22"/>
  <c r="AN124" i="22"/>
  <c r="AN158" i="22"/>
  <c r="AN126" i="22"/>
  <c r="AN131" i="22"/>
  <c r="AN136" i="22"/>
  <c r="AN122" i="22"/>
  <c r="AN134" i="22"/>
  <c r="AN109" i="22"/>
  <c r="AN97" i="22"/>
  <c r="AN115" i="22"/>
  <c r="AN144" i="22"/>
  <c r="AN96" i="22"/>
  <c r="AN116" i="22"/>
  <c r="AN127" i="22"/>
  <c r="AN99" i="22"/>
  <c r="AN176" i="22"/>
  <c r="AN173" i="22"/>
  <c r="AN110" i="22"/>
  <c r="AN174" i="22"/>
  <c r="AN171" i="22"/>
  <c r="AN172" i="22"/>
  <c r="AN135" i="22"/>
  <c r="AN160" i="22"/>
  <c r="AN103" i="22"/>
  <c r="AN149" i="22"/>
  <c r="AN101" i="22"/>
  <c r="AN151" i="22"/>
  <c r="AN100" i="22"/>
  <c r="AN150" i="22"/>
  <c r="AN105" i="22"/>
  <c r="AN157" i="22"/>
  <c r="AN169" i="22"/>
  <c r="AN156" i="22"/>
  <c r="AN98" i="22"/>
  <c r="AN168" i="22"/>
  <c r="AN145" i="22"/>
  <c r="AN107" i="22"/>
  <c r="AN148" i="22"/>
  <c r="AN117" i="22"/>
  <c r="AN119" i="22"/>
  <c r="AN141" i="22"/>
  <c r="AO145" i="22"/>
  <c r="AO128" i="22"/>
  <c r="AO131" i="22"/>
  <c r="AO126" i="22"/>
  <c r="AO174" i="22"/>
  <c r="AO109" i="22"/>
  <c r="AO172" i="22"/>
  <c r="AO150" i="22"/>
  <c r="AO170" i="22"/>
  <c r="AO135" i="22"/>
  <c r="AO144" i="22"/>
  <c r="AO100" i="22"/>
  <c r="AO97" i="22"/>
  <c r="AO161" i="22"/>
  <c r="AO111" i="22"/>
  <c r="AO169" i="22"/>
  <c r="AO130" i="22"/>
  <c r="AO132" i="22"/>
  <c r="AO177" i="22"/>
  <c r="AO166" i="22"/>
  <c r="AO168" i="22"/>
  <c r="AO141" i="22"/>
  <c r="AO103" i="22"/>
  <c r="AO105" i="22"/>
  <c r="AO146" i="22"/>
  <c r="AO115" i="22"/>
  <c r="AO127" i="22"/>
  <c r="AO164" i="22"/>
  <c r="AO178" i="22"/>
  <c r="AO155" i="22"/>
  <c r="AO156" i="22"/>
  <c r="AO143" i="22"/>
  <c r="AO114" i="22"/>
  <c r="AO125" i="22"/>
  <c r="AO124" i="22"/>
  <c r="AO165" i="22"/>
  <c r="AO139" i="22"/>
  <c r="AO108" i="22"/>
  <c r="AO167" i="22"/>
  <c r="AO162" i="22"/>
  <c r="AO101" i="22"/>
  <c r="AO123" i="22"/>
  <c r="AO173" i="22"/>
  <c r="AO96" i="22"/>
  <c r="AO107" i="22"/>
  <c r="AO106" i="22"/>
  <c r="AO112" i="22"/>
  <c r="AO163" i="22"/>
  <c r="AO152" i="22"/>
  <c r="AO129" i="22"/>
  <c r="AO154" i="22"/>
  <c r="AO171" i="22"/>
  <c r="AO102" i="22"/>
  <c r="AO148" i="22"/>
  <c r="AO120" i="22"/>
  <c r="AO151" i="22"/>
  <c r="AO110" i="22"/>
  <c r="AO138" i="22"/>
  <c r="AO113" i="22"/>
  <c r="AO118" i="22"/>
  <c r="AO98" i="22"/>
  <c r="AO149" i="22"/>
  <c r="AO137" i="22"/>
  <c r="AO147" i="22"/>
  <c r="AO153" i="22"/>
  <c r="AO116" i="22"/>
  <c r="AO179" i="22"/>
  <c r="AO122" i="22"/>
  <c r="AO142" i="22"/>
  <c r="AO158" i="22"/>
  <c r="AO159" i="22"/>
  <c r="AO133" i="22"/>
  <c r="AO157" i="22"/>
  <c r="AO104" i="22"/>
  <c r="AO175" i="22"/>
  <c r="AO117" i="22"/>
  <c r="AO140" i="22"/>
  <c r="AO160" i="22"/>
  <c r="AO136" i="22"/>
  <c r="AO99" i="22"/>
  <c r="AO119" i="22"/>
  <c r="AO121" i="22"/>
  <c r="AO176" i="22"/>
  <c r="AO134" i="22"/>
  <c r="AP169" i="22"/>
  <c r="AP165" i="22"/>
  <c r="AP155" i="22"/>
  <c r="AP174" i="22"/>
  <c r="AP139" i="22"/>
  <c r="AP104" i="22"/>
  <c r="AP123" i="22"/>
  <c r="AP160" i="22"/>
  <c r="AP137" i="22"/>
  <c r="AP124" i="22"/>
  <c r="AP177" i="22"/>
  <c r="AP106" i="22"/>
  <c r="AP132" i="22"/>
  <c r="AP113" i="22"/>
  <c r="AP151" i="22"/>
  <c r="AP115" i="22"/>
  <c r="AP102" i="22"/>
  <c r="AP141" i="22"/>
  <c r="AP136" i="22"/>
  <c r="AP117" i="22"/>
  <c r="AP98" i="22"/>
  <c r="AP128" i="22"/>
  <c r="AP127" i="22"/>
  <c r="AP170" i="22"/>
  <c r="AP159" i="22"/>
  <c r="AP147" i="22"/>
  <c r="AP131" i="22"/>
  <c r="AP96" i="22"/>
  <c r="AP142" i="22"/>
  <c r="AP140" i="22"/>
  <c r="AP178" i="22"/>
  <c r="AP101" i="22"/>
  <c r="AP111" i="22"/>
  <c r="AP179" i="22"/>
  <c r="AP119" i="22"/>
  <c r="AP157" i="22"/>
  <c r="AP99" i="22"/>
  <c r="AP114" i="22"/>
  <c r="AP125" i="22"/>
  <c r="AP143" i="22"/>
  <c r="AP130" i="22"/>
  <c r="AP145" i="22"/>
  <c r="AP126" i="22"/>
  <c r="AP105" i="22"/>
  <c r="AP164" i="22"/>
  <c r="AP152" i="22"/>
  <c r="AP129" i="22"/>
  <c r="AP109" i="22"/>
  <c r="AP135" i="22"/>
  <c r="AP133" i="22"/>
  <c r="AP146" i="22"/>
  <c r="AP175" i="22"/>
  <c r="AP107" i="22"/>
  <c r="AP118" i="22"/>
  <c r="AP103" i="22"/>
  <c r="AP173" i="22"/>
  <c r="AP112" i="22"/>
  <c r="AP144" i="22"/>
  <c r="AP134" i="22"/>
  <c r="AP161" i="22"/>
  <c r="AP138" i="22"/>
  <c r="AP121" i="22"/>
  <c r="AP116" i="22"/>
  <c r="AP149" i="22"/>
  <c r="AP176" i="22"/>
  <c r="AP154" i="22"/>
  <c r="AP148" i="22"/>
  <c r="AP150" i="22"/>
  <c r="AP168" i="22"/>
  <c r="AP167" i="22"/>
  <c r="AP171" i="22"/>
  <c r="AP162" i="22"/>
  <c r="AP110" i="22"/>
  <c r="AP120" i="22"/>
  <c r="AP153" i="22"/>
  <c r="AP108" i="22"/>
  <c r="AP172" i="22"/>
  <c r="AP166" i="22"/>
  <c r="AP97" i="22"/>
  <c r="AP163" i="22"/>
  <c r="AP158" i="22"/>
  <c r="AP100" i="22"/>
  <c r="AP122" i="22"/>
  <c r="AP156" i="22"/>
  <c r="AQ135" i="22"/>
  <c r="AQ137" i="22"/>
  <c r="AQ178" i="22"/>
  <c r="AQ166" i="22"/>
  <c r="AQ117" i="22"/>
  <c r="AQ179" i="22"/>
  <c r="AQ140" i="22"/>
  <c r="AQ101" i="22"/>
  <c r="AQ114" i="22"/>
  <c r="AQ170" i="22"/>
  <c r="AQ119" i="22"/>
  <c r="AQ156" i="22"/>
  <c r="AQ107" i="22"/>
  <c r="AQ104" i="22"/>
  <c r="AQ124" i="22"/>
  <c r="AQ120" i="22"/>
  <c r="AQ98" i="22"/>
  <c r="AQ105" i="22"/>
  <c r="AQ175" i="22"/>
  <c r="AQ106" i="22"/>
  <c r="AQ121" i="22"/>
  <c r="AQ115" i="22"/>
  <c r="AQ160" i="22"/>
  <c r="AQ109" i="22"/>
  <c r="AQ143" i="22"/>
  <c r="AQ147" i="22"/>
  <c r="AQ174" i="22"/>
  <c r="AQ123" i="22"/>
  <c r="AQ176" i="22"/>
  <c r="AQ99" i="22"/>
  <c r="AQ134" i="22"/>
  <c r="AQ102" i="22"/>
  <c r="AQ151" i="22"/>
  <c r="AQ154" i="22"/>
  <c r="AQ100" i="22"/>
  <c r="AQ129" i="22"/>
  <c r="AQ141" i="22"/>
  <c r="AQ161" i="22"/>
  <c r="AQ157" i="22"/>
  <c r="AQ111" i="22"/>
  <c r="AQ108" i="22"/>
  <c r="AQ103" i="22"/>
  <c r="AQ127" i="22"/>
  <c r="AQ125" i="22"/>
  <c r="AQ158" i="22"/>
  <c r="AQ132" i="22"/>
  <c r="AQ152" i="22"/>
  <c r="AQ128" i="22"/>
  <c r="AQ144" i="22"/>
  <c r="AQ162" i="22"/>
  <c r="AQ155" i="22"/>
  <c r="AQ150" i="22"/>
  <c r="AQ171" i="22"/>
  <c r="AQ165" i="22"/>
  <c r="AQ96" i="22"/>
  <c r="AQ97" i="22"/>
  <c r="AQ110" i="22"/>
  <c r="AQ136" i="22"/>
  <c r="AQ133" i="22"/>
  <c r="AQ164" i="22"/>
  <c r="AQ146" i="22"/>
  <c r="AQ168" i="22"/>
  <c r="AQ177" i="22"/>
  <c r="AQ116" i="22"/>
  <c r="AQ138" i="22"/>
  <c r="AQ131" i="22"/>
  <c r="AQ130" i="22"/>
  <c r="AQ139" i="22"/>
  <c r="AQ142" i="22"/>
  <c r="AQ148" i="22"/>
  <c r="AQ113" i="22"/>
  <c r="AQ159" i="22"/>
  <c r="AQ167" i="22"/>
  <c r="AQ172" i="22"/>
  <c r="AQ173" i="22"/>
  <c r="AQ145" i="22"/>
  <c r="AQ153" i="22"/>
  <c r="AQ163" i="22"/>
  <c r="AQ149" i="22"/>
  <c r="AQ112" i="22"/>
  <c r="AQ118" i="22"/>
  <c r="AQ126" i="22"/>
  <c r="AQ169" i="22"/>
  <c r="AQ122" i="22"/>
  <c r="AR160" i="22"/>
  <c r="AR159" i="22"/>
  <c r="AR140" i="22"/>
  <c r="AR148" i="22"/>
  <c r="AR134" i="22"/>
  <c r="AR120" i="22"/>
  <c r="AR114" i="22"/>
  <c r="AR100" i="22"/>
  <c r="AR171" i="22"/>
  <c r="AR158" i="22"/>
  <c r="AR168" i="22"/>
  <c r="AR118" i="22"/>
  <c r="AR110" i="22"/>
  <c r="AR145" i="22"/>
  <c r="AR174" i="22"/>
  <c r="AR132" i="22"/>
  <c r="AR109" i="22"/>
  <c r="AR111" i="22"/>
  <c r="AR170" i="22"/>
  <c r="AR116" i="22"/>
  <c r="AR138" i="22"/>
  <c r="AR119" i="22"/>
  <c r="AR167" i="22"/>
  <c r="AR97" i="22"/>
  <c r="AR146" i="22"/>
  <c r="AR153" i="22"/>
  <c r="AR99" i="22"/>
  <c r="AR152" i="22"/>
  <c r="AR106" i="22"/>
  <c r="AR166" i="22"/>
  <c r="AR135" i="22"/>
  <c r="AR142" i="22"/>
  <c r="AR102" i="22"/>
  <c r="AR98" i="22"/>
  <c r="AR147" i="22"/>
  <c r="AR150" i="22"/>
  <c r="AR124" i="22"/>
  <c r="AR117" i="22"/>
  <c r="AR105" i="22"/>
  <c r="AR143" i="22"/>
  <c r="AR121" i="22"/>
  <c r="AR104" i="22"/>
  <c r="AR175" i="22"/>
  <c r="AR149" i="22"/>
  <c r="AR151" i="22"/>
  <c r="AR123" i="22"/>
  <c r="AR127" i="22"/>
  <c r="AR156" i="22"/>
  <c r="AR115" i="22"/>
  <c r="AR133" i="22"/>
  <c r="AR125" i="22"/>
  <c r="AR155" i="22"/>
  <c r="AR139" i="22"/>
  <c r="AR178" i="22"/>
  <c r="AR172" i="22"/>
  <c r="AR108" i="22"/>
  <c r="AR107" i="22"/>
  <c r="AR96" i="22"/>
  <c r="AR144" i="22"/>
  <c r="AR162" i="22"/>
  <c r="AR136" i="22"/>
  <c r="AR154" i="22"/>
  <c r="AR176" i="22"/>
  <c r="AR122" i="22"/>
  <c r="AR112" i="22"/>
  <c r="AR103" i="22"/>
  <c r="AR163" i="22"/>
  <c r="AR165" i="22"/>
  <c r="AR141" i="22"/>
  <c r="AR169" i="22"/>
  <c r="AR137" i="22"/>
  <c r="AR161" i="22"/>
  <c r="AR128" i="22"/>
  <c r="AR130" i="22"/>
  <c r="AR179" i="22"/>
  <c r="AR177" i="22"/>
  <c r="AR131" i="22"/>
  <c r="AR101" i="22"/>
  <c r="AR164" i="22"/>
  <c r="AR113" i="22"/>
  <c r="AR157" i="22"/>
  <c r="AR129" i="22"/>
  <c r="AR173" i="22"/>
  <c r="AR126" i="22"/>
  <c r="AS153" i="22"/>
  <c r="AS105" i="22"/>
  <c r="AS136" i="22"/>
  <c r="AS144" i="22"/>
  <c r="AS170" i="22"/>
  <c r="AS118" i="22"/>
  <c r="AS138" i="22"/>
  <c r="AS167" i="22"/>
  <c r="AS171" i="22"/>
  <c r="AS117" i="22"/>
  <c r="AS122" i="22"/>
  <c r="AS155" i="22"/>
  <c r="AS114" i="22"/>
  <c r="AS103" i="22"/>
  <c r="AS130" i="22"/>
  <c r="AS154" i="22"/>
  <c r="AS106" i="22"/>
  <c r="AS145" i="22"/>
  <c r="AS176" i="22"/>
  <c r="AS135" i="22"/>
  <c r="AS110" i="22"/>
  <c r="AS123" i="22"/>
  <c r="AS134" i="22"/>
  <c r="AS100" i="22"/>
  <c r="AS141" i="22"/>
  <c r="AS129" i="22"/>
  <c r="AS148" i="22"/>
  <c r="AS107" i="22"/>
  <c r="AS124" i="22"/>
  <c r="AS120" i="22"/>
  <c r="AS172" i="22"/>
  <c r="AS102" i="22"/>
  <c r="AS152" i="22"/>
  <c r="AS127" i="22"/>
  <c r="AS158" i="22"/>
  <c r="AS140" i="22"/>
  <c r="AS137" i="22"/>
  <c r="AS175" i="22"/>
  <c r="AS142" i="22"/>
  <c r="AS151" i="22"/>
  <c r="AS178" i="22"/>
  <c r="AS133" i="22"/>
  <c r="AS165" i="22"/>
  <c r="AS149" i="22"/>
  <c r="AS96" i="22"/>
  <c r="AS156" i="22"/>
  <c r="AS131" i="22"/>
  <c r="AS132" i="22"/>
  <c r="AS101" i="22"/>
  <c r="AS169" i="22"/>
  <c r="AS157" i="22"/>
  <c r="AS166" i="22"/>
  <c r="AS177" i="22"/>
  <c r="AS143" i="22"/>
  <c r="AS112" i="22"/>
  <c r="AS179" i="22"/>
  <c r="AS111" i="22"/>
  <c r="AS119" i="22"/>
  <c r="AS121" i="22"/>
  <c r="AS162" i="22"/>
  <c r="AS147" i="22"/>
  <c r="AS98" i="22"/>
  <c r="AS116" i="22"/>
  <c r="AS97" i="22"/>
  <c r="AS159" i="22"/>
  <c r="AS113" i="22"/>
  <c r="AS173" i="22"/>
  <c r="AS115" i="22"/>
  <c r="AS104" i="22"/>
  <c r="AS164" i="22"/>
  <c r="AS163" i="22"/>
  <c r="AS109" i="22"/>
  <c r="AS126" i="22"/>
  <c r="AS108" i="22"/>
  <c r="AS146" i="22"/>
  <c r="AS99" i="22"/>
  <c r="AS161" i="22"/>
  <c r="AS125" i="22"/>
  <c r="AS174" i="22"/>
  <c r="AS139" i="22"/>
  <c r="AS150" i="22"/>
  <c r="AS160" i="22"/>
  <c r="AS128" i="22"/>
  <c r="AS168" i="22"/>
  <c r="AT171" i="22"/>
  <c r="AT115" i="22"/>
  <c r="AT149" i="22"/>
  <c r="AT110" i="22"/>
  <c r="AT119" i="22"/>
  <c r="AT128" i="22"/>
  <c r="AT134" i="22"/>
  <c r="AT145" i="22"/>
  <c r="AT144" i="22"/>
  <c r="AT108" i="22"/>
  <c r="AT117" i="22"/>
  <c r="AT139" i="22"/>
  <c r="AT167" i="22"/>
  <c r="AT133" i="22"/>
  <c r="AT127" i="22"/>
  <c r="AT146" i="22"/>
  <c r="AT107" i="22"/>
  <c r="AT174" i="22"/>
  <c r="AT97" i="22"/>
  <c r="AT112" i="22"/>
  <c r="AT101" i="22"/>
  <c r="AT124" i="22"/>
  <c r="AT111" i="22"/>
  <c r="AT104" i="22"/>
  <c r="AT170" i="22"/>
  <c r="AT152" i="22"/>
  <c r="AT156" i="22"/>
  <c r="AT169" i="22"/>
  <c r="AT147" i="22"/>
  <c r="AT157" i="22"/>
  <c r="AT142" i="22"/>
  <c r="AT118" i="22"/>
  <c r="AT172" i="22"/>
  <c r="AT137" i="22"/>
  <c r="AT138" i="22"/>
  <c r="AT116" i="22"/>
  <c r="AT131" i="22"/>
  <c r="AT163" i="22"/>
  <c r="AT135" i="22"/>
  <c r="AT96" i="22"/>
  <c r="AT125" i="22"/>
  <c r="AT160" i="22"/>
  <c r="AT175" i="22"/>
  <c r="AT179" i="22"/>
  <c r="AT106" i="22"/>
  <c r="AT136" i="22"/>
  <c r="AT148" i="22"/>
  <c r="AT103" i="22"/>
  <c r="AT140" i="22"/>
  <c r="AT176" i="22"/>
  <c r="AT130" i="22"/>
  <c r="AT154" i="22"/>
  <c r="AT129" i="22"/>
  <c r="AT159" i="22"/>
  <c r="AT151" i="22"/>
  <c r="AT164" i="22"/>
  <c r="AT178" i="22"/>
  <c r="AT161" i="22"/>
  <c r="AT114" i="22"/>
  <c r="AT162" i="22"/>
  <c r="AT102" i="22"/>
  <c r="AT177" i="22"/>
  <c r="AT121" i="22"/>
  <c r="AT166" i="22"/>
  <c r="AT126" i="22"/>
  <c r="AT120" i="22"/>
  <c r="AT173" i="22"/>
  <c r="AT150" i="22"/>
  <c r="AT155" i="22"/>
  <c r="AT122" i="22"/>
  <c r="AT168" i="22"/>
  <c r="AT132" i="22"/>
  <c r="AT123" i="22"/>
  <c r="AT165" i="22"/>
  <c r="AT153" i="22"/>
  <c r="AT100" i="22"/>
  <c r="AT105" i="22"/>
  <c r="AT99" i="22"/>
  <c r="AT113" i="22"/>
  <c r="AT143" i="22"/>
  <c r="AT158" i="22"/>
  <c r="AT141" i="22"/>
  <c r="AT98" i="22"/>
  <c r="AT109" i="22"/>
  <c r="AU154" i="22"/>
  <c r="AU164" i="22"/>
  <c r="AU125" i="22"/>
  <c r="AU144" i="22"/>
  <c r="AU147" i="22"/>
  <c r="AU169" i="22"/>
  <c r="AU150" i="22"/>
  <c r="AU114" i="22"/>
  <c r="AU168" i="22"/>
  <c r="AU148" i="22"/>
  <c r="AU145" i="22"/>
  <c r="AU133" i="22"/>
  <c r="AU107" i="22"/>
  <c r="AU119" i="22"/>
  <c r="AU126" i="22"/>
  <c r="AU152" i="22"/>
  <c r="AU151" i="22"/>
  <c r="AU103" i="22"/>
  <c r="AU165" i="22"/>
  <c r="AU98" i="22"/>
  <c r="AU97" i="22"/>
  <c r="AU109" i="22"/>
  <c r="AU104" i="22"/>
  <c r="AU146" i="22"/>
  <c r="AU111" i="22"/>
  <c r="AU139" i="22"/>
  <c r="AU121" i="22"/>
  <c r="AU124" i="22"/>
  <c r="AU176" i="22"/>
  <c r="AU142" i="22"/>
  <c r="AU96" i="22"/>
  <c r="AU100" i="22"/>
  <c r="AU123" i="22"/>
  <c r="AU99" i="22"/>
  <c r="AU178" i="22"/>
  <c r="AU158" i="22"/>
  <c r="AU172" i="22"/>
  <c r="AU120" i="22"/>
  <c r="AU136" i="22"/>
  <c r="AU106" i="22"/>
  <c r="AU160" i="22"/>
  <c r="AU174" i="22"/>
  <c r="AU163" i="22"/>
  <c r="AU161" i="22"/>
  <c r="AU175" i="22"/>
  <c r="AU153" i="22"/>
  <c r="AU162" i="22"/>
  <c r="AU127" i="22"/>
  <c r="AU155" i="22"/>
  <c r="AU118" i="22"/>
  <c r="AU132" i="22"/>
  <c r="AU135" i="22"/>
  <c r="AU149" i="22"/>
  <c r="AU173" i="22"/>
  <c r="AU156" i="22"/>
  <c r="AU113" i="22"/>
  <c r="AU177" i="22"/>
  <c r="AU116" i="22"/>
  <c r="AU112" i="22"/>
  <c r="AU105" i="22"/>
  <c r="AU157" i="22"/>
  <c r="AU137" i="22"/>
  <c r="AU159" i="22"/>
  <c r="AU128" i="22"/>
  <c r="AU140" i="22"/>
  <c r="AU138" i="22"/>
  <c r="AU171" i="22"/>
  <c r="AU108" i="22"/>
  <c r="AU110" i="22"/>
  <c r="AU131" i="22"/>
  <c r="AU179" i="22"/>
  <c r="AU130" i="22"/>
  <c r="AU115" i="22"/>
  <c r="AU122" i="22"/>
  <c r="AU129" i="22"/>
  <c r="AU170" i="22"/>
  <c r="AU141" i="22"/>
  <c r="AU166" i="22"/>
  <c r="AU102" i="22"/>
  <c r="AU143" i="22"/>
  <c r="AU134" i="22"/>
  <c r="AU101" i="22"/>
  <c r="AU167" i="22"/>
  <c r="AU117" i="22"/>
  <c r="AV113" i="22"/>
  <c r="AV152" i="22"/>
  <c r="AV133" i="22"/>
  <c r="AV127" i="22"/>
  <c r="AV111" i="22"/>
  <c r="AV105" i="22"/>
  <c r="AV101" i="22"/>
  <c r="AV122" i="22"/>
  <c r="AV114" i="22"/>
  <c r="AV96" i="22"/>
  <c r="AV164" i="22"/>
  <c r="AV170" i="22"/>
  <c r="AV97" i="22"/>
  <c r="AV140" i="22"/>
  <c r="AV176" i="22"/>
  <c r="AV165" i="22"/>
  <c r="AV166" i="22"/>
  <c r="AV120" i="22"/>
  <c r="AV150" i="22"/>
  <c r="AV154" i="22"/>
  <c r="AV169" i="22"/>
  <c r="AV126" i="22"/>
  <c r="AV156" i="22"/>
  <c r="AV130" i="22"/>
  <c r="AV119" i="22"/>
  <c r="AV134" i="22"/>
  <c r="AV160" i="22"/>
  <c r="AV151" i="22"/>
  <c r="AV118" i="22"/>
  <c r="AV138" i="22"/>
  <c r="AV144" i="22"/>
  <c r="AV103" i="22"/>
  <c r="AV108" i="22"/>
  <c r="AV128" i="22"/>
  <c r="AV157" i="22"/>
  <c r="AV137" i="22"/>
  <c r="AV168" i="22"/>
  <c r="AV109" i="22"/>
  <c r="AV153" i="22"/>
  <c r="AV110" i="22"/>
  <c r="AV135" i="22"/>
  <c r="AV141" i="22"/>
  <c r="AV124" i="22"/>
  <c r="AV139" i="22"/>
  <c r="AV178" i="22"/>
  <c r="AV162" i="22"/>
  <c r="AV142" i="22"/>
  <c r="AV106" i="22"/>
  <c r="AV172" i="22"/>
  <c r="AV121" i="22"/>
  <c r="AV102" i="22"/>
  <c r="AV148" i="22"/>
  <c r="AV107" i="22"/>
  <c r="AV171" i="22"/>
  <c r="AV131" i="22"/>
  <c r="AV136" i="22"/>
  <c r="AV161" i="22"/>
  <c r="AV104" i="22"/>
  <c r="AV145" i="22"/>
  <c r="AV129" i="22"/>
  <c r="AV99" i="22"/>
  <c r="AV163" i="22"/>
  <c r="AV155" i="22"/>
  <c r="AV117" i="22"/>
  <c r="AV174" i="22"/>
  <c r="AV158" i="22"/>
  <c r="AV125" i="22"/>
  <c r="AV123" i="22"/>
  <c r="AV116" i="22"/>
  <c r="AV149" i="22"/>
  <c r="AV98" i="22"/>
  <c r="AV159" i="22"/>
  <c r="AV173" i="22"/>
  <c r="AV147" i="22"/>
  <c r="AV167" i="22"/>
  <c r="AV175" i="22"/>
  <c r="AV177" i="22"/>
  <c r="AV132" i="22"/>
  <c r="AV100" i="22"/>
  <c r="AV112" i="22"/>
  <c r="AV179" i="22"/>
  <c r="AV146" i="22"/>
  <c r="AV143" i="22"/>
  <c r="AV115" i="22"/>
  <c r="AW146" i="22"/>
  <c r="AW101" i="22"/>
  <c r="AW105" i="22"/>
  <c r="AW106" i="22"/>
  <c r="AW112" i="22"/>
  <c r="AW120" i="22"/>
  <c r="AW129" i="22"/>
  <c r="AW110" i="22"/>
  <c r="AW144" i="22"/>
  <c r="AW158" i="22"/>
  <c r="AW127" i="22"/>
  <c r="AW163" i="22"/>
  <c r="AW167" i="22"/>
  <c r="AW154" i="22"/>
  <c r="AW123" i="22"/>
  <c r="AW119" i="22"/>
  <c r="AW138" i="22"/>
  <c r="AW116" i="22"/>
  <c r="AW152" i="22"/>
  <c r="AW178" i="22"/>
  <c r="AW108" i="22"/>
  <c r="AW149" i="22"/>
  <c r="AW164" i="22"/>
  <c r="AW161" i="22"/>
  <c r="AW155" i="22"/>
  <c r="AW113" i="22"/>
  <c r="AW150" i="22"/>
  <c r="AW156" i="22"/>
  <c r="AW115" i="22"/>
  <c r="AW131" i="22"/>
  <c r="AW135" i="22"/>
  <c r="AW111" i="22"/>
  <c r="AW162" i="22"/>
  <c r="AW98" i="22"/>
  <c r="AW179" i="22"/>
  <c r="AW170" i="22"/>
  <c r="AW148" i="22"/>
  <c r="AW104" i="22"/>
  <c r="AW122" i="22"/>
  <c r="AW132" i="22"/>
  <c r="AW103" i="22"/>
  <c r="AW171" i="22"/>
  <c r="AW153" i="22"/>
  <c r="AW134" i="22"/>
  <c r="AW169" i="22"/>
  <c r="AW136" i="22"/>
  <c r="AW114" i="22"/>
  <c r="AW126" i="22"/>
  <c r="AW124" i="22"/>
  <c r="AW166" i="22"/>
  <c r="AW173" i="22"/>
  <c r="AW141" i="22"/>
  <c r="AW96" i="22"/>
  <c r="AW99" i="22"/>
  <c r="AW145" i="22"/>
  <c r="AW133" i="22"/>
  <c r="AW168" i="22"/>
  <c r="AW107" i="22"/>
  <c r="AW157" i="22"/>
  <c r="AW121" i="22"/>
  <c r="AW137" i="22"/>
  <c r="AW100" i="22"/>
  <c r="AW139" i="22"/>
  <c r="AW165" i="22"/>
  <c r="AW159" i="22"/>
  <c r="AW102" i="22"/>
  <c r="AW172" i="22"/>
  <c r="AW128" i="22"/>
  <c r="AW160" i="22"/>
  <c r="AW140" i="22"/>
  <c r="AW177" i="22"/>
  <c r="AW125" i="22"/>
  <c r="AW117" i="22"/>
  <c r="AW97" i="22"/>
  <c r="AW142" i="22"/>
  <c r="AW109" i="22"/>
  <c r="AW118" i="22"/>
  <c r="AW174" i="22"/>
  <c r="AW147" i="22"/>
  <c r="AW176" i="22"/>
  <c r="AW130" i="22"/>
  <c r="AW175" i="22"/>
  <c r="AW143" i="22"/>
  <c r="AW151" i="22"/>
  <c r="AX105" i="22"/>
  <c r="AX155" i="22"/>
  <c r="AX176" i="22"/>
  <c r="AX145" i="22"/>
  <c r="AX106" i="22"/>
  <c r="AX137" i="22"/>
  <c r="AX135" i="22"/>
  <c r="AX169" i="22"/>
  <c r="AX160" i="22"/>
  <c r="AX119" i="22"/>
  <c r="AX173" i="22"/>
  <c r="AX130" i="22"/>
  <c r="AX128" i="22"/>
  <c r="AX113" i="22"/>
  <c r="AX142" i="22"/>
  <c r="AX152" i="22"/>
  <c r="AX118" i="22"/>
  <c r="AX109" i="22"/>
  <c r="AX141" i="22"/>
  <c r="AX165" i="22"/>
  <c r="AX172" i="22"/>
  <c r="AX167" i="22"/>
  <c r="AX107" i="22"/>
  <c r="AX154" i="22"/>
  <c r="AX174" i="22"/>
  <c r="AX166" i="22"/>
  <c r="AX131" i="22"/>
  <c r="AX149" i="22"/>
  <c r="AX125" i="22"/>
  <c r="AX156" i="22"/>
  <c r="AX129" i="22"/>
  <c r="AX124" i="22"/>
  <c r="AX153" i="22"/>
  <c r="AX171" i="22"/>
  <c r="AX178" i="22"/>
  <c r="AX159" i="22"/>
  <c r="AX111" i="22"/>
  <c r="AX98" i="22"/>
  <c r="AX157" i="22"/>
  <c r="AX134" i="22"/>
  <c r="AX144" i="22"/>
  <c r="AX117" i="22"/>
  <c r="AX170" i="22"/>
  <c r="AX151" i="22"/>
  <c r="AX100" i="22"/>
  <c r="AX99" i="22"/>
  <c r="AX127" i="22"/>
  <c r="AX104" i="22"/>
  <c r="AX146" i="22"/>
  <c r="AX139" i="22"/>
  <c r="AX97" i="22"/>
  <c r="AX126" i="22"/>
  <c r="AX143" i="22"/>
  <c r="AX132" i="22"/>
  <c r="AX162" i="22"/>
  <c r="AX102" i="22"/>
  <c r="AX123" i="22"/>
  <c r="AX140" i="22"/>
  <c r="AX179" i="22"/>
  <c r="AX138" i="22"/>
  <c r="AX121" i="22"/>
  <c r="AX150" i="22"/>
  <c r="AX96" i="22"/>
  <c r="AX175" i="22"/>
  <c r="AX101" i="22"/>
  <c r="AX158" i="22"/>
  <c r="AX103" i="22"/>
  <c r="AX136" i="22"/>
  <c r="AX114" i="22"/>
  <c r="AX110" i="22"/>
  <c r="AX122" i="22"/>
  <c r="AX168" i="22"/>
  <c r="AX177" i="22"/>
  <c r="AX163" i="22"/>
  <c r="AX108" i="22"/>
  <c r="AX133" i="22"/>
  <c r="AX148" i="22"/>
  <c r="AX115" i="22"/>
  <c r="AX120" i="22"/>
  <c r="AX112" i="22"/>
  <c r="AX116" i="22"/>
  <c r="AX147" i="22"/>
  <c r="AX161" i="22"/>
  <c r="AX164" i="22"/>
  <c r="AY115" i="22"/>
  <c r="AY140" i="22"/>
  <c r="AY141" i="22"/>
  <c r="AY171" i="22"/>
  <c r="AY106" i="22"/>
  <c r="AY163" i="22"/>
  <c r="AY167" i="22"/>
  <c r="AY105" i="22"/>
  <c r="AY138" i="22"/>
  <c r="AY127" i="22"/>
  <c r="AY146" i="22"/>
  <c r="AY110" i="22"/>
  <c r="AY108" i="22"/>
  <c r="AY159" i="22"/>
  <c r="AY131" i="22"/>
  <c r="AY109" i="22"/>
  <c r="AY112" i="22"/>
  <c r="AY157" i="22"/>
  <c r="AY164" i="22"/>
  <c r="AY123" i="22"/>
  <c r="AY166" i="22"/>
  <c r="AY107" i="22"/>
  <c r="AY129" i="22"/>
  <c r="AY173" i="22"/>
  <c r="AY168" i="22"/>
  <c r="AY162" i="22"/>
  <c r="AY103" i="22"/>
  <c r="AY122" i="22"/>
  <c r="AY139" i="22"/>
  <c r="AY134" i="22"/>
  <c r="AY114" i="22"/>
  <c r="AY170" i="22"/>
  <c r="AY151" i="22"/>
  <c r="AY156" i="22"/>
  <c r="AY113" i="22"/>
  <c r="AY118" i="22"/>
  <c r="AY176" i="22"/>
  <c r="AY104" i="22"/>
  <c r="AY158" i="22"/>
  <c r="AY117" i="22"/>
  <c r="AY98" i="22"/>
  <c r="AY120" i="22"/>
  <c r="AY154" i="22"/>
  <c r="AY172" i="22"/>
  <c r="AY148" i="22"/>
  <c r="AY96" i="22"/>
  <c r="AY174" i="22"/>
  <c r="AY177" i="22"/>
  <c r="AY143" i="22"/>
  <c r="AY101" i="22"/>
  <c r="AY116" i="22"/>
  <c r="AY142" i="22"/>
  <c r="AY102" i="22"/>
  <c r="AY124" i="22"/>
  <c r="AY99" i="22"/>
  <c r="AY126" i="22"/>
  <c r="AY97" i="22"/>
  <c r="AY136" i="22"/>
  <c r="AY145" i="22"/>
  <c r="AY147" i="22"/>
  <c r="AY133" i="22"/>
  <c r="AY165" i="22"/>
  <c r="AY130" i="22"/>
  <c r="AY111" i="22"/>
  <c r="AY121" i="22"/>
  <c r="AY149" i="22"/>
  <c r="AY178" i="22"/>
  <c r="AY144" i="22"/>
  <c r="AY100" i="22"/>
  <c r="AY135" i="22"/>
  <c r="AY152" i="22"/>
  <c r="AY175" i="22"/>
  <c r="AY137" i="22"/>
  <c r="AY132" i="22"/>
  <c r="AY128" i="22"/>
  <c r="AY150" i="22"/>
  <c r="AY119" i="22"/>
  <c r="AY179" i="22"/>
  <c r="AY161" i="22"/>
  <c r="AY125" i="22"/>
  <c r="AY160" i="22"/>
  <c r="AY153" i="22"/>
  <c r="AY155" i="22"/>
  <c r="AY169" i="22"/>
  <c r="AZ132" i="22"/>
  <c r="AZ159" i="22"/>
  <c r="AZ176" i="22"/>
  <c r="AZ102" i="22"/>
  <c r="AZ154" i="22"/>
  <c r="AZ162" i="22"/>
  <c r="AZ109" i="22"/>
  <c r="AZ171" i="22"/>
  <c r="AZ160" i="22"/>
  <c r="AZ113" i="22"/>
  <c r="AZ143" i="22"/>
  <c r="AZ112" i="22"/>
  <c r="AZ157" i="22"/>
  <c r="AZ114" i="22"/>
  <c r="AZ161" i="22"/>
  <c r="AZ96" i="22"/>
  <c r="AZ103" i="22"/>
  <c r="AZ100" i="22"/>
  <c r="AZ139" i="22"/>
  <c r="AZ135" i="22"/>
  <c r="AZ158" i="22"/>
  <c r="AZ140" i="22"/>
  <c r="AZ172" i="22"/>
  <c r="AZ121" i="22"/>
  <c r="AZ115" i="22"/>
  <c r="AZ155" i="22"/>
  <c r="AZ122" i="22"/>
  <c r="AZ175" i="22"/>
  <c r="AZ148" i="22"/>
  <c r="AZ165" i="22"/>
  <c r="AZ142" i="22"/>
  <c r="AZ129" i="22"/>
  <c r="AZ146" i="22"/>
  <c r="AZ133" i="22"/>
  <c r="AZ126" i="22"/>
  <c r="AZ110" i="22"/>
  <c r="AZ120" i="22"/>
  <c r="AZ127" i="22"/>
  <c r="AZ152" i="22"/>
  <c r="AZ108" i="22"/>
  <c r="AZ163" i="22"/>
  <c r="AZ173" i="22"/>
  <c r="AZ141" i="22"/>
  <c r="AZ151" i="22"/>
  <c r="AZ128" i="22"/>
  <c r="AZ178" i="22"/>
  <c r="AZ164" i="22"/>
  <c r="AZ118" i="22"/>
  <c r="AZ123" i="22"/>
  <c r="AZ134" i="22"/>
  <c r="AZ104" i="22"/>
  <c r="AZ168" i="22"/>
  <c r="AZ125" i="22"/>
  <c r="AZ179" i="22"/>
  <c r="AZ137" i="22"/>
  <c r="AZ149" i="22"/>
  <c r="AZ147" i="22"/>
  <c r="AZ145" i="22"/>
  <c r="AZ130" i="22"/>
  <c r="AZ131" i="22"/>
  <c r="AZ116" i="22"/>
  <c r="AZ101" i="22"/>
  <c r="AZ177" i="22"/>
  <c r="AZ97" i="22"/>
  <c r="AZ98" i="22"/>
  <c r="AZ117" i="22"/>
  <c r="AZ99" i="22"/>
  <c r="AZ167" i="22"/>
  <c r="AZ111" i="22"/>
  <c r="AZ156" i="22"/>
  <c r="AZ153" i="22"/>
  <c r="AZ105" i="22"/>
  <c r="AZ124" i="22"/>
  <c r="AZ107" i="22"/>
  <c r="AZ150" i="22"/>
  <c r="AZ174" i="22"/>
  <c r="AZ169" i="22"/>
  <c r="AZ138" i="22"/>
  <c r="AZ136" i="22"/>
  <c r="AZ166" i="22"/>
  <c r="AZ144" i="22"/>
  <c r="AZ170" i="22"/>
  <c r="AZ119" i="22"/>
  <c r="AZ106" i="22"/>
  <c r="BA157" i="22"/>
  <c r="BA177" i="22"/>
  <c r="BA96" i="22"/>
  <c r="BA150" i="22"/>
  <c r="BA169" i="22"/>
  <c r="BA123" i="22"/>
  <c r="BA163" i="22"/>
  <c r="BA132" i="22"/>
  <c r="BA158" i="22"/>
  <c r="BA122" i="22"/>
  <c r="BA129" i="22"/>
  <c r="BA178" i="22"/>
  <c r="BA172" i="22"/>
  <c r="BA131" i="22"/>
  <c r="BA142" i="22"/>
  <c r="BA167" i="22"/>
  <c r="BA162" i="22"/>
  <c r="BA170" i="22"/>
  <c r="BA127" i="22"/>
  <c r="BA114" i="22"/>
  <c r="BA166" i="22"/>
  <c r="BA152" i="22"/>
  <c r="BA121" i="22"/>
  <c r="BA175" i="22"/>
  <c r="BA109" i="22"/>
  <c r="BA143" i="22"/>
  <c r="BA176" i="22"/>
  <c r="BA108" i="22"/>
  <c r="BA124" i="22"/>
  <c r="BA156" i="22"/>
  <c r="BA151" i="22"/>
  <c r="BA154" i="22"/>
  <c r="BA99" i="22"/>
  <c r="BA168" i="22"/>
  <c r="BA110" i="22"/>
  <c r="BA171" i="22"/>
  <c r="BA102" i="22"/>
  <c r="BA153" i="22"/>
  <c r="BA145" i="22"/>
  <c r="BA144" i="22"/>
  <c r="BA161" i="22"/>
  <c r="BA119" i="22"/>
  <c r="BA117" i="22"/>
  <c r="BA133" i="22"/>
  <c r="BA103" i="22"/>
  <c r="BA113" i="22"/>
  <c r="BA159" i="22"/>
  <c r="BA128" i="22"/>
  <c r="BA174" i="22"/>
  <c r="BA120" i="22"/>
  <c r="BA100" i="22"/>
  <c r="BA138" i="22"/>
  <c r="BA104" i="22"/>
  <c r="BA106" i="22"/>
  <c r="BA134" i="22"/>
  <c r="BA116" i="22"/>
  <c r="BA105" i="22"/>
  <c r="BA112" i="22"/>
  <c r="BA148" i="22"/>
  <c r="BA160" i="22"/>
  <c r="BA146" i="22"/>
  <c r="BA179" i="22"/>
  <c r="BA101" i="22"/>
  <c r="BA164" i="22"/>
  <c r="BA147" i="22"/>
  <c r="BA130" i="22"/>
  <c r="BA139" i="22"/>
  <c r="BA111" i="22"/>
  <c r="BA173" i="22"/>
  <c r="BA135" i="22"/>
  <c r="BA118" i="22"/>
  <c r="BA136" i="22"/>
  <c r="BA126" i="22"/>
  <c r="BA140" i="22"/>
  <c r="BA115" i="22"/>
  <c r="BA149" i="22"/>
  <c r="BA165" i="22"/>
  <c r="BA155" i="22"/>
  <c r="BA137" i="22"/>
  <c r="BA98" i="22"/>
  <c r="BA125" i="22"/>
  <c r="BA107" i="22"/>
  <c r="BA141" i="22"/>
  <c r="BA97" i="22"/>
  <c r="BB130" i="22"/>
  <c r="BB128" i="22"/>
  <c r="BB174" i="22"/>
  <c r="BB117" i="22"/>
  <c r="BB113" i="22"/>
  <c r="BB136" i="22"/>
  <c r="BB110" i="22"/>
  <c r="BB172" i="22"/>
  <c r="BB151" i="22"/>
  <c r="BB116" i="22"/>
  <c r="BB170" i="22"/>
  <c r="BB143" i="22"/>
  <c r="BB171" i="22"/>
  <c r="BB127" i="22"/>
  <c r="BB147" i="22"/>
  <c r="BB149" i="22"/>
  <c r="BB167" i="22"/>
  <c r="BB161" i="22"/>
  <c r="BB96" i="22"/>
  <c r="BB153" i="22"/>
  <c r="BB179" i="22"/>
  <c r="BB162" i="22"/>
  <c r="BB145" i="22"/>
  <c r="BB106" i="22"/>
  <c r="BB148" i="22"/>
  <c r="BB178" i="22"/>
  <c r="BB135" i="22"/>
  <c r="BB121" i="22"/>
  <c r="BB129" i="22"/>
  <c r="BB152" i="22"/>
  <c r="BB166" i="22"/>
  <c r="BB105" i="22"/>
  <c r="BB123" i="22"/>
  <c r="BB102" i="22"/>
  <c r="BB142" i="22"/>
  <c r="BB144" i="22"/>
  <c r="BB133" i="22"/>
  <c r="BB111" i="22"/>
  <c r="BB115" i="22"/>
  <c r="BB107" i="22"/>
  <c r="BB160" i="22"/>
  <c r="BB164" i="22"/>
  <c r="BB100" i="22"/>
  <c r="BB165" i="22"/>
  <c r="BB109" i="22"/>
  <c r="BB159" i="22"/>
  <c r="BB120" i="22"/>
  <c r="BB158" i="22"/>
  <c r="BB114" i="22"/>
  <c r="BB101" i="22"/>
  <c r="BB108" i="22"/>
  <c r="BB138" i="22"/>
  <c r="BB150" i="22"/>
  <c r="BB118" i="22"/>
  <c r="BB119" i="22"/>
  <c r="BB132" i="22"/>
  <c r="BB140" i="22"/>
  <c r="BB155" i="22"/>
  <c r="BB97" i="22"/>
  <c r="BB139" i="22"/>
  <c r="BB104" i="22"/>
  <c r="BB175" i="22"/>
  <c r="BB173" i="22"/>
  <c r="BB163" i="22"/>
  <c r="BB157" i="22"/>
  <c r="BB103" i="22"/>
  <c r="BB112" i="22"/>
  <c r="BB125" i="22"/>
  <c r="BB131" i="22"/>
  <c r="BB156" i="22"/>
  <c r="BB141" i="22"/>
  <c r="BB146" i="22"/>
  <c r="BB176" i="22"/>
  <c r="BB126" i="22"/>
  <c r="BB154" i="22"/>
  <c r="BB134" i="22"/>
  <c r="BB137" i="22"/>
  <c r="BB122" i="22"/>
  <c r="BB99" i="22"/>
  <c r="BB124" i="22"/>
  <c r="BB98" i="22"/>
  <c r="BB168" i="22"/>
  <c r="BB169" i="22"/>
  <c r="BB177" i="22"/>
  <c r="BC169" i="22"/>
  <c r="BC153" i="22"/>
  <c r="BC118" i="22"/>
  <c r="BC170" i="22"/>
  <c r="BC150" i="22"/>
  <c r="BC151" i="22"/>
  <c r="BC124" i="22"/>
  <c r="BC146" i="22"/>
  <c r="BC139" i="22"/>
  <c r="BC107" i="22"/>
  <c r="BC138" i="22"/>
  <c r="BC101" i="22"/>
  <c r="BC133" i="22"/>
  <c r="BC120" i="22"/>
  <c r="BC125" i="22"/>
  <c r="BC99" i="22"/>
  <c r="BC98" i="22"/>
  <c r="BC140" i="22"/>
  <c r="BC162" i="22"/>
  <c r="BC177" i="22"/>
  <c r="BC102" i="22"/>
  <c r="BC160" i="22"/>
  <c r="BC106" i="22"/>
  <c r="BC176" i="22"/>
  <c r="BC121" i="22"/>
  <c r="BC141" i="22"/>
  <c r="BC168" i="22"/>
  <c r="BC131" i="22"/>
  <c r="BC173" i="22"/>
  <c r="BC130" i="22"/>
  <c r="BC167" i="22"/>
  <c r="BC159" i="22"/>
  <c r="BC145" i="22"/>
  <c r="BC109" i="22"/>
  <c r="BC158" i="22"/>
  <c r="BC135" i="22"/>
  <c r="BC156" i="22"/>
  <c r="BC178" i="22"/>
  <c r="BC136" i="22"/>
  <c r="BC152" i="22"/>
  <c r="BC171" i="22"/>
  <c r="BC97" i="22"/>
  <c r="BC105" i="22"/>
  <c r="BC119" i="22"/>
  <c r="BC100" i="22"/>
  <c r="BC112" i="22"/>
  <c r="BC155" i="22"/>
  <c r="BC103" i="22"/>
  <c r="BC175" i="22"/>
  <c r="BC129" i="22"/>
  <c r="BC143" i="22"/>
  <c r="BC123" i="22"/>
  <c r="BC147" i="22"/>
  <c r="BC128" i="22"/>
  <c r="BC104" i="22"/>
  <c r="BC166" i="22"/>
  <c r="BC142" i="22"/>
  <c r="BC115" i="22"/>
  <c r="BC132" i="22"/>
  <c r="BC114" i="22"/>
  <c r="BC154" i="22"/>
  <c r="BC161" i="22"/>
  <c r="BC113" i="22"/>
  <c r="BC165" i="22"/>
  <c r="BC137" i="22"/>
  <c r="BC111" i="22"/>
  <c r="BC148" i="22"/>
  <c r="BC126" i="22"/>
  <c r="BC149" i="22"/>
  <c r="BC108" i="22"/>
  <c r="BC110" i="22"/>
  <c r="BC122" i="22"/>
  <c r="BC117" i="22"/>
  <c r="BC134" i="22"/>
  <c r="BC179" i="22"/>
  <c r="BC163" i="22"/>
  <c r="BC157" i="22"/>
  <c r="BC96" i="22"/>
  <c r="BC172" i="22"/>
  <c r="BC116" i="22"/>
  <c r="BC144" i="22"/>
  <c r="BC127" i="22"/>
  <c r="BC164" i="22"/>
  <c r="BC174" i="22"/>
  <c r="BD134" i="22"/>
  <c r="BD136" i="22"/>
  <c r="BD143" i="22"/>
  <c r="BD104" i="22"/>
  <c r="BD172" i="22"/>
  <c r="BD148" i="22"/>
  <c r="BD124" i="22"/>
  <c r="BD106" i="22"/>
  <c r="BD152" i="22"/>
  <c r="BD151" i="22"/>
  <c r="BD121" i="22"/>
  <c r="BD144" i="22"/>
  <c r="BD141" i="22"/>
  <c r="BD113" i="22"/>
  <c r="BD102" i="22"/>
  <c r="BD107" i="22"/>
  <c r="BD115" i="22"/>
  <c r="BD173" i="22"/>
  <c r="BD153" i="22"/>
  <c r="BD116" i="22"/>
  <c r="BD105" i="22"/>
  <c r="BD114" i="22"/>
  <c r="BD178" i="22"/>
  <c r="BD157" i="22"/>
  <c r="BD109" i="22"/>
  <c r="BD125" i="22"/>
  <c r="BD162" i="22"/>
  <c r="BD108" i="22"/>
  <c r="BD122" i="22"/>
  <c r="BD156" i="22"/>
  <c r="BD127" i="22"/>
  <c r="BD132" i="22"/>
  <c r="BD131" i="22"/>
  <c r="BD159" i="22"/>
  <c r="BD99" i="22"/>
  <c r="BD128" i="22"/>
  <c r="BD147" i="22"/>
  <c r="BD110" i="22"/>
  <c r="BD138" i="22"/>
  <c r="BD154" i="22"/>
  <c r="BD139" i="22"/>
  <c r="BD171" i="22"/>
  <c r="BD165" i="22"/>
  <c r="BD146" i="22"/>
  <c r="BD137" i="22"/>
  <c r="BD117" i="22"/>
  <c r="BD161" i="22"/>
  <c r="BD98" i="22"/>
  <c r="BD133" i="22"/>
  <c r="BD155" i="22"/>
  <c r="BD163" i="22"/>
  <c r="BD158" i="22"/>
  <c r="BD170" i="22"/>
  <c r="BD168" i="22"/>
  <c r="BD140" i="22"/>
  <c r="BD177" i="22"/>
  <c r="BD126" i="22"/>
  <c r="BD111" i="22"/>
  <c r="BD118" i="22"/>
  <c r="BD149" i="22"/>
  <c r="BD97" i="22"/>
  <c r="BD150" i="22"/>
  <c r="BD101" i="22"/>
  <c r="BD100" i="22"/>
  <c r="BD103" i="22"/>
  <c r="BD120" i="22"/>
  <c r="BD112" i="22"/>
  <c r="BD130" i="22"/>
  <c r="BD123" i="22"/>
  <c r="BD167" i="22"/>
  <c r="BD166" i="22"/>
  <c r="BD142" i="22"/>
  <c r="BD176" i="22"/>
  <c r="BD179" i="22"/>
  <c r="BD129" i="22"/>
  <c r="BD175" i="22"/>
  <c r="BD164" i="22"/>
  <c r="BD160" i="22"/>
  <c r="BD145" i="22"/>
  <c r="BD174" i="22"/>
  <c r="BD135" i="22"/>
  <c r="BD119" i="22"/>
  <c r="BD96" i="22"/>
  <c r="BD169" i="22"/>
  <c r="BI177" i="22"/>
  <c r="BI161" i="22"/>
  <c r="BI145" i="22"/>
  <c r="BI129" i="22"/>
  <c r="BI113" i="22"/>
  <c r="BI98" i="22"/>
  <c r="BI164" i="22"/>
  <c r="BI148" i="22"/>
  <c r="BI132" i="22"/>
  <c r="BI116" i="22"/>
  <c r="BI100" i="22"/>
  <c r="BH120" i="22"/>
  <c r="BE123" i="22"/>
  <c r="BF156" i="22"/>
  <c r="BG158" i="22"/>
  <c r="BG138" i="22"/>
  <c r="BH150" i="22"/>
  <c r="BE106" i="22"/>
  <c r="BE158" i="22"/>
  <c r="BG144" i="22"/>
  <c r="BG167" i="22"/>
  <c r="BH148" i="22"/>
  <c r="BF141" i="22"/>
  <c r="BG164" i="22"/>
  <c r="BE98" i="22"/>
  <c r="BE124" i="22"/>
  <c r="BF135" i="22"/>
  <c r="BH114" i="22"/>
  <c r="BG96" i="22"/>
  <c r="BG162" i="22"/>
  <c r="BE141" i="22"/>
  <c r="BE103" i="22"/>
  <c r="BH144" i="22"/>
  <c r="BF134" i="22"/>
  <c r="BF100" i="22"/>
  <c r="BG141" i="22"/>
  <c r="BF163" i="22"/>
  <c r="BE142" i="22"/>
  <c r="BH126" i="22"/>
  <c r="BG150" i="22"/>
  <c r="BG130" i="22"/>
  <c r="BF155" i="22"/>
  <c r="BE163" i="22"/>
  <c r="BH124" i="22"/>
  <c r="BE121" i="22"/>
  <c r="BG159" i="22"/>
  <c r="BF120" i="22"/>
  <c r="BE166" i="22"/>
  <c r="BH159" i="22"/>
  <c r="BG118" i="22"/>
  <c r="BG97" i="22"/>
  <c r="BF98" i="22"/>
  <c r="BF122" i="22"/>
  <c r="BI175" i="22"/>
  <c r="BI159" i="22"/>
  <c r="BI143" i="22"/>
  <c r="BI127" i="22"/>
  <c r="BI111" i="22"/>
  <c r="BI178" i="22"/>
  <c r="BI162" i="22"/>
  <c r="BI146" i="22"/>
  <c r="BI130" i="22"/>
  <c r="BI114" i="22"/>
  <c r="BI97" i="22"/>
  <c r="BH104" i="22"/>
  <c r="BG147" i="22"/>
  <c r="BE165" i="22"/>
  <c r="BE100" i="22"/>
  <c r="BF150" i="22"/>
  <c r="BH134" i="22"/>
  <c r="BF165" i="22"/>
  <c r="BF133" i="22"/>
  <c r="BE122" i="22"/>
  <c r="BG122" i="22"/>
  <c r="BH132" i="22"/>
  <c r="BF130" i="22"/>
  <c r="BE116" i="22"/>
  <c r="BG173" i="22"/>
  <c r="BG156" i="22"/>
  <c r="BE164" i="22"/>
  <c r="BH175" i="22"/>
  <c r="BE104" i="22"/>
  <c r="BG157" i="22"/>
  <c r="BG140" i="22"/>
  <c r="BE114" i="22"/>
  <c r="BH128" i="22"/>
  <c r="BE156" i="22"/>
  <c r="BE150" i="22"/>
  <c r="BF175" i="22"/>
  <c r="BG169" i="22"/>
  <c r="BE167" i="22"/>
  <c r="BH110" i="22"/>
  <c r="BE119" i="22"/>
  <c r="BE126" i="22"/>
  <c r="BF132" i="22"/>
  <c r="BE159" i="22"/>
  <c r="BH108" i="22"/>
  <c r="BG179" i="22"/>
  <c r="BG114" i="22"/>
  <c r="BE129" i="22"/>
  <c r="BH149" i="22"/>
  <c r="BH109" i="22"/>
  <c r="BE173" i="22"/>
  <c r="BF152" i="22"/>
  <c r="BG174" i="22"/>
  <c r="BF99" i="22"/>
  <c r="BI173" i="22"/>
  <c r="BI157" i="22"/>
  <c r="BI141" i="22"/>
  <c r="BI125" i="22"/>
  <c r="BI109" i="22"/>
  <c r="BI176" i="22"/>
  <c r="BI160" i="22"/>
  <c r="BI144" i="22"/>
  <c r="BI128" i="22"/>
  <c r="BI112" i="22"/>
  <c r="BI99" i="22"/>
  <c r="BH157" i="22"/>
  <c r="BG102" i="22"/>
  <c r="BE176" i="22"/>
  <c r="BF178" i="22"/>
  <c r="BF146" i="22"/>
  <c r="BH118" i="22"/>
  <c r="BF161" i="22"/>
  <c r="BE136" i="22"/>
  <c r="BG142" i="22"/>
  <c r="BE109" i="22"/>
  <c r="BH116" i="22"/>
  <c r="BF126" i="22"/>
  <c r="BE175" i="22"/>
  <c r="BG128" i="22"/>
  <c r="BF173" i="22"/>
  <c r="BH173" i="22"/>
  <c r="BH139" i="22"/>
  <c r="BF153" i="22"/>
  <c r="BG112" i="22"/>
  <c r="BF138" i="22"/>
  <c r="BF131" i="22"/>
  <c r="BH112" i="22"/>
  <c r="BG166" i="22"/>
  <c r="BE154" i="22"/>
  <c r="BF136" i="22"/>
  <c r="BG124" i="22"/>
  <c r="BE132" i="22"/>
  <c r="BH163" i="22"/>
  <c r="BE139" i="22"/>
  <c r="BF113" i="22"/>
  <c r="BF128" i="22"/>
  <c r="BE127" i="22"/>
  <c r="BH161" i="22"/>
  <c r="BG134" i="22"/>
  <c r="BG109" i="22"/>
  <c r="BG137" i="22"/>
  <c r="BH129" i="22"/>
  <c r="BH131" i="22"/>
  <c r="BF96" i="22"/>
  <c r="BF164" i="22"/>
  <c r="BE102" i="22"/>
  <c r="BF177" i="22"/>
  <c r="BI171" i="22"/>
  <c r="BI155" i="22"/>
  <c r="BI139" i="22"/>
  <c r="BI123" i="22"/>
  <c r="BI107" i="22"/>
  <c r="BI174" i="22"/>
  <c r="BI158" i="22"/>
  <c r="BI142" i="22"/>
  <c r="BI126" i="22"/>
  <c r="BI110" i="22"/>
  <c r="BH145" i="22"/>
  <c r="BH107" i="22"/>
  <c r="BG113" i="22"/>
  <c r="BF160" i="22"/>
  <c r="BF174" i="22"/>
  <c r="BF142" i="22"/>
  <c r="BH102" i="22"/>
  <c r="BG131" i="22"/>
  <c r="BG111" i="22"/>
  <c r="BF154" i="22"/>
  <c r="BE128" i="22"/>
  <c r="BH100" i="22"/>
  <c r="BG115" i="22"/>
  <c r="BE97" i="22"/>
  <c r="BF97" i="22"/>
  <c r="BE155" i="22"/>
  <c r="BH117" i="22"/>
  <c r="BH96" i="22"/>
  <c r="BF114" i="22"/>
  <c r="BF171" i="22"/>
  <c r="BF166" i="22"/>
  <c r="BE120" i="22"/>
  <c r="BH171" i="22"/>
  <c r="BF125" i="22"/>
  <c r="BG146" i="22"/>
  <c r="BE133" i="22"/>
  <c r="BE149" i="22"/>
  <c r="BH153" i="22"/>
  <c r="BH113" i="22"/>
  <c r="BE113" i="22"/>
  <c r="BG125" i="22"/>
  <c r="BG153" i="22"/>
  <c r="BH151" i="22"/>
  <c r="BH111" i="22"/>
  <c r="BE177" i="22"/>
  <c r="BE161" i="22"/>
  <c r="BF143" i="22"/>
  <c r="BH170" i="22"/>
  <c r="BG149" i="22"/>
  <c r="BG129" i="22"/>
  <c r="BE107" i="22"/>
  <c r="BG121" i="22"/>
  <c r="BI169" i="22"/>
  <c r="BI153" i="22"/>
  <c r="BI137" i="22"/>
  <c r="BI121" i="22"/>
  <c r="BI105" i="22"/>
  <c r="BI172" i="22"/>
  <c r="BI156" i="22"/>
  <c r="BI140" i="22"/>
  <c r="BI124" i="22"/>
  <c r="BI108" i="22"/>
  <c r="BH121" i="22"/>
  <c r="BH127" i="22"/>
  <c r="BE130" i="22"/>
  <c r="BE111" i="22"/>
  <c r="BG105" i="22"/>
  <c r="BH99" i="22"/>
  <c r="BH147" i="22"/>
  <c r="BF112" i="22"/>
  <c r="BE112" i="22"/>
  <c r="BF102" i="22"/>
  <c r="BH179" i="22"/>
  <c r="BH141" i="22"/>
  <c r="BE108" i="22"/>
  <c r="BF129" i="22"/>
  <c r="BG171" i="22"/>
  <c r="BE110" i="22"/>
  <c r="BH178" i="22"/>
  <c r="BH119" i="22"/>
  <c r="BG148" i="22"/>
  <c r="BF148" i="22"/>
  <c r="BF162" i="22"/>
  <c r="BH155" i="22"/>
  <c r="BH137" i="22"/>
  <c r="BF118" i="22"/>
  <c r="BF106" i="22"/>
  <c r="BF144" i="22"/>
  <c r="BE117" i="22"/>
  <c r="BH165" i="22"/>
  <c r="BH177" i="22"/>
  <c r="BG161" i="22"/>
  <c r="BF140" i="22"/>
  <c r="BG108" i="22"/>
  <c r="BH143" i="22"/>
  <c r="BH169" i="22"/>
  <c r="BF103" i="22"/>
  <c r="BE125" i="22"/>
  <c r="BE171" i="22"/>
  <c r="BH154" i="22"/>
  <c r="BG104" i="22"/>
  <c r="BF172" i="22"/>
  <c r="BE179" i="22"/>
  <c r="BE178" i="22"/>
  <c r="BI167" i="22"/>
  <c r="BI151" i="22"/>
  <c r="BI135" i="22"/>
  <c r="BI119" i="22"/>
  <c r="BI103" i="22"/>
  <c r="BI170" i="22"/>
  <c r="BI154" i="22"/>
  <c r="BI138" i="22"/>
  <c r="BI122" i="22"/>
  <c r="BI106" i="22"/>
  <c r="BH168" i="22"/>
  <c r="BG133" i="22"/>
  <c r="BE137" i="22"/>
  <c r="BG160" i="22"/>
  <c r="BE146" i="22"/>
  <c r="BH135" i="22"/>
  <c r="BH103" i="22"/>
  <c r="BF104" i="22"/>
  <c r="BE169" i="22"/>
  <c r="BE160" i="22"/>
  <c r="BH133" i="22"/>
  <c r="BH101" i="22"/>
  <c r="BE131" i="22"/>
  <c r="BG178" i="22"/>
  <c r="BG126" i="22"/>
  <c r="BG151" i="22"/>
  <c r="BH162" i="22"/>
  <c r="BG168" i="22"/>
  <c r="BF109" i="22"/>
  <c r="BF179" i="22"/>
  <c r="BE170" i="22"/>
  <c r="BH167" i="22"/>
  <c r="BH97" i="22"/>
  <c r="BG177" i="22"/>
  <c r="BE115" i="22"/>
  <c r="BG139" i="22"/>
  <c r="BE134" i="22"/>
  <c r="BH174" i="22"/>
  <c r="BG99" i="22"/>
  <c r="BG116" i="22"/>
  <c r="BE172" i="22"/>
  <c r="BE145" i="22"/>
  <c r="BH172" i="22"/>
  <c r="BG165" i="22"/>
  <c r="BG145" i="22"/>
  <c r="BE105" i="22"/>
  <c r="BE152" i="22"/>
  <c r="BH138" i="22"/>
  <c r="BF107" i="22"/>
  <c r="BF137" i="22"/>
  <c r="BG176" i="22"/>
  <c r="BF139" i="22"/>
  <c r="BI165" i="22"/>
  <c r="BI149" i="22"/>
  <c r="BI133" i="22"/>
  <c r="BI117" i="22"/>
  <c r="BI101" i="22"/>
  <c r="BI168" i="22"/>
  <c r="BI152" i="22"/>
  <c r="BI136" i="22"/>
  <c r="BI120" i="22"/>
  <c r="BI104" i="22"/>
  <c r="BH152" i="22"/>
  <c r="BF111" i="22"/>
  <c r="BE140" i="22"/>
  <c r="BF105" i="22"/>
  <c r="BF116" i="22"/>
  <c r="BH115" i="22"/>
  <c r="BH125" i="22"/>
  <c r="BF145" i="22"/>
  <c r="BE101" i="22"/>
  <c r="BG172" i="22"/>
  <c r="BH98" i="22"/>
  <c r="BH123" i="22"/>
  <c r="BF149" i="22"/>
  <c r="BF121" i="22"/>
  <c r="BE147" i="22"/>
  <c r="BG106" i="22"/>
  <c r="BH146" i="22"/>
  <c r="BE162" i="22"/>
  <c r="BE153" i="22"/>
  <c r="BG155" i="22"/>
  <c r="BG135" i="22"/>
  <c r="BH176" i="22"/>
  <c r="BH105" i="22"/>
  <c r="BG132" i="22"/>
  <c r="BF117" i="22"/>
  <c r="BF159" i="22"/>
  <c r="BG119" i="22"/>
  <c r="BH158" i="22"/>
  <c r="BG136" i="22"/>
  <c r="BF168" i="22"/>
  <c r="BG123" i="22"/>
  <c r="BF158" i="22"/>
  <c r="BH156" i="22"/>
  <c r="BG120" i="22"/>
  <c r="BG100" i="22"/>
  <c r="BG107" i="22"/>
  <c r="BG170" i="22"/>
  <c r="BH122" i="22"/>
  <c r="BF115" i="22"/>
  <c r="BE144" i="22"/>
  <c r="BF170" i="22"/>
  <c r="BF151" i="22"/>
  <c r="BI179" i="22"/>
  <c r="BI163" i="22"/>
  <c r="BI147" i="22"/>
  <c r="BI131" i="22"/>
  <c r="BI115" i="22"/>
  <c r="BI96" i="22"/>
  <c r="BI166" i="22"/>
  <c r="BI150" i="22"/>
  <c r="BI134" i="22"/>
  <c r="BI118" i="22"/>
  <c r="BI102" i="22"/>
  <c r="BH136" i="22"/>
  <c r="BE174" i="22"/>
  <c r="BG127" i="22"/>
  <c r="BF101" i="22"/>
  <c r="BF147" i="22"/>
  <c r="BH166" i="22"/>
  <c r="BG117" i="22"/>
  <c r="BG98" i="22"/>
  <c r="BE118" i="22"/>
  <c r="BF110" i="22"/>
  <c r="BH164" i="22"/>
  <c r="BG101" i="22"/>
  <c r="BF108" i="22"/>
  <c r="BE168" i="22"/>
  <c r="BE143" i="22"/>
  <c r="BF123" i="22"/>
  <c r="BH130" i="22"/>
  <c r="BF169" i="22"/>
  <c r="BE151" i="22"/>
  <c r="BG110" i="22"/>
  <c r="BF127" i="22"/>
  <c r="BH160" i="22"/>
  <c r="BG152" i="22"/>
  <c r="BE99" i="22"/>
  <c r="BE148" i="22"/>
  <c r="BF167" i="22"/>
  <c r="BE135" i="22"/>
  <c r="BH142" i="22"/>
  <c r="BF119" i="22"/>
  <c r="BG175" i="22"/>
  <c r="BF124" i="22"/>
  <c r="BG103" i="22"/>
  <c r="BH140" i="22"/>
  <c r="BE96" i="22"/>
  <c r="BF176" i="22"/>
  <c r="BE138" i="22"/>
  <c r="BF157" i="22"/>
  <c r="BH106" i="22"/>
  <c r="BG163" i="22"/>
  <c r="BG143" i="22"/>
  <c r="BE157" i="22"/>
  <c r="BG154" i="22"/>
  <c r="BJ728" i="9"/>
  <c r="BJ239" i="3"/>
  <c r="BJ720" i="9"/>
  <c r="BJ231" i="3"/>
  <c r="CS120" i="30"/>
  <c r="CS93" i="30"/>
  <c r="CS95" i="30"/>
  <c r="CS135" i="30"/>
  <c r="CS92" i="30"/>
  <c r="CS117" i="30"/>
  <c r="CS91" i="30"/>
  <c r="CS118" i="30"/>
  <c r="CT92" i="30"/>
  <c r="CT93" i="30"/>
  <c r="CT95" i="30"/>
  <c r="CT120" i="30"/>
  <c r="CS90" i="30"/>
  <c r="CS126" i="30"/>
  <c r="CS133" i="30"/>
  <c r="CS116" i="30"/>
  <c r="CT135" i="30"/>
  <c r="CT117" i="30"/>
  <c r="CT118" i="30"/>
  <c r="CT91" i="30"/>
  <c r="CS76" i="30"/>
  <c r="CT133" i="30"/>
  <c r="CU93" i="30"/>
  <c r="CU117" i="30"/>
  <c r="CU92" i="30"/>
  <c r="CT76" i="30"/>
  <c r="CT90" i="30"/>
  <c r="CU120" i="30"/>
  <c r="CT116" i="30"/>
  <c r="CU135" i="30"/>
  <c r="CU91" i="30"/>
  <c r="CT126" i="30"/>
  <c r="CU118" i="30"/>
  <c r="CU95" i="30"/>
  <c r="CU76" i="30"/>
  <c r="CU116" i="30"/>
  <c r="CU90" i="30"/>
  <c r="CU133" i="30"/>
  <c r="CU126" i="30"/>
  <c r="BJ109" i="3"/>
  <c r="BJ86" i="3"/>
  <c r="BK146" i="3"/>
  <c r="BK137" i="3"/>
  <c r="BK156" i="3"/>
  <c r="BJ73" i="3"/>
  <c r="BJ28" i="3"/>
  <c r="BJ26" i="3"/>
  <c r="BI758" i="9"/>
  <c r="BI748" i="9"/>
  <c r="BJ721" i="9"/>
  <c r="BJ232" i="3"/>
  <c r="BJ722" i="9"/>
  <c r="BJ233" i="3"/>
  <c r="BJ719" i="9"/>
  <c r="BJ230" i="3"/>
  <c r="A2" i="23"/>
  <c r="C1" i="23"/>
  <c r="E31" i="14" a="1"/>
  <c r="Y51" i="26" l="1"/>
  <c r="X49" i="26"/>
  <c r="X53" i="26" s="1"/>
  <c r="X51" i="26"/>
  <c r="W49" i="26"/>
  <c r="W51" i="26"/>
  <c r="CA94" i="20"/>
  <c r="CA82" i="20"/>
  <c r="CA39" i="20"/>
  <c r="BY18" i="20"/>
  <c r="CY18" i="20" s="1"/>
  <c r="CV18" i="20"/>
  <c r="CW18" i="20"/>
  <c r="CX18" i="20"/>
  <c r="CA12" i="20"/>
  <c r="CA110" i="20"/>
  <c r="CA121" i="20"/>
  <c r="CA150" i="20"/>
  <c r="CA81" i="20"/>
  <c r="DA81" i="20" s="1"/>
  <c r="CS81" i="20" s="1"/>
  <c r="A81" i="20" s="1" a="1"/>
  <c r="A81" i="20" s="1"/>
  <c r="BJ804" i="9"/>
  <c r="BJ74" i="20"/>
  <c r="BJ19" i="30" s="1"/>
  <c r="BI141" i="20"/>
  <c r="BI146" i="20" s="1"/>
  <c r="BI174" i="20" s="1"/>
  <c r="BI181" i="20" s="1"/>
  <c r="BI62" i="30" s="1"/>
  <c r="CO120" i="30"/>
  <c r="A120" i="30" s="1" a="1"/>
  <c r="A120" i="30" s="1"/>
  <c r="BJ745" i="9"/>
  <c r="BJ744" i="9"/>
  <c r="BK166" i="3"/>
  <c r="BK189" i="3" s="1"/>
  <c r="DG150" i="26"/>
  <c r="CX150" i="26" s="1"/>
  <c r="W127" i="6"/>
  <c r="X311" i="26"/>
  <c r="DC311" i="26" s="1"/>
  <c r="Y28" i="26"/>
  <c r="DD28" i="26" s="1"/>
  <c r="Y42" i="26"/>
  <c r="X28" i="26"/>
  <c r="DC28" i="26" s="1"/>
  <c r="X42" i="26"/>
  <c r="W28" i="26"/>
  <c r="DB28" i="26" s="1"/>
  <c r="W42" i="26"/>
  <c r="CO203" i="30"/>
  <c r="A203" i="30" s="1" a="1"/>
  <c r="A203" i="30" s="1"/>
  <c r="CA119" i="6"/>
  <c r="CA127" i="6" s="1"/>
  <c r="Y127" i="6"/>
  <c r="CA120" i="6"/>
  <c r="CA128" i="6" s="1"/>
  <c r="Y128" i="6"/>
  <c r="Y204" i="30" s="1"/>
  <c r="BJ747" i="9"/>
  <c r="BZ120" i="6"/>
  <c r="BZ128" i="6" s="1"/>
  <c r="X128" i="6"/>
  <c r="X204" i="30" s="1"/>
  <c r="CA121" i="6"/>
  <c r="CA129" i="6" s="1"/>
  <c r="Y129" i="6"/>
  <c r="CO93" i="30"/>
  <c r="A93" i="30" s="1" a="1"/>
  <c r="A93" i="30" s="1"/>
  <c r="CO199" i="30"/>
  <c r="A199" i="30" s="1" a="1"/>
  <c r="A199" i="30" s="1"/>
  <c r="BZ121" i="6"/>
  <c r="BZ129" i="6" s="1"/>
  <c r="X129" i="6"/>
  <c r="CO116" i="30"/>
  <c r="A116" i="30" s="1" a="1"/>
  <c r="A116" i="30" s="1"/>
  <c r="CO198" i="30"/>
  <c r="A198" i="30" s="1" a="1"/>
  <c r="A198" i="30" s="1"/>
  <c r="BJ759" i="9"/>
  <c r="BZ119" i="6"/>
  <c r="BZ127" i="6" s="1"/>
  <c r="X127" i="6"/>
  <c r="BJ749" i="9"/>
  <c r="BJ53" i="20"/>
  <c r="BJ17" i="30" s="1"/>
  <c r="CO133" i="30"/>
  <c r="A133" i="30" s="1" a="1"/>
  <c r="A133" i="30" s="1"/>
  <c r="DB315" i="26"/>
  <c r="BY315" i="26"/>
  <c r="CX314" i="26"/>
  <c r="DC315" i="26"/>
  <c r="BZ315" i="26"/>
  <c r="DD315" i="26"/>
  <c r="CA315" i="26"/>
  <c r="CW314" i="26"/>
  <c r="CS159" i="20"/>
  <c r="A159" i="20" s="1" a="1"/>
  <c r="A159" i="20" s="1"/>
  <c r="CQ159" i="1"/>
  <c r="CP160" i="1"/>
  <c r="DD67" i="26"/>
  <c r="CW67" i="26" s="1"/>
  <c r="DD111" i="26"/>
  <c r="CX52" i="26"/>
  <c r="CQ160" i="1"/>
  <c r="CW50" i="26"/>
  <c r="CX50" i="26"/>
  <c r="CW52" i="26"/>
  <c r="X44" i="26"/>
  <c r="X30" i="26"/>
  <c r="W30" i="26"/>
  <c r="W44" i="26"/>
  <c r="Y30" i="26"/>
  <c r="Y44" i="26"/>
  <c r="BG94" i="33"/>
  <c r="BK209" i="3"/>
  <c r="BK255" i="3"/>
  <c r="BK278" i="3" s="1"/>
  <c r="BK259" i="3"/>
  <c r="BK282" i="3" s="1"/>
  <c r="BK213" i="3"/>
  <c r="BK257" i="3"/>
  <c r="BK280" i="3" s="1"/>
  <c r="BK211" i="3"/>
  <c r="BK269" i="3"/>
  <c r="BK292" i="3" s="1"/>
  <c r="BK223" i="3"/>
  <c r="BK264" i="3"/>
  <c r="BK287" i="3" s="1"/>
  <c r="BK218" i="3"/>
  <c r="BK222" i="3"/>
  <c r="BK268" i="3"/>
  <c r="BK291" i="3" s="1"/>
  <c r="BK208" i="3"/>
  <c r="BK254" i="3"/>
  <c r="BK277" i="3" s="1"/>
  <c r="CP161" i="22"/>
  <c r="CP152" i="22"/>
  <c r="CP130" i="22"/>
  <c r="CP99" i="22"/>
  <c r="CP174" i="22"/>
  <c r="CP158" i="22"/>
  <c r="CP114" i="22"/>
  <c r="CP129" i="22"/>
  <c r="CP131" i="22"/>
  <c r="CP167" i="22"/>
  <c r="CO156" i="22"/>
  <c r="CO170" i="22"/>
  <c r="CO113" i="22"/>
  <c r="CO115" i="22"/>
  <c r="CO162" i="22"/>
  <c r="CO147" i="22"/>
  <c r="CO168" i="22"/>
  <c r="CO164" i="22"/>
  <c r="CO173" i="22"/>
  <c r="CO109" i="22"/>
  <c r="CN112" i="22"/>
  <c r="CL112" i="22"/>
  <c r="CN169" i="22"/>
  <c r="CL169" i="22"/>
  <c r="CN140" i="22"/>
  <c r="CL140" i="22"/>
  <c r="CN157" i="22"/>
  <c r="CL157" i="22"/>
  <c r="CN159" i="22"/>
  <c r="CL159" i="22"/>
  <c r="CN97" i="22"/>
  <c r="CL97" i="22"/>
  <c r="CN121" i="22"/>
  <c r="CL121" i="22"/>
  <c r="CN163" i="22"/>
  <c r="CL163" i="22"/>
  <c r="CN106" i="22"/>
  <c r="CL106" i="22"/>
  <c r="CN117" i="22"/>
  <c r="CL117" i="22"/>
  <c r="DA89" i="20"/>
  <c r="CS89" i="20" s="1"/>
  <c r="A89" i="20" s="1" a="1"/>
  <c r="A89" i="20" s="1"/>
  <c r="CL89" i="20"/>
  <c r="DA24" i="20"/>
  <c r="CL24" i="20"/>
  <c r="DA108" i="20"/>
  <c r="CL108" i="20"/>
  <c r="DA118" i="20"/>
  <c r="CL118" i="20"/>
  <c r="DA83" i="20"/>
  <c r="CS83" i="20" s="1"/>
  <c r="A83" i="20" s="1" a="1"/>
  <c r="A83" i="20" s="1"/>
  <c r="CL83" i="20"/>
  <c r="DA57" i="20"/>
  <c r="CA60" i="20"/>
  <c r="DH61" i="20" s="1"/>
  <c r="DA39" i="20"/>
  <c r="CL39" i="20"/>
  <c r="DA43" i="20"/>
  <c r="CL43" i="20"/>
  <c r="DA71" i="20"/>
  <c r="CS71" i="20" s="1"/>
  <c r="A71" i="20" s="1" a="1"/>
  <c r="A71" i="20" s="1"/>
  <c r="CL71" i="20"/>
  <c r="BZ60" i="20"/>
  <c r="CZ57" i="20"/>
  <c r="BZ25" i="30"/>
  <c r="X25" i="30" s="1"/>
  <c r="CZ14" i="20"/>
  <c r="CZ105" i="20"/>
  <c r="BY85" i="20"/>
  <c r="CY77" i="20"/>
  <c r="CY135" i="20"/>
  <c r="BY131" i="20"/>
  <c r="CY131" i="20" s="1"/>
  <c r="CY128" i="20"/>
  <c r="BY38" i="20"/>
  <c r="CY33" i="20"/>
  <c r="BK221" i="3"/>
  <c r="BK267" i="3"/>
  <c r="BK290" i="3" s="1"/>
  <c r="Y102" i="33"/>
  <c r="Y215" i="30"/>
  <c r="Y84" i="30"/>
  <c r="CA79" i="6"/>
  <c r="CS79" i="6" s="1"/>
  <c r="Y97" i="30"/>
  <c r="CA163" i="6"/>
  <c r="CA97" i="30" s="1"/>
  <c r="Y104" i="30"/>
  <c r="CA188" i="6"/>
  <c r="CA104" i="30" s="1"/>
  <c r="L129" i="20"/>
  <c r="CV129" i="1"/>
  <c r="CA129" i="1"/>
  <c r="CY129" i="1" s="1"/>
  <c r="L150" i="20"/>
  <c r="CV150" i="1"/>
  <c r="CA150" i="1"/>
  <c r="CY150" i="1" s="1"/>
  <c r="L54" i="20"/>
  <c r="CV54" i="1"/>
  <c r="CA54" i="1"/>
  <c r="L153" i="20"/>
  <c r="CV153" i="1"/>
  <c r="CA153" i="1"/>
  <c r="CY153" i="1" s="1"/>
  <c r="L127" i="20"/>
  <c r="CV127" i="1"/>
  <c r="CA127" i="1"/>
  <c r="CY127" i="1" s="1"/>
  <c r="L51" i="20"/>
  <c r="CV51" i="1"/>
  <c r="CA51" i="1"/>
  <c r="CY51" i="1" s="1"/>
  <c r="L42" i="20"/>
  <c r="CV42" i="1"/>
  <c r="CA42" i="1"/>
  <c r="Y46" i="1"/>
  <c r="CV46" i="1" s="1"/>
  <c r="L17" i="20"/>
  <c r="CV17" i="1"/>
  <c r="CA17" i="1"/>
  <c r="Y23" i="1"/>
  <c r="CV23" i="1" s="1"/>
  <c r="L43" i="20"/>
  <c r="CV43" i="1"/>
  <c r="CA43" i="1"/>
  <c r="CY43" i="1" s="1"/>
  <c r="L180" i="20"/>
  <c r="CV180" i="1"/>
  <c r="CA180" i="1"/>
  <c r="CY180" i="1" s="1"/>
  <c r="L95" i="20"/>
  <c r="CV95" i="1"/>
  <c r="CA95" i="1"/>
  <c r="CY95" i="1" s="1"/>
  <c r="K118" i="20"/>
  <c r="CU118" i="1"/>
  <c r="BZ118" i="1"/>
  <c r="CX118" i="1" s="1"/>
  <c r="K109" i="20"/>
  <c r="CU109" i="1"/>
  <c r="BZ109" i="1"/>
  <c r="CX109" i="1" s="1"/>
  <c r="K69" i="20"/>
  <c r="CU69" i="1"/>
  <c r="BZ69" i="1"/>
  <c r="CX69" i="1" s="1"/>
  <c r="K20" i="20"/>
  <c r="CU20" i="1"/>
  <c r="BZ20" i="1"/>
  <c r="CX20" i="1" s="1"/>
  <c r="K42" i="20"/>
  <c r="X46" i="1"/>
  <c r="CU46" i="1" s="1"/>
  <c r="CU42" i="1"/>
  <c r="BZ42" i="1"/>
  <c r="K35" i="20"/>
  <c r="CU35" i="1"/>
  <c r="BZ35" i="1"/>
  <c r="CX35" i="1" s="1"/>
  <c r="K110" i="20"/>
  <c r="CU110" i="1"/>
  <c r="BZ110" i="1"/>
  <c r="CX110" i="1" s="1"/>
  <c r="K130" i="20"/>
  <c r="BZ130" i="1"/>
  <c r="CX130" i="1" s="1"/>
  <c r="CU130" i="1"/>
  <c r="K180" i="20"/>
  <c r="CU180" i="1"/>
  <c r="BZ180" i="1"/>
  <c r="CX180" i="1" s="1"/>
  <c r="K106" i="20"/>
  <c r="CU106" i="1"/>
  <c r="BZ106" i="1"/>
  <c r="CX106" i="1" s="1"/>
  <c r="K27" i="20"/>
  <c r="X29" i="1"/>
  <c r="CU29" i="1" s="1"/>
  <c r="CU27" i="1"/>
  <c r="BZ27" i="1"/>
  <c r="CP161" i="1"/>
  <c r="J111" i="20"/>
  <c r="CT111" i="1"/>
  <c r="BY111" i="1"/>
  <c r="CW111" i="1" s="1"/>
  <c r="CQ99" i="1"/>
  <c r="J112" i="20"/>
  <c r="CT112" i="1"/>
  <c r="BY112" i="1"/>
  <c r="CW112" i="1" s="1"/>
  <c r="J84" i="20"/>
  <c r="CT84" i="1"/>
  <c r="BY84" i="1"/>
  <c r="CW84" i="1" s="1"/>
  <c r="J33" i="20"/>
  <c r="W38" i="1"/>
  <c r="CT33" i="1"/>
  <c r="BY33" i="1"/>
  <c r="J105" i="20"/>
  <c r="CT105" i="1"/>
  <c r="BY105" i="1"/>
  <c r="J107" i="20"/>
  <c r="CT107" i="1"/>
  <c r="BY107" i="1"/>
  <c r="CW107" i="1" s="1"/>
  <c r="J22" i="20"/>
  <c r="CT22" i="1"/>
  <c r="BY22" i="1"/>
  <c r="CW22" i="1" s="1"/>
  <c r="J121" i="20"/>
  <c r="CT121" i="1"/>
  <c r="BY121" i="1"/>
  <c r="CW121" i="1" s="1"/>
  <c r="J47" i="20"/>
  <c r="CT47" i="1"/>
  <c r="BY47" i="1"/>
  <c r="J44" i="20"/>
  <c r="CT44" i="1"/>
  <c r="BY44" i="1"/>
  <c r="CW44" i="1" s="1"/>
  <c r="DB117" i="26"/>
  <c r="DE117" i="26"/>
  <c r="DE69" i="26"/>
  <c r="CU69" i="26" a="1"/>
  <c r="CU69" i="26" s="1"/>
  <c r="DE73" i="26"/>
  <c r="CU73" i="26" a="1"/>
  <c r="CU73" i="26" s="1"/>
  <c r="DB72" i="26"/>
  <c r="CU72" i="26" a="1"/>
  <c r="CU72" i="26" s="1"/>
  <c r="Y89" i="6"/>
  <c r="Y161" i="26"/>
  <c r="DD159" i="26"/>
  <c r="CW159" i="26" s="1"/>
  <c r="CA159" i="26"/>
  <c r="CL159" i="26" s="1"/>
  <c r="CA214" i="6"/>
  <c r="CA169" i="1" s="1"/>
  <c r="Y169" i="1"/>
  <c r="Y69" i="6"/>
  <c r="CA59" i="6"/>
  <c r="CA69" i="6" s="1"/>
  <c r="CA204" i="30"/>
  <c r="CA86" i="33" s="1"/>
  <c r="Y279" i="6"/>
  <c r="CA277" i="6"/>
  <c r="CA279" i="6" s="1"/>
  <c r="X153" i="30"/>
  <c r="BZ209" i="6"/>
  <c r="BZ153" i="30" s="1"/>
  <c r="X267" i="6"/>
  <c r="X282" i="6" s="1"/>
  <c r="X247" i="6" s="1"/>
  <c r="BZ265" i="6"/>
  <c r="X284" i="6"/>
  <c r="X258" i="6" s="1"/>
  <c r="X168" i="1" s="1"/>
  <c r="BY233" i="6"/>
  <c r="CS233" i="6" s="1"/>
  <c r="BY208" i="6"/>
  <c r="CL208" i="6" s="1"/>
  <c r="BY119" i="6"/>
  <c r="BY210" i="6"/>
  <c r="CO210" i="6" s="1" a="1"/>
  <c r="CO210" i="6" s="1"/>
  <c r="BY230" i="6"/>
  <c r="CL230" i="6" s="1"/>
  <c r="W236" i="6"/>
  <c r="BY63" i="6"/>
  <c r="CO63" i="6" s="1" a="1"/>
  <c r="CO63" i="6" s="1"/>
  <c r="W152" i="30"/>
  <c r="BY207" i="6"/>
  <c r="W217" i="6"/>
  <c r="W113" i="1"/>
  <c r="BH28" i="32"/>
  <c r="BH33" i="32"/>
  <c r="BG212" i="30"/>
  <c r="BK178" i="3"/>
  <c r="BK201" i="3" s="1"/>
  <c r="DD60" i="26"/>
  <c r="CW60" i="26" s="1"/>
  <c r="DD72" i="26"/>
  <c r="CA294" i="26"/>
  <c r="DG294" i="26" s="1"/>
  <c r="DD294" i="26"/>
  <c r="DD140" i="26"/>
  <c r="DD90" i="26"/>
  <c r="DG179" i="26"/>
  <c r="CX179" i="26" s="1"/>
  <c r="DD295" i="26"/>
  <c r="CA295" i="26"/>
  <c r="DG295" i="26" s="1"/>
  <c r="DG71" i="26"/>
  <c r="CX71" i="26" s="1"/>
  <c r="CA255" i="26"/>
  <c r="DG255" i="26" s="1"/>
  <c r="DD255" i="26"/>
  <c r="DG94" i="26"/>
  <c r="CX94" i="26" s="1"/>
  <c r="DD148" i="26"/>
  <c r="DG151" i="26"/>
  <c r="CX151" i="26" s="1"/>
  <c r="CA165" i="26"/>
  <c r="DD165" i="26"/>
  <c r="Y167" i="26"/>
  <c r="Y183" i="30" s="1"/>
  <c r="DD93" i="26"/>
  <c r="CW93" i="26" s="1"/>
  <c r="DD89" i="26"/>
  <c r="DG201" i="26"/>
  <c r="DD85" i="26"/>
  <c r="DD120" i="26"/>
  <c r="DD91" i="26"/>
  <c r="DG123" i="26"/>
  <c r="CX123" i="26" s="1"/>
  <c r="DG178" i="26"/>
  <c r="DG115" i="26"/>
  <c r="CX115" i="26" s="1"/>
  <c r="DG207" i="26"/>
  <c r="CX207" i="26" s="1"/>
  <c r="DD172" i="26"/>
  <c r="DD205" i="26"/>
  <c r="CW205" i="26" s="1"/>
  <c r="DD15" i="26"/>
  <c r="CA15" i="26"/>
  <c r="DG15" i="26" s="1"/>
  <c r="DC286" i="26"/>
  <c r="BZ286" i="26"/>
  <c r="DF286" i="26" s="1"/>
  <c r="BZ24" i="26"/>
  <c r="DF24" i="26" s="1"/>
  <c r="DC24" i="26"/>
  <c r="BZ344" i="26"/>
  <c r="BZ346" i="26" s="1"/>
  <c r="X346" i="26"/>
  <c r="BZ226" i="26"/>
  <c r="DC226" i="26"/>
  <c r="X149" i="1"/>
  <c r="X340" i="26"/>
  <c r="DC340" i="26" s="1"/>
  <c r="DC338" i="26"/>
  <c r="BZ338" i="26"/>
  <c r="BZ26" i="26"/>
  <c r="DF26" i="26" s="1"/>
  <c r="DC26" i="26"/>
  <c r="BZ267" i="26"/>
  <c r="DF267" i="26" s="1"/>
  <c r="DC267" i="26"/>
  <c r="BY241" i="26"/>
  <c r="DE241" i="26" s="1"/>
  <c r="DB241" i="26"/>
  <c r="BY13" i="26"/>
  <c r="DB13" i="26"/>
  <c r="BY18" i="26"/>
  <c r="DB18" i="26"/>
  <c r="DB22" i="26"/>
  <c r="BY22" i="26"/>
  <c r="CX138" i="26"/>
  <c r="CX104" i="26"/>
  <c r="CW128" i="26"/>
  <c r="CW130" i="26"/>
  <c r="CX35" i="26"/>
  <c r="CW275" i="26"/>
  <c r="CX211" i="26"/>
  <c r="CW212" i="26"/>
  <c r="CW207" i="26"/>
  <c r="CX228" i="26"/>
  <c r="CW324" i="26"/>
  <c r="CW37" i="26"/>
  <c r="CW154" i="26"/>
  <c r="CX153" i="26"/>
  <c r="CW156" i="26"/>
  <c r="CX264" i="26"/>
  <c r="CW276" i="26"/>
  <c r="CW325" i="26"/>
  <c r="CW225" i="26"/>
  <c r="CX325" i="26"/>
  <c r="CW268" i="26"/>
  <c r="BJ60" i="20"/>
  <c r="BJ18" i="30" s="1"/>
  <c r="BY57" i="20"/>
  <c r="CL57" i="20" s="1"/>
  <c r="BJ114" i="20"/>
  <c r="BY105" i="20"/>
  <c r="BK57" i="3"/>
  <c r="BK103" i="3" s="1"/>
  <c r="BK49" i="3"/>
  <c r="BK55" i="3"/>
  <c r="BK101" i="3" s="1"/>
  <c r="BK50" i="3"/>
  <c r="BK96" i="3" s="1"/>
  <c r="BK63" i="3"/>
  <c r="BK109" i="3" s="1"/>
  <c r="BK58" i="3"/>
  <c r="BK104" i="3" s="1"/>
  <c r="BK62" i="3"/>
  <c r="BK108" i="3" s="1"/>
  <c r="BK52" i="3"/>
  <c r="BK98" i="3" s="1"/>
  <c r="BK46" i="3"/>
  <c r="BK92" i="3" s="1"/>
  <c r="BK53" i="3"/>
  <c r="BK99" i="3" s="1"/>
  <c r="BK51" i="3"/>
  <c r="BK97" i="3" s="1"/>
  <c r="BK56" i="3"/>
  <c r="BK102" i="3" s="1"/>
  <c r="BK59" i="3"/>
  <c r="BK54" i="3"/>
  <c r="BK100" i="3" s="1"/>
  <c r="BK47" i="3"/>
  <c r="BK93" i="3" s="1"/>
  <c r="BK61" i="3"/>
  <c r="BK107" i="3" s="1"/>
  <c r="BK60" i="3"/>
  <c r="BK106" i="3" s="1"/>
  <c r="BK48" i="3"/>
  <c r="BK94" i="3" s="1"/>
  <c r="BK64" i="3"/>
  <c r="BK110" i="3" s="1"/>
  <c r="BK45" i="3"/>
  <c r="BK5" i="9"/>
  <c r="BK120" i="3"/>
  <c r="BK132" i="3"/>
  <c r="BK128" i="3"/>
  <c r="BK131" i="3"/>
  <c r="BK129" i="3"/>
  <c r="BK124" i="3"/>
  <c r="BK118" i="3"/>
  <c r="BK122" i="3"/>
  <c r="BK114" i="3"/>
  <c r="BK115" i="3"/>
  <c r="BK133" i="3"/>
  <c r="BK125" i="3"/>
  <c r="BK119" i="3"/>
  <c r="BK117" i="3"/>
  <c r="BK127" i="3"/>
  <c r="BK121" i="3"/>
  <c r="BK130" i="3"/>
  <c r="BK126" i="3"/>
  <c r="BK116" i="3"/>
  <c r="BK123" i="3"/>
  <c r="CP165" i="22"/>
  <c r="CP124" i="22"/>
  <c r="CP104" i="22"/>
  <c r="CP107" i="22"/>
  <c r="CO110" i="22"/>
  <c r="CO96" i="22"/>
  <c r="CO178" i="22"/>
  <c r="CO102" i="22"/>
  <c r="CO117" i="22"/>
  <c r="CO160" i="22"/>
  <c r="CO135" i="22"/>
  <c r="CO97" i="22"/>
  <c r="CO126" i="22"/>
  <c r="CO166" i="22"/>
  <c r="CN178" i="22"/>
  <c r="CL178" i="22"/>
  <c r="CN109" i="22"/>
  <c r="CL109" i="22"/>
  <c r="CN168" i="22"/>
  <c r="CL168" i="22"/>
  <c r="CN129" i="22"/>
  <c r="CL129" i="22"/>
  <c r="CL118" i="22"/>
  <c r="CN118" i="22"/>
  <c r="CL102" i="22"/>
  <c r="CN102" i="22"/>
  <c r="CN144" i="22"/>
  <c r="CL144" i="22"/>
  <c r="CN115" i="22"/>
  <c r="CL115" i="22"/>
  <c r="CN136" i="22"/>
  <c r="CL136" i="22"/>
  <c r="CN132" i="22"/>
  <c r="CL132" i="22"/>
  <c r="DA82" i="20"/>
  <c r="CL82" i="20"/>
  <c r="DA12" i="20"/>
  <c r="CS12" i="20" s="1"/>
  <c r="A12" i="20" s="1" a="1"/>
  <c r="A12" i="20" s="1"/>
  <c r="CL12" i="20"/>
  <c r="CA100" i="20"/>
  <c r="DA98" i="20"/>
  <c r="CL98" i="20"/>
  <c r="DA61" i="20"/>
  <c r="CL61" i="20"/>
  <c r="DA112" i="20"/>
  <c r="CL112" i="20"/>
  <c r="DG123" i="20"/>
  <c r="DA123" i="20"/>
  <c r="CL123" i="20"/>
  <c r="DA80" i="20"/>
  <c r="CL80" i="20"/>
  <c r="DA45" i="20"/>
  <c r="CL45" i="20"/>
  <c r="DA37" i="20"/>
  <c r="CL37" i="20"/>
  <c r="DA135" i="20"/>
  <c r="CL135" i="20"/>
  <c r="BZ23" i="20"/>
  <c r="CZ23" i="20" s="1"/>
  <c r="CZ17" i="20"/>
  <c r="CZ24" i="20"/>
  <c r="CY88" i="20"/>
  <c r="BY90" i="20"/>
  <c r="CS43" i="20"/>
  <c r="A43" i="20" s="1" a="1"/>
  <c r="A43" i="20" s="1"/>
  <c r="BI14" i="32"/>
  <c r="BI32" i="30"/>
  <c r="BI36" i="30" s="1"/>
  <c r="Y100" i="30"/>
  <c r="CA175" i="6"/>
  <c r="CA100" i="30" s="1"/>
  <c r="CA21" i="35" s="1"/>
  <c r="Y78" i="30"/>
  <c r="CA56" i="6"/>
  <c r="CA78" i="30" s="1"/>
  <c r="Y106" i="30"/>
  <c r="CA194" i="6"/>
  <c r="CO194" i="6" s="1" a="1"/>
  <c r="CO194" i="6" s="1"/>
  <c r="Y144" i="1"/>
  <c r="CO50" i="30"/>
  <c r="A50" i="30" s="1" a="1"/>
  <c r="A50" i="30" s="1"/>
  <c r="L105" i="20"/>
  <c r="CV105" i="1"/>
  <c r="CA105" i="1"/>
  <c r="L122" i="20"/>
  <c r="CV122" i="1"/>
  <c r="CA122" i="1"/>
  <c r="CY122" i="1" s="1"/>
  <c r="L125" i="20"/>
  <c r="CV125" i="1"/>
  <c r="CA125" i="1"/>
  <c r="CY125" i="1" s="1"/>
  <c r="L50" i="20"/>
  <c r="Y53" i="1"/>
  <c r="CV53" i="1" s="1"/>
  <c r="CV50" i="1"/>
  <c r="CA50" i="1"/>
  <c r="L106" i="20"/>
  <c r="CV106" i="1"/>
  <c r="CA106" i="1"/>
  <c r="CY106" i="1" s="1"/>
  <c r="L73" i="20"/>
  <c r="CV73" i="1"/>
  <c r="CA73" i="1"/>
  <c r="CY73" i="1" s="1"/>
  <c r="L52" i="20"/>
  <c r="CV52" i="1"/>
  <c r="CA52" i="1"/>
  <c r="CY52" i="1" s="1"/>
  <c r="L28" i="20"/>
  <c r="CV28" i="1"/>
  <c r="CA28" i="1"/>
  <c r="CY28" i="1" s="1"/>
  <c r="L14" i="20"/>
  <c r="CA14" i="1"/>
  <c r="CV14" i="1"/>
  <c r="L82" i="20"/>
  <c r="CV82" i="1"/>
  <c r="CA82" i="1"/>
  <c r="CY82" i="1" s="1"/>
  <c r="L37" i="20"/>
  <c r="CV37" i="1"/>
  <c r="CA37" i="1"/>
  <c r="CY37" i="1" s="1"/>
  <c r="K22" i="20"/>
  <c r="CU22" i="1"/>
  <c r="BZ22" i="1"/>
  <c r="CX22" i="1" s="1"/>
  <c r="K73" i="20"/>
  <c r="CU73" i="1"/>
  <c r="BZ73" i="1"/>
  <c r="CX73" i="1" s="1"/>
  <c r="K80" i="20"/>
  <c r="CU80" i="1"/>
  <c r="BZ80" i="1"/>
  <c r="CX80" i="1" s="1"/>
  <c r="K129" i="20"/>
  <c r="CU129" i="1"/>
  <c r="BZ129" i="1"/>
  <c r="CX129" i="1" s="1"/>
  <c r="K57" i="20"/>
  <c r="CU57" i="1"/>
  <c r="BZ57" i="1"/>
  <c r="X60" i="1"/>
  <c r="CU60" i="1" s="1"/>
  <c r="K111" i="20"/>
  <c r="CU111" i="1"/>
  <c r="BZ111" i="1"/>
  <c r="CX111" i="1" s="1"/>
  <c r="K33" i="20"/>
  <c r="X38" i="1"/>
  <c r="CU38" i="1" s="1"/>
  <c r="CU33" i="1"/>
  <c r="BZ33" i="1"/>
  <c r="K37" i="20"/>
  <c r="CU37" i="1"/>
  <c r="BZ37" i="1"/>
  <c r="CX37" i="1" s="1"/>
  <c r="K95" i="20"/>
  <c r="CU95" i="1"/>
  <c r="BZ95" i="1"/>
  <c r="CX95" i="1" s="1"/>
  <c r="J58" i="20"/>
  <c r="CT58" i="1"/>
  <c r="BY58" i="1"/>
  <c r="CW58" i="1" s="1"/>
  <c r="J109" i="20"/>
  <c r="CT109" i="1"/>
  <c r="BY109" i="1"/>
  <c r="CW109" i="1" s="1"/>
  <c r="J27" i="20"/>
  <c r="W29" i="1"/>
  <c r="DD30" i="1" s="1"/>
  <c r="CT27" i="1"/>
  <c r="BY27" i="1"/>
  <c r="J95" i="20"/>
  <c r="CT95" i="1"/>
  <c r="BY95" i="1"/>
  <c r="CW95" i="1" s="1"/>
  <c r="J130" i="20"/>
  <c r="CT130" i="1"/>
  <c r="BY130" i="1"/>
  <c r="CW130" i="1" s="1"/>
  <c r="J180" i="20"/>
  <c r="CT180" i="1"/>
  <c r="BY180" i="1"/>
  <c r="CW180" i="1" s="1"/>
  <c r="J73" i="20"/>
  <c r="CT73" i="1"/>
  <c r="BY73" i="1"/>
  <c r="CW73" i="1" s="1"/>
  <c r="J80" i="20"/>
  <c r="CT80" i="1"/>
  <c r="BY80" i="1"/>
  <c r="CW80" i="1" s="1"/>
  <c r="J18" i="20"/>
  <c r="CT18" i="1"/>
  <c r="BY18" i="1"/>
  <c r="CW18" i="1" s="1"/>
  <c r="A160" i="1" a="1"/>
  <c r="A160" i="1" s="1"/>
  <c r="BJ645" i="9"/>
  <c r="DE125" i="26"/>
  <c r="CV130" i="26"/>
  <c r="DE66" i="26"/>
  <c r="CU66" i="26" a="1"/>
  <c r="CU66" i="26" s="1"/>
  <c r="BZ212" i="6"/>
  <c r="BZ152" i="1" s="1"/>
  <c r="X152" i="1"/>
  <c r="W153" i="30"/>
  <c r="BY209" i="6"/>
  <c r="BY153" i="30" s="1"/>
  <c r="BY151" i="6"/>
  <c r="W143" i="1"/>
  <c r="CL111" i="6"/>
  <c r="CS111" i="6"/>
  <c r="CO111" i="6" a="1"/>
  <c r="CO111" i="6" s="1"/>
  <c r="BY234" i="6"/>
  <c r="CS234" i="6" s="1"/>
  <c r="BY144" i="6"/>
  <c r="CO144" i="6" s="1" a="1"/>
  <c r="CO144" i="6" s="1"/>
  <c r="BY149" i="6"/>
  <c r="CL149" i="6" s="1"/>
  <c r="BY240" i="6"/>
  <c r="BY126" i="1" s="1"/>
  <c r="W242" i="6"/>
  <c r="W126" i="1"/>
  <c r="BK161" i="3"/>
  <c r="BK184" i="3" s="1"/>
  <c r="DD200" i="26"/>
  <c r="CW200" i="26" s="1"/>
  <c r="DG122" i="26"/>
  <c r="CX122" i="26" s="1"/>
  <c r="DG149" i="26"/>
  <c r="DG112" i="26"/>
  <c r="CX112" i="26" s="1"/>
  <c r="DG97" i="26"/>
  <c r="CX97" i="26" s="1"/>
  <c r="CA267" i="26"/>
  <c r="DG267" i="26" s="1"/>
  <c r="DD267" i="26"/>
  <c r="Y189" i="30"/>
  <c r="CA263" i="26"/>
  <c r="DD263" i="26"/>
  <c r="DG199" i="26"/>
  <c r="DD197" i="26"/>
  <c r="CW197" i="26" s="1"/>
  <c r="DG180" i="26"/>
  <c r="CX180" i="26" s="1"/>
  <c r="DG140" i="26"/>
  <c r="CX140" i="26" s="1"/>
  <c r="DD177" i="26"/>
  <c r="DD27" i="26"/>
  <c r="CA27" i="26"/>
  <c r="DG27" i="26" s="1"/>
  <c r="DD209" i="26"/>
  <c r="DG87" i="26"/>
  <c r="CX87" i="26" s="1"/>
  <c r="DD174" i="26"/>
  <c r="CW174" i="26" s="1"/>
  <c r="DD125" i="26"/>
  <c r="CW125" i="26" s="1"/>
  <c r="DG145" i="26"/>
  <c r="CX145" i="26" s="1"/>
  <c r="DC332" i="26"/>
  <c r="BZ332" i="26"/>
  <c r="X334" i="26"/>
  <c r="DC334" i="26" s="1"/>
  <c r="BZ240" i="26"/>
  <c r="DF240" i="26" s="1"/>
  <c r="DC240" i="26"/>
  <c r="BZ255" i="26"/>
  <c r="DF255" i="26" s="1"/>
  <c r="DC255" i="26"/>
  <c r="BY24" i="26"/>
  <c r="DB24" i="26"/>
  <c r="DB26" i="26"/>
  <c r="BY26" i="26"/>
  <c r="BY16" i="26"/>
  <c r="DB16" i="26"/>
  <c r="CX95" i="26"/>
  <c r="CX182" i="26"/>
  <c r="CX187" i="26"/>
  <c r="CX77" i="26"/>
  <c r="CX235" i="26"/>
  <c r="CW126" i="26"/>
  <c r="CW75" i="26"/>
  <c r="CX210" i="26"/>
  <c r="CX103" i="26"/>
  <c r="CW29" i="26"/>
  <c r="CW188" i="26"/>
  <c r="CW190" i="26"/>
  <c r="CW97" i="26"/>
  <c r="CW304" i="26"/>
  <c r="CW287" i="26"/>
  <c r="CX38" i="26"/>
  <c r="CW177" i="26"/>
  <c r="CW237" i="26"/>
  <c r="CX276" i="26"/>
  <c r="CW238" i="26"/>
  <c r="CW39" i="26"/>
  <c r="CX322" i="26"/>
  <c r="CX268" i="26"/>
  <c r="CY54" i="20"/>
  <c r="CS108" i="20"/>
  <c r="A108" i="20" s="1" a="1"/>
  <c r="A108" i="20" s="1"/>
  <c r="BL10" i="3"/>
  <c r="BL150" i="3" s="1"/>
  <c r="BK169" i="3"/>
  <c r="BK192" i="3" s="1"/>
  <c r="CP135" i="22"/>
  <c r="CP96" i="22"/>
  <c r="CP134" i="22"/>
  <c r="CP159" i="22"/>
  <c r="CP163" i="22"/>
  <c r="CO118" i="30"/>
  <c r="A118" i="30" s="1" a="1"/>
  <c r="A118" i="30" s="1"/>
  <c r="BJ751" i="9"/>
  <c r="CP119" i="22"/>
  <c r="CP100" i="22"/>
  <c r="CP133" i="22"/>
  <c r="CP102" i="22"/>
  <c r="CP148" i="22"/>
  <c r="CP176" i="22"/>
  <c r="CP139" i="22"/>
  <c r="CP166" i="22"/>
  <c r="CP108" i="22"/>
  <c r="CP106" i="22"/>
  <c r="CO137" i="22"/>
  <c r="CO174" i="22"/>
  <c r="CO101" i="22"/>
  <c r="CO99" i="22"/>
  <c r="CO112" i="22"/>
  <c r="CO131" i="22"/>
  <c r="CO114" i="22"/>
  <c r="CO124" i="22"/>
  <c r="CO149" i="22"/>
  <c r="CO169" i="22"/>
  <c r="CL162" i="22"/>
  <c r="CN162" i="22"/>
  <c r="CL104" i="22"/>
  <c r="CN104" i="22"/>
  <c r="CN151" i="22"/>
  <c r="CL151" i="22"/>
  <c r="CN135" i="22"/>
  <c r="CL135" i="22"/>
  <c r="CN123" i="22"/>
  <c r="CL123" i="22"/>
  <c r="CN175" i="22"/>
  <c r="CL175" i="22"/>
  <c r="CN96" i="22"/>
  <c r="CL96" i="22"/>
  <c r="CL116" i="22"/>
  <c r="CN116" i="22"/>
  <c r="CN138" i="22"/>
  <c r="CL138" i="22"/>
  <c r="CN139" i="22"/>
  <c r="CL139" i="22"/>
  <c r="BJ741" i="9"/>
  <c r="DA78" i="20"/>
  <c r="CL78" i="20"/>
  <c r="DA106" i="20"/>
  <c r="CS106" i="20" s="1"/>
  <c r="A106" i="20" s="1" a="1"/>
  <c r="A106" i="20" s="1"/>
  <c r="CL106" i="20"/>
  <c r="DA58" i="20"/>
  <c r="CS58" i="20" s="1"/>
  <c r="A58" i="20" s="1" a="1"/>
  <c r="A58" i="20" s="1"/>
  <c r="CL58" i="20"/>
  <c r="DA119" i="20"/>
  <c r="CL119" i="20"/>
  <c r="DA34" i="20"/>
  <c r="CS34" i="20" s="1"/>
  <c r="A34" i="20" s="1" a="1"/>
  <c r="A34" i="20" s="1"/>
  <c r="CL34" i="20"/>
  <c r="DA11" i="20"/>
  <c r="CA13" i="20"/>
  <c r="DH14" i="20" s="1"/>
  <c r="CL11" i="20"/>
  <c r="DA18" i="20"/>
  <c r="CL18" i="20"/>
  <c r="DA19" i="20"/>
  <c r="CS19" i="20" s="1"/>
  <c r="A19" i="20" s="1" a="1"/>
  <c r="A19" i="20" s="1"/>
  <c r="CL19" i="20"/>
  <c r="DA28" i="20"/>
  <c r="CS28" i="20" s="1"/>
  <c r="A28" i="20" s="1" a="1"/>
  <c r="A28" i="20" s="1"/>
  <c r="CL28" i="20"/>
  <c r="DA54" i="20"/>
  <c r="CL54" i="20"/>
  <c r="CA24" i="32"/>
  <c r="DA36" i="20"/>
  <c r="CL36" i="20"/>
  <c r="DF123" i="20"/>
  <c r="CZ123" i="20"/>
  <c r="CZ27" i="20"/>
  <c r="BZ29" i="20"/>
  <c r="DG30" i="20" s="1"/>
  <c r="CY61" i="20"/>
  <c r="CY123" i="20"/>
  <c r="CY17" i="20"/>
  <c r="BY23" i="20"/>
  <c r="CY23" i="20" s="1"/>
  <c r="Y105" i="30"/>
  <c r="CA191" i="6"/>
  <c r="CA105" i="30" s="1"/>
  <c r="Y98" i="30"/>
  <c r="CA167" i="6"/>
  <c r="CA98" i="30" s="1"/>
  <c r="Y102" i="30"/>
  <c r="CA182" i="6"/>
  <c r="CA102" i="30" s="1"/>
  <c r="CO202" i="30"/>
  <c r="A202" i="30" s="1" a="1"/>
  <c r="A202" i="30" s="1"/>
  <c r="L94" i="20"/>
  <c r="CV94" i="1"/>
  <c r="CA94" i="1"/>
  <c r="CY94" i="1" s="1"/>
  <c r="L93" i="20"/>
  <c r="CV93" i="1"/>
  <c r="CA93" i="1"/>
  <c r="Y96" i="1"/>
  <c r="L120" i="20"/>
  <c r="CV120" i="1"/>
  <c r="CA120" i="1"/>
  <c r="CY120" i="1" s="1"/>
  <c r="L89" i="20"/>
  <c r="CA89" i="1"/>
  <c r="CY89" i="1" s="1"/>
  <c r="CV89" i="1"/>
  <c r="L65" i="20"/>
  <c r="CV65" i="1"/>
  <c r="CA65" i="1"/>
  <c r="CY65" i="1" s="1"/>
  <c r="L121" i="20"/>
  <c r="CV121" i="1"/>
  <c r="CA121" i="1"/>
  <c r="CY121" i="1" s="1"/>
  <c r="L112" i="20"/>
  <c r="CV112" i="1"/>
  <c r="CA112" i="1"/>
  <c r="CY112" i="1" s="1"/>
  <c r="L20" i="20"/>
  <c r="CV20" i="1"/>
  <c r="CA20" i="1"/>
  <c r="CY20" i="1" s="1"/>
  <c r="L78" i="20"/>
  <c r="CV78" i="1"/>
  <c r="CA78" i="1"/>
  <c r="CY78" i="1" s="1"/>
  <c r="L39" i="20"/>
  <c r="CA39" i="1"/>
  <c r="CV39" i="1"/>
  <c r="K107" i="20"/>
  <c r="CU107" i="1"/>
  <c r="BZ107" i="1"/>
  <c r="CX107" i="1" s="1"/>
  <c r="K77" i="20"/>
  <c r="X85" i="1"/>
  <c r="CU85" i="1" s="1"/>
  <c r="CU77" i="1"/>
  <c r="BZ77" i="1"/>
  <c r="K124" i="20"/>
  <c r="CU124" i="1"/>
  <c r="BZ124" i="1"/>
  <c r="CX124" i="1" s="1"/>
  <c r="K51" i="20"/>
  <c r="CU51" i="1"/>
  <c r="BZ51" i="1"/>
  <c r="CX51" i="1" s="1"/>
  <c r="K65" i="20"/>
  <c r="CU65" i="1"/>
  <c r="BZ65" i="1"/>
  <c r="CX65" i="1" s="1"/>
  <c r="X163" i="20"/>
  <c r="X164" i="20" s="1"/>
  <c r="CU163" i="1"/>
  <c r="BZ163" i="1"/>
  <c r="K123" i="20"/>
  <c r="BZ123" i="1"/>
  <c r="CX123" i="1" s="1"/>
  <c r="CU123" i="1"/>
  <c r="K70" i="20"/>
  <c r="CU70" i="1"/>
  <c r="BZ70" i="1"/>
  <c r="CX70" i="1" s="1"/>
  <c r="K93" i="20"/>
  <c r="CU93" i="1"/>
  <c r="BZ93" i="1"/>
  <c r="X96" i="1"/>
  <c r="K71" i="20"/>
  <c r="CU71" i="1"/>
  <c r="BZ71" i="1"/>
  <c r="CX71" i="1" s="1"/>
  <c r="K36" i="20"/>
  <c r="CU36" i="1"/>
  <c r="BZ36" i="1"/>
  <c r="CX36" i="1" s="1"/>
  <c r="K135" i="20"/>
  <c r="CU135" i="1"/>
  <c r="BZ135" i="1"/>
  <c r="J106" i="20"/>
  <c r="CT106" i="1"/>
  <c r="BY106" i="1"/>
  <c r="CW106" i="1" s="1"/>
  <c r="CQ106" i="1" s="1"/>
  <c r="J39" i="20"/>
  <c r="DD39" i="1"/>
  <c r="CT39" i="1"/>
  <c r="BY39" i="1"/>
  <c r="J54" i="20"/>
  <c r="CT54" i="1"/>
  <c r="BY54" i="1"/>
  <c r="J128" i="20"/>
  <c r="W131" i="1"/>
  <c r="CT128" i="1"/>
  <c r="BY128" i="1"/>
  <c r="J108" i="20"/>
  <c r="CT108" i="1"/>
  <c r="BY108" i="1"/>
  <c r="CW108" i="1" s="1"/>
  <c r="J110" i="20"/>
  <c r="CT110" i="1"/>
  <c r="BY110" i="1"/>
  <c r="CW110" i="1" s="1"/>
  <c r="J120" i="20"/>
  <c r="BY120" i="1"/>
  <c r="CW120" i="1" s="1"/>
  <c r="CT120" i="1"/>
  <c r="J21" i="20"/>
  <c r="CT21" i="1"/>
  <c r="BY21" i="1"/>
  <c r="CW21" i="1" s="1"/>
  <c r="J14" i="20"/>
  <c r="CT14" i="1"/>
  <c r="BY14" i="1"/>
  <c r="J52" i="20"/>
  <c r="CT52" i="1"/>
  <c r="BY52" i="1"/>
  <c r="CW52" i="1" s="1"/>
  <c r="J66" i="20"/>
  <c r="CT66" i="1"/>
  <c r="BY66" i="1"/>
  <c r="CW66" i="1" s="1"/>
  <c r="CP99" i="1"/>
  <c r="DE99" i="26"/>
  <c r="CX99" i="26" s="1"/>
  <c r="CV104" i="26"/>
  <c r="BJ752" i="9"/>
  <c r="CA221" i="6"/>
  <c r="CA136" i="1" s="1"/>
  <c r="Y136" i="1"/>
  <c r="Y137" i="1" s="1"/>
  <c r="CV137" i="1" s="1"/>
  <c r="X154" i="30"/>
  <c r="BZ215" i="6"/>
  <c r="BZ154" i="30" s="1"/>
  <c r="X192" i="30"/>
  <c r="BZ143" i="6"/>
  <c r="BZ192" i="30" s="1"/>
  <c r="BZ75" i="33" s="1"/>
  <c r="BZ204" i="30"/>
  <c r="BZ86" i="33" s="1"/>
  <c r="BY222" i="6"/>
  <c r="CO222" i="6" s="1" a="1"/>
  <c r="CO222" i="6" s="1"/>
  <c r="BY231" i="6"/>
  <c r="CO231" i="6" s="1" a="1"/>
  <c r="CO231" i="6" s="1"/>
  <c r="BY121" i="6"/>
  <c r="BY129" i="6" s="1"/>
  <c r="BY200" i="30" s="1"/>
  <c r="W279" i="6"/>
  <c r="BY277" i="6"/>
  <c r="BY279" i="6" s="1"/>
  <c r="BY55" i="6"/>
  <c r="CS55" i="6" s="1"/>
  <c r="CO112" i="6" a="1"/>
  <c r="CO112" i="6" s="1"/>
  <c r="CS112" i="6"/>
  <c r="CL112" i="6"/>
  <c r="BK164" i="3"/>
  <c r="BK187" i="3" s="1"/>
  <c r="DD137" i="26"/>
  <c r="CW137" i="26" s="1"/>
  <c r="DD66" i="26"/>
  <c r="DG116" i="26"/>
  <c r="CA20" i="26"/>
  <c r="DG20" i="26" s="1"/>
  <c r="DD20" i="26"/>
  <c r="CA14" i="26"/>
  <c r="DG14" i="26" s="1"/>
  <c r="DD14" i="26"/>
  <c r="CA21" i="26"/>
  <c r="DG21" i="26" s="1"/>
  <c r="DD21" i="26"/>
  <c r="DG171" i="26"/>
  <c r="CX171" i="26" s="1"/>
  <c r="DD22" i="26"/>
  <c r="CA22" i="26"/>
  <c r="DG22" i="26" s="1"/>
  <c r="DG92" i="26"/>
  <c r="CA26" i="26"/>
  <c r="DG26" i="26" s="1"/>
  <c r="DD26" i="26"/>
  <c r="DG204" i="26"/>
  <c r="DD17" i="26"/>
  <c r="CA17" i="26"/>
  <c r="DG17" i="26" s="1"/>
  <c r="DD254" i="26"/>
  <c r="CA254" i="26"/>
  <c r="DG254" i="26" s="1"/>
  <c r="DD139" i="26"/>
  <c r="CW139" i="26" s="1"/>
  <c r="DG198" i="26"/>
  <c r="CX198" i="26" s="1"/>
  <c r="DG125" i="26"/>
  <c r="DD176" i="26"/>
  <c r="CW176" i="26" s="1"/>
  <c r="CA297" i="26"/>
  <c r="DG297" i="26" s="1"/>
  <c r="DD297" i="26"/>
  <c r="BZ166" i="26"/>
  <c r="DF166" i="26" s="1"/>
  <c r="DC166" i="26"/>
  <c r="BZ21" i="26"/>
  <c r="DF21" i="26" s="1"/>
  <c r="DC21" i="26"/>
  <c r="DB332" i="26"/>
  <c r="BY332" i="26"/>
  <c r="W334" i="26"/>
  <c r="DB334" i="26" s="1"/>
  <c r="CX177" i="26"/>
  <c r="CX60" i="26"/>
  <c r="CX89" i="26"/>
  <c r="CW104" i="26"/>
  <c r="CW77" i="26"/>
  <c r="CX78" i="26"/>
  <c r="CX126" i="26"/>
  <c r="CW152" i="26"/>
  <c r="CW78" i="26"/>
  <c r="CW103" i="26"/>
  <c r="CW35" i="26"/>
  <c r="CX190" i="26"/>
  <c r="CW239" i="26"/>
  <c r="CW195" i="26"/>
  <c r="CX302" i="26"/>
  <c r="CW149" i="26"/>
  <c r="CX304" i="26"/>
  <c r="CW322" i="26"/>
  <c r="CW201" i="26"/>
  <c r="CX324" i="26"/>
  <c r="CW36" i="26"/>
  <c r="CW143" i="26"/>
  <c r="CW250" i="26"/>
  <c r="CW112" i="26"/>
  <c r="CX285" i="26"/>
  <c r="BJ750" i="9"/>
  <c r="BJ29" i="20"/>
  <c r="BJ14" i="30" s="1"/>
  <c r="BY27" i="20"/>
  <c r="CL27" i="20" s="1"/>
  <c r="BJ24" i="32"/>
  <c r="BJ25" i="32" s="1"/>
  <c r="BJ24" i="35" s="1"/>
  <c r="BJ23" i="20"/>
  <c r="CS112" i="20"/>
  <c r="A112" i="20" s="1" a="1"/>
  <c r="A112" i="20" s="1"/>
  <c r="BJ131" i="20"/>
  <c r="BJ132" i="20" s="1"/>
  <c r="BJ28" i="30" s="1"/>
  <c r="BJ26" i="32" s="1"/>
  <c r="BJ25" i="35" s="1"/>
  <c r="BJ746" i="9"/>
  <c r="CP169" i="22"/>
  <c r="CP150" i="22"/>
  <c r="CP144" i="22"/>
  <c r="CP147" i="22"/>
  <c r="CP142" i="22"/>
  <c r="CP172" i="22"/>
  <c r="CP118" i="22"/>
  <c r="CP122" i="22"/>
  <c r="CP123" i="22"/>
  <c r="CP110" i="22"/>
  <c r="CP171" i="22"/>
  <c r="CO130" i="22"/>
  <c r="CO118" i="22"/>
  <c r="CO154" i="22"/>
  <c r="CO172" i="22"/>
  <c r="CO157" i="22"/>
  <c r="CO116" i="22"/>
  <c r="CO159" i="22"/>
  <c r="CO175" i="22"/>
  <c r="CO163" i="22"/>
  <c r="CO125" i="22"/>
  <c r="CO108" i="22"/>
  <c r="CN166" i="22"/>
  <c r="CL166" i="22"/>
  <c r="CN161" i="22"/>
  <c r="CL161" i="22"/>
  <c r="CL114" i="22"/>
  <c r="CN114" i="22"/>
  <c r="CN99" i="22"/>
  <c r="CL99" i="22"/>
  <c r="CL154" i="22"/>
  <c r="CN154" i="22"/>
  <c r="CN119" i="22"/>
  <c r="CL119" i="22"/>
  <c r="CN131" i="22"/>
  <c r="CL131" i="22"/>
  <c r="CL98" i="22"/>
  <c r="CN98" i="22"/>
  <c r="CN147" i="22"/>
  <c r="CL147" i="22"/>
  <c r="CL170" i="22"/>
  <c r="CN170" i="22"/>
  <c r="CN150" i="22"/>
  <c r="CL150" i="22"/>
  <c r="BK220" i="3"/>
  <c r="BK266" i="3"/>
  <c r="BK289" i="3" s="1"/>
  <c r="DA22" i="20"/>
  <c r="CL22" i="20"/>
  <c r="DA125" i="20"/>
  <c r="CL125" i="20"/>
  <c r="DA95" i="20"/>
  <c r="CS95" i="20" s="1"/>
  <c r="A95" i="20" s="1" a="1"/>
  <c r="A95" i="20" s="1"/>
  <c r="CL95" i="20"/>
  <c r="DA68" i="20"/>
  <c r="CS68" i="20" s="1"/>
  <c r="A68" i="20" s="1" a="1"/>
  <c r="A68" i="20" s="1"/>
  <c r="CL68" i="20"/>
  <c r="DA59" i="20"/>
  <c r="CL59" i="20"/>
  <c r="DA51" i="20"/>
  <c r="CL51" i="20"/>
  <c r="DA20" i="20"/>
  <c r="CS20" i="20" s="1"/>
  <c r="A20" i="20" s="1" a="1"/>
  <c r="A20" i="20" s="1"/>
  <c r="CL20" i="20"/>
  <c r="DA44" i="20"/>
  <c r="CS44" i="20" s="1"/>
  <c r="A44" i="20" s="1" a="1"/>
  <c r="A44" i="20" s="1"/>
  <c r="CL44" i="20"/>
  <c r="CA52" i="30"/>
  <c r="CA41" i="6"/>
  <c r="Y41" i="6" s="1"/>
  <c r="DA162" i="20"/>
  <c r="DA52" i="20"/>
  <c r="CS52" i="20" s="1"/>
  <c r="A52" i="20" s="1" a="1"/>
  <c r="A52" i="20" s="1"/>
  <c r="CL52" i="20"/>
  <c r="DA84" i="20"/>
  <c r="CS84" i="20" s="1"/>
  <c r="A84" i="20" s="1" a="1"/>
  <c r="A84" i="20" s="1"/>
  <c r="CL84" i="20"/>
  <c r="BZ131" i="20"/>
  <c r="CZ131" i="20" s="1"/>
  <c r="CZ128" i="20"/>
  <c r="BZ38" i="20"/>
  <c r="CZ33" i="20"/>
  <c r="CZ47" i="20"/>
  <c r="W26" i="12"/>
  <c r="CY93" i="20"/>
  <c r="BY96" i="20"/>
  <c r="CS161" i="20"/>
  <c r="A161" i="20" s="1" a="1"/>
  <c r="A161" i="20" s="1"/>
  <c r="CS118" i="20"/>
  <c r="A118" i="20" s="1" a="1"/>
  <c r="A118" i="20" s="1"/>
  <c r="BK78" i="3"/>
  <c r="BK74" i="3"/>
  <c r="Y80" i="30"/>
  <c r="CA64" i="6"/>
  <c r="CA80" i="30" s="1"/>
  <c r="Y83" i="30"/>
  <c r="CA76" i="6"/>
  <c r="CA83" i="30" s="1"/>
  <c r="Y109" i="30"/>
  <c r="CA203" i="6"/>
  <c r="CA109" i="30" s="1"/>
  <c r="CO49" i="30"/>
  <c r="A49" i="30" s="1" a="1"/>
  <c r="A49" i="30" s="1"/>
  <c r="CO51" i="30"/>
  <c r="A51" i="30" s="1" a="1"/>
  <c r="A51" i="30" s="1"/>
  <c r="L135" i="20"/>
  <c r="CV135" i="1"/>
  <c r="CA135" i="1"/>
  <c r="L81" i="20"/>
  <c r="CV81" i="1"/>
  <c r="CA81" i="1"/>
  <c r="CY81" i="1" s="1"/>
  <c r="L109" i="20"/>
  <c r="CV109" i="1"/>
  <c r="CA109" i="1"/>
  <c r="CY109" i="1" s="1"/>
  <c r="L61" i="20"/>
  <c r="CV61" i="1"/>
  <c r="CA61" i="1"/>
  <c r="L118" i="20"/>
  <c r="CV118" i="1"/>
  <c r="CA118" i="1"/>
  <c r="CY118" i="1" s="1"/>
  <c r="L83" i="20"/>
  <c r="CV83" i="1"/>
  <c r="CA83" i="1"/>
  <c r="CY83" i="1" s="1"/>
  <c r="L107" i="20"/>
  <c r="CV107" i="1"/>
  <c r="CA107" i="1"/>
  <c r="CY107" i="1" s="1"/>
  <c r="L119" i="20"/>
  <c r="CV119" i="1"/>
  <c r="CA119" i="1"/>
  <c r="CY119" i="1" s="1"/>
  <c r="L27" i="20"/>
  <c r="CV27" i="1"/>
  <c r="CA27" i="1"/>
  <c r="Y29" i="1"/>
  <c r="CV29" i="1" s="1"/>
  <c r="L44" i="20"/>
  <c r="CV44" i="1"/>
  <c r="CA44" i="1"/>
  <c r="CY44" i="1" s="1"/>
  <c r="K30" i="20"/>
  <c r="CU30" i="1"/>
  <c r="BZ30" i="1"/>
  <c r="DE30" i="1"/>
  <c r="K108" i="20"/>
  <c r="CU108" i="1"/>
  <c r="BZ108" i="1"/>
  <c r="CX108" i="1" s="1"/>
  <c r="K18" i="20"/>
  <c r="CU18" i="1"/>
  <c r="BZ18" i="1"/>
  <c r="CX18" i="1" s="1"/>
  <c r="K127" i="20"/>
  <c r="CU127" i="1"/>
  <c r="BZ127" i="1"/>
  <c r="CX127" i="1" s="1"/>
  <c r="K98" i="20"/>
  <c r="X100" i="1"/>
  <c r="BZ98" i="1"/>
  <c r="CU98" i="1"/>
  <c r="K21" i="20"/>
  <c r="CU21" i="1"/>
  <c r="BZ21" i="1"/>
  <c r="CX21" i="1" s="1"/>
  <c r="K81" i="20"/>
  <c r="CU81" i="1"/>
  <c r="BZ81" i="1"/>
  <c r="CX81" i="1" s="1"/>
  <c r="K47" i="20"/>
  <c r="CU47" i="1"/>
  <c r="BZ47" i="1"/>
  <c r="K105" i="20"/>
  <c r="CU105" i="1"/>
  <c r="BZ105" i="1"/>
  <c r="K44" i="20"/>
  <c r="CU44" i="1"/>
  <c r="BZ44" i="1"/>
  <c r="CX44" i="1" s="1"/>
  <c r="K17" i="20"/>
  <c r="X23" i="1"/>
  <c r="CU23" i="1" s="1"/>
  <c r="CU17" i="1"/>
  <c r="BZ17" i="1"/>
  <c r="J57" i="20"/>
  <c r="CT57" i="1"/>
  <c r="BY57" i="1"/>
  <c r="W60" i="1"/>
  <c r="DD61" i="1" s="1"/>
  <c r="J37" i="20"/>
  <c r="CT37" i="1"/>
  <c r="CP37" i="1" s="1"/>
  <c r="BY37" i="1"/>
  <c r="CW37" i="1" s="1"/>
  <c r="J28" i="20"/>
  <c r="CT28" i="1"/>
  <c r="BY28" i="1"/>
  <c r="CW28" i="1" s="1"/>
  <c r="J19" i="20"/>
  <c r="CT19" i="1"/>
  <c r="BY19" i="1"/>
  <c r="CW19" i="1" s="1"/>
  <c r="J17" i="20"/>
  <c r="W23" i="1"/>
  <c r="DD24" i="1" s="1"/>
  <c r="CT17" i="1"/>
  <c r="BY17" i="1"/>
  <c r="J20" i="20"/>
  <c r="BY20" i="1"/>
  <c r="CW20" i="1" s="1"/>
  <c r="CT20" i="1"/>
  <c r="J68" i="20"/>
  <c r="CT68" i="1"/>
  <c r="BY68" i="1"/>
  <c r="CW68" i="1" s="1"/>
  <c r="J81" i="20"/>
  <c r="CT81" i="1"/>
  <c r="BY81" i="1"/>
  <c r="CW81" i="1" s="1"/>
  <c r="J122" i="20"/>
  <c r="CT122" i="1"/>
  <c r="BY122" i="1"/>
  <c r="CW122" i="1" s="1"/>
  <c r="J82" i="20"/>
  <c r="CT82" i="1"/>
  <c r="BY82" i="1"/>
  <c r="CW82" i="1" s="1"/>
  <c r="BK87" i="3"/>
  <c r="DB208" i="26"/>
  <c r="DE208" i="26"/>
  <c r="CV157" i="26"/>
  <c r="DB74" i="26"/>
  <c r="CV78" i="26"/>
  <c r="CU74" i="26" a="1"/>
  <c r="CU74" i="26" s="1"/>
  <c r="Y152" i="30"/>
  <c r="CA207" i="6"/>
  <c r="Y113" i="1"/>
  <c r="Y114" i="1" s="1"/>
  <c r="Y184" i="30"/>
  <c r="CA147" i="6"/>
  <c r="CA184" i="30" s="1"/>
  <c r="CA72" i="33" s="1"/>
  <c r="CA151" i="1"/>
  <c r="Y151" i="1"/>
  <c r="X184" i="30"/>
  <c r="BZ147" i="6"/>
  <c r="BZ184" i="30" s="1"/>
  <c r="BZ72" i="33" s="1"/>
  <c r="BY214" i="6"/>
  <c r="W169" i="1"/>
  <c r="W154" i="30"/>
  <c r="BY215" i="6"/>
  <c r="W174" i="30"/>
  <c r="BY241" i="6"/>
  <c r="BY174" i="30" s="1"/>
  <c r="BY223" i="6"/>
  <c r="CL223" i="6" s="1"/>
  <c r="W192" i="30"/>
  <c r="BY143" i="6"/>
  <c r="W155" i="6"/>
  <c r="W184" i="30"/>
  <c r="BY147" i="6"/>
  <c r="DD61" i="26"/>
  <c r="CW61" i="26" s="1"/>
  <c r="DD69" i="26"/>
  <c r="CW69" i="26" s="1"/>
  <c r="DD338" i="26"/>
  <c r="CA338" i="26"/>
  <c r="Y340" i="26"/>
  <c r="DD340" i="26" s="1"/>
  <c r="DD175" i="26"/>
  <c r="CW175" i="26" s="1"/>
  <c r="DG184" i="26"/>
  <c r="CX184" i="26" s="1"/>
  <c r="DG173" i="26"/>
  <c r="DG141" i="26"/>
  <c r="CX141" i="26" s="1"/>
  <c r="DD99" i="26"/>
  <c r="CW99" i="26" s="1"/>
  <c r="DG117" i="26"/>
  <c r="DD65" i="26"/>
  <c r="CW65" i="26" s="1"/>
  <c r="DD184" i="26"/>
  <c r="CW184" i="26" s="1"/>
  <c r="DG69" i="26"/>
  <c r="DG119" i="26"/>
  <c r="CX119" i="26" s="1"/>
  <c r="DG61" i="26"/>
  <c r="CX61" i="26" s="1"/>
  <c r="DD206" i="26"/>
  <c r="CW206" i="26" s="1"/>
  <c r="DD241" i="26"/>
  <c r="CA241" i="26"/>
  <c r="DG241" i="26" s="1"/>
  <c r="DG68" i="26"/>
  <c r="CX68" i="26" s="1"/>
  <c r="DD202" i="26"/>
  <c r="DG98" i="26"/>
  <c r="CX98" i="26" s="1"/>
  <c r="DD98" i="26"/>
  <c r="CA18" i="26"/>
  <c r="DG18" i="26" s="1"/>
  <c r="DD18" i="26"/>
  <c r="DG147" i="26"/>
  <c r="DC296" i="26"/>
  <c r="BZ296" i="26"/>
  <c r="DF296" i="26" s="1"/>
  <c r="BZ227" i="26"/>
  <c r="DF227" i="26" s="1"/>
  <c r="DC227" i="26"/>
  <c r="DD118" i="26"/>
  <c r="CW118" i="26" s="1"/>
  <c r="DD113" i="26"/>
  <c r="DD178" i="26"/>
  <c r="CW178" i="26" s="1"/>
  <c r="DC14" i="26"/>
  <c r="BZ14" i="26"/>
  <c r="DF14" i="26" s="1"/>
  <c r="DD119" i="26"/>
  <c r="CW119" i="26" s="1"/>
  <c r="DC165" i="26"/>
  <c r="X167" i="26"/>
  <c r="X183" i="30" s="1"/>
  <c r="BZ165" i="26"/>
  <c r="DD141" i="26"/>
  <c r="CW141" i="26" s="1"/>
  <c r="BZ295" i="26"/>
  <c r="DF295" i="26" s="1"/>
  <c r="DC295" i="26"/>
  <c r="DD182" i="26"/>
  <c r="CW182" i="26" s="1"/>
  <c r="DC23" i="26"/>
  <c r="BZ23" i="26"/>
  <c r="DF23" i="26" s="1"/>
  <c r="BY165" i="26"/>
  <c r="W167" i="26"/>
  <c r="DB165" i="26"/>
  <c r="DB267" i="26"/>
  <c r="CW267" i="26" s="1"/>
  <c r="BY267" i="26"/>
  <c r="DE267" i="26" s="1"/>
  <c r="BY166" i="26"/>
  <c r="DE166" i="26" s="1"/>
  <c r="DB166" i="26"/>
  <c r="DB277" i="26"/>
  <c r="BY277" i="26"/>
  <c r="W278" i="26"/>
  <c r="BY25" i="26"/>
  <c r="DB25" i="26"/>
  <c r="DB286" i="26"/>
  <c r="BY286" i="26"/>
  <c r="W288" i="26"/>
  <c r="BY27" i="26"/>
  <c r="DB27" i="26"/>
  <c r="BY14" i="26"/>
  <c r="DB14" i="26"/>
  <c r="CW122" i="26"/>
  <c r="CX201" i="26"/>
  <c r="CX200" i="26"/>
  <c r="CW91" i="26"/>
  <c r="CX85" i="26"/>
  <c r="CX323" i="26"/>
  <c r="CW187" i="26"/>
  <c r="A187" i="26" s="1" a="1"/>
  <c r="A187" i="26" s="1"/>
  <c r="CX129" i="26"/>
  <c r="CW45" i="26"/>
  <c r="CX76" i="26"/>
  <c r="CX128" i="26"/>
  <c r="CW321" i="26"/>
  <c r="CX284" i="26"/>
  <c r="CW116" i="26"/>
  <c r="CW151" i="26"/>
  <c r="CX222" i="26"/>
  <c r="CW323" i="26"/>
  <c r="CW94" i="26"/>
  <c r="CX157" i="26"/>
  <c r="CW180" i="26"/>
  <c r="CX191" i="26"/>
  <c r="CW90" i="26"/>
  <c r="CX215" i="26"/>
  <c r="CW215" i="26"/>
  <c r="CW204" i="26"/>
  <c r="CX224" i="26"/>
  <c r="CX223" i="26"/>
  <c r="BJ735" i="9"/>
  <c r="BJ246" i="3"/>
  <c r="BK173" i="3"/>
  <c r="BK196" i="3" s="1"/>
  <c r="CP178" i="22"/>
  <c r="CP113" i="22"/>
  <c r="CP141" i="22"/>
  <c r="CO142" i="22"/>
  <c r="CO121" i="22"/>
  <c r="CO106" i="22"/>
  <c r="CO171" i="22"/>
  <c r="CO143" i="22"/>
  <c r="CO122" i="22"/>
  <c r="CO133" i="22"/>
  <c r="CO167" i="22"/>
  <c r="CO104" i="22"/>
  <c r="CO129" i="22"/>
  <c r="CO111" i="22"/>
  <c r="CN141" i="22"/>
  <c r="CL141" i="22"/>
  <c r="CN167" i="22"/>
  <c r="CL167" i="22"/>
  <c r="CL172" i="22"/>
  <c r="CN172" i="22"/>
  <c r="CN165" i="22"/>
  <c r="CL165" i="22"/>
  <c r="CL126" i="22"/>
  <c r="CN126" i="22"/>
  <c r="CN149" i="22"/>
  <c r="CL149" i="22"/>
  <c r="CL120" i="22"/>
  <c r="CN120" i="22"/>
  <c r="CL122" i="22"/>
  <c r="CN122" i="22"/>
  <c r="CN177" i="22"/>
  <c r="CL177" i="22"/>
  <c r="CN127" i="22"/>
  <c r="CL127" i="22"/>
  <c r="CN101" i="22"/>
  <c r="CL101" i="22"/>
  <c r="BJ756" i="9"/>
  <c r="BJ760" i="9"/>
  <c r="DA180" i="20"/>
  <c r="CL180" i="20"/>
  <c r="CA25" i="30"/>
  <c r="Y25" i="30" s="1"/>
  <c r="DA14" i="20"/>
  <c r="DA122" i="20"/>
  <c r="CS122" i="20" s="1"/>
  <c r="A122" i="20" s="1" a="1"/>
  <c r="A122" i="20" s="1"/>
  <c r="CL122" i="20"/>
  <c r="CA41" i="30"/>
  <c r="DA150" i="20"/>
  <c r="CL150" i="20"/>
  <c r="DA35" i="20"/>
  <c r="CS35" i="20" s="1"/>
  <c r="A35" i="20" s="1" a="1"/>
  <c r="A35" i="20" s="1"/>
  <c r="CL35" i="20"/>
  <c r="DA127" i="20"/>
  <c r="CS127" i="20" s="1"/>
  <c r="A127" i="20" s="1" a="1"/>
  <c r="A127" i="20" s="1"/>
  <c r="CL127" i="20"/>
  <c r="DA130" i="20"/>
  <c r="CS130" i="20" s="1"/>
  <c r="A130" i="20" s="1" a="1"/>
  <c r="A130" i="20" s="1"/>
  <c r="CL130" i="20"/>
  <c r="DA121" i="20"/>
  <c r="CS121" i="20" s="1"/>
  <c r="A121" i="20" s="1" a="1"/>
  <c r="A121" i="20" s="1"/>
  <c r="CL121" i="20"/>
  <c r="DA117" i="20"/>
  <c r="CL117" i="20"/>
  <c r="DA79" i="20"/>
  <c r="CS79" i="20" s="1"/>
  <c r="A79" i="20" s="1" a="1"/>
  <c r="A79" i="20" s="1"/>
  <c r="CL79" i="20"/>
  <c r="BZ100" i="20"/>
  <c r="CZ98" i="20"/>
  <c r="BZ41" i="30"/>
  <c r="CZ150" i="20"/>
  <c r="CZ117" i="20"/>
  <c r="BZ24" i="32"/>
  <c r="CZ36" i="20"/>
  <c r="CZ30" i="20"/>
  <c r="CY36" i="20"/>
  <c r="CY30" i="20"/>
  <c r="CY24" i="20"/>
  <c r="DF24" i="20"/>
  <c r="CS37" i="20"/>
  <c r="A37" i="20" s="1" a="1"/>
  <c r="A37" i="20" s="1"/>
  <c r="Y94" i="30"/>
  <c r="CA132" i="6"/>
  <c r="CA94" i="30" s="1"/>
  <c r="Y82" i="30"/>
  <c r="CA73" i="6"/>
  <c r="CA82" i="30" s="1"/>
  <c r="Y99" i="30"/>
  <c r="CA170" i="6"/>
  <c r="CA99" i="30" s="1"/>
  <c r="CO201" i="30"/>
  <c r="A201" i="30" s="1" a="1"/>
  <c r="A201" i="30" s="1"/>
  <c r="L70" i="20"/>
  <c r="CV70" i="1"/>
  <c r="CA70" i="1"/>
  <c r="CY70" i="1" s="1"/>
  <c r="L11" i="20"/>
  <c r="CV11" i="1"/>
  <c r="CA11" i="1"/>
  <c r="Y13" i="1"/>
  <c r="L64" i="20"/>
  <c r="CV64" i="1"/>
  <c r="CA64" i="1"/>
  <c r="Y74" i="1"/>
  <c r="CV74" i="1" s="1"/>
  <c r="L123" i="20"/>
  <c r="CV123" i="1"/>
  <c r="CA123" i="1"/>
  <c r="CY123" i="1" s="1"/>
  <c r="L69" i="20"/>
  <c r="CV69" i="1"/>
  <c r="CA69" i="1"/>
  <c r="CY69" i="1" s="1"/>
  <c r="L117" i="20"/>
  <c r="CV117" i="1"/>
  <c r="CA117" i="1"/>
  <c r="L18" i="20"/>
  <c r="CV18" i="1"/>
  <c r="CA18" i="1"/>
  <c r="CY18" i="1" s="1"/>
  <c r="L57" i="20"/>
  <c r="CA57" i="1"/>
  <c r="Y60" i="1"/>
  <c r="CV60" i="1" s="1"/>
  <c r="CV57" i="1"/>
  <c r="L35" i="20"/>
  <c r="CV35" i="1"/>
  <c r="CA35" i="1"/>
  <c r="CY35" i="1" s="1"/>
  <c r="Y163" i="20"/>
  <c r="Y164" i="20" s="1"/>
  <c r="CV163" i="1"/>
  <c r="CA163" i="1"/>
  <c r="L79" i="20"/>
  <c r="CV79" i="1"/>
  <c r="CA79" i="1"/>
  <c r="CY79" i="1" s="1"/>
  <c r="K11" i="20"/>
  <c r="CU11" i="1"/>
  <c r="BZ11" i="1"/>
  <c r="X13" i="1"/>
  <c r="DE14" i="1" s="1"/>
  <c r="K50" i="20"/>
  <c r="X53" i="1"/>
  <c r="CU53" i="1" s="1"/>
  <c r="CU50" i="1"/>
  <c r="BZ50" i="1"/>
  <c r="K43" i="20"/>
  <c r="CU43" i="1"/>
  <c r="BZ43" i="1"/>
  <c r="CX43" i="1" s="1"/>
  <c r="K54" i="20"/>
  <c r="CU54" i="1"/>
  <c r="BZ54" i="1"/>
  <c r="K162" i="20"/>
  <c r="CU162" i="1"/>
  <c r="BZ162" i="1"/>
  <c r="X164" i="1"/>
  <c r="CU164" i="1" s="1"/>
  <c r="K121" i="20"/>
  <c r="CU121" i="1"/>
  <c r="BZ121" i="1"/>
  <c r="CX121" i="1" s="1"/>
  <c r="K34" i="20"/>
  <c r="CU34" i="1"/>
  <c r="BZ34" i="1"/>
  <c r="CX34" i="1" s="1"/>
  <c r="K52" i="20"/>
  <c r="CU52" i="1"/>
  <c r="BZ52" i="1"/>
  <c r="CX52" i="1" s="1"/>
  <c r="K125" i="20"/>
  <c r="CU125" i="1"/>
  <c r="BZ125" i="1"/>
  <c r="CX125" i="1" s="1"/>
  <c r="K68" i="20"/>
  <c r="CU68" i="1"/>
  <c r="BZ68" i="1"/>
  <c r="CX68" i="1" s="1"/>
  <c r="K150" i="20"/>
  <c r="CU150" i="1"/>
  <c r="BZ150" i="1"/>
  <c r="CX150" i="1" s="1"/>
  <c r="J77" i="20"/>
  <c r="W85" i="1"/>
  <c r="CT77" i="1"/>
  <c r="BY77" i="1"/>
  <c r="J88" i="20"/>
  <c r="CT88" i="1"/>
  <c r="BY88" i="1"/>
  <c r="W90" i="1"/>
  <c r="J162" i="20"/>
  <c r="CT162" i="1"/>
  <c r="BY162" i="1"/>
  <c r="W164" i="1"/>
  <c r="CT164" i="1" s="1"/>
  <c r="J71" i="20"/>
  <c r="CT71" i="1"/>
  <c r="BY71" i="1"/>
  <c r="CW71" i="1" s="1"/>
  <c r="J93" i="20"/>
  <c r="W96" i="1"/>
  <c r="CT93" i="1"/>
  <c r="CP93" i="1" s="1"/>
  <c r="BY93" i="1"/>
  <c r="J65" i="20"/>
  <c r="CT65" i="1"/>
  <c r="BY65" i="1"/>
  <c r="CW65" i="1" s="1"/>
  <c r="J119" i="20"/>
  <c r="CT119" i="1"/>
  <c r="BY119" i="1"/>
  <c r="CW119" i="1" s="1"/>
  <c r="J153" i="20"/>
  <c r="BY153" i="1"/>
  <c r="CW153" i="1" s="1"/>
  <c r="CT153" i="1"/>
  <c r="J24" i="20"/>
  <c r="CT24" i="1"/>
  <c r="BY24" i="1"/>
  <c r="J135" i="20"/>
  <c r="CT135" i="1"/>
  <c r="BY135" i="1"/>
  <c r="J42" i="20"/>
  <c r="W46" i="1"/>
  <c r="DD47" i="1" s="1"/>
  <c r="CT42" i="1"/>
  <c r="CP42" i="1" s="1"/>
  <c r="BY42" i="1"/>
  <c r="BK216" i="3"/>
  <c r="BK262" i="3"/>
  <c r="BK285" i="3" s="1"/>
  <c r="DE63" i="26"/>
  <c r="CU63" i="26" a="1"/>
  <c r="CU63" i="26" s="1"/>
  <c r="CW148" i="26"/>
  <c r="Y205" i="30"/>
  <c r="CA82" i="6"/>
  <c r="CA205" i="30" s="1"/>
  <c r="CA87" i="33" s="1"/>
  <c r="BZ151" i="1"/>
  <c r="X151" i="1"/>
  <c r="X205" i="30"/>
  <c r="BZ82" i="6"/>
  <c r="BZ205" i="30" s="1"/>
  <c r="BZ87" i="33" s="1"/>
  <c r="X193" i="30"/>
  <c r="BZ42" i="6"/>
  <c r="BZ193" i="30" s="1"/>
  <c r="BZ76" i="33" s="1"/>
  <c r="BZ221" i="6"/>
  <c r="BZ136" i="1" s="1"/>
  <c r="X136" i="1"/>
  <c r="X137" i="1" s="1"/>
  <c r="CU137" i="1" s="1"/>
  <c r="X152" i="30"/>
  <c r="BZ207" i="6"/>
  <c r="X113" i="1"/>
  <c r="CS113" i="6"/>
  <c r="CL113" i="6"/>
  <c r="CO113" i="6" a="1"/>
  <c r="CO113" i="6" s="1"/>
  <c r="BY211" i="6"/>
  <c r="CL211" i="6" s="1"/>
  <c r="BY225" i="6"/>
  <c r="CS225" i="6" s="1"/>
  <c r="BY153" i="6"/>
  <c r="CL153" i="6" s="1"/>
  <c r="BY146" i="6"/>
  <c r="CO146" i="6" s="1" a="1"/>
  <c r="CO146" i="6" s="1"/>
  <c r="W151" i="1"/>
  <c r="DD171" i="26"/>
  <c r="CW171" i="26" s="1"/>
  <c r="DD63" i="26"/>
  <c r="CW63" i="26" s="1"/>
  <c r="DG148" i="26"/>
  <c r="CX148" i="26" s="1"/>
  <c r="DD203" i="26"/>
  <c r="CW203" i="26" s="1"/>
  <c r="CA227" i="26"/>
  <c r="DG227" i="26" s="1"/>
  <c r="DD227" i="26"/>
  <c r="DD121" i="26"/>
  <c r="CW121" i="26" s="1"/>
  <c r="DD74" i="26"/>
  <c r="CA226" i="26"/>
  <c r="DD226" i="26"/>
  <c r="Y149" i="1"/>
  <c r="DD166" i="26"/>
  <c r="CA166" i="26"/>
  <c r="DG166" i="26" s="1"/>
  <c r="DD173" i="26"/>
  <c r="CW173" i="26" s="1"/>
  <c r="DG65" i="26"/>
  <c r="CX65" i="26" s="1"/>
  <c r="DG195" i="26"/>
  <c r="CX195" i="26" s="1"/>
  <c r="DG88" i="26"/>
  <c r="DD305" i="26"/>
  <c r="CA305" i="26"/>
  <c r="DG70" i="26"/>
  <c r="CX70" i="26" s="1"/>
  <c r="DD199" i="26"/>
  <c r="CW199" i="26" s="1"/>
  <c r="BZ22" i="26"/>
  <c r="DF22" i="26" s="1"/>
  <c r="DC22" i="26"/>
  <c r="DC305" i="26"/>
  <c r="BZ305" i="26"/>
  <c r="DD198" i="26"/>
  <c r="CW198" i="26" s="1"/>
  <c r="BY226" i="26"/>
  <c r="DB226" i="26"/>
  <c r="W149" i="1"/>
  <c r="BY227" i="26"/>
  <c r="DE227" i="26" s="1"/>
  <c r="DB227" i="26"/>
  <c r="DB255" i="26"/>
  <c r="BY255" i="26"/>
  <c r="DE255" i="26" s="1"/>
  <c r="W340" i="26"/>
  <c r="DB340" i="26" s="1"/>
  <c r="DB338" i="26"/>
  <c r="BY338" i="26"/>
  <c r="BY19" i="26"/>
  <c r="DB19" i="26"/>
  <c r="DB17" i="26"/>
  <c r="BY17" i="26"/>
  <c r="CX121" i="26"/>
  <c r="CX149" i="26"/>
  <c r="CW101" i="26"/>
  <c r="CW76" i="26"/>
  <c r="CX29" i="26"/>
  <c r="CW211" i="26"/>
  <c r="A211" i="26" s="1" a="1"/>
  <c r="A211" i="26" s="1"/>
  <c r="CW43" i="26"/>
  <c r="CW31" i="26"/>
  <c r="CX101" i="26"/>
  <c r="CW213" i="26"/>
  <c r="CW129" i="26"/>
  <c r="CX144" i="26"/>
  <c r="CW66" i="26"/>
  <c r="CW223" i="26"/>
  <c r="CX238" i="26"/>
  <c r="CX156" i="26"/>
  <c r="CW253" i="26"/>
  <c r="CW38" i="26"/>
  <c r="CW302" i="26"/>
  <c r="CW196" i="26"/>
  <c r="CX251" i="26"/>
  <c r="CW155" i="26"/>
  <c r="CW209" i="26"/>
  <c r="CW264" i="26"/>
  <c r="A264" i="26" s="1" a="1"/>
  <c r="A264" i="26" s="1"/>
  <c r="BJ25" i="30"/>
  <c r="BY14" i="20"/>
  <c r="BJ85" i="20"/>
  <c r="BJ20" i="30" s="1"/>
  <c r="BJ38" i="20"/>
  <c r="BJ15" i="30" s="1"/>
  <c r="BK16" i="3"/>
  <c r="BK22" i="3"/>
  <c r="BK4" i="9"/>
  <c r="BK20" i="3"/>
  <c r="BE23" i="32"/>
  <c r="BE112" i="30"/>
  <c r="BE114" i="30"/>
  <c r="BK86" i="3"/>
  <c r="CO117" i="30"/>
  <c r="A117" i="30" s="1" a="1"/>
  <c r="A117" i="30" s="1"/>
  <c r="CP128" i="22"/>
  <c r="CP154" i="22"/>
  <c r="CP164" i="22"/>
  <c r="BK73" i="3"/>
  <c r="CO76" i="30"/>
  <c r="A76" i="30" s="1" a="1"/>
  <c r="A76" i="30" s="1"/>
  <c r="CO90" i="30"/>
  <c r="A90" i="30" s="1" a="1"/>
  <c r="A90" i="30" s="1"/>
  <c r="CO92" i="30"/>
  <c r="A92" i="30" s="1" a="1"/>
  <c r="A92" i="30" s="1"/>
  <c r="BJ743" i="9"/>
  <c r="CP153" i="22"/>
  <c r="CP132" i="22"/>
  <c r="CP149" i="22"/>
  <c r="CP136" i="22"/>
  <c r="CP101" i="22"/>
  <c r="CP120" i="22"/>
  <c r="CP156" i="22"/>
  <c r="CP162" i="22"/>
  <c r="CP157" i="22"/>
  <c r="CP127" i="22"/>
  <c r="CP140" i="22"/>
  <c r="CO120" i="22"/>
  <c r="CO153" i="22"/>
  <c r="CO107" i="22"/>
  <c r="CO140" i="22"/>
  <c r="CO152" i="22"/>
  <c r="CO148" i="22"/>
  <c r="CO155" i="22"/>
  <c r="CO132" i="22"/>
  <c r="CO128" i="22"/>
  <c r="CO139" i="22"/>
  <c r="CN128" i="22"/>
  <c r="CL128" i="22"/>
  <c r="CN124" i="22"/>
  <c r="CL124" i="22"/>
  <c r="CN134" i="22"/>
  <c r="CL134" i="22"/>
  <c r="CN103" i="22"/>
  <c r="CL103" i="22"/>
  <c r="CN174" i="22"/>
  <c r="CL174" i="22"/>
  <c r="CN156" i="22"/>
  <c r="CL156" i="22"/>
  <c r="CN146" i="22"/>
  <c r="CL146" i="22"/>
  <c r="CN100" i="22"/>
  <c r="CL100" i="22"/>
  <c r="CN153" i="22"/>
  <c r="CL153" i="22"/>
  <c r="CN111" i="22"/>
  <c r="CL111" i="22"/>
  <c r="CL108" i="22"/>
  <c r="CN108" i="22"/>
  <c r="DA70" i="20"/>
  <c r="CS70" i="20" s="1"/>
  <c r="A70" i="20" s="1" a="1"/>
  <c r="A70" i="20" s="1"/>
  <c r="CL70" i="20"/>
  <c r="Y26" i="12"/>
  <c r="CA96" i="20"/>
  <c r="DA93" i="20"/>
  <c r="CL93" i="20"/>
  <c r="DA67" i="20"/>
  <c r="CS67" i="20" s="1"/>
  <c r="A67" i="20" s="1" a="1"/>
  <c r="A67" i="20" s="1"/>
  <c r="CL67" i="20"/>
  <c r="DA30" i="20"/>
  <c r="CL30" i="20"/>
  <c r="DA124" i="20"/>
  <c r="CS124" i="20" s="1"/>
  <c r="A124" i="20" s="1" a="1"/>
  <c r="A124" i="20" s="1"/>
  <c r="CL124" i="20"/>
  <c r="DA65" i="20"/>
  <c r="CS65" i="20" s="1"/>
  <c r="A65" i="20" s="1" a="1"/>
  <c r="A65" i="20" s="1"/>
  <c r="CL65" i="20"/>
  <c r="DA50" i="20"/>
  <c r="CA53" i="20"/>
  <c r="DH54" i="20" s="1"/>
  <c r="CL50" i="20"/>
  <c r="DA27" i="20"/>
  <c r="CA29" i="20"/>
  <c r="DA94" i="20"/>
  <c r="CS94" i="20" s="1"/>
  <c r="A94" i="20" s="1" a="1"/>
  <c r="A94" i="20" s="1"/>
  <c r="CL94" i="20"/>
  <c r="DA73" i="20"/>
  <c r="CS73" i="20" s="1"/>
  <c r="A73" i="20" s="1" a="1"/>
  <c r="A73" i="20" s="1"/>
  <c r="CL73" i="20"/>
  <c r="BZ44" i="30"/>
  <c r="X44" i="30" s="1"/>
  <c r="CZ153" i="20"/>
  <c r="BZ46" i="20"/>
  <c r="DG47" i="20" s="1"/>
  <c r="CZ42" i="20"/>
  <c r="X26" i="12"/>
  <c r="CZ93" i="20"/>
  <c r="BZ96" i="20"/>
  <c r="CZ64" i="20"/>
  <c r="BZ74" i="20"/>
  <c r="CY50" i="20"/>
  <c r="BY53" i="20"/>
  <c r="DF54" i="20" s="1"/>
  <c r="CS80" i="20"/>
  <c r="A80" i="20" s="1" a="1"/>
  <c r="A80" i="20" s="1"/>
  <c r="CY117" i="20"/>
  <c r="BY100" i="20"/>
  <c r="CY98" i="20"/>
  <c r="Y103" i="30"/>
  <c r="CA185" i="6"/>
  <c r="CA103" i="30" s="1"/>
  <c r="Y108" i="30"/>
  <c r="CA200" i="6"/>
  <c r="CA108" i="30" s="1"/>
  <c r="Y103" i="33"/>
  <c r="Y216" i="30"/>
  <c r="Y191" i="30"/>
  <c r="Y86" i="30"/>
  <c r="CA86" i="6"/>
  <c r="CO156" i="30"/>
  <c r="A156" i="30" s="1" a="1"/>
  <c r="A156" i="30" s="1"/>
  <c r="L24" i="20"/>
  <c r="CA24" i="1"/>
  <c r="DF24" i="1"/>
  <c r="CV24" i="1"/>
  <c r="L34" i="20"/>
  <c r="CV34" i="1"/>
  <c r="CA34" i="1"/>
  <c r="CY34" i="1" s="1"/>
  <c r="L58" i="20"/>
  <c r="CV58" i="1"/>
  <c r="CA58" i="1"/>
  <c r="CY58" i="1" s="1"/>
  <c r="L30" i="20"/>
  <c r="CA30" i="1"/>
  <c r="DF30" i="1"/>
  <c r="CV30" i="1"/>
  <c r="L77" i="20"/>
  <c r="Y85" i="1"/>
  <c r="CV85" i="1" s="1"/>
  <c r="CV77" i="1"/>
  <c r="CA77" i="1"/>
  <c r="L72" i="20"/>
  <c r="CV72" i="1"/>
  <c r="CA72" i="1"/>
  <c r="CY72" i="1" s="1"/>
  <c r="L45" i="20"/>
  <c r="CV45" i="1"/>
  <c r="CA45" i="1"/>
  <c r="CY45" i="1" s="1"/>
  <c r="L47" i="20"/>
  <c r="CA47" i="1"/>
  <c r="DF47" i="1"/>
  <c r="CV47" i="1"/>
  <c r="L84" i="20"/>
  <c r="CV84" i="1"/>
  <c r="CA84" i="1"/>
  <c r="CY84" i="1" s="1"/>
  <c r="L68" i="20"/>
  <c r="CV68" i="1"/>
  <c r="CA68" i="1"/>
  <c r="CY68" i="1" s="1"/>
  <c r="K12" i="20"/>
  <c r="CU12" i="1"/>
  <c r="BZ12" i="1"/>
  <c r="CX12" i="1" s="1"/>
  <c r="K120" i="20"/>
  <c r="CU120" i="1"/>
  <c r="BZ120" i="1"/>
  <c r="CX120" i="1" s="1"/>
  <c r="K128" i="20"/>
  <c r="X131" i="1"/>
  <c r="CU131" i="1" s="1"/>
  <c r="CU128" i="1"/>
  <c r="BZ128" i="1"/>
  <c r="K59" i="20"/>
  <c r="CU59" i="1"/>
  <c r="BZ59" i="1"/>
  <c r="CX59" i="1" s="1"/>
  <c r="K14" i="20"/>
  <c r="BZ14" i="1"/>
  <c r="CU14" i="1"/>
  <c r="K153" i="20"/>
  <c r="CU153" i="1"/>
  <c r="BZ153" i="1"/>
  <c r="CX153" i="1" s="1"/>
  <c r="K89" i="20"/>
  <c r="CU89" i="1"/>
  <c r="BZ89" i="1"/>
  <c r="CX89" i="1" s="1"/>
  <c r="K79" i="20"/>
  <c r="CU79" i="1"/>
  <c r="BZ79" i="1"/>
  <c r="CX79" i="1" s="1"/>
  <c r="K82" i="20"/>
  <c r="CU82" i="1"/>
  <c r="BZ82" i="1"/>
  <c r="CX82" i="1" s="1"/>
  <c r="K39" i="20"/>
  <c r="CU39" i="1"/>
  <c r="BZ39" i="1"/>
  <c r="J61" i="20"/>
  <c r="CT61" i="1"/>
  <c r="BY61" i="1"/>
  <c r="J125" i="20"/>
  <c r="CT125" i="1"/>
  <c r="BY125" i="1"/>
  <c r="CW125" i="1" s="1"/>
  <c r="J51" i="20"/>
  <c r="CT51" i="1"/>
  <c r="BY51" i="1"/>
  <c r="CW51" i="1" s="1"/>
  <c r="J124" i="20"/>
  <c r="CT124" i="1"/>
  <c r="BY124" i="1"/>
  <c r="CW124" i="1" s="1"/>
  <c r="J79" i="20"/>
  <c r="CT79" i="1"/>
  <c r="BY79" i="1"/>
  <c r="CW79" i="1" s="1"/>
  <c r="J59" i="20"/>
  <c r="CT59" i="1"/>
  <c r="BY59" i="1"/>
  <c r="CW59" i="1" s="1"/>
  <c r="J45" i="20"/>
  <c r="CT45" i="1"/>
  <c r="BY45" i="1"/>
  <c r="CW45" i="1" s="1"/>
  <c r="J70" i="20"/>
  <c r="CT70" i="1"/>
  <c r="BY70" i="1"/>
  <c r="CW70" i="1" s="1"/>
  <c r="J30" i="20"/>
  <c r="CT30" i="1"/>
  <c r="BY30" i="1"/>
  <c r="J78" i="20"/>
  <c r="CT78" i="1"/>
  <c r="BY78" i="1"/>
  <c r="CW78" i="1" s="1"/>
  <c r="BJ753" i="9"/>
  <c r="CW140" i="26"/>
  <c r="DB62" i="26"/>
  <c r="DE62" i="26"/>
  <c r="CX62" i="26" s="1"/>
  <c r="CU62" i="26" a="1"/>
  <c r="CU62" i="26" s="1"/>
  <c r="DE64" i="26"/>
  <c r="CX64" i="26" s="1"/>
  <c r="CU64" i="26" a="1"/>
  <c r="CU64" i="26" s="1"/>
  <c r="DB185" i="26"/>
  <c r="DE185" i="26"/>
  <c r="CX185" i="26" s="1"/>
  <c r="CV191" i="26"/>
  <c r="Y154" i="30"/>
  <c r="CA215" i="6"/>
  <c r="CA154" i="30" s="1"/>
  <c r="Y200" i="30"/>
  <c r="CA200" i="30"/>
  <c r="CA265" i="6"/>
  <c r="Y267" i="6"/>
  <c r="Y282" i="6" s="1"/>
  <c r="Y247" i="6" s="1"/>
  <c r="Y284" i="6"/>
  <c r="Y258" i="6" s="1"/>
  <c r="Y168" i="1" s="1"/>
  <c r="CA151" i="6"/>
  <c r="CA143" i="1" s="1"/>
  <c r="Y143" i="1"/>
  <c r="BZ271" i="6"/>
  <c r="BZ273" i="6" s="1"/>
  <c r="X273" i="6"/>
  <c r="BZ151" i="6"/>
  <c r="BZ143" i="1" s="1"/>
  <c r="X143" i="1"/>
  <c r="BZ240" i="6"/>
  <c r="BZ126" i="1" s="1"/>
  <c r="X126" i="1"/>
  <c r="W200" i="30"/>
  <c r="BY145" i="6"/>
  <c r="CL145" i="6" s="1"/>
  <c r="W204" i="30"/>
  <c r="BY271" i="6"/>
  <c r="BY273" i="6" s="1"/>
  <c r="W273" i="6"/>
  <c r="BY148" i="6"/>
  <c r="CO148" i="6" s="1" a="1"/>
  <c r="CO148" i="6" s="1"/>
  <c r="BY212" i="6"/>
  <c r="W152" i="1"/>
  <c r="BY59" i="6"/>
  <c r="BY69" i="6" s="1"/>
  <c r="BY68" i="6" s="1"/>
  <c r="W69" i="6"/>
  <c r="DD64" i="26"/>
  <c r="CW64" i="26" s="1"/>
  <c r="DD68" i="26"/>
  <c r="CW68" i="26" s="1"/>
  <c r="DD146" i="26"/>
  <c r="CW146" i="26" s="1"/>
  <c r="DD138" i="26"/>
  <c r="CW138" i="26" s="1"/>
  <c r="DD183" i="26"/>
  <c r="CW183" i="26" s="1"/>
  <c r="DG208" i="26"/>
  <c r="DG114" i="26"/>
  <c r="DD286" i="26"/>
  <c r="CA286" i="26"/>
  <c r="DG286" i="26" s="1"/>
  <c r="DG175" i="26"/>
  <c r="CX175" i="26" s="1"/>
  <c r="DG143" i="26"/>
  <c r="CX143" i="26" s="1"/>
  <c r="DD114" i="26"/>
  <c r="CW114" i="26" s="1"/>
  <c r="DG183" i="26"/>
  <c r="CX183" i="26" s="1"/>
  <c r="DD144" i="26"/>
  <c r="CW144" i="26" s="1"/>
  <c r="DG196" i="26"/>
  <c r="CX196" i="26" s="1"/>
  <c r="DG142" i="26"/>
  <c r="CX142" i="26" s="1"/>
  <c r="DD185" i="26"/>
  <c r="DG124" i="26"/>
  <c r="CX124" i="26" s="1"/>
  <c r="DD208" i="26"/>
  <c r="CA277" i="26"/>
  <c r="DG277" i="26" s="1"/>
  <c r="DD277" i="26"/>
  <c r="BZ254" i="26"/>
  <c r="DF254" i="26" s="1"/>
  <c r="DC254" i="26"/>
  <c r="BZ27" i="26"/>
  <c r="DF27" i="26" s="1"/>
  <c r="DC27" i="26"/>
  <c r="BZ241" i="26"/>
  <c r="DF241" i="26" s="1"/>
  <c r="DC241" i="26"/>
  <c r="DC13" i="26"/>
  <c r="BZ13" i="26"/>
  <c r="DC294" i="26"/>
  <c r="BZ294" i="26"/>
  <c r="DF294" i="26" s="1"/>
  <c r="DC20" i="26"/>
  <c r="BZ20" i="26"/>
  <c r="DF20" i="26" s="1"/>
  <c r="DC277" i="26"/>
  <c r="BZ277" i="26"/>
  <c r="DF277" i="26" s="1"/>
  <c r="DC16" i="26"/>
  <c r="BZ16" i="26"/>
  <c r="DF16" i="26" s="1"/>
  <c r="DD62" i="26"/>
  <c r="DB240" i="26"/>
  <c r="BY240" i="26"/>
  <c r="W243" i="26"/>
  <c r="DB305" i="26"/>
  <c r="BY305" i="26"/>
  <c r="BY295" i="26"/>
  <c r="DE295" i="26" s="1"/>
  <c r="DB295" i="26"/>
  <c r="DB296" i="26"/>
  <c r="BY296" i="26"/>
  <c r="DE296" i="26" s="1"/>
  <c r="BY254" i="26"/>
  <c r="DB254" i="26"/>
  <c r="BY344" i="26"/>
  <c r="BY346" i="26" s="1"/>
  <c r="W346" i="26"/>
  <c r="CX137" i="26"/>
  <c r="CX111" i="26"/>
  <c r="CX91" i="26"/>
  <c r="CX96" i="26"/>
  <c r="CX174" i="26"/>
  <c r="CX100" i="26"/>
  <c r="CX199" i="26"/>
  <c r="CX120" i="26"/>
  <c r="CW127" i="26"/>
  <c r="CX321" i="26"/>
  <c r="CX43" i="26"/>
  <c r="CX152" i="26"/>
  <c r="CX275" i="26"/>
  <c r="CX31" i="26"/>
  <c r="CW113" i="26"/>
  <c r="CW85" i="26"/>
  <c r="CW124" i="26"/>
  <c r="CX154" i="26"/>
  <c r="CW179" i="26"/>
  <c r="CX287" i="26"/>
  <c r="CW157" i="26"/>
  <c r="CX237" i="26"/>
  <c r="CW150" i="26"/>
  <c r="CW242" i="26"/>
  <c r="CX265" i="26"/>
  <c r="CW145" i="26"/>
  <c r="CX242" i="26"/>
  <c r="CW120" i="26"/>
  <c r="CX253" i="26"/>
  <c r="CX250" i="26"/>
  <c r="CW222" i="26"/>
  <c r="CS22" i="20"/>
  <c r="A22" i="20" s="1" a="1"/>
  <c r="A22" i="20" s="1"/>
  <c r="BJ90" i="20"/>
  <c r="BJ21" i="30" s="1"/>
  <c r="CS78" i="20"/>
  <c r="A78" i="20" s="1" a="1"/>
  <c r="A78" i="20" s="1"/>
  <c r="BJ194" i="30"/>
  <c r="BJ179" i="30"/>
  <c r="BJ65" i="33" s="1"/>
  <c r="BK3" i="9"/>
  <c r="BK37" i="3"/>
  <c r="CO91" i="30"/>
  <c r="A91" i="30" s="1" a="1"/>
  <c r="A91" i="30" s="1"/>
  <c r="BJ742" i="9"/>
  <c r="CO126" i="30"/>
  <c r="A126" i="30" s="1" a="1"/>
  <c r="A126" i="30" s="1"/>
  <c r="CP155" i="22"/>
  <c r="CP116" i="22"/>
  <c r="CP146" i="22"/>
  <c r="BK179" i="3"/>
  <c r="BK202" i="3" s="1"/>
  <c r="CO135" i="30"/>
  <c r="A135" i="30" s="1" a="1"/>
  <c r="A135" i="30" s="1"/>
  <c r="CP160" i="22"/>
  <c r="CP137" i="22"/>
  <c r="CP121" i="22"/>
  <c r="CP97" i="22"/>
  <c r="CP143" i="22"/>
  <c r="CP98" i="22"/>
  <c r="CP151" i="22"/>
  <c r="CP168" i="22"/>
  <c r="CP112" i="22"/>
  <c r="CP138" i="22"/>
  <c r="CP115" i="22"/>
  <c r="CO136" i="22"/>
  <c r="CO146" i="22"/>
  <c r="CO161" i="22"/>
  <c r="CO119" i="22"/>
  <c r="CO103" i="22"/>
  <c r="CO177" i="22"/>
  <c r="CO127" i="22"/>
  <c r="CO123" i="22"/>
  <c r="CO144" i="22"/>
  <c r="CO151" i="22"/>
  <c r="CO158" i="22"/>
  <c r="CN171" i="22"/>
  <c r="CL171" i="22"/>
  <c r="CN143" i="22"/>
  <c r="CL143" i="22"/>
  <c r="CN173" i="22"/>
  <c r="CL173" i="22"/>
  <c r="CN158" i="22"/>
  <c r="CL158" i="22"/>
  <c r="CN130" i="22"/>
  <c r="CL130" i="22"/>
  <c r="CN113" i="22"/>
  <c r="CL113" i="22"/>
  <c r="CL110" i="22"/>
  <c r="CN110" i="22"/>
  <c r="CN133" i="22"/>
  <c r="CL133" i="22"/>
  <c r="CN107" i="22"/>
  <c r="CL107" i="22"/>
  <c r="CN176" i="22"/>
  <c r="CL176" i="22"/>
  <c r="CN145" i="22"/>
  <c r="CL145" i="22"/>
  <c r="BJ748" i="9"/>
  <c r="BJ754" i="9"/>
  <c r="DA21" i="20"/>
  <c r="CS21" i="20" s="1"/>
  <c r="A21" i="20" s="1" a="1"/>
  <c r="A21" i="20" s="1"/>
  <c r="CL21" i="20"/>
  <c r="DA110" i="20"/>
  <c r="CS110" i="20" s="1"/>
  <c r="A110" i="20" s="1" a="1"/>
  <c r="A110" i="20" s="1"/>
  <c r="CL110" i="20"/>
  <c r="DA66" i="20"/>
  <c r="CS66" i="20" s="1"/>
  <c r="A66" i="20" s="1" a="1"/>
  <c r="A66" i="20" s="1"/>
  <c r="CL66" i="20"/>
  <c r="CA90" i="20"/>
  <c r="DA88" i="20"/>
  <c r="CL88" i="20"/>
  <c r="CA44" i="30"/>
  <c r="Y44" i="30" s="1"/>
  <c r="DA153" i="20"/>
  <c r="DA109" i="20"/>
  <c r="CS109" i="20" s="1"/>
  <c r="A109" i="20" s="1" a="1"/>
  <c r="A109" i="20" s="1"/>
  <c r="CL109" i="20"/>
  <c r="DA72" i="20"/>
  <c r="CS72" i="20" s="1"/>
  <c r="A72" i="20" s="1" a="1"/>
  <c r="A72" i="20" s="1"/>
  <c r="CL72" i="20"/>
  <c r="DA129" i="20"/>
  <c r="CS129" i="20" s="1"/>
  <c r="A129" i="20" s="1" a="1"/>
  <c r="A129" i="20" s="1"/>
  <c r="CL129" i="20"/>
  <c r="CA85" i="20"/>
  <c r="DA77" i="20"/>
  <c r="CL77" i="20"/>
  <c r="DA111" i="20"/>
  <c r="CS111" i="20" s="1"/>
  <c r="A111" i="20" s="1" a="1"/>
  <c r="A111" i="20" s="1"/>
  <c r="CL111" i="20"/>
  <c r="CZ88" i="20"/>
  <c r="BZ90" i="20"/>
  <c r="BZ52" i="30"/>
  <c r="BZ41" i="6"/>
  <c r="X41" i="6" s="1"/>
  <c r="CZ162" i="20"/>
  <c r="CZ135" i="20"/>
  <c r="CY64" i="20"/>
  <c r="BY74" i="20"/>
  <c r="CS180" i="20"/>
  <c r="A180" i="20" s="1" a="1"/>
  <c r="A180" i="20" s="1"/>
  <c r="CY47" i="20"/>
  <c r="CS160" i="20"/>
  <c r="A160" i="20" s="1" a="1"/>
  <c r="A160" i="20" s="1"/>
  <c r="BY13" i="20"/>
  <c r="CY11" i="20"/>
  <c r="Y176" i="6"/>
  <c r="CA173" i="6"/>
  <c r="CA176" i="6" s="1"/>
  <c r="CA123" i="30" s="1"/>
  <c r="Y107" i="30"/>
  <c r="CA197" i="6"/>
  <c r="CA107" i="30" s="1"/>
  <c r="Y96" i="30"/>
  <c r="CA157" i="6"/>
  <c r="CA96" i="30" s="1"/>
  <c r="CO186" i="30"/>
  <c r="A186" i="30" s="1" a="1"/>
  <c r="A186" i="30" s="1"/>
  <c r="L66" i="20"/>
  <c r="CV66" i="1"/>
  <c r="CA66" i="1"/>
  <c r="CY66" i="1" s="1"/>
  <c r="L162" i="20"/>
  <c r="CV162" i="1"/>
  <c r="CA162" i="1"/>
  <c r="Y164" i="1"/>
  <c r="CV164" i="1" s="1"/>
  <c r="L124" i="20"/>
  <c r="CV124" i="1"/>
  <c r="CA124" i="1"/>
  <c r="CY124" i="1" s="1"/>
  <c r="L71" i="20"/>
  <c r="CV71" i="1"/>
  <c r="CA71" i="1"/>
  <c r="CY71" i="1" s="1"/>
  <c r="L36" i="20"/>
  <c r="CV36" i="1"/>
  <c r="CA36" i="1"/>
  <c r="CY36" i="1" s="1"/>
  <c r="L88" i="20"/>
  <c r="CA88" i="1"/>
  <c r="Y90" i="1"/>
  <c r="CV90" i="1" s="1"/>
  <c r="CV88" i="1"/>
  <c r="L22" i="20"/>
  <c r="CV22" i="1"/>
  <c r="CA22" i="1"/>
  <c r="CY22" i="1" s="1"/>
  <c r="L98" i="20"/>
  <c r="Y100" i="1"/>
  <c r="CV98" i="1"/>
  <c r="CA98" i="1"/>
  <c r="L130" i="20"/>
  <c r="CV130" i="1"/>
  <c r="CA130" i="1"/>
  <c r="CY130" i="1" s="1"/>
  <c r="L33" i="20"/>
  <c r="CV33" i="1"/>
  <c r="CA33" i="1"/>
  <c r="Y38" i="1"/>
  <c r="CV38" i="1" s="1"/>
  <c r="L12" i="20"/>
  <c r="CV12" i="1"/>
  <c r="CA12" i="1"/>
  <c r="CY12" i="1" s="1"/>
  <c r="K78" i="20"/>
  <c r="CU78" i="1"/>
  <c r="BZ78" i="1"/>
  <c r="CX78" i="1" s="1"/>
  <c r="K64" i="20"/>
  <c r="CU64" i="1"/>
  <c r="BZ64" i="1"/>
  <c r="X74" i="1"/>
  <c r="CU74" i="1" s="1"/>
  <c r="K88" i="20"/>
  <c r="CU88" i="1"/>
  <c r="BZ88" i="1"/>
  <c r="X90" i="1"/>
  <c r="CU90" i="1" s="1"/>
  <c r="K122" i="20"/>
  <c r="CU122" i="1"/>
  <c r="BZ122" i="1"/>
  <c r="CX122" i="1" s="1"/>
  <c r="K83" i="20"/>
  <c r="CU83" i="1"/>
  <c r="BZ83" i="1"/>
  <c r="CX83" i="1" s="1"/>
  <c r="K84" i="20"/>
  <c r="CU84" i="1"/>
  <c r="BZ84" i="1"/>
  <c r="CX84" i="1" s="1"/>
  <c r="K58" i="20"/>
  <c r="CU58" i="1"/>
  <c r="BZ58" i="1"/>
  <c r="CX58" i="1" s="1"/>
  <c r="K28" i="20"/>
  <c r="CU28" i="1"/>
  <c r="BZ28" i="1"/>
  <c r="CX28" i="1" s="1"/>
  <c r="K24" i="20"/>
  <c r="CU24" i="1"/>
  <c r="BZ24" i="1"/>
  <c r="DE24" i="1"/>
  <c r="CQ161" i="1"/>
  <c r="K45" i="20"/>
  <c r="CU45" i="1"/>
  <c r="BZ45" i="1"/>
  <c r="CX45" i="1" s="1"/>
  <c r="J98" i="20"/>
  <c r="W100" i="1"/>
  <c r="CT98" i="1"/>
  <c r="BY98" i="1"/>
  <c r="J72" i="20"/>
  <c r="CT72" i="1"/>
  <c r="BY72" i="1"/>
  <c r="CW72" i="1" s="1"/>
  <c r="J36" i="20"/>
  <c r="CT36" i="1"/>
  <c r="BY36" i="1"/>
  <c r="CW36" i="1" s="1"/>
  <c r="J11" i="20"/>
  <c r="W13" i="1"/>
  <c r="CT11" i="1"/>
  <c r="BY11" i="1"/>
  <c r="J129" i="20"/>
  <c r="BY129" i="1"/>
  <c r="CW129" i="1" s="1"/>
  <c r="CT129" i="1"/>
  <c r="CP129" i="1" s="1"/>
  <c r="J150" i="20"/>
  <c r="CT150" i="1"/>
  <c r="BY150" i="1"/>
  <c r="CW150" i="1" s="1"/>
  <c r="CQ150" i="1" s="1"/>
  <c r="J35" i="20"/>
  <c r="CT35" i="1"/>
  <c r="BY35" i="1"/>
  <c r="CW35" i="1" s="1"/>
  <c r="CQ35" i="1" s="1"/>
  <c r="J43" i="20"/>
  <c r="CT43" i="1"/>
  <c r="BY43" i="1"/>
  <c r="CW43" i="1" s="1"/>
  <c r="J127" i="20"/>
  <c r="CT127" i="1"/>
  <c r="CP127" i="1" s="1"/>
  <c r="BY127" i="1"/>
  <c r="CW127" i="1" s="1"/>
  <c r="CQ127" i="1" s="1"/>
  <c r="J118" i="20"/>
  <c r="BY118" i="1"/>
  <c r="CW118" i="1" s="1"/>
  <c r="CQ118" i="1" s="1"/>
  <c r="CT118" i="1"/>
  <c r="CP118" i="1" s="1"/>
  <c r="J69" i="20"/>
  <c r="CT69" i="1"/>
  <c r="CP69" i="1" s="1"/>
  <c r="BY69" i="1"/>
  <c r="CW69" i="1" s="1"/>
  <c r="CQ69" i="1" s="1"/>
  <c r="BJ822" i="9"/>
  <c r="BJ823" i="9"/>
  <c r="BJ815" i="9"/>
  <c r="BJ824" i="9"/>
  <c r="BJ829" i="9"/>
  <c r="BJ821" i="9"/>
  <c r="BJ813" i="9"/>
  <c r="BJ825" i="9"/>
  <c r="BJ818" i="9"/>
  <c r="BJ816" i="9"/>
  <c r="BJ817" i="9"/>
  <c r="BJ814" i="9"/>
  <c r="BJ828" i="9"/>
  <c r="BJ812" i="9"/>
  <c r="BJ811" i="9"/>
  <c r="BJ810" i="9"/>
  <c r="BJ820" i="9"/>
  <c r="BJ827" i="9"/>
  <c r="BJ819" i="9"/>
  <c r="BJ826" i="9"/>
  <c r="BI80" i="33"/>
  <c r="DE67" i="26"/>
  <c r="CX67" i="26" s="1"/>
  <c r="CU67" i="26" a="1"/>
  <c r="CU67" i="26" s="1"/>
  <c r="CA271" i="6"/>
  <c r="CA273" i="6" s="1"/>
  <c r="Y273" i="6"/>
  <c r="CA212" i="6"/>
  <c r="CA152" i="1" s="1"/>
  <c r="Y152" i="1"/>
  <c r="Y153" i="30"/>
  <c r="CA209" i="6"/>
  <c r="CA153" i="30" s="1"/>
  <c r="Y192" i="30"/>
  <c r="CA143" i="6"/>
  <c r="CA192" i="30" s="1"/>
  <c r="CA75" i="33" s="1"/>
  <c r="BZ59" i="6"/>
  <c r="BZ69" i="6" s="1"/>
  <c r="BZ68" i="6" s="1"/>
  <c r="X69" i="6"/>
  <c r="X68" i="6" s="1"/>
  <c r="BZ214" i="6"/>
  <c r="BZ169" i="1" s="1"/>
  <c r="X169" i="1"/>
  <c r="BY213" i="6"/>
  <c r="CO213" i="6" s="1" a="1"/>
  <c r="CO213" i="6" s="1"/>
  <c r="BY43" i="6"/>
  <c r="CS43" i="6" s="1"/>
  <c r="BY150" i="6"/>
  <c r="CO150" i="6" s="1" a="1"/>
  <c r="CO150" i="6" s="1"/>
  <c r="BY152" i="6"/>
  <c r="CL152" i="6" s="1"/>
  <c r="BY235" i="6"/>
  <c r="CS235" i="6" s="1"/>
  <c r="W267" i="6"/>
  <c r="BY265" i="6"/>
  <c r="W284" i="6"/>
  <c r="W258" i="6" s="1"/>
  <c r="W168" i="1" s="1"/>
  <c r="BY221" i="6"/>
  <c r="BY136" i="1" s="1"/>
  <c r="W226" i="6"/>
  <c r="W136" i="1"/>
  <c r="BK260" i="3"/>
  <c r="BK283" i="3" s="1"/>
  <c r="BK214" i="3"/>
  <c r="BF19" i="32"/>
  <c r="BF85" i="30"/>
  <c r="BF88" i="30" s="1"/>
  <c r="BF14" i="6"/>
  <c r="DD71" i="26"/>
  <c r="CW71" i="26" s="1"/>
  <c r="DG73" i="26"/>
  <c r="DG202" i="26"/>
  <c r="CX202" i="26" s="1"/>
  <c r="CA24" i="26"/>
  <c r="DG24" i="26" s="1"/>
  <c r="DD24" i="26"/>
  <c r="DG205" i="26"/>
  <c r="CX205" i="26" s="1"/>
  <c r="DG181" i="26"/>
  <c r="CX181" i="26" s="1"/>
  <c r="CA332" i="26"/>
  <c r="Y334" i="26"/>
  <c r="DD334" i="26" s="1"/>
  <c r="DD332" i="26"/>
  <c r="DG197" i="26"/>
  <c r="CX197" i="26" s="1"/>
  <c r="CA19" i="26"/>
  <c r="DG19" i="26" s="1"/>
  <c r="DD19" i="26"/>
  <c r="DD117" i="26"/>
  <c r="DD96" i="26"/>
  <c r="CW96" i="26" s="1"/>
  <c r="DD95" i="26"/>
  <c r="CW95" i="26" s="1"/>
  <c r="DD86" i="26"/>
  <c r="CW86" i="26" s="1"/>
  <c r="DG63" i="26"/>
  <c r="CA16" i="26"/>
  <c r="DG16" i="26" s="1"/>
  <c r="DD16" i="26"/>
  <c r="DD25" i="26"/>
  <c r="CA25" i="26"/>
  <c r="DG25" i="26" s="1"/>
  <c r="BZ17" i="26"/>
  <c r="DF17" i="26" s="1"/>
  <c r="DC17" i="26"/>
  <c r="DB294" i="26"/>
  <c r="BY294" i="26"/>
  <c r="DE294" i="26" s="1"/>
  <c r="W298" i="26"/>
  <c r="CX206" i="26"/>
  <c r="CX88" i="26"/>
  <c r="CX146" i="26"/>
  <c r="CX118" i="26"/>
  <c r="CX173" i="26"/>
  <c r="CX147" i="26"/>
  <c r="CX213" i="26"/>
  <c r="CX102" i="26"/>
  <c r="CW102" i="26"/>
  <c r="CX93" i="26"/>
  <c r="CW235" i="26"/>
  <c r="CX127" i="26"/>
  <c r="CW214" i="26"/>
  <c r="CX75" i="26"/>
  <c r="CX130" i="26"/>
  <c r="CX90" i="26"/>
  <c r="CW87" i="26"/>
  <c r="CW111" i="26"/>
  <c r="CX266" i="26"/>
  <c r="CW172" i="26"/>
  <c r="CW252" i="26"/>
  <c r="CW191" i="26"/>
  <c r="CW153" i="26"/>
  <c r="A153" i="26" s="1" a="1"/>
  <c r="A153" i="26" s="1"/>
  <c r="CW256" i="26"/>
  <c r="CW202" i="26"/>
  <c r="CX225" i="26"/>
  <c r="CX256" i="26"/>
  <c r="CW147" i="26"/>
  <c r="CX252" i="26"/>
  <c r="CW224" i="26"/>
  <c r="CW228" i="26"/>
  <c r="A228" i="26" s="1" a="1"/>
  <c r="A228" i="26" s="1"/>
  <c r="CX37" i="26"/>
  <c r="CW266" i="26"/>
  <c r="BJ757" i="9"/>
  <c r="BJ13" i="20"/>
  <c r="DF39" i="20"/>
  <c r="CY39" i="20"/>
  <c r="BJ96" i="20"/>
  <c r="CS82" i="20"/>
  <c r="A82" i="20" s="1" a="1"/>
  <c r="A82" i="20" s="1"/>
  <c r="BJ44" i="30"/>
  <c r="BJ45" i="30" s="1"/>
  <c r="BJ154" i="20"/>
  <c r="BY153" i="20"/>
  <c r="CP145" i="22"/>
  <c r="CP103" i="22"/>
  <c r="BK160" i="3"/>
  <c r="BK183" i="3" s="1"/>
  <c r="CO95" i="30"/>
  <c r="A95" i="30" s="1" a="1"/>
  <c r="A95" i="30" s="1"/>
  <c r="CP125" i="22"/>
  <c r="CP175" i="22"/>
  <c r="CP111" i="22"/>
  <c r="CP126" i="22"/>
  <c r="CP177" i="22"/>
  <c r="CP117" i="22"/>
  <c r="CP170" i="22"/>
  <c r="CP173" i="22"/>
  <c r="CP109" i="22"/>
  <c r="CP105" i="22"/>
  <c r="CO165" i="22"/>
  <c r="CO176" i="22"/>
  <c r="CO150" i="22"/>
  <c r="CO134" i="22"/>
  <c r="CO100" i="22"/>
  <c r="CO138" i="22"/>
  <c r="CO105" i="22"/>
  <c r="CO98" i="22"/>
  <c r="CO145" i="22"/>
  <c r="CO141" i="22"/>
  <c r="CN105" i="22"/>
  <c r="CL105" i="22"/>
  <c r="CN155" i="22"/>
  <c r="CL155" i="22"/>
  <c r="CL164" i="22"/>
  <c r="CN164" i="22"/>
  <c r="CL142" i="22"/>
  <c r="CN142" i="22"/>
  <c r="A142" i="22" s="1" a="1"/>
  <c r="A142" i="22" s="1"/>
  <c r="CL160" i="22"/>
  <c r="CN160" i="22"/>
  <c r="CN179" i="22"/>
  <c r="CL179" i="22"/>
  <c r="CN137" i="22"/>
  <c r="CL137" i="22"/>
  <c r="CL152" i="22"/>
  <c r="CN152" i="22"/>
  <c r="CL148" i="22"/>
  <c r="CN148" i="22"/>
  <c r="CN125" i="22"/>
  <c r="CL125" i="22"/>
  <c r="BH257" i="6"/>
  <c r="BH259" i="6" s="1"/>
  <c r="BH170" i="20"/>
  <c r="BH60" i="30" s="1"/>
  <c r="BK263" i="3"/>
  <c r="BK286" i="3" s="1"/>
  <c r="BK217" i="3"/>
  <c r="CA23" i="20"/>
  <c r="DA17" i="20"/>
  <c r="CL17" i="20"/>
  <c r="DA42" i="20"/>
  <c r="CA46" i="20"/>
  <c r="DA120" i="20"/>
  <c r="CS120" i="20" s="1"/>
  <c r="A120" i="20" s="1" a="1"/>
  <c r="A120" i="20" s="1"/>
  <c r="CL120" i="20"/>
  <c r="DA47" i="20"/>
  <c r="CL47" i="20"/>
  <c r="DA105" i="20"/>
  <c r="CL105" i="20"/>
  <c r="DA107" i="20"/>
  <c r="CS107" i="20" s="1"/>
  <c r="A107" i="20" s="1" a="1"/>
  <c r="A107" i="20" s="1"/>
  <c r="CL107" i="20"/>
  <c r="CA38" i="20"/>
  <c r="DA33" i="20"/>
  <c r="CL33" i="20"/>
  <c r="DA69" i="20"/>
  <c r="CS69" i="20" s="1"/>
  <c r="A69" i="20" s="1" a="1"/>
  <c r="A69" i="20" s="1"/>
  <c r="CL69" i="20"/>
  <c r="DA64" i="20"/>
  <c r="CA74" i="20"/>
  <c r="CL64" i="20"/>
  <c r="DA128" i="20"/>
  <c r="CA131" i="20"/>
  <c r="CL128" i="20"/>
  <c r="CZ11" i="20"/>
  <c r="BZ13" i="20"/>
  <c r="CZ54" i="20"/>
  <c r="CZ50" i="20"/>
  <c r="BZ53" i="20"/>
  <c r="CZ61" i="20"/>
  <c r="DG61" i="20"/>
  <c r="DG39" i="20"/>
  <c r="CZ39" i="20"/>
  <c r="BZ85" i="20"/>
  <c r="CZ77" i="20"/>
  <c r="CS45" i="20"/>
  <c r="A45" i="20" s="1" a="1"/>
  <c r="A45" i="20" s="1"/>
  <c r="CS99" i="20"/>
  <c r="A99" i="20" s="1" a="1"/>
  <c r="A99" i="20" s="1"/>
  <c r="CS51" i="20"/>
  <c r="A51" i="20" s="1" a="1"/>
  <c r="A51" i="20" s="1"/>
  <c r="BY41" i="30"/>
  <c r="CY150" i="20"/>
  <c r="Y81" i="30"/>
  <c r="CA70" i="6"/>
  <c r="CS70" i="6" s="1"/>
  <c r="Y68" i="6"/>
  <c r="Y79" i="30"/>
  <c r="CA60" i="6"/>
  <c r="CA79" i="30" s="1"/>
  <c r="CA161" i="6"/>
  <c r="CA164" i="6" s="1"/>
  <c r="CA122" i="30" s="1"/>
  <c r="Y164" i="6"/>
  <c r="CO188" i="30"/>
  <c r="A188" i="30" s="1" a="1"/>
  <c r="A188" i="30" s="1"/>
  <c r="L67" i="20"/>
  <c r="CV67" i="1"/>
  <c r="CA67" i="1"/>
  <c r="CY67" i="1" s="1"/>
  <c r="L111" i="20"/>
  <c r="CV111" i="1"/>
  <c r="CA111" i="1"/>
  <c r="CY111" i="1" s="1"/>
  <c r="L19" i="20"/>
  <c r="CV19" i="1"/>
  <c r="CA19" i="1"/>
  <c r="CY19" i="1" s="1"/>
  <c r="L80" i="20"/>
  <c r="CV80" i="1"/>
  <c r="CA80" i="1"/>
  <c r="CY80" i="1" s="1"/>
  <c r="L21" i="20"/>
  <c r="CV21" i="1"/>
  <c r="CA21" i="1"/>
  <c r="CY21" i="1" s="1"/>
  <c r="L108" i="20"/>
  <c r="CV108" i="1"/>
  <c r="CA108" i="1"/>
  <c r="CY108" i="1" s="1"/>
  <c r="L110" i="20"/>
  <c r="CV110" i="1"/>
  <c r="CA110" i="1"/>
  <c r="CY110" i="1" s="1"/>
  <c r="L59" i="20"/>
  <c r="CV59" i="1"/>
  <c r="CA59" i="1"/>
  <c r="CY59" i="1" s="1"/>
  <c r="L128" i="20"/>
  <c r="Y131" i="1"/>
  <c r="CV131" i="1" s="1"/>
  <c r="CV128" i="1"/>
  <c r="CA128" i="1"/>
  <c r="K19" i="20"/>
  <c r="CU19" i="1"/>
  <c r="BZ19" i="1"/>
  <c r="CX19" i="1" s="1"/>
  <c r="K94" i="20"/>
  <c r="CU94" i="1"/>
  <c r="BZ94" i="1"/>
  <c r="CX94" i="1" s="1"/>
  <c r="K112" i="20"/>
  <c r="CU112" i="1"/>
  <c r="BZ112" i="1"/>
  <c r="CX112" i="1" s="1"/>
  <c r="K67" i="20"/>
  <c r="CU67" i="1"/>
  <c r="BZ67" i="1"/>
  <c r="CX67" i="1" s="1"/>
  <c r="K61" i="20"/>
  <c r="DE61" i="1"/>
  <c r="CU61" i="1"/>
  <c r="BZ61" i="1"/>
  <c r="K117" i="20"/>
  <c r="BZ117" i="1"/>
  <c r="CU117" i="1"/>
  <c r="K66" i="20"/>
  <c r="CU66" i="1"/>
  <c r="BZ66" i="1"/>
  <c r="CX66" i="1" s="1"/>
  <c r="K119" i="20"/>
  <c r="CU119" i="1"/>
  <c r="BZ119" i="1"/>
  <c r="CX119" i="1" s="1"/>
  <c r="K72" i="20"/>
  <c r="CU72" i="1"/>
  <c r="BZ72" i="1"/>
  <c r="CX72" i="1" s="1"/>
  <c r="J50" i="20"/>
  <c r="W53" i="1"/>
  <c r="CT50" i="1"/>
  <c r="BY50" i="1"/>
  <c r="J67" i="20"/>
  <c r="CT67" i="1"/>
  <c r="BY67" i="1"/>
  <c r="CW67" i="1" s="1"/>
  <c r="J12" i="20"/>
  <c r="CT12" i="1"/>
  <c r="BY12" i="1"/>
  <c r="CW12" i="1" s="1"/>
  <c r="J83" i="20"/>
  <c r="CT83" i="1"/>
  <c r="BY83" i="1"/>
  <c r="CW83" i="1" s="1"/>
  <c r="W163" i="20"/>
  <c r="CT163" i="1"/>
  <c r="CP163" i="1" s="1"/>
  <c r="BY163" i="1"/>
  <c r="J94" i="20"/>
  <c r="CT94" i="1"/>
  <c r="BY94" i="1"/>
  <c r="CW94" i="1" s="1"/>
  <c r="J34" i="20"/>
  <c r="CT34" i="1"/>
  <c r="BY34" i="1"/>
  <c r="CW34" i="1" s="1"/>
  <c r="J89" i="20"/>
  <c r="CT89" i="1"/>
  <c r="BY89" i="1"/>
  <c r="CW89" i="1" s="1"/>
  <c r="CP159" i="1"/>
  <c r="A159" i="1" s="1" a="1"/>
  <c r="A159" i="1" s="1"/>
  <c r="J123" i="20"/>
  <c r="CT123" i="1"/>
  <c r="BY123" i="1"/>
  <c r="CW123" i="1" s="1"/>
  <c r="J64" i="20"/>
  <c r="CT64" i="1"/>
  <c r="BY64" i="1"/>
  <c r="W74" i="1"/>
  <c r="J117" i="20"/>
  <c r="W132" i="1"/>
  <c r="CT117" i="1"/>
  <c r="BY117" i="1"/>
  <c r="BK81" i="3"/>
  <c r="DE209" i="26"/>
  <c r="CX209" i="26" s="1"/>
  <c r="CV215" i="26"/>
  <c r="CX178" i="26"/>
  <c r="DB92" i="26"/>
  <c r="CW92" i="26" s="1"/>
  <c r="DE92" i="26"/>
  <c r="CX114" i="26"/>
  <c r="Y47" i="6"/>
  <c r="DD160" i="26"/>
  <c r="CW160" i="26" s="1"/>
  <c r="CA160" i="26"/>
  <c r="CL160" i="26" s="1"/>
  <c r="Y193" i="30"/>
  <c r="CA42" i="6"/>
  <c r="CA193" i="30" s="1"/>
  <c r="CA76" i="33" s="1"/>
  <c r="Y174" i="30"/>
  <c r="CA241" i="6"/>
  <c r="CA174" i="30" s="1"/>
  <c r="CA240" i="6"/>
  <c r="CA126" i="1" s="1"/>
  <c r="Y126" i="1"/>
  <c r="X200" i="30"/>
  <c r="BZ200" i="30"/>
  <c r="X174" i="30"/>
  <c r="BZ241" i="6"/>
  <c r="BZ174" i="30" s="1"/>
  <c r="X279" i="6"/>
  <c r="BZ277" i="6"/>
  <c r="BZ279" i="6" s="1"/>
  <c r="BY224" i="6"/>
  <c r="CS224" i="6" s="1"/>
  <c r="BY232" i="6"/>
  <c r="CO232" i="6" s="1" a="1"/>
  <c r="CO232" i="6" s="1"/>
  <c r="BY120" i="6"/>
  <c r="BY216" i="6"/>
  <c r="CO216" i="6" s="1" a="1"/>
  <c r="CO216" i="6" s="1"/>
  <c r="W205" i="30"/>
  <c r="BY82" i="6"/>
  <c r="BY205" i="30" s="1"/>
  <c r="BY87" i="33" s="1"/>
  <c r="BY154" i="6"/>
  <c r="CO154" i="6" s="1" a="1"/>
  <c r="CO154" i="6" s="1"/>
  <c r="W193" i="30"/>
  <c r="BY42" i="6"/>
  <c r="BY193" i="30" s="1"/>
  <c r="BY76" i="33" s="1"/>
  <c r="BH47" i="30"/>
  <c r="BH38" i="30"/>
  <c r="BK77" i="3"/>
  <c r="BK79" i="3"/>
  <c r="BK70" i="3"/>
  <c r="BJ755" i="9"/>
  <c r="DD73" i="26"/>
  <c r="CW73" i="26" s="1"/>
  <c r="CA13" i="26"/>
  <c r="DD13" i="26"/>
  <c r="DD181" i="26"/>
  <c r="CW181" i="26" s="1"/>
  <c r="DD23" i="26"/>
  <c r="CA23" i="26"/>
  <c r="DG23" i="26" s="1"/>
  <c r="DD142" i="26"/>
  <c r="CW142" i="26" s="1"/>
  <c r="DG66" i="26"/>
  <c r="DD88" i="26"/>
  <c r="CW88" i="26" s="1"/>
  <c r="CA344" i="26"/>
  <c r="CA346" i="26" s="1"/>
  <c r="Y346" i="26"/>
  <c r="DG113" i="26"/>
  <c r="CX113" i="26" s="1"/>
  <c r="DG139" i="26"/>
  <c r="CX139" i="26" s="1"/>
  <c r="CA240" i="26"/>
  <c r="DG240" i="26" s="1"/>
  <c r="DD240" i="26"/>
  <c r="DG72" i="26"/>
  <c r="CX72" i="26" s="1"/>
  <c r="DG74" i="26"/>
  <c r="CX74" i="26" s="1"/>
  <c r="DD296" i="26"/>
  <c r="CA296" i="26"/>
  <c r="DG296" i="26" s="1"/>
  <c r="DG86" i="26"/>
  <c r="CX86" i="26" s="1"/>
  <c r="DD70" i="26"/>
  <c r="CW70" i="26" s="1"/>
  <c r="BZ18" i="26"/>
  <c r="DF18" i="26" s="1"/>
  <c r="DC18" i="26"/>
  <c r="DC297" i="26"/>
  <c r="BZ297" i="26"/>
  <c r="DF297" i="26" s="1"/>
  <c r="DD123" i="26"/>
  <c r="CW123" i="26" s="1"/>
  <c r="DC25" i="26"/>
  <c r="BZ25" i="26"/>
  <c r="DF25" i="26" s="1"/>
  <c r="DC19" i="26"/>
  <c r="BZ19" i="26"/>
  <c r="DF19" i="26" s="1"/>
  <c r="X189" i="30"/>
  <c r="DC263" i="26"/>
  <c r="BZ263" i="26"/>
  <c r="BZ15" i="26"/>
  <c r="DF15" i="26" s="1"/>
  <c r="DC15" i="26"/>
  <c r="CX176" i="26"/>
  <c r="DB20" i="26"/>
  <c r="BY20" i="26"/>
  <c r="CL20" i="26" s="1"/>
  <c r="W189" i="30"/>
  <c r="DB263" i="26"/>
  <c r="BY263" i="26"/>
  <c r="CU263" i="26" s="1" a="1"/>
  <c r="CU263" i="26" s="1"/>
  <c r="W269" i="26"/>
  <c r="BY21" i="26"/>
  <c r="CL21" i="26" s="1"/>
  <c r="DB21" i="26"/>
  <c r="BY15" i="26"/>
  <c r="DB15" i="26"/>
  <c r="BY23" i="26"/>
  <c r="DB23" i="26"/>
  <c r="DB297" i="26"/>
  <c r="BY297" i="26"/>
  <c r="DE297" i="26" s="1"/>
  <c r="CX203" i="26"/>
  <c r="CX116" i="26"/>
  <c r="CX172" i="26"/>
  <c r="CX214" i="26"/>
  <c r="CW189" i="26"/>
  <c r="CW186" i="26"/>
  <c r="CW284" i="26"/>
  <c r="A284" i="26" s="1" a="1"/>
  <c r="A284" i="26" s="1"/>
  <c r="CX189" i="26"/>
  <c r="CX45" i="26"/>
  <c r="CX188" i="26"/>
  <c r="CW100" i="26"/>
  <c r="CW210" i="26"/>
  <c r="A210" i="26" s="1" a="1"/>
  <c r="A210" i="26" s="1"/>
  <c r="CX186" i="26"/>
  <c r="CX212" i="26"/>
  <c r="CX204" i="26"/>
  <c r="CW236" i="26"/>
  <c r="CX155" i="26"/>
  <c r="CW98" i="26"/>
  <c r="CW251" i="26"/>
  <c r="A251" i="26" s="1" a="1"/>
  <c r="A251" i="26" s="1"/>
  <c r="CX236" i="26"/>
  <c r="CW115" i="26"/>
  <c r="CW265" i="26"/>
  <c r="CW89" i="26"/>
  <c r="A89" i="26" s="1" a="1"/>
  <c r="A89" i="26" s="1"/>
  <c r="CX36" i="26"/>
  <c r="CX239" i="26"/>
  <c r="CW326" i="26"/>
  <c r="CX39" i="26"/>
  <c r="CW285" i="26"/>
  <c r="A285" i="26" s="1" a="1"/>
  <c r="A285" i="26" s="1"/>
  <c r="CX326" i="26"/>
  <c r="CS18" i="20"/>
  <c r="BJ23" i="30"/>
  <c r="BJ179" i="20"/>
  <c r="BJ46" i="20"/>
  <c r="BJ16" i="30" s="1"/>
  <c r="BY42" i="20"/>
  <c r="BY24" i="32" s="1"/>
  <c r="CS59" i="20"/>
  <c r="A59" i="20" s="1" a="1"/>
  <c r="A59" i="20" s="1"/>
  <c r="CS119" i="20"/>
  <c r="A119" i="20" s="1" a="1"/>
  <c r="A119" i="20" s="1"/>
  <c r="CS125" i="20"/>
  <c r="A125" i="20" s="1" a="1"/>
  <c r="A125" i="20" s="1"/>
  <c r="BJ52" i="30"/>
  <c r="BJ54" i="30" s="1"/>
  <c r="BJ41" i="6"/>
  <c r="BJ44" i="6" s="1"/>
  <c r="BJ164" i="20"/>
  <c r="BY162" i="20"/>
  <c r="E31" i="14"/>
  <c r="E29" i="14" a="1"/>
  <c r="W53" i="26" l="1"/>
  <c r="CZ53" i="26" s="1"/>
  <c r="CA49" i="26"/>
  <c r="CA51" i="26"/>
  <c r="BZ49" i="26"/>
  <c r="BZ51" i="26"/>
  <c r="BY49" i="26"/>
  <c r="BY311" i="26" s="1"/>
  <c r="DE311" i="26" s="1"/>
  <c r="BY51" i="26"/>
  <c r="W311" i="26"/>
  <c r="DB311" i="26" s="1"/>
  <c r="CW311" i="26" s="1"/>
  <c r="W313" i="26"/>
  <c r="DB313" i="26" s="1"/>
  <c r="DB51" i="26"/>
  <c r="X313" i="26"/>
  <c r="DC313" i="26" s="1"/>
  <c r="DC51" i="26"/>
  <c r="Y313" i="26"/>
  <c r="DD313" i="26" s="1"/>
  <c r="DD51" i="26"/>
  <c r="X187" i="30"/>
  <c r="Y53" i="26"/>
  <c r="Y185" i="30"/>
  <c r="A179" i="26" a="1"/>
  <c r="A179" i="26" s="1"/>
  <c r="CW340" i="26"/>
  <c r="A142" i="26" a="1"/>
  <c r="A142" i="26" s="1"/>
  <c r="W187" i="30"/>
  <c r="W185" i="30"/>
  <c r="X185" i="30"/>
  <c r="Y187" i="30"/>
  <c r="CL81" i="20"/>
  <c r="A174" i="22" a="1"/>
  <c r="A174" i="22" s="1"/>
  <c r="CQ18" i="20"/>
  <c r="A18" i="20" s="1" a="1"/>
  <c r="A18" i="20" s="1"/>
  <c r="BI156" i="20"/>
  <c r="BI166" i="20" s="1"/>
  <c r="BI170" i="20" s="1"/>
  <c r="BI60" i="30" s="1"/>
  <c r="CS144" i="6"/>
  <c r="CO225" i="6" a="1"/>
  <c r="CO225" i="6" s="1"/>
  <c r="CS216" i="6"/>
  <c r="CS161" i="6"/>
  <c r="CS150" i="20"/>
  <c r="A150" i="20" s="1" a="1"/>
  <c r="A150" i="20" s="1"/>
  <c r="BL144" i="3"/>
  <c r="CQ43" i="1"/>
  <c r="CP123" i="1"/>
  <c r="CP43" i="1"/>
  <c r="A76" i="26" a="1"/>
  <c r="A76" i="26" s="1"/>
  <c r="A99" i="22" a="1"/>
  <c r="A99" i="22" s="1"/>
  <c r="CQ129" i="1"/>
  <c r="A160" i="22" a="1"/>
  <c r="A160" i="22" s="1"/>
  <c r="A133" i="22" a="1"/>
  <c r="A133" i="22" s="1"/>
  <c r="A103" i="26" a="1"/>
  <c r="A103" i="26" s="1"/>
  <c r="A123" i="26" a="1"/>
  <c r="A123" i="26" s="1"/>
  <c r="CP150" i="1"/>
  <c r="CL146" i="6"/>
  <c r="CO135" i="1" a="1"/>
  <c r="CO135" i="1" s="1"/>
  <c r="CL93" i="1"/>
  <c r="CS132" i="6"/>
  <c r="CL20" i="1"/>
  <c r="BK84" i="3"/>
  <c r="X132" i="1"/>
  <c r="CU132" i="1" s="1"/>
  <c r="CP180" i="1"/>
  <c r="CL119" i="6"/>
  <c r="CQ123" i="1"/>
  <c r="CP34" i="1"/>
  <c r="CQ83" i="1"/>
  <c r="CS98" i="20"/>
  <c r="A98" i="20" s="1" a="1"/>
  <c r="A98" i="20" s="1"/>
  <c r="CO93" i="1" a="1"/>
  <c r="CO93" i="1" s="1"/>
  <c r="CL54" i="1"/>
  <c r="CO132" i="6" a="1"/>
  <c r="CO132" i="6" s="1"/>
  <c r="CO98" i="1" a="1"/>
  <c r="CO98" i="1" s="1"/>
  <c r="CX92" i="26"/>
  <c r="CP50" i="1"/>
  <c r="CP98" i="1"/>
  <c r="CO50" i="1" a="1"/>
  <c r="CO50" i="1" s="1"/>
  <c r="CQ51" i="1"/>
  <c r="CS117" i="20"/>
  <c r="A117" i="20" s="1" a="1"/>
  <c r="A117" i="20" s="1"/>
  <c r="CX255" i="26"/>
  <c r="BK80" i="3"/>
  <c r="CO76" i="6" a="1"/>
  <c r="CO76" i="6" s="1"/>
  <c r="CP36" i="1"/>
  <c r="CP51" i="1"/>
  <c r="DE39" i="1"/>
  <c r="CW255" i="26"/>
  <c r="A182" i="26" a="1"/>
  <c r="A182" i="26" s="1"/>
  <c r="CS121" i="6"/>
  <c r="CP106" i="1"/>
  <c r="CU21" i="26" a="1"/>
  <c r="CU21" i="26" s="1"/>
  <c r="A215" i="26" a="1"/>
  <c r="A215" i="26" s="1"/>
  <c r="A130" i="22" a="1"/>
  <c r="A130" i="22" s="1"/>
  <c r="CO39" i="1" a="1"/>
  <c r="CO39" i="1" s="1"/>
  <c r="A99" i="26" a="1"/>
  <c r="A99" i="26" s="1"/>
  <c r="A148" i="22" a="1"/>
  <c r="A148" i="22" s="1"/>
  <c r="CS39" i="20"/>
  <c r="A102" i="26" a="1"/>
  <c r="A102" i="26" s="1"/>
  <c r="CO20" i="1" a="1"/>
  <c r="CO20" i="1" s="1"/>
  <c r="CQ79" i="1"/>
  <c r="A124" i="22" a="1"/>
  <c r="A124" i="22" s="1"/>
  <c r="CS24" i="20"/>
  <c r="CO17" i="1" a="1"/>
  <c r="CO17" i="1" s="1"/>
  <c r="CO105" i="1" a="1"/>
  <c r="CO105" i="1" s="1"/>
  <c r="CO55" i="6" a="1"/>
  <c r="CO55" i="6" s="1"/>
  <c r="BK75" i="3"/>
  <c r="CQ180" i="1"/>
  <c r="A71" i="26" a="1"/>
  <c r="A71" i="26" s="1"/>
  <c r="A85" i="26" a="1"/>
  <c r="A85" i="26" s="1"/>
  <c r="CQ65" i="1"/>
  <c r="BK85" i="3"/>
  <c r="CP17" i="1"/>
  <c r="CO191" i="6" a="1"/>
  <c r="CO191" i="6" s="1"/>
  <c r="CU15" i="26" a="1"/>
  <c r="CU15" i="26" s="1"/>
  <c r="A164" i="22" a="1"/>
  <c r="A164" i="22" s="1"/>
  <c r="CP35" i="1"/>
  <c r="CS146" i="6"/>
  <c r="CP65" i="1"/>
  <c r="CS170" i="6"/>
  <c r="CO89" i="1" a="1"/>
  <c r="CO89" i="1" s="1"/>
  <c r="CQ12" i="1"/>
  <c r="CP11" i="1"/>
  <c r="A110" i="22" a="1"/>
  <c r="A110" i="22" s="1"/>
  <c r="CO170" i="6" a="1"/>
  <c r="CO170" i="6" s="1"/>
  <c r="CL147" i="6"/>
  <c r="DE47" i="1"/>
  <c r="A114" i="22" a="1"/>
  <c r="A114" i="22" s="1"/>
  <c r="CL117" i="1"/>
  <c r="CO67" i="1" a="1"/>
  <c r="CO67" i="1" s="1"/>
  <c r="A155" i="22" a="1"/>
  <c r="A155" i="22" s="1"/>
  <c r="CS231" i="6"/>
  <c r="CO182" i="6" a="1"/>
  <c r="CO182" i="6" s="1"/>
  <c r="CO173" i="6" a="1"/>
  <c r="CO173" i="6" s="1"/>
  <c r="CS185" i="6"/>
  <c r="CO65" i="1" a="1"/>
  <c r="CO65" i="1" s="1"/>
  <c r="CO43" i="1" a="1"/>
  <c r="CO43" i="1" s="1"/>
  <c r="CW20" i="26"/>
  <c r="CL89" i="1"/>
  <c r="CS157" i="6"/>
  <c r="CP64" i="1"/>
  <c r="CQ89" i="1"/>
  <c r="A137" i="22" a="1"/>
  <c r="A137" i="22" s="1"/>
  <c r="A96" i="26" a="1"/>
  <c r="A96" i="26" s="1"/>
  <c r="A107" i="22" a="1"/>
  <c r="A107" i="22" s="1"/>
  <c r="A171" i="22" a="1"/>
  <c r="A171" i="22" s="1"/>
  <c r="CX295" i="26"/>
  <c r="CQ70" i="1"/>
  <c r="A108" i="22" a="1"/>
  <c r="A108" i="22" s="1"/>
  <c r="A129" i="26" a="1"/>
  <c r="A129" i="26" s="1"/>
  <c r="CS207" i="6"/>
  <c r="CP135" i="1"/>
  <c r="A172" i="22" a="1"/>
  <c r="A172" i="22" s="1"/>
  <c r="A131" i="22" a="1"/>
  <c r="A131" i="22" s="1"/>
  <c r="CP70" i="1"/>
  <c r="CW338" i="26"/>
  <c r="A135" i="22" a="1"/>
  <c r="A135" i="22" s="1"/>
  <c r="BK83" i="3"/>
  <c r="BK258" i="3"/>
  <c r="BK281" i="3" s="1"/>
  <c r="BK212" i="3"/>
  <c r="CS182" i="6"/>
  <c r="CO233" i="6" a="1"/>
  <c r="CO233" i="6" s="1"/>
  <c r="Y221" i="26"/>
  <c r="DD221" i="26" s="1"/>
  <c r="A158" i="22" a="1"/>
  <c r="A158" i="22" s="1"/>
  <c r="CS210" i="6"/>
  <c r="CO34" i="1" a="1"/>
  <c r="CO34" i="1" s="1"/>
  <c r="CL129" i="1"/>
  <c r="A146" i="6" a="1"/>
  <c r="A146" i="6" s="1"/>
  <c r="CL210" i="6"/>
  <c r="CL36" i="1"/>
  <c r="CL78" i="1"/>
  <c r="CL70" i="1"/>
  <c r="CO235" i="6" a="1"/>
  <c r="CO235" i="6" s="1"/>
  <c r="CS64" i="6"/>
  <c r="CL73" i="1"/>
  <c r="CO56" i="6" a="1"/>
  <c r="CO56" i="6" s="1"/>
  <c r="CO163" i="6" a="1"/>
  <c r="CO163" i="6" s="1"/>
  <c r="CO60" i="6" a="1"/>
  <c r="CO60" i="6" s="1"/>
  <c r="CO127" i="1" a="1"/>
  <c r="CO127" i="1" s="1"/>
  <c r="A119" i="26" a="1"/>
  <c r="A119" i="26" s="1"/>
  <c r="CA53" i="26"/>
  <c r="CA311" i="26"/>
  <c r="DG311" i="26" s="1"/>
  <c r="CL60" i="6"/>
  <c r="BZ53" i="26"/>
  <c r="BZ311" i="26"/>
  <c r="DF311" i="26" s="1"/>
  <c r="CO24" i="1" a="1"/>
  <c r="CO24" i="1" s="1"/>
  <c r="CO43" i="6" a="1"/>
  <c r="CO43" i="6" s="1"/>
  <c r="CS148" i="6"/>
  <c r="A148" i="6" s="1" a="1"/>
  <c r="A148" i="6" s="1"/>
  <c r="CU185" i="30"/>
  <c r="X221" i="26"/>
  <c r="DC221" i="26" s="1"/>
  <c r="CW28" i="26"/>
  <c r="DB49" i="26"/>
  <c r="A38" i="26" a="1"/>
  <c r="A38" i="26" s="1"/>
  <c r="BY28" i="26"/>
  <c r="BY221" i="26" s="1"/>
  <c r="BY42" i="26"/>
  <c r="A235" i="26" a="1"/>
  <c r="A235" i="26" s="1"/>
  <c r="X301" i="26"/>
  <c r="DC301" i="26" s="1"/>
  <c r="DC42" i="26"/>
  <c r="DC49" i="26"/>
  <c r="CT185" i="30"/>
  <c r="CS185" i="30"/>
  <c r="Y301" i="26"/>
  <c r="DD301" i="26" s="1"/>
  <c r="DD42" i="26"/>
  <c r="CA28" i="26"/>
  <c r="CA42" i="26"/>
  <c r="BZ28" i="26"/>
  <c r="BZ42" i="26"/>
  <c r="W221" i="26"/>
  <c r="W229" i="26" s="1"/>
  <c r="W231" i="26" s="1"/>
  <c r="DD49" i="26"/>
  <c r="W301" i="26"/>
  <c r="DB301" i="26" s="1"/>
  <c r="DB42" i="26"/>
  <c r="CL221" i="6"/>
  <c r="CO69" i="1" a="1"/>
  <c r="CO69" i="1" s="1"/>
  <c r="A69" i="1" s="1" a="1"/>
  <c r="A69" i="1" s="1"/>
  <c r="CL98" i="1"/>
  <c r="CL59" i="6"/>
  <c r="CL271" i="6"/>
  <c r="CO70" i="1" a="1"/>
  <c r="CO70" i="1" s="1"/>
  <c r="A70" i="1" s="1" a="1"/>
  <c r="A70" i="1" s="1"/>
  <c r="CO200" i="6" a="1"/>
  <c r="CO200" i="6" s="1"/>
  <c r="CS223" i="6"/>
  <c r="CQ81" i="1"/>
  <c r="CL64" i="6"/>
  <c r="CS191" i="6"/>
  <c r="A191" i="6" s="1" a="1"/>
  <c r="A191" i="6" s="1"/>
  <c r="CO234" i="6" a="1"/>
  <c r="CO234" i="6" s="1"/>
  <c r="CS163" i="6"/>
  <c r="CO124" i="1" a="1"/>
  <c r="CO124" i="1" s="1"/>
  <c r="CP125" i="1"/>
  <c r="CS200" i="6"/>
  <c r="CU338" i="26" a="1"/>
  <c r="CU338" i="26" s="1"/>
  <c r="CS73" i="6"/>
  <c r="A180" i="26" a="1"/>
  <c r="A180" i="26" s="1"/>
  <c r="CP81" i="1"/>
  <c r="CO57" i="1" a="1"/>
  <c r="CO57" i="1" s="1"/>
  <c r="CO230" i="6" a="1"/>
  <c r="CO230" i="6" s="1"/>
  <c r="CS119" i="6"/>
  <c r="BY127" i="6"/>
  <c r="CS127" i="6" s="1"/>
  <c r="Y132" i="1"/>
  <c r="CV132" i="1" s="1"/>
  <c r="CO73" i="6" a="1"/>
  <c r="CO73" i="6" s="1"/>
  <c r="A73" i="6" s="1" a="1"/>
  <c r="A73" i="6" s="1"/>
  <c r="CO147" i="6" a="1"/>
  <c r="CO147" i="6" s="1"/>
  <c r="CO223" i="6" a="1"/>
  <c r="CO223" i="6" s="1"/>
  <c r="A231" i="6" a="1"/>
  <c r="A231" i="6" s="1"/>
  <c r="CO54" i="1" a="1"/>
  <c r="CO54" i="1" s="1"/>
  <c r="CL234" i="6"/>
  <c r="CO119" i="6" a="1"/>
  <c r="CO119" i="6" s="1"/>
  <c r="CQ67" i="1"/>
  <c r="CL82" i="1"/>
  <c r="CO149" i="6" a="1"/>
  <c r="CO149" i="6" s="1"/>
  <c r="CS154" i="6"/>
  <c r="A154" i="6" s="1" a="1"/>
  <c r="A154" i="6" s="1"/>
  <c r="CP89" i="1"/>
  <c r="A89" i="1" s="1" a="1"/>
  <c r="A89" i="1" s="1"/>
  <c r="CS213" i="6"/>
  <c r="A213" i="6" s="1" a="1"/>
  <c r="A213" i="6" s="1"/>
  <c r="CO211" i="6" a="1"/>
  <c r="CO211" i="6" s="1"/>
  <c r="CL135" i="1"/>
  <c r="A167" i="22" a="1"/>
  <c r="A167" i="22" s="1"/>
  <c r="CS222" i="6"/>
  <c r="A222" i="6" s="1" a="1"/>
  <c r="A222" i="6" s="1"/>
  <c r="CS149" i="6"/>
  <c r="CL69" i="1"/>
  <c r="CO94" i="1" a="1"/>
  <c r="CO94" i="1" s="1"/>
  <c r="A216" i="6" a="1"/>
  <c r="A216" i="6" s="1"/>
  <c r="CO70" i="6" a="1"/>
  <c r="CO70" i="6" s="1"/>
  <c r="A152" i="22" a="1"/>
  <c r="A152" i="22" s="1"/>
  <c r="A224" i="26" a="1"/>
  <c r="A224" i="26" s="1"/>
  <c r="CL150" i="1"/>
  <c r="A173" i="22" a="1"/>
  <c r="A173" i="22" s="1"/>
  <c r="CN271" i="6"/>
  <c r="CP30" i="1"/>
  <c r="CL51" i="1"/>
  <c r="A153" i="22" a="1"/>
  <c r="A153" i="22" s="1"/>
  <c r="A128" i="22" a="1"/>
  <c r="A128" i="22" s="1"/>
  <c r="CS211" i="6"/>
  <c r="CO153" i="1" a="1"/>
  <c r="CO153" i="1" s="1"/>
  <c r="CO88" i="1" a="1"/>
  <c r="CO88" i="1" s="1"/>
  <c r="CS143" i="6"/>
  <c r="BY154" i="30"/>
  <c r="CV154" i="30" s="1"/>
  <c r="CQ37" i="1"/>
  <c r="CO121" i="6" a="1"/>
  <c r="CO121" i="6" s="1"/>
  <c r="A121" i="6" s="1" a="1"/>
  <c r="A121" i="6" s="1"/>
  <c r="CS232" i="6"/>
  <c r="A232" i="6" s="1" a="1"/>
  <c r="A232" i="6" s="1"/>
  <c r="CO224" i="6" a="1"/>
  <c r="CO224" i="6" s="1"/>
  <c r="A224" i="6" s="1" a="1"/>
  <c r="A224" i="6" s="1"/>
  <c r="CL83" i="1"/>
  <c r="CO83" i="1" a="1"/>
  <c r="CO83" i="1" s="1"/>
  <c r="CL67" i="1"/>
  <c r="CL70" i="6"/>
  <c r="CW297" i="26"/>
  <c r="CO123" i="1" a="1"/>
  <c r="CO123" i="1" s="1"/>
  <c r="CQ34" i="1"/>
  <c r="CO163" i="1" a="1"/>
  <c r="CO163" i="1" s="1"/>
  <c r="CL162" i="1"/>
  <c r="A120" i="26" a="1"/>
  <c r="A120" i="26" s="1"/>
  <c r="CU254" i="26" a="1"/>
  <c r="CU254" i="26" s="1"/>
  <c r="CO51" i="1" a="1"/>
  <c r="CO51" i="1" s="1"/>
  <c r="A51" i="1" s="1" a="1"/>
  <c r="A51" i="1" s="1"/>
  <c r="A302" i="26" a="1"/>
  <c r="A302" i="26" s="1"/>
  <c r="CP20" i="1"/>
  <c r="A322" i="26" a="1"/>
  <c r="A322" i="26" s="1"/>
  <c r="CS123" i="20"/>
  <c r="CL154" i="6"/>
  <c r="A181" i="26" a="1"/>
  <c r="A181" i="26" s="1"/>
  <c r="CP117" i="1"/>
  <c r="CL120" i="6"/>
  <c r="BY128" i="6"/>
  <c r="BY204" i="30" s="1"/>
  <c r="BY86" i="33" s="1"/>
  <c r="CP12" i="1"/>
  <c r="CS60" i="6"/>
  <c r="CW294" i="26"/>
  <c r="CS221" i="6"/>
  <c r="CL118" i="1"/>
  <c r="A43" i="1" a="1"/>
  <c r="A43" i="1" s="1"/>
  <c r="CO150" i="1" a="1"/>
  <c r="CO150" i="1" s="1"/>
  <c r="A113" i="22" a="1"/>
  <c r="A113" i="22" s="1"/>
  <c r="CL45" i="1"/>
  <c r="CX227" i="26"/>
  <c r="A122" i="22" a="1"/>
  <c r="A122" i="22" s="1"/>
  <c r="CW14" i="26"/>
  <c r="CQ20" i="1"/>
  <c r="A20" i="1" s="1" a="1"/>
  <c r="A20" i="1" s="1"/>
  <c r="CO64" i="6" a="1"/>
  <c r="CO64" i="6" s="1"/>
  <c r="A166" i="22" a="1"/>
  <c r="A166" i="22" s="1"/>
  <c r="CL121" i="6"/>
  <c r="CO14" i="1" a="1"/>
  <c r="CO14" i="1" s="1"/>
  <c r="A144" i="6" a="1"/>
  <c r="A144" i="6" s="1"/>
  <c r="CS151" i="6"/>
  <c r="CL63" i="6"/>
  <c r="A171" i="26" a="1"/>
  <c r="A171" i="26" s="1"/>
  <c r="CU294" i="26" a="1"/>
  <c r="CU294" i="26" s="1"/>
  <c r="CW254" i="26"/>
  <c r="CW62" i="26"/>
  <c r="CU255" i="26" a="1"/>
  <c r="CU255" i="26" s="1"/>
  <c r="CL226" i="26"/>
  <c r="A68" i="26" a="1"/>
  <c r="A68" i="26" s="1"/>
  <c r="A78" i="26" a="1"/>
  <c r="A78" i="26" s="1"/>
  <c r="A137" i="26" a="1"/>
  <c r="A137" i="26" s="1"/>
  <c r="DG315" i="26"/>
  <c r="A325" i="26" a="1"/>
  <c r="A325" i="26" s="1"/>
  <c r="A242" i="26" a="1"/>
  <c r="A242" i="26" s="1"/>
  <c r="A253" i="26" a="1"/>
  <c r="A253" i="26" s="1"/>
  <c r="CU315" i="26" a="1"/>
  <c r="CU315" i="26" s="1"/>
  <c r="A189" i="26" a="1"/>
  <c r="A189" i="26" s="1"/>
  <c r="CL14" i="26"/>
  <c r="A314" i="26" a="1"/>
  <c r="A314" i="26" s="1"/>
  <c r="DF315" i="26"/>
  <c r="DE315" i="26"/>
  <c r="CU23" i="26" a="1"/>
  <c r="CU23" i="26" s="1"/>
  <c r="CX294" i="26"/>
  <c r="A199" i="26" a="1"/>
  <c r="A199" i="26" s="1"/>
  <c r="CW315" i="26"/>
  <c r="CU20" i="26" a="1"/>
  <c r="CU20" i="26" s="1"/>
  <c r="A111" i="26" a="1"/>
  <c r="A111" i="26" s="1"/>
  <c r="A95" i="26" a="1"/>
  <c r="A95" i="26" s="1"/>
  <c r="CL254" i="26"/>
  <c r="CU295" i="26" a="1"/>
  <c r="CU295" i="26" s="1"/>
  <c r="A114" i="26" a="1"/>
  <c r="A114" i="26" s="1"/>
  <c r="A138" i="26" a="1"/>
  <c r="A138" i="26" s="1"/>
  <c r="A151" i="26" a="1"/>
  <c r="A151" i="26" s="1"/>
  <c r="CU14" i="26" a="1"/>
  <c r="CU14" i="26" s="1"/>
  <c r="CU267" i="26" a="1"/>
  <c r="CU267" i="26" s="1"/>
  <c r="A77" i="26" a="1"/>
  <c r="A77" i="26" s="1"/>
  <c r="A176" i="26" a="1"/>
  <c r="A176" i="26" s="1"/>
  <c r="A50" i="26" a="1"/>
  <c r="A50" i="26" s="1"/>
  <c r="A146" i="26" a="1"/>
  <c r="A146" i="26" s="1"/>
  <c r="CP164" i="1"/>
  <c r="CX267" i="26"/>
  <c r="CW305" i="26"/>
  <c r="CL25" i="26"/>
  <c r="A178" i="26" a="1"/>
  <c r="A178" i="26" s="1"/>
  <c r="A205" i="26" a="1"/>
  <c r="A205" i="26" s="1"/>
  <c r="CW23" i="26"/>
  <c r="A121" i="26" a="1"/>
  <c r="A121" i="26" s="1"/>
  <c r="A70" i="26" a="1"/>
  <c r="A70" i="26" s="1"/>
  <c r="A141" i="26" a="1"/>
  <c r="A141" i="26" s="1"/>
  <c r="A61" i="26" a="1"/>
  <c r="A61" i="26" s="1"/>
  <c r="A118" i="26" a="1"/>
  <c r="A118" i="26" s="1"/>
  <c r="A104" i="26" a="1"/>
  <c r="A104" i="26" s="1"/>
  <c r="A100" i="26" a="1"/>
  <c r="A100" i="26" s="1"/>
  <c r="A184" i="26" a="1"/>
  <c r="A184" i="26" s="1"/>
  <c r="CX296" i="26"/>
  <c r="A265" i="26" a="1"/>
  <c r="A265" i="26" s="1"/>
  <c r="CL263" i="26"/>
  <c r="A88" i="26" a="1"/>
  <c r="A88" i="26" s="1"/>
  <c r="A92" i="26" a="1"/>
  <c r="A92" i="26" s="1"/>
  <c r="CU227" i="26" a="1"/>
  <c r="CU227" i="26" s="1"/>
  <c r="A198" i="26" a="1"/>
  <c r="A198" i="26" s="1"/>
  <c r="A323" i="26" a="1"/>
  <c r="A323" i="26" s="1"/>
  <c r="CU27" i="26" a="1"/>
  <c r="CU27" i="26" s="1"/>
  <c r="A98" i="26" a="1"/>
  <c r="A98" i="26" s="1"/>
  <c r="A87" i="26" a="1"/>
  <c r="A87" i="26" s="1"/>
  <c r="A256" i="26" a="1"/>
  <c r="A256" i="26" s="1"/>
  <c r="A236" i="26" a="1"/>
  <c r="A236" i="26" s="1"/>
  <c r="CW15" i="26"/>
  <c r="A222" i="26" a="1"/>
  <c r="A222" i="26" s="1"/>
  <c r="A150" i="26" a="1"/>
  <c r="A150" i="26" s="1"/>
  <c r="A115" i="26" a="1"/>
  <c r="A115" i="26" s="1"/>
  <c r="CW21" i="26"/>
  <c r="CW295" i="26"/>
  <c r="A144" i="26" a="1"/>
  <c r="A144" i="26" s="1"/>
  <c r="A223" i="26" a="1"/>
  <c r="A223" i="26" s="1"/>
  <c r="CU226" i="26" a="1"/>
  <c r="CU226" i="26" s="1"/>
  <c r="A52" i="26" a="1"/>
  <c r="A52" i="26" s="1"/>
  <c r="A35" i="26" a="1"/>
  <c r="A35" i="26" s="1"/>
  <c r="Y303" i="26"/>
  <c r="Y46" i="26"/>
  <c r="DD46" i="26" s="1"/>
  <c r="DD44" i="26"/>
  <c r="BY30" i="26"/>
  <c r="BY44" i="26"/>
  <c r="Y32" i="26"/>
  <c r="DD32" i="26" s="1"/>
  <c r="Y249" i="26"/>
  <c r="DD249" i="26" s="1"/>
  <c r="DD30" i="26"/>
  <c r="W46" i="26"/>
  <c r="W303" i="26"/>
  <c r="DB44" i="26"/>
  <c r="W249" i="26"/>
  <c r="W32" i="26"/>
  <c r="DB30" i="26"/>
  <c r="X249" i="26"/>
  <c r="DC249" i="26" s="1"/>
  <c r="X32" i="26"/>
  <c r="DC32" i="26" s="1"/>
  <c r="DC30" i="26"/>
  <c r="DF13" i="26"/>
  <c r="BZ44" i="26"/>
  <c r="BZ30" i="26"/>
  <c r="DG13" i="26"/>
  <c r="CA30" i="26"/>
  <c r="CA44" i="26"/>
  <c r="X303" i="26"/>
  <c r="X46" i="26"/>
  <c r="DC46" i="26" s="1"/>
  <c r="DC44" i="26"/>
  <c r="A99" i="1" a="1"/>
  <c r="A99" i="1" s="1"/>
  <c r="A111" i="6" a="1"/>
  <c r="A111" i="6" s="1"/>
  <c r="BK265" i="3"/>
  <c r="BK288" i="3" s="1"/>
  <c r="BK219" i="3"/>
  <c r="A65" i="26" a="1"/>
  <c r="A65" i="26" s="1"/>
  <c r="BK256" i="3"/>
  <c r="BK279" i="3" s="1"/>
  <c r="BK210" i="3"/>
  <c r="CV114" i="1"/>
  <c r="A139" i="26" a="1"/>
  <c r="A139" i="26" s="1"/>
  <c r="BK261" i="3"/>
  <c r="BK284" i="3" s="1"/>
  <c r="BK215" i="3"/>
  <c r="W24" i="32"/>
  <c r="W25" i="32" s="1"/>
  <c r="BY25" i="32"/>
  <c r="BK224" i="3"/>
  <c r="BK270" i="3"/>
  <c r="BK293" i="3" s="1"/>
  <c r="A175" i="26" a="1"/>
  <c r="A175" i="26" s="1"/>
  <c r="BL173" i="3"/>
  <c r="BL196" i="3" s="1"/>
  <c r="BJ72" i="30"/>
  <c r="BJ74" i="30" s="1"/>
  <c r="BJ12" i="6"/>
  <c r="A86" i="26" a="1"/>
  <c r="A86" i="26" s="1"/>
  <c r="BK253" i="3"/>
  <c r="BK276" i="3" s="1"/>
  <c r="BK207" i="3"/>
  <c r="CS82" i="6"/>
  <c r="CO120" i="6" a="1"/>
  <c r="CO120" i="6" s="1"/>
  <c r="CT74" i="1"/>
  <c r="CP74" i="1" s="1"/>
  <c r="A123" i="1" a="1"/>
  <c r="A123" i="1" s="1"/>
  <c r="CP83" i="1"/>
  <c r="CL50" i="1"/>
  <c r="CO161" i="6" a="1"/>
  <c r="CO161" i="6" s="1"/>
  <c r="A161" i="6" s="1" a="1"/>
  <c r="A161" i="6" s="1"/>
  <c r="Y15" i="35"/>
  <c r="Y16" i="35" s="1"/>
  <c r="Y15" i="36"/>
  <c r="Y162" i="30"/>
  <c r="CU79" i="30"/>
  <c r="CO79" i="30" s="1"/>
  <c r="CX79" i="30"/>
  <c r="CP79" i="30" s="1"/>
  <c r="BY194" i="30"/>
  <c r="BY77" i="33" s="1"/>
  <c r="W41" i="30"/>
  <c r="BZ20" i="30"/>
  <c r="X20" i="30" s="1"/>
  <c r="CZ85" i="20"/>
  <c r="CL42" i="20"/>
  <c r="A147" i="26" a="1"/>
  <c r="A147" i="26" s="1"/>
  <c r="A172" i="26" a="1"/>
  <c r="A172" i="26" s="1"/>
  <c r="W136" i="20"/>
  <c r="CL136" i="1"/>
  <c r="CT136" i="1"/>
  <c r="BY267" i="6"/>
  <c r="BY282" i="6" s="1"/>
  <c r="BY247" i="6" s="1"/>
  <c r="BY248" i="6" s="1"/>
  <c r="BY134" i="30" s="1"/>
  <c r="BY284" i="6"/>
  <c r="BY258" i="6" s="1"/>
  <c r="BY168" i="1" s="1"/>
  <c r="CO152" i="6" a="1"/>
  <c r="CO152" i="6" s="1"/>
  <c r="CO35" i="1" a="1"/>
  <c r="CO35" i="1" s="1"/>
  <c r="A35" i="1" s="1" a="1"/>
  <c r="A35" i="1" s="1"/>
  <c r="W102" i="1"/>
  <c r="CT13" i="1"/>
  <c r="CQ72" i="1"/>
  <c r="W179" i="1"/>
  <c r="CT179" i="1" s="1"/>
  <c r="CT100" i="1"/>
  <c r="CY33" i="1"/>
  <c r="CA38" i="1"/>
  <c r="CY38" i="1" s="1"/>
  <c r="Y179" i="1"/>
  <c r="CV179" i="1" s="1"/>
  <c r="CV100" i="1"/>
  <c r="CA20" i="30"/>
  <c r="Y20" i="30" s="1"/>
  <c r="DA85" i="20"/>
  <c r="CL85" i="20"/>
  <c r="A176" i="22" a="1"/>
  <c r="A176" i="22" s="1"/>
  <c r="A143" i="22" a="1"/>
  <c r="A143" i="22" s="1"/>
  <c r="A113" i="26" a="1"/>
  <c r="A113" i="26" s="1"/>
  <c r="A127" i="26" a="1"/>
  <c r="A127" i="26" s="1"/>
  <c r="CL240" i="26"/>
  <c r="CS212" i="6"/>
  <c r="CO271" i="6" a="1"/>
  <c r="CO271" i="6" s="1"/>
  <c r="CS129" i="6"/>
  <c r="A173" i="26" a="1"/>
  <c r="A173" i="26" s="1"/>
  <c r="CW30" i="1"/>
  <c r="CP59" i="1"/>
  <c r="CW61" i="1"/>
  <c r="CX14" i="1"/>
  <c r="CA103" i="33"/>
  <c r="CA216" i="30"/>
  <c r="CB191" i="30"/>
  <c r="CB74" i="33" s="1"/>
  <c r="CA191" i="30"/>
  <c r="CA74" i="33" s="1"/>
  <c r="CA86" i="30"/>
  <c r="CX86" i="30" s="1"/>
  <c r="CP86" i="30" s="1"/>
  <c r="Y165" i="30"/>
  <c r="CX108" i="30"/>
  <c r="CP108" i="30" s="1"/>
  <c r="CU108" i="30"/>
  <c r="CO108" i="30" s="1"/>
  <c r="BZ22" i="30"/>
  <c r="X22" i="30" s="1"/>
  <c r="BZ175" i="20"/>
  <c r="CZ175" i="20" s="1"/>
  <c r="CZ96" i="20"/>
  <c r="BY25" i="30"/>
  <c r="W25" i="30" s="1"/>
  <c r="DF14" i="20"/>
  <c r="CY14" i="20"/>
  <c r="CS14" i="20" s="1"/>
  <c r="A196" i="26" a="1"/>
  <c r="A196" i="26" s="1"/>
  <c r="A213" i="26" a="1"/>
  <c r="A213" i="26" s="1"/>
  <c r="CU19" i="26" a="1"/>
  <c r="CU19" i="26" s="1"/>
  <c r="A225" i="6" a="1"/>
  <c r="A225" i="6" s="1"/>
  <c r="BY46" i="1"/>
  <c r="CW46" i="1" s="1"/>
  <c r="CW42" i="1"/>
  <c r="CO119" i="1" a="1"/>
  <c r="CO119" i="1" s="1"/>
  <c r="CQ71" i="1"/>
  <c r="BY85" i="1"/>
  <c r="CW85" i="1" s="1"/>
  <c r="CW77" i="1"/>
  <c r="CX11" i="1"/>
  <c r="BZ13" i="1"/>
  <c r="CS36" i="20"/>
  <c r="A36" i="20" s="1" a="1"/>
  <c r="A36" i="20" s="1"/>
  <c r="CW286" i="26"/>
  <c r="CW277" i="26"/>
  <c r="W183" i="30"/>
  <c r="CL143" i="6"/>
  <c r="X72" i="33"/>
  <c r="I26" i="50" s="1"/>
  <c r="Q26" i="50" s="1"/>
  <c r="G69" i="50" s="1"/>
  <c r="CT184" i="30"/>
  <c r="CW184" i="30"/>
  <c r="CW208" i="26"/>
  <c r="CP122" i="1"/>
  <c r="CL28" i="1"/>
  <c r="CL57" i="1"/>
  <c r="CY27" i="1"/>
  <c r="CA29" i="1"/>
  <c r="CY29" i="1" s="1"/>
  <c r="CA168" i="30"/>
  <c r="CB168" i="30"/>
  <c r="A98" i="22" a="1"/>
  <c r="A98" i="22" s="1"/>
  <c r="A195" i="26" a="1"/>
  <c r="A195" i="26" s="1"/>
  <c r="CW334" i="26"/>
  <c r="CN277" i="6"/>
  <c r="CP66" i="1"/>
  <c r="CL14" i="1"/>
  <c r="CL21" i="1"/>
  <c r="CQ110" i="1"/>
  <c r="CO108" i="1" a="1"/>
  <c r="CO108" i="1" s="1"/>
  <c r="CP39" i="1"/>
  <c r="CO167" i="6" a="1"/>
  <c r="CO167" i="6" s="1"/>
  <c r="CS17" i="20"/>
  <c r="A17" i="20" s="1" a="1"/>
  <c r="A17" i="20" s="1"/>
  <c r="BZ14" i="30"/>
  <c r="X14" i="30" s="1"/>
  <c r="CZ29" i="20"/>
  <c r="A139" i="22" a="1"/>
  <c r="A139" i="22" s="1"/>
  <c r="A175" i="22" a="1"/>
  <c r="A175" i="22" s="1"/>
  <c r="BL152" i="3"/>
  <c r="BL137" i="3"/>
  <c r="BL146" i="3"/>
  <c r="CS54" i="20"/>
  <c r="A39" i="26" a="1"/>
  <c r="A39" i="26" s="1"/>
  <c r="A190" i="26" a="1"/>
  <c r="A190" i="26" s="1"/>
  <c r="A75" i="26" a="1"/>
  <c r="A75" i="26" s="1"/>
  <c r="DE26" i="26"/>
  <c r="CX26" i="26" s="1"/>
  <c r="CP26" i="26" a="1"/>
  <c r="CP26" i="26" s="1"/>
  <c r="CO26" i="26" a="1"/>
  <c r="CO26" i="26" s="1"/>
  <c r="A234" i="6" a="1"/>
  <c r="A234" i="6" s="1"/>
  <c r="CO151" i="6" a="1"/>
  <c r="CO151" i="6" s="1"/>
  <c r="CS153" i="30"/>
  <c r="CV153" i="30"/>
  <c r="CO18" i="1" a="1"/>
  <c r="CO18" i="1" s="1"/>
  <c r="CQ73" i="1"/>
  <c r="CL95" i="1"/>
  <c r="CP58" i="1"/>
  <c r="CY14" i="1"/>
  <c r="CY105" i="1"/>
  <c r="CS175" i="6"/>
  <c r="A115" i="22" a="1"/>
  <c r="A115" i="22" s="1"/>
  <c r="A129" i="22" a="1"/>
  <c r="A129" i="22" s="1"/>
  <c r="BK95" i="3"/>
  <c r="BK72" i="3"/>
  <c r="A268" i="26" a="1"/>
  <c r="A268" i="26" s="1"/>
  <c r="A156" i="26" a="1"/>
  <c r="A156" i="26" s="1"/>
  <c r="CW22" i="26"/>
  <c r="CW13" i="26"/>
  <c r="BG96" i="33"/>
  <c r="BG101" i="33" s="1"/>
  <c r="BG104" i="33" s="1"/>
  <c r="BH211" i="30"/>
  <c r="BG214" i="30"/>
  <c r="BG217" i="30" s="1"/>
  <c r="BG83" i="6"/>
  <c r="A233" i="6" a="1"/>
  <c r="A233" i="6" s="1"/>
  <c r="CW72" i="26"/>
  <c r="CP44" i="1"/>
  <c r="CP22" i="1"/>
  <c r="CP33" i="1"/>
  <c r="CO84" i="1" a="1"/>
  <c r="CO84" i="1" s="1"/>
  <c r="CQ111" i="1"/>
  <c r="CO188" i="6" a="1"/>
  <c r="CO188" i="6" s="1"/>
  <c r="CS33" i="20"/>
  <c r="A33" i="20" s="1" a="1"/>
  <c r="A33" i="20" s="1"/>
  <c r="CS77" i="20"/>
  <c r="A77" i="20" s="1" a="1"/>
  <c r="A77" i="20" s="1"/>
  <c r="BZ18" i="30"/>
  <c r="X18" i="30" s="1"/>
  <c r="CZ60" i="20"/>
  <c r="BK735" i="9"/>
  <c r="BK246" i="3"/>
  <c r="A326" i="26" a="1"/>
  <c r="A326" i="26" s="1"/>
  <c r="A183" i="26" a="1"/>
  <c r="A183" i="26" s="1"/>
  <c r="CL23" i="26"/>
  <c r="CS189" i="30"/>
  <c r="W76" i="33"/>
  <c r="H30" i="50" s="1"/>
  <c r="P30" i="50" s="1"/>
  <c r="G84" i="50" s="1"/>
  <c r="CS193" i="30"/>
  <c r="CV193" i="30"/>
  <c r="W87" i="33"/>
  <c r="H39" i="50" s="1"/>
  <c r="P39" i="50" s="1"/>
  <c r="CV205" i="30"/>
  <c r="CS205" i="30"/>
  <c r="CU174" i="30"/>
  <c r="CX174" i="30"/>
  <c r="CW64" i="1"/>
  <c r="BY74" i="1"/>
  <c r="CW74" i="1" s="1"/>
  <c r="CX61" i="1"/>
  <c r="CY128" i="1"/>
  <c r="CA131" i="1"/>
  <c r="CY131" i="1" s="1"/>
  <c r="BZ13" i="30"/>
  <c r="BZ102" i="20"/>
  <c r="CZ13" i="20"/>
  <c r="CA16" i="30"/>
  <c r="Y16" i="30" s="1"/>
  <c r="DA46" i="20"/>
  <c r="BH136" i="30"/>
  <c r="BH137" i="30" s="1"/>
  <c r="BI256" i="6"/>
  <c r="A214" i="26" a="1"/>
  <c r="A214" i="26" s="1"/>
  <c r="W128" i="30"/>
  <c r="BY226" i="6"/>
  <c r="BY128" i="30" s="1"/>
  <c r="X220" i="6"/>
  <c r="W282" i="6"/>
  <c r="CS152" i="6"/>
  <c r="CP72" i="1"/>
  <c r="CU96" i="30"/>
  <c r="CO96" i="30" s="1"/>
  <c r="CX96" i="30"/>
  <c r="CP96" i="30" s="1"/>
  <c r="Y123" i="30"/>
  <c r="CS176" i="6"/>
  <c r="A176" i="6" s="1" a="1"/>
  <c r="A176" i="6" s="1"/>
  <c r="X52" i="30"/>
  <c r="CU44" i="30"/>
  <c r="CX44" i="30"/>
  <c r="CU240" i="26" a="1"/>
  <c r="CU240" i="26" s="1"/>
  <c r="CS59" i="6"/>
  <c r="CO212" i="6" a="1"/>
  <c r="CO212" i="6" s="1"/>
  <c r="CP271" i="6"/>
  <c r="W86" i="33"/>
  <c r="H38" i="50" s="1"/>
  <c r="P38" i="50" s="1"/>
  <c r="G108" i="50" s="1"/>
  <c r="CS204" i="30"/>
  <c r="CV204" i="30"/>
  <c r="BY83" i="33"/>
  <c r="Y143" i="20"/>
  <c r="Y177" i="20" s="1"/>
  <c r="Y177" i="1"/>
  <c r="CV177" i="1" s="1"/>
  <c r="CV143" i="1"/>
  <c r="CU154" i="30"/>
  <c r="CX154" i="30"/>
  <c r="CL59" i="1"/>
  <c r="CQ124" i="1"/>
  <c r="CP61" i="1"/>
  <c r="CU86" i="30"/>
  <c r="CO86" i="30" s="1"/>
  <c r="A146" i="22" a="1"/>
  <c r="A146" i="22" s="1"/>
  <c r="A134" i="22" a="1"/>
  <c r="A134" i="22" s="1"/>
  <c r="BK714" i="9"/>
  <c r="BK783" i="9" s="1"/>
  <c r="BK706" i="9"/>
  <c r="BK775" i="9" s="1"/>
  <c r="BK798" i="9" s="1"/>
  <c r="BK698" i="9"/>
  <c r="BK767" i="9" s="1"/>
  <c r="BK790" i="9" s="1"/>
  <c r="BK712" i="9"/>
  <c r="BK781" i="9" s="1"/>
  <c r="BK804" i="9" s="1"/>
  <c r="BK710" i="9"/>
  <c r="BK779" i="9" s="1"/>
  <c r="BK802" i="9" s="1"/>
  <c r="BK708" i="9"/>
  <c r="BK777" i="9" s="1"/>
  <c r="BK800" i="9" s="1"/>
  <c r="BK705" i="9"/>
  <c r="BK774" i="9" s="1"/>
  <c r="BK797" i="9" s="1"/>
  <c r="BK695" i="9"/>
  <c r="BK764" i="9" s="1"/>
  <c r="BK702" i="9"/>
  <c r="BK771" i="9" s="1"/>
  <c r="BK794" i="9" s="1"/>
  <c r="BK700" i="9"/>
  <c r="BK769" i="9" s="1"/>
  <c r="BK792" i="9" s="1"/>
  <c r="BK697" i="9"/>
  <c r="BK766" i="9" s="1"/>
  <c r="BK789" i="9" s="1"/>
  <c r="BK713" i="9"/>
  <c r="BK782" i="9" s="1"/>
  <c r="BK707" i="9"/>
  <c r="BK776" i="9" s="1"/>
  <c r="BK799" i="9" s="1"/>
  <c r="BK709" i="9"/>
  <c r="BK778" i="9" s="1"/>
  <c r="BK801" i="9" s="1"/>
  <c r="BK704" i="9"/>
  <c r="BK773" i="9" s="1"/>
  <c r="BK796" i="9" s="1"/>
  <c r="BK711" i="9"/>
  <c r="BK780" i="9" s="1"/>
  <c r="BK803" i="9" s="1"/>
  <c r="BK699" i="9"/>
  <c r="BK768" i="9" s="1"/>
  <c r="BK701" i="9"/>
  <c r="BK770" i="9" s="1"/>
  <c r="BK696" i="9"/>
  <c r="BK765" i="9" s="1"/>
  <c r="BK703" i="9"/>
  <c r="BK772" i="9" s="1"/>
  <c r="BK795" i="9" s="1"/>
  <c r="A101" i="26" a="1"/>
  <c r="A101" i="26" s="1"/>
  <c r="CO17" i="26" a="1"/>
  <c r="CO17" i="26" s="1"/>
  <c r="DE17" i="26"/>
  <c r="CX17" i="26" s="1"/>
  <c r="CP17" i="26" a="1"/>
  <c r="CP17" i="26" s="1"/>
  <c r="BY340" i="26"/>
  <c r="DE340" i="26" s="1"/>
  <c r="DE338" i="26"/>
  <c r="W151" i="20"/>
  <c r="CT151" i="1"/>
  <c r="X113" i="20"/>
  <c r="X176" i="1"/>
  <c r="CU176" i="1" s="1"/>
  <c r="CU113" i="1"/>
  <c r="X87" i="33"/>
  <c r="I39" i="50" s="1"/>
  <c r="Q39" i="50" s="1"/>
  <c r="CW205" i="30"/>
  <c r="CT205" i="30"/>
  <c r="A148" i="26" a="1"/>
  <c r="A148" i="26" s="1"/>
  <c r="CP119" i="1"/>
  <c r="BY96" i="1"/>
  <c r="CW93" i="1"/>
  <c r="CP71" i="1"/>
  <c r="CP77" i="1"/>
  <c r="CX162" i="1"/>
  <c r="BZ164" i="1"/>
  <c r="CX164" i="1" s="1"/>
  <c r="Y102" i="1"/>
  <c r="CV13" i="1"/>
  <c r="BZ194" i="30"/>
  <c r="BZ77" i="33" s="1"/>
  <c r="X41" i="30"/>
  <c r="Y77" i="35"/>
  <c r="CU25" i="30"/>
  <c r="CX25" i="30"/>
  <c r="A127" i="22" a="1"/>
  <c r="A127" i="22" s="1"/>
  <c r="A149" i="22" a="1"/>
  <c r="A149" i="22" s="1"/>
  <c r="BJ758" i="9"/>
  <c r="A90" i="26" a="1"/>
  <c r="A90" i="26" s="1"/>
  <c r="A91" i="26" a="1"/>
  <c r="A91" i="26" s="1"/>
  <c r="CL27" i="26"/>
  <c r="CW25" i="26"/>
  <c r="CW166" i="26"/>
  <c r="BZ167" i="26"/>
  <c r="BZ183" i="30" s="1"/>
  <c r="CW183" i="30" s="1"/>
  <c r="DF165" i="26"/>
  <c r="CO143" i="6" a="1"/>
  <c r="CO143" i="6" s="1"/>
  <c r="A143" i="6" s="1" a="1"/>
  <c r="A143" i="6" s="1"/>
  <c r="CO241" i="6" a="1"/>
  <c r="CO241" i="6" s="1"/>
  <c r="CL215" i="6"/>
  <c r="Y151" i="20"/>
  <c r="CV151" i="1"/>
  <c r="CL122" i="1"/>
  <c r="CO68" i="1" a="1"/>
  <c r="CO68" i="1" s="1"/>
  <c r="CQ19" i="1"/>
  <c r="CO28" i="1" a="1"/>
  <c r="CO28" i="1" s="1"/>
  <c r="CX30" i="1"/>
  <c r="DF61" i="1"/>
  <c r="CA137" i="1"/>
  <c r="CY137" i="1" s="1"/>
  <c r="CY135" i="1"/>
  <c r="Y168" i="30"/>
  <c r="CX83" i="30"/>
  <c r="CP83" i="30" s="1"/>
  <c r="CU83" i="30"/>
  <c r="CO83" i="30" s="1"/>
  <c r="BK732" i="9"/>
  <c r="BK243" i="3"/>
  <c r="A201" i="26" a="1"/>
  <c r="A201" i="26" s="1"/>
  <c r="A239" i="26" a="1"/>
  <c r="A239" i="26" s="1"/>
  <c r="BY334" i="26"/>
  <c r="DE334" i="26" s="1"/>
  <c r="DE332" i="26"/>
  <c r="A112" i="6" a="1"/>
  <c r="A112" i="6" s="1"/>
  <c r="CS279" i="6"/>
  <c r="CP279" i="6"/>
  <c r="X75" i="33"/>
  <c r="I29" i="50" s="1"/>
  <c r="Q29" i="50" s="1"/>
  <c r="G81" i="50" s="1"/>
  <c r="CT192" i="30"/>
  <c r="CW192" i="30"/>
  <c r="CL66" i="1"/>
  <c r="DD14" i="1"/>
  <c r="CO21" i="1" a="1"/>
  <c r="CO21" i="1" s="1"/>
  <c r="CP110" i="1"/>
  <c r="CW54" i="1"/>
  <c r="CL39" i="1"/>
  <c r="BZ137" i="1"/>
  <c r="CX137" i="1" s="1"/>
  <c r="CX135" i="1"/>
  <c r="BZ85" i="1"/>
  <c r="CX85" i="1" s="1"/>
  <c r="CX77" i="1"/>
  <c r="DF39" i="1"/>
  <c r="Y175" i="1"/>
  <c r="CV175" i="1" s="1"/>
  <c r="CV96" i="1"/>
  <c r="CA18" i="35"/>
  <c r="CA19" i="35" s="1"/>
  <c r="CA13" i="30"/>
  <c r="CA102" i="20"/>
  <c r="DA13" i="20"/>
  <c r="CL13" i="20"/>
  <c r="A162" i="22" a="1"/>
  <c r="A162" i="22" s="1"/>
  <c r="BL149" i="3"/>
  <c r="BL145" i="3"/>
  <c r="BL148" i="3"/>
  <c r="A93" i="26" a="1"/>
  <c r="A93" i="26" s="1"/>
  <c r="A126" i="26" a="1"/>
  <c r="A126" i="26" s="1"/>
  <c r="CU26" i="26" a="1"/>
  <c r="CU26" i="26" s="1"/>
  <c r="W126" i="20"/>
  <c r="CO126" i="1" a="1"/>
  <c r="CO126" i="1" s="1"/>
  <c r="CT126" i="1"/>
  <c r="CL126" i="1"/>
  <c r="X152" i="20"/>
  <c r="CU152" i="1"/>
  <c r="A130" i="26" a="1"/>
  <c r="A130" i="26" s="1"/>
  <c r="CP73" i="1"/>
  <c r="CL130" i="1"/>
  <c r="CO95" i="1" a="1"/>
  <c r="CO95" i="1" s="1"/>
  <c r="CQ109" i="1"/>
  <c r="CL58" i="1"/>
  <c r="BZ38" i="1"/>
  <c r="CX38" i="1" s="1"/>
  <c r="CX33" i="1"/>
  <c r="BZ60" i="1"/>
  <c r="CX60" i="1" s="1"/>
  <c r="CX57" i="1"/>
  <c r="Y144" i="20"/>
  <c r="Y178" i="20" s="1"/>
  <c r="Y178" i="1"/>
  <c r="CV178" i="1" s="1"/>
  <c r="CP178" i="1" s="1"/>
  <c r="CV144" i="1"/>
  <c r="CP144" i="1" s="1"/>
  <c r="CO175" i="6" a="1"/>
  <c r="CO175" i="6" s="1"/>
  <c r="BK387" i="9"/>
  <c r="BK282" i="9"/>
  <c r="BK235" i="9"/>
  <c r="BK415" i="9"/>
  <c r="BK368" i="9"/>
  <c r="BK396" i="9"/>
  <c r="BK434" i="9"/>
  <c r="BK425" i="9"/>
  <c r="BK320" i="9"/>
  <c r="BK187" i="9"/>
  <c r="BK140" i="9"/>
  <c r="BK225" i="9"/>
  <c r="BK168" i="9"/>
  <c r="BK121" i="9"/>
  <c r="BK406" i="9"/>
  <c r="BK358" i="9"/>
  <c r="BK216" i="9"/>
  <c r="BK263" i="9"/>
  <c r="BK254" i="9"/>
  <c r="BK349" i="9"/>
  <c r="BK339" i="9"/>
  <c r="BK330" i="9"/>
  <c r="BK292" i="9"/>
  <c r="BK197" i="9"/>
  <c r="BK301" i="9"/>
  <c r="BK244" i="9"/>
  <c r="BK178" i="9"/>
  <c r="BK73" i="9"/>
  <c r="BK149" i="9"/>
  <c r="BK83" i="9"/>
  <c r="BK92" i="9"/>
  <c r="BK130" i="9"/>
  <c r="BK206" i="9"/>
  <c r="BK159" i="9"/>
  <c r="BK64" i="9"/>
  <c r="BK273" i="9"/>
  <c r="BK111" i="9"/>
  <c r="BK377" i="9"/>
  <c r="BK311" i="9"/>
  <c r="BK102" i="9"/>
  <c r="Y814" i="9"/>
  <c r="CA814" i="9" s="1"/>
  <c r="Y824" i="9"/>
  <c r="CA824" i="9" s="1"/>
  <c r="Y815" i="9"/>
  <c r="CA815" i="9" s="1"/>
  <c r="Y813" i="9"/>
  <c r="CA813" i="9" s="1"/>
  <c r="Y816" i="9"/>
  <c r="CA816" i="9" s="1"/>
  <c r="Y826" i="9"/>
  <c r="CA826" i="9" s="1"/>
  <c r="Y812" i="9"/>
  <c r="CA812" i="9" s="1"/>
  <c r="Y821" i="9"/>
  <c r="CA821" i="9" s="1"/>
  <c r="Y825" i="9"/>
  <c r="CA825" i="9" s="1"/>
  <c r="Y822" i="9"/>
  <c r="CA822" i="9" s="1"/>
  <c r="Y823" i="9"/>
  <c r="CA823" i="9" s="1"/>
  <c r="Y817" i="9"/>
  <c r="CA817" i="9" s="1"/>
  <c r="Y810" i="9"/>
  <c r="CA810" i="9" s="1"/>
  <c r="Y829" i="9"/>
  <c r="CA829" i="9" s="1"/>
  <c r="Y828" i="9"/>
  <c r="CA828" i="9" s="1"/>
  <c r="Y827" i="9"/>
  <c r="CA827" i="9" s="1"/>
  <c r="Y811" i="9"/>
  <c r="CA811" i="9" s="1"/>
  <c r="Y818" i="9"/>
  <c r="CA818" i="9" s="1"/>
  <c r="Y819" i="9"/>
  <c r="CA819" i="9" s="1"/>
  <c r="Y820" i="9"/>
  <c r="CA820" i="9" s="1"/>
  <c r="BK105" i="3"/>
  <c r="BK82" i="3"/>
  <c r="A207" i="26" a="1"/>
  <c r="A207" i="26" s="1"/>
  <c r="A275" i="26" a="1"/>
  <c r="A275" i="26" s="1"/>
  <c r="CW18" i="26"/>
  <c r="DE13" i="26"/>
  <c r="CO13" i="26" a="1"/>
  <c r="CO13" i="26" s="1"/>
  <c r="CP13" i="26" a="1"/>
  <c r="CP13" i="26" s="1"/>
  <c r="W57" i="33"/>
  <c r="H12" i="50" s="1"/>
  <c r="P12" i="50" s="1"/>
  <c r="CS152" i="30"/>
  <c r="CS230" i="6"/>
  <c r="A230" i="6" s="1" a="1"/>
  <c r="A230" i="6" s="1"/>
  <c r="CA89" i="6"/>
  <c r="CA87" i="30" s="1"/>
  <c r="CA161" i="26"/>
  <c r="DG159" i="26"/>
  <c r="CX159" i="26" s="1"/>
  <c r="CU159" i="26" a="1"/>
  <c r="CU159" i="26" s="1"/>
  <c r="CL44" i="1"/>
  <c r="CL22" i="1"/>
  <c r="CW105" i="1"/>
  <c r="CL33" i="1"/>
  <c r="CP111" i="1"/>
  <c r="BZ46" i="1"/>
  <c r="CX46" i="1" s="1"/>
  <c r="CX42" i="1"/>
  <c r="CA102" i="33"/>
  <c r="CA215" i="30"/>
  <c r="CA84" i="30"/>
  <c r="CX84" i="30" s="1"/>
  <c r="CP84" i="30" s="1"/>
  <c r="BY15" i="30"/>
  <c r="W15" i="30" s="1"/>
  <c r="CY38" i="20"/>
  <c r="BY20" i="30"/>
  <c r="W20" i="30" s="1"/>
  <c r="CY85" i="20"/>
  <c r="CA18" i="30"/>
  <c r="Y18" i="30" s="1"/>
  <c r="DA60" i="20"/>
  <c r="BK76" i="3"/>
  <c r="A121" i="22" a="1"/>
  <c r="A121" i="22" s="1"/>
  <c r="A140" i="22" a="1"/>
  <c r="A140" i="22" s="1"/>
  <c r="BZ189" i="30"/>
  <c r="CW189" i="30" s="1"/>
  <c r="DF263" i="26"/>
  <c r="CW117" i="1"/>
  <c r="BY52" i="30"/>
  <c r="BY41" i="6"/>
  <c r="CY162" i="20"/>
  <c r="CS162" i="20" s="1"/>
  <c r="A162" i="20" s="1" a="1"/>
  <c r="A162" i="20" s="1"/>
  <c r="DE21" i="26"/>
  <c r="CX21" i="26" s="1"/>
  <c r="CO21" i="26" a="1"/>
  <c r="CO21" i="26" s="1"/>
  <c r="CP21" i="26" a="1"/>
  <c r="CP21" i="26" s="1"/>
  <c r="CL232" i="6"/>
  <c r="BZ63" i="33"/>
  <c r="BZ176" i="30"/>
  <c r="CL34" i="1"/>
  <c r="CT53" i="1"/>
  <c r="CP53" i="1" s="1"/>
  <c r="Y122" i="30"/>
  <c r="CS164" i="6"/>
  <c r="A164" i="6" s="1" a="1"/>
  <c r="A164" i="6" s="1"/>
  <c r="A266" i="26" a="1"/>
  <c r="A266" i="26" s="1"/>
  <c r="CO221" i="6" a="1"/>
  <c r="CO221" i="6" s="1"/>
  <c r="A221" i="6" s="1" a="1"/>
  <c r="A221" i="6" s="1"/>
  <c r="CO265" i="6" a="1"/>
  <c r="CO265" i="6" s="1"/>
  <c r="CL150" i="6"/>
  <c r="CL213" i="6"/>
  <c r="Y75" i="33"/>
  <c r="J29" i="50" s="1"/>
  <c r="R29" i="50" s="1"/>
  <c r="G82" i="50" s="1"/>
  <c r="CU192" i="30"/>
  <c r="CX192" i="30"/>
  <c r="A67" i="26" a="1"/>
  <c r="A67" i="26" s="1"/>
  <c r="CL43" i="1"/>
  <c r="CQ36" i="1"/>
  <c r="CL72" i="1"/>
  <c r="BZ90" i="1"/>
  <c r="CX90" i="1" s="1"/>
  <c r="CX88" i="1"/>
  <c r="CO197" i="6" a="1"/>
  <c r="CO197" i="6" s="1"/>
  <c r="CS11" i="20"/>
  <c r="A11" i="20" s="1" a="1"/>
  <c r="A11" i="20" s="1"/>
  <c r="BY19" i="30"/>
  <c r="W19" i="30" s="1"/>
  <c r="CY74" i="20"/>
  <c r="BZ21" i="30"/>
  <c r="X21" i="30" s="1"/>
  <c r="CZ90" i="20"/>
  <c r="DE254" i="26"/>
  <c r="CX254" i="26" s="1"/>
  <c r="CW240" i="26"/>
  <c r="CS69" i="6"/>
  <c r="A69" i="6" s="1" a="1"/>
  <c r="A69" i="6" s="1"/>
  <c r="W68" i="6"/>
  <c r="CL148" i="6"/>
  <c r="CO145" i="6" a="1"/>
  <c r="CO145" i="6" s="1"/>
  <c r="W83" i="33"/>
  <c r="H35" i="50" s="1"/>
  <c r="CS200" i="30"/>
  <c r="CV200" i="30"/>
  <c r="W206" i="30"/>
  <c r="CA143" i="20"/>
  <c r="CA177" i="1"/>
  <c r="CY177" i="1" s="1"/>
  <c r="CY143" i="1"/>
  <c r="A62" i="26" a="1"/>
  <c r="A62" i="26" s="1"/>
  <c r="CQ78" i="1"/>
  <c r="CL30" i="1"/>
  <c r="CQ45" i="1"/>
  <c r="CO59" i="1" a="1"/>
  <c r="CO59" i="1" s="1"/>
  <c r="CP124" i="1"/>
  <c r="CL61" i="1"/>
  <c r="Y118" i="13"/>
  <c r="Y74" i="33"/>
  <c r="J28" i="50" s="1"/>
  <c r="R28" i="50" s="1"/>
  <c r="G78" i="50" s="1"/>
  <c r="CU191" i="30"/>
  <c r="CO191" i="30" s="1"/>
  <c r="CX191" i="30"/>
  <c r="CP191" i="30" s="1"/>
  <c r="CO185" i="6" a="1"/>
  <c r="CO185" i="6" s="1"/>
  <c r="BK26" i="3"/>
  <c r="BK28" i="3"/>
  <c r="A206" i="26" a="1"/>
  <c r="A206" i="26" s="1"/>
  <c r="A31" i="26" a="1"/>
  <c r="A31" i="26" s="1"/>
  <c r="CL17" i="26"/>
  <c r="CW227" i="26"/>
  <c r="CO153" i="6" a="1"/>
  <c r="CO153" i="6" s="1"/>
  <c r="BZ152" i="30"/>
  <c r="BZ57" i="33" s="1"/>
  <c r="BZ113" i="1"/>
  <c r="X151" i="20"/>
  <c r="CU151" i="1"/>
  <c r="CL42" i="1"/>
  <c r="W137" i="1"/>
  <c r="CP153" i="1"/>
  <c r="CL119" i="1"/>
  <c r="CL71" i="1"/>
  <c r="CL88" i="1"/>
  <c r="CL77" i="1"/>
  <c r="CA13" i="1"/>
  <c r="DK14" i="1" s="1"/>
  <c r="CY11" i="1"/>
  <c r="CA167" i="30"/>
  <c r="CB167" i="30"/>
  <c r="A126" i="22" a="1"/>
  <c r="A126" i="22" s="1"/>
  <c r="A45" i="26" a="1"/>
  <c r="A45" i="26" s="1"/>
  <c r="CW27" i="26"/>
  <c r="CU25" i="26" a="1"/>
  <c r="CU25" i="26" s="1"/>
  <c r="DE165" i="26"/>
  <c r="BY167" i="26"/>
  <c r="BY183" i="30" s="1"/>
  <c r="X71" i="33"/>
  <c r="I25" i="50" s="1"/>
  <c r="CT183" i="30"/>
  <c r="BY184" i="30"/>
  <c r="BY72" i="33" s="1"/>
  <c r="CS241" i="6"/>
  <c r="CS154" i="30"/>
  <c r="CA151" i="20"/>
  <c r="CY151" i="1"/>
  <c r="CW74" i="26"/>
  <c r="A74" i="26" s="1" a="1"/>
  <c r="A74" i="26" s="1"/>
  <c r="CQ82" i="1"/>
  <c r="CO122" i="1" a="1"/>
  <c r="CO122" i="1" s="1"/>
  <c r="CQ68" i="1"/>
  <c r="CO19" i="1" a="1"/>
  <c r="CO19" i="1" s="1"/>
  <c r="CT60" i="1"/>
  <c r="CP60" i="1" s="1"/>
  <c r="CX47" i="1"/>
  <c r="CS203" i="6"/>
  <c r="CW332" i="26"/>
  <c r="CO277" i="6" a="1"/>
  <c r="CO277" i="6" s="1"/>
  <c r="CL110" i="1"/>
  <c r="CW128" i="1"/>
  <c r="BY131" i="1"/>
  <c r="CW131" i="1" s="1"/>
  <c r="CP54" i="1"/>
  <c r="CY39" i="1"/>
  <c r="CA96" i="1"/>
  <c r="CY93" i="1"/>
  <c r="Y18" i="35"/>
  <c r="Y19" i="35" s="1"/>
  <c r="Y17" i="36"/>
  <c r="CU98" i="30"/>
  <c r="CO98" i="30" s="1"/>
  <c r="CX98" i="30"/>
  <c r="CP98" i="30" s="1"/>
  <c r="DE123" i="20"/>
  <c r="A138" i="22" a="1"/>
  <c r="A138" i="22" s="1"/>
  <c r="A123" i="22" a="1"/>
  <c r="A123" i="22" s="1"/>
  <c r="BL147" i="3"/>
  <c r="BL151" i="3"/>
  <c r="BL140" i="3"/>
  <c r="A238" i="26" a="1"/>
  <c r="A238" i="26" s="1"/>
  <c r="A287" i="26" a="1"/>
  <c r="A287" i="26" s="1"/>
  <c r="A188" i="26" a="1"/>
  <c r="A188" i="26" s="1"/>
  <c r="CL26" i="26"/>
  <c r="W130" i="30"/>
  <c r="X239" i="6"/>
  <c r="BY242" i="6"/>
  <c r="BY130" i="30" s="1"/>
  <c r="BY143" i="1"/>
  <c r="BZ152" i="20"/>
  <c r="CX152" i="1"/>
  <c r="CX125" i="26"/>
  <c r="A125" i="26" s="1" a="1"/>
  <c r="A125" i="26" s="1"/>
  <c r="CQ80" i="1"/>
  <c r="CO130" i="1" a="1"/>
  <c r="CO130" i="1" s="1"/>
  <c r="CP109" i="1"/>
  <c r="CA106" i="30"/>
  <c r="CX106" i="30" s="1"/>
  <c r="CP106" i="30" s="1"/>
  <c r="CB144" i="1"/>
  <c r="CA144" i="1"/>
  <c r="BK71" i="3"/>
  <c r="A144" i="22" a="1"/>
  <c r="A144" i="22" s="1"/>
  <c r="A168" i="22" a="1"/>
  <c r="A168" i="22" s="1"/>
  <c r="BK91" i="3"/>
  <c r="BK68" i="3"/>
  <c r="CY105" i="20"/>
  <c r="CS105" i="20" s="1"/>
  <c r="A105" i="20" s="1" a="1"/>
  <c r="A105" i="20" s="1"/>
  <c r="A225" i="26" a="1"/>
  <c r="A225" i="26" s="1"/>
  <c r="DE18" i="26"/>
  <c r="CX18" i="26" s="1"/>
  <c r="CO18" i="26" a="1"/>
  <c r="CO18" i="26" s="1"/>
  <c r="CP18" i="26" a="1"/>
  <c r="CP18" i="26" s="1"/>
  <c r="CW241" i="26"/>
  <c r="BZ340" i="26"/>
  <c r="DF340" i="26" s="1"/>
  <c r="DF338" i="26"/>
  <c r="CS63" i="6"/>
  <c r="A63" i="6" s="1" a="1"/>
  <c r="A63" i="6" s="1"/>
  <c r="CX73" i="26"/>
  <c r="A73" i="26" s="1" a="1"/>
  <c r="A73" i="26" s="1"/>
  <c r="CO44" i="1" a="1"/>
  <c r="CO44" i="1" s="1"/>
  <c r="CO121" i="1" a="1"/>
  <c r="CO121" i="1" s="1"/>
  <c r="CO22" i="1" a="1"/>
  <c r="CO22" i="1" s="1"/>
  <c r="CP105" i="1"/>
  <c r="CO33" i="1" a="1"/>
  <c r="CO33" i="1" s="1"/>
  <c r="CQ112" i="1"/>
  <c r="CL111" i="1"/>
  <c r="CU104" i="30"/>
  <c r="CO104" i="30" s="1"/>
  <c r="CX104" i="30"/>
  <c r="CP104" i="30" s="1"/>
  <c r="Y175" i="30"/>
  <c r="CU84" i="30"/>
  <c r="CO84" i="30" s="1"/>
  <c r="BK723" i="9"/>
  <c r="BK234" i="3"/>
  <c r="BK252" i="3"/>
  <c r="BK275" i="3" s="1"/>
  <c r="BK206" i="3"/>
  <c r="BY46" i="20"/>
  <c r="CY42" i="20"/>
  <c r="CS42" i="20" s="1"/>
  <c r="A42" i="20" s="1" a="1"/>
  <c r="A42" i="20" s="1"/>
  <c r="A186" i="26" a="1"/>
  <c r="A186" i="26" s="1"/>
  <c r="DE23" i="26"/>
  <c r="CX23" i="26" s="1"/>
  <c r="CP23" i="26" a="1"/>
  <c r="CP23" i="26" s="1"/>
  <c r="CO23" i="26" a="1"/>
  <c r="CO23" i="26" s="1"/>
  <c r="DE20" i="26"/>
  <c r="CX20" i="26" s="1"/>
  <c r="CO20" i="26" a="1"/>
  <c r="CO20" i="26" s="1"/>
  <c r="CP20" i="26" a="1"/>
  <c r="CP20" i="26" s="1"/>
  <c r="CT189" i="30"/>
  <c r="CT174" i="30"/>
  <c r="CW174" i="30"/>
  <c r="X63" i="33"/>
  <c r="I21" i="50" s="1"/>
  <c r="X176" i="30"/>
  <c r="Y76" i="33"/>
  <c r="J30" i="50" s="1"/>
  <c r="R30" i="50" s="1"/>
  <c r="G86" i="50" s="1"/>
  <c r="CU193" i="30"/>
  <c r="CX193" i="30"/>
  <c r="CO117" i="1" a="1"/>
  <c r="CO117" i="1" s="1"/>
  <c r="CL64" i="1"/>
  <c r="BY163" i="20"/>
  <c r="CW163" i="1"/>
  <c r="CP67" i="1"/>
  <c r="A125" i="22" a="1"/>
  <c r="A125" i="22" s="1"/>
  <c r="BJ22" i="30"/>
  <c r="BJ175" i="20"/>
  <c r="A202" i="26" a="1"/>
  <c r="A202" i="26" s="1"/>
  <c r="CA334" i="26"/>
  <c r="DG334" i="26" s="1"/>
  <c r="DG332" i="26"/>
  <c r="CS150" i="6"/>
  <c r="A150" i="6" s="1" a="1"/>
  <c r="A150" i="6" s="1"/>
  <c r="CY162" i="1"/>
  <c r="CA164" i="1"/>
  <c r="CY164" i="1" s="1"/>
  <c r="CS197" i="6"/>
  <c r="BY13" i="30"/>
  <c r="CY13" i="20"/>
  <c r="CS64" i="20"/>
  <c r="A64" i="20" s="1" a="1"/>
  <c r="A64" i="20" s="1"/>
  <c r="BK225" i="3"/>
  <c r="BK271" i="3"/>
  <c r="BK294" i="3" s="1"/>
  <c r="A145" i="26" a="1"/>
  <c r="A145" i="26" s="1"/>
  <c r="CL344" i="26"/>
  <c r="DE305" i="26"/>
  <c r="CS271" i="6"/>
  <c r="CS145" i="6"/>
  <c r="X126" i="20"/>
  <c r="CU126" i="1"/>
  <c r="Y168" i="20"/>
  <c r="CV168" i="1"/>
  <c r="A191" i="26" a="1"/>
  <c r="A191" i="26" s="1"/>
  <c r="CP78" i="1"/>
  <c r="CP45" i="1"/>
  <c r="CL124" i="1"/>
  <c r="CQ125" i="1"/>
  <c r="CA173" i="30"/>
  <c r="CB173" i="30"/>
  <c r="A111" i="22" a="1"/>
  <c r="A111" i="22" s="1"/>
  <c r="A156" i="22" a="1"/>
  <c r="A156" i="22" s="1"/>
  <c r="BK18" i="3"/>
  <c r="A209" i="26" a="1"/>
  <c r="A209" i="26" s="1"/>
  <c r="A43" i="26" a="1"/>
  <c r="A43" i="26" s="1"/>
  <c r="CU17" i="26" a="1"/>
  <c r="CU17" i="26" s="1"/>
  <c r="CL338" i="26"/>
  <c r="DG305" i="26"/>
  <c r="Y149" i="20"/>
  <c r="Y154" i="1"/>
  <c r="CV154" i="1" s="1"/>
  <c r="CV149" i="1"/>
  <c r="CS153" i="6"/>
  <c r="X57" i="33"/>
  <c r="I12" i="50" s="1"/>
  <c r="Q12" i="50" s="1"/>
  <c r="CT152" i="30"/>
  <c r="CW152" i="30"/>
  <c r="BZ151" i="20"/>
  <c r="CX151" i="1"/>
  <c r="CX63" i="26"/>
  <c r="A63" i="26" s="1" a="1"/>
  <c r="A63" i="26" s="1"/>
  <c r="CO42" i="1" a="1"/>
  <c r="CO42" i="1" s="1"/>
  <c r="CL153" i="1"/>
  <c r="CO77" i="1" a="1"/>
  <c r="CO77" i="1" s="1"/>
  <c r="BZ53" i="1"/>
  <c r="CX53" i="1" s="1"/>
  <c r="CX50" i="1"/>
  <c r="CY117" i="1"/>
  <c r="Y167" i="30"/>
  <c r="CX82" i="30"/>
  <c r="CP82" i="30" s="1"/>
  <c r="CU82" i="30"/>
  <c r="CO82" i="30" s="1"/>
  <c r="BZ23" i="30"/>
  <c r="X23" i="30" s="1"/>
  <c r="BZ179" i="20"/>
  <c r="CZ179" i="20" s="1"/>
  <c r="CZ100" i="20"/>
  <c r="CA194" i="30"/>
  <c r="CA77" i="33" s="1"/>
  <c r="Y41" i="30"/>
  <c r="A177" i="22" a="1"/>
  <c r="A177" i="22" s="1"/>
  <c r="A141" i="22" a="1"/>
  <c r="A141" i="22" s="1"/>
  <c r="CX166" i="26"/>
  <c r="BY192" i="30"/>
  <c r="BY75" i="33" s="1"/>
  <c r="BY63" i="33"/>
  <c r="BY176" i="30"/>
  <c r="W169" i="20"/>
  <c r="CT169" i="1"/>
  <c r="CP82" i="1"/>
  <c r="CP68" i="1"/>
  <c r="CP19" i="1"/>
  <c r="BY60" i="1"/>
  <c r="CW60" i="1" s="1"/>
  <c r="CW57" i="1"/>
  <c r="CO203" i="6" a="1"/>
  <c r="CO203" i="6" s="1"/>
  <c r="CL162" i="20"/>
  <c r="A150" i="22" a="1"/>
  <c r="A150" i="22" s="1"/>
  <c r="A112" i="26" a="1"/>
  <c r="A112" i="26" s="1"/>
  <c r="A152" i="26" a="1"/>
  <c r="A152" i="26" s="1"/>
  <c r="A55" i="6" a="1"/>
  <c r="A55" i="6" s="1"/>
  <c r="CP277" i="6"/>
  <c r="CT154" i="30"/>
  <c r="CW154" i="30"/>
  <c r="CQ52" i="1"/>
  <c r="CW14" i="1"/>
  <c r="CP120" i="1"/>
  <c r="CO110" i="1" a="1"/>
  <c r="CO110" i="1" s="1"/>
  <c r="CP128" i="1"/>
  <c r="X175" i="1"/>
  <c r="CU175" i="1" s="1"/>
  <c r="CU96" i="1"/>
  <c r="A182" i="6" a="1"/>
  <c r="A182" i="6" s="1"/>
  <c r="A116" i="22" a="1"/>
  <c r="A116" i="22" s="1"/>
  <c r="BL156" i="3"/>
  <c r="BL153" i="3"/>
  <c r="A304" i="26" a="1"/>
  <c r="A304" i="26" s="1"/>
  <c r="A29" i="26" a="1"/>
  <c r="A29" i="26" s="1"/>
  <c r="CW26" i="26"/>
  <c r="CL240" i="6"/>
  <c r="CL151" i="6"/>
  <c r="CP80" i="1"/>
  <c r="CQ130" i="1"/>
  <c r="BY29" i="1"/>
  <c r="CW29" i="1" s="1"/>
  <c r="CW27" i="1"/>
  <c r="CL109" i="1"/>
  <c r="Y169" i="30"/>
  <c r="CU106" i="30"/>
  <c r="CO106" i="30" s="1"/>
  <c r="Y21" i="35"/>
  <c r="CU100" i="30"/>
  <c r="CO100" i="30" s="1"/>
  <c r="CX100" i="30"/>
  <c r="CP100" i="30" s="1"/>
  <c r="BY21" i="30"/>
  <c r="W21" i="30" s="1"/>
  <c r="CY90" i="20"/>
  <c r="A102" i="22" a="1"/>
  <c r="A102" i="22" s="1"/>
  <c r="BJ27" i="30"/>
  <c r="BJ30" i="30" s="1"/>
  <c r="BJ139" i="20"/>
  <c r="A60" i="26" a="1"/>
  <c r="A60" i="26" s="1"/>
  <c r="CU18" i="26" a="1"/>
  <c r="CU18" i="26" s="1"/>
  <c r="CX241" i="26"/>
  <c r="W113" i="20"/>
  <c r="W176" i="1"/>
  <c r="CT176" i="1" s="1"/>
  <c r="CT113" i="1"/>
  <c r="X168" i="20"/>
  <c r="CU168" i="1"/>
  <c r="Y86" i="33"/>
  <c r="J38" i="50" s="1"/>
  <c r="R38" i="50" s="1"/>
  <c r="G110" i="50" s="1"/>
  <c r="CX204" i="30"/>
  <c r="CU204" i="30"/>
  <c r="CQ121" i="1"/>
  <c r="CL105" i="1"/>
  <c r="CT38" i="1"/>
  <c r="CP38" i="1" s="1"/>
  <c r="CP112" i="1"/>
  <c r="CO111" i="1" a="1"/>
  <c r="CO111" i="1" s="1"/>
  <c r="A111" i="1" s="1" a="1"/>
  <c r="A111" i="1" s="1"/>
  <c r="CY17" i="1"/>
  <c r="CA23" i="1"/>
  <c r="CY23" i="1" s="1"/>
  <c r="DF54" i="1"/>
  <c r="CS128" i="20"/>
  <c r="A128" i="20" s="1" a="1"/>
  <c r="A128" i="20" s="1"/>
  <c r="A117" i="22" a="1"/>
  <c r="A117" i="22" s="1"/>
  <c r="A97" i="22" a="1"/>
  <c r="A97" i="22" s="1"/>
  <c r="A169" i="22" a="1"/>
  <c r="A169" i="22" s="1"/>
  <c r="BK720" i="9"/>
  <c r="BK231" i="3"/>
  <c r="BZ83" i="33"/>
  <c r="BZ206" i="30"/>
  <c r="BZ88" i="33" s="1"/>
  <c r="BZ126" i="20"/>
  <c r="CX126" i="1"/>
  <c r="CO61" i="1" a="1"/>
  <c r="CO61" i="1" s="1"/>
  <c r="Y173" i="30"/>
  <c r="CU103" i="30"/>
  <c r="CO103" i="30" s="1"/>
  <c r="CX103" i="30"/>
  <c r="CP103" i="30" s="1"/>
  <c r="BY17" i="30"/>
  <c r="W17" i="30" s="1"/>
  <c r="CY53" i="20"/>
  <c r="BZ16" i="30"/>
  <c r="X16" i="30" s="1"/>
  <c r="CZ46" i="20"/>
  <c r="CA14" i="30"/>
  <c r="Y14" i="30" s="1"/>
  <c r="DA29" i="20"/>
  <c r="CA22" i="30"/>
  <c r="Y22" i="30" s="1"/>
  <c r="CA175" i="20"/>
  <c r="DA96" i="20"/>
  <c r="CL96" i="20"/>
  <c r="A155" i="26" a="1"/>
  <c r="A155" i="26" s="1"/>
  <c r="CW17" i="26"/>
  <c r="W149" i="20"/>
  <c r="W154" i="1"/>
  <c r="CT154" i="1" s="1"/>
  <c r="CT149" i="1"/>
  <c r="DF305" i="26"/>
  <c r="X136" i="20"/>
  <c r="X137" i="20" s="1"/>
  <c r="CU136" i="1"/>
  <c r="CT46" i="1"/>
  <c r="CP46" i="1" s="1"/>
  <c r="CT90" i="1"/>
  <c r="CP90" i="1" s="1"/>
  <c r="CT85" i="1"/>
  <c r="CP85" i="1" s="1"/>
  <c r="CX54" i="1"/>
  <c r="A116" i="26" a="1"/>
  <c r="A116" i="26" s="1"/>
  <c r="A122" i="26" a="1"/>
  <c r="A122" i="26" s="1"/>
  <c r="DE27" i="26"/>
  <c r="CX27" i="26" s="1"/>
  <c r="CO27" i="26" a="1"/>
  <c r="CO27" i="26" s="1"/>
  <c r="CP27" i="26" a="1"/>
  <c r="CP27" i="26" s="1"/>
  <c r="DE25" i="26"/>
  <c r="CX25" i="26" s="1"/>
  <c r="CO25" i="26" a="1"/>
  <c r="CO25" i="26" s="1"/>
  <c r="CP25" i="26" a="1"/>
  <c r="CP25" i="26" s="1"/>
  <c r="DG338" i="26"/>
  <c r="CA340" i="26"/>
  <c r="DG340" i="26" s="1"/>
  <c r="W75" i="33"/>
  <c r="H29" i="50" s="1"/>
  <c r="P29" i="50" s="1"/>
  <c r="G80" i="50" s="1"/>
  <c r="CS192" i="30"/>
  <c r="CO192" i="30" s="1"/>
  <c r="CV192" i="30"/>
  <c r="CL241" i="6"/>
  <c r="CS214" i="6"/>
  <c r="Y72" i="33"/>
  <c r="J26" i="50" s="1"/>
  <c r="R26" i="50" s="1"/>
  <c r="G70" i="50" s="1"/>
  <c r="CU184" i="30"/>
  <c r="CX184" i="30"/>
  <c r="CL68" i="1"/>
  <c r="BY23" i="1"/>
  <c r="CW23" i="1" s="1"/>
  <c r="CW17" i="1"/>
  <c r="CL19" i="1"/>
  <c r="CP57" i="1"/>
  <c r="BZ100" i="1"/>
  <c r="CX98" i="1"/>
  <c r="CA166" i="30"/>
  <c r="CB166" i="30"/>
  <c r="BY22" i="30"/>
  <c r="W22" i="30" s="1"/>
  <c r="BY175" i="20"/>
  <c r="CY175" i="20" s="1"/>
  <c r="CY96" i="20"/>
  <c r="BZ15" i="30"/>
  <c r="X15" i="30" s="1"/>
  <c r="CZ38" i="20"/>
  <c r="A170" i="22" a="1"/>
  <c r="A170" i="22" s="1"/>
  <c r="A250" i="26" a="1"/>
  <c r="A250" i="26" s="1"/>
  <c r="Y136" i="20"/>
  <c r="Y137" i="20" s="1"/>
  <c r="CV136" i="1"/>
  <c r="CP52" i="1"/>
  <c r="CP14" i="1"/>
  <c r="CL120" i="1"/>
  <c r="CT131" i="1"/>
  <c r="DD54" i="1"/>
  <c r="CX93" i="1"/>
  <c r="BZ96" i="1"/>
  <c r="BL167" i="3"/>
  <c r="BL190" i="3" s="1"/>
  <c r="BL41" i="3"/>
  <c r="BL24" i="3"/>
  <c r="BL12" i="3"/>
  <c r="BL3" i="3" s="1"/>
  <c r="BL5" i="3"/>
  <c r="BM8" i="3"/>
  <c r="BL4" i="3"/>
  <c r="BL154" i="3"/>
  <c r="A197" i="26" a="1"/>
  <c r="A197" i="26" s="1"/>
  <c r="CU16" i="26" a="1"/>
  <c r="CU16" i="26" s="1"/>
  <c r="CU24" i="26" a="1"/>
  <c r="CU24" i="26" s="1"/>
  <c r="CO240" i="6" a="1"/>
  <c r="CO240" i="6" s="1"/>
  <c r="CL80" i="1"/>
  <c r="CP130" i="1"/>
  <c r="CP27" i="1"/>
  <c r="CO109" i="1" a="1"/>
  <c r="CO109" i="1" s="1"/>
  <c r="A109" i="1" s="1" a="1"/>
  <c r="A109" i="1" s="1"/>
  <c r="CS88" i="20"/>
  <c r="A88" i="20" s="1" a="1"/>
  <c r="A88" i="20" s="1"/>
  <c r="CA23" i="30"/>
  <c r="Y23" i="30" s="1"/>
  <c r="CA179" i="20"/>
  <c r="DA179" i="20" s="1"/>
  <c r="DA100" i="20"/>
  <c r="CL100" i="20"/>
  <c r="A132" i="22" a="1"/>
  <c r="A132" i="22" s="1"/>
  <c r="A109" i="22" a="1"/>
  <c r="A109" i="22" s="1"/>
  <c r="A154" i="26" a="1"/>
  <c r="A154" i="26" s="1"/>
  <c r="A128" i="26" a="1"/>
  <c r="A128" i="26" s="1"/>
  <c r="CL18" i="26"/>
  <c r="CU241" i="26" a="1"/>
  <c r="CU241" i="26" s="1"/>
  <c r="Y71" i="33"/>
  <c r="J25" i="50" s="1"/>
  <c r="CU183" i="30"/>
  <c r="W127" i="30"/>
  <c r="BY217" i="6"/>
  <c r="BY127" i="30" s="1"/>
  <c r="X206" i="6"/>
  <c r="BZ267" i="6"/>
  <c r="BZ282" i="6" s="1"/>
  <c r="BZ247" i="6" s="1"/>
  <c r="BZ284" i="6"/>
  <c r="BZ258" i="6" s="1"/>
  <c r="BZ168" i="1" s="1"/>
  <c r="Y87" i="30"/>
  <c r="CX69" i="26"/>
  <c r="A69" i="26" s="1" a="1"/>
  <c r="A69" i="26" s="1"/>
  <c r="CO47" i="1" a="1"/>
  <c r="CO47" i="1" s="1"/>
  <c r="CP121" i="1"/>
  <c r="CQ107" i="1"/>
  <c r="CL112" i="1"/>
  <c r="CY54" i="1"/>
  <c r="BK725" i="9"/>
  <c r="BK236" i="3"/>
  <c r="W37" i="6"/>
  <c r="W271" i="26"/>
  <c r="X262" i="26"/>
  <c r="DB269" i="26"/>
  <c r="DA131" i="20"/>
  <c r="CS131" i="20" s="1"/>
  <c r="A131" i="20" s="1" a="1"/>
  <c r="A131" i="20" s="1"/>
  <c r="CL131" i="20"/>
  <c r="BF23" i="32"/>
  <c r="BF112" i="30"/>
  <c r="BF114" i="30"/>
  <c r="A235" i="6" a="1"/>
  <c r="A235" i="6" s="1"/>
  <c r="CU153" i="30"/>
  <c r="CX153" i="30"/>
  <c r="BY13" i="1"/>
  <c r="DI14" i="1" s="1"/>
  <c r="CW11" i="1"/>
  <c r="CA171" i="30"/>
  <c r="CB171" i="30"/>
  <c r="CA21" i="30"/>
  <c r="Y21" i="30" s="1"/>
  <c r="DA90" i="20"/>
  <c r="CL90" i="20"/>
  <c r="CU344" i="26" a="1"/>
  <c r="CU344" i="26" s="1"/>
  <c r="A344" i="26" s="1" a="1"/>
  <c r="A344" i="26" s="1"/>
  <c r="CX297" i="26"/>
  <c r="CL15" i="26"/>
  <c r="BY189" i="30"/>
  <c r="CV189" i="30" s="1"/>
  <c r="DE263" i="26"/>
  <c r="BY269" i="26"/>
  <c r="CS120" i="6"/>
  <c r="X83" i="33"/>
  <c r="I35" i="50" s="1"/>
  <c r="CT200" i="30"/>
  <c r="CW200" i="30"/>
  <c r="X206" i="30"/>
  <c r="CA47" i="6"/>
  <c r="CA73" i="30" s="1"/>
  <c r="DG160" i="26"/>
  <c r="CX160" i="26" s="1"/>
  <c r="CU160" i="26" a="1"/>
  <c r="CU160" i="26" s="1"/>
  <c r="CT132" i="1"/>
  <c r="CP132" i="1" s="1"/>
  <c r="CQ94" i="1"/>
  <c r="CL163" i="1"/>
  <c r="A60" i="6" a="1"/>
  <c r="A60" i="6" s="1"/>
  <c r="CA81" i="30"/>
  <c r="CX81" i="30" s="1"/>
  <c r="CP81" i="30" s="1"/>
  <c r="CB67" i="6"/>
  <c r="CB68" i="6" s="1"/>
  <c r="CA68" i="6"/>
  <c r="BZ17" i="30"/>
  <c r="X17" i="30" s="1"/>
  <c r="CZ53" i="20"/>
  <c r="CA15" i="30"/>
  <c r="Y15" i="30" s="1"/>
  <c r="DA38" i="20"/>
  <c r="CL38" i="20"/>
  <c r="DH47" i="20"/>
  <c r="DA23" i="20"/>
  <c r="CS23" i="20" s="1"/>
  <c r="A23" i="20" s="1" a="1"/>
  <c r="A23" i="20" s="1"/>
  <c r="CL23" i="20"/>
  <c r="A105" i="22" a="1"/>
  <c r="A105" i="22" s="1"/>
  <c r="A203" i="26" a="1"/>
  <c r="A203" i="26" s="1"/>
  <c r="BY136" i="20"/>
  <c r="CW136" i="1"/>
  <c r="X169" i="20"/>
  <c r="CU169" i="1"/>
  <c r="Y152" i="20"/>
  <c r="CV152" i="1"/>
  <c r="CL127" i="1"/>
  <c r="A150" i="1" a="1"/>
  <c r="A150" i="1" s="1"/>
  <c r="CO36" i="1" a="1"/>
  <c r="CO36" i="1" s="1"/>
  <c r="Y171" i="30"/>
  <c r="CX107" i="30"/>
  <c r="CP107" i="30" s="1"/>
  <c r="CU107" i="30"/>
  <c r="CO107" i="30" s="1"/>
  <c r="CW296" i="26"/>
  <c r="CU305" i="26" a="1"/>
  <c r="CU305" i="26" s="1"/>
  <c r="CO59" i="6" a="1"/>
  <c r="CO59" i="6" s="1"/>
  <c r="A59" i="6" s="1" a="1"/>
  <c r="A59" i="6" s="1"/>
  <c r="CO128" i="6" a="1"/>
  <c r="CO128" i="6" s="1"/>
  <c r="X143" i="20"/>
  <c r="X177" i="20" s="1"/>
  <c r="X177" i="1"/>
  <c r="CU177" i="1" s="1"/>
  <c r="CU143" i="1"/>
  <c r="CA267" i="6"/>
  <c r="CA282" i="6" s="1"/>
  <c r="CA247" i="6" s="1"/>
  <c r="CA284" i="6"/>
  <c r="CA258" i="6" s="1"/>
  <c r="CA168" i="1" s="1"/>
  <c r="CW185" i="26"/>
  <c r="A185" i="26" s="1" a="1"/>
  <c r="A185" i="26" s="1"/>
  <c r="CO78" i="1" a="1"/>
  <c r="CO78" i="1" s="1"/>
  <c r="CO45" i="1" a="1"/>
  <c r="CO45" i="1" s="1"/>
  <c r="A45" i="1" s="1" a="1"/>
  <c r="A45" i="1" s="1"/>
  <c r="CP79" i="1"/>
  <c r="CL125" i="1"/>
  <c r="CX128" i="1"/>
  <c r="BZ131" i="1"/>
  <c r="CX131" i="1" s="1"/>
  <c r="CY30" i="1"/>
  <c r="CS50" i="20"/>
  <c r="A50" i="20" s="1" a="1"/>
  <c r="A50" i="20" s="1"/>
  <c r="CL19" i="26"/>
  <c r="W25" i="6"/>
  <c r="X220" i="26"/>
  <c r="DB229" i="26"/>
  <c r="DG226" i="26"/>
  <c r="CA149" i="1"/>
  <c r="A113" i="6" a="1"/>
  <c r="A113" i="6" s="1"/>
  <c r="BZ136" i="20"/>
  <c r="CX136" i="1"/>
  <c r="Y87" i="33"/>
  <c r="J39" i="50" s="1"/>
  <c r="R39" i="50" s="1"/>
  <c r="CU205" i="30"/>
  <c r="CX205" i="30"/>
  <c r="BK728" i="9"/>
  <c r="BK239" i="3"/>
  <c r="CW24" i="1"/>
  <c r="CQ153" i="1"/>
  <c r="A153" i="1" s="1" a="1"/>
  <c r="A153" i="1" s="1"/>
  <c r="W175" i="1"/>
  <c r="CT175" i="1" s="1"/>
  <c r="CT96" i="1"/>
  <c r="CO162" i="1" a="1"/>
  <c r="CO162" i="1" s="1"/>
  <c r="BY90" i="1"/>
  <c r="CW90" i="1" s="1"/>
  <c r="CW88" i="1"/>
  <c r="A170" i="6" a="1"/>
  <c r="A170" i="6" s="1"/>
  <c r="A132" i="6" a="1"/>
  <c r="A132" i="6" s="1"/>
  <c r="X24" i="32"/>
  <c r="X25" i="32" s="1"/>
  <c r="BZ25" i="32"/>
  <c r="A165" i="22" a="1"/>
  <c r="A165" i="22" s="1"/>
  <c r="A204" i="26" a="1"/>
  <c r="A204" i="26" s="1"/>
  <c r="A94" i="26" a="1"/>
  <c r="A94" i="26" s="1"/>
  <c r="W52" i="6"/>
  <c r="W290" i="26"/>
  <c r="X283" i="26"/>
  <c r="DB288" i="26"/>
  <c r="W34" i="6"/>
  <c r="W280" i="26"/>
  <c r="X274" i="26"/>
  <c r="DB278" i="26"/>
  <c r="CS147" i="6"/>
  <c r="A147" i="6" s="1" a="1"/>
  <c r="A147" i="6" s="1"/>
  <c r="CS174" i="30"/>
  <c r="CO174" i="30" s="1"/>
  <c r="CV174" i="30"/>
  <c r="CP174" i="30" s="1"/>
  <c r="W63" i="33"/>
  <c r="H21" i="50" s="1"/>
  <c r="W176" i="30"/>
  <c r="CO214" i="6" a="1"/>
  <c r="CO214" i="6" s="1"/>
  <c r="Y113" i="20"/>
  <c r="Y176" i="1"/>
  <c r="CV176" i="1" s="1"/>
  <c r="CV113" i="1"/>
  <c r="A157" i="26" a="1"/>
  <c r="A157" i="26" s="1"/>
  <c r="CO82" i="1" a="1"/>
  <c r="CO82" i="1" s="1"/>
  <c r="CL37" i="1"/>
  <c r="BZ114" i="1"/>
  <c r="CX105" i="1"/>
  <c r="X179" i="1"/>
  <c r="CU179" i="1" s="1"/>
  <c r="CU100" i="1"/>
  <c r="Y166" i="30"/>
  <c r="CX109" i="30"/>
  <c r="CP109" i="30" s="1"/>
  <c r="CU109" i="30"/>
  <c r="CO109" i="30" s="1"/>
  <c r="CS93" i="20"/>
  <c r="A93" i="20" s="1" a="1"/>
  <c r="A93" i="20" s="1"/>
  <c r="A119" i="22" a="1"/>
  <c r="A119" i="22" s="1"/>
  <c r="A161" i="22" a="1"/>
  <c r="A161" i="22" s="1"/>
  <c r="A143" i="26" a="1"/>
  <c r="A143" i="26" s="1"/>
  <c r="A149" i="26" a="1"/>
  <c r="A149" i="26" s="1"/>
  <c r="CA136" i="20"/>
  <c r="CY136" i="1"/>
  <c r="CL52" i="1"/>
  <c r="CQ120" i="1"/>
  <c r="CQ108" i="1"/>
  <c r="CL128" i="1"/>
  <c r="BZ163" i="20"/>
  <c r="CX163" i="1"/>
  <c r="CA172" i="30"/>
  <c r="CB172" i="30"/>
  <c r="CA170" i="30"/>
  <c r="CB170" i="30"/>
  <c r="CS61" i="20"/>
  <c r="CL2" i="22" a="1"/>
  <c r="CL2" i="22" s="1"/>
  <c r="BL141" i="3"/>
  <c r="BL138" i="3"/>
  <c r="A200" i="26" a="1"/>
  <c r="A200" i="26" s="1"/>
  <c r="A97" i="26" a="1"/>
  <c r="A97" i="26" s="1"/>
  <c r="CW16" i="26"/>
  <c r="CW24" i="26"/>
  <c r="CA189" i="30"/>
  <c r="CX189" i="30" s="1"/>
  <c r="DG263" i="26"/>
  <c r="CS240" i="6"/>
  <c r="CL144" i="6"/>
  <c r="CS209" i="6"/>
  <c r="CQ18" i="1"/>
  <c r="CO80" i="1" a="1"/>
  <c r="CO80" i="1" s="1"/>
  <c r="A80" i="1" s="1" a="1"/>
  <c r="A80" i="1" s="1"/>
  <c r="CL27" i="1"/>
  <c r="CS56" i="6"/>
  <c r="A56" i="6" s="1" a="1"/>
  <c r="A56" i="6" s="1"/>
  <c r="BI47" i="30"/>
  <c r="BI38" i="30"/>
  <c r="DG24" i="20"/>
  <c r="A118" i="22" a="1"/>
  <c r="A118" i="22" s="1"/>
  <c r="BY60" i="20"/>
  <c r="CY57" i="20"/>
  <c r="CS57" i="20" s="1"/>
  <c r="A57" i="20" s="1" a="1"/>
  <c r="A57" i="20" s="1"/>
  <c r="A276" i="26" a="1"/>
  <c r="A276" i="26" s="1"/>
  <c r="A37" i="26" a="1"/>
  <c r="A37" i="26" s="1"/>
  <c r="CO22" i="26" a="1"/>
  <c r="CO22" i="26" s="1"/>
  <c r="DE22" i="26"/>
  <c r="CX22" i="26" s="1"/>
  <c r="CP22" i="26" a="1"/>
  <c r="CP22" i="26" s="1"/>
  <c r="X149" i="20"/>
  <c r="X154" i="1"/>
  <c r="CU154" i="1" s="1"/>
  <c r="CU149" i="1"/>
  <c r="BY152" i="30"/>
  <c r="BY113" i="1"/>
  <c r="CO208" i="6" a="1"/>
  <c r="CO208" i="6" s="1"/>
  <c r="CX117" i="26"/>
  <c r="CW47" i="1"/>
  <c r="CL121" i="1"/>
  <c r="CP107" i="1"/>
  <c r="W114" i="1"/>
  <c r="CQ84" i="1"/>
  <c r="CO112" i="1" a="1"/>
  <c r="CO112" i="1" s="1"/>
  <c r="A161" i="1" a="1"/>
  <c r="A161" i="1" s="1"/>
  <c r="DG14" i="20"/>
  <c r="DH24" i="20"/>
  <c r="A106" i="22" a="1"/>
  <c r="A106" i="22" s="1"/>
  <c r="A159" i="22" a="1"/>
  <c r="A159" i="22" s="1"/>
  <c r="A112" i="22" a="1"/>
  <c r="A112" i="22" s="1"/>
  <c r="BK734" i="9"/>
  <c r="BK245" i="3"/>
  <c r="Y126" i="20"/>
  <c r="CV126" i="1"/>
  <c r="CO163" i="20" a="1"/>
  <c r="CO163" i="20" s="1"/>
  <c r="W164" i="20"/>
  <c r="CX117" i="1"/>
  <c r="CU81" i="30"/>
  <c r="CO81" i="30" s="1"/>
  <c r="BK729" i="9"/>
  <c r="BK240" i="3"/>
  <c r="A43" i="6" a="1"/>
  <c r="A43" i="6" s="1"/>
  <c r="BZ169" i="20"/>
  <c r="CZ169" i="20" s="1"/>
  <c r="CX169" i="1"/>
  <c r="A127" i="1" a="1"/>
  <c r="A127" i="1" s="1"/>
  <c r="CL11" i="1"/>
  <c r="BY100" i="1"/>
  <c r="CW98" i="1"/>
  <c r="BZ74" i="1"/>
  <c r="CX74" i="1" s="1"/>
  <c r="CX64" i="1"/>
  <c r="CA100" i="1"/>
  <c r="CY98" i="1"/>
  <c r="A145" i="22" a="1"/>
  <c r="A145" i="22" s="1"/>
  <c r="BJ77" i="33"/>
  <c r="BJ195" i="30"/>
  <c r="BJ78" i="33" s="1"/>
  <c r="A124" i="26" a="1"/>
  <c r="A124" i="26" s="1"/>
  <c r="CU296" i="26" a="1"/>
  <c r="CU296" i="26" s="1"/>
  <c r="W28" i="6"/>
  <c r="DB243" i="26"/>
  <c r="W245" i="26"/>
  <c r="X234" i="26"/>
  <c r="W152" i="20"/>
  <c r="CT152" i="1"/>
  <c r="CO129" i="6" a="1"/>
  <c r="CO129" i="6" s="1"/>
  <c r="A129" i="6" s="1" a="1"/>
  <c r="A129" i="6" s="1"/>
  <c r="BZ143" i="20"/>
  <c r="BZ177" i="1"/>
  <c r="CX177" i="1" s="1"/>
  <c r="CX143" i="1"/>
  <c r="CA83" i="33"/>
  <c r="CA206" i="30"/>
  <c r="CA88" i="33" s="1"/>
  <c r="A64" i="26" a="1"/>
  <c r="A64" i="26" s="1"/>
  <c r="CL79" i="1"/>
  <c r="CO125" i="1" a="1"/>
  <c r="CO125" i="1" s="1"/>
  <c r="A125" i="1" s="1" a="1"/>
  <c r="A125" i="1" s="1"/>
  <c r="CO86" i="6" a="1"/>
  <c r="CO86" i="6" s="1"/>
  <c r="BY23" i="30"/>
  <c r="W23" i="30" s="1"/>
  <c r="BY179" i="20"/>
  <c r="CY179" i="20" s="1"/>
  <c r="CY100" i="20"/>
  <c r="BZ19" i="30"/>
  <c r="X19" i="30" s="1"/>
  <c r="CZ74" i="20"/>
  <c r="CT44" i="30"/>
  <c r="CW44" i="30"/>
  <c r="DH30" i="20"/>
  <c r="CW19" i="26"/>
  <c r="A255" i="26" a="1"/>
  <c r="A255" i="26" s="1"/>
  <c r="CW226" i="26"/>
  <c r="BK724" i="9"/>
  <c r="BK235" i="3"/>
  <c r="BI257" i="6"/>
  <c r="BY137" i="1"/>
  <c r="CW137" i="1" s="1"/>
  <c r="CW135" i="1"/>
  <c r="CP24" i="1"/>
  <c r="CW162" i="1"/>
  <c r="CQ162" i="1" s="1"/>
  <c r="BY164" i="1"/>
  <c r="CW164" i="1" s="1"/>
  <c r="CP88" i="1"/>
  <c r="DE54" i="1"/>
  <c r="CA163" i="20"/>
  <c r="CY163" i="1"/>
  <c r="CA60" i="1"/>
  <c r="CY60" i="1" s="1"/>
  <c r="CY57" i="1"/>
  <c r="CA74" i="1"/>
  <c r="CY74" i="1" s="1"/>
  <c r="CY64" i="1"/>
  <c r="CS30" i="20"/>
  <c r="CL14" i="20"/>
  <c r="A120" i="22" a="1"/>
  <c r="A120" i="22" s="1"/>
  <c r="CU286" i="26" a="1"/>
  <c r="CU286" i="26" s="1"/>
  <c r="CU277" i="26" a="1"/>
  <c r="CU277" i="26" s="1"/>
  <c r="W72" i="33"/>
  <c r="H26" i="50" s="1"/>
  <c r="P26" i="50" s="1"/>
  <c r="G68" i="50" s="1"/>
  <c r="CS184" i="30"/>
  <c r="CO215" i="6" a="1"/>
  <c r="CO215" i="6" s="1"/>
  <c r="BY169" i="1"/>
  <c r="CA152" i="30"/>
  <c r="CA57" i="33" s="1"/>
  <c r="CA113" i="1"/>
  <c r="CL81" i="1"/>
  <c r="CL17" i="1"/>
  <c r="CQ28" i="1"/>
  <c r="CO37" i="1" a="1"/>
  <c r="CO37" i="1" s="1"/>
  <c r="A37" i="1" s="1" a="1"/>
  <c r="A37" i="1" s="1"/>
  <c r="BZ23" i="1"/>
  <c r="CX23" i="1" s="1"/>
  <c r="CX17" i="1"/>
  <c r="CU80" i="30"/>
  <c r="CO80" i="30" s="1"/>
  <c r="CX80" i="30"/>
  <c r="CP80" i="30" s="1"/>
  <c r="A154" i="22" a="1"/>
  <c r="A154" i="22" s="1"/>
  <c r="A36" i="26" a="1"/>
  <c r="A36" i="26" s="1"/>
  <c r="CL332" i="26"/>
  <c r="CS277" i="6"/>
  <c r="CO66" i="1" a="1"/>
  <c r="CO66" i="1" s="1"/>
  <c r="CO52" i="1" a="1"/>
  <c r="CO52" i="1" s="1"/>
  <c r="CQ21" i="1"/>
  <c r="CO120" i="1" a="1"/>
  <c r="CO120" i="1" s="1"/>
  <c r="CP108" i="1"/>
  <c r="CO128" i="1" a="1"/>
  <c r="CO128" i="1" s="1"/>
  <c r="CL106" i="1"/>
  <c r="Y172" i="30"/>
  <c r="CU102" i="30"/>
  <c r="CO102" i="30" s="1"/>
  <c r="CX102" i="30"/>
  <c r="CP102" i="30" s="1"/>
  <c r="Y170" i="30"/>
  <c r="CX105" i="30"/>
  <c r="CP105" i="30" s="1"/>
  <c r="CU105" i="30"/>
  <c r="CO105" i="30" s="1"/>
  <c r="CA25" i="32"/>
  <c r="Y24" i="32"/>
  <c r="Y25" i="32" s="1"/>
  <c r="A96" i="22" a="1"/>
  <c r="A96" i="22" s="1"/>
  <c r="A151" i="22" a="1"/>
  <c r="A151" i="22" s="1"/>
  <c r="BL155" i="3"/>
  <c r="BL139" i="3"/>
  <c r="A237" i="26" a="1"/>
  <c r="A237" i="26" s="1"/>
  <c r="DE16" i="26"/>
  <c r="CX16" i="26" s="1"/>
  <c r="CO16" i="26" a="1"/>
  <c r="CO16" i="26" s="1"/>
  <c r="CP16" i="26" a="1"/>
  <c r="CP16" i="26" s="1"/>
  <c r="DE24" i="26"/>
  <c r="CX24" i="26" s="1"/>
  <c r="CP24" i="26" a="1"/>
  <c r="CP24" i="26" s="1"/>
  <c r="CO24" i="26" a="1"/>
  <c r="CO24" i="26" s="1"/>
  <c r="BZ334" i="26"/>
  <c r="DF334" i="26" s="1"/>
  <c r="DF332" i="26"/>
  <c r="CU189" i="30"/>
  <c r="BY126" i="20"/>
  <c r="CW126" i="1"/>
  <c r="CL209" i="6"/>
  <c r="CX66" i="26"/>
  <c r="A66" i="26" s="1" a="1"/>
  <c r="A66" i="26" s="1"/>
  <c r="CP18" i="1"/>
  <c r="CL180" i="1"/>
  <c r="CQ95" i="1"/>
  <c r="CO27" i="1" a="1"/>
  <c r="CO27" i="1" s="1"/>
  <c r="CO58" i="1" a="1"/>
  <c r="CO58" i="1" s="1"/>
  <c r="CA53" i="1"/>
  <c r="CY53" i="1" s="1"/>
  <c r="CY50" i="1"/>
  <c r="CA13" i="35"/>
  <c r="CA161" i="30"/>
  <c r="CB161" i="30"/>
  <c r="BI28" i="32"/>
  <c r="BI33" i="32"/>
  <c r="A136" i="22" a="1"/>
  <c r="A136" i="22" s="1"/>
  <c r="A178" i="22" a="1"/>
  <c r="A178" i="22" s="1"/>
  <c r="A212" i="26" a="1"/>
  <c r="A212" i="26" s="1"/>
  <c r="CU22" i="26" a="1"/>
  <c r="CU22" i="26" s="1"/>
  <c r="CU13" i="26" a="1"/>
  <c r="CU13" i="26" s="1"/>
  <c r="DG165" i="26"/>
  <c r="CA167" i="26"/>
  <c r="CA183" i="30" s="1"/>
  <c r="CL207" i="6"/>
  <c r="W129" i="30"/>
  <c r="BY236" i="6"/>
  <c r="BY129" i="30" s="1"/>
  <c r="X229" i="6"/>
  <c r="A210" i="6" a="1"/>
  <c r="A210" i="6" s="1"/>
  <c r="CS208" i="6"/>
  <c r="Y169" i="20"/>
  <c r="CV169" i="1"/>
  <c r="CW117" i="26"/>
  <c r="CP47" i="1"/>
  <c r="CL107" i="1"/>
  <c r="CP84" i="1"/>
  <c r="BZ29" i="1"/>
  <c r="CX29" i="1" s="1"/>
  <c r="CX27" i="1"/>
  <c r="CU97" i="30"/>
  <c r="CO97" i="30" s="1"/>
  <c r="CX97" i="30"/>
  <c r="CP97" i="30" s="1"/>
  <c r="BK733" i="9"/>
  <c r="BK244" i="3"/>
  <c r="CS135" i="20"/>
  <c r="A135" i="20" s="1" a="1"/>
  <c r="A135" i="20" s="1"/>
  <c r="X77" i="35"/>
  <c r="CW25" i="30"/>
  <c r="CT25" i="30"/>
  <c r="BK730" i="9"/>
  <c r="BK241" i="3"/>
  <c r="CP94" i="1"/>
  <c r="CL12" i="1"/>
  <c r="BY53" i="1"/>
  <c r="CW53" i="1" s="1"/>
  <c r="CW50" i="1"/>
  <c r="BK726" i="9"/>
  <c r="BK237" i="3"/>
  <c r="W168" i="20"/>
  <c r="CT168" i="1"/>
  <c r="CA152" i="20"/>
  <c r="CY152" i="1"/>
  <c r="CU297" i="26" a="1"/>
  <c r="CU297" i="26" s="1"/>
  <c r="CO15" i="26" a="1"/>
  <c r="CO15" i="26" s="1"/>
  <c r="DE15" i="26"/>
  <c r="CX15" i="26" s="1"/>
  <c r="CP15" i="26" a="1"/>
  <c r="CP15" i="26" s="1"/>
  <c r="CW263" i="26"/>
  <c r="BH54" i="33"/>
  <c r="BH148" i="30"/>
  <c r="BH180" i="30" s="1"/>
  <c r="BH56" i="30"/>
  <c r="BH58" i="30" s="1"/>
  <c r="CO82" i="6" a="1"/>
  <c r="CO82" i="6" s="1"/>
  <c r="CA126" i="20"/>
  <c r="CY126" i="1"/>
  <c r="Y73" i="30"/>
  <c r="CO64" i="1" a="1"/>
  <c r="CO64" i="1" s="1"/>
  <c r="CL123" i="1"/>
  <c r="CL94" i="1"/>
  <c r="CO12" i="1" a="1"/>
  <c r="CO12" i="1" s="1"/>
  <c r="A12" i="1" s="1" a="1"/>
  <c r="A12" i="1" s="1"/>
  <c r="CA15" i="35"/>
  <c r="CA16" i="35" s="1"/>
  <c r="DG54" i="20"/>
  <c r="DC54" i="20" s="1"/>
  <c r="CR54" i="20" s="1"/>
  <c r="A54" i="20" s="1" a="1"/>
  <c r="A54" i="20" s="1"/>
  <c r="CA19" i="30"/>
  <c r="Y19" i="30" s="1"/>
  <c r="DA74" i="20"/>
  <c r="CL74" i="20"/>
  <c r="BY44" i="30"/>
  <c r="W44" i="30" s="1"/>
  <c r="CY153" i="20"/>
  <c r="CS153" i="20" s="1"/>
  <c r="A153" i="20" s="1" a="1"/>
  <c r="A153" i="20" s="1"/>
  <c r="BJ13" i="30"/>
  <c r="BJ102" i="20"/>
  <c r="BJ141" i="20" s="1"/>
  <c r="BJ146" i="20" s="1"/>
  <c r="A252" i="26" a="1"/>
  <c r="A252" i="26" s="1"/>
  <c r="W179" i="6"/>
  <c r="BY298" i="26"/>
  <c r="X293" i="26"/>
  <c r="DB298" i="26"/>
  <c r="CS265" i="6"/>
  <c r="CO118" i="1" a="1"/>
  <c r="CO118" i="1" s="1"/>
  <c r="A118" i="1" s="1" a="1"/>
  <c r="A118" i="1" s="1"/>
  <c r="CL35" i="1"/>
  <c r="CO129" i="1" a="1"/>
  <c r="CO129" i="1" s="1"/>
  <c r="A129" i="1" s="1" a="1"/>
  <c r="A129" i="1" s="1"/>
  <c r="CO11" i="1" a="1"/>
  <c r="CO11" i="1" s="1"/>
  <c r="CO72" i="1" a="1"/>
  <c r="CO72" i="1" s="1"/>
  <c r="A72" i="1" s="1" a="1"/>
  <c r="A72" i="1" s="1"/>
  <c r="CX24" i="1"/>
  <c r="CA90" i="1"/>
  <c r="CY90" i="1" s="1"/>
  <c r="CY88" i="1"/>
  <c r="CO157" i="6" a="1"/>
  <c r="CO157" i="6" s="1"/>
  <c r="A157" i="6" s="1" a="1"/>
  <c r="A157" i="6" s="1"/>
  <c r="CS173" i="6"/>
  <c r="A173" i="6" s="1" a="1"/>
  <c r="A173" i="6" s="1"/>
  <c r="CS47" i="20"/>
  <c r="CL153" i="20"/>
  <c r="DE240" i="26"/>
  <c r="CX240" i="26" s="1"/>
  <c r="BY243" i="26"/>
  <c r="BY152" i="1"/>
  <c r="CS273" i="6"/>
  <c r="CP273" i="6"/>
  <c r="CL128" i="6"/>
  <c r="CL129" i="6"/>
  <c r="Y83" i="33"/>
  <c r="J35" i="50" s="1"/>
  <c r="CU200" i="30"/>
  <c r="CX200" i="30"/>
  <c r="Y206" i="30"/>
  <c r="A140" i="26" a="1"/>
  <c r="A140" i="26" s="1"/>
  <c r="CO30" i="1" a="1"/>
  <c r="CO30" i="1" s="1"/>
  <c r="CQ59" i="1"/>
  <c r="CO79" i="1" a="1"/>
  <c r="CO79" i="1" s="1"/>
  <c r="CX39" i="1"/>
  <c r="CY47" i="1"/>
  <c r="CA85" i="1"/>
  <c r="CY85" i="1" s="1"/>
  <c r="CY77" i="1"/>
  <c r="CY24" i="1"/>
  <c r="CS86" i="6"/>
  <c r="CA62" i="33"/>
  <c r="CA17" i="30"/>
  <c r="Y17" i="30" s="1"/>
  <c r="DA53" i="20"/>
  <c r="CL53" i="20"/>
  <c r="A100" i="22" a="1"/>
  <c r="A100" i="22" s="1"/>
  <c r="A103" i="22" a="1"/>
  <c r="A103" i="22" s="1"/>
  <c r="A174" i="26" a="1"/>
  <c r="A174" i="26" s="1"/>
  <c r="DE19" i="26"/>
  <c r="CX19" i="26" s="1"/>
  <c r="CO19" i="26" a="1"/>
  <c r="CO19" i="26" s="1"/>
  <c r="CP19" i="26" a="1"/>
  <c r="CP19" i="26" s="1"/>
  <c r="DE226" i="26"/>
  <c r="BY149" i="1"/>
  <c r="X76" i="33"/>
  <c r="I30" i="50" s="1"/>
  <c r="Q30" i="50" s="1"/>
  <c r="G85" i="50" s="1"/>
  <c r="CT193" i="30"/>
  <c r="CW193" i="30"/>
  <c r="CL24" i="1"/>
  <c r="CQ119" i="1"/>
  <c r="CL65" i="1"/>
  <c r="CO71" i="1" a="1"/>
  <c r="CO71" i="1" s="1"/>
  <c r="A71" i="1" s="1" a="1"/>
  <c r="A71" i="1" s="1"/>
  <c r="CP162" i="1"/>
  <c r="X102" i="1"/>
  <c r="CU13" i="1"/>
  <c r="CU99" i="30"/>
  <c r="CO99" i="30" s="1"/>
  <c r="CX99" i="30"/>
  <c r="CP99" i="30" s="1"/>
  <c r="CU94" i="30"/>
  <c r="CO94" i="30" s="1"/>
  <c r="CX94" i="30"/>
  <c r="CP94" i="30" s="1"/>
  <c r="A101" i="22" a="1"/>
  <c r="A101" i="22" s="1"/>
  <c r="A321" i="26" a="1"/>
  <c r="A321" i="26" s="1"/>
  <c r="DE14" i="26"/>
  <c r="CX14" i="26" s="1"/>
  <c r="CO14" i="26" a="1"/>
  <c r="CO14" i="26" s="1"/>
  <c r="CP14" i="26" a="1"/>
  <c r="CP14" i="26" s="1"/>
  <c r="DE286" i="26"/>
  <c r="CX286" i="26" s="1"/>
  <c r="BY288" i="26"/>
  <c r="DE277" i="26"/>
  <c r="CX277" i="26" s="1"/>
  <c r="BY278" i="26"/>
  <c r="CW165" i="26"/>
  <c r="BY155" i="6"/>
  <c r="BY158" i="6" s="1"/>
  <c r="BY121" i="30" s="1"/>
  <c r="W158" i="6"/>
  <c r="X142" i="6"/>
  <c r="CS215" i="6"/>
  <c r="Y57" i="33"/>
  <c r="J12" i="50" s="1"/>
  <c r="R12" i="50" s="1"/>
  <c r="CU152" i="30"/>
  <c r="CX208" i="26"/>
  <c r="CQ122" i="1"/>
  <c r="CO81" i="1" a="1"/>
  <c r="CO81" i="1" s="1"/>
  <c r="CT23" i="1"/>
  <c r="CP23" i="1" s="1"/>
  <c r="CP28" i="1"/>
  <c r="X114" i="1"/>
  <c r="CY61" i="1"/>
  <c r="CS76" i="6"/>
  <c r="A76" i="6" s="1" a="1"/>
  <c r="A76" i="6" s="1"/>
  <c r="Y52" i="30"/>
  <c r="A147" i="22" a="1"/>
  <c r="A147" i="22" s="1"/>
  <c r="BY29" i="20"/>
  <c r="CL29" i="20" s="1"/>
  <c r="CY27" i="20"/>
  <c r="CS27" i="20" s="1"/>
  <c r="A27" i="20" s="1" a="1"/>
  <c r="A27" i="20" s="1"/>
  <c r="CU332" i="26" a="1"/>
  <c r="CU332" i="26" s="1"/>
  <c r="CL277" i="6"/>
  <c r="X86" i="33"/>
  <c r="I38" i="50" s="1"/>
  <c r="Q38" i="50" s="1"/>
  <c r="G109" i="50" s="1"/>
  <c r="CW204" i="30"/>
  <c r="CT204" i="30"/>
  <c r="CQ66" i="1"/>
  <c r="CP21" i="1"/>
  <c r="CL108" i="1"/>
  <c r="CW39" i="1"/>
  <c r="CO106" i="1" a="1"/>
  <c r="CO106" i="1" s="1"/>
  <c r="A106" i="1" s="1" a="1"/>
  <c r="A106" i="1" s="1"/>
  <c r="CS167" i="6"/>
  <c r="A104" i="22" a="1"/>
  <c r="A104" i="22" s="1"/>
  <c r="BL143" i="3"/>
  <c r="BL142" i="3"/>
  <c r="A177" i="26" a="1"/>
  <c r="A177" i="26" s="1"/>
  <c r="CL16" i="26"/>
  <c r="CL24" i="26"/>
  <c r="W143" i="20"/>
  <c r="W177" i="20" s="1"/>
  <c r="W177" i="1"/>
  <c r="CT177" i="1" s="1"/>
  <c r="CT143" i="1"/>
  <c r="CO209" i="6" a="1"/>
  <c r="CO209" i="6" s="1"/>
  <c r="CL18" i="1"/>
  <c r="CO73" i="1" a="1"/>
  <c r="CO73" i="1" s="1"/>
  <c r="A73" i="1" s="1" a="1"/>
  <c r="A73" i="1" s="1"/>
  <c r="CO180" i="1" a="1"/>
  <c r="CO180" i="1" s="1"/>
  <c r="A180" i="1" s="1" a="1"/>
  <c r="A180" i="1" s="1"/>
  <c r="CP95" i="1"/>
  <c r="CT29" i="1"/>
  <c r="CP29" i="1" s="1"/>
  <c r="CQ58" i="1"/>
  <c r="DF14" i="1"/>
  <c r="CS194" i="6"/>
  <c r="A194" i="6" s="1" a="1"/>
  <c r="A194" i="6" s="1"/>
  <c r="Y13" i="35"/>
  <c r="Y13" i="36"/>
  <c r="Y161" i="30"/>
  <c r="CU78" i="30"/>
  <c r="CO78" i="30" s="1"/>
  <c r="CX78" i="30"/>
  <c r="CP78" i="30" s="1"/>
  <c r="A324" i="26" a="1"/>
  <c r="A324" i="26" s="1"/>
  <c r="CL22" i="26"/>
  <c r="CL13" i="26"/>
  <c r="DF226" i="26"/>
  <c r="BZ149" i="1"/>
  <c r="CO207" i="6" a="1"/>
  <c r="CO207" i="6" s="1"/>
  <c r="A207" i="6" s="1" a="1"/>
  <c r="A207" i="6" s="1"/>
  <c r="CT153" i="30"/>
  <c r="CW153" i="30"/>
  <c r="CA169" i="20"/>
  <c r="DA169" i="20" s="1"/>
  <c r="CY169" i="1"/>
  <c r="A72" i="26" a="1"/>
  <c r="A72" i="26" s="1"/>
  <c r="CQ44" i="1"/>
  <c r="CL47" i="1"/>
  <c r="CQ22" i="1"/>
  <c r="CO107" i="1" a="1"/>
  <c r="CO107" i="1" s="1"/>
  <c r="BY38" i="1"/>
  <c r="CW38" i="1" s="1"/>
  <c r="CQ38" i="1" s="1"/>
  <c r="CW33" i="1"/>
  <c r="CQ33" i="1" s="1"/>
  <c r="CL84" i="1"/>
  <c r="CY42" i="1"/>
  <c r="CA46" i="1"/>
  <c r="CY46" i="1" s="1"/>
  <c r="CS188" i="6"/>
  <c r="CO79" i="6" a="1"/>
  <c r="CO79" i="6" s="1"/>
  <c r="A79" i="6" s="1" a="1"/>
  <c r="A79" i="6" s="1"/>
  <c r="BK69" i="3"/>
  <c r="DH39" i="20"/>
  <c r="DC39" i="20" s="1"/>
  <c r="CR39" i="20" s="1"/>
  <c r="A39" i="20" s="1" a="1"/>
  <c r="A39" i="20" s="1"/>
  <c r="A163" i="22" a="1"/>
  <c r="A163" i="22" s="1"/>
  <c r="A157" i="22" a="1"/>
  <c r="A157" i="22" s="1"/>
  <c r="BK721" i="9"/>
  <c r="BK232" i="3"/>
  <c r="E29" i="14"/>
  <c r="M28" i="14"/>
  <c r="E28" i="14" a="1"/>
  <c r="CW313" i="26" l="1"/>
  <c r="CA187" i="30"/>
  <c r="BY313" i="26"/>
  <c r="DE313" i="26" s="1"/>
  <c r="DE51" i="26"/>
  <c r="BZ313" i="26"/>
  <c r="DF313" i="26" s="1"/>
  <c r="DF51" i="26"/>
  <c r="BY53" i="26"/>
  <c r="CW51" i="26"/>
  <c r="CA313" i="26"/>
  <c r="DG313" i="26" s="1"/>
  <c r="DG51" i="26"/>
  <c r="CL51" i="26"/>
  <c r="CA185" i="30"/>
  <c r="CX185" i="30" s="1"/>
  <c r="BY185" i="30"/>
  <c r="CV185" i="30" s="1"/>
  <c r="BZ187" i="30"/>
  <c r="CW187" i="30" s="1"/>
  <c r="BY187" i="30"/>
  <c r="BZ185" i="30"/>
  <c r="CS128" i="6"/>
  <c r="A64" i="6" a="1"/>
  <c r="A64" i="6" s="1"/>
  <c r="A163" i="6" a="1"/>
  <c r="A163" i="6" s="1"/>
  <c r="A294" i="26" a="1"/>
  <c r="A294" i="26" s="1"/>
  <c r="A83" i="1" a="1"/>
  <c r="A83" i="1" s="1"/>
  <c r="A119" i="6" a="1"/>
  <c r="A119" i="6" s="1"/>
  <c r="BJ24" i="30"/>
  <c r="BJ14" i="32" s="1"/>
  <c r="A82" i="6" a="1"/>
  <c r="A82" i="6" s="1"/>
  <c r="A297" i="26" a="1"/>
  <c r="A297" i="26" s="1"/>
  <c r="CQ53" i="1"/>
  <c r="A53" i="1" s="1" a="1"/>
  <c r="A53" i="1" s="1"/>
  <c r="DI47" i="1"/>
  <c r="DK30" i="1"/>
  <c r="CL89" i="6"/>
  <c r="DK39" i="1"/>
  <c r="BY206" i="30"/>
  <c r="BY88" i="33" s="1"/>
  <c r="A211" i="6" a="1"/>
  <c r="A211" i="6" s="1"/>
  <c r="CL47" i="6"/>
  <c r="CL96" i="1"/>
  <c r="CQ14" i="1"/>
  <c r="A227" i="26" a="1"/>
  <c r="A227" i="26" s="1"/>
  <c r="A110" i="1" a="1"/>
  <c r="A110" i="1" s="1"/>
  <c r="A65" i="1" a="1"/>
  <c r="A65" i="1" s="1"/>
  <c r="CQ50" i="1"/>
  <c r="A50" i="1" s="1" a="1"/>
  <c r="A50" i="1" s="1"/>
  <c r="A82" i="1" a="1"/>
  <c r="A82" i="1" s="1"/>
  <c r="CA132" i="1"/>
  <c r="CY132" i="1" s="1"/>
  <c r="BK791" i="9"/>
  <c r="BK814" i="9" s="1"/>
  <c r="A81" i="1" a="1"/>
  <c r="A81" i="1" s="1"/>
  <c r="CX311" i="26"/>
  <c r="A311" i="26" s="1" a="1"/>
  <c r="A311" i="26" s="1"/>
  <c r="A123" i="20" a="1"/>
  <c r="A123" i="20" s="1"/>
  <c r="A151" i="6" a="1"/>
  <c r="A151" i="6" s="1"/>
  <c r="CP143" i="1"/>
  <c r="A212" i="6" a="1"/>
  <c r="A212" i="6" s="1"/>
  <c r="A79" i="1" a="1"/>
  <c r="A79" i="1" s="1"/>
  <c r="CQ164" i="1"/>
  <c r="A164" i="1" s="1" a="1"/>
  <c r="A164" i="1" s="1"/>
  <c r="A185" i="6" a="1"/>
  <c r="A185" i="6" s="1"/>
  <c r="Y139" i="1"/>
  <c r="CV139" i="1" s="1"/>
  <c r="A67" i="1" a="1"/>
  <c r="A67" i="1" s="1"/>
  <c r="BK793" i="9"/>
  <c r="CP168" i="1"/>
  <c r="A112" i="1" a="1"/>
  <c r="A112" i="1" s="1"/>
  <c r="CP152" i="1"/>
  <c r="CL29" i="1"/>
  <c r="A175" i="6" a="1"/>
  <c r="A175" i="6" s="1"/>
  <c r="A34" i="1" a="1"/>
  <c r="A34" i="1" s="1"/>
  <c r="DJ47" i="1"/>
  <c r="A254" i="26" a="1"/>
  <c r="A254" i="26" s="1"/>
  <c r="A94" i="1" a="1"/>
  <c r="A94" i="1" s="1"/>
  <c r="A105" i="30" a="1"/>
  <c r="A105" i="30" s="1"/>
  <c r="CQ137" i="1"/>
  <c r="A124" i="1" a="1"/>
  <c r="A124" i="1" s="1"/>
  <c r="A271" i="6" a="1"/>
  <c r="A271" i="6" s="1"/>
  <c r="A107" i="1" a="1"/>
  <c r="A107" i="1" s="1"/>
  <c r="DK61" i="1"/>
  <c r="A80" i="30" a="1"/>
  <c r="A80" i="30" s="1"/>
  <c r="DC24" i="20"/>
  <c r="CR24" i="20" s="1"/>
  <c r="A24" i="20" s="1" a="1"/>
  <c r="A24" i="20" s="1"/>
  <c r="DA175" i="20"/>
  <c r="CS175" i="20" s="1"/>
  <c r="A175" i="20" s="1" a="1"/>
  <c r="A175" i="20" s="1"/>
  <c r="CP177" i="1"/>
  <c r="CB62" i="33"/>
  <c r="DJ39" i="1"/>
  <c r="A52" i="1" a="1"/>
  <c r="A52" i="1" s="1"/>
  <c r="A223" i="6" a="1"/>
  <c r="A223" i="6" s="1"/>
  <c r="BZ132" i="1"/>
  <c r="CX132" i="1" s="1"/>
  <c r="BY57" i="33"/>
  <c r="CP96" i="1"/>
  <c r="CQ11" i="1"/>
  <c r="BK788" i="9"/>
  <c r="BK811" i="9" s="1"/>
  <c r="CQ135" i="1"/>
  <c r="A135" i="1" s="1" a="1"/>
  <c r="A135" i="1" s="1"/>
  <c r="CP192" i="30"/>
  <c r="DE28" i="26"/>
  <c r="DG28" i="26"/>
  <c r="CW185" i="30"/>
  <c r="CA221" i="26"/>
  <c r="DG221" i="26" s="1"/>
  <c r="DE221" i="26"/>
  <c r="BY229" i="26"/>
  <c r="BY25" i="6" s="1"/>
  <c r="DE49" i="26"/>
  <c r="DD53" i="26"/>
  <c r="DF49" i="26"/>
  <c r="BY301" i="26"/>
  <c r="DE301" i="26" s="1"/>
  <c r="DE42" i="26"/>
  <c r="BZ301" i="26"/>
  <c r="DF301" i="26" s="1"/>
  <c r="DF42" i="26"/>
  <c r="DB221" i="26"/>
  <c r="CW221" i="26" s="1"/>
  <c r="CW42" i="26"/>
  <c r="DF28" i="26"/>
  <c r="CL28" i="26"/>
  <c r="CL42" i="26"/>
  <c r="DG49" i="26"/>
  <c r="DC53" i="26"/>
  <c r="CW49" i="26"/>
  <c r="CX13" i="26"/>
  <c r="BZ221" i="26"/>
  <c r="DF221" i="26" s="1"/>
  <c r="CW301" i="26"/>
  <c r="CA301" i="26"/>
  <c r="DG301" i="26" s="1"/>
  <c r="DG42" i="26"/>
  <c r="CL49" i="26"/>
  <c r="DB53" i="26"/>
  <c r="CS100" i="20"/>
  <c r="A100" i="20" s="1" a="1"/>
  <c r="A100" i="20" s="1"/>
  <c r="CO185" i="30"/>
  <c r="A203" i="6" a="1"/>
  <c r="A203" i="6" s="1"/>
  <c r="BK787" i="9"/>
  <c r="CR24" i="32"/>
  <c r="CX315" i="26"/>
  <c r="A315" i="26" s="1" a="1"/>
  <c r="A315" i="26" s="1"/>
  <c r="A149" i="6" a="1"/>
  <c r="A149" i="6" s="1"/>
  <c r="A200" i="6" a="1"/>
  <c r="A200" i="6" s="1"/>
  <c r="CO184" i="30"/>
  <c r="CQ39" i="1"/>
  <c r="A78" i="1" a="1"/>
  <c r="A78" i="1" s="1"/>
  <c r="A84" i="30" a="1"/>
  <c r="A84" i="30" s="1"/>
  <c r="CX152" i="30"/>
  <c r="CL23" i="1"/>
  <c r="A209" i="6" a="1"/>
  <c r="A209" i="6" s="1"/>
  <c r="A11" i="1" a="1"/>
  <c r="A11" i="1" s="1"/>
  <c r="A120" i="1" a="1"/>
  <c r="A120" i="1" s="1"/>
  <c r="CP175" i="1"/>
  <c r="A107" i="30" a="1"/>
  <c r="A107" i="30" s="1"/>
  <c r="BK748" i="9"/>
  <c r="A104" i="30" a="1"/>
  <c r="A104" i="30" s="1"/>
  <c r="BK805" i="9"/>
  <c r="A96" i="30" a="1"/>
  <c r="A96" i="30" s="1"/>
  <c r="CO127" i="6" a="1"/>
  <c r="CO127" i="6" s="1"/>
  <c r="A127" i="6" s="1" a="1"/>
  <c r="A127" i="6" s="1"/>
  <c r="CL127" i="6"/>
  <c r="BY151" i="1"/>
  <c r="A81" i="30" a="1"/>
  <c r="A81" i="30" s="1"/>
  <c r="A174" i="30" a="1"/>
  <c r="A174" i="30" s="1"/>
  <c r="A103" i="30" a="1"/>
  <c r="A103" i="30" s="1"/>
  <c r="A100" i="30" a="1"/>
  <c r="A100" i="30" s="1"/>
  <c r="CS13" i="20"/>
  <c r="A13" i="20" s="1" a="1"/>
  <c r="A13" i="20" s="1"/>
  <c r="A98" i="30" a="1"/>
  <c r="A98" i="30" s="1"/>
  <c r="CB162" i="30"/>
  <c r="DK24" i="1"/>
  <c r="A273" i="6" a="1"/>
  <c r="A273" i="6" s="1"/>
  <c r="CA162" i="30"/>
  <c r="CA61" i="33" s="1"/>
  <c r="A102" i="30" a="1"/>
  <c r="A102" i="30" s="1"/>
  <c r="BK747" i="9"/>
  <c r="DI24" i="1"/>
  <c r="A36" i="1" a="1"/>
  <c r="A36" i="1" s="1"/>
  <c r="DJ54" i="1"/>
  <c r="BK746" i="9"/>
  <c r="CS85" i="20"/>
  <c r="A85" i="20" s="1" a="1"/>
  <c r="A85" i="20" s="1"/>
  <c r="BK806" i="9"/>
  <c r="BK758" i="9"/>
  <c r="A108" i="30" a="1"/>
  <c r="A108" i="30" s="1"/>
  <c r="A128" i="6" a="1"/>
  <c r="A128" i="6" s="1"/>
  <c r="A14" i="26" a="1"/>
  <c r="A14" i="26" s="1"/>
  <c r="A241" i="26" a="1"/>
  <c r="A241" i="26" s="1"/>
  <c r="A159" i="26" a="1"/>
  <c r="A159" i="26" s="1"/>
  <c r="A295" i="26" a="1"/>
  <c r="A295" i="26" s="1"/>
  <c r="A296" i="26" a="1"/>
  <c r="A296" i="26" s="1"/>
  <c r="CP189" i="30"/>
  <c r="A20" i="26" a="1"/>
  <c r="A20" i="26" s="1"/>
  <c r="A19" i="26" a="1"/>
  <c r="A19" i="26" s="1"/>
  <c r="A117" i="26" a="1"/>
  <c r="A117" i="26" s="1"/>
  <c r="A16" i="26" a="1"/>
  <c r="A16" i="26" s="1"/>
  <c r="CS179" i="20"/>
  <c r="A179" i="20" s="1" a="1"/>
  <c r="A179" i="20" s="1"/>
  <c r="CL30" i="26"/>
  <c r="A267" i="26" a="1"/>
  <c r="A267" i="26" s="1"/>
  <c r="A15" i="26" a="1"/>
  <c r="A15" i="26" s="1"/>
  <c r="CV184" i="30"/>
  <c r="CP184" i="30" s="1"/>
  <c r="A160" i="26" a="1"/>
  <c r="A160" i="26" s="1"/>
  <c r="A27" i="26" a="1"/>
  <c r="A27" i="26" s="1"/>
  <c r="BZ303" i="26"/>
  <c r="BZ46" i="26"/>
  <c r="DF46" i="26" s="1"/>
  <c r="DF44" i="26"/>
  <c r="CU187" i="30"/>
  <c r="DB249" i="26"/>
  <c r="CW249" i="26" s="1"/>
  <c r="W257" i="26"/>
  <c r="CS187" i="30"/>
  <c r="DC303" i="26"/>
  <c r="X306" i="26"/>
  <c r="CW44" i="26"/>
  <c r="BY303" i="26"/>
  <c r="BY46" i="26"/>
  <c r="DE46" i="26" s="1"/>
  <c r="DE44" i="26"/>
  <c r="CA46" i="26"/>
  <c r="DG46" i="26" s="1"/>
  <c r="CA303" i="26"/>
  <c r="DG44" i="26"/>
  <c r="DB303" i="26"/>
  <c r="W306" i="26"/>
  <c r="CV187" i="30"/>
  <c r="BY249" i="26"/>
  <c r="BY32" i="26"/>
  <c r="DE30" i="26"/>
  <c r="CA249" i="26"/>
  <c r="DG249" i="26" s="1"/>
  <c r="CA32" i="26"/>
  <c r="DG32" i="26" s="1"/>
  <c r="CX187" i="30"/>
  <c r="DG30" i="26"/>
  <c r="CT187" i="30"/>
  <c r="DB46" i="26"/>
  <c r="CW46" i="26" s="1"/>
  <c r="CW30" i="26"/>
  <c r="CL44" i="26"/>
  <c r="BZ249" i="26"/>
  <c r="DF249" i="26" s="1"/>
  <c r="BZ32" i="26"/>
  <c r="DF32" i="26" s="1"/>
  <c r="DF30" i="26"/>
  <c r="DB32" i="26"/>
  <c r="CW32" i="26" s="1"/>
  <c r="DD303" i="26"/>
  <c r="Y306" i="26"/>
  <c r="CL100" i="1"/>
  <c r="X154" i="20"/>
  <c r="BZ90" i="33"/>
  <c r="CA90" i="33"/>
  <c r="BK744" i="9"/>
  <c r="Y24" i="35"/>
  <c r="Y33" i="36"/>
  <c r="A78" i="30" a="1"/>
  <c r="A78" i="30" s="1"/>
  <c r="CU161" i="30"/>
  <c r="CO161" i="30" s="1"/>
  <c r="CX161" i="30"/>
  <c r="CP161" i="30" s="1"/>
  <c r="X155" i="6"/>
  <c r="BZ142" i="6"/>
  <c r="A94" i="30" a="1"/>
  <c r="A94" i="30" s="1"/>
  <c r="BY179" i="6"/>
  <c r="BY101" i="30" s="1"/>
  <c r="DE298" i="26"/>
  <c r="BH82" i="35"/>
  <c r="BH67" i="33"/>
  <c r="BH69" i="33" s="1"/>
  <c r="BH31" i="32"/>
  <c r="BH27" i="32"/>
  <c r="BH208" i="30"/>
  <c r="BH92" i="33" s="1"/>
  <c r="CA43" i="30"/>
  <c r="Y43" i="30" s="1"/>
  <c r="DA152" i="20"/>
  <c r="BK756" i="9"/>
  <c r="CV129" i="30"/>
  <c r="CS129" i="30"/>
  <c r="CT24" i="32"/>
  <c r="BJ80" i="33"/>
  <c r="CQ98" i="1"/>
  <c r="A98" i="1" s="1" a="1"/>
  <c r="A98" i="1" s="1"/>
  <c r="BK752" i="9"/>
  <c r="Y157" i="30"/>
  <c r="Y132" i="20"/>
  <c r="CQ47" i="1"/>
  <c r="BI54" i="33"/>
  <c r="BI148" i="30"/>
  <c r="BI180" i="30" s="1"/>
  <c r="BI56" i="30"/>
  <c r="BI58" i="30" s="1"/>
  <c r="BL161" i="3"/>
  <c r="BL184" i="3" s="1"/>
  <c r="CQ88" i="1"/>
  <c r="A88" i="1" s="1" a="1"/>
  <c r="A88" i="1" s="1"/>
  <c r="X70" i="35"/>
  <c r="CT17" i="30"/>
  <c r="CW17" i="30"/>
  <c r="DK54" i="1"/>
  <c r="BZ168" i="20"/>
  <c r="CZ168" i="20" s="1"/>
  <c r="CX168" i="1"/>
  <c r="CS96" i="20"/>
  <c r="A96" i="20" s="1" a="1"/>
  <c r="A96" i="20" s="1"/>
  <c r="A25" i="26" a="1"/>
  <c r="A25" i="26" s="1"/>
  <c r="CL46" i="1"/>
  <c r="W154" i="20"/>
  <c r="Y74" i="35"/>
  <c r="Y102" i="13"/>
  <c r="CX22" i="30"/>
  <c r="CU22" i="30"/>
  <c r="CP176" i="1"/>
  <c r="A106" i="30" a="1"/>
  <c r="A106" i="30" s="1"/>
  <c r="BZ42" i="30"/>
  <c r="CZ151" i="20"/>
  <c r="CX305" i="26"/>
  <c r="BY102" i="20"/>
  <c r="CL102" i="20" s="1"/>
  <c r="CQ163" i="1"/>
  <c r="A163" i="1" s="1" a="1"/>
  <c r="A163" i="1" s="1"/>
  <c r="BY16" i="30"/>
  <c r="W16" i="30" s="1"/>
  <c r="CY46" i="20"/>
  <c r="CS46" i="20" s="1"/>
  <c r="A46" i="20" s="1" a="1"/>
  <c r="A46" i="20" s="1"/>
  <c r="DF47" i="20"/>
  <c r="DC47" i="20" s="1"/>
  <c r="CR47" i="20" s="1"/>
  <c r="A47" i="20" s="1" a="1"/>
  <c r="A47" i="20" s="1"/>
  <c r="A44" i="1" a="1"/>
  <c r="A44" i="1" s="1"/>
  <c r="A18" i="26" a="1"/>
  <c r="A18" i="26" s="1"/>
  <c r="A130" i="1" a="1"/>
  <c r="A130" i="1" s="1"/>
  <c r="BL170" i="3"/>
  <c r="BL193" i="3" s="1"/>
  <c r="CQ128" i="1"/>
  <c r="A128" i="1" s="1" a="1"/>
  <c r="A128" i="1" s="1"/>
  <c r="CL60" i="1"/>
  <c r="CA42" i="30"/>
  <c r="DA151" i="20"/>
  <c r="Q25" i="50"/>
  <c r="A153" i="6" a="1"/>
  <c r="A153" i="6" s="1"/>
  <c r="CS68" i="6"/>
  <c r="A68" i="6" s="1" a="1"/>
  <c r="A68" i="6" s="1"/>
  <c r="CL53" i="1"/>
  <c r="A21" i="26" a="1"/>
  <c r="A21" i="26" s="1"/>
  <c r="BY132" i="1"/>
  <c r="CU18" i="30"/>
  <c r="CX18" i="30"/>
  <c r="CP126" i="1"/>
  <c r="BL168" i="3"/>
  <c r="BL191" i="3" s="1"/>
  <c r="CX334" i="26"/>
  <c r="A334" i="26" s="1" a="1"/>
  <c r="A334" i="26" s="1"/>
  <c r="BZ71" i="33"/>
  <c r="Y141" i="1"/>
  <c r="CV102" i="1"/>
  <c r="CP151" i="1"/>
  <c r="CO204" i="30"/>
  <c r="CZ102" i="20"/>
  <c r="A119" i="1" a="1"/>
  <c r="A119" i="1" s="1"/>
  <c r="Y62" i="33"/>
  <c r="J20" i="50" s="1"/>
  <c r="R20" i="50" s="1"/>
  <c r="G58" i="50" s="1"/>
  <c r="CU165" i="30"/>
  <c r="CO165" i="30" s="1"/>
  <c r="CX165" i="30"/>
  <c r="CP165" i="30" s="1"/>
  <c r="CQ61" i="1"/>
  <c r="A152" i="6" a="1"/>
  <c r="A152" i="6" s="1"/>
  <c r="W121" i="30"/>
  <c r="Y114" i="13"/>
  <c r="Y88" i="33"/>
  <c r="Y90" i="33" s="1"/>
  <c r="X71" i="35"/>
  <c r="CT19" i="30"/>
  <c r="CW19" i="30"/>
  <c r="BY179" i="1"/>
  <c r="CW179" i="1" s="1"/>
  <c r="CW100" i="1"/>
  <c r="BY18" i="30"/>
  <c r="W18" i="30" s="1"/>
  <c r="CY60" i="20"/>
  <c r="CS60" i="20" s="1"/>
  <c r="A60" i="20" s="1" a="1"/>
  <c r="A60" i="20" s="1"/>
  <c r="DF61" i="20"/>
  <c r="DC61" i="20" s="1"/>
  <c r="CR61" i="20" s="1"/>
  <c r="A61" i="20" s="1" a="1"/>
  <c r="A61" i="20" s="1"/>
  <c r="BL164" i="3"/>
  <c r="BL187" i="3" s="1"/>
  <c r="BZ53" i="30"/>
  <c r="CZ163" i="20"/>
  <c r="BZ164" i="20"/>
  <c r="CZ164" i="20" s="1"/>
  <c r="Y176" i="20"/>
  <c r="Y114" i="20"/>
  <c r="BZ274" i="26"/>
  <c r="BZ278" i="26" s="1"/>
  <c r="X278" i="26"/>
  <c r="CQ90" i="1"/>
  <c r="CU171" i="30"/>
  <c r="CO171" i="30" s="1"/>
  <c r="CX171" i="30"/>
  <c r="CP171" i="30" s="1"/>
  <c r="CQ136" i="1"/>
  <c r="X269" i="26"/>
  <c r="BZ262" i="26"/>
  <c r="BZ269" i="26" s="1"/>
  <c r="R25" i="50"/>
  <c r="BL177" i="3"/>
  <c r="BL200" i="3" s="1"/>
  <c r="BL213" i="3"/>
  <c r="BL259" i="3"/>
  <c r="BL282" i="3" s="1"/>
  <c r="CQ17" i="1"/>
  <c r="A17" i="1" s="1" a="1"/>
  <c r="A17" i="1" s="1"/>
  <c r="CL85" i="1"/>
  <c r="W176" i="20"/>
  <c r="W114" i="20"/>
  <c r="CU169" i="30"/>
  <c r="CO169" i="30" s="1"/>
  <c r="CQ57" i="1"/>
  <c r="A57" i="1" s="1" a="1"/>
  <c r="A57" i="1" s="1"/>
  <c r="W13" i="30"/>
  <c r="BY53" i="30"/>
  <c r="W53" i="30" s="1"/>
  <c r="CY163" i="20"/>
  <c r="Q21" i="50"/>
  <c r="I22" i="50"/>
  <c r="BK718" i="9"/>
  <c r="BK229" i="3"/>
  <c r="CS130" i="30"/>
  <c r="CV130" i="30"/>
  <c r="CP154" i="30"/>
  <c r="BY71" i="33"/>
  <c r="CT137" i="1"/>
  <c r="CP137" i="1" s="1"/>
  <c r="A137" i="1" s="1" a="1"/>
  <c r="A137" i="1" s="1"/>
  <c r="CL137" i="1"/>
  <c r="CA34" i="30"/>
  <c r="CA177" i="20"/>
  <c r="DA177" i="20" s="1"/>
  <c r="DA143" i="20"/>
  <c r="X73" i="35"/>
  <c r="CT21" i="30"/>
  <c r="CW21" i="30"/>
  <c r="A265" i="6" a="1"/>
  <c r="A265" i="6" s="1"/>
  <c r="A95" i="1" a="1"/>
  <c r="A95" i="1" s="1"/>
  <c r="BL172" i="3"/>
  <c r="BL195" i="3" s="1"/>
  <c r="A166" i="26" a="1"/>
  <c r="A166" i="26" s="1"/>
  <c r="BZ24" i="30"/>
  <c r="X13" i="30"/>
  <c r="X67" i="35"/>
  <c r="CT14" i="30"/>
  <c r="CW14" i="30"/>
  <c r="DC14" i="20"/>
  <c r="CR14" i="20" s="1"/>
  <c r="A14" i="20" s="1" a="1"/>
  <c r="A14" i="20" s="1"/>
  <c r="DI61" i="1"/>
  <c r="Y72" i="35"/>
  <c r="CX20" i="30"/>
  <c r="CU20" i="30"/>
  <c r="CP100" i="1"/>
  <c r="BY168" i="20"/>
  <c r="CY168" i="20" s="1"/>
  <c r="CW168" i="1"/>
  <c r="Y70" i="35"/>
  <c r="CU17" i="30"/>
  <c r="CX17" i="30"/>
  <c r="BY152" i="20"/>
  <c r="CW152" i="1"/>
  <c r="CQ152" i="1" s="1"/>
  <c r="A152" i="1" s="1" a="1"/>
  <c r="A152" i="1" s="1"/>
  <c r="W101" i="30"/>
  <c r="Y71" i="35"/>
  <c r="CU19" i="30"/>
  <c r="CX19" i="30"/>
  <c r="BL162" i="3"/>
  <c r="BL185" i="3" s="1"/>
  <c r="DI39" i="1"/>
  <c r="DA39" i="1" s="1"/>
  <c r="CN39" i="1" s="1"/>
  <c r="A39" i="1" s="1" a="1"/>
  <c r="A39" i="1" s="1"/>
  <c r="A99" i="30" a="1"/>
  <c r="A99" i="30" s="1"/>
  <c r="DK47" i="1"/>
  <c r="DA47" i="1" s="1"/>
  <c r="CN47" i="1" s="1"/>
  <c r="BY28" i="6"/>
  <c r="BY68" i="30" s="1"/>
  <c r="BY245" i="26"/>
  <c r="DE243" i="26"/>
  <c r="BK753" i="9"/>
  <c r="A97" i="30" a="1"/>
  <c r="A97" i="30" s="1"/>
  <c r="CA71" i="33"/>
  <c r="A24" i="26" a="1"/>
  <c r="A24" i="26" s="1"/>
  <c r="BL178" i="3"/>
  <c r="BL201" i="3" s="1"/>
  <c r="A277" i="26" a="1"/>
  <c r="A277" i="26" s="1"/>
  <c r="BZ234" i="26"/>
  <c r="BZ243" i="26" s="1"/>
  <c r="X243" i="26"/>
  <c r="A214" i="6" a="1"/>
  <c r="A214" i="6" s="1"/>
  <c r="A162" i="1" a="1"/>
  <c r="A162" i="1" s="1"/>
  <c r="BK751" i="9"/>
  <c r="CA149" i="20"/>
  <c r="CA154" i="1"/>
  <c r="CY154" i="1" s="1"/>
  <c r="CY149" i="1"/>
  <c r="CY136" i="20"/>
  <c r="BY137" i="20"/>
  <c r="BY37" i="6"/>
  <c r="BY71" i="30" s="1"/>
  <c r="BY271" i="26"/>
  <c r="DE269" i="26"/>
  <c r="BL16" i="3"/>
  <c r="BL22" i="3"/>
  <c r="BL4" i="9"/>
  <c r="BL20" i="3"/>
  <c r="BZ175" i="1"/>
  <c r="CX175" i="1" s="1"/>
  <c r="CX96" i="1"/>
  <c r="W74" i="35"/>
  <c r="W102" i="13"/>
  <c r="CV22" i="30"/>
  <c r="CS22" i="30"/>
  <c r="CQ23" i="1"/>
  <c r="A23" i="1" s="1" a="1"/>
  <c r="A23" i="1" s="1"/>
  <c r="A192" i="30" a="1"/>
  <c r="A192" i="30" s="1"/>
  <c r="CU173" i="30"/>
  <c r="CO173" i="30" s="1"/>
  <c r="CX173" i="30"/>
  <c r="CP173" i="30" s="1"/>
  <c r="BK743" i="9"/>
  <c r="CS90" i="20"/>
  <c r="A90" i="20" s="1" a="1"/>
  <c r="A90" i="20" s="1"/>
  <c r="CQ60" i="1"/>
  <c r="A60" i="1" s="1" a="1"/>
  <c r="A60" i="1" s="1"/>
  <c r="X75" i="35"/>
  <c r="CT23" i="30"/>
  <c r="CW23" i="30"/>
  <c r="Y154" i="20"/>
  <c r="CA175" i="1"/>
  <c r="CY175" i="1" s="1"/>
  <c r="CY96" i="1"/>
  <c r="A19" i="1" a="1"/>
  <c r="A19" i="1" s="1"/>
  <c r="CO154" i="30"/>
  <c r="CX165" i="26"/>
  <c r="A59" i="1" a="1"/>
  <c r="A59" i="1" s="1"/>
  <c r="W114" i="13"/>
  <c r="W88" i="33"/>
  <c r="W90" i="33" s="1"/>
  <c r="CS74" i="20"/>
  <c r="A74" i="20" s="1" a="1"/>
  <c r="A74" i="20" s="1"/>
  <c r="BY164" i="20"/>
  <c r="CY164" i="20" s="1"/>
  <c r="W72" i="35"/>
  <c r="CV20" i="30"/>
  <c r="CS20" i="30"/>
  <c r="A13" i="26" a="1"/>
  <c r="A13" i="26" s="1"/>
  <c r="W157" i="30"/>
  <c r="W132" i="20"/>
  <c r="CW52" i="30"/>
  <c r="CT52" i="30"/>
  <c r="W247" i="6"/>
  <c r="CS282" i="6"/>
  <c r="A282" i="6" s="1" a="1"/>
  <c r="A282" i="6" s="1"/>
  <c r="BI259" i="6"/>
  <c r="CO205" i="30"/>
  <c r="CO189" i="30"/>
  <c r="A189" i="30" s="1" a="1"/>
  <c r="A189" i="30" s="1"/>
  <c r="CT18" i="30"/>
  <c r="CW18" i="30"/>
  <c r="BL169" i="3"/>
  <c r="BL192" i="3" s="1"/>
  <c r="A277" i="6" a="1"/>
  <c r="A277" i="6" s="1"/>
  <c r="CQ42" i="1"/>
  <c r="W77" i="35"/>
  <c r="CV25" i="30"/>
  <c r="CP25" i="30" s="1"/>
  <c r="CS25" i="30"/>
  <c r="CO25" i="30" s="1"/>
  <c r="CP179" i="1"/>
  <c r="X72" i="35"/>
  <c r="CW20" i="30"/>
  <c r="CT20" i="30"/>
  <c r="A120" i="6" a="1"/>
  <c r="A120" i="6" s="1"/>
  <c r="BK736" i="9"/>
  <c r="BK247" i="3"/>
  <c r="BK731" i="9"/>
  <c r="BK242" i="3"/>
  <c r="BL165" i="3"/>
  <c r="BL188" i="3" s="1"/>
  <c r="A165" i="26" a="1"/>
  <c r="A165" i="26" s="1"/>
  <c r="BJ174" i="20"/>
  <c r="BJ181" i="20" s="1"/>
  <c r="BJ62" i="30" s="1"/>
  <c r="BJ156" i="20"/>
  <c r="BJ166" i="20" s="1"/>
  <c r="CU73" i="30"/>
  <c r="CO73" i="30" s="1"/>
  <c r="CX73" i="30"/>
  <c r="CP73" i="30" s="1"/>
  <c r="CQ126" i="1"/>
  <c r="CU170" i="30"/>
  <c r="CO170" i="30" s="1"/>
  <c r="CX170" i="30"/>
  <c r="CP170" i="30" s="1"/>
  <c r="CA113" i="20"/>
  <c r="CA176" i="1"/>
  <c r="CY176" i="1" s="1"/>
  <c r="CY113" i="1"/>
  <c r="A286" i="26" a="1"/>
  <c r="A286" i="26" s="1"/>
  <c r="A208" i="6" a="1"/>
  <c r="A208" i="6" s="1"/>
  <c r="BZ139" i="1"/>
  <c r="CX139" i="1" s="1"/>
  <c r="CX114" i="1"/>
  <c r="W70" i="30"/>
  <c r="BZ24" i="35"/>
  <c r="CS25" i="32"/>
  <c r="CX263" i="26"/>
  <c r="A263" i="26" s="1" a="1"/>
  <c r="A263" i="26" s="1"/>
  <c r="Y73" i="35"/>
  <c r="CU21" i="30"/>
  <c r="CX21" i="30"/>
  <c r="W71" i="30"/>
  <c r="X217" i="6"/>
  <c r="BZ206" i="6"/>
  <c r="BM10" i="3"/>
  <c r="BM155" i="3" s="1"/>
  <c r="CL90" i="1"/>
  <c r="Y67" i="35"/>
  <c r="CU14" i="30"/>
  <c r="CX14" i="30"/>
  <c r="W73" i="35"/>
  <c r="CV21" i="30"/>
  <c r="CS21" i="30"/>
  <c r="CQ27" i="1"/>
  <c r="A27" i="1" s="1" a="1"/>
  <c r="A27" i="1" s="1"/>
  <c r="A23" i="26" a="1"/>
  <c r="A23" i="26" s="1"/>
  <c r="CA102" i="1"/>
  <c r="CY13" i="1"/>
  <c r="CP200" i="30"/>
  <c r="W71" i="35"/>
  <c r="CV19" i="30"/>
  <c r="CS19" i="30"/>
  <c r="CO19" i="30" s="1"/>
  <c r="CS38" i="20"/>
  <c r="A38" i="20" s="1" a="1"/>
  <c r="A38" i="20" s="1"/>
  <c r="CB163" i="26"/>
  <c r="CT163" i="26" s="1"/>
  <c r="A163" i="26" s="1" a="1"/>
  <c r="A163" i="26" s="1"/>
  <c r="CB166" i="26"/>
  <c r="CL166" i="26" s="1"/>
  <c r="CB165" i="26"/>
  <c r="CL161" i="26"/>
  <c r="CQ54" i="1"/>
  <c r="CX338" i="26"/>
  <c r="A338" i="26" s="1" a="1"/>
  <c r="A338" i="26" s="1"/>
  <c r="CS267" i="6"/>
  <c r="A267" i="6" s="1" a="1"/>
  <c r="A267" i="6" s="1"/>
  <c r="CP205" i="30"/>
  <c r="A26" i="26" a="1"/>
  <c r="A26" i="26" s="1"/>
  <c r="BL160" i="3"/>
  <c r="BL183" i="3" s="1"/>
  <c r="A167" i="6" a="1"/>
  <c r="A167" i="6" s="1"/>
  <c r="BZ102" i="1"/>
  <c r="CX13" i="1"/>
  <c r="CQ46" i="1"/>
  <c r="A46" i="1" s="1" a="1"/>
  <c r="A46" i="1" s="1"/>
  <c r="CQ30" i="1"/>
  <c r="CP136" i="1"/>
  <c r="W194" i="30"/>
  <c r="CV41" i="30"/>
  <c r="CS41" i="30"/>
  <c r="BL265" i="3"/>
  <c r="BL288" i="3" s="1"/>
  <c r="BL219" i="3"/>
  <c r="BY24" i="35"/>
  <c r="CR25" i="32"/>
  <c r="BL166" i="3"/>
  <c r="BL189" i="3" s="1"/>
  <c r="BY14" i="30"/>
  <c r="W14" i="30" s="1"/>
  <c r="CY29" i="20"/>
  <c r="CS29" i="20" s="1"/>
  <c r="A29" i="20" s="1" a="1"/>
  <c r="A29" i="20" s="1"/>
  <c r="DF30" i="20"/>
  <c r="DC30" i="20" s="1"/>
  <c r="CR30" i="20" s="1"/>
  <c r="A30" i="20" s="1" a="1"/>
  <c r="A30" i="20" s="1"/>
  <c r="X139" i="1"/>
  <c r="CU139" i="1" s="1"/>
  <c r="CU114" i="1"/>
  <c r="BY34" i="6"/>
  <c r="BY70" i="30" s="1"/>
  <c r="DE278" i="26"/>
  <c r="BY280" i="26"/>
  <c r="CU102" i="1"/>
  <c r="R35" i="50"/>
  <c r="G98" i="50" s="1"/>
  <c r="J40" i="50"/>
  <c r="R40" i="50" s="1"/>
  <c r="BK749" i="9"/>
  <c r="A58" i="1" a="1"/>
  <c r="A58" i="1" s="1"/>
  <c r="BY157" i="30"/>
  <c r="BY59" i="33" s="1"/>
  <c r="CY126" i="20"/>
  <c r="BY132" i="20"/>
  <c r="W75" i="35"/>
  <c r="CS23" i="30"/>
  <c r="CV23" i="30"/>
  <c r="BK757" i="9"/>
  <c r="BY113" i="20"/>
  <c r="BY176" i="1"/>
  <c r="CW176" i="1" s="1"/>
  <c r="CW113" i="1"/>
  <c r="A22" i="26" a="1"/>
  <c r="A22" i="26" s="1"/>
  <c r="P21" i="50"/>
  <c r="H22" i="50"/>
  <c r="CS24" i="32"/>
  <c r="CN24" i="32" s="1"/>
  <c r="A24" i="32" s="1" a="1"/>
  <c r="A24" i="32" s="1"/>
  <c r="X114" i="13"/>
  <c r="X88" i="33"/>
  <c r="X90" i="33" s="1"/>
  <c r="BY131" i="30"/>
  <c r="BL60" i="3"/>
  <c r="BL52" i="3"/>
  <c r="BL63" i="3"/>
  <c r="BL58" i="3"/>
  <c r="BL45" i="3"/>
  <c r="BL91" i="3" s="1"/>
  <c r="BL53" i="3"/>
  <c r="BL99" i="3" s="1"/>
  <c r="BL48" i="3"/>
  <c r="BL94" i="3" s="1"/>
  <c r="BL57" i="3"/>
  <c r="BL51" i="3"/>
  <c r="BL46" i="3"/>
  <c r="BL92" i="3" s="1"/>
  <c r="BL50" i="3"/>
  <c r="BL56" i="3"/>
  <c r="BL59" i="3"/>
  <c r="BL105" i="3" s="1"/>
  <c r="BL55" i="3"/>
  <c r="BL54" i="3"/>
  <c r="BL47" i="3"/>
  <c r="BL61" i="3"/>
  <c r="BL64" i="3"/>
  <c r="BL62" i="3"/>
  <c r="BL49" i="3"/>
  <c r="BL95" i="3" s="1"/>
  <c r="BL5" i="9"/>
  <c r="BL125" i="3"/>
  <c r="BL132" i="3"/>
  <c r="BL121" i="3"/>
  <c r="BL115" i="3"/>
  <c r="BL129" i="3"/>
  <c r="BL133" i="3"/>
  <c r="BL122" i="3"/>
  <c r="BL131" i="3"/>
  <c r="BL123" i="3"/>
  <c r="BL130" i="3"/>
  <c r="BL119" i="3"/>
  <c r="BL126" i="3"/>
  <c r="BL127" i="3"/>
  <c r="BL118" i="3"/>
  <c r="BL128" i="3"/>
  <c r="BL116" i="3"/>
  <c r="BL114" i="3"/>
  <c r="BL120" i="3"/>
  <c r="BL124" i="3"/>
  <c r="BL117" i="3"/>
  <c r="A90" i="1" a="1"/>
  <c r="A90" i="1" s="1"/>
  <c r="CL38" i="1"/>
  <c r="CQ29" i="1"/>
  <c r="A29" i="1" s="1" a="1"/>
  <c r="A29" i="1" s="1"/>
  <c r="BL176" i="3"/>
  <c r="BL199" i="3" s="1"/>
  <c r="A82" i="30" a="1"/>
  <c r="A82" i="30" s="1"/>
  <c r="BK823" i="9"/>
  <c r="BK824" i="9"/>
  <c r="BK816" i="9"/>
  <c r="BK825" i="9"/>
  <c r="BK822" i="9"/>
  <c r="BK829" i="9"/>
  <c r="BK818" i="9"/>
  <c r="BK817" i="9"/>
  <c r="BK815" i="9"/>
  <c r="BK813" i="9"/>
  <c r="BK828" i="9"/>
  <c r="BK821" i="9"/>
  <c r="BK812" i="9"/>
  <c r="BK810" i="9"/>
  <c r="BK820" i="9"/>
  <c r="BK827" i="9"/>
  <c r="BK819" i="9"/>
  <c r="BK826" i="9"/>
  <c r="X157" i="30"/>
  <c r="X132" i="20"/>
  <c r="A33" i="1" a="1"/>
  <c r="A33" i="1" s="1"/>
  <c r="CA144" i="20"/>
  <c r="CA178" i="1"/>
  <c r="CY178" i="1" s="1"/>
  <c r="CQ178" i="1" s="1"/>
  <c r="CY144" i="1"/>
  <c r="CQ144" i="1" s="1"/>
  <c r="BZ43" i="30"/>
  <c r="X43" i="30" s="1"/>
  <c r="CZ152" i="20"/>
  <c r="A122" i="1" a="1"/>
  <c r="A122" i="1" s="1"/>
  <c r="CO200" i="30"/>
  <c r="W41" i="6"/>
  <c r="BY44" i="6"/>
  <c r="BY72" i="30" s="1"/>
  <c r="W68" i="35"/>
  <c r="CV15" i="30"/>
  <c r="CS15" i="30"/>
  <c r="CQ105" i="1"/>
  <c r="A105" i="1" s="1" a="1"/>
  <c r="A105" i="1" s="1"/>
  <c r="DI54" i="1"/>
  <c r="DA54" i="1" s="1"/>
  <c r="CN54" i="1" s="1"/>
  <c r="A279" i="6" a="1"/>
  <c r="A279" i="6" s="1"/>
  <c r="BK755" i="9"/>
  <c r="DJ30" i="1"/>
  <c r="X194" i="30"/>
  <c r="CT41" i="30"/>
  <c r="CW41" i="30"/>
  <c r="CX340" i="26"/>
  <c r="A340" i="26" s="1" a="1"/>
  <c r="A340" i="26" s="1"/>
  <c r="A86" i="30" a="1"/>
  <c r="A86" i="30" s="1"/>
  <c r="Y61" i="33"/>
  <c r="J19" i="50" s="1"/>
  <c r="CU123" i="30"/>
  <c r="CO123" i="30" s="1"/>
  <c r="CX123" i="30"/>
  <c r="CP123" i="30" s="1"/>
  <c r="CL46" i="20"/>
  <c r="DJ61" i="1"/>
  <c r="BL175" i="3"/>
  <c r="BL198" i="3" s="1"/>
  <c r="DI30" i="1"/>
  <c r="CL13" i="1"/>
  <c r="BK719" i="9"/>
  <c r="BK230" i="3"/>
  <c r="BK722" i="9"/>
  <c r="BK233" i="3"/>
  <c r="BY149" i="20"/>
  <c r="BY154" i="1"/>
  <c r="CW154" i="1" s="1"/>
  <c r="CW149" i="1"/>
  <c r="CA157" i="30"/>
  <c r="CA59" i="33" s="1"/>
  <c r="DA126" i="20"/>
  <c r="CA132" i="20"/>
  <c r="A66" i="1" a="1"/>
  <c r="A66" i="1" s="1"/>
  <c r="BY169" i="20"/>
  <c r="CY169" i="20" s="1"/>
  <c r="CS169" i="20" s="1"/>
  <c r="A169" i="20" s="1" a="1"/>
  <c r="A169" i="20" s="1"/>
  <c r="CW169" i="1"/>
  <c r="CQ169" i="1" s="1"/>
  <c r="A86" i="6" a="1"/>
  <c r="A86" i="6" s="1"/>
  <c r="BZ34" i="30"/>
  <c r="BZ177" i="20"/>
  <c r="CZ177" i="20" s="1"/>
  <c r="CZ143" i="20"/>
  <c r="W68" i="30"/>
  <c r="CA179" i="1"/>
  <c r="CY179" i="1" s="1"/>
  <c r="CY100" i="1"/>
  <c r="W139" i="1"/>
  <c r="CT139" i="1" s="1"/>
  <c r="CT114" i="1"/>
  <c r="A109" i="30" a="1"/>
  <c r="A109" i="30" s="1"/>
  <c r="X288" i="26"/>
  <c r="BZ283" i="26"/>
  <c r="BZ288" i="26" s="1"/>
  <c r="X24" i="35"/>
  <c r="X33" i="36"/>
  <c r="A305" i="26" a="1"/>
  <c r="A305" i="26" s="1"/>
  <c r="W131" i="30"/>
  <c r="CV127" i="30"/>
  <c r="CS127" i="30"/>
  <c r="Y75" i="35"/>
  <c r="CX23" i="30"/>
  <c r="CU23" i="30"/>
  <c r="A240" i="6" a="1"/>
  <c r="A240" i="6" s="1"/>
  <c r="BL3" i="9"/>
  <c r="BL37" i="3"/>
  <c r="CL131" i="1"/>
  <c r="X69" i="35"/>
  <c r="CT16" i="30"/>
  <c r="CW16" i="30"/>
  <c r="A38" i="1" a="1"/>
  <c r="A38" i="1" s="1"/>
  <c r="BL179" i="3"/>
  <c r="BL202" i="3" s="1"/>
  <c r="A42" i="1" a="1"/>
  <c r="A42" i="1" s="1"/>
  <c r="BK737" i="9"/>
  <c r="BK248" i="3"/>
  <c r="CB144" i="20"/>
  <c r="CB178" i="1"/>
  <c r="CB146" i="1"/>
  <c r="BY143" i="20"/>
  <c r="BY177" i="1"/>
  <c r="CW177" i="1" s="1"/>
  <c r="CQ177" i="1" s="1"/>
  <c r="A177" i="1" s="1" a="1"/>
  <c r="A177" i="1" s="1"/>
  <c r="CW143" i="1"/>
  <c r="CQ143" i="1" s="1"/>
  <c r="A143" i="1" s="1" a="1"/>
  <c r="A143" i="1" s="1"/>
  <c r="P35" i="50"/>
  <c r="G96" i="50" s="1"/>
  <c r="H40" i="50"/>
  <c r="P40" i="50" s="1"/>
  <c r="A197" i="6" a="1"/>
  <c r="A197" i="6" s="1"/>
  <c r="W52" i="30"/>
  <c r="BY54" i="30"/>
  <c r="CA175" i="30"/>
  <c r="CX175" i="30" s="1"/>
  <c r="CP175" i="30" s="1"/>
  <c r="CB175" i="30"/>
  <c r="BY114" i="1"/>
  <c r="BK645" i="9"/>
  <c r="DA102" i="20"/>
  <c r="A83" i="30" a="1"/>
  <c r="A83" i="30" s="1"/>
  <c r="A28" i="1" a="1"/>
  <c r="A28" i="1" s="1"/>
  <c r="A241" i="6" a="1"/>
  <c r="A241" i="6" s="1"/>
  <c r="CQ93" i="1"/>
  <c r="A93" i="1" s="1" a="1"/>
  <c r="A93" i="1" s="1"/>
  <c r="BY90" i="33"/>
  <c r="A240" i="26" a="1"/>
  <c r="A240" i="26" s="1"/>
  <c r="X226" i="6"/>
  <c r="BZ220" i="6"/>
  <c r="CP193" i="30"/>
  <c r="A188" i="6" a="1"/>
  <c r="A188" i="6" s="1"/>
  <c r="A18" i="1" a="1"/>
  <c r="A18" i="1" s="1"/>
  <c r="A108" i="1" a="1"/>
  <c r="A108" i="1" s="1"/>
  <c r="CQ77" i="1"/>
  <c r="A77" i="1" s="1" a="1"/>
  <c r="A77" i="1" s="1"/>
  <c r="X74" i="35"/>
  <c r="X102" i="13"/>
  <c r="CW22" i="30"/>
  <c r="CT22" i="30"/>
  <c r="CP13" i="1"/>
  <c r="W137" i="20"/>
  <c r="CL136" i="20"/>
  <c r="W24" i="35"/>
  <c r="W33" i="36"/>
  <c r="BZ149" i="20"/>
  <c r="BZ154" i="1"/>
  <c r="CX154" i="1" s="1"/>
  <c r="CX149" i="1"/>
  <c r="X236" i="6"/>
  <c r="BZ229" i="6"/>
  <c r="CU172" i="30"/>
  <c r="CO172" i="30" s="1"/>
  <c r="CX172" i="30"/>
  <c r="CP172" i="30" s="1"/>
  <c r="A215" i="6" a="1"/>
  <c r="A215" i="6" s="1"/>
  <c r="CA53" i="30"/>
  <c r="DA163" i="20"/>
  <c r="CA164" i="20"/>
  <c r="DA164" i="20" s="1"/>
  <c r="X229" i="26"/>
  <c r="BZ220" i="26"/>
  <c r="CA168" i="20"/>
  <c r="DA168" i="20" s="1"/>
  <c r="CY168" i="1"/>
  <c r="Y68" i="35"/>
  <c r="CU15" i="30"/>
  <c r="CX15" i="30"/>
  <c r="CX183" i="30"/>
  <c r="BZ179" i="1"/>
  <c r="CX179" i="1" s="1"/>
  <c r="CX100" i="1"/>
  <c r="CP149" i="1"/>
  <c r="CS53" i="20"/>
  <c r="A53" i="20" s="1" a="1"/>
  <c r="A53" i="20" s="1"/>
  <c r="BZ157" i="30"/>
  <c r="BZ59" i="33" s="1"/>
  <c r="CZ126" i="20"/>
  <c r="BZ132" i="20"/>
  <c r="CP169" i="1"/>
  <c r="Y194" i="30"/>
  <c r="CU41" i="30"/>
  <c r="CX41" i="30"/>
  <c r="Y63" i="33"/>
  <c r="J21" i="50" s="1"/>
  <c r="R21" i="50" s="1"/>
  <c r="G62" i="50" s="1"/>
  <c r="CU167" i="30"/>
  <c r="CO167" i="30" s="1"/>
  <c r="CX167" i="30"/>
  <c r="CP167" i="30" s="1"/>
  <c r="A22" i="1" a="1"/>
  <c r="A22" i="1" s="1"/>
  <c r="CA169" i="30"/>
  <c r="CB169" i="30"/>
  <c r="BL163" i="3"/>
  <c r="BL186" i="3" s="1"/>
  <c r="CU163" i="30"/>
  <c r="CO163" i="30" s="1"/>
  <c r="CX163" i="30"/>
  <c r="CP163" i="30" s="1"/>
  <c r="BZ113" i="20"/>
  <c r="BZ176" i="1"/>
  <c r="CX176" i="1" s="1"/>
  <c r="CX113" i="1"/>
  <c r="A145" i="6" a="1"/>
  <c r="A145" i="6" s="1"/>
  <c r="CL60" i="20"/>
  <c r="CO152" i="30"/>
  <c r="CA24" i="30"/>
  <c r="Y13" i="30"/>
  <c r="A21" i="1" a="1"/>
  <c r="A21" i="1" s="1"/>
  <c r="BY175" i="1"/>
  <c r="CW175" i="1" s="1"/>
  <c r="CW96" i="1"/>
  <c r="CQ96" i="1" s="1"/>
  <c r="A96" i="1" s="1" a="1"/>
  <c r="A96" i="1" s="1"/>
  <c r="Y69" i="35"/>
  <c r="CU16" i="30"/>
  <c r="CX16" i="30"/>
  <c r="CQ74" i="1"/>
  <c r="A74" i="1" s="1" a="1"/>
  <c r="A74" i="1" s="1"/>
  <c r="CO193" i="30"/>
  <c r="BG19" i="32"/>
  <c r="BG85" i="30"/>
  <c r="BG88" i="30" s="1"/>
  <c r="BG14" i="6"/>
  <c r="CP153" i="30"/>
  <c r="A208" i="26" a="1"/>
  <c r="A208" i="26" s="1"/>
  <c r="W71" i="33"/>
  <c r="H25" i="50" s="1"/>
  <c r="CS183" i="30"/>
  <c r="CO183" i="30" s="1"/>
  <c r="CV183" i="30"/>
  <c r="CQ85" i="1"/>
  <c r="A85" i="1" s="1" a="1"/>
  <c r="A85" i="1" s="1"/>
  <c r="W141" i="1"/>
  <c r="CT102" i="1"/>
  <c r="A79" i="30" a="1"/>
  <c r="A79" i="30" s="1"/>
  <c r="BK727" i="9"/>
  <c r="BK238" i="3"/>
  <c r="BY52" i="6"/>
  <c r="DE288" i="26"/>
  <c r="BY290" i="26"/>
  <c r="CV44" i="30"/>
  <c r="CP44" i="30" s="1"/>
  <c r="CS44" i="30"/>
  <c r="CO44" i="30" s="1"/>
  <c r="CU52" i="30"/>
  <c r="CX52" i="30"/>
  <c r="CX226" i="26"/>
  <c r="A226" i="26" s="1" a="1"/>
  <c r="A226" i="26" s="1"/>
  <c r="DJ24" i="1"/>
  <c r="DA24" i="1" s="1"/>
  <c r="CN24" i="1" s="1"/>
  <c r="X298" i="26"/>
  <c r="BZ293" i="26"/>
  <c r="CB61" i="33"/>
  <c r="CA24" i="35"/>
  <c r="CT25" i="32"/>
  <c r="DA136" i="20"/>
  <c r="CA137" i="20"/>
  <c r="CU166" i="30"/>
  <c r="CO166" i="30" s="1"/>
  <c r="CX166" i="30"/>
  <c r="CP166" i="30" s="1"/>
  <c r="W77" i="30"/>
  <c r="CQ24" i="1"/>
  <c r="CZ136" i="20"/>
  <c r="BZ137" i="20"/>
  <c r="W67" i="30"/>
  <c r="Q35" i="50"/>
  <c r="G97" i="50" s="1"/>
  <c r="I40" i="50"/>
  <c r="Q40" i="50" s="1"/>
  <c r="BY102" i="1"/>
  <c r="CW13" i="1"/>
  <c r="CX87" i="30"/>
  <c r="CP87" i="30" s="1"/>
  <c r="CU87" i="30"/>
  <c r="CO87" i="30" s="1"/>
  <c r="X68" i="35"/>
  <c r="CT15" i="30"/>
  <c r="CW15" i="30"/>
  <c r="CP154" i="1"/>
  <c r="W70" i="35"/>
  <c r="CV17" i="30"/>
  <c r="CS17" i="30"/>
  <c r="CO17" i="30" s="1"/>
  <c r="CP113" i="1"/>
  <c r="CU175" i="30"/>
  <c r="CO175" i="30" s="1"/>
  <c r="A121" i="1" a="1"/>
  <c r="A121" i="1" s="1"/>
  <c r="BZ239" i="6"/>
  <c r="X242" i="6"/>
  <c r="BL174" i="3"/>
  <c r="BL197" i="3" s="1"/>
  <c r="CU122" i="30"/>
  <c r="CO122" i="30" s="1"/>
  <c r="CX122" i="30"/>
  <c r="CP122" i="30" s="1"/>
  <c r="CQ117" i="1"/>
  <c r="A117" i="1" s="1" a="1"/>
  <c r="A117" i="1" s="1"/>
  <c r="CV152" i="30"/>
  <c r="CP152" i="30" s="1"/>
  <c r="BL82" i="3"/>
  <c r="BL171" i="3"/>
  <c r="BL194" i="3" s="1"/>
  <c r="CX332" i="26"/>
  <c r="A332" i="26" s="1" a="1"/>
  <c r="A332" i="26" s="1"/>
  <c r="CU168" i="30"/>
  <c r="CO168" i="30" s="1"/>
  <c r="CX168" i="30"/>
  <c r="CP168" i="30" s="1"/>
  <c r="A68" i="1" a="1"/>
  <c r="A68" i="1" s="1"/>
  <c r="X176" i="20"/>
  <c r="X114" i="20"/>
  <c r="X139" i="20" s="1"/>
  <c r="X141" i="20" s="1"/>
  <c r="X146" i="20" s="1"/>
  <c r="A17" i="26" a="1"/>
  <c r="A17" i="26" s="1"/>
  <c r="CP204" i="30"/>
  <c r="CV128" i="30"/>
  <c r="CS128" i="30"/>
  <c r="CQ64" i="1"/>
  <c r="A64" i="1" s="1" a="1"/>
  <c r="A64" i="1" s="1"/>
  <c r="A84" i="1" a="1"/>
  <c r="A84" i="1" s="1"/>
  <c r="CA114" i="1"/>
  <c r="CO153" i="30"/>
  <c r="A153" i="30" s="1" a="1"/>
  <c r="A153" i="30" s="1"/>
  <c r="DJ14" i="1"/>
  <c r="DA14" i="1" s="1"/>
  <c r="CN14" i="1" s="1"/>
  <c r="A14" i="1" s="1" a="1"/>
  <c r="A14" i="1" s="1"/>
  <c r="CU162" i="30"/>
  <c r="CO162" i="30" s="1"/>
  <c r="CX162" i="30"/>
  <c r="CP162" i="30" s="1"/>
  <c r="CL74" i="1"/>
  <c r="E28" i="14"/>
  <c r="N28" i="14" s="1" a="1"/>
  <c r="N28" i="14" s="1"/>
  <c r="M27" i="14"/>
  <c r="E27" i="14" a="1"/>
  <c r="CX51" i="26" l="1"/>
  <c r="A51" i="26" s="1" a="1"/>
  <c r="A51" i="26" s="1"/>
  <c r="CX313" i="26"/>
  <c r="A313" i="26" s="1" a="1"/>
  <c r="A313" i="26" s="1"/>
  <c r="Y308" i="26"/>
  <c r="Y110" i="6"/>
  <c r="W308" i="26"/>
  <c r="W110" i="6"/>
  <c r="W114" i="6" s="1"/>
  <c r="X308" i="26"/>
  <c r="X110" i="6"/>
  <c r="BJ32" i="30"/>
  <c r="BJ36" i="30" s="1"/>
  <c r="BJ47" i="30" s="1"/>
  <c r="A184" i="30" a="1"/>
  <c r="A184" i="30" s="1"/>
  <c r="CQ175" i="1"/>
  <c r="A175" i="1" s="1" a="1"/>
  <c r="A175" i="1" s="1"/>
  <c r="CA176" i="30"/>
  <c r="A169" i="1" a="1"/>
  <c r="A169" i="1" s="1"/>
  <c r="A136" i="1" a="1"/>
  <c r="A136" i="1" s="1"/>
  <c r="BL76" i="3"/>
  <c r="BK742" i="9"/>
  <c r="CQ13" i="1"/>
  <c r="A13" i="1" s="1" a="1"/>
  <c r="A13" i="1" s="1"/>
  <c r="BK741" i="9"/>
  <c r="Y139" i="20"/>
  <c r="Y141" i="20" s="1"/>
  <c r="Y146" i="20" s="1"/>
  <c r="BL68" i="3"/>
  <c r="CP17" i="30"/>
  <c r="A17" i="30" s="1" a="1"/>
  <c r="A17" i="30" s="1"/>
  <c r="BL72" i="3"/>
  <c r="A47" i="1" a="1"/>
  <c r="A47" i="1" s="1"/>
  <c r="CP114" i="1"/>
  <c r="A54" i="1" a="1"/>
  <c r="A54" i="1" s="1"/>
  <c r="A24" i="1" a="1"/>
  <c r="A24" i="1" s="1"/>
  <c r="CB176" i="30"/>
  <c r="BK760" i="9"/>
  <c r="BK759" i="9"/>
  <c r="BK750" i="9"/>
  <c r="A122" i="30" a="1"/>
  <c r="A122" i="30" s="1"/>
  <c r="BM141" i="3"/>
  <c r="CP185" i="30"/>
  <c r="A185" i="30" s="1" a="1"/>
  <c r="A185" i="30" s="1"/>
  <c r="CX221" i="26"/>
  <c r="A221" i="26" s="1" a="1"/>
  <c r="A221" i="26" s="1"/>
  <c r="CX28" i="26"/>
  <c r="A28" i="26" s="1" a="1"/>
  <c r="A28" i="26" s="1"/>
  <c r="CL53" i="26"/>
  <c r="BY231" i="26"/>
  <c r="DE229" i="26"/>
  <c r="CW53" i="26"/>
  <c r="DF53" i="26"/>
  <c r="DB312" i="26"/>
  <c r="W316" i="26"/>
  <c r="W318" i="26" s="1"/>
  <c r="DD312" i="26"/>
  <c r="Y316" i="26"/>
  <c r="Y318" i="26" s="1"/>
  <c r="CL221" i="26"/>
  <c r="DC312" i="26"/>
  <c r="X316" i="26"/>
  <c r="X318" i="26" s="1"/>
  <c r="CX49" i="26"/>
  <c r="A49" i="26" s="1" a="1"/>
  <c r="A49" i="26" s="1"/>
  <c r="DE53" i="26"/>
  <c r="BZ229" i="26"/>
  <c r="BZ231" i="26" s="1"/>
  <c r="DG53" i="26"/>
  <c r="CX42" i="26"/>
  <c r="A42" i="26" s="1" a="1"/>
  <c r="A42" i="26" s="1"/>
  <c r="CX301" i="26"/>
  <c r="A301" i="26" s="1" a="1"/>
  <c r="A301" i="26" s="1"/>
  <c r="CB63" i="33"/>
  <c r="DA30" i="1"/>
  <c r="CN30" i="1" s="1"/>
  <c r="A30" i="1" s="1" a="1"/>
  <c r="A30" i="1" s="1"/>
  <c r="CO41" i="30"/>
  <c r="CO20" i="30"/>
  <c r="A154" i="30" a="1"/>
  <c r="A154" i="30" s="1"/>
  <c r="BK745" i="9"/>
  <c r="A123" i="30" a="1"/>
  <c r="A123" i="30" s="1"/>
  <c r="CP19" i="30"/>
  <c r="CP21" i="30"/>
  <c r="BK754" i="9"/>
  <c r="A152" i="30" a="1"/>
  <c r="A152" i="30" s="1"/>
  <c r="A126" i="1" a="1"/>
  <c r="A126" i="1" s="1"/>
  <c r="BY151" i="20"/>
  <c r="CW151" i="1"/>
  <c r="CQ151" i="1" s="1"/>
  <c r="A87" i="30" a="1"/>
  <c r="A87" i="30" s="1"/>
  <c r="CP183" i="30"/>
  <c r="CX46" i="26"/>
  <c r="A46" i="26" s="1" a="1"/>
  <c r="A46" i="26" s="1"/>
  <c r="CP187" i="30"/>
  <c r="CX44" i="26"/>
  <c r="A44" i="26" s="1" a="1"/>
  <c r="A44" i="26" s="1"/>
  <c r="BH212" i="30"/>
  <c r="BH96" i="33" s="1"/>
  <c r="BH101" i="33" s="1"/>
  <c r="BH104" i="33" s="1"/>
  <c r="CP102" i="1"/>
  <c r="CW303" i="26"/>
  <c r="CL32" i="26"/>
  <c r="CL46" i="26"/>
  <c r="DE32" i="26"/>
  <c r="CX32" i="26" s="1"/>
  <c r="CV32" i="26"/>
  <c r="DB257" i="26"/>
  <c r="W31" i="6"/>
  <c r="W69" i="30" s="1"/>
  <c r="CS69" i="30" s="1"/>
  <c r="W259" i="26"/>
  <c r="X248" i="26"/>
  <c r="DE249" i="26"/>
  <c r="CX249" i="26" s="1"/>
  <c r="A249" i="26" s="1" a="1"/>
  <c r="A249" i="26" s="1"/>
  <c r="BY257" i="26"/>
  <c r="DE303" i="26"/>
  <c r="BY306" i="26"/>
  <c r="CL249" i="26"/>
  <c r="DB306" i="26"/>
  <c r="DC306" i="26"/>
  <c r="DD306" i="26"/>
  <c r="DG303" i="26"/>
  <c r="CA306" i="26"/>
  <c r="CO187" i="30"/>
  <c r="CX30" i="26"/>
  <c r="A30" i="26" s="1" a="1"/>
  <c r="A30" i="26" s="1"/>
  <c r="DF303" i="26"/>
  <c r="BZ306" i="26"/>
  <c r="CP23" i="30"/>
  <c r="BL220" i="3"/>
  <c r="BL266" i="3"/>
  <c r="BL289" i="3" s="1"/>
  <c r="BL256" i="3"/>
  <c r="BL279" i="3" s="1"/>
  <c r="BL210" i="3"/>
  <c r="BL216" i="3"/>
  <c r="BL262" i="3"/>
  <c r="BL285" i="3" s="1"/>
  <c r="BL267" i="3"/>
  <c r="BL290" i="3" s="1"/>
  <c r="BL221" i="3"/>
  <c r="BM178" i="3"/>
  <c r="BM201" i="3" s="1"/>
  <c r="BL206" i="3"/>
  <c r="BL252" i="3"/>
  <c r="BL275" i="3" s="1"/>
  <c r="J22" i="50"/>
  <c r="R19" i="50"/>
  <c r="BL258" i="3"/>
  <c r="BL281" i="3" s="1"/>
  <c r="BL212" i="3"/>
  <c r="BL260" i="3"/>
  <c r="BL283" i="3" s="1"/>
  <c r="BL214" i="3"/>
  <c r="BL254" i="3"/>
  <c r="BL277" i="3" s="1"/>
  <c r="BL208" i="3"/>
  <c r="CS67" i="30"/>
  <c r="P25" i="50"/>
  <c r="BZ29" i="30"/>
  <c r="X29" i="30" s="1"/>
  <c r="CZ137" i="20"/>
  <c r="CA29" i="30"/>
  <c r="Y29" i="30" s="1"/>
  <c r="DA137" i="20"/>
  <c r="X179" i="6"/>
  <c r="BZ298" i="26"/>
  <c r="Y293" i="26"/>
  <c r="DC298" i="26"/>
  <c r="A44" i="30" a="1"/>
  <c r="A44" i="30" s="1"/>
  <c r="BZ176" i="20"/>
  <c r="CZ176" i="20" s="1"/>
  <c r="CZ113" i="20"/>
  <c r="BZ114" i="20"/>
  <c r="BZ28" i="30"/>
  <c r="CZ132" i="20"/>
  <c r="X52" i="6"/>
  <c r="X290" i="26"/>
  <c r="Y283" i="26"/>
  <c r="DC288" i="26"/>
  <c r="CA28" i="30"/>
  <c r="DA132" i="20"/>
  <c r="CO15" i="30"/>
  <c r="CT157" i="30"/>
  <c r="CW157" i="30"/>
  <c r="X59" i="33"/>
  <c r="I14" i="50" s="1"/>
  <c r="Q14" i="50" s="1"/>
  <c r="BL93" i="3"/>
  <c r="BL70" i="3"/>
  <c r="BL103" i="3"/>
  <c r="BL80" i="3"/>
  <c r="CQ176" i="1"/>
  <c r="BY28" i="30"/>
  <c r="CY132" i="20"/>
  <c r="BL731" i="9"/>
  <c r="BL242" i="3"/>
  <c r="A19" i="30" a="1"/>
  <c r="A19" i="30" s="1"/>
  <c r="BM150" i="3"/>
  <c r="BM152" i="3"/>
  <c r="BM154" i="3"/>
  <c r="CV70" i="30"/>
  <c r="CS70" i="30"/>
  <c r="CA176" i="20"/>
  <c r="DA176" i="20" s="1"/>
  <c r="DA113" i="20"/>
  <c r="CA114" i="20"/>
  <c r="A25" i="30" a="1"/>
  <c r="A25" i="30" s="1"/>
  <c r="CS164" i="20"/>
  <c r="A164" i="20" s="1" a="1"/>
  <c r="A164" i="20" s="1"/>
  <c r="BL18" i="3"/>
  <c r="CA40" i="30"/>
  <c r="CA154" i="20"/>
  <c r="DA154" i="20" s="1"/>
  <c r="DA149" i="20"/>
  <c r="X66" i="35"/>
  <c r="X76" i="35" s="1"/>
  <c r="X24" i="30"/>
  <c r="CW13" i="30"/>
  <c r="CT13" i="30"/>
  <c r="BY24" i="30"/>
  <c r="X37" i="6"/>
  <c r="Y262" i="26"/>
  <c r="DC269" i="26"/>
  <c r="X271" i="26"/>
  <c r="CS18" i="30"/>
  <c r="CO18" i="30" s="1"/>
  <c r="CV18" i="30"/>
  <c r="CP18" i="30" s="1"/>
  <c r="CY102" i="20"/>
  <c r="CS102" i="20" s="1"/>
  <c r="A102" i="20" s="1" a="1"/>
  <c r="A102" i="20" s="1"/>
  <c r="BZ155" i="6"/>
  <c r="BZ158" i="6" s="1"/>
  <c r="BZ121" i="30" s="1"/>
  <c r="Y142" i="6"/>
  <c r="X158" i="6"/>
  <c r="X174" i="20"/>
  <c r="X181" i="20" s="1"/>
  <c r="X156" i="20"/>
  <c r="X166" i="20" s="1"/>
  <c r="X170" i="20" s="1"/>
  <c r="CP15" i="30"/>
  <c r="CT43" i="30"/>
  <c r="CW43" i="30"/>
  <c r="BL100" i="3"/>
  <c r="BL77" i="3"/>
  <c r="BL98" i="3"/>
  <c r="BL75" i="3"/>
  <c r="BY176" i="20"/>
  <c r="CY176" i="20" s="1"/>
  <c r="CY113" i="20"/>
  <c r="BY114" i="20"/>
  <c r="CS126" i="20"/>
  <c r="A126" i="20" s="1" a="1"/>
  <c r="A126" i="20" s="1"/>
  <c r="BZ141" i="1"/>
  <c r="CX102" i="1"/>
  <c r="BM138" i="3"/>
  <c r="BM153" i="3"/>
  <c r="CL132" i="20"/>
  <c r="BL224" i="3"/>
  <c r="BL270" i="3"/>
  <c r="BL293" i="3" s="1"/>
  <c r="BY43" i="30"/>
  <c r="W43" i="30" s="1"/>
  <c r="CY152" i="20"/>
  <c r="CS152" i="20" s="1"/>
  <c r="A152" i="20" s="1" a="1"/>
  <c r="A152" i="20" s="1"/>
  <c r="BZ14" i="32"/>
  <c r="BZ66" i="32" s="1"/>
  <c r="CQ100" i="1"/>
  <c r="A100" i="1" s="1" a="1"/>
  <c r="A100" i="1" s="1"/>
  <c r="Y146" i="1"/>
  <c r="CV141" i="1"/>
  <c r="BL253" i="3"/>
  <c r="BL276" i="3" s="1"/>
  <c r="BL207" i="3"/>
  <c r="W146" i="1"/>
  <c r="CT141" i="1"/>
  <c r="X128" i="30"/>
  <c r="Y220" i="6"/>
  <c r="BZ226" i="6"/>
  <c r="BZ128" i="30" s="1"/>
  <c r="BZ155" i="30"/>
  <c r="BZ58" i="33" s="1"/>
  <c r="X34" i="30"/>
  <c r="X77" i="33"/>
  <c r="I31" i="50" s="1"/>
  <c r="Q31" i="50" s="1"/>
  <c r="G89" i="50" s="1"/>
  <c r="CT194" i="30"/>
  <c r="CW194" i="30"/>
  <c r="BL101" i="3"/>
  <c r="BL78" i="3"/>
  <c r="BL106" i="3"/>
  <c r="BL83" i="3"/>
  <c r="BM164" i="3"/>
  <c r="BM187" i="3" s="1"/>
  <c r="BM24" i="3"/>
  <c r="BM12" i="3"/>
  <c r="BM3" i="3" s="1"/>
  <c r="BN8" i="3"/>
  <c r="BM41" i="3"/>
  <c r="BM5" i="3"/>
  <c r="BM4" i="3"/>
  <c r="BL257" i="3"/>
  <c r="BL280" i="3" s="1"/>
  <c r="BL211" i="3"/>
  <c r="A205" i="30" a="1"/>
  <c r="A205" i="30" s="1"/>
  <c r="CS157" i="30"/>
  <c r="CV157" i="30"/>
  <c r="W59" i="33"/>
  <c r="H14" i="50" s="1"/>
  <c r="P14" i="50" s="1"/>
  <c r="CA63" i="33"/>
  <c r="CX169" i="30"/>
  <c r="CP169" i="30" s="1"/>
  <c r="BL725" i="9"/>
  <c r="BL236" i="3"/>
  <c r="CQ179" i="1"/>
  <c r="A179" i="1" s="1" a="1"/>
  <c r="A179" i="1" s="1"/>
  <c r="CV121" i="30"/>
  <c r="CS121" i="30"/>
  <c r="G65" i="50"/>
  <c r="CW102" i="1"/>
  <c r="CV52" i="30"/>
  <c r="CP52" i="30" s="1"/>
  <c r="CS52" i="30"/>
  <c r="CO52" i="30" s="1"/>
  <c r="W54" i="30"/>
  <c r="CS131" i="30"/>
  <c r="CV131" i="30"/>
  <c r="X129" i="30"/>
  <c r="BZ236" i="6"/>
  <c r="BZ129" i="30" s="1"/>
  <c r="Y229" i="6"/>
  <c r="BY34" i="30"/>
  <c r="BY177" i="20"/>
  <c r="CY177" i="20" s="1"/>
  <c r="CS177" i="20" s="1"/>
  <c r="A177" i="20" s="1" a="1"/>
  <c r="A177" i="20" s="1"/>
  <c r="CY143" i="20"/>
  <c r="CS143" i="20" s="1"/>
  <c r="A143" i="20" s="1" a="1"/>
  <c r="A143" i="20" s="1"/>
  <c r="CP139" i="1"/>
  <c r="BL415" i="9"/>
  <c r="BL368" i="9"/>
  <c r="BL263" i="9"/>
  <c r="BL216" i="9"/>
  <c r="BL396" i="9"/>
  <c r="BL349" i="9"/>
  <c r="BL434" i="9"/>
  <c r="BL425" i="9"/>
  <c r="BL406" i="9"/>
  <c r="BL387" i="9"/>
  <c r="BL225" i="9"/>
  <c r="BL168" i="9"/>
  <c r="BL121" i="9"/>
  <c r="BL358" i="9"/>
  <c r="BL149" i="9"/>
  <c r="BL102" i="9"/>
  <c r="BL254" i="9"/>
  <c r="BL339" i="9"/>
  <c r="BL330" i="9"/>
  <c r="BL292" i="9"/>
  <c r="BL197" i="9"/>
  <c r="BL301" i="9"/>
  <c r="BL244" i="9"/>
  <c r="BL377" i="9"/>
  <c r="BL311" i="9"/>
  <c r="BL273" i="9"/>
  <c r="BL235" i="9"/>
  <c r="BL206" i="9"/>
  <c r="BL159" i="9"/>
  <c r="BL320" i="9"/>
  <c r="BL92" i="9"/>
  <c r="BL64" i="9"/>
  <c r="BL282" i="9"/>
  <c r="BL187" i="9"/>
  <c r="BL178" i="9"/>
  <c r="BL140" i="9"/>
  <c r="BL73" i="9"/>
  <c r="BL111" i="9"/>
  <c r="BL83" i="9"/>
  <c r="BL130" i="9"/>
  <c r="X141" i="1"/>
  <c r="W67" i="35"/>
  <c r="CV14" i="30"/>
  <c r="CP14" i="30" s="1"/>
  <c r="CS14" i="30"/>
  <c r="CO14" i="30" s="1"/>
  <c r="CP41" i="30"/>
  <c r="A41" i="30" s="1" a="1"/>
  <c r="A41" i="30" s="1"/>
  <c r="BM147" i="3"/>
  <c r="BM149" i="3"/>
  <c r="BI136" i="30"/>
  <c r="BI137" i="30" s="1"/>
  <c r="BJ256" i="6"/>
  <c r="DA61" i="1"/>
  <c r="CN61" i="1" s="1"/>
  <c r="A61" i="1" s="1" a="1"/>
  <c r="A61" i="1" s="1"/>
  <c r="X53" i="30"/>
  <c r="BZ54" i="30"/>
  <c r="CW132" i="1"/>
  <c r="CQ132" i="1" s="1"/>
  <c r="A132" i="1" s="1" a="1"/>
  <c r="A132" i="1" s="1"/>
  <c r="CL132" i="1"/>
  <c r="CL2" i="1" s="1" a="1"/>
  <c r="CL2" i="1" s="1"/>
  <c r="BZ179" i="30"/>
  <c r="BZ65" i="33" s="1"/>
  <c r="X42" i="30"/>
  <c r="BI82" i="35"/>
  <c r="BI67" i="33"/>
  <c r="BI69" i="33" s="1"/>
  <c r="BI31" i="32"/>
  <c r="BI27" i="32"/>
  <c r="BI208" i="30"/>
  <c r="BI92" i="33" s="1"/>
  <c r="Y176" i="30"/>
  <c r="BL255" i="3"/>
  <c r="BL278" i="3" s="1"/>
  <c r="BL209" i="3"/>
  <c r="CL137" i="20"/>
  <c r="CB174" i="1"/>
  <c r="CB181" i="1" s="1"/>
  <c r="CB156" i="1"/>
  <c r="CB166" i="1" s="1"/>
  <c r="CB170" i="1" s="1"/>
  <c r="BL225" i="3"/>
  <c r="BL271" i="3"/>
  <c r="BL294" i="3" s="1"/>
  <c r="W44" i="6"/>
  <c r="CS41" i="6"/>
  <c r="A41" i="6" s="1" a="1"/>
  <c r="A41" i="6" s="1"/>
  <c r="CA35" i="30"/>
  <c r="Y35" i="30" s="1"/>
  <c r="CA178" i="20"/>
  <c r="DA178" i="20" s="1"/>
  <c r="CS178" i="20" s="1"/>
  <c r="DA144" i="20"/>
  <c r="CS144" i="20" s="1"/>
  <c r="BL102" i="3"/>
  <c r="BL79" i="3"/>
  <c r="W77" i="33"/>
  <c r="H31" i="50" s="1"/>
  <c r="P31" i="50" s="1"/>
  <c r="G88" i="50" s="1"/>
  <c r="CS194" i="30"/>
  <c r="CV194" i="30"/>
  <c r="CB167" i="26"/>
  <c r="CL165" i="26"/>
  <c r="BM145" i="3"/>
  <c r="BM137" i="3"/>
  <c r="X127" i="30"/>
  <c r="BZ217" i="6"/>
  <c r="BZ127" i="30" s="1"/>
  <c r="Y206" i="6"/>
  <c r="BY29" i="30"/>
  <c r="W29" i="30" s="1"/>
  <c r="CY137" i="20"/>
  <c r="BL264" i="3"/>
  <c r="BL287" i="3" s="1"/>
  <c r="BL218" i="3"/>
  <c r="G61" i="50"/>
  <c r="Q22" i="50"/>
  <c r="W139" i="20"/>
  <c r="W141" i="20" s="1"/>
  <c r="W146" i="20" s="1"/>
  <c r="BL269" i="3"/>
  <c r="BL292" i="3" s="1"/>
  <c r="BL223" i="3"/>
  <c r="CA179" i="30"/>
  <c r="CA65" i="33" s="1"/>
  <c r="Y42" i="30"/>
  <c r="BY190" i="30"/>
  <c r="BY110" i="30"/>
  <c r="BY22" i="32" s="1"/>
  <c r="CA139" i="1"/>
  <c r="CY139" i="1" s="1"/>
  <c r="CY114" i="1"/>
  <c r="CS77" i="30"/>
  <c r="A183" i="30" a="1"/>
  <c r="A183" i="30" s="1"/>
  <c r="Y53" i="30"/>
  <c r="CA54" i="30"/>
  <c r="BY139" i="1"/>
  <c r="CW139" i="1" s="1"/>
  <c r="CW114" i="1"/>
  <c r="CQ149" i="1"/>
  <c r="A149" i="1" s="1" a="1"/>
  <c r="A149" i="1" s="1"/>
  <c r="CU164" i="30"/>
  <c r="CO164" i="30" s="1"/>
  <c r="CX164" i="30"/>
  <c r="CP164" i="30" s="1"/>
  <c r="BL108" i="3"/>
  <c r="BL85" i="3"/>
  <c r="BL96" i="3"/>
  <c r="BL73" i="3"/>
  <c r="G60" i="50"/>
  <c r="P22" i="50"/>
  <c r="CO23" i="30"/>
  <c r="BJ38" i="30"/>
  <c r="BM146" i="3"/>
  <c r="BM144" i="3"/>
  <c r="BM140" i="3"/>
  <c r="A73" i="30" a="1"/>
  <c r="A73" i="30" s="1"/>
  <c r="W248" i="6"/>
  <c r="CS247" i="6"/>
  <c r="A247" i="6" s="1" a="1"/>
  <c r="A247" i="6" s="1"/>
  <c r="CP20" i="30"/>
  <c r="BL711" i="9"/>
  <c r="BL780" i="9" s="1"/>
  <c r="BL703" i="9"/>
  <c r="BL772" i="9" s="1"/>
  <c r="BL695" i="9"/>
  <c r="BL764" i="9" s="1"/>
  <c r="BL787" i="9" s="1"/>
  <c r="BL702" i="9"/>
  <c r="BL771" i="9" s="1"/>
  <c r="BL794" i="9" s="1"/>
  <c r="BL700" i="9"/>
  <c r="BL769" i="9" s="1"/>
  <c r="BL697" i="9"/>
  <c r="BL766" i="9" s="1"/>
  <c r="BL789" i="9" s="1"/>
  <c r="BL713" i="9"/>
  <c r="BL782" i="9" s="1"/>
  <c r="BL707" i="9"/>
  <c r="BL776" i="9" s="1"/>
  <c r="BL714" i="9"/>
  <c r="BL783" i="9" s="1"/>
  <c r="BL709" i="9"/>
  <c r="BL778" i="9" s="1"/>
  <c r="BL704" i="9"/>
  <c r="BL773" i="9" s="1"/>
  <c r="BL699" i="9"/>
  <c r="BL768" i="9" s="1"/>
  <c r="BL791" i="9" s="1"/>
  <c r="BL706" i="9"/>
  <c r="BL775" i="9" s="1"/>
  <c r="BL701" i="9"/>
  <c r="BL770" i="9" s="1"/>
  <c r="BL696" i="9"/>
  <c r="BL765" i="9" s="1"/>
  <c r="BL712" i="9"/>
  <c r="BL781" i="9" s="1"/>
  <c r="BL804" i="9" s="1"/>
  <c r="BL710" i="9"/>
  <c r="BL779" i="9" s="1"/>
  <c r="BL802" i="9" s="1"/>
  <c r="BL708" i="9"/>
  <c r="BL777" i="9" s="1"/>
  <c r="BL800" i="9" s="1"/>
  <c r="BL705" i="9"/>
  <c r="BL774" i="9" s="1"/>
  <c r="BL797" i="9" s="1"/>
  <c r="BL698" i="9"/>
  <c r="BL767" i="9" s="1"/>
  <c r="CS136" i="20"/>
  <c r="A136" i="20" s="1" a="1"/>
  <c r="A136" i="20" s="1"/>
  <c r="X28" i="6"/>
  <c r="Y234" i="26"/>
  <c r="DC243" i="26"/>
  <c r="X245" i="26"/>
  <c r="CQ168" i="1"/>
  <c r="CS163" i="20"/>
  <c r="A163" i="20" s="1" a="1"/>
  <c r="A163" i="20" s="1"/>
  <c r="G66" i="50"/>
  <c r="X34" i="6"/>
  <c r="X280" i="26"/>
  <c r="Y274" i="26"/>
  <c r="DC278" i="26"/>
  <c r="A176" i="1" a="1"/>
  <c r="A176" i="1" s="1"/>
  <c r="CX43" i="30"/>
  <c r="CU43" i="30"/>
  <c r="BY67" i="30"/>
  <c r="BL217" i="3"/>
  <c r="BL263" i="3"/>
  <c r="BL286" i="3" s="1"/>
  <c r="BY77" i="30"/>
  <c r="BG23" i="32"/>
  <c r="BG112" i="30"/>
  <c r="BG114" i="30"/>
  <c r="X130" i="30"/>
  <c r="Y239" i="6"/>
  <c r="BZ242" i="6"/>
  <c r="BZ130" i="30" s="1"/>
  <c r="Y66" i="35"/>
  <c r="Y76" i="35" s="1"/>
  <c r="Y24" i="30"/>
  <c r="CU13" i="30"/>
  <c r="CX13" i="30"/>
  <c r="Y77" i="33"/>
  <c r="J31" i="50" s="1"/>
  <c r="R31" i="50" s="1"/>
  <c r="G90" i="50" s="1"/>
  <c r="CX194" i="30"/>
  <c r="CU194" i="30"/>
  <c r="X25" i="6"/>
  <c r="Y220" i="26"/>
  <c r="X231" i="26"/>
  <c r="DC229" i="26"/>
  <c r="CB35" i="30"/>
  <c r="CB36" i="30" s="1"/>
  <c r="CB178" i="20"/>
  <c r="CB146" i="20"/>
  <c r="CQ154" i="1"/>
  <c r="A154" i="1" s="1" a="1"/>
  <c r="A154" i="1" s="1"/>
  <c r="A200" i="30" a="1"/>
  <c r="A200" i="30" s="1"/>
  <c r="BL110" i="3"/>
  <c r="BL87" i="3"/>
  <c r="BL104" i="3"/>
  <c r="BL81" i="3"/>
  <c r="BJ28" i="32"/>
  <c r="BJ33" i="32"/>
  <c r="CY102" i="1"/>
  <c r="CO21" i="30"/>
  <c r="A21" i="30" s="1" a="1"/>
  <c r="A21" i="30" s="1"/>
  <c r="BM151" i="3"/>
  <c r="BM143" i="3"/>
  <c r="BM142" i="3"/>
  <c r="CV71" i="30"/>
  <c r="CS71" i="30"/>
  <c r="BJ257" i="6"/>
  <c r="BJ170" i="20"/>
  <c r="BJ60" i="30" s="1"/>
  <c r="BL261" i="3"/>
  <c r="BL284" i="3" s="1"/>
  <c r="BL215" i="3"/>
  <c r="CO22" i="30"/>
  <c r="BZ28" i="6"/>
  <c r="BZ68" i="30" s="1"/>
  <c r="BZ245" i="26"/>
  <c r="DF243" i="26"/>
  <c r="BL69" i="3"/>
  <c r="W190" i="30"/>
  <c r="CV101" i="30"/>
  <c r="CS101" i="30"/>
  <c r="W110" i="30"/>
  <c r="CS168" i="20"/>
  <c r="CV53" i="30"/>
  <c r="CS53" i="30"/>
  <c r="BZ34" i="6"/>
  <c r="BZ70" i="30" s="1"/>
  <c r="BZ280" i="26"/>
  <c r="DF278" i="26"/>
  <c r="A204" i="30" a="1"/>
  <c r="A204" i="30" s="1"/>
  <c r="W69" i="35"/>
  <c r="CV16" i="30"/>
  <c r="CP16" i="30" s="1"/>
  <c r="CS16" i="30"/>
  <c r="CO16" i="30" s="1"/>
  <c r="BH94" i="33"/>
  <c r="CA14" i="32"/>
  <c r="CA66" i="32" s="1"/>
  <c r="BZ40" i="30"/>
  <c r="BZ154" i="20"/>
  <c r="CZ154" i="20" s="1"/>
  <c r="CZ149" i="20"/>
  <c r="BZ52" i="6"/>
  <c r="BZ290" i="26"/>
  <c r="DF288" i="26"/>
  <c r="CV68" i="30"/>
  <c r="CS68" i="30"/>
  <c r="BY40" i="30"/>
  <c r="BY154" i="20"/>
  <c r="CY154" i="20" s="1"/>
  <c r="CY149" i="20"/>
  <c r="BL222" i="3"/>
  <c r="BL268" i="3"/>
  <c r="BL291" i="3" s="1"/>
  <c r="BL107" i="3"/>
  <c r="BL84" i="3"/>
  <c r="BL97" i="3"/>
  <c r="BL74" i="3"/>
  <c r="BL109" i="3"/>
  <c r="BL86" i="3"/>
  <c r="CQ113" i="1"/>
  <c r="A113" i="1" s="1" a="1"/>
  <c r="A113" i="1" s="1"/>
  <c r="BL71" i="3"/>
  <c r="BM139" i="3"/>
  <c r="BM156" i="3"/>
  <c r="BM148" i="3"/>
  <c r="CP22" i="30"/>
  <c r="BL28" i="3"/>
  <c r="BL26" i="3"/>
  <c r="CA155" i="30"/>
  <c r="CA58" i="33" s="1"/>
  <c r="Y34" i="30"/>
  <c r="W66" i="35"/>
  <c r="W24" i="30"/>
  <c r="CV13" i="30"/>
  <c r="CS13" i="30"/>
  <c r="BZ37" i="6"/>
  <c r="BZ71" i="30" s="1"/>
  <c r="DF269" i="26"/>
  <c r="BZ271" i="26"/>
  <c r="Y174" i="20"/>
  <c r="Y181" i="20" s="1"/>
  <c r="Y156" i="20"/>
  <c r="Y166" i="20" s="1"/>
  <c r="Y170" i="20" s="1"/>
  <c r="A151" i="1" a="1"/>
  <c r="A151" i="1" s="1"/>
  <c r="CX157" i="30"/>
  <c r="CU157" i="30"/>
  <c r="Y59" i="33"/>
  <c r="J14" i="50" s="1"/>
  <c r="R14" i="50" s="1"/>
  <c r="E27" i="14"/>
  <c r="N27" i="14" s="1" a="1"/>
  <c r="N27" i="14" s="1"/>
  <c r="M26" i="14"/>
  <c r="E26" i="14" a="1"/>
  <c r="W76" i="35" l="1"/>
  <c r="BL792" i="9"/>
  <c r="BL801" i="9"/>
  <c r="BL795" i="9"/>
  <c r="A20" i="30" a="1"/>
  <c r="A20" i="30" s="1"/>
  <c r="BZ25" i="6"/>
  <c r="BZ67" i="30" s="1"/>
  <c r="CS137" i="20"/>
  <c r="A137" i="20" s="1" a="1"/>
  <c r="A137" i="20" s="1"/>
  <c r="CS132" i="20"/>
  <c r="A132" i="20" s="1" a="1"/>
  <c r="A132" i="20" s="1"/>
  <c r="BL793" i="9"/>
  <c r="BL799" i="9"/>
  <c r="BL822" i="9" s="1"/>
  <c r="A52" i="30" a="1"/>
  <c r="A52" i="30" s="1"/>
  <c r="BL788" i="9"/>
  <c r="BL805" i="9"/>
  <c r="BL806" i="9"/>
  <c r="BL829" i="9" s="1"/>
  <c r="BL803" i="9"/>
  <c r="BL754" i="9"/>
  <c r="BL790" i="9"/>
  <c r="CP13" i="30"/>
  <c r="X118" i="6"/>
  <c r="A15" i="30" a="1"/>
  <c r="A15" i="30" s="1"/>
  <c r="W118" i="6"/>
  <c r="W122" i="6" s="1"/>
  <c r="X117" i="6" s="1"/>
  <c r="BZ117" i="6" s="1"/>
  <c r="Y118" i="6"/>
  <c r="CX53" i="26"/>
  <c r="A53" i="26" s="1" a="1"/>
  <c r="A53" i="26" s="1"/>
  <c r="DB316" i="26"/>
  <c r="DE312" i="26"/>
  <c r="BY316" i="26"/>
  <c r="BY318" i="26" s="1"/>
  <c r="CW312" i="26"/>
  <c r="DC316" i="26"/>
  <c r="DF229" i="26"/>
  <c r="DF312" i="26"/>
  <c r="BZ316" i="26"/>
  <c r="BZ318" i="26" s="1"/>
  <c r="DG312" i="26"/>
  <c r="CA316" i="26"/>
  <c r="CA318" i="26" s="1"/>
  <c r="DD316" i="26"/>
  <c r="BI211" i="30"/>
  <c r="BI212" i="30" s="1"/>
  <c r="BJ211" i="30" s="1"/>
  <c r="BH83" i="6"/>
  <c r="BH19" i="32" s="1"/>
  <c r="BH214" i="30"/>
  <c r="BH217" i="30" s="1"/>
  <c r="CS113" i="20"/>
  <c r="A113" i="20" s="1" a="1"/>
  <c r="A113" i="20" s="1"/>
  <c r="A18" i="30" a="1"/>
  <c r="A18" i="30" s="1"/>
  <c r="A16" i="30" a="1"/>
  <c r="A16" i="30" s="1"/>
  <c r="BL796" i="9"/>
  <c r="BL819" i="9" s="1"/>
  <c r="CS176" i="20"/>
  <c r="A176" i="20" s="1" a="1"/>
  <c r="A176" i="20" s="1"/>
  <c r="BL798" i="9"/>
  <c r="BL821" i="9" s="1"/>
  <c r="BY42" i="30"/>
  <c r="BY45" i="30" s="1"/>
  <c r="CY151" i="20"/>
  <c r="CS151" i="20" s="1"/>
  <c r="A151" i="20" s="1" a="1"/>
  <c r="A151" i="20" s="1"/>
  <c r="CO13" i="30"/>
  <c r="BL748" i="9"/>
  <c r="CS154" i="20"/>
  <c r="A154" i="20" s="1" a="1"/>
  <c r="A154" i="20" s="1"/>
  <c r="A187" i="30" a="1"/>
  <c r="A187" i="30" s="1"/>
  <c r="A23" i="30" a="1"/>
  <c r="A23" i="30" s="1"/>
  <c r="A32" i="26" a="1"/>
  <c r="A32" i="26" s="1"/>
  <c r="BZ110" i="6"/>
  <c r="DF306" i="26"/>
  <c r="BZ308" i="26"/>
  <c r="CW306" i="26"/>
  <c r="X257" i="26"/>
  <c r="BZ248" i="26"/>
  <c r="BZ257" i="26" s="1"/>
  <c r="BY110" i="6"/>
  <c r="DE306" i="26"/>
  <c r="BY308" i="26"/>
  <c r="CX303" i="26"/>
  <c r="A303" i="26" s="1" a="1"/>
  <c r="A303" i="26" s="1"/>
  <c r="CA110" i="6"/>
  <c r="DG306" i="26"/>
  <c r="CA308" i="26"/>
  <c r="BY31" i="6"/>
  <c r="DE257" i="26"/>
  <c r="BY259" i="26"/>
  <c r="CL2" i="20" a="1"/>
  <c r="CL2" i="20" s="1"/>
  <c r="BM169" i="3"/>
  <c r="BM192" i="3" s="1"/>
  <c r="BL735" i="9"/>
  <c r="BL246" i="3"/>
  <c r="CS29" i="30"/>
  <c r="CV29" i="30"/>
  <c r="BL721" i="9"/>
  <c r="BL232" i="3"/>
  <c r="CV54" i="30"/>
  <c r="CS54" i="30"/>
  <c r="BM175" i="3"/>
  <c r="BM198" i="3" s="1"/>
  <c r="X77" i="30"/>
  <c r="CB183" i="30"/>
  <c r="CL167" i="26"/>
  <c r="CL2" i="26" s="1" a="1"/>
  <c r="CL2" i="26" s="1"/>
  <c r="BJ259" i="6"/>
  <c r="BM256" i="3"/>
  <c r="BM279" i="3" s="1"/>
  <c r="BM210" i="3"/>
  <c r="BL719" i="9"/>
  <c r="BL230" i="3"/>
  <c r="CS43" i="30"/>
  <c r="CO43" i="30" s="1"/>
  <c r="CV43" i="30"/>
  <c r="CP43" i="30" s="1"/>
  <c r="BZ146" i="1"/>
  <c r="CX141" i="1"/>
  <c r="X121" i="30"/>
  <c r="X97" i="13"/>
  <c r="X14" i="32"/>
  <c r="CW24" i="30"/>
  <c r="CT24" i="30"/>
  <c r="BM173" i="3"/>
  <c r="BM196" i="3" s="1"/>
  <c r="CT29" i="30"/>
  <c r="CW29" i="30"/>
  <c r="BL728" i="9"/>
  <c r="BL239" i="3"/>
  <c r="BY151" i="30"/>
  <c r="W40" i="30"/>
  <c r="BZ151" i="30"/>
  <c r="BZ45" i="30"/>
  <c r="X40" i="30"/>
  <c r="W22" i="32"/>
  <c r="CR22" i="32" s="1"/>
  <c r="CV110" i="30"/>
  <c r="CS110" i="30"/>
  <c r="A22" i="30" a="1"/>
  <c r="A22" i="30" s="1"/>
  <c r="BM166" i="3"/>
  <c r="BM189" i="3" s="1"/>
  <c r="W134" i="30"/>
  <c r="X245" i="6"/>
  <c r="W174" i="20"/>
  <c r="W181" i="20" s="1"/>
  <c r="W156" i="20"/>
  <c r="W166" i="20" s="1"/>
  <c r="W170" i="20" s="1"/>
  <c r="CP194" i="30"/>
  <c r="X179" i="30"/>
  <c r="CW42" i="30"/>
  <c r="CT42" i="30"/>
  <c r="X146" i="1"/>
  <c r="CU141" i="1"/>
  <c r="CP141" i="1" s="1"/>
  <c r="BM22" i="3"/>
  <c r="BM16" i="3"/>
  <c r="BM4" i="9"/>
  <c r="BM20" i="3"/>
  <c r="CA220" i="6"/>
  <c r="CS220" i="6" s="1"/>
  <c r="A220" i="6" s="1" a="1"/>
  <c r="A220" i="6" s="1"/>
  <c r="Y226" i="6"/>
  <c r="CA142" i="6"/>
  <c r="CS142" i="6" s="1"/>
  <c r="A142" i="6" s="1" a="1"/>
  <c r="A142" i="6" s="1"/>
  <c r="Y155" i="6"/>
  <c r="CA27" i="30"/>
  <c r="CA139" i="20"/>
  <c r="DA114" i="20"/>
  <c r="CV67" i="30"/>
  <c r="BL726" i="9"/>
  <c r="BL237" i="3"/>
  <c r="BL718" i="9"/>
  <c r="BL229" i="3"/>
  <c r="BL722" i="9"/>
  <c r="BL233" i="3"/>
  <c r="BM165" i="3"/>
  <c r="BM188" i="3" s="1"/>
  <c r="CB174" i="20"/>
  <c r="CB181" i="20" s="1"/>
  <c r="CB62" i="30" s="1"/>
  <c r="CB45" i="32" s="1"/>
  <c r="CB156" i="20"/>
  <c r="CB166" i="20" s="1"/>
  <c r="BL727" i="9"/>
  <c r="BL238" i="3"/>
  <c r="BM174" i="3"/>
  <c r="BM197" i="3" s="1"/>
  <c r="CB43" i="32"/>
  <c r="CB47" i="30"/>
  <c r="CB38" i="30"/>
  <c r="BJ54" i="33"/>
  <c r="BJ148" i="30"/>
  <c r="BJ180" i="30" s="1"/>
  <c r="BJ56" i="30"/>
  <c r="BJ58" i="30" s="1"/>
  <c r="CQ114" i="1"/>
  <c r="A114" i="1" s="1" a="1"/>
  <c r="A114" i="1" s="1"/>
  <c r="CA206" i="6"/>
  <c r="CS206" i="6" s="1"/>
  <c r="A206" i="6" s="1" a="1"/>
  <c r="A206" i="6" s="1"/>
  <c r="Y217" i="6"/>
  <c r="CO194" i="30"/>
  <c r="CU35" i="30"/>
  <c r="CO35" i="30" s="1"/>
  <c r="CX35" i="30"/>
  <c r="CP35" i="30" s="1"/>
  <c r="BL737" i="9"/>
  <c r="BL248" i="3"/>
  <c r="CT53" i="30"/>
  <c r="CW53" i="30"/>
  <c r="X54" i="30"/>
  <c r="BM172" i="3"/>
  <c r="BM195" i="3" s="1"/>
  <c r="BL645" i="9"/>
  <c r="BY155" i="30"/>
  <c r="BY58" i="33" s="1"/>
  <c r="W34" i="30"/>
  <c r="BM63" i="3"/>
  <c r="BM109" i="3" s="1"/>
  <c r="BM55" i="3"/>
  <c r="BM101" i="3" s="1"/>
  <c r="BM47" i="3"/>
  <c r="BM93" i="3" s="1"/>
  <c r="BM53" i="3"/>
  <c r="BM48" i="3"/>
  <c r="BM94" i="3" s="1"/>
  <c r="BM51" i="3"/>
  <c r="BM97" i="3" s="1"/>
  <c r="BM61" i="3"/>
  <c r="BM107" i="3" s="1"/>
  <c r="BM56" i="3"/>
  <c r="BM102" i="3" s="1"/>
  <c r="BM60" i="3"/>
  <c r="BM106" i="3" s="1"/>
  <c r="BM50" i="3"/>
  <c r="BM96" i="3" s="1"/>
  <c r="BM54" i="3"/>
  <c r="BM100" i="3" s="1"/>
  <c r="BM59" i="3"/>
  <c r="BM58" i="3"/>
  <c r="BM104" i="3" s="1"/>
  <c r="BM52" i="3"/>
  <c r="BM98" i="3" s="1"/>
  <c r="BM57" i="3"/>
  <c r="BM103" i="3" s="1"/>
  <c r="BM64" i="3"/>
  <c r="BM110" i="3" s="1"/>
  <c r="BM62" i="3"/>
  <c r="BM108" i="3" s="1"/>
  <c r="BM49" i="3"/>
  <c r="BM45" i="3"/>
  <c r="BM46" i="3"/>
  <c r="BM92" i="3" s="1"/>
  <c r="BM5" i="9"/>
  <c r="BM128" i="3"/>
  <c r="BM127" i="3"/>
  <c r="BM118" i="3"/>
  <c r="BM116" i="3"/>
  <c r="BM132" i="3"/>
  <c r="BM124" i="3"/>
  <c r="BM129" i="3"/>
  <c r="BM120" i="3"/>
  <c r="BM130" i="3"/>
  <c r="BM131" i="3"/>
  <c r="BM122" i="3"/>
  <c r="BM121" i="3"/>
  <c r="BM123" i="3"/>
  <c r="BM117" i="3"/>
  <c r="BM115" i="3"/>
  <c r="BM114" i="3"/>
  <c r="BM125" i="3"/>
  <c r="BM133" i="3"/>
  <c r="BM119" i="3"/>
  <c r="BM126" i="3"/>
  <c r="CT128" i="30"/>
  <c r="CW128" i="30"/>
  <c r="BL736" i="9"/>
  <c r="BL247" i="3"/>
  <c r="BY27" i="30"/>
  <c r="BY139" i="20"/>
  <c r="CY114" i="20"/>
  <c r="Y269" i="26"/>
  <c r="CA262" i="26"/>
  <c r="CA269" i="26" s="1"/>
  <c r="Y298" i="26"/>
  <c r="CA293" i="26"/>
  <c r="Y101" i="13"/>
  <c r="Y155" i="30"/>
  <c r="CX34" i="30"/>
  <c r="CU34" i="30"/>
  <c r="BM179" i="3"/>
  <c r="BM202" i="3" s="1"/>
  <c r="W97" i="13"/>
  <c r="W14" i="32"/>
  <c r="W66" i="32" s="1"/>
  <c r="CV24" i="30"/>
  <c r="CS24" i="30"/>
  <c r="CA56" i="32"/>
  <c r="CA55" i="32"/>
  <c r="CA54" i="32"/>
  <c r="CA53" i="32"/>
  <c r="CA52" i="32"/>
  <c r="CA51" i="32"/>
  <c r="CA50" i="32"/>
  <c r="CA46" i="32"/>
  <c r="CA59" i="32"/>
  <c r="CA44" i="32"/>
  <c r="CA42" i="32"/>
  <c r="CA40" i="32"/>
  <c r="CA38" i="32"/>
  <c r="CA63" i="32"/>
  <c r="CA28" i="32"/>
  <c r="CA33" i="32"/>
  <c r="CA34" i="32"/>
  <c r="CA239" i="6"/>
  <c r="CS239" i="6" s="1"/>
  <c r="A239" i="6" s="1" a="1"/>
  <c r="A239" i="6" s="1"/>
  <c r="Y242" i="6"/>
  <c r="Y278" i="26"/>
  <c r="CA274" i="26"/>
  <c r="CA278" i="26" s="1"/>
  <c r="CQ139" i="1"/>
  <c r="A139" i="1" s="1" a="1"/>
  <c r="A139" i="1" s="1"/>
  <c r="BY99" i="33"/>
  <c r="BZ131" i="30"/>
  <c r="BM170" i="3"/>
  <c r="BM193" i="3" s="1"/>
  <c r="CP157" i="30"/>
  <c r="Y174" i="1"/>
  <c r="Y156" i="1"/>
  <c r="CV146" i="1"/>
  <c r="X71" i="30"/>
  <c r="CA26" i="32"/>
  <c r="Y28" i="30"/>
  <c r="BZ179" i="6"/>
  <c r="BZ101" i="30" s="1"/>
  <c r="DF298" i="26"/>
  <c r="BL724" i="9"/>
  <c r="BL235" i="3"/>
  <c r="BM224" i="3"/>
  <c r="BM270" i="3"/>
  <c r="BM293" i="3" s="1"/>
  <c r="Y97" i="13"/>
  <c r="Y14" i="32"/>
  <c r="CX24" i="30"/>
  <c r="CU24" i="30"/>
  <c r="CT130" i="30"/>
  <c r="CW130" i="30"/>
  <c r="BL729" i="9"/>
  <c r="BL240" i="3"/>
  <c r="CA234" i="26"/>
  <c r="CA243" i="26" s="1"/>
  <c r="Y243" i="26"/>
  <c r="BY73" i="33"/>
  <c r="BY195" i="30"/>
  <c r="BY78" i="33" s="1"/>
  <c r="BL730" i="9"/>
  <c r="BL241" i="3"/>
  <c r="X131" i="30"/>
  <c r="CT127" i="30"/>
  <c r="CW127" i="30"/>
  <c r="W72" i="30"/>
  <c r="X40" i="6"/>
  <c r="W12" i="6"/>
  <c r="BI94" i="33"/>
  <c r="CA229" i="6"/>
  <c r="CS229" i="6" s="1"/>
  <c r="A229" i="6" s="1" a="1"/>
  <c r="A229" i="6" s="1"/>
  <c r="Y236" i="6"/>
  <c r="CQ102" i="1"/>
  <c r="A102" i="1" s="1" a="1"/>
  <c r="A102" i="1" s="1"/>
  <c r="CO157" i="30"/>
  <c r="BN10" i="3"/>
  <c r="BN146" i="3" s="1"/>
  <c r="X101" i="13"/>
  <c r="X155" i="30"/>
  <c r="CW34" i="30"/>
  <c r="CT34" i="30"/>
  <c r="BY14" i="32"/>
  <c r="BY66" i="32" s="1"/>
  <c r="CA151" i="30"/>
  <c r="CA45" i="30"/>
  <c r="Y40" i="30"/>
  <c r="BZ26" i="32"/>
  <c r="X28" i="30"/>
  <c r="X101" i="30"/>
  <c r="BM162" i="3"/>
  <c r="BM185" i="3" s="1"/>
  <c r="CS190" i="30"/>
  <c r="CV190" i="30"/>
  <c r="W73" i="33"/>
  <c r="H27" i="50" s="1"/>
  <c r="W195" i="30"/>
  <c r="BL734" i="9"/>
  <c r="BL245" i="3"/>
  <c r="BZ77" i="30"/>
  <c r="BM69" i="3"/>
  <c r="CA141" i="1"/>
  <c r="Y229" i="26"/>
  <c r="CA220" i="26"/>
  <c r="CA229" i="26" s="1"/>
  <c r="X70" i="30"/>
  <c r="X68" i="30"/>
  <c r="BM163" i="3"/>
  <c r="BM186" i="3" s="1"/>
  <c r="CV77" i="30"/>
  <c r="Y179" i="30"/>
  <c r="CX42" i="30"/>
  <c r="CU42" i="30"/>
  <c r="BM160" i="3"/>
  <c r="BM183" i="3" s="1"/>
  <c r="BY141" i="1"/>
  <c r="BM3" i="9"/>
  <c r="BM37" i="3"/>
  <c r="BM176" i="3"/>
  <c r="BM199" i="3" s="1"/>
  <c r="BL824" i="9"/>
  <c r="BL825" i="9"/>
  <c r="BL817" i="9"/>
  <c r="BL826" i="9"/>
  <c r="BL823" i="9"/>
  <c r="BL815" i="9"/>
  <c r="BL816" i="9"/>
  <c r="BL813" i="9"/>
  <c r="BL828" i="9"/>
  <c r="BL814" i="9"/>
  <c r="BL812" i="9"/>
  <c r="BL811" i="9"/>
  <c r="BL810" i="9"/>
  <c r="BL820" i="9"/>
  <c r="BL827" i="9"/>
  <c r="BL818" i="9"/>
  <c r="BY26" i="32"/>
  <c r="W28" i="30"/>
  <c r="Y288" i="26"/>
  <c r="CA283" i="26"/>
  <c r="CA288" i="26" s="1"/>
  <c r="BZ27" i="30"/>
  <c r="BZ139" i="20"/>
  <c r="CZ114" i="20"/>
  <c r="G64" i="50"/>
  <c r="G54" i="50"/>
  <c r="R22" i="50"/>
  <c r="BL733" i="9"/>
  <c r="BL244" i="3"/>
  <c r="BM171" i="3"/>
  <c r="BM194" i="3" s="1"/>
  <c r="CS149" i="20"/>
  <c r="A149" i="20" s="1" a="1"/>
  <c r="A149" i="20" s="1"/>
  <c r="X67" i="30"/>
  <c r="BM167" i="3"/>
  <c r="BM190" i="3" s="1"/>
  <c r="CX53" i="30"/>
  <c r="CU53" i="30"/>
  <c r="CO53" i="30" s="1"/>
  <c r="Y54" i="30"/>
  <c r="BM168" i="3"/>
  <c r="BM191" i="3" s="1"/>
  <c r="A14" i="30" a="1"/>
  <c r="A14" i="30" s="1"/>
  <c r="CT129" i="30"/>
  <c r="CW129" i="30"/>
  <c r="BL723" i="9"/>
  <c r="BL234" i="3"/>
  <c r="W174" i="1"/>
  <c r="W156" i="1"/>
  <c r="CT146" i="1"/>
  <c r="BZ34" i="32"/>
  <c r="BZ33" i="32"/>
  <c r="BZ56" i="32"/>
  <c r="BZ55" i="32"/>
  <c r="BZ54" i="32"/>
  <c r="BZ53" i="32"/>
  <c r="BZ52" i="32"/>
  <c r="BZ51" i="32"/>
  <c r="BZ50" i="32"/>
  <c r="BZ46" i="32"/>
  <c r="BZ59" i="32"/>
  <c r="BZ44" i="32"/>
  <c r="BZ42" i="32"/>
  <c r="BZ40" i="32"/>
  <c r="BZ38" i="32"/>
  <c r="BZ63" i="32"/>
  <c r="BZ28" i="32"/>
  <c r="BM161" i="3"/>
  <c r="BM184" i="3" s="1"/>
  <c r="BM177" i="3"/>
  <c r="BM200" i="3" s="1"/>
  <c r="CX29" i="30"/>
  <c r="CU29" i="30"/>
  <c r="BL720" i="9"/>
  <c r="BL231" i="3"/>
  <c r="BL732" i="9"/>
  <c r="BL243" i="3"/>
  <c r="E26" i="14"/>
  <c r="N26" i="14" s="1" a="1"/>
  <c r="N26" i="14" s="1"/>
  <c r="CS14" i="32" l="1"/>
  <c r="X66" i="32"/>
  <c r="CS66" i="32" s="1"/>
  <c r="CT14" i="32"/>
  <c r="Y66" i="32"/>
  <c r="CT66" i="32" s="1"/>
  <c r="X122" i="6"/>
  <c r="Y117" i="6" s="1"/>
  <c r="BM73" i="3"/>
  <c r="A194" i="30" a="1"/>
  <c r="A194" i="30" s="1"/>
  <c r="BM78" i="3"/>
  <c r="BN147" i="3"/>
  <c r="BM74" i="3"/>
  <c r="BN150" i="3"/>
  <c r="BN173" i="3" s="1"/>
  <c r="BN196" i="3" s="1"/>
  <c r="BM70" i="3"/>
  <c r="BM71" i="3"/>
  <c r="W126" i="6"/>
  <c r="BN154" i="3"/>
  <c r="BM83" i="3"/>
  <c r="A43" i="30" a="1"/>
  <c r="A43" i="30" s="1"/>
  <c r="BY118" i="6"/>
  <c r="BY122" i="6" s="1"/>
  <c r="BN149" i="3"/>
  <c r="CA118" i="6"/>
  <c r="X126" i="6"/>
  <c r="BN151" i="3"/>
  <c r="A13" i="30" a="1"/>
  <c r="A13" i="30" s="1"/>
  <c r="BZ118" i="6"/>
  <c r="BZ122" i="6" s="1"/>
  <c r="BL757" i="9"/>
  <c r="BN145" i="3"/>
  <c r="BN168" i="3" s="1"/>
  <c r="BN191" i="3" s="1"/>
  <c r="Y126" i="6"/>
  <c r="BH14" i="6"/>
  <c r="BH85" i="30"/>
  <c r="BH88" i="30" s="1"/>
  <c r="BH114" i="30" s="1"/>
  <c r="DG316" i="26"/>
  <c r="DE316" i="26"/>
  <c r="CX312" i="26"/>
  <c r="A312" i="26" s="1" a="1"/>
  <c r="A312" i="26" s="1"/>
  <c r="DF316" i="26"/>
  <c r="CW316" i="26"/>
  <c r="BL756" i="9"/>
  <c r="BL743" i="9"/>
  <c r="BL747" i="9"/>
  <c r="BL742" i="9"/>
  <c r="BL751" i="9"/>
  <c r="CP53" i="30"/>
  <c r="A53" i="30" s="1" a="1"/>
  <c r="A53" i="30" s="1"/>
  <c r="BL744" i="9"/>
  <c r="BL755" i="9"/>
  <c r="BY114" i="6"/>
  <c r="BL746" i="9"/>
  <c r="A157" i="30" a="1"/>
  <c r="A157" i="30" s="1"/>
  <c r="BY179" i="30"/>
  <c r="BY65" i="33" s="1"/>
  <c r="W42" i="30"/>
  <c r="W45" i="30" s="1"/>
  <c r="BY80" i="33"/>
  <c r="BI96" i="33"/>
  <c r="BI101" i="33" s="1"/>
  <c r="BI104" i="33" s="1"/>
  <c r="BZ31" i="6"/>
  <c r="BZ69" i="30" s="1"/>
  <c r="DF257" i="26"/>
  <c r="BZ259" i="26"/>
  <c r="X31" i="6"/>
  <c r="X69" i="30" s="1"/>
  <c r="Y248" i="26"/>
  <c r="DC257" i="26"/>
  <c r="X259" i="26"/>
  <c r="BI83" i="6"/>
  <c r="BI85" i="30" s="1"/>
  <c r="BI88" i="30" s="1"/>
  <c r="CX306" i="26"/>
  <c r="A306" i="26" s="1" a="1"/>
  <c r="A306" i="26" s="1"/>
  <c r="BI214" i="30"/>
  <c r="BI217" i="30" s="1"/>
  <c r="CO24" i="30"/>
  <c r="BY69" i="30"/>
  <c r="BY12" i="6"/>
  <c r="CP24" i="30"/>
  <c r="BM252" i="3"/>
  <c r="BM275" i="3" s="1"/>
  <c r="BM206" i="3"/>
  <c r="BM222" i="3"/>
  <c r="BM268" i="3"/>
  <c r="BM291" i="3" s="1"/>
  <c r="BM213" i="3"/>
  <c r="BM259" i="3"/>
  <c r="BM282" i="3" s="1"/>
  <c r="BN169" i="3"/>
  <c r="BN192" i="3" s="1"/>
  <c r="BM271" i="3"/>
  <c r="BM294" i="3" s="1"/>
  <c r="BM225" i="3"/>
  <c r="BM265" i="3"/>
  <c r="BM288" i="3" s="1"/>
  <c r="BM219" i="3"/>
  <c r="BM260" i="3"/>
  <c r="BM283" i="3" s="1"/>
  <c r="BM214" i="3"/>
  <c r="BM221" i="3"/>
  <c r="BM267" i="3"/>
  <c r="BM290" i="3" s="1"/>
  <c r="Y65" i="33"/>
  <c r="J15" i="50" s="1"/>
  <c r="R15" i="50" s="1"/>
  <c r="CX179" i="30"/>
  <c r="CU179" i="30"/>
  <c r="BM736" i="9"/>
  <c r="BM247" i="3"/>
  <c r="X51" i="32"/>
  <c r="CS51" i="32" s="1"/>
  <c r="W26" i="32"/>
  <c r="CV28" i="30"/>
  <c r="CS28" i="30"/>
  <c r="BM79" i="3"/>
  <c r="X52" i="32"/>
  <c r="CS52" i="32" s="1"/>
  <c r="W166" i="1"/>
  <c r="CT156" i="1"/>
  <c r="BY25" i="35"/>
  <c r="CA25" i="6"/>
  <c r="CA231" i="26"/>
  <c r="DG229" i="26"/>
  <c r="CX229" i="26" s="1"/>
  <c r="CB220" i="26"/>
  <c r="CB229" i="26" s="1"/>
  <c r="CA56" i="33"/>
  <c r="CA158" i="30"/>
  <c r="BN143" i="3"/>
  <c r="BN156" i="3"/>
  <c r="Y129" i="30"/>
  <c r="CA236" i="6"/>
  <c r="CS236" i="6" s="1"/>
  <c r="Y181" i="1"/>
  <c r="CV181" i="1" s="1"/>
  <c r="CV174" i="1"/>
  <c r="BM86" i="3"/>
  <c r="Y37" i="6"/>
  <c r="DD269" i="26"/>
  <c r="CW269" i="26" s="1"/>
  <c r="Y271" i="26"/>
  <c r="BM91" i="3"/>
  <c r="BM68" i="3"/>
  <c r="CB54" i="33"/>
  <c r="CB41" i="32"/>
  <c r="CB148" i="30"/>
  <c r="CB180" i="30" s="1"/>
  <c r="CB56" i="30"/>
  <c r="BL741" i="9"/>
  <c r="CA67" i="32"/>
  <c r="CA15" i="32"/>
  <c r="CA18" i="32"/>
  <c r="CA30" i="30"/>
  <c r="CA32" i="30" s="1"/>
  <c r="CA36" i="30" s="1"/>
  <c r="Y27" i="30"/>
  <c r="X248" i="6"/>
  <c r="BZ245" i="6"/>
  <c r="BZ248" i="6" s="1"/>
  <c r="BZ134" i="30" s="1"/>
  <c r="W55" i="35"/>
  <c r="W99" i="33"/>
  <c r="W151" i="30"/>
  <c r="CV40" i="30"/>
  <c r="CS40" i="30"/>
  <c r="BM209" i="3"/>
  <c r="BM255" i="3"/>
  <c r="BM278" i="3" s="1"/>
  <c r="Y25" i="6"/>
  <c r="DD229" i="26"/>
  <c r="CW229" i="26" s="1"/>
  <c r="Y231" i="26"/>
  <c r="W111" i="13"/>
  <c r="W78" i="33"/>
  <c r="W80" i="33" s="1"/>
  <c r="X190" i="30"/>
  <c r="CW101" i="30"/>
  <c r="CT101" i="30"/>
  <c r="X110" i="30"/>
  <c r="BN172" i="3"/>
  <c r="BN195" i="3" s="1"/>
  <c r="BN24" i="3"/>
  <c r="BN12" i="3"/>
  <c r="BN3" i="3" s="1"/>
  <c r="BO8" i="3"/>
  <c r="BN41" i="3"/>
  <c r="BN5" i="3"/>
  <c r="BN4" i="3"/>
  <c r="BN138" i="3"/>
  <c r="Y28" i="6"/>
  <c r="Y245" i="26"/>
  <c r="DD243" i="26"/>
  <c r="CW243" i="26" s="1"/>
  <c r="BZ190" i="30"/>
  <c r="BZ110" i="30"/>
  <c r="BZ22" i="32" s="1"/>
  <c r="Y130" i="30"/>
  <c r="CA242" i="6"/>
  <c r="CS242" i="6" s="1"/>
  <c r="Y50" i="32"/>
  <c r="CT50" i="32" s="1"/>
  <c r="BM95" i="3"/>
  <c r="BM72" i="3"/>
  <c r="BM99" i="3"/>
  <c r="BM76" i="3"/>
  <c r="W101" i="13"/>
  <c r="W155" i="30"/>
  <c r="CV34" i="30"/>
  <c r="CP34" i="30" s="1"/>
  <c r="CS34" i="30"/>
  <c r="CO34" i="30" s="1"/>
  <c r="CB257" i="6"/>
  <c r="CB170" i="20"/>
  <c r="CB60" i="30" s="1"/>
  <c r="CB39" i="32" s="1"/>
  <c r="Y128" i="30"/>
  <c r="CA226" i="6"/>
  <c r="CS226" i="6" s="1"/>
  <c r="X174" i="1"/>
  <c r="X156" i="1"/>
  <c r="CU146" i="1"/>
  <c r="CP146" i="1" s="1"/>
  <c r="CV134" i="30"/>
  <c r="CS134" i="30"/>
  <c r="X151" i="30"/>
  <c r="X45" i="30"/>
  <c r="CT40" i="30"/>
  <c r="CW40" i="30"/>
  <c r="X54" i="32"/>
  <c r="CS54" i="32" s="1"/>
  <c r="CA146" i="1"/>
  <c r="CY141" i="1"/>
  <c r="P27" i="50"/>
  <c r="H32" i="50"/>
  <c r="X26" i="32"/>
  <c r="CS26" i="32" s="1"/>
  <c r="CT28" i="30"/>
  <c r="CW28" i="30"/>
  <c r="BY63" i="32"/>
  <c r="BY34" i="32"/>
  <c r="BY33" i="32"/>
  <c r="CR14" i="32"/>
  <c r="BY56" i="32"/>
  <c r="BY55" i="32"/>
  <c r="BY54" i="32"/>
  <c r="BY53" i="32"/>
  <c r="BY52" i="32"/>
  <c r="BY51" i="32"/>
  <c r="BY50" i="32"/>
  <c r="BY59" i="32"/>
  <c r="BN137" i="3"/>
  <c r="BN142" i="3"/>
  <c r="BN148" i="3"/>
  <c r="CT131" i="30"/>
  <c r="CW131" i="30"/>
  <c r="CA28" i="6"/>
  <c r="CA68" i="30" s="1"/>
  <c r="CA245" i="26"/>
  <c r="CB234" i="26"/>
  <c r="CB243" i="26" s="1"/>
  <c r="DG243" i="26"/>
  <c r="CX243" i="26" s="1"/>
  <c r="Y42" i="32"/>
  <c r="CT42" i="32" s="1"/>
  <c r="Y40" i="32"/>
  <c r="CT40" i="32" s="1"/>
  <c r="Y38" i="32"/>
  <c r="CT38" i="32" s="1"/>
  <c r="Y63" i="32"/>
  <c r="CT63" i="32" s="1"/>
  <c r="Y34" i="32"/>
  <c r="CT34" i="32" s="1"/>
  <c r="Y46" i="32"/>
  <c r="Y28" i="32"/>
  <c r="CT28" i="32" s="1"/>
  <c r="Y59" i="32"/>
  <c r="Y44" i="32"/>
  <c r="Y32" i="35" s="1"/>
  <c r="Y33" i="32"/>
  <c r="CT33" i="32" s="1"/>
  <c r="Y26" i="32"/>
  <c r="CT26" i="32" s="1"/>
  <c r="CX28" i="30"/>
  <c r="CU28" i="30"/>
  <c r="Y51" i="32"/>
  <c r="CT51" i="32" s="1"/>
  <c r="CS114" i="20"/>
  <c r="A114" i="20" s="1" a="1"/>
  <c r="A114" i="20" s="1"/>
  <c r="BL760" i="9"/>
  <c r="BM87" i="3"/>
  <c r="BL749" i="9"/>
  <c r="BY56" i="33"/>
  <c r="BY158" i="30"/>
  <c r="X59" i="32"/>
  <c r="X44" i="32"/>
  <c r="X32" i="35" s="1"/>
  <c r="X33" i="32"/>
  <c r="X42" i="32"/>
  <c r="CS42" i="32" s="1"/>
  <c r="X40" i="32"/>
  <c r="CS40" i="32" s="1"/>
  <c r="X38" i="32"/>
  <c r="CS38" i="32" s="1"/>
  <c r="X63" i="32"/>
  <c r="CS63" i="32" s="1"/>
  <c r="X34" i="32"/>
  <c r="CS34" i="32" s="1"/>
  <c r="X28" i="32"/>
  <c r="CS28" i="32" s="1"/>
  <c r="X46" i="32"/>
  <c r="CS46" i="32" s="1"/>
  <c r="Y49" i="32"/>
  <c r="CA49" i="32" s="1"/>
  <c r="CT49" i="32" s="1"/>
  <c r="CW77" i="30"/>
  <c r="CT77" i="30"/>
  <c r="CP29" i="30"/>
  <c r="BZ25" i="35"/>
  <c r="Y52" i="32"/>
  <c r="CT52" i="32" s="1"/>
  <c r="Y58" i="33"/>
  <c r="J13" i="50" s="1"/>
  <c r="R13" i="50" s="1"/>
  <c r="CU155" i="30"/>
  <c r="CX155" i="30"/>
  <c r="CY139" i="20"/>
  <c r="BY141" i="20"/>
  <c r="BJ82" i="35"/>
  <c r="BJ67" i="33"/>
  <c r="BJ69" i="33" s="1"/>
  <c r="BJ31" i="32"/>
  <c r="BJ27" i="32"/>
  <c r="BJ208" i="30"/>
  <c r="BJ92" i="33" s="1"/>
  <c r="Y158" i="6"/>
  <c r="CA155" i="6"/>
  <c r="CS155" i="6" s="1"/>
  <c r="BZ56" i="33"/>
  <c r="BZ158" i="30"/>
  <c r="CB71" i="33"/>
  <c r="BM80" i="3"/>
  <c r="CO29" i="30"/>
  <c r="BM263" i="3"/>
  <c r="BM286" i="3" s="1"/>
  <c r="BM217" i="3"/>
  <c r="CZ139" i="20"/>
  <c r="BZ141" i="20"/>
  <c r="CT68" i="30"/>
  <c r="CW68" i="30"/>
  <c r="BN174" i="3"/>
  <c r="BN197" i="3" s="1"/>
  <c r="BN177" i="3"/>
  <c r="BN200" i="3" s="1"/>
  <c r="CA25" i="35"/>
  <c r="X56" i="32"/>
  <c r="CS56" i="32" s="1"/>
  <c r="BZ67" i="32"/>
  <c r="BZ15" i="32"/>
  <c r="BZ18" i="32"/>
  <c r="BZ30" i="30"/>
  <c r="BZ32" i="30" s="1"/>
  <c r="BZ36" i="30" s="1"/>
  <c r="X27" i="30"/>
  <c r="BY146" i="1"/>
  <c r="CW141" i="1"/>
  <c r="BN153" i="3"/>
  <c r="BN139" i="3"/>
  <c r="BN155" i="3"/>
  <c r="BZ40" i="6"/>
  <c r="BZ44" i="6" s="1"/>
  <c r="X44" i="6"/>
  <c r="BL753" i="9"/>
  <c r="BL752" i="9"/>
  <c r="Y53" i="32"/>
  <c r="CT53" i="32" s="1"/>
  <c r="W59" i="32"/>
  <c r="W33" i="32"/>
  <c r="W63" i="32"/>
  <c r="W34" i="32"/>
  <c r="X49" i="32"/>
  <c r="BZ49" i="32" s="1"/>
  <c r="CS49" i="32" s="1"/>
  <c r="BY67" i="32"/>
  <c r="BY18" i="32"/>
  <c r="BY15" i="32"/>
  <c r="BY30" i="30"/>
  <c r="BY32" i="30" s="1"/>
  <c r="BY36" i="30" s="1"/>
  <c r="W27" i="30"/>
  <c r="BM220" i="3"/>
  <c r="BM266" i="3"/>
  <c r="BM289" i="3" s="1"/>
  <c r="BM211" i="3"/>
  <c r="BM257" i="3"/>
  <c r="BM280" i="3" s="1"/>
  <c r="BM713" i="9"/>
  <c r="BM782" i="9" s="1"/>
  <c r="BM805" i="9" s="1"/>
  <c r="BM708" i="9"/>
  <c r="BM777" i="9" s="1"/>
  <c r="BM700" i="9"/>
  <c r="BM769" i="9" s="1"/>
  <c r="BM702" i="9"/>
  <c r="BM771" i="9" s="1"/>
  <c r="BM794" i="9" s="1"/>
  <c r="BM697" i="9"/>
  <c r="BM766" i="9" s="1"/>
  <c r="BM695" i="9"/>
  <c r="BM764" i="9" s="1"/>
  <c r="BM707" i="9"/>
  <c r="BM776" i="9" s="1"/>
  <c r="BM714" i="9"/>
  <c r="BM783" i="9" s="1"/>
  <c r="BM806" i="9" s="1"/>
  <c r="BM709" i="9"/>
  <c r="BM778" i="9" s="1"/>
  <c r="BM704" i="9"/>
  <c r="BM773" i="9" s="1"/>
  <c r="BM699" i="9"/>
  <c r="BM768" i="9" s="1"/>
  <c r="BM791" i="9" s="1"/>
  <c r="BM711" i="9"/>
  <c r="BM780" i="9" s="1"/>
  <c r="BM803" i="9" s="1"/>
  <c r="BM706" i="9"/>
  <c r="BM775" i="9" s="1"/>
  <c r="BM701" i="9"/>
  <c r="BM770" i="9" s="1"/>
  <c r="BM696" i="9"/>
  <c r="BM765" i="9" s="1"/>
  <c r="BM712" i="9"/>
  <c r="BM781" i="9" s="1"/>
  <c r="BM710" i="9"/>
  <c r="BM779" i="9" s="1"/>
  <c r="BM802" i="9" s="1"/>
  <c r="BM705" i="9"/>
  <c r="BM774" i="9" s="1"/>
  <c r="BM703" i="9"/>
  <c r="BM772" i="9" s="1"/>
  <c r="BM698" i="9"/>
  <c r="BM767" i="9" s="1"/>
  <c r="BM790" i="9" s="1"/>
  <c r="X65" i="33"/>
  <c r="I15" i="50" s="1"/>
  <c r="Q15" i="50" s="1"/>
  <c r="CT179" i="30"/>
  <c r="CW179" i="30"/>
  <c r="BM258" i="3"/>
  <c r="BM281" i="3" s="1"/>
  <c r="BM212" i="3"/>
  <c r="BM722" i="9"/>
  <c r="BM233" i="3"/>
  <c r="BM269" i="3"/>
  <c r="BM292" i="3" s="1"/>
  <c r="BM223" i="3"/>
  <c r="W181" i="1"/>
  <c r="CT181" i="1" s="1"/>
  <c r="CT174" i="1"/>
  <c r="X55" i="32"/>
  <c r="CS55" i="32" s="1"/>
  <c r="BM216" i="3"/>
  <c r="BM262" i="3"/>
  <c r="BM285" i="3" s="1"/>
  <c r="Y54" i="32"/>
  <c r="CT54" i="32" s="1"/>
  <c r="BM218" i="3"/>
  <c r="BM264" i="3"/>
  <c r="BM287" i="3" s="1"/>
  <c r="CT121" i="30"/>
  <c r="CW121" i="30"/>
  <c r="BL758" i="9"/>
  <c r="CA52" i="6"/>
  <c r="DG288" i="26"/>
  <c r="CX288" i="26" s="1"/>
  <c r="CB283" i="26"/>
  <c r="CB288" i="26" s="1"/>
  <c r="CA290" i="26"/>
  <c r="CW70" i="30"/>
  <c r="CT70" i="30"/>
  <c r="X58" i="33"/>
  <c r="I13" i="50" s="1"/>
  <c r="Q13" i="50" s="1"/>
  <c r="CT155" i="30"/>
  <c r="CW155" i="30"/>
  <c r="BN170" i="3"/>
  <c r="BN193" i="3" s="1"/>
  <c r="CT67" i="30"/>
  <c r="CW67" i="30"/>
  <c r="Y52" i="6"/>
  <c r="DD288" i="26"/>
  <c r="CW288" i="26" s="1"/>
  <c r="Y290" i="26"/>
  <c r="BM75" i="3"/>
  <c r="Y151" i="30"/>
  <c r="Y45" i="30"/>
  <c r="CU40" i="30"/>
  <c r="CX40" i="30"/>
  <c r="BN152" i="3"/>
  <c r="BN140" i="3"/>
  <c r="CV72" i="30"/>
  <c r="CS72" i="30"/>
  <c r="W74" i="30"/>
  <c r="CA34" i="6"/>
  <c r="CA70" i="30" s="1"/>
  <c r="DG278" i="26"/>
  <c r="CX278" i="26" s="1"/>
  <c r="CB274" i="26"/>
  <c r="CB278" i="26" s="1"/>
  <c r="CA280" i="26"/>
  <c r="Y55" i="32"/>
  <c r="CT55" i="32" s="1"/>
  <c r="Y179" i="6"/>
  <c r="CA298" i="26"/>
  <c r="DD298" i="26"/>
  <c r="CW298" i="26" s="1"/>
  <c r="BL759" i="9"/>
  <c r="BM434" i="9"/>
  <c r="BM396" i="9"/>
  <c r="BM349" i="9"/>
  <c r="BM244" i="9"/>
  <c r="BM377" i="9"/>
  <c r="BM330" i="9"/>
  <c r="BM425" i="9"/>
  <c r="BM406" i="9"/>
  <c r="BM387" i="9"/>
  <c r="BM358" i="9"/>
  <c r="BM149" i="9"/>
  <c r="BM254" i="9"/>
  <c r="BM216" i="9"/>
  <c r="BM130" i="9"/>
  <c r="BM339" i="9"/>
  <c r="BM292" i="9"/>
  <c r="BM263" i="9"/>
  <c r="BM415" i="9"/>
  <c r="BM368" i="9"/>
  <c r="BM197" i="9"/>
  <c r="BM301" i="9"/>
  <c r="BM178" i="9"/>
  <c r="BM311" i="9"/>
  <c r="BM273" i="9"/>
  <c r="BM235" i="9"/>
  <c r="BM206" i="9"/>
  <c r="BM320" i="9"/>
  <c r="BM282" i="9"/>
  <c r="BM187" i="9"/>
  <c r="BM140" i="9"/>
  <c r="BM92" i="9"/>
  <c r="BM64" i="9"/>
  <c r="BM73" i="9"/>
  <c r="BM159" i="9"/>
  <c r="BM225" i="9"/>
  <c r="BM121" i="9"/>
  <c r="BM111" i="9"/>
  <c r="BM168" i="9"/>
  <c r="BM102" i="9"/>
  <c r="BM83" i="9"/>
  <c r="CT54" i="30"/>
  <c r="CW54" i="30"/>
  <c r="BL750" i="9"/>
  <c r="BL745" i="9"/>
  <c r="BM18" i="3"/>
  <c r="BJ136" i="30"/>
  <c r="BJ137" i="30" s="1"/>
  <c r="BM85" i="3"/>
  <c r="BM77" i="3"/>
  <c r="X53" i="32"/>
  <c r="CS53" i="32" s="1"/>
  <c r="BM253" i="3"/>
  <c r="BM276" i="3" s="1"/>
  <c r="BM207" i="3"/>
  <c r="CU54" i="30"/>
  <c r="CX54" i="30"/>
  <c r="CT71" i="30"/>
  <c r="CW71" i="30"/>
  <c r="X50" i="32"/>
  <c r="CS50" i="32" s="1"/>
  <c r="BM208" i="3"/>
  <c r="BM254" i="3"/>
  <c r="BM277" i="3" s="1"/>
  <c r="BN141" i="3"/>
  <c r="BN144" i="3"/>
  <c r="Y166" i="1"/>
  <c r="CV156" i="1"/>
  <c r="Y34" i="6"/>
  <c r="DD278" i="26"/>
  <c r="CW278" i="26" s="1"/>
  <c r="Y280" i="26"/>
  <c r="Y56" i="32"/>
  <c r="CT56" i="32" s="1"/>
  <c r="CA37" i="6"/>
  <c r="CA71" i="30" s="1"/>
  <c r="DG269" i="26"/>
  <c r="CX269" i="26" s="1"/>
  <c r="CA271" i="26"/>
  <c r="CB262" i="26"/>
  <c r="CB269" i="26" s="1"/>
  <c r="BM105" i="3"/>
  <c r="BM82" i="3"/>
  <c r="Y127" i="30"/>
  <c r="CA217" i="6"/>
  <c r="CS217" i="6" s="1"/>
  <c r="DA139" i="20"/>
  <c r="CA141" i="20"/>
  <c r="BM28" i="3"/>
  <c r="BM26" i="3"/>
  <c r="BM81" i="3"/>
  <c r="BM84" i="3"/>
  <c r="BZ174" i="1"/>
  <c r="BZ156" i="1"/>
  <c r="CX146" i="1"/>
  <c r="BM261" i="3"/>
  <c r="BM284" i="3" s="1"/>
  <c r="BM215" i="3"/>
  <c r="M25" i="14"/>
  <c r="E25" i="14" a="1"/>
  <c r="BZ126" i="6" l="1"/>
  <c r="CA117" i="6"/>
  <c r="CS117" i="6" s="1"/>
  <c r="A117" i="6" s="1" a="1"/>
  <c r="A117" i="6" s="1"/>
  <c r="Y122" i="6"/>
  <c r="X109" i="6"/>
  <c r="X114" i="6" s="1"/>
  <c r="W130" i="6"/>
  <c r="BM787" i="9"/>
  <c r="CO54" i="30"/>
  <c r="BM798" i="9"/>
  <c r="BM793" i="9"/>
  <c r="BM792" i="9"/>
  <c r="BY130" i="6"/>
  <c r="BY133" i="6" s="1"/>
  <c r="BY119" i="30" s="1"/>
  <c r="BY124" i="30" s="1"/>
  <c r="BM788" i="9"/>
  <c r="BM801" i="9"/>
  <c r="BH112" i="30"/>
  <c r="BY126" i="6"/>
  <c r="BH23" i="32"/>
  <c r="BM759" i="9"/>
  <c r="BM804" i="9"/>
  <c r="A34" i="30" a="1"/>
  <c r="A34" i="30" s="1"/>
  <c r="CS118" i="6"/>
  <c r="A118" i="6" s="1" a="1"/>
  <c r="A118" i="6" s="1"/>
  <c r="BM799" i="9"/>
  <c r="CA126" i="6"/>
  <c r="CX316" i="26"/>
  <c r="A316" i="26" s="1" a="1"/>
  <c r="A316" i="26" s="1"/>
  <c r="BI14" i="6"/>
  <c r="CP54" i="30"/>
  <c r="BM796" i="9"/>
  <c r="BM800" i="9"/>
  <c r="BI19" i="32"/>
  <c r="CS42" i="30"/>
  <c r="CO42" i="30" s="1"/>
  <c r="W179" i="30"/>
  <c r="CV42" i="30"/>
  <c r="CP42" i="30" s="1"/>
  <c r="BM797" i="9"/>
  <c r="BM795" i="9"/>
  <c r="A29" i="30" a="1"/>
  <c r="A29" i="30" s="1"/>
  <c r="CW69" i="30"/>
  <c r="CT69" i="30"/>
  <c r="CV69" i="30"/>
  <c r="BY74" i="30"/>
  <c r="CV74" i="30" s="1"/>
  <c r="CA248" i="26"/>
  <c r="CA257" i="26" s="1"/>
  <c r="Y257" i="26"/>
  <c r="CT44" i="32"/>
  <c r="BJ212" i="30"/>
  <c r="BJ96" i="33" s="1"/>
  <c r="BJ101" i="33" s="1"/>
  <c r="BJ104" i="33" s="1"/>
  <c r="CQ141" i="1"/>
  <c r="A141" i="1" s="1" a="1"/>
  <c r="A141" i="1" s="1"/>
  <c r="BJ94" i="33"/>
  <c r="CR34" i="32"/>
  <c r="BN266" i="3"/>
  <c r="BN289" i="3" s="1"/>
  <c r="BN220" i="3"/>
  <c r="BN264" i="3"/>
  <c r="BN287" i="3" s="1"/>
  <c r="BN218" i="3"/>
  <c r="BN260" i="3"/>
  <c r="BN283" i="3" s="1"/>
  <c r="BN214" i="3"/>
  <c r="BN223" i="3"/>
  <c r="BN269" i="3"/>
  <c r="BN292" i="3" s="1"/>
  <c r="BM720" i="9"/>
  <c r="BM231" i="3"/>
  <c r="CB34" i="6"/>
  <c r="CB70" i="30" s="1"/>
  <c r="CC274" i="26"/>
  <c r="CC278" i="26" s="1"/>
  <c r="CB280" i="26"/>
  <c r="BN175" i="3"/>
  <c r="BN198" i="3" s="1"/>
  <c r="BM724" i="9"/>
  <c r="BM235" i="3"/>
  <c r="W67" i="32"/>
  <c r="W79" i="35" s="1"/>
  <c r="W15" i="32"/>
  <c r="W62" i="32" s="1"/>
  <c r="W18" i="32"/>
  <c r="CR18" i="32" s="1"/>
  <c r="W30" i="30"/>
  <c r="CV27" i="30"/>
  <c r="CS27" i="30"/>
  <c r="X67" i="32"/>
  <c r="X79" i="35" s="1"/>
  <c r="X15" i="32"/>
  <c r="X62" i="32" s="1"/>
  <c r="X18" i="32"/>
  <c r="CS18" i="32" s="1"/>
  <c r="X30" i="30"/>
  <c r="CT27" i="30"/>
  <c r="CW27" i="30"/>
  <c r="X39" i="35"/>
  <c r="X32" i="13"/>
  <c r="X96" i="35" s="1"/>
  <c r="BN165" i="3"/>
  <c r="BN188" i="3" s="1"/>
  <c r="W56" i="32"/>
  <c r="CR56" i="32" s="1"/>
  <c r="CU128" i="30"/>
  <c r="CO128" i="30" s="1"/>
  <c r="BO10" i="3"/>
  <c r="BO148" i="3" s="1"/>
  <c r="CT190" i="30"/>
  <c r="CW190" i="30"/>
  <c r="X195" i="30"/>
  <c r="X73" i="33"/>
  <c r="I27" i="50" s="1"/>
  <c r="W105" i="13"/>
  <c r="CS45" i="30"/>
  <c r="CV45" i="30"/>
  <c r="CA43" i="32"/>
  <c r="CA47" i="30"/>
  <c r="Y71" i="30"/>
  <c r="CS37" i="6"/>
  <c r="A37" i="6" s="1" a="1"/>
  <c r="A37" i="6" s="1"/>
  <c r="CB25" i="6"/>
  <c r="CC220" i="26"/>
  <c r="CC229" i="26" s="1"/>
  <c r="CB231" i="26"/>
  <c r="W170" i="1"/>
  <c r="CT170" i="1" s="1"/>
  <c r="CT166" i="1"/>
  <c r="CO28" i="30"/>
  <c r="BM733" i="9"/>
  <c r="BM244" i="3"/>
  <c r="BM727" i="9"/>
  <c r="BM238" i="3"/>
  <c r="CB37" i="6"/>
  <c r="CB71" i="30" s="1"/>
  <c r="CC262" i="26"/>
  <c r="CC269" i="26" s="1"/>
  <c r="CB271" i="26"/>
  <c r="CA127" i="30"/>
  <c r="CB206" i="6"/>
  <c r="CB217" i="6" s="1"/>
  <c r="Y70" i="30"/>
  <c r="CS34" i="6"/>
  <c r="A34" i="6" s="1" a="1"/>
  <c r="A34" i="6" s="1"/>
  <c r="CA179" i="6"/>
  <c r="CA101" i="30" s="1"/>
  <c r="DG298" i="26"/>
  <c r="CX298" i="26" s="1"/>
  <c r="A298" i="26" s="1" a="1"/>
  <c r="A298" i="26" s="1"/>
  <c r="CB293" i="26"/>
  <c r="CB298" i="26" s="1"/>
  <c r="CB52" i="6"/>
  <c r="CC283" i="26"/>
  <c r="CC288" i="26" s="1"/>
  <c r="CB290" i="26"/>
  <c r="BM723" i="9"/>
  <c r="BM234" i="3"/>
  <c r="BY43" i="32"/>
  <c r="BY44" i="32" s="1"/>
  <c r="BY47" i="30"/>
  <c r="BZ72" i="30"/>
  <c r="BZ74" i="30" s="1"/>
  <c r="BZ12" i="6"/>
  <c r="BZ43" i="32"/>
  <c r="BZ47" i="30"/>
  <c r="CB142" i="6"/>
  <c r="CB155" i="6" s="1"/>
  <c r="CA158" i="6"/>
  <c r="CA121" i="30" s="1"/>
  <c r="BN160" i="3"/>
  <c r="BN183" i="3" s="1"/>
  <c r="G72" i="50"/>
  <c r="P32" i="50"/>
  <c r="BN3" i="9"/>
  <c r="BN37" i="3"/>
  <c r="W56" i="33"/>
  <c r="H11" i="50" s="1"/>
  <c r="P11" i="50" s="1"/>
  <c r="W158" i="30"/>
  <c r="CS151" i="30"/>
  <c r="CV151" i="30"/>
  <c r="CA129" i="30"/>
  <c r="CX129" i="30" s="1"/>
  <c r="CP129" i="30" s="1"/>
  <c r="CB229" i="6"/>
  <c r="CB236" i="6" s="1"/>
  <c r="CP28" i="30"/>
  <c r="BN265" i="3"/>
  <c r="BN288" i="3" s="1"/>
  <c r="BN219" i="3"/>
  <c r="BM726" i="9"/>
  <c r="BM237" i="3"/>
  <c r="BN215" i="3"/>
  <c r="BN261" i="3"/>
  <c r="BN284" i="3" s="1"/>
  <c r="Y101" i="30"/>
  <c r="BN216" i="3"/>
  <c r="BN262" i="3"/>
  <c r="BN285" i="3" s="1"/>
  <c r="BM735" i="9"/>
  <c r="BM246" i="3"/>
  <c r="BY62" i="32"/>
  <c r="BN178" i="3"/>
  <c r="BN201" i="3" s="1"/>
  <c r="Y121" i="30"/>
  <c r="X35" i="35"/>
  <c r="X19" i="13"/>
  <c r="X95" i="35" s="1"/>
  <c r="X15" i="12"/>
  <c r="X47" i="35"/>
  <c r="X57" i="13"/>
  <c r="X98" i="35" s="1"/>
  <c r="X16" i="12"/>
  <c r="Y35" i="35"/>
  <c r="Y19" i="13"/>
  <c r="Y95" i="35" s="1"/>
  <c r="Y15" i="12"/>
  <c r="CB28" i="6"/>
  <c r="CB68" i="30" s="1"/>
  <c r="CC234" i="26"/>
  <c r="CC243" i="26" s="1"/>
  <c r="CB245" i="26"/>
  <c r="W50" i="32"/>
  <c r="CR50" i="32" s="1"/>
  <c r="CR33" i="32"/>
  <c r="Y68" i="30"/>
  <c r="CS28" i="6"/>
  <c r="A28" i="6" s="1" a="1"/>
  <c r="A28" i="6" s="1"/>
  <c r="CA62" i="32"/>
  <c r="CT46" i="32"/>
  <c r="CU129" i="30"/>
  <c r="CO129" i="30" s="1"/>
  <c r="W60" i="35"/>
  <c r="W25" i="35"/>
  <c r="W34" i="36"/>
  <c r="Y105" i="13"/>
  <c r="CX45" i="30"/>
  <c r="CU45" i="30"/>
  <c r="Y77" i="30"/>
  <c r="CS52" i="6"/>
  <c r="A52" i="6" s="1" a="1"/>
  <c r="A52" i="6" s="1"/>
  <c r="CA77" i="30"/>
  <c r="BM730" i="9"/>
  <c r="BM241" i="3"/>
  <c r="BM728" i="9"/>
  <c r="BM239" i="3"/>
  <c r="BM732" i="9"/>
  <c r="BM243" i="3"/>
  <c r="BN162" i="3"/>
  <c r="BN185" i="3" s="1"/>
  <c r="BZ62" i="32"/>
  <c r="BZ146" i="20"/>
  <c r="CZ141" i="20"/>
  <c r="BY146" i="20"/>
  <c r="BY38" i="30" s="1"/>
  <c r="CY141" i="20"/>
  <c r="BM789" i="9"/>
  <c r="BM812" i="9" s="1"/>
  <c r="W51" i="32"/>
  <c r="CR51" i="32" s="1"/>
  <c r="CA174" i="1"/>
  <c r="CA156" i="1"/>
  <c r="CY146" i="1"/>
  <c r="BN179" i="3"/>
  <c r="BN202" i="3" s="1"/>
  <c r="CA67" i="30"/>
  <c r="BM725" i="9"/>
  <c r="BM236" i="3"/>
  <c r="BZ166" i="1"/>
  <c r="CX156" i="1"/>
  <c r="BN167" i="3"/>
  <c r="BN190" i="3" s="1"/>
  <c r="W123" i="13"/>
  <c r="CS74" i="30"/>
  <c r="Y56" i="33"/>
  <c r="J11" i="50" s="1"/>
  <c r="R11" i="50" s="1"/>
  <c r="Y158" i="30"/>
  <c r="CU151" i="30"/>
  <c r="CX151" i="30"/>
  <c r="BN176" i="3"/>
  <c r="BN199" i="3" s="1"/>
  <c r="CS139" i="20"/>
  <c r="A139" i="20" s="1" a="1"/>
  <c r="A139" i="20" s="1"/>
  <c r="BI23" i="32"/>
  <c r="BI112" i="30"/>
  <c r="BI114" i="30"/>
  <c r="W52" i="32"/>
  <c r="CR52" i="32" s="1"/>
  <c r="CR63" i="32"/>
  <c r="X166" i="1"/>
  <c r="CU156" i="1"/>
  <c r="CP156" i="1" s="1"/>
  <c r="CA130" i="30"/>
  <c r="CX130" i="30" s="1"/>
  <c r="CP130" i="30" s="1"/>
  <c r="CB239" i="6"/>
  <c r="CB242" i="6" s="1"/>
  <c r="BN161" i="3"/>
  <c r="BN184" i="3" s="1"/>
  <c r="BN166" i="3"/>
  <c r="BN189" i="3" s="1"/>
  <c r="BM731" i="9"/>
  <c r="BM242" i="3"/>
  <c r="BM719" i="9"/>
  <c r="BM230" i="3"/>
  <c r="W47" i="35"/>
  <c r="W57" i="13"/>
  <c r="W98" i="35" s="1"/>
  <c r="W16" i="12"/>
  <c r="BM729" i="9"/>
  <c r="BM240" i="3"/>
  <c r="Y25" i="35"/>
  <c r="Y60" i="35"/>
  <c r="Y34" i="36"/>
  <c r="W53" i="32"/>
  <c r="CR53" i="32" s="1"/>
  <c r="X181" i="1"/>
  <c r="CU181" i="1" s="1"/>
  <c r="CP181" i="1" s="1"/>
  <c r="CU174" i="1"/>
  <c r="CP174" i="1" s="1"/>
  <c r="W58" i="33"/>
  <c r="H13" i="50" s="1"/>
  <c r="P13" i="50" s="1"/>
  <c r="CS155" i="30"/>
  <c r="CO155" i="30" s="1"/>
  <c r="CV155" i="30"/>
  <c r="CP155" i="30" s="1"/>
  <c r="CU130" i="30"/>
  <c r="CO130" i="30" s="1"/>
  <c r="BN16" i="3"/>
  <c r="BN22" i="3"/>
  <c r="BN4" i="9"/>
  <c r="BN20" i="3"/>
  <c r="X22" i="32"/>
  <c r="CS22" i="32" s="1"/>
  <c r="CW110" i="30"/>
  <c r="CT110" i="30"/>
  <c r="Y67" i="30"/>
  <c r="CS25" i="6"/>
  <c r="A25" i="6" s="1" a="1"/>
  <c r="A25" i="6" s="1"/>
  <c r="CB37" i="32"/>
  <c r="CB58" i="30"/>
  <c r="CR26" i="32"/>
  <c r="BM734" i="9"/>
  <c r="BM245" i="3"/>
  <c r="CX174" i="1"/>
  <c r="BZ181" i="1"/>
  <c r="CX181" i="1" s="1"/>
  <c r="BN164" i="3"/>
  <c r="BN187" i="3" s="1"/>
  <c r="CA146" i="20"/>
  <c r="CA38" i="30" s="1"/>
  <c r="DA141" i="20"/>
  <c r="BM825" i="9"/>
  <c r="BM826" i="9"/>
  <c r="BM818" i="9"/>
  <c r="BM810" i="9"/>
  <c r="BM827" i="9"/>
  <c r="BM824" i="9"/>
  <c r="BM816" i="9"/>
  <c r="BM828" i="9"/>
  <c r="BM822" i="9"/>
  <c r="BM821" i="9"/>
  <c r="BM817" i="9"/>
  <c r="BM815" i="9"/>
  <c r="BM814" i="9"/>
  <c r="BM811" i="9"/>
  <c r="BM820" i="9"/>
  <c r="BM819" i="9"/>
  <c r="BM823" i="9"/>
  <c r="BM829" i="9"/>
  <c r="BM813" i="9"/>
  <c r="BM645" i="9"/>
  <c r="BM745" i="9"/>
  <c r="Y47" i="35"/>
  <c r="Y57" i="13"/>
  <c r="Y98" i="35" s="1"/>
  <c r="Y16" i="12"/>
  <c r="CR66" i="32"/>
  <c r="W54" i="32"/>
  <c r="CR54" i="32" s="1"/>
  <c r="X105" i="13"/>
  <c r="CT45" i="30"/>
  <c r="CW45" i="30"/>
  <c r="BZ99" i="33"/>
  <c r="BN58" i="3"/>
  <c r="BN104" i="3" s="1"/>
  <c r="BN50" i="3"/>
  <c r="BN61" i="3"/>
  <c r="BN107" i="3" s="1"/>
  <c r="BN56" i="3"/>
  <c r="BN102" i="3" s="1"/>
  <c r="BN51" i="3"/>
  <c r="BN64" i="3"/>
  <c r="BN110" i="3" s="1"/>
  <c r="BN59" i="3"/>
  <c r="BN105" i="3" s="1"/>
  <c r="BN55" i="3"/>
  <c r="BN54" i="3"/>
  <c r="BN100" i="3" s="1"/>
  <c r="BN53" i="3"/>
  <c r="BN99" i="3" s="1"/>
  <c r="BN52" i="3"/>
  <c r="BN98" i="3" s="1"/>
  <c r="BN57" i="3"/>
  <c r="BN103" i="3" s="1"/>
  <c r="BN47" i="3"/>
  <c r="BN62" i="3"/>
  <c r="BN108" i="3" s="1"/>
  <c r="BN60" i="3"/>
  <c r="BN48" i="3"/>
  <c r="BN63" i="3"/>
  <c r="BN109" i="3" s="1"/>
  <c r="BN49" i="3"/>
  <c r="BN95" i="3" s="1"/>
  <c r="BN45" i="3"/>
  <c r="BN91" i="3" s="1"/>
  <c r="BN46" i="3"/>
  <c r="BN5" i="9"/>
  <c r="BN128" i="3"/>
  <c r="BN126" i="3"/>
  <c r="BN127" i="3"/>
  <c r="BN117" i="3"/>
  <c r="BN118" i="3"/>
  <c r="BN116" i="3"/>
  <c r="BN114" i="3"/>
  <c r="BN123" i="3"/>
  <c r="BN115" i="3"/>
  <c r="BN130" i="3"/>
  <c r="BN129" i="3"/>
  <c r="BN131" i="3"/>
  <c r="BN133" i="3"/>
  <c r="BN125" i="3"/>
  <c r="BN132" i="3"/>
  <c r="BN119" i="3"/>
  <c r="BN124" i="3"/>
  <c r="BN122" i="3"/>
  <c r="BN120" i="3"/>
  <c r="BN121" i="3"/>
  <c r="CO40" i="30"/>
  <c r="X134" i="30"/>
  <c r="Y245" i="6"/>
  <c r="CB82" i="35"/>
  <c r="CB67" i="33"/>
  <c r="CB69" i="33" s="1"/>
  <c r="CB27" i="32"/>
  <c r="CB31" i="32"/>
  <c r="CS33" i="32"/>
  <c r="BM737" i="9"/>
  <c r="BM248" i="3"/>
  <c r="BM718" i="9"/>
  <c r="BM229" i="3"/>
  <c r="Y131" i="30"/>
  <c r="CU127" i="30"/>
  <c r="CO127" i="30" s="1"/>
  <c r="CX127" i="30"/>
  <c r="CP127" i="30" s="1"/>
  <c r="Y170" i="1"/>
  <c r="CV170" i="1" s="1"/>
  <c r="CV166" i="1"/>
  <c r="BN163" i="3"/>
  <c r="BN186" i="3" s="1"/>
  <c r="X72" i="30"/>
  <c r="Y40" i="6"/>
  <c r="X12" i="6"/>
  <c r="BY174" i="1"/>
  <c r="BY156" i="1"/>
  <c r="CW146" i="1"/>
  <c r="CS44" i="32"/>
  <c r="Y39" i="35"/>
  <c r="Y32" i="13"/>
  <c r="Y96" i="35" s="1"/>
  <c r="BN171" i="3"/>
  <c r="BN194" i="3" s="1"/>
  <c r="W55" i="32"/>
  <c r="CR55" i="32" s="1"/>
  <c r="X25" i="35"/>
  <c r="X60" i="35"/>
  <c r="X34" i="36"/>
  <c r="X56" i="33"/>
  <c r="I11" i="50" s="1"/>
  <c r="Q11" i="50" s="1"/>
  <c r="X158" i="30"/>
  <c r="CT151" i="30"/>
  <c r="CW151" i="30"/>
  <c r="CA128" i="30"/>
  <c r="CX128" i="30" s="1"/>
  <c r="CP128" i="30" s="1"/>
  <c r="CB220" i="6"/>
  <c r="CB226" i="6" s="1"/>
  <c r="BZ73" i="33"/>
  <c r="BZ195" i="30"/>
  <c r="BZ78" i="33" s="1"/>
  <c r="BM721" i="9"/>
  <c r="BM232" i="3"/>
  <c r="CP40" i="30"/>
  <c r="Y67" i="32"/>
  <c r="Y79" i="35" s="1"/>
  <c r="Y15" i="32"/>
  <c r="Y62" i="32" s="1"/>
  <c r="Y18" i="32"/>
  <c r="CT18" i="32" s="1"/>
  <c r="Y30" i="30"/>
  <c r="CU27" i="30"/>
  <c r="CX27" i="30"/>
  <c r="E25" i="14"/>
  <c r="N25" i="14" s="1" a="1"/>
  <c r="N25" i="14" s="1"/>
  <c r="CR62" i="32" l="1"/>
  <c r="CA122" i="6"/>
  <c r="AA114" i="6"/>
  <c r="AA125" i="6"/>
  <c r="W133" i="6"/>
  <c r="W119" i="30" s="1"/>
  <c r="W32" i="32" s="1"/>
  <c r="BY32" i="32"/>
  <c r="A42" i="30" a="1"/>
  <c r="A42" i="30" s="1"/>
  <c r="CS126" i="6"/>
  <c r="A126" i="6" s="1" a="1"/>
  <c r="A126" i="6" s="1"/>
  <c r="BN76" i="3"/>
  <c r="BM752" i="9"/>
  <c r="CS15" i="32"/>
  <c r="CS158" i="6"/>
  <c r="A158" i="6" s="1" a="1"/>
  <c r="A158" i="6" s="1"/>
  <c r="BO145" i="3"/>
  <c r="BO142" i="3"/>
  <c r="BO152" i="3"/>
  <c r="BO147" i="3"/>
  <c r="BO153" i="3"/>
  <c r="BO139" i="3"/>
  <c r="BN82" i="3"/>
  <c r="BM756" i="9"/>
  <c r="BO155" i="3"/>
  <c r="BO178" i="3" s="1"/>
  <c r="BO201" i="3" s="1"/>
  <c r="BO137" i="3"/>
  <c r="BO144" i="3"/>
  <c r="BO140" i="3"/>
  <c r="BO141" i="3"/>
  <c r="BO164" i="3" s="1"/>
  <c r="BO187" i="3" s="1"/>
  <c r="BO150" i="3"/>
  <c r="BO173" i="3" s="1"/>
  <c r="BO196" i="3" s="1"/>
  <c r="BO149" i="3"/>
  <c r="BM743" i="9"/>
  <c r="BO156" i="3"/>
  <c r="BO151" i="3"/>
  <c r="BO146" i="3"/>
  <c r="BO143" i="3"/>
  <c r="BO138" i="3"/>
  <c r="X125" i="6"/>
  <c r="Y109" i="6" s="1"/>
  <c r="Y114" i="6" s="1"/>
  <c r="BZ109" i="6"/>
  <c r="CS67" i="32"/>
  <c r="BM755" i="9"/>
  <c r="BM760" i="9"/>
  <c r="CS179" i="6"/>
  <c r="A179" i="6" s="1" a="1"/>
  <c r="A179" i="6" s="1"/>
  <c r="CS179" i="30"/>
  <c r="CO179" i="30" s="1"/>
  <c r="CV179" i="30"/>
  <c r="CP179" i="30" s="1"/>
  <c r="W65" i="33"/>
  <c r="H15" i="50" s="1"/>
  <c r="P15" i="50" s="1"/>
  <c r="BM747" i="9"/>
  <c r="BM757" i="9"/>
  <c r="CS62" i="32"/>
  <c r="BM746" i="9"/>
  <c r="CR15" i="32"/>
  <c r="CR67" i="32"/>
  <c r="BJ83" i="6"/>
  <c r="BJ85" i="30" s="1"/>
  <c r="BJ88" i="30" s="1"/>
  <c r="BJ214" i="30"/>
  <c r="BJ217" i="30" s="1"/>
  <c r="Y31" i="6"/>
  <c r="DD257" i="26"/>
  <c r="CW257" i="26" s="1"/>
  <c r="Y259" i="26"/>
  <c r="CA31" i="6"/>
  <c r="CA69" i="30" s="1"/>
  <c r="CA259" i="26"/>
  <c r="CB248" i="26"/>
  <c r="CB257" i="26" s="1"/>
  <c r="DG257" i="26"/>
  <c r="CX257" i="26" s="1"/>
  <c r="CQ146" i="1"/>
  <c r="BN252" i="3"/>
  <c r="BN275" i="3" s="1"/>
  <c r="BN206" i="3"/>
  <c r="BN254" i="3"/>
  <c r="BN277" i="3" s="1"/>
  <c r="BN208" i="3"/>
  <c r="BN267" i="3"/>
  <c r="BN290" i="3" s="1"/>
  <c r="BN221" i="3"/>
  <c r="BN225" i="3"/>
  <c r="BN271" i="3"/>
  <c r="BN294" i="3" s="1"/>
  <c r="BN209" i="3"/>
  <c r="BN255" i="3"/>
  <c r="BN278" i="3" s="1"/>
  <c r="BN212" i="3"/>
  <c r="BN258" i="3"/>
  <c r="BN281" i="3" s="1"/>
  <c r="BN210" i="3"/>
  <c r="BN256" i="3"/>
  <c r="BN279" i="3" s="1"/>
  <c r="BM744" i="9"/>
  <c r="CW174" i="1"/>
  <c r="BY181" i="1"/>
  <c r="CW181" i="1" s="1"/>
  <c r="CU67" i="30"/>
  <c r="CO67" i="30" s="1"/>
  <c r="CX67" i="30"/>
  <c r="CP67" i="30" s="1"/>
  <c r="BN18" i="3"/>
  <c r="CY174" i="1"/>
  <c r="CA181" i="1"/>
  <c r="CY181" i="1" s="1"/>
  <c r="CT15" i="32"/>
  <c r="BN68" i="3"/>
  <c r="BN72" i="3"/>
  <c r="BZ54" i="33"/>
  <c r="BZ41" i="32"/>
  <c r="BZ148" i="30"/>
  <c r="BZ180" i="30" s="1"/>
  <c r="BZ56" i="30"/>
  <c r="CA190" i="30"/>
  <c r="CA110" i="30"/>
  <c r="CA22" i="32" s="1"/>
  <c r="CU71" i="30"/>
  <c r="CO71" i="30" s="1"/>
  <c r="CX71" i="30"/>
  <c r="CP71" i="30" s="1"/>
  <c r="X111" i="13"/>
  <c r="X78" i="33"/>
  <c r="X80" i="33" s="1"/>
  <c r="BO176" i="3"/>
  <c r="BO199" i="3" s="1"/>
  <c r="BO162" i="3"/>
  <c r="BO185" i="3" s="1"/>
  <c r="BM741" i="9"/>
  <c r="BN106" i="3"/>
  <c r="BN83" i="3"/>
  <c r="BN101" i="3"/>
  <c r="BN78" i="3"/>
  <c r="BN96" i="3"/>
  <c r="BN73" i="3"/>
  <c r="BM742" i="9"/>
  <c r="BM748" i="9"/>
  <c r="BZ174" i="20"/>
  <c r="BZ156" i="20"/>
  <c r="CZ146" i="20"/>
  <c r="BM753" i="9"/>
  <c r="CT62" i="32"/>
  <c r="BM749" i="9"/>
  <c r="BN77" i="3"/>
  <c r="A28" i="30" a="1"/>
  <c r="A28" i="30" s="1"/>
  <c r="BO160" i="3"/>
  <c r="BO183" i="3" s="1"/>
  <c r="A128" i="30" a="1"/>
  <c r="A128" i="30" s="1"/>
  <c r="CC34" i="6"/>
  <c r="CC70" i="30" s="1"/>
  <c r="CD274" i="26"/>
  <c r="CD278" i="26" s="1"/>
  <c r="CC280" i="26"/>
  <c r="AY18" i="32"/>
  <c r="AY20" i="32" s="1"/>
  <c r="AZ18" i="32"/>
  <c r="AZ20" i="32" s="1"/>
  <c r="BA18" i="32"/>
  <c r="BA20" i="32" s="1"/>
  <c r="BB18" i="32"/>
  <c r="BB20" i="32" s="1"/>
  <c r="BC18" i="32"/>
  <c r="BC20" i="32" s="1"/>
  <c r="BD18" i="32"/>
  <c r="BD20" i="32" s="1"/>
  <c r="BE18" i="32"/>
  <c r="BE20" i="32" s="1"/>
  <c r="BF18" i="32"/>
  <c r="BF20" i="32" s="1"/>
  <c r="BG18" i="32"/>
  <c r="BG20" i="32" s="1"/>
  <c r="BH18" i="32"/>
  <c r="BH20" i="32" s="1"/>
  <c r="BI18" i="32"/>
  <c r="BI20" i="32" s="1"/>
  <c r="BJ18" i="32"/>
  <c r="BY166" i="1"/>
  <c r="CW156" i="1"/>
  <c r="Y98" i="13"/>
  <c r="Y99" i="13" s="1"/>
  <c r="CX30" i="30"/>
  <c r="CU30" i="30"/>
  <c r="Y32" i="30"/>
  <c r="BZ80" i="33"/>
  <c r="BN263" i="3"/>
  <c r="BN286" i="3" s="1"/>
  <c r="BN217" i="3"/>
  <c r="Y248" i="6"/>
  <c r="CA245" i="6"/>
  <c r="CA248" i="6" s="1"/>
  <c r="BN434" i="9"/>
  <c r="BN377" i="9"/>
  <c r="BN330" i="9"/>
  <c r="BN225" i="9"/>
  <c r="BN358" i="9"/>
  <c r="BN425" i="9"/>
  <c r="BN406" i="9"/>
  <c r="BN387" i="9"/>
  <c r="BN415" i="9"/>
  <c r="BN368" i="9"/>
  <c r="BN396" i="9"/>
  <c r="BN254" i="9"/>
  <c r="BN216" i="9"/>
  <c r="BN130" i="9"/>
  <c r="BN339" i="9"/>
  <c r="BN292" i="9"/>
  <c r="BN263" i="9"/>
  <c r="BN111" i="9"/>
  <c r="BN197" i="9"/>
  <c r="BN349" i="9"/>
  <c r="BN301" i="9"/>
  <c r="BN178" i="9"/>
  <c r="BN311" i="9"/>
  <c r="BN273" i="9"/>
  <c r="BN244" i="9"/>
  <c r="BN235" i="9"/>
  <c r="BN206" i="9"/>
  <c r="BN320" i="9"/>
  <c r="BN282" i="9"/>
  <c r="BN187" i="9"/>
  <c r="BN168" i="9"/>
  <c r="BN121" i="9"/>
  <c r="BN159" i="9"/>
  <c r="BN64" i="9"/>
  <c r="BN73" i="9"/>
  <c r="BN140" i="9"/>
  <c r="BN92" i="9"/>
  <c r="BN102" i="9"/>
  <c r="BN83" i="9"/>
  <c r="BN149" i="9"/>
  <c r="BN93" i="3"/>
  <c r="BN70" i="3"/>
  <c r="A130" i="30" a="1"/>
  <c r="A130" i="30" s="1"/>
  <c r="BN268" i="3"/>
  <c r="BN291" i="3" s="1"/>
  <c r="BN222" i="3"/>
  <c r="BN728" i="9"/>
  <c r="BN239" i="3"/>
  <c r="BN731" i="9"/>
  <c r="BN242" i="3"/>
  <c r="CP151" i="30"/>
  <c r="BN87" i="3"/>
  <c r="CC37" i="6"/>
  <c r="CC71" i="30" s="1"/>
  <c r="CD262" i="26"/>
  <c r="CD269" i="26" s="1"/>
  <c r="CC271" i="26"/>
  <c r="CA54" i="33"/>
  <c r="CA41" i="32"/>
  <c r="CA148" i="30"/>
  <c r="CA180" i="30" s="1"/>
  <c r="CA56" i="30"/>
  <c r="BO167" i="3"/>
  <c r="BO190" i="3" s="1"/>
  <c r="BO163" i="3"/>
  <c r="BO186" i="3" s="1"/>
  <c r="BN726" i="9"/>
  <c r="BN237" i="3"/>
  <c r="BN92" i="3"/>
  <c r="BN69" i="3"/>
  <c r="BN97" i="3"/>
  <c r="BN74" i="3"/>
  <c r="X55" i="35"/>
  <c r="X99" i="33"/>
  <c r="BN207" i="3"/>
  <c r="BN253" i="3"/>
  <c r="BN276" i="3" s="1"/>
  <c r="BN213" i="3"/>
  <c r="BN259" i="3"/>
  <c r="BN282" i="3" s="1"/>
  <c r="CC28" i="6"/>
  <c r="CC68" i="30" s="1"/>
  <c r="CC245" i="26"/>
  <c r="CD234" i="26"/>
  <c r="CD243" i="26" s="1"/>
  <c r="BN270" i="3"/>
  <c r="BN293" i="3" s="1"/>
  <c r="BN224" i="3"/>
  <c r="CO151" i="30"/>
  <c r="BO172" i="3"/>
  <c r="BO195" i="3" s="1"/>
  <c r="CO27" i="30"/>
  <c r="CT134" i="30"/>
  <c r="CW134" i="30"/>
  <c r="CT72" i="30"/>
  <c r="CW72" i="30"/>
  <c r="X74" i="30"/>
  <c r="A40" i="30" a="1"/>
  <c r="A40" i="30" s="1"/>
  <c r="A155" i="30" a="1"/>
  <c r="A155" i="30" s="1"/>
  <c r="CB130" i="30"/>
  <c r="CC239" i="6"/>
  <c r="CC242" i="6" s="1"/>
  <c r="Y190" i="30"/>
  <c r="CU101" i="30"/>
  <c r="CO101" i="30" s="1"/>
  <c r="CX101" i="30"/>
  <c r="CP101" i="30" s="1"/>
  <c r="Y110" i="30"/>
  <c r="CC142" i="6"/>
  <c r="CC155" i="6" s="1"/>
  <c r="CB158" i="6"/>
  <c r="CB121" i="30" s="1"/>
  <c r="CC52" i="6"/>
  <c r="CD283" i="26"/>
  <c r="CD288" i="26" s="1"/>
  <c r="CC290" i="26"/>
  <c r="CP45" i="30"/>
  <c r="BO179" i="3"/>
  <c r="BO202" i="3" s="1"/>
  <c r="BO174" i="3"/>
  <c r="BO197" i="3" s="1"/>
  <c r="BO169" i="3"/>
  <c r="BO192" i="3" s="1"/>
  <c r="X98" i="13"/>
  <c r="X99" i="13" s="1"/>
  <c r="CW30" i="30"/>
  <c r="CT30" i="30"/>
  <c r="X32" i="30"/>
  <c r="CP27" i="30"/>
  <c r="BN730" i="9"/>
  <c r="BN241" i="3"/>
  <c r="CA40" i="6"/>
  <c r="CA44" i="6" s="1"/>
  <c r="Y44" i="6"/>
  <c r="CB128" i="30"/>
  <c r="CC220" i="6"/>
  <c r="CC226" i="6" s="1"/>
  <c r="A127" i="30" a="1"/>
  <c r="A127" i="30" s="1"/>
  <c r="CB339" i="3"/>
  <c r="CB335" i="3"/>
  <c r="CB327" i="3"/>
  <c r="CB324" i="3"/>
  <c r="CB330" i="3"/>
  <c r="CB338" i="3"/>
  <c r="CB336" i="3"/>
  <c r="CB329" i="3"/>
  <c r="CB325" i="3"/>
  <c r="CB321" i="3"/>
  <c r="CB323" i="3"/>
  <c r="CB322" i="3"/>
  <c r="CB333" i="3"/>
  <c r="CB340" i="3"/>
  <c r="CB332" i="3"/>
  <c r="CB331" i="3"/>
  <c r="CB328" i="3"/>
  <c r="CB326" i="3"/>
  <c r="CB337" i="3"/>
  <c r="CB334" i="3"/>
  <c r="CA174" i="20"/>
  <c r="CA156" i="20"/>
  <c r="DA146" i="20"/>
  <c r="BN713" i="9"/>
  <c r="BN782" i="9" s="1"/>
  <c r="BN705" i="9"/>
  <c r="BN774" i="9" s="1"/>
  <c r="BN797" i="9" s="1"/>
  <c r="BN697" i="9"/>
  <c r="BN766" i="9" s="1"/>
  <c r="BN789" i="9" s="1"/>
  <c r="BN707" i="9"/>
  <c r="BN776" i="9" s="1"/>
  <c r="BN799" i="9" s="1"/>
  <c r="BN700" i="9"/>
  <c r="BN769" i="9" s="1"/>
  <c r="BN714" i="9"/>
  <c r="BN783" i="9" s="1"/>
  <c r="BN806" i="9" s="1"/>
  <c r="BN709" i="9"/>
  <c r="BN778" i="9" s="1"/>
  <c r="BN801" i="9" s="1"/>
  <c r="BN704" i="9"/>
  <c r="BN773" i="9" s="1"/>
  <c r="BN796" i="9" s="1"/>
  <c r="BN699" i="9"/>
  <c r="BN768" i="9" s="1"/>
  <c r="BN791" i="9" s="1"/>
  <c r="BN711" i="9"/>
  <c r="BN780" i="9" s="1"/>
  <c r="BN706" i="9"/>
  <c r="BN775" i="9" s="1"/>
  <c r="BN701" i="9"/>
  <c r="BN770" i="9" s="1"/>
  <c r="BN696" i="9"/>
  <c r="BN765" i="9" s="1"/>
  <c r="BN712" i="9"/>
  <c r="BN781" i="9" s="1"/>
  <c r="BN804" i="9" s="1"/>
  <c r="BN710" i="9"/>
  <c r="BN779" i="9" s="1"/>
  <c r="BN703" i="9"/>
  <c r="BN772" i="9" s="1"/>
  <c r="BN795" i="9" s="1"/>
  <c r="BN698" i="9"/>
  <c r="BN767" i="9" s="1"/>
  <c r="BN790" i="9" s="1"/>
  <c r="BN708" i="9"/>
  <c r="BN777" i="9" s="1"/>
  <c r="BN800" i="9" s="1"/>
  <c r="BN702" i="9"/>
  <c r="BN771" i="9" s="1"/>
  <c r="BN695" i="9"/>
  <c r="BN764" i="9" s="1"/>
  <c r="BN787" i="9" s="1"/>
  <c r="BM754" i="9"/>
  <c r="CU68" i="30"/>
  <c r="CO68" i="30" s="1"/>
  <c r="CX68" i="30"/>
  <c r="CP68" i="30" s="1"/>
  <c r="BN85" i="3"/>
  <c r="CB129" i="30"/>
  <c r="CC229" i="6"/>
  <c r="CC236" i="6" s="1"/>
  <c r="BN80" i="3"/>
  <c r="BY54" i="33"/>
  <c r="BY41" i="32"/>
  <c r="BY42" i="32" s="1"/>
  <c r="BY148" i="30"/>
  <c r="BY180" i="30" s="1"/>
  <c r="BY56" i="30"/>
  <c r="CB77" i="30"/>
  <c r="CU70" i="30"/>
  <c r="CO70" i="30" s="1"/>
  <c r="CX70" i="30"/>
  <c r="CP70" i="30" s="1"/>
  <c r="BM750" i="9"/>
  <c r="CC25" i="6"/>
  <c r="CD220" i="26"/>
  <c r="CD229" i="26" s="1"/>
  <c r="CC231" i="26"/>
  <c r="CO45" i="30"/>
  <c r="BO166" i="3"/>
  <c r="BO189" i="3" s="1"/>
  <c r="BO161" i="3"/>
  <c r="BO184" i="3" s="1"/>
  <c r="BO171" i="3"/>
  <c r="BO194" i="3" s="1"/>
  <c r="AM18" i="32"/>
  <c r="AM20" i="32" s="1"/>
  <c r="AN18" i="32"/>
  <c r="AN20" i="32" s="1"/>
  <c r="AO18" i="32"/>
  <c r="AO20" i="32" s="1"/>
  <c r="AP18" i="32"/>
  <c r="AP20" i="32" s="1"/>
  <c r="AQ18" i="32"/>
  <c r="AQ20" i="32" s="1"/>
  <c r="AR18" i="32"/>
  <c r="AR20" i="32" s="1"/>
  <c r="AS18" i="32"/>
  <c r="AS20" i="32" s="1"/>
  <c r="AT18" i="32"/>
  <c r="AT20" i="32" s="1"/>
  <c r="AU18" i="32"/>
  <c r="AU20" i="32" s="1"/>
  <c r="AV18" i="32"/>
  <c r="AV20" i="32" s="1"/>
  <c r="AW18" i="32"/>
  <c r="AW20" i="32" s="1"/>
  <c r="AX18" i="32"/>
  <c r="AX20" i="32" s="1"/>
  <c r="W98" i="13"/>
  <c r="W99" i="13" s="1"/>
  <c r="CS30" i="30"/>
  <c r="CV30" i="30"/>
  <c r="W32" i="30"/>
  <c r="BN75" i="3"/>
  <c r="CU131" i="30"/>
  <c r="CO131" i="30" s="1"/>
  <c r="BN84" i="3"/>
  <c r="BN79" i="3"/>
  <c r="CS141" i="20"/>
  <c r="A141" i="20" s="1" a="1"/>
  <c r="A141" i="20" s="1"/>
  <c r="CX77" i="30"/>
  <c r="CP77" i="30" s="1"/>
  <c r="CU77" i="30"/>
  <c r="CO77" i="30" s="1"/>
  <c r="A129" i="30" a="1"/>
  <c r="A129" i="30" s="1"/>
  <c r="CB179" i="6"/>
  <c r="CB101" i="30" s="1"/>
  <c r="CC293" i="26"/>
  <c r="CC298" i="26" s="1"/>
  <c r="CB127" i="30"/>
  <c r="CC206" i="6"/>
  <c r="CC217" i="6" s="1"/>
  <c r="BN81" i="3"/>
  <c r="CB67" i="30"/>
  <c r="BO168" i="3"/>
  <c r="BO191" i="3" s="1"/>
  <c r="BO12" i="3"/>
  <c r="BO3" i="3" s="1"/>
  <c r="BO41" i="3"/>
  <c r="BO24" i="3"/>
  <c r="BP8" i="3"/>
  <c r="BO5" i="3"/>
  <c r="BO4" i="3"/>
  <c r="BO154" i="3"/>
  <c r="AA18" i="32"/>
  <c r="AA20" i="32" s="1"/>
  <c r="AB18" i="32"/>
  <c r="AB20" i="32" s="1"/>
  <c r="AC18" i="32"/>
  <c r="AC20" i="32" s="1"/>
  <c r="AD18" i="32"/>
  <c r="AD20" i="32" s="1"/>
  <c r="AE18" i="32"/>
  <c r="AE20" i="32" s="1"/>
  <c r="AF18" i="32"/>
  <c r="AF20" i="32" s="1"/>
  <c r="AG18" i="32"/>
  <c r="AG20" i="32" s="1"/>
  <c r="AH18" i="32"/>
  <c r="AH20" i="32" s="1"/>
  <c r="AI18" i="32"/>
  <c r="AI20" i="32" s="1"/>
  <c r="AJ18" i="32"/>
  <c r="AJ20" i="32" s="1"/>
  <c r="AK18" i="32"/>
  <c r="AK20" i="32" s="1"/>
  <c r="AL18" i="32"/>
  <c r="AL20" i="32" s="1"/>
  <c r="BN732" i="9"/>
  <c r="BN243" i="3"/>
  <c r="BN94" i="3"/>
  <c r="BN71" i="3"/>
  <c r="BN26" i="3"/>
  <c r="BN28" i="3"/>
  <c r="X170" i="1"/>
  <c r="CU170" i="1" s="1"/>
  <c r="CP170" i="1" s="1"/>
  <c r="CU166" i="1"/>
  <c r="CP166" i="1" s="1"/>
  <c r="BZ170" i="1"/>
  <c r="CX170" i="1" s="1"/>
  <c r="CX166" i="1"/>
  <c r="CA166" i="1"/>
  <c r="CY156" i="1"/>
  <c r="BY174" i="20"/>
  <c r="BY156" i="20"/>
  <c r="CY146" i="20"/>
  <c r="BM751" i="9"/>
  <c r="CU121" i="30"/>
  <c r="CO121" i="30" s="1"/>
  <c r="CX121" i="30"/>
  <c r="CP121" i="30" s="1"/>
  <c r="BM758" i="9"/>
  <c r="BN727" i="9"/>
  <c r="BN238" i="3"/>
  <c r="BN86" i="3"/>
  <c r="BZ38" i="30"/>
  <c r="CA131" i="30"/>
  <c r="CX131" i="30" s="1"/>
  <c r="CP131" i="30" s="1"/>
  <c r="Q27" i="50"/>
  <c r="I32" i="50"/>
  <c r="BO175" i="3"/>
  <c r="BO198" i="3" s="1"/>
  <c r="BO170" i="3"/>
  <c r="BO193" i="3" s="1"/>
  <c r="BO165" i="3"/>
  <c r="BO188" i="3" s="1"/>
  <c r="BN257" i="3"/>
  <c r="BN280" i="3" s="1"/>
  <c r="BN211" i="3"/>
  <c r="BN735" i="9"/>
  <c r="BN246" i="3"/>
  <c r="M24" i="14"/>
  <c r="E24" i="14" a="1"/>
  <c r="BJ14" i="6" l="1"/>
  <c r="CB117" i="6"/>
  <c r="CB122" i="6" s="1"/>
  <c r="CC117" i="6" s="1"/>
  <c r="CC122" i="6" s="1"/>
  <c r="CD117" i="6" s="1"/>
  <c r="CD122" i="6" s="1"/>
  <c r="CE117" i="6" s="1"/>
  <c r="CE122" i="6" s="1"/>
  <c r="CF117" i="6" s="1"/>
  <c r="CF122" i="6" s="1"/>
  <c r="CG117" i="6" s="1"/>
  <c r="CG122" i="6" s="1"/>
  <c r="CH117" i="6" s="1"/>
  <c r="CH122" i="6" s="1"/>
  <c r="CI117" i="6" s="1"/>
  <c r="CI122" i="6" s="1"/>
  <c r="CS122" i="6"/>
  <c r="W124" i="30"/>
  <c r="W124" i="13" s="1"/>
  <c r="CV119" i="30"/>
  <c r="AB109" i="6"/>
  <c r="AA130" i="6"/>
  <c r="CR32" i="32"/>
  <c r="A77" i="30" a="1"/>
  <c r="A77" i="30" s="1"/>
  <c r="BN793" i="9"/>
  <c r="BN794" i="9"/>
  <c r="BN798" i="9"/>
  <c r="BN754" i="9"/>
  <c r="BN802" i="9"/>
  <c r="CS40" i="6"/>
  <c r="A40" i="6" s="1" a="1"/>
  <c r="A40" i="6" s="1"/>
  <c r="A101" i="30" a="1"/>
  <c r="A101" i="30" s="1"/>
  <c r="A179" i="30" a="1"/>
  <c r="A179" i="30" s="1"/>
  <c r="BN753" i="9"/>
  <c r="BN751" i="9"/>
  <c r="BN788" i="9"/>
  <c r="BN811" i="9" s="1"/>
  <c r="BZ114" i="6"/>
  <c r="BZ130" i="6" s="1"/>
  <c r="BZ133" i="6" s="1"/>
  <c r="BZ119" i="30" s="1"/>
  <c r="BZ125" i="6"/>
  <c r="BJ19" i="32"/>
  <c r="BJ20" i="32" s="1"/>
  <c r="A121" i="30" a="1"/>
  <c r="A121" i="30" s="1"/>
  <c r="BN803" i="9"/>
  <c r="BN826" i="9" s="1"/>
  <c r="BN758" i="9"/>
  <c r="BN805" i="9"/>
  <c r="BN792" i="9"/>
  <c r="BN815" i="9" s="1"/>
  <c r="A71" i="30" a="1"/>
  <c r="A71" i="30" s="1"/>
  <c r="A151" i="30" a="1"/>
  <c r="A151" i="30" s="1"/>
  <c r="CS245" i="6"/>
  <c r="A245" i="6" s="1" a="1"/>
  <c r="A245" i="6" s="1"/>
  <c r="CS146" i="20"/>
  <c r="CB31" i="6"/>
  <c r="CB69" i="30" s="1"/>
  <c r="CC248" i="26"/>
  <c r="CC257" i="26" s="1"/>
  <c r="CB259" i="26"/>
  <c r="A67" i="30" a="1"/>
  <c r="A67" i="30" s="1"/>
  <c r="CS31" i="6"/>
  <c r="A31" i="6" s="1" a="1"/>
  <c r="A31" i="6" s="1"/>
  <c r="Y69" i="30"/>
  <c r="BO256" i="3"/>
  <c r="BO279" i="3" s="1"/>
  <c r="BO210" i="3"/>
  <c r="BO217" i="3"/>
  <c r="BO263" i="3"/>
  <c r="BO286" i="3" s="1"/>
  <c r="BO220" i="3"/>
  <c r="BO266" i="3"/>
  <c r="BO289" i="3" s="1"/>
  <c r="BO261" i="3"/>
  <c r="BO284" i="3" s="1"/>
  <c r="BO215" i="3"/>
  <c r="BO216" i="3"/>
  <c r="BO262" i="3"/>
  <c r="BO285" i="3" s="1"/>
  <c r="BO252" i="3"/>
  <c r="BO275" i="3" s="1"/>
  <c r="BO206" i="3"/>
  <c r="BO211" i="3"/>
  <c r="BO257" i="3"/>
  <c r="BO280" i="3" s="1"/>
  <c r="BO224" i="3"/>
  <c r="BO270" i="3"/>
  <c r="BO293" i="3" s="1"/>
  <c r="AI23" i="35"/>
  <c r="AI51" i="35"/>
  <c r="AI98" i="33"/>
  <c r="BN723" i="9"/>
  <c r="BN234" i="3"/>
  <c r="BO22" i="3"/>
  <c r="BO16" i="3"/>
  <c r="BO4" i="9"/>
  <c r="BO20" i="3"/>
  <c r="AK51" i="35"/>
  <c r="AK23" i="35"/>
  <c r="AK98" i="33"/>
  <c r="BN750" i="9"/>
  <c r="AJ23" i="35"/>
  <c r="AJ51" i="35"/>
  <c r="AJ98" i="33"/>
  <c r="AB51" i="35"/>
  <c r="AB23" i="35"/>
  <c r="AB98" i="33"/>
  <c r="BO3" i="9"/>
  <c r="BO37" i="3"/>
  <c r="CC179" i="6"/>
  <c r="CC101" i="30" s="1"/>
  <c r="CD293" i="26"/>
  <c r="CD298" i="26" s="1"/>
  <c r="AX23" i="35"/>
  <c r="AX51" i="35"/>
  <c r="AX98" i="33"/>
  <c r="AP23" i="35"/>
  <c r="AP51" i="35"/>
  <c r="AP98" i="33"/>
  <c r="A70" i="30" a="1"/>
  <c r="A70" i="30" s="1"/>
  <c r="CC129" i="30"/>
  <c r="CD229" i="6"/>
  <c r="CD236" i="6" s="1"/>
  <c r="CA166" i="20"/>
  <c r="CA58" i="30" s="1"/>
  <c r="DA156" i="20"/>
  <c r="CC158" i="6"/>
  <c r="CC121" i="30" s="1"/>
  <c r="CD142" i="6"/>
  <c r="CD155" i="6" s="1"/>
  <c r="BO218" i="3"/>
  <c r="BO264" i="3"/>
  <c r="BO287" i="3" s="1"/>
  <c r="CQ156" i="1"/>
  <c r="BE23" i="35"/>
  <c r="BE51" i="35"/>
  <c r="BE98" i="33"/>
  <c r="CD34" i="6"/>
  <c r="CD70" i="30" s="1"/>
  <c r="CE274" i="26"/>
  <c r="CE278" i="26" s="1"/>
  <c r="BZ181" i="20"/>
  <c r="CZ174" i="20"/>
  <c r="BO221" i="3"/>
  <c r="BO267" i="3"/>
  <c r="BO290" i="3" s="1"/>
  <c r="AA23" i="35"/>
  <c r="AA51" i="35"/>
  <c r="AA98" i="33"/>
  <c r="CB190" i="30"/>
  <c r="CB110" i="30"/>
  <c r="CB22" i="32" s="1"/>
  <c r="CB99" i="33" s="1"/>
  <c r="AW23" i="35"/>
  <c r="AW51" i="35"/>
  <c r="AW98" i="33"/>
  <c r="AO23" i="35"/>
  <c r="AO51" i="35"/>
  <c r="AO98" i="33"/>
  <c r="BO258" i="3"/>
  <c r="BO281" i="3" s="1"/>
  <c r="BO212" i="3"/>
  <c r="CA181" i="20"/>
  <c r="DA174" i="20"/>
  <c r="CC128" i="30"/>
  <c r="CD220" i="6"/>
  <c r="CD226" i="6" s="1"/>
  <c r="X36" i="30"/>
  <c r="CW32" i="30"/>
  <c r="CT32" i="30"/>
  <c r="Y22" i="32"/>
  <c r="CX110" i="30"/>
  <c r="CP110" i="30" s="1"/>
  <c r="CU110" i="30"/>
  <c r="CO110" i="30" s="1"/>
  <c r="CC130" i="30"/>
  <c r="CD239" i="6"/>
  <c r="CD242" i="6" s="1"/>
  <c r="BN719" i="9"/>
  <c r="BN230" i="3"/>
  <c r="BO213" i="3"/>
  <c r="BO259" i="3"/>
  <c r="BO282" i="3" s="1"/>
  <c r="CD37" i="6"/>
  <c r="CD71" i="30" s="1"/>
  <c r="CE262" i="26"/>
  <c r="CE269" i="26" s="1"/>
  <c r="BN729" i="9"/>
  <c r="BN240" i="3"/>
  <c r="BY170" i="1"/>
  <c r="CW170" i="1" s="1"/>
  <c r="CW166" i="1"/>
  <c r="BD51" i="35"/>
  <c r="BD23" i="35"/>
  <c r="BD98" i="33"/>
  <c r="BN722" i="9"/>
  <c r="BN233" i="3"/>
  <c r="BN737" i="9"/>
  <c r="BN248" i="3"/>
  <c r="AV51" i="35"/>
  <c r="AV23" i="35"/>
  <c r="AV98" i="33"/>
  <c r="BO271" i="3"/>
  <c r="BO294" i="3" s="1"/>
  <c r="BO225" i="3"/>
  <c r="BO265" i="3"/>
  <c r="BO288" i="3" s="1"/>
  <c r="BO219" i="3"/>
  <c r="BC51" i="35"/>
  <c r="BC23" i="35"/>
  <c r="BC98" i="33"/>
  <c r="CA99" i="33"/>
  <c r="BN733" i="9"/>
  <c r="BN244" i="3"/>
  <c r="CA37" i="32"/>
  <c r="BN734" i="9"/>
  <c r="BN245" i="3"/>
  <c r="BB51" i="35"/>
  <c r="BB23" i="35"/>
  <c r="BB98" i="33"/>
  <c r="BO208" i="3"/>
  <c r="BO254" i="3"/>
  <c r="BO277" i="3" s="1"/>
  <c r="CA195" i="30"/>
  <c r="CA78" i="33" s="1"/>
  <c r="CA73" i="33"/>
  <c r="CQ181" i="1"/>
  <c r="BN724" i="9"/>
  <c r="BN235" i="3"/>
  <c r="AG23" i="35"/>
  <c r="AG51" i="35"/>
  <c r="AG98" i="33"/>
  <c r="AM51" i="35"/>
  <c r="AM23" i="35"/>
  <c r="AM98" i="33"/>
  <c r="AF51" i="35"/>
  <c r="AF23" i="35"/>
  <c r="AF98" i="33"/>
  <c r="W36" i="30"/>
  <c r="CV32" i="30"/>
  <c r="CS32" i="30"/>
  <c r="AT51" i="35"/>
  <c r="AT23" i="35"/>
  <c r="AT98" i="33"/>
  <c r="CD25" i="6"/>
  <c r="CE220" i="26"/>
  <c r="CE229" i="26" s="1"/>
  <c r="BY82" i="35"/>
  <c r="BY67" i="33"/>
  <c r="BY69" i="33" s="1"/>
  <c r="BY31" i="32"/>
  <c r="BY27" i="32"/>
  <c r="BY28" i="32" s="1"/>
  <c r="BY208" i="30"/>
  <c r="Y72" i="30"/>
  <c r="Y12" i="6"/>
  <c r="CS44" i="6"/>
  <c r="CU190" i="30"/>
  <c r="CO190" i="30" s="1"/>
  <c r="CX190" i="30"/>
  <c r="CP190" i="30" s="1"/>
  <c r="Y73" i="33"/>
  <c r="J27" i="50" s="1"/>
  <c r="Y195" i="30"/>
  <c r="BN736" i="9"/>
  <c r="BN247" i="3"/>
  <c r="CA82" i="35"/>
  <c r="CA67" i="33"/>
  <c r="CA69" i="33" s="1"/>
  <c r="CA27" i="32"/>
  <c r="CA31" i="32"/>
  <c r="BN645" i="9"/>
  <c r="Y36" i="30"/>
  <c r="CU32" i="30"/>
  <c r="CX32" i="30"/>
  <c r="BI51" i="35"/>
  <c r="BI23" i="35"/>
  <c r="BI98" i="33"/>
  <c r="BA51" i="35"/>
  <c r="BA23" i="35"/>
  <c r="BA98" i="33"/>
  <c r="BZ37" i="32"/>
  <c r="CQ174" i="1"/>
  <c r="BN720" i="9"/>
  <c r="BN231" i="3"/>
  <c r="G73" i="50"/>
  <c r="Q32" i="50"/>
  <c r="BO61" i="3"/>
  <c r="BO107" i="3" s="1"/>
  <c r="BO53" i="3"/>
  <c r="BO45" i="3"/>
  <c r="BO91" i="3" s="1"/>
  <c r="BO64" i="3"/>
  <c r="BO110" i="3" s="1"/>
  <c r="BO59" i="3"/>
  <c r="BO46" i="3"/>
  <c r="BO92" i="3" s="1"/>
  <c r="BO54" i="3"/>
  <c r="BO100" i="3" s="1"/>
  <c r="BO63" i="3"/>
  <c r="BO109" i="3" s="1"/>
  <c r="BO58" i="3"/>
  <c r="BO104" i="3" s="1"/>
  <c r="BO56" i="3"/>
  <c r="BO102" i="3" s="1"/>
  <c r="BO52" i="3"/>
  <c r="BO98" i="3" s="1"/>
  <c r="BO50" i="3"/>
  <c r="BO96" i="3" s="1"/>
  <c r="BO47" i="3"/>
  <c r="BO93" i="3" s="1"/>
  <c r="BO57" i="3"/>
  <c r="BO103" i="3" s="1"/>
  <c r="BO55" i="3"/>
  <c r="BO101" i="3" s="1"/>
  <c r="BO62" i="3"/>
  <c r="BO108" i="3" s="1"/>
  <c r="BO60" i="3"/>
  <c r="BO106" i="3" s="1"/>
  <c r="BO48" i="3"/>
  <c r="BO94" i="3" s="1"/>
  <c r="BO49" i="3"/>
  <c r="BO95" i="3" s="1"/>
  <c r="BO51" i="3"/>
  <c r="BO97" i="3" s="1"/>
  <c r="BO5" i="9"/>
  <c r="BO126" i="3"/>
  <c r="BO122" i="3"/>
  <c r="BO116" i="3"/>
  <c r="BO124" i="3"/>
  <c r="BO118" i="3"/>
  <c r="BO132" i="3"/>
  <c r="BO120" i="3"/>
  <c r="BO127" i="3"/>
  <c r="BO128" i="3"/>
  <c r="BO119" i="3"/>
  <c r="BO115" i="3"/>
  <c r="BO117" i="3"/>
  <c r="BO129" i="3"/>
  <c r="BO114" i="3"/>
  <c r="BO121" i="3"/>
  <c r="BO130" i="3"/>
  <c r="BO131" i="3"/>
  <c r="BO133" i="3"/>
  <c r="BO125" i="3"/>
  <c r="BO123" i="3"/>
  <c r="BN755" i="9"/>
  <c r="AE51" i="35"/>
  <c r="AE23" i="35"/>
  <c r="AE98" i="33"/>
  <c r="BP10" i="3"/>
  <c r="BP149" i="3" s="1"/>
  <c r="CP30" i="30"/>
  <c r="AS51" i="35"/>
  <c r="AS23" i="35"/>
  <c r="AS98" i="33"/>
  <c r="CC67" i="30"/>
  <c r="A68" i="30" a="1"/>
  <c r="A68" i="30" s="1"/>
  <c r="CA72" i="30"/>
  <c r="CA74" i="30" s="1"/>
  <c r="CB40" i="6"/>
  <c r="CB44" i="6" s="1"/>
  <c r="CA12" i="6"/>
  <c r="CD52" i="6"/>
  <c r="CE283" i="26"/>
  <c r="CE288" i="26" s="1"/>
  <c r="BN749" i="9"/>
  <c r="BO87" i="3"/>
  <c r="CA134" i="30"/>
  <c r="CB245" i="6"/>
  <c r="CB248" i="6" s="1"/>
  <c r="BH23" i="35"/>
  <c r="BH51" i="35"/>
  <c r="BH98" i="33"/>
  <c r="AZ23" i="35"/>
  <c r="AZ51" i="35"/>
  <c r="AZ98" i="33"/>
  <c r="BO222" i="3"/>
  <c r="BO268" i="3"/>
  <c r="BO291" i="3" s="1"/>
  <c r="BZ82" i="35"/>
  <c r="BZ67" i="33"/>
  <c r="BZ69" i="33" s="1"/>
  <c r="BZ31" i="32"/>
  <c r="BZ27" i="32"/>
  <c r="BZ208" i="30"/>
  <c r="BZ92" i="33" s="1"/>
  <c r="BN827" i="9"/>
  <c r="BN819" i="9"/>
  <c r="BN828" i="9"/>
  <c r="BN825" i="9"/>
  <c r="BN817" i="9"/>
  <c r="BN820" i="9"/>
  <c r="BN810" i="9"/>
  <c r="BN824" i="9"/>
  <c r="BN823" i="9"/>
  <c r="BN829" i="9"/>
  <c r="BN818" i="9"/>
  <c r="BN813" i="9"/>
  <c r="BN822" i="9"/>
  <c r="BN821" i="9"/>
  <c r="BN816" i="9"/>
  <c r="BN814" i="9"/>
  <c r="BN812" i="9"/>
  <c r="AN51" i="35"/>
  <c r="AN23" i="35"/>
  <c r="AN98" i="33"/>
  <c r="BY166" i="20"/>
  <c r="BY58" i="30" s="1"/>
  <c r="CY156" i="20"/>
  <c r="AL51" i="35"/>
  <c r="AL23" i="35"/>
  <c r="AL98" i="33"/>
  <c r="AD51" i="35"/>
  <c r="AD23" i="35"/>
  <c r="AD98" i="33"/>
  <c r="CC127" i="30"/>
  <c r="CD206" i="6"/>
  <c r="CD217" i="6" s="1"/>
  <c r="CO30" i="30"/>
  <c r="AR23" i="35"/>
  <c r="AR51" i="35"/>
  <c r="AR98" i="33"/>
  <c r="CC77" i="30"/>
  <c r="A27" i="30" a="1"/>
  <c r="A27" i="30" s="1"/>
  <c r="Y134" i="30"/>
  <c r="CS248" i="6"/>
  <c r="BG23" i="35"/>
  <c r="BG51" i="35"/>
  <c r="BG98" i="33"/>
  <c r="AY23" i="35"/>
  <c r="AY51" i="35"/>
  <c r="AY98" i="33"/>
  <c r="BN718" i="9"/>
  <c r="BN229" i="3"/>
  <c r="CA170" i="1"/>
  <c r="CY170" i="1" s="1"/>
  <c r="CY166" i="1"/>
  <c r="BO71" i="3"/>
  <c r="AH23" i="35"/>
  <c r="AH51" i="35"/>
  <c r="AH98" i="33"/>
  <c r="BO177" i="3"/>
  <c r="BO200" i="3" s="1"/>
  <c r="BO260" i="3"/>
  <c r="BO283" i="3" s="1"/>
  <c r="BO214" i="3"/>
  <c r="BJ23" i="32"/>
  <c r="BJ112" i="30"/>
  <c r="BJ114" i="30"/>
  <c r="AU51" i="35"/>
  <c r="AU23" i="35"/>
  <c r="AU98" i="33"/>
  <c r="BY37" i="32"/>
  <c r="BY38" i="32" s="1"/>
  <c r="BY181" i="20"/>
  <c r="CY174" i="20"/>
  <c r="AC51" i="35"/>
  <c r="AC23" i="35"/>
  <c r="AC98" i="33"/>
  <c r="CB131" i="30"/>
  <c r="AQ23" i="35"/>
  <c r="AQ51" i="35"/>
  <c r="AQ98" i="33"/>
  <c r="BO207" i="3"/>
  <c r="BO253" i="3"/>
  <c r="BO276" i="3" s="1"/>
  <c r="X123" i="13"/>
  <c r="CW74" i="30"/>
  <c r="CT74" i="30"/>
  <c r="CD28" i="6"/>
  <c r="CD68" i="30" s="1"/>
  <c r="CE234" i="26"/>
  <c r="CE243" i="26" s="1"/>
  <c r="BN725" i="9"/>
  <c r="BN236" i="3"/>
  <c r="BO209" i="3"/>
  <c r="BO255" i="3"/>
  <c r="BO278" i="3" s="1"/>
  <c r="BF23" i="35"/>
  <c r="BF51" i="35"/>
  <c r="BF98" i="33"/>
  <c r="BZ166" i="20"/>
  <c r="BZ58" i="30" s="1"/>
  <c r="CZ156" i="20"/>
  <c r="BN721" i="9"/>
  <c r="BN232" i="3"/>
  <c r="E24" i="14"/>
  <c r="N24" i="14" s="1" a="1"/>
  <c r="N24" i="14" s="1"/>
  <c r="E22" i="14" a="1"/>
  <c r="CV124" i="30" l="1"/>
  <c r="AA133" i="6"/>
  <c r="AA119" i="30" s="1"/>
  <c r="AA16" i="6"/>
  <c r="AB114" i="6"/>
  <c r="AB125" i="6"/>
  <c r="BO81" i="3"/>
  <c r="BP137" i="3"/>
  <c r="BP160" i="3" s="1"/>
  <c r="BP183" i="3" s="1"/>
  <c r="BO80" i="3"/>
  <c r="BP145" i="3"/>
  <c r="BP168" i="3" s="1"/>
  <c r="BP191" i="3" s="1"/>
  <c r="BO74" i="3"/>
  <c r="BO73" i="3"/>
  <c r="BP153" i="3"/>
  <c r="BP148" i="3"/>
  <c r="BP171" i="3" s="1"/>
  <c r="BP194" i="3" s="1"/>
  <c r="X130" i="6"/>
  <c r="BP151" i="3"/>
  <c r="BP174" i="3" s="1"/>
  <c r="BO85" i="3"/>
  <c r="BO75" i="3"/>
  <c r="BP139" i="3"/>
  <c r="BP162" i="3" s="1"/>
  <c r="BP185" i="3" s="1"/>
  <c r="BZ32" i="32"/>
  <c r="BZ124" i="30"/>
  <c r="BO84" i="3"/>
  <c r="BP142" i="3"/>
  <c r="BP165" i="3" s="1"/>
  <c r="BP188" i="3" s="1"/>
  <c r="BP143" i="3"/>
  <c r="BP166" i="3" s="1"/>
  <c r="BP189" i="3" s="1"/>
  <c r="BN760" i="9"/>
  <c r="BN744" i="9"/>
  <c r="BP147" i="3"/>
  <c r="BP170" i="3" s="1"/>
  <c r="BP193" i="3" s="1"/>
  <c r="BP140" i="3"/>
  <c r="BP163" i="3" s="1"/>
  <c r="BP186" i="3" s="1"/>
  <c r="CA208" i="30"/>
  <c r="CA92" i="33" s="1"/>
  <c r="CA94" i="33" s="1"/>
  <c r="CC131" i="30"/>
  <c r="BN746" i="9"/>
  <c r="BN743" i="9"/>
  <c r="CU69" i="30"/>
  <c r="CO69" i="30" s="1"/>
  <c r="CX69" i="30"/>
  <c r="CP69" i="30" s="1"/>
  <c r="CC31" i="6"/>
  <c r="CC69" i="30" s="1"/>
  <c r="CC259" i="26"/>
  <c r="CD248" i="26"/>
  <c r="CD257" i="26" s="1"/>
  <c r="CS174" i="20"/>
  <c r="BO269" i="3"/>
  <c r="BO292" i="3" s="1"/>
  <c r="BO223" i="3"/>
  <c r="BP172" i="3"/>
  <c r="BP195" i="3" s="1"/>
  <c r="BY92" i="33"/>
  <c r="BY94" i="33" s="1"/>
  <c r="BY212" i="30"/>
  <c r="BO723" i="9"/>
  <c r="BO234" i="3"/>
  <c r="CU134" i="30"/>
  <c r="CO134" i="30" s="1"/>
  <c r="CX134" i="30"/>
  <c r="CP134" i="30" s="1"/>
  <c r="CD127" i="30"/>
  <c r="CE206" i="6"/>
  <c r="CE217" i="6" s="1"/>
  <c r="CE52" i="6"/>
  <c r="CF283" i="26"/>
  <c r="CF288" i="26" s="1"/>
  <c r="BP176" i="3"/>
  <c r="BP199" i="3" s="1"/>
  <c r="BO720" i="9"/>
  <c r="BO231" i="3"/>
  <c r="CQ166" i="1"/>
  <c r="BO725" i="9"/>
  <c r="BO236" i="3"/>
  <c r="Y55" i="35"/>
  <c r="Y99" i="33"/>
  <c r="CB73" i="33"/>
  <c r="CB195" i="30"/>
  <c r="BZ62" i="30"/>
  <c r="CZ181" i="20"/>
  <c r="BO70" i="3"/>
  <c r="CD158" i="6"/>
  <c r="CD121" i="30" s="1"/>
  <c r="CE142" i="6"/>
  <c r="CE155" i="6" s="1"/>
  <c r="CD179" i="6"/>
  <c r="CD101" i="30" s="1"/>
  <c r="CE293" i="26"/>
  <c r="CE298" i="26" s="1"/>
  <c r="BZ257" i="6"/>
  <c r="X257" i="6" s="1"/>
  <c r="BZ170" i="20"/>
  <c r="CZ166" i="20"/>
  <c r="CD77" i="30"/>
  <c r="BO358" i="9"/>
  <c r="BO311" i="9"/>
  <c r="BO206" i="9"/>
  <c r="BO434" i="9"/>
  <c r="BO339" i="9"/>
  <c r="BO425" i="9"/>
  <c r="BO406" i="9"/>
  <c r="BO415" i="9"/>
  <c r="BO396" i="9"/>
  <c r="BO349" i="9"/>
  <c r="BO292" i="9"/>
  <c r="BO263" i="9"/>
  <c r="BO197" i="9"/>
  <c r="BO368" i="9"/>
  <c r="BO330" i="9"/>
  <c r="BO301" i="9"/>
  <c r="BO273" i="9"/>
  <c r="BO244" i="9"/>
  <c r="BO235" i="9"/>
  <c r="BO320" i="9"/>
  <c r="BO282" i="9"/>
  <c r="BO187" i="9"/>
  <c r="BO377" i="9"/>
  <c r="BO225" i="9"/>
  <c r="BO149" i="9"/>
  <c r="BO102" i="9"/>
  <c r="BO73" i="9"/>
  <c r="BO254" i="9"/>
  <c r="BO216" i="9"/>
  <c r="BO140" i="9"/>
  <c r="BO159" i="9"/>
  <c r="BO178" i="9"/>
  <c r="BO121" i="9"/>
  <c r="BO111" i="9"/>
  <c r="BO168" i="9"/>
  <c r="BO83" i="9"/>
  <c r="BO387" i="9"/>
  <c r="BO130" i="9"/>
  <c r="BO92" i="9"/>
  <c r="BO64" i="9"/>
  <c r="BO99" i="3"/>
  <c r="BO76" i="3"/>
  <c r="BO83" i="3"/>
  <c r="BN745" i="9"/>
  <c r="CQ170" i="1"/>
  <c r="CA62" i="30"/>
  <c r="DA181" i="20"/>
  <c r="BO69" i="3"/>
  <c r="CC190" i="30"/>
  <c r="CC110" i="30"/>
  <c r="CC22" i="32" s="1"/>
  <c r="CC99" i="33" s="1"/>
  <c r="BO718" i="9"/>
  <c r="BO229" i="3"/>
  <c r="BN748" i="9"/>
  <c r="CE28" i="6"/>
  <c r="CE68" i="30" s="1"/>
  <c r="CF234" i="26"/>
  <c r="CF243" i="26" s="1"/>
  <c r="BO734" i="9"/>
  <c r="BO245" i="3"/>
  <c r="CB134" i="30"/>
  <c r="CC245" i="6"/>
  <c r="CC248" i="6" s="1"/>
  <c r="Y103" i="13"/>
  <c r="Y43" i="32"/>
  <c r="Y47" i="30"/>
  <c r="Y38" i="30"/>
  <c r="CX36" i="30"/>
  <c r="CU36" i="30"/>
  <c r="BN759" i="9"/>
  <c r="CU72" i="30"/>
  <c r="CO72" i="30" s="1"/>
  <c r="CX72" i="30"/>
  <c r="CP72" i="30" s="1"/>
  <c r="Y74" i="30"/>
  <c r="CO32" i="30"/>
  <c r="BO68" i="3"/>
  <c r="BN742" i="9"/>
  <c r="CE34" i="6"/>
  <c r="CE70" i="30" s="1"/>
  <c r="CF274" i="26"/>
  <c r="CF278" i="26" s="1"/>
  <c r="BO710" i="9"/>
  <c r="BO779" i="9" s="1"/>
  <c r="BO802" i="9" s="1"/>
  <c r="BO702" i="9"/>
  <c r="BO771" i="9" s="1"/>
  <c r="BO794" i="9" s="1"/>
  <c r="BO714" i="9"/>
  <c r="BO783" i="9" s="1"/>
  <c r="BO806" i="9" s="1"/>
  <c r="BO709" i="9"/>
  <c r="BO778" i="9" s="1"/>
  <c r="BO801" i="9" s="1"/>
  <c r="BO704" i="9"/>
  <c r="BO773" i="9" s="1"/>
  <c r="BO796" i="9" s="1"/>
  <c r="BO713" i="9"/>
  <c r="BO782" i="9" s="1"/>
  <c r="BO805" i="9" s="1"/>
  <c r="BO699" i="9"/>
  <c r="BO768" i="9" s="1"/>
  <c r="BO791" i="9" s="1"/>
  <c r="BO711" i="9"/>
  <c r="BO780" i="9" s="1"/>
  <c r="BO803" i="9" s="1"/>
  <c r="BO706" i="9"/>
  <c r="BO775" i="9" s="1"/>
  <c r="BO798" i="9" s="1"/>
  <c r="BO701" i="9"/>
  <c r="BO770" i="9" s="1"/>
  <c r="BO793" i="9" s="1"/>
  <c r="BO696" i="9"/>
  <c r="BO765" i="9" s="1"/>
  <c r="BO788" i="9" s="1"/>
  <c r="BO712" i="9"/>
  <c r="BO781" i="9" s="1"/>
  <c r="BO703" i="9"/>
  <c r="BO772" i="9" s="1"/>
  <c r="BO795" i="9" s="1"/>
  <c r="BO698" i="9"/>
  <c r="BO767" i="9" s="1"/>
  <c r="BO790" i="9" s="1"/>
  <c r="BO708" i="9"/>
  <c r="BO777" i="9" s="1"/>
  <c r="BO800" i="9" s="1"/>
  <c r="BO705" i="9"/>
  <c r="BO774" i="9" s="1"/>
  <c r="BO797" i="9" s="1"/>
  <c r="BO695" i="9"/>
  <c r="BO764" i="9" s="1"/>
  <c r="BO787" i="9" s="1"/>
  <c r="BO707" i="9"/>
  <c r="BO776" i="9" s="1"/>
  <c r="BO799" i="9" s="1"/>
  <c r="BO700" i="9"/>
  <c r="BO769" i="9" s="1"/>
  <c r="BO792" i="9" s="1"/>
  <c r="BO697" i="9"/>
  <c r="BO766" i="9" s="1"/>
  <c r="BO789" i="9" s="1"/>
  <c r="BO732" i="9"/>
  <c r="BO243" i="3"/>
  <c r="BY257" i="6"/>
  <c r="BY170" i="20"/>
  <c r="CY166" i="20"/>
  <c r="BO86" i="3"/>
  <c r="CB72" i="30"/>
  <c r="CB74" i="30" s="1"/>
  <c r="CC40" i="6"/>
  <c r="CC44" i="6" s="1"/>
  <c r="CB12" i="6"/>
  <c r="BP156" i="3"/>
  <c r="BP141" i="3"/>
  <c r="BP154" i="3"/>
  <c r="CP32" i="30"/>
  <c r="BN747" i="9"/>
  <c r="BJ51" i="35"/>
  <c r="BJ23" i="35"/>
  <c r="BJ98" i="33"/>
  <c r="BO731" i="9"/>
  <c r="BO242" i="3"/>
  <c r="BO78" i="3"/>
  <c r="BN752" i="9"/>
  <c r="X103" i="13"/>
  <c r="X43" i="32"/>
  <c r="X47" i="30"/>
  <c r="X38" i="30"/>
  <c r="CW36" i="30"/>
  <c r="CT36" i="30"/>
  <c r="BO18" i="3"/>
  <c r="BY62" i="30"/>
  <c r="CY181" i="20"/>
  <c r="CS156" i="20"/>
  <c r="BZ94" i="33"/>
  <c r="BP138" i="3"/>
  <c r="BP152" i="3"/>
  <c r="BO105" i="3"/>
  <c r="BO82" i="3"/>
  <c r="Y111" i="13"/>
  <c r="Y78" i="33"/>
  <c r="Y80" i="33" s="1"/>
  <c r="W103" i="13"/>
  <c r="W43" i="32"/>
  <c r="W44" i="32" s="1"/>
  <c r="W47" i="30"/>
  <c r="W38" i="30"/>
  <c r="CV36" i="30"/>
  <c r="CS36" i="30"/>
  <c r="BO77" i="3"/>
  <c r="CD130" i="30"/>
  <c r="CE239" i="6"/>
  <c r="CE242" i="6" s="1"/>
  <c r="CD128" i="30"/>
  <c r="CE220" i="6"/>
  <c r="CE226" i="6" s="1"/>
  <c r="BO724" i="9"/>
  <c r="BO235" i="3"/>
  <c r="BO736" i="9"/>
  <c r="BO247" i="3"/>
  <c r="BO728" i="9"/>
  <c r="BO239" i="3"/>
  <c r="BO729" i="9"/>
  <c r="BO240" i="3"/>
  <c r="BP41" i="3"/>
  <c r="BP24" i="3"/>
  <c r="BP5" i="3"/>
  <c r="BP12" i="3"/>
  <c r="BP3" i="3" s="1"/>
  <c r="BQ8" i="3"/>
  <c r="BP4" i="3"/>
  <c r="BP155" i="3"/>
  <c r="R27" i="50"/>
  <c r="J32" i="50"/>
  <c r="CE25" i="6"/>
  <c r="CF220" i="26"/>
  <c r="CF229" i="26" s="1"/>
  <c r="BO79" i="3"/>
  <c r="BN756" i="9"/>
  <c r="BO737" i="9"/>
  <c r="BO248" i="3"/>
  <c r="CE37" i="6"/>
  <c r="CE71" i="30" s="1"/>
  <c r="CF262" i="26"/>
  <c r="CF269" i="26" s="1"/>
  <c r="BO733" i="9"/>
  <c r="BO244" i="3"/>
  <c r="CA257" i="6"/>
  <c r="Y257" i="6" s="1"/>
  <c r="CA170" i="20"/>
  <c r="DA166" i="20"/>
  <c r="BO28" i="3"/>
  <c r="BO26" i="3"/>
  <c r="BO727" i="9"/>
  <c r="BO238" i="3"/>
  <c r="BO722" i="9"/>
  <c r="BO233" i="3"/>
  <c r="BO719" i="9"/>
  <c r="BO230" i="3"/>
  <c r="BO726" i="9"/>
  <c r="BO237" i="3"/>
  <c r="BO721" i="9"/>
  <c r="BO232" i="3"/>
  <c r="BN741" i="9"/>
  <c r="BP150" i="3"/>
  <c r="BP144" i="3"/>
  <c r="BP146" i="3"/>
  <c r="CD67" i="30"/>
  <c r="CA80" i="33"/>
  <c r="BN757" i="9"/>
  <c r="CT22" i="32"/>
  <c r="BO72" i="3"/>
  <c r="BO730" i="9"/>
  <c r="BO241" i="3"/>
  <c r="CD129" i="30"/>
  <c r="CE229" i="6"/>
  <c r="CE236" i="6" s="1"/>
  <c r="E22" i="14"/>
  <c r="M21" i="14"/>
  <c r="E21" i="14" a="1"/>
  <c r="W32" i="35" l="1"/>
  <c r="CR44" i="32"/>
  <c r="AC109" i="6"/>
  <c r="AB130" i="6"/>
  <c r="AA20" i="6"/>
  <c r="AA18" i="6"/>
  <c r="AA32" i="32"/>
  <c r="AA124" i="30"/>
  <c r="AA139" i="30" s="1"/>
  <c r="BP197" i="3"/>
  <c r="BP220" i="3" s="1"/>
  <c r="BO757" i="9"/>
  <c r="BO804" i="9"/>
  <c r="X133" i="6"/>
  <c r="BO745" i="9"/>
  <c r="BO749" i="9"/>
  <c r="BO743" i="9"/>
  <c r="BO752" i="9"/>
  <c r="BO741" i="9"/>
  <c r="A134" i="30" a="1"/>
  <c r="A134" i="30" s="1"/>
  <c r="CS181" i="20"/>
  <c r="CD31" i="6"/>
  <c r="CD69" i="30" s="1"/>
  <c r="CE248" i="26"/>
  <c r="CE257" i="26" s="1"/>
  <c r="CO36" i="30"/>
  <c r="A69" i="30" a="1"/>
  <c r="A69" i="30" s="1"/>
  <c r="CP36" i="30"/>
  <c r="BP211" i="3"/>
  <c r="BP257" i="3"/>
  <c r="BP280" i="3" s="1"/>
  <c r="BP258" i="3"/>
  <c r="BP281" i="3" s="1"/>
  <c r="BP212" i="3"/>
  <c r="BP252" i="3"/>
  <c r="BP275" i="3" s="1"/>
  <c r="BP206" i="3"/>
  <c r="BP255" i="3"/>
  <c r="BP278" i="3" s="1"/>
  <c r="BP209" i="3"/>
  <c r="BP260" i="3"/>
  <c r="BP283" i="3" s="1"/>
  <c r="BP214" i="3"/>
  <c r="CC72" i="30"/>
  <c r="CC74" i="30" s="1"/>
  <c r="CD40" i="6"/>
  <c r="CD44" i="6" s="1"/>
  <c r="CC12" i="6"/>
  <c r="CS166" i="20"/>
  <c r="Y123" i="13"/>
  <c r="CX74" i="30"/>
  <c r="CP74" i="30" s="1"/>
  <c r="CU74" i="30"/>
  <c r="CO74" i="30" s="1"/>
  <c r="Y31" i="35"/>
  <c r="CT43" i="32"/>
  <c r="CA45" i="32"/>
  <c r="Y62" i="30"/>
  <c r="CD190" i="30"/>
  <c r="BP222" i="3"/>
  <c r="BP268" i="3"/>
  <c r="BP291" i="3" s="1"/>
  <c r="BP262" i="3"/>
  <c r="BP285" i="3" s="1"/>
  <c r="BP216" i="3"/>
  <c r="BP175" i="3"/>
  <c r="BP198" i="3" s="1"/>
  <c r="BY60" i="30"/>
  <c r="CY170" i="20"/>
  <c r="CC134" i="30"/>
  <c r="CD245" i="6"/>
  <c r="CD248" i="6" s="1"/>
  <c r="BP76" i="3"/>
  <c r="CE158" i="6"/>
  <c r="CE121" i="30" s="1"/>
  <c r="CF142" i="6"/>
  <c r="CF155" i="6" s="1"/>
  <c r="BO742" i="9"/>
  <c r="W257" i="6"/>
  <c r="W259" i="6" s="1"/>
  <c r="BY259" i="6"/>
  <c r="CF34" i="6"/>
  <c r="CF70" i="30" s="1"/>
  <c r="CG274" i="26"/>
  <c r="CG278" i="26" s="1"/>
  <c r="A72" i="30" a="1"/>
  <c r="A72" i="30" s="1"/>
  <c r="CF52" i="6"/>
  <c r="CG283" i="26"/>
  <c r="CG288" i="26" s="1"/>
  <c r="BO746" i="9"/>
  <c r="CE130" i="30"/>
  <c r="CF239" i="6"/>
  <c r="CF242" i="6" s="1"/>
  <c r="BP64" i="3"/>
  <c r="BP56" i="3"/>
  <c r="BP102" i="3" s="1"/>
  <c r="BP48" i="3"/>
  <c r="BP54" i="3"/>
  <c r="BP100" i="3" s="1"/>
  <c r="BP49" i="3"/>
  <c r="BP95" i="3" s="1"/>
  <c r="BP62" i="3"/>
  <c r="BP53" i="3"/>
  <c r="BP99" i="3" s="1"/>
  <c r="BP51" i="3"/>
  <c r="BP59" i="3"/>
  <c r="BP105" i="3" s="1"/>
  <c r="BP57" i="3"/>
  <c r="BP55" i="3"/>
  <c r="BP101" i="3" s="1"/>
  <c r="BP47" i="3"/>
  <c r="BP93" i="3" s="1"/>
  <c r="BP58" i="3"/>
  <c r="BP60" i="3"/>
  <c r="BP106" i="3" s="1"/>
  <c r="BP61" i="3"/>
  <c r="BP63" i="3"/>
  <c r="BP109" i="3" s="1"/>
  <c r="BP45" i="3"/>
  <c r="BP91" i="3" s="1"/>
  <c r="BP46" i="3"/>
  <c r="BP92" i="3" s="1"/>
  <c r="BP52" i="3"/>
  <c r="BP50" i="3"/>
  <c r="BP5" i="9"/>
  <c r="BP121" i="3"/>
  <c r="BP128" i="3"/>
  <c r="BP126" i="3"/>
  <c r="BP119" i="3"/>
  <c r="BP117" i="3"/>
  <c r="BP133" i="3"/>
  <c r="BP114" i="3"/>
  <c r="BP123" i="3"/>
  <c r="BP130" i="3"/>
  <c r="BP125" i="3"/>
  <c r="BP115" i="3"/>
  <c r="BP132" i="3"/>
  <c r="BP122" i="3"/>
  <c r="BP124" i="3"/>
  <c r="BP118" i="3"/>
  <c r="BP127" i="3"/>
  <c r="BP116" i="3"/>
  <c r="BP120" i="3"/>
  <c r="BP129" i="3"/>
  <c r="BP131" i="3"/>
  <c r="BO744" i="9"/>
  <c r="BP161" i="3"/>
  <c r="BP184" i="3" s="1"/>
  <c r="CE129" i="30"/>
  <c r="CF229" i="6"/>
  <c r="CF236" i="6" s="1"/>
  <c r="BP169" i="3"/>
  <c r="BP192" i="3" s="1"/>
  <c r="BO759" i="9"/>
  <c r="BY45" i="32"/>
  <c r="BY46" i="32" s="1"/>
  <c r="W62" i="30"/>
  <c r="BO754" i="9"/>
  <c r="BO748" i="9"/>
  <c r="CE77" i="30"/>
  <c r="BP264" i="3"/>
  <c r="BP287" i="3" s="1"/>
  <c r="BP218" i="3"/>
  <c r="CE127" i="30"/>
  <c r="CF206" i="6"/>
  <c r="CF217" i="6" s="1"/>
  <c r="BP263" i="3"/>
  <c r="BP286" i="3" s="1"/>
  <c r="BP217" i="3"/>
  <c r="BP3" i="9"/>
  <c r="BP37" i="3"/>
  <c r="W31" i="35"/>
  <c r="CR43" i="32"/>
  <c r="BO751" i="9"/>
  <c r="BO756" i="9"/>
  <c r="CF25" i="6"/>
  <c r="CG220" i="26"/>
  <c r="CG229" i="26" s="1"/>
  <c r="BP178" i="3"/>
  <c r="BP201" i="3" s="1"/>
  <c r="BO747" i="9"/>
  <c r="X106" i="13"/>
  <c r="X54" i="33"/>
  <c r="I10" i="50" s="1"/>
  <c r="X41" i="32"/>
  <c r="X148" i="30"/>
  <c r="X56" i="30"/>
  <c r="CW47" i="30"/>
  <c r="CT47" i="30"/>
  <c r="BP164" i="3"/>
  <c r="BP187" i="3" s="1"/>
  <c r="CF28" i="6"/>
  <c r="CF68" i="30" s="1"/>
  <c r="CG234" i="26"/>
  <c r="CG243" i="26" s="1"/>
  <c r="BO645" i="9"/>
  <c r="BZ60" i="30"/>
  <c r="CZ170" i="20"/>
  <c r="BZ45" i="32"/>
  <c r="X62" i="30"/>
  <c r="BY96" i="33"/>
  <c r="BY101" i="33" s="1"/>
  <c r="BY104" i="33" s="1"/>
  <c r="BZ211" i="30"/>
  <c r="BZ212" i="30" s="1"/>
  <c r="BY214" i="30"/>
  <c r="BY217" i="30" s="1"/>
  <c r="BY83" i="6"/>
  <c r="BO735" i="9"/>
  <c r="BO246" i="3"/>
  <c r="G74" i="50"/>
  <c r="R32" i="50"/>
  <c r="BO760" i="9"/>
  <c r="CW38" i="30"/>
  <c r="CT38" i="30"/>
  <c r="BP177" i="3"/>
  <c r="BP200" i="3" s="1"/>
  <c r="BP173" i="3"/>
  <c r="BP196" i="3" s="1"/>
  <c r="CC73" i="33"/>
  <c r="CC195" i="30"/>
  <c r="BO753" i="9"/>
  <c r="BO750" i="9"/>
  <c r="CF37" i="6"/>
  <c r="CF71" i="30" s="1"/>
  <c r="CG262" i="26"/>
  <c r="CG269" i="26" s="1"/>
  <c r="BP16" i="3"/>
  <c r="BP22" i="3"/>
  <c r="BP4" i="9"/>
  <c r="BP20" i="3"/>
  <c r="CE128" i="30"/>
  <c r="CF220" i="6"/>
  <c r="CF226" i="6" s="1"/>
  <c r="CV38" i="30"/>
  <c r="CS38" i="30"/>
  <c r="BO827" i="9"/>
  <c r="BO819" i="9"/>
  <c r="BO828" i="9"/>
  <c r="BO820" i="9"/>
  <c r="BO812" i="9"/>
  <c r="BO829" i="9"/>
  <c r="BO826" i="9"/>
  <c r="BO818" i="9"/>
  <c r="BO810" i="9"/>
  <c r="BO825" i="9"/>
  <c r="BO824" i="9"/>
  <c r="BO823" i="9"/>
  <c r="BO813" i="9"/>
  <c r="BO822" i="9"/>
  <c r="BO821" i="9"/>
  <c r="BO816" i="9"/>
  <c r="BO815" i="9"/>
  <c r="BO814" i="9"/>
  <c r="BO817" i="9"/>
  <c r="BO811" i="9"/>
  <c r="X31" i="35"/>
  <c r="CS43" i="32"/>
  <c r="BP179" i="3"/>
  <c r="BP202" i="3" s="1"/>
  <c r="BO755" i="9"/>
  <c r="BP68" i="3"/>
  <c r="CU38" i="30"/>
  <c r="CX38" i="30"/>
  <c r="CB78" i="33"/>
  <c r="CB80" i="33" s="1"/>
  <c r="CB208" i="30"/>
  <c r="CB92" i="33" s="1"/>
  <c r="CA60" i="30"/>
  <c r="DA170" i="20"/>
  <c r="BP167" i="3"/>
  <c r="BP190" i="3" s="1"/>
  <c r="CE67" i="30"/>
  <c r="BQ10" i="3"/>
  <c r="W106" i="13"/>
  <c r="W54" i="33"/>
  <c r="H10" i="50" s="1"/>
  <c r="W41" i="32"/>
  <c r="W42" i="32" s="1"/>
  <c r="W148" i="30"/>
  <c r="W56" i="30"/>
  <c r="CV47" i="30"/>
  <c r="CS47" i="30"/>
  <c r="Y106" i="13"/>
  <c r="Y54" i="33"/>
  <c r="J10" i="50" s="1"/>
  <c r="Y41" i="32"/>
  <c r="Y148" i="30"/>
  <c r="Y56" i="30"/>
  <c r="CU47" i="30"/>
  <c r="CX47" i="30"/>
  <c r="BP254" i="3"/>
  <c r="BP277" i="3" s="1"/>
  <c r="BP208" i="3"/>
  <c r="CE179" i="6"/>
  <c r="CE101" i="30" s="1"/>
  <c r="CF293" i="26"/>
  <c r="CF298" i="26" s="1"/>
  <c r="E21" i="14"/>
  <c r="N21" i="14" s="1" a="1"/>
  <c r="N21" i="14" s="1"/>
  <c r="W32" i="13" l="1"/>
  <c r="W96" i="35" s="1"/>
  <c r="W39" i="35"/>
  <c r="CR42" i="32"/>
  <c r="AA143" i="30"/>
  <c r="AA141" i="30"/>
  <c r="AB133" i="6"/>
  <c r="AB119" i="30" s="1"/>
  <c r="AB16" i="6"/>
  <c r="AC114" i="6"/>
  <c r="AC125" i="6"/>
  <c r="BP72" i="3"/>
  <c r="BP77" i="3"/>
  <c r="BP70" i="3"/>
  <c r="BP266" i="3"/>
  <c r="BP289" i="3" s="1"/>
  <c r="BP82" i="3"/>
  <c r="BP83" i="3"/>
  <c r="BP69" i="3"/>
  <c r="BP79" i="3"/>
  <c r="BP86" i="3"/>
  <c r="X119" i="30"/>
  <c r="Y125" i="6"/>
  <c r="CA109" i="6"/>
  <c r="CS109" i="6" s="1"/>
  <c r="A109" i="6" s="1" a="1"/>
  <c r="A109" i="6" s="1"/>
  <c r="CO38" i="30"/>
  <c r="CE31" i="6"/>
  <c r="CE69" i="30" s="1"/>
  <c r="CF248" i="26"/>
  <c r="CF257" i="26" s="1"/>
  <c r="BP219" i="3"/>
  <c r="BP265" i="3"/>
  <c r="BP288" i="3" s="1"/>
  <c r="BP213" i="3"/>
  <c r="BP259" i="3"/>
  <c r="BP282" i="3" s="1"/>
  <c r="BP269" i="3"/>
  <c r="BP292" i="3" s="1"/>
  <c r="BP223" i="3"/>
  <c r="BP261" i="3"/>
  <c r="BP284" i="3" s="1"/>
  <c r="BP215" i="3"/>
  <c r="BP221" i="3"/>
  <c r="BP267" i="3"/>
  <c r="BP290" i="3" s="1"/>
  <c r="BP225" i="3"/>
  <c r="BP271" i="3"/>
  <c r="BP294" i="3" s="1"/>
  <c r="BP210" i="3"/>
  <c r="BP256" i="3"/>
  <c r="BP279" i="3" s="1"/>
  <c r="BR8" i="3"/>
  <c r="BQ5" i="3"/>
  <c r="BQ41" i="3"/>
  <c r="BQ24" i="3"/>
  <c r="BQ12" i="3"/>
  <c r="BQ3" i="3" s="1"/>
  <c r="BQ4" i="3"/>
  <c r="BQ140" i="3"/>
  <c r="BQ141" i="3"/>
  <c r="Q10" i="50"/>
  <c r="Q16" i="50" s="1"/>
  <c r="I16" i="50"/>
  <c r="I42" i="50" s="1"/>
  <c r="CF67" i="30"/>
  <c r="BP97" i="3"/>
  <c r="BP74" i="3"/>
  <c r="W136" i="30"/>
  <c r="W40" i="32" s="1"/>
  <c r="X256" i="6"/>
  <c r="W16" i="6"/>
  <c r="BP721" i="9"/>
  <c r="BP232" i="3"/>
  <c r="BQ144" i="3"/>
  <c r="Y38" i="35"/>
  <c r="Y31" i="13"/>
  <c r="CT41" i="32"/>
  <c r="BQ137" i="3"/>
  <c r="CE190" i="30"/>
  <c r="CO47" i="30"/>
  <c r="BQ139" i="3"/>
  <c r="BQ152" i="3"/>
  <c r="BQ150" i="3"/>
  <c r="BO758" i="9"/>
  <c r="CF127" i="30"/>
  <c r="CG206" i="6"/>
  <c r="CG217" i="6" s="1"/>
  <c r="BP107" i="3"/>
  <c r="BP84" i="3"/>
  <c r="BP94" i="3"/>
  <c r="BP71" i="3"/>
  <c r="CF77" i="30"/>
  <c r="CS170" i="20"/>
  <c r="BP732" i="9"/>
  <c r="BP243" i="3"/>
  <c r="W37" i="32"/>
  <c r="W58" i="30"/>
  <c r="CV56" i="30"/>
  <c r="CS56" i="30"/>
  <c r="BQ148" i="3"/>
  <c r="BQ142" i="3"/>
  <c r="BQ147" i="3"/>
  <c r="CF179" i="6"/>
  <c r="CF101" i="30" s="1"/>
  <c r="CG293" i="26"/>
  <c r="CG298" i="26" s="1"/>
  <c r="R10" i="50"/>
  <c r="R16" i="50" s="1"/>
  <c r="J16" i="50"/>
  <c r="J42" i="50" s="1"/>
  <c r="BP720" i="9"/>
  <c r="BP231" i="3"/>
  <c r="CP47" i="30"/>
  <c r="BQ145" i="3"/>
  <c r="BQ156" i="3"/>
  <c r="BQ149" i="3"/>
  <c r="BP712" i="9"/>
  <c r="BP781" i="9" s="1"/>
  <c r="BP714" i="9"/>
  <c r="BP783" i="9" s="1"/>
  <c r="BP707" i="9"/>
  <c r="BP776" i="9" s="1"/>
  <c r="BP799" i="9" s="1"/>
  <c r="BP699" i="9"/>
  <c r="BP768" i="9" s="1"/>
  <c r="BP713" i="9"/>
  <c r="BP782" i="9" s="1"/>
  <c r="BP711" i="9"/>
  <c r="BP780" i="9" s="1"/>
  <c r="BP803" i="9" s="1"/>
  <c r="BP706" i="9"/>
  <c r="BP775" i="9" s="1"/>
  <c r="BP798" i="9" s="1"/>
  <c r="BP701" i="9"/>
  <c r="BP770" i="9" s="1"/>
  <c r="BP793" i="9" s="1"/>
  <c r="BP696" i="9"/>
  <c r="BP765" i="9" s="1"/>
  <c r="BP703" i="9"/>
  <c r="BP772" i="9" s="1"/>
  <c r="BP795" i="9" s="1"/>
  <c r="BP698" i="9"/>
  <c r="BP767" i="9" s="1"/>
  <c r="BP790" i="9" s="1"/>
  <c r="BP710" i="9"/>
  <c r="BP779" i="9" s="1"/>
  <c r="BP708" i="9"/>
  <c r="BP777" i="9" s="1"/>
  <c r="BP705" i="9"/>
  <c r="BP774" i="9" s="1"/>
  <c r="BP797" i="9" s="1"/>
  <c r="BP695" i="9"/>
  <c r="BP764" i="9" s="1"/>
  <c r="BP787" i="9" s="1"/>
  <c r="BP702" i="9"/>
  <c r="BP771" i="9" s="1"/>
  <c r="BP700" i="9"/>
  <c r="BP769" i="9" s="1"/>
  <c r="BP792" i="9" s="1"/>
  <c r="BP697" i="9"/>
  <c r="BP766" i="9" s="1"/>
  <c r="BP789" i="9" s="1"/>
  <c r="BP709" i="9"/>
  <c r="BP778" i="9" s="1"/>
  <c r="BP801" i="9" s="1"/>
  <c r="BP704" i="9"/>
  <c r="BP773" i="9" s="1"/>
  <c r="BY19" i="32"/>
  <c r="BY85" i="30"/>
  <c r="BY88" i="30" s="1"/>
  <c r="BY14" i="6"/>
  <c r="X39" i="32"/>
  <c r="BZ39" i="32"/>
  <c r="X60" i="30"/>
  <c r="CF129" i="30"/>
  <c r="CG229" i="6"/>
  <c r="CG236" i="6" s="1"/>
  <c r="W39" i="32"/>
  <c r="BY39" i="32"/>
  <c r="W60" i="30"/>
  <c r="BP728" i="9"/>
  <c r="BP239" i="3"/>
  <c r="Y45" i="32"/>
  <c r="CT45" i="32" s="1"/>
  <c r="CU62" i="30"/>
  <c r="CX62" i="30"/>
  <c r="BP718" i="9"/>
  <c r="BP229" i="3"/>
  <c r="CC78" i="33"/>
  <c r="CC80" i="33" s="1"/>
  <c r="CC208" i="30"/>
  <c r="CC92" i="33" s="1"/>
  <c r="BP730" i="9"/>
  <c r="BP241" i="3"/>
  <c r="BP434" i="9"/>
  <c r="BP339" i="9"/>
  <c r="BP292" i="9"/>
  <c r="BP425" i="9"/>
  <c r="BP406" i="9"/>
  <c r="BP415" i="9"/>
  <c r="BP396" i="9"/>
  <c r="BP377" i="9"/>
  <c r="BP330" i="9"/>
  <c r="BP197" i="9"/>
  <c r="BP368" i="9"/>
  <c r="BP301" i="9"/>
  <c r="BP178" i="9"/>
  <c r="BP349" i="9"/>
  <c r="BP273" i="9"/>
  <c r="BP244" i="9"/>
  <c r="BP235" i="9"/>
  <c r="BP320" i="9"/>
  <c r="BP311" i="9"/>
  <c r="BP282" i="9"/>
  <c r="BP206" i="9"/>
  <c r="BP187" i="9"/>
  <c r="BP225" i="9"/>
  <c r="BP387" i="9"/>
  <c r="BP254" i="9"/>
  <c r="BP216" i="9"/>
  <c r="BP130" i="9"/>
  <c r="BP83" i="9"/>
  <c r="BP140" i="9"/>
  <c r="BP111" i="9"/>
  <c r="BP121" i="9"/>
  <c r="BP358" i="9"/>
  <c r="BP168" i="9"/>
  <c r="BP263" i="9"/>
  <c r="BP102" i="9"/>
  <c r="BP92" i="9"/>
  <c r="BP159" i="9"/>
  <c r="BP149" i="9"/>
  <c r="BP64" i="9"/>
  <c r="BP73" i="9"/>
  <c r="BP104" i="3"/>
  <c r="BP81" i="3"/>
  <c r="BP110" i="3"/>
  <c r="BP87" i="3"/>
  <c r="CF158" i="6"/>
  <c r="CF121" i="30" s="1"/>
  <c r="CG142" i="6"/>
  <c r="CG155" i="6" s="1"/>
  <c r="BQ151" i="3"/>
  <c r="BQ146" i="3"/>
  <c r="Y39" i="32"/>
  <c r="CA39" i="32"/>
  <c r="Y60" i="30"/>
  <c r="BP28" i="3"/>
  <c r="BP26" i="3"/>
  <c r="BZ96" i="33"/>
  <c r="BZ101" i="33" s="1"/>
  <c r="BZ104" i="33" s="1"/>
  <c r="CA211" i="30"/>
  <c r="CA212" i="30" s="1"/>
  <c r="BZ214" i="30"/>
  <c r="BZ217" i="30" s="1"/>
  <c r="BZ83" i="6"/>
  <c r="CG28" i="6"/>
  <c r="CG68" i="30" s="1"/>
  <c r="CH234" i="26"/>
  <c r="CH243" i="26" s="1"/>
  <c r="W45" i="32"/>
  <c r="CV62" i="30"/>
  <c r="CS62" i="30"/>
  <c r="BP96" i="3"/>
  <c r="BP73" i="3"/>
  <c r="BP108" i="3"/>
  <c r="BP85" i="3"/>
  <c r="CF130" i="30"/>
  <c r="CG239" i="6"/>
  <c r="CG242" i="6" s="1"/>
  <c r="CG34" i="6"/>
  <c r="CG70" i="30" s="1"/>
  <c r="CH274" i="26"/>
  <c r="CH278" i="26" s="1"/>
  <c r="BP78" i="3"/>
  <c r="CD72" i="30"/>
  <c r="CE40" i="6"/>
  <c r="CE44" i="6" s="1"/>
  <c r="BP724" i="9"/>
  <c r="BP235" i="3"/>
  <c r="W38" i="35"/>
  <c r="W31" i="13"/>
  <c r="CR41" i="32"/>
  <c r="BP18" i="3"/>
  <c r="BP253" i="3"/>
  <c r="BP276" i="3" s="1"/>
  <c r="BP207" i="3"/>
  <c r="BP98" i="3"/>
  <c r="BP75" i="3"/>
  <c r="BP734" i="9"/>
  <c r="BP245" i="3"/>
  <c r="W109" i="13"/>
  <c r="W180" i="30"/>
  <c r="CV148" i="30"/>
  <c r="CS148" i="30"/>
  <c r="BQ155" i="3"/>
  <c r="BP270" i="3"/>
  <c r="BP293" i="3" s="1"/>
  <c r="BP224" i="3"/>
  <c r="Y37" i="32"/>
  <c r="CT37" i="32" s="1"/>
  <c r="Y58" i="30"/>
  <c r="CX56" i="30"/>
  <c r="CU56" i="30"/>
  <c r="P10" i="50"/>
  <c r="P16" i="50" s="1"/>
  <c r="H16" i="50"/>
  <c r="H42" i="50" s="1"/>
  <c r="BQ153" i="3"/>
  <c r="BQ138" i="3"/>
  <c r="CB94" i="33"/>
  <c r="CP38" i="30"/>
  <c r="CG37" i="6"/>
  <c r="CG71" i="30" s="1"/>
  <c r="CH262" i="26"/>
  <c r="CH269" i="26" s="1"/>
  <c r="X109" i="13"/>
  <c r="X180" i="30"/>
  <c r="CW148" i="30"/>
  <c r="CT148" i="30"/>
  <c r="BP103" i="3"/>
  <c r="BP80" i="3"/>
  <c r="BP726" i="9"/>
  <c r="BP237" i="3"/>
  <c r="X37" i="32"/>
  <c r="CS37" i="32" s="1"/>
  <c r="X58" i="30"/>
  <c r="CW56" i="30"/>
  <c r="CT56" i="30"/>
  <c r="Y109" i="13"/>
  <c r="Y180" i="30"/>
  <c r="CX148" i="30"/>
  <c r="CU148" i="30"/>
  <c r="BQ154" i="3"/>
  <c r="BQ143" i="3"/>
  <c r="CF128" i="30"/>
  <c r="CG220" i="6"/>
  <c r="CG226" i="6" s="1"/>
  <c r="X45" i="32"/>
  <c r="CS45" i="32" s="1"/>
  <c r="CW62" i="30"/>
  <c r="CT62" i="30"/>
  <c r="X38" i="35"/>
  <c r="X31" i="13"/>
  <c r="CS41" i="32"/>
  <c r="CG25" i="6"/>
  <c r="CH220" i="26"/>
  <c r="CH229" i="26" s="1"/>
  <c r="BP729" i="9"/>
  <c r="BP240" i="3"/>
  <c r="CG52" i="6"/>
  <c r="CH283" i="26"/>
  <c r="CH288" i="26" s="1"/>
  <c r="BY136" i="30"/>
  <c r="BY16" i="6"/>
  <c r="CD134" i="30"/>
  <c r="CE245" i="6"/>
  <c r="CE248" i="6" s="1"/>
  <c r="CD73" i="33"/>
  <c r="BP723" i="9"/>
  <c r="BP234" i="3"/>
  <c r="M20" i="14"/>
  <c r="E20" i="14" a="1"/>
  <c r="CR37" i="32" l="1"/>
  <c r="W38" i="32"/>
  <c r="CR38" i="32" s="1"/>
  <c r="CR45" i="32"/>
  <c r="W46" i="32"/>
  <c r="BY137" i="30"/>
  <c r="BY40" i="32"/>
  <c r="CR40" i="32" s="1"/>
  <c r="AD109" i="6"/>
  <c r="AC130" i="6"/>
  <c r="AB20" i="6"/>
  <c r="AB18" i="6"/>
  <c r="AB32" i="32"/>
  <c r="AB124" i="30"/>
  <c r="AB139" i="30" s="1"/>
  <c r="BP794" i="9"/>
  <c r="BP817" i="9" s="1"/>
  <c r="BP796" i="9"/>
  <c r="BP819" i="9" s="1"/>
  <c r="BP806" i="9"/>
  <c r="BP757" i="9"/>
  <c r="CA114" i="6"/>
  <c r="CB109" i="6" s="1"/>
  <c r="CB114" i="6" s="1"/>
  <c r="CC109" i="6" s="1"/>
  <c r="CC114" i="6" s="1"/>
  <c r="CA125" i="6"/>
  <c r="CS125" i="6" s="1"/>
  <c r="A125" i="6" s="1" a="1"/>
  <c r="A125" i="6" s="1"/>
  <c r="BP791" i="9"/>
  <c r="BP814" i="9" s="1"/>
  <c r="BP804" i="9"/>
  <c r="BP827" i="9" s="1"/>
  <c r="X32" i="32"/>
  <c r="CS32" i="32" s="1"/>
  <c r="CW119" i="30"/>
  <c r="X124" i="30"/>
  <c r="BP805" i="9"/>
  <c r="BP828" i="9" s="1"/>
  <c r="BP747" i="9"/>
  <c r="BP753" i="9"/>
  <c r="BP788" i="9"/>
  <c r="BP811" i="9" s="1"/>
  <c r="BP802" i="9"/>
  <c r="BP825" i="9" s="1"/>
  <c r="BP800" i="9"/>
  <c r="BP823" i="9" s="1"/>
  <c r="CG248" i="26"/>
  <c r="CG257" i="26" s="1"/>
  <c r="CF31" i="6"/>
  <c r="CF69" i="30" s="1"/>
  <c r="CT39" i="32"/>
  <c r="CC94" i="33"/>
  <c r="CR39" i="32"/>
  <c r="CH52" i="6"/>
  <c r="CI283" i="26"/>
  <c r="CI288" i="26" s="1"/>
  <c r="BQ177" i="3"/>
  <c r="BQ200" i="3" s="1"/>
  <c r="CH37" i="6"/>
  <c r="CH71" i="30" s="1"/>
  <c r="CI262" i="26"/>
  <c r="CI269" i="26" s="1"/>
  <c r="P42" i="50"/>
  <c r="H44" i="50"/>
  <c r="I44" i="50" s="1"/>
  <c r="J44" i="50" s="1"/>
  <c r="BQ178" i="3"/>
  <c r="BQ201" i="3" s="1"/>
  <c r="CP62" i="30"/>
  <c r="CA96" i="33"/>
  <c r="CA101" i="33" s="1"/>
  <c r="CA104" i="33" s="1"/>
  <c r="CB211" i="30"/>
  <c r="CB212" i="30" s="1"/>
  <c r="CA214" i="30"/>
  <c r="CA217" i="30" s="1"/>
  <c r="CA83" i="6"/>
  <c r="BQ174" i="3"/>
  <c r="BQ197" i="3" s="1"/>
  <c r="CS39" i="32"/>
  <c r="BQ168" i="3"/>
  <c r="BQ191" i="3" s="1"/>
  <c r="BQ170" i="3"/>
  <c r="BQ193" i="3" s="1"/>
  <c r="BP755" i="9"/>
  <c r="BQ162" i="3"/>
  <c r="BQ185" i="3" s="1"/>
  <c r="X259" i="6"/>
  <c r="BZ256" i="6"/>
  <c r="BZ259" i="6" s="1"/>
  <c r="BQ59" i="3"/>
  <c r="BQ51" i="3"/>
  <c r="BQ97" i="3" s="1"/>
  <c r="BQ62" i="3"/>
  <c r="BQ108" i="3" s="1"/>
  <c r="BQ49" i="3"/>
  <c r="BQ52" i="3"/>
  <c r="BQ98" i="3" s="1"/>
  <c r="BQ57" i="3"/>
  <c r="BQ103" i="3" s="1"/>
  <c r="BQ61" i="3"/>
  <c r="BQ107" i="3" s="1"/>
  <c r="BQ56" i="3"/>
  <c r="BQ58" i="3"/>
  <c r="BQ104" i="3" s="1"/>
  <c r="BQ60" i="3"/>
  <c r="BQ48" i="3"/>
  <c r="BQ94" i="3" s="1"/>
  <c r="BQ64" i="3"/>
  <c r="BQ110" i="3" s="1"/>
  <c r="BQ63" i="3"/>
  <c r="BQ45" i="3"/>
  <c r="BQ46" i="3"/>
  <c r="BQ50" i="3"/>
  <c r="BQ96" i="3" s="1"/>
  <c r="BQ55" i="3"/>
  <c r="BQ101" i="3" s="1"/>
  <c r="BQ54" i="3"/>
  <c r="BQ47" i="3"/>
  <c r="BQ53" i="3"/>
  <c r="BQ5" i="9"/>
  <c r="BQ114" i="3"/>
  <c r="BQ117" i="3"/>
  <c r="BQ115" i="3"/>
  <c r="BQ132" i="3"/>
  <c r="BQ130" i="3"/>
  <c r="BQ120" i="3"/>
  <c r="BQ125" i="3"/>
  <c r="BQ116" i="3"/>
  <c r="BQ121" i="3"/>
  <c r="BQ127" i="3"/>
  <c r="BQ122" i="3"/>
  <c r="BQ133" i="3"/>
  <c r="BQ119" i="3"/>
  <c r="BQ118" i="3"/>
  <c r="BQ123" i="3"/>
  <c r="BQ129" i="3"/>
  <c r="BQ126" i="3"/>
  <c r="BQ124" i="3"/>
  <c r="BQ128" i="3"/>
  <c r="BQ131" i="3"/>
  <c r="BP727" i="9"/>
  <c r="BP238" i="3"/>
  <c r="CO148" i="30"/>
  <c r="BP820" i="9"/>
  <c r="BP829" i="9"/>
  <c r="BP821" i="9"/>
  <c r="BP813" i="9"/>
  <c r="BP826" i="9"/>
  <c r="BP822" i="9"/>
  <c r="BP818" i="9"/>
  <c r="BP816" i="9"/>
  <c r="BP815" i="9"/>
  <c r="BP812" i="9"/>
  <c r="BP824" i="9"/>
  <c r="BP810" i="9"/>
  <c r="CE72" i="30"/>
  <c r="CF40" i="6"/>
  <c r="CF44" i="6" s="1"/>
  <c r="W34" i="35"/>
  <c r="W18" i="13"/>
  <c r="Y34" i="35"/>
  <c r="Y18" i="13"/>
  <c r="BQ165" i="3"/>
  <c r="BQ188" i="3" s="1"/>
  <c r="BR10" i="3"/>
  <c r="BR154" i="3" s="1"/>
  <c r="CP148" i="30"/>
  <c r="CG129" i="30"/>
  <c r="CH229" i="6"/>
  <c r="CH236" i="6" s="1"/>
  <c r="BY18" i="6"/>
  <c r="BY20" i="6"/>
  <c r="BQ171" i="3"/>
  <c r="BQ194" i="3" s="1"/>
  <c r="CV136" i="30"/>
  <c r="CS136" i="30"/>
  <c r="W137" i="30"/>
  <c r="BQ164" i="3"/>
  <c r="BQ187" i="3" s="1"/>
  <c r="BP735" i="9"/>
  <c r="BP246" i="3"/>
  <c r="BP746" i="9"/>
  <c r="BP752" i="9"/>
  <c r="CG77" i="30"/>
  <c r="CH25" i="6"/>
  <c r="CI220" i="26"/>
  <c r="CI229" i="26" s="1"/>
  <c r="CG67" i="30"/>
  <c r="X34" i="35"/>
  <c r="X18" i="13"/>
  <c r="Y82" i="35"/>
  <c r="Y112" i="13"/>
  <c r="Y67" i="33"/>
  <c r="Y69" i="33" s="1"/>
  <c r="Y27" i="32"/>
  <c r="CT27" i="32" s="1"/>
  <c r="Y31" i="32"/>
  <c r="Y208" i="30"/>
  <c r="BP749" i="9"/>
  <c r="W82" i="35"/>
  <c r="W112" i="13"/>
  <c r="W67" i="33"/>
  <c r="W69" i="33" s="1"/>
  <c r="W31" i="32"/>
  <c r="W27" i="32"/>
  <c r="W208" i="30"/>
  <c r="CH28" i="6"/>
  <c r="CH68" i="30" s="1"/>
  <c r="CI234" i="26"/>
  <c r="CI243" i="26" s="1"/>
  <c r="BP751" i="9"/>
  <c r="BY23" i="32"/>
  <c r="BY112" i="30"/>
  <c r="BY114" i="30"/>
  <c r="BY139" i="30" s="1"/>
  <c r="BP743" i="9"/>
  <c r="CO56" i="30"/>
  <c r="CG127" i="30"/>
  <c r="CH206" i="6"/>
  <c r="CH217" i="6" s="1"/>
  <c r="CE73" i="33"/>
  <c r="BQ167" i="3"/>
  <c r="BQ190" i="3" s="1"/>
  <c r="BQ163" i="3"/>
  <c r="BQ186" i="3" s="1"/>
  <c r="BP722" i="9"/>
  <c r="BP233" i="3"/>
  <c r="CE134" i="30"/>
  <c r="CF245" i="6"/>
  <c r="CF248" i="6" s="1"/>
  <c r="CH34" i="6"/>
  <c r="CH70" i="30" s="1"/>
  <c r="CI274" i="26"/>
  <c r="CI278" i="26" s="1"/>
  <c r="CX60" i="30"/>
  <c r="CU60" i="30"/>
  <c r="CG158" i="6"/>
  <c r="CG121" i="30" s="1"/>
  <c r="CH142" i="6"/>
  <c r="CH155" i="6" s="1"/>
  <c r="CS60" i="30"/>
  <c r="CV60" i="30"/>
  <c r="BY20" i="32"/>
  <c r="R42" i="50"/>
  <c r="CP56" i="30"/>
  <c r="BQ160" i="3"/>
  <c r="BQ183" i="3" s="1"/>
  <c r="Q42" i="50"/>
  <c r="BQ16" i="3"/>
  <c r="BQ22" i="3"/>
  <c r="BQ4" i="9"/>
  <c r="BQ20" i="3"/>
  <c r="CW58" i="30"/>
  <c r="CT58" i="30"/>
  <c r="BP741" i="9"/>
  <c r="CV58" i="30"/>
  <c r="CS58" i="30"/>
  <c r="BP744" i="9"/>
  <c r="BQ3" i="9"/>
  <c r="BQ37" i="3"/>
  <c r="BP737" i="9"/>
  <c r="BP248" i="3"/>
  <c r="BP725" i="9"/>
  <c r="BP236" i="3"/>
  <c r="BQ166" i="3"/>
  <c r="BQ189" i="3" s="1"/>
  <c r="CG128" i="30"/>
  <c r="CH220" i="6"/>
  <c r="CH226" i="6" s="1"/>
  <c r="CU58" i="30"/>
  <c r="CX58" i="30"/>
  <c r="X82" i="35"/>
  <c r="X112" i="13"/>
  <c r="X67" i="33"/>
  <c r="X69" i="33" s="1"/>
  <c r="X31" i="32"/>
  <c r="X27" i="32"/>
  <c r="CS27" i="32" s="1"/>
  <c r="X208" i="30"/>
  <c r="BQ161" i="3"/>
  <c r="BQ184" i="3" s="1"/>
  <c r="BP736" i="9"/>
  <c r="BP247" i="3"/>
  <c r="BP719" i="9"/>
  <c r="BP230" i="3"/>
  <c r="BZ19" i="32"/>
  <c r="BZ85" i="30"/>
  <c r="BZ88" i="30" s="1"/>
  <c r="BZ14" i="6"/>
  <c r="BQ172" i="3"/>
  <c r="BQ195" i="3" s="1"/>
  <c r="CG179" i="6"/>
  <c r="CG101" i="30" s="1"/>
  <c r="CH293" i="26"/>
  <c r="CH298" i="26" s="1"/>
  <c r="BQ173" i="3"/>
  <c r="BQ196" i="3" s="1"/>
  <c r="BQ176" i="3"/>
  <c r="BQ199" i="3" s="1"/>
  <c r="CG130" i="30"/>
  <c r="CH239" i="6"/>
  <c r="CH242" i="6" s="1"/>
  <c r="CO62" i="30"/>
  <c r="BQ169" i="3"/>
  <c r="BQ192" i="3" s="1"/>
  <c r="BP645" i="9"/>
  <c r="CW60" i="30"/>
  <c r="CT60" i="30"/>
  <c r="BQ179" i="3"/>
  <c r="BQ202" i="3" s="1"/>
  <c r="CF190" i="30"/>
  <c r="BQ175" i="3"/>
  <c r="BQ198" i="3" s="1"/>
  <c r="BP733" i="9"/>
  <c r="BP244" i="3"/>
  <c r="BP731" i="9"/>
  <c r="BP242" i="3"/>
  <c r="E20" i="14"/>
  <c r="N20" i="14" s="1" a="1"/>
  <c r="N20" i="14" s="1"/>
  <c r="CR27" i="32" l="1"/>
  <c r="W28" i="32"/>
  <c r="CR28" i="32" s="1"/>
  <c r="W35" i="35"/>
  <c r="W19" i="13"/>
  <c r="W95" i="35" s="1"/>
  <c r="W15" i="12"/>
  <c r="CR46" i="32"/>
  <c r="AB143" i="30"/>
  <c r="AB141" i="30"/>
  <c r="AC133" i="6"/>
  <c r="AC119" i="30" s="1"/>
  <c r="AC16" i="6"/>
  <c r="AD114" i="6"/>
  <c r="AD125" i="6"/>
  <c r="BQ74" i="3"/>
  <c r="BQ80" i="3"/>
  <c r="BQ78" i="3"/>
  <c r="BQ87" i="3"/>
  <c r="BQ75" i="3"/>
  <c r="BR153" i="3"/>
  <c r="BR151" i="3"/>
  <c r="BR174" i="3" s="1"/>
  <c r="BR197" i="3" s="1"/>
  <c r="BQ84" i="3"/>
  <c r="BQ73" i="3"/>
  <c r="BQ71" i="3"/>
  <c r="BR138" i="3"/>
  <c r="BR161" i="3" s="1"/>
  <c r="BR184" i="3" s="1"/>
  <c r="BQ85" i="3"/>
  <c r="BP760" i="9"/>
  <c r="BR148" i="3"/>
  <c r="BR171" i="3" s="1"/>
  <c r="Y130" i="6"/>
  <c r="CS114" i="6"/>
  <c r="BR141" i="3"/>
  <c r="BR149" i="3"/>
  <c r="BR172" i="3" s="1"/>
  <c r="BR195" i="3" s="1"/>
  <c r="X124" i="13"/>
  <c r="CW124" i="30"/>
  <c r="CA130" i="6"/>
  <c r="CC130" i="6"/>
  <c r="CC133" i="6" s="1"/>
  <c r="CC119" i="30" s="1"/>
  <c r="CD109" i="6"/>
  <c r="BP756" i="9"/>
  <c r="BP748" i="9"/>
  <c r="CG31" i="6"/>
  <c r="CG69" i="30" s="1"/>
  <c r="CH248" i="26"/>
  <c r="CH257" i="26" s="1"/>
  <c r="BQ218" i="3"/>
  <c r="BQ264" i="3"/>
  <c r="BQ287" i="3" s="1"/>
  <c r="BQ220" i="3"/>
  <c r="BQ266" i="3"/>
  <c r="BQ289" i="3" s="1"/>
  <c r="R44" i="50"/>
  <c r="BQ222" i="3"/>
  <c r="BQ268" i="3"/>
  <c r="BQ291" i="3" s="1"/>
  <c r="BQ256" i="3"/>
  <c r="BQ279" i="3" s="1"/>
  <c r="BQ210" i="3"/>
  <c r="BQ269" i="3"/>
  <c r="BQ292" i="3" s="1"/>
  <c r="BQ223" i="3"/>
  <c r="BQ271" i="3"/>
  <c r="BQ294" i="3" s="1"/>
  <c r="BQ225" i="3"/>
  <c r="BQ207" i="3"/>
  <c r="BQ253" i="3"/>
  <c r="BQ276" i="3" s="1"/>
  <c r="BQ252" i="3"/>
  <c r="BQ275" i="3" s="1"/>
  <c r="BQ206" i="3"/>
  <c r="BR177" i="3"/>
  <c r="BR200" i="3" s="1"/>
  <c r="BQ209" i="3"/>
  <c r="BQ255" i="3"/>
  <c r="BQ278" i="3" s="1"/>
  <c r="BQ213" i="3"/>
  <c r="BQ259" i="3"/>
  <c r="BQ282" i="3" s="1"/>
  <c r="BQ216" i="3"/>
  <c r="BQ262" i="3"/>
  <c r="BQ285" i="3" s="1"/>
  <c r="BQ267" i="3"/>
  <c r="BQ290" i="3" s="1"/>
  <c r="BQ221" i="3"/>
  <c r="X43" i="35"/>
  <c r="X45" i="13"/>
  <c r="X97" i="35" s="1"/>
  <c r="CS31" i="32"/>
  <c r="CG190" i="30"/>
  <c r="BP742" i="9"/>
  <c r="BQ258" i="3"/>
  <c r="BQ281" i="3" s="1"/>
  <c r="BQ212" i="3"/>
  <c r="BP754" i="9"/>
  <c r="CF73" i="33"/>
  <c r="CP58" i="30"/>
  <c r="BP745" i="9"/>
  <c r="BP758" i="9"/>
  <c r="BR146" i="3"/>
  <c r="BR156" i="3"/>
  <c r="BR144" i="3"/>
  <c r="BQ102" i="3"/>
  <c r="BQ79" i="3"/>
  <c r="BQ260" i="3"/>
  <c r="BQ283" i="3" s="1"/>
  <c r="BQ214" i="3"/>
  <c r="CH130" i="30"/>
  <c r="CI239" i="6"/>
  <c r="CI242" i="6" s="1"/>
  <c r="CI130" i="30" s="1"/>
  <c r="BQ219" i="3"/>
  <c r="BQ265" i="3"/>
  <c r="BQ288" i="3" s="1"/>
  <c r="BZ23" i="32"/>
  <c r="BZ112" i="30"/>
  <c r="BZ114" i="30"/>
  <c r="X115" i="13"/>
  <c r="X92" i="33"/>
  <c r="X94" i="33" s="1"/>
  <c r="CH127" i="30"/>
  <c r="CI206" i="6"/>
  <c r="CI217" i="6" s="1"/>
  <c r="CI127" i="30" s="1"/>
  <c r="W43" i="35"/>
  <c r="W45" i="13"/>
  <c r="W97" i="35" s="1"/>
  <c r="CR31" i="32"/>
  <c r="CI25" i="6"/>
  <c r="BR164" i="3"/>
  <c r="BR187" i="3" s="1"/>
  <c r="BQ92" i="3"/>
  <c r="BQ69" i="3"/>
  <c r="Q44" i="50"/>
  <c r="CI34" i="6"/>
  <c r="CI70" i="30" s="1"/>
  <c r="CI28" i="6"/>
  <c r="CI68" i="30" s="1"/>
  <c r="CH67" i="30"/>
  <c r="CH129" i="30"/>
  <c r="CI229" i="6"/>
  <c r="CI236" i="6" s="1"/>
  <c r="CI129" i="30" s="1"/>
  <c r="BR152" i="3"/>
  <c r="BR143" i="3"/>
  <c r="BR155" i="3"/>
  <c r="BQ91" i="3"/>
  <c r="BQ68" i="3"/>
  <c r="BQ81" i="3"/>
  <c r="BY51" i="35"/>
  <c r="BY23" i="35"/>
  <c r="BY98" i="33"/>
  <c r="W125" i="13"/>
  <c r="CV137" i="30"/>
  <c r="CS137" i="30"/>
  <c r="BR145" i="3"/>
  <c r="BR139" i="3"/>
  <c r="BQ425" i="9"/>
  <c r="BQ320" i="9"/>
  <c r="BQ273" i="9"/>
  <c r="BQ406" i="9"/>
  <c r="BQ415" i="9"/>
  <c r="BQ396" i="9"/>
  <c r="BQ358" i="9"/>
  <c r="BQ311" i="9"/>
  <c r="BQ368" i="9"/>
  <c r="BQ339" i="9"/>
  <c r="BQ301" i="9"/>
  <c r="BQ178" i="9"/>
  <c r="BQ349" i="9"/>
  <c r="BQ330" i="9"/>
  <c r="BQ244" i="9"/>
  <c r="BQ235" i="9"/>
  <c r="BQ159" i="9"/>
  <c r="BQ282" i="9"/>
  <c r="BQ206" i="9"/>
  <c r="BQ187" i="9"/>
  <c r="BQ434" i="9"/>
  <c r="BQ377" i="9"/>
  <c r="BQ225" i="9"/>
  <c r="BQ387" i="9"/>
  <c r="BQ254" i="9"/>
  <c r="BQ216" i="9"/>
  <c r="BQ263" i="9"/>
  <c r="BQ111" i="9"/>
  <c r="BQ64" i="9"/>
  <c r="BQ197" i="9"/>
  <c r="BQ121" i="9"/>
  <c r="BQ168" i="9"/>
  <c r="BQ102" i="9"/>
  <c r="BQ83" i="9"/>
  <c r="BQ130" i="9"/>
  <c r="BQ92" i="9"/>
  <c r="BQ149" i="9"/>
  <c r="BQ73" i="9"/>
  <c r="BQ292" i="9"/>
  <c r="BQ140" i="9"/>
  <c r="BQ109" i="3"/>
  <c r="BQ86" i="3"/>
  <c r="BQ208" i="3"/>
  <c r="BQ254" i="3"/>
  <c r="BQ277" i="3" s="1"/>
  <c r="BQ224" i="3"/>
  <c r="BQ270" i="3"/>
  <c r="BQ293" i="3" s="1"/>
  <c r="CI52" i="6"/>
  <c r="CH128" i="30"/>
  <c r="CI220" i="6"/>
  <c r="CI226" i="6" s="1"/>
  <c r="CI128" i="30" s="1"/>
  <c r="CP60" i="30"/>
  <c r="BR5" i="3"/>
  <c r="BS8" i="3"/>
  <c r="BR41" i="3"/>
  <c r="BR24" i="3"/>
  <c r="BR12" i="3"/>
  <c r="BR3" i="3" s="1"/>
  <c r="BR4" i="3"/>
  <c r="BQ99" i="3"/>
  <c r="BQ76" i="3"/>
  <c r="BZ136" i="30"/>
  <c r="BZ137" i="30" s="1"/>
  <c r="BZ16" i="6"/>
  <c r="BZ20" i="6" s="1"/>
  <c r="P44" i="50"/>
  <c r="CH179" i="6"/>
  <c r="CH101" i="30" s="1"/>
  <c r="CI293" i="26"/>
  <c r="CI298" i="26" s="1"/>
  <c r="CI179" i="6" s="1"/>
  <c r="CI101" i="30" s="1"/>
  <c r="BQ712" i="9"/>
  <c r="BQ781" i="9" s="1"/>
  <c r="BQ804" i="9" s="1"/>
  <c r="BQ704" i="9"/>
  <c r="BQ773" i="9" s="1"/>
  <c r="BQ696" i="9"/>
  <c r="BQ765" i="9" s="1"/>
  <c r="BQ711" i="9"/>
  <c r="BQ780" i="9" s="1"/>
  <c r="BQ706" i="9"/>
  <c r="BQ775" i="9" s="1"/>
  <c r="BQ701" i="9"/>
  <c r="BQ770" i="9" s="1"/>
  <c r="BQ699" i="9"/>
  <c r="BQ768" i="9" s="1"/>
  <c r="BQ791" i="9" s="1"/>
  <c r="BQ703" i="9"/>
  <c r="BQ772" i="9" s="1"/>
  <c r="BQ698" i="9"/>
  <c r="BQ767" i="9" s="1"/>
  <c r="BQ710" i="9"/>
  <c r="BQ779" i="9" s="1"/>
  <c r="BQ708" i="9"/>
  <c r="BQ777" i="9" s="1"/>
  <c r="BQ705" i="9"/>
  <c r="BQ774" i="9" s="1"/>
  <c r="BQ695" i="9"/>
  <c r="BQ764" i="9" s="1"/>
  <c r="BQ702" i="9"/>
  <c r="BQ771" i="9" s="1"/>
  <c r="BQ700" i="9"/>
  <c r="BQ769" i="9" s="1"/>
  <c r="BQ697" i="9"/>
  <c r="BQ766" i="9" s="1"/>
  <c r="BQ709" i="9"/>
  <c r="BQ778" i="9" s="1"/>
  <c r="BQ707" i="9"/>
  <c r="BQ776" i="9" s="1"/>
  <c r="BQ714" i="9"/>
  <c r="BQ783" i="9" s="1"/>
  <c r="BQ713" i="9"/>
  <c r="BQ782" i="9" s="1"/>
  <c r="CO60" i="30"/>
  <c r="CF134" i="30"/>
  <c r="CG245" i="6"/>
  <c r="CG248" i="6" s="1"/>
  <c r="BR176" i="3"/>
  <c r="BR199" i="3" s="1"/>
  <c r="BQ93" i="3"/>
  <c r="BQ70" i="3"/>
  <c r="CA19" i="32"/>
  <c r="CA85" i="30"/>
  <c r="CA88" i="30" s="1"/>
  <c r="CA14" i="6"/>
  <c r="CH77" i="30"/>
  <c r="BZ20" i="32"/>
  <c r="BP759" i="9"/>
  <c r="BQ28" i="3"/>
  <c r="BQ26" i="3"/>
  <c r="CI142" i="6"/>
  <c r="CI155" i="6" s="1"/>
  <c r="CI158" i="6" s="1"/>
  <c r="CI121" i="30" s="1"/>
  <c r="CH158" i="6"/>
  <c r="CH121" i="30" s="1"/>
  <c r="BY143" i="30"/>
  <c r="BY141" i="30"/>
  <c r="Y115" i="13"/>
  <c r="Y92" i="33"/>
  <c r="Y94" i="33" s="1"/>
  <c r="BR147" i="3"/>
  <c r="BR140" i="3"/>
  <c r="CF72" i="30"/>
  <c r="CG40" i="6"/>
  <c r="CG44" i="6" s="1"/>
  <c r="BP750" i="9"/>
  <c r="BQ100" i="3"/>
  <c r="BQ77" i="3"/>
  <c r="BQ106" i="3"/>
  <c r="BQ83" i="3"/>
  <c r="BQ95" i="3"/>
  <c r="BQ72" i="3"/>
  <c r="BQ105" i="3"/>
  <c r="BQ82" i="3"/>
  <c r="X136" i="30"/>
  <c r="Y256" i="6"/>
  <c r="X16" i="6"/>
  <c r="BQ215" i="3"/>
  <c r="BQ261" i="3"/>
  <c r="BQ284" i="3" s="1"/>
  <c r="CO58" i="30"/>
  <c r="BQ18" i="3"/>
  <c r="W115" i="13"/>
  <c r="W92" i="33"/>
  <c r="W94" i="33" s="1"/>
  <c r="W212" i="30"/>
  <c r="Y43" i="35"/>
  <c r="Y45" i="13"/>
  <c r="Y97" i="35" s="1"/>
  <c r="CT31" i="32"/>
  <c r="BQ217" i="3"/>
  <c r="BQ263" i="3"/>
  <c r="BQ286" i="3" s="1"/>
  <c r="BR150" i="3"/>
  <c r="BR137" i="3"/>
  <c r="BR142" i="3"/>
  <c r="BQ211" i="3"/>
  <c r="BQ257" i="3"/>
  <c r="BQ280" i="3" s="1"/>
  <c r="CB361" i="3"/>
  <c r="CB359" i="3"/>
  <c r="CB357" i="3"/>
  <c r="CB355" i="3"/>
  <c r="CB353" i="3"/>
  <c r="CB351" i="3"/>
  <c r="CB349" i="3"/>
  <c r="CB347" i="3"/>
  <c r="CB362" i="3"/>
  <c r="CB363" i="3"/>
  <c r="CB356" i="3"/>
  <c r="CB348" i="3"/>
  <c r="CB354" i="3"/>
  <c r="CB352" i="3"/>
  <c r="CB346" i="3"/>
  <c r="CB358" i="3"/>
  <c r="CB345" i="3"/>
  <c r="CB316" i="3"/>
  <c r="CB385" i="3" s="1"/>
  <c r="CB315" i="3"/>
  <c r="CB384" i="3" s="1"/>
  <c r="CB314" i="3"/>
  <c r="CB383" i="3" s="1"/>
  <c r="CB344" i="3"/>
  <c r="CB360" i="3"/>
  <c r="CB350" i="3"/>
  <c r="CB313" i="3"/>
  <c r="CB382" i="3" s="1"/>
  <c r="CB312" i="3"/>
  <c r="CB381" i="3" s="1"/>
  <c r="CB311" i="3"/>
  <c r="CB380" i="3" s="1"/>
  <c r="CB310" i="3"/>
  <c r="CB379" i="3" s="1"/>
  <c r="CB309" i="3"/>
  <c r="CB378" i="3" s="1"/>
  <c r="CB308" i="3"/>
  <c r="CB377" i="3" s="1"/>
  <c r="CB307" i="3"/>
  <c r="CB376" i="3" s="1"/>
  <c r="CB306" i="3"/>
  <c r="CB375" i="3" s="1"/>
  <c r="CB305" i="3"/>
  <c r="CB374" i="3" s="1"/>
  <c r="CB304" i="3"/>
  <c r="CB373" i="3" s="1"/>
  <c r="CB303" i="3"/>
  <c r="CB372" i="3" s="1"/>
  <c r="CB302" i="3"/>
  <c r="CB371" i="3" s="1"/>
  <c r="CB301" i="3"/>
  <c r="CB370" i="3" s="1"/>
  <c r="CB300" i="3"/>
  <c r="CB369" i="3" s="1"/>
  <c r="CB299" i="3"/>
  <c r="CB368" i="3" s="1"/>
  <c r="CB298" i="3"/>
  <c r="CB367" i="3" s="1"/>
  <c r="CB317" i="3"/>
  <c r="CB386" i="3" s="1"/>
  <c r="CB96" i="33"/>
  <c r="CB101" i="33" s="1"/>
  <c r="CB104" i="33" s="1"/>
  <c r="CC211" i="30"/>
  <c r="CC212" i="30" s="1"/>
  <c r="CB214" i="30"/>
  <c r="CB217" i="30" s="1"/>
  <c r="CB83" i="6"/>
  <c r="CI37" i="6"/>
  <c r="CI71" i="30" s="1"/>
  <c r="M19" i="14"/>
  <c r="E19" i="14" a="1"/>
  <c r="AE109" i="6" l="1"/>
  <c r="AD130" i="6"/>
  <c r="AC20" i="6"/>
  <c r="AC18" i="6"/>
  <c r="AC32" i="32"/>
  <c r="AC124" i="30"/>
  <c r="AC139" i="30" s="1"/>
  <c r="BQ795" i="9"/>
  <c r="BQ818" i="9" s="1"/>
  <c r="BQ794" i="9"/>
  <c r="BR194" i="3"/>
  <c r="BR263" i="3" s="1"/>
  <c r="BR286" i="3" s="1"/>
  <c r="BQ789" i="9"/>
  <c r="BQ812" i="9" s="1"/>
  <c r="BQ806" i="9"/>
  <c r="BQ829" i="9" s="1"/>
  <c r="BQ788" i="9"/>
  <c r="BQ811" i="9" s="1"/>
  <c r="BQ801" i="9"/>
  <c r="BQ824" i="9" s="1"/>
  <c r="BQ790" i="9"/>
  <c r="BQ805" i="9"/>
  <c r="BQ828" i="9" s="1"/>
  <c r="CD114" i="6"/>
  <c r="CD125" i="6"/>
  <c r="CC124" i="30"/>
  <c r="CC32" i="32"/>
  <c r="Y133" i="6"/>
  <c r="CS130" i="6"/>
  <c r="CB125" i="6"/>
  <c r="CB130" i="6" s="1"/>
  <c r="CA133" i="6"/>
  <c r="CA119" i="30" s="1"/>
  <c r="BQ792" i="9"/>
  <c r="BQ815" i="9" s="1"/>
  <c r="BQ798" i="9"/>
  <c r="BQ821" i="9" s="1"/>
  <c r="BQ803" i="9"/>
  <c r="BQ826" i="9" s="1"/>
  <c r="BQ799" i="9"/>
  <c r="BQ822" i="9" s="1"/>
  <c r="BQ793" i="9"/>
  <c r="BQ816" i="9" s="1"/>
  <c r="BQ787" i="9"/>
  <c r="BQ810" i="9" s="1"/>
  <c r="BQ797" i="9"/>
  <c r="BQ820" i="9" s="1"/>
  <c r="BQ802" i="9"/>
  <c r="BQ825" i="9" s="1"/>
  <c r="BQ800" i="9"/>
  <c r="BQ823" i="9" s="1"/>
  <c r="CH31" i="6"/>
  <c r="CH69" i="30" s="1"/>
  <c r="CI248" i="26"/>
  <c r="CI257" i="26" s="1"/>
  <c r="CI31" i="6" s="1"/>
  <c r="CI69" i="30" s="1"/>
  <c r="BR218" i="3"/>
  <c r="BR264" i="3"/>
  <c r="BR287" i="3" s="1"/>
  <c r="BR222" i="3"/>
  <c r="BR268" i="3"/>
  <c r="BR291" i="3" s="1"/>
  <c r="BR220" i="3"/>
  <c r="BR266" i="3"/>
  <c r="BR289" i="3" s="1"/>
  <c r="BR253" i="3"/>
  <c r="BR276" i="3" s="1"/>
  <c r="BR207" i="3"/>
  <c r="CC361" i="3"/>
  <c r="CC359" i="3"/>
  <c r="CC357" i="3"/>
  <c r="CC355" i="3"/>
  <c r="CC353" i="3"/>
  <c r="CC351" i="3"/>
  <c r="CC362" i="3"/>
  <c r="CC360" i="3"/>
  <c r="CC363" i="3"/>
  <c r="CC354" i="3"/>
  <c r="CC352" i="3"/>
  <c r="CC346" i="3"/>
  <c r="CC349" i="3"/>
  <c r="CC347" i="3"/>
  <c r="CC350" i="3"/>
  <c r="CC356" i="3"/>
  <c r="CC348" i="3"/>
  <c r="CC317" i="3"/>
  <c r="CC386" i="3" s="1"/>
  <c r="CC344" i="3"/>
  <c r="CC358" i="3"/>
  <c r="CC345" i="3"/>
  <c r="CC312" i="3"/>
  <c r="CC381" i="3" s="1"/>
  <c r="CC304" i="3"/>
  <c r="CC373" i="3" s="1"/>
  <c r="CC307" i="3"/>
  <c r="CC376" i="3" s="1"/>
  <c r="CC315" i="3"/>
  <c r="CC384" i="3" s="1"/>
  <c r="CC313" i="3"/>
  <c r="CC382" i="3" s="1"/>
  <c r="CC316" i="3"/>
  <c r="CC385" i="3" s="1"/>
  <c r="CC311" i="3"/>
  <c r="CC380" i="3" s="1"/>
  <c r="CC306" i="3"/>
  <c r="CC375" i="3" s="1"/>
  <c r="CC298" i="3"/>
  <c r="CC367" i="3" s="1"/>
  <c r="CC300" i="3"/>
  <c r="CC369" i="3" s="1"/>
  <c r="CC310" i="3"/>
  <c r="CC379" i="3" s="1"/>
  <c r="CC309" i="3"/>
  <c r="CC378" i="3" s="1"/>
  <c r="CC308" i="3"/>
  <c r="CC377" i="3" s="1"/>
  <c r="CC302" i="3"/>
  <c r="CC371" i="3" s="1"/>
  <c r="CC301" i="3"/>
  <c r="CC370" i="3" s="1"/>
  <c r="CC299" i="3"/>
  <c r="CC368" i="3" s="1"/>
  <c r="CC305" i="3"/>
  <c r="CC374" i="3" s="1"/>
  <c r="CC303" i="3"/>
  <c r="CC372" i="3" s="1"/>
  <c r="CC314" i="3"/>
  <c r="CC383" i="3" s="1"/>
  <c r="CC96" i="33"/>
  <c r="CC101" i="33" s="1"/>
  <c r="CC104" i="33" s="1"/>
  <c r="CD211" i="30"/>
  <c r="CC214" i="30"/>
  <c r="CC217" i="30" s="1"/>
  <c r="CC83" i="6"/>
  <c r="BR165" i="3"/>
  <c r="BR188" i="3" s="1"/>
  <c r="Y259" i="6"/>
  <c r="CA256" i="6"/>
  <c r="CA259" i="6" s="1"/>
  <c r="BR163" i="3"/>
  <c r="BR186" i="3" s="1"/>
  <c r="BR22" i="3"/>
  <c r="BR16" i="3"/>
  <c r="BR4" i="9"/>
  <c r="BR20" i="3"/>
  <c r="CI77" i="30"/>
  <c r="BR178" i="3"/>
  <c r="BR201" i="3" s="1"/>
  <c r="BR210" i="3"/>
  <c r="BR256" i="3"/>
  <c r="BR279" i="3" s="1"/>
  <c r="BQ725" i="9"/>
  <c r="BQ236" i="3"/>
  <c r="BQ719" i="9"/>
  <c r="BQ230" i="3"/>
  <c r="BR160" i="3"/>
  <c r="BR183" i="3" s="1"/>
  <c r="W119" i="13"/>
  <c r="W96" i="33"/>
  <c r="X211" i="30"/>
  <c r="W214" i="30"/>
  <c r="W217" i="30" s="1"/>
  <c r="W83" i="6"/>
  <c r="BQ727" i="9"/>
  <c r="BQ238" i="3"/>
  <c r="CW136" i="30"/>
  <c r="CT136" i="30"/>
  <c r="X137" i="30"/>
  <c r="BR170" i="3"/>
  <c r="BR193" i="3" s="1"/>
  <c r="CG134" i="30"/>
  <c r="CH245" i="6"/>
  <c r="CH248" i="6" s="1"/>
  <c r="BR3" i="9"/>
  <c r="BR37" i="3"/>
  <c r="BR162" i="3"/>
  <c r="BR185" i="3" s="1"/>
  <c r="BR166" i="3"/>
  <c r="BR189" i="3" s="1"/>
  <c r="BQ726" i="9"/>
  <c r="BQ237" i="3"/>
  <c r="BQ724" i="9"/>
  <c r="BQ235" i="3"/>
  <c r="BQ737" i="9"/>
  <c r="BQ248" i="3"/>
  <c r="BQ734" i="9"/>
  <c r="BQ245" i="3"/>
  <c r="BR173" i="3"/>
  <c r="BR196" i="3" s="1"/>
  <c r="BQ736" i="9"/>
  <c r="BQ247" i="3"/>
  <c r="BR168" i="3"/>
  <c r="BR191" i="3" s="1"/>
  <c r="BR175" i="3"/>
  <c r="BR198" i="3" s="1"/>
  <c r="CI67" i="30"/>
  <c r="BZ139" i="30"/>
  <c r="BR167" i="3"/>
  <c r="BR190" i="3" s="1"/>
  <c r="BQ721" i="9"/>
  <c r="BQ232" i="3"/>
  <c r="BR179" i="3"/>
  <c r="BR202" i="3" s="1"/>
  <c r="BZ18" i="6"/>
  <c r="BQ733" i="9"/>
  <c r="BQ244" i="3"/>
  <c r="BQ729" i="9"/>
  <c r="BQ240" i="3"/>
  <c r="BQ814" i="9"/>
  <c r="BQ827" i="9"/>
  <c r="BQ813" i="9"/>
  <c r="BQ817" i="9"/>
  <c r="CA20" i="32"/>
  <c r="CI190" i="30"/>
  <c r="BS10" i="3"/>
  <c r="BS143" i="3" s="1"/>
  <c r="BQ720" i="9"/>
  <c r="BQ231" i="3"/>
  <c r="BR169" i="3"/>
  <c r="BR192" i="3" s="1"/>
  <c r="BR269" i="3"/>
  <c r="BR292" i="3" s="1"/>
  <c r="BR223" i="3"/>
  <c r="BQ735" i="9"/>
  <c r="BQ246" i="3"/>
  <c r="CH190" i="30"/>
  <c r="BQ796" i="9"/>
  <c r="BQ819" i="9" s="1"/>
  <c r="BR62" i="3"/>
  <c r="BR54" i="3"/>
  <c r="BR100" i="3" s="1"/>
  <c r="BR46" i="3"/>
  <c r="BR92" i="3" s="1"/>
  <c r="BR57" i="3"/>
  <c r="BR52" i="3"/>
  <c r="BR60" i="3"/>
  <c r="BR106" i="3" s="1"/>
  <c r="BR64" i="3"/>
  <c r="BR59" i="3"/>
  <c r="BR105" i="3" s="1"/>
  <c r="BR48" i="3"/>
  <c r="BR63" i="3"/>
  <c r="BR109" i="3" s="1"/>
  <c r="BR61" i="3"/>
  <c r="BR45" i="3"/>
  <c r="BR91" i="3" s="1"/>
  <c r="BR49" i="3"/>
  <c r="BR95" i="3" s="1"/>
  <c r="BR50" i="3"/>
  <c r="BR55" i="3"/>
  <c r="BR53" i="3"/>
  <c r="BR99" i="3" s="1"/>
  <c r="BR51" i="3"/>
  <c r="BR47" i="3"/>
  <c r="BR93" i="3" s="1"/>
  <c r="BR58" i="3"/>
  <c r="BR104" i="3" s="1"/>
  <c r="BR56" i="3"/>
  <c r="BR102" i="3" s="1"/>
  <c r="BR5" i="9"/>
  <c r="BR127" i="3"/>
  <c r="BR118" i="3"/>
  <c r="BR126" i="3"/>
  <c r="BR131" i="3"/>
  <c r="BR128" i="3"/>
  <c r="BR129" i="3"/>
  <c r="BR130" i="3"/>
  <c r="BR124" i="3"/>
  <c r="BR115" i="3"/>
  <c r="BR120" i="3"/>
  <c r="BR122" i="3"/>
  <c r="BR117" i="3"/>
  <c r="BR133" i="3"/>
  <c r="BR116" i="3"/>
  <c r="BR114" i="3"/>
  <c r="BR125" i="3"/>
  <c r="BR123" i="3"/>
  <c r="BR132" i="3"/>
  <c r="BR121" i="3"/>
  <c r="BR119" i="3"/>
  <c r="BR86" i="3"/>
  <c r="BQ718" i="9"/>
  <c r="BQ229" i="3"/>
  <c r="BQ732" i="9"/>
  <c r="BQ243" i="3"/>
  <c r="CB19" i="32"/>
  <c r="CB20" i="32" s="1"/>
  <c r="CB85" i="30"/>
  <c r="CB88" i="30" s="1"/>
  <c r="CB14" i="6"/>
  <c r="CG72" i="30"/>
  <c r="CH40" i="6"/>
  <c r="CH44" i="6" s="1"/>
  <c r="BQ645" i="9"/>
  <c r="BQ731" i="9"/>
  <c r="BQ242" i="3"/>
  <c r="CG73" i="33"/>
  <c r="BQ728" i="9"/>
  <c r="BQ239" i="3"/>
  <c r="BQ722" i="9"/>
  <c r="BQ233" i="3"/>
  <c r="CA23" i="32"/>
  <c r="CA112" i="30"/>
  <c r="CA114" i="30"/>
  <c r="BQ723" i="9"/>
  <c r="BQ234" i="3"/>
  <c r="BZ23" i="35"/>
  <c r="BZ51" i="35"/>
  <c r="BZ98" i="33"/>
  <c r="BQ730" i="9"/>
  <c r="BQ241" i="3"/>
  <c r="E19" i="14"/>
  <c r="N19" i="14" s="1" a="1"/>
  <c r="N19" i="14" s="1"/>
  <c r="B19" i="14" a="1"/>
  <c r="AC141" i="30" l="1"/>
  <c r="AC143" i="30"/>
  <c r="AD133" i="6"/>
  <c r="AD119" i="30" s="1"/>
  <c r="AD16" i="6"/>
  <c r="AE114" i="6"/>
  <c r="AE125" i="6"/>
  <c r="BR217" i="3"/>
  <c r="BS146" i="3"/>
  <c r="BS169" i="3" s="1"/>
  <c r="BS192" i="3" s="1"/>
  <c r="BS141" i="3"/>
  <c r="BS164" i="3" s="1"/>
  <c r="BS187" i="3" s="1"/>
  <c r="BS151" i="3"/>
  <c r="BR83" i="3"/>
  <c r="CC125" i="6"/>
  <c r="CB133" i="6"/>
  <c r="CB119" i="30" s="1"/>
  <c r="BQ746" i="9"/>
  <c r="BS150" i="3"/>
  <c r="BS173" i="3" s="1"/>
  <c r="BS196" i="3" s="1"/>
  <c r="Y119" i="30"/>
  <c r="CS133" i="6"/>
  <c r="A133" i="6" s="1" a="1"/>
  <c r="A133" i="6" s="1"/>
  <c r="BR69" i="3"/>
  <c r="BR72" i="3"/>
  <c r="BQ759" i="9"/>
  <c r="CD130" i="6"/>
  <c r="CD133" i="6" s="1"/>
  <c r="CD119" i="30" s="1"/>
  <c r="CE109" i="6"/>
  <c r="CA124" i="30"/>
  <c r="CA32" i="32"/>
  <c r="BQ749" i="9"/>
  <c r="BQ748" i="9"/>
  <c r="BQ753" i="9"/>
  <c r="BQ743" i="9"/>
  <c r="BQ758" i="9"/>
  <c r="BQ741" i="9"/>
  <c r="BQ760" i="9"/>
  <c r="BQ751" i="9"/>
  <c r="BQ750" i="9"/>
  <c r="BR221" i="3"/>
  <c r="BR267" i="3"/>
  <c r="BR290" i="3" s="1"/>
  <c r="BR209" i="3"/>
  <c r="BR255" i="3"/>
  <c r="BR278" i="3" s="1"/>
  <c r="BR261" i="3"/>
  <c r="BR284" i="3" s="1"/>
  <c r="BR215" i="3"/>
  <c r="BS166" i="3"/>
  <c r="BS189" i="3" s="1"/>
  <c r="BR211" i="3"/>
  <c r="BR257" i="3"/>
  <c r="BR280" i="3" s="1"/>
  <c r="BR262" i="3"/>
  <c r="BR285" i="3" s="1"/>
  <c r="BR216" i="3"/>
  <c r="BR258" i="3"/>
  <c r="BR281" i="3" s="1"/>
  <c r="BR212" i="3"/>
  <c r="CB23" i="35"/>
  <c r="CB51" i="35"/>
  <c r="CB98" i="33"/>
  <c r="BS144" i="3"/>
  <c r="BS148" i="3"/>
  <c r="BS154" i="3"/>
  <c r="BQ756" i="9"/>
  <c r="BQ744" i="9"/>
  <c r="BR254" i="3"/>
  <c r="BR277" i="3" s="1"/>
  <c r="BR208" i="3"/>
  <c r="X125" i="13"/>
  <c r="CT137" i="30"/>
  <c r="CW137" i="30"/>
  <c r="H46" i="50"/>
  <c r="H47" i="50" s="1"/>
  <c r="W101" i="33"/>
  <c r="W104" i="33" s="1"/>
  <c r="BR18" i="3"/>
  <c r="Y136" i="30"/>
  <c r="Y16" i="6"/>
  <c r="CS259" i="6"/>
  <c r="BR81" i="3"/>
  <c r="BR722" i="9"/>
  <c r="BR233" i="3"/>
  <c r="BQ755" i="9"/>
  <c r="BR96" i="3"/>
  <c r="BR73" i="3"/>
  <c r="BR735" i="9"/>
  <c r="BR246" i="3"/>
  <c r="BS145" i="3"/>
  <c r="CI73" i="33"/>
  <c r="BR82" i="3"/>
  <c r="BQ747" i="9"/>
  <c r="BR28" i="3"/>
  <c r="BR26" i="3"/>
  <c r="BR101" i="3"/>
  <c r="BR78" i="3"/>
  <c r="BR110" i="3"/>
  <c r="BR87" i="3"/>
  <c r="BT8" i="3"/>
  <c r="BS5" i="3"/>
  <c r="BS41" i="3"/>
  <c r="BS24" i="3"/>
  <c r="BS12" i="3"/>
  <c r="BS3" i="3" s="1"/>
  <c r="BS4" i="3"/>
  <c r="CH72" i="30"/>
  <c r="CI40" i="6"/>
  <c r="CI44" i="6" s="1"/>
  <c r="BR406" i="9"/>
  <c r="BR301" i="9"/>
  <c r="BR254" i="9"/>
  <c r="BR387" i="9"/>
  <c r="BR415" i="9"/>
  <c r="BR434" i="9"/>
  <c r="BR339" i="9"/>
  <c r="BR349" i="9"/>
  <c r="BR330" i="9"/>
  <c r="BR244" i="9"/>
  <c r="BR235" i="9"/>
  <c r="BR159" i="9"/>
  <c r="BR282" i="9"/>
  <c r="BR273" i="9"/>
  <c r="BR206" i="9"/>
  <c r="BR187" i="9"/>
  <c r="BR140" i="9"/>
  <c r="BR320" i="9"/>
  <c r="BR311" i="9"/>
  <c r="BR377" i="9"/>
  <c r="BR225" i="9"/>
  <c r="BR216" i="9"/>
  <c r="BR263" i="9"/>
  <c r="BR358" i="9"/>
  <c r="BR292" i="9"/>
  <c r="BR197" i="9"/>
  <c r="BR92" i="9"/>
  <c r="BR425" i="9"/>
  <c r="BR178" i="9"/>
  <c r="BR168" i="9"/>
  <c r="BR111" i="9"/>
  <c r="BR83" i="9"/>
  <c r="BR102" i="9"/>
  <c r="BR130" i="9"/>
  <c r="BR396" i="9"/>
  <c r="BR149" i="9"/>
  <c r="BR368" i="9"/>
  <c r="BR73" i="9"/>
  <c r="BR64" i="9"/>
  <c r="BR121" i="9"/>
  <c r="BR98" i="3"/>
  <c r="BR75" i="3"/>
  <c r="BS140" i="3"/>
  <c r="BS138" i="3"/>
  <c r="BR225" i="3"/>
  <c r="BR271" i="3"/>
  <c r="BR294" i="3" s="1"/>
  <c r="BR213" i="3"/>
  <c r="BR259" i="3"/>
  <c r="BR282" i="3" s="1"/>
  <c r="BR260" i="3"/>
  <c r="BR283" i="3" s="1"/>
  <c r="BR214" i="3"/>
  <c r="CH134" i="30"/>
  <c r="CI245" i="6"/>
  <c r="CI248" i="6" s="1"/>
  <c r="BR252" i="3"/>
  <c r="BR275" i="3" s="1"/>
  <c r="BR206" i="3"/>
  <c r="BR224" i="3"/>
  <c r="BR270" i="3"/>
  <c r="BR293" i="3" s="1"/>
  <c r="CC19" i="32"/>
  <c r="CC20" i="32" s="1"/>
  <c r="CC85" i="30"/>
  <c r="CC88" i="30" s="1"/>
  <c r="CC14" i="6"/>
  <c r="BR732" i="9"/>
  <c r="BR243" i="3"/>
  <c r="BS174" i="3"/>
  <c r="BS197" i="3" s="1"/>
  <c r="CA23" i="35"/>
  <c r="CA51" i="35"/>
  <c r="CA98" i="33"/>
  <c r="BR68" i="3"/>
  <c r="BZ143" i="30"/>
  <c r="BZ141" i="30"/>
  <c r="BR219" i="3"/>
  <c r="BR265" i="3"/>
  <c r="BR288" i="3" s="1"/>
  <c r="BQ754" i="9"/>
  <c r="BS137" i="3"/>
  <c r="BS152" i="3"/>
  <c r="BS149" i="3"/>
  <c r="BQ752" i="9"/>
  <c r="W19" i="32"/>
  <c r="W85" i="30"/>
  <c r="W14" i="6"/>
  <c r="BQ742" i="9"/>
  <c r="BR77" i="3"/>
  <c r="BR734" i="9"/>
  <c r="BR245" i="3"/>
  <c r="BR108" i="3"/>
  <c r="BR85" i="3"/>
  <c r="BR107" i="3"/>
  <c r="BR84" i="3"/>
  <c r="CH73" i="33"/>
  <c r="BS147" i="3"/>
  <c r="BS153" i="3"/>
  <c r="BS142" i="3"/>
  <c r="BR76" i="3"/>
  <c r="BQ757" i="9"/>
  <c r="CS256" i="6"/>
  <c r="A256" i="6" s="1" a="1"/>
  <c r="A256" i="6" s="1"/>
  <c r="BR103" i="3"/>
  <c r="BR80" i="3"/>
  <c r="BR79" i="3"/>
  <c r="BQ745" i="9"/>
  <c r="CB23" i="32"/>
  <c r="CB112" i="30"/>
  <c r="CB114" i="30"/>
  <c r="BR97" i="3"/>
  <c r="BR74" i="3"/>
  <c r="BR94" i="3"/>
  <c r="BR71" i="3"/>
  <c r="BR70" i="3"/>
  <c r="BR729" i="9"/>
  <c r="BR240" i="3"/>
  <c r="BS156" i="3"/>
  <c r="BS139" i="3"/>
  <c r="BS155" i="3"/>
  <c r="X117" i="13"/>
  <c r="X212" i="30"/>
  <c r="BR714" i="9"/>
  <c r="BR783" i="9" s="1"/>
  <c r="BR709" i="9"/>
  <c r="BR778" i="9" s="1"/>
  <c r="BR801" i="9" s="1"/>
  <c r="BR701" i="9"/>
  <c r="BR770" i="9" s="1"/>
  <c r="BR793" i="9" s="1"/>
  <c r="BR696" i="9"/>
  <c r="BR765" i="9" s="1"/>
  <c r="BR788" i="9" s="1"/>
  <c r="BR703" i="9"/>
  <c r="BR772" i="9" s="1"/>
  <c r="BR795" i="9" s="1"/>
  <c r="BR698" i="9"/>
  <c r="BR767" i="9" s="1"/>
  <c r="BR710" i="9"/>
  <c r="BR779" i="9" s="1"/>
  <c r="BR708" i="9"/>
  <c r="BR777" i="9" s="1"/>
  <c r="BR705" i="9"/>
  <c r="BR774" i="9" s="1"/>
  <c r="BR712" i="9"/>
  <c r="BR781" i="9" s="1"/>
  <c r="BR804" i="9" s="1"/>
  <c r="BR695" i="9"/>
  <c r="BR764" i="9" s="1"/>
  <c r="BR702" i="9"/>
  <c r="BR771" i="9" s="1"/>
  <c r="BR700" i="9"/>
  <c r="BR769" i="9" s="1"/>
  <c r="BR697" i="9"/>
  <c r="BR766" i="9" s="1"/>
  <c r="BR707" i="9"/>
  <c r="BR776" i="9" s="1"/>
  <c r="BR799" i="9" s="1"/>
  <c r="BR713" i="9"/>
  <c r="BR782" i="9" s="1"/>
  <c r="BR704" i="9"/>
  <c r="BR773" i="9" s="1"/>
  <c r="BR796" i="9" s="1"/>
  <c r="BR711" i="9"/>
  <c r="BR780" i="9" s="1"/>
  <c r="BR803" i="9" s="1"/>
  <c r="BR706" i="9"/>
  <c r="BR775" i="9" s="1"/>
  <c r="BR798" i="9" s="1"/>
  <c r="BR699" i="9"/>
  <c r="BR768" i="9" s="1"/>
  <c r="BR791" i="9" s="1"/>
  <c r="CA136" i="30"/>
  <c r="CA137" i="30" s="1"/>
  <c r="CB256" i="6"/>
  <c r="CB259" i="6" s="1"/>
  <c r="CA16" i="6"/>
  <c r="BR719" i="9"/>
  <c r="BR230" i="3"/>
  <c r="BR730" i="9"/>
  <c r="BR241" i="3"/>
  <c r="B19" i="14"/>
  <c r="M18" i="14"/>
  <c r="E18" i="14" a="1"/>
  <c r="CA139" i="30" l="1"/>
  <c r="CA143" i="30" s="1"/>
  <c r="AF109" i="6"/>
  <c r="AE130" i="6"/>
  <c r="AD124" i="30"/>
  <c r="AD139" i="30" s="1"/>
  <c r="AD32" i="32"/>
  <c r="AD18" i="6"/>
  <c r="AD20" i="6"/>
  <c r="BR800" i="9"/>
  <c r="BR823" i="9" s="1"/>
  <c r="BR802" i="9"/>
  <c r="BR825" i="9" s="1"/>
  <c r="BR797" i="9"/>
  <c r="BR820" i="9" s="1"/>
  <c r="BR790" i="9"/>
  <c r="BR813" i="9" s="1"/>
  <c r="BR787" i="9"/>
  <c r="BR810" i="9" s="1"/>
  <c r="BR805" i="9"/>
  <c r="BR828" i="9" s="1"/>
  <c r="BR806" i="9"/>
  <c r="BR829" i="9" s="1"/>
  <c r="CX119" i="30"/>
  <c r="CP119" i="30" s="1"/>
  <c r="Y124" i="30"/>
  <c r="Y32" i="32"/>
  <c r="CT32" i="32" s="1"/>
  <c r="CE114" i="6"/>
  <c r="CE125" i="6"/>
  <c r="CB124" i="30"/>
  <c r="CB32" i="32"/>
  <c r="BR792" i="9"/>
  <c r="BR815" i="9" s="1"/>
  <c r="BR789" i="9"/>
  <c r="BR812" i="9" s="1"/>
  <c r="BR794" i="9"/>
  <c r="BR817" i="9" s="1"/>
  <c r="BR745" i="9"/>
  <c r="BS210" i="3"/>
  <c r="BS256" i="3"/>
  <c r="BS279" i="3" s="1"/>
  <c r="X119" i="13"/>
  <c r="X96" i="33"/>
  <c r="Y211" i="30"/>
  <c r="X214" i="30"/>
  <c r="X217" i="30" s="1"/>
  <c r="X83" i="6"/>
  <c r="BS170" i="3"/>
  <c r="BS193" i="3" s="1"/>
  <c r="BR755" i="9"/>
  <c r="CI134" i="30"/>
  <c r="BS161" i="3"/>
  <c r="BS184" i="3" s="1"/>
  <c r="BR645" i="9"/>
  <c r="BS162" i="3"/>
  <c r="BS185" i="3" s="1"/>
  <c r="BS172" i="3"/>
  <c r="BS195" i="3" s="1"/>
  <c r="BS163" i="3"/>
  <c r="BS186" i="3" s="1"/>
  <c r="CU136" i="30"/>
  <c r="CO136" i="30" s="1"/>
  <c r="CX136" i="30"/>
  <c r="CP136" i="30" s="1"/>
  <c r="Y137" i="30"/>
  <c r="BR720" i="9"/>
  <c r="BR231" i="3"/>
  <c r="BR724" i="9"/>
  <c r="BR235" i="3"/>
  <c r="BS212" i="3"/>
  <c r="BS258" i="3"/>
  <c r="BS281" i="3" s="1"/>
  <c r="BR753" i="9"/>
  <c r="BS178" i="3"/>
  <c r="BS201" i="3" s="1"/>
  <c r="BS175" i="3"/>
  <c r="BS198" i="3" s="1"/>
  <c r="BR731" i="9"/>
  <c r="BR242" i="3"/>
  <c r="CC23" i="32"/>
  <c r="CC112" i="30"/>
  <c r="CC114" i="30"/>
  <c r="BR726" i="9"/>
  <c r="BR237" i="3"/>
  <c r="BS22" i="3"/>
  <c r="BS16" i="3"/>
  <c r="BS4" i="9"/>
  <c r="BS20" i="3"/>
  <c r="BR822" i="9"/>
  <c r="BR824" i="9"/>
  <c r="BR821" i="9"/>
  <c r="BR819" i="9"/>
  <c r="BR827" i="9"/>
  <c r="BR826" i="9"/>
  <c r="BR818" i="9"/>
  <c r="BR816" i="9"/>
  <c r="BR814" i="9"/>
  <c r="BR811" i="9"/>
  <c r="BR727" i="9"/>
  <c r="BR238" i="3"/>
  <c r="BS160" i="3"/>
  <c r="BS183" i="3" s="1"/>
  <c r="BS220" i="3"/>
  <c r="BS266" i="3"/>
  <c r="BS289" i="3" s="1"/>
  <c r="CC51" i="35"/>
  <c r="CC23" i="35"/>
  <c r="CC98" i="33"/>
  <c r="BS3" i="9"/>
  <c r="BS37" i="3"/>
  <c r="BS265" i="3"/>
  <c r="BS288" i="3" s="1"/>
  <c r="BS219" i="3"/>
  <c r="BR742" i="9"/>
  <c r="BS179" i="3"/>
  <c r="BS202" i="3" s="1"/>
  <c r="W18" i="6"/>
  <c r="W20" i="6"/>
  <c r="BS168" i="3"/>
  <c r="BS191" i="3" s="1"/>
  <c r="BR728" i="9"/>
  <c r="BR239" i="3"/>
  <c r="BR725" i="9"/>
  <c r="BR236" i="3"/>
  <c r="BS177" i="3"/>
  <c r="BS200" i="3" s="1"/>
  <c r="BR721" i="9"/>
  <c r="BR232" i="3"/>
  <c r="CA20" i="6"/>
  <c r="CA18" i="6"/>
  <c r="BR736" i="9"/>
  <c r="BR247" i="3"/>
  <c r="CB136" i="30"/>
  <c r="CB137" i="30" s="1"/>
  <c r="CC256" i="6"/>
  <c r="CC259" i="6" s="1"/>
  <c r="CB16" i="6"/>
  <c r="BR752" i="9"/>
  <c r="BS165" i="3"/>
  <c r="BS188" i="3" s="1"/>
  <c r="CV85" i="30"/>
  <c r="CS85" i="30"/>
  <c r="W88" i="30"/>
  <c r="BR718" i="9"/>
  <c r="BR229" i="3"/>
  <c r="BS57" i="3"/>
  <c r="BS103" i="3" s="1"/>
  <c r="BS49" i="3"/>
  <c r="BS60" i="3"/>
  <c r="BS47" i="3"/>
  <c r="BS93" i="3" s="1"/>
  <c r="BS50" i="3"/>
  <c r="BS96" i="3" s="1"/>
  <c r="BS55" i="3"/>
  <c r="BS101" i="3" s="1"/>
  <c r="BS54" i="3"/>
  <c r="BS100" i="3" s="1"/>
  <c r="BS48" i="3"/>
  <c r="BS94" i="3" s="1"/>
  <c r="BS45" i="3"/>
  <c r="BS91" i="3" s="1"/>
  <c r="BS63" i="3"/>
  <c r="BS61" i="3"/>
  <c r="BS107" i="3" s="1"/>
  <c r="BS64" i="3"/>
  <c r="BS110" i="3" s="1"/>
  <c r="BS62" i="3"/>
  <c r="BS108" i="3" s="1"/>
  <c r="BS46" i="3"/>
  <c r="BS53" i="3"/>
  <c r="BS99" i="3" s="1"/>
  <c r="BS51" i="3"/>
  <c r="BS97" i="3" s="1"/>
  <c r="BS58" i="3"/>
  <c r="BS104" i="3" s="1"/>
  <c r="BS56" i="3"/>
  <c r="BS102" i="3" s="1"/>
  <c r="BS52" i="3"/>
  <c r="BS98" i="3" s="1"/>
  <c r="BS59" i="3"/>
  <c r="BS105" i="3" s="1"/>
  <c r="BS5" i="9"/>
  <c r="BS130" i="3"/>
  <c r="BS114" i="3"/>
  <c r="BS127" i="3"/>
  <c r="BS128" i="3"/>
  <c r="BS126" i="3"/>
  <c r="BS120" i="3"/>
  <c r="BS129" i="3"/>
  <c r="BS124" i="3"/>
  <c r="BS131" i="3"/>
  <c r="BS116" i="3"/>
  <c r="BS133" i="3"/>
  <c r="BS115" i="3"/>
  <c r="BS121" i="3"/>
  <c r="BS119" i="3"/>
  <c r="BS125" i="3"/>
  <c r="BS123" i="3"/>
  <c r="BS117" i="3"/>
  <c r="BS122" i="3"/>
  <c r="BS118" i="3"/>
  <c r="BS132" i="3"/>
  <c r="BR758" i="9"/>
  <c r="BS171" i="3"/>
  <c r="BS194" i="3" s="1"/>
  <c r="BS261" i="3"/>
  <c r="BS284" i="3" s="1"/>
  <c r="BS215" i="3"/>
  <c r="BS176" i="3"/>
  <c r="BS199" i="3" s="1"/>
  <c r="BR757" i="9"/>
  <c r="W20" i="32"/>
  <c r="CU19" i="32"/>
  <c r="CR19" i="32"/>
  <c r="BR737" i="9"/>
  <c r="BR248" i="3"/>
  <c r="CI72" i="30"/>
  <c r="BT10" i="3"/>
  <c r="BT153" i="3" s="1"/>
  <c r="BS167" i="3"/>
  <c r="BS190" i="3" s="1"/>
  <c r="BR723" i="9"/>
  <c r="BR234" i="3"/>
  <c r="BR733" i="9"/>
  <c r="BR244" i="3"/>
  <c r="E18" i="14"/>
  <c r="N18" i="14" s="1" a="1"/>
  <c r="N18" i="14" s="1"/>
  <c r="B18" i="14" a="1"/>
  <c r="CA141" i="30" l="1"/>
  <c r="AD141" i="30"/>
  <c r="AD143" i="30"/>
  <c r="AE133" i="6"/>
  <c r="AE119" i="30" s="1"/>
  <c r="AE16" i="6"/>
  <c r="AF114" i="6"/>
  <c r="AF125" i="6"/>
  <c r="CB139" i="30"/>
  <c r="CB143" i="30" s="1"/>
  <c r="BT156" i="3"/>
  <c r="BT179" i="3" s="1"/>
  <c r="BT202" i="3" s="1"/>
  <c r="BS73" i="3"/>
  <c r="BS70" i="3"/>
  <c r="CE130" i="6"/>
  <c r="CE133" i="6" s="1"/>
  <c r="CE119" i="30" s="1"/>
  <c r="CF109" i="6"/>
  <c r="BS85" i="3"/>
  <c r="BS79" i="3"/>
  <c r="Y124" i="13"/>
  <c r="CX124" i="30"/>
  <c r="CP124" i="30" s="1"/>
  <c r="BR756" i="9"/>
  <c r="BR751" i="9"/>
  <c r="BR741" i="9"/>
  <c r="BR760" i="9"/>
  <c r="BR754" i="9"/>
  <c r="BR747" i="9"/>
  <c r="BR759" i="9"/>
  <c r="BR743" i="9"/>
  <c r="BR749" i="9"/>
  <c r="A136" i="30" a="1"/>
  <c r="A136" i="30" s="1"/>
  <c r="BS221" i="3"/>
  <c r="BS267" i="3"/>
  <c r="BS290" i="3" s="1"/>
  <c r="BS208" i="3"/>
  <c r="BS254" i="3"/>
  <c r="BS277" i="3" s="1"/>
  <c r="BS253" i="3"/>
  <c r="BS276" i="3" s="1"/>
  <c r="BS207" i="3"/>
  <c r="BS252" i="3"/>
  <c r="BS275" i="3" s="1"/>
  <c r="BS206" i="3"/>
  <c r="BS216" i="3"/>
  <c r="BS262" i="3"/>
  <c r="BS285" i="3" s="1"/>
  <c r="BU8" i="3"/>
  <c r="BT24" i="3"/>
  <c r="BT41" i="3"/>
  <c r="BT12" i="3"/>
  <c r="BT3" i="3" s="1"/>
  <c r="BT5" i="3"/>
  <c r="BT4" i="3"/>
  <c r="BT147" i="3"/>
  <c r="BT148" i="3"/>
  <c r="BT155" i="3"/>
  <c r="BT150" i="3"/>
  <c r="BS80" i="3"/>
  <c r="BS109" i="3"/>
  <c r="BS86" i="3"/>
  <c r="BS106" i="3"/>
  <c r="BS83" i="3"/>
  <c r="W23" i="32"/>
  <c r="W112" i="30"/>
  <c r="CS88" i="30"/>
  <c r="CV88" i="30"/>
  <c r="W114" i="30"/>
  <c r="BR744" i="9"/>
  <c r="BS75" i="3"/>
  <c r="BS724" i="9"/>
  <c r="BS235" i="3"/>
  <c r="BS82" i="3"/>
  <c r="Y117" i="13"/>
  <c r="Y212" i="30"/>
  <c r="BT137" i="3"/>
  <c r="BT143" i="3"/>
  <c r="BT140" i="3"/>
  <c r="BS260" i="3"/>
  <c r="BS283" i="3" s="1"/>
  <c r="BS214" i="3"/>
  <c r="BS731" i="9"/>
  <c r="BS242" i="3"/>
  <c r="BS732" i="9"/>
  <c r="BS243" i="3"/>
  <c r="I46" i="50"/>
  <c r="I47" i="50" s="1"/>
  <c r="X101" i="33"/>
  <c r="X104" i="33" s="1"/>
  <c r="BS269" i="3"/>
  <c r="BS292" i="3" s="1"/>
  <c r="BS223" i="3"/>
  <c r="BS78" i="3"/>
  <c r="BS74" i="3"/>
  <c r="BS255" i="3"/>
  <c r="BS278" i="3" s="1"/>
  <c r="BS209" i="3"/>
  <c r="BS87" i="3"/>
  <c r="BS84" i="3"/>
  <c r="BS727" i="9"/>
  <c r="BS238" i="3"/>
  <c r="BS68" i="3"/>
  <c r="BS81" i="3"/>
  <c r="BT146" i="3"/>
  <c r="BT142" i="3"/>
  <c r="BS92" i="3"/>
  <c r="BS69" i="3"/>
  <c r="BS257" i="3"/>
  <c r="BS280" i="3" s="1"/>
  <c r="BS211" i="3"/>
  <c r="BS714" i="9"/>
  <c r="BS783" i="9" s="1"/>
  <c r="BS706" i="9"/>
  <c r="BS775" i="9" s="1"/>
  <c r="BS698" i="9"/>
  <c r="BS767" i="9" s="1"/>
  <c r="BS790" i="9" s="1"/>
  <c r="BS703" i="9"/>
  <c r="BS772" i="9" s="1"/>
  <c r="BS710" i="9"/>
  <c r="BS779" i="9" s="1"/>
  <c r="BS708" i="9"/>
  <c r="BS777" i="9" s="1"/>
  <c r="BS800" i="9" s="1"/>
  <c r="BS705" i="9"/>
  <c r="BS774" i="9" s="1"/>
  <c r="BS712" i="9"/>
  <c r="BS781" i="9" s="1"/>
  <c r="BS804" i="9" s="1"/>
  <c r="BS695" i="9"/>
  <c r="BS764" i="9" s="1"/>
  <c r="BS787" i="9" s="1"/>
  <c r="BS702" i="9"/>
  <c r="BS771" i="9" s="1"/>
  <c r="BS700" i="9"/>
  <c r="BS769" i="9" s="1"/>
  <c r="BS697" i="9"/>
  <c r="BS766" i="9" s="1"/>
  <c r="BS707" i="9"/>
  <c r="BS776" i="9" s="1"/>
  <c r="BS713" i="9"/>
  <c r="BS782" i="9" s="1"/>
  <c r="BS709" i="9"/>
  <c r="BS778" i="9" s="1"/>
  <c r="BS801" i="9" s="1"/>
  <c r="BS704" i="9"/>
  <c r="BS773" i="9" s="1"/>
  <c r="BS796" i="9" s="1"/>
  <c r="BS711" i="9"/>
  <c r="BS780" i="9" s="1"/>
  <c r="BS699" i="9"/>
  <c r="BS768" i="9" s="1"/>
  <c r="BS791" i="9" s="1"/>
  <c r="BS701" i="9"/>
  <c r="BS770" i="9" s="1"/>
  <c r="BS793" i="9" s="1"/>
  <c r="BS696" i="9"/>
  <c r="BS765" i="9" s="1"/>
  <c r="BS224" i="3"/>
  <c r="BS270" i="3"/>
  <c r="BS293" i="3" s="1"/>
  <c r="BT149" i="3"/>
  <c r="BT139" i="3"/>
  <c r="BT154" i="3"/>
  <c r="BS387" i="9"/>
  <c r="BS282" i="9"/>
  <c r="BS235" i="9"/>
  <c r="BS415" i="9"/>
  <c r="BS368" i="9"/>
  <c r="BS396" i="9"/>
  <c r="BS434" i="9"/>
  <c r="BS425" i="9"/>
  <c r="BS320" i="9"/>
  <c r="BS273" i="9"/>
  <c r="BS206" i="9"/>
  <c r="BS187" i="9"/>
  <c r="BS140" i="9"/>
  <c r="BS406" i="9"/>
  <c r="BS311" i="9"/>
  <c r="BS168" i="9"/>
  <c r="BS121" i="9"/>
  <c r="BS377" i="9"/>
  <c r="BS225" i="9"/>
  <c r="BS216" i="9"/>
  <c r="BS263" i="9"/>
  <c r="BS254" i="9"/>
  <c r="BS358" i="9"/>
  <c r="BS292" i="9"/>
  <c r="BS197" i="9"/>
  <c r="BS178" i="9"/>
  <c r="BS73" i="9"/>
  <c r="BS111" i="9"/>
  <c r="BS102" i="9"/>
  <c r="BS83" i="9"/>
  <c r="BS301" i="9"/>
  <c r="BS130" i="9"/>
  <c r="BS339" i="9"/>
  <c r="BS149" i="9"/>
  <c r="BS92" i="9"/>
  <c r="BS64" i="9"/>
  <c r="BS349" i="9"/>
  <c r="BS244" i="9"/>
  <c r="BS159" i="9"/>
  <c r="BS330" i="9"/>
  <c r="BR748" i="9"/>
  <c r="BS76" i="3"/>
  <c r="BR750" i="9"/>
  <c r="BS18" i="3"/>
  <c r="Y125" i="13"/>
  <c r="CU137" i="30"/>
  <c r="CO137" i="30" s="1"/>
  <c r="CX137" i="30"/>
  <c r="CP137" i="30" s="1"/>
  <c r="BS71" i="3"/>
  <c r="BT152" i="3"/>
  <c r="W51" i="35"/>
  <c r="W23" i="35"/>
  <c r="W71" i="13"/>
  <c r="W99" i="35" s="1"/>
  <c r="W32" i="36"/>
  <c r="W98" i="33"/>
  <c r="CU20" i="32"/>
  <c r="CR20" i="32"/>
  <c r="BS213" i="3"/>
  <c r="BS259" i="3"/>
  <c r="BS282" i="3" s="1"/>
  <c r="BT144" i="3"/>
  <c r="BT138" i="3"/>
  <c r="BS263" i="3"/>
  <c r="BS286" i="3" s="1"/>
  <c r="BS217" i="3"/>
  <c r="BS95" i="3"/>
  <c r="BS72" i="3"/>
  <c r="CB18" i="6"/>
  <c r="CB20" i="6"/>
  <c r="BS28" i="3"/>
  <c r="BS26" i="3"/>
  <c r="BS77" i="3"/>
  <c r="X19" i="32"/>
  <c r="X85" i="30"/>
  <c r="X14" i="6"/>
  <c r="BT176" i="3"/>
  <c r="BT199" i="3" s="1"/>
  <c r="BR746" i="9"/>
  <c r="BT145" i="3"/>
  <c r="BT141" i="3"/>
  <c r="BT151" i="3"/>
  <c r="BS222" i="3"/>
  <c r="BS268" i="3"/>
  <c r="BS291" i="3" s="1"/>
  <c r="CC136" i="30"/>
  <c r="CC137" i="30" s="1"/>
  <c r="CC139" i="30" s="1"/>
  <c r="CD256" i="6"/>
  <c r="CD259" i="6" s="1"/>
  <c r="CC16" i="6"/>
  <c r="BS225" i="3"/>
  <c r="BS271" i="3"/>
  <c r="BS294" i="3" s="1"/>
  <c r="BS218" i="3"/>
  <c r="BS264" i="3"/>
  <c r="BS287" i="3" s="1"/>
  <c r="BS722" i="9"/>
  <c r="BS233" i="3"/>
  <c r="B18" i="14"/>
  <c r="E17" i="14" a="1"/>
  <c r="AG109" i="6" l="1"/>
  <c r="AF130" i="6"/>
  <c r="AE124" i="30"/>
  <c r="AE139" i="30" s="1"/>
  <c r="AE32" i="32"/>
  <c r="CB141" i="30"/>
  <c r="AE20" i="6"/>
  <c r="AE18" i="6"/>
  <c r="BS788" i="9"/>
  <c r="BS811" i="9" s="1"/>
  <c r="BS795" i="9"/>
  <c r="BS792" i="9"/>
  <c r="BS815" i="9" s="1"/>
  <c r="BS799" i="9"/>
  <c r="BS822" i="9" s="1"/>
  <c r="BS802" i="9"/>
  <c r="BS825" i="9" s="1"/>
  <c r="BS750" i="9"/>
  <c r="BS805" i="9"/>
  <c r="BS828" i="9" s="1"/>
  <c r="CF114" i="6"/>
  <c r="CF125" i="6"/>
  <c r="BS797" i="9"/>
  <c r="BS820" i="9" s="1"/>
  <c r="BS747" i="9"/>
  <c r="BS789" i="9"/>
  <c r="BS812" i="9" s="1"/>
  <c r="BS798" i="9"/>
  <c r="BS821" i="9" s="1"/>
  <c r="BS745" i="9"/>
  <c r="BS794" i="9"/>
  <c r="BS817" i="9" s="1"/>
  <c r="BS803" i="9"/>
  <c r="BS826" i="9" s="1"/>
  <c r="BS806" i="9"/>
  <c r="BS829" i="9" s="1"/>
  <c r="BS754" i="9"/>
  <c r="CC143" i="30"/>
  <c r="CC141" i="30"/>
  <c r="BT225" i="3"/>
  <c r="BT271" i="3"/>
  <c r="BT294" i="3" s="1"/>
  <c r="BT161" i="3"/>
  <c r="BT184" i="3" s="1"/>
  <c r="BS823" i="9"/>
  <c r="BS824" i="9"/>
  <c r="BS816" i="9"/>
  <c r="BS814" i="9"/>
  <c r="BS827" i="9"/>
  <c r="BS818" i="9"/>
  <c r="BS813" i="9"/>
  <c r="BS810" i="9"/>
  <c r="BS819" i="9"/>
  <c r="BS721" i="9"/>
  <c r="BS232" i="3"/>
  <c r="W122" i="13"/>
  <c r="CV112" i="30"/>
  <c r="CS112" i="30"/>
  <c r="BT16" i="3"/>
  <c r="BT22" i="3"/>
  <c r="BT4" i="9"/>
  <c r="BT20" i="3"/>
  <c r="BS718" i="9"/>
  <c r="BS229" i="3"/>
  <c r="BT167" i="3"/>
  <c r="BT190" i="3" s="1"/>
  <c r="BS645" i="9"/>
  <c r="BT165" i="3"/>
  <c r="BT188" i="3" s="1"/>
  <c r="W56" i="35"/>
  <c r="W83" i="13"/>
  <c r="W14" i="12"/>
  <c r="CR23" i="32"/>
  <c r="BT173" i="3"/>
  <c r="BT196" i="3" s="1"/>
  <c r="BT60" i="3"/>
  <c r="BT106" i="3" s="1"/>
  <c r="BT52" i="3"/>
  <c r="BT98" i="3" s="1"/>
  <c r="BT55" i="3"/>
  <c r="BT101" i="3" s="1"/>
  <c r="BT50" i="3"/>
  <c r="BT63" i="3"/>
  <c r="BT109" i="3" s="1"/>
  <c r="BT58" i="3"/>
  <c r="BT104" i="3" s="1"/>
  <c r="BT62" i="3"/>
  <c r="BT61" i="3"/>
  <c r="BT107" i="3" s="1"/>
  <c r="BT45" i="3"/>
  <c r="BT91" i="3" s="1"/>
  <c r="BT64" i="3"/>
  <c r="BT110" i="3" s="1"/>
  <c r="BT49" i="3"/>
  <c r="BT95" i="3" s="1"/>
  <c r="BT46" i="3"/>
  <c r="BT92" i="3" s="1"/>
  <c r="BT53" i="3"/>
  <c r="BT99" i="3" s="1"/>
  <c r="BT51" i="3"/>
  <c r="BT97" i="3" s="1"/>
  <c r="BT56" i="3"/>
  <c r="BT47" i="3"/>
  <c r="BT59" i="3"/>
  <c r="BT105" i="3" s="1"/>
  <c r="BT54" i="3"/>
  <c r="BT100" i="3" s="1"/>
  <c r="BT57" i="3"/>
  <c r="BT103" i="3" s="1"/>
  <c r="BT48" i="3"/>
  <c r="BT94" i="3" s="1"/>
  <c r="BT5" i="9"/>
  <c r="BT122" i="3"/>
  <c r="BT115" i="3"/>
  <c r="BT120" i="3"/>
  <c r="BT128" i="3"/>
  <c r="BT125" i="3"/>
  <c r="BT123" i="3"/>
  <c r="BT118" i="3"/>
  <c r="BT119" i="3"/>
  <c r="BT124" i="3"/>
  <c r="BT130" i="3"/>
  <c r="BT114" i="3"/>
  <c r="BT132" i="3"/>
  <c r="BT117" i="3"/>
  <c r="BT126" i="3"/>
  <c r="BT127" i="3"/>
  <c r="BT133" i="3"/>
  <c r="BT131" i="3"/>
  <c r="BT116" i="3"/>
  <c r="BT121" i="3"/>
  <c r="BT129" i="3"/>
  <c r="BS730" i="9"/>
  <c r="BS241" i="3"/>
  <c r="BS734" i="9"/>
  <c r="BS245" i="3"/>
  <c r="X20" i="6"/>
  <c r="X18" i="6"/>
  <c r="BT169" i="3"/>
  <c r="BT192" i="3" s="1"/>
  <c r="BS726" i="9"/>
  <c r="BS237" i="3"/>
  <c r="BT163" i="3"/>
  <c r="BT186" i="3" s="1"/>
  <c r="BT178" i="3"/>
  <c r="BT201" i="3" s="1"/>
  <c r="BT3" i="9"/>
  <c r="BT37" i="3"/>
  <c r="BS719" i="9"/>
  <c r="BS230" i="3"/>
  <c r="BT174" i="3"/>
  <c r="BT197" i="3" s="1"/>
  <c r="CT85" i="30"/>
  <c r="CW85" i="30"/>
  <c r="X88" i="30"/>
  <c r="BS725" i="9"/>
  <c r="BS236" i="3"/>
  <c r="BT175" i="3"/>
  <c r="BT198" i="3" s="1"/>
  <c r="BT177" i="3"/>
  <c r="BT200" i="3" s="1"/>
  <c r="BT166" i="3"/>
  <c r="BT189" i="3" s="1"/>
  <c r="BS737" i="9"/>
  <c r="BS248" i="3"/>
  <c r="BT162" i="3"/>
  <c r="BT185" i="3" s="1"/>
  <c r="BS723" i="9"/>
  <c r="BS234" i="3"/>
  <c r="BS735" i="9"/>
  <c r="BS246" i="3"/>
  <c r="BT160" i="3"/>
  <c r="BT183" i="3" s="1"/>
  <c r="CC20" i="6"/>
  <c r="CC18" i="6"/>
  <c r="BT168" i="3"/>
  <c r="BT191" i="3" s="1"/>
  <c r="BT172" i="3"/>
  <c r="BT195" i="3" s="1"/>
  <c r="Y119" i="13"/>
  <c r="Y96" i="33"/>
  <c r="Y214" i="30"/>
  <c r="Y217" i="30" s="1"/>
  <c r="Y83" i="6"/>
  <c r="W139" i="30"/>
  <c r="CS114" i="30"/>
  <c r="CV114" i="30"/>
  <c r="BU10" i="3"/>
  <c r="BU155" i="3" s="1"/>
  <c r="BS720" i="9"/>
  <c r="BS231" i="3"/>
  <c r="BT164" i="3"/>
  <c r="BT187" i="3" s="1"/>
  <c r="CD136" i="30"/>
  <c r="CE256" i="6"/>
  <c r="CE259" i="6" s="1"/>
  <c r="BS729" i="9"/>
  <c r="BS240" i="3"/>
  <c r="BT171" i="3"/>
  <c r="BT194" i="3" s="1"/>
  <c r="BT268" i="3"/>
  <c r="BT291" i="3" s="1"/>
  <c r="BT222" i="3"/>
  <c r="X20" i="32"/>
  <c r="CV19" i="32"/>
  <c r="CS19" i="32"/>
  <c r="BS736" i="9"/>
  <c r="BS247" i="3"/>
  <c r="BS755" i="9"/>
  <c r="BT170" i="3"/>
  <c r="BT193" i="3" s="1"/>
  <c r="BS728" i="9"/>
  <c r="BS239" i="3"/>
  <c r="BS733" i="9"/>
  <c r="BS244" i="3"/>
  <c r="E17" i="14"/>
  <c r="N17" i="14" s="1" a="1"/>
  <c r="N17" i="14" s="1"/>
  <c r="B17" i="14" a="1"/>
  <c r="AF133" i="6" l="1"/>
  <c r="AF119" i="30" s="1"/>
  <c r="AF16" i="6"/>
  <c r="AE143" i="30"/>
  <c r="AE141" i="30"/>
  <c r="AG114" i="6"/>
  <c r="AG125" i="6"/>
  <c r="BT84" i="3"/>
  <c r="BT87" i="3"/>
  <c r="BT83" i="3"/>
  <c r="BT68" i="3"/>
  <c r="BU143" i="3"/>
  <c r="BU166" i="3" s="1"/>
  <c r="BU189" i="3" s="1"/>
  <c r="BT81" i="3"/>
  <c r="BT76" i="3"/>
  <c r="BU148" i="3"/>
  <c r="BU151" i="3"/>
  <c r="BU139" i="3"/>
  <c r="BU162" i="3" s="1"/>
  <c r="BU146" i="3"/>
  <c r="BU145" i="3"/>
  <c r="BU168" i="3" s="1"/>
  <c r="BU191" i="3" s="1"/>
  <c r="BT86" i="3"/>
  <c r="BS749" i="9"/>
  <c r="BS748" i="9"/>
  <c r="BU153" i="3"/>
  <c r="BU176" i="3" s="1"/>
  <c r="BU199" i="3" s="1"/>
  <c r="BT72" i="3"/>
  <c r="BT77" i="3"/>
  <c r="BU144" i="3"/>
  <c r="BU167" i="3" s="1"/>
  <c r="BU190" i="3" s="1"/>
  <c r="BS743" i="9"/>
  <c r="CF130" i="6"/>
  <c r="CF133" i="6" s="1"/>
  <c r="CF119" i="30" s="1"/>
  <c r="CG109" i="6"/>
  <c r="BS760" i="9"/>
  <c r="BS751" i="9"/>
  <c r="BS741" i="9"/>
  <c r="BS757" i="9"/>
  <c r="BT267" i="3"/>
  <c r="BT290" i="3" s="1"/>
  <c r="BT221" i="3"/>
  <c r="BT257" i="3"/>
  <c r="BT280" i="3" s="1"/>
  <c r="BT211" i="3"/>
  <c r="BT253" i="3"/>
  <c r="BT276" i="3" s="1"/>
  <c r="BT207" i="3"/>
  <c r="BT263" i="3"/>
  <c r="BT286" i="3" s="1"/>
  <c r="BT217" i="3"/>
  <c r="BT258" i="3"/>
  <c r="BT281" i="3" s="1"/>
  <c r="BT212" i="3"/>
  <c r="BT265" i="3"/>
  <c r="BT288" i="3" s="1"/>
  <c r="BT219" i="3"/>
  <c r="BT206" i="3"/>
  <c r="BT252" i="3"/>
  <c r="BT275" i="3" s="1"/>
  <c r="BT214" i="3"/>
  <c r="BT260" i="3"/>
  <c r="BT283" i="3" s="1"/>
  <c r="BT259" i="3"/>
  <c r="BT282" i="3" s="1"/>
  <c r="BT213" i="3"/>
  <c r="BT256" i="3"/>
  <c r="BT279" i="3" s="1"/>
  <c r="BT210" i="3"/>
  <c r="BU178" i="3"/>
  <c r="BU201" i="3" s="1"/>
  <c r="BT209" i="3"/>
  <c r="BT255" i="3"/>
  <c r="BT278" i="3" s="1"/>
  <c r="W143" i="30"/>
  <c r="W141" i="30"/>
  <c r="CV139" i="30"/>
  <c r="BT269" i="3"/>
  <c r="BT292" i="3" s="1"/>
  <c r="BT223" i="3"/>
  <c r="BT224" i="3"/>
  <c r="BT270" i="3"/>
  <c r="BT293" i="3" s="1"/>
  <c r="BT261" i="3"/>
  <c r="BT284" i="3" s="1"/>
  <c r="BT215" i="3"/>
  <c r="W21" i="12"/>
  <c r="W19" i="12"/>
  <c r="W20" i="12"/>
  <c r="W28" i="12" s="1"/>
  <c r="BT734" i="9"/>
  <c r="BT245" i="3"/>
  <c r="BT254" i="3"/>
  <c r="BT277" i="3" s="1"/>
  <c r="BT208" i="3"/>
  <c r="BS752" i="9"/>
  <c r="BU174" i="3"/>
  <c r="BU197" i="3" s="1"/>
  <c r="Y19" i="32"/>
  <c r="Y85" i="30"/>
  <c r="Y14" i="6"/>
  <c r="CS83" i="6"/>
  <c r="A83" i="6" s="1" a="1"/>
  <c r="A83" i="6" s="1"/>
  <c r="BT93" i="3"/>
  <c r="BT70" i="3"/>
  <c r="BU169" i="3"/>
  <c r="BU192" i="3" s="1"/>
  <c r="BS756" i="9"/>
  <c r="CE136" i="30"/>
  <c r="CF256" i="6"/>
  <c r="CF259" i="6" s="1"/>
  <c r="BU150" i="3"/>
  <c r="BU152" i="3"/>
  <c r="BU154" i="3"/>
  <c r="J46" i="50"/>
  <c r="J47" i="50" s="1"/>
  <c r="Y101" i="33"/>
  <c r="Y104" i="33" s="1"/>
  <c r="BS758" i="9"/>
  <c r="BT75" i="3"/>
  <c r="BT711" i="9"/>
  <c r="BT780" i="9" s="1"/>
  <c r="BT803" i="9" s="1"/>
  <c r="BT703" i="9"/>
  <c r="BT772" i="9" s="1"/>
  <c r="BT695" i="9"/>
  <c r="BT764" i="9" s="1"/>
  <c r="BT710" i="9"/>
  <c r="BT779" i="9" s="1"/>
  <c r="BT708" i="9"/>
  <c r="BT777" i="9" s="1"/>
  <c r="BT705" i="9"/>
  <c r="BT774" i="9" s="1"/>
  <c r="BT698" i="9"/>
  <c r="BT767" i="9" s="1"/>
  <c r="BT712" i="9"/>
  <c r="BT781" i="9" s="1"/>
  <c r="BT702" i="9"/>
  <c r="BT771" i="9" s="1"/>
  <c r="BT700" i="9"/>
  <c r="BT769" i="9" s="1"/>
  <c r="BT697" i="9"/>
  <c r="BT766" i="9" s="1"/>
  <c r="BT707" i="9"/>
  <c r="BT776" i="9" s="1"/>
  <c r="BT713" i="9"/>
  <c r="BT782" i="9" s="1"/>
  <c r="BT709" i="9"/>
  <c r="BT778" i="9" s="1"/>
  <c r="BT704" i="9"/>
  <c r="BT773" i="9" s="1"/>
  <c r="BT796" i="9" s="1"/>
  <c r="BT699" i="9"/>
  <c r="BT768" i="9" s="1"/>
  <c r="BT714" i="9"/>
  <c r="BT783" i="9" s="1"/>
  <c r="BT806" i="9" s="1"/>
  <c r="BT706" i="9"/>
  <c r="BT775" i="9" s="1"/>
  <c r="BT701" i="9"/>
  <c r="BT770" i="9" s="1"/>
  <c r="BT696" i="9"/>
  <c r="BT765" i="9" s="1"/>
  <c r="BT82" i="3"/>
  <c r="BU171" i="3"/>
  <c r="BU194" i="3" s="1"/>
  <c r="BT220" i="3"/>
  <c r="BT266" i="3"/>
  <c r="BT289" i="3" s="1"/>
  <c r="BT102" i="3"/>
  <c r="BT79" i="3"/>
  <c r="BT108" i="3"/>
  <c r="BT85" i="3"/>
  <c r="BS759" i="9"/>
  <c r="BU138" i="3"/>
  <c r="BU137" i="3"/>
  <c r="BU140" i="3"/>
  <c r="BS742" i="9"/>
  <c r="BT415" i="9"/>
  <c r="BT368" i="9"/>
  <c r="BT263" i="9"/>
  <c r="BT216" i="9"/>
  <c r="BT396" i="9"/>
  <c r="BT349" i="9"/>
  <c r="BT434" i="9"/>
  <c r="BT425" i="9"/>
  <c r="BT406" i="9"/>
  <c r="BT311" i="9"/>
  <c r="BT282" i="9"/>
  <c r="BT168" i="9"/>
  <c r="BT121" i="9"/>
  <c r="BT377" i="9"/>
  <c r="BT320" i="9"/>
  <c r="BT225" i="9"/>
  <c r="BT149" i="9"/>
  <c r="BT102" i="9"/>
  <c r="BT254" i="9"/>
  <c r="BT387" i="9"/>
  <c r="BT358" i="9"/>
  <c r="BT292" i="9"/>
  <c r="BT197" i="9"/>
  <c r="BT339" i="9"/>
  <c r="BT330" i="9"/>
  <c r="BT301" i="9"/>
  <c r="BT244" i="9"/>
  <c r="BT159" i="9"/>
  <c r="BT178" i="9"/>
  <c r="BT83" i="9"/>
  <c r="BT206" i="9"/>
  <c r="BT130" i="9"/>
  <c r="BT92" i="9"/>
  <c r="BT64" i="9"/>
  <c r="BT111" i="9"/>
  <c r="BT187" i="9"/>
  <c r="BT235" i="9"/>
  <c r="BT273" i="9"/>
  <c r="BT73" i="9"/>
  <c r="BT140" i="9"/>
  <c r="BU149" i="3"/>
  <c r="BT28" i="3"/>
  <c r="BT26" i="3"/>
  <c r="BS744" i="9"/>
  <c r="BT737" i="9"/>
  <c r="BT248" i="3"/>
  <c r="BU41" i="3"/>
  <c r="BU12" i="3"/>
  <c r="BU3" i="3" s="1"/>
  <c r="BU24" i="3"/>
  <c r="BU5" i="3"/>
  <c r="BV8" i="3"/>
  <c r="BU4" i="3"/>
  <c r="BT69" i="3"/>
  <c r="BU156" i="3"/>
  <c r="BU141" i="3"/>
  <c r="BT71" i="3"/>
  <c r="BS746" i="9"/>
  <c r="BT78" i="3"/>
  <c r="X23" i="32"/>
  <c r="X112" i="30"/>
  <c r="CT88" i="30"/>
  <c r="CW88" i="30"/>
  <c r="X114" i="30"/>
  <c r="BT74" i="3"/>
  <c r="BT18" i="3"/>
  <c r="BT216" i="3"/>
  <c r="BT262" i="3"/>
  <c r="BT285" i="3" s="1"/>
  <c r="X23" i="35"/>
  <c r="X51" i="35"/>
  <c r="X71" i="13"/>
  <c r="X99" i="35" s="1"/>
  <c r="X32" i="36"/>
  <c r="X98" i="33"/>
  <c r="CV20" i="32"/>
  <c r="CS20" i="32"/>
  <c r="BU147" i="3"/>
  <c r="BU142" i="3"/>
  <c r="BT264" i="3"/>
  <c r="BT287" i="3" s="1"/>
  <c r="BT218" i="3"/>
  <c r="BS753" i="9"/>
  <c r="BT96" i="3"/>
  <c r="BT73" i="3"/>
  <c r="BT80" i="3"/>
  <c r="B17" i="14"/>
  <c r="M16" i="14"/>
  <c r="E16" i="14" a="1"/>
  <c r="AH109" i="6" l="1"/>
  <c r="AG130" i="6"/>
  <c r="AF20" i="6"/>
  <c r="AF18" i="6"/>
  <c r="AF124" i="30"/>
  <c r="AF139" i="30" s="1"/>
  <c r="AF32" i="32"/>
  <c r="BT800" i="9"/>
  <c r="BT823" i="9" s="1"/>
  <c r="BT790" i="9"/>
  <c r="BU185" i="3"/>
  <c r="BU208" i="3" s="1"/>
  <c r="BT792" i="9"/>
  <c r="BT815" i="9" s="1"/>
  <c r="BT804" i="9"/>
  <c r="BT827" i="9" s="1"/>
  <c r="BT801" i="9"/>
  <c r="BT824" i="9" s="1"/>
  <c r="BT805" i="9"/>
  <c r="CG114" i="6"/>
  <c r="CG125" i="6"/>
  <c r="BT788" i="9"/>
  <c r="BT799" i="9"/>
  <c r="BT822" i="9" s="1"/>
  <c r="BT787" i="9"/>
  <c r="BT810" i="9" s="1"/>
  <c r="BT798" i="9"/>
  <c r="BT821" i="9" s="1"/>
  <c r="BT797" i="9"/>
  <c r="BT820" i="9" s="1"/>
  <c r="BT791" i="9"/>
  <c r="BT814" i="9" s="1"/>
  <c r="BT802" i="9"/>
  <c r="BT825" i="9" s="1"/>
  <c r="BT793" i="9"/>
  <c r="BT816" i="9" s="1"/>
  <c r="BT789" i="9"/>
  <c r="BT812" i="9" s="1"/>
  <c r="BT795" i="9"/>
  <c r="BT818" i="9" s="1"/>
  <c r="BT794" i="9"/>
  <c r="BT817" i="9" s="1"/>
  <c r="BU260" i="3"/>
  <c r="BU283" i="3" s="1"/>
  <c r="BU214" i="3"/>
  <c r="BU222" i="3"/>
  <c r="BU268" i="3"/>
  <c r="BU291" i="3" s="1"/>
  <c r="BU224" i="3"/>
  <c r="BU270" i="3"/>
  <c r="BU293" i="3" s="1"/>
  <c r="BU217" i="3"/>
  <c r="BU263" i="3"/>
  <c r="BU286" i="3" s="1"/>
  <c r="X139" i="30"/>
  <c r="CT114" i="30"/>
  <c r="CW114" i="30"/>
  <c r="BT730" i="9"/>
  <c r="BT241" i="3"/>
  <c r="X56" i="35"/>
  <c r="X83" i="13"/>
  <c r="X14" i="12"/>
  <c r="CS23" i="32"/>
  <c r="BU172" i="3"/>
  <c r="BU195" i="3" s="1"/>
  <c r="BU163" i="3"/>
  <c r="BU186" i="3" s="1"/>
  <c r="BU173" i="3"/>
  <c r="BU196" i="3" s="1"/>
  <c r="BU261" i="3"/>
  <c r="BU284" i="3" s="1"/>
  <c r="BU215" i="3"/>
  <c r="BU258" i="3"/>
  <c r="BU281" i="3" s="1"/>
  <c r="BU212" i="3"/>
  <c r="W23" i="12"/>
  <c r="W15" i="13" s="1"/>
  <c r="W94" i="35" s="1"/>
  <c r="BT736" i="9"/>
  <c r="BT247" i="3"/>
  <c r="BT729" i="9"/>
  <c r="BT240" i="3"/>
  <c r="BU165" i="3"/>
  <c r="BU188" i="3" s="1"/>
  <c r="BU170" i="3"/>
  <c r="BU193" i="3" s="1"/>
  <c r="BU160" i="3"/>
  <c r="BU183" i="3" s="1"/>
  <c r="BU254" i="3"/>
  <c r="BU277" i="3" s="1"/>
  <c r="BT721" i="9"/>
  <c r="BT232" i="3"/>
  <c r="BT726" i="9"/>
  <c r="BT237" i="3"/>
  <c r="BU16" i="3"/>
  <c r="BU22" i="3"/>
  <c r="BU4" i="9"/>
  <c r="BU20" i="3"/>
  <c r="BT760" i="9"/>
  <c r="BU161" i="3"/>
  <c r="BU184" i="3" s="1"/>
  <c r="CF136" i="30"/>
  <c r="CG256" i="6"/>
  <c r="CG259" i="6" s="1"/>
  <c r="BT735" i="9"/>
  <c r="BT246" i="3"/>
  <c r="BT719" i="9"/>
  <c r="BT230" i="3"/>
  <c r="BV10" i="3"/>
  <c r="BV148" i="3" s="1"/>
  <c r="BT732" i="9"/>
  <c r="BT243" i="3"/>
  <c r="BT718" i="9"/>
  <c r="BT229" i="3"/>
  <c r="Y20" i="6"/>
  <c r="Y18" i="6"/>
  <c r="BU220" i="3"/>
  <c r="BU266" i="3"/>
  <c r="BU289" i="3" s="1"/>
  <c r="BT722" i="9"/>
  <c r="BT233" i="3"/>
  <c r="BT731" i="9"/>
  <c r="BT242" i="3"/>
  <c r="BT723" i="9"/>
  <c r="BT234" i="3"/>
  <c r="BU63" i="3"/>
  <c r="BU55" i="3"/>
  <c r="BU101" i="3" s="1"/>
  <c r="BU47" i="3"/>
  <c r="BU93" i="3" s="1"/>
  <c r="BU58" i="3"/>
  <c r="BU45" i="3"/>
  <c r="BU53" i="3"/>
  <c r="BU48" i="3"/>
  <c r="BU94" i="3" s="1"/>
  <c r="BU57" i="3"/>
  <c r="BU103" i="3" s="1"/>
  <c r="BU52" i="3"/>
  <c r="BU98" i="3" s="1"/>
  <c r="BU64" i="3"/>
  <c r="BU60" i="3"/>
  <c r="BU62" i="3"/>
  <c r="BU108" i="3" s="1"/>
  <c r="BU49" i="3"/>
  <c r="BU46" i="3"/>
  <c r="BU92" i="3" s="1"/>
  <c r="BU51" i="3"/>
  <c r="BU97" i="3" s="1"/>
  <c r="BU56" i="3"/>
  <c r="BU102" i="3" s="1"/>
  <c r="BU50" i="3"/>
  <c r="BU96" i="3" s="1"/>
  <c r="BU59" i="3"/>
  <c r="BU105" i="3" s="1"/>
  <c r="BU54" i="3"/>
  <c r="BU61" i="3"/>
  <c r="BU5" i="9"/>
  <c r="BU133" i="3"/>
  <c r="BU129" i="3"/>
  <c r="BU118" i="3"/>
  <c r="BU122" i="3"/>
  <c r="BU117" i="3"/>
  <c r="BU119" i="3"/>
  <c r="BU131" i="3"/>
  <c r="BU114" i="3"/>
  <c r="BU132" i="3"/>
  <c r="BU121" i="3"/>
  <c r="BU115" i="3"/>
  <c r="BU116" i="3"/>
  <c r="BU123" i="3"/>
  <c r="BU127" i="3"/>
  <c r="BU128" i="3"/>
  <c r="BU125" i="3"/>
  <c r="BU126" i="3"/>
  <c r="BU124" i="3"/>
  <c r="BU120" i="3"/>
  <c r="BU130" i="3"/>
  <c r="BT645" i="9"/>
  <c r="BT728" i="9"/>
  <c r="BT239" i="3"/>
  <c r="BU164" i="3"/>
  <c r="BU187" i="3" s="1"/>
  <c r="CU85" i="30"/>
  <c r="CO85" i="30" s="1"/>
  <c r="CX85" i="30"/>
  <c r="CP85" i="30" s="1"/>
  <c r="Y88" i="30"/>
  <c r="BT757" i="9"/>
  <c r="BT727" i="9"/>
  <c r="BT238" i="3"/>
  <c r="BU179" i="3"/>
  <c r="BU202" i="3" s="1"/>
  <c r="BU177" i="3"/>
  <c r="BU200" i="3" s="1"/>
  <c r="BU259" i="3"/>
  <c r="BU282" i="3" s="1"/>
  <c r="BU213" i="3"/>
  <c r="Y20" i="32"/>
  <c r="CW19" i="32"/>
  <c r="CO19" i="32" s="1"/>
  <c r="CT19" i="32"/>
  <c r="CN19" i="32" s="1"/>
  <c r="BT720" i="9"/>
  <c r="BT231" i="3"/>
  <c r="BT725" i="9"/>
  <c r="BT236" i="3"/>
  <c r="BT724" i="9"/>
  <c r="BT235" i="3"/>
  <c r="BT733" i="9"/>
  <c r="BT244" i="3"/>
  <c r="BU3" i="9"/>
  <c r="BU37" i="3"/>
  <c r="BT826" i="9"/>
  <c r="BT813" i="9"/>
  <c r="BT829" i="9"/>
  <c r="BT811" i="9"/>
  <c r="BT828" i="9"/>
  <c r="BT819" i="9"/>
  <c r="X122" i="13"/>
  <c r="CT112" i="30"/>
  <c r="CW112" i="30"/>
  <c r="BU175" i="3"/>
  <c r="BU198" i="3" s="1"/>
  <c r="E16" i="14"/>
  <c r="N16" i="14" s="1" a="1"/>
  <c r="N16" i="14" s="1"/>
  <c r="B16" i="14" a="1"/>
  <c r="AG133" i="6" l="1"/>
  <c r="AG119" i="30" s="1"/>
  <c r="AG16" i="6"/>
  <c r="AF143" i="30"/>
  <c r="AF141" i="30"/>
  <c r="AH114" i="6"/>
  <c r="AH125" i="6"/>
  <c r="BU85" i="3"/>
  <c r="BU70" i="3"/>
  <c r="BU82" i="3"/>
  <c r="BT741" i="9"/>
  <c r="BV143" i="3"/>
  <c r="BV166" i="3" s="1"/>
  <c r="BV189" i="3" s="1"/>
  <c r="BV147" i="3"/>
  <c r="BV170" i="3" s="1"/>
  <c r="BV193" i="3" s="1"/>
  <c r="BV156" i="3"/>
  <c r="BV179" i="3" s="1"/>
  <c r="BV202" i="3" s="1"/>
  <c r="BV141" i="3"/>
  <c r="BT749" i="9"/>
  <c r="BV140" i="3"/>
  <c r="BV163" i="3" s="1"/>
  <c r="BV186" i="3" s="1"/>
  <c r="BV150" i="3"/>
  <c r="BV173" i="3" s="1"/>
  <c r="BV196" i="3" s="1"/>
  <c r="BT754" i="9"/>
  <c r="BV154" i="3"/>
  <c r="BV177" i="3" s="1"/>
  <c r="BV200" i="3" s="1"/>
  <c r="BV144" i="3"/>
  <c r="BV167" i="3" s="1"/>
  <c r="BV190" i="3" s="1"/>
  <c r="BV155" i="3"/>
  <c r="BV178" i="3" s="1"/>
  <c r="BV201" i="3" s="1"/>
  <c r="BV149" i="3"/>
  <c r="BV142" i="3"/>
  <c r="BV165" i="3" s="1"/>
  <c r="BV188" i="3" s="1"/>
  <c r="BU71" i="3"/>
  <c r="BV145" i="3"/>
  <c r="BV139" i="3"/>
  <c r="BV162" i="3" s="1"/>
  <c r="BV185" i="3" s="1"/>
  <c r="BU69" i="3"/>
  <c r="BV153" i="3"/>
  <c r="BV176" i="3" s="1"/>
  <c r="BV199" i="3" s="1"/>
  <c r="BV137" i="3"/>
  <c r="BV160" i="3" s="1"/>
  <c r="BV183" i="3" s="1"/>
  <c r="CG130" i="6"/>
  <c r="CG133" i="6" s="1"/>
  <c r="CG119" i="30" s="1"/>
  <c r="CH109" i="6"/>
  <c r="BT751" i="9"/>
  <c r="BT752" i="9"/>
  <c r="BT748" i="9"/>
  <c r="BT742" i="9"/>
  <c r="BT744" i="9"/>
  <c r="BT746" i="9"/>
  <c r="BT759" i="9"/>
  <c r="BT743" i="9"/>
  <c r="BT758" i="9"/>
  <c r="A85" i="30" a="1"/>
  <c r="A85" i="30" s="1"/>
  <c r="BU211" i="3"/>
  <c r="BU257" i="3"/>
  <c r="BU280" i="3" s="1"/>
  <c r="BU221" i="3"/>
  <c r="BU267" i="3"/>
  <c r="BU290" i="3" s="1"/>
  <c r="BU255" i="3"/>
  <c r="BU278" i="3" s="1"/>
  <c r="BU209" i="3"/>
  <c r="BU271" i="3"/>
  <c r="BU294" i="3" s="1"/>
  <c r="BU225" i="3"/>
  <c r="BU256" i="3"/>
  <c r="BU279" i="3" s="1"/>
  <c r="BU210" i="3"/>
  <c r="BU252" i="3"/>
  <c r="BU275" i="3" s="1"/>
  <c r="BU206" i="3"/>
  <c r="BV171" i="3"/>
  <c r="BV194" i="3" s="1"/>
  <c r="BU216" i="3"/>
  <c r="BU262" i="3"/>
  <c r="BU285" i="3" s="1"/>
  <c r="BU223" i="3"/>
  <c r="BU269" i="3"/>
  <c r="BU292" i="3" s="1"/>
  <c r="Y23" i="32"/>
  <c r="Y112" i="30"/>
  <c r="CX88" i="30"/>
  <c r="CP88" i="30" s="1"/>
  <c r="CU88" i="30"/>
  <c r="CO88" i="30" s="1"/>
  <c r="Y114" i="30"/>
  <c r="BU100" i="3"/>
  <c r="BU77" i="3"/>
  <c r="BU106" i="3"/>
  <c r="BU83" i="3"/>
  <c r="BU91" i="3"/>
  <c r="BU68" i="3"/>
  <c r="BU253" i="3"/>
  <c r="BU276" i="3" s="1"/>
  <c r="BU207" i="3"/>
  <c r="BU73" i="3"/>
  <c r="BU265" i="3"/>
  <c r="BU288" i="3" s="1"/>
  <c r="BU219" i="3"/>
  <c r="BU729" i="9"/>
  <c r="BU240" i="3"/>
  <c r="BU110" i="3"/>
  <c r="BU87" i="3"/>
  <c r="BU104" i="3"/>
  <c r="BU81" i="3"/>
  <c r="BT753" i="9"/>
  <c r="BU713" i="9"/>
  <c r="BU782" i="9" s="1"/>
  <c r="BU805" i="9" s="1"/>
  <c r="BU708" i="9"/>
  <c r="BU777" i="9" s="1"/>
  <c r="BU700" i="9"/>
  <c r="BU769" i="9" s="1"/>
  <c r="BU712" i="9"/>
  <c r="BU781" i="9" s="1"/>
  <c r="BU702" i="9"/>
  <c r="BU771" i="9" s="1"/>
  <c r="BU794" i="9" s="1"/>
  <c r="BU697" i="9"/>
  <c r="BU766" i="9" s="1"/>
  <c r="BU789" i="9" s="1"/>
  <c r="BU695" i="9"/>
  <c r="BU764" i="9" s="1"/>
  <c r="BU707" i="9"/>
  <c r="BU776" i="9" s="1"/>
  <c r="BU709" i="9"/>
  <c r="BU778" i="9" s="1"/>
  <c r="BU801" i="9" s="1"/>
  <c r="BU704" i="9"/>
  <c r="BU773" i="9" s="1"/>
  <c r="BU796" i="9" s="1"/>
  <c r="BU699" i="9"/>
  <c r="BU768" i="9" s="1"/>
  <c r="BU714" i="9"/>
  <c r="BU783" i="9" s="1"/>
  <c r="BU711" i="9"/>
  <c r="BU780" i="9" s="1"/>
  <c r="BU803" i="9" s="1"/>
  <c r="BU706" i="9"/>
  <c r="BU775" i="9" s="1"/>
  <c r="BU798" i="9" s="1"/>
  <c r="BU701" i="9"/>
  <c r="BU770" i="9" s="1"/>
  <c r="BU793" i="9" s="1"/>
  <c r="BU696" i="9"/>
  <c r="BU765" i="9" s="1"/>
  <c r="BU788" i="9" s="1"/>
  <c r="BU710" i="9"/>
  <c r="BU779" i="9" s="1"/>
  <c r="BU705" i="9"/>
  <c r="BU774" i="9" s="1"/>
  <c r="BU703" i="9"/>
  <c r="BU772" i="9" s="1"/>
  <c r="BU795" i="9" s="1"/>
  <c r="BU698" i="9"/>
  <c r="BU767" i="9" s="1"/>
  <c r="BU790" i="9" s="1"/>
  <c r="BU724" i="9"/>
  <c r="BU235" i="3"/>
  <c r="BU80" i="3"/>
  <c r="BU736" i="9"/>
  <c r="BU247" i="3"/>
  <c r="A19" i="32" a="1"/>
  <c r="A19" i="32" s="1"/>
  <c r="BT745" i="9"/>
  <c r="BV164" i="3"/>
  <c r="BV187" i="3" s="1"/>
  <c r="CG136" i="30"/>
  <c r="CH256" i="6"/>
  <c r="CH259" i="6" s="1"/>
  <c r="BU720" i="9"/>
  <c r="BU231" i="3"/>
  <c r="BU264" i="3"/>
  <c r="BU287" i="3" s="1"/>
  <c r="BU218" i="3"/>
  <c r="BU725" i="9"/>
  <c r="BU236" i="3"/>
  <c r="BV146" i="3"/>
  <c r="BV138" i="3"/>
  <c r="BU74" i="3"/>
  <c r="BU26" i="3"/>
  <c r="BU28" i="3"/>
  <c r="BU727" i="9"/>
  <c r="BU238" i="3"/>
  <c r="BU734" i="9"/>
  <c r="BU245" i="3"/>
  <c r="BT756" i="9"/>
  <c r="BT747" i="9"/>
  <c r="BT750" i="9"/>
  <c r="BU434" i="9"/>
  <c r="BU396" i="9"/>
  <c r="BU349" i="9"/>
  <c r="BU244" i="9"/>
  <c r="BU377" i="9"/>
  <c r="BU330" i="9"/>
  <c r="BU425" i="9"/>
  <c r="BU406" i="9"/>
  <c r="BU387" i="9"/>
  <c r="BU320" i="9"/>
  <c r="BU225" i="9"/>
  <c r="BU149" i="9"/>
  <c r="BU130" i="9"/>
  <c r="BU415" i="9"/>
  <c r="BU254" i="9"/>
  <c r="BU216" i="9"/>
  <c r="BU358" i="9"/>
  <c r="BU292" i="9"/>
  <c r="BU263" i="9"/>
  <c r="BU197" i="9"/>
  <c r="BU178" i="9"/>
  <c r="BU339" i="9"/>
  <c r="BU301" i="9"/>
  <c r="BU368" i="9"/>
  <c r="BU273" i="9"/>
  <c r="BU235" i="9"/>
  <c r="BU206" i="9"/>
  <c r="BU187" i="9"/>
  <c r="BU140" i="9"/>
  <c r="BU168" i="9"/>
  <c r="BU102" i="9"/>
  <c r="BU92" i="9"/>
  <c r="BU83" i="9"/>
  <c r="BU64" i="9"/>
  <c r="BU73" i="9"/>
  <c r="BU159" i="9"/>
  <c r="BU311" i="9"/>
  <c r="BU282" i="9"/>
  <c r="BU121" i="9"/>
  <c r="BU111" i="9"/>
  <c r="BU95" i="3"/>
  <c r="BU72" i="3"/>
  <c r="BT755" i="9"/>
  <c r="BV152" i="3"/>
  <c r="BU75" i="3"/>
  <c r="BU18" i="3"/>
  <c r="X21" i="12"/>
  <c r="X19" i="12"/>
  <c r="X20" i="12"/>
  <c r="X28" i="12" s="1"/>
  <c r="X143" i="30"/>
  <c r="X141" i="30"/>
  <c r="CW139" i="30"/>
  <c r="BU726" i="9"/>
  <c r="BU237" i="3"/>
  <c r="Y23" i="35"/>
  <c r="Y51" i="35"/>
  <c r="Y71" i="13"/>
  <c r="Y99" i="35" s="1"/>
  <c r="Y32" i="36"/>
  <c r="Y98" i="33"/>
  <c r="CW20" i="32"/>
  <c r="CO20" i="32" s="1"/>
  <c r="CT20" i="32"/>
  <c r="BU79" i="3"/>
  <c r="BU107" i="3"/>
  <c r="BU84" i="3"/>
  <c r="BU99" i="3"/>
  <c r="BU76" i="3"/>
  <c r="BU109" i="3"/>
  <c r="BU86" i="3"/>
  <c r="BU732" i="9"/>
  <c r="BU243" i="3"/>
  <c r="BV172" i="3"/>
  <c r="BV195" i="3" s="1"/>
  <c r="BV41" i="3"/>
  <c r="BV24" i="3"/>
  <c r="BV12" i="3"/>
  <c r="BV3" i="3" s="1"/>
  <c r="BV5" i="3"/>
  <c r="BV4" i="3"/>
  <c r="BV151" i="3"/>
  <c r="BU78" i="3"/>
  <c r="B16" i="14"/>
  <c r="E15" i="14" a="1"/>
  <c r="AI109" i="6" l="1"/>
  <c r="AH130" i="6"/>
  <c r="AG18" i="6"/>
  <c r="AG20" i="6"/>
  <c r="AG32" i="32"/>
  <c r="AG124" i="30"/>
  <c r="AG139" i="30" s="1"/>
  <c r="BU792" i="9"/>
  <c r="BU815" i="9" s="1"/>
  <c r="BU800" i="9"/>
  <c r="BU823" i="9" s="1"/>
  <c r="BU787" i="9"/>
  <c r="BU810" i="9" s="1"/>
  <c r="BU804" i="9"/>
  <c r="BU827" i="9" s="1"/>
  <c r="BU791" i="9"/>
  <c r="BU814" i="9" s="1"/>
  <c r="BU802" i="9"/>
  <c r="BU825" i="9" s="1"/>
  <c r="BU799" i="9"/>
  <c r="BU822" i="9" s="1"/>
  <c r="BV168" i="3"/>
  <c r="BV191" i="3" s="1"/>
  <c r="CH114" i="6"/>
  <c r="CH125" i="6"/>
  <c r="BU759" i="9"/>
  <c r="BU752" i="9"/>
  <c r="BU757" i="9"/>
  <c r="BU748" i="9"/>
  <c r="BU749" i="9"/>
  <c r="BU806" i="9"/>
  <c r="BU829" i="9" s="1"/>
  <c r="BU743" i="9"/>
  <c r="BU797" i="9"/>
  <c r="BU820" i="9" s="1"/>
  <c r="BV252" i="3"/>
  <c r="BV275" i="3" s="1"/>
  <c r="BV206" i="3"/>
  <c r="BV255" i="3"/>
  <c r="BV278" i="3" s="1"/>
  <c r="BV209" i="3"/>
  <c r="BV265" i="3"/>
  <c r="BV288" i="3" s="1"/>
  <c r="BV219" i="3"/>
  <c r="BV213" i="3"/>
  <c r="BV259" i="3"/>
  <c r="BV282" i="3" s="1"/>
  <c r="BV263" i="3"/>
  <c r="BV286" i="3" s="1"/>
  <c r="BV217" i="3"/>
  <c r="BV271" i="3"/>
  <c r="BV294" i="3" s="1"/>
  <c r="BV225" i="3"/>
  <c r="BV208" i="3"/>
  <c r="BV254" i="3"/>
  <c r="BV277" i="3" s="1"/>
  <c r="BV216" i="3"/>
  <c r="BV262" i="3"/>
  <c r="BV285" i="3" s="1"/>
  <c r="BV174" i="3"/>
  <c r="BV197" i="3" s="1"/>
  <c r="BV264" i="3"/>
  <c r="BV287" i="3" s="1"/>
  <c r="BV218" i="3"/>
  <c r="BU826" i="9"/>
  <c r="BU818" i="9"/>
  <c r="BU824" i="9"/>
  <c r="BU816" i="9"/>
  <c r="BU813" i="9"/>
  <c r="BU817" i="9"/>
  <c r="BU812" i="9"/>
  <c r="BU811" i="9"/>
  <c r="BU821" i="9"/>
  <c r="BU828" i="9"/>
  <c r="BU819" i="9"/>
  <c r="BU645" i="9"/>
  <c r="BV161" i="3"/>
  <c r="BV184" i="3" s="1"/>
  <c r="BV212" i="3"/>
  <c r="BV258" i="3"/>
  <c r="BV281" i="3" s="1"/>
  <c r="BV211" i="3"/>
  <c r="BV257" i="3"/>
  <c r="BV280" i="3" s="1"/>
  <c r="BU719" i="9"/>
  <c r="BU230" i="3"/>
  <c r="Y139" i="30"/>
  <c r="CX114" i="30"/>
  <c r="CP114" i="30" s="1"/>
  <c r="CU114" i="30"/>
  <c r="CO114" i="30" s="1"/>
  <c r="BU737" i="9"/>
  <c r="BU248" i="3"/>
  <c r="BV169" i="3"/>
  <c r="BV192" i="3" s="1"/>
  <c r="BU728" i="9"/>
  <c r="BU239" i="3"/>
  <c r="BV256" i="3"/>
  <c r="BV279" i="3" s="1"/>
  <c r="BV210" i="3"/>
  <c r="BV222" i="3"/>
  <c r="BV268" i="3"/>
  <c r="BV291" i="3" s="1"/>
  <c r="BU721" i="9"/>
  <c r="BU232" i="3"/>
  <c r="BV58" i="3"/>
  <c r="BV104" i="3" s="1"/>
  <c r="BV50" i="3"/>
  <c r="BV96" i="3" s="1"/>
  <c r="BV63" i="3"/>
  <c r="BV109" i="3" s="1"/>
  <c r="BV53" i="3"/>
  <c r="BV99" i="3" s="1"/>
  <c r="BV48" i="3"/>
  <c r="BV61" i="3"/>
  <c r="BV107" i="3" s="1"/>
  <c r="BV56" i="3"/>
  <c r="BV102" i="3" s="1"/>
  <c r="BV51" i="3"/>
  <c r="BV97" i="3" s="1"/>
  <c r="BV60" i="3"/>
  <c r="BV106" i="3" s="1"/>
  <c r="BV62" i="3"/>
  <c r="BV49" i="3"/>
  <c r="BV95" i="3" s="1"/>
  <c r="BV46" i="3"/>
  <c r="BV59" i="3"/>
  <c r="BV54" i="3"/>
  <c r="BV100" i="3" s="1"/>
  <c r="BV47" i="3"/>
  <c r="BV55" i="3"/>
  <c r="BV101" i="3" s="1"/>
  <c r="BV52" i="3"/>
  <c r="BV98" i="3" s="1"/>
  <c r="BV57" i="3"/>
  <c r="BV103" i="3" s="1"/>
  <c r="BV45" i="3"/>
  <c r="BV91" i="3" s="1"/>
  <c r="BV64" i="3"/>
  <c r="BV110" i="3" s="1"/>
  <c r="BV5" i="9"/>
  <c r="BV127" i="3"/>
  <c r="BV128" i="3"/>
  <c r="BV129" i="3"/>
  <c r="BV120" i="3"/>
  <c r="BV126" i="3"/>
  <c r="BV123" i="3"/>
  <c r="BV116" i="3"/>
  <c r="BV114" i="3"/>
  <c r="BV118" i="3"/>
  <c r="BV133" i="3"/>
  <c r="BV130" i="3"/>
  <c r="BV124" i="3"/>
  <c r="BV117" i="3"/>
  <c r="BV115" i="3"/>
  <c r="BV122" i="3"/>
  <c r="BV121" i="3"/>
  <c r="BV131" i="3"/>
  <c r="BV119" i="3"/>
  <c r="BV125" i="3"/>
  <c r="BV132" i="3"/>
  <c r="BV175" i="3"/>
  <c r="BV198" i="3" s="1"/>
  <c r="BU750" i="9"/>
  <c r="Y122" i="13"/>
  <c r="CU112" i="30"/>
  <c r="CO112" i="30" s="1"/>
  <c r="CX112" i="30"/>
  <c r="CP112" i="30" s="1"/>
  <c r="BV16" i="3"/>
  <c r="BV18" i="3" s="1"/>
  <c r="BV22" i="3"/>
  <c r="BV4" i="9"/>
  <c r="BV20" i="3"/>
  <c r="Y56" i="35"/>
  <c r="Y83" i="13"/>
  <c r="Y14" i="12"/>
  <c r="CT23" i="32"/>
  <c r="BU718" i="9"/>
  <c r="BU229" i="3"/>
  <c r="CH136" i="30"/>
  <c r="CI256" i="6"/>
  <c r="CI259" i="6" s="1"/>
  <c r="BU747" i="9"/>
  <c r="BV87" i="3"/>
  <c r="BU731" i="9"/>
  <c r="BU242" i="3"/>
  <c r="BU733" i="9"/>
  <c r="BU244" i="3"/>
  <c r="BU755" i="9"/>
  <c r="BV3" i="9"/>
  <c r="W117" i="3"/>
  <c r="W118" i="3"/>
  <c r="W123" i="3"/>
  <c r="W115" i="3"/>
  <c r="W127" i="3"/>
  <c r="BV37" i="3"/>
  <c r="V126" i="3"/>
  <c r="V132" i="3"/>
  <c r="V123" i="3"/>
  <c r="V114" i="3"/>
  <c r="V117" i="3"/>
  <c r="V118" i="3"/>
  <c r="V119" i="3"/>
  <c r="V127" i="3"/>
  <c r="V115" i="3"/>
  <c r="V130" i="3"/>
  <c r="V121" i="3"/>
  <c r="V120" i="3"/>
  <c r="V131" i="3"/>
  <c r="V124" i="3"/>
  <c r="V116" i="3"/>
  <c r="V129" i="3"/>
  <c r="V125" i="3"/>
  <c r="X116" i="3"/>
  <c r="X123" i="3"/>
  <c r="X127" i="3"/>
  <c r="X132" i="3"/>
  <c r="X133" i="3"/>
  <c r="X120" i="3"/>
  <c r="V128" i="3"/>
  <c r="V122" i="3"/>
  <c r="X114" i="3"/>
  <c r="X131" i="3"/>
  <c r="X122" i="3"/>
  <c r="X117" i="3"/>
  <c r="V133" i="3"/>
  <c r="X115" i="3"/>
  <c r="X119" i="3"/>
  <c r="X124" i="3"/>
  <c r="X128" i="3"/>
  <c r="X125" i="3"/>
  <c r="X126" i="3"/>
  <c r="X130" i="3"/>
  <c r="X121" i="3"/>
  <c r="X118" i="3"/>
  <c r="X129" i="3"/>
  <c r="Y130" i="3"/>
  <c r="Y116" i="3"/>
  <c r="Y132" i="3"/>
  <c r="Y128" i="3"/>
  <c r="Y114" i="3"/>
  <c r="Y131" i="3"/>
  <c r="Y122" i="3"/>
  <c r="Y121" i="3"/>
  <c r="Y123" i="3"/>
  <c r="Y115" i="3"/>
  <c r="Y124" i="3"/>
  <c r="Y129" i="3"/>
  <c r="Y133" i="3"/>
  <c r="Y127" i="3"/>
  <c r="Y125" i="3"/>
  <c r="Y120" i="3"/>
  <c r="Y117" i="3"/>
  <c r="Y119" i="3"/>
  <c r="Y126" i="3"/>
  <c r="Y118" i="3"/>
  <c r="BU735" i="9"/>
  <c r="BU246" i="3"/>
  <c r="BU722" i="9"/>
  <c r="BU233" i="3"/>
  <c r="X23" i="12"/>
  <c r="X15" i="13" s="1"/>
  <c r="X94" i="35" s="1"/>
  <c r="BU730" i="9"/>
  <c r="BU241" i="3"/>
  <c r="BV270" i="3"/>
  <c r="BV293" i="3" s="1"/>
  <c r="BV224" i="3"/>
  <c r="BV269" i="3"/>
  <c r="BV292" i="3" s="1"/>
  <c r="BV223" i="3"/>
  <c r="BU723" i="9"/>
  <c r="BU234" i="3"/>
  <c r="E15" i="14"/>
  <c r="B15" i="14" a="1"/>
  <c r="AH133" i="6" l="1"/>
  <c r="AH119" i="30" s="1"/>
  <c r="AH16" i="6"/>
  <c r="AG143" i="30"/>
  <c r="AG141" i="30"/>
  <c r="AI114" i="6"/>
  <c r="AI125" i="6"/>
  <c r="BV74" i="3"/>
  <c r="BV84" i="3"/>
  <c r="BV77" i="3"/>
  <c r="BV73" i="3"/>
  <c r="BV86" i="3"/>
  <c r="BV81" i="3"/>
  <c r="BV80" i="3"/>
  <c r="BV260" i="3"/>
  <c r="BV283" i="3" s="1"/>
  <c r="BV214" i="3"/>
  <c r="BV726" i="9" s="1"/>
  <c r="CB726" i="9" s="1"/>
  <c r="CH130" i="6"/>
  <c r="CH133" i="6" s="1"/>
  <c r="CH119" i="30" s="1"/>
  <c r="CI109" i="6"/>
  <c r="BV72" i="3"/>
  <c r="BV83" i="3"/>
  <c r="BU751" i="9"/>
  <c r="BU744" i="9"/>
  <c r="BU756" i="9"/>
  <c r="BU760" i="9"/>
  <c r="BV267" i="3"/>
  <c r="BV290" i="3" s="1"/>
  <c r="BV221" i="3"/>
  <c r="BV253" i="3"/>
  <c r="BV276" i="3" s="1"/>
  <c r="BV207" i="3"/>
  <c r="BV736" i="9"/>
  <c r="BV247" i="3"/>
  <c r="BU745" i="9"/>
  <c r="BV76" i="3"/>
  <c r="BV79" i="3"/>
  <c r="W126" i="3"/>
  <c r="BV108" i="3"/>
  <c r="BV85" i="3"/>
  <c r="W132" i="3"/>
  <c r="W124" i="3"/>
  <c r="W120" i="3"/>
  <c r="BV75" i="3"/>
  <c r="BV723" i="9"/>
  <c r="CB723" i="9" s="1"/>
  <c r="BV234" i="3"/>
  <c r="BV728" i="9"/>
  <c r="CB728" i="9" s="1"/>
  <c r="BV239" i="3"/>
  <c r="BV725" i="9"/>
  <c r="BV236" i="3"/>
  <c r="CI136" i="30"/>
  <c r="W125" i="3"/>
  <c r="W130" i="3"/>
  <c r="W129" i="3"/>
  <c r="BV731" i="9"/>
  <c r="BV242" i="3"/>
  <c r="BU758" i="9"/>
  <c r="BU753" i="9"/>
  <c r="BU754" i="9"/>
  <c r="W119" i="3"/>
  <c r="W133" i="3"/>
  <c r="W128" i="3"/>
  <c r="BV93" i="3"/>
  <c r="BV70" i="3"/>
  <c r="BV724" i="9"/>
  <c r="BV235" i="3"/>
  <c r="BV730" i="9"/>
  <c r="BV241" i="3"/>
  <c r="BV720" i="9"/>
  <c r="BV231" i="3"/>
  <c r="W131" i="3"/>
  <c r="Y143" i="30"/>
  <c r="Y141" i="30"/>
  <c r="CX139" i="30"/>
  <c r="CP139" i="30" s="1"/>
  <c r="BV737" i="9"/>
  <c r="BV248" i="3"/>
  <c r="BV721" i="9"/>
  <c r="CB721" i="9" s="1"/>
  <c r="BV232" i="3"/>
  <c r="BU741" i="9"/>
  <c r="BV713" i="9"/>
  <c r="W713" i="9" s="1"/>
  <c r="BY713" i="9" s="1"/>
  <c r="BV705" i="9"/>
  <c r="W705" i="9" s="1"/>
  <c r="BY705" i="9" s="1"/>
  <c r="BV697" i="9"/>
  <c r="W697" i="9" s="1"/>
  <c r="BY697" i="9" s="1"/>
  <c r="BV702" i="9"/>
  <c r="BV771" i="9" s="1"/>
  <c r="BV695" i="9"/>
  <c r="BV764" i="9" s="1"/>
  <c r="BV707" i="9"/>
  <c r="BV776" i="9" s="1"/>
  <c r="BV700" i="9"/>
  <c r="BV769" i="9" s="1"/>
  <c r="BV709" i="9"/>
  <c r="W709" i="9" s="1"/>
  <c r="BY709" i="9" s="1"/>
  <c r="BV704" i="9"/>
  <c r="W704" i="9" s="1"/>
  <c r="BY704" i="9" s="1"/>
  <c r="BV699" i="9"/>
  <c r="BV768" i="9" s="1"/>
  <c r="BV714" i="9"/>
  <c r="BV783" i="9" s="1"/>
  <c r="BV711" i="9"/>
  <c r="W711" i="9" s="1"/>
  <c r="BY711" i="9" s="1"/>
  <c r="BV706" i="9"/>
  <c r="BV775" i="9" s="1"/>
  <c r="BV701" i="9"/>
  <c r="BV770" i="9" s="1"/>
  <c r="BV696" i="9"/>
  <c r="W696" i="9" s="1"/>
  <c r="BY696" i="9" s="1"/>
  <c r="BV710" i="9"/>
  <c r="BV779" i="9" s="1"/>
  <c r="BV703" i="9"/>
  <c r="BV772" i="9" s="1"/>
  <c r="BV698" i="9"/>
  <c r="W698" i="9" s="1"/>
  <c r="BY698" i="9" s="1"/>
  <c r="BV712" i="9"/>
  <c r="W712" i="9" s="1"/>
  <c r="BY712" i="9" s="1"/>
  <c r="BV708" i="9"/>
  <c r="W708" i="9" s="1"/>
  <c r="BY708" i="9" s="1"/>
  <c r="W121" i="3"/>
  <c r="W114" i="3"/>
  <c r="BV434" i="9"/>
  <c r="BV377" i="9"/>
  <c r="BV330" i="9"/>
  <c r="BV225" i="9"/>
  <c r="BV358" i="9"/>
  <c r="BV425" i="9"/>
  <c r="BV406" i="9"/>
  <c r="BV387" i="9"/>
  <c r="BV415" i="9"/>
  <c r="BV368" i="9"/>
  <c r="BV130" i="9"/>
  <c r="BV254" i="9"/>
  <c r="BV216" i="9"/>
  <c r="BV111" i="9"/>
  <c r="BV292" i="9"/>
  <c r="BV263" i="9"/>
  <c r="BV197" i="9"/>
  <c r="BV178" i="9"/>
  <c r="BV339" i="9"/>
  <c r="BV301" i="9"/>
  <c r="BV273" i="9"/>
  <c r="BV244" i="9"/>
  <c r="BV235" i="9"/>
  <c r="BV206" i="9"/>
  <c r="BV187" i="9"/>
  <c r="BV396" i="9"/>
  <c r="BV349" i="9"/>
  <c r="BV311" i="9"/>
  <c r="BV282" i="9"/>
  <c r="BV168" i="9"/>
  <c r="BV121" i="9"/>
  <c r="BV92" i="9"/>
  <c r="BV64" i="9"/>
  <c r="BV73" i="9"/>
  <c r="BV320" i="9"/>
  <c r="BV102" i="9"/>
  <c r="BV149" i="9"/>
  <c r="BV159" i="9"/>
  <c r="BV140" i="9"/>
  <c r="BV83" i="9"/>
  <c r="BV105" i="3"/>
  <c r="BV82" i="3"/>
  <c r="BV94" i="3"/>
  <c r="BV71" i="3"/>
  <c r="BV68" i="3"/>
  <c r="BV78" i="3"/>
  <c r="BU746" i="9"/>
  <c r="BV735" i="9"/>
  <c r="BV246" i="3"/>
  <c r="W779" i="9"/>
  <c r="BY779" i="9" s="1"/>
  <c r="W700" i="9"/>
  <c r="BY700" i="9" s="1"/>
  <c r="W701" i="9"/>
  <c r="BY701" i="9" s="1"/>
  <c r="W706" i="9"/>
  <c r="BY706" i="9" s="1"/>
  <c r="W702" i="9"/>
  <c r="BY702" i="9" s="1"/>
  <c r="W714" i="9"/>
  <c r="BY714" i="9" s="1"/>
  <c r="W703" i="9"/>
  <c r="BY703" i="9" s="1"/>
  <c r="W695" i="9"/>
  <c r="BY695" i="9" s="1"/>
  <c r="W769" i="9"/>
  <c r="BY769" i="9" s="1"/>
  <c r="W707" i="9"/>
  <c r="BY707" i="9" s="1"/>
  <c r="W710" i="9"/>
  <c r="BY710" i="9" s="1"/>
  <c r="W699" i="9"/>
  <c r="BY699" i="9" s="1"/>
  <c r="W794" i="9"/>
  <c r="BY794" i="9" s="1"/>
  <c r="W797" i="9"/>
  <c r="BY797" i="9" s="1"/>
  <c r="W795" i="9"/>
  <c r="BY795" i="9" s="1"/>
  <c r="W801" i="9"/>
  <c r="BY801" i="9" s="1"/>
  <c r="W793" i="9"/>
  <c r="BY793" i="9" s="1"/>
  <c r="W800" i="9"/>
  <c r="BY800" i="9" s="1"/>
  <c r="W804" i="9"/>
  <c r="BY804" i="9" s="1"/>
  <c r="W798" i="9"/>
  <c r="BY798" i="9" s="1"/>
  <c r="W789" i="9"/>
  <c r="BY789" i="9" s="1"/>
  <c r="W796" i="9"/>
  <c r="BY796" i="9" s="1"/>
  <c r="W788" i="9"/>
  <c r="BY788" i="9" s="1"/>
  <c r="W726" i="9"/>
  <c r="BY726" i="9" s="1"/>
  <c r="W394" i="9"/>
  <c r="W381" i="9"/>
  <c r="W135" i="9"/>
  <c r="W249" i="9"/>
  <c r="W333" i="9"/>
  <c r="W326" i="9"/>
  <c r="W77" i="9"/>
  <c r="W296" i="9"/>
  <c r="W162" i="9"/>
  <c r="W154" i="9"/>
  <c r="AA912" i="9"/>
  <c r="W429" i="9"/>
  <c r="W314" i="9"/>
  <c r="W356" i="9"/>
  <c r="AA921" i="9"/>
  <c r="AA1037" i="9"/>
  <c r="W295" i="9"/>
  <c r="W97" i="9"/>
  <c r="AA927" i="9"/>
  <c r="AA919" i="9"/>
  <c r="W400" i="9"/>
  <c r="W352" i="9"/>
  <c r="AA1030" i="9"/>
  <c r="W432" i="9"/>
  <c r="W125" i="9"/>
  <c r="W90" i="9"/>
  <c r="AA924" i="9"/>
  <c r="W242" i="9"/>
  <c r="W117" i="9"/>
  <c r="W229" i="9"/>
  <c r="W337" i="9"/>
  <c r="W258" i="9"/>
  <c r="W231" i="9"/>
  <c r="W239" i="9"/>
  <c r="W315" i="9"/>
  <c r="W115" i="9"/>
  <c r="W144" i="9"/>
  <c r="AA923" i="9"/>
  <c r="W212" i="9"/>
  <c r="W220" i="9"/>
  <c r="AA914" i="9"/>
  <c r="W267" i="9"/>
  <c r="W729" i="9"/>
  <c r="BY729" i="9" s="1"/>
  <c r="W87" i="9"/>
  <c r="W334" i="9"/>
  <c r="W238" i="9"/>
  <c r="AA1027" i="9"/>
  <c r="W288" i="9"/>
  <c r="W402" i="9"/>
  <c r="W364" i="9"/>
  <c r="W134" i="9"/>
  <c r="AA1035" i="9"/>
  <c r="AA1023" i="9"/>
  <c r="AA1026" i="9"/>
  <c r="W720" i="9"/>
  <c r="BY720" i="9" s="1"/>
  <c r="W731" i="9"/>
  <c r="BY731" i="9" s="1"/>
  <c r="W382" i="9"/>
  <c r="AA1039" i="9"/>
  <c r="W174" i="9"/>
  <c r="AA925" i="9"/>
  <c r="W276" i="9"/>
  <c r="W343" i="9"/>
  <c r="W375" i="9"/>
  <c r="W223" i="9"/>
  <c r="W257" i="9"/>
  <c r="W211" i="9"/>
  <c r="AA913" i="9"/>
  <c r="W192" i="9"/>
  <c r="W248" i="9"/>
  <c r="W363" i="9"/>
  <c r="AA1029" i="9"/>
  <c r="W371" i="9"/>
  <c r="AA1031" i="9"/>
  <c r="W71" i="9"/>
  <c r="W419" i="9"/>
  <c r="W219" i="9"/>
  <c r="AA926" i="9"/>
  <c r="W413" i="9"/>
  <c r="W210" i="9"/>
  <c r="W147" i="9"/>
  <c r="W191" i="9"/>
  <c r="W98" i="9"/>
  <c r="W86" i="9"/>
  <c r="AA1040" i="9"/>
  <c r="W181" i="9"/>
  <c r="W230" i="9"/>
  <c r="W409" i="9"/>
  <c r="W172" i="9"/>
  <c r="AA1042" i="9"/>
  <c r="AA1032" i="9"/>
  <c r="W261" i="9"/>
  <c r="W268" i="9"/>
  <c r="W318" i="9"/>
  <c r="AA910" i="9"/>
  <c r="W143" i="9"/>
  <c r="W153" i="9"/>
  <c r="W128" i="9"/>
  <c r="W109" i="9"/>
  <c r="W372" i="9"/>
  <c r="W182" i="9"/>
  <c r="W421" i="9"/>
  <c r="W250" i="9"/>
  <c r="W344" i="9"/>
  <c r="W353" i="9"/>
  <c r="W325" i="9"/>
  <c r="W286" i="9"/>
  <c r="AA911" i="9"/>
  <c r="AA1028" i="9"/>
  <c r="AA1034" i="9"/>
  <c r="W136" i="9"/>
  <c r="W58" i="9"/>
  <c r="AA1024" i="9"/>
  <c r="W204" i="9"/>
  <c r="W287" i="9"/>
  <c r="W428" i="9"/>
  <c r="W67" i="9"/>
  <c r="W280" i="9"/>
  <c r="AA920" i="9"/>
  <c r="W185" i="9"/>
  <c r="W96" i="9"/>
  <c r="W200" i="9"/>
  <c r="AA909" i="9"/>
  <c r="W155" i="9"/>
  <c r="W163" i="9"/>
  <c r="W60" i="9"/>
  <c r="AA922" i="9"/>
  <c r="W277" i="9"/>
  <c r="W307" i="9"/>
  <c r="AA1025" i="9"/>
  <c r="W391" i="9"/>
  <c r="AA1041" i="9"/>
  <c r="W201" i="9"/>
  <c r="AA917" i="9"/>
  <c r="W193" i="9"/>
  <c r="W305" i="9"/>
  <c r="AA918" i="9"/>
  <c r="W106" i="9"/>
  <c r="AA915" i="9"/>
  <c r="W420" i="9"/>
  <c r="AA908" i="9"/>
  <c r="AA1033" i="9"/>
  <c r="AA1036" i="9"/>
  <c r="W721" i="9"/>
  <c r="BY721" i="9" s="1"/>
  <c r="W734" i="9"/>
  <c r="BY734" i="9" s="1"/>
  <c r="W383" i="9"/>
  <c r="W166" i="9"/>
  <c r="AA1038" i="9"/>
  <c r="W105" i="9"/>
  <c r="W362" i="9"/>
  <c r="W299" i="9"/>
  <c r="AA916" i="9"/>
  <c r="W324" i="9"/>
  <c r="W79" i="9"/>
  <c r="W390" i="9"/>
  <c r="W78" i="9"/>
  <c r="W68" i="9"/>
  <c r="W116" i="9"/>
  <c r="W306" i="9"/>
  <c r="W345" i="9"/>
  <c r="W124" i="9"/>
  <c r="W173" i="9"/>
  <c r="W401" i="9"/>
  <c r="W59" i="9"/>
  <c r="W410" i="9"/>
  <c r="W269" i="9"/>
  <c r="AB1042" i="9"/>
  <c r="X752" i="9"/>
  <c r="BZ752" i="9" s="1"/>
  <c r="X699" i="9"/>
  <c r="BZ699" i="9" s="1"/>
  <c r="X756" i="9"/>
  <c r="BZ756" i="9" s="1"/>
  <c r="AB1032" i="9"/>
  <c r="X775" i="9"/>
  <c r="BZ775" i="9" s="1"/>
  <c r="X420" i="9"/>
  <c r="X394" i="9"/>
  <c r="X790" i="9"/>
  <c r="BZ790" i="9" s="1"/>
  <c r="X413" i="9"/>
  <c r="X90" i="9"/>
  <c r="X390" i="9"/>
  <c r="X777" i="9"/>
  <c r="BZ777" i="9" s="1"/>
  <c r="X201" i="9"/>
  <c r="X124" i="9"/>
  <c r="X305" i="9"/>
  <c r="X710" i="9"/>
  <c r="BZ710" i="9" s="1"/>
  <c r="X315" i="9"/>
  <c r="X144" i="9"/>
  <c r="X276" i="9"/>
  <c r="X115" i="9"/>
  <c r="X333" i="9"/>
  <c r="X794" i="9"/>
  <c r="BZ794" i="9" s="1"/>
  <c r="X797" i="9"/>
  <c r="BZ797" i="9" s="1"/>
  <c r="X135" i="9"/>
  <c r="X105" i="9"/>
  <c r="AB913" i="9"/>
  <c r="X803" i="9"/>
  <c r="BZ803" i="9" s="1"/>
  <c r="X725" i="9"/>
  <c r="BZ725" i="9" s="1"/>
  <c r="X185" i="9"/>
  <c r="X713" i="9"/>
  <c r="BZ713" i="9" s="1"/>
  <c r="X128" i="9"/>
  <c r="X767" i="9"/>
  <c r="BZ767" i="9" s="1"/>
  <c r="X372" i="9"/>
  <c r="AB911" i="9"/>
  <c r="X780" i="9"/>
  <c r="BZ780" i="9" s="1"/>
  <c r="X755" i="9"/>
  <c r="BZ755" i="9" s="1"/>
  <c r="AB1036" i="9"/>
  <c r="X779" i="9"/>
  <c r="BZ779" i="9" s="1"/>
  <c r="AB1026" i="9"/>
  <c r="X193" i="9"/>
  <c r="X801" i="9"/>
  <c r="BZ801" i="9" s="1"/>
  <c r="X745" i="9"/>
  <c r="BZ745" i="9" s="1"/>
  <c r="X210" i="9"/>
  <c r="X722" i="9"/>
  <c r="BZ722" i="9" s="1"/>
  <c r="X77" i="9"/>
  <c r="X729" i="9"/>
  <c r="BZ729" i="9" s="1"/>
  <c r="X804" i="9"/>
  <c r="BZ804" i="9" s="1"/>
  <c r="X741" i="9"/>
  <c r="BZ741" i="9" s="1"/>
  <c r="AB925" i="9"/>
  <c r="X735" i="9"/>
  <c r="BZ735" i="9" s="1"/>
  <c r="X58" i="9"/>
  <c r="X106" i="9"/>
  <c r="X204" i="9"/>
  <c r="X697" i="9"/>
  <c r="BZ697" i="9" s="1"/>
  <c r="X363" i="9"/>
  <c r="X800" i="9"/>
  <c r="BZ800" i="9" s="1"/>
  <c r="X724" i="9"/>
  <c r="BZ724" i="9" s="1"/>
  <c r="X759" i="9"/>
  <c r="BZ759" i="9" s="1"/>
  <c r="X116" i="9"/>
  <c r="X362" i="9"/>
  <c r="X352" i="9"/>
  <c r="X314" i="9"/>
  <c r="X768" i="9"/>
  <c r="BZ768" i="9" s="1"/>
  <c r="X705" i="9"/>
  <c r="BZ705" i="9" s="1"/>
  <c r="X400" i="9"/>
  <c r="X698" i="9"/>
  <c r="BZ698" i="9" s="1"/>
  <c r="X421" i="9"/>
  <c r="X428" i="9"/>
  <c r="X286" i="9"/>
  <c r="X97" i="9"/>
  <c r="X758" i="9"/>
  <c r="BZ758" i="9" s="1"/>
  <c r="X326" i="9"/>
  <c r="X211" i="9"/>
  <c r="X382" i="9"/>
  <c r="AB924" i="9"/>
  <c r="AB1041" i="9"/>
  <c r="AB1024" i="9"/>
  <c r="X772" i="9"/>
  <c r="BZ772" i="9" s="1"/>
  <c r="X700" i="9"/>
  <c r="BZ700" i="9" s="1"/>
  <c r="X249" i="9"/>
  <c r="X708" i="9"/>
  <c r="BZ708" i="9" s="1"/>
  <c r="X267" i="9"/>
  <c r="X98" i="9"/>
  <c r="X402" i="9"/>
  <c r="X257" i="9"/>
  <c r="X325" i="9"/>
  <c r="X345" i="9"/>
  <c r="X704" i="9"/>
  <c r="BZ704" i="9" s="1"/>
  <c r="X734" i="9"/>
  <c r="BZ734" i="9" s="1"/>
  <c r="X229" i="9"/>
  <c r="X371" i="9"/>
  <c r="X173" i="9"/>
  <c r="X153" i="9"/>
  <c r="X71" i="9"/>
  <c r="X773" i="9"/>
  <c r="BZ773" i="9" s="1"/>
  <c r="X783" i="9"/>
  <c r="BZ783" i="9" s="1"/>
  <c r="AB914" i="9"/>
  <c r="X230" i="9"/>
  <c r="X728" i="9"/>
  <c r="BZ728" i="9" s="1"/>
  <c r="AB922" i="9"/>
  <c r="X172" i="9"/>
  <c r="X287" i="9"/>
  <c r="X261" i="9"/>
  <c r="X239" i="9"/>
  <c r="X277" i="9"/>
  <c r="X353" i="9"/>
  <c r="X134" i="9"/>
  <c r="X410" i="9"/>
  <c r="X334" i="9"/>
  <c r="X391" i="9"/>
  <c r="X788" i="9"/>
  <c r="BZ788" i="9" s="1"/>
  <c r="X770" i="9"/>
  <c r="BZ770" i="9" s="1"/>
  <c r="X324" i="9"/>
  <c r="X695" i="9"/>
  <c r="BZ695" i="9" s="1"/>
  <c r="AB1040" i="9"/>
  <c r="X136" i="9"/>
  <c r="X429" i="9"/>
  <c r="AB921" i="9"/>
  <c r="X409" i="9"/>
  <c r="AB926" i="9"/>
  <c r="X799" i="9"/>
  <c r="BZ799" i="9" s="1"/>
  <c r="X793" i="9"/>
  <c r="BZ793" i="9" s="1"/>
  <c r="X87" i="9"/>
  <c r="AB927" i="9"/>
  <c r="X375" i="9"/>
  <c r="X109" i="9"/>
  <c r="X709" i="9"/>
  <c r="BZ709" i="9" s="1"/>
  <c r="AB1031" i="9"/>
  <c r="AB1028" i="9"/>
  <c r="X706" i="9"/>
  <c r="BZ706" i="9" s="1"/>
  <c r="X219" i="9"/>
  <c r="X162" i="9"/>
  <c r="X733" i="9"/>
  <c r="BZ733" i="9" s="1"/>
  <c r="X765" i="9"/>
  <c r="BZ765" i="9" s="1"/>
  <c r="X781" i="9"/>
  <c r="BZ781" i="9" s="1"/>
  <c r="X250" i="9"/>
  <c r="X78" i="9"/>
  <c r="X789" i="9"/>
  <c r="BZ789" i="9" s="1"/>
  <c r="X231" i="9"/>
  <c r="AB1039" i="9"/>
  <c r="X769" i="9"/>
  <c r="BZ769" i="9" s="1"/>
  <c r="AB1034" i="9"/>
  <c r="X248" i="9"/>
  <c r="X736" i="9"/>
  <c r="BZ736" i="9" s="1"/>
  <c r="X67" i="9"/>
  <c r="X791" i="9"/>
  <c r="BZ791" i="9" s="1"/>
  <c r="X721" i="9"/>
  <c r="BZ721" i="9" s="1"/>
  <c r="X79" i="9"/>
  <c r="X238" i="9"/>
  <c r="X707" i="9"/>
  <c r="BZ707" i="9" s="1"/>
  <c r="X174" i="9"/>
  <c r="X306" i="9"/>
  <c r="X792" i="9"/>
  <c r="BZ792" i="9" s="1"/>
  <c r="X782" i="9"/>
  <c r="BZ782" i="9" s="1"/>
  <c r="X747" i="9"/>
  <c r="BZ747" i="9" s="1"/>
  <c r="X802" i="9"/>
  <c r="BZ802" i="9" s="1"/>
  <c r="X757" i="9"/>
  <c r="BZ757" i="9" s="1"/>
  <c r="X750" i="9"/>
  <c r="BZ750" i="9" s="1"/>
  <c r="X737" i="9"/>
  <c r="BZ737" i="9" s="1"/>
  <c r="X212" i="9"/>
  <c r="X356" i="9"/>
  <c r="X155" i="9"/>
  <c r="X748" i="9"/>
  <c r="BZ748" i="9" s="1"/>
  <c r="X192" i="9"/>
  <c r="X220" i="9"/>
  <c r="X742" i="9"/>
  <c r="BZ742" i="9" s="1"/>
  <c r="AB912" i="9"/>
  <c r="X744" i="9"/>
  <c r="BZ744" i="9" s="1"/>
  <c r="AB1023" i="9"/>
  <c r="X242" i="9"/>
  <c r="X764" i="9"/>
  <c r="BZ764" i="9" s="1"/>
  <c r="X60" i="9"/>
  <c r="X223" i="9"/>
  <c r="X796" i="9"/>
  <c r="BZ796" i="9" s="1"/>
  <c r="AB1038" i="9"/>
  <c r="AB910" i="9"/>
  <c r="X182" i="9"/>
  <c r="X774" i="9"/>
  <c r="BZ774" i="9" s="1"/>
  <c r="X726" i="9"/>
  <c r="BZ726" i="9" s="1"/>
  <c r="X805" i="9"/>
  <c r="BZ805" i="9" s="1"/>
  <c r="X702" i="9"/>
  <c r="BZ702" i="9" s="1"/>
  <c r="X143" i="9"/>
  <c r="X344" i="9"/>
  <c r="X381" i="9"/>
  <c r="X795" i="9"/>
  <c r="BZ795" i="9" s="1"/>
  <c r="AB920" i="9"/>
  <c r="X419" i="9"/>
  <c r="AB916" i="9"/>
  <c r="X280" i="9"/>
  <c r="X743" i="9"/>
  <c r="BZ743" i="9" s="1"/>
  <c r="X432" i="9"/>
  <c r="X776" i="9"/>
  <c r="BZ776" i="9" s="1"/>
  <c r="X269" i="9"/>
  <c r="AB923" i="9"/>
  <c r="AB909" i="9"/>
  <c r="X96" i="9"/>
  <c r="X751" i="9"/>
  <c r="BZ751" i="9" s="1"/>
  <c r="X806" i="9"/>
  <c r="BZ806" i="9" s="1"/>
  <c r="X181" i="9"/>
  <c r="X711" i="9"/>
  <c r="BZ711" i="9" s="1"/>
  <c r="X703" i="9"/>
  <c r="BZ703" i="9" s="1"/>
  <c r="X712" i="9"/>
  <c r="BZ712" i="9" s="1"/>
  <c r="X401" i="9"/>
  <c r="AB918" i="9"/>
  <c r="X798" i="9"/>
  <c r="BZ798" i="9" s="1"/>
  <c r="AB1035" i="9"/>
  <c r="X295" i="9"/>
  <c r="X723" i="9"/>
  <c r="BZ723" i="9" s="1"/>
  <c r="X299" i="9"/>
  <c r="X364" i="9"/>
  <c r="X166" i="9"/>
  <c r="X778" i="9"/>
  <c r="BZ778" i="9" s="1"/>
  <c r="X720" i="9"/>
  <c r="BZ720" i="9" s="1"/>
  <c r="X86" i="9"/>
  <c r="X732" i="9"/>
  <c r="BZ732" i="9" s="1"/>
  <c r="X125" i="9"/>
  <c r="X147" i="9"/>
  <c r="X383" i="9"/>
  <c r="X787" i="9"/>
  <c r="BZ787" i="9" s="1"/>
  <c r="X746" i="9"/>
  <c r="BZ746" i="9" s="1"/>
  <c r="X68" i="9"/>
  <c r="X296" i="9"/>
  <c r="X731" i="9"/>
  <c r="BZ731" i="9" s="1"/>
  <c r="X771" i="9"/>
  <c r="BZ771" i="9" s="1"/>
  <c r="AB915" i="9"/>
  <c r="AB1029" i="9"/>
  <c r="X701" i="9"/>
  <c r="BZ701" i="9" s="1"/>
  <c r="X730" i="9"/>
  <c r="BZ730" i="9" s="1"/>
  <c r="X200" i="9"/>
  <c r="X163" i="9"/>
  <c r="AB1030" i="9"/>
  <c r="X337" i="9"/>
  <c r="X154" i="9"/>
  <c r="X696" i="9"/>
  <c r="BZ696" i="9" s="1"/>
  <c r="X258" i="9"/>
  <c r="X117" i="9"/>
  <c r="X760" i="9"/>
  <c r="BZ760" i="9" s="1"/>
  <c r="AB908" i="9"/>
  <c r="X318" i="9"/>
  <c r="X288" i="9"/>
  <c r="X268" i="9"/>
  <c r="AB1025" i="9"/>
  <c r="AB919" i="9"/>
  <c r="X307" i="9"/>
  <c r="X719" i="9"/>
  <c r="BZ719" i="9" s="1"/>
  <c r="AB917" i="9"/>
  <c r="X191" i="9"/>
  <c r="X727" i="9"/>
  <c r="BZ727" i="9" s="1"/>
  <c r="X343" i="9"/>
  <c r="AB1033" i="9"/>
  <c r="X754" i="9"/>
  <c r="BZ754" i="9" s="1"/>
  <c r="X753" i="9"/>
  <c r="BZ753" i="9" s="1"/>
  <c r="AB1037" i="9"/>
  <c r="X59" i="9"/>
  <c r="AB1027" i="9"/>
  <c r="X766" i="9"/>
  <c r="BZ766" i="9" s="1"/>
  <c r="X718" i="9"/>
  <c r="BZ718" i="9" s="1"/>
  <c r="X714" i="9"/>
  <c r="BZ714" i="9" s="1"/>
  <c r="X749" i="9"/>
  <c r="BZ749" i="9" s="1"/>
  <c r="Y787" i="9"/>
  <c r="CA787" i="9" s="1"/>
  <c r="Y765" i="9"/>
  <c r="CA765" i="9" s="1"/>
  <c r="Y296" i="9"/>
  <c r="Y708" i="9"/>
  <c r="CA708" i="9" s="1"/>
  <c r="Y711" i="9"/>
  <c r="CA711" i="9" s="1"/>
  <c r="Y333" i="9"/>
  <c r="Y305" i="9"/>
  <c r="Y744" i="9"/>
  <c r="CA744" i="9" s="1"/>
  <c r="Y730" i="9"/>
  <c r="CA730" i="9" s="1"/>
  <c r="Y249" i="9"/>
  <c r="Y344" i="9"/>
  <c r="Y764" i="9"/>
  <c r="CA764" i="9" s="1"/>
  <c r="Y343" i="9"/>
  <c r="AC926" i="9"/>
  <c r="Y748" i="9"/>
  <c r="CA748" i="9" s="1"/>
  <c r="Y299" i="9"/>
  <c r="Y429" i="9"/>
  <c r="Y749" i="9"/>
  <c r="CA749" i="9" s="1"/>
  <c r="Y421" i="9"/>
  <c r="Y791" i="9"/>
  <c r="CA791" i="9" s="1"/>
  <c r="AC1026" i="9"/>
  <c r="AC1023" i="9"/>
  <c r="Y772" i="9"/>
  <c r="CA772" i="9" s="1"/>
  <c r="Y144" i="9"/>
  <c r="AC1036" i="9"/>
  <c r="AC910" i="9"/>
  <c r="Y77" i="9"/>
  <c r="Y420" i="9"/>
  <c r="Y747" i="9"/>
  <c r="CA747" i="9" s="1"/>
  <c r="Y276" i="9"/>
  <c r="Y250" i="9"/>
  <c r="Y86" i="9"/>
  <c r="Y714" i="9"/>
  <c r="CA714" i="9" s="1"/>
  <c r="Y776" i="9"/>
  <c r="CA776" i="9" s="1"/>
  <c r="AC1037" i="9"/>
  <c r="Y718" i="9"/>
  <c r="CA718" i="9" s="1"/>
  <c r="AC913" i="9"/>
  <c r="Y193" i="9"/>
  <c r="Y732" i="9"/>
  <c r="CA732" i="9" s="1"/>
  <c r="Y79" i="9"/>
  <c r="Y805" i="9"/>
  <c r="CA805" i="9" s="1"/>
  <c r="Y287" i="9"/>
  <c r="Y432" i="9"/>
  <c r="Y796" i="9"/>
  <c r="CA796" i="9" s="1"/>
  <c r="AC1038" i="9"/>
  <c r="Y200" i="9"/>
  <c r="Y394" i="9"/>
  <c r="AC915" i="9"/>
  <c r="Y704" i="9"/>
  <c r="CA704" i="9" s="1"/>
  <c r="Y155" i="9"/>
  <c r="Y143" i="9"/>
  <c r="Y211" i="9"/>
  <c r="Y742" i="9"/>
  <c r="CA742" i="9" s="1"/>
  <c r="AC919" i="9"/>
  <c r="Y790" i="9"/>
  <c r="CA790" i="9" s="1"/>
  <c r="Y136" i="9"/>
  <c r="Y774" i="9"/>
  <c r="CA774" i="9" s="1"/>
  <c r="Y699" i="9"/>
  <c r="CA699" i="9" s="1"/>
  <c r="Y735" i="9"/>
  <c r="CA735" i="9" s="1"/>
  <c r="AC1042" i="9"/>
  <c r="Y710" i="9"/>
  <c r="CA710" i="9" s="1"/>
  <c r="AC1031" i="9"/>
  <c r="AC1030" i="9"/>
  <c r="Y219" i="9"/>
  <c r="AC1035" i="9"/>
  <c r="Y409" i="9"/>
  <c r="Y58" i="9"/>
  <c r="Y780" i="9"/>
  <c r="CA780" i="9" s="1"/>
  <c r="Y135" i="9"/>
  <c r="Y220" i="9"/>
  <c r="Y758" i="9"/>
  <c r="CA758" i="9" s="1"/>
  <c r="AC1032" i="9"/>
  <c r="Y750" i="9"/>
  <c r="CA750" i="9" s="1"/>
  <c r="Y705" i="9"/>
  <c r="CA705" i="9" s="1"/>
  <c r="Y410" i="9"/>
  <c r="Y775" i="9"/>
  <c r="CA775" i="9" s="1"/>
  <c r="AC1028" i="9"/>
  <c r="Y334" i="9"/>
  <c r="Y134" i="9"/>
  <c r="Y777" i="9"/>
  <c r="CA777" i="9" s="1"/>
  <c r="Y325" i="9"/>
  <c r="Y261" i="9"/>
  <c r="Y363" i="9"/>
  <c r="Y701" i="9"/>
  <c r="CA701" i="9" s="1"/>
  <c r="AC908" i="9"/>
  <c r="AC1025" i="9"/>
  <c r="Y803" i="9"/>
  <c r="CA803" i="9" s="1"/>
  <c r="AC1040" i="9"/>
  <c r="Y242" i="9"/>
  <c r="Y154" i="9"/>
  <c r="Y769" i="9"/>
  <c r="CA769" i="9" s="1"/>
  <c r="Y771" i="9"/>
  <c r="CA771" i="9" s="1"/>
  <c r="AC914" i="9"/>
  <c r="Y806" i="9"/>
  <c r="CA806" i="9" s="1"/>
  <c r="Y695" i="9"/>
  <c r="CA695" i="9" s="1"/>
  <c r="Y307" i="9"/>
  <c r="Y760" i="9"/>
  <c r="CA760" i="9" s="1"/>
  <c r="AC925" i="9"/>
  <c r="Y709" i="9"/>
  <c r="CA709" i="9" s="1"/>
  <c r="Y770" i="9"/>
  <c r="CA770" i="9" s="1"/>
  <c r="Y230" i="9"/>
  <c r="Y698" i="9"/>
  <c r="CA698" i="9" s="1"/>
  <c r="Y229" i="9"/>
  <c r="Y700" i="9"/>
  <c r="CA700" i="9" s="1"/>
  <c r="Y428" i="9"/>
  <c r="AC1034" i="9"/>
  <c r="Y375" i="9"/>
  <c r="Y401" i="9"/>
  <c r="Y724" i="9"/>
  <c r="CA724" i="9" s="1"/>
  <c r="Y781" i="9"/>
  <c r="CA781" i="9" s="1"/>
  <c r="Y353" i="9"/>
  <c r="Y737" i="9"/>
  <c r="CA737" i="9" s="1"/>
  <c r="Y720" i="9"/>
  <c r="CA720" i="9" s="1"/>
  <c r="Y800" i="9"/>
  <c r="CA800" i="9" s="1"/>
  <c r="Y783" i="9"/>
  <c r="CA783" i="9" s="1"/>
  <c r="Y756" i="9"/>
  <c r="CA756" i="9" s="1"/>
  <c r="AC1024" i="9"/>
  <c r="Y727" i="9"/>
  <c r="CA727" i="9" s="1"/>
  <c r="Y163" i="9"/>
  <c r="Y707" i="9"/>
  <c r="CA707" i="9" s="1"/>
  <c r="Y238" i="9"/>
  <c r="Y766" i="9"/>
  <c r="CA766" i="9" s="1"/>
  <c r="Y413" i="9"/>
  <c r="Y116" i="9"/>
  <c r="Y797" i="9"/>
  <c r="CA797" i="9" s="1"/>
  <c r="Y400" i="9"/>
  <c r="Y60" i="9"/>
  <c r="Y799" i="9"/>
  <c r="CA799" i="9" s="1"/>
  <c r="Y743" i="9"/>
  <c r="CA743" i="9" s="1"/>
  <c r="Y383" i="9"/>
  <c r="Y326" i="9"/>
  <c r="Y391" i="9"/>
  <c r="Y268" i="9"/>
  <c r="Y794" i="9"/>
  <c r="CA794" i="9" s="1"/>
  <c r="Y295" i="9"/>
  <c r="Y210" i="9"/>
  <c r="Y793" i="9"/>
  <c r="CA793" i="9" s="1"/>
  <c r="Y147" i="9"/>
  <c r="Y352" i="9"/>
  <c r="Y105" i="9"/>
  <c r="Y782" i="9"/>
  <c r="CA782" i="9" s="1"/>
  <c r="Y288" i="9"/>
  <c r="AC1041" i="9"/>
  <c r="Y728" i="9"/>
  <c r="CA728" i="9" s="1"/>
  <c r="Y59" i="9"/>
  <c r="Y337" i="9"/>
  <c r="Y802" i="9"/>
  <c r="CA802" i="9" s="1"/>
  <c r="Y795" i="9"/>
  <c r="CA795" i="9" s="1"/>
  <c r="Y702" i="9"/>
  <c r="CA702" i="9" s="1"/>
  <c r="AC918" i="9"/>
  <c r="Y751" i="9"/>
  <c r="CA751" i="9" s="1"/>
  <c r="Y798" i="9"/>
  <c r="CA798" i="9" s="1"/>
  <c r="Y162" i="9"/>
  <c r="Y192" i="9"/>
  <c r="Y725" i="9"/>
  <c r="CA725" i="9" s="1"/>
  <c r="Y402" i="9"/>
  <c r="Y734" i="9"/>
  <c r="CA734" i="9" s="1"/>
  <c r="Y752" i="9"/>
  <c r="CA752" i="9" s="1"/>
  <c r="Y731" i="9"/>
  <c r="CA731" i="9" s="1"/>
  <c r="Y315" i="9"/>
  <c r="Y124" i="9"/>
  <c r="Y318" i="9"/>
  <c r="Y382" i="9"/>
  <c r="Y90" i="9"/>
  <c r="Y191" i="9"/>
  <c r="Y753" i="9"/>
  <c r="CA753" i="9" s="1"/>
  <c r="Y248" i="9"/>
  <c r="Y223" i="9"/>
  <c r="Y745" i="9"/>
  <c r="CA745" i="9" s="1"/>
  <c r="Y345" i="9"/>
  <c r="Y68" i="9"/>
  <c r="Y767" i="9"/>
  <c r="CA767" i="9" s="1"/>
  <c r="AC911" i="9"/>
  <c r="Y696" i="9"/>
  <c r="CA696" i="9" s="1"/>
  <c r="AC1029" i="9"/>
  <c r="Y269" i="9"/>
  <c r="AC920" i="9"/>
  <c r="Y173" i="9"/>
  <c r="Y306" i="9"/>
  <c r="Y723" i="9"/>
  <c r="CA723" i="9" s="1"/>
  <c r="AC921" i="9"/>
  <c r="Y267" i="9"/>
  <c r="Y721" i="9"/>
  <c r="CA721" i="9" s="1"/>
  <c r="Y109" i="9"/>
  <c r="Y324" i="9"/>
  <c r="Y117" i="9"/>
  <c r="Y277" i="9"/>
  <c r="Y741" i="9"/>
  <c r="CA741" i="9" s="1"/>
  <c r="AC1039" i="9"/>
  <c r="Y185" i="9"/>
  <c r="Y697" i="9"/>
  <c r="CA697" i="9" s="1"/>
  <c r="Y736" i="9"/>
  <c r="CA736" i="9" s="1"/>
  <c r="AC924" i="9"/>
  <c r="Y125" i="9"/>
  <c r="Y166" i="9"/>
  <c r="Y778" i="9"/>
  <c r="CA778" i="9" s="1"/>
  <c r="Y231" i="9"/>
  <c r="Y757" i="9"/>
  <c r="CA757" i="9" s="1"/>
  <c r="Y212" i="9"/>
  <c r="Y78" i="9"/>
  <c r="Y98" i="9"/>
  <c r="AC927" i="9"/>
  <c r="Y364" i="9"/>
  <c r="Y153" i="9"/>
  <c r="Y71" i="9"/>
  <c r="Y87" i="9"/>
  <c r="Y181" i="9"/>
  <c r="Y754" i="9"/>
  <c r="CA754" i="9" s="1"/>
  <c r="Y204" i="9"/>
  <c r="Y174" i="9"/>
  <c r="AC1027" i="9"/>
  <c r="Y773" i="9"/>
  <c r="CA773" i="9" s="1"/>
  <c r="AC916" i="9"/>
  <c r="Y788" i="9"/>
  <c r="CA788" i="9" s="1"/>
  <c r="Y201" i="9"/>
  <c r="Y381" i="9"/>
  <c r="Y779" i="9"/>
  <c r="CA779" i="9" s="1"/>
  <c r="Y286" i="9"/>
  <c r="Y789" i="9"/>
  <c r="CA789" i="9" s="1"/>
  <c r="Y128" i="9"/>
  <c r="Y722" i="9"/>
  <c r="CA722" i="9" s="1"/>
  <c r="Y371" i="9"/>
  <c r="Y792" i="9"/>
  <c r="CA792" i="9" s="1"/>
  <c r="Y419" i="9"/>
  <c r="Y239" i="9"/>
  <c r="Y172" i="9"/>
  <c r="Y729" i="9"/>
  <c r="CA729" i="9" s="1"/>
  <c r="AC922" i="9"/>
  <c r="Y257" i="9"/>
  <c r="Y703" i="9"/>
  <c r="CA703" i="9" s="1"/>
  <c r="Y372" i="9"/>
  <c r="Y280" i="9"/>
  <c r="Y733" i="9"/>
  <c r="CA733" i="9" s="1"/>
  <c r="Y768" i="9"/>
  <c r="CA768" i="9" s="1"/>
  <c r="Y258" i="9"/>
  <c r="Y106" i="9"/>
  <c r="AC1033" i="9"/>
  <c r="Y801" i="9"/>
  <c r="CA801" i="9" s="1"/>
  <c r="Y719" i="9"/>
  <c r="CA719" i="9" s="1"/>
  <c r="Y67" i="9"/>
  <c r="Y115" i="9"/>
  <c r="Y746" i="9"/>
  <c r="CA746" i="9" s="1"/>
  <c r="Y726" i="9"/>
  <c r="CA726" i="9" s="1"/>
  <c r="Y390" i="9"/>
  <c r="Y97" i="9"/>
  <c r="Y755" i="9"/>
  <c r="CA755" i="9" s="1"/>
  <c r="AC909" i="9"/>
  <c r="AC912" i="9"/>
  <c r="Y713" i="9"/>
  <c r="CA713" i="9" s="1"/>
  <c r="Y362" i="9"/>
  <c r="Y314" i="9"/>
  <c r="Y96" i="9"/>
  <c r="Y182" i="9"/>
  <c r="AC917" i="9"/>
  <c r="Y356" i="9"/>
  <c r="Y712" i="9"/>
  <c r="CA712" i="9" s="1"/>
  <c r="Y759" i="9"/>
  <c r="CA759" i="9" s="1"/>
  <c r="Y804" i="9"/>
  <c r="CA804" i="9" s="1"/>
  <c r="AC923" i="9"/>
  <c r="Y706" i="9"/>
  <c r="CA706" i="9" s="1"/>
  <c r="AD923" i="9"/>
  <c r="CB706" i="9"/>
  <c r="CB71" i="9"/>
  <c r="CB77" i="9"/>
  <c r="CB172" i="9"/>
  <c r="CB211" i="9"/>
  <c r="CB125" i="9"/>
  <c r="AD1036" i="9"/>
  <c r="CB735" i="9"/>
  <c r="CB231" i="9"/>
  <c r="DC231" i="9" s="1"/>
  <c r="CB420" i="9"/>
  <c r="CB724" i="9"/>
  <c r="AD927" i="9"/>
  <c r="AD1035" i="9"/>
  <c r="CB144" i="9"/>
  <c r="CB59" i="9"/>
  <c r="CB143" i="9"/>
  <c r="CB394" i="9"/>
  <c r="CB432" i="9"/>
  <c r="CB229" i="9"/>
  <c r="CB326" i="9"/>
  <c r="DC326" i="9" s="1"/>
  <c r="CB166" i="9"/>
  <c r="AD1024" i="9"/>
  <c r="CB410" i="9"/>
  <c r="AD1038" i="9"/>
  <c r="AD1037" i="9"/>
  <c r="CB364" i="9"/>
  <c r="DC364" i="9" s="1"/>
  <c r="CB163" i="9"/>
  <c r="CB345" i="9"/>
  <c r="DC345" i="9" s="1"/>
  <c r="CB333" i="9"/>
  <c r="AD1031" i="9"/>
  <c r="AD926" i="9"/>
  <c r="CB117" i="9"/>
  <c r="DC117" i="9" s="1"/>
  <c r="CB212" i="9"/>
  <c r="DC212" i="9" s="1"/>
  <c r="AD1030" i="9"/>
  <c r="CB711" i="9"/>
  <c r="AD915" i="9"/>
  <c r="CB193" i="9"/>
  <c r="DC193" i="9" s="1"/>
  <c r="CB372" i="9"/>
  <c r="CB220" i="9"/>
  <c r="AD912" i="9"/>
  <c r="CB68" i="9"/>
  <c r="CB371" i="9"/>
  <c r="AD1029" i="9"/>
  <c r="CB362" i="9"/>
  <c r="CB413" i="9"/>
  <c r="AD1040" i="9"/>
  <c r="CB269" i="9"/>
  <c r="DC269" i="9" s="1"/>
  <c r="CB181" i="9"/>
  <c r="CB296" i="9"/>
  <c r="CB67" i="9"/>
  <c r="CB702" i="9"/>
  <c r="CB58" i="9"/>
  <c r="AD1041" i="9"/>
  <c r="AD922" i="9"/>
  <c r="AD1032" i="9"/>
  <c r="AD1023" i="9"/>
  <c r="AD1033" i="9"/>
  <c r="CB409" i="9"/>
  <c r="CB352" i="9"/>
  <c r="AD919" i="9"/>
  <c r="AD920" i="9"/>
  <c r="CB230" i="9"/>
  <c r="CB115" i="9"/>
  <c r="AD1042" i="9"/>
  <c r="CB419" i="9"/>
  <c r="CB223" i="9"/>
  <c r="CB344" i="9"/>
  <c r="CB709" i="9"/>
  <c r="AD1026" i="9"/>
  <c r="CB720" i="9"/>
  <c r="AD917" i="9"/>
  <c r="CB182" i="9"/>
  <c r="AD911" i="9"/>
  <c r="CB334" i="9"/>
  <c r="AD918" i="9"/>
  <c r="CB402" i="9"/>
  <c r="DC402" i="9" s="1"/>
  <c r="CB239" i="9"/>
  <c r="AD909" i="9"/>
  <c r="CB306" i="9"/>
  <c r="CB261" i="9"/>
  <c r="CB238" i="9"/>
  <c r="CB268" i="9"/>
  <c r="CB87" i="9"/>
  <c r="CB250" i="9"/>
  <c r="DC250" i="9" s="1"/>
  <c r="CB700" i="9"/>
  <c r="CB337" i="9"/>
  <c r="CB109" i="9"/>
  <c r="CB242" i="9"/>
  <c r="CB708" i="9"/>
  <c r="CB713" i="9"/>
  <c r="AD1025" i="9"/>
  <c r="CB257" i="9"/>
  <c r="CB382" i="9"/>
  <c r="CB86" i="9"/>
  <c r="CB299" i="9"/>
  <c r="CB391" i="9"/>
  <c r="CB730" i="9"/>
  <c r="AD921" i="9"/>
  <c r="AD914" i="9"/>
  <c r="CB288" i="9"/>
  <c r="DC288" i="9" s="1"/>
  <c r="CB736" i="9"/>
  <c r="CB696" i="9"/>
  <c r="AD925" i="9"/>
  <c r="CB201" i="9"/>
  <c r="CB249" i="9"/>
  <c r="CB153" i="9"/>
  <c r="CB695" i="9"/>
  <c r="CB154" i="9"/>
  <c r="AD1027" i="9"/>
  <c r="CB98" i="9"/>
  <c r="DC98" i="9" s="1"/>
  <c r="AD910" i="9"/>
  <c r="AD1039" i="9"/>
  <c r="AD913" i="9"/>
  <c r="AD924" i="9"/>
  <c r="AD908" i="9"/>
  <c r="AD916" i="9"/>
  <c r="CB731" i="9"/>
  <c r="CB699" i="9"/>
  <c r="AD1028" i="9"/>
  <c r="AD1034" i="9"/>
  <c r="CB116" i="9"/>
  <c r="AE916" i="9"/>
  <c r="CB421" i="9"/>
  <c r="DC421" i="9" s="1"/>
  <c r="CB324" i="9"/>
  <c r="CB128" i="9"/>
  <c r="AE908" i="9"/>
  <c r="AE1034" i="9"/>
  <c r="CB106" i="9"/>
  <c r="CB287" i="9"/>
  <c r="CB280" i="9"/>
  <c r="CB191" i="9"/>
  <c r="AE1025" i="9"/>
  <c r="CB277" i="9"/>
  <c r="CB353" i="9"/>
  <c r="CB200" i="9"/>
  <c r="CB710" i="9"/>
  <c r="CB307" i="9"/>
  <c r="DC307" i="9" s="1"/>
  <c r="CB248" i="9"/>
  <c r="CB429" i="9"/>
  <c r="AE1032" i="9"/>
  <c r="CB343" i="9"/>
  <c r="AE921" i="9"/>
  <c r="CB97" i="9"/>
  <c r="CB185" i="9"/>
  <c r="CB401" i="9"/>
  <c r="CB356" i="9"/>
  <c r="AE919" i="9"/>
  <c r="CB390" i="9"/>
  <c r="AE920" i="9"/>
  <c r="AE926" i="9"/>
  <c r="CB400" i="9"/>
  <c r="CB325" i="9"/>
  <c r="AE909" i="9"/>
  <c r="CB136" i="9"/>
  <c r="DC136" i="9" s="1"/>
  <c r="CB305" i="9"/>
  <c r="AE911" i="9"/>
  <c r="CB375" i="9"/>
  <c r="CB363" i="9"/>
  <c r="CB155" i="9"/>
  <c r="DC155" i="9" s="1"/>
  <c r="AE1028" i="9"/>
  <c r="CB318" i="9"/>
  <c r="AE922" i="9"/>
  <c r="AE1035" i="9"/>
  <c r="AE1031" i="9"/>
  <c r="CB295" i="9"/>
  <c r="AE923" i="9"/>
  <c r="AE925" i="9"/>
  <c r="CB315" i="9"/>
  <c r="AE910" i="9"/>
  <c r="CB134" i="9"/>
  <c r="CB725" i="9"/>
  <c r="CB286" i="9"/>
  <c r="CB173" i="9"/>
  <c r="CB428" i="9"/>
  <c r="AE1042" i="9"/>
  <c r="CB135" i="9"/>
  <c r="AE1039" i="9"/>
  <c r="AE927" i="9"/>
  <c r="CB174" i="9"/>
  <c r="DC174" i="9" s="1"/>
  <c r="CB90" i="9"/>
  <c r="AE914" i="9"/>
  <c r="CB219" i="9"/>
  <c r="CB192" i="9"/>
  <c r="AE1024" i="9"/>
  <c r="AE1030" i="9"/>
  <c r="AE1027" i="9"/>
  <c r="CB96" i="9"/>
  <c r="AE1036" i="9"/>
  <c r="AE912" i="9"/>
  <c r="CB258" i="9"/>
  <c r="CB105" i="9"/>
  <c r="CB267" i="9"/>
  <c r="CB276" i="9"/>
  <c r="CB381" i="9"/>
  <c r="AE1033" i="9"/>
  <c r="CB210" i="9"/>
  <c r="AE1023" i="9"/>
  <c r="AE1037" i="9"/>
  <c r="CB737" i="9"/>
  <c r="AE924" i="9"/>
  <c r="CB60" i="9"/>
  <c r="DC60" i="9" s="1"/>
  <c r="CB79" i="9"/>
  <c r="DC79" i="9" s="1"/>
  <c r="AE1026" i="9"/>
  <c r="CB204" i="9"/>
  <c r="AE918" i="9"/>
  <c r="CB314" i="9"/>
  <c r="AE1041" i="9"/>
  <c r="CB147" i="9"/>
  <c r="AE1040" i="9"/>
  <c r="AE1038" i="9"/>
  <c r="AE917" i="9"/>
  <c r="AE913" i="9"/>
  <c r="CB383" i="9"/>
  <c r="DC383" i="9" s="1"/>
  <c r="CB78" i="9"/>
  <c r="CB124" i="9"/>
  <c r="AE915" i="9"/>
  <c r="AE1029" i="9"/>
  <c r="CB162" i="9"/>
  <c r="AF1036" i="9"/>
  <c r="AF918" i="9"/>
  <c r="AF1027" i="9"/>
  <c r="AF1025" i="9"/>
  <c r="AF912" i="9"/>
  <c r="AF1037" i="9"/>
  <c r="AF1033" i="9"/>
  <c r="AF927" i="9"/>
  <c r="AF911" i="9"/>
  <c r="AF1042" i="9"/>
  <c r="AF1035" i="9"/>
  <c r="AF1038" i="9"/>
  <c r="AF909" i="9"/>
  <c r="AF922" i="9"/>
  <c r="AF921" i="9"/>
  <c r="AF1032" i="9"/>
  <c r="AF1031" i="9"/>
  <c r="AF919" i="9"/>
  <c r="AF914" i="9"/>
  <c r="AF1041" i="9"/>
  <c r="AF926" i="9"/>
  <c r="AF917" i="9"/>
  <c r="AF924" i="9"/>
  <c r="AF1024" i="9"/>
  <c r="AF923" i="9"/>
  <c r="AF1026" i="9"/>
  <c r="AF910" i="9"/>
  <c r="AF915" i="9"/>
  <c r="AF916" i="9"/>
  <c r="AF1029" i="9"/>
  <c r="AF913" i="9"/>
  <c r="AF1023" i="9"/>
  <c r="AF1028" i="9"/>
  <c r="AF920" i="9"/>
  <c r="AF1034" i="9"/>
  <c r="AF1030" i="9"/>
  <c r="AF1039" i="9"/>
  <c r="AF1040" i="9"/>
  <c r="AF925" i="9"/>
  <c r="AF908" i="9"/>
  <c r="AG927" i="9"/>
  <c r="AG1028" i="9"/>
  <c r="AG908" i="9"/>
  <c r="AG918" i="9"/>
  <c r="AG924" i="9"/>
  <c r="AG1031" i="9"/>
  <c r="AG1035" i="9"/>
  <c r="AG1037" i="9"/>
  <c r="AG914" i="9"/>
  <c r="AG913" i="9"/>
  <c r="AG910" i="9"/>
  <c r="AG916" i="9"/>
  <c r="AG1026" i="9"/>
  <c r="AG919" i="9"/>
  <c r="AG915" i="9"/>
  <c r="AG1030" i="9"/>
  <c r="AG1034" i="9"/>
  <c r="AG1033" i="9"/>
  <c r="AG912" i="9"/>
  <c r="AG917" i="9"/>
  <c r="AG926" i="9"/>
  <c r="AG909" i="9"/>
  <c r="AG1029" i="9"/>
  <c r="AG1036" i="9"/>
  <c r="AG1025" i="9"/>
  <c r="AG1027" i="9"/>
  <c r="AG1038" i="9"/>
  <c r="AG1041" i="9"/>
  <c r="AG920" i="9"/>
  <c r="AG911" i="9"/>
  <c r="AG921" i="9"/>
  <c r="AG1042" i="9"/>
  <c r="AG1032" i="9"/>
  <c r="AG1024" i="9"/>
  <c r="AG1023" i="9"/>
  <c r="AG923" i="9"/>
  <c r="AG922" i="9"/>
  <c r="AG1040" i="9"/>
  <c r="AG925" i="9"/>
  <c r="AG1039" i="9"/>
  <c r="AH1030" i="9"/>
  <c r="AH919" i="9"/>
  <c r="AH918" i="9"/>
  <c r="AH1028" i="9"/>
  <c r="AH1027" i="9"/>
  <c r="AH1024" i="9"/>
  <c r="AH926" i="9"/>
  <c r="AH920" i="9"/>
  <c r="AH1042" i="9"/>
  <c r="AH1036" i="9"/>
  <c r="AH922" i="9"/>
  <c r="AH915" i="9"/>
  <c r="AH1032" i="9"/>
  <c r="AH916" i="9"/>
  <c r="AH1035" i="9"/>
  <c r="AH921" i="9"/>
  <c r="AH1029" i="9"/>
  <c r="AH1034" i="9"/>
  <c r="AH917" i="9"/>
  <c r="AH1023" i="9"/>
  <c r="AH910" i="9"/>
  <c r="AH924" i="9"/>
  <c r="AH911" i="9"/>
  <c r="AH923" i="9"/>
  <c r="AH1038" i="9"/>
  <c r="AH1031" i="9"/>
  <c r="AH914" i="9"/>
  <c r="AH1039" i="9"/>
  <c r="AH1037" i="9"/>
  <c r="AH1040" i="9"/>
  <c r="AH912" i="9"/>
  <c r="AH909" i="9"/>
  <c r="AH1025" i="9"/>
  <c r="AH913" i="9"/>
  <c r="AH925" i="9"/>
  <c r="AH1041" i="9"/>
  <c r="AH1026" i="9"/>
  <c r="AH1033" i="9"/>
  <c r="AH908" i="9"/>
  <c r="AH927" i="9"/>
  <c r="AI1025" i="9"/>
  <c r="AI924" i="9"/>
  <c r="AI913" i="9"/>
  <c r="AI1027" i="9"/>
  <c r="AI1031" i="9"/>
  <c r="AI1039" i="9"/>
  <c r="AI1034" i="9"/>
  <c r="AI909" i="9"/>
  <c r="AI926" i="9"/>
  <c r="AI1029" i="9"/>
  <c r="AI925" i="9"/>
  <c r="AI911" i="9"/>
  <c r="AI1033" i="9"/>
  <c r="AI908" i="9"/>
  <c r="AI1026" i="9"/>
  <c r="AI1023" i="9"/>
  <c r="AI923" i="9"/>
  <c r="AI921" i="9"/>
  <c r="AI919" i="9"/>
  <c r="AI1037" i="9"/>
  <c r="AI910" i="9"/>
  <c r="AI917" i="9"/>
  <c r="AI1041" i="9"/>
  <c r="AI918" i="9"/>
  <c r="AI1030" i="9"/>
  <c r="AI1036" i="9"/>
  <c r="AI1038" i="9"/>
  <c r="AI914" i="9"/>
  <c r="AI1035" i="9"/>
  <c r="AI1028" i="9"/>
  <c r="AI1032" i="9"/>
  <c r="AI915" i="9"/>
  <c r="AI916" i="9"/>
  <c r="AI922" i="9"/>
  <c r="AI912" i="9"/>
  <c r="AI1024" i="9"/>
  <c r="AI1042" i="9"/>
  <c r="AI920" i="9"/>
  <c r="AI1040" i="9"/>
  <c r="AI927" i="9"/>
  <c r="AJ925" i="9"/>
  <c r="AJ1042" i="9"/>
  <c r="AJ1024" i="9"/>
  <c r="AJ912" i="9"/>
  <c r="AJ911" i="9"/>
  <c r="AJ1037" i="9"/>
  <c r="AJ1034" i="9"/>
  <c r="AJ1036" i="9"/>
  <c r="AJ1040" i="9"/>
  <c r="AJ923" i="9"/>
  <c r="AJ918" i="9"/>
  <c r="AJ1041" i="9"/>
  <c r="AJ1023" i="9"/>
  <c r="AJ921" i="9"/>
  <c r="AJ1031" i="9"/>
  <c r="AJ1029" i="9"/>
  <c r="AJ927" i="9"/>
  <c r="AJ922" i="9"/>
  <c r="AJ920" i="9"/>
  <c r="AJ913" i="9"/>
  <c r="AJ1039" i="9"/>
  <c r="AJ1033" i="9"/>
  <c r="AJ910" i="9"/>
  <c r="AJ916" i="9"/>
  <c r="AJ908" i="9"/>
  <c r="AJ1026" i="9"/>
  <c r="AJ914" i="9"/>
  <c r="AJ924" i="9"/>
  <c r="AJ909" i="9"/>
  <c r="AJ1028" i="9"/>
  <c r="AJ926" i="9"/>
  <c r="AJ1030" i="9"/>
  <c r="AJ919" i="9"/>
  <c r="AJ1032" i="9"/>
  <c r="AJ1035" i="9"/>
  <c r="AJ915" i="9"/>
  <c r="AJ917" i="9"/>
  <c r="AJ1025" i="9"/>
  <c r="AJ1027" i="9"/>
  <c r="AJ1038" i="9"/>
  <c r="AK1028" i="9"/>
  <c r="AK926" i="9"/>
  <c r="AK1036" i="9"/>
  <c r="AK1042" i="9"/>
  <c r="AK1034" i="9"/>
  <c r="AK919" i="9"/>
  <c r="AK1041" i="9"/>
  <c r="AK1027" i="9"/>
  <c r="AK1024" i="9"/>
  <c r="AK918" i="9"/>
  <c r="AK920" i="9"/>
  <c r="AK1030" i="9"/>
  <c r="AK923" i="9"/>
  <c r="AK911" i="9"/>
  <c r="AK910" i="9"/>
  <c r="AK1038" i="9"/>
  <c r="AK912" i="9"/>
  <c r="AK927" i="9"/>
  <c r="AK1031" i="9"/>
  <c r="AK1037" i="9"/>
  <c r="AK1040" i="9"/>
  <c r="AK1039" i="9"/>
  <c r="AK915" i="9"/>
  <c r="AK922" i="9"/>
  <c r="AK924" i="9"/>
  <c r="AK1026" i="9"/>
  <c r="AK909" i="9"/>
  <c r="AK1029" i="9"/>
  <c r="AK1035" i="9"/>
  <c r="AK914" i="9"/>
  <c r="AK916" i="9"/>
  <c r="AK1032" i="9"/>
  <c r="AK925" i="9"/>
  <c r="AK1033" i="9"/>
  <c r="AK1025" i="9"/>
  <c r="AK908" i="9"/>
  <c r="AK1023" i="9"/>
  <c r="AK917" i="9"/>
  <c r="AK921" i="9"/>
  <c r="AK913" i="9"/>
  <c r="AL1042" i="9"/>
  <c r="AL1029" i="9"/>
  <c r="AL927" i="9"/>
  <c r="AL1034" i="9"/>
  <c r="AL913" i="9"/>
  <c r="AL1026" i="9"/>
  <c r="AL1028" i="9"/>
  <c r="W1028" i="9" s="1"/>
  <c r="BY1028" i="9" s="1"/>
  <c r="AL909" i="9"/>
  <c r="W909" i="9" s="1"/>
  <c r="BY909" i="9" s="1"/>
  <c r="AL1024" i="9"/>
  <c r="W1024" i="9" s="1"/>
  <c r="BY1024" i="9" s="1"/>
  <c r="AL1032" i="9"/>
  <c r="W1032" i="9" s="1"/>
  <c r="BY1032" i="9" s="1"/>
  <c r="AL1037" i="9"/>
  <c r="AL1027" i="9"/>
  <c r="AL922" i="9"/>
  <c r="AL910" i="9"/>
  <c r="AL911" i="9"/>
  <c r="W911" i="9" s="1"/>
  <c r="BY911" i="9" s="1"/>
  <c r="AL924" i="9"/>
  <c r="W924" i="9" s="1"/>
  <c r="BY924" i="9" s="1"/>
  <c r="AL1041" i="9"/>
  <c r="AL917" i="9"/>
  <c r="AL912" i="9"/>
  <c r="W912" i="9" s="1"/>
  <c r="BY912" i="9" s="1"/>
  <c r="AL1035" i="9"/>
  <c r="AL1023" i="9"/>
  <c r="AL1033" i="9"/>
  <c r="AL920" i="9"/>
  <c r="W920" i="9" s="1"/>
  <c r="BY920" i="9" s="1"/>
  <c r="AL926" i="9"/>
  <c r="AL914" i="9"/>
  <c r="W914" i="9" s="1"/>
  <c r="BY914" i="9" s="1"/>
  <c r="AL919" i="9"/>
  <c r="W919" i="9" s="1"/>
  <c r="BY919" i="9" s="1"/>
  <c r="AL1030" i="9"/>
  <c r="AL1040" i="9"/>
  <c r="AL915" i="9"/>
  <c r="AL916" i="9"/>
  <c r="AL921" i="9"/>
  <c r="W921" i="9" s="1"/>
  <c r="BY921" i="9" s="1"/>
  <c r="AL908" i="9"/>
  <c r="W908" i="9" s="1"/>
  <c r="BY908" i="9" s="1"/>
  <c r="AL1031" i="9"/>
  <c r="W1031" i="9" s="1"/>
  <c r="BY1031" i="9" s="1"/>
  <c r="AL1038" i="9"/>
  <c r="AL918" i="9"/>
  <c r="W918" i="9" s="1"/>
  <c r="BY918" i="9" s="1"/>
  <c r="AL923" i="9"/>
  <c r="AL925" i="9"/>
  <c r="AL1036" i="9"/>
  <c r="AL1039" i="9"/>
  <c r="AL1025" i="9"/>
  <c r="AM917" i="9"/>
  <c r="AM1036" i="9"/>
  <c r="AM915" i="9"/>
  <c r="AM926" i="9"/>
  <c r="AM916" i="9"/>
  <c r="AM1032" i="9"/>
  <c r="AM911" i="9"/>
  <c r="AM1038" i="9"/>
  <c r="AM922" i="9"/>
  <c r="AM912" i="9"/>
  <c r="AM1028" i="9"/>
  <c r="AM1023" i="9"/>
  <c r="AM1025" i="9"/>
  <c r="AM1034" i="9"/>
  <c r="AM923" i="9"/>
  <c r="AM921" i="9"/>
  <c r="AM1041" i="9"/>
  <c r="AM1024" i="9"/>
  <c r="AM927" i="9"/>
  <c r="AM1029" i="9"/>
  <c r="AM918" i="9"/>
  <c r="AM925" i="9"/>
  <c r="AM1033" i="9"/>
  <c r="AM1042" i="9"/>
  <c r="AM914" i="9"/>
  <c r="AM910" i="9"/>
  <c r="AM1037" i="9"/>
  <c r="AM1027" i="9"/>
  <c r="AM919" i="9"/>
  <c r="AM1031" i="9"/>
  <c r="AM1039" i="9"/>
  <c r="AM924" i="9"/>
  <c r="AM908" i="9"/>
  <c r="AM913" i="9"/>
  <c r="AM1035" i="9"/>
  <c r="AM1030" i="9"/>
  <c r="AM909" i="9"/>
  <c r="AM1040" i="9"/>
  <c r="AM1026" i="9"/>
  <c r="AM920" i="9"/>
  <c r="AN1036" i="9"/>
  <c r="AN1031" i="9"/>
  <c r="AN1030" i="9"/>
  <c r="AN926" i="9"/>
  <c r="AN918" i="9"/>
  <c r="AN1039" i="9"/>
  <c r="AN925" i="9"/>
  <c r="AN909" i="9"/>
  <c r="AN920" i="9"/>
  <c r="AN1042" i="9"/>
  <c r="AN1026" i="9"/>
  <c r="AN916" i="9"/>
  <c r="AN1034" i="9"/>
  <c r="AN1033" i="9"/>
  <c r="AN924" i="9"/>
  <c r="AN1025" i="9"/>
  <c r="AN1029" i="9"/>
  <c r="AN913" i="9"/>
  <c r="AN910" i="9"/>
  <c r="AN1032" i="9"/>
  <c r="AN1040" i="9"/>
  <c r="AN1024" i="9"/>
  <c r="AN1038" i="9"/>
  <c r="AN915" i="9"/>
  <c r="AN921" i="9"/>
  <c r="AN922" i="9"/>
  <c r="AN912" i="9"/>
  <c r="AN917" i="9"/>
  <c r="AN927" i="9"/>
  <c r="AN908" i="9"/>
  <c r="AN1041" i="9"/>
  <c r="AN911" i="9"/>
  <c r="AN919" i="9"/>
  <c r="AN1027" i="9"/>
  <c r="AN1037" i="9"/>
  <c r="AN914" i="9"/>
  <c r="AN1028" i="9"/>
  <c r="AN923" i="9"/>
  <c r="AN1023" i="9"/>
  <c r="AN1035" i="9"/>
  <c r="AO1024" i="9"/>
  <c r="AO1030" i="9"/>
  <c r="AO1037" i="9"/>
  <c r="AO920" i="9"/>
  <c r="AO922" i="9"/>
  <c r="AO909" i="9"/>
  <c r="AO1038" i="9"/>
  <c r="AO1023" i="9"/>
  <c r="AO925" i="9"/>
  <c r="AO908" i="9"/>
  <c r="AO1032" i="9"/>
  <c r="AO912" i="9"/>
  <c r="AO1027" i="9"/>
  <c r="AO926" i="9"/>
  <c r="AO916" i="9"/>
  <c r="AO1028" i="9"/>
  <c r="AO913" i="9"/>
  <c r="AO917" i="9"/>
  <c r="AO1039" i="9"/>
  <c r="AO1026" i="9"/>
  <c r="AO1025" i="9"/>
  <c r="AO1036" i="9"/>
  <c r="AO924" i="9"/>
  <c r="AO923" i="9"/>
  <c r="AO919" i="9"/>
  <c r="AO915" i="9"/>
  <c r="AO1029" i="9"/>
  <c r="AO910" i="9"/>
  <c r="AO1041" i="9"/>
  <c r="AO1040" i="9"/>
  <c r="AO914" i="9"/>
  <c r="AO927" i="9"/>
  <c r="AO918" i="9"/>
  <c r="AO1034" i="9"/>
  <c r="AO1042" i="9"/>
  <c r="AO921" i="9"/>
  <c r="AO911" i="9"/>
  <c r="AO1035" i="9"/>
  <c r="AO1031" i="9"/>
  <c r="AO1033" i="9"/>
  <c r="AP908" i="9"/>
  <c r="AP909" i="9"/>
  <c r="AP1024" i="9"/>
  <c r="AP918" i="9"/>
  <c r="AP914" i="9"/>
  <c r="AP911" i="9"/>
  <c r="AP1025" i="9"/>
  <c r="AP927" i="9"/>
  <c r="AP1038" i="9"/>
  <c r="AP1034" i="9"/>
  <c r="AP1033" i="9"/>
  <c r="AP1036" i="9"/>
  <c r="AP1023" i="9"/>
  <c r="AP925" i="9"/>
  <c r="AP1037" i="9"/>
  <c r="AP919" i="9"/>
  <c r="AP917" i="9"/>
  <c r="AP923" i="9"/>
  <c r="AP1030" i="9"/>
  <c r="AP1035" i="9"/>
  <c r="AP921" i="9"/>
  <c r="AP1040" i="9"/>
  <c r="AP1026" i="9"/>
  <c r="AP926" i="9"/>
  <c r="AP912" i="9"/>
  <c r="AP1027" i="9"/>
  <c r="AP916" i="9"/>
  <c r="AP913" i="9"/>
  <c r="AP1031" i="9"/>
  <c r="AP915" i="9"/>
  <c r="AP922" i="9"/>
  <c r="AP1029" i="9"/>
  <c r="AP920" i="9"/>
  <c r="AP1041" i="9"/>
  <c r="AP1042" i="9"/>
  <c r="AP1032" i="9"/>
  <c r="AP1039" i="9"/>
  <c r="AP1028" i="9"/>
  <c r="AP924" i="9"/>
  <c r="AP910" i="9"/>
  <c r="AQ1025" i="9"/>
  <c r="AQ1026" i="9"/>
  <c r="AQ1032" i="9"/>
  <c r="AQ924" i="9"/>
  <c r="AQ1023" i="9"/>
  <c r="AQ1037" i="9"/>
  <c r="AQ1033" i="9"/>
  <c r="AQ1027" i="9"/>
  <c r="AQ913" i="9"/>
  <c r="AQ920" i="9"/>
  <c r="AQ1036" i="9"/>
  <c r="AQ1039" i="9"/>
  <c r="AQ908" i="9"/>
  <c r="AQ923" i="9"/>
  <c r="AQ922" i="9"/>
  <c r="AQ927" i="9"/>
  <c r="AQ919" i="9"/>
  <c r="AQ1024" i="9"/>
  <c r="AQ1028" i="9"/>
  <c r="AQ921" i="9"/>
  <c r="AQ914" i="9"/>
  <c r="AQ1041" i="9"/>
  <c r="AQ1031" i="9"/>
  <c r="AQ918" i="9"/>
  <c r="AQ911" i="9"/>
  <c r="AQ1038" i="9"/>
  <c r="AQ909" i="9"/>
  <c r="AQ910" i="9"/>
  <c r="AQ915" i="9"/>
  <c r="AQ1042" i="9"/>
  <c r="AQ1040" i="9"/>
  <c r="AQ1029" i="9"/>
  <c r="AQ912" i="9"/>
  <c r="AQ1030" i="9"/>
  <c r="AQ925" i="9"/>
  <c r="AQ916" i="9"/>
  <c r="AQ926" i="9"/>
  <c r="AQ917" i="9"/>
  <c r="AQ1034" i="9"/>
  <c r="AQ1035" i="9"/>
  <c r="AR1025" i="9"/>
  <c r="AR1024" i="9"/>
  <c r="AR913" i="9"/>
  <c r="AR1034" i="9"/>
  <c r="AR923" i="9"/>
  <c r="AR911" i="9"/>
  <c r="AR1023" i="9"/>
  <c r="AR920" i="9"/>
  <c r="AR922" i="9"/>
  <c r="AR921" i="9"/>
  <c r="AR1040" i="9"/>
  <c r="AR914" i="9"/>
  <c r="AR1035" i="9"/>
  <c r="AR1030" i="9"/>
  <c r="AR1038" i="9"/>
  <c r="AR908" i="9"/>
  <c r="AR1029" i="9"/>
  <c r="AR916" i="9"/>
  <c r="AR912" i="9"/>
  <c r="AR910" i="9"/>
  <c r="AR1041" i="9"/>
  <c r="AR927" i="9"/>
  <c r="AR1032" i="9"/>
  <c r="AR924" i="9"/>
  <c r="AR1042" i="9"/>
  <c r="AR919" i="9"/>
  <c r="AR1026" i="9"/>
  <c r="AR925" i="9"/>
  <c r="AR1036" i="9"/>
  <c r="AR1037" i="9"/>
  <c r="AR1028" i="9"/>
  <c r="AR918" i="9"/>
  <c r="AR909" i="9"/>
  <c r="AR917" i="9"/>
  <c r="AR1033" i="9"/>
  <c r="AR915" i="9"/>
  <c r="AR1039" i="9"/>
  <c r="AR1031" i="9"/>
  <c r="AR926" i="9"/>
  <c r="AR1027" i="9"/>
  <c r="AS908" i="9"/>
  <c r="AS926" i="9"/>
  <c r="AS910" i="9"/>
  <c r="AS1024" i="9"/>
  <c r="AS922" i="9"/>
  <c r="AS1026" i="9"/>
  <c r="AS913" i="9"/>
  <c r="AS1031" i="9"/>
  <c r="AS1030" i="9"/>
  <c r="AS1038" i="9"/>
  <c r="AS1032" i="9"/>
  <c r="AS1027" i="9"/>
  <c r="AS924" i="9"/>
  <c r="AS1037" i="9"/>
  <c r="AS923" i="9"/>
  <c r="AS1025" i="9"/>
  <c r="AS1035" i="9"/>
  <c r="AS1036" i="9"/>
  <c r="AS915" i="9"/>
  <c r="AS1023" i="9"/>
  <c r="AS914" i="9"/>
  <c r="AS1028" i="9"/>
  <c r="AS916" i="9"/>
  <c r="AS921" i="9"/>
  <c r="AS912" i="9"/>
  <c r="AS1040" i="9"/>
  <c r="AS918" i="9"/>
  <c r="AS1042" i="9"/>
  <c r="AS1034" i="9"/>
  <c r="AS917" i="9"/>
  <c r="AS1041" i="9"/>
  <c r="AS1033" i="9"/>
  <c r="AS920" i="9"/>
  <c r="AS909" i="9"/>
  <c r="AS925" i="9"/>
  <c r="AS927" i="9"/>
  <c r="AS919" i="9"/>
  <c r="AS911" i="9"/>
  <c r="AS1029" i="9"/>
  <c r="AS1039" i="9"/>
  <c r="AT1025" i="9"/>
  <c r="AT909" i="9"/>
  <c r="AT918" i="9"/>
  <c r="AT1038" i="9"/>
  <c r="AT1039" i="9"/>
  <c r="AT1030" i="9"/>
  <c r="AT1042" i="9"/>
  <c r="AT1033" i="9"/>
  <c r="AT1026" i="9"/>
  <c r="AT1040" i="9"/>
  <c r="AT1036" i="9"/>
  <c r="AT927" i="9"/>
  <c r="AT913" i="9"/>
  <c r="AT916" i="9"/>
  <c r="AT922" i="9"/>
  <c r="AT923" i="9"/>
  <c r="AT1034" i="9"/>
  <c r="AT926" i="9"/>
  <c r="AT1037" i="9"/>
  <c r="AT1028" i="9"/>
  <c r="AT1041" i="9"/>
  <c r="AT919" i="9"/>
  <c r="AT914" i="9"/>
  <c r="AT1024" i="9"/>
  <c r="AT1023" i="9"/>
  <c r="AT912" i="9"/>
  <c r="AT911" i="9"/>
  <c r="AT1027" i="9"/>
  <c r="AT920" i="9"/>
  <c r="AT1031" i="9"/>
  <c r="AT1035" i="9"/>
  <c r="AT924" i="9"/>
  <c r="AT1029" i="9"/>
  <c r="AT910" i="9"/>
  <c r="AT1032" i="9"/>
  <c r="AT908" i="9"/>
  <c r="AT917" i="9"/>
  <c r="AT915" i="9"/>
  <c r="AT925" i="9"/>
  <c r="AT921" i="9"/>
  <c r="AU1024" i="9"/>
  <c r="AU1032" i="9"/>
  <c r="AU926" i="9"/>
  <c r="AU925" i="9"/>
  <c r="AU1033" i="9"/>
  <c r="AU913" i="9"/>
  <c r="AU1042" i="9"/>
  <c r="AU1023" i="9"/>
  <c r="AU1039" i="9"/>
  <c r="AU1040" i="9"/>
  <c r="AU918" i="9"/>
  <c r="AU1037" i="9"/>
  <c r="AU911" i="9"/>
  <c r="AU917" i="9"/>
  <c r="AU908" i="9"/>
  <c r="AU1028" i="9"/>
  <c r="AU909" i="9"/>
  <c r="AU924" i="9"/>
  <c r="AU915" i="9"/>
  <c r="AU923" i="9"/>
  <c r="AU1025" i="9"/>
  <c r="AU1034" i="9"/>
  <c r="AU921" i="9"/>
  <c r="AU1038" i="9"/>
  <c r="AU1027" i="9"/>
  <c r="AU919" i="9"/>
  <c r="AU920" i="9"/>
  <c r="AU1026" i="9"/>
  <c r="AU1036" i="9"/>
  <c r="AU1029" i="9"/>
  <c r="AU927" i="9"/>
  <c r="AU1041" i="9"/>
  <c r="AU914" i="9"/>
  <c r="AU1031" i="9"/>
  <c r="AU1035" i="9"/>
  <c r="AU1030" i="9"/>
  <c r="AU922" i="9"/>
  <c r="AU910" i="9"/>
  <c r="AU912" i="9"/>
  <c r="AU916" i="9"/>
  <c r="AV1042" i="9"/>
  <c r="AV1041" i="9"/>
  <c r="AV1039" i="9"/>
  <c r="AV927" i="9"/>
  <c r="AV1029" i="9"/>
  <c r="AV915" i="9"/>
  <c r="AV1030" i="9"/>
  <c r="AV923" i="9"/>
  <c r="AV1023" i="9"/>
  <c r="AV916" i="9"/>
  <c r="AV909" i="9"/>
  <c r="AV920" i="9"/>
  <c r="AV921" i="9"/>
  <c r="AV1035" i="9"/>
  <c r="AV1034" i="9"/>
  <c r="AV922" i="9"/>
  <c r="AV910" i="9"/>
  <c r="AV1026" i="9"/>
  <c r="AV1024" i="9"/>
  <c r="AV918" i="9"/>
  <c r="AV919" i="9"/>
  <c r="AV912" i="9"/>
  <c r="AV911" i="9"/>
  <c r="AV1036" i="9"/>
  <c r="AV1040" i="9"/>
  <c r="AV908" i="9"/>
  <c r="AV926" i="9"/>
  <c r="AV914" i="9"/>
  <c r="AV1032" i="9"/>
  <c r="AV1028" i="9"/>
  <c r="AV1037" i="9"/>
  <c r="AV917" i="9"/>
  <c r="AV1033" i="9"/>
  <c r="AV913" i="9"/>
  <c r="AV924" i="9"/>
  <c r="AV1027" i="9"/>
  <c r="AV1031" i="9"/>
  <c r="AV925" i="9"/>
  <c r="AV1038" i="9"/>
  <c r="AV1025" i="9"/>
  <c r="AW915" i="9"/>
  <c r="AW1032" i="9"/>
  <c r="AW925" i="9"/>
  <c r="AW918" i="9"/>
  <c r="AW919" i="9"/>
  <c r="AW909" i="9"/>
  <c r="AW1030" i="9"/>
  <c r="AW1037" i="9"/>
  <c r="AW920" i="9"/>
  <c r="AW921" i="9"/>
  <c r="AW1036" i="9"/>
  <c r="AW912" i="9"/>
  <c r="AW1038" i="9"/>
  <c r="AW1026" i="9"/>
  <c r="AW917" i="9"/>
  <c r="AW927" i="9"/>
  <c r="AW922" i="9"/>
  <c r="AW1033" i="9"/>
  <c r="AW1024" i="9"/>
  <c r="AW1025" i="9"/>
  <c r="AW910" i="9"/>
  <c r="AW911" i="9"/>
  <c r="AW914" i="9"/>
  <c r="AW1031" i="9"/>
  <c r="AW1035" i="9"/>
  <c r="AW916" i="9"/>
  <c r="AW1027" i="9"/>
  <c r="AW913" i="9"/>
  <c r="AW1029" i="9"/>
  <c r="AW1042" i="9"/>
  <c r="AW923" i="9"/>
  <c r="AW1023" i="9"/>
  <c r="AW1034" i="9"/>
  <c r="AW924" i="9"/>
  <c r="AW1039" i="9"/>
  <c r="AW1041" i="9"/>
  <c r="AW1028" i="9"/>
  <c r="AW908" i="9"/>
  <c r="AW926" i="9"/>
  <c r="AW1040" i="9"/>
  <c r="AX1035" i="9"/>
  <c r="X1035" i="9" s="1"/>
  <c r="BZ1035" i="9" s="1"/>
  <c r="AX1034" i="9"/>
  <c r="AX914" i="9"/>
  <c r="AX1029" i="9"/>
  <c r="X1029" i="9" s="1"/>
  <c r="BZ1029" i="9" s="1"/>
  <c r="AX1031" i="9"/>
  <c r="X1031" i="9" s="1"/>
  <c r="BZ1031" i="9" s="1"/>
  <c r="AX927" i="9"/>
  <c r="AX1038" i="9"/>
  <c r="X1038" i="9" s="1"/>
  <c r="BZ1038" i="9" s="1"/>
  <c r="AX1025" i="9"/>
  <c r="X1025" i="9" s="1"/>
  <c r="BZ1025" i="9" s="1"/>
  <c r="AX923" i="9"/>
  <c r="X923" i="9" s="1"/>
  <c r="BZ923" i="9" s="1"/>
  <c r="AX1039" i="9"/>
  <c r="AX913" i="9"/>
  <c r="AX1036" i="9"/>
  <c r="X1036" i="9" s="1"/>
  <c r="BZ1036" i="9" s="1"/>
  <c r="AX917" i="9"/>
  <c r="X917" i="9" s="1"/>
  <c r="BZ917" i="9" s="1"/>
  <c r="AX915" i="9"/>
  <c r="AX1032" i="9"/>
  <c r="X1032" i="9" s="1"/>
  <c r="BZ1032" i="9" s="1"/>
  <c r="AX1040" i="9"/>
  <c r="AX1026" i="9"/>
  <c r="AX924" i="9"/>
  <c r="AX1030" i="9"/>
  <c r="AX1028" i="9"/>
  <c r="AX1033" i="9"/>
  <c r="AX925" i="9"/>
  <c r="AX920" i="9"/>
  <c r="X920" i="9" s="1"/>
  <c r="BZ920" i="9" s="1"/>
  <c r="AX921" i="9"/>
  <c r="X921" i="9" s="1"/>
  <c r="BZ921" i="9" s="1"/>
  <c r="AX1037" i="9"/>
  <c r="AX909" i="9"/>
  <c r="AX916" i="9"/>
  <c r="AX1024" i="9"/>
  <c r="X1024" i="9" s="1"/>
  <c r="BZ1024" i="9" s="1"/>
  <c r="AX1023" i="9"/>
  <c r="AX922" i="9"/>
  <c r="AX926" i="9"/>
  <c r="X926" i="9" s="1"/>
  <c r="BZ926" i="9" s="1"/>
  <c r="AX918" i="9"/>
  <c r="AX1041" i="9"/>
  <c r="AX908" i="9"/>
  <c r="AX910" i="9"/>
  <c r="X910" i="9" s="1"/>
  <c r="BZ910" i="9" s="1"/>
  <c r="AX911" i="9"/>
  <c r="X911" i="9" s="1"/>
  <c r="BZ911" i="9" s="1"/>
  <c r="AX919" i="9"/>
  <c r="X919" i="9" s="1"/>
  <c r="BZ919" i="9" s="1"/>
  <c r="AX912" i="9"/>
  <c r="AX1027" i="9"/>
  <c r="X1027" i="9" s="1"/>
  <c r="BZ1027" i="9" s="1"/>
  <c r="AX1042" i="9"/>
  <c r="X1042" i="9" s="1"/>
  <c r="BZ1042" i="9" s="1"/>
  <c r="AY919" i="9"/>
  <c r="AY916" i="9"/>
  <c r="AY909" i="9"/>
  <c r="AY1035" i="9"/>
  <c r="AY1026" i="9"/>
  <c r="AY915" i="9"/>
  <c r="AY923" i="9"/>
  <c r="AY1032" i="9"/>
  <c r="AY1028" i="9"/>
  <c r="AY908" i="9"/>
  <c r="AY1030" i="9"/>
  <c r="AY1040" i="9"/>
  <c r="AY1025" i="9"/>
  <c r="AY926" i="9"/>
  <c r="AY925" i="9"/>
  <c r="AY1039" i="9"/>
  <c r="AY1036" i="9"/>
  <c r="AY920" i="9"/>
  <c r="AY1031" i="9"/>
  <c r="AY1027" i="9"/>
  <c r="AY1037" i="9"/>
  <c r="AY1038" i="9"/>
  <c r="AY1034" i="9"/>
  <c r="AY1029" i="9"/>
  <c r="AY911" i="9"/>
  <c r="AY1033" i="9"/>
  <c r="AY914" i="9"/>
  <c r="AY927" i="9"/>
  <c r="AY918" i="9"/>
  <c r="AY1042" i="9"/>
  <c r="AY912" i="9"/>
  <c r="AY922" i="9"/>
  <c r="AY1041" i="9"/>
  <c r="AY1023" i="9"/>
  <c r="AY913" i="9"/>
  <c r="AY917" i="9"/>
  <c r="AY924" i="9"/>
  <c r="AY921" i="9"/>
  <c r="AY910" i="9"/>
  <c r="AY1024" i="9"/>
  <c r="AZ920" i="9"/>
  <c r="AZ926" i="9"/>
  <c r="AZ1029" i="9"/>
  <c r="AZ912" i="9"/>
  <c r="AZ915" i="9"/>
  <c r="AZ1041" i="9"/>
  <c r="AZ1036" i="9"/>
  <c r="AZ924" i="9"/>
  <c r="AZ914" i="9"/>
  <c r="AZ1038" i="9"/>
  <c r="AZ923" i="9"/>
  <c r="AZ910" i="9"/>
  <c r="AZ916" i="9"/>
  <c r="AZ921" i="9"/>
  <c r="AZ1040" i="9"/>
  <c r="AZ1037" i="9"/>
  <c r="AZ1024" i="9"/>
  <c r="AZ1023" i="9"/>
  <c r="AZ1042" i="9"/>
  <c r="AZ1034" i="9"/>
  <c r="AZ922" i="9"/>
  <c r="AZ1031" i="9"/>
  <c r="AZ927" i="9"/>
  <c r="AZ1030" i="9"/>
  <c r="AZ913" i="9"/>
  <c r="AZ1039" i="9"/>
  <c r="AZ1032" i="9"/>
  <c r="AZ917" i="9"/>
  <c r="AZ918" i="9"/>
  <c r="AZ1033" i="9"/>
  <c r="AZ1025" i="9"/>
  <c r="AZ919" i="9"/>
  <c r="AZ1028" i="9"/>
  <c r="AZ1035" i="9"/>
  <c r="AZ911" i="9"/>
  <c r="AZ1026" i="9"/>
  <c r="AZ1027" i="9"/>
  <c r="AZ909" i="9"/>
  <c r="AZ925" i="9"/>
  <c r="AZ908" i="9"/>
  <c r="BA911" i="9"/>
  <c r="BA917" i="9"/>
  <c r="BA1036" i="9"/>
  <c r="BA927" i="9"/>
  <c r="BA1037" i="9"/>
  <c r="BA923" i="9"/>
  <c r="BA1023" i="9"/>
  <c r="BA1035" i="9"/>
  <c r="BA925" i="9"/>
  <c r="BA922" i="9"/>
  <c r="BA1039" i="9"/>
  <c r="BA1024" i="9"/>
  <c r="BA1040" i="9"/>
  <c r="BA909" i="9"/>
  <c r="BA1033" i="9"/>
  <c r="BA1038" i="9"/>
  <c r="BA1029" i="9"/>
  <c r="BA1025" i="9"/>
  <c r="BA916" i="9"/>
  <c r="BA926" i="9"/>
  <c r="BA1030" i="9"/>
  <c r="BA1041" i="9"/>
  <c r="BA913" i="9"/>
  <c r="BA1031" i="9"/>
  <c r="BA920" i="9"/>
  <c r="BA910" i="9"/>
  <c r="BA918" i="9"/>
  <c r="BA1026" i="9"/>
  <c r="BA912" i="9"/>
  <c r="BA915" i="9"/>
  <c r="BA1028" i="9"/>
  <c r="BA1042" i="9"/>
  <c r="BA919" i="9"/>
  <c r="BA1034" i="9"/>
  <c r="BA921" i="9"/>
  <c r="BA924" i="9"/>
  <c r="BA914" i="9"/>
  <c r="BA1027" i="9"/>
  <c r="BA1032" i="9"/>
  <c r="BA908" i="9"/>
  <c r="BB923" i="9"/>
  <c r="BB1035" i="9"/>
  <c r="BB1041" i="9"/>
  <c r="BB920" i="9"/>
  <c r="BB1028" i="9"/>
  <c r="BB1033" i="9"/>
  <c r="BB1027" i="9"/>
  <c r="BB1024" i="9"/>
  <c r="BB1039" i="9"/>
  <c r="BB925" i="9"/>
  <c r="BB1023" i="9"/>
  <c r="BB908" i="9"/>
  <c r="BB912" i="9"/>
  <c r="BB916" i="9"/>
  <c r="BB1042" i="9"/>
  <c r="BB918" i="9"/>
  <c r="BB1032" i="9"/>
  <c r="BB919" i="9"/>
  <c r="BB1037" i="9"/>
  <c r="BB922" i="9"/>
  <c r="BB914" i="9"/>
  <c r="BB1025" i="9"/>
  <c r="BB1040" i="9"/>
  <c r="BB913" i="9"/>
  <c r="BB1029" i="9"/>
  <c r="BB909" i="9"/>
  <c r="BB910" i="9"/>
  <c r="BB926" i="9"/>
  <c r="BB1034" i="9"/>
  <c r="BB1038" i="9"/>
  <c r="BB927" i="9"/>
  <c r="BB915" i="9"/>
  <c r="BB1036" i="9"/>
  <c r="BB1026" i="9"/>
  <c r="BB921" i="9"/>
  <c r="BB1031" i="9"/>
  <c r="BB924" i="9"/>
  <c r="BB1030" i="9"/>
  <c r="BB917" i="9"/>
  <c r="BB911" i="9"/>
  <c r="BC926" i="9"/>
  <c r="BC1041" i="9"/>
  <c r="BC922" i="9"/>
  <c r="BC925" i="9"/>
  <c r="BC916" i="9"/>
  <c r="BC915" i="9"/>
  <c r="BC1033" i="9"/>
  <c r="BC1030" i="9"/>
  <c r="BC921" i="9"/>
  <c r="BC1023" i="9"/>
  <c r="BC924" i="9"/>
  <c r="BC1040" i="9"/>
  <c r="BC920" i="9"/>
  <c r="BC1037" i="9"/>
  <c r="BC1039" i="9"/>
  <c r="BC1027" i="9"/>
  <c r="BC1026" i="9"/>
  <c r="BC1034" i="9"/>
  <c r="BC910" i="9"/>
  <c r="BC919" i="9"/>
  <c r="BC914" i="9"/>
  <c r="BC1035" i="9"/>
  <c r="BC913" i="9"/>
  <c r="BC1032" i="9"/>
  <c r="BC911" i="9"/>
  <c r="BC1031" i="9"/>
  <c r="BC923" i="9"/>
  <c r="BC908" i="9"/>
  <c r="BC1036" i="9"/>
  <c r="BC1029" i="9"/>
  <c r="BC918" i="9"/>
  <c r="BC1028" i="9"/>
  <c r="BC1024" i="9"/>
  <c r="BC1038" i="9"/>
  <c r="BC1025" i="9"/>
  <c r="BC917" i="9"/>
  <c r="BC927" i="9"/>
  <c r="BC912" i="9"/>
  <c r="BC1042" i="9"/>
  <c r="BC909" i="9"/>
  <c r="BD1028" i="9"/>
  <c r="BD927" i="9"/>
  <c r="BD910" i="9"/>
  <c r="BD1038" i="9"/>
  <c r="BD1026" i="9"/>
  <c r="BD1030" i="9"/>
  <c r="BD1037" i="9"/>
  <c r="BD921" i="9"/>
  <c r="BD913" i="9"/>
  <c r="BD1027" i="9"/>
  <c r="BD925" i="9"/>
  <c r="BD923" i="9"/>
  <c r="BD924" i="9"/>
  <c r="BD1035" i="9"/>
  <c r="BD918" i="9"/>
  <c r="BD1025" i="9"/>
  <c r="BD1040" i="9"/>
  <c r="BD1033" i="9"/>
  <c r="BD914" i="9"/>
  <c r="BD1034" i="9"/>
  <c r="BD915" i="9"/>
  <c r="BD919" i="9"/>
  <c r="BD1036" i="9"/>
  <c r="BD1023" i="9"/>
  <c r="BD1031" i="9"/>
  <c r="BD1042" i="9"/>
  <c r="BD1032" i="9"/>
  <c r="BD922" i="9"/>
  <c r="BD911" i="9"/>
  <c r="BD1041" i="9"/>
  <c r="BD908" i="9"/>
  <c r="BD1029" i="9"/>
  <c r="BD1039" i="9"/>
  <c r="BD909" i="9"/>
  <c r="BD916" i="9"/>
  <c r="BD917" i="9"/>
  <c r="BD920" i="9"/>
  <c r="BD912" i="9"/>
  <c r="BD1024" i="9"/>
  <c r="BD926" i="9"/>
  <c r="BE1031" i="9"/>
  <c r="BE1037" i="9"/>
  <c r="BE927" i="9"/>
  <c r="BE908" i="9"/>
  <c r="BE1042" i="9"/>
  <c r="BE922" i="9"/>
  <c r="BE1034" i="9"/>
  <c r="BE1036" i="9"/>
  <c r="BE1041" i="9"/>
  <c r="BE924" i="9"/>
  <c r="BE1038" i="9"/>
  <c r="BE1028" i="9"/>
  <c r="BE916" i="9"/>
  <c r="BE1040" i="9"/>
  <c r="BE1024" i="9"/>
  <c r="BE1027" i="9"/>
  <c r="BE1025" i="9"/>
  <c r="BE1035" i="9"/>
  <c r="BE1023" i="9"/>
  <c r="BE914" i="9"/>
  <c r="BE1030" i="9"/>
  <c r="BE912" i="9"/>
  <c r="BE923" i="9"/>
  <c r="BE913" i="9"/>
  <c r="BE1026" i="9"/>
  <c r="BE917" i="9"/>
  <c r="BE1033" i="9"/>
  <c r="BE1029" i="9"/>
  <c r="BE925" i="9"/>
  <c r="BE910" i="9"/>
  <c r="BE1032" i="9"/>
  <c r="BE1039" i="9"/>
  <c r="BE909" i="9"/>
  <c r="BE915" i="9"/>
  <c r="BE926" i="9"/>
  <c r="BE919" i="9"/>
  <c r="BE920" i="9"/>
  <c r="BE921" i="9"/>
  <c r="BE918" i="9"/>
  <c r="BE911" i="9"/>
  <c r="BF1034" i="9"/>
  <c r="BF1040" i="9"/>
  <c r="BF916" i="9"/>
  <c r="BF922" i="9"/>
  <c r="BF1039" i="9"/>
  <c r="BF919" i="9"/>
  <c r="BF918" i="9"/>
  <c r="BF1028" i="9"/>
  <c r="BF923" i="9"/>
  <c r="BF927" i="9"/>
  <c r="BF910" i="9"/>
  <c r="BF1035" i="9"/>
  <c r="BF1030" i="9"/>
  <c r="BF1024" i="9"/>
  <c r="BF908" i="9"/>
  <c r="BF1025" i="9"/>
  <c r="BF1026" i="9"/>
  <c r="BF913" i="9"/>
  <c r="BF914" i="9"/>
  <c r="BF1036" i="9"/>
  <c r="BF917" i="9"/>
  <c r="BF1041" i="9"/>
  <c r="BF926" i="9"/>
  <c r="BF1042" i="9"/>
  <c r="BF925" i="9"/>
  <c r="BF1033" i="9"/>
  <c r="BF924" i="9"/>
  <c r="BF1027" i="9"/>
  <c r="BF915" i="9"/>
  <c r="BF909" i="9"/>
  <c r="BF921" i="9"/>
  <c r="BF912" i="9"/>
  <c r="BF1023" i="9"/>
  <c r="BF1031" i="9"/>
  <c r="BF1032" i="9"/>
  <c r="BF1038" i="9"/>
  <c r="BF1037" i="9"/>
  <c r="BF911" i="9"/>
  <c r="BF920" i="9"/>
  <c r="BF1029" i="9"/>
  <c r="BG1038" i="9"/>
  <c r="BG921" i="9"/>
  <c r="BG924" i="9"/>
  <c r="BG925" i="9"/>
  <c r="BG1031" i="9"/>
  <c r="BG927" i="9"/>
  <c r="BG909" i="9"/>
  <c r="BG1036" i="9"/>
  <c r="BG1024" i="9"/>
  <c r="BG1032" i="9"/>
  <c r="BG1033" i="9"/>
  <c r="BG916" i="9"/>
  <c r="BG1029" i="9"/>
  <c r="BG908" i="9"/>
  <c r="BG917" i="9"/>
  <c r="BG915" i="9"/>
  <c r="BG1026" i="9"/>
  <c r="BG926" i="9"/>
  <c r="BG1030" i="9"/>
  <c r="BG1035" i="9"/>
  <c r="BG912" i="9"/>
  <c r="BG913" i="9"/>
  <c r="BG910" i="9"/>
  <c r="BG914" i="9"/>
  <c r="BG920" i="9"/>
  <c r="BG911" i="9"/>
  <c r="BG1037" i="9"/>
  <c r="BG918" i="9"/>
  <c r="BG1039" i="9"/>
  <c r="BG1028" i="9"/>
  <c r="BG1034" i="9"/>
  <c r="BG1027" i="9"/>
  <c r="BG1041" i="9"/>
  <c r="BG922" i="9"/>
  <c r="BG919" i="9"/>
  <c r="BG1023" i="9"/>
  <c r="BG923" i="9"/>
  <c r="BG1025" i="9"/>
  <c r="BG1040" i="9"/>
  <c r="BG1042" i="9"/>
  <c r="BH1035" i="9"/>
  <c r="BH912" i="9"/>
  <c r="BH920" i="9"/>
  <c r="BH1025" i="9"/>
  <c r="BH1039" i="9"/>
  <c r="BH925" i="9"/>
  <c r="BH1032" i="9"/>
  <c r="BH1037" i="9"/>
  <c r="BH1023" i="9"/>
  <c r="BH922" i="9"/>
  <c r="BH1038" i="9"/>
  <c r="BH1036" i="9"/>
  <c r="BH1034" i="9"/>
  <c r="BH1029" i="9"/>
  <c r="BH927" i="9"/>
  <c r="BH1042" i="9"/>
  <c r="BH1040" i="9"/>
  <c r="BH1030" i="9"/>
  <c r="BH908" i="9"/>
  <c r="BH911" i="9"/>
  <c r="BH919" i="9"/>
  <c r="BH910" i="9"/>
  <c r="BH917" i="9"/>
  <c r="BH1028" i="9"/>
  <c r="BH923" i="9"/>
  <c r="BH1024" i="9"/>
  <c r="BH909" i="9"/>
  <c r="BH921" i="9"/>
  <c r="BH915" i="9"/>
  <c r="BH924" i="9"/>
  <c r="BH1026" i="9"/>
  <c r="BH914" i="9"/>
  <c r="BH1027" i="9"/>
  <c r="BH1041" i="9"/>
  <c r="BH1033" i="9"/>
  <c r="BH1031" i="9"/>
  <c r="BH916" i="9"/>
  <c r="BH913" i="9"/>
  <c r="BH926" i="9"/>
  <c r="BH918" i="9"/>
  <c r="BI912" i="9"/>
  <c r="BI916" i="9"/>
  <c r="BI923" i="9"/>
  <c r="BI909" i="9"/>
  <c r="BI1036" i="9"/>
  <c r="BI914" i="9"/>
  <c r="BI1038" i="9"/>
  <c r="BI1042" i="9"/>
  <c r="BI1035" i="9"/>
  <c r="BI1031" i="9"/>
  <c r="BI915" i="9"/>
  <c r="BI1040" i="9"/>
  <c r="BI922" i="9"/>
  <c r="BI1030" i="9"/>
  <c r="BI918" i="9"/>
  <c r="BI919" i="9"/>
  <c r="BI924" i="9"/>
  <c r="BI1037" i="9"/>
  <c r="BI1023" i="9"/>
  <c r="BI1028" i="9"/>
  <c r="BI917" i="9"/>
  <c r="BI1025" i="9"/>
  <c r="BI1029" i="9"/>
  <c r="BI908" i="9"/>
  <c r="BI910" i="9"/>
  <c r="BI1033" i="9"/>
  <c r="BI1027" i="9"/>
  <c r="BI1024" i="9"/>
  <c r="BI913" i="9"/>
  <c r="BI920" i="9"/>
  <c r="BI925" i="9"/>
  <c r="BI921" i="9"/>
  <c r="BI927" i="9"/>
  <c r="BI1032" i="9"/>
  <c r="BI911" i="9"/>
  <c r="BI1039" i="9"/>
  <c r="BI1026" i="9"/>
  <c r="BI926" i="9"/>
  <c r="BI1034" i="9"/>
  <c r="BI1041" i="9"/>
  <c r="BJ1024" i="9"/>
  <c r="BJ909" i="9"/>
  <c r="Y909" i="9" s="1"/>
  <c r="CA909" i="9" s="1"/>
  <c r="BJ912" i="9"/>
  <c r="Y912" i="9" s="1"/>
  <c r="CA912" i="9" s="1"/>
  <c r="BJ913" i="9"/>
  <c r="BJ1026" i="9"/>
  <c r="BJ1038" i="9"/>
  <c r="BJ1031" i="9"/>
  <c r="Y1031" i="9" s="1"/>
  <c r="CA1031" i="9" s="1"/>
  <c r="BJ925" i="9"/>
  <c r="BJ1041" i="9"/>
  <c r="BJ923" i="9"/>
  <c r="BJ924" i="9"/>
  <c r="Y924" i="9" s="1"/>
  <c r="CA924" i="9" s="1"/>
  <c r="BJ1032" i="9"/>
  <c r="BJ1035" i="9"/>
  <c r="Y1035" i="9" s="1"/>
  <c r="CA1035" i="9" s="1"/>
  <c r="BJ1025" i="9"/>
  <c r="BJ1036" i="9"/>
  <c r="Y1036" i="9" s="1"/>
  <c r="CA1036" i="9" s="1"/>
  <c r="BJ1034" i="9"/>
  <c r="Y1034" i="9" s="1"/>
  <c r="CA1034" i="9" s="1"/>
  <c r="BJ1029" i="9"/>
  <c r="Y1029" i="9" s="1"/>
  <c r="CA1029" i="9" s="1"/>
  <c r="BJ1028" i="9"/>
  <c r="Y1028" i="9" s="1"/>
  <c r="CA1028" i="9" s="1"/>
  <c r="BJ1039" i="9"/>
  <c r="Y1039" i="9" s="1"/>
  <c r="CA1039" i="9" s="1"/>
  <c r="BJ927" i="9"/>
  <c r="Y927" i="9" s="1"/>
  <c r="CA927" i="9" s="1"/>
  <c r="BJ920" i="9"/>
  <c r="Y920" i="9" s="1"/>
  <c r="CA920" i="9" s="1"/>
  <c r="BJ1037" i="9"/>
  <c r="BJ1030" i="9"/>
  <c r="Y1030" i="9" s="1"/>
  <c r="CA1030" i="9" s="1"/>
  <c r="BJ926" i="9"/>
  <c r="BJ922" i="9"/>
  <c r="Y922" i="9" s="1"/>
  <c r="CA922" i="9" s="1"/>
  <c r="BJ917" i="9"/>
  <c r="BJ915" i="9"/>
  <c r="BJ911" i="9"/>
  <c r="Y911" i="9" s="1"/>
  <c r="CA911" i="9" s="1"/>
  <c r="BJ1027" i="9"/>
  <c r="BJ914" i="9"/>
  <c r="BJ921" i="9"/>
  <c r="BJ1033" i="9"/>
  <c r="Y1033" i="9" s="1"/>
  <c r="CA1033" i="9" s="1"/>
  <c r="BJ910" i="9"/>
  <c r="Y910" i="9" s="1"/>
  <c r="CA910" i="9" s="1"/>
  <c r="BJ908" i="9"/>
  <c r="BJ919" i="9"/>
  <c r="BJ918" i="9"/>
  <c r="Y918" i="9" s="1"/>
  <c r="CA918" i="9" s="1"/>
  <c r="BJ1040" i="9"/>
  <c r="Y1040" i="9" s="1"/>
  <c r="CA1040" i="9" s="1"/>
  <c r="BJ916" i="9"/>
  <c r="BJ1042" i="9"/>
  <c r="Y1042" i="9" s="1"/>
  <c r="CA1042" i="9" s="1"/>
  <c r="BJ1023" i="9"/>
  <c r="BV26" i="3"/>
  <c r="BV28" i="3"/>
  <c r="W122" i="3"/>
  <c r="W116" i="3"/>
  <c r="BV92" i="3"/>
  <c r="BV69" i="3"/>
  <c r="BV734" i="9"/>
  <c r="BV245" i="3"/>
  <c r="BV215" i="3"/>
  <c r="BV261" i="3"/>
  <c r="BV284" i="3" s="1"/>
  <c r="BV729" i="9"/>
  <c r="BV240" i="3"/>
  <c r="BV718" i="9"/>
  <c r="CB718" i="9" s="1"/>
  <c r="BV229" i="3"/>
  <c r="Y21" i="12"/>
  <c r="Y19" i="12"/>
  <c r="Y20" i="12"/>
  <c r="Y28" i="12" s="1"/>
  <c r="BV722" i="9"/>
  <c r="CB722" i="9" s="1"/>
  <c r="BV233" i="3"/>
  <c r="BU742" i="9"/>
  <c r="BV266" i="3"/>
  <c r="BV289" i="3" s="1"/>
  <c r="BV220" i="3"/>
  <c r="B15" i="14"/>
  <c r="M14" i="14"/>
  <c r="E14" i="14" a="1"/>
  <c r="CB701" i="9" l="1"/>
  <c r="CB707" i="9"/>
  <c r="AJ109" i="6"/>
  <c r="AI130" i="6"/>
  <c r="AH20" i="6"/>
  <c r="AH18" i="6"/>
  <c r="AH124" i="30"/>
  <c r="AH139" i="30" s="1"/>
  <c r="AH32" i="32"/>
  <c r="CB697" i="9"/>
  <c r="CB714" i="9"/>
  <c r="CB712" i="9"/>
  <c r="BV743" i="9"/>
  <c r="BV777" i="9"/>
  <c r="BV237" i="3"/>
  <c r="BV757" i="9"/>
  <c r="W757" i="9" s="1"/>
  <c r="BY757" i="9" s="1"/>
  <c r="CI114" i="6"/>
  <c r="CI125" i="6"/>
  <c r="W775" i="9"/>
  <c r="BY775" i="9" s="1"/>
  <c r="CB775" i="9"/>
  <c r="W764" i="9"/>
  <c r="BY764" i="9" s="1"/>
  <c r="CB764" i="9"/>
  <c r="BV787" i="9"/>
  <c r="W770" i="9"/>
  <c r="BY770" i="9" s="1"/>
  <c r="CB770" i="9"/>
  <c r="CB698" i="9"/>
  <c r="CB705" i="9"/>
  <c r="BV752" i="9"/>
  <c r="W752" i="9" s="1"/>
  <c r="BY752" i="9" s="1"/>
  <c r="CB703" i="9"/>
  <c r="CB704" i="9"/>
  <c r="W776" i="9"/>
  <c r="BY776" i="9" s="1"/>
  <c r="BV799" i="9"/>
  <c r="CB776" i="9"/>
  <c r="W771" i="9"/>
  <c r="BY771" i="9" s="1"/>
  <c r="BV794" i="9"/>
  <c r="CB771" i="9"/>
  <c r="W783" i="9"/>
  <c r="BY783" i="9" s="1"/>
  <c r="CB783" i="9"/>
  <c r="BV806" i="9"/>
  <c r="W768" i="9"/>
  <c r="BY768" i="9" s="1"/>
  <c r="BV791" i="9"/>
  <c r="CB768" i="9"/>
  <c r="W772" i="9"/>
  <c r="BY772" i="9" s="1"/>
  <c r="BV795" i="9"/>
  <c r="CB772" i="9"/>
  <c r="BV802" i="9"/>
  <c r="CB779" i="9"/>
  <c r="BV792" i="9"/>
  <c r="CB769" i="9"/>
  <c r="BI1049" i="9"/>
  <c r="BI1072" i="9" s="1"/>
  <c r="BJ1064" i="9"/>
  <c r="Y1064" i="9" s="1"/>
  <c r="CA1064" i="9" s="1"/>
  <c r="BI950" i="9"/>
  <c r="BI973" i="9" s="1"/>
  <c r="BI1058" i="9"/>
  <c r="BI1081" i="9" s="1"/>
  <c r="BH946" i="9"/>
  <c r="BH969" i="9" s="1"/>
  <c r="BG1064" i="9"/>
  <c r="BG1087" i="9" s="1"/>
  <c r="BG1049" i="9"/>
  <c r="BG1072" i="9" s="1"/>
  <c r="BF1046" i="9"/>
  <c r="BF1069" i="9" s="1"/>
  <c r="BF1057" i="9"/>
  <c r="BF1080" i="9" s="1"/>
  <c r="BE932" i="9"/>
  <c r="BE955" i="9" s="1"/>
  <c r="BE1054" i="9"/>
  <c r="BE1077" i="9" s="1"/>
  <c r="BD1054" i="9"/>
  <c r="BD1077" i="9" s="1"/>
  <c r="BC1047" i="9"/>
  <c r="BC1070" i="9" s="1"/>
  <c r="BC949" i="9"/>
  <c r="BC972" i="9" s="1"/>
  <c r="BB1055" i="9"/>
  <c r="BB1078" i="9" s="1"/>
  <c r="BA942" i="9"/>
  <c r="BA965" i="9" s="1"/>
  <c r="BA948" i="9"/>
  <c r="BA971" i="9" s="1"/>
  <c r="AZ1047" i="9"/>
  <c r="AZ1070" i="9" s="1"/>
  <c r="AZ943" i="9"/>
  <c r="AZ966" i="9" s="1"/>
  <c r="AY1051" i="9"/>
  <c r="AY1074" i="9" s="1"/>
  <c r="AX1064" i="9"/>
  <c r="X1064" i="9" s="1"/>
  <c r="BZ1064" i="9" s="1"/>
  <c r="AX1049" i="9"/>
  <c r="X1049" i="9" s="1"/>
  <c r="BZ1049" i="9" s="1"/>
  <c r="AW1057" i="9"/>
  <c r="AW1080" i="9" s="1"/>
  <c r="AW945" i="9"/>
  <c r="AW968" i="9" s="1"/>
  <c r="AV1056" i="9"/>
  <c r="AV1079" i="9" s="1"/>
  <c r="AV933" i="9"/>
  <c r="AV956" i="9" s="1"/>
  <c r="AU937" i="9"/>
  <c r="AU960" i="9" s="1"/>
  <c r="AU932" i="9"/>
  <c r="AU955" i="9" s="1"/>
  <c r="AT1052" i="9"/>
  <c r="AT1075" i="9" s="1"/>
  <c r="AS935" i="9"/>
  <c r="AS958" i="9" s="1"/>
  <c r="BJ1046" i="9"/>
  <c r="Y1046" i="9" s="1"/>
  <c r="CA1046" i="9" s="1"/>
  <c r="BJ949" i="9"/>
  <c r="Y949" i="9" s="1"/>
  <c r="CA949" i="9" s="1"/>
  <c r="BJ948" i="9"/>
  <c r="Y948" i="9" s="1"/>
  <c r="CA948" i="9" s="1"/>
  <c r="BI931" i="9"/>
  <c r="BI954" i="9" s="1"/>
  <c r="BI1065" i="9"/>
  <c r="BI1088" i="9" s="1"/>
  <c r="BH1051" i="9"/>
  <c r="BH1074" i="9" s="1"/>
  <c r="BH1060" i="9"/>
  <c r="BH1083" i="9" s="1"/>
  <c r="BG1050" i="9"/>
  <c r="BG1073" i="9" s="1"/>
  <c r="BG1059" i="9"/>
  <c r="BG1082" i="9" s="1"/>
  <c r="BF935" i="9"/>
  <c r="BF958" i="9" s="1"/>
  <c r="BF1051" i="9"/>
  <c r="BF1074" i="9" s="1"/>
  <c r="BE1062" i="9"/>
  <c r="BE1085" i="9" s="1"/>
  <c r="BE1050" i="9"/>
  <c r="BE1073" i="9" s="1"/>
  <c r="BD1052" i="9"/>
  <c r="BD1075" i="9" s="1"/>
  <c r="BD1048" i="9"/>
  <c r="BD1071" i="9" s="1"/>
  <c r="BC932" i="9"/>
  <c r="BC955" i="9" s="1"/>
  <c r="BC1050" i="9"/>
  <c r="BC1073" i="9" s="1"/>
  <c r="BB934" i="9"/>
  <c r="BB957" i="9" s="1"/>
  <c r="BB936" i="9"/>
  <c r="BB959" i="9" s="1"/>
  <c r="BA931" i="9"/>
  <c r="BA954" i="9" s="1"/>
  <c r="BA1054" i="9"/>
  <c r="BA1077" i="9" s="1"/>
  <c r="BA1058" i="9"/>
  <c r="BA1081" i="9" s="1"/>
  <c r="AZ1053" i="9"/>
  <c r="AZ1076" i="9" s="1"/>
  <c r="AZ947" i="9"/>
  <c r="AZ970" i="9" s="1"/>
  <c r="AY945" i="9"/>
  <c r="AY968" i="9" s="1"/>
  <c r="AY1055" i="9"/>
  <c r="AY1078" i="9" s="1"/>
  <c r="AX941" i="9"/>
  <c r="X941" i="9" s="1"/>
  <c r="BZ941" i="9" s="1"/>
  <c r="AX1063" i="9"/>
  <c r="X1063" i="9" s="1"/>
  <c r="BZ1063" i="9" s="1"/>
  <c r="AW1063" i="9"/>
  <c r="AW1086" i="9" s="1"/>
  <c r="AW950" i="9"/>
  <c r="AW973" i="9" s="1"/>
  <c r="AV1048" i="9"/>
  <c r="AV1071" i="9" s="1"/>
  <c r="AV945" i="9"/>
  <c r="AV968" i="9" s="1"/>
  <c r="AV946" i="9"/>
  <c r="AV969" i="9" s="1"/>
  <c r="AU1064" i="9"/>
  <c r="AU1087" i="9" s="1"/>
  <c r="AU1046" i="9"/>
  <c r="AU1069" i="9" s="1"/>
  <c r="AT947" i="9"/>
  <c r="AT970" i="9" s="1"/>
  <c r="AT946" i="9"/>
  <c r="AT969" i="9" s="1"/>
  <c r="AS1056" i="9"/>
  <c r="AS1079" i="9" s="1"/>
  <c r="AS1048" i="9"/>
  <c r="AS1071" i="9" s="1"/>
  <c r="AR941" i="9"/>
  <c r="AR964" i="9" s="1"/>
  <c r="AR943" i="9"/>
  <c r="AR966" i="9" s="1"/>
  <c r="AQ1052" i="9"/>
  <c r="AQ1075" i="9" s="1"/>
  <c r="AQ1050" i="9"/>
  <c r="AQ1073" i="9" s="1"/>
  <c r="AP942" i="9"/>
  <c r="AP965" i="9" s="1"/>
  <c r="AO946" i="9"/>
  <c r="AO969" i="9" s="1"/>
  <c r="AL949" i="9"/>
  <c r="W949" i="9" s="1"/>
  <c r="BY949" i="9" s="1"/>
  <c r="BV732" i="9"/>
  <c r="BV243" i="3"/>
  <c r="BJ939" i="9"/>
  <c r="Y939" i="9" s="1"/>
  <c r="CA939" i="9" s="1"/>
  <c r="BJ937" i="9"/>
  <c r="Y937" i="9" s="1"/>
  <c r="CA937" i="9" s="1"/>
  <c r="BJ1060" i="9"/>
  <c r="Y1060" i="9" s="1"/>
  <c r="CA1060" i="9" s="1"/>
  <c r="BJ1048" i="9"/>
  <c r="Y1048" i="9" s="1"/>
  <c r="CA1048" i="9" s="1"/>
  <c r="BJ1061" i="9"/>
  <c r="Y1061" i="9" s="1"/>
  <c r="CA1061" i="9" s="1"/>
  <c r="BI949" i="9"/>
  <c r="BI972" i="9" s="1"/>
  <c r="BI943" i="9"/>
  <c r="BI966" i="9" s="1"/>
  <c r="BI1048" i="9"/>
  <c r="BI1071" i="9" s="1"/>
  <c r="BI1053" i="9"/>
  <c r="BI1076" i="9" s="1"/>
  <c r="BI937" i="9"/>
  <c r="BI960" i="9" s="1"/>
  <c r="BH936" i="9"/>
  <c r="BH959" i="9" s="1"/>
  <c r="BH947" i="9"/>
  <c r="BH970" i="9" s="1"/>
  <c r="BH933" i="9"/>
  <c r="BH956" i="9" s="1"/>
  <c r="BH1052" i="9"/>
  <c r="BH1075" i="9" s="1"/>
  <c r="BH948" i="9"/>
  <c r="BH971" i="9" s="1"/>
  <c r="BG1048" i="9"/>
  <c r="BG1071" i="9" s="1"/>
  <c r="BG1051" i="9"/>
  <c r="BG1074" i="9" s="1"/>
  <c r="BG936" i="9"/>
  <c r="BG959" i="9" s="1"/>
  <c r="BG931" i="9"/>
  <c r="BG954" i="9" s="1"/>
  <c r="BG950" i="9"/>
  <c r="BG973" i="9" s="1"/>
  <c r="BF934" i="9"/>
  <c r="BF957" i="9" s="1"/>
  <c r="BF932" i="9"/>
  <c r="BF955" i="9" s="1"/>
  <c r="BF1064" i="9"/>
  <c r="BF1087" i="9" s="1"/>
  <c r="BF1047" i="9"/>
  <c r="BF1070" i="9" s="1"/>
  <c r="BF942" i="9"/>
  <c r="BF965" i="9" s="1"/>
  <c r="BE944" i="9"/>
  <c r="BE967" i="9" s="1"/>
  <c r="BE933" i="9"/>
  <c r="BE956" i="9" s="1"/>
  <c r="BE935" i="9"/>
  <c r="BE958" i="9" s="1"/>
  <c r="BE1063" i="9"/>
  <c r="BE1086" i="9" s="1"/>
  <c r="BE945" i="9"/>
  <c r="BE968" i="9" s="1"/>
  <c r="BD935" i="9"/>
  <c r="BD958" i="9" s="1"/>
  <c r="BD1064" i="9"/>
  <c r="BD1087" i="9" s="1"/>
  <c r="BD942" i="9"/>
  <c r="BD965" i="9" s="1"/>
  <c r="BD1058" i="9"/>
  <c r="BD1081" i="9" s="1"/>
  <c r="BD1053" i="9"/>
  <c r="BD1076" i="9" s="1"/>
  <c r="BC935" i="9"/>
  <c r="BC958" i="9" s="1"/>
  <c r="BC1052" i="9"/>
  <c r="BC1075" i="9" s="1"/>
  <c r="BC1058" i="9"/>
  <c r="BC1081" i="9" s="1"/>
  <c r="BC1060" i="9"/>
  <c r="BC1083" i="9" s="1"/>
  <c r="BC938" i="9"/>
  <c r="BC961" i="9" s="1"/>
  <c r="BB1053" i="9"/>
  <c r="BB1076" i="9" s="1"/>
  <c r="BB1061" i="9"/>
  <c r="BB1084" i="9" s="1"/>
  <c r="BB1048" i="9"/>
  <c r="BB1071" i="9" s="1"/>
  <c r="BB939" i="9"/>
  <c r="BB962" i="9" s="1"/>
  <c r="BB1056" i="9"/>
  <c r="BB1079" i="9" s="1"/>
  <c r="BA1050" i="9"/>
  <c r="BA1073" i="9" s="1"/>
  <c r="BA938" i="9"/>
  <c r="BA961" i="9" s="1"/>
  <c r="BA1064" i="9"/>
  <c r="BA1087" i="9" s="1"/>
  <c r="BA932" i="9"/>
  <c r="BA955" i="9" s="1"/>
  <c r="BA946" i="9"/>
  <c r="BA969" i="9" s="1"/>
  <c r="AZ932" i="9"/>
  <c r="AZ955" i="9" s="1"/>
  <c r="AZ1056" i="9"/>
  <c r="AZ1079" i="9" s="1"/>
  <c r="AZ1054" i="9"/>
  <c r="AZ1077" i="9" s="1"/>
  <c r="AZ944" i="9"/>
  <c r="AZ967" i="9" s="1"/>
  <c r="AZ1064" i="9"/>
  <c r="AZ1087" i="9" s="1"/>
  <c r="AY944" i="9"/>
  <c r="AY967" i="9" s="1"/>
  <c r="AY1065" i="9"/>
  <c r="AY1088" i="9" s="1"/>
  <c r="AY1061" i="9"/>
  <c r="AY1084" i="9" s="1"/>
  <c r="AY949" i="9"/>
  <c r="AY972" i="9" s="1"/>
  <c r="AY938" i="9"/>
  <c r="AY961" i="9" s="1"/>
  <c r="AX935" i="9"/>
  <c r="X935" i="9" s="1"/>
  <c r="BZ935" i="9" s="1"/>
  <c r="AX945" i="9"/>
  <c r="X945" i="9" s="1"/>
  <c r="BZ945" i="9" s="1"/>
  <c r="AX948" i="9"/>
  <c r="X948" i="9" s="1"/>
  <c r="BZ948" i="9" s="1"/>
  <c r="AX938" i="9"/>
  <c r="X938" i="9" s="1"/>
  <c r="BZ938" i="9" s="1"/>
  <c r="AX950" i="9"/>
  <c r="X950" i="9" s="1"/>
  <c r="BZ950" i="9" s="1"/>
  <c r="AW931" i="9"/>
  <c r="AW954" i="9" s="1"/>
  <c r="AW1065" i="9"/>
  <c r="AW1088" i="9" s="1"/>
  <c r="AW934" i="9"/>
  <c r="AW957" i="9" s="1"/>
  <c r="AW1049" i="9"/>
  <c r="AW1072" i="9" s="1"/>
  <c r="AW932" i="9"/>
  <c r="AW955" i="9" s="1"/>
  <c r="AV948" i="9"/>
  <c r="AV971" i="9" s="1"/>
  <c r="AV1051" i="9"/>
  <c r="AV1074" i="9" s="1"/>
  <c r="AV935" i="9"/>
  <c r="AV958" i="9" s="1"/>
  <c r="AV1058" i="9"/>
  <c r="AV1081" i="9" s="1"/>
  <c r="AV938" i="9"/>
  <c r="AV961" i="9" s="1"/>
  <c r="AU933" i="9"/>
  <c r="AU956" i="9" s="1"/>
  <c r="AU1052" i="9"/>
  <c r="AU1075" i="9" s="1"/>
  <c r="AU1057" i="9"/>
  <c r="AU1080" i="9" s="1"/>
  <c r="AU940" i="9"/>
  <c r="AU963" i="9" s="1"/>
  <c r="AU936" i="9"/>
  <c r="AU959" i="9" s="1"/>
  <c r="AT938" i="9"/>
  <c r="AT961" i="9" s="1"/>
  <c r="AT1054" i="9"/>
  <c r="AT1077" i="9" s="1"/>
  <c r="AT942" i="9"/>
  <c r="AT965" i="9" s="1"/>
  <c r="AT939" i="9"/>
  <c r="AT962" i="9" s="1"/>
  <c r="AT1053" i="9"/>
  <c r="AT1076" i="9" s="1"/>
  <c r="AS934" i="9"/>
  <c r="AS957" i="9" s="1"/>
  <c r="AS940" i="9"/>
  <c r="AS963" i="9" s="1"/>
  <c r="AS1051" i="9"/>
  <c r="AS1074" i="9" s="1"/>
  <c r="AS1060" i="9"/>
  <c r="AS1083" i="9" s="1"/>
  <c r="AS1049" i="9"/>
  <c r="AS1072" i="9" s="1"/>
  <c r="AR1054" i="9"/>
  <c r="AR1077" i="9" s="1"/>
  <c r="AR1060" i="9"/>
  <c r="AR1083" i="9" s="1"/>
  <c r="AR950" i="9"/>
  <c r="AR973" i="9" s="1"/>
  <c r="AR1053" i="9"/>
  <c r="AR1076" i="9" s="1"/>
  <c r="AR934" i="9"/>
  <c r="AR957" i="9" s="1"/>
  <c r="AQ940" i="9"/>
  <c r="AQ963" i="9" s="1"/>
  <c r="AQ1065" i="9"/>
  <c r="AQ1088" i="9" s="1"/>
  <c r="AQ1064" i="9"/>
  <c r="AQ1087" i="9" s="1"/>
  <c r="AQ946" i="9"/>
  <c r="AQ969" i="9" s="1"/>
  <c r="AQ1060" i="9"/>
  <c r="AQ1083" i="9" s="1"/>
  <c r="AP1051" i="9"/>
  <c r="AP1074" i="9" s="1"/>
  <c r="AP938" i="9"/>
  <c r="AP961" i="9" s="1"/>
  <c r="AP1063" i="9"/>
  <c r="AP1086" i="9" s="1"/>
  <c r="AP948" i="9"/>
  <c r="AP971" i="9" s="1"/>
  <c r="AP934" i="9"/>
  <c r="AP957" i="9" s="1"/>
  <c r="AO1058" i="9"/>
  <c r="AO1081" i="9" s="1"/>
  <c r="AO1063" i="9"/>
  <c r="AO1086" i="9" s="1"/>
  <c r="AO1059" i="9"/>
  <c r="AO1082" i="9" s="1"/>
  <c r="AO949" i="9"/>
  <c r="AO972" i="9" s="1"/>
  <c r="AO932" i="9"/>
  <c r="AO955" i="9" s="1"/>
  <c r="AN946" i="9"/>
  <c r="AN969" i="9" s="1"/>
  <c r="AN931" i="9"/>
  <c r="AN954" i="9" s="1"/>
  <c r="AN1047" i="9"/>
  <c r="AN1070" i="9" s="1"/>
  <c r="AN1056" i="9"/>
  <c r="AN1079" i="9" s="1"/>
  <c r="AN1062" i="9"/>
  <c r="AN1085" i="9" s="1"/>
  <c r="AM1063" i="9"/>
  <c r="AM1086" i="9" s="1"/>
  <c r="AM1054" i="9"/>
  <c r="AM1077" i="9" s="1"/>
  <c r="AM948" i="9"/>
  <c r="AM971" i="9" s="1"/>
  <c r="AM1057" i="9"/>
  <c r="AM1080" i="9" s="1"/>
  <c r="AM1055" i="9"/>
  <c r="AM1078" i="9" s="1"/>
  <c r="AL1059" i="9"/>
  <c r="W1059" i="9" s="1"/>
  <c r="BY1059" i="9" s="1"/>
  <c r="AL939" i="9"/>
  <c r="W939" i="9" s="1"/>
  <c r="BY939" i="9" s="1"/>
  <c r="AL1056" i="9"/>
  <c r="W1056" i="9" s="1"/>
  <c r="BY1056" i="9" s="1"/>
  <c r="AL933" i="9"/>
  <c r="W933" i="9" s="1"/>
  <c r="BY933" i="9" s="1"/>
  <c r="AL1049" i="9"/>
  <c r="W1049" i="9" s="1"/>
  <c r="BY1049" i="9" s="1"/>
  <c r="AK940" i="9"/>
  <c r="AK963" i="9" s="1"/>
  <c r="AK937" i="9"/>
  <c r="AK960" i="9" s="1"/>
  <c r="AK1062" i="9"/>
  <c r="AK1085" i="9" s="1"/>
  <c r="AK934" i="9"/>
  <c r="AK957" i="9" s="1"/>
  <c r="AK942" i="9"/>
  <c r="AK965" i="9" s="1"/>
  <c r="AJ1048" i="9"/>
  <c r="AJ1071" i="9" s="1"/>
  <c r="AJ1051" i="9"/>
  <c r="AJ1074" i="9" s="1"/>
  <c r="AJ1056" i="9"/>
  <c r="AJ1079" i="9" s="1"/>
  <c r="AJ944" i="9"/>
  <c r="AJ967" i="9" s="1"/>
  <c r="AJ1060" i="9"/>
  <c r="AJ1083" i="9" s="1"/>
  <c r="AI943" i="9"/>
  <c r="AI966" i="9" s="1"/>
  <c r="AI1051" i="9"/>
  <c r="AI1074" i="9" s="1"/>
  <c r="AI940" i="9"/>
  <c r="AI963" i="9" s="1"/>
  <c r="AI931" i="9"/>
  <c r="AI954" i="9" s="1"/>
  <c r="AI1062" i="9"/>
  <c r="AI1085" i="9" s="1"/>
  <c r="AH1056" i="9"/>
  <c r="AH1079" i="9" s="1"/>
  <c r="AH1063" i="9"/>
  <c r="AH1086" i="9" s="1"/>
  <c r="AH947" i="9"/>
  <c r="AH970" i="9" s="1"/>
  <c r="AH939" i="9"/>
  <c r="AH962" i="9" s="1"/>
  <c r="AH1047" i="9"/>
  <c r="AH1070" i="9" s="1"/>
  <c r="AG1063" i="9"/>
  <c r="AG1086" i="9" s="1"/>
  <c r="AG934" i="9"/>
  <c r="AG957" i="9" s="1"/>
  <c r="AG932" i="9"/>
  <c r="AG955" i="9" s="1"/>
  <c r="AG942" i="9"/>
  <c r="AG965" i="9" s="1"/>
  <c r="AG1054" i="9"/>
  <c r="AG1077" i="9" s="1"/>
  <c r="AF1063" i="9"/>
  <c r="AF1086" i="9" s="1"/>
  <c r="AF1052" i="9"/>
  <c r="AF1075" i="9" s="1"/>
  <c r="AF940" i="9"/>
  <c r="AF963" i="9" s="1"/>
  <c r="AF945" i="9"/>
  <c r="AF968" i="9" s="1"/>
  <c r="AF1060" i="9"/>
  <c r="AF1083" i="9" s="1"/>
  <c r="AE1052" i="9"/>
  <c r="AE1075" i="9" s="1"/>
  <c r="AE1061" i="9"/>
  <c r="AE1084" i="9" s="1"/>
  <c r="AE1049" i="9"/>
  <c r="AE1072" i="9" s="1"/>
  <c r="CB471" i="9"/>
  <c r="DC210" i="9"/>
  <c r="CB557" i="9"/>
  <c r="CB839" i="9" s="1"/>
  <c r="DC105" i="9"/>
  <c r="AE1047" i="9"/>
  <c r="AE1070" i="9" s="1"/>
  <c r="CB981" i="9"/>
  <c r="CB490" i="9"/>
  <c r="DC135" i="9"/>
  <c r="CB467" i="9"/>
  <c r="DC134" i="9"/>
  <c r="AE1054" i="9"/>
  <c r="AE1077" i="9" s="1"/>
  <c r="AE934" i="9"/>
  <c r="AE957" i="9" s="1"/>
  <c r="CB572" i="9"/>
  <c r="CB854" i="9" s="1"/>
  <c r="DC390" i="9"/>
  <c r="AE1055" i="9"/>
  <c r="AE1078" i="9" s="1"/>
  <c r="AE1057" i="9"/>
  <c r="AE1080" i="9" s="1"/>
  <c r="AD932" i="9"/>
  <c r="AD955" i="9" s="1"/>
  <c r="CB584" i="9"/>
  <c r="CB866" i="9" s="1"/>
  <c r="DC182" i="9"/>
  <c r="CB466" i="9"/>
  <c r="DC115" i="9"/>
  <c r="CB590" i="9"/>
  <c r="CB872" i="9" s="1"/>
  <c r="DC296" i="9"/>
  <c r="CB583" i="9"/>
  <c r="CB865" i="9" s="1"/>
  <c r="DC163" i="9"/>
  <c r="AD946" i="9"/>
  <c r="AD969" i="9" s="1"/>
  <c r="AC940" i="9"/>
  <c r="AC963" i="9" s="1"/>
  <c r="Y571" i="9"/>
  <c r="Y853" i="9" s="1"/>
  <c r="CA371" i="9"/>
  <c r="CA571" i="9" s="1"/>
  <c r="CA853" i="9" s="1"/>
  <c r="DB371" i="9"/>
  <c r="Y579" i="9"/>
  <c r="Y861" i="9" s="1"/>
  <c r="CA87" i="9"/>
  <c r="CA579" i="9" s="1"/>
  <c r="CA861" i="9" s="1"/>
  <c r="DB87" i="9"/>
  <c r="Y630" i="9"/>
  <c r="CA185" i="9"/>
  <c r="DB185" i="9"/>
  <c r="Y187" i="9"/>
  <c r="DB267" i="9"/>
  <c r="CA267" i="9"/>
  <c r="CA474" i="9" s="1"/>
  <c r="Y474" i="9"/>
  <c r="AC941" i="9"/>
  <c r="AC964" i="9" s="1"/>
  <c r="DB288" i="9"/>
  <c r="CA288" i="9"/>
  <c r="CA400" i="9"/>
  <c r="CA481" i="9" s="1"/>
  <c r="DB400" i="9"/>
  <c r="Y481" i="9"/>
  <c r="AC1048" i="9"/>
  <c r="AC1071" i="9" s="1"/>
  <c r="Y592" i="9"/>
  <c r="Y874" i="9" s="1"/>
  <c r="DB334" i="9"/>
  <c r="CA334" i="9"/>
  <c r="CA592" i="9" s="1"/>
  <c r="CA874" i="9" s="1"/>
  <c r="Y586" i="9"/>
  <c r="Y868" i="9" s="1"/>
  <c r="CA220" i="9"/>
  <c r="CA586" i="9" s="1"/>
  <c r="CA868" i="9" s="1"/>
  <c r="DB220" i="9"/>
  <c r="AC1054" i="9"/>
  <c r="AC1077" i="9" s="1"/>
  <c r="AC942" i="9"/>
  <c r="AC965" i="9" s="1"/>
  <c r="Y562" i="9"/>
  <c r="Y844" i="9" s="1"/>
  <c r="CA200" i="9"/>
  <c r="CA562" i="9" s="1"/>
  <c r="CA844" i="9" s="1"/>
  <c r="DB200" i="9"/>
  <c r="CA193" i="9"/>
  <c r="DB193" i="9"/>
  <c r="Y566" i="9"/>
  <c r="Y848" i="9" s="1"/>
  <c r="CA276" i="9"/>
  <c r="CA566" i="9" s="1"/>
  <c r="CA848" i="9" s="1"/>
  <c r="DB276" i="9"/>
  <c r="AC1046" i="9"/>
  <c r="AC1069" i="9" s="1"/>
  <c r="AC949" i="9"/>
  <c r="AC972" i="9" s="1"/>
  <c r="Y569" i="9"/>
  <c r="Y851" i="9" s="1"/>
  <c r="CA333" i="9"/>
  <c r="CA569" i="9" s="1"/>
  <c r="CA851" i="9" s="1"/>
  <c r="DB333" i="9"/>
  <c r="X478" i="9"/>
  <c r="DA343" i="9"/>
  <c r="BZ343" i="9"/>
  <c r="BZ478" i="9" s="1"/>
  <c r="X988" i="9"/>
  <c r="X497" i="9"/>
  <c r="BZ268" i="9"/>
  <c r="DA268" i="9"/>
  <c r="X982" i="9"/>
  <c r="X491" i="9"/>
  <c r="DA154" i="9"/>
  <c r="BZ154" i="9"/>
  <c r="AB938" i="9"/>
  <c r="AB961" i="9" s="1"/>
  <c r="X628" i="9"/>
  <c r="DA147" i="9"/>
  <c r="BZ147" i="9"/>
  <c r="X149" i="9"/>
  <c r="X636" i="9"/>
  <c r="BZ299" i="9"/>
  <c r="DA299" i="9"/>
  <c r="X301" i="9"/>
  <c r="BZ269" i="9"/>
  <c r="DA269" i="9"/>
  <c r="X584" i="9"/>
  <c r="X866" i="9" s="1"/>
  <c r="BZ182" i="9"/>
  <c r="BZ584" i="9" s="1"/>
  <c r="BZ866" i="9" s="1"/>
  <c r="DA182" i="9"/>
  <c r="AB1046" i="9"/>
  <c r="AB1069" i="9" s="1"/>
  <c r="X639" i="9"/>
  <c r="DA356" i="9"/>
  <c r="BZ356" i="9"/>
  <c r="X358" i="9"/>
  <c r="X555" i="9"/>
  <c r="X837" i="9" s="1"/>
  <c r="DA67" i="9"/>
  <c r="BZ67" i="9"/>
  <c r="BZ555" i="9" s="1"/>
  <c r="BZ837" i="9" s="1"/>
  <c r="X978" i="9"/>
  <c r="X487" i="9"/>
  <c r="DA78" i="9"/>
  <c r="BZ78" i="9"/>
  <c r="AB1051" i="9"/>
  <c r="AB1074" i="9" s="1"/>
  <c r="X477" i="9"/>
  <c r="DA324" i="9"/>
  <c r="BZ324" i="9"/>
  <c r="BZ477" i="9" s="1"/>
  <c r="X589" i="9"/>
  <c r="X871" i="9" s="1"/>
  <c r="BZ277" i="9"/>
  <c r="BZ589" i="9" s="1"/>
  <c r="BZ871" i="9" s="1"/>
  <c r="DA277" i="9"/>
  <c r="AB937" i="9"/>
  <c r="AB960" i="9" s="1"/>
  <c r="X985" i="9"/>
  <c r="X494" i="9"/>
  <c r="DA211" i="9"/>
  <c r="BZ211" i="9"/>
  <c r="BZ400" i="9"/>
  <c r="BZ481" i="9" s="1"/>
  <c r="DA400" i="9"/>
  <c r="X481" i="9"/>
  <c r="AB948" i="9"/>
  <c r="AB971" i="9" s="1"/>
  <c r="X594" i="9"/>
  <c r="X876" i="9" s="1"/>
  <c r="BZ372" i="9"/>
  <c r="BZ594" i="9" s="1"/>
  <c r="BZ876" i="9" s="1"/>
  <c r="DA372" i="9"/>
  <c r="X557" i="9"/>
  <c r="X839" i="9" s="1"/>
  <c r="BZ105" i="9"/>
  <c r="BZ557" i="9" s="1"/>
  <c r="BZ839" i="9" s="1"/>
  <c r="DA105" i="9"/>
  <c r="X591" i="9"/>
  <c r="X873" i="9" s="1"/>
  <c r="BZ315" i="9"/>
  <c r="BZ591" i="9" s="1"/>
  <c r="BZ873" i="9" s="1"/>
  <c r="DA315" i="9"/>
  <c r="X642" i="9"/>
  <c r="BZ413" i="9"/>
  <c r="DA413" i="9"/>
  <c r="X415" i="9"/>
  <c r="CZ345" i="9"/>
  <c r="BY345" i="9"/>
  <c r="AA939" i="9"/>
  <c r="AA962" i="9" s="1"/>
  <c r="CZ305" i="9"/>
  <c r="W476" i="9"/>
  <c r="BY305" i="9"/>
  <c r="BY476" i="9" s="1"/>
  <c r="W308" i="9"/>
  <c r="W589" i="9"/>
  <c r="W871" i="9" s="1"/>
  <c r="BY277" i="9"/>
  <c r="BY589" i="9" s="1"/>
  <c r="BY871" i="9" s="1"/>
  <c r="CZ277" i="9"/>
  <c r="W630" i="9"/>
  <c r="BY185" i="9"/>
  <c r="CZ185" i="9"/>
  <c r="W187" i="9"/>
  <c r="W463" i="9"/>
  <c r="BY58" i="9"/>
  <c r="BY463" i="9" s="1"/>
  <c r="CZ58" i="9"/>
  <c r="W61" i="9"/>
  <c r="W992" i="9"/>
  <c r="BY344" i="9"/>
  <c r="W501" i="9"/>
  <c r="CZ344" i="9"/>
  <c r="W559" i="9"/>
  <c r="W841" i="9" s="1"/>
  <c r="BY143" i="9"/>
  <c r="BY559" i="9" s="1"/>
  <c r="BY841" i="9" s="1"/>
  <c r="CZ143" i="9"/>
  <c r="W145" i="9"/>
  <c r="W573" i="9"/>
  <c r="W855" i="9" s="1"/>
  <c r="BY409" i="9"/>
  <c r="BY573" i="9" s="1"/>
  <c r="BY855" i="9" s="1"/>
  <c r="CZ409" i="9"/>
  <c r="W411" i="9"/>
  <c r="W471" i="9"/>
  <c r="BY210" i="9"/>
  <c r="BY471" i="9" s="1"/>
  <c r="CZ210" i="9"/>
  <c r="W213" i="9"/>
  <c r="AA1052" i="9"/>
  <c r="AA1075" i="9" s="1"/>
  <c r="W640" i="9"/>
  <c r="CZ375" i="9"/>
  <c r="BY375" i="9"/>
  <c r="W377" i="9"/>
  <c r="AA1050" i="9"/>
  <c r="AA1073" i="9" s="1"/>
  <c r="CZ212" i="9"/>
  <c r="BY212" i="9"/>
  <c r="W638" i="9"/>
  <c r="BY337" i="9"/>
  <c r="CZ337" i="9"/>
  <c r="W339" i="9"/>
  <c r="AA1053" i="9"/>
  <c r="AA1076" i="9" s="1"/>
  <c r="AA944" i="9"/>
  <c r="AA967" i="9" s="1"/>
  <c r="W464" i="9"/>
  <c r="BY77" i="9"/>
  <c r="BY464" i="9" s="1"/>
  <c r="CZ77" i="9"/>
  <c r="W80" i="9"/>
  <c r="BV758" i="9"/>
  <c r="W735" i="9"/>
  <c r="BY735" i="9" s="1"/>
  <c r="Y914" i="9"/>
  <c r="CA914" i="9" s="1"/>
  <c r="X927" i="9"/>
  <c r="BZ927" i="9" s="1"/>
  <c r="X925" i="9"/>
  <c r="BZ925" i="9" s="1"/>
  <c r="BV765" i="9"/>
  <c r="BV774" i="9"/>
  <c r="BI945" i="9"/>
  <c r="BI968" i="9" s="1"/>
  <c r="BG946" i="9"/>
  <c r="BG969" i="9" s="1"/>
  <c r="BF940" i="9"/>
  <c r="BF963" i="9" s="1"/>
  <c r="BE939" i="9"/>
  <c r="BE962" i="9" s="1"/>
  <c r="BC950" i="9"/>
  <c r="BC973" i="9" s="1"/>
  <c r="BB1057" i="9"/>
  <c r="BB1080" i="9" s="1"/>
  <c r="BA1053" i="9"/>
  <c r="BA1076" i="9" s="1"/>
  <c r="AZ939" i="9"/>
  <c r="AZ962" i="9" s="1"/>
  <c r="AY1048" i="9"/>
  <c r="AY1071" i="9" s="1"/>
  <c r="AX940" i="9"/>
  <c r="X940" i="9" s="1"/>
  <c r="BZ940" i="9" s="1"/>
  <c r="AW1051" i="9"/>
  <c r="AW1074" i="9" s="1"/>
  <c r="AW1052" i="9"/>
  <c r="AW1075" i="9" s="1"/>
  <c r="AW933" i="9"/>
  <c r="AW956" i="9" s="1"/>
  <c r="AW942" i="9"/>
  <c r="AW965" i="9" s="1"/>
  <c r="AV942" i="9"/>
  <c r="AV965" i="9" s="1"/>
  <c r="AV944" i="9"/>
  <c r="AV967" i="9" s="1"/>
  <c r="AV1052" i="9"/>
  <c r="AV1075" i="9" s="1"/>
  <c r="AU945" i="9"/>
  <c r="AU968" i="9" s="1"/>
  <c r="AU1059" i="9"/>
  <c r="AU1082" i="9" s="1"/>
  <c r="AU1048" i="9"/>
  <c r="AU1071" i="9" s="1"/>
  <c r="AU934" i="9"/>
  <c r="AU957" i="9" s="1"/>
  <c r="AU1056" i="9"/>
  <c r="AU1079" i="9" s="1"/>
  <c r="AT940" i="9"/>
  <c r="AT963" i="9" s="1"/>
  <c r="AT943" i="9"/>
  <c r="AT966" i="9" s="1"/>
  <c r="AT1064" i="9"/>
  <c r="AT1087" i="9" s="1"/>
  <c r="AT936" i="9"/>
  <c r="AT959" i="9" s="1"/>
  <c r="AT1062" i="9"/>
  <c r="AT1085" i="9" s="1"/>
  <c r="AS942" i="9"/>
  <c r="AS965" i="9" s="1"/>
  <c r="AS1057" i="9"/>
  <c r="AS1080" i="9" s="1"/>
  <c r="AS937" i="9"/>
  <c r="AS960" i="9" s="1"/>
  <c r="AS947" i="9"/>
  <c r="AS970" i="9" s="1"/>
  <c r="AS945" i="9"/>
  <c r="AS968" i="9" s="1"/>
  <c r="AR1062" i="9"/>
  <c r="AR1085" i="9" s="1"/>
  <c r="AR1059" i="9"/>
  <c r="AR1082" i="9" s="1"/>
  <c r="AR1064" i="9"/>
  <c r="AR1087" i="9" s="1"/>
  <c r="AR1058" i="9"/>
  <c r="AR1081" i="9" s="1"/>
  <c r="AR946" i="9"/>
  <c r="AR969" i="9" s="1"/>
  <c r="AQ949" i="9"/>
  <c r="AQ972" i="9" s="1"/>
  <c r="AQ938" i="9"/>
  <c r="AQ961" i="9" s="1"/>
  <c r="AQ937" i="9"/>
  <c r="AQ960" i="9" s="1"/>
  <c r="AQ931" i="9"/>
  <c r="AQ954" i="9" s="1"/>
  <c r="AQ1046" i="9"/>
  <c r="AQ1069" i="9" s="1"/>
  <c r="AP1062" i="9"/>
  <c r="AP1085" i="9" s="1"/>
  <c r="AP1054" i="9"/>
  <c r="AP1077" i="9" s="1"/>
  <c r="AP944" i="9"/>
  <c r="AP967" i="9" s="1"/>
  <c r="AP1046" i="9"/>
  <c r="AP1069" i="9" s="1"/>
  <c r="AP937" i="9"/>
  <c r="AP960" i="9" s="1"/>
  <c r="AO934" i="9"/>
  <c r="AO957" i="9" s="1"/>
  <c r="AO1064" i="9"/>
  <c r="AO1087" i="9" s="1"/>
  <c r="AO1048" i="9"/>
  <c r="AO1071" i="9" s="1"/>
  <c r="AO1050" i="9"/>
  <c r="AO1073" i="9" s="1"/>
  <c r="AO945" i="9"/>
  <c r="AO968" i="9" s="1"/>
  <c r="AN1051" i="9"/>
  <c r="AN1074" i="9" s="1"/>
  <c r="AN950" i="9"/>
  <c r="AN973" i="9" s="1"/>
  <c r="AN1063" i="9"/>
  <c r="AN1086" i="9" s="1"/>
  <c r="AN1057" i="9"/>
  <c r="AN1080" i="9" s="1"/>
  <c r="AN941" i="9"/>
  <c r="AN964" i="9" s="1"/>
  <c r="AM932" i="9"/>
  <c r="AM955" i="9" s="1"/>
  <c r="AM942" i="9"/>
  <c r="AM965" i="9" s="1"/>
  <c r="AM941" i="9"/>
  <c r="AM964" i="9" s="1"/>
  <c r="AM1048" i="9"/>
  <c r="AM1071" i="9" s="1"/>
  <c r="AM939" i="9"/>
  <c r="AM962" i="9" s="1"/>
  <c r="AL948" i="9"/>
  <c r="W948" i="9" s="1"/>
  <c r="BY948" i="9" s="1"/>
  <c r="AL938" i="9"/>
  <c r="W938" i="9" s="1"/>
  <c r="BY938" i="9" s="1"/>
  <c r="AL1046" i="9"/>
  <c r="W1046" i="9" s="1"/>
  <c r="BY1046" i="9" s="1"/>
  <c r="AL945" i="9"/>
  <c r="W945" i="9" s="1"/>
  <c r="BY945" i="9" s="1"/>
  <c r="AL936" i="9"/>
  <c r="W936" i="9" s="1"/>
  <c r="BY936" i="9" s="1"/>
  <c r="AK1046" i="9"/>
  <c r="AK1069" i="9" s="1"/>
  <c r="AK1058" i="9"/>
  <c r="AK1081" i="9" s="1"/>
  <c r="AK1063" i="9"/>
  <c r="AK1086" i="9" s="1"/>
  <c r="AK946" i="9"/>
  <c r="AK969" i="9" s="1"/>
  <c r="AK1057" i="9"/>
  <c r="AK1080" i="9" s="1"/>
  <c r="AJ940" i="9"/>
  <c r="AJ963" i="9" s="1"/>
  <c r="AJ932" i="9"/>
  <c r="AJ955" i="9" s="1"/>
  <c r="AJ1062" i="9"/>
  <c r="AJ1085" i="9" s="1"/>
  <c r="AJ1046" i="9"/>
  <c r="AJ1069" i="9" s="1"/>
  <c r="AJ934" i="9"/>
  <c r="AJ957" i="9" s="1"/>
  <c r="AI1065" i="9"/>
  <c r="AI1088" i="9" s="1"/>
  <c r="AI1058" i="9"/>
  <c r="AI1081" i="9" s="1"/>
  <c r="AI933" i="9"/>
  <c r="AI956" i="9" s="1"/>
  <c r="AI1056" i="9"/>
  <c r="AI1079" i="9" s="1"/>
  <c r="AI1054" i="9"/>
  <c r="AI1077" i="9" s="1"/>
  <c r="AH1049" i="9"/>
  <c r="AH1072" i="9" s="1"/>
  <c r="AH1060" i="9"/>
  <c r="AH1083" i="9" s="1"/>
  <c r="AH933" i="9"/>
  <c r="AH956" i="9" s="1"/>
  <c r="AH1055" i="9"/>
  <c r="AH1078" i="9" s="1"/>
  <c r="AH1050" i="9"/>
  <c r="AH1073" i="9" s="1"/>
  <c r="AG945" i="9"/>
  <c r="AG968" i="9" s="1"/>
  <c r="AG943" i="9"/>
  <c r="AG966" i="9" s="1"/>
  <c r="AG949" i="9"/>
  <c r="AG972" i="9" s="1"/>
  <c r="AG1049" i="9"/>
  <c r="AG1072" i="9" s="1"/>
  <c r="AG947" i="9"/>
  <c r="AG970" i="9" s="1"/>
  <c r="AF1062" i="9"/>
  <c r="AF1085" i="9" s="1"/>
  <c r="AF939" i="9"/>
  <c r="AF962" i="9" s="1"/>
  <c r="AF949" i="9"/>
  <c r="AF972" i="9" s="1"/>
  <c r="AF932" i="9"/>
  <c r="AF955" i="9" s="1"/>
  <c r="AF935" i="9"/>
  <c r="AF958" i="9" s="1"/>
  <c r="AE938" i="9"/>
  <c r="AE961" i="9" s="1"/>
  <c r="AE1063" i="9"/>
  <c r="AE1086" i="9" s="1"/>
  <c r="CB984" i="9"/>
  <c r="CB493" i="9"/>
  <c r="DC192" i="9"/>
  <c r="AE1058" i="9"/>
  <c r="AE1081" i="9" s="1"/>
  <c r="CB476" i="9"/>
  <c r="DC305" i="9"/>
  <c r="AE942" i="9"/>
  <c r="AE965" i="9" s="1"/>
  <c r="CB597" i="9"/>
  <c r="CB879" i="9" s="1"/>
  <c r="DC429" i="9"/>
  <c r="CB589" i="9"/>
  <c r="CB871" i="9" s="1"/>
  <c r="DC277" i="9"/>
  <c r="AE931" i="9"/>
  <c r="AE954" i="9" s="1"/>
  <c r="AD1057" i="9"/>
  <c r="AD1080" i="9" s="1"/>
  <c r="AD947" i="9"/>
  <c r="AD970" i="9" s="1"/>
  <c r="CB982" i="9"/>
  <c r="CB491" i="9"/>
  <c r="DC154" i="9"/>
  <c r="AD944" i="9"/>
  <c r="AD967" i="9" s="1"/>
  <c r="CB752" i="9"/>
  <c r="CB633" i="9"/>
  <c r="DC242" i="9"/>
  <c r="CB244" i="9"/>
  <c r="CB587" i="9"/>
  <c r="CB869" i="9" s="1"/>
  <c r="DC239" i="9"/>
  <c r="AD940" i="9"/>
  <c r="AD963" i="9" s="1"/>
  <c r="CB992" i="9"/>
  <c r="CB501" i="9"/>
  <c r="DC344" i="9"/>
  <c r="CB986" i="9"/>
  <c r="CB495" i="9"/>
  <c r="DC230" i="9"/>
  <c r="AD1056" i="9"/>
  <c r="AD1079" i="9" s="1"/>
  <c r="CB561" i="9"/>
  <c r="CB843" i="9" s="1"/>
  <c r="DC181" i="9"/>
  <c r="CB977" i="9"/>
  <c r="CB486" i="9"/>
  <c r="DC59" i="9"/>
  <c r="Y584" i="9"/>
  <c r="Y866" i="9" s="1"/>
  <c r="CA182" i="9"/>
  <c r="CA584" i="9" s="1"/>
  <c r="CA866" i="9" s="1"/>
  <c r="DB182" i="9"/>
  <c r="Y979" i="9"/>
  <c r="Y488" i="9"/>
  <c r="DB97" i="9"/>
  <c r="CA97" i="9"/>
  <c r="AC1056" i="9"/>
  <c r="AC1079" i="9" s="1"/>
  <c r="DB257" i="9"/>
  <c r="Y565" i="9"/>
  <c r="Y847" i="9" s="1"/>
  <c r="CA257" i="9"/>
  <c r="CA565" i="9" s="1"/>
  <c r="CA847" i="9" s="1"/>
  <c r="AC939" i="9"/>
  <c r="AC962" i="9" s="1"/>
  <c r="Y624" i="9"/>
  <c r="DB71" i="9"/>
  <c r="CA71" i="9"/>
  <c r="Y73" i="9"/>
  <c r="DB231" i="9"/>
  <c r="CA231" i="9"/>
  <c r="AC1062" i="9"/>
  <c r="AC1085" i="9" s="1"/>
  <c r="AC944" i="9"/>
  <c r="AC967" i="9" s="1"/>
  <c r="AC934" i="9"/>
  <c r="AC957" i="9" s="1"/>
  <c r="Y470" i="9"/>
  <c r="CA191" i="9"/>
  <c r="CA470" i="9" s="1"/>
  <c r="DB191" i="9"/>
  <c r="Y988" i="9"/>
  <c r="Y497" i="9"/>
  <c r="CA268" i="9"/>
  <c r="DB268" i="9"/>
  <c r="AC1047" i="9"/>
  <c r="AC1070" i="9" s="1"/>
  <c r="Y986" i="9"/>
  <c r="Y495" i="9"/>
  <c r="CA230" i="9"/>
  <c r="DB230" i="9"/>
  <c r="AC937" i="9"/>
  <c r="AC960" i="9" s="1"/>
  <c r="AC931" i="9"/>
  <c r="AC954" i="9" s="1"/>
  <c r="AC1051" i="9"/>
  <c r="AC1074" i="9" s="1"/>
  <c r="Y981" i="9"/>
  <c r="Y490" i="9"/>
  <c r="DB135" i="9"/>
  <c r="CA135" i="9"/>
  <c r="AC1061" i="9"/>
  <c r="AC1084" i="9" s="1"/>
  <c r="AC936" i="9"/>
  <c r="AC959" i="9" s="1"/>
  <c r="AC1049" i="9"/>
  <c r="AC1072" i="9" s="1"/>
  <c r="DB343" i="9"/>
  <c r="Y478" i="9"/>
  <c r="CA343" i="9"/>
  <c r="CA478" i="9" s="1"/>
  <c r="DA288" i="9"/>
  <c r="BZ288" i="9"/>
  <c r="X638" i="9"/>
  <c r="BZ337" i="9"/>
  <c r="DA337" i="9"/>
  <c r="X339" i="9"/>
  <c r="X581" i="9"/>
  <c r="X863" i="9" s="1"/>
  <c r="BZ125" i="9"/>
  <c r="BZ581" i="9" s="1"/>
  <c r="BZ863" i="9" s="1"/>
  <c r="DA125" i="9"/>
  <c r="X480" i="9"/>
  <c r="BZ381" i="9"/>
  <c r="BZ480" i="9" s="1"/>
  <c r="DA381" i="9"/>
  <c r="AB933" i="9"/>
  <c r="AB956" i="9" s="1"/>
  <c r="DA212" i="9"/>
  <c r="BZ212" i="9"/>
  <c r="X990" i="9"/>
  <c r="X499" i="9"/>
  <c r="DA306" i="9"/>
  <c r="BZ306" i="9"/>
  <c r="BZ250" i="9"/>
  <c r="DA250" i="9"/>
  <c r="AB1054" i="9"/>
  <c r="AB1077" i="9" s="1"/>
  <c r="AB949" i="9"/>
  <c r="AB972" i="9" s="1"/>
  <c r="X587" i="9"/>
  <c r="X869" i="9" s="1"/>
  <c r="BZ239" i="9"/>
  <c r="BZ587" i="9" s="1"/>
  <c r="BZ869" i="9" s="1"/>
  <c r="DA239" i="9"/>
  <c r="X987" i="9"/>
  <c r="X496" i="9"/>
  <c r="DA249" i="9"/>
  <c r="BZ249" i="9"/>
  <c r="DA326" i="9"/>
  <c r="BZ326" i="9"/>
  <c r="DA193" i="9"/>
  <c r="BZ193" i="9"/>
  <c r="X981" i="9"/>
  <c r="X490" i="9"/>
  <c r="BZ135" i="9"/>
  <c r="DA135" i="9"/>
  <c r="AB1065" i="9"/>
  <c r="AB1088" i="9" s="1"/>
  <c r="W990" i="9"/>
  <c r="W499" i="9"/>
  <c r="BY306" i="9"/>
  <c r="CZ306" i="9"/>
  <c r="W636" i="9"/>
  <c r="BY299" i="9"/>
  <c r="CZ299" i="9"/>
  <c r="W301" i="9"/>
  <c r="AA1059" i="9"/>
  <c r="AA1082" i="9" s="1"/>
  <c r="BY193" i="9"/>
  <c r="CZ193" i="9"/>
  <c r="AA945" i="9"/>
  <c r="AA968" i="9" s="1"/>
  <c r="AA943" i="9"/>
  <c r="AA966" i="9" s="1"/>
  <c r="CZ136" i="9"/>
  <c r="BY136" i="9"/>
  <c r="CZ250" i="9"/>
  <c r="BY250" i="9"/>
  <c r="AA933" i="9"/>
  <c r="AA956" i="9" s="1"/>
  <c r="W986" i="9"/>
  <c r="CZ230" i="9"/>
  <c r="W495" i="9"/>
  <c r="BY230" i="9"/>
  <c r="W642" i="9"/>
  <c r="BY413" i="9"/>
  <c r="CZ413" i="9"/>
  <c r="W415" i="9"/>
  <c r="W993" i="9"/>
  <c r="BY363" i="9"/>
  <c r="CZ363" i="9"/>
  <c r="W502" i="9"/>
  <c r="W478" i="9"/>
  <c r="CZ343" i="9"/>
  <c r="BY343" i="9"/>
  <c r="BY478" i="9" s="1"/>
  <c r="W346" i="9"/>
  <c r="AA1049" i="9"/>
  <c r="AA1072" i="9" s="1"/>
  <c r="W564" i="9"/>
  <c r="W846" i="9" s="1"/>
  <c r="BY238" i="9"/>
  <c r="BY564" i="9" s="1"/>
  <c r="BY846" i="9" s="1"/>
  <c r="CZ238" i="9"/>
  <c r="W240" i="9"/>
  <c r="AA946" i="9"/>
  <c r="AA969" i="9" s="1"/>
  <c r="W472" i="9"/>
  <c r="BY229" i="9"/>
  <c r="BY472" i="9" s="1"/>
  <c r="CZ229" i="9"/>
  <c r="W232" i="9"/>
  <c r="W570" i="9"/>
  <c r="W852" i="9" s="1"/>
  <c r="BY352" i="9"/>
  <c r="BY570" i="9" s="1"/>
  <c r="BY852" i="9" s="1"/>
  <c r="CZ352" i="9"/>
  <c r="W354" i="9"/>
  <c r="W639" i="9"/>
  <c r="BY356" i="9"/>
  <c r="CZ356" i="9"/>
  <c r="W358" i="9"/>
  <c r="BY326" i="9"/>
  <c r="CZ326" i="9"/>
  <c r="Y1023" i="9"/>
  <c r="CA1023" i="9" s="1"/>
  <c r="Y926" i="9"/>
  <c r="CA926" i="9" s="1"/>
  <c r="X918" i="9"/>
  <c r="BZ918" i="9" s="1"/>
  <c r="X912" i="9"/>
  <c r="BZ912" i="9" s="1"/>
  <c r="W910" i="9"/>
  <c r="BY910" i="9" s="1"/>
  <c r="W922" i="9"/>
  <c r="BY922" i="9" s="1"/>
  <c r="BV781" i="9"/>
  <c r="BV798" i="9"/>
  <c r="BV746" i="9"/>
  <c r="W723" i="9"/>
  <c r="BY723" i="9" s="1"/>
  <c r="BI1059" i="9"/>
  <c r="BI1082" i="9" s="1"/>
  <c r="BH1062" i="9"/>
  <c r="BH1085" i="9" s="1"/>
  <c r="BG1054" i="9"/>
  <c r="BG1077" i="9" s="1"/>
  <c r="BE948" i="9"/>
  <c r="BE971" i="9" s="1"/>
  <c r="BD934" i="9"/>
  <c r="BD957" i="9" s="1"/>
  <c r="BD1049" i="9"/>
  <c r="BD1072" i="9" s="1"/>
  <c r="BC939" i="9"/>
  <c r="BC962" i="9" s="1"/>
  <c r="BB935" i="9"/>
  <c r="BB958" i="9" s="1"/>
  <c r="BA935" i="9"/>
  <c r="BA958" i="9" s="1"/>
  <c r="AZ1050" i="9"/>
  <c r="AZ1073" i="9" s="1"/>
  <c r="AY947" i="9"/>
  <c r="AY970" i="9" s="1"/>
  <c r="AX942" i="9"/>
  <c r="X942" i="9" s="1"/>
  <c r="BZ942" i="9" s="1"/>
  <c r="AV1054" i="9"/>
  <c r="AV1077" i="9" s="1"/>
  <c r="BJ934" i="9"/>
  <c r="Y934" i="9" s="1"/>
  <c r="CA934" i="9" s="1"/>
  <c r="BI1047" i="9"/>
  <c r="BI1070" i="9" s="1"/>
  <c r="BH934" i="9"/>
  <c r="BH957" i="9" s="1"/>
  <c r="BG939" i="9"/>
  <c r="BG962" i="9" s="1"/>
  <c r="BF1058" i="9"/>
  <c r="BF1081" i="9" s="1"/>
  <c r="BE1051" i="9"/>
  <c r="BE1074" i="9" s="1"/>
  <c r="BD1061" i="9"/>
  <c r="BD1084" i="9" s="1"/>
  <c r="BB1054" i="9"/>
  <c r="BB1077" i="9" s="1"/>
  <c r="BA1049" i="9"/>
  <c r="BA1072" i="9" s="1"/>
  <c r="AZ1057" i="9"/>
  <c r="AZ1080" i="9" s="1"/>
  <c r="AY1050" i="9"/>
  <c r="AY1073" i="9" s="1"/>
  <c r="AX1059" i="9"/>
  <c r="X1059" i="9" s="1"/>
  <c r="BZ1059" i="9" s="1"/>
  <c r="AW935" i="9"/>
  <c r="AW958" i="9" s="1"/>
  <c r="AV941" i="9"/>
  <c r="AV964" i="9" s="1"/>
  <c r="AU946" i="9"/>
  <c r="AU969" i="9" s="1"/>
  <c r="AT1050" i="9"/>
  <c r="AT1073" i="9" s="1"/>
  <c r="AS1065" i="9"/>
  <c r="AS1088" i="9" s="1"/>
  <c r="AR948" i="9"/>
  <c r="AR971" i="9" s="1"/>
  <c r="AQ933" i="9"/>
  <c r="AQ956" i="9" s="1"/>
  <c r="AP1055" i="9"/>
  <c r="AP1078" i="9" s="1"/>
  <c r="AO944" i="9"/>
  <c r="AO967" i="9" s="1"/>
  <c r="AO943" i="9"/>
  <c r="AO966" i="9" s="1"/>
  <c r="AN937" i="9"/>
  <c r="AN960" i="9" s="1"/>
  <c r="AN1055" i="9"/>
  <c r="AN1078" i="9" s="1"/>
  <c r="AN939" i="9"/>
  <c r="AN962" i="9" s="1"/>
  <c r="AN949" i="9"/>
  <c r="AN972" i="9" s="1"/>
  <c r="AM1053" i="9"/>
  <c r="AM1076" i="9" s="1"/>
  <c r="AM1050" i="9"/>
  <c r="AM1073" i="9" s="1"/>
  <c r="AM1052" i="9"/>
  <c r="AM1075" i="9" s="1"/>
  <c r="AM949" i="9"/>
  <c r="AM972" i="9" s="1"/>
  <c r="AL1063" i="9"/>
  <c r="W1063" i="9" s="1"/>
  <c r="BY1063" i="9" s="1"/>
  <c r="AL1058" i="9"/>
  <c r="W1058" i="9" s="1"/>
  <c r="BY1058" i="9" s="1"/>
  <c r="AL1050" i="9"/>
  <c r="W1050" i="9" s="1"/>
  <c r="BY1050" i="9" s="1"/>
  <c r="AL1057" i="9"/>
  <c r="W1057" i="9" s="1"/>
  <c r="BY1057" i="9" s="1"/>
  <c r="AK931" i="9"/>
  <c r="AK954" i="9" s="1"/>
  <c r="AK1052" i="9"/>
  <c r="AK1075" i="9" s="1"/>
  <c r="AK1060" i="9"/>
  <c r="AK1083" i="9" s="1"/>
  <c r="AK1053" i="9"/>
  <c r="AK1076" i="9" s="1"/>
  <c r="AK1065" i="9"/>
  <c r="AK1088" i="9" s="1"/>
  <c r="AJ938" i="9"/>
  <c r="AJ961" i="9" s="1"/>
  <c r="AJ947" i="9"/>
  <c r="AJ970" i="9" s="1"/>
  <c r="AJ936" i="9"/>
  <c r="AJ959" i="9" s="1"/>
  <c r="AJ1064" i="9"/>
  <c r="AJ1087" i="9" s="1"/>
  <c r="AJ935" i="9"/>
  <c r="AJ958" i="9" s="1"/>
  <c r="AI1047" i="9"/>
  <c r="AI1070" i="9" s="1"/>
  <c r="AI937" i="9"/>
  <c r="AI960" i="9" s="1"/>
  <c r="AI1060" i="9"/>
  <c r="AI1083" i="9" s="1"/>
  <c r="AI934" i="9"/>
  <c r="AI957" i="9" s="1"/>
  <c r="AI1050" i="9"/>
  <c r="AI1073" i="9" s="1"/>
  <c r="AH1064" i="9"/>
  <c r="AH1087" i="9" s="1"/>
  <c r="AH1062" i="9"/>
  <c r="AH1085" i="9" s="1"/>
  <c r="AH1046" i="9"/>
  <c r="AH1069" i="9" s="1"/>
  <c r="AH938" i="9"/>
  <c r="AH961" i="9" s="1"/>
  <c r="AH1051" i="9"/>
  <c r="AH1074" i="9" s="1"/>
  <c r="AG946" i="9"/>
  <c r="AG969" i="9" s="1"/>
  <c r="AG1064" i="9"/>
  <c r="AG1087" i="9" s="1"/>
  <c r="AG940" i="9"/>
  <c r="AG963" i="9" s="1"/>
  <c r="AG939" i="9"/>
  <c r="AG962" i="9" s="1"/>
  <c r="AG941" i="9"/>
  <c r="AG964" i="9" s="1"/>
  <c r="AF1053" i="9"/>
  <c r="AF1076" i="9" s="1"/>
  <c r="AF938" i="9"/>
  <c r="AF961" i="9" s="1"/>
  <c r="AF1064" i="9"/>
  <c r="AF1087" i="9" s="1"/>
  <c r="AF1061" i="9"/>
  <c r="AF1084" i="9" s="1"/>
  <c r="AF1048" i="9"/>
  <c r="AF1071" i="9" s="1"/>
  <c r="CB558" i="9"/>
  <c r="CB840" i="9" s="1"/>
  <c r="DC124" i="9"/>
  <c r="AE1056" i="9"/>
  <c r="AE1079" i="9" s="1"/>
  <c r="CB588" i="9"/>
  <c r="CB870" i="9" s="1"/>
  <c r="DC258" i="9"/>
  <c r="CB563" i="9"/>
  <c r="CB845" i="9" s="1"/>
  <c r="DC219" i="9"/>
  <c r="AE1065" i="9"/>
  <c r="AE1088" i="9" s="1"/>
  <c r="AE933" i="9"/>
  <c r="AE956" i="9" s="1"/>
  <c r="AE945" i="9"/>
  <c r="AE968" i="9" s="1"/>
  <c r="CB639" i="9"/>
  <c r="DC356" i="9"/>
  <c r="CB358" i="9"/>
  <c r="DC248" i="9"/>
  <c r="CB473" i="9"/>
  <c r="AE1048" i="9"/>
  <c r="AE1071" i="9" s="1"/>
  <c r="CB627" i="9"/>
  <c r="DC128" i="9"/>
  <c r="CB130" i="9"/>
  <c r="AD1051" i="9"/>
  <c r="AD1074" i="9" s="1"/>
  <c r="AD936" i="9"/>
  <c r="AD959" i="9" s="1"/>
  <c r="CB626" i="9"/>
  <c r="DC109" i="9"/>
  <c r="CB111" i="9"/>
  <c r="CB579" i="9"/>
  <c r="CB861" i="9" s="1"/>
  <c r="DC87" i="9"/>
  <c r="AD943" i="9"/>
  <c r="AD966" i="9" s="1"/>
  <c r="CB1158" i="9"/>
  <c r="CB463" i="9"/>
  <c r="DC58" i="9"/>
  <c r="CB571" i="9"/>
  <c r="CB853" i="9" s="1"/>
  <c r="DC371" i="9"/>
  <c r="AD938" i="9"/>
  <c r="AD961" i="9" s="1"/>
  <c r="AD949" i="9"/>
  <c r="AD972" i="9" s="1"/>
  <c r="CB472" i="9"/>
  <c r="DC229" i="9"/>
  <c r="CB582" i="9"/>
  <c r="CB864" i="9" s="1"/>
  <c r="DC144" i="9"/>
  <c r="CB469" i="9"/>
  <c r="DC172" i="9"/>
  <c r="Y465" i="9"/>
  <c r="DB96" i="9"/>
  <c r="CA96" i="9"/>
  <c r="CA465" i="9" s="1"/>
  <c r="Y572" i="9"/>
  <c r="Y854" i="9" s="1"/>
  <c r="CA390" i="9"/>
  <c r="CA572" i="9" s="1"/>
  <c r="CA854" i="9" s="1"/>
  <c r="DB390" i="9"/>
  <c r="Y580" i="9"/>
  <c r="Y862" i="9" s="1"/>
  <c r="CA106" i="9"/>
  <c r="CA580" i="9" s="1"/>
  <c r="CA862" i="9" s="1"/>
  <c r="DB106" i="9"/>
  <c r="AC945" i="9"/>
  <c r="AC968" i="9" s="1"/>
  <c r="Y627" i="9"/>
  <c r="DB128" i="9"/>
  <c r="CA128" i="9"/>
  <c r="Y130" i="9"/>
  <c r="Y468" i="9"/>
  <c r="CA153" i="9"/>
  <c r="CA468" i="9" s="1"/>
  <c r="DB153" i="9"/>
  <c r="Y625" i="9"/>
  <c r="DB90" i="9"/>
  <c r="CA90" i="9"/>
  <c r="Y92" i="9"/>
  <c r="CA402" i="9"/>
  <c r="DB402" i="9"/>
  <c r="Y557" i="9"/>
  <c r="Y839" i="9" s="1"/>
  <c r="DB105" i="9"/>
  <c r="CA105" i="9"/>
  <c r="CA557" i="9" s="1"/>
  <c r="CA839" i="9" s="1"/>
  <c r="Y595" i="9"/>
  <c r="Y877" i="9" s="1"/>
  <c r="CA391" i="9"/>
  <c r="CA595" i="9" s="1"/>
  <c r="CA877" i="9" s="1"/>
  <c r="DB391" i="9"/>
  <c r="Y980" i="9"/>
  <c r="Y489" i="9"/>
  <c r="CA116" i="9"/>
  <c r="DB116" i="9"/>
  <c r="Y995" i="9"/>
  <c r="Y504" i="9"/>
  <c r="CA401" i="9"/>
  <c r="DB401" i="9"/>
  <c r="AC1065" i="9"/>
  <c r="AC1088" i="9" s="1"/>
  <c r="Y985" i="9"/>
  <c r="Y494" i="9"/>
  <c r="DB211" i="9"/>
  <c r="CA211" i="9"/>
  <c r="Y996" i="9"/>
  <c r="Y505" i="9"/>
  <c r="CA420" i="9"/>
  <c r="DB420" i="9"/>
  <c r="AB1050" i="9"/>
  <c r="AB1073" i="9" s="1"/>
  <c r="X470" i="9"/>
  <c r="DA191" i="9"/>
  <c r="BZ191" i="9"/>
  <c r="BZ470" i="9" s="1"/>
  <c r="X637" i="9"/>
  <c r="DA318" i="9"/>
  <c r="BZ318" i="9"/>
  <c r="X320" i="9"/>
  <c r="AB1053" i="9"/>
  <c r="AB1076" i="9" s="1"/>
  <c r="X567" i="9"/>
  <c r="X849" i="9" s="1"/>
  <c r="BZ295" i="9"/>
  <c r="BZ567" i="9" s="1"/>
  <c r="BZ849" i="9" s="1"/>
  <c r="DA295" i="9"/>
  <c r="DA181" i="9"/>
  <c r="X561" i="9"/>
  <c r="X843" i="9" s="1"/>
  <c r="BZ181" i="9"/>
  <c r="BZ561" i="9" s="1"/>
  <c r="BZ843" i="9" s="1"/>
  <c r="X643" i="9"/>
  <c r="BZ432" i="9"/>
  <c r="DA432" i="9"/>
  <c r="X434" i="9"/>
  <c r="X992" i="9"/>
  <c r="X501" i="9"/>
  <c r="BZ344" i="9"/>
  <c r="DA344" i="9"/>
  <c r="AB1061" i="9"/>
  <c r="AB1084" i="9" s="1"/>
  <c r="AB935" i="9"/>
  <c r="AB958" i="9" s="1"/>
  <c r="BZ174" i="9"/>
  <c r="DA174" i="9"/>
  <c r="X473" i="9"/>
  <c r="BZ248" i="9"/>
  <c r="BZ473" i="9" s="1"/>
  <c r="DA248" i="9"/>
  <c r="X573" i="9"/>
  <c r="X855" i="9" s="1"/>
  <c r="BZ409" i="9"/>
  <c r="BZ573" i="9" s="1"/>
  <c r="BZ855" i="9" s="1"/>
  <c r="DA409" i="9"/>
  <c r="X634" i="9"/>
  <c r="BZ261" i="9"/>
  <c r="DA261" i="9"/>
  <c r="X263" i="9"/>
  <c r="BZ345" i="9"/>
  <c r="DA345" i="9"/>
  <c r="X993" i="9"/>
  <c r="X502" i="9"/>
  <c r="DA363" i="9"/>
  <c r="BZ363" i="9"/>
  <c r="AB1049" i="9"/>
  <c r="AB1072" i="9" s="1"/>
  <c r="X627" i="9"/>
  <c r="BZ128" i="9"/>
  <c r="DA128" i="9"/>
  <c r="X130" i="9"/>
  <c r="X476" i="9"/>
  <c r="BZ305" i="9"/>
  <c r="BZ476" i="9" s="1"/>
  <c r="DA305" i="9"/>
  <c r="X641" i="9"/>
  <c r="BZ394" i="9"/>
  <c r="DA394" i="9"/>
  <c r="X396" i="9"/>
  <c r="BY269" i="9"/>
  <c r="CZ269" i="9"/>
  <c r="W980" i="9"/>
  <c r="W489" i="9"/>
  <c r="CZ116" i="9"/>
  <c r="BY116" i="9"/>
  <c r="W479" i="9"/>
  <c r="CZ362" i="9"/>
  <c r="BY362" i="9"/>
  <c r="BY479" i="9" s="1"/>
  <c r="W365" i="9"/>
  <c r="AA1056" i="9"/>
  <c r="AA1079" i="9" s="1"/>
  <c r="AA940" i="9"/>
  <c r="AA963" i="9" s="1"/>
  <c r="CZ60" i="9"/>
  <c r="BY60" i="9"/>
  <c r="W635" i="9"/>
  <c r="BY280" i="9"/>
  <c r="CZ280" i="9"/>
  <c r="W282" i="9"/>
  <c r="AA1057" i="9"/>
  <c r="AA1080" i="9" s="1"/>
  <c r="BY421" i="9"/>
  <c r="CZ421" i="9"/>
  <c r="W637" i="9"/>
  <c r="CZ318" i="9"/>
  <c r="BY318" i="9"/>
  <c r="W320" i="9"/>
  <c r="W561" i="9"/>
  <c r="W843" i="9" s="1"/>
  <c r="BY181" i="9"/>
  <c r="BY561" i="9" s="1"/>
  <c r="BY843" i="9" s="1"/>
  <c r="CZ181" i="9"/>
  <c r="W183" i="9"/>
  <c r="AA949" i="9"/>
  <c r="AA972" i="9" s="1"/>
  <c r="W473" i="9"/>
  <c r="BY248" i="9"/>
  <c r="BY473" i="9" s="1"/>
  <c r="CZ248" i="9"/>
  <c r="W251" i="9"/>
  <c r="W566" i="9"/>
  <c r="W848" i="9" s="1"/>
  <c r="BY276" i="9"/>
  <c r="BY566" i="9" s="1"/>
  <c r="BY848" i="9" s="1"/>
  <c r="CZ276" i="9"/>
  <c r="W278" i="9"/>
  <c r="AA1046" i="9"/>
  <c r="AA1069" i="9" s="1"/>
  <c r="W592" i="9"/>
  <c r="W874" i="9" s="1"/>
  <c r="BY334" i="9"/>
  <c r="BY592" i="9" s="1"/>
  <c r="BY874" i="9" s="1"/>
  <c r="CZ334" i="9"/>
  <c r="W582" i="9"/>
  <c r="W864" i="9" s="1"/>
  <c r="BY144" i="9"/>
  <c r="BY582" i="9" s="1"/>
  <c r="BY864" i="9" s="1"/>
  <c r="CZ144" i="9"/>
  <c r="CZ117" i="9"/>
  <c r="BY117" i="9"/>
  <c r="W481" i="9"/>
  <c r="BY400" i="9"/>
  <c r="BY481" i="9" s="1"/>
  <c r="CZ400" i="9"/>
  <c r="W403" i="9"/>
  <c r="W568" i="9"/>
  <c r="W850" i="9" s="1"/>
  <c r="BY314" i="9"/>
  <c r="BY568" i="9" s="1"/>
  <c r="BY850" i="9" s="1"/>
  <c r="CZ314" i="9"/>
  <c r="W316" i="9"/>
  <c r="W569" i="9"/>
  <c r="W851" i="9" s="1"/>
  <c r="CZ333" i="9"/>
  <c r="BY333" i="9"/>
  <c r="BY569" i="9" s="1"/>
  <c r="BY851" i="9" s="1"/>
  <c r="W335" i="9"/>
  <c r="Y1037" i="9"/>
  <c r="CA1037" i="9" s="1"/>
  <c r="X1026" i="9"/>
  <c r="BZ1026" i="9" s="1"/>
  <c r="W1027" i="9"/>
  <c r="BY1027" i="9" s="1"/>
  <c r="W925" i="9"/>
  <c r="BY925" i="9" s="1"/>
  <c r="W926" i="9"/>
  <c r="BY926" i="9" s="1"/>
  <c r="BV749" i="9"/>
  <c r="BV753" i="9"/>
  <c r="W730" i="9"/>
  <c r="BY730" i="9" s="1"/>
  <c r="BV754" i="9"/>
  <c r="BJ1049" i="9"/>
  <c r="Y1049" i="9" s="1"/>
  <c r="CA1049" i="9" s="1"/>
  <c r="BH939" i="9"/>
  <c r="BH962" i="9" s="1"/>
  <c r="BH942" i="9"/>
  <c r="BH965" i="9" s="1"/>
  <c r="BG1062" i="9"/>
  <c r="BG1085" i="9" s="1"/>
  <c r="BG1052" i="9"/>
  <c r="BG1075" i="9" s="1"/>
  <c r="BF1060" i="9"/>
  <c r="BF1083" i="9" s="1"/>
  <c r="BF1053" i="9"/>
  <c r="BF1076" i="9" s="1"/>
  <c r="BE943" i="9"/>
  <c r="BE966" i="9" s="1"/>
  <c r="BE1065" i="9"/>
  <c r="BE1088" i="9" s="1"/>
  <c r="BD938" i="9"/>
  <c r="BD961" i="9" s="1"/>
  <c r="BC1059" i="9"/>
  <c r="BC1082" i="9" s="1"/>
  <c r="BC943" i="9"/>
  <c r="BC966" i="9" s="1"/>
  <c r="BB937" i="9"/>
  <c r="BB960" i="9" s="1"/>
  <c r="BA937" i="9"/>
  <c r="BA960" i="9" s="1"/>
  <c r="BA1060" i="9"/>
  <c r="BA1083" i="9" s="1"/>
  <c r="AZ945" i="9"/>
  <c r="AZ968" i="9" s="1"/>
  <c r="AY941" i="9"/>
  <c r="AY964" i="9" s="1"/>
  <c r="AY1049" i="9"/>
  <c r="AY1072" i="9" s="1"/>
  <c r="AX1056" i="9"/>
  <c r="X1056" i="9" s="1"/>
  <c r="BZ1056" i="9" s="1"/>
  <c r="AX1054" i="9"/>
  <c r="X1054" i="9" s="1"/>
  <c r="BZ1054" i="9" s="1"/>
  <c r="AV1055" i="9"/>
  <c r="AV1078" i="9" s="1"/>
  <c r="BJ941" i="9"/>
  <c r="Y941" i="9" s="1"/>
  <c r="CA941" i="9" s="1"/>
  <c r="BJ1055" i="9"/>
  <c r="Y1055" i="9" s="1"/>
  <c r="CA1055" i="9" s="1"/>
  <c r="BI1062" i="9"/>
  <c r="BI1085" i="9" s="1"/>
  <c r="BI1063" i="9"/>
  <c r="BI1086" i="9" s="1"/>
  <c r="BH1054" i="9"/>
  <c r="BH1077" i="9" s="1"/>
  <c r="BH1059" i="9"/>
  <c r="BH1082" i="9" s="1"/>
  <c r="BG1046" i="9"/>
  <c r="BG1069" i="9" s="1"/>
  <c r="BG1058" i="9"/>
  <c r="BG1081" i="9" s="1"/>
  <c r="BF1061" i="9"/>
  <c r="BF1084" i="9" s="1"/>
  <c r="BF1059" i="9"/>
  <c r="BF1082" i="9" s="1"/>
  <c r="BE942" i="9"/>
  <c r="BE965" i="9" s="1"/>
  <c r="BE937" i="9"/>
  <c r="BE960" i="9" s="1"/>
  <c r="BD940" i="9"/>
  <c r="BD963" i="9" s="1"/>
  <c r="BD945" i="9"/>
  <c r="BD968" i="9" s="1"/>
  <c r="BD946" i="9"/>
  <c r="BD969" i="9" s="1"/>
  <c r="BC931" i="9"/>
  <c r="BC954" i="9" s="1"/>
  <c r="BC1063" i="9"/>
  <c r="BC1086" i="9" s="1"/>
  <c r="BB949" i="9"/>
  <c r="BB972" i="9" s="1"/>
  <c r="BB931" i="9"/>
  <c r="BB954" i="9" s="1"/>
  <c r="BA947" i="9"/>
  <c r="BA970" i="9" s="1"/>
  <c r="BA1047" i="9"/>
  <c r="BA1070" i="9" s="1"/>
  <c r="AZ1049" i="9"/>
  <c r="AZ1072" i="9" s="1"/>
  <c r="AZ933" i="9"/>
  <c r="AZ956" i="9" s="1"/>
  <c r="AY940" i="9"/>
  <c r="AY963" i="9" s="1"/>
  <c r="AY1063" i="9"/>
  <c r="AY1086" i="9" s="1"/>
  <c r="AX934" i="9"/>
  <c r="X934" i="9" s="1"/>
  <c r="BZ934" i="9" s="1"/>
  <c r="AX1051" i="9"/>
  <c r="X1051" i="9" s="1"/>
  <c r="BZ1051" i="9" s="1"/>
  <c r="AW1064" i="9"/>
  <c r="AW1087" i="9" s="1"/>
  <c r="AW1048" i="9"/>
  <c r="AW1071" i="9" s="1"/>
  <c r="AV1050" i="9"/>
  <c r="AV1073" i="9" s="1"/>
  <c r="AV943" i="9"/>
  <c r="AV966" i="9" s="1"/>
  <c r="AU1053" i="9"/>
  <c r="AU1076" i="9" s="1"/>
  <c r="AU1060" i="9"/>
  <c r="AU1083" i="9" s="1"/>
  <c r="AT931" i="9"/>
  <c r="AT954" i="9" s="1"/>
  <c r="AT950" i="9"/>
  <c r="AT973" i="9" s="1"/>
  <c r="AT1061" i="9"/>
  <c r="AT1084" i="9" s="1"/>
  <c r="AS1046" i="9"/>
  <c r="AS1069" i="9" s="1"/>
  <c r="AS1047" i="9"/>
  <c r="AS1070" i="9" s="1"/>
  <c r="AR933" i="9"/>
  <c r="AR956" i="9" s="1"/>
  <c r="AR1057" i="9"/>
  <c r="AR1080" i="9" s="1"/>
  <c r="AQ944" i="9"/>
  <c r="AQ967" i="9" s="1"/>
  <c r="AQ947" i="9"/>
  <c r="AQ970" i="9" s="1"/>
  <c r="AP1058" i="9"/>
  <c r="AP1081" i="9" s="1"/>
  <c r="AP1059" i="9"/>
  <c r="AP1082" i="9" s="1"/>
  <c r="AO1049" i="9"/>
  <c r="AO1072" i="9" s="1"/>
  <c r="AM1046" i="9"/>
  <c r="AM1069" i="9" s="1"/>
  <c r="BV727" i="9"/>
  <c r="BV238" i="3"/>
  <c r="BJ942" i="9"/>
  <c r="Y942" i="9" s="1"/>
  <c r="CA942" i="9" s="1"/>
  <c r="BJ1062" i="9"/>
  <c r="Y1062" i="9" s="1"/>
  <c r="CA1062" i="9" s="1"/>
  <c r="BJ935" i="9"/>
  <c r="Y935" i="9" s="1"/>
  <c r="CA935" i="9" s="1"/>
  <c r="BI1050" i="9"/>
  <c r="BI1073" i="9" s="1"/>
  <c r="BI938" i="9"/>
  <c r="BI961" i="9" s="1"/>
  <c r="BH1056" i="9"/>
  <c r="BH1079" i="9" s="1"/>
  <c r="BH932" i="9"/>
  <c r="BH955" i="9" s="1"/>
  <c r="BH931" i="9"/>
  <c r="BH954" i="9" s="1"/>
  <c r="BH1061" i="9"/>
  <c r="BH1084" i="9" s="1"/>
  <c r="BG942" i="9"/>
  <c r="BG965" i="9" s="1"/>
  <c r="BG1060" i="9"/>
  <c r="BG1083" i="9" s="1"/>
  <c r="BG1053" i="9"/>
  <c r="BG1076" i="9" s="1"/>
  <c r="BG1056" i="9"/>
  <c r="BG1079" i="9" s="1"/>
  <c r="BG947" i="9"/>
  <c r="BG970" i="9" s="1"/>
  <c r="BF1055" i="9"/>
  <c r="BF1078" i="9" s="1"/>
  <c r="BF947" i="9"/>
  <c r="BF970" i="9" s="1"/>
  <c r="BF937" i="9"/>
  <c r="BF960" i="9" s="1"/>
  <c r="BF933" i="9"/>
  <c r="BF956" i="9" s="1"/>
  <c r="BF939" i="9"/>
  <c r="BF962" i="9" s="1"/>
  <c r="BE949" i="9"/>
  <c r="BE972" i="9" s="1"/>
  <c r="BE1056" i="9"/>
  <c r="BE1079" i="9" s="1"/>
  <c r="BE1046" i="9"/>
  <c r="BE1069" i="9" s="1"/>
  <c r="BE1061" i="9"/>
  <c r="BE1084" i="9" s="1"/>
  <c r="BE950" i="9"/>
  <c r="BE973" i="9" s="1"/>
  <c r="BD939" i="9"/>
  <c r="BD962" i="9" s="1"/>
  <c r="BD1055" i="9"/>
  <c r="BD1078" i="9" s="1"/>
  <c r="BD937" i="9"/>
  <c r="BD960" i="9" s="1"/>
  <c r="BD948" i="9"/>
  <c r="BD971" i="9" s="1"/>
  <c r="BD933" i="9"/>
  <c r="BD956" i="9" s="1"/>
  <c r="BC1048" i="9"/>
  <c r="BC1071" i="9" s="1"/>
  <c r="BC946" i="9"/>
  <c r="BC969" i="9" s="1"/>
  <c r="BC933" i="9"/>
  <c r="BC956" i="9" s="1"/>
  <c r="BC947" i="9"/>
  <c r="BC970" i="9" s="1"/>
  <c r="BC945" i="9"/>
  <c r="BC968" i="9" s="1"/>
  <c r="BB944" i="9"/>
  <c r="BB967" i="9" s="1"/>
  <c r="BB933" i="9"/>
  <c r="BB956" i="9" s="1"/>
  <c r="BB1060" i="9"/>
  <c r="BB1083" i="9" s="1"/>
  <c r="BB1046" i="9"/>
  <c r="BB1069" i="9" s="1"/>
  <c r="BB1064" i="9"/>
  <c r="BB1087" i="9" s="1"/>
  <c r="BA944" i="9"/>
  <c r="BA967" i="9" s="1"/>
  <c r="BA941" i="9"/>
  <c r="BA964" i="9" s="1"/>
  <c r="BA939" i="9"/>
  <c r="BA962" i="9" s="1"/>
  <c r="BA1062" i="9"/>
  <c r="BA1085" i="9" s="1"/>
  <c r="BA1059" i="9"/>
  <c r="BA1082" i="9" s="1"/>
  <c r="AZ934" i="9"/>
  <c r="AZ957" i="9" s="1"/>
  <c r="AZ1055" i="9"/>
  <c r="AZ1078" i="9" s="1"/>
  <c r="AZ1065" i="9"/>
  <c r="AZ1088" i="9" s="1"/>
  <c r="AZ946" i="9"/>
  <c r="AZ969" i="9" s="1"/>
  <c r="AZ1052" i="9"/>
  <c r="AZ1075" i="9" s="1"/>
  <c r="AY936" i="9"/>
  <c r="AY959" i="9" s="1"/>
  <c r="AY937" i="9"/>
  <c r="AY960" i="9" s="1"/>
  <c r="AY1054" i="9"/>
  <c r="AY1077" i="9" s="1"/>
  <c r="AY1053" i="9"/>
  <c r="AY1076" i="9" s="1"/>
  <c r="AY932" i="9"/>
  <c r="AY955" i="9" s="1"/>
  <c r="AX933" i="9"/>
  <c r="X933" i="9" s="1"/>
  <c r="BZ933" i="9" s="1"/>
  <c r="AX939" i="9"/>
  <c r="X939" i="9" s="1"/>
  <c r="BZ939" i="9" s="1"/>
  <c r="AX1053" i="9"/>
  <c r="X1053" i="9" s="1"/>
  <c r="BZ1053" i="9" s="1"/>
  <c r="AX936" i="9"/>
  <c r="X936" i="9" s="1"/>
  <c r="BZ936" i="9" s="1"/>
  <c r="AX937" i="9"/>
  <c r="X937" i="9" s="1"/>
  <c r="BZ937" i="9" s="1"/>
  <c r="AW1062" i="9"/>
  <c r="AW1085" i="9" s="1"/>
  <c r="AW1050" i="9"/>
  <c r="AW1073" i="9" s="1"/>
  <c r="AW1047" i="9"/>
  <c r="AW1070" i="9" s="1"/>
  <c r="AW1059" i="9"/>
  <c r="AW1082" i="9" s="1"/>
  <c r="AW948" i="9"/>
  <c r="AW971" i="9" s="1"/>
  <c r="AV947" i="9"/>
  <c r="AV970" i="9" s="1"/>
  <c r="AV949" i="9"/>
  <c r="AV972" i="9" s="1"/>
  <c r="AV1047" i="9"/>
  <c r="AV1070" i="9" s="1"/>
  <c r="AV932" i="9"/>
  <c r="AV955" i="9" s="1"/>
  <c r="AV1062" i="9"/>
  <c r="AV1085" i="9" s="1"/>
  <c r="AU1058" i="9"/>
  <c r="AU1081" i="9" s="1"/>
  <c r="AU943" i="9"/>
  <c r="AU966" i="9" s="1"/>
  <c r="AU938" i="9"/>
  <c r="AU961" i="9" s="1"/>
  <c r="AU941" i="9"/>
  <c r="AU964" i="9" s="1"/>
  <c r="AU949" i="9"/>
  <c r="AU972" i="9" s="1"/>
  <c r="AT1055" i="9"/>
  <c r="AT1078" i="9" s="1"/>
  <c r="AT934" i="9"/>
  <c r="AT957" i="9" s="1"/>
  <c r="AT1060" i="9"/>
  <c r="AT1083" i="9" s="1"/>
  <c r="AT1059" i="9"/>
  <c r="AT1082" i="9" s="1"/>
  <c r="AT941" i="9"/>
  <c r="AT964" i="9" s="1"/>
  <c r="AS948" i="9"/>
  <c r="AS971" i="9" s="1"/>
  <c r="AS941" i="9"/>
  <c r="AS964" i="9" s="1"/>
  <c r="AS938" i="9"/>
  <c r="AS961" i="9" s="1"/>
  <c r="AS1055" i="9"/>
  <c r="AS1078" i="9" s="1"/>
  <c r="AS933" i="9"/>
  <c r="AS956" i="9" s="1"/>
  <c r="AR1056" i="9"/>
  <c r="AR1079" i="9" s="1"/>
  <c r="AR1049" i="9"/>
  <c r="AR1072" i="9" s="1"/>
  <c r="AR935" i="9"/>
  <c r="AR958" i="9" s="1"/>
  <c r="AR1063" i="9"/>
  <c r="AR1086" i="9" s="1"/>
  <c r="AR936" i="9"/>
  <c r="AR959" i="9" s="1"/>
  <c r="AQ948" i="9"/>
  <c r="AQ971" i="9" s="1"/>
  <c r="AQ932" i="9"/>
  <c r="AQ955" i="9" s="1"/>
  <c r="AQ1051" i="9"/>
  <c r="AQ1074" i="9" s="1"/>
  <c r="AQ1059" i="9"/>
  <c r="AQ1082" i="9" s="1"/>
  <c r="AQ1055" i="9"/>
  <c r="AQ1078" i="9" s="1"/>
  <c r="AP1065" i="9"/>
  <c r="AP1088" i="9" s="1"/>
  <c r="AP939" i="9"/>
  <c r="AP962" i="9" s="1"/>
  <c r="AP1053" i="9"/>
  <c r="AP1076" i="9" s="1"/>
  <c r="AP1056" i="9"/>
  <c r="AP1079" i="9" s="1"/>
  <c r="AP1047" i="9"/>
  <c r="AP1070" i="9" s="1"/>
  <c r="AO1065" i="9"/>
  <c r="AO1088" i="9" s="1"/>
  <c r="AO1052" i="9"/>
  <c r="AO1075" i="9" s="1"/>
  <c r="AO1062" i="9"/>
  <c r="AO1085" i="9" s="1"/>
  <c r="AO1055" i="9"/>
  <c r="AO1078" i="9" s="1"/>
  <c r="AO1060" i="9"/>
  <c r="AO1083" i="9" s="1"/>
  <c r="AN1060" i="9"/>
  <c r="AN1083" i="9" s="1"/>
  <c r="AN935" i="9"/>
  <c r="AN958" i="9" s="1"/>
  <c r="AN933" i="9"/>
  <c r="AN956" i="9" s="1"/>
  <c r="AN1049" i="9"/>
  <c r="AN1072" i="9" s="1"/>
  <c r="AN1053" i="9"/>
  <c r="AN1076" i="9" s="1"/>
  <c r="AM1058" i="9"/>
  <c r="AM1081" i="9" s="1"/>
  <c r="AM1060" i="9"/>
  <c r="AM1083" i="9" s="1"/>
  <c r="AM950" i="9"/>
  <c r="AM973" i="9" s="1"/>
  <c r="AM1051" i="9"/>
  <c r="AM1074" i="9" s="1"/>
  <c r="AM938" i="9"/>
  <c r="AM961" i="9" s="1"/>
  <c r="AL941" i="9"/>
  <c r="W941" i="9" s="1"/>
  <c r="BY941" i="9" s="1"/>
  <c r="AL1053" i="9"/>
  <c r="W1053" i="9" s="1"/>
  <c r="BY1053" i="9" s="1"/>
  <c r="AL935" i="9"/>
  <c r="W935" i="9" s="1"/>
  <c r="BY935" i="9" s="1"/>
  <c r="AL1060" i="9"/>
  <c r="W1060" i="9" s="1"/>
  <c r="BY1060" i="9" s="1"/>
  <c r="AL950" i="9"/>
  <c r="W950" i="9" s="1"/>
  <c r="BY950" i="9" s="1"/>
  <c r="AK1048" i="9"/>
  <c r="AK1071" i="9" s="1"/>
  <c r="AK932" i="9"/>
  <c r="AK955" i="9" s="1"/>
  <c r="AK1054" i="9"/>
  <c r="AK1077" i="9" s="1"/>
  <c r="AK943" i="9"/>
  <c r="AK966" i="9" s="1"/>
  <c r="AK1059" i="9"/>
  <c r="AK1082" i="9" s="1"/>
  <c r="AJ1058" i="9"/>
  <c r="AJ1081" i="9" s="1"/>
  <c r="AJ937" i="9"/>
  <c r="AJ960" i="9" s="1"/>
  <c r="AJ943" i="9"/>
  <c r="AJ966" i="9" s="1"/>
  <c r="AJ941" i="9"/>
  <c r="AJ964" i="9" s="1"/>
  <c r="AJ1047" i="9"/>
  <c r="AJ1070" i="9" s="1"/>
  <c r="AI935" i="9"/>
  <c r="AI958" i="9" s="1"/>
  <c r="AI1061" i="9"/>
  <c r="AI1084" i="9" s="1"/>
  <c r="AI942" i="9"/>
  <c r="AI965" i="9" s="1"/>
  <c r="AI948" i="9"/>
  <c r="AI971" i="9" s="1"/>
  <c r="AI936" i="9"/>
  <c r="AI959" i="9" s="1"/>
  <c r="AH948" i="9"/>
  <c r="AH971" i="9" s="1"/>
  <c r="AH937" i="9"/>
  <c r="AH960" i="9" s="1"/>
  <c r="AH940" i="9"/>
  <c r="AH963" i="9" s="1"/>
  <c r="AH945" i="9"/>
  <c r="AH968" i="9" s="1"/>
  <c r="AH941" i="9"/>
  <c r="AH964" i="9" s="1"/>
  <c r="AG1046" i="9"/>
  <c r="AG1069" i="9" s="1"/>
  <c r="AG1061" i="9"/>
  <c r="AG1084" i="9" s="1"/>
  <c r="AG935" i="9"/>
  <c r="AG958" i="9" s="1"/>
  <c r="AG933" i="9"/>
  <c r="AG956" i="9" s="1"/>
  <c r="AG931" i="9"/>
  <c r="AG954" i="9" s="1"/>
  <c r="AF1057" i="9"/>
  <c r="AF1080" i="9" s="1"/>
  <c r="AF933" i="9"/>
  <c r="AF956" i="9" s="1"/>
  <c r="AF937" i="9"/>
  <c r="AF960" i="9" s="1"/>
  <c r="AF1058" i="9"/>
  <c r="AF1081" i="9" s="1"/>
  <c r="AF1050" i="9"/>
  <c r="AF1073" i="9" s="1"/>
  <c r="CB978" i="9"/>
  <c r="CB487" i="9"/>
  <c r="DC78" i="9"/>
  <c r="CB628" i="9"/>
  <c r="DC147" i="9"/>
  <c r="CB149" i="9"/>
  <c r="AE935" i="9"/>
  <c r="AE958" i="9" s="1"/>
  <c r="AE937" i="9"/>
  <c r="AE960" i="9" s="1"/>
  <c r="DC428" i="9"/>
  <c r="CB574" i="9"/>
  <c r="CB856" i="9" s="1"/>
  <c r="CB637" i="9"/>
  <c r="DC318" i="9"/>
  <c r="CB320" i="9"/>
  <c r="AE932" i="9"/>
  <c r="AE955" i="9" s="1"/>
  <c r="CB995" i="9"/>
  <c r="CB504" i="9"/>
  <c r="DC401" i="9"/>
  <c r="CB470" i="9"/>
  <c r="DC191" i="9"/>
  <c r="DC324" i="9"/>
  <c r="CB477" i="9"/>
  <c r="AD1062" i="9"/>
  <c r="AD1085" i="9" s="1"/>
  <c r="CB468" i="9"/>
  <c r="DC153" i="9"/>
  <c r="CB595" i="9"/>
  <c r="CB877" i="9" s="1"/>
  <c r="DC391" i="9"/>
  <c r="CB638" i="9"/>
  <c r="DC337" i="9"/>
  <c r="CB339" i="9"/>
  <c r="CB988" i="9"/>
  <c r="CB497" i="9"/>
  <c r="DC268" i="9"/>
  <c r="CB632" i="9"/>
  <c r="DC223" i="9"/>
  <c r="CB225" i="9"/>
  <c r="AD942" i="9"/>
  <c r="AD965" i="9" s="1"/>
  <c r="AD1046" i="9"/>
  <c r="AD1069" i="9" s="1"/>
  <c r="AD1063" i="9"/>
  <c r="AD1086" i="9" s="1"/>
  <c r="AD1054" i="9"/>
  <c r="AD1077" i="9" s="1"/>
  <c r="AD1060" i="9"/>
  <c r="AD1083" i="9" s="1"/>
  <c r="AD1058" i="9"/>
  <c r="AD1081" i="9" s="1"/>
  <c r="CB464" i="9"/>
  <c r="DC77" i="9"/>
  <c r="AC946" i="9"/>
  <c r="AC969" i="9" s="1"/>
  <c r="Y568" i="9"/>
  <c r="Y850" i="9" s="1"/>
  <c r="DB314" i="9"/>
  <c r="CA314" i="9"/>
  <c r="CA568" i="9" s="1"/>
  <c r="CA850" i="9" s="1"/>
  <c r="Y588" i="9"/>
  <c r="Y870" i="9" s="1"/>
  <c r="CA258" i="9"/>
  <c r="CA588" i="9" s="1"/>
  <c r="CA870" i="9" s="1"/>
  <c r="DB258" i="9"/>
  <c r="AC1050" i="9"/>
  <c r="AC1073" i="9" s="1"/>
  <c r="CA364" i="9"/>
  <c r="DB364" i="9"/>
  <c r="Y629" i="9"/>
  <c r="DB166" i="9"/>
  <c r="CA166" i="9"/>
  <c r="Y168" i="9"/>
  <c r="Y589" i="9"/>
  <c r="Y871" i="9" s="1"/>
  <c r="CA277" i="9"/>
  <c r="CA589" i="9" s="1"/>
  <c r="CA871" i="9" s="1"/>
  <c r="DB277" i="9"/>
  <c r="Y990" i="9"/>
  <c r="Y499" i="9"/>
  <c r="DB306" i="9"/>
  <c r="CA306" i="9"/>
  <c r="Y578" i="9"/>
  <c r="Y860" i="9" s="1"/>
  <c r="DB68" i="9"/>
  <c r="CA68" i="9"/>
  <c r="CA578" i="9" s="1"/>
  <c r="CA860" i="9" s="1"/>
  <c r="Y994" i="9"/>
  <c r="Y503" i="9"/>
  <c r="DB382" i="9"/>
  <c r="CA382" i="9"/>
  <c r="Y570" i="9"/>
  <c r="Y852" i="9" s="1"/>
  <c r="CA352" i="9"/>
  <c r="CA570" i="9" s="1"/>
  <c r="CA852" i="9" s="1"/>
  <c r="DB352" i="9"/>
  <c r="CA326" i="9"/>
  <c r="DB326" i="9"/>
  <c r="Y642" i="9"/>
  <c r="CA413" i="9"/>
  <c r="DB413" i="9"/>
  <c r="Y415" i="9"/>
  <c r="Y640" i="9"/>
  <c r="DB375" i="9"/>
  <c r="CA375" i="9"/>
  <c r="Y377" i="9"/>
  <c r="Y993" i="9"/>
  <c r="Y502" i="9"/>
  <c r="CA363" i="9"/>
  <c r="DB363" i="9"/>
  <c r="Y596" i="9"/>
  <c r="Y878" i="9" s="1"/>
  <c r="CA410" i="9"/>
  <c r="CA596" i="9" s="1"/>
  <c r="CA878" i="9" s="1"/>
  <c r="DB410" i="9"/>
  <c r="Y463" i="9"/>
  <c r="DB58" i="9"/>
  <c r="CA58" i="9"/>
  <c r="CA463" i="9" s="1"/>
  <c r="Y559" i="9"/>
  <c r="Y841" i="9" s="1"/>
  <c r="CA143" i="9"/>
  <c r="CA559" i="9" s="1"/>
  <c r="CA841" i="9" s="1"/>
  <c r="DB143" i="9"/>
  <c r="Y643" i="9"/>
  <c r="CA432" i="9"/>
  <c r="DB432" i="9"/>
  <c r="Y434" i="9"/>
  <c r="AC1060" i="9"/>
  <c r="AC1083" i="9" s="1"/>
  <c r="Y464" i="9"/>
  <c r="DB77" i="9"/>
  <c r="CA77" i="9"/>
  <c r="CA464" i="9" s="1"/>
  <c r="DB421" i="9"/>
  <c r="CA421" i="9"/>
  <c r="Y992" i="9"/>
  <c r="Y501" i="9"/>
  <c r="DB344" i="9"/>
  <c r="CA344" i="9"/>
  <c r="Y590" i="9"/>
  <c r="Y872" i="9" s="1"/>
  <c r="DB296" i="9"/>
  <c r="CA296" i="9"/>
  <c r="CA590" i="9" s="1"/>
  <c r="CA872" i="9" s="1"/>
  <c r="X977" i="9"/>
  <c r="X486" i="9"/>
  <c r="BZ59" i="9"/>
  <c r="DA59" i="9"/>
  <c r="AB940" i="9"/>
  <c r="AB963" i="9" s="1"/>
  <c r="AB931" i="9"/>
  <c r="AB954" i="9" s="1"/>
  <c r="X583" i="9"/>
  <c r="X865" i="9" s="1"/>
  <c r="BZ163" i="9"/>
  <c r="BZ583" i="9" s="1"/>
  <c r="BZ865" i="9" s="1"/>
  <c r="DA163" i="9"/>
  <c r="X590" i="9"/>
  <c r="X872" i="9" s="1"/>
  <c r="DA296" i="9"/>
  <c r="BZ296" i="9"/>
  <c r="BZ590" i="9" s="1"/>
  <c r="BZ872" i="9" s="1"/>
  <c r="X556" i="9"/>
  <c r="X838" i="9" s="1"/>
  <c r="DA86" i="9"/>
  <c r="BZ86" i="9"/>
  <c r="BZ556" i="9" s="1"/>
  <c r="BZ838" i="9" s="1"/>
  <c r="AB1058" i="9"/>
  <c r="AB1081" i="9" s="1"/>
  <c r="X559" i="9"/>
  <c r="X841" i="9" s="1"/>
  <c r="BZ143" i="9"/>
  <c r="BZ559" i="9" s="1"/>
  <c r="BZ841" i="9" s="1"/>
  <c r="DA143" i="9"/>
  <c r="AB1057" i="9"/>
  <c r="AB1080" i="9" s="1"/>
  <c r="X626" i="9"/>
  <c r="DA109" i="9"/>
  <c r="BZ109" i="9"/>
  <c r="X111" i="9"/>
  <c r="AB944" i="9"/>
  <c r="AB967" i="9" s="1"/>
  <c r="X595" i="9"/>
  <c r="X877" i="9" s="1"/>
  <c r="BZ391" i="9"/>
  <c r="BZ595" i="9" s="1"/>
  <c r="BZ877" i="9" s="1"/>
  <c r="DA391" i="9"/>
  <c r="X989" i="9"/>
  <c r="X498" i="9"/>
  <c r="BZ287" i="9"/>
  <c r="DA287" i="9"/>
  <c r="X624" i="9"/>
  <c r="BZ71" i="9"/>
  <c r="DA71" i="9"/>
  <c r="X73" i="9"/>
  <c r="X991" i="9"/>
  <c r="X500" i="9"/>
  <c r="BZ325" i="9"/>
  <c r="DA325" i="9"/>
  <c r="X979" i="9"/>
  <c r="X488" i="9"/>
  <c r="DA97" i="9"/>
  <c r="BZ97" i="9"/>
  <c r="X568" i="9"/>
  <c r="X850" i="9" s="1"/>
  <c r="DA314" i="9"/>
  <c r="BZ314" i="9"/>
  <c r="BZ568" i="9" s="1"/>
  <c r="BZ850" i="9" s="1"/>
  <c r="X558" i="9"/>
  <c r="X840" i="9" s="1"/>
  <c r="BZ124" i="9"/>
  <c r="BZ558" i="9" s="1"/>
  <c r="BZ840" i="9" s="1"/>
  <c r="DA124" i="9"/>
  <c r="X996" i="9"/>
  <c r="X505" i="9"/>
  <c r="BZ420" i="9"/>
  <c r="DA420" i="9"/>
  <c r="W596" i="9"/>
  <c r="W878" i="9" s="1"/>
  <c r="BY410" i="9"/>
  <c r="BY596" i="9" s="1"/>
  <c r="BY878" i="9" s="1"/>
  <c r="CZ410" i="9"/>
  <c r="W578" i="9"/>
  <c r="W860" i="9" s="1"/>
  <c r="CZ68" i="9"/>
  <c r="BY68" i="9"/>
  <c r="BY578" i="9" s="1"/>
  <c r="BY860" i="9" s="1"/>
  <c r="W557" i="9"/>
  <c r="W839" i="9" s="1"/>
  <c r="BY105" i="9"/>
  <c r="BY557" i="9" s="1"/>
  <c r="BY839" i="9" s="1"/>
  <c r="CZ105" i="9"/>
  <c r="W107" i="9"/>
  <c r="AA931" i="9"/>
  <c r="AA954" i="9" s="1"/>
  <c r="W585" i="9"/>
  <c r="W867" i="9" s="1"/>
  <c r="BY201" i="9"/>
  <c r="BY585" i="9" s="1"/>
  <c r="BY867" i="9" s="1"/>
  <c r="CZ201" i="9"/>
  <c r="W583" i="9"/>
  <c r="W865" i="9" s="1"/>
  <c r="CZ163" i="9"/>
  <c r="BY163" i="9"/>
  <c r="BY583" i="9" s="1"/>
  <c r="BY865" i="9" s="1"/>
  <c r="W555" i="9"/>
  <c r="W837" i="9" s="1"/>
  <c r="BY67" i="9"/>
  <c r="BY555" i="9" s="1"/>
  <c r="BY837" i="9" s="1"/>
  <c r="CZ67" i="9"/>
  <c r="W69" i="9"/>
  <c r="AA1051" i="9"/>
  <c r="AA1074" i="9" s="1"/>
  <c r="W584" i="9"/>
  <c r="W866" i="9" s="1"/>
  <c r="BY182" i="9"/>
  <c r="BY584" i="9" s="1"/>
  <c r="BY866" i="9" s="1"/>
  <c r="CZ182" i="9"/>
  <c r="W988" i="9"/>
  <c r="W497" i="9"/>
  <c r="BY268" i="9"/>
  <c r="CZ268" i="9"/>
  <c r="AA1063" i="9"/>
  <c r="AA1086" i="9" s="1"/>
  <c r="W563" i="9"/>
  <c r="W845" i="9" s="1"/>
  <c r="BY219" i="9"/>
  <c r="BY563" i="9" s="1"/>
  <c r="BY845" i="9" s="1"/>
  <c r="CZ219" i="9"/>
  <c r="W221" i="9"/>
  <c r="W984" i="9"/>
  <c r="W493" i="9"/>
  <c r="BY192" i="9"/>
  <c r="CZ192" i="9"/>
  <c r="AA948" i="9"/>
  <c r="AA971" i="9" s="1"/>
  <c r="AA1058" i="9"/>
  <c r="AA1081" i="9" s="1"/>
  <c r="W579" i="9"/>
  <c r="W861" i="9" s="1"/>
  <c r="BY87" i="9"/>
  <c r="BY579" i="9" s="1"/>
  <c r="BY861" i="9" s="1"/>
  <c r="CZ87" i="9"/>
  <c r="W466" i="9"/>
  <c r="CZ115" i="9"/>
  <c r="BY115" i="9"/>
  <c r="BY466" i="9" s="1"/>
  <c r="W118" i="9"/>
  <c r="W633" i="9"/>
  <c r="BY242" i="9"/>
  <c r="CZ242" i="9"/>
  <c r="W244" i="9"/>
  <c r="AA942" i="9"/>
  <c r="AA965" i="9" s="1"/>
  <c r="W597" i="9"/>
  <c r="W879" i="9" s="1"/>
  <c r="BY429" i="9"/>
  <c r="BY597" i="9" s="1"/>
  <c r="BY879" i="9" s="1"/>
  <c r="CZ429" i="9"/>
  <c r="W987" i="9"/>
  <c r="BY249" i="9"/>
  <c r="W496" i="9"/>
  <c r="CZ249" i="9"/>
  <c r="Y1038" i="9"/>
  <c r="CA1038" i="9" s="1"/>
  <c r="Y1026" i="9"/>
  <c r="CA1026" i="9" s="1"/>
  <c r="Y1032" i="9"/>
  <c r="CA1032" i="9" s="1"/>
  <c r="Y919" i="9"/>
  <c r="CA919" i="9" s="1"/>
  <c r="X1040" i="9"/>
  <c r="BZ1040" i="9" s="1"/>
  <c r="W1033" i="9"/>
  <c r="BY1033" i="9" s="1"/>
  <c r="BV800" i="9"/>
  <c r="BV759" i="9"/>
  <c r="W736" i="9"/>
  <c r="BY736" i="9" s="1"/>
  <c r="BJ943" i="9"/>
  <c r="Y943" i="9" s="1"/>
  <c r="CA943" i="9" s="1"/>
  <c r="BI936" i="9"/>
  <c r="BI959" i="9" s="1"/>
  <c r="BH938" i="9"/>
  <c r="BH961" i="9" s="1"/>
  <c r="BH1057" i="9"/>
  <c r="BH1080" i="9" s="1"/>
  <c r="BG935" i="9"/>
  <c r="BG958" i="9" s="1"/>
  <c r="BF938" i="9"/>
  <c r="BF961" i="9" s="1"/>
  <c r="BF1062" i="9"/>
  <c r="BF1085" i="9" s="1"/>
  <c r="BE1053" i="9"/>
  <c r="BE1076" i="9" s="1"/>
  <c r="BD943" i="9"/>
  <c r="BD966" i="9" s="1"/>
  <c r="BD947" i="9"/>
  <c r="BD970" i="9" s="1"/>
  <c r="BC937" i="9"/>
  <c r="BC960" i="9" s="1"/>
  <c r="BB947" i="9"/>
  <c r="BB970" i="9" s="1"/>
  <c r="BB1051" i="9"/>
  <c r="BB1074" i="9" s="1"/>
  <c r="BA1063" i="9"/>
  <c r="BA1086" i="9" s="1"/>
  <c r="AZ941" i="9"/>
  <c r="AZ964" i="9" s="1"/>
  <c r="AZ938" i="9"/>
  <c r="AZ961" i="9" s="1"/>
  <c r="AY1060" i="9"/>
  <c r="AY1083" i="9" s="1"/>
  <c r="AX1046" i="9"/>
  <c r="X1046" i="9" s="1"/>
  <c r="BZ1046" i="9" s="1"/>
  <c r="AW1061" i="9"/>
  <c r="AW1084" i="9" s="1"/>
  <c r="BJ950" i="9"/>
  <c r="Y950" i="9" s="1"/>
  <c r="CA950" i="9" s="1"/>
  <c r="BJ936" i="9"/>
  <c r="Y936" i="9" s="1"/>
  <c r="CA936" i="9" s="1"/>
  <c r="BI1051" i="9"/>
  <c r="BI1074" i="9" s="1"/>
  <c r="BI932" i="9"/>
  <c r="BI955" i="9" s="1"/>
  <c r="BH944" i="9"/>
  <c r="BH967" i="9" s="1"/>
  <c r="BH1048" i="9"/>
  <c r="BH1071" i="9" s="1"/>
  <c r="BG941" i="9"/>
  <c r="BG964" i="9" s="1"/>
  <c r="BG948" i="9"/>
  <c r="BG971" i="9" s="1"/>
  <c r="BF1050" i="9"/>
  <c r="BF1073" i="9" s="1"/>
  <c r="BF945" i="9"/>
  <c r="BF968" i="9" s="1"/>
  <c r="BE1052" i="9"/>
  <c r="BE1075" i="9" s="1"/>
  <c r="BE931" i="9"/>
  <c r="BE954" i="9" s="1"/>
  <c r="BD1057" i="9"/>
  <c r="BD1080" i="9" s="1"/>
  <c r="BC940" i="9"/>
  <c r="BC963" i="9" s="1"/>
  <c r="BC942" i="9"/>
  <c r="BC965" i="9" s="1"/>
  <c r="BC948" i="9"/>
  <c r="BC971" i="9" s="1"/>
  <c r="BB945" i="9"/>
  <c r="BB968" i="9" s="1"/>
  <c r="BB943" i="9"/>
  <c r="BB966" i="9" s="1"/>
  <c r="BA949" i="9"/>
  <c r="BA972" i="9" s="1"/>
  <c r="BA950" i="9"/>
  <c r="BA973" i="9" s="1"/>
  <c r="AZ940" i="9"/>
  <c r="AZ963" i="9" s="1"/>
  <c r="AZ935" i="9"/>
  <c r="AZ958" i="9" s="1"/>
  <c r="AY950" i="9"/>
  <c r="AY973" i="9" s="1"/>
  <c r="AY1058" i="9"/>
  <c r="AY1081" i="9" s="1"/>
  <c r="AX1047" i="9"/>
  <c r="X1047" i="9" s="1"/>
  <c r="BZ1047" i="9" s="1"/>
  <c r="AX1052" i="9"/>
  <c r="X1052" i="9" s="1"/>
  <c r="BZ1052" i="9" s="1"/>
  <c r="AW936" i="9"/>
  <c r="AW959" i="9" s="1"/>
  <c r="AW941" i="9"/>
  <c r="AW964" i="9" s="1"/>
  <c r="AV937" i="9"/>
  <c r="AV960" i="9" s="1"/>
  <c r="AV950" i="9"/>
  <c r="AV973" i="9" s="1"/>
  <c r="AU1049" i="9"/>
  <c r="AU1072" i="9" s="1"/>
  <c r="AU948" i="9"/>
  <c r="AU971" i="9" s="1"/>
  <c r="AT1051" i="9"/>
  <c r="AT1074" i="9" s="1"/>
  <c r="AS950" i="9"/>
  <c r="AS973" i="9" s="1"/>
  <c r="AS1050" i="9"/>
  <c r="AS1073" i="9" s="1"/>
  <c r="AR938" i="9"/>
  <c r="AR961" i="9" s="1"/>
  <c r="AR937" i="9"/>
  <c r="AR960" i="9" s="1"/>
  <c r="AQ939" i="9"/>
  <c r="AQ962" i="9" s="1"/>
  <c r="AQ1062" i="9"/>
  <c r="AQ1085" i="9" s="1"/>
  <c r="AP936" i="9"/>
  <c r="AP959" i="9" s="1"/>
  <c r="AP941" i="9"/>
  <c r="AP964" i="9" s="1"/>
  <c r="AO933" i="9"/>
  <c r="AO956" i="9" s="1"/>
  <c r="AO935" i="9"/>
  <c r="AO958" i="9" s="1"/>
  <c r="AN940" i="9"/>
  <c r="AN963" i="9" s="1"/>
  <c r="AL946" i="9"/>
  <c r="W946" i="9" s="1"/>
  <c r="BY946" i="9" s="1"/>
  <c r="BJ938" i="9"/>
  <c r="Y938" i="9" s="1"/>
  <c r="CA938" i="9" s="1"/>
  <c r="BJ947" i="9"/>
  <c r="Y947" i="9" s="1"/>
  <c r="CA947" i="9" s="1"/>
  <c r="BI934" i="9"/>
  <c r="BI957" i="9" s="1"/>
  <c r="BI1046" i="9"/>
  <c r="BI1069" i="9" s="1"/>
  <c r="BI946" i="9"/>
  <c r="BI969" i="9" s="1"/>
  <c r="BH943" i="9"/>
  <c r="BH966" i="9" s="1"/>
  <c r="BV745" i="9"/>
  <c r="W722" i="9"/>
  <c r="BY722" i="9" s="1"/>
  <c r="Y23" i="12"/>
  <c r="Y15" i="13" s="1"/>
  <c r="Y94" i="35" s="1"/>
  <c r="BJ931" i="9"/>
  <c r="BJ940" i="9"/>
  <c r="Y940" i="9" s="1"/>
  <c r="CA940" i="9" s="1"/>
  <c r="BJ1051" i="9"/>
  <c r="Y1051" i="9" s="1"/>
  <c r="CA1051" i="9" s="1"/>
  <c r="BJ946" i="9"/>
  <c r="Y946" i="9" s="1"/>
  <c r="CA946" i="9" s="1"/>
  <c r="BJ932" i="9"/>
  <c r="Y932" i="9" s="1"/>
  <c r="CA932" i="9" s="1"/>
  <c r="BI1055" i="9"/>
  <c r="BI1078" i="9" s="1"/>
  <c r="BI1056" i="9"/>
  <c r="BI1079" i="9" s="1"/>
  <c r="BI1060" i="9"/>
  <c r="BI1083" i="9" s="1"/>
  <c r="BI1054" i="9"/>
  <c r="BI1077" i="9" s="1"/>
  <c r="BI939" i="9"/>
  <c r="BI962" i="9" s="1"/>
  <c r="BH1064" i="9"/>
  <c r="BH1087" i="9" s="1"/>
  <c r="BH1047" i="9"/>
  <c r="BH1070" i="9" s="1"/>
  <c r="BH1053" i="9"/>
  <c r="BH1076" i="9" s="1"/>
  <c r="BH945" i="9"/>
  <c r="BH968" i="9" s="1"/>
  <c r="BH935" i="9"/>
  <c r="BH958" i="9" s="1"/>
  <c r="BG945" i="9"/>
  <c r="BG968" i="9" s="1"/>
  <c r="BG934" i="9"/>
  <c r="BG957" i="9" s="1"/>
  <c r="BG949" i="9"/>
  <c r="BG972" i="9" s="1"/>
  <c r="BG1055" i="9"/>
  <c r="BG1078" i="9" s="1"/>
  <c r="BG944" i="9"/>
  <c r="BG967" i="9" s="1"/>
  <c r="BF1054" i="9"/>
  <c r="BF1077" i="9" s="1"/>
  <c r="BF1056" i="9"/>
  <c r="BF1079" i="9" s="1"/>
  <c r="BF936" i="9"/>
  <c r="BF959" i="9" s="1"/>
  <c r="BF950" i="9"/>
  <c r="BF973" i="9" s="1"/>
  <c r="BF1063" i="9"/>
  <c r="BF1086" i="9" s="1"/>
  <c r="BE938" i="9"/>
  <c r="BE961" i="9" s="1"/>
  <c r="BE940" i="9"/>
  <c r="BE963" i="9" s="1"/>
  <c r="BE1058" i="9"/>
  <c r="BE1081" i="9" s="1"/>
  <c r="BE947" i="9"/>
  <c r="BE970" i="9" s="1"/>
  <c r="BE1060" i="9"/>
  <c r="BE1083" i="9" s="1"/>
  <c r="BD932" i="9"/>
  <c r="BD955" i="9" s="1"/>
  <c r="BD1065" i="9"/>
  <c r="BD1088" i="9" s="1"/>
  <c r="BD1056" i="9"/>
  <c r="BD1079" i="9" s="1"/>
  <c r="BD1050" i="9"/>
  <c r="BD1073" i="9" s="1"/>
  <c r="BD950" i="9"/>
  <c r="BD973" i="9" s="1"/>
  <c r="BC1061" i="9"/>
  <c r="BC1084" i="9" s="1"/>
  <c r="BC1054" i="9"/>
  <c r="BC1077" i="9" s="1"/>
  <c r="BC1057" i="9"/>
  <c r="BC1080" i="9" s="1"/>
  <c r="BC1046" i="9"/>
  <c r="BC1069" i="9" s="1"/>
  <c r="BC1064" i="9"/>
  <c r="BC1087" i="9" s="1"/>
  <c r="BB1049" i="9"/>
  <c r="BB1072" i="9" s="1"/>
  <c r="BB932" i="9"/>
  <c r="BB955" i="9" s="1"/>
  <c r="BB942" i="9"/>
  <c r="BB965" i="9" s="1"/>
  <c r="BB948" i="9"/>
  <c r="BB971" i="9" s="1"/>
  <c r="BB1058" i="9"/>
  <c r="BB1081" i="9" s="1"/>
  <c r="BA1057" i="9"/>
  <c r="BA1080" i="9" s="1"/>
  <c r="BA933" i="9"/>
  <c r="BA956" i="9" s="1"/>
  <c r="BA1048" i="9"/>
  <c r="BA1071" i="9" s="1"/>
  <c r="BA945" i="9"/>
  <c r="BA968" i="9" s="1"/>
  <c r="BA940" i="9"/>
  <c r="BA963" i="9" s="1"/>
  <c r="AZ1058" i="9"/>
  <c r="AZ1081" i="9" s="1"/>
  <c r="AZ1062" i="9"/>
  <c r="AZ1085" i="9" s="1"/>
  <c r="AZ1046" i="9"/>
  <c r="AZ1069" i="9" s="1"/>
  <c r="AZ1061" i="9"/>
  <c r="AZ1084" i="9" s="1"/>
  <c r="AZ949" i="9"/>
  <c r="AZ972" i="9" s="1"/>
  <c r="AY1046" i="9"/>
  <c r="AY1069" i="9" s="1"/>
  <c r="AY1056" i="9"/>
  <c r="AY1079" i="9" s="1"/>
  <c r="AY943" i="9"/>
  <c r="AY966" i="9" s="1"/>
  <c r="AY931" i="9"/>
  <c r="AY954" i="9" s="1"/>
  <c r="AY939" i="9"/>
  <c r="AY962" i="9" s="1"/>
  <c r="AX931" i="9"/>
  <c r="X931" i="9" s="1"/>
  <c r="BZ931" i="9" s="1"/>
  <c r="AX932" i="9"/>
  <c r="X932" i="9" s="1"/>
  <c r="BZ932" i="9" s="1"/>
  <c r="AX947" i="9"/>
  <c r="X947" i="9" s="1"/>
  <c r="BZ947" i="9" s="1"/>
  <c r="AX1062" i="9"/>
  <c r="X1062" i="9" s="1"/>
  <c r="BZ1062" i="9" s="1"/>
  <c r="AX1057" i="9"/>
  <c r="X1057" i="9" s="1"/>
  <c r="BZ1057" i="9" s="1"/>
  <c r="AW947" i="9"/>
  <c r="AW970" i="9" s="1"/>
  <c r="AW939" i="9"/>
  <c r="AW962" i="9" s="1"/>
  <c r="AW1056" i="9"/>
  <c r="AW1079" i="9" s="1"/>
  <c r="AW944" i="9"/>
  <c r="AW967" i="9" s="1"/>
  <c r="AW1055" i="9"/>
  <c r="AW1078" i="9" s="1"/>
  <c r="AV936" i="9"/>
  <c r="AV959" i="9" s="1"/>
  <c r="AV931" i="9"/>
  <c r="AV954" i="9" s="1"/>
  <c r="AV1049" i="9"/>
  <c r="AV1072" i="9" s="1"/>
  <c r="AV939" i="9"/>
  <c r="AV962" i="9" s="1"/>
  <c r="AV1064" i="9"/>
  <c r="AV1087" i="9" s="1"/>
  <c r="AU1054" i="9"/>
  <c r="AU1077" i="9" s="1"/>
  <c r="AU942" i="9"/>
  <c r="AU965" i="9" s="1"/>
  <c r="AU947" i="9"/>
  <c r="AU970" i="9" s="1"/>
  <c r="AU1063" i="9"/>
  <c r="AU1086" i="9" s="1"/>
  <c r="AU1055" i="9"/>
  <c r="AU1078" i="9" s="1"/>
  <c r="AT933" i="9"/>
  <c r="AT956" i="9" s="1"/>
  <c r="AT935" i="9"/>
  <c r="AT958" i="9" s="1"/>
  <c r="AT949" i="9"/>
  <c r="AT972" i="9" s="1"/>
  <c r="AT1063" i="9"/>
  <c r="AT1086" i="9" s="1"/>
  <c r="AT932" i="9"/>
  <c r="AT955" i="9" s="1"/>
  <c r="AS932" i="9"/>
  <c r="AS955" i="9" s="1"/>
  <c r="AS1063" i="9"/>
  <c r="AS1086" i="9" s="1"/>
  <c r="AS1059" i="9"/>
  <c r="AS1082" i="9" s="1"/>
  <c r="AS1061" i="9"/>
  <c r="AS1084" i="9" s="1"/>
  <c r="AS949" i="9"/>
  <c r="AS972" i="9" s="1"/>
  <c r="AR940" i="9"/>
  <c r="AR963" i="9" s="1"/>
  <c r="AR942" i="9"/>
  <c r="AR965" i="9" s="1"/>
  <c r="AR939" i="9"/>
  <c r="AR962" i="9" s="1"/>
  <c r="AR944" i="9"/>
  <c r="AR967" i="9" s="1"/>
  <c r="AR1047" i="9"/>
  <c r="AR1070" i="9" s="1"/>
  <c r="AQ1053" i="9"/>
  <c r="AQ1076" i="9" s="1"/>
  <c r="AQ1061" i="9"/>
  <c r="AQ1084" i="9" s="1"/>
  <c r="AQ1047" i="9"/>
  <c r="AQ1070" i="9" s="1"/>
  <c r="AQ943" i="9"/>
  <c r="AQ966" i="9" s="1"/>
  <c r="AQ1049" i="9"/>
  <c r="AQ1072" i="9" s="1"/>
  <c r="AP1064" i="9"/>
  <c r="AP1087" i="9" s="1"/>
  <c r="AP1050" i="9"/>
  <c r="AP1073" i="9" s="1"/>
  <c r="AP946" i="9"/>
  <c r="AP969" i="9" s="1"/>
  <c r="AP1057" i="9"/>
  <c r="AP1080" i="9" s="1"/>
  <c r="AP932" i="9"/>
  <c r="AP955" i="9" s="1"/>
  <c r="AO1057" i="9"/>
  <c r="AO1080" i="9" s="1"/>
  <c r="AO938" i="9"/>
  <c r="AO961" i="9" s="1"/>
  <c r="AO940" i="9"/>
  <c r="AO963" i="9" s="1"/>
  <c r="AO931" i="9"/>
  <c r="AO954" i="9" s="1"/>
  <c r="AO1053" i="9"/>
  <c r="AO1076" i="9" s="1"/>
  <c r="AN1050" i="9"/>
  <c r="AN1073" i="9" s="1"/>
  <c r="AN945" i="9"/>
  <c r="AN968" i="9" s="1"/>
  <c r="AN936" i="9"/>
  <c r="AN959" i="9" s="1"/>
  <c r="AN1065" i="9"/>
  <c r="AN1088" i="9" s="1"/>
  <c r="AN1054" i="9"/>
  <c r="AN1077" i="9" s="1"/>
  <c r="AM936" i="9"/>
  <c r="AM959" i="9" s="1"/>
  <c r="AM933" i="9"/>
  <c r="AM956" i="9" s="1"/>
  <c r="AM1047" i="9"/>
  <c r="AM1070" i="9" s="1"/>
  <c r="AM935" i="9"/>
  <c r="AM958" i="9" s="1"/>
  <c r="AM1059" i="9"/>
  <c r="AM1082" i="9" s="1"/>
  <c r="AL1061" i="9"/>
  <c r="W1061" i="9" s="1"/>
  <c r="BY1061" i="9" s="1"/>
  <c r="AL942" i="9"/>
  <c r="W942" i="9" s="1"/>
  <c r="BY942" i="9" s="1"/>
  <c r="AL940" i="9"/>
  <c r="W940" i="9" s="1"/>
  <c r="BY940" i="9" s="1"/>
  <c r="AL1055" i="9"/>
  <c r="W1055" i="9" s="1"/>
  <c r="BY1055" i="9" s="1"/>
  <c r="AL1052" i="9"/>
  <c r="W1052" i="9" s="1"/>
  <c r="BY1052" i="9" s="1"/>
  <c r="AK1056" i="9"/>
  <c r="AK1079" i="9" s="1"/>
  <c r="AK1049" i="9"/>
  <c r="AK1072" i="9" s="1"/>
  <c r="AK950" i="9"/>
  <c r="AK973" i="9" s="1"/>
  <c r="AK941" i="9"/>
  <c r="AK964" i="9" s="1"/>
  <c r="AK949" i="9"/>
  <c r="AK972" i="9" s="1"/>
  <c r="AJ1055" i="9"/>
  <c r="AJ1078" i="9" s="1"/>
  <c r="AJ1049" i="9"/>
  <c r="AJ1072" i="9" s="1"/>
  <c r="AJ945" i="9"/>
  <c r="AJ968" i="9" s="1"/>
  <c r="AJ946" i="9"/>
  <c r="AJ969" i="9" s="1"/>
  <c r="AJ1065" i="9"/>
  <c r="AJ1088" i="9" s="1"/>
  <c r="AI945" i="9"/>
  <c r="AI968" i="9" s="1"/>
  <c r="AI1059" i="9"/>
  <c r="AI1082" i="9" s="1"/>
  <c r="AI944" i="9"/>
  <c r="AI967" i="9" s="1"/>
  <c r="AI1052" i="9"/>
  <c r="AI1075" i="9" s="1"/>
  <c r="AI947" i="9"/>
  <c r="AI970" i="9" s="1"/>
  <c r="AH936" i="9"/>
  <c r="AH959" i="9" s="1"/>
  <c r="AH1054" i="9"/>
  <c r="AH1077" i="9" s="1"/>
  <c r="AH1057" i="9"/>
  <c r="AH1080" i="9" s="1"/>
  <c r="AH1059" i="9"/>
  <c r="AH1082" i="9" s="1"/>
  <c r="AH942" i="9"/>
  <c r="AH965" i="9" s="1"/>
  <c r="AG1047" i="9"/>
  <c r="AG1070" i="9" s="1"/>
  <c r="AG1050" i="9"/>
  <c r="AG1073" i="9" s="1"/>
  <c r="AG1056" i="9"/>
  <c r="AG1079" i="9" s="1"/>
  <c r="AG936" i="9"/>
  <c r="AG959" i="9" s="1"/>
  <c r="AG1051" i="9"/>
  <c r="AG1074" i="9" s="1"/>
  <c r="AF943" i="9"/>
  <c r="AF966" i="9" s="1"/>
  <c r="AF1049" i="9"/>
  <c r="AF1072" i="9" s="1"/>
  <c r="AF942" i="9"/>
  <c r="AF965" i="9" s="1"/>
  <c r="AF1065" i="9"/>
  <c r="AF1088" i="9" s="1"/>
  <c r="AF941" i="9"/>
  <c r="AF964" i="9" s="1"/>
  <c r="AE1064" i="9"/>
  <c r="AE1087" i="9" s="1"/>
  <c r="AE947" i="9"/>
  <c r="AE970" i="9" s="1"/>
  <c r="AE1059" i="9"/>
  <c r="AE1082" i="9" s="1"/>
  <c r="CB625" i="9"/>
  <c r="DC90" i="9"/>
  <c r="CB92" i="9"/>
  <c r="CB983" i="9"/>
  <c r="CB492" i="9"/>
  <c r="DC173" i="9"/>
  <c r="CB591" i="9"/>
  <c r="CB873" i="9" s="1"/>
  <c r="DC315" i="9"/>
  <c r="AE1051" i="9"/>
  <c r="AE1074" i="9" s="1"/>
  <c r="CB991" i="9"/>
  <c r="CB500" i="9"/>
  <c r="DC325" i="9"/>
  <c r="CB630" i="9"/>
  <c r="DC185" i="9"/>
  <c r="CB187" i="9"/>
  <c r="CB635" i="9"/>
  <c r="DC280" i="9"/>
  <c r="CB282" i="9"/>
  <c r="AD933" i="9"/>
  <c r="AD956" i="9" s="1"/>
  <c r="CB987" i="9"/>
  <c r="CB496" i="9"/>
  <c r="DC249" i="9"/>
  <c r="CB636" i="9"/>
  <c r="DC299" i="9"/>
  <c r="CB301" i="9"/>
  <c r="CB994" i="9"/>
  <c r="CB503" i="9"/>
  <c r="DC382" i="9"/>
  <c r="CB564" i="9"/>
  <c r="CB846" i="9" s="1"/>
  <c r="DC238" i="9"/>
  <c r="AD941" i="9"/>
  <c r="AD964" i="9" s="1"/>
  <c r="CB578" i="9"/>
  <c r="CB860" i="9" s="1"/>
  <c r="DC68" i="9"/>
  <c r="CB569" i="9"/>
  <c r="CB851" i="9" s="1"/>
  <c r="DC333" i="9"/>
  <c r="AD1061" i="9"/>
  <c r="AD1084" i="9" s="1"/>
  <c r="CB643" i="9"/>
  <c r="DC432" i="9"/>
  <c r="CB434" i="9"/>
  <c r="AD950" i="9"/>
  <c r="AD973" i="9" s="1"/>
  <c r="AD1059" i="9"/>
  <c r="AD1082" i="9" s="1"/>
  <c r="CB624" i="9"/>
  <c r="DC71" i="9"/>
  <c r="CB73" i="9"/>
  <c r="Y479" i="9"/>
  <c r="DB362" i="9"/>
  <c r="CA362" i="9"/>
  <c r="CA479" i="9" s="1"/>
  <c r="Y469" i="9"/>
  <c r="DB172" i="9"/>
  <c r="CA172" i="9"/>
  <c r="CA469" i="9" s="1"/>
  <c r="Y475" i="9"/>
  <c r="CA286" i="9"/>
  <c r="CA475" i="9" s="1"/>
  <c r="DB286" i="9"/>
  <c r="DB174" i="9"/>
  <c r="CA174" i="9"/>
  <c r="AC950" i="9"/>
  <c r="AC973" i="9" s="1"/>
  <c r="Y581" i="9"/>
  <c r="Y863" i="9" s="1"/>
  <c r="DB125" i="9"/>
  <c r="CA125" i="9"/>
  <c r="CA581" i="9" s="1"/>
  <c r="CA863" i="9" s="1"/>
  <c r="DB117" i="9"/>
  <c r="CA117" i="9"/>
  <c r="Y983" i="9"/>
  <c r="Y492" i="9"/>
  <c r="CA173" i="9"/>
  <c r="DB173" i="9"/>
  <c r="CA345" i="9"/>
  <c r="DB345" i="9"/>
  <c r="Y637" i="9"/>
  <c r="CA318" i="9"/>
  <c r="DB318" i="9"/>
  <c r="Y320" i="9"/>
  <c r="Y984" i="9"/>
  <c r="Y493" i="9"/>
  <c r="CA192" i="9"/>
  <c r="DB192" i="9"/>
  <c r="Y638" i="9"/>
  <c r="DB337" i="9"/>
  <c r="CA337" i="9"/>
  <c r="Y339" i="9"/>
  <c r="Y628" i="9"/>
  <c r="DB147" i="9"/>
  <c r="CA147" i="9"/>
  <c r="Y149" i="9"/>
  <c r="CA383" i="9"/>
  <c r="DB383" i="9"/>
  <c r="AC1057" i="9"/>
  <c r="AC1080" i="9" s="1"/>
  <c r="AC948" i="9"/>
  <c r="AC971" i="9" s="1"/>
  <c r="Y982" i="9"/>
  <c r="Y491" i="9"/>
  <c r="DB154" i="9"/>
  <c r="CA154" i="9"/>
  <c r="Y634" i="9"/>
  <c r="DB261" i="9"/>
  <c r="CA261" i="9"/>
  <c r="Y263" i="9"/>
  <c r="Y573" i="9"/>
  <c r="Y855" i="9" s="1"/>
  <c r="DB409" i="9"/>
  <c r="CA409" i="9"/>
  <c r="CA573" i="9" s="1"/>
  <c r="CA855" i="9" s="1"/>
  <c r="CA155" i="9"/>
  <c r="DB155" i="9"/>
  <c r="Y989" i="9"/>
  <c r="Y498" i="9"/>
  <c r="CA287" i="9"/>
  <c r="DB287" i="9"/>
  <c r="AC933" i="9"/>
  <c r="AC956" i="9" s="1"/>
  <c r="Y987" i="9"/>
  <c r="Y496" i="9"/>
  <c r="DB249" i="9"/>
  <c r="CA249" i="9"/>
  <c r="AB1060" i="9"/>
  <c r="AB1083" i="9" s="1"/>
  <c r="X562" i="9"/>
  <c r="X844" i="9" s="1"/>
  <c r="BZ200" i="9"/>
  <c r="BZ562" i="9" s="1"/>
  <c r="BZ844" i="9" s="1"/>
  <c r="DA200" i="9"/>
  <c r="X578" i="9"/>
  <c r="X860" i="9" s="1"/>
  <c r="DA68" i="9"/>
  <c r="BZ68" i="9"/>
  <c r="BZ578" i="9" s="1"/>
  <c r="BZ860" i="9" s="1"/>
  <c r="X635" i="9"/>
  <c r="BZ280" i="9"/>
  <c r="DA280" i="9"/>
  <c r="X282" i="9"/>
  <c r="X632" i="9"/>
  <c r="DA223" i="9"/>
  <c r="BZ223" i="9"/>
  <c r="X225" i="9"/>
  <c r="X586" i="9"/>
  <c r="X868" i="9" s="1"/>
  <c r="BZ220" i="9"/>
  <c r="BZ586" i="9" s="1"/>
  <c r="BZ868" i="9" s="1"/>
  <c r="DA220" i="9"/>
  <c r="X564" i="9"/>
  <c r="X846" i="9" s="1"/>
  <c r="BZ238" i="9"/>
  <c r="BZ564" i="9" s="1"/>
  <c r="BZ846" i="9" s="1"/>
  <c r="DA238" i="9"/>
  <c r="X640" i="9"/>
  <c r="BZ375" i="9"/>
  <c r="DA375" i="9"/>
  <c r="X377" i="9"/>
  <c r="X597" i="9"/>
  <c r="X879" i="9" s="1"/>
  <c r="BZ429" i="9"/>
  <c r="BZ597" i="9" s="1"/>
  <c r="BZ879" i="9" s="1"/>
  <c r="DA429" i="9"/>
  <c r="X592" i="9"/>
  <c r="X874" i="9" s="1"/>
  <c r="BZ334" i="9"/>
  <c r="BZ592" i="9" s="1"/>
  <c r="BZ874" i="9" s="1"/>
  <c r="DA334" i="9"/>
  <c r="X469" i="9"/>
  <c r="BZ172" i="9"/>
  <c r="BZ469" i="9" s="1"/>
  <c r="DA172" i="9"/>
  <c r="X468" i="9"/>
  <c r="BZ153" i="9"/>
  <c r="BZ468" i="9" s="1"/>
  <c r="DA153" i="9"/>
  <c r="X565" i="9"/>
  <c r="X847" i="9" s="1"/>
  <c r="BZ257" i="9"/>
  <c r="BZ565" i="9" s="1"/>
  <c r="BZ847" i="9" s="1"/>
  <c r="DA257" i="9"/>
  <c r="AB1047" i="9"/>
  <c r="AB1070" i="9" s="1"/>
  <c r="DA286" i="9"/>
  <c r="X475" i="9"/>
  <c r="BZ286" i="9"/>
  <c r="BZ475" i="9" s="1"/>
  <c r="X570" i="9"/>
  <c r="X852" i="9" s="1"/>
  <c r="BZ352" i="9"/>
  <c r="BZ570" i="9" s="1"/>
  <c r="BZ852" i="9" s="1"/>
  <c r="DA352" i="9"/>
  <c r="X631" i="9"/>
  <c r="DA204" i="9"/>
  <c r="BZ204" i="9"/>
  <c r="X206" i="9"/>
  <c r="X464" i="9"/>
  <c r="DA77" i="9"/>
  <c r="BZ77" i="9"/>
  <c r="BZ464" i="9" s="1"/>
  <c r="AB1059" i="9"/>
  <c r="AB1082" i="9" s="1"/>
  <c r="X630" i="9"/>
  <c r="BZ185" i="9"/>
  <c r="CL185" i="9" s="1"/>
  <c r="DA185" i="9"/>
  <c r="X187" i="9"/>
  <c r="X569" i="9"/>
  <c r="X851" i="9" s="1"/>
  <c r="BZ333" i="9"/>
  <c r="BZ569" i="9" s="1"/>
  <c r="BZ851" i="9" s="1"/>
  <c r="DA333" i="9"/>
  <c r="X585" i="9"/>
  <c r="X867" i="9" s="1"/>
  <c r="BZ201" i="9"/>
  <c r="BZ585" i="9" s="1"/>
  <c r="BZ867" i="9" s="1"/>
  <c r="DA201" i="9"/>
  <c r="W977" i="9"/>
  <c r="W486" i="9"/>
  <c r="BY59" i="9"/>
  <c r="CZ59" i="9"/>
  <c r="W978" i="9"/>
  <c r="W487" i="9"/>
  <c r="CZ78" i="9"/>
  <c r="BY78" i="9"/>
  <c r="AA1061" i="9"/>
  <c r="AA1084" i="9" s="1"/>
  <c r="W996" i="9"/>
  <c r="W505" i="9"/>
  <c r="BY420" i="9"/>
  <c r="CY420" i="9" s="1" a="1"/>
  <c r="CY420" i="9" s="1"/>
  <c r="CZ420" i="9"/>
  <c r="AA1064" i="9"/>
  <c r="AA1087" i="9" s="1"/>
  <c r="BY155" i="9"/>
  <c r="CZ155" i="9"/>
  <c r="W574" i="9"/>
  <c r="W856" i="9" s="1"/>
  <c r="BY428" i="9"/>
  <c r="BY574" i="9" s="1"/>
  <c r="BY856" i="9" s="1"/>
  <c r="W430" i="9"/>
  <c r="CZ428" i="9"/>
  <c r="AA934" i="9"/>
  <c r="AA957" i="9" s="1"/>
  <c r="W594" i="9"/>
  <c r="W876" i="9" s="1"/>
  <c r="CZ372" i="9"/>
  <c r="BY372" i="9"/>
  <c r="BY594" i="9" s="1"/>
  <c r="BY876" i="9" s="1"/>
  <c r="W634" i="9"/>
  <c r="BY261" i="9"/>
  <c r="CZ261" i="9"/>
  <c r="W263" i="9"/>
  <c r="W556" i="9"/>
  <c r="W838" i="9" s="1"/>
  <c r="CZ86" i="9"/>
  <c r="BY86" i="9"/>
  <c r="BY556" i="9" s="1"/>
  <c r="BY838" i="9" s="1"/>
  <c r="W88" i="9"/>
  <c r="W482" i="9"/>
  <c r="BY419" i="9"/>
  <c r="BY482" i="9" s="1"/>
  <c r="CZ419" i="9"/>
  <c r="W422" i="9"/>
  <c r="AA936" i="9"/>
  <c r="AA959" i="9" s="1"/>
  <c r="BY174" i="9"/>
  <c r="CZ174" i="9"/>
  <c r="W467" i="9"/>
  <c r="BY134" i="9"/>
  <c r="BY467" i="9" s="1"/>
  <c r="W137" i="9"/>
  <c r="CZ134" i="9"/>
  <c r="W591" i="9"/>
  <c r="W873" i="9" s="1"/>
  <c r="BY315" i="9"/>
  <c r="BY591" i="9" s="1"/>
  <c r="BY873" i="9" s="1"/>
  <c r="CZ315" i="9"/>
  <c r="AA947" i="9"/>
  <c r="AA970" i="9" s="1"/>
  <c r="AA950" i="9"/>
  <c r="AA973" i="9" s="1"/>
  <c r="AA935" i="9"/>
  <c r="AA958" i="9" s="1"/>
  <c r="W981" i="9"/>
  <c r="CZ135" i="9"/>
  <c r="W490" i="9"/>
  <c r="BY135" i="9"/>
  <c r="Y917" i="9"/>
  <c r="CA917" i="9" s="1"/>
  <c r="Y925" i="9"/>
  <c r="CA925" i="9" s="1"/>
  <c r="X924" i="9"/>
  <c r="BZ924" i="9" s="1"/>
  <c r="X1039" i="9"/>
  <c r="BZ1039" i="9" s="1"/>
  <c r="X1023" i="9"/>
  <c r="BZ1023" i="9" s="1"/>
  <c r="X915" i="9"/>
  <c r="BZ915" i="9" s="1"/>
  <c r="W927" i="9"/>
  <c r="BY927" i="9" s="1"/>
  <c r="W1030" i="9"/>
  <c r="BY1030" i="9" s="1"/>
  <c r="W915" i="9"/>
  <c r="BY915" i="9" s="1"/>
  <c r="W913" i="9"/>
  <c r="BY913" i="9" s="1"/>
  <c r="W923" i="9"/>
  <c r="BY923" i="9" s="1"/>
  <c r="BV766" i="9"/>
  <c r="BV744" i="9"/>
  <c r="BV747" i="9"/>
  <c r="W724" i="9"/>
  <c r="BY724" i="9" s="1"/>
  <c r="BV793" i="9"/>
  <c r="BV719" i="9"/>
  <c r="BV230" i="3"/>
  <c r="BJ1063" i="9"/>
  <c r="Y1063" i="9" s="1"/>
  <c r="CA1063" i="9" s="1"/>
  <c r="BJ945" i="9"/>
  <c r="Y945" i="9" s="1"/>
  <c r="CA945" i="9" s="1"/>
  <c r="BI935" i="9"/>
  <c r="BI958" i="9" s="1"/>
  <c r="BH1058" i="9"/>
  <c r="BH1081" i="9" s="1"/>
  <c r="BF948" i="9"/>
  <c r="BF971" i="9" s="1"/>
  <c r="BE1048" i="9"/>
  <c r="BE1071" i="9" s="1"/>
  <c r="BD1051" i="9"/>
  <c r="BD1074" i="9" s="1"/>
  <c r="BB1059" i="9"/>
  <c r="BB1082" i="9" s="1"/>
  <c r="BA943" i="9"/>
  <c r="BA966" i="9" s="1"/>
  <c r="AZ936" i="9"/>
  <c r="AZ959" i="9" s="1"/>
  <c r="AY1059" i="9"/>
  <c r="AY1082" i="9" s="1"/>
  <c r="AX946" i="9"/>
  <c r="X946" i="9" s="1"/>
  <c r="BZ946" i="9" s="1"/>
  <c r="AW938" i="9"/>
  <c r="AW961" i="9" s="1"/>
  <c r="AV1065" i="9"/>
  <c r="AV1088" i="9" s="1"/>
  <c r="AU1047" i="9"/>
  <c r="AU1070" i="9" s="1"/>
  <c r="AT1049" i="9"/>
  <c r="AT1072" i="9" s="1"/>
  <c r="AT1048" i="9"/>
  <c r="AT1071" i="9" s="1"/>
  <c r="AS943" i="9"/>
  <c r="AS966" i="9" s="1"/>
  <c r="AS1058" i="9"/>
  <c r="AS1081" i="9" s="1"/>
  <c r="AS931" i="9"/>
  <c r="AS954" i="9" s="1"/>
  <c r="AR932" i="9"/>
  <c r="AR955" i="9" s="1"/>
  <c r="AR1065" i="9"/>
  <c r="AR1088" i="9" s="1"/>
  <c r="AR1052" i="9"/>
  <c r="AR1075" i="9" s="1"/>
  <c r="AR945" i="9"/>
  <c r="AR968" i="9" s="1"/>
  <c r="AR1048" i="9"/>
  <c r="AR1071" i="9" s="1"/>
  <c r="AQ935" i="9"/>
  <c r="AQ958" i="9" s="1"/>
  <c r="AQ934" i="9"/>
  <c r="AQ957" i="9" s="1"/>
  <c r="AQ942" i="9"/>
  <c r="AQ965" i="9" s="1"/>
  <c r="AQ936" i="9"/>
  <c r="AQ959" i="9" s="1"/>
  <c r="AQ1048" i="9"/>
  <c r="AQ1071" i="9" s="1"/>
  <c r="AP943" i="9"/>
  <c r="AP966" i="9" s="1"/>
  <c r="AP935" i="9"/>
  <c r="AP958" i="9" s="1"/>
  <c r="AP940" i="9"/>
  <c r="AP963" i="9" s="1"/>
  <c r="AP1061" i="9"/>
  <c r="AP1084" i="9" s="1"/>
  <c r="AP931" i="9"/>
  <c r="AP954" i="9" s="1"/>
  <c r="AO941" i="9"/>
  <c r="AO964" i="9" s="1"/>
  <c r="AO942" i="9"/>
  <c r="AO965" i="9" s="1"/>
  <c r="AO936" i="9"/>
  <c r="AO959" i="9" s="1"/>
  <c r="AO948" i="9"/>
  <c r="AO971" i="9" s="1"/>
  <c r="AO1047" i="9"/>
  <c r="AO1070" i="9" s="1"/>
  <c r="AN942" i="9"/>
  <c r="AN965" i="9" s="1"/>
  <c r="AN944" i="9"/>
  <c r="AN967" i="9" s="1"/>
  <c r="AN1052" i="9"/>
  <c r="AN1075" i="9" s="1"/>
  <c r="AN943" i="9"/>
  <c r="AN966" i="9" s="1"/>
  <c r="AN1059" i="9"/>
  <c r="AN1082" i="9" s="1"/>
  <c r="AM931" i="9"/>
  <c r="AM954" i="9" s="1"/>
  <c r="AM937" i="9"/>
  <c r="AM960" i="9" s="1"/>
  <c r="AM1064" i="9"/>
  <c r="AM1087" i="9" s="1"/>
  <c r="AM945" i="9"/>
  <c r="AM968" i="9" s="1"/>
  <c r="AM940" i="9"/>
  <c r="AM963" i="9" s="1"/>
  <c r="AL1054" i="9"/>
  <c r="W1054" i="9" s="1"/>
  <c r="BY1054" i="9" s="1"/>
  <c r="AL937" i="9"/>
  <c r="W937" i="9" s="1"/>
  <c r="BY937" i="9" s="1"/>
  <c r="AL1064" i="9"/>
  <c r="W1064" i="9" s="1"/>
  <c r="BY1064" i="9" s="1"/>
  <c r="AL1047" i="9"/>
  <c r="W1047" i="9" s="1"/>
  <c r="BY1047" i="9" s="1"/>
  <c r="AL1065" i="9"/>
  <c r="W1065" i="9" s="1"/>
  <c r="BY1065" i="9" s="1"/>
  <c r="AK948" i="9"/>
  <c r="AK971" i="9" s="1"/>
  <c r="AK947" i="9"/>
  <c r="AK970" i="9" s="1"/>
  <c r="AK935" i="9"/>
  <c r="AK958" i="9" s="1"/>
  <c r="AK1047" i="9"/>
  <c r="AK1070" i="9" s="1"/>
  <c r="AK1051" i="9"/>
  <c r="AK1074" i="9" s="1"/>
  <c r="AJ942" i="9"/>
  <c r="AJ965" i="9" s="1"/>
  <c r="AJ931" i="9"/>
  <c r="AJ954" i="9" s="1"/>
  <c r="AJ950" i="9"/>
  <c r="AJ973" i="9" s="1"/>
  <c r="AJ1063" i="9"/>
  <c r="AJ1086" i="9" s="1"/>
  <c r="AJ948" i="9"/>
  <c r="AJ971" i="9" s="1"/>
  <c r="AI939" i="9"/>
  <c r="AI962" i="9" s="1"/>
  <c r="AI1053" i="9"/>
  <c r="AI1076" i="9" s="1"/>
  <c r="AI946" i="9"/>
  <c r="AI969" i="9" s="1"/>
  <c r="AI949" i="9"/>
  <c r="AI972" i="9" s="1"/>
  <c r="AI1048" i="9"/>
  <c r="AI1071" i="9" s="1"/>
  <c r="AH1048" i="9"/>
  <c r="AH1071" i="9" s="1"/>
  <c r="AH1061" i="9"/>
  <c r="AH1084" i="9" s="1"/>
  <c r="AH1052" i="9"/>
  <c r="AH1075" i="9" s="1"/>
  <c r="AH1065" i="9"/>
  <c r="AH1088" i="9" s="1"/>
  <c r="AH1053" i="9"/>
  <c r="AH1076" i="9" s="1"/>
  <c r="AG1055" i="9"/>
  <c r="AG1078" i="9" s="1"/>
  <c r="AG1048" i="9"/>
  <c r="AG1071" i="9" s="1"/>
  <c r="AG1057" i="9"/>
  <c r="AG1080" i="9" s="1"/>
  <c r="AG937" i="9"/>
  <c r="AG960" i="9" s="1"/>
  <c r="AG950" i="9"/>
  <c r="AG973" i="9" s="1"/>
  <c r="AF1051" i="9"/>
  <c r="AF1074" i="9" s="1"/>
  <c r="AF946" i="9"/>
  <c r="AF969" i="9" s="1"/>
  <c r="AF1054" i="9"/>
  <c r="AF1077" i="9" s="1"/>
  <c r="AF934" i="9"/>
  <c r="AF957" i="9" s="1"/>
  <c r="AF1059" i="9"/>
  <c r="AF1082" i="9" s="1"/>
  <c r="AE936" i="9"/>
  <c r="AE959" i="9" s="1"/>
  <c r="CB568" i="9"/>
  <c r="CB850" i="9" s="1"/>
  <c r="DC314" i="9"/>
  <c r="DC381" i="9"/>
  <c r="CB480" i="9"/>
  <c r="CB465" i="9"/>
  <c r="DC96" i="9"/>
  <c r="CB475" i="9"/>
  <c r="DC286" i="9"/>
  <c r="AE948" i="9"/>
  <c r="AE971" i="9" s="1"/>
  <c r="DC400" i="9"/>
  <c r="CB481" i="9"/>
  <c r="CB979" i="9"/>
  <c r="CB488" i="9"/>
  <c r="DC97" i="9"/>
  <c r="CB989" i="9"/>
  <c r="CB498" i="9"/>
  <c r="DC287" i="9"/>
  <c r="AD939" i="9"/>
  <c r="AD962" i="9" s="1"/>
  <c r="CB585" i="9"/>
  <c r="CB867" i="9" s="1"/>
  <c r="DC201" i="9"/>
  <c r="CB565" i="9"/>
  <c r="CB847" i="9" s="1"/>
  <c r="DC257" i="9"/>
  <c r="CB634" i="9"/>
  <c r="DC261" i="9"/>
  <c r="CB263" i="9"/>
  <c r="AD1049" i="9"/>
  <c r="AD1072" i="9" s="1"/>
  <c r="CB482" i="9"/>
  <c r="DC419" i="9"/>
  <c r="AD1055" i="9"/>
  <c r="AD1078" i="9" s="1"/>
  <c r="CB642" i="9"/>
  <c r="DC413" i="9"/>
  <c r="CB415" i="9"/>
  <c r="AD935" i="9"/>
  <c r="AD958" i="9" s="1"/>
  <c r="CB596" i="9"/>
  <c r="CB878" i="9" s="1"/>
  <c r="DC410" i="9"/>
  <c r="CB641" i="9"/>
  <c r="DC394" i="9"/>
  <c r="CB396" i="9"/>
  <c r="CB581" i="9"/>
  <c r="CB863" i="9" s="1"/>
  <c r="DC125" i="9"/>
  <c r="Y466" i="9"/>
  <c r="DB115" i="9"/>
  <c r="CA115" i="9"/>
  <c r="CA466" i="9" s="1"/>
  <c r="Y587" i="9"/>
  <c r="Y869" i="9" s="1"/>
  <c r="CA239" i="9"/>
  <c r="CA587" i="9" s="1"/>
  <c r="CA869" i="9" s="1"/>
  <c r="DB239" i="9"/>
  <c r="Y631" i="9"/>
  <c r="CA204" i="9"/>
  <c r="DB204" i="9"/>
  <c r="Y206" i="9"/>
  <c r="DB98" i="9"/>
  <c r="CA98" i="9"/>
  <c r="AC947" i="9"/>
  <c r="AC970" i="9" s="1"/>
  <c r="Y477" i="9"/>
  <c r="DB324" i="9"/>
  <c r="CA324" i="9"/>
  <c r="CA477" i="9" s="1"/>
  <c r="AC943" i="9"/>
  <c r="AC966" i="9" s="1"/>
  <c r="Y558" i="9"/>
  <c r="Y840" i="9" s="1"/>
  <c r="CA124" i="9"/>
  <c r="CA558" i="9" s="1"/>
  <c r="CA840" i="9" s="1"/>
  <c r="DB124" i="9"/>
  <c r="Y560" i="9"/>
  <c r="Y842" i="9" s="1"/>
  <c r="DB162" i="9"/>
  <c r="CA162" i="9"/>
  <c r="CA560" i="9" s="1"/>
  <c r="CA842" i="9" s="1"/>
  <c r="Y977" i="9"/>
  <c r="Y486" i="9"/>
  <c r="DB59" i="9"/>
  <c r="CA59" i="9"/>
  <c r="Y564" i="9"/>
  <c r="Y846" i="9" s="1"/>
  <c r="CA238" i="9"/>
  <c r="CA564" i="9" s="1"/>
  <c r="CA846" i="9" s="1"/>
  <c r="DB238" i="9"/>
  <c r="CA428" i="9"/>
  <c r="CA574" i="9" s="1"/>
  <c r="CA856" i="9" s="1"/>
  <c r="Y574" i="9"/>
  <c r="Y856" i="9" s="1"/>
  <c r="DB428" i="9"/>
  <c r="Y633" i="9"/>
  <c r="CA242" i="9"/>
  <c r="DB242" i="9"/>
  <c r="Y244" i="9"/>
  <c r="Y991" i="9"/>
  <c r="CA325" i="9"/>
  <c r="Y500" i="9"/>
  <c r="DB325" i="9"/>
  <c r="AC1058" i="9"/>
  <c r="AC1081" i="9" s="1"/>
  <c r="AC1059" i="9"/>
  <c r="AC1082" i="9" s="1"/>
  <c r="Y597" i="9"/>
  <c r="Y879" i="9" s="1"/>
  <c r="CA429" i="9"/>
  <c r="CA597" i="9" s="1"/>
  <c r="CA879" i="9" s="1"/>
  <c r="DB429" i="9"/>
  <c r="BZ307" i="9"/>
  <c r="DA307" i="9"/>
  <c r="DA117" i="9"/>
  <c r="BZ117" i="9"/>
  <c r="AB941" i="9"/>
  <c r="AB964" i="9" s="1"/>
  <c r="X465" i="9"/>
  <c r="DA96" i="9"/>
  <c r="BZ96" i="9"/>
  <c r="BZ465" i="9" s="1"/>
  <c r="AB939" i="9"/>
  <c r="AB962" i="9" s="1"/>
  <c r="BZ60" i="9"/>
  <c r="DA60" i="9"/>
  <c r="X984" i="9"/>
  <c r="X493" i="9"/>
  <c r="BZ192" i="9"/>
  <c r="DA192" i="9"/>
  <c r="DA79" i="9"/>
  <c r="BZ79" i="9"/>
  <c r="AB1062" i="9"/>
  <c r="AB1085" i="9" s="1"/>
  <c r="X560" i="9"/>
  <c r="X842" i="9" s="1"/>
  <c r="BZ162" i="9"/>
  <c r="BZ560" i="9" s="1"/>
  <c r="BZ842" i="9" s="1"/>
  <c r="DA162" i="9"/>
  <c r="AB950" i="9"/>
  <c r="AB973" i="9" s="1"/>
  <c r="DA136" i="9"/>
  <c r="BZ136" i="9"/>
  <c r="X596" i="9"/>
  <c r="X878" i="9" s="1"/>
  <c r="BZ410" i="9"/>
  <c r="BZ596" i="9" s="1"/>
  <c r="BZ878" i="9" s="1"/>
  <c r="DA410" i="9"/>
  <c r="AB945" i="9"/>
  <c r="AB968" i="9" s="1"/>
  <c r="X983" i="9"/>
  <c r="X492" i="9"/>
  <c r="BZ173" i="9"/>
  <c r="DA173" i="9"/>
  <c r="BZ402" i="9"/>
  <c r="DA402" i="9"/>
  <c r="AB1064" i="9"/>
  <c r="AB1087" i="9" s="1"/>
  <c r="X574" i="9"/>
  <c r="X856" i="9" s="1"/>
  <c r="BZ428" i="9"/>
  <c r="BZ574" i="9" s="1"/>
  <c r="BZ856" i="9" s="1"/>
  <c r="DA428" i="9"/>
  <c r="X479" i="9"/>
  <c r="DA362" i="9"/>
  <c r="BZ362" i="9"/>
  <c r="BZ479" i="9" s="1"/>
  <c r="X580" i="9"/>
  <c r="X862" i="9" s="1"/>
  <c r="BZ106" i="9"/>
  <c r="BZ580" i="9" s="1"/>
  <c r="BZ862" i="9" s="1"/>
  <c r="DA106" i="9"/>
  <c r="X466" i="9"/>
  <c r="DA115" i="9"/>
  <c r="BZ115" i="9"/>
  <c r="BZ466" i="9" s="1"/>
  <c r="AB1055" i="9"/>
  <c r="AB1078" i="9" s="1"/>
  <c r="W995" i="9"/>
  <c r="W504" i="9"/>
  <c r="BY401" i="9"/>
  <c r="CZ401" i="9"/>
  <c r="W572" i="9"/>
  <c r="W854" i="9" s="1"/>
  <c r="BY390" i="9"/>
  <c r="BY572" i="9" s="1"/>
  <c r="BY854" i="9" s="1"/>
  <c r="CZ390" i="9"/>
  <c r="W392" i="9"/>
  <c r="W629" i="9"/>
  <c r="CZ166" i="9"/>
  <c r="BY166" i="9"/>
  <c r="W168" i="9"/>
  <c r="AA938" i="9"/>
  <c r="AA961" i="9" s="1"/>
  <c r="W595" i="9"/>
  <c r="W877" i="9" s="1"/>
  <c r="BY391" i="9"/>
  <c r="BY595" i="9" s="1"/>
  <c r="BY877" i="9" s="1"/>
  <c r="CZ391" i="9"/>
  <c r="AA932" i="9"/>
  <c r="AA955" i="9" s="1"/>
  <c r="W989" i="9"/>
  <c r="W498" i="9"/>
  <c r="BY287" i="9"/>
  <c r="CZ287" i="9"/>
  <c r="BY286" i="9"/>
  <c r="BY475" i="9" s="1"/>
  <c r="W475" i="9"/>
  <c r="CZ286" i="9"/>
  <c r="W289" i="9"/>
  <c r="W626" i="9"/>
  <c r="CZ109" i="9"/>
  <c r="BY109" i="9"/>
  <c r="W111" i="9"/>
  <c r="AA1055" i="9"/>
  <c r="AA1078" i="9" s="1"/>
  <c r="CZ98" i="9"/>
  <c r="BY98" i="9"/>
  <c r="W624" i="9"/>
  <c r="BY71" i="9"/>
  <c r="CZ71" i="9"/>
  <c r="W73" i="9"/>
  <c r="W985" i="9"/>
  <c r="BY211" i="9"/>
  <c r="W494" i="9"/>
  <c r="CZ211" i="9"/>
  <c r="AA1062" i="9"/>
  <c r="AA1085" i="9" s="1"/>
  <c r="BY364" i="9"/>
  <c r="CZ364" i="9"/>
  <c r="W474" i="9"/>
  <c r="CZ267" i="9"/>
  <c r="BY267" i="9"/>
  <c r="BY474" i="9" s="1"/>
  <c r="W270" i="9"/>
  <c r="W587" i="9"/>
  <c r="W869" i="9" s="1"/>
  <c r="BY239" i="9"/>
  <c r="BY587" i="9" s="1"/>
  <c r="BY869" i="9" s="1"/>
  <c r="CZ239" i="9"/>
  <c r="W625" i="9"/>
  <c r="CZ90" i="9"/>
  <c r="BY90" i="9"/>
  <c r="W92" i="9"/>
  <c r="W979" i="9"/>
  <c r="W488" i="9"/>
  <c r="BY97" i="9"/>
  <c r="CZ97" i="9"/>
  <c r="W982" i="9"/>
  <c r="W491" i="9"/>
  <c r="BY154" i="9"/>
  <c r="CZ154" i="9"/>
  <c r="W480" i="9"/>
  <c r="BY381" i="9"/>
  <c r="BY480" i="9" s="1"/>
  <c r="CZ381" i="9"/>
  <c r="W384" i="9"/>
  <c r="Y913" i="9"/>
  <c r="CA913" i="9" s="1"/>
  <c r="Y916" i="9"/>
  <c r="CA916" i="9" s="1"/>
  <c r="Y1025" i="9"/>
  <c r="CA1025" i="9" s="1"/>
  <c r="X908" i="9"/>
  <c r="BZ908" i="9" s="1"/>
  <c r="X1034" i="9"/>
  <c r="BZ1034" i="9" s="1"/>
  <c r="W1038" i="9"/>
  <c r="BY1038" i="9" s="1"/>
  <c r="W917" i="9"/>
  <c r="BY917" i="9" s="1"/>
  <c r="W1040" i="9"/>
  <c r="BY1040" i="9" s="1"/>
  <c r="W1026" i="9"/>
  <c r="BY1026" i="9" s="1"/>
  <c r="W1035" i="9"/>
  <c r="BY1035" i="9" s="1"/>
  <c r="BV773" i="9"/>
  <c r="BV782" i="9"/>
  <c r="BV748" i="9"/>
  <c r="W725" i="9"/>
  <c r="BY725" i="9" s="1"/>
  <c r="BJ1050" i="9"/>
  <c r="Y1050" i="9" s="1"/>
  <c r="CA1050" i="9" s="1"/>
  <c r="BI940" i="9"/>
  <c r="BI963" i="9" s="1"/>
  <c r="BJ933" i="9"/>
  <c r="Y933" i="9" s="1"/>
  <c r="CA933" i="9" s="1"/>
  <c r="BI933" i="9"/>
  <c r="BI956" i="9" s="1"/>
  <c r="BH1063" i="9"/>
  <c r="BH1086" i="9" s="1"/>
  <c r="BG1047" i="9"/>
  <c r="BG1070" i="9" s="1"/>
  <c r="BF946" i="9"/>
  <c r="BF969" i="9" s="1"/>
  <c r="BE1064" i="9"/>
  <c r="BE1087" i="9" s="1"/>
  <c r="BD936" i="9"/>
  <c r="BD959" i="9" s="1"/>
  <c r="BC1049" i="9"/>
  <c r="BC1072" i="9" s="1"/>
  <c r="BB946" i="9"/>
  <c r="BB969" i="9" s="1"/>
  <c r="BA934" i="9"/>
  <c r="BA957" i="9" s="1"/>
  <c r="AY934" i="9"/>
  <c r="AY957" i="9" s="1"/>
  <c r="AT1057" i="9"/>
  <c r="AT1080" i="9" s="1"/>
  <c r="BI944" i="9"/>
  <c r="BI967" i="9" s="1"/>
  <c r="BH937" i="9"/>
  <c r="BH960" i="9" s="1"/>
  <c r="BG937" i="9"/>
  <c r="BG960" i="9" s="1"/>
  <c r="BF1048" i="9"/>
  <c r="BF1071" i="9" s="1"/>
  <c r="BD949" i="9"/>
  <c r="BD972" i="9" s="1"/>
  <c r="BC1051" i="9"/>
  <c r="BC1074" i="9" s="1"/>
  <c r="BB941" i="9"/>
  <c r="BB964" i="9" s="1"/>
  <c r="AZ931" i="9"/>
  <c r="AZ954" i="9" s="1"/>
  <c r="AY1062" i="9"/>
  <c r="AY1085" i="9" s="1"/>
  <c r="AX1048" i="9"/>
  <c r="X1048" i="9" s="1"/>
  <c r="BZ1048" i="9" s="1"/>
  <c r="AV940" i="9"/>
  <c r="AV963" i="9" s="1"/>
  <c r="AU1051" i="9"/>
  <c r="AU1074" i="9" s="1"/>
  <c r="AS1062" i="9"/>
  <c r="AS1085" i="9" s="1"/>
  <c r="AR947" i="9"/>
  <c r="AR970" i="9" s="1"/>
  <c r="AQ941" i="9"/>
  <c r="AQ964" i="9" s="1"/>
  <c r="AP1052" i="9"/>
  <c r="AP1075" i="9" s="1"/>
  <c r="AO950" i="9"/>
  <c r="AO973" i="9" s="1"/>
  <c r="AN1058" i="9"/>
  <c r="AN1081" i="9" s="1"/>
  <c r="AN932" i="9"/>
  <c r="AN955" i="9" s="1"/>
  <c r="AM1065" i="9"/>
  <c r="AM1088" i="9" s="1"/>
  <c r="AL1048" i="9"/>
  <c r="W1048" i="9" s="1"/>
  <c r="BY1048" i="9" s="1"/>
  <c r="AL947" i="9"/>
  <c r="W947" i="9" s="1"/>
  <c r="BY947" i="9" s="1"/>
  <c r="AK1055" i="9"/>
  <c r="AK1078" i="9" s="1"/>
  <c r="AK1061" i="9"/>
  <c r="AK1084" i="9" s="1"/>
  <c r="AK1050" i="9"/>
  <c r="AK1073" i="9" s="1"/>
  <c r="AJ1053" i="9"/>
  <c r="AJ1076" i="9" s="1"/>
  <c r="AJ939" i="9"/>
  <c r="AJ962" i="9" s="1"/>
  <c r="AJ1052" i="9"/>
  <c r="AJ1075" i="9" s="1"/>
  <c r="AJ1059" i="9"/>
  <c r="AJ1082" i="9" s="1"/>
  <c r="AI950" i="9"/>
  <c r="AI973" i="9" s="1"/>
  <c r="AI938" i="9"/>
  <c r="AI961" i="9" s="1"/>
  <c r="AI941" i="9"/>
  <c r="AI964" i="9" s="1"/>
  <c r="AI1046" i="9"/>
  <c r="AI1069" i="9" s="1"/>
  <c r="AI932" i="9"/>
  <c r="AI955" i="9" s="1"/>
  <c r="AH950" i="9"/>
  <c r="AH973" i="9" s="1"/>
  <c r="AH946" i="9"/>
  <c r="AH969" i="9" s="1"/>
  <c r="AH944" i="9"/>
  <c r="AH967" i="9" s="1"/>
  <c r="AH943" i="9"/>
  <c r="AH966" i="9" s="1"/>
  <c r="AG1062" i="9"/>
  <c r="AG1085" i="9" s="1"/>
  <c r="AG1065" i="9"/>
  <c r="AG1088" i="9" s="1"/>
  <c r="AG1059" i="9"/>
  <c r="AG1082" i="9" s="1"/>
  <c r="AG1053" i="9"/>
  <c r="AG1076" i="9" s="1"/>
  <c r="AG1060" i="9"/>
  <c r="AG1083" i="9" s="1"/>
  <c r="AF931" i="9"/>
  <c r="AF954" i="9" s="1"/>
  <c r="AF1046" i="9"/>
  <c r="AF1069" i="9" s="1"/>
  <c r="AF1047" i="9"/>
  <c r="AF1070" i="9" s="1"/>
  <c r="AF1055" i="9"/>
  <c r="AF1078" i="9" s="1"/>
  <c r="AF950" i="9"/>
  <c r="AF973" i="9" s="1"/>
  <c r="AE940" i="9"/>
  <c r="AE963" i="9" s="1"/>
  <c r="AE941" i="9"/>
  <c r="AE964" i="9" s="1"/>
  <c r="AE1060" i="9"/>
  <c r="AE1083" i="9" s="1"/>
  <c r="CB566" i="9"/>
  <c r="CB848" i="9" s="1"/>
  <c r="DC276" i="9"/>
  <c r="AE1050" i="9"/>
  <c r="AE1073" i="9" s="1"/>
  <c r="AE950" i="9"/>
  <c r="AE973" i="9" s="1"/>
  <c r="AE946" i="9"/>
  <c r="AE969" i="9" s="1"/>
  <c r="CB993" i="9"/>
  <c r="CB502" i="9"/>
  <c r="DC363" i="9"/>
  <c r="AE949" i="9"/>
  <c r="AE972" i="9" s="1"/>
  <c r="AE944" i="9"/>
  <c r="AE967" i="9" s="1"/>
  <c r="CB562" i="9"/>
  <c r="CB844" i="9" s="1"/>
  <c r="DC200" i="9"/>
  <c r="CB580" i="9"/>
  <c r="CB862" i="9" s="1"/>
  <c r="DC106" i="9"/>
  <c r="AE939" i="9"/>
  <c r="AE962" i="9" s="1"/>
  <c r="CB556" i="9"/>
  <c r="CB838" i="9" s="1"/>
  <c r="DC86" i="9"/>
  <c r="AD1048" i="9"/>
  <c r="AD1071" i="9" s="1"/>
  <c r="CB592" i="9"/>
  <c r="CB874" i="9" s="1"/>
  <c r="DC334" i="9"/>
  <c r="AD1065" i="9"/>
  <c r="AD1088" i="9" s="1"/>
  <c r="CB570" i="9"/>
  <c r="CB852" i="9" s="1"/>
  <c r="DC352" i="9"/>
  <c r="AD945" i="9"/>
  <c r="AD968" i="9" s="1"/>
  <c r="CB479" i="9"/>
  <c r="DC362" i="9"/>
  <c r="CB586" i="9"/>
  <c r="CB868" i="9" s="1"/>
  <c r="DC220" i="9"/>
  <c r="AD1053" i="9"/>
  <c r="AD1076" i="9" s="1"/>
  <c r="AD1047" i="9"/>
  <c r="AD1070" i="9" s="1"/>
  <c r="CB734" i="9"/>
  <c r="AC935" i="9"/>
  <c r="AC958" i="9" s="1"/>
  <c r="Y555" i="9"/>
  <c r="Y837" i="9" s="1"/>
  <c r="DB67" i="9"/>
  <c r="CA67" i="9"/>
  <c r="CA555" i="9" s="1"/>
  <c r="CA837" i="9" s="1"/>
  <c r="Y635" i="9"/>
  <c r="CA280" i="9"/>
  <c r="DB280" i="9"/>
  <c r="Y282" i="9"/>
  <c r="DB419" i="9"/>
  <c r="Y482" i="9"/>
  <c r="CA419" i="9"/>
  <c r="CA482" i="9" s="1"/>
  <c r="Y480" i="9"/>
  <c r="CA381" i="9"/>
  <c r="CA480" i="9" s="1"/>
  <c r="DB381" i="9"/>
  <c r="Y978" i="9"/>
  <c r="Y487" i="9"/>
  <c r="CA78" i="9"/>
  <c r="DB78" i="9"/>
  <c r="Y626" i="9"/>
  <c r="CA109" i="9"/>
  <c r="DB109" i="9"/>
  <c r="Y111" i="9"/>
  <c r="DB269" i="9"/>
  <c r="CA269" i="9"/>
  <c r="CY269" i="9" s="1" a="1"/>
  <c r="CY269" i="9" s="1"/>
  <c r="Y632" i="9"/>
  <c r="CA223" i="9"/>
  <c r="DB223" i="9"/>
  <c r="Y225" i="9"/>
  <c r="Y591" i="9"/>
  <c r="Y873" i="9" s="1"/>
  <c r="CA315" i="9"/>
  <c r="CA591" i="9" s="1"/>
  <c r="CA873" i="9" s="1"/>
  <c r="DB315" i="9"/>
  <c r="Y471" i="9"/>
  <c r="CA210" i="9"/>
  <c r="CA471" i="9" s="1"/>
  <c r="DB210" i="9"/>
  <c r="CA307" i="9"/>
  <c r="DB307" i="9"/>
  <c r="AC1063" i="9"/>
  <c r="AC1086" i="9" s="1"/>
  <c r="AC1055" i="9"/>
  <c r="AC1078" i="9" s="1"/>
  <c r="Y563" i="9"/>
  <c r="Y845" i="9" s="1"/>
  <c r="DB219" i="9"/>
  <c r="CA219" i="9"/>
  <c r="CA563" i="9" s="1"/>
  <c r="CA845" i="9" s="1"/>
  <c r="CA136" i="9"/>
  <c r="DB136" i="9"/>
  <c r="AC938" i="9"/>
  <c r="AC961" i="9" s="1"/>
  <c r="CA79" i="9"/>
  <c r="DB79" i="9"/>
  <c r="Y556" i="9"/>
  <c r="Y838" i="9" s="1"/>
  <c r="CA86" i="9"/>
  <c r="CA556" i="9" s="1"/>
  <c r="CA838" i="9" s="1"/>
  <c r="DB86" i="9"/>
  <c r="Y582" i="9"/>
  <c r="Y864" i="9" s="1"/>
  <c r="CA144" i="9"/>
  <c r="CA582" i="9" s="1"/>
  <c r="CA864" i="9" s="1"/>
  <c r="DB144" i="9"/>
  <c r="Y636" i="9"/>
  <c r="CA299" i="9"/>
  <c r="DB299" i="9"/>
  <c r="Y301" i="9"/>
  <c r="AB942" i="9"/>
  <c r="AB965" i="9" s="1"/>
  <c r="X588" i="9"/>
  <c r="X870" i="9" s="1"/>
  <c r="DA258" i="9"/>
  <c r="BZ258" i="9"/>
  <c r="BZ588" i="9" s="1"/>
  <c r="BZ870" i="9" s="1"/>
  <c r="X629" i="9"/>
  <c r="DA166" i="9"/>
  <c r="BZ166" i="9"/>
  <c r="X168" i="9"/>
  <c r="X995" i="9"/>
  <c r="BZ401" i="9"/>
  <c r="DA401" i="9"/>
  <c r="X504" i="9"/>
  <c r="AB932" i="9"/>
  <c r="AB955" i="9" s="1"/>
  <c r="X482" i="9"/>
  <c r="BZ419" i="9"/>
  <c r="BZ482" i="9" s="1"/>
  <c r="DA419" i="9"/>
  <c r="BZ231" i="9"/>
  <c r="DA231" i="9"/>
  <c r="X563" i="9"/>
  <c r="X845" i="9" s="1"/>
  <c r="DA219" i="9"/>
  <c r="BZ219" i="9"/>
  <c r="BZ563" i="9" s="1"/>
  <c r="BZ845" i="9" s="1"/>
  <c r="X579" i="9"/>
  <c r="X861" i="9" s="1"/>
  <c r="BZ87" i="9"/>
  <c r="BZ579" i="9" s="1"/>
  <c r="BZ861" i="9" s="1"/>
  <c r="DA87" i="9"/>
  <c r="AB1063" i="9"/>
  <c r="AB1086" i="9" s="1"/>
  <c r="X467" i="9"/>
  <c r="BZ134" i="9"/>
  <c r="BZ467" i="9" s="1"/>
  <c r="DA134" i="9"/>
  <c r="X571" i="9"/>
  <c r="X853" i="9" s="1"/>
  <c r="BZ371" i="9"/>
  <c r="BZ571" i="9" s="1"/>
  <c r="BZ853" i="9" s="1"/>
  <c r="DA371" i="9"/>
  <c r="DA98" i="9"/>
  <c r="BZ98" i="9"/>
  <c r="AB947" i="9"/>
  <c r="AB970" i="9" s="1"/>
  <c r="BZ421" i="9"/>
  <c r="DA421" i="9"/>
  <c r="X980" i="9"/>
  <c r="X489" i="9"/>
  <c r="DA116" i="9"/>
  <c r="BZ116" i="9"/>
  <c r="X463" i="9"/>
  <c r="BZ58" i="9"/>
  <c r="BZ463" i="9" s="1"/>
  <c r="DA58" i="9"/>
  <c r="X471" i="9"/>
  <c r="BZ210" i="9"/>
  <c r="BZ471" i="9" s="1"/>
  <c r="DA210" i="9"/>
  <c r="X566" i="9"/>
  <c r="X848" i="9" s="1"/>
  <c r="DA276" i="9"/>
  <c r="BZ276" i="9"/>
  <c r="BZ566" i="9" s="1"/>
  <c r="BZ848" i="9" s="1"/>
  <c r="X572" i="9"/>
  <c r="X854" i="9" s="1"/>
  <c r="BZ390" i="9"/>
  <c r="BZ572" i="9" s="1"/>
  <c r="BZ854" i="9" s="1"/>
  <c r="DA390" i="9"/>
  <c r="W983" i="9"/>
  <c r="W492" i="9"/>
  <c r="CZ173" i="9"/>
  <c r="BY173" i="9"/>
  <c r="BY79" i="9"/>
  <c r="CZ79" i="9"/>
  <c r="CZ383" i="9"/>
  <c r="BY383" i="9"/>
  <c r="W580" i="9"/>
  <c r="W862" i="9" s="1"/>
  <c r="CZ106" i="9"/>
  <c r="BY106" i="9"/>
  <c r="BY580" i="9" s="1"/>
  <c r="BY862" i="9" s="1"/>
  <c r="AA1048" i="9"/>
  <c r="AA1071" i="9" s="1"/>
  <c r="W562" i="9"/>
  <c r="W844" i="9" s="1"/>
  <c r="CZ200" i="9"/>
  <c r="BY200" i="9"/>
  <c r="BY562" i="9" s="1"/>
  <c r="BY844" i="9" s="1"/>
  <c r="W202" i="9"/>
  <c r="BY204" i="9"/>
  <c r="W631" i="9"/>
  <c r="CZ204" i="9"/>
  <c r="W206" i="9"/>
  <c r="W991" i="9"/>
  <c r="W500" i="9"/>
  <c r="BY325" i="9"/>
  <c r="CZ325" i="9"/>
  <c r="W627" i="9"/>
  <c r="CZ128" i="9"/>
  <c r="BY128" i="9"/>
  <c r="CL128" i="9" s="1"/>
  <c r="W130" i="9"/>
  <c r="AA1065" i="9"/>
  <c r="AA1088" i="9" s="1"/>
  <c r="W470" i="9"/>
  <c r="BY191" i="9"/>
  <c r="BY470" i="9" s="1"/>
  <c r="CZ191" i="9"/>
  <c r="CY191" i="9" a="1"/>
  <c r="CY191" i="9" s="1"/>
  <c r="W194" i="9"/>
  <c r="AA1054" i="9"/>
  <c r="AA1077" i="9" s="1"/>
  <c r="W565" i="9"/>
  <c r="W847" i="9" s="1"/>
  <c r="BY257" i="9"/>
  <c r="BY565" i="9" s="1"/>
  <c r="BY847" i="9" s="1"/>
  <c r="CZ257" i="9"/>
  <c r="W259" i="9"/>
  <c r="W994" i="9"/>
  <c r="W503" i="9"/>
  <c r="CZ382" i="9"/>
  <c r="BY382" i="9"/>
  <c r="BY402" i="9"/>
  <c r="CY402" i="9" s="1" a="1"/>
  <c r="CY402" i="9" s="1"/>
  <c r="CZ402" i="9"/>
  <c r="AA937" i="9"/>
  <c r="AA960" i="9" s="1"/>
  <c r="BY231" i="9"/>
  <c r="CZ231" i="9"/>
  <c r="W581" i="9"/>
  <c r="W863" i="9" s="1"/>
  <c r="CZ125" i="9"/>
  <c r="BY125" i="9"/>
  <c r="BY581" i="9" s="1"/>
  <c r="BY863" i="9" s="1"/>
  <c r="W567" i="9"/>
  <c r="W849" i="9" s="1"/>
  <c r="CZ295" i="9"/>
  <c r="BY295" i="9"/>
  <c r="BY567" i="9" s="1"/>
  <c r="BY849" i="9" s="1"/>
  <c r="W297" i="9"/>
  <c r="W560" i="9"/>
  <c r="W842" i="9" s="1"/>
  <c r="BY162" i="9"/>
  <c r="BY560" i="9" s="1"/>
  <c r="BY842" i="9" s="1"/>
  <c r="CZ162" i="9"/>
  <c r="W164" i="9"/>
  <c r="W641" i="9"/>
  <c r="BY394" i="9"/>
  <c r="CZ394" i="9"/>
  <c r="W396" i="9"/>
  <c r="Y1027" i="9"/>
  <c r="CA1027" i="9" s="1"/>
  <c r="Y923" i="9"/>
  <c r="CA923" i="9" s="1"/>
  <c r="X909" i="9"/>
  <c r="BZ909" i="9" s="1"/>
  <c r="X1041" i="9"/>
  <c r="BZ1041" i="9" s="1"/>
  <c r="X1033" i="9"/>
  <c r="BZ1033" i="9" s="1"/>
  <c r="X914" i="9"/>
  <c r="BZ914" i="9" s="1"/>
  <c r="W1034" i="9"/>
  <c r="BY1034" i="9" s="1"/>
  <c r="W1037" i="9"/>
  <c r="BY1037" i="9" s="1"/>
  <c r="W1029" i="9"/>
  <c r="BY1029" i="9" s="1"/>
  <c r="W1025" i="9"/>
  <c r="BY1025" i="9" s="1"/>
  <c r="BV645" i="9"/>
  <c r="BV760" i="9"/>
  <c r="W737" i="9"/>
  <c r="BY737" i="9" s="1"/>
  <c r="BV733" i="9"/>
  <c r="BV244" i="3"/>
  <c r="BJ1058" i="9"/>
  <c r="Y1058" i="9" s="1"/>
  <c r="CA1058" i="9" s="1"/>
  <c r="BJ1052" i="9"/>
  <c r="Y1052" i="9" s="1"/>
  <c r="CA1052" i="9" s="1"/>
  <c r="BJ1047" i="9"/>
  <c r="Y1047" i="9" s="1"/>
  <c r="CA1047" i="9" s="1"/>
  <c r="BI947" i="9"/>
  <c r="BI970" i="9" s="1"/>
  <c r="BH1050" i="9"/>
  <c r="BH1073" i="9" s="1"/>
  <c r="BH1046" i="9"/>
  <c r="BH1069" i="9" s="1"/>
  <c r="BG943" i="9"/>
  <c r="BG966" i="9" s="1"/>
  <c r="BG1061" i="9"/>
  <c r="BG1084" i="9" s="1"/>
  <c r="BF1049" i="9"/>
  <c r="BF1072" i="9" s="1"/>
  <c r="BE1049" i="9"/>
  <c r="BE1072" i="9" s="1"/>
  <c r="BD1062" i="9"/>
  <c r="BD1085" i="9" s="1"/>
  <c r="BD1063" i="9"/>
  <c r="BD1086" i="9" s="1"/>
  <c r="BC934" i="9"/>
  <c r="BC957" i="9" s="1"/>
  <c r="BC944" i="9"/>
  <c r="BC967" i="9" s="1"/>
  <c r="BB1052" i="9"/>
  <c r="BB1075" i="9" s="1"/>
  <c r="BB1062" i="9"/>
  <c r="BB1085" i="9" s="1"/>
  <c r="BA1052" i="9"/>
  <c r="BA1075" i="9" s="1"/>
  <c r="AZ1051" i="9"/>
  <c r="AZ1074" i="9" s="1"/>
  <c r="AZ937" i="9"/>
  <c r="AZ960" i="9" s="1"/>
  <c r="AY1064" i="9"/>
  <c r="AY1087" i="9" s="1"/>
  <c r="AY942" i="9"/>
  <c r="AY965" i="9" s="1"/>
  <c r="AX1060" i="9"/>
  <c r="X1060" i="9" s="1"/>
  <c r="BZ1060" i="9" s="1"/>
  <c r="AX1058" i="9"/>
  <c r="X1058" i="9" s="1"/>
  <c r="BZ1058" i="9" s="1"/>
  <c r="AW1058" i="9"/>
  <c r="AW1081" i="9" s="1"/>
  <c r="AW943" i="9"/>
  <c r="AW966" i="9" s="1"/>
  <c r="AV1063" i="9"/>
  <c r="AV1086" i="9" s="1"/>
  <c r="AV1046" i="9"/>
  <c r="AV1069" i="9" s="1"/>
  <c r="AU1050" i="9"/>
  <c r="AU1073" i="9" s="1"/>
  <c r="AU1062" i="9"/>
  <c r="AU1085" i="9" s="1"/>
  <c r="AT1046" i="9"/>
  <c r="AT1069" i="9" s="1"/>
  <c r="AS1053" i="9"/>
  <c r="AS1076" i="9" s="1"/>
  <c r="BJ1056" i="9"/>
  <c r="Y1056" i="9" s="1"/>
  <c r="CA1056" i="9" s="1"/>
  <c r="BJ1057" i="9"/>
  <c r="Y1057" i="9" s="1"/>
  <c r="CA1057" i="9" s="1"/>
  <c r="BI1064" i="9"/>
  <c r="BI1087" i="9" s="1"/>
  <c r="BI942" i="9"/>
  <c r="BI965" i="9" s="1"/>
  <c r="BH941" i="9"/>
  <c r="BH964" i="9" s="1"/>
  <c r="BH1065" i="9"/>
  <c r="BH1088" i="9" s="1"/>
  <c r="BG1065" i="9"/>
  <c r="BG1088" i="9" s="1"/>
  <c r="BG938" i="9"/>
  <c r="BG961" i="9" s="1"/>
  <c r="BF1052" i="9"/>
  <c r="BF1075" i="9" s="1"/>
  <c r="BF1065" i="9"/>
  <c r="BF1088" i="9" s="1"/>
  <c r="BE934" i="9"/>
  <c r="BE957" i="9" s="1"/>
  <c r="BE936" i="9"/>
  <c r="BE959" i="9" s="1"/>
  <c r="BE1059" i="9"/>
  <c r="BE1082" i="9" s="1"/>
  <c r="BD1046" i="9"/>
  <c r="BD1069" i="9" s="1"/>
  <c r="BD944" i="9"/>
  <c r="BD967" i="9" s="1"/>
  <c r="BC1055" i="9"/>
  <c r="BC1078" i="9" s="1"/>
  <c r="BC1053" i="9"/>
  <c r="BC1076" i="9" s="1"/>
  <c r="BB938" i="9"/>
  <c r="BB961" i="9" s="1"/>
  <c r="BB1047" i="9"/>
  <c r="BB1070" i="9" s="1"/>
  <c r="BA1065" i="9"/>
  <c r="BA1088" i="9" s="1"/>
  <c r="BA1061" i="9"/>
  <c r="BA1084" i="9" s="1"/>
  <c r="AZ942" i="9"/>
  <c r="AZ965" i="9" s="1"/>
  <c r="AZ1060" i="9"/>
  <c r="AZ1083" i="9" s="1"/>
  <c r="AY1047" i="9"/>
  <c r="AY1070" i="9" s="1"/>
  <c r="AY1052" i="9"/>
  <c r="AY1075" i="9" s="1"/>
  <c r="AX1065" i="9"/>
  <c r="X1065" i="9" s="1"/>
  <c r="BZ1065" i="9" s="1"/>
  <c r="AX944" i="9"/>
  <c r="X944" i="9" s="1"/>
  <c r="BZ944" i="9" s="1"/>
  <c r="AW1046" i="9"/>
  <c r="AW1069" i="9" s="1"/>
  <c r="AW1054" i="9"/>
  <c r="AW1077" i="9" s="1"/>
  <c r="AW1060" i="9"/>
  <c r="AW1083" i="9" s="1"/>
  <c r="AV1059" i="9"/>
  <c r="AV1082" i="9" s="1"/>
  <c r="AU939" i="9"/>
  <c r="AU962" i="9" s="1"/>
  <c r="AU1061" i="9"/>
  <c r="AU1084" i="9" s="1"/>
  <c r="AT944" i="9"/>
  <c r="AT967" i="9" s="1"/>
  <c r="AT1047" i="9"/>
  <c r="AT1070" i="9" s="1"/>
  <c r="AT1056" i="9"/>
  <c r="AT1079" i="9" s="1"/>
  <c r="AS944" i="9"/>
  <c r="AS967" i="9" s="1"/>
  <c r="AS1054" i="9"/>
  <c r="AS1077" i="9" s="1"/>
  <c r="AR1050" i="9"/>
  <c r="AR1073" i="9" s="1"/>
  <c r="AR931" i="9"/>
  <c r="AR954" i="9" s="1"/>
  <c r="AQ1058" i="9"/>
  <c r="AQ1081" i="9" s="1"/>
  <c r="AQ950" i="9"/>
  <c r="AQ973" i="9" s="1"/>
  <c r="AP933" i="9"/>
  <c r="AP956" i="9" s="1"/>
  <c r="AP949" i="9"/>
  <c r="AP972" i="9" s="1"/>
  <c r="AP950" i="9"/>
  <c r="AP973" i="9" s="1"/>
  <c r="AO1056" i="9"/>
  <c r="AO1079" i="9" s="1"/>
  <c r="AO1051" i="9"/>
  <c r="AO1074" i="9" s="1"/>
  <c r="AO1046" i="9"/>
  <c r="AO1069" i="9" s="1"/>
  <c r="AN934" i="9"/>
  <c r="AN957" i="9" s="1"/>
  <c r="AN938" i="9"/>
  <c r="AN961" i="9" s="1"/>
  <c r="AN1048" i="9"/>
  <c r="AN1071" i="9" s="1"/>
  <c r="AM943" i="9"/>
  <c r="AM966" i="9" s="1"/>
  <c r="AM947" i="9"/>
  <c r="AM970" i="9" s="1"/>
  <c r="AM944" i="9"/>
  <c r="AM967" i="9" s="1"/>
  <c r="AM1061" i="9"/>
  <c r="AM1084" i="9" s="1"/>
  <c r="AL931" i="9"/>
  <c r="W931" i="9" s="1"/>
  <c r="BY931" i="9" s="1"/>
  <c r="AL932" i="9"/>
  <c r="W932" i="9" s="1"/>
  <c r="BY932" i="9" s="1"/>
  <c r="AK936" i="9"/>
  <c r="AK959" i="9" s="1"/>
  <c r="AK945" i="9"/>
  <c r="AK968" i="9" s="1"/>
  <c r="AJ1061" i="9"/>
  <c r="AJ1084" i="9" s="1"/>
  <c r="AH932" i="9"/>
  <c r="AH955" i="9" s="1"/>
  <c r="BV741" i="9"/>
  <c r="W718" i="9"/>
  <c r="BY718" i="9" s="1"/>
  <c r="BJ1065" i="9"/>
  <c r="Y1065" i="9" s="1"/>
  <c r="CA1065" i="9" s="1"/>
  <c r="BJ944" i="9"/>
  <c r="Y944" i="9" s="1"/>
  <c r="CA944" i="9" s="1"/>
  <c r="BJ1053" i="9"/>
  <c r="Y1053" i="9" s="1"/>
  <c r="CA1053" i="9" s="1"/>
  <c r="BJ1059" i="9"/>
  <c r="Y1059" i="9" s="1"/>
  <c r="CA1059" i="9" s="1"/>
  <c r="BJ1054" i="9"/>
  <c r="Y1054" i="9" s="1"/>
  <c r="CA1054" i="9" s="1"/>
  <c r="BI1057" i="9"/>
  <c r="BI1080" i="9" s="1"/>
  <c r="BI948" i="9"/>
  <c r="BI971" i="9" s="1"/>
  <c r="BI1052" i="9"/>
  <c r="BI1075" i="9" s="1"/>
  <c r="BI941" i="9"/>
  <c r="BI964" i="9" s="1"/>
  <c r="BI1061" i="9"/>
  <c r="BI1084" i="9" s="1"/>
  <c r="BH949" i="9"/>
  <c r="BH972" i="9" s="1"/>
  <c r="BH1049" i="9"/>
  <c r="BH1072" i="9" s="1"/>
  <c r="BH940" i="9"/>
  <c r="BH963" i="9" s="1"/>
  <c r="BH950" i="9"/>
  <c r="BH973" i="9" s="1"/>
  <c r="BH1055" i="9"/>
  <c r="BH1078" i="9" s="1"/>
  <c r="BG1063" i="9"/>
  <c r="BG1086" i="9" s="1"/>
  <c r="BG1057" i="9"/>
  <c r="BG1080" i="9" s="1"/>
  <c r="BG933" i="9"/>
  <c r="BG956" i="9" s="1"/>
  <c r="BG940" i="9"/>
  <c r="BG963" i="9" s="1"/>
  <c r="BG932" i="9"/>
  <c r="BG955" i="9" s="1"/>
  <c r="BF943" i="9"/>
  <c r="BF966" i="9" s="1"/>
  <c r="BF944" i="9"/>
  <c r="BF967" i="9" s="1"/>
  <c r="BF949" i="9"/>
  <c r="BF972" i="9" s="1"/>
  <c r="BF931" i="9"/>
  <c r="BF954" i="9" s="1"/>
  <c r="BF941" i="9"/>
  <c r="BF964" i="9" s="1"/>
  <c r="BE941" i="9"/>
  <c r="BE964" i="9" s="1"/>
  <c r="BE1055" i="9"/>
  <c r="BE1078" i="9" s="1"/>
  <c r="BE946" i="9"/>
  <c r="BE969" i="9" s="1"/>
  <c r="BE1047" i="9"/>
  <c r="BE1070" i="9" s="1"/>
  <c r="BE1057" i="9"/>
  <c r="BE1080" i="9" s="1"/>
  <c r="BD1047" i="9"/>
  <c r="BD1070" i="9" s="1"/>
  <c r="BD931" i="9"/>
  <c r="BD954" i="9" s="1"/>
  <c r="BD1059" i="9"/>
  <c r="BD1082" i="9" s="1"/>
  <c r="BD941" i="9"/>
  <c r="BD964" i="9" s="1"/>
  <c r="BD1060" i="9"/>
  <c r="BD1083" i="9" s="1"/>
  <c r="BC1065" i="9"/>
  <c r="BC1088" i="9" s="1"/>
  <c r="BC941" i="9"/>
  <c r="BC964" i="9" s="1"/>
  <c r="BC936" i="9"/>
  <c r="BC959" i="9" s="1"/>
  <c r="BC1062" i="9"/>
  <c r="BC1085" i="9" s="1"/>
  <c r="BC1056" i="9"/>
  <c r="BC1079" i="9" s="1"/>
  <c r="BB940" i="9"/>
  <c r="BB963" i="9" s="1"/>
  <c r="BB950" i="9"/>
  <c r="BB973" i="9" s="1"/>
  <c r="BB1063" i="9"/>
  <c r="BB1086" i="9" s="1"/>
  <c r="BB1065" i="9"/>
  <c r="BB1088" i="9" s="1"/>
  <c r="BB1050" i="9"/>
  <c r="BB1073" i="9" s="1"/>
  <c r="BA1055" i="9"/>
  <c r="BA1078" i="9" s="1"/>
  <c r="BA1051" i="9"/>
  <c r="BA1074" i="9" s="1"/>
  <c r="BA936" i="9"/>
  <c r="BA959" i="9" s="1"/>
  <c r="BA1056" i="9"/>
  <c r="BA1079" i="9" s="1"/>
  <c r="BA1046" i="9"/>
  <c r="BA1069" i="9" s="1"/>
  <c r="AZ948" i="9"/>
  <c r="AZ971" i="9" s="1"/>
  <c r="AZ1048" i="9"/>
  <c r="AZ1071" i="9" s="1"/>
  <c r="AZ950" i="9"/>
  <c r="AZ973" i="9" s="1"/>
  <c r="AZ1063" i="9"/>
  <c r="AZ1086" i="9" s="1"/>
  <c r="AZ1059" i="9"/>
  <c r="AZ1082" i="9" s="1"/>
  <c r="AY933" i="9"/>
  <c r="AY956" i="9" s="1"/>
  <c r="AY935" i="9"/>
  <c r="AY958" i="9" s="1"/>
  <c r="AY1057" i="9"/>
  <c r="AY1080" i="9" s="1"/>
  <c r="AY948" i="9"/>
  <c r="AY971" i="9" s="1"/>
  <c r="AY946" i="9"/>
  <c r="AY969" i="9" s="1"/>
  <c r="AX1050" i="9"/>
  <c r="X1050" i="9" s="1"/>
  <c r="BZ1050" i="9" s="1"/>
  <c r="AX949" i="9"/>
  <c r="X949" i="9" s="1"/>
  <c r="BZ949" i="9" s="1"/>
  <c r="AX943" i="9"/>
  <c r="X943" i="9" s="1"/>
  <c r="BZ943" i="9" s="1"/>
  <c r="AX1055" i="9"/>
  <c r="X1055" i="9" s="1"/>
  <c r="BZ1055" i="9" s="1"/>
  <c r="AX1061" i="9"/>
  <c r="X1061" i="9" s="1"/>
  <c r="BZ1061" i="9" s="1"/>
  <c r="AW949" i="9"/>
  <c r="AW972" i="9" s="1"/>
  <c r="AW946" i="9"/>
  <c r="AW969" i="9" s="1"/>
  <c r="AW937" i="9"/>
  <c r="AW960" i="9" s="1"/>
  <c r="AW940" i="9"/>
  <c r="AW963" i="9" s="1"/>
  <c r="AW1053" i="9"/>
  <c r="AW1076" i="9" s="1"/>
  <c r="AV1061" i="9"/>
  <c r="AV1084" i="9" s="1"/>
  <c r="AV1060" i="9"/>
  <c r="AV1083" i="9" s="1"/>
  <c r="AV934" i="9"/>
  <c r="AV957" i="9" s="1"/>
  <c r="AV1057" i="9"/>
  <c r="AV1080" i="9" s="1"/>
  <c r="AV1053" i="9"/>
  <c r="AV1076" i="9" s="1"/>
  <c r="AU935" i="9"/>
  <c r="AU958" i="9" s="1"/>
  <c r="AU950" i="9"/>
  <c r="AU973" i="9" s="1"/>
  <c r="AU944" i="9"/>
  <c r="AU967" i="9" s="1"/>
  <c r="AU931" i="9"/>
  <c r="AU954" i="9" s="1"/>
  <c r="AU1065" i="9"/>
  <c r="AU1088" i="9" s="1"/>
  <c r="AT948" i="9"/>
  <c r="AT971" i="9" s="1"/>
  <c r="AT1058" i="9"/>
  <c r="AT1081" i="9" s="1"/>
  <c r="AT937" i="9"/>
  <c r="AT960" i="9" s="1"/>
  <c r="AT945" i="9"/>
  <c r="AT968" i="9" s="1"/>
  <c r="AT1065" i="9"/>
  <c r="AT1088" i="9" s="1"/>
  <c r="AS1052" i="9"/>
  <c r="AS1075" i="9" s="1"/>
  <c r="AS1064" i="9"/>
  <c r="AS1087" i="9" s="1"/>
  <c r="AS939" i="9"/>
  <c r="AS962" i="9" s="1"/>
  <c r="AS946" i="9"/>
  <c r="AS969" i="9" s="1"/>
  <c r="AS936" i="9"/>
  <c r="AS959" i="9" s="1"/>
  <c r="AR949" i="9"/>
  <c r="AR972" i="9" s="1"/>
  <c r="AR1051" i="9"/>
  <c r="AR1074" i="9" s="1"/>
  <c r="AR1055" i="9"/>
  <c r="AR1078" i="9" s="1"/>
  <c r="AR1061" i="9"/>
  <c r="AR1084" i="9" s="1"/>
  <c r="AR1046" i="9"/>
  <c r="AR1069" i="9" s="1"/>
  <c r="AQ1057" i="9"/>
  <c r="AQ1080" i="9" s="1"/>
  <c r="AQ1063" i="9"/>
  <c r="AQ1086" i="9" s="1"/>
  <c r="AQ1054" i="9"/>
  <c r="AQ1077" i="9" s="1"/>
  <c r="AQ945" i="9"/>
  <c r="AQ968" i="9" s="1"/>
  <c r="AQ1056" i="9"/>
  <c r="AQ1079" i="9" s="1"/>
  <c r="AP947" i="9"/>
  <c r="AP970" i="9" s="1"/>
  <c r="AP945" i="9"/>
  <c r="AP968" i="9" s="1"/>
  <c r="AP1049" i="9"/>
  <c r="AP1072" i="9" s="1"/>
  <c r="AP1060" i="9"/>
  <c r="AP1083" i="9" s="1"/>
  <c r="AP1048" i="9"/>
  <c r="AP1071" i="9" s="1"/>
  <c r="AO1054" i="9"/>
  <c r="AO1077" i="9" s="1"/>
  <c r="AO937" i="9"/>
  <c r="AO960" i="9" s="1"/>
  <c r="AO947" i="9"/>
  <c r="AO970" i="9" s="1"/>
  <c r="AO939" i="9"/>
  <c r="AO962" i="9" s="1"/>
  <c r="AO1061" i="9"/>
  <c r="AO1084" i="9" s="1"/>
  <c r="AN1046" i="9"/>
  <c r="AN1069" i="9" s="1"/>
  <c r="AN1064" i="9"/>
  <c r="AN1087" i="9" s="1"/>
  <c r="AN1061" i="9"/>
  <c r="AN1084" i="9" s="1"/>
  <c r="AN947" i="9"/>
  <c r="AN970" i="9" s="1"/>
  <c r="AN948" i="9"/>
  <c r="AN971" i="9" s="1"/>
  <c r="AM1049" i="9"/>
  <c r="AM1072" i="9" s="1"/>
  <c r="AM1062" i="9"/>
  <c r="AM1085" i="9" s="1"/>
  <c r="AM1056" i="9"/>
  <c r="AM1079" i="9" s="1"/>
  <c r="AM946" i="9"/>
  <c r="AM969" i="9" s="1"/>
  <c r="AM934" i="9"/>
  <c r="AM957" i="9" s="1"/>
  <c r="AL1062" i="9"/>
  <c r="W1062" i="9" s="1"/>
  <c r="BY1062" i="9" s="1"/>
  <c r="AL944" i="9"/>
  <c r="W944" i="9" s="1"/>
  <c r="BY944" i="9" s="1"/>
  <c r="AL943" i="9"/>
  <c r="W943" i="9" s="1"/>
  <c r="BY943" i="9" s="1"/>
  <c r="AL934" i="9"/>
  <c r="W934" i="9" s="1"/>
  <c r="BY934" i="9" s="1"/>
  <c r="AL1051" i="9"/>
  <c r="W1051" i="9" s="1"/>
  <c r="BY1051" i="9" s="1"/>
  <c r="AK944" i="9"/>
  <c r="AK967" i="9" s="1"/>
  <c r="AK939" i="9"/>
  <c r="AK962" i="9" s="1"/>
  <c r="AK938" i="9"/>
  <c r="AK961" i="9" s="1"/>
  <c r="AK933" i="9"/>
  <c r="AK956" i="9" s="1"/>
  <c r="AK1064" i="9"/>
  <c r="AK1087" i="9" s="1"/>
  <c r="AJ1050" i="9"/>
  <c r="AJ1073" i="9" s="1"/>
  <c r="AJ949" i="9"/>
  <c r="AJ972" i="9" s="1"/>
  <c r="AJ933" i="9"/>
  <c r="AJ956" i="9" s="1"/>
  <c r="AJ1054" i="9"/>
  <c r="AJ1077" i="9" s="1"/>
  <c r="AJ1057" i="9"/>
  <c r="AJ1080" i="9" s="1"/>
  <c r="AI1063" i="9"/>
  <c r="AI1086" i="9" s="1"/>
  <c r="AI1055" i="9"/>
  <c r="AI1078" i="9" s="1"/>
  <c r="AI1064" i="9"/>
  <c r="AI1087" i="9" s="1"/>
  <c r="AI1049" i="9"/>
  <c r="AI1072" i="9" s="1"/>
  <c r="AI1057" i="9"/>
  <c r="AI1080" i="9" s="1"/>
  <c r="AH931" i="9"/>
  <c r="AH954" i="9" s="1"/>
  <c r="AH935" i="9"/>
  <c r="AH958" i="9" s="1"/>
  <c r="AH934" i="9"/>
  <c r="AH957" i="9" s="1"/>
  <c r="AH1058" i="9"/>
  <c r="AH1081" i="9" s="1"/>
  <c r="AH949" i="9"/>
  <c r="AH972" i="9" s="1"/>
  <c r="AG948" i="9"/>
  <c r="AG971" i="9" s="1"/>
  <c r="AG944" i="9"/>
  <c r="AG967" i="9" s="1"/>
  <c r="AG1052" i="9"/>
  <c r="AG1075" i="9" s="1"/>
  <c r="AG938" i="9"/>
  <c r="AG961" i="9" s="1"/>
  <c r="AG1058" i="9"/>
  <c r="AG1081" i="9" s="1"/>
  <c r="AF948" i="9"/>
  <c r="AF971" i="9" s="1"/>
  <c r="AF936" i="9"/>
  <c r="AF959" i="9" s="1"/>
  <c r="AF947" i="9"/>
  <c r="AF970" i="9" s="1"/>
  <c r="AF944" i="9"/>
  <c r="AF967" i="9" s="1"/>
  <c r="AF1056" i="9"/>
  <c r="AF1079" i="9" s="1"/>
  <c r="CB560" i="9"/>
  <c r="CB842" i="9" s="1"/>
  <c r="DC162" i="9"/>
  <c r="CB631" i="9"/>
  <c r="DC204" i="9"/>
  <c r="CB206" i="9"/>
  <c r="AE1046" i="9"/>
  <c r="AE1069" i="9" s="1"/>
  <c r="CB474" i="9"/>
  <c r="DC267" i="9"/>
  <c r="AE1053" i="9"/>
  <c r="AE1076" i="9" s="1"/>
  <c r="AE1062" i="9"/>
  <c r="AE1085" i="9" s="1"/>
  <c r="CB567" i="9"/>
  <c r="CB849" i="9" s="1"/>
  <c r="DC295" i="9"/>
  <c r="CB640" i="9"/>
  <c r="DC375" i="9"/>
  <c r="CB377" i="9"/>
  <c r="AE943" i="9"/>
  <c r="AE966" i="9" s="1"/>
  <c r="CB478" i="9"/>
  <c r="DC343" i="9"/>
  <c r="CB593" i="9"/>
  <c r="CB875" i="9" s="1"/>
  <c r="DC353" i="9"/>
  <c r="CB980" i="9"/>
  <c r="CB489" i="9"/>
  <c r="DC116" i="9"/>
  <c r="AD931" i="9"/>
  <c r="AD954" i="9" s="1"/>
  <c r="AD1050" i="9"/>
  <c r="AD1073" i="9" s="1"/>
  <c r="AD948" i="9"/>
  <c r="AD971" i="9" s="1"/>
  <c r="AD937" i="9"/>
  <c r="AD960" i="9" s="1"/>
  <c r="CB990" i="9"/>
  <c r="CB499" i="9"/>
  <c r="DC306" i="9"/>
  <c r="AD934" i="9"/>
  <c r="AD957" i="9" s="1"/>
  <c r="CB573" i="9"/>
  <c r="CB855" i="9" s="1"/>
  <c r="DC409" i="9"/>
  <c r="AD1064" i="9"/>
  <c r="AD1087" i="9" s="1"/>
  <c r="CB555" i="9"/>
  <c r="CB837" i="9" s="1"/>
  <c r="DC67" i="9"/>
  <c r="AD1052" i="9"/>
  <c r="AD1075" i="9" s="1"/>
  <c r="CB594" i="9"/>
  <c r="CB876" i="9" s="1"/>
  <c r="DC372" i="9"/>
  <c r="CB729" i="9"/>
  <c r="CB757" i="9"/>
  <c r="CB629" i="9"/>
  <c r="DC166" i="9"/>
  <c r="CB168" i="9"/>
  <c r="CB559" i="9"/>
  <c r="CB841" i="9" s="1"/>
  <c r="DC143" i="9"/>
  <c r="CB996" i="9"/>
  <c r="CB505" i="9"/>
  <c r="DC420" i="9"/>
  <c r="CB985" i="9"/>
  <c r="CB494" i="9"/>
  <c r="DC211" i="9"/>
  <c r="Y639" i="9"/>
  <c r="CA356" i="9"/>
  <c r="DB356" i="9"/>
  <c r="Y358" i="9"/>
  <c r="AC932" i="9"/>
  <c r="AC955" i="9" s="1"/>
  <c r="Y594" i="9"/>
  <c r="Y876" i="9" s="1"/>
  <c r="DB372" i="9"/>
  <c r="CA372" i="9"/>
  <c r="CA594" i="9" s="1"/>
  <c r="CA876" i="9" s="1"/>
  <c r="Y585" i="9"/>
  <c r="Y867" i="9" s="1"/>
  <c r="CA201" i="9"/>
  <c r="CA585" i="9" s="1"/>
  <c r="CA867" i="9" s="1"/>
  <c r="DB201" i="9"/>
  <c r="Y561" i="9"/>
  <c r="Y843" i="9" s="1"/>
  <c r="CA181" i="9"/>
  <c r="CA561" i="9" s="1"/>
  <c r="CA843" i="9" s="1"/>
  <c r="DB181" i="9"/>
  <c r="CA212" i="9"/>
  <c r="CY212" i="9" s="1" a="1"/>
  <c r="CY212" i="9" s="1"/>
  <c r="DB212" i="9"/>
  <c r="AC1052" i="9"/>
  <c r="AC1075" i="9" s="1"/>
  <c r="CA248" i="9"/>
  <c r="CA473" i="9" s="1"/>
  <c r="DB248" i="9"/>
  <c r="Y473" i="9"/>
  <c r="AC1064" i="9"/>
  <c r="AC1087" i="9" s="1"/>
  <c r="Y567" i="9"/>
  <c r="Y849" i="9" s="1"/>
  <c r="CA295" i="9"/>
  <c r="CA567" i="9" s="1"/>
  <c r="CA849" i="9" s="1"/>
  <c r="DB295" i="9"/>
  <c r="DB60" i="9"/>
  <c r="CA60" i="9"/>
  <c r="Y583" i="9"/>
  <c r="Y865" i="9" s="1"/>
  <c r="CA163" i="9"/>
  <c r="CA583" i="9" s="1"/>
  <c r="CA865" i="9" s="1"/>
  <c r="DB163" i="9"/>
  <c r="Y593" i="9"/>
  <c r="Y875" i="9" s="1"/>
  <c r="CA353" i="9"/>
  <c r="CA593" i="9" s="1"/>
  <c r="CA875" i="9" s="1"/>
  <c r="DB353" i="9"/>
  <c r="Y472" i="9"/>
  <c r="CA229" i="9"/>
  <c r="CA472" i="9" s="1"/>
  <c r="DB229" i="9"/>
  <c r="Y467" i="9"/>
  <c r="CA134" i="9"/>
  <c r="CA467" i="9" s="1"/>
  <c r="DB134" i="9"/>
  <c r="AC1053" i="9"/>
  <c r="AC1076" i="9" s="1"/>
  <c r="Y641" i="9"/>
  <c r="CA394" i="9"/>
  <c r="DB394" i="9"/>
  <c r="Y396" i="9"/>
  <c r="CA250" i="9"/>
  <c r="DB250" i="9"/>
  <c r="Y476" i="9"/>
  <c r="CA305" i="9"/>
  <c r="CA476" i="9" s="1"/>
  <c r="DB305" i="9"/>
  <c r="AB1056" i="9"/>
  <c r="AB1079" i="9" s="1"/>
  <c r="AB1048" i="9"/>
  <c r="AB1071" i="9" s="1"/>
  <c r="AB1052" i="9"/>
  <c r="AB1075" i="9" s="1"/>
  <c r="DA383" i="9"/>
  <c r="BZ383" i="9"/>
  <c r="BZ364" i="9"/>
  <c r="CY364" i="9" s="1" a="1"/>
  <c r="CY364" i="9" s="1"/>
  <c r="DA364" i="9"/>
  <c r="AB946" i="9"/>
  <c r="AB969" i="9" s="1"/>
  <c r="AB943" i="9"/>
  <c r="AB966" i="9" s="1"/>
  <c r="X633" i="9"/>
  <c r="BZ242" i="9"/>
  <c r="DA242" i="9"/>
  <c r="X244" i="9"/>
  <c r="BZ155" i="9"/>
  <c r="DA155" i="9"/>
  <c r="DA353" i="9"/>
  <c r="X593" i="9"/>
  <c r="X875" i="9" s="1"/>
  <c r="BZ353" i="9"/>
  <c r="BZ593" i="9" s="1"/>
  <c r="BZ875" i="9" s="1"/>
  <c r="X986" i="9"/>
  <c r="X495" i="9"/>
  <c r="BZ230" i="9"/>
  <c r="DA230" i="9"/>
  <c r="X472" i="9"/>
  <c r="BZ229" i="9"/>
  <c r="BZ472" i="9" s="1"/>
  <c r="DA229" i="9"/>
  <c r="X474" i="9"/>
  <c r="BZ267" i="9"/>
  <c r="BZ474" i="9" s="1"/>
  <c r="DA267" i="9"/>
  <c r="X994" i="9"/>
  <c r="X503" i="9"/>
  <c r="BZ382" i="9"/>
  <c r="DA382" i="9"/>
  <c r="AB934" i="9"/>
  <c r="AB957" i="9" s="1"/>
  <c r="AB936" i="9"/>
  <c r="AB959" i="9" s="1"/>
  <c r="X582" i="9"/>
  <c r="X864" i="9" s="1"/>
  <c r="DA144" i="9"/>
  <c r="BZ144" i="9"/>
  <c r="BZ582" i="9" s="1"/>
  <c r="BZ864" i="9" s="1"/>
  <c r="X625" i="9"/>
  <c r="DA90" i="9"/>
  <c r="BZ90" i="9"/>
  <c r="X92" i="9"/>
  <c r="W558" i="9"/>
  <c r="W840" i="9" s="1"/>
  <c r="BY124" i="9"/>
  <c r="BY558" i="9" s="1"/>
  <c r="BY840" i="9" s="1"/>
  <c r="CZ124" i="9"/>
  <c r="W126" i="9"/>
  <c r="W477" i="9"/>
  <c r="BY324" i="9"/>
  <c r="BY477" i="9" s="1"/>
  <c r="CZ324" i="9"/>
  <c r="W327" i="9"/>
  <c r="AA941" i="9"/>
  <c r="AA964" i="9" s="1"/>
  <c r="CZ307" i="9"/>
  <c r="BY307" i="9"/>
  <c r="W465" i="9"/>
  <c r="CZ96" i="9"/>
  <c r="BY96" i="9"/>
  <c r="BY465" i="9" s="1"/>
  <c r="W99" i="9"/>
  <c r="AA1047" i="9"/>
  <c r="AA1070" i="9" s="1"/>
  <c r="W593" i="9"/>
  <c r="W875" i="9" s="1"/>
  <c r="BY353" i="9"/>
  <c r="BY593" i="9" s="1"/>
  <c r="BY875" i="9" s="1"/>
  <c r="CZ353" i="9"/>
  <c r="W468" i="9"/>
  <c r="BY153" i="9"/>
  <c r="BY468" i="9" s="1"/>
  <c r="W156" i="9"/>
  <c r="CZ153" i="9"/>
  <c r="W469" i="9"/>
  <c r="BY172" i="9"/>
  <c r="BY469" i="9" s="1"/>
  <c r="CZ172" i="9"/>
  <c r="W175" i="9"/>
  <c r="W628" i="9"/>
  <c r="BY147" i="9"/>
  <c r="CY147" i="9" s="1" a="1"/>
  <c r="CY147" i="9" s="1"/>
  <c r="CZ147" i="9"/>
  <c r="W149" i="9"/>
  <c r="W571" i="9"/>
  <c r="W853" i="9" s="1"/>
  <c r="BY371" i="9"/>
  <c r="BY571" i="9" s="1"/>
  <c r="BY853" i="9" s="1"/>
  <c r="CZ371" i="9"/>
  <c r="W373" i="9"/>
  <c r="W632" i="9"/>
  <c r="CZ223" i="9"/>
  <c r="BY223" i="9"/>
  <c r="W225" i="9"/>
  <c r="BY288" i="9"/>
  <c r="CY288" i="9" s="1" a="1"/>
  <c r="CY288" i="9" s="1"/>
  <c r="CZ288" i="9"/>
  <c r="W586" i="9"/>
  <c r="W868" i="9" s="1"/>
  <c r="CZ220" i="9"/>
  <c r="BY220" i="9"/>
  <c r="BY586" i="9" s="1"/>
  <c r="BY868" i="9" s="1"/>
  <c r="W588" i="9"/>
  <c r="W870" i="9" s="1"/>
  <c r="CZ258" i="9"/>
  <c r="BY258" i="9"/>
  <c r="BY588" i="9" s="1"/>
  <c r="BY870" i="9" s="1"/>
  <c r="W643" i="9"/>
  <c r="CZ432" i="9"/>
  <c r="BY432" i="9"/>
  <c r="W434" i="9"/>
  <c r="AA1060" i="9"/>
  <c r="AA1083" i="9" s="1"/>
  <c r="W590" i="9"/>
  <c r="W872" i="9" s="1"/>
  <c r="BY296" i="9"/>
  <c r="BY590" i="9" s="1"/>
  <c r="BY872" i="9" s="1"/>
  <c r="CZ296" i="9"/>
  <c r="Y1041" i="9"/>
  <c r="CA1041" i="9" s="1"/>
  <c r="Y1024" i="9"/>
  <c r="CA1024" i="9" s="1"/>
  <c r="Y921" i="9"/>
  <c r="CA921" i="9" s="1"/>
  <c r="Y908" i="9"/>
  <c r="CA908" i="9" s="1"/>
  <c r="Y915" i="9"/>
  <c r="CA915" i="9" s="1"/>
  <c r="X1037" i="9"/>
  <c r="BZ1037" i="9" s="1"/>
  <c r="X913" i="9"/>
  <c r="BZ913" i="9" s="1"/>
  <c r="X1030" i="9"/>
  <c r="BZ1030" i="9" s="1"/>
  <c r="X916" i="9"/>
  <c r="BZ916" i="9" s="1"/>
  <c r="X922" i="9"/>
  <c r="BZ922" i="9" s="1"/>
  <c r="X1028" i="9"/>
  <c r="BZ1028" i="9" s="1"/>
  <c r="W1041" i="9"/>
  <c r="BY1041" i="9" s="1"/>
  <c r="W1036" i="9"/>
  <c r="BY1036" i="9" s="1"/>
  <c r="W1023" i="9"/>
  <c r="BY1023" i="9" s="1"/>
  <c r="W1042" i="9"/>
  <c r="BY1042" i="9" s="1"/>
  <c r="W1039" i="9"/>
  <c r="BY1039" i="9" s="1"/>
  <c r="W916" i="9"/>
  <c r="BY916" i="9" s="1"/>
  <c r="BV778" i="9"/>
  <c r="BV767" i="9"/>
  <c r="BV780" i="9"/>
  <c r="BV751" i="9"/>
  <c r="W728" i="9"/>
  <c r="BY728" i="9" s="1"/>
  <c r="E14" i="14"/>
  <c r="N14" i="14" s="1" a="1"/>
  <c r="N14" i="14" s="1"/>
  <c r="M13" i="14"/>
  <c r="E13" i="14" a="1"/>
  <c r="AH143" i="30" l="1"/>
  <c r="AH141" i="30"/>
  <c r="AI133" i="6"/>
  <c r="AI119" i="30" s="1"/>
  <c r="AI16" i="6"/>
  <c r="AJ114" i="6"/>
  <c r="AJ125" i="6"/>
  <c r="CY78" i="9" a="1"/>
  <c r="CY78" i="9" s="1"/>
  <c r="CY261" i="9" a="1"/>
  <c r="CY261" i="9" s="1"/>
  <c r="CL98" i="9"/>
  <c r="CL318" i="9"/>
  <c r="CL154" i="9"/>
  <c r="CL193" i="9"/>
  <c r="W743" i="9"/>
  <c r="BY743" i="9" s="1"/>
  <c r="CB743" i="9"/>
  <c r="CY155" i="9" a="1"/>
  <c r="CY155" i="9" s="1"/>
  <c r="CY287" i="9" a="1"/>
  <c r="CY287" i="9" s="1"/>
  <c r="CL231" i="9"/>
  <c r="CY135" i="9" a="1"/>
  <c r="CY135" i="9" s="1"/>
  <c r="CY363" i="9" a="1"/>
  <c r="CY363" i="9" s="1"/>
  <c r="CY325" i="9" a="1"/>
  <c r="CY325" i="9" s="1"/>
  <c r="CY394" i="9" a="1"/>
  <c r="CY394" i="9" s="1"/>
  <c r="CL105" i="9"/>
  <c r="CY383" i="9" a="1"/>
  <c r="CY383" i="9" s="1"/>
  <c r="CY391" i="9" a="1"/>
  <c r="CY391" i="9" s="1"/>
  <c r="CY204" i="9" a="1"/>
  <c r="CY204" i="9" s="1"/>
  <c r="CY307" i="9" a="1"/>
  <c r="CY307" i="9" s="1"/>
  <c r="CL288" i="9"/>
  <c r="CY71" i="9" a="1"/>
  <c r="CY71" i="9" s="1"/>
  <c r="CL287" i="9"/>
  <c r="W777" i="9"/>
  <c r="BY777" i="9" s="1"/>
  <c r="CB777" i="9"/>
  <c r="CY106" i="9" a="1"/>
  <c r="CY106" i="9" s="1"/>
  <c r="CY173" i="9" a="1"/>
  <c r="CY173" i="9" s="1"/>
  <c r="CL78" i="9"/>
  <c r="CL135" i="9"/>
  <c r="CL249" i="9"/>
  <c r="CY211" i="9" a="1"/>
  <c r="CY211" i="9" s="1"/>
  <c r="CI130" i="6"/>
  <c r="CI133" i="6" s="1"/>
  <c r="CI119" i="30" s="1"/>
  <c r="CY109" i="9" a="1"/>
  <c r="CY109" i="9" s="1"/>
  <c r="CY390" i="9" a="1"/>
  <c r="CY390" i="9" s="1"/>
  <c r="CY59" i="9" a="1"/>
  <c r="CY59" i="9" s="1"/>
  <c r="CL106" i="9"/>
  <c r="CL79" i="9"/>
  <c r="CL261" i="9"/>
  <c r="CL220" i="9"/>
  <c r="CY124" i="9" a="1"/>
  <c r="CY124" i="9" s="1"/>
  <c r="CY128" i="9" a="1"/>
  <c r="CY128" i="9" s="1"/>
  <c r="CL173" i="9"/>
  <c r="CY166" i="9" a="1"/>
  <c r="CY166" i="9" s="1"/>
  <c r="CL432" i="9"/>
  <c r="CY220" i="9" a="1"/>
  <c r="CY220" i="9" s="1"/>
  <c r="CL230" i="9"/>
  <c r="CL383" i="9"/>
  <c r="CY79" i="9" a="1"/>
  <c r="CY79" i="9" s="1"/>
  <c r="CL391" i="9"/>
  <c r="CY318" i="9" a="1"/>
  <c r="CY318" i="9" s="1"/>
  <c r="CL363" i="9"/>
  <c r="CY326" i="9" a="1"/>
  <c r="CY326" i="9" s="1"/>
  <c r="CY90" i="9" a="1"/>
  <c r="CY90" i="9" s="1"/>
  <c r="CL211" i="9"/>
  <c r="CY117" i="9" a="1"/>
  <c r="CY117" i="9" s="1"/>
  <c r="CY345" i="9" a="1"/>
  <c r="CY345" i="9" s="1"/>
  <c r="CY344" i="9" a="1"/>
  <c r="CY344" i="9" s="1"/>
  <c r="CY356" i="9" a="1"/>
  <c r="CY356" i="9" s="1"/>
  <c r="CY193" i="9" a="1"/>
  <c r="CY193" i="9" s="1"/>
  <c r="W787" i="9"/>
  <c r="BY787" i="9" s="1"/>
  <c r="CB787" i="9"/>
  <c r="BV810" i="9"/>
  <c r="CB810" i="9" s="1"/>
  <c r="CL324" i="9"/>
  <c r="CY257" i="9" a="1"/>
  <c r="CY257" i="9" s="1"/>
  <c r="CL267" i="9"/>
  <c r="CY60" i="9" a="1"/>
  <c r="CY60" i="9" s="1"/>
  <c r="CY343" i="9" a="1"/>
  <c r="CY343" i="9" s="1"/>
  <c r="CY421" i="9" a="1"/>
  <c r="CY421" i="9" s="1"/>
  <c r="CY267" i="9" a="1"/>
  <c r="CY267" i="9" s="1"/>
  <c r="CL402" i="9"/>
  <c r="CL155" i="9"/>
  <c r="CY174" i="9" a="1"/>
  <c r="CY174" i="9" s="1"/>
  <c r="CY68" i="9" a="1"/>
  <c r="CY68" i="9" s="1"/>
  <c r="CY250" i="9" a="1"/>
  <c r="CY250" i="9" s="1"/>
  <c r="CL212" i="9"/>
  <c r="CL345" i="9"/>
  <c r="CY371" i="9" a="1"/>
  <c r="CY371" i="9" s="1"/>
  <c r="CL96" i="9"/>
  <c r="CL239" i="9"/>
  <c r="CY98" i="9" a="1"/>
  <c r="CY98" i="9" s="1"/>
  <c r="CY136" i="9" a="1"/>
  <c r="CY136" i="9" s="1"/>
  <c r="CL124" i="9"/>
  <c r="CY172" i="9" a="1"/>
  <c r="CY172" i="9" s="1"/>
  <c r="CY286" i="9" a="1"/>
  <c r="CY286" i="9" s="1"/>
  <c r="CL390" i="9"/>
  <c r="CY249" i="9" a="1"/>
  <c r="CY249" i="9" s="1"/>
  <c r="CY182" i="9" a="1"/>
  <c r="CY182" i="9" s="1"/>
  <c r="CL400" i="9"/>
  <c r="CL326" i="9"/>
  <c r="AX956" i="9"/>
  <c r="X956" i="9" s="1"/>
  <c r="BZ956" i="9" s="1"/>
  <c r="AX958" i="9"/>
  <c r="X958" i="9" s="1"/>
  <c r="BZ958" i="9" s="1"/>
  <c r="AL1075" i="9"/>
  <c r="W1075" i="9" s="1"/>
  <c r="BY1075" i="9" s="1"/>
  <c r="AX1080" i="9"/>
  <c r="X1080" i="9" s="1"/>
  <c r="BZ1080" i="9" s="1"/>
  <c r="AL1070" i="9"/>
  <c r="W1070" i="9" s="1"/>
  <c r="BY1070" i="9" s="1"/>
  <c r="AX960" i="9"/>
  <c r="X960" i="9" s="1"/>
  <c r="BZ960" i="9" s="1"/>
  <c r="BJ960" i="9"/>
  <c r="Y960" i="9" s="1"/>
  <c r="CA960" i="9" s="1"/>
  <c r="BJ959" i="9"/>
  <c r="Y959" i="9" s="1"/>
  <c r="CA959" i="9" s="1"/>
  <c r="AL1084" i="9"/>
  <c r="W1084" i="9" s="1"/>
  <c r="BY1084" i="9" s="1"/>
  <c r="AX1074" i="9"/>
  <c r="X1074" i="9" s="1"/>
  <c r="BZ1074" i="9" s="1"/>
  <c r="AX1075" i="9"/>
  <c r="X1075" i="9" s="1"/>
  <c r="BZ1075" i="9" s="1"/>
  <c r="AL961" i="9"/>
  <c r="W961" i="9" s="1"/>
  <c r="BY961" i="9" s="1"/>
  <c r="AX970" i="9"/>
  <c r="X970" i="9" s="1"/>
  <c r="BZ970" i="9" s="1"/>
  <c r="AL1088" i="9"/>
  <c r="W1088" i="9" s="1"/>
  <c r="BY1088" i="9" s="1"/>
  <c r="AL973" i="9"/>
  <c r="W973" i="9" s="1"/>
  <c r="BY973" i="9" s="1"/>
  <c r="BJ968" i="9"/>
  <c r="Y968" i="9" s="1"/>
  <c r="CA968" i="9" s="1"/>
  <c r="Y931" i="9"/>
  <c r="CA931" i="9" s="1"/>
  <c r="BJ954" i="9"/>
  <c r="Y954" i="9" s="1"/>
  <c r="CA954" i="9" s="1"/>
  <c r="AX954" i="9"/>
  <c r="X954" i="9" s="1"/>
  <c r="BZ954" i="9" s="1"/>
  <c r="AL1071" i="9"/>
  <c r="W1071" i="9" s="1"/>
  <c r="BY1071" i="9" s="1"/>
  <c r="BJ956" i="9"/>
  <c r="Y956" i="9" s="1"/>
  <c r="CA956" i="9" s="1"/>
  <c r="AL1077" i="9"/>
  <c r="W1077" i="9" s="1"/>
  <c r="BY1077" i="9" s="1"/>
  <c r="BJ955" i="9"/>
  <c r="Y955" i="9" s="1"/>
  <c r="CA955" i="9" s="1"/>
  <c r="BJ961" i="9"/>
  <c r="Y961" i="9" s="1"/>
  <c r="CA961" i="9" s="1"/>
  <c r="BJ966" i="9"/>
  <c r="Y966" i="9" s="1"/>
  <c r="CA966" i="9" s="1"/>
  <c r="AX1082" i="9"/>
  <c r="X1082" i="9" s="1"/>
  <c r="BZ1082" i="9" s="1"/>
  <c r="AX973" i="9"/>
  <c r="X973" i="9" s="1"/>
  <c r="BZ973" i="9" s="1"/>
  <c r="BJ962" i="9"/>
  <c r="Y962" i="9" s="1"/>
  <c r="CA962" i="9" s="1"/>
  <c r="AL1080" i="9"/>
  <c r="W1080" i="9" s="1"/>
  <c r="BY1080" i="9" s="1"/>
  <c r="AL962" i="9"/>
  <c r="W962" i="9" s="1"/>
  <c r="BY962" i="9" s="1"/>
  <c r="BJ1084" i="9"/>
  <c r="Y1084" i="9" s="1"/>
  <c r="CA1084" i="9" s="1"/>
  <c r="AX957" i="9"/>
  <c r="X957" i="9" s="1"/>
  <c r="BZ957" i="9" s="1"/>
  <c r="AX1077" i="9"/>
  <c r="X1077" i="9" s="1"/>
  <c r="BZ1077" i="9" s="1"/>
  <c r="BJ1087" i="9"/>
  <c r="Y1087" i="9" s="1"/>
  <c r="CA1087" i="9" s="1"/>
  <c r="AL1082" i="9"/>
  <c r="W1082" i="9" s="1"/>
  <c r="BY1082" i="9" s="1"/>
  <c r="AX968" i="9"/>
  <c r="X968" i="9" s="1"/>
  <c r="BZ968" i="9" s="1"/>
  <c r="AL1076" i="9"/>
  <c r="W1076" i="9" s="1"/>
  <c r="BY1076" i="9" s="1"/>
  <c r="AX1079" i="9"/>
  <c r="X1079" i="9" s="1"/>
  <c r="BZ1079" i="9" s="1"/>
  <c r="AL1081" i="9"/>
  <c r="W1081" i="9" s="1"/>
  <c r="BY1081" i="9" s="1"/>
  <c r="AL968" i="9"/>
  <c r="W968" i="9" s="1"/>
  <c r="BY968" i="9" s="1"/>
  <c r="AL1072" i="9"/>
  <c r="W1072" i="9" s="1"/>
  <c r="BY1072" i="9" s="1"/>
  <c r="AX1072" i="9"/>
  <c r="X1072" i="9" s="1"/>
  <c r="BZ1072" i="9" s="1"/>
  <c r="AL963" i="9"/>
  <c r="W963" i="9" s="1"/>
  <c r="BY963" i="9" s="1"/>
  <c r="AL964" i="9"/>
  <c r="W964" i="9" s="1"/>
  <c r="BY964" i="9" s="1"/>
  <c r="AX962" i="9"/>
  <c r="X962" i="9" s="1"/>
  <c r="BZ962" i="9" s="1"/>
  <c r="BJ958" i="9"/>
  <c r="Y958" i="9" s="1"/>
  <c r="CA958" i="9" s="1"/>
  <c r="BJ1078" i="9"/>
  <c r="Y1078" i="9" s="1"/>
  <c r="CA1078" i="9" s="1"/>
  <c r="AL1086" i="9"/>
  <c r="W1086" i="9" s="1"/>
  <c r="BY1086" i="9" s="1"/>
  <c r="AX965" i="9"/>
  <c r="X965" i="9" s="1"/>
  <c r="BZ965" i="9" s="1"/>
  <c r="AL1069" i="9"/>
  <c r="W1069" i="9" s="1"/>
  <c r="BY1069" i="9" s="1"/>
  <c r="AX963" i="9"/>
  <c r="X963" i="9" s="1"/>
  <c r="BZ963" i="9" s="1"/>
  <c r="AL956" i="9"/>
  <c r="W956" i="9" s="1"/>
  <c r="BY956" i="9" s="1"/>
  <c r="AX1086" i="9"/>
  <c r="X1086" i="9" s="1"/>
  <c r="BZ1086" i="9" s="1"/>
  <c r="BJ1069" i="9"/>
  <c r="Y1069" i="9" s="1"/>
  <c r="CA1069" i="9" s="1"/>
  <c r="W780" i="9"/>
  <c r="BY780" i="9" s="1"/>
  <c r="BV803" i="9"/>
  <c r="CB780" i="9"/>
  <c r="BY632" i="9"/>
  <c r="BY225" i="9"/>
  <c r="W1005" i="9"/>
  <c r="W514" i="9"/>
  <c r="X152" i="9"/>
  <c r="BY156" i="9"/>
  <c r="W158" i="9"/>
  <c r="BZ994" i="9"/>
  <c r="BZ503" i="9"/>
  <c r="CL223" i="9"/>
  <c r="CL394" i="9"/>
  <c r="CL125" i="9"/>
  <c r="CY153" i="9" a="1"/>
  <c r="CY153" i="9" s="1"/>
  <c r="W613" i="9"/>
  <c r="W895" i="9" s="1"/>
  <c r="BY297" i="9"/>
  <c r="BY613" i="9" s="1"/>
  <c r="BY895" i="9" s="1"/>
  <c r="X294" i="9"/>
  <c r="CL166" i="9"/>
  <c r="CY432" i="9" a="1"/>
  <c r="CY432" i="9" s="1"/>
  <c r="CL371" i="9"/>
  <c r="BY628" i="9"/>
  <c r="BY149" i="9"/>
  <c r="CL353" i="9"/>
  <c r="CY96" i="9" a="1"/>
  <c r="CY96" i="9" s="1"/>
  <c r="W604" i="9"/>
  <c r="W886" i="9" s="1"/>
  <c r="BY126" i="9"/>
  <c r="BY604" i="9" s="1"/>
  <c r="BY886" i="9" s="1"/>
  <c r="X123" i="9"/>
  <c r="CA639" i="9"/>
  <c r="CA358" i="9"/>
  <c r="AL957" i="9"/>
  <c r="W957" i="9" s="1"/>
  <c r="BY957" i="9" s="1"/>
  <c r="AX1078" i="9"/>
  <c r="X1078" i="9" s="1"/>
  <c r="BZ1078" i="9" s="1"/>
  <c r="BJ1082" i="9"/>
  <c r="Y1082" i="9" s="1"/>
  <c r="CA1082" i="9" s="1"/>
  <c r="W741" i="9"/>
  <c r="BY741" i="9" s="1"/>
  <c r="CB741" i="9"/>
  <c r="AX1088" i="9"/>
  <c r="X1088" i="9" s="1"/>
  <c r="BZ1088" i="9" s="1"/>
  <c r="BJ1080" i="9"/>
  <c r="Y1080" i="9" s="1"/>
  <c r="CA1080" i="9" s="1"/>
  <c r="BJ1081" i="9"/>
  <c r="Y1081" i="9" s="1"/>
  <c r="CA1081" i="9" s="1"/>
  <c r="CY162" i="9" a="1"/>
  <c r="CY162" i="9" s="1"/>
  <c r="CY231" i="9" a="1"/>
  <c r="CY231" i="9" s="1"/>
  <c r="CL257" i="9"/>
  <c r="CL191" i="9"/>
  <c r="CL325" i="9"/>
  <c r="BY631" i="9"/>
  <c r="BY206" i="9"/>
  <c r="BZ980" i="9"/>
  <c r="BZ489" i="9"/>
  <c r="CL364" i="9"/>
  <c r="W747" i="9"/>
  <c r="BY747" i="9" s="1"/>
  <c r="CB747" i="9"/>
  <c r="CL428" i="9"/>
  <c r="BY978" i="9"/>
  <c r="BY487" i="9"/>
  <c r="BZ640" i="9"/>
  <c r="BZ377" i="9"/>
  <c r="CA987" i="9"/>
  <c r="CA496" i="9"/>
  <c r="CA634" i="9"/>
  <c r="CA263" i="9"/>
  <c r="CA983" i="9"/>
  <c r="CA492" i="9"/>
  <c r="AL965" i="9"/>
  <c r="W965" i="9" s="1"/>
  <c r="BY965" i="9" s="1"/>
  <c r="AX955" i="9"/>
  <c r="X955" i="9" s="1"/>
  <c r="BZ955" i="9" s="1"/>
  <c r="BJ963" i="9"/>
  <c r="Y963" i="9" s="1"/>
  <c r="CA963" i="9" s="1"/>
  <c r="CL87" i="9"/>
  <c r="BY984" i="9"/>
  <c r="BY493" i="9"/>
  <c r="BV750" i="9"/>
  <c r="W727" i="9"/>
  <c r="BY727" i="9" s="1"/>
  <c r="CB727" i="9"/>
  <c r="W615" i="9"/>
  <c r="W897" i="9" s="1"/>
  <c r="BY335" i="9"/>
  <c r="BY615" i="9" s="1"/>
  <c r="BY897" i="9" s="1"/>
  <c r="X332" i="9"/>
  <c r="W1010" i="9"/>
  <c r="W519" i="9"/>
  <c r="X247" i="9"/>
  <c r="W253" i="9"/>
  <c r="BY251" i="9"/>
  <c r="W607" i="9"/>
  <c r="W889" i="9" s="1"/>
  <c r="X180" i="9"/>
  <c r="BY183" i="9"/>
  <c r="BY607" i="9" s="1"/>
  <c r="BY889" i="9" s="1"/>
  <c r="W1016" i="9"/>
  <c r="W525" i="9"/>
  <c r="BY365" i="9"/>
  <c r="W367" i="9"/>
  <c r="X361" i="9"/>
  <c r="CY116" i="9" a="1"/>
  <c r="CY116" i="9" s="1"/>
  <c r="CA985" i="9"/>
  <c r="CA494" i="9"/>
  <c r="CL352" i="9"/>
  <c r="CA979" i="9"/>
  <c r="CA488" i="9"/>
  <c r="BY638" i="9"/>
  <c r="BY339" i="9"/>
  <c r="W1008" i="9"/>
  <c r="W517" i="9"/>
  <c r="W215" i="9"/>
  <c r="X209" i="9"/>
  <c r="BY213" i="9"/>
  <c r="CY409" i="9" a="1"/>
  <c r="CY409" i="9" s="1"/>
  <c r="CL143" i="9"/>
  <c r="W1000" i="9"/>
  <c r="W509" i="9"/>
  <c r="W63" i="9"/>
  <c r="X57" i="9"/>
  <c r="BY61" i="9"/>
  <c r="W802" i="9"/>
  <c r="BY802" i="9" s="1"/>
  <c r="BV825" i="9"/>
  <c r="CB825" i="9" s="1"/>
  <c r="CB802" i="9"/>
  <c r="BY994" i="9"/>
  <c r="BY503" i="9"/>
  <c r="BY627" i="9"/>
  <c r="BY130" i="9"/>
  <c r="W608" i="9"/>
  <c r="W890" i="9" s="1"/>
  <c r="BY202" i="9"/>
  <c r="BY608" i="9" s="1"/>
  <c r="BY890" i="9" s="1"/>
  <c r="X199" i="9"/>
  <c r="BZ995" i="9"/>
  <c r="BZ504" i="9"/>
  <c r="CA635" i="9"/>
  <c r="CA282" i="9"/>
  <c r="BY979" i="9"/>
  <c r="BY488" i="9"/>
  <c r="BZ984" i="9"/>
  <c r="BZ493" i="9"/>
  <c r="W744" i="9"/>
  <c r="BY744" i="9" s="1"/>
  <c r="CB744" i="9"/>
  <c r="W1004" i="9"/>
  <c r="W513" i="9"/>
  <c r="BY137" i="9"/>
  <c r="X133" i="9"/>
  <c r="W139" i="9"/>
  <c r="W602" i="9"/>
  <c r="W884" i="9" s="1"/>
  <c r="BY88" i="9"/>
  <c r="BY602" i="9" s="1"/>
  <c r="BY884" i="9" s="1"/>
  <c r="X85" i="9"/>
  <c r="BY977" i="9"/>
  <c r="BY486" i="9"/>
  <c r="BZ632" i="9"/>
  <c r="BZ225" i="9"/>
  <c r="CL115" i="9"/>
  <c r="CL192" i="9"/>
  <c r="W601" i="9"/>
  <c r="W883" i="9" s="1"/>
  <c r="X66" i="9"/>
  <c r="BY69" i="9"/>
  <c r="BY601" i="9" s="1"/>
  <c r="BY883" i="9" s="1"/>
  <c r="CL410" i="9"/>
  <c r="CA992" i="9"/>
  <c r="CA501" i="9"/>
  <c r="CA990" i="9"/>
  <c r="CA499" i="9"/>
  <c r="CA629" i="9"/>
  <c r="CA168" i="9"/>
  <c r="W753" i="9"/>
  <c r="BY753" i="9" s="1"/>
  <c r="CB753" i="9"/>
  <c r="CY333" i="9" a="1"/>
  <c r="CY333" i="9" s="1"/>
  <c r="CY144" i="9" a="1"/>
  <c r="CY144" i="9" s="1"/>
  <c r="CL248" i="9"/>
  <c r="CL181" i="9"/>
  <c r="CL60" i="9"/>
  <c r="BZ627" i="9"/>
  <c r="BZ130" i="9"/>
  <c r="BZ643" i="9"/>
  <c r="BZ434" i="9"/>
  <c r="W746" i="9"/>
  <c r="BY746" i="9" s="1"/>
  <c r="CB746" i="9"/>
  <c r="BY642" i="9"/>
  <c r="BY415" i="9"/>
  <c r="CL136" i="9"/>
  <c r="BY636" i="9"/>
  <c r="BY301" i="9"/>
  <c r="BZ990" i="9"/>
  <c r="BZ499" i="9"/>
  <c r="BZ638" i="9"/>
  <c r="BZ339" i="9"/>
  <c r="CA986" i="9"/>
  <c r="CA495" i="9"/>
  <c r="W758" i="9"/>
  <c r="BY758" i="9" s="1"/>
  <c r="CB758" i="9"/>
  <c r="BY640" i="9"/>
  <c r="BY377" i="9"/>
  <c r="CY210" i="9" a="1"/>
  <c r="CY210" i="9" s="1"/>
  <c r="CY58" i="9" a="1"/>
  <c r="CY58" i="9" s="1"/>
  <c r="BY630" i="9"/>
  <c r="BY187" i="9"/>
  <c r="W1013" i="9"/>
  <c r="W522" i="9"/>
  <c r="W310" i="9"/>
  <c r="BY308" i="9"/>
  <c r="X304" i="9"/>
  <c r="BZ636" i="9"/>
  <c r="BZ301" i="9"/>
  <c r="BZ982" i="9"/>
  <c r="BZ491" i="9"/>
  <c r="W1017" i="9"/>
  <c r="W526" i="9"/>
  <c r="BY384" i="9"/>
  <c r="W386" i="9"/>
  <c r="X380" i="9"/>
  <c r="BY982" i="9"/>
  <c r="BY491" i="9"/>
  <c r="BY629" i="9"/>
  <c r="BY168" i="9"/>
  <c r="CA991" i="9"/>
  <c r="CA500" i="9"/>
  <c r="W766" i="9"/>
  <c r="BY766" i="9" s="1"/>
  <c r="CB766" i="9"/>
  <c r="BV789" i="9"/>
  <c r="CY315" i="9" a="1"/>
  <c r="CY315" i="9" s="1"/>
  <c r="BY996" i="9"/>
  <c r="BY505" i="9"/>
  <c r="CA638" i="9"/>
  <c r="CA339" i="9"/>
  <c r="CL429" i="9"/>
  <c r="CL67" i="9"/>
  <c r="CL163" i="9"/>
  <c r="BZ991" i="9"/>
  <c r="BZ500" i="9"/>
  <c r="BZ989" i="9"/>
  <c r="BZ498" i="9"/>
  <c r="CA993" i="9"/>
  <c r="CA502" i="9"/>
  <c r="CA994" i="9"/>
  <c r="CA503" i="9"/>
  <c r="W749" i="9"/>
  <c r="BY749" i="9" s="1"/>
  <c r="CB749" i="9"/>
  <c r="CY314" i="9" a="1"/>
  <c r="CY314" i="9" s="1"/>
  <c r="W612" i="9"/>
  <c r="W894" i="9" s="1"/>
  <c r="X275" i="9"/>
  <c r="BY278" i="9"/>
  <c r="BY612" i="9" s="1"/>
  <c r="BY894" i="9" s="1"/>
  <c r="CY248" i="9" a="1"/>
  <c r="CY248" i="9" s="1"/>
  <c r="CY181" i="9" a="1"/>
  <c r="CY181" i="9" s="1"/>
  <c r="BZ641" i="9"/>
  <c r="BZ396" i="9"/>
  <c r="BV821" i="9"/>
  <c r="CB821" i="9" s="1"/>
  <c r="CB798" i="9"/>
  <c r="BY639" i="9"/>
  <c r="BY358" i="9"/>
  <c r="W1009" i="9"/>
  <c r="W518" i="9"/>
  <c r="BY232" i="9"/>
  <c r="X228" i="9"/>
  <c r="W234" i="9"/>
  <c r="W610" i="9"/>
  <c r="W892" i="9" s="1"/>
  <c r="X237" i="9"/>
  <c r="BY240" i="9"/>
  <c r="BY610" i="9" s="1"/>
  <c r="BY892" i="9" s="1"/>
  <c r="W1015" i="9"/>
  <c r="W524" i="9"/>
  <c r="W348" i="9"/>
  <c r="X342" i="9"/>
  <c r="BY346" i="9"/>
  <c r="CL413" i="9"/>
  <c r="CL299" i="9"/>
  <c r="W1001" i="9"/>
  <c r="W510" i="9"/>
  <c r="X76" i="9"/>
  <c r="BY80" i="9"/>
  <c r="W82" i="9"/>
  <c r="CL375" i="9"/>
  <c r="CL344" i="9"/>
  <c r="CL305" i="9"/>
  <c r="BV818" i="9"/>
  <c r="CB818" i="9" s="1"/>
  <c r="CB795" i="9"/>
  <c r="W751" i="9"/>
  <c r="BY751" i="9" s="1"/>
  <c r="CB751" i="9"/>
  <c r="CA626" i="9"/>
  <c r="CA111" i="9"/>
  <c r="BJ1073" i="9"/>
  <c r="Y1073" i="9" s="1"/>
  <c r="CA1073" i="9" s="1"/>
  <c r="CY381" i="9" a="1"/>
  <c r="CY381" i="9" s="1"/>
  <c r="CY154" i="9" a="1"/>
  <c r="CY154" i="9" s="1"/>
  <c r="W1012" i="9"/>
  <c r="W521" i="9"/>
  <c r="X285" i="9"/>
  <c r="W291" i="9"/>
  <c r="BY289" i="9"/>
  <c r="BY989" i="9"/>
  <c r="BY498" i="9"/>
  <c r="CA631" i="9"/>
  <c r="CA206" i="9"/>
  <c r="AL1087" i="9"/>
  <c r="W1087" i="9" s="1"/>
  <c r="BY1087" i="9" s="1"/>
  <c r="BJ1086" i="9"/>
  <c r="Y1086" i="9" s="1"/>
  <c r="CA1086" i="9" s="1"/>
  <c r="CL134" i="9"/>
  <c r="W1019" i="9"/>
  <c r="W528" i="9"/>
  <c r="X418" i="9"/>
  <c r="W424" i="9"/>
  <c r="BY422" i="9"/>
  <c r="CL86" i="9"/>
  <c r="BY634" i="9"/>
  <c r="BY263" i="9"/>
  <c r="CL420" i="9"/>
  <c r="CA982" i="9"/>
  <c r="CA491" i="9"/>
  <c r="CA637" i="9"/>
  <c r="CA320" i="9"/>
  <c r="AL969" i="9"/>
  <c r="W969" i="9" s="1"/>
  <c r="BY969" i="9" s="1"/>
  <c r="AX1070" i="9"/>
  <c r="X1070" i="9" s="1"/>
  <c r="BZ1070" i="9" s="1"/>
  <c r="BJ973" i="9"/>
  <c r="Y973" i="9" s="1"/>
  <c r="CA973" i="9" s="1"/>
  <c r="W759" i="9"/>
  <c r="BY759" i="9" s="1"/>
  <c r="CB759" i="9"/>
  <c r="BY633" i="9"/>
  <c r="BY244" i="9"/>
  <c r="CY115" i="9" a="1"/>
  <c r="CY115" i="9" s="1"/>
  <c r="W603" i="9"/>
  <c r="W885" i="9" s="1"/>
  <c r="BY107" i="9"/>
  <c r="BY603" i="9" s="1"/>
  <c r="BY885" i="9" s="1"/>
  <c r="X104" i="9"/>
  <c r="BZ626" i="9"/>
  <c r="BZ111" i="9"/>
  <c r="BZ977" i="9"/>
  <c r="BZ486" i="9"/>
  <c r="CA642" i="9"/>
  <c r="CA415" i="9"/>
  <c r="CL117" i="9"/>
  <c r="CY334" i="9" a="1"/>
  <c r="CY334" i="9" s="1"/>
  <c r="CY276" i="9" a="1"/>
  <c r="CY276" i="9" s="1"/>
  <c r="CY362" i="9" a="1"/>
  <c r="CY362" i="9" s="1"/>
  <c r="CA980" i="9"/>
  <c r="CA489" i="9"/>
  <c r="W781" i="9"/>
  <c r="BY781" i="9" s="1"/>
  <c r="BV804" i="9"/>
  <c r="CB781" i="9"/>
  <c r="CY238" i="9" a="1"/>
  <c r="CY238" i="9" s="1"/>
  <c r="W774" i="9"/>
  <c r="BY774" i="9" s="1"/>
  <c r="BV797" i="9"/>
  <c r="CB774" i="9"/>
  <c r="CL77" i="9"/>
  <c r="CY375" i="9" a="1"/>
  <c r="CY375" i="9" s="1"/>
  <c r="CL58" i="9"/>
  <c r="CY305" i="9" a="1"/>
  <c r="CY305" i="9" s="1"/>
  <c r="CA630" i="9"/>
  <c r="CA187" i="9"/>
  <c r="AX961" i="9"/>
  <c r="X961" i="9" s="1"/>
  <c r="BZ961" i="9" s="1"/>
  <c r="BJ1071" i="9"/>
  <c r="Y1071" i="9" s="1"/>
  <c r="CA1071" i="9" s="1"/>
  <c r="BV755" i="9"/>
  <c r="W732" i="9"/>
  <c r="BY732" i="9" s="1"/>
  <c r="CB732" i="9"/>
  <c r="AX964" i="9"/>
  <c r="X964" i="9" s="1"/>
  <c r="BZ964" i="9" s="1"/>
  <c r="BJ971" i="9"/>
  <c r="Y971" i="9" s="1"/>
  <c r="CA971" i="9" s="1"/>
  <c r="AX1087" i="9"/>
  <c r="X1087" i="9" s="1"/>
  <c r="BZ1087" i="9" s="1"/>
  <c r="BV817" i="9"/>
  <c r="CB817" i="9" s="1"/>
  <c r="CB794" i="9"/>
  <c r="BZ629" i="9"/>
  <c r="BZ168" i="9"/>
  <c r="BY624" i="9"/>
  <c r="BY73" i="9"/>
  <c r="CL419" i="9"/>
  <c r="CY86" i="9" a="1"/>
  <c r="CY86" i="9" s="1"/>
  <c r="CY428" i="9" a="1"/>
  <c r="CY428" i="9" s="1"/>
  <c r="BZ630" i="9"/>
  <c r="BZ187" i="9"/>
  <c r="BZ631" i="9"/>
  <c r="BZ206" i="9"/>
  <c r="AL1078" i="9"/>
  <c r="W1078" i="9" s="1"/>
  <c r="BY1078" i="9" s="1"/>
  <c r="AX1085" i="9"/>
  <c r="X1085" i="9" s="1"/>
  <c r="BZ1085" i="9" s="1"/>
  <c r="BJ969" i="9"/>
  <c r="Y969" i="9" s="1"/>
  <c r="CA969" i="9" s="1"/>
  <c r="CL242" i="9"/>
  <c r="W609" i="9"/>
  <c r="W891" i="9" s="1"/>
  <c r="BY221" i="9"/>
  <c r="BY609" i="9" s="1"/>
  <c r="BY891" i="9" s="1"/>
  <c r="X218" i="9"/>
  <c r="CY67" i="9" a="1"/>
  <c r="CY67" i="9" s="1"/>
  <c r="CL201" i="9"/>
  <c r="CL68" i="9"/>
  <c r="BZ996" i="9"/>
  <c r="BZ505" i="9"/>
  <c r="AL1083" i="9"/>
  <c r="W1083" i="9" s="1"/>
  <c r="BY1083" i="9" s="1"/>
  <c r="AX959" i="9"/>
  <c r="X959" i="9" s="1"/>
  <c r="BZ959" i="9" s="1"/>
  <c r="BJ1085" i="9"/>
  <c r="Y1085" i="9" s="1"/>
  <c r="CA1085" i="9" s="1"/>
  <c r="BJ964" i="9"/>
  <c r="Y964" i="9" s="1"/>
  <c r="CA964" i="9" s="1"/>
  <c r="CL333" i="9"/>
  <c r="W1018" i="9"/>
  <c r="W527" i="9"/>
  <c r="X399" i="9"/>
  <c r="W405" i="9"/>
  <c r="BY403" i="9"/>
  <c r="CL421" i="9"/>
  <c r="BY635" i="9"/>
  <c r="BY282" i="9"/>
  <c r="CL362" i="9"/>
  <c r="CL269" i="9"/>
  <c r="BZ992" i="9"/>
  <c r="BZ501" i="9"/>
  <c r="BZ637" i="9"/>
  <c r="BZ320" i="9"/>
  <c r="W616" i="9"/>
  <c r="W898" i="9" s="1"/>
  <c r="BY354" i="9"/>
  <c r="BY616" i="9" s="1"/>
  <c r="BY898" i="9" s="1"/>
  <c r="X351" i="9"/>
  <c r="BY993" i="9"/>
  <c r="BY502" i="9"/>
  <c r="CL306" i="9"/>
  <c r="BZ987" i="9"/>
  <c r="BZ496" i="9"/>
  <c r="W765" i="9"/>
  <c r="BY765" i="9" s="1"/>
  <c r="BV788" i="9"/>
  <c r="CB765" i="9"/>
  <c r="CY77" i="9" a="1"/>
  <c r="CY77" i="9" s="1"/>
  <c r="CL210" i="9"/>
  <c r="W605" i="9"/>
  <c r="W887" i="9" s="1"/>
  <c r="BY145" i="9"/>
  <c r="BY605" i="9" s="1"/>
  <c r="BY887" i="9" s="1"/>
  <c r="X142" i="9"/>
  <c r="CY277" i="9" a="1"/>
  <c r="CY277" i="9" s="1"/>
  <c r="BZ628" i="9"/>
  <c r="BZ149" i="9"/>
  <c r="W1014" i="9"/>
  <c r="W523" i="9"/>
  <c r="W329" i="9"/>
  <c r="X323" i="9"/>
  <c r="BY327" i="9"/>
  <c r="AL955" i="9"/>
  <c r="W955" i="9" s="1"/>
  <c r="BY955" i="9" s="1"/>
  <c r="BY641" i="9"/>
  <c r="BY396" i="9"/>
  <c r="W767" i="9"/>
  <c r="BY767" i="9" s="1"/>
  <c r="BV790" i="9"/>
  <c r="CB767" i="9"/>
  <c r="CY382" i="9" a="1"/>
  <c r="CY382" i="9" s="1"/>
  <c r="W778" i="9"/>
  <c r="BY778" i="9" s="1"/>
  <c r="BV801" i="9"/>
  <c r="CB778" i="9"/>
  <c r="CL258" i="9"/>
  <c r="BZ986" i="9"/>
  <c r="BZ495" i="9"/>
  <c r="AL967" i="9"/>
  <c r="W967" i="9" s="1"/>
  <c r="BY967" i="9" s="1"/>
  <c r="AX972" i="9"/>
  <c r="X972" i="9" s="1"/>
  <c r="BZ972" i="9" s="1"/>
  <c r="BJ967" i="9"/>
  <c r="Y967" i="9" s="1"/>
  <c r="CA967" i="9" s="1"/>
  <c r="AX1081" i="9"/>
  <c r="X1081" i="9" s="1"/>
  <c r="BZ1081" i="9" s="1"/>
  <c r="BJ1070" i="9"/>
  <c r="Y1070" i="9" s="1"/>
  <c r="CA1070" i="9" s="1"/>
  <c r="CY125" i="9" a="1"/>
  <c r="CY125" i="9" s="1"/>
  <c r="CY258" i="9" a="1"/>
  <c r="CY258" i="9" s="1"/>
  <c r="CL153" i="9"/>
  <c r="CL295" i="9"/>
  <c r="CA632" i="9"/>
  <c r="CA225" i="9"/>
  <c r="AL970" i="9"/>
  <c r="W970" i="9" s="1"/>
  <c r="BY970" i="9" s="1"/>
  <c r="AX1071" i="9"/>
  <c r="X1071" i="9" s="1"/>
  <c r="BZ1071" i="9" s="1"/>
  <c r="W748" i="9"/>
  <c r="BY748" i="9" s="1"/>
  <c r="CB748" i="9"/>
  <c r="BY625" i="9"/>
  <c r="BY92" i="9"/>
  <c r="CY239" i="9" a="1"/>
  <c r="CY239" i="9" s="1"/>
  <c r="CL71" i="9"/>
  <c r="BY995" i="9"/>
  <c r="BY504" i="9"/>
  <c r="BZ983" i="9"/>
  <c r="BZ492" i="9"/>
  <c r="AL960" i="9"/>
  <c r="W960" i="9" s="1"/>
  <c r="BY960" i="9" s="1"/>
  <c r="AX969" i="9"/>
  <c r="X969" i="9" s="1"/>
  <c r="BZ969" i="9" s="1"/>
  <c r="BV742" i="9"/>
  <c r="W719" i="9"/>
  <c r="BY719" i="9" s="1"/>
  <c r="CB719" i="9"/>
  <c r="CL315" i="9"/>
  <c r="CL174" i="9"/>
  <c r="CY419" i="9" a="1"/>
  <c r="CY419" i="9" s="1"/>
  <c r="W745" i="9"/>
  <c r="BY745" i="9" s="1"/>
  <c r="CB745" i="9"/>
  <c r="BV823" i="9"/>
  <c r="CB823" i="9" s="1"/>
  <c r="CB800" i="9"/>
  <c r="CY242" i="9" a="1"/>
  <c r="CY242" i="9" s="1"/>
  <c r="CL219" i="9"/>
  <c r="BY988" i="9"/>
  <c r="BY497" i="9"/>
  <c r="CL182" i="9"/>
  <c r="CY201" i="9" a="1"/>
  <c r="CY201" i="9" s="1"/>
  <c r="BZ979" i="9"/>
  <c r="BZ488" i="9"/>
  <c r="CL334" i="9"/>
  <c r="CL276" i="9"/>
  <c r="CY280" i="9" a="1"/>
  <c r="CY280" i="9" s="1"/>
  <c r="BZ993" i="9"/>
  <c r="BZ502" i="9"/>
  <c r="BZ634" i="9"/>
  <c r="BZ263" i="9"/>
  <c r="CA996" i="9"/>
  <c r="CA505" i="9"/>
  <c r="AL1073" i="9"/>
  <c r="W1073" i="9" s="1"/>
  <c r="BY1073" i="9" s="1"/>
  <c r="BJ957" i="9"/>
  <c r="Y957" i="9" s="1"/>
  <c r="CA957" i="9" s="1"/>
  <c r="CL229" i="9"/>
  <c r="CY230" i="9" a="1"/>
  <c r="CY230" i="9" s="1"/>
  <c r="CL250" i="9"/>
  <c r="CY306" i="9" a="1"/>
  <c r="CY306" i="9" s="1"/>
  <c r="BZ981" i="9"/>
  <c r="BZ490" i="9"/>
  <c r="AL959" i="9"/>
  <c r="W959" i="9" s="1"/>
  <c r="BY959" i="9" s="1"/>
  <c r="AL971" i="9"/>
  <c r="W971" i="9" s="1"/>
  <c r="BY971" i="9" s="1"/>
  <c r="CY337" i="9" a="1"/>
  <c r="CY337" i="9" s="1"/>
  <c r="CY143" i="9" a="1"/>
  <c r="CY143" i="9" s="1"/>
  <c r="BZ978" i="9"/>
  <c r="BZ487" i="9"/>
  <c r="BZ639" i="9"/>
  <c r="BZ358" i="9"/>
  <c r="AL1079" i="9"/>
  <c r="W1079" i="9" s="1"/>
  <c r="BY1079" i="9" s="1"/>
  <c r="AX971" i="9"/>
  <c r="X971" i="9" s="1"/>
  <c r="BZ971" i="9" s="1"/>
  <c r="BJ1083" i="9"/>
  <c r="Y1083" i="9" s="1"/>
  <c r="CA1083" i="9" s="1"/>
  <c r="AL972" i="9"/>
  <c r="W972" i="9" s="1"/>
  <c r="BY972" i="9" s="1"/>
  <c r="BJ972" i="9"/>
  <c r="Y972" i="9" s="1"/>
  <c r="CA972" i="9" s="1"/>
  <c r="W792" i="9"/>
  <c r="BY792" i="9" s="1"/>
  <c r="BV815" i="9"/>
  <c r="CB815" i="9" s="1"/>
  <c r="CB792" i="9"/>
  <c r="W791" i="9"/>
  <c r="BY791" i="9" s="1"/>
  <c r="CB791" i="9"/>
  <c r="BV814" i="9"/>
  <c r="CB814" i="9" s="1"/>
  <c r="AL966" i="9"/>
  <c r="W966" i="9" s="1"/>
  <c r="BY966" i="9" s="1"/>
  <c r="BJ1076" i="9"/>
  <c r="Y1076" i="9" s="1"/>
  <c r="CA1076" i="9" s="1"/>
  <c r="BJ1079" i="9"/>
  <c r="Y1079" i="9" s="1"/>
  <c r="CA1079" i="9" s="1"/>
  <c r="BV756" i="9"/>
  <c r="W733" i="9"/>
  <c r="BY733" i="9" s="1"/>
  <c r="CB733" i="9"/>
  <c r="CL382" i="9"/>
  <c r="W1006" i="9"/>
  <c r="W515" i="9"/>
  <c r="X171" i="9"/>
  <c r="BY175" i="9"/>
  <c r="W177" i="9"/>
  <c r="CL200" i="9"/>
  <c r="CY223" i="9" a="1"/>
  <c r="CY223" i="9" s="1"/>
  <c r="CY200" i="9" a="1"/>
  <c r="CY200" i="9" s="1"/>
  <c r="CL307" i="9"/>
  <c r="CA641" i="9"/>
  <c r="CA396" i="9"/>
  <c r="CL296" i="9"/>
  <c r="CL147" i="9"/>
  <c r="CL172" i="9"/>
  <c r="W1002" i="9"/>
  <c r="W511" i="9"/>
  <c r="W101" i="9"/>
  <c r="BY99" i="9"/>
  <c r="X95" i="9"/>
  <c r="BZ633" i="9"/>
  <c r="BZ244" i="9"/>
  <c r="AL1074" i="9"/>
  <c r="W1074" i="9" s="1"/>
  <c r="BY1074" i="9" s="1"/>
  <c r="AL1085" i="9"/>
  <c r="W1085" i="9" s="1"/>
  <c r="BY1085" i="9" s="1"/>
  <c r="AX1084" i="9"/>
  <c r="X1084" i="9" s="1"/>
  <c r="BZ1084" i="9" s="1"/>
  <c r="AX1073" i="9"/>
  <c r="X1073" i="9" s="1"/>
  <c r="BZ1073" i="9" s="1"/>
  <c r="BJ1077" i="9"/>
  <c r="Y1077" i="9" s="1"/>
  <c r="CA1077" i="9" s="1"/>
  <c r="BJ1088" i="9"/>
  <c r="Y1088" i="9" s="1"/>
  <c r="CA1088" i="9" s="1"/>
  <c r="AX967" i="9"/>
  <c r="X967" i="9" s="1"/>
  <c r="BZ967" i="9" s="1"/>
  <c r="AX1083" i="9"/>
  <c r="X1083" i="9" s="1"/>
  <c r="BZ1083" i="9" s="1"/>
  <c r="BJ1075" i="9"/>
  <c r="Y1075" i="9" s="1"/>
  <c r="CA1075" i="9" s="1"/>
  <c r="W606" i="9"/>
  <c r="W888" i="9" s="1"/>
  <c r="X161" i="9"/>
  <c r="BY164" i="9"/>
  <c r="BY606" i="9" s="1"/>
  <c r="BY888" i="9" s="1"/>
  <c r="CY295" i="9" a="1"/>
  <c r="CY295" i="9" s="1"/>
  <c r="CL204" i="9"/>
  <c r="BY983" i="9"/>
  <c r="BY492" i="9"/>
  <c r="CA636" i="9"/>
  <c r="CA301" i="9"/>
  <c r="CA978" i="9"/>
  <c r="CA487" i="9"/>
  <c r="W782" i="9"/>
  <c r="BY782" i="9" s="1"/>
  <c r="CB782" i="9"/>
  <c r="BV805" i="9"/>
  <c r="CL381" i="9"/>
  <c r="CL97" i="9"/>
  <c r="CL90" i="9"/>
  <c r="BY626" i="9"/>
  <c r="BY111" i="9"/>
  <c r="CL286" i="9"/>
  <c r="W618" i="9"/>
  <c r="W900" i="9" s="1"/>
  <c r="BY392" i="9"/>
  <c r="BY618" i="9" s="1"/>
  <c r="BY900" i="9" s="1"/>
  <c r="X389" i="9"/>
  <c r="CL401" i="9"/>
  <c r="CA633" i="9"/>
  <c r="CA244" i="9"/>
  <c r="CA977" i="9"/>
  <c r="CA486" i="9"/>
  <c r="CB793" i="9"/>
  <c r="BV816" i="9"/>
  <c r="CB816" i="9" s="1"/>
  <c r="BY981" i="9"/>
  <c r="BY490" i="9"/>
  <c r="CL372" i="9"/>
  <c r="W620" i="9"/>
  <c r="W902" i="9" s="1"/>
  <c r="X427" i="9"/>
  <c r="BY430" i="9"/>
  <c r="BY620" i="9" s="1"/>
  <c r="BY902" i="9" s="1"/>
  <c r="CL59" i="9"/>
  <c r="BZ635" i="9"/>
  <c r="BZ282" i="9"/>
  <c r="CA628" i="9"/>
  <c r="CA149" i="9"/>
  <c r="CA984" i="9"/>
  <c r="CA493" i="9"/>
  <c r="BJ1074" i="9"/>
  <c r="Y1074" i="9" s="1"/>
  <c r="CA1074" i="9" s="1"/>
  <c r="CY429" i="9" a="1"/>
  <c r="CY429" i="9" s="1"/>
  <c r="CY87" i="9" a="1"/>
  <c r="CY87" i="9" s="1"/>
  <c r="CY192" i="9" a="1"/>
  <c r="CY192" i="9" s="1"/>
  <c r="CY219" i="9" a="1"/>
  <c r="CY219" i="9" s="1"/>
  <c r="CL268" i="9"/>
  <c r="CY410" i="9" a="1"/>
  <c r="CY410" i="9" s="1"/>
  <c r="CA643" i="9"/>
  <c r="CA434" i="9"/>
  <c r="CA640" i="9"/>
  <c r="CA377" i="9"/>
  <c r="AL958" i="9"/>
  <c r="W958" i="9" s="1"/>
  <c r="BY958" i="9" s="1"/>
  <c r="AX1076" i="9"/>
  <c r="X1076" i="9" s="1"/>
  <c r="BZ1076" i="9" s="1"/>
  <c r="BJ965" i="9"/>
  <c r="Y965" i="9" s="1"/>
  <c r="CA965" i="9" s="1"/>
  <c r="BJ1072" i="9"/>
  <c r="Y1072" i="9" s="1"/>
  <c r="CA1072" i="9" s="1"/>
  <c r="CL314" i="9"/>
  <c r="CY400" i="9" a="1"/>
  <c r="CY400" i="9" s="1"/>
  <c r="CL280" i="9"/>
  <c r="BY980" i="9"/>
  <c r="BY489" i="9"/>
  <c r="CA627" i="9"/>
  <c r="CA130" i="9"/>
  <c r="CY229" i="9" a="1"/>
  <c r="CY229" i="9" s="1"/>
  <c r="CL238" i="9"/>
  <c r="CL343" i="9"/>
  <c r="BY986" i="9"/>
  <c r="BY495" i="9"/>
  <c r="CA981" i="9"/>
  <c r="CA490" i="9"/>
  <c r="CA624" i="9"/>
  <c r="CA73" i="9"/>
  <c r="W619" i="9"/>
  <c r="W901" i="9" s="1"/>
  <c r="X408" i="9"/>
  <c r="BY411" i="9"/>
  <c r="BY619" i="9" s="1"/>
  <c r="BY901" i="9" s="1"/>
  <c r="BY992" i="9"/>
  <c r="BY501" i="9"/>
  <c r="BZ988" i="9"/>
  <c r="BZ497" i="9"/>
  <c r="W799" i="9"/>
  <c r="BY799" i="9" s="1"/>
  <c r="CB799" i="9"/>
  <c r="BV822" i="9"/>
  <c r="CB822" i="9" s="1"/>
  <c r="AX966" i="9"/>
  <c r="X966" i="9" s="1"/>
  <c r="BZ966" i="9" s="1"/>
  <c r="AL954" i="9"/>
  <c r="W954" i="9" s="1"/>
  <c r="BY954" i="9" s="1"/>
  <c r="W760" i="9"/>
  <c r="BY760" i="9" s="1"/>
  <c r="CB760" i="9"/>
  <c r="CY296" i="9" a="1"/>
  <c r="CY296" i="9" s="1"/>
  <c r="BY643" i="9"/>
  <c r="BY434" i="9"/>
  <c r="W617" i="9"/>
  <c r="W899" i="9" s="1"/>
  <c r="BY373" i="9"/>
  <c r="BY617" i="9" s="1"/>
  <c r="BY899" i="9" s="1"/>
  <c r="X370" i="9"/>
  <c r="CY353" i="9" a="1"/>
  <c r="CY353" i="9" s="1"/>
  <c r="CY324" i="9" a="1"/>
  <c r="CY324" i="9" s="1"/>
  <c r="BZ625" i="9"/>
  <c r="BZ92" i="9"/>
  <c r="CL162" i="9"/>
  <c r="W611" i="9"/>
  <c r="W893" i="9" s="1"/>
  <c r="X256" i="9"/>
  <c r="BY259" i="9"/>
  <c r="BY611" i="9" s="1"/>
  <c r="BY893" i="9" s="1"/>
  <c r="W1007" i="9"/>
  <c r="W516" i="9"/>
  <c r="X190" i="9"/>
  <c r="W196" i="9"/>
  <c r="BY194" i="9"/>
  <c r="BY991" i="9"/>
  <c r="BY500" i="9"/>
  <c r="W773" i="9"/>
  <c r="BY773" i="9" s="1"/>
  <c r="CB773" i="9"/>
  <c r="BV796" i="9"/>
  <c r="CY97" i="9" a="1"/>
  <c r="CY97" i="9" s="1"/>
  <c r="W1011" i="9"/>
  <c r="W520" i="9"/>
  <c r="BY270" i="9"/>
  <c r="W272" i="9"/>
  <c r="X266" i="9"/>
  <c r="BY985" i="9"/>
  <c r="BY494" i="9"/>
  <c r="CL109" i="9"/>
  <c r="CY401" i="9" a="1"/>
  <c r="CY401" i="9" s="1"/>
  <c r="CY134" i="9" a="1"/>
  <c r="CY134" i="9" s="1"/>
  <c r="CY372" i="9" a="1"/>
  <c r="CY372" i="9" s="1"/>
  <c r="CA989" i="9"/>
  <c r="CA498" i="9"/>
  <c r="BJ970" i="9"/>
  <c r="Y970" i="9" s="1"/>
  <c r="CA970" i="9" s="1"/>
  <c r="AX1069" i="9"/>
  <c r="X1069" i="9" s="1"/>
  <c r="BZ1069" i="9" s="1"/>
  <c r="BY987" i="9"/>
  <c r="BY496" i="9"/>
  <c r="W1003" i="9"/>
  <c r="W512" i="9"/>
  <c r="BY118" i="9"/>
  <c r="W120" i="9"/>
  <c r="X114" i="9"/>
  <c r="CY268" i="9" a="1"/>
  <c r="CY268" i="9" s="1"/>
  <c r="CY163" i="9" a="1"/>
  <c r="CY163" i="9" s="1"/>
  <c r="CY105" i="9" a="1"/>
  <c r="CY105" i="9" s="1"/>
  <c r="BZ624" i="9"/>
  <c r="BZ73" i="9"/>
  <c r="W754" i="9"/>
  <c r="BY754" i="9" s="1"/>
  <c r="CB754" i="9"/>
  <c r="W614" i="9"/>
  <c r="W896" i="9" s="1"/>
  <c r="X313" i="9"/>
  <c r="BY316" i="9"/>
  <c r="BY614" i="9" s="1"/>
  <c r="BY896" i="9" s="1"/>
  <c r="CL144" i="9"/>
  <c r="BY637" i="9"/>
  <c r="BY320" i="9"/>
  <c r="CL116" i="9"/>
  <c r="CA995" i="9"/>
  <c r="CA504" i="9"/>
  <c r="CA625" i="9"/>
  <c r="CA92" i="9"/>
  <c r="CL356" i="9"/>
  <c r="CY352" i="9" a="1"/>
  <c r="CY352" i="9" s="1"/>
  <c r="CY413" i="9" a="1"/>
  <c r="CY413" i="9" s="1"/>
  <c r="CY299" i="9" a="1"/>
  <c r="CY299" i="9" s="1"/>
  <c r="BY990" i="9"/>
  <c r="BY499" i="9"/>
  <c r="CA988" i="9"/>
  <c r="CA497" i="9"/>
  <c r="CL337" i="9"/>
  <c r="CL409" i="9"/>
  <c r="CY185" i="9" a="1"/>
  <c r="CY185" i="9" s="1"/>
  <c r="CL277" i="9"/>
  <c r="BZ642" i="9"/>
  <c r="BZ415" i="9"/>
  <c r="BZ985" i="9"/>
  <c r="BZ494" i="9"/>
  <c r="W806" i="9"/>
  <c r="BY806" i="9" s="1"/>
  <c r="CB806" i="9"/>
  <c r="BV829" i="9"/>
  <c r="CB829" i="9" s="1"/>
  <c r="E13" i="14"/>
  <c r="N13" i="14" s="1" a="1"/>
  <c r="N13" i="14" s="1"/>
  <c r="B13" i="14" a="1"/>
  <c r="AK109" i="6" l="1"/>
  <c r="AJ130" i="6"/>
  <c r="AI20" i="6"/>
  <c r="AI18" i="6"/>
  <c r="AI124" i="30"/>
  <c r="AI139" i="30" s="1"/>
  <c r="AI32" i="32"/>
  <c r="CX301" i="9"/>
  <c r="A301" i="9" s="1" a="1"/>
  <c r="A301" i="9" s="1"/>
  <c r="CX130" i="9"/>
  <c r="A130" i="9" s="1" a="1"/>
  <c r="A130" i="9" s="1"/>
  <c r="CX358" i="9"/>
  <c r="A358" i="9" s="1" a="1"/>
  <c r="A358" i="9" s="1"/>
  <c r="CX377" i="9"/>
  <c r="A377" i="9" s="1" a="1"/>
  <c r="A377" i="9" s="1"/>
  <c r="CX263" i="9"/>
  <c r="A263" i="9" s="1" a="1"/>
  <c r="A263" i="9" s="1"/>
  <c r="CX415" i="9"/>
  <c r="A415" i="9" s="1" a="1"/>
  <c r="A415" i="9" s="1"/>
  <c r="CX225" i="9"/>
  <c r="A225" i="9" s="1" a="1"/>
  <c r="A225" i="9" s="1"/>
  <c r="CX434" i="9"/>
  <c r="A434" i="9" s="1" a="1"/>
  <c r="A434" i="9" s="1"/>
  <c r="CX320" i="9"/>
  <c r="A320" i="9" s="1" a="1"/>
  <c r="A320" i="9" s="1"/>
  <c r="CX187" i="9"/>
  <c r="A187" i="9" s="1" a="1"/>
  <c r="A187" i="9" s="1"/>
  <c r="CX339" i="9"/>
  <c r="A339" i="9" s="1" a="1"/>
  <c r="A339" i="9" s="1"/>
  <c r="CX206" i="9"/>
  <c r="A206" i="9" s="1" a="1"/>
  <c r="A206" i="9" s="1"/>
  <c r="CX92" i="9"/>
  <c r="A92" i="9" s="1" a="1"/>
  <c r="A92" i="9" s="1"/>
  <c r="CX244" i="9"/>
  <c r="A244" i="9" s="1" a="1"/>
  <c r="A244" i="9" s="1"/>
  <c r="CX111" i="9"/>
  <c r="A111" i="9" s="1" a="1"/>
  <c r="A111" i="9" s="1"/>
  <c r="CX282" i="9"/>
  <c r="A282" i="9" s="1" a="1"/>
  <c r="A282" i="9" s="1"/>
  <c r="CX73" i="9"/>
  <c r="A73" i="9" s="1" a="1"/>
  <c r="A73" i="9" s="1"/>
  <c r="CX396" i="9"/>
  <c r="A396" i="9" s="1" a="1"/>
  <c r="A396" i="9" s="1"/>
  <c r="CX149" i="9"/>
  <c r="A149" i="9" s="1" a="1"/>
  <c r="A149" i="9" s="1"/>
  <c r="CX168" i="9"/>
  <c r="A168" i="9" s="1" a="1"/>
  <c r="A168" i="9" s="1"/>
  <c r="W805" i="9"/>
  <c r="BY805" i="9" s="1"/>
  <c r="CB805" i="9"/>
  <c r="BV828" i="9"/>
  <c r="CB828" i="9" s="1"/>
  <c r="W742" i="9"/>
  <c r="BY742" i="9" s="1"/>
  <c r="CB742" i="9"/>
  <c r="X541" i="9"/>
  <c r="X240" i="9"/>
  <c r="BZ237" i="9"/>
  <c r="BZ541" i="9" s="1"/>
  <c r="X457" i="9"/>
  <c r="X384" i="9"/>
  <c r="BZ380" i="9"/>
  <c r="BZ457" i="9" s="1"/>
  <c r="CB796" i="9"/>
  <c r="BV819" i="9"/>
  <c r="CB819" i="9" s="1"/>
  <c r="CB801" i="9"/>
  <c r="BV824" i="9"/>
  <c r="CB824" i="9" s="1"/>
  <c r="X422" i="9"/>
  <c r="X459" i="9"/>
  <c r="BZ418" i="9"/>
  <c r="BZ459" i="9" s="1"/>
  <c r="X251" i="9"/>
  <c r="X450" i="9"/>
  <c r="BZ247" i="9"/>
  <c r="BZ450" i="9" s="1"/>
  <c r="W750" i="9"/>
  <c r="BY750" i="9" s="1"/>
  <c r="CB750" i="9"/>
  <c r="W803" i="9"/>
  <c r="BY803" i="9" s="1"/>
  <c r="CB803" i="9"/>
  <c r="BV826" i="9"/>
  <c r="CB826" i="9" s="1"/>
  <c r="X540" i="9"/>
  <c r="X221" i="9"/>
  <c r="BZ218" i="9"/>
  <c r="BZ540" i="9" s="1"/>
  <c r="X534" i="9"/>
  <c r="BZ104" i="9"/>
  <c r="BZ534" i="9" s="1"/>
  <c r="X107" i="9"/>
  <c r="BY1001" i="9"/>
  <c r="BY510" i="9"/>
  <c r="BY82" i="9"/>
  <c r="BY1015" i="9"/>
  <c r="BY524" i="9"/>
  <c r="BY348" i="9"/>
  <c r="CB789" i="9"/>
  <c r="BV812" i="9"/>
  <c r="CB812" i="9" s="1"/>
  <c r="BY1017" i="9"/>
  <c r="BY526" i="9"/>
  <c r="BY386" i="9"/>
  <c r="X532" i="9"/>
  <c r="X69" i="9"/>
  <c r="BZ66" i="9"/>
  <c r="BZ532" i="9" s="1"/>
  <c r="BY1005" i="9"/>
  <c r="BY514" i="9"/>
  <c r="BY158" i="9"/>
  <c r="BY1003" i="9"/>
  <c r="BY512" i="9"/>
  <c r="BY120" i="9"/>
  <c r="CL2" i="9" a="1"/>
  <c r="CL2" i="9" s="1"/>
  <c r="X441" i="9"/>
  <c r="X80" i="9"/>
  <c r="BZ76" i="9"/>
  <c r="BZ441" i="9" s="1"/>
  <c r="BZ342" i="9"/>
  <c r="BZ455" i="9" s="1"/>
  <c r="X346" i="9"/>
  <c r="X455" i="9"/>
  <c r="X543" i="9"/>
  <c r="X278" i="9"/>
  <c r="BZ275" i="9"/>
  <c r="BZ543" i="9" s="1"/>
  <c r="X444" i="9"/>
  <c r="X137" i="9"/>
  <c r="BZ133" i="9"/>
  <c r="BZ444" i="9" s="1"/>
  <c r="X538" i="9"/>
  <c r="X183" i="9"/>
  <c r="BZ180" i="9"/>
  <c r="BZ538" i="9" s="1"/>
  <c r="X535" i="9"/>
  <c r="X126" i="9"/>
  <c r="BZ123" i="9"/>
  <c r="BZ535" i="9" s="1"/>
  <c r="X445" i="9"/>
  <c r="BZ152" i="9"/>
  <c r="BZ445" i="9" s="1"/>
  <c r="X156" i="9"/>
  <c r="X551" i="9"/>
  <c r="X430" i="9"/>
  <c r="BZ427" i="9"/>
  <c r="BZ551" i="9" s="1"/>
  <c r="X537" i="9"/>
  <c r="X164" i="9"/>
  <c r="BZ161" i="9"/>
  <c r="BZ537" i="9" s="1"/>
  <c r="BY1002" i="9"/>
  <c r="BY511" i="9"/>
  <c r="BY101" i="9"/>
  <c r="BY1014" i="9"/>
  <c r="BY523" i="9"/>
  <c r="BY329" i="9"/>
  <c r="CB804" i="9"/>
  <c r="BV827" i="9"/>
  <c r="CB827" i="9" s="1"/>
  <c r="X453" i="9"/>
  <c r="X308" i="9"/>
  <c r="BZ304" i="9"/>
  <c r="BZ453" i="9" s="1"/>
  <c r="BY1004" i="9"/>
  <c r="BY513" i="9"/>
  <c r="BY139" i="9"/>
  <c r="BY1000" i="9"/>
  <c r="BY509" i="9"/>
  <c r="BY63" i="9"/>
  <c r="X546" i="9"/>
  <c r="X335" i="9"/>
  <c r="BZ332" i="9"/>
  <c r="BZ546" i="9" s="1"/>
  <c r="BY1011" i="9"/>
  <c r="BY520" i="9"/>
  <c r="BY272" i="9"/>
  <c r="W756" i="9"/>
  <c r="BY756" i="9" s="1"/>
  <c r="CB756" i="9"/>
  <c r="W790" i="9"/>
  <c r="BY790" i="9" s="1"/>
  <c r="CB790" i="9"/>
  <c r="BV813" i="9"/>
  <c r="CB813" i="9" s="1"/>
  <c r="X454" i="9"/>
  <c r="X327" i="9"/>
  <c r="BZ323" i="9"/>
  <c r="BZ454" i="9" s="1"/>
  <c r="X547" i="9"/>
  <c r="X354" i="9"/>
  <c r="BZ351" i="9"/>
  <c r="BZ547" i="9" s="1"/>
  <c r="X458" i="9"/>
  <c r="X403" i="9"/>
  <c r="BZ399" i="9"/>
  <c r="BZ458" i="9" s="1"/>
  <c r="W755" i="9"/>
  <c r="BY755" i="9" s="1"/>
  <c r="CB755" i="9"/>
  <c r="BY1012" i="9"/>
  <c r="BY521" i="9"/>
  <c r="BY291" i="9"/>
  <c r="X449" i="9"/>
  <c r="X232" i="9"/>
  <c r="BZ228" i="9"/>
  <c r="BZ449" i="9" s="1"/>
  <c r="BY1013" i="9"/>
  <c r="BY522" i="9"/>
  <c r="BY310" i="9"/>
  <c r="X533" i="9"/>
  <c r="BZ85" i="9"/>
  <c r="BZ533" i="9" s="1"/>
  <c r="X88" i="9"/>
  <c r="X539" i="9"/>
  <c r="X202" i="9"/>
  <c r="BZ199" i="9"/>
  <c r="BZ539" i="9" s="1"/>
  <c r="X440" i="9"/>
  <c r="X61" i="9"/>
  <c r="BZ57" i="9"/>
  <c r="BZ440" i="9" s="1"/>
  <c r="BY1008" i="9"/>
  <c r="BY517" i="9"/>
  <c r="BY215" i="9"/>
  <c r="X456" i="9"/>
  <c r="BZ361" i="9"/>
  <c r="BZ456" i="9" s="1"/>
  <c r="X365" i="9"/>
  <c r="X544" i="9"/>
  <c r="X297" i="9"/>
  <c r="BZ294" i="9"/>
  <c r="BZ544" i="9" s="1"/>
  <c r="BY1007" i="9"/>
  <c r="BY516" i="9"/>
  <c r="BY196" i="9"/>
  <c r="X451" i="9"/>
  <c r="BZ266" i="9"/>
  <c r="BZ451" i="9" s="1"/>
  <c r="X270" i="9"/>
  <c r="X442" i="9"/>
  <c r="BZ95" i="9"/>
  <c r="BZ442" i="9" s="1"/>
  <c r="X99" i="9"/>
  <c r="BY1018" i="9"/>
  <c r="BY405" i="9"/>
  <c r="BY527" i="9"/>
  <c r="X545" i="9"/>
  <c r="BZ313" i="9"/>
  <c r="BZ545" i="9" s="1"/>
  <c r="X316" i="9"/>
  <c r="X550" i="9"/>
  <c r="X411" i="9"/>
  <c r="BZ408" i="9"/>
  <c r="BZ550" i="9" s="1"/>
  <c r="BY1006" i="9"/>
  <c r="BY515" i="9"/>
  <c r="BY177" i="9"/>
  <c r="BV811" i="9"/>
  <c r="CB811" i="9" s="1"/>
  <c r="CB788" i="9"/>
  <c r="BY1009" i="9"/>
  <c r="BY518" i="9"/>
  <c r="BY234" i="9"/>
  <c r="X448" i="9"/>
  <c r="BZ209" i="9"/>
  <c r="BZ448" i="9" s="1"/>
  <c r="X213" i="9"/>
  <c r="X542" i="9"/>
  <c r="X259" i="9"/>
  <c r="BZ256" i="9"/>
  <c r="BZ542" i="9" s="1"/>
  <c r="X447" i="9"/>
  <c r="X194" i="9"/>
  <c r="BZ190" i="9"/>
  <c r="BZ447" i="9" s="1"/>
  <c r="X443" i="9"/>
  <c r="X118" i="9"/>
  <c r="BZ114" i="9"/>
  <c r="BZ443" i="9" s="1"/>
  <c r="X548" i="9"/>
  <c r="X373" i="9"/>
  <c r="BZ370" i="9"/>
  <c r="BZ548" i="9" s="1"/>
  <c r="X549" i="9"/>
  <c r="X392" i="9"/>
  <c r="BZ389" i="9"/>
  <c r="BZ549" i="9" s="1"/>
  <c r="X446" i="9"/>
  <c r="X175" i="9"/>
  <c r="BZ171" i="9"/>
  <c r="BZ446" i="9" s="1"/>
  <c r="X536" i="9"/>
  <c r="X145" i="9"/>
  <c r="BZ142" i="9"/>
  <c r="BZ536" i="9" s="1"/>
  <c r="BV820" i="9"/>
  <c r="CB820" i="9" s="1"/>
  <c r="CB797" i="9"/>
  <c r="BY1019" i="9"/>
  <c r="BY528" i="9"/>
  <c r="BY424" i="9"/>
  <c r="X289" i="9"/>
  <c r="X452" i="9"/>
  <c r="BZ285" i="9"/>
  <c r="BZ452" i="9" s="1"/>
  <c r="BY1016" i="9"/>
  <c r="BY525" i="9"/>
  <c r="BY367" i="9"/>
  <c r="BY1010" i="9"/>
  <c r="BY519" i="9"/>
  <c r="BY253" i="9"/>
  <c r="B13" i="14"/>
  <c r="A13" i="14"/>
  <c r="B20" i="14" a="1"/>
  <c r="E11" i="14" a="1"/>
  <c r="AI143" i="30" l="1"/>
  <c r="AI141" i="30"/>
  <c r="AJ133" i="6"/>
  <c r="AJ119" i="30" s="1"/>
  <c r="AJ16" i="6"/>
  <c r="AK114" i="6"/>
  <c r="AK125" i="6"/>
  <c r="B20" i="14"/>
  <c r="X614" i="9"/>
  <c r="X896" i="9" s="1"/>
  <c r="BZ316" i="9"/>
  <c r="BZ614" i="9" s="1"/>
  <c r="BZ896" i="9" s="1"/>
  <c r="Y313" i="9"/>
  <c r="X602" i="9"/>
  <c r="X884" i="9" s="1"/>
  <c r="BZ88" i="9"/>
  <c r="BZ602" i="9" s="1"/>
  <c r="BZ884" i="9" s="1"/>
  <c r="Y85" i="9"/>
  <c r="X1007" i="9"/>
  <c r="X516" i="9"/>
  <c r="X196" i="9"/>
  <c r="BZ194" i="9"/>
  <c r="Y190" i="9"/>
  <c r="X611" i="9"/>
  <c r="X893" i="9" s="1"/>
  <c r="Y256" i="9"/>
  <c r="BZ259" i="9"/>
  <c r="BZ611" i="9" s="1"/>
  <c r="BZ893" i="9" s="1"/>
  <c r="Y408" i="9"/>
  <c r="BZ411" i="9"/>
  <c r="BZ619" i="9" s="1"/>
  <c r="BZ901" i="9" s="1"/>
  <c r="X619" i="9"/>
  <c r="X901" i="9" s="1"/>
  <c r="X613" i="9"/>
  <c r="X895" i="9" s="1"/>
  <c r="Y294" i="9"/>
  <c r="BZ297" i="9"/>
  <c r="BZ613" i="9" s="1"/>
  <c r="BZ895" i="9" s="1"/>
  <c r="X616" i="9"/>
  <c r="X898" i="9" s="1"/>
  <c r="BZ354" i="9"/>
  <c r="BZ616" i="9" s="1"/>
  <c r="BZ898" i="9" s="1"/>
  <c r="Y351" i="9"/>
  <c r="X1010" i="9"/>
  <c r="X519" i="9"/>
  <c r="Y247" i="9"/>
  <c r="X253" i="9"/>
  <c r="BZ251" i="9"/>
  <c r="X1019" i="9"/>
  <c r="X528" i="9"/>
  <c r="Y418" i="9"/>
  <c r="X424" i="9"/>
  <c r="BZ422" i="9"/>
  <c r="X608" i="9"/>
  <c r="X890" i="9" s="1"/>
  <c r="Y199" i="9"/>
  <c r="BZ202" i="9"/>
  <c r="BZ608" i="9" s="1"/>
  <c r="BZ890" i="9" s="1"/>
  <c r="X607" i="9"/>
  <c r="X889" i="9" s="1"/>
  <c r="BZ183" i="9"/>
  <c r="BZ607" i="9" s="1"/>
  <c r="BZ889" i="9" s="1"/>
  <c r="Y180" i="9"/>
  <c r="X620" i="9"/>
  <c r="X902" i="9" s="1"/>
  <c r="BZ430" i="9"/>
  <c r="BZ620" i="9" s="1"/>
  <c r="BZ902" i="9" s="1"/>
  <c r="Y427" i="9"/>
  <c r="X612" i="9"/>
  <c r="X894" i="9" s="1"/>
  <c r="BZ278" i="9"/>
  <c r="BZ612" i="9" s="1"/>
  <c r="BZ894" i="9" s="1"/>
  <c r="Y275" i="9"/>
  <c r="X1001" i="9"/>
  <c r="X510" i="9"/>
  <c r="BZ80" i="9"/>
  <c r="Y76" i="9"/>
  <c r="X82" i="9"/>
  <c r="X1003" i="9"/>
  <c r="X512" i="9"/>
  <c r="BZ118" i="9"/>
  <c r="Y114" i="9"/>
  <c r="X120" i="9"/>
  <c r="X606" i="9"/>
  <c r="X888" i="9" s="1"/>
  <c r="Y161" i="9"/>
  <c r="BZ164" i="9"/>
  <c r="BZ606" i="9" s="1"/>
  <c r="BZ888" i="9" s="1"/>
  <c r="X603" i="9"/>
  <c r="X885" i="9" s="1"/>
  <c r="BZ107" i="9"/>
  <c r="BZ603" i="9" s="1"/>
  <c r="BZ885" i="9" s="1"/>
  <c r="Y104" i="9"/>
  <c r="X609" i="9"/>
  <c r="X891" i="9" s="1"/>
  <c r="BZ221" i="9"/>
  <c r="BZ609" i="9" s="1"/>
  <c r="BZ891" i="9" s="1"/>
  <c r="Y218" i="9"/>
  <c r="X610" i="9"/>
  <c r="X892" i="9" s="1"/>
  <c r="Y237" i="9"/>
  <c r="BZ240" i="9"/>
  <c r="BZ610" i="9" s="1"/>
  <c r="BZ892" i="9" s="1"/>
  <c r="X1018" i="9"/>
  <c r="X527" i="9"/>
  <c r="Y399" i="9"/>
  <c r="X405" i="9"/>
  <c r="BZ403" i="9"/>
  <c r="X1000" i="9"/>
  <c r="X509" i="9"/>
  <c r="Y57" i="9"/>
  <c r="X63" i="9"/>
  <c r="BZ61" i="9"/>
  <c r="X1014" i="9"/>
  <c r="X523" i="9"/>
  <c r="X329" i="9"/>
  <c r="BZ327" i="9"/>
  <c r="Y323" i="9"/>
  <c r="X1013" i="9"/>
  <c r="X522" i="9"/>
  <c r="X310" i="9"/>
  <c r="BZ308" i="9"/>
  <c r="Y304" i="9"/>
  <c r="X604" i="9"/>
  <c r="X886" i="9" s="1"/>
  <c r="BZ126" i="9"/>
  <c r="BZ604" i="9" s="1"/>
  <c r="BZ886" i="9" s="1"/>
  <c r="Y123" i="9"/>
  <c r="X1004" i="9"/>
  <c r="X513" i="9"/>
  <c r="X139" i="9"/>
  <c r="Y133" i="9"/>
  <c r="BZ137" i="9"/>
  <c r="X1017" i="9"/>
  <c r="X526" i="9"/>
  <c r="X386" i="9"/>
  <c r="BZ384" i="9"/>
  <c r="Y380" i="9"/>
  <c r="X618" i="9"/>
  <c r="X900" i="9" s="1"/>
  <c r="Y389" i="9"/>
  <c r="BZ392" i="9"/>
  <c r="BZ618" i="9" s="1"/>
  <c r="BZ900" i="9" s="1"/>
  <c r="X1011" i="9"/>
  <c r="X520" i="9"/>
  <c r="Y266" i="9"/>
  <c r="X272" i="9"/>
  <c r="BZ270" i="9"/>
  <c r="X1016" i="9"/>
  <c r="X525" i="9"/>
  <c r="BZ365" i="9"/>
  <c r="X367" i="9"/>
  <c r="Y361" i="9"/>
  <c r="X1006" i="9"/>
  <c r="X515" i="9"/>
  <c r="Y171" i="9"/>
  <c r="BZ175" i="9"/>
  <c r="X177" i="9"/>
  <c r="X1002" i="9"/>
  <c r="X511" i="9"/>
  <c r="BZ99" i="9"/>
  <c r="X101" i="9"/>
  <c r="Y95" i="9"/>
  <c r="X615" i="9"/>
  <c r="X897" i="9" s="1"/>
  <c r="BZ335" i="9"/>
  <c r="BZ615" i="9" s="1"/>
  <c r="BZ897" i="9" s="1"/>
  <c r="Y332" i="9"/>
  <c r="X1015" i="9"/>
  <c r="X524" i="9"/>
  <c r="BZ346" i="9"/>
  <c r="X348" i="9"/>
  <c r="Y342" i="9"/>
  <c r="X601" i="9"/>
  <c r="X883" i="9" s="1"/>
  <c r="BZ69" i="9"/>
  <c r="BZ601" i="9" s="1"/>
  <c r="BZ883" i="9" s="1"/>
  <c r="Y66" i="9"/>
  <c r="X605" i="9"/>
  <c r="X887" i="9" s="1"/>
  <c r="Y142" i="9"/>
  <c r="BZ145" i="9"/>
  <c r="BZ605" i="9" s="1"/>
  <c r="BZ887" i="9" s="1"/>
  <c r="X1012" i="9"/>
  <c r="X521" i="9"/>
  <c r="X291" i="9"/>
  <c r="Y285" i="9"/>
  <c r="BZ289" i="9"/>
  <c r="X617" i="9"/>
  <c r="X899" i="9" s="1"/>
  <c r="Y370" i="9"/>
  <c r="BZ373" i="9"/>
  <c r="BZ617" i="9" s="1"/>
  <c r="BZ899" i="9" s="1"/>
  <c r="X1008" i="9"/>
  <c r="X517" i="9"/>
  <c r="BZ213" i="9"/>
  <c r="X215" i="9"/>
  <c r="Y209" i="9"/>
  <c r="X1009" i="9"/>
  <c r="X518" i="9"/>
  <c r="Y228" i="9"/>
  <c r="X234" i="9"/>
  <c r="BZ232" i="9"/>
  <c r="X1005" i="9"/>
  <c r="X514" i="9"/>
  <c r="Y152" i="9"/>
  <c r="BZ156" i="9"/>
  <c r="X158" i="9"/>
  <c r="E11" i="14"/>
  <c r="E10" i="14" a="1"/>
  <c r="E10" i="14" s="1"/>
  <c r="E1" i="14"/>
  <c r="E42" i="14" a="1"/>
  <c r="AJ20" i="6" l="1"/>
  <c r="AJ18" i="6"/>
  <c r="AJ124" i="30"/>
  <c r="AJ139" i="30" s="1"/>
  <c r="AJ32" i="32"/>
  <c r="AL109" i="6"/>
  <c r="AK130" i="6"/>
  <c r="Y440" i="9"/>
  <c r="Y61" i="9"/>
  <c r="CA57" i="9"/>
  <c r="CA440" i="9" s="1"/>
  <c r="Y403" i="9"/>
  <c r="CA399" i="9"/>
  <c r="CA458" i="9" s="1"/>
  <c r="Y458" i="9"/>
  <c r="Y543" i="9"/>
  <c r="Y278" i="9"/>
  <c r="CA275" i="9"/>
  <c r="CA543" i="9" s="1"/>
  <c r="Y459" i="9"/>
  <c r="Y422" i="9"/>
  <c r="CA418" i="9"/>
  <c r="CA459" i="9" s="1"/>
  <c r="Y450" i="9"/>
  <c r="CA247" i="9"/>
  <c r="CA450" i="9" s="1"/>
  <c r="Y251" i="9"/>
  <c r="BZ1002" i="9"/>
  <c r="BZ511" i="9"/>
  <c r="BZ101" i="9"/>
  <c r="Y446" i="9"/>
  <c r="Y175" i="9"/>
  <c r="CA171" i="9"/>
  <c r="CA446" i="9" s="1"/>
  <c r="BZ1016" i="9"/>
  <c r="BZ525" i="9"/>
  <c r="BZ367" i="9"/>
  <c r="Y451" i="9"/>
  <c r="Y270" i="9"/>
  <c r="CA266" i="9"/>
  <c r="CA451" i="9" s="1"/>
  <c r="Y534" i="9"/>
  <c r="CA104" i="9"/>
  <c r="CA534" i="9" s="1"/>
  <c r="Y107" i="9"/>
  <c r="Y539" i="9"/>
  <c r="Y202" i="9"/>
  <c r="CA199" i="9"/>
  <c r="CA539" i="9" s="1"/>
  <c r="Y544" i="9"/>
  <c r="Y297" i="9"/>
  <c r="CA294" i="9"/>
  <c r="CA544" i="9" s="1"/>
  <c r="Y548" i="9"/>
  <c r="Y373" i="9"/>
  <c r="CA370" i="9"/>
  <c r="CA548" i="9" s="1"/>
  <c r="Y457" i="9"/>
  <c r="CA380" i="9"/>
  <c r="CA457" i="9" s="1"/>
  <c r="Y384" i="9"/>
  <c r="Y551" i="9"/>
  <c r="Y430" i="9"/>
  <c r="CA427" i="9"/>
  <c r="CA551" i="9" s="1"/>
  <c r="Y447" i="9"/>
  <c r="CA190" i="9"/>
  <c r="CA447" i="9" s="1"/>
  <c r="Y194" i="9"/>
  <c r="Y545" i="9"/>
  <c r="Y316" i="9"/>
  <c r="CA313" i="9"/>
  <c r="CA545" i="9" s="1"/>
  <c r="Y533" i="9"/>
  <c r="Y88" i="9"/>
  <c r="CA85" i="9"/>
  <c r="CA533" i="9" s="1"/>
  <c r="BZ1017" i="9"/>
  <c r="BZ526" i="9"/>
  <c r="BZ386" i="9"/>
  <c r="Y444" i="9"/>
  <c r="CA133" i="9"/>
  <c r="CA444" i="9" s="1"/>
  <c r="Y137" i="9"/>
  <c r="Y443" i="9"/>
  <c r="Y118" i="9"/>
  <c r="CA114" i="9"/>
  <c r="CA443" i="9" s="1"/>
  <c r="Y441" i="9"/>
  <c r="CA76" i="9"/>
  <c r="CA441" i="9" s="1"/>
  <c r="Y80" i="9"/>
  <c r="Y547" i="9"/>
  <c r="Y354" i="9"/>
  <c r="CA351" i="9"/>
  <c r="CA547" i="9" s="1"/>
  <c r="Y411" i="9"/>
  <c r="CA408" i="9"/>
  <c r="CA550" i="9" s="1"/>
  <c r="Y550" i="9"/>
  <c r="BZ1007" i="9"/>
  <c r="BZ516" i="9"/>
  <c r="BZ196" i="9"/>
  <c r="Y541" i="9"/>
  <c r="Y240" i="9"/>
  <c r="CA237" i="9"/>
  <c r="CA541" i="9" s="1"/>
  <c r="BZ1003" i="9"/>
  <c r="BZ512" i="9"/>
  <c r="BZ120" i="9"/>
  <c r="BZ1001" i="9"/>
  <c r="BZ510" i="9"/>
  <c r="BZ82" i="9"/>
  <c r="Y442" i="9"/>
  <c r="Y99" i="9"/>
  <c r="CA95" i="9"/>
  <c r="CA442" i="9" s="1"/>
  <c r="BZ1011" i="9"/>
  <c r="BZ520" i="9"/>
  <c r="BZ272" i="9"/>
  <c r="BZ1004" i="9"/>
  <c r="BZ513" i="9"/>
  <c r="BZ139" i="9"/>
  <c r="Y536" i="9"/>
  <c r="CA142" i="9"/>
  <c r="CA536" i="9" s="1"/>
  <c r="Y145" i="9"/>
  <c r="Y445" i="9"/>
  <c r="Y156" i="9"/>
  <c r="CA152" i="9"/>
  <c r="CA445" i="9" s="1"/>
  <c r="BZ1008" i="9"/>
  <c r="BZ517" i="9"/>
  <c r="BZ215" i="9"/>
  <c r="BZ1012" i="9"/>
  <c r="BZ521" i="9"/>
  <c r="BZ291" i="9"/>
  <c r="Y532" i="9"/>
  <c r="CA66" i="9"/>
  <c r="CA532" i="9" s="1"/>
  <c r="Y69" i="9"/>
  <c r="BZ1015" i="9"/>
  <c r="BZ524" i="9"/>
  <c r="BZ348" i="9"/>
  <c r="Y549" i="9"/>
  <c r="Y392" i="9"/>
  <c r="CA389" i="9"/>
  <c r="CA549" i="9" s="1"/>
  <c r="Y453" i="9"/>
  <c r="Y308" i="9"/>
  <c r="CA304" i="9"/>
  <c r="CA453" i="9" s="1"/>
  <c r="Y454" i="9"/>
  <c r="CA323" i="9"/>
  <c r="CA454" i="9" s="1"/>
  <c r="Y327" i="9"/>
  <c r="BZ1000" i="9"/>
  <c r="BZ509" i="9"/>
  <c r="BZ63" i="9"/>
  <c r="BZ1018" i="9"/>
  <c r="BZ527" i="9"/>
  <c r="BZ405" i="9"/>
  <c r="Y537" i="9"/>
  <c r="Y164" i="9"/>
  <c r="CA161" i="9"/>
  <c r="CA537" i="9" s="1"/>
  <c r="Y538" i="9"/>
  <c r="Y183" i="9"/>
  <c r="CA180" i="9"/>
  <c r="CA538" i="9" s="1"/>
  <c r="Y542" i="9"/>
  <c r="CA256" i="9"/>
  <c r="CA542" i="9" s="1"/>
  <c r="Y259" i="9"/>
  <c r="Y456" i="9"/>
  <c r="CA361" i="9"/>
  <c r="CA456" i="9" s="1"/>
  <c r="Y365" i="9"/>
  <c r="Y535" i="9"/>
  <c r="Y126" i="9"/>
  <c r="CA123" i="9"/>
  <c r="CA535" i="9" s="1"/>
  <c r="Y546" i="9"/>
  <c r="Y335" i="9"/>
  <c r="CA332" i="9"/>
  <c r="CA546" i="9" s="1"/>
  <c r="BZ1006" i="9"/>
  <c r="BZ515" i="9"/>
  <c r="BZ177" i="9"/>
  <c r="BZ1009" i="9"/>
  <c r="BZ518" i="9"/>
  <c r="BZ234" i="9"/>
  <c r="Y448" i="9"/>
  <c r="CA209" i="9"/>
  <c r="CA448" i="9" s="1"/>
  <c r="Y213" i="9"/>
  <c r="BZ1005" i="9"/>
  <c r="BZ514" i="9"/>
  <c r="BZ158" i="9"/>
  <c r="CA342" i="9"/>
  <c r="CA455" i="9" s="1"/>
  <c r="Y455" i="9"/>
  <c r="Y346" i="9"/>
  <c r="Y449" i="9"/>
  <c r="Y232" i="9"/>
  <c r="CA228" i="9"/>
  <c r="CA449" i="9" s="1"/>
  <c r="Y452" i="9"/>
  <c r="Y289" i="9"/>
  <c r="CA285" i="9"/>
  <c r="CA452" i="9" s="1"/>
  <c r="BZ1013" i="9"/>
  <c r="BZ522" i="9"/>
  <c r="BZ310" i="9"/>
  <c r="BZ1014" i="9"/>
  <c r="BZ523" i="9"/>
  <c r="BZ329" i="9"/>
  <c r="Y540" i="9"/>
  <c r="CA218" i="9"/>
  <c r="CA540" i="9" s="1"/>
  <c r="Y221" i="9"/>
  <c r="BZ1019" i="9"/>
  <c r="BZ528" i="9"/>
  <c r="BZ424" i="9"/>
  <c r="BZ1010" i="9"/>
  <c r="BZ519" i="9"/>
  <c r="BZ253" i="9"/>
  <c r="E42" i="14"/>
  <c r="E41" i="14" a="1"/>
  <c r="AK133" i="6" l="1"/>
  <c r="AK119" i="30" s="1"/>
  <c r="AK16" i="6"/>
  <c r="AL114" i="6"/>
  <c r="AL125" i="6"/>
  <c r="AJ143" i="30"/>
  <c r="AJ141" i="30"/>
  <c r="Y616" i="9"/>
  <c r="Y898" i="9" s="1"/>
  <c r="CA354" i="9"/>
  <c r="Y1003" i="9"/>
  <c r="Y512" i="9"/>
  <c r="CA118" i="9"/>
  <c r="Y120" i="9"/>
  <c r="Y121" i="9"/>
  <c r="X121" i="9"/>
  <c r="W121" i="9"/>
  <c r="V121" i="9"/>
  <c r="Y1017" i="9"/>
  <c r="Y526" i="9"/>
  <c r="CA384" i="9"/>
  <c r="Y386" i="9"/>
  <c r="Y387" i="9"/>
  <c r="X387" i="9"/>
  <c r="W387" i="9"/>
  <c r="V387" i="9"/>
  <c r="Y603" i="9"/>
  <c r="Y885" i="9" s="1"/>
  <c r="CA107" i="9"/>
  <c r="Y1010" i="9"/>
  <c r="Y519" i="9"/>
  <c r="Y253" i="9"/>
  <c r="CA251" i="9"/>
  <c r="Y254" i="9"/>
  <c r="X254" i="9"/>
  <c r="W254" i="9"/>
  <c r="V254" i="9"/>
  <c r="Y1018" i="9"/>
  <c r="Y527" i="9"/>
  <c r="Y405" i="9"/>
  <c r="CA403" i="9"/>
  <c r="Y406" i="9"/>
  <c r="X406" i="9"/>
  <c r="W406" i="9"/>
  <c r="V406" i="9"/>
  <c r="Y1009" i="9"/>
  <c r="Y518" i="9"/>
  <c r="Y234" i="9"/>
  <c r="CA232" i="9"/>
  <c r="Y235" i="9"/>
  <c r="W235" i="9"/>
  <c r="V235" i="9"/>
  <c r="X235" i="9"/>
  <c r="Y607" i="9"/>
  <c r="Y889" i="9" s="1"/>
  <c r="CA183" i="9"/>
  <c r="Y1013" i="9"/>
  <c r="Y522" i="9"/>
  <c r="Y310" i="9"/>
  <c r="CA308" i="9"/>
  <c r="Y311" i="9"/>
  <c r="X311" i="9"/>
  <c r="W311" i="9"/>
  <c r="V311" i="9"/>
  <c r="Y1002" i="9"/>
  <c r="Y511" i="9"/>
  <c r="Y101" i="9"/>
  <c r="CA99" i="9"/>
  <c r="Y102" i="9"/>
  <c r="X102" i="9"/>
  <c r="W102" i="9"/>
  <c r="V102" i="9"/>
  <c r="Y613" i="9"/>
  <c r="Y895" i="9" s="1"/>
  <c r="CA297" i="9"/>
  <c r="Y610" i="9"/>
  <c r="Y892" i="9" s="1"/>
  <c r="CA240" i="9"/>
  <c r="Y1012" i="9"/>
  <c r="Y521" i="9"/>
  <c r="Y291" i="9"/>
  <c r="CA289" i="9"/>
  <c r="Y292" i="9"/>
  <c r="X292" i="9"/>
  <c r="W292" i="9"/>
  <c r="V292" i="9"/>
  <c r="Y605" i="9"/>
  <c r="Y887" i="9" s="1"/>
  <c r="CA145" i="9"/>
  <c r="Y1001" i="9"/>
  <c r="Y510" i="9"/>
  <c r="Y82" i="9"/>
  <c r="CA80" i="9"/>
  <c r="Y83" i="9"/>
  <c r="X83" i="9"/>
  <c r="V83" i="9"/>
  <c r="W83" i="9"/>
  <c r="Y614" i="9"/>
  <c r="Y896" i="9" s="1"/>
  <c r="CA316" i="9"/>
  <c r="Y620" i="9"/>
  <c r="Y902" i="9" s="1"/>
  <c r="CA430" i="9"/>
  <c r="Y612" i="9"/>
  <c r="Y894" i="9" s="1"/>
  <c r="CA278" i="9"/>
  <c r="Y1000" i="9"/>
  <c r="Y509" i="9"/>
  <c r="Y63" i="9"/>
  <c r="CA61" i="9"/>
  <c r="Y64" i="9"/>
  <c r="X64" i="9"/>
  <c r="W64" i="9"/>
  <c r="V64" i="9"/>
  <c r="Y1004" i="9"/>
  <c r="Y513" i="9"/>
  <c r="CA137" i="9"/>
  <c r="Y139" i="9"/>
  <c r="Y140" i="9"/>
  <c r="V140" i="9"/>
  <c r="X140" i="9"/>
  <c r="W140" i="9"/>
  <c r="Y1015" i="9"/>
  <c r="Y524" i="9"/>
  <c r="CA346" i="9"/>
  <c r="Y348" i="9"/>
  <c r="Y349" i="9"/>
  <c r="X349" i="9"/>
  <c r="W349" i="9"/>
  <c r="V349" i="9"/>
  <c r="Y604" i="9"/>
  <c r="Y886" i="9" s="1"/>
  <c r="CA126" i="9"/>
  <c r="CA259" i="9"/>
  <c r="Y611" i="9"/>
  <c r="Y893" i="9" s="1"/>
  <c r="Y1014" i="9"/>
  <c r="Y523" i="9"/>
  <c r="CA327" i="9"/>
  <c r="Y329" i="9"/>
  <c r="Y330" i="9"/>
  <c r="X330" i="9"/>
  <c r="W330" i="9"/>
  <c r="V330" i="9"/>
  <c r="Y619" i="9"/>
  <c r="Y901" i="9" s="1"/>
  <c r="CA411" i="9"/>
  <c r="Y617" i="9"/>
  <c r="Y899" i="9" s="1"/>
  <c r="CA373" i="9"/>
  <c r="Y608" i="9"/>
  <c r="Y890" i="9" s="1"/>
  <c r="CA202" i="9"/>
  <c r="Y1011" i="9"/>
  <c r="Y520" i="9"/>
  <c r="Y272" i="9"/>
  <c r="CA270" i="9"/>
  <c r="Y273" i="9"/>
  <c r="X273" i="9"/>
  <c r="W273" i="9"/>
  <c r="V273" i="9"/>
  <c r="Y1019" i="9"/>
  <c r="Y528" i="9"/>
  <c r="Y424" i="9"/>
  <c r="CA422" i="9"/>
  <c r="Y425" i="9"/>
  <c r="X425" i="9"/>
  <c r="W425" i="9"/>
  <c r="V425" i="9"/>
  <c r="Y606" i="9"/>
  <c r="Y888" i="9" s="1"/>
  <c r="CA164" i="9"/>
  <c r="Y618" i="9"/>
  <c r="Y900" i="9" s="1"/>
  <c r="CA392" i="9"/>
  <c r="Y1008" i="9"/>
  <c r="Y517" i="9"/>
  <c r="Y215" i="9"/>
  <c r="CA213" i="9"/>
  <c r="Y216" i="9"/>
  <c r="W216" i="9"/>
  <c r="X216" i="9"/>
  <c r="V216" i="9"/>
  <c r="Y601" i="9"/>
  <c r="Y883" i="9" s="1"/>
  <c r="CA69" i="9"/>
  <c r="Y1007" i="9"/>
  <c r="Y516" i="9"/>
  <c r="Y196" i="9"/>
  <c r="CA194" i="9"/>
  <c r="Y197" i="9"/>
  <c r="W197" i="9"/>
  <c r="X197" i="9"/>
  <c r="V197" i="9"/>
  <c r="Y609" i="9"/>
  <c r="Y891" i="9" s="1"/>
  <c r="CA221" i="9"/>
  <c r="Y1005" i="9"/>
  <c r="Y514" i="9"/>
  <c r="CA156" i="9"/>
  <c r="Y158" i="9"/>
  <c r="Y159" i="9"/>
  <c r="V159" i="9"/>
  <c r="W159" i="9"/>
  <c r="X159" i="9"/>
  <c r="Y615" i="9"/>
  <c r="Y897" i="9" s="1"/>
  <c r="CA335" i="9"/>
  <c r="Y1016" i="9"/>
  <c r="Y525" i="9"/>
  <c r="Y367" i="9"/>
  <c r="CA365" i="9"/>
  <c r="Y368" i="9"/>
  <c r="X368" i="9"/>
  <c r="W368" i="9"/>
  <c r="V368" i="9"/>
  <c r="Y602" i="9"/>
  <c r="Y884" i="9" s="1"/>
  <c r="CA88" i="9"/>
  <c r="Y1006" i="9"/>
  <c r="Y515" i="9"/>
  <c r="Y177" i="9"/>
  <c r="CA175" i="9"/>
  <c r="Y178" i="9"/>
  <c r="X178" i="9"/>
  <c r="V178" i="9"/>
  <c r="W178" i="9"/>
  <c r="E41" i="14"/>
  <c r="E40" i="14" a="1"/>
  <c r="AK18" i="6" l="1"/>
  <c r="AK20" i="6"/>
  <c r="AM109" i="6"/>
  <c r="AL130" i="6"/>
  <c r="AK32" i="32"/>
  <c r="AK124" i="30"/>
  <c r="AK139" i="30" s="1"/>
  <c r="Y645" i="9"/>
  <c r="V645" i="9"/>
  <c r="CA612" i="9"/>
  <c r="CA894" i="9" s="1"/>
  <c r="CB275" i="9"/>
  <c r="CA607" i="9"/>
  <c r="CA889" i="9" s="1"/>
  <c r="CB180" i="9"/>
  <c r="CA617" i="9"/>
  <c r="CA899" i="9" s="1"/>
  <c r="CB370" i="9"/>
  <c r="CA609" i="9"/>
  <c r="CA891" i="9" s="1"/>
  <c r="CB218" i="9"/>
  <c r="CA618" i="9"/>
  <c r="CA900" i="9" s="1"/>
  <c r="CB389" i="9"/>
  <c r="CA1019" i="9"/>
  <c r="CA528" i="9"/>
  <c r="CB418" i="9"/>
  <c r="CA424" i="9"/>
  <c r="CA1011" i="9"/>
  <c r="CA520" i="9"/>
  <c r="CB266" i="9"/>
  <c r="CA272" i="9"/>
  <c r="CA619" i="9"/>
  <c r="CA901" i="9" s="1"/>
  <c r="CB408" i="9"/>
  <c r="CA1014" i="9"/>
  <c r="CA523" i="9"/>
  <c r="CB323" i="9"/>
  <c r="CA329" i="9"/>
  <c r="W645" i="9"/>
  <c r="CA610" i="9"/>
  <c r="CA892" i="9" s="1"/>
  <c r="CB237" i="9"/>
  <c r="CA1007" i="9"/>
  <c r="CA516" i="9"/>
  <c r="CB190" i="9"/>
  <c r="CA196" i="9"/>
  <c r="CA1010" i="9"/>
  <c r="CA519" i="9"/>
  <c r="CB247" i="9"/>
  <c r="CA253" i="9"/>
  <c r="CA1016" i="9"/>
  <c r="CA367" i="9"/>
  <c r="CA525" i="9"/>
  <c r="CB361" i="9"/>
  <c r="X645" i="9"/>
  <c r="CA620" i="9"/>
  <c r="CA902" i="9" s="1"/>
  <c r="CB427" i="9"/>
  <c r="CA1001" i="9"/>
  <c r="CA510" i="9"/>
  <c r="CA82" i="9"/>
  <c r="CB76" i="9"/>
  <c r="CA1017" i="9"/>
  <c r="CA526" i="9"/>
  <c r="CA386" i="9"/>
  <c r="CB380" i="9"/>
  <c r="CA1003" i="9"/>
  <c r="CA512" i="9"/>
  <c r="CB114" i="9"/>
  <c r="CA120" i="9"/>
  <c r="CA1018" i="9"/>
  <c r="CA527" i="9"/>
  <c r="CB399" i="9"/>
  <c r="CA405" i="9"/>
  <c r="CA1006" i="9"/>
  <c r="CA515" i="9"/>
  <c r="CA177" i="9"/>
  <c r="CB171" i="9"/>
  <c r="CA1002" i="9"/>
  <c r="CA511" i="9"/>
  <c r="CA101" i="9"/>
  <c r="CB95" i="9"/>
  <c r="CA1013" i="9"/>
  <c r="CA522" i="9"/>
  <c r="CA310" i="9"/>
  <c r="CB304" i="9"/>
  <c r="CA603" i="9"/>
  <c r="CA885" i="9" s="1"/>
  <c r="CB104" i="9"/>
  <c r="CA602" i="9"/>
  <c r="CA884" i="9" s="1"/>
  <c r="CB85" i="9"/>
  <c r="CA1000" i="9"/>
  <c r="CA509" i="9"/>
  <c r="CB57" i="9"/>
  <c r="CA63" i="9"/>
  <c r="CA614" i="9"/>
  <c r="CA896" i="9" s="1"/>
  <c r="CB313" i="9"/>
  <c r="CA1012" i="9"/>
  <c r="CA521" i="9"/>
  <c r="CA291" i="9"/>
  <c r="CB285" i="9"/>
  <c r="CA1008" i="9"/>
  <c r="CA215" i="9"/>
  <c r="CA517" i="9"/>
  <c r="CB209" i="9"/>
  <c r="CA608" i="9"/>
  <c r="CA890" i="9" s="1"/>
  <c r="CB199" i="9"/>
  <c r="CA611" i="9"/>
  <c r="CA893" i="9" s="1"/>
  <c r="CB256" i="9"/>
  <c r="CA1015" i="9"/>
  <c r="CA524" i="9"/>
  <c r="CA348" i="9"/>
  <c r="CB342" i="9"/>
  <c r="CA1004" i="9"/>
  <c r="CA513" i="9"/>
  <c r="CB133" i="9"/>
  <c r="CA139" i="9"/>
  <c r="CA613" i="9"/>
  <c r="CA895" i="9" s="1"/>
  <c r="CB294" i="9"/>
  <c r="CA616" i="9"/>
  <c r="CA898" i="9" s="1"/>
  <c r="CB351" i="9"/>
  <c r="CA606" i="9"/>
  <c r="CA888" i="9" s="1"/>
  <c r="CB161" i="9"/>
  <c r="CA615" i="9"/>
  <c r="CA897" i="9" s="1"/>
  <c r="CB332" i="9"/>
  <c r="CA1005" i="9"/>
  <c r="CA514" i="9"/>
  <c r="CA158" i="9"/>
  <c r="CB152" i="9"/>
  <c r="CA601" i="9"/>
  <c r="CA883" i="9" s="1"/>
  <c r="CB66" i="9"/>
  <c r="CA604" i="9"/>
  <c r="CA886" i="9" s="1"/>
  <c r="CB123" i="9"/>
  <c r="CA605" i="9"/>
  <c r="CA887" i="9" s="1"/>
  <c r="CB142" i="9"/>
  <c r="CA1009" i="9"/>
  <c r="CA518" i="9"/>
  <c r="CB228" i="9"/>
  <c r="CA234" i="9"/>
  <c r="E40" i="14"/>
  <c r="E39" i="14" a="1"/>
  <c r="AK141" i="30" l="1"/>
  <c r="AK143" i="30"/>
  <c r="AL133" i="6"/>
  <c r="AL119" i="30" s="1"/>
  <c r="AL16" i="6"/>
  <c r="AM114" i="6"/>
  <c r="AM125" i="6"/>
  <c r="CB542" i="9"/>
  <c r="CB259" i="9"/>
  <c r="CB545" i="9"/>
  <c r="CB316" i="9"/>
  <c r="CB544" i="9"/>
  <c r="CB297" i="9"/>
  <c r="CB453" i="9"/>
  <c r="CB308" i="9"/>
  <c r="CB442" i="9"/>
  <c r="CB99" i="9"/>
  <c r="CB543" i="9"/>
  <c r="CB278" i="9"/>
  <c r="CB536" i="9"/>
  <c r="CB145" i="9"/>
  <c r="CB440" i="9"/>
  <c r="CB61" i="9"/>
  <c r="CB446" i="9"/>
  <c r="CB175" i="9"/>
  <c r="CB457" i="9"/>
  <c r="CB384" i="9"/>
  <c r="CB441" i="9"/>
  <c r="CB80" i="9"/>
  <c r="CB240" i="9"/>
  <c r="CB541" i="9"/>
  <c r="CB327" i="9"/>
  <c r="CB454" i="9"/>
  <c r="CB540" i="9"/>
  <c r="CB221" i="9"/>
  <c r="CB451" i="9"/>
  <c r="CB270" i="9"/>
  <c r="CB459" i="9"/>
  <c r="CB422" i="9"/>
  <c r="CB548" i="9"/>
  <c r="CB373" i="9"/>
  <c r="CB550" i="9"/>
  <c r="CB411" i="9"/>
  <c r="CB430" i="9"/>
  <c r="CB551" i="9"/>
  <c r="CB456" i="9"/>
  <c r="CB365" i="9"/>
  <c r="CB538" i="9"/>
  <c r="CB183" i="9"/>
  <c r="CB537" i="9"/>
  <c r="CB164" i="9"/>
  <c r="CB443" i="9"/>
  <c r="CB118" i="9"/>
  <c r="CB535" i="9"/>
  <c r="CB126" i="9"/>
  <c r="CB445" i="9"/>
  <c r="CB156" i="9"/>
  <c r="CB547" i="9"/>
  <c r="CB354" i="9"/>
  <c r="CB539" i="9"/>
  <c r="CB202" i="9"/>
  <c r="CB448" i="9"/>
  <c r="CB213" i="9"/>
  <c r="CB532" i="9"/>
  <c r="CB69" i="9"/>
  <c r="CB533" i="9"/>
  <c r="CB88" i="9"/>
  <c r="CB449" i="9"/>
  <c r="CB232" i="9"/>
  <c r="CB455" i="9"/>
  <c r="CB346" i="9"/>
  <c r="CB452" i="9"/>
  <c r="CB289" i="9"/>
  <c r="CB450" i="9"/>
  <c r="CB251" i="9"/>
  <c r="CB447" i="9"/>
  <c r="CB194" i="9"/>
  <c r="CB392" i="9"/>
  <c r="CB549" i="9"/>
  <c r="CB458" i="9"/>
  <c r="CB403" i="9"/>
  <c r="CB546" i="9"/>
  <c r="CB335" i="9"/>
  <c r="CB444" i="9"/>
  <c r="CB137" i="9"/>
  <c r="CB534" i="9"/>
  <c r="CB107" i="9"/>
  <c r="E39" i="14"/>
  <c r="E38" i="14" a="1"/>
  <c r="AN109" i="6" l="1"/>
  <c r="AM130" i="6"/>
  <c r="AL18" i="6"/>
  <c r="AL20" i="6"/>
  <c r="AL32" i="32"/>
  <c r="AL124" i="30"/>
  <c r="CS119" i="30"/>
  <c r="CB1009" i="9"/>
  <c r="CB518" i="9"/>
  <c r="CC228" i="9"/>
  <c r="CB234" i="9"/>
  <c r="CB1015" i="9"/>
  <c r="CB524" i="9"/>
  <c r="CB348" i="9"/>
  <c r="CC342" i="9"/>
  <c r="CB1018" i="9"/>
  <c r="CB527" i="9"/>
  <c r="CB405" i="9"/>
  <c r="CC399" i="9"/>
  <c r="CB601" i="9"/>
  <c r="CB883" i="9" s="1"/>
  <c r="CC883" i="9" s="1"/>
  <c r="CD883" i="9" s="1"/>
  <c r="CE883" i="9" s="1"/>
  <c r="CF883" i="9" s="1"/>
  <c r="CG883" i="9" s="1"/>
  <c r="CH883" i="9" s="1"/>
  <c r="CI883" i="9" s="1"/>
  <c r="CC66" i="9"/>
  <c r="CB607" i="9"/>
  <c r="CB889" i="9" s="1"/>
  <c r="CC889" i="9" s="1"/>
  <c r="CD889" i="9" s="1"/>
  <c r="CE889" i="9" s="1"/>
  <c r="CF889" i="9" s="1"/>
  <c r="CG889" i="9" s="1"/>
  <c r="CH889" i="9" s="1"/>
  <c r="CI889" i="9" s="1"/>
  <c r="CC180" i="9"/>
  <c r="CB1019" i="9"/>
  <c r="CC418" i="9"/>
  <c r="CB424" i="9"/>
  <c r="CB528" i="9"/>
  <c r="CB1001" i="9"/>
  <c r="CB510" i="9"/>
  <c r="CC76" i="9"/>
  <c r="CB82" i="9"/>
  <c r="CB613" i="9"/>
  <c r="CB895" i="9" s="1"/>
  <c r="CC895" i="9" s="1"/>
  <c r="CD895" i="9" s="1"/>
  <c r="CE895" i="9" s="1"/>
  <c r="CF895" i="9" s="1"/>
  <c r="CG895" i="9" s="1"/>
  <c r="CH895" i="9" s="1"/>
  <c r="CI895" i="9" s="1"/>
  <c r="CC294" i="9"/>
  <c r="CB616" i="9"/>
  <c r="CB898" i="9" s="1"/>
  <c r="CC898" i="9" s="1"/>
  <c r="CD898" i="9" s="1"/>
  <c r="CE898" i="9" s="1"/>
  <c r="CF898" i="9" s="1"/>
  <c r="CG898" i="9" s="1"/>
  <c r="CH898" i="9" s="1"/>
  <c r="CI898" i="9" s="1"/>
  <c r="CC351" i="9"/>
  <c r="CB619" i="9"/>
  <c r="CB901" i="9" s="1"/>
  <c r="CC901" i="9" s="1"/>
  <c r="CD901" i="9" s="1"/>
  <c r="CE901" i="9" s="1"/>
  <c r="CF901" i="9" s="1"/>
  <c r="CG901" i="9" s="1"/>
  <c r="CH901" i="9" s="1"/>
  <c r="CI901" i="9" s="1"/>
  <c r="CC408" i="9"/>
  <c r="CB1000" i="9"/>
  <c r="CB509" i="9"/>
  <c r="CB63" i="9"/>
  <c r="CC57" i="9"/>
  <c r="CB1003" i="9"/>
  <c r="CB512" i="9"/>
  <c r="CB120" i="9"/>
  <c r="CC114" i="9"/>
  <c r="CB1002" i="9"/>
  <c r="CB511" i="9"/>
  <c r="CC95" i="9"/>
  <c r="CB101" i="9"/>
  <c r="CB1008" i="9"/>
  <c r="CB517" i="9"/>
  <c r="CB215" i="9"/>
  <c r="CC209" i="9"/>
  <c r="CB1016" i="9"/>
  <c r="CB525" i="9"/>
  <c r="CC361" i="9"/>
  <c r="CB367" i="9"/>
  <c r="CB1011" i="9"/>
  <c r="CB520" i="9"/>
  <c r="CB272" i="9"/>
  <c r="CC266" i="9"/>
  <c r="CB1014" i="9"/>
  <c r="CB523" i="9"/>
  <c r="CB329" i="9"/>
  <c r="CC323" i="9"/>
  <c r="CB1017" i="9"/>
  <c r="CB526" i="9"/>
  <c r="CB386" i="9"/>
  <c r="CC380" i="9"/>
  <c r="CB614" i="9"/>
  <c r="CB896" i="9" s="1"/>
  <c r="CC896" i="9" s="1"/>
  <c r="CD896" i="9" s="1"/>
  <c r="CE896" i="9" s="1"/>
  <c r="CF896" i="9" s="1"/>
  <c r="CG896" i="9" s="1"/>
  <c r="CH896" i="9" s="1"/>
  <c r="CI896" i="9" s="1"/>
  <c r="CC313" i="9"/>
  <c r="CB605" i="9"/>
  <c r="CB887" i="9" s="1"/>
  <c r="CC887" i="9" s="1"/>
  <c r="CD887" i="9" s="1"/>
  <c r="CE887" i="9" s="1"/>
  <c r="CF887" i="9" s="1"/>
  <c r="CG887" i="9" s="1"/>
  <c r="CH887" i="9" s="1"/>
  <c r="CI887" i="9" s="1"/>
  <c r="CC142" i="9"/>
  <c r="CB1010" i="9"/>
  <c r="CB519" i="9"/>
  <c r="CC247" i="9"/>
  <c r="CB253" i="9"/>
  <c r="CB1004" i="9"/>
  <c r="CB513" i="9"/>
  <c r="CB139" i="9"/>
  <c r="CC133" i="9"/>
  <c r="CB606" i="9"/>
  <c r="CB888" i="9" s="1"/>
  <c r="CC888" i="9" s="1"/>
  <c r="CD888" i="9" s="1"/>
  <c r="CE888" i="9" s="1"/>
  <c r="CF888" i="9" s="1"/>
  <c r="CG888" i="9" s="1"/>
  <c r="CH888" i="9" s="1"/>
  <c r="CI888" i="9" s="1"/>
  <c r="CC161" i="9"/>
  <c r="CB617" i="9"/>
  <c r="CB899" i="9" s="1"/>
  <c r="CC899" i="9" s="1"/>
  <c r="CD899" i="9" s="1"/>
  <c r="CE899" i="9" s="1"/>
  <c r="CF899" i="9" s="1"/>
  <c r="CG899" i="9" s="1"/>
  <c r="CH899" i="9" s="1"/>
  <c r="CI899" i="9" s="1"/>
  <c r="CC370" i="9"/>
  <c r="CB1013" i="9"/>
  <c r="CB522" i="9"/>
  <c r="CC304" i="9"/>
  <c r="CB310" i="9"/>
  <c r="CB1005" i="9"/>
  <c r="CB514" i="9"/>
  <c r="CB158" i="9"/>
  <c r="CC152" i="9"/>
  <c r="CB615" i="9"/>
  <c r="CB897" i="9" s="1"/>
  <c r="CC897" i="9" s="1"/>
  <c r="CD897" i="9" s="1"/>
  <c r="CE897" i="9" s="1"/>
  <c r="CF897" i="9" s="1"/>
  <c r="CG897" i="9" s="1"/>
  <c r="CH897" i="9" s="1"/>
  <c r="CI897" i="9" s="1"/>
  <c r="CC332" i="9"/>
  <c r="CB602" i="9"/>
  <c r="CB884" i="9" s="1"/>
  <c r="CC884" i="9" s="1"/>
  <c r="CD884" i="9" s="1"/>
  <c r="CE884" i="9" s="1"/>
  <c r="CF884" i="9" s="1"/>
  <c r="CG884" i="9" s="1"/>
  <c r="CH884" i="9" s="1"/>
  <c r="CI884" i="9" s="1"/>
  <c r="CC85" i="9"/>
  <c r="CB1007" i="9"/>
  <c r="CB516" i="9"/>
  <c r="CC190" i="9"/>
  <c r="CB196" i="9"/>
  <c r="CB608" i="9"/>
  <c r="CB890" i="9" s="1"/>
  <c r="CC890" i="9" s="1"/>
  <c r="CD890" i="9" s="1"/>
  <c r="CE890" i="9" s="1"/>
  <c r="CF890" i="9" s="1"/>
  <c r="CG890" i="9" s="1"/>
  <c r="CH890" i="9" s="1"/>
  <c r="CI890" i="9" s="1"/>
  <c r="CC199" i="9"/>
  <c r="CB610" i="9"/>
  <c r="CB892" i="9" s="1"/>
  <c r="CC892" i="9" s="1"/>
  <c r="CD892" i="9" s="1"/>
  <c r="CE892" i="9" s="1"/>
  <c r="CF892" i="9" s="1"/>
  <c r="CG892" i="9" s="1"/>
  <c r="CH892" i="9" s="1"/>
  <c r="CI892" i="9" s="1"/>
  <c r="CC237" i="9"/>
  <c r="CB1006" i="9"/>
  <c r="CB515" i="9"/>
  <c r="CB177" i="9"/>
  <c r="CC171" i="9"/>
  <c r="CB611" i="9"/>
  <c r="CB893" i="9" s="1"/>
  <c r="CC893" i="9" s="1"/>
  <c r="CD893" i="9" s="1"/>
  <c r="CE893" i="9" s="1"/>
  <c r="CF893" i="9" s="1"/>
  <c r="CG893" i="9" s="1"/>
  <c r="CH893" i="9" s="1"/>
  <c r="CI893" i="9" s="1"/>
  <c r="CC256" i="9"/>
  <c r="CB618" i="9"/>
  <c r="CB900" i="9" s="1"/>
  <c r="CC900" i="9" s="1"/>
  <c r="CD900" i="9" s="1"/>
  <c r="CE900" i="9" s="1"/>
  <c r="CF900" i="9" s="1"/>
  <c r="CG900" i="9" s="1"/>
  <c r="CH900" i="9" s="1"/>
  <c r="CI900" i="9" s="1"/>
  <c r="CC389" i="9"/>
  <c r="CB1012" i="9"/>
  <c r="CB521" i="9"/>
  <c r="CB291" i="9"/>
  <c r="CC285" i="9"/>
  <c r="CB603" i="9"/>
  <c r="CB885" i="9" s="1"/>
  <c r="CC885" i="9" s="1"/>
  <c r="CD885" i="9" s="1"/>
  <c r="CE885" i="9" s="1"/>
  <c r="CF885" i="9" s="1"/>
  <c r="CG885" i="9" s="1"/>
  <c r="CH885" i="9" s="1"/>
  <c r="CI885" i="9" s="1"/>
  <c r="CC104" i="9"/>
  <c r="CB604" i="9"/>
  <c r="CB886" i="9" s="1"/>
  <c r="CC886" i="9" s="1"/>
  <c r="CD886" i="9" s="1"/>
  <c r="CE886" i="9" s="1"/>
  <c r="CF886" i="9" s="1"/>
  <c r="CG886" i="9" s="1"/>
  <c r="CH886" i="9" s="1"/>
  <c r="CI886" i="9" s="1"/>
  <c r="CC123" i="9"/>
  <c r="CB620" i="9"/>
  <c r="CB902" i="9" s="1"/>
  <c r="CC902" i="9" s="1"/>
  <c r="CD902" i="9" s="1"/>
  <c r="CE902" i="9" s="1"/>
  <c r="CF902" i="9" s="1"/>
  <c r="CG902" i="9" s="1"/>
  <c r="CH902" i="9" s="1"/>
  <c r="CI902" i="9" s="1"/>
  <c r="CC427" i="9"/>
  <c r="CB609" i="9"/>
  <c r="CB891" i="9" s="1"/>
  <c r="CC891" i="9" s="1"/>
  <c r="CD891" i="9" s="1"/>
  <c r="CE891" i="9" s="1"/>
  <c r="CF891" i="9" s="1"/>
  <c r="CG891" i="9" s="1"/>
  <c r="CH891" i="9" s="1"/>
  <c r="CI891" i="9" s="1"/>
  <c r="CC218" i="9"/>
  <c r="CB612" i="9"/>
  <c r="CB894" i="9" s="1"/>
  <c r="CC894" i="9" s="1"/>
  <c r="CD894" i="9" s="1"/>
  <c r="CE894" i="9" s="1"/>
  <c r="CF894" i="9" s="1"/>
  <c r="CG894" i="9" s="1"/>
  <c r="CH894" i="9" s="1"/>
  <c r="CI894" i="9" s="1"/>
  <c r="CC275" i="9"/>
  <c r="E38" i="14"/>
  <c r="E37" i="14" a="1"/>
  <c r="AM133" i="6" l="1"/>
  <c r="AM119" i="30" s="1"/>
  <c r="AM16" i="6"/>
  <c r="AL139" i="30"/>
  <c r="CS124" i="30"/>
  <c r="AN114" i="6"/>
  <c r="AN125" i="6"/>
  <c r="CC535" i="9"/>
  <c r="CC126" i="9"/>
  <c r="CC541" i="9"/>
  <c r="CC240" i="9"/>
  <c r="CC453" i="9"/>
  <c r="CC308" i="9"/>
  <c r="CC542" i="9"/>
  <c r="CC259" i="9"/>
  <c r="CC533" i="9"/>
  <c r="CC88" i="9"/>
  <c r="CC537" i="9"/>
  <c r="CC164" i="9"/>
  <c r="CC450" i="9"/>
  <c r="CC251" i="9"/>
  <c r="CC456" i="9"/>
  <c r="CC365" i="9"/>
  <c r="CC213" i="9"/>
  <c r="CC448" i="9"/>
  <c r="CC550" i="9"/>
  <c r="CC411" i="9"/>
  <c r="CC538" i="9"/>
  <c r="CC183" i="9"/>
  <c r="CC458" i="9"/>
  <c r="CC403" i="9"/>
  <c r="CC442" i="9"/>
  <c r="CC99" i="9"/>
  <c r="CC547" i="9"/>
  <c r="CC354" i="9"/>
  <c r="CC532" i="9"/>
  <c r="CC69" i="9"/>
  <c r="CC455" i="9"/>
  <c r="CC346" i="9"/>
  <c r="CC118" i="9"/>
  <c r="CC443" i="9"/>
  <c r="CC543" i="9"/>
  <c r="CC278" i="9"/>
  <c r="CC540" i="9"/>
  <c r="CC221" i="9"/>
  <c r="CC539" i="9"/>
  <c r="CC202" i="9"/>
  <c r="CC447" i="9"/>
  <c r="CC194" i="9"/>
  <c r="CC457" i="9"/>
  <c r="CC384" i="9"/>
  <c r="CC440" i="9"/>
  <c r="CC61" i="9"/>
  <c r="CC544" i="9"/>
  <c r="CC297" i="9"/>
  <c r="CC441" i="9"/>
  <c r="CC80" i="9"/>
  <c r="CC449" i="9"/>
  <c r="CC232" i="9"/>
  <c r="CC445" i="9"/>
  <c r="CC156" i="9"/>
  <c r="CC452" i="9"/>
  <c r="CC289" i="9"/>
  <c r="CC549" i="9"/>
  <c r="CC392" i="9"/>
  <c r="CC548" i="9"/>
  <c r="CC373" i="9"/>
  <c r="CC545" i="9"/>
  <c r="CC316" i="9"/>
  <c r="CC454" i="9"/>
  <c r="CC327" i="9"/>
  <c r="CC546" i="9"/>
  <c r="CC335" i="9"/>
  <c r="CC534" i="9"/>
  <c r="CC107" i="9"/>
  <c r="CC536" i="9"/>
  <c r="CC145" i="9"/>
  <c r="CC551" i="9"/>
  <c r="CC430" i="9"/>
  <c r="CC446" i="9"/>
  <c r="CC175" i="9"/>
  <c r="CC444" i="9"/>
  <c r="CC137" i="9"/>
  <c r="CC451" i="9"/>
  <c r="CC270" i="9"/>
  <c r="CC459" i="9"/>
  <c r="CC422" i="9"/>
  <c r="E37" i="14"/>
  <c r="E33" i="14" a="1"/>
  <c r="AM20" i="6" l="1"/>
  <c r="AM18" i="6"/>
  <c r="AO109" i="6"/>
  <c r="AN130" i="6"/>
  <c r="AL141" i="30"/>
  <c r="AL143" i="30"/>
  <c r="CS139" i="30"/>
  <c r="AM32" i="32"/>
  <c r="AM124" i="30"/>
  <c r="AM139" i="30" s="1"/>
  <c r="CC613" i="9"/>
  <c r="CD294" i="9"/>
  <c r="CC1007" i="9"/>
  <c r="CC516" i="9"/>
  <c r="CD190" i="9"/>
  <c r="CC196" i="9"/>
  <c r="CC1018" i="9"/>
  <c r="CC527" i="9"/>
  <c r="CD399" i="9"/>
  <c r="CC405" i="9"/>
  <c r="CC1005" i="9"/>
  <c r="CC514" i="9"/>
  <c r="CC158" i="9"/>
  <c r="CD152" i="9"/>
  <c r="CC612" i="9"/>
  <c r="CD275" i="9"/>
  <c r="CC601" i="9"/>
  <c r="CD66" i="9"/>
  <c r="CC1008" i="9"/>
  <c r="CC517" i="9"/>
  <c r="CC215" i="9"/>
  <c r="CD209" i="9"/>
  <c r="CC615" i="9"/>
  <c r="CD332" i="9"/>
  <c r="CC617" i="9"/>
  <c r="CD370" i="9"/>
  <c r="CC1000" i="9"/>
  <c r="CC509" i="9"/>
  <c r="CC63" i="9"/>
  <c r="CD57" i="9"/>
  <c r="CC607" i="9"/>
  <c r="CD180" i="9"/>
  <c r="CC1016" i="9"/>
  <c r="CC525" i="9"/>
  <c r="CC367" i="9"/>
  <c r="CD361" i="9"/>
  <c r="CC602" i="9"/>
  <c r="CD85" i="9"/>
  <c r="CC610" i="9"/>
  <c r="CD237" i="9"/>
  <c r="CC1009" i="9"/>
  <c r="CC518" i="9"/>
  <c r="CD228" i="9"/>
  <c r="CC234" i="9"/>
  <c r="CC608" i="9"/>
  <c r="CD199" i="9"/>
  <c r="CC616" i="9"/>
  <c r="CD351" i="9"/>
  <c r="CC1011" i="9"/>
  <c r="CC520" i="9"/>
  <c r="CC272" i="9"/>
  <c r="CD266" i="9"/>
  <c r="CC1014" i="9"/>
  <c r="CC329" i="9"/>
  <c r="CC523" i="9"/>
  <c r="CD323" i="9"/>
  <c r="CC1010" i="9"/>
  <c r="CC519" i="9"/>
  <c r="CC253" i="9"/>
  <c r="CD247" i="9"/>
  <c r="CC1003" i="9"/>
  <c r="CC512" i="9"/>
  <c r="CC120" i="9"/>
  <c r="CD114" i="9"/>
  <c r="CC1019" i="9"/>
  <c r="CC528" i="9"/>
  <c r="CD418" i="9"/>
  <c r="CC424" i="9"/>
  <c r="CC1017" i="9"/>
  <c r="CC526" i="9"/>
  <c r="CC386" i="9"/>
  <c r="CD380" i="9"/>
  <c r="CC1002" i="9"/>
  <c r="CC511" i="9"/>
  <c r="CC101" i="9"/>
  <c r="CD95" i="9"/>
  <c r="CC619" i="9"/>
  <c r="CD408" i="9"/>
  <c r="CC611" i="9"/>
  <c r="CD256" i="9"/>
  <c r="CC604" i="9"/>
  <c r="CD123" i="9"/>
  <c r="CC620" i="9"/>
  <c r="CD427" i="9"/>
  <c r="CC1004" i="9"/>
  <c r="CC513" i="9"/>
  <c r="CD133" i="9"/>
  <c r="CC139" i="9"/>
  <c r="CC605" i="9"/>
  <c r="CD142" i="9"/>
  <c r="CC618" i="9"/>
  <c r="CD389" i="9"/>
  <c r="CC1006" i="9"/>
  <c r="CC515" i="9"/>
  <c r="CD171" i="9"/>
  <c r="CC177" i="9"/>
  <c r="CC603" i="9"/>
  <c r="CD104" i="9"/>
  <c r="CC1001" i="9"/>
  <c r="CC510" i="9"/>
  <c r="CD76" i="9"/>
  <c r="CC82" i="9"/>
  <c r="CC609" i="9"/>
  <c r="CD218" i="9"/>
  <c r="CC1015" i="9"/>
  <c r="CC524" i="9"/>
  <c r="CD342" i="9"/>
  <c r="CC348" i="9"/>
  <c r="CC614" i="9"/>
  <c r="CD313" i="9"/>
  <c r="CC1012" i="9"/>
  <c r="CC521" i="9"/>
  <c r="CD285" i="9"/>
  <c r="CC291" i="9"/>
  <c r="CC606" i="9"/>
  <c r="CD161" i="9"/>
  <c r="CC1013" i="9"/>
  <c r="CC522" i="9"/>
  <c r="CD304" i="9"/>
  <c r="CC310" i="9"/>
  <c r="E33" i="14"/>
  <c r="E32" i="14" a="1"/>
  <c r="AN133" i="6" l="1"/>
  <c r="AN119" i="30" s="1"/>
  <c r="AN16" i="6"/>
  <c r="AO114" i="6"/>
  <c r="AO125" i="6"/>
  <c r="AM143" i="30"/>
  <c r="AM141" i="30"/>
  <c r="CD455" i="9"/>
  <c r="CD346" i="9"/>
  <c r="CD444" i="9"/>
  <c r="CD137" i="9"/>
  <c r="CD459" i="9"/>
  <c r="CD422" i="9"/>
  <c r="CD541" i="9"/>
  <c r="CD240" i="9"/>
  <c r="CD456" i="9"/>
  <c r="CD365" i="9"/>
  <c r="CD546" i="9"/>
  <c r="CD335" i="9"/>
  <c r="CD550" i="9"/>
  <c r="CD411" i="9"/>
  <c r="CD533" i="9"/>
  <c r="CD88" i="9"/>
  <c r="CD440" i="9"/>
  <c r="CD61" i="9"/>
  <c r="CD532" i="9"/>
  <c r="CD69" i="9"/>
  <c r="CD445" i="9"/>
  <c r="CD156" i="9"/>
  <c r="CD354" i="9"/>
  <c r="CD547" i="9"/>
  <c r="CD403" i="9"/>
  <c r="CD458" i="9"/>
  <c r="CD447" i="9"/>
  <c r="CD194" i="9"/>
  <c r="CD538" i="9"/>
  <c r="CD183" i="9"/>
  <c r="CD543" i="9"/>
  <c r="CD278" i="9"/>
  <c r="CD441" i="9"/>
  <c r="CD80" i="9"/>
  <c r="CD534" i="9"/>
  <c r="CD107" i="9"/>
  <c r="CD535" i="9"/>
  <c r="CD126" i="9"/>
  <c r="CD539" i="9"/>
  <c r="CD202" i="9"/>
  <c r="CD449" i="9"/>
  <c r="CD232" i="9"/>
  <c r="CD545" i="9"/>
  <c r="CD316" i="9"/>
  <c r="CD536" i="9"/>
  <c r="CD145" i="9"/>
  <c r="CD540" i="9"/>
  <c r="CD221" i="9"/>
  <c r="CD430" i="9"/>
  <c r="CD551" i="9"/>
  <c r="CD446" i="9"/>
  <c r="CD175" i="9"/>
  <c r="CD289" i="9"/>
  <c r="CD452" i="9"/>
  <c r="CD548" i="9"/>
  <c r="CD373" i="9"/>
  <c r="CD448" i="9"/>
  <c r="CD213" i="9"/>
  <c r="CD544" i="9"/>
  <c r="CD297" i="9"/>
  <c r="CD453" i="9"/>
  <c r="CD308" i="9"/>
  <c r="CD537" i="9"/>
  <c r="CD164" i="9"/>
  <c r="CD549" i="9"/>
  <c r="CD392" i="9"/>
  <c r="CD542" i="9"/>
  <c r="CD259" i="9"/>
  <c r="CD442" i="9"/>
  <c r="CD99" i="9"/>
  <c r="CD457" i="9"/>
  <c r="CD384" i="9"/>
  <c r="CD443" i="9"/>
  <c r="CD118" i="9"/>
  <c r="CD450" i="9"/>
  <c r="CD251" i="9"/>
  <c r="CD454" i="9"/>
  <c r="CD327" i="9"/>
  <c r="CD451" i="9"/>
  <c r="CD270" i="9"/>
  <c r="E32" i="14"/>
  <c r="N31" i="14" a="1"/>
  <c r="N31" i="14" s="1"/>
  <c r="M31" i="14"/>
  <c r="E242" i="23" a="1"/>
  <c r="AN18" i="6" l="1"/>
  <c r="AN20" i="6"/>
  <c r="AP109" i="6"/>
  <c r="AO130" i="6"/>
  <c r="AN124" i="30"/>
  <c r="AN139" i="30" s="1"/>
  <c r="AN32" i="32"/>
  <c r="CD1006" i="9"/>
  <c r="CD515" i="9"/>
  <c r="CE171" i="9"/>
  <c r="CD177" i="9"/>
  <c r="CD605" i="9"/>
  <c r="CE142" i="9"/>
  <c r="CD604" i="9"/>
  <c r="CE123" i="9"/>
  <c r="CD607" i="9"/>
  <c r="CE180" i="9"/>
  <c r="CD1005" i="9"/>
  <c r="CD514" i="9"/>
  <c r="CE152" i="9"/>
  <c r="CD158" i="9"/>
  <c r="CD619" i="9"/>
  <c r="CE408" i="9"/>
  <c r="CD618" i="9"/>
  <c r="CE389" i="9"/>
  <c r="CD1008" i="9"/>
  <c r="CD517" i="9"/>
  <c r="CD215" i="9"/>
  <c r="CE209" i="9"/>
  <c r="CD1019" i="9"/>
  <c r="CD528" i="9"/>
  <c r="CE418" i="9"/>
  <c r="CD424" i="9"/>
  <c r="CD1017" i="9"/>
  <c r="CD526" i="9"/>
  <c r="CE380" i="9"/>
  <c r="CD386" i="9"/>
  <c r="CD614" i="9"/>
  <c r="CE313" i="9"/>
  <c r="CD1007" i="9"/>
  <c r="CD516" i="9"/>
  <c r="CD196" i="9"/>
  <c r="CE190" i="9"/>
  <c r="CD601" i="9"/>
  <c r="CE66" i="9"/>
  <c r="CD615" i="9"/>
  <c r="CE332" i="9"/>
  <c r="CD1011" i="9"/>
  <c r="CD520" i="9"/>
  <c r="CE266" i="9"/>
  <c r="CD272" i="9"/>
  <c r="CD1004" i="9"/>
  <c r="CD513" i="9"/>
  <c r="CE133" i="9"/>
  <c r="CD139" i="9"/>
  <c r="CD617" i="9"/>
  <c r="CE370" i="9"/>
  <c r="CD1001" i="9"/>
  <c r="CD510" i="9"/>
  <c r="CD82" i="9"/>
  <c r="CE76" i="9"/>
  <c r="CD1000" i="9"/>
  <c r="CD509" i="9"/>
  <c r="CE57" i="9"/>
  <c r="CD63" i="9"/>
  <c r="CD1016" i="9"/>
  <c r="CD525" i="9"/>
  <c r="CD367" i="9"/>
  <c r="CE361" i="9"/>
  <c r="CD1002" i="9"/>
  <c r="CD511" i="9"/>
  <c r="CD101" i="9"/>
  <c r="CE95" i="9"/>
  <c r="CD620" i="9"/>
  <c r="CE427" i="9"/>
  <c r="CD1009" i="9"/>
  <c r="CD518" i="9"/>
  <c r="CE228" i="9"/>
  <c r="CD234" i="9"/>
  <c r="CD1010" i="9"/>
  <c r="CD519" i="9"/>
  <c r="CD253" i="9"/>
  <c r="CE247" i="9"/>
  <c r="CD1013" i="9"/>
  <c r="CD522" i="9"/>
  <c r="CD310" i="9"/>
  <c r="CE304" i="9"/>
  <c r="CD609" i="9"/>
  <c r="CE218" i="9"/>
  <c r="CD1018" i="9"/>
  <c r="CD527" i="9"/>
  <c r="CE399" i="9"/>
  <c r="CD405" i="9"/>
  <c r="CD1015" i="9"/>
  <c r="CD524" i="9"/>
  <c r="CD348" i="9"/>
  <c r="CE342" i="9"/>
  <c r="CD603" i="9"/>
  <c r="CE104" i="9"/>
  <c r="CD1014" i="9"/>
  <c r="CD523" i="9"/>
  <c r="CE323" i="9"/>
  <c r="CD329" i="9"/>
  <c r="CD606" i="9"/>
  <c r="CE161" i="9"/>
  <c r="CD611" i="9"/>
  <c r="CE256" i="9"/>
  <c r="CD608" i="9"/>
  <c r="CE199" i="9"/>
  <c r="CD612" i="9"/>
  <c r="CE275" i="9"/>
  <c r="CD602" i="9"/>
  <c r="CE85" i="9"/>
  <c r="CD1003" i="9"/>
  <c r="CD512" i="9"/>
  <c r="CD120" i="9"/>
  <c r="CE114" i="9"/>
  <c r="CD613" i="9"/>
  <c r="CE294" i="9"/>
  <c r="CD1012" i="9"/>
  <c r="CD521" i="9"/>
  <c r="CD291" i="9"/>
  <c r="CE285" i="9"/>
  <c r="CE351" i="9"/>
  <c r="CD616" i="9"/>
  <c r="CD610" i="9"/>
  <c r="CE237" i="9"/>
  <c r="E242" i="23"/>
  <c r="E240" i="23" a="1"/>
  <c r="AN143" i="30" l="1"/>
  <c r="AN141" i="30"/>
  <c r="AO133" i="6"/>
  <c r="AO119" i="30" s="1"/>
  <c r="AO16" i="6"/>
  <c r="AP114" i="6"/>
  <c r="AP125" i="6"/>
  <c r="CE449" i="9"/>
  <c r="CE232" i="9"/>
  <c r="CE308" i="9"/>
  <c r="CE453" i="9"/>
  <c r="CE450" i="9"/>
  <c r="CE251" i="9"/>
  <c r="CE546" i="9"/>
  <c r="CE335" i="9"/>
  <c r="CE447" i="9"/>
  <c r="CE194" i="9"/>
  <c r="CE550" i="9"/>
  <c r="CE411" i="9"/>
  <c r="CE442" i="9"/>
  <c r="CE99" i="9"/>
  <c r="CE456" i="9"/>
  <c r="CE365" i="9"/>
  <c r="CE441" i="9"/>
  <c r="CE80" i="9"/>
  <c r="CE532" i="9"/>
  <c r="CE69" i="9"/>
  <c r="CE448" i="9"/>
  <c r="CE213" i="9"/>
  <c r="CE538" i="9"/>
  <c r="CE183" i="9"/>
  <c r="CE440" i="9"/>
  <c r="CE61" i="9"/>
  <c r="CE457" i="9"/>
  <c r="CE384" i="9"/>
  <c r="CE459" i="9"/>
  <c r="CE422" i="9"/>
  <c r="CE545" i="9"/>
  <c r="CE316" i="9"/>
  <c r="CE535" i="9"/>
  <c r="CE126" i="9"/>
  <c r="CE547" i="9"/>
  <c r="CE354" i="9"/>
  <c r="CE540" i="9"/>
  <c r="CE221" i="9"/>
  <c r="CE544" i="9"/>
  <c r="CE297" i="9"/>
  <c r="CE542" i="9"/>
  <c r="CE259" i="9"/>
  <c r="CE533" i="9"/>
  <c r="CE88" i="9"/>
  <c r="CE537" i="9"/>
  <c r="CE164" i="9"/>
  <c r="CE455" i="9"/>
  <c r="CE346" i="9"/>
  <c r="CE444" i="9"/>
  <c r="CE137" i="9"/>
  <c r="CE451" i="9"/>
  <c r="CE270" i="9"/>
  <c r="CE175" i="9"/>
  <c r="CE446" i="9"/>
  <c r="CE539" i="9"/>
  <c r="CE202" i="9"/>
  <c r="CE454" i="9"/>
  <c r="CE327" i="9"/>
  <c r="CE548" i="9"/>
  <c r="CE373" i="9"/>
  <c r="CE549" i="9"/>
  <c r="CE392" i="9"/>
  <c r="CE536" i="9"/>
  <c r="CE145" i="9"/>
  <c r="CE443" i="9"/>
  <c r="CE118" i="9"/>
  <c r="CE551" i="9"/>
  <c r="CE430" i="9"/>
  <c r="CE541" i="9"/>
  <c r="CE240" i="9"/>
  <c r="CE452" i="9"/>
  <c r="CE289" i="9"/>
  <c r="CE543" i="9"/>
  <c r="CE278" i="9"/>
  <c r="CE534" i="9"/>
  <c r="CE107" i="9"/>
  <c r="CE403" i="9"/>
  <c r="CE458" i="9"/>
  <c r="CE445" i="9"/>
  <c r="CE156" i="9"/>
  <c r="E240" i="23"/>
  <c r="E238" i="23" a="1"/>
  <c r="AO20" i="6" l="1"/>
  <c r="AO18" i="6"/>
  <c r="AQ109" i="6"/>
  <c r="AP130" i="6"/>
  <c r="AO124" i="30"/>
  <c r="AO139" i="30" s="1"/>
  <c r="AO32" i="32"/>
  <c r="CE1005" i="9"/>
  <c r="CE514" i="9"/>
  <c r="CF152" i="9"/>
  <c r="CE158" i="9"/>
  <c r="CE1012" i="9"/>
  <c r="CE291" i="9"/>
  <c r="CE521" i="9"/>
  <c r="CF285" i="9"/>
  <c r="CE605" i="9"/>
  <c r="CF142" i="9"/>
  <c r="CE608" i="9"/>
  <c r="CF199" i="9"/>
  <c r="CE1015" i="9"/>
  <c r="CE524" i="9"/>
  <c r="CF342" i="9"/>
  <c r="CE348" i="9"/>
  <c r="CE613" i="9"/>
  <c r="CF294" i="9"/>
  <c r="CE614" i="9"/>
  <c r="CF313" i="9"/>
  <c r="CE607" i="9"/>
  <c r="CF180" i="9"/>
  <c r="CE1016" i="9"/>
  <c r="CE525" i="9"/>
  <c r="CE367" i="9"/>
  <c r="CF361" i="9"/>
  <c r="CE615" i="9"/>
  <c r="CF332" i="9"/>
  <c r="CE1019" i="9"/>
  <c r="CE528" i="9"/>
  <c r="CE424" i="9"/>
  <c r="CF418" i="9"/>
  <c r="CE1017" i="9"/>
  <c r="CE526" i="9"/>
  <c r="CF380" i="9"/>
  <c r="CE386" i="9"/>
  <c r="CE618" i="9"/>
  <c r="CF389" i="9"/>
  <c r="CE606" i="9"/>
  <c r="CF161" i="9"/>
  <c r="CE1002" i="9"/>
  <c r="CE511" i="9"/>
  <c r="CE101" i="9"/>
  <c r="CF95" i="9"/>
  <c r="CE1006" i="9"/>
  <c r="CE515" i="9"/>
  <c r="CE177" i="9"/>
  <c r="CF171" i="9"/>
  <c r="CE603" i="9"/>
  <c r="CF104" i="9"/>
  <c r="CE617" i="9"/>
  <c r="CF370" i="9"/>
  <c r="CE602" i="9"/>
  <c r="CF85" i="9"/>
  <c r="CE601" i="9"/>
  <c r="CF66" i="9"/>
  <c r="CE1013" i="9"/>
  <c r="CE522" i="9"/>
  <c r="CE310" i="9"/>
  <c r="CF304" i="9"/>
  <c r="CE609" i="9"/>
  <c r="CF218" i="9"/>
  <c r="CE1008" i="9"/>
  <c r="CE517" i="9"/>
  <c r="CF209" i="9"/>
  <c r="CE215" i="9"/>
  <c r="CE1018" i="9"/>
  <c r="CE527" i="9"/>
  <c r="CF399" i="9"/>
  <c r="CE405" i="9"/>
  <c r="CE620" i="9"/>
  <c r="CF427" i="9"/>
  <c r="CE1011" i="9"/>
  <c r="CE520" i="9"/>
  <c r="CE272" i="9"/>
  <c r="CF266" i="9"/>
  <c r="CE616" i="9"/>
  <c r="CF351" i="9"/>
  <c r="CE619" i="9"/>
  <c r="CF408" i="9"/>
  <c r="CE612" i="9"/>
  <c r="CF275" i="9"/>
  <c r="CE1003" i="9"/>
  <c r="CE512" i="9"/>
  <c r="CF114" i="9"/>
  <c r="CE120" i="9"/>
  <c r="CE1014" i="9"/>
  <c r="CE523" i="9"/>
  <c r="CE329" i="9"/>
  <c r="CF323" i="9"/>
  <c r="CE1004" i="9"/>
  <c r="CE513" i="9"/>
  <c r="CF133" i="9"/>
  <c r="CE139" i="9"/>
  <c r="CE611" i="9"/>
  <c r="CF256" i="9"/>
  <c r="CE604" i="9"/>
  <c r="CF123" i="9"/>
  <c r="CE1000" i="9"/>
  <c r="CE509" i="9"/>
  <c r="CF57" i="9"/>
  <c r="CE63" i="9"/>
  <c r="CE1001" i="9"/>
  <c r="CE510" i="9"/>
  <c r="CE82" i="9"/>
  <c r="CF76" i="9"/>
  <c r="CE1007" i="9"/>
  <c r="CE516" i="9"/>
  <c r="CE196" i="9"/>
  <c r="CF190" i="9"/>
  <c r="CE1009" i="9"/>
  <c r="CE518" i="9"/>
  <c r="CF228" i="9"/>
  <c r="CE234" i="9"/>
  <c r="CE610" i="9"/>
  <c r="CF237" i="9"/>
  <c r="CE1010" i="9"/>
  <c r="CE519" i="9"/>
  <c r="CF247" i="9"/>
  <c r="CE253" i="9"/>
  <c r="E238" i="23"/>
  <c r="E236" i="23" a="1"/>
  <c r="AO143" i="30" l="1"/>
  <c r="AO141" i="30"/>
  <c r="AP133" i="6"/>
  <c r="AP119" i="30" s="1"/>
  <c r="AP16" i="6"/>
  <c r="AQ114" i="6"/>
  <c r="AQ125" i="6"/>
  <c r="CF444" i="9"/>
  <c r="CF137" i="9"/>
  <c r="CF541" i="9"/>
  <c r="CF240" i="9"/>
  <c r="CF550" i="9"/>
  <c r="CF411" i="9"/>
  <c r="CF451" i="9"/>
  <c r="CF270" i="9"/>
  <c r="CF532" i="9"/>
  <c r="CF69" i="9"/>
  <c r="CF537" i="9"/>
  <c r="CF164" i="9"/>
  <c r="CF459" i="9"/>
  <c r="CF422" i="9"/>
  <c r="CF316" i="9"/>
  <c r="CF545" i="9"/>
  <c r="CF457" i="9"/>
  <c r="CF384" i="9"/>
  <c r="CF455" i="9"/>
  <c r="CF346" i="9"/>
  <c r="CF547" i="9"/>
  <c r="CF354" i="9"/>
  <c r="CF533" i="9"/>
  <c r="CF88" i="9"/>
  <c r="CF549" i="9"/>
  <c r="CF392" i="9"/>
  <c r="CF365" i="9"/>
  <c r="CF456" i="9"/>
  <c r="CF544" i="9"/>
  <c r="CF297" i="9"/>
  <c r="CF548" i="9"/>
  <c r="CF373" i="9"/>
  <c r="CF546" i="9"/>
  <c r="CF335" i="9"/>
  <c r="CF539" i="9"/>
  <c r="CF202" i="9"/>
  <c r="CF452" i="9"/>
  <c r="CF289" i="9"/>
  <c r="CF443" i="9"/>
  <c r="CF118" i="9"/>
  <c r="CF448" i="9"/>
  <c r="CF213" i="9"/>
  <c r="CF542" i="9"/>
  <c r="CF259" i="9"/>
  <c r="CF442" i="9"/>
  <c r="CF99" i="9"/>
  <c r="CF251" i="9"/>
  <c r="CF450" i="9"/>
  <c r="CF445" i="9"/>
  <c r="CF156" i="9"/>
  <c r="CF446" i="9"/>
  <c r="CF175" i="9"/>
  <c r="CF447" i="9"/>
  <c r="CF194" i="9"/>
  <c r="CF441" i="9"/>
  <c r="CF80" i="9"/>
  <c r="CF543" i="9"/>
  <c r="CF278" i="9"/>
  <c r="CF540" i="9"/>
  <c r="CF221" i="9"/>
  <c r="CF534" i="9"/>
  <c r="CF107" i="9"/>
  <c r="CF538" i="9"/>
  <c r="CF183" i="9"/>
  <c r="CF536" i="9"/>
  <c r="CF145" i="9"/>
  <c r="CF535" i="9"/>
  <c r="CF126" i="9"/>
  <c r="CF454" i="9"/>
  <c r="CF327" i="9"/>
  <c r="CF403" i="9"/>
  <c r="CF458" i="9"/>
  <c r="CF551" i="9"/>
  <c r="CF430" i="9"/>
  <c r="CF453" i="9"/>
  <c r="CF308" i="9"/>
  <c r="CF232" i="9"/>
  <c r="CF449" i="9"/>
  <c r="CF440" i="9"/>
  <c r="CF61" i="9"/>
  <c r="E236" i="23"/>
  <c r="E234" i="23" a="1"/>
  <c r="AP18" i="6" l="1"/>
  <c r="AP20" i="6"/>
  <c r="AR109" i="6"/>
  <c r="AQ130" i="6"/>
  <c r="AP124" i="30"/>
  <c r="AP139" i="30" s="1"/>
  <c r="AP32" i="32"/>
  <c r="CF1018" i="9"/>
  <c r="CF527" i="9"/>
  <c r="CF405" i="9"/>
  <c r="CG399" i="9"/>
  <c r="CF1010" i="9"/>
  <c r="CF519" i="9"/>
  <c r="CG247" i="9"/>
  <c r="CF253" i="9"/>
  <c r="CF614" i="9"/>
  <c r="CG313" i="9"/>
  <c r="CF608" i="9"/>
  <c r="CG199" i="9"/>
  <c r="CF610" i="9"/>
  <c r="CG237" i="9"/>
  <c r="CF1007" i="9"/>
  <c r="CF516" i="9"/>
  <c r="CG190" i="9"/>
  <c r="CF196" i="9"/>
  <c r="CF1019" i="9"/>
  <c r="CF528" i="9"/>
  <c r="CF424" i="9"/>
  <c r="CG418" i="9"/>
  <c r="CF1013" i="9"/>
  <c r="CF522" i="9"/>
  <c r="CF310" i="9"/>
  <c r="CG304" i="9"/>
  <c r="CF609" i="9"/>
  <c r="CG218" i="9"/>
  <c r="CF1006" i="9"/>
  <c r="CF515" i="9"/>
  <c r="CF177" i="9"/>
  <c r="CG171" i="9"/>
  <c r="CF1015" i="9"/>
  <c r="CF524" i="9"/>
  <c r="CG342" i="9"/>
  <c r="CF348" i="9"/>
  <c r="CF1016" i="9"/>
  <c r="CF525" i="9"/>
  <c r="CG361" i="9"/>
  <c r="CF367" i="9"/>
  <c r="CF605" i="9"/>
  <c r="CG142" i="9"/>
  <c r="CF612" i="9"/>
  <c r="CG275" i="9"/>
  <c r="CF1005" i="9"/>
  <c r="CF514" i="9"/>
  <c r="CF158" i="9"/>
  <c r="CG152" i="9"/>
  <c r="CF1008" i="9"/>
  <c r="CF517" i="9"/>
  <c r="CF215" i="9"/>
  <c r="CG209" i="9"/>
  <c r="CF615" i="9"/>
  <c r="CG332" i="9"/>
  <c r="CF618" i="9"/>
  <c r="CG389" i="9"/>
  <c r="CF1017" i="9"/>
  <c r="CF526" i="9"/>
  <c r="CG380" i="9"/>
  <c r="CF386" i="9"/>
  <c r="CF601" i="9"/>
  <c r="CG66" i="9"/>
  <c r="CF1004" i="9"/>
  <c r="CF513" i="9"/>
  <c r="CG133" i="9"/>
  <c r="CF139" i="9"/>
  <c r="CF1014" i="9"/>
  <c r="CF523" i="9"/>
  <c r="CG323" i="9"/>
  <c r="CF329" i="9"/>
  <c r="CF1002" i="9"/>
  <c r="CF511" i="9"/>
  <c r="CG95" i="9"/>
  <c r="CF101" i="9"/>
  <c r="CF613" i="9"/>
  <c r="CG294" i="9"/>
  <c r="CF619" i="9"/>
  <c r="CG408" i="9"/>
  <c r="CF1009" i="9"/>
  <c r="CF518" i="9"/>
  <c r="CG228" i="9"/>
  <c r="CF234" i="9"/>
  <c r="CF604" i="9"/>
  <c r="CG123" i="9"/>
  <c r="CF611" i="9"/>
  <c r="CG256" i="9"/>
  <c r="CF606" i="9"/>
  <c r="CG161" i="9"/>
  <c r="CF620" i="9"/>
  <c r="CG427" i="9"/>
  <c r="CF603" i="9"/>
  <c r="CG104" i="9"/>
  <c r="CF1012" i="9"/>
  <c r="CF521" i="9"/>
  <c r="CF291" i="9"/>
  <c r="CG285" i="9"/>
  <c r="CF616" i="9"/>
  <c r="CG351" i="9"/>
  <c r="CF1000" i="9"/>
  <c r="CF509" i="9"/>
  <c r="CF63" i="9"/>
  <c r="CG57" i="9"/>
  <c r="CF607" i="9"/>
  <c r="CG180" i="9"/>
  <c r="CF1001" i="9"/>
  <c r="CF510" i="9"/>
  <c r="CF82" i="9"/>
  <c r="CG76" i="9"/>
  <c r="CF1003" i="9"/>
  <c r="CF512" i="9"/>
  <c r="CG114" i="9"/>
  <c r="CF120" i="9"/>
  <c r="CF617" i="9"/>
  <c r="CG370" i="9"/>
  <c r="CF602" i="9"/>
  <c r="CG85" i="9"/>
  <c r="CF1011" i="9"/>
  <c r="CF520" i="9"/>
  <c r="CF272" i="9"/>
  <c r="CG266" i="9"/>
  <c r="E234" i="23"/>
  <c r="C231" i="23" a="1"/>
  <c r="AQ133" i="6" l="1"/>
  <c r="AQ119" i="30" s="1"/>
  <c r="AQ16" i="6"/>
  <c r="AP141" i="30"/>
  <c r="AP143" i="30"/>
  <c r="AR114" i="6"/>
  <c r="AR125" i="6"/>
  <c r="CG443" i="9"/>
  <c r="CG118" i="9"/>
  <c r="CG549" i="9"/>
  <c r="CG392" i="9"/>
  <c r="CG448" i="9"/>
  <c r="CG213" i="9"/>
  <c r="CG445" i="9"/>
  <c r="CG156" i="9"/>
  <c r="CG540" i="9"/>
  <c r="CG221" i="9"/>
  <c r="CG546" i="9"/>
  <c r="CG335" i="9"/>
  <c r="CG541" i="9"/>
  <c r="CG240" i="9"/>
  <c r="CG543" i="9"/>
  <c r="CG278" i="9"/>
  <c r="CG446" i="9"/>
  <c r="CG175" i="9"/>
  <c r="CG539" i="9"/>
  <c r="CG202" i="9"/>
  <c r="CG458" i="9"/>
  <c r="CG403" i="9"/>
  <c r="CG440" i="9"/>
  <c r="CG61" i="9"/>
  <c r="CG550" i="9"/>
  <c r="CG411" i="9"/>
  <c r="CG454" i="9"/>
  <c r="CG327" i="9"/>
  <c r="CG451" i="9"/>
  <c r="CG270" i="9"/>
  <c r="CG538" i="9"/>
  <c r="CG183" i="9"/>
  <c r="CG537" i="9"/>
  <c r="CG164" i="9"/>
  <c r="CG137" i="9"/>
  <c r="CG444" i="9"/>
  <c r="CG547" i="9"/>
  <c r="CG354" i="9"/>
  <c r="CG542" i="9"/>
  <c r="CG259" i="9"/>
  <c r="CG457" i="9"/>
  <c r="CG384" i="9"/>
  <c r="CG365" i="9"/>
  <c r="CG456" i="9"/>
  <c r="CG455" i="9"/>
  <c r="CG346" i="9"/>
  <c r="CG450" i="9"/>
  <c r="CG251" i="9"/>
  <c r="CG452" i="9"/>
  <c r="CG289" i="9"/>
  <c r="CG544" i="9"/>
  <c r="CG297" i="9"/>
  <c r="CG449" i="9"/>
  <c r="CG232" i="9"/>
  <c r="CG532" i="9"/>
  <c r="CG69" i="9"/>
  <c r="CG536" i="9"/>
  <c r="CG145" i="9"/>
  <c r="CG453" i="9"/>
  <c r="CG308" i="9"/>
  <c r="CG422" i="9"/>
  <c r="CG459" i="9"/>
  <c r="CG545" i="9"/>
  <c r="CG316" i="9"/>
  <c r="CG548" i="9"/>
  <c r="CG373" i="9"/>
  <c r="CG551" i="9"/>
  <c r="CG430" i="9"/>
  <c r="CG442" i="9"/>
  <c r="CG99" i="9"/>
  <c r="CG533" i="9"/>
  <c r="CG88" i="9"/>
  <c r="CG441" i="9"/>
  <c r="CG80" i="9"/>
  <c r="CG534" i="9"/>
  <c r="CG107" i="9"/>
  <c r="CG535" i="9"/>
  <c r="CG126" i="9"/>
  <c r="CG447" i="9"/>
  <c r="CG194" i="9"/>
  <c r="C231" i="23"/>
  <c r="E225" i="23" a="1"/>
  <c r="AQ20" i="6" l="1"/>
  <c r="AQ18" i="6"/>
  <c r="AS109" i="6"/>
  <c r="AR130" i="6"/>
  <c r="AQ32" i="32"/>
  <c r="AQ124" i="30"/>
  <c r="AQ139" i="30" s="1"/>
  <c r="CG616" i="9"/>
  <c r="CH351" i="9"/>
  <c r="CG1014" i="9"/>
  <c r="CG523" i="9"/>
  <c r="CH323" i="9"/>
  <c r="CG329" i="9"/>
  <c r="CG618" i="9"/>
  <c r="CH389" i="9"/>
  <c r="CG1002" i="9"/>
  <c r="CG511" i="9"/>
  <c r="CH95" i="9"/>
  <c r="CG101" i="9"/>
  <c r="CG1009" i="9"/>
  <c r="CG518" i="9"/>
  <c r="CH228" i="9"/>
  <c r="CG234" i="9"/>
  <c r="CG1018" i="9"/>
  <c r="CG405" i="9"/>
  <c r="CG527" i="9"/>
  <c r="CH399" i="9"/>
  <c r="CG1019" i="9"/>
  <c r="CG528" i="9"/>
  <c r="CH418" i="9"/>
  <c r="CG424" i="9"/>
  <c r="CG620" i="9"/>
  <c r="CH427" i="9"/>
  <c r="CG613" i="9"/>
  <c r="CH294" i="9"/>
  <c r="CG615" i="9"/>
  <c r="CH332" i="9"/>
  <c r="CG1016" i="9"/>
  <c r="CG525" i="9"/>
  <c r="CH361" i="9"/>
  <c r="CG367" i="9"/>
  <c r="CG617" i="9"/>
  <c r="CH370" i="9"/>
  <c r="CG1012" i="9"/>
  <c r="CG521" i="9"/>
  <c r="CG291" i="9"/>
  <c r="CH285" i="9"/>
  <c r="CG1017" i="9"/>
  <c r="CG526" i="9"/>
  <c r="CG386" i="9"/>
  <c r="CH380" i="9"/>
  <c r="CG606" i="9"/>
  <c r="CH161" i="9"/>
  <c r="CG619" i="9"/>
  <c r="CH408" i="9"/>
  <c r="CG1006" i="9"/>
  <c r="CG515" i="9"/>
  <c r="CH171" i="9"/>
  <c r="CG177" i="9"/>
  <c r="CG609" i="9"/>
  <c r="CH218" i="9"/>
  <c r="CG1003" i="9"/>
  <c r="CG512" i="9"/>
  <c r="CG120" i="9"/>
  <c r="CH114" i="9"/>
  <c r="CG1011" i="9"/>
  <c r="CG520" i="9"/>
  <c r="CG272" i="9"/>
  <c r="CH266" i="9"/>
  <c r="CG1008" i="9"/>
  <c r="CG517" i="9"/>
  <c r="CH209" i="9"/>
  <c r="CG215" i="9"/>
  <c r="CG603" i="9"/>
  <c r="CH104" i="9"/>
  <c r="CG1013" i="9"/>
  <c r="CG522" i="9"/>
  <c r="CG310" i="9"/>
  <c r="CH304" i="9"/>
  <c r="CG608" i="9"/>
  <c r="CH199" i="9"/>
  <c r="CG1004" i="9"/>
  <c r="CG513" i="9"/>
  <c r="CG139" i="9"/>
  <c r="CH133" i="9"/>
  <c r="CG1001" i="9"/>
  <c r="CG510" i="9"/>
  <c r="CH76" i="9"/>
  <c r="CG82" i="9"/>
  <c r="CG605" i="9"/>
  <c r="CH142" i="9"/>
  <c r="CG604" i="9"/>
  <c r="CH123" i="9"/>
  <c r="CG1015" i="9"/>
  <c r="CG524" i="9"/>
  <c r="CH342" i="9"/>
  <c r="CG348" i="9"/>
  <c r="CG610" i="9"/>
  <c r="CH237" i="9"/>
  <c r="CG1007" i="9"/>
  <c r="CG516" i="9"/>
  <c r="CH190" i="9"/>
  <c r="CG196" i="9"/>
  <c r="CG602" i="9"/>
  <c r="CH85" i="9"/>
  <c r="CG614" i="9"/>
  <c r="CH313" i="9"/>
  <c r="CG601" i="9"/>
  <c r="CH66" i="9"/>
  <c r="CG1010" i="9"/>
  <c r="CG253" i="9"/>
  <c r="CH247" i="9"/>
  <c r="CG519" i="9"/>
  <c r="CG611" i="9"/>
  <c r="CH256" i="9"/>
  <c r="CG607" i="9"/>
  <c r="CH180" i="9"/>
  <c r="CG1000" i="9"/>
  <c r="CG509" i="9"/>
  <c r="CG63" i="9"/>
  <c r="CH57" i="9"/>
  <c r="CG612" i="9"/>
  <c r="CH275" i="9"/>
  <c r="CG1005" i="9"/>
  <c r="CG514" i="9"/>
  <c r="CG158" i="9"/>
  <c r="CH152" i="9"/>
  <c r="E225" i="23"/>
  <c r="E224" i="23" a="1"/>
  <c r="AQ143" i="30" l="1"/>
  <c r="AQ141" i="30"/>
  <c r="AR133" i="6"/>
  <c r="AR119" i="30" s="1"/>
  <c r="AR16" i="6"/>
  <c r="AS114" i="6"/>
  <c r="AS125" i="6"/>
  <c r="CH538" i="9"/>
  <c r="CH183" i="9"/>
  <c r="CH447" i="9"/>
  <c r="CH194" i="9"/>
  <c r="CH422" i="9"/>
  <c r="CH459" i="9"/>
  <c r="CH449" i="9"/>
  <c r="CH232" i="9"/>
  <c r="CH442" i="9"/>
  <c r="CH99" i="9"/>
  <c r="CH539" i="9"/>
  <c r="CH202" i="9"/>
  <c r="CH451" i="9"/>
  <c r="CH270" i="9"/>
  <c r="CH443" i="9"/>
  <c r="CH118" i="9"/>
  <c r="CH537" i="9"/>
  <c r="CH164" i="9"/>
  <c r="CH551" i="9"/>
  <c r="CH430" i="9"/>
  <c r="CH213" i="9"/>
  <c r="CH448" i="9"/>
  <c r="CH365" i="9"/>
  <c r="CH456" i="9"/>
  <c r="CH327" i="9"/>
  <c r="CH454" i="9"/>
  <c r="CH542" i="9"/>
  <c r="CH259" i="9"/>
  <c r="CH534" i="9"/>
  <c r="CH107" i="9"/>
  <c r="CH548" i="9"/>
  <c r="CH373" i="9"/>
  <c r="CH549" i="9"/>
  <c r="CH392" i="9"/>
  <c r="CH446" i="9"/>
  <c r="CH175" i="9"/>
  <c r="CH450" i="9"/>
  <c r="CH251" i="9"/>
  <c r="CH532" i="9"/>
  <c r="CH69" i="9"/>
  <c r="CH535" i="9"/>
  <c r="CH126" i="9"/>
  <c r="CH444" i="9"/>
  <c r="CH137" i="9"/>
  <c r="CH540" i="9"/>
  <c r="CH221" i="9"/>
  <c r="CH546" i="9"/>
  <c r="CH335" i="9"/>
  <c r="CH547" i="9"/>
  <c r="CH354" i="9"/>
  <c r="CH445" i="9"/>
  <c r="CH156" i="9"/>
  <c r="CH541" i="9"/>
  <c r="CH240" i="9"/>
  <c r="CH440" i="9"/>
  <c r="CH61" i="9"/>
  <c r="CH441" i="9"/>
  <c r="CH80" i="9"/>
  <c r="CH533" i="9"/>
  <c r="CH88" i="9"/>
  <c r="CH455" i="9"/>
  <c r="CH346" i="9"/>
  <c r="CH278" i="9"/>
  <c r="CH543" i="9"/>
  <c r="CH545" i="9"/>
  <c r="CH316" i="9"/>
  <c r="CH536" i="9"/>
  <c r="CH145" i="9"/>
  <c r="CH453" i="9"/>
  <c r="CH308" i="9"/>
  <c r="CH550" i="9"/>
  <c r="CH411" i="9"/>
  <c r="CH457" i="9"/>
  <c r="CH384" i="9"/>
  <c r="CH452" i="9"/>
  <c r="CH289" i="9"/>
  <c r="CH544" i="9"/>
  <c r="CH297" i="9"/>
  <c r="CH458" i="9"/>
  <c r="CH403" i="9"/>
  <c r="E224" i="23"/>
  <c r="E220" i="23" a="1"/>
  <c r="AT109" i="6" l="1"/>
  <c r="AS130" i="6"/>
  <c r="AR124" i="30"/>
  <c r="AR139" i="30" s="1"/>
  <c r="AR32" i="32"/>
  <c r="AR18" i="6"/>
  <c r="AR20" i="6"/>
  <c r="CH612" i="9"/>
  <c r="CI275" i="9"/>
  <c r="CH1016" i="9"/>
  <c r="CH525" i="9"/>
  <c r="CH367" i="9"/>
  <c r="CI361" i="9"/>
  <c r="CH1006" i="9"/>
  <c r="CH515" i="9"/>
  <c r="CH177" i="9"/>
  <c r="CI171" i="9"/>
  <c r="CH1007" i="9"/>
  <c r="CH516" i="9"/>
  <c r="CI190" i="9"/>
  <c r="CH196" i="9"/>
  <c r="CH613" i="9"/>
  <c r="CI294" i="9"/>
  <c r="CH1015" i="9"/>
  <c r="CH524" i="9"/>
  <c r="CI342" i="9"/>
  <c r="CH348" i="9"/>
  <c r="CH609" i="9"/>
  <c r="CI218" i="9"/>
  <c r="CH603" i="9"/>
  <c r="CI104" i="9"/>
  <c r="CH1019" i="9"/>
  <c r="CH528" i="9"/>
  <c r="CI418" i="9"/>
  <c r="CH424" i="9"/>
  <c r="CH605" i="9"/>
  <c r="CI142" i="9"/>
  <c r="CH1005" i="9"/>
  <c r="CH514" i="9"/>
  <c r="CH158" i="9"/>
  <c r="CI152" i="9"/>
  <c r="CH611" i="9"/>
  <c r="CI256" i="9"/>
  <c r="CH620" i="9"/>
  <c r="CI427" i="9"/>
  <c r="CH1001" i="9"/>
  <c r="CH510" i="9"/>
  <c r="CH82" i="9"/>
  <c r="CI76" i="9"/>
  <c r="CH616" i="9"/>
  <c r="CI351" i="9"/>
  <c r="CH604" i="9"/>
  <c r="CI123" i="9"/>
  <c r="CH618" i="9"/>
  <c r="CI389" i="9"/>
  <c r="CH606" i="9"/>
  <c r="CI161" i="9"/>
  <c r="CH1002" i="9"/>
  <c r="CH511" i="9"/>
  <c r="CI95" i="9"/>
  <c r="CH101" i="9"/>
  <c r="CH607" i="9"/>
  <c r="CI180" i="9"/>
  <c r="CH1013" i="9"/>
  <c r="CH522" i="9"/>
  <c r="CH310" i="9"/>
  <c r="CI304" i="9"/>
  <c r="CH1010" i="9"/>
  <c r="CH519" i="9"/>
  <c r="CI247" i="9"/>
  <c r="CH253" i="9"/>
  <c r="CH1012" i="9"/>
  <c r="CH521" i="9"/>
  <c r="CH291" i="9"/>
  <c r="CI285" i="9"/>
  <c r="CH602" i="9"/>
  <c r="CI85" i="9"/>
  <c r="CH1004" i="9"/>
  <c r="CH513" i="9"/>
  <c r="CH139" i="9"/>
  <c r="CI133" i="9"/>
  <c r="CH608" i="9"/>
  <c r="CI199" i="9"/>
  <c r="CH1017" i="9"/>
  <c r="CH526" i="9"/>
  <c r="CH386" i="9"/>
  <c r="CI380" i="9"/>
  <c r="CH614" i="9"/>
  <c r="CI313" i="9"/>
  <c r="CH1014" i="9"/>
  <c r="CH523" i="9"/>
  <c r="CI323" i="9"/>
  <c r="CH329" i="9"/>
  <c r="CH610" i="9"/>
  <c r="CI237" i="9"/>
  <c r="CH1011" i="9"/>
  <c r="CH520" i="9"/>
  <c r="CH272" i="9"/>
  <c r="CI266" i="9"/>
  <c r="CH1008" i="9"/>
  <c r="CH517" i="9"/>
  <c r="CH215" i="9"/>
  <c r="CI209" i="9"/>
  <c r="CH1018" i="9"/>
  <c r="CH527" i="9"/>
  <c r="CI399" i="9"/>
  <c r="CH405" i="9"/>
  <c r="CH619" i="9"/>
  <c r="CI408" i="9"/>
  <c r="CH1000" i="9"/>
  <c r="CH509" i="9"/>
  <c r="CH63" i="9"/>
  <c r="CI57" i="9"/>
  <c r="CH615" i="9"/>
  <c r="CI332" i="9"/>
  <c r="CH601" i="9"/>
  <c r="CI66" i="9"/>
  <c r="CH617" i="9"/>
  <c r="CI370" i="9"/>
  <c r="CH1003" i="9"/>
  <c r="CH512" i="9"/>
  <c r="CH120" i="9"/>
  <c r="CI114" i="9"/>
  <c r="CH1009" i="9"/>
  <c r="CH518" i="9"/>
  <c r="CH234" i="9"/>
  <c r="CI228" i="9"/>
  <c r="E220" i="23"/>
  <c r="EX88" i="28"/>
  <c r="EX87" i="28"/>
  <c r="EX25" i="37"/>
  <c r="EX24" i="37"/>
  <c r="EX23" i="37"/>
  <c r="Y23" i="37"/>
  <c r="X23" i="37"/>
  <c r="W23" i="37"/>
  <c r="V23" i="37"/>
  <c r="EX22" i="37"/>
  <c r="CN22" i="37" a="1"/>
  <c r="CN22" i="37"/>
  <c r="CL22" i="37"/>
  <c r="EY186" i="1"/>
  <c r="EY185" i="1"/>
  <c r="EY184" i="1"/>
  <c r="CI184" i="1"/>
  <c r="FN186" i="20"/>
  <c r="FN185" i="20"/>
  <c r="FN184" i="20"/>
  <c r="FN183" i="20"/>
  <c r="EY182" i="22"/>
  <c r="EY181" i="22"/>
  <c r="EY180" i="22"/>
  <c r="EY179" i="22"/>
  <c r="CP179" i="22"/>
  <c r="CO179" i="22"/>
  <c r="EY88" i="16"/>
  <c r="EY87" i="16"/>
  <c r="EY86" i="16"/>
  <c r="W86" i="16"/>
  <c r="V86" i="16"/>
  <c r="EY85" i="16"/>
  <c r="EY84" i="16"/>
  <c r="CN84" i="16"/>
  <c r="A84" i="16" s="1" a="1"/>
  <c r="A84" i="16" s="1"/>
  <c r="A2" i="16" s="1" a="1"/>
  <c r="A2" i="16" s="1"/>
  <c r="A18" i="14" s="1"/>
  <c r="EZ358" i="26"/>
  <c r="EZ357" i="26"/>
  <c r="EZ356" i="26"/>
  <c r="E38" i="9"/>
  <c r="I38" i="9" s="1"/>
  <c r="I37" i="9"/>
  <c r="H37" i="9"/>
  <c r="EY1161" i="9"/>
  <c r="EY1160" i="9"/>
  <c r="EY1159" i="9"/>
  <c r="CI1159" i="9"/>
  <c r="CH1159" i="9"/>
  <c r="CG1159" i="9"/>
  <c r="CF1159" i="9"/>
  <c r="CE1159" i="9"/>
  <c r="CD1159" i="9"/>
  <c r="EY289" i="6"/>
  <c r="EY288" i="6"/>
  <c r="EY287" i="6"/>
  <c r="CI287" i="6"/>
  <c r="CH287" i="6"/>
  <c r="CG287" i="6"/>
  <c r="CF287" i="6"/>
  <c r="CE287" i="6"/>
  <c r="CD287" i="6"/>
  <c r="BX6" i="38" a="1"/>
  <c r="BX6" i="38" s="1"/>
  <c r="V6" i="38" a="1"/>
  <c r="V6" i="38" s="1"/>
  <c r="A6" i="38" a="1"/>
  <c r="A6" i="38" s="1"/>
  <c r="CI5" i="38"/>
  <c r="EX219" i="30"/>
  <c r="EX218" i="30"/>
  <c r="EX69" i="32"/>
  <c r="EX68" i="32"/>
  <c r="EX67" i="32"/>
  <c r="CT67" i="32"/>
  <c r="EW30" i="12"/>
  <c r="EW29" i="12"/>
  <c r="CP29" i="12"/>
  <c r="CM29" i="12"/>
  <c r="Y29" i="12"/>
  <c r="X29" i="12"/>
  <c r="X31" i="12" s="1"/>
  <c r="W29" i="12"/>
  <c r="W31" i="12" s="1"/>
  <c r="EW35" i="12"/>
  <c r="EW34" i="12"/>
  <c r="EW33" i="12"/>
  <c r="EW32" i="12"/>
  <c r="EX106" i="33"/>
  <c r="EX43" i="36"/>
  <c r="EX147" i="13"/>
  <c r="EX146" i="13"/>
  <c r="EX145" i="13"/>
  <c r="EX144" i="13"/>
  <c r="EX143" i="13"/>
  <c r="EX142" i="13"/>
  <c r="EX141" i="13"/>
  <c r="EX140" i="13"/>
  <c r="EX139" i="13"/>
  <c r="EX103" i="35"/>
  <c r="EX102" i="35"/>
  <c r="EX101" i="35"/>
  <c r="EX100" i="35"/>
  <c r="Y100" i="35"/>
  <c r="X100" i="35"/>
  <c r="W100" i="35"/>
  <c r="EX388" i="3"/>
  <c r="EX387" i="3"/>
  <c r="EX386" i="3"/>
  <c r="C1" i="56"/>
  <c r="G114" i="50"/>
  <c r="E114" i="50"/>
  <c r="G113" i="50"/>
  <c r="E113" i="50"/>
  <c r="G112" i="50"/>
  <c r="V164" i="30" l="1"/>
  <c r="V163" i="30"/>
  <c r="AR143" i="30"/>
  <c r="AR141" i="30"/>
  <c r="AS133" i="6"/>
  <c r="AS119" i="30" s="1"/>
  <c r="AS16" i="6"/>
  <c r="AT114" i="6"/>
  <c r="AT125" i="6"/>
  <c r="A179" i="22" a="1"/>
  <c r="A179" i="22" s="1"/>
  <c r="A2" i="22" s="1" a="1"/>
  <c r="A2" i="22" s="1"/>
  <c r="A17" i="14" s="1"/>
  <c r="G38" i="9"/>
  <c r="G39" i="9" s="1"/>
  <c r="G45" i="9" s="1"/>
  <c r="CH10" i="6"/>
  <c r="CE10" i="6"/>
  <c r="CE318" i="26" s="1"/>
  <c r="CF10" i="6"/>
  <c r="CF318" i="26" s="1"/>
  <c r="X14" i="13"/>
  <c r="X93" i="35" s="1"/>
  <c r="E39" i="28"/>
  <c r="CI455" i="9"/>
  <c r="CI346" i="9"/>
  <c r="CY342" i="9" a="1"/>
  <c r="CY342" i="9" s="1"/>
  <c r="Y14" i="13"/>
  <c r="Y93" i="35" s="1"/>
  <c r="Y31" i="12"/>
  <c r="CW31" i="12" s="1"/>
  <c r="E43" i="28"/>
  <c r="CD10" i="6"/>
  <c r="CD318" i="26" s="1"/>
  <c r="A22" i="37" a="1"/>
  <c r="A22" i="37" s="1"/>
  <c r="A2" i="37" s="1" a="1"/>
  <c r="A2" i="37" s="1"/>
  <c r="A14" i="14" s="1"/>
  <c r="CI532" i="9"/>
  <c r="CI69" i="9"/>
  <c r="CI601" i="9" s="1"/>
  <c r="CY66" i="9" a="1"/>
  <c r="CY66" i="9" s="1"/>
  <c r="CI440" i="9"/>
  <c r="CI61" i="9"/>
  <c r="CY57" i="9" a="1"/>
  <c r="CY57" i="9" s="1"/>
  <c r="CI545" i="9"/>
  <c r="CI316" i="9"/>
  <c r="CI614" i="9" s="1"/>
  <c r="CY313" i="9" a="1"/>
  <c r="CY313" i="9" s="1"/>
  <c r="CI444" i="9"/>
  <c r="CI137" i="9"/>
  <c r="CY133" i="9" a="1"/>
  <c r="CY133" i="9" s="1"/>
  <c r="CI537" i="9"/>
  <c r="CI164" i="9"/>
  <c r="CI606" i="9" s="1"/>
  <c r="CY161" i="9" a="1"/>
  <c r="CY161" i="9" s="1"/>
  <c r="CI430" i="9"/>
  <c r="CI620" i="9" s="1"/>
  <c r="CI551" i="9"/>
  <c r="CY427" i="9" a="1"/>
  <c r="CY427" i="9" s="1"/>
  <c r="CI445" i="9"/>
  <c r="CI156" i="9"/>
  <c r="CY152" i="9" a="1"/>
  <c r="CY152" i="9" s="1"/>
  <c r="CI540" i="9"/>
  <c r="CI221" i="9"/>
  <c r="CI609" i="9" s="1"/>
  <c r="CY218" i="9" a="1"/>
  <c r="CY218" i="9" s="1"/>
  <c r="CI446" i="9"/>
  <c r="CI175" i="9"/>
  <c r="CY171" i="9" a="1"/>
  <c r="CY171" i="9" s="1"/>
  <c r="CI456" i="9"/>
  <c r="CI365" i="9"/>
  <c r="CY361" i="9" a="1"/>
  <c r="CY361" i="9" s="1"/>
  <c r="CI447" i="9"/>
  <c r="CI194" i="9"/>
  <c r="CY190" i="9" a="1"/>
  <c r="CY190" i="9" s="1"/>
  <c r="CI449" i="9"/>
  <c r="CI232" i="9"/>
  <c r="CY228" i="9" a="1"/>
  <c r="CY228" i="9" s="1"/>
  <c r="CI443" i="9"/>
  <c r="CI118" i="9"/>
  <c r="CY114" i="9" a="1"/>
  <c r="CY114" i="9" s="1"/>
  <c r="CI546" i="9"/>
  <c r="CI335" i="9"/>
  <c r="CI615" i="9" s="1"/>
  <c r="CY332" i="9" a="1"/>
  <c r="CY332" i="9" s="1"/>
  <c r="CI448" i="9"/>
  <c r="CI213" i="9"/>
  <c r="CY209" i="9" a="1"/>
  <c r="CY209" i="9" s="1"/>
  <c r="CI451" i="9"/>
  <c r="CI270" i="9"/>
  <c r="CY266" i="9" a="1"/>
  <c r="CY266" i="9" s="1"/>
  <c r="CI539" i="9"/>
  <c r="CI202" i="9"/>
  <c r="CI608" i="9" s="1"/>
  <c r="CY199" i="9" a="1"/>
  <c r="CY199" i="9" s="1"/>
  <c r="CI452" i="9"/>
  <c r="CI289" i="9"/>
  <c r="CY285" i="9" a="1"/>
  <c r="CY285" i="9" s="1"/>
  <c r="CI453" i="9"/>
  <c r="CI308" i="9"/>
  <c r="CY304" i="9" a="1"/>
  <c r="CY304" i="9" s="1"/>
  <c r="CI549" i="9"/>
  <c r="CI392" i="9"/>
  <c r="CI618" i="9" s="1"/>
  <c r="CY389" i="9" a="1"/>
  <c r="CY389" i="9" s="1"/>
  <c r="CI542" i="9"/>
  <c r="CI259" i="9"/>
  <c r="CI611" i="9" s="1"/>
  <c r="CY256" i="9" a="1"/>
  <c r="CY256" i="9" s="1"/>
  <c r="CI544" i="9"/>
  <c r="CI297" i="9"/>
  <c r="CI613" i="9" s="1"/>
  <c r="CY294" i="9" a="1"/>
  <c r="CY294" i="9" s="1"/>
  <c r="I39" i="9"/>
  <c r="I45" i="9" s="1"/>
  <c r="K52" i="9" s="1"/>
  <c r="CO52" i="9" s="1"/>
  <c r="CG10" i="6"/>
  <c r="CG318" i="26" s="1"/>
  <c r="CI458" i="9"/>
  <c r="CI403" i="9"/>
  <c r="CY399" i="9" a="1"/>
  <c r="CY399" i="9" s="1"/>
  <c r="CI450" i="9"/>
  <c r="CI251" i="9"/>
  <c r="CY247" i="9" a="1"/>
  <c r="CY247" i="9" s="1"/>
  <c r="CI422" i="9"/>
  <c r="CI459" i="9"/>
  <c r="CY418" i="9" a="1"/>
  <c r="CY418" i="9" s="1"/>
  <c r="X32" i="12"/>
  <c r="CZ31" i="12"/>
  <c r="E40" i="28"/>
  <c r="CI10" i="6"/>
  <c r="CI318" i="26" s="1"/>
  <c r="CI183" i="20"/>
  <c r="CI550" i="9"/>
  <c r="CI411" i="9"/>
  <c r="CI619" i="9" s="1"/>
  <c r="CY408" i="9" a="1"/>
  <c r="CY408" i="9" s="1"/>
  <c r="CI533" i="9"/>
  <c r="CI88" i="9"/>
  <c r="CI602" i="9" s="1"/>
  <c r="CY85" i="9" a="1"/>
  <c r="CY85" i="9" s="1"/>
  <c r="CI535" i="9"/>
  <c r="CI126" i="9"/>
  <c r="CI604" i="9" s="1"/>
  <c r="CY123" i="9" a="1"/>
  <c r="CY123" i="9" s="1"/>
  <c r="CI441" i="9"/>
  <c r="CI80" i="9"/>
  <c r="CY76" i="9" a="1"/>
  <c r="CY76" i="9" s="1"/>
  <c r="CI536" i="9"/>
  <c r="CI145" i="9"/>
  <c r="CI605" i="9" s="1"/>
  <c r="CY142" i="9" a="1"/>
  <c r="CY142" i="9" s="1"/>
  <c r="W32" i="12"/>
  <c r="CY31" i="12"/>
  <c r="E36" i="28"/>
  <c r="H38" i="9"/>
  <c r="H39" i="9" s="1"/>
  <c r="V211" i="30"/>
  <c r="V191" i="30"/>
  <c r="V190" i="30"/>
  <c r="V175" i="30"/>
  <c r="V173" i="30"/>
  <c r="V172" i="30"/>
  <c r="V171" i="30"/>
  <c r="V170" i="30"/>
  <c r="V169" i="30"/>
  <c r="V168" i="30"/>
  <c r="V167" i="30"/>
  <c r="V166" i="30"/>
  <c r="V165" i="30"/>
  <c r="V162" i="30"/>
  <c r="V161" i="30"/>
  <c r="V144" i="1"/>
  <c r="V10" i="6"/>
  <c r="V318" i="26" s="1"/>
  <c r="CI327" i="9"/>
  <c r="CI454" i="9"/>
  <c r="CY323" i="9" a="1"/>
  <c r="CY323" i="9" s="1"/>
  <c r="CI442" i="9"/>
  <c r="CI99" i="9"/>
  <c r="CY95" i="9" a="1"/>
  <c r="CY95" i="9" s="1"/>
  <c r="CI543" i="9"/>
  <c r="CI278" i="9"/>
  <c r="CI612" i="9" s="1"/>
  <c r="CY275" i="9" a="1"/>
  <c r="CY275" i="9" s="1"/>
  <c r="W14" i="13"/>
  <c r="W93" i="35" s="1"/>
  <c r="E35" i="28"/>
  <c r="CI548" i="9"/>
  <c r="CI373" i="9"/>
  <c r="CI617" i="9" s="1"/>
  <c r="CY370" i="9" a="1"/>
  <c r="CY370" i="9" s="1"/>
  <c r="CI541" i="9"/>
  <c r="CI240" i="9"/>
  <c r="CI610" i="9" s="1"/>
  <c r="CY237" i="9" a="1"/>
  <c r="CY237" i="9" s="1"/>
  <c r="CI384" i="9"/>
  <c r="CI457" i="9"/>
  <c r="CY380" i="9" a="1"/>
  <c r="CY380" i="9" s="1"/>
  <c r="CI538" i="9"/>
  <c r="CI183" i="9"/>
  <c r="CI607" i="9" s="1"/>
  <c r="CY180" i="9" a="1"/>
  <c r="CY180" i="9" s="1"/>
  <c r="CI547" i="9"/>
  <c r="CI354" i="9"/>
  <c r="CI616" i="9" s="1"/>
  <c r="CY351" i="9" a="1"/>
  <c r="CY351" i="9" s="1"/>
  <c r="CI534" i="9"/>
  <c r="CI107" i="9"/>
  <c r="CI603" i="9" s="1"/>
  <c r="CY104" i="9" a="1"/>
  <c r="CY104" i="9" s="1"/>
  <c r="AP16" i="48"/>
  <c r="AO16" i="48"/>
  <c r="AM16" i="48"/>
  <c r="AL16" i="48"/>
  <c r="AJ16" i="48"/>
  <c r="AI16" i="48"/>
  <c r="AG16" i="48"/>
  <c r="AF16" i="48"/>
  <c r="Z16" i="48"/>
  <c r="R16" i="48"/>
  <c r="CH16" i="6" l="1"/>
  <c r="CH318" i="26"/>
  <c r="V308" i="26"/>
  <c r="AU109" i="6"/>
  <c r="AT130" i="6"/>
  <c r="AS18" i="6"/>
  <c r="AS20" i="6"/>
  <c r="AS32" i="32"/>
  <c r="AS124" i="30"/>
  <c r="AS139" i="30" s="1"/>
  <c r="CF308" i="26"/>
  <c r="CE231" i="26"/>
  <c r="CH9" i="32"/>
  <c r="CH25" i="32" s="1"/>
  <c r="CH24" i="35" s="1"/>
  <c r="CH52" i="33"/>
  <c r="CE290" i="26"/>
  <c r="CE280" i="26"/>
  <c r="CE308" i="26"/>
  <c r="CH12" i="6"/>
  <c r="CH308" i="26"/>
  <c r="CE9" i="35"/>
  <c r="CE18" i="35" s="1"/>
  <c r="CE19" i="35" s="1"/>
  <c r="CE16" i="6"/>
  <c r="CF16" i="6"/>
  <c r="CE52" i="33"/>
  <c r="CE12" i="6"/>
  <c r="CH280" i="26"/>
  <c r="CH231" i="26"/>
  <c r="CH271" i="26"/>
  <c r="CH9" i="35"/>
  <c r="CH13" i="35" s="1"/>
  <c r="CH245" i="26"/>
  <c r="CH259" i="26"/>
  <c r="CF231" i="26"/>
  <c r="CE9" i="32"/>
  <c r="CE32" i="32" s="1"/>
  <c r="CH9" i="30"/>
  <c r="CH176" i="30" s="1"/>
  <c r="CE245" i="26"/>
  <c r="CE271" i="26"/>
  <c r="CF280" i="26"/>
  <c r="CE9" i="30"/>
  <c r="CE30" i="30" s="1"/>
  <c r="CE259" i="26"/>
  <c r="CH290" i="26"/>
  <c r="CF259" i="26"/>
  <c r="CF271" i="26"/>
  <c r="AA32" i="12"/>
  <c r="CU31" i="12"/>
  <c r="CU2" i="12" s="1" a="1"/>
  <c r="CU2" i="12" s="1"/>
  <c r="CF9" i="32"/>
  <c r="CF25" i="32" s="1"/>
  <c r="CF24" i="35" s="1"/>
  <c r="CF52" i="33"/>
  <c r="CF290" i="26"/>
  <c r="CF12" i="6"/>
  <c r="CF9" i="30"/>
  <c r="CF62" i="30" s="1"/>
  <c r="CF45" i="32" s="1"/>
  <c r="CF245" i="26"/>
  <c r="CF9" i="35"/>
  <c r="CF21" i="35" s="1"/>
  <c r="J50" i="9"/>
  <c r="CN50" i="9" s="1"/>
  <c r="A50" i="9" s="1" a="1"/>
  <c r="A50" i="9" s="1"/>
  <c r="H45" i="9"/>
  <c r="J52" i="9" s="1"/>
  <c r="CN52" i="9" s="1"/>
  <c r="A52" i="9" s="1" a="1"/>
  <c r="A52" i="9" s="1"/>
  <c r="V62" i="33"/>
  <c r="E20" i="50" s="1"/>
  <c r="BX165" i="30"/>
  <c r="CI1001" i="9"/>
  <c r="CI510" i="9"/>
  <c r="CI82" i="9"/>
  <c r="CX82" i="9" s="1"/>
  <c r="A82" i="9" s="1" a="1"/>
  <c r="A82" i="9" s="1"/>
  <c r="CI83" i="9"/>
  <c r="BY83" i="9"/>
  <c r="BX83" i="9"/>
  <c r="BZ83" i="9"/>
  <c r="CA83" i="9"/>
  <c r="CB83" i="9"/>
  <c r="CC83" i="9"/>
  <c r="CD83" i="9"/>
  <c r="CH83" i="9"/>
  <c r="CF83" i="9"/>
  <c r="CG83" i="9"/>
  <c r="CE83" i="9"/>
  <c r="BX170" i="30"/>
  <c r="CY170" i="30" s="1"/>
  <c r="CQ170" i="30" s="1"/>
  <c r="A170" i="30" s="1" a="1"/>
  <c r="A170" i="30" s="1"/>
  <c r="CI1012" i="9"/>
  <c r="CI521" i="9"/>
  <c r="CI291" i="9"/>
  <c r="CX291" i="9" s="1"/>
  <c r="A291" i="9" s="1" a="1"/>
  <c r="A291" i="9" s="1"/>
  <c r="CI292" i="9"/>
  <c r="BY292" i="9"/>
  <c r="BX292" i="9"/>
  <c r="BZ292" i="9"/>
  <c r="CA292" i="9"/>
  <c r="CB292" i="9"/>
  <c r="CC292" i="9"/>
  <c r="CD292" i="9"/>
  <c r="CF292" i="9"/>
  <c r="CH292" i="9"/>
  <c r="CG292" i="9"/>
  <c r="CE292" i="9"/>
  <c r="CI1017" i="9"/>
  <c r="CI526" i="9"/>
  <c r="CI386" i="9"/>
  <c r="CX386" i="9" s="1"/>
  <c r="A386" i="9" s="1" a="1"/>
  <c r="A386" i="9" s="1"/>
  <c r="CI387" i="9"/>
  <c r="BY387" i="9"/>
  <c r="BX387" i="9"/>
  <c r="BZ387" i="9"/>
  <c r="CA387" i="9"/>
  <c r="CB387" i="9"/>
  <c r="CC387" i="9"/>
  <c r="CD387" i="9"/>
  <c r="CH387" i="9"/>
  <c r="CG387" i="9"/>
  <c r="CE387" i="9"/>
  <c r="CF387" i="9"/>
  <c r="CI1014" i="9"/>
  <c r="CI523" i="9"/>
  <c r="CI329" i="9"/>
  <c r="CX329" i="9" s="1"/>
  <c r="A329" i="9" s="1" a="1"/>
  <c r="A329" i="9" s="1"/>
  <c r="CI330" i="9"/>
  <c r="BY330" i="9"/>
  <c r="BX330" i="9"/>
  <c r="BZ330" i="9"/>
  <c r="CA330" i="9"/>
  <c r="CB330" i="9"/>
  <c r="CC330" i="9"/>
  <c r="CD330" i="9"/>
  <c r="CH330" i="9"/>
  <c r="CE330" i="9"/>
  <c r="CF330" i="9"/>
  <c r="CG330" i="9"/>
  <c r="BX166" i="30"/>
  <c r="CY166" i="30" s="1"/>
  <c r="CQ166" i="30" s="1"/>
  <c r="A166" i="30" s="1" a="1"/>
  <c r="A166" i="30" s="1"/>
  <c r="BX175" i="30"/>
  <c r="CY175" i="30" s="1"/>
  <c r="CQ175" i="30" s="1"/>
  <c r="A175" i="30" s="1" a="1"/>
  <c r="A175" i="30" s="1"/>
  <c r="CI1010" i="9"/>
  <c r="CI519" i="9"/>
  <c r="CI253" i="9"/>
  <c r="CX253" i="9" s="1"/>
  <c r="A253" i="9" s="1" a="1"/>
  <c r="A253" i="9" s="1"/>
  <c r="CI254" i="9"/>
  <c r="BY254" i="9"/>
  <c r="BX254" i="9"/>
  <c r="BZ254" i="9"/>
  <c r="CA254" i="9"/>
  <c r="CB254" i="9"/>
  <c r="CC254" i="9"/>
  <c r="CD254" i="9"/>
  <c r="CG254" i="9"/>
  <c r="CH254" i="9"/>
  <c r="CF254" i="9"/>
  <c r="CE254" i="9"/>
  <c r="CD9" i="35"/>
  <c r="CD52" i="33"/>
  <c r="CD9" i="32"/>
  <c r="CD9" i="30"/>
  <c r="CD308" i="26"/>
  <c r="CD271" i="26"/>
  <c r="CD231" i="26"/>
  <c r="CD245" i="26"/>
  <c r="CD259" i="26"/>
  <c r="CD280" i="26"/>
  <c r="CD290" i="26"/>
  <c r="CD12" i="6"/>
  <c r="CD16" i="6"/>
  <c r="BX173" i="30"/>
  <c r="CY173" i="30" s="1"/>
  <c r="CQ173" i="30" s="1"/>
  <c r="A173" i="30" s="1" a="1"/>
  <c r="A173" i="30" s="1"/>
  <c r="V9" i="35"/>
  <c r="V9" i="13"/>
  <c r="V118" i="13" s="1"/>
  <c r="V9" i="36"/>
  <c r="V52" i="33"/>
  <c r="V9" i="12"/>
  <c r="V26" i="12" s="1"/>
  <c r="V9" i="32"/>
  <c r="V9" i="30"/>
  <c r="V176" i="30" s="1"/>
  <c r="E122" i="6"/>
  <c r="CR122" i="6" s="1"/>
  <c r="A122" i="6" s="1" a="1"/>
  <c r="A122" i="6" s="1"/>
  <c r="BX10" i="6"/>
  <c r="BX318" i="26" s="1"/>
  <c r="E242" i="6"/>
  <c r="CR242" i="6" s="1"/>
  <c r="A242" i="6" s="1" a="1"/>
  <c r="A242" i="6" s="1"/>
  <c r="E155" i="6"/>
  <c r="CR155" i="6" s="1"/>
  <c r="A155" i="6" s="1" a="1"/>
  <c r="A155" i="6" s="1"/>
  <c r="E217" i="6"/>
  <c r="CR217" i="6" s="1"/>
  <c r="A217" i="6" s="1" a="1"/>
  <c r="A217" i="6" s="1"/>
  <c r="E226" i="6"/>
  <c r="CR226" i="6" s="1"/>
  <c r="A226" i="6" s="1" a="1"/>
  <c r="A226" i="6" s="1"/>
  <c r="E236" i="6"/>
  <c r="CR236" i="6" s="1"/>
  <c r="A236" i="6" s="1" a="1"/>
  <c r="A236" i="6" s="1"/>
  <c r="E253" i="6"/>
  <c r="CR253" i="6" s="1"/>
  <c r="A253" i="6" s="1" a="1"/>
  <c r="A253" i="6" s="1"/>
  <c r="E70" i="6"/>
  <c r="CR70" i="6" s="1"/>
  <c r="A70" i="6" s="1" a="1"/>
  <c r="A70" i="6" s="1"/>
  <c r="DD432" i="9"/>
  <c r="A432" i="9" s="1" a="1"/>
  <c r="A432" i="9" s="1"/>
  <c r="DD428" i="9"/>
  <c r="A428" i="9" s="1" a="1"/>
  <c r="A428" i="9" s="1"/>
  <c r="DD420" i="9"/>
  <c r="A420" i="9" s="1" a="1"/>
  <c r="A420" i="9" s="1"/>
  <c r="DD413" i="9"/>
  <c r="A413" i="9" s="1" a="1"/>
  <c r="A413" i="9" s="1"/>
  <c r="DD410" i="9"/>
  <c r="A410" i="9" s="1" a="1"/>
  <c r="A410" i="9" s="1"/>
  <c r="DD375" i="9"/>
  <c r="A375" i="9" s="1" a="1"/>
  <c r="A375" i="9" s="1"/>
  <c r="DD343" i="9"/>
  <c r="A343" i="9" s="1" a="1"/>
  <c r="A343" i="9" s="1"/>
  <c r="DD314" i="9"/>
  <c r="A314" i="9" s="1" a="1"/>
  <c r="A314" i="9" s="1"/>
  <c r="DD305" i="9"/>
  <c r="A305" i="9" s="1" a="1"/>
  <c r="A305" i="9" s="1"/>
  <c r="DD295" i="9"/>
  <c r="A295" i="9" s="1" a="1"/>
  <c r="A295" i="9" s="1"/>
  <c r="DD363" i="9"/>
  <c r="A363" i="9" s="1" a="1"/>
  <c r="A363" i="9" s="1"/>
  <c r="DD230" i="9"/>
  <c r="A230" i="9" s="1" a="1"/>
  <c r="A230" i="9" s="1"/>
  <c r="DD333" i="9"/>
  <c r="A333" i="9" s="1" a="1"/>
  <c r="A333" i="9" s="1"/>
  <c r="DD325" i="9"/>
  <c r="A325" i="9" s="1" a="1"/>
  <c r="A325" i="9" s="1"/>
  <c r="DD356" i="9"/>
  <c r="A356" i="9" s="1" a="1"/>
  <c r="A356" i="9" s="1"/>
  <c r="DD280" i="9"/>
  <c r="A280" i="9" s="1" a="1"/>
  <c r="A280" i="9" s="1"/>
  <c r="DD268" i="9"/>
  <c r="A268" i="9" s="1" a="1"/>
  <c r="A268" i="9" s="1"/>
  <c r="DD402" i="9"/>
  <c r="A402" i="9" s="1" a="1"/>
  <c r="A402" i="9" s="1"/>
  <c r="DD391" i="9"/>
  <c r="A391" i="9" s="1" a="1"/>
  <c r="A391" i="9" s="1"/>
  <c r="DD372" i="9"/>
  <c r="A372" i="9" s="1" a="1"/>
  <c r="A372" i="9" s="1"/>
  <c r="DD345" i="9"/>
  <c r="A345" i="9" s="1" a="1"/>
  <c r="A345" i="9" s="1"/>
  <c r="DD307" i="9"/>
  <c r="A307" i="9" s="1" a="1"/>
  <c r="A307" i="9" s="1"/>
  <c r="DD220" i="9"/>
  <c r="A220" i="9" s="1" a="1"/>
  <c r="A220" i="9" s="1"/>
  <c r="DD200" i="9"/>
  <c r="A200" i="9" s="1" a="1"/>
  <c r="A200" i="9" s="1"/>
  <c r="DD390" i="9"/>
  <c r="A390" i="9" s="1" a="1"/>
  <c r="A390" i="9" s="1"/>
  <c r="DD382" i="9"/>
  <c r="A382" i="9" s="1" a="1"/>
  <c r="A382" i="9" s="1"/>
  <c r="DD353" i="9"/>
  <c r="A353" i="9" s="1" a="1"/>
  <c r="A353" i="9" s="1"/>
  <c r="DD258" i="9"/>
  <c r="A258" i="9" s="1" a="1"/>
  <c r="A258" i="9" s="1"/>
  <c r="DD223" i="9"/>
  <c r="A223" i="9" s="1" a="1"/>
  <c r="A223" i="9" s="1"/>
  <c r="DD212" i="9"/>
  <c r="A212" i="9" s="1" a="1"/>
  <c r="A212" i="9" s="1"/>
  <c r="DD193" i="9"/>
  <c r="A193" i="9" s="1" a="1"/>
  <c r="A193" i="9" s="1"/>
  <c r="DD191" i="9"/>
  <c r="A191" i="9" s="1" a="1"/>
  <c r="A191" i="9" s="1"/>
  <c r="DD181" i="9"/>
  <c r="A181" i="9" s="1" a="1"/>
  <c r="A181" i="9" s="1"/>
  <c r="DD400" i="9"/>
  <c r="A400" i="9" s="1" a="1"/>
  <c r="A400" i="9" s="1"/>
  <c r="DD128" i="9"/>
  <c r="A128" i="9" s="1" a="1"/>
  <c r="A128" i="9" s="1"/>
  <c r="DD155" i="9"/>
  <c r="A155" i="9" s="1" a="1"/>
  <c r="A155" i="9" s="1"/>
  <c r="DD106" i="9"/>
  <c r="A106" i="9" s="1" a="1"/>
  <c r="A106" i="9" s="1"/>
  <c r="DD211" i="9"/>
  <c r="A211" i="9" s="1" a="1"/>
  <c r="A211" i="9" s="1"/>
  <c r="DD163" i="9"/>
  <c r="A163" i="9" s="1" a="1"/>
  <c r="A163" i="9" s="1"/>
  <c r="DD143" i="9"/>
  <c r="A143" i="9" s="1" a="1"/>
  <c r="A143" i="9" s="1"/>
  <c r="DD59" i="9"/>
  <c r="A59" i="9" s="1" a="1"/>
  <c r="A59" i="9" s="1"/>
  <c r="DD324" i="9"/>
  <c r="A324" i="9" s="1" a="1"/>
  <c r="A324" i="9" s="1"/>
  <c r="DD173" i="9"/>
  <c r="A173" i="9" s="1" a="1"/>
  <c r="A173" i="9" s="1"/>
  <c r="DD125" i="9"/>
  <c r="A125" i="9" s="1" a="1"/>
  <c r="A125" i="9" s="1"/>
  <c r="DD86" i="9"/>
  <c r="A86" i="9" s="1" a="1"/>
  <c r="A86" i="9" s="1"/>
  <c r="DD135" i="9"/>
  <c r="A135" i="9" s="1" a="1"/>
  <c r="A135" i="9" s="1"/>
  <c r="DD109" i="9"/>
  <c r="A109" i="9" s="1" a="1"/>
  <c r="A109" i="9" s="1"/>
  <c r="DD98" i="9"/>
  <c r="A98" i="9" s="1" a="1"/>
  <c r="A98" i="9" s="1"/>
  <c r="DD96" i="9"/>
  <c r="A96" i="9" s="1" a="1"/>
  <c r="A96" i="9" s="1"/>
  <c r="DD68" i="9"/>
  <c r="A68" i="9" s="1" a="1"/>
  <c r="A68" i="9" s="1"/>
  <c r="DD257" i="9"/>
  <c r="A257" i="9" s="1" a="1"/>
  <c r="A257" i="9" s="1"/>
  <c r="DD116" i="9"/>
  <c r="A116" i="9" s="1" a="1"/>
  <c r="A116" i="9" s="1"/>
  <c r="DD77" i="9"/>
  <c r="A77" i="9" s="1" a="1"/>
  <c r="A77" i="9" s="1"/>
  <c r="DD261" i="9"/>
  <c r="A261" i="9" s="1" a="1"/>
  <c r="A261" i="9" s="1"/>
  <c r="DD166" i="9"/>
  <c r="A166" i="9" s="1" a="1"/>
  <c r="A166" i="9" s="1"/>
  <c r="DD71" i="9"/>
  <c r="A71" i="9" s="1" a="1"/>
  <c r="A71" i="9" s="1"/>
  <c r="DD67" i="9"/>
  <c r="A67" i="9" s="1" a="1"/>
  <c r="A67" i="9" s="1"/>
  <c r="DD78" i="9"/>
  <c r="A78" i="9" s="1" a="1"/>
  <c r="A78" i="9" s="1"/>
  <c r="DD249" i="9"/>
  <c r="A249" i="9" s="1" a="1"/>
  <c r="A249" i="9" s="1"/>
  <c r="DD172" i="9"/>
  <c r="A172" i="9" s="1" a="1"/>
  <c r="A172" i="9" s="1"/>
  <c r="DD105" i="9"/>
  <c r="A105" i="9" s="1" a="1"/>
  <c r="A105" i="9" s="1"/>
  <c r="DD267" i="9"/>
  <c r="A267" i="9" s="1" a="1"/>
  <c r="A267" i="9" s="1"/>
  <c r="DD299" i="9"/>
  <c r="A299" i="9" s="1" a="1"/>
  <c r="A299" i="9" s="1"/>
  <c r="DD204" i="9"/>
  <c r="A204" i="9" s="1" a="1"/>
  <c r="A204" i="9" s="1"/>
  <c r="DD371" i="9"/>
  <c r="A371" i="9" s="1" a="1"/>
  <c r="A371" i="9" s="1"/>
  <c r="DD210" i="9"/>
  <c r="A210" i="9" s="1" a="1"/>
  <c r="A210" i="9" s="1"/>
  <c r="DD383" i="9"/>
  <c r="A383" i="9" s="1" a="1"/>
  <c r="A383" i="9" s="1"/>
  <c r="DD115" i="9"/>
  <c r="A115" i="9" s="1" a="1"/>
  <c r="A115" i="9" s="1"/>
  <c r="DD269" i="9"/>
  <c r="A269" i="9" s="1" a="1"/>
  <c r="A269" i="9" s="1"/>
  <c r="DD58" i="9"/>
  <c r="A58" i="9" s="1" a="1"/>
  <c r="A58" i="9" s="1"/>
  <c r="DD381" i="9"/>
  <c r="A381" i="9" s="1" a="1"/>
  <c r="A381" i="9" s="1"/>
  <c r="DD296" i="9"/>
  <c r="A296" i="9" s="1" a="1"/>
  <c r="A296" i="9" s="1"/>
  <c r="DD315" i="9"/>
  <c r="A315" i="9" s="1" a="1"/>
  <c r="A315" i="9" s="1"/>
  <c r="DD419" i="9"/>
  <c r="A419" i="9" s="1" a="1"/>
  <c r="A419" i="9" s="1"/>
  <c r="DD97" i="9"/>
  <c r="A97" i="9" s="1" a="1"/>
  <c r="A97" i="9" s="1"/>
  <c r="DD144" i="9"/>
  <c r="A144" i="9" s="1" a="1"/>
  <c r="A144" i="9" s="1"/>
  <c r="DD288" i="9"/>
  <c r="A288" i="9" s="1" a="1"/>
  <c r="A288" i="9" s="1"/>
  <c r="DD238" i="9"/>
  <c r="A238" i="9" s="1" a="1"/>
  <c r="A238" i="9" s="1"/>
  <c r="DD248" i="9"/>
  <c r="A248" i="9" s="1" a="1"/>
  <c r="A248" i="9" s="1"/>
  <c r="DD60" i="9"/>
  <c r="A60" i="9" s="1" a="1"/>
  <c r="A60" i="9" s="1"/>
  <c r="DD154" i="9"/>
  <c r="A154" i="9" s="1" a="1"/>
  <c r="A154" i="9" s="1"/>
  <c r="DD87" i="9"/>
  <c r="A87" i="9" s="1" a="1"/>
  <c r="A87" i="9" s="1"/>
  <c r="DD153" i="9"/>
  <c r="A153" i="9" s="1" a="1"/>
  <c r="A153" i="9" s="1"/>
  <c r="DD362" i="9"/>
  <c r="A362" i="9" s="1" a="1"/>
  <c r="A362" i="9" s="1"/>
  <c r="DD182" i="9"/>
  <c r="A182" i="9" s="1" a="1"/>
  <c r="A182" i="9" s="1"/>
  <c r="DD429" i="9"/>
  <c r="A429" i="9" s="1" a="1"/>
  <c r="A429" i="9" s="1"/>
  <c r="DD318" i="9"/>
  <c r="A318" i="9" s="1" a="1"/>
  <c r="A318" i="9" s="1"/>
  <c r="DD147" i="9"/>
  <c r="A147" i="9" s="1" a="1"/>
  <c r="A147" i="9" s="1"/>
  <c r="DD229" i="9"/>
  <c r="A229" i="9" s="1" a="1"/>
  <c r="A229" i="9" s="1"/>
  <c r="DD364" i="9"/>
  <c r="A364" i="9" s="1" a="1"/>
  <c r="A364" i="9" s="1"/>
  <c r="DD276" i="9"/>
  <c r="A276" i="9" s="1" a="1"/>
  <c r="A276" i="9" s="1"/>
  <c r="DD401" i="9"/>
  <c r="A401" i="9" s="1" a="1"/>
  <c r="A401" i="9" s="1"/>
  <c r="DD231" i="9"/>
  <c r="A231" i="9" s="1" a="1"/>
  <c r="A231" i="9" s="1"/>
  <c r="DD286" i="9"/>
  <c r="A286" i="9" s="1" a="1"/>
  <c r="A286" i="9" s="1"/>
  <c r="DD337" i="9"/>
  <c r="A337" i="9" s="1" a="1"/>
  <c r="A337" i="9" s="1"/>
  <c r="DD185" i="9"/>
  <c r="A185" i="9" s="1" a="1"/>
  <c r="A185" i="9" s="1"/>
  <c r="DD306" i="9"/>
  <c r="A306" i="9" s="1" a="1"/>
  <c r="A306" i="9" s="1"/>
  <c r="DD201" i="9"/>
  <c r="A201" i="9" s="1" a="1"/>
  <c r="A201" i="9" s="1"/>
  <c r="DD287" i="9"/>
  <c r="A287" i="9" s="1" a="1"/>
  <c r="A287" i="9" s="1"/>
  <c r="DD134" i="9"/>
  <c r="A134" i="9" s="1" a="1"/>
  <c r="A134" i="9" s="1"/>
  <c r="DD326" i="9"/>
  <c r="A326" i="9" s="1" a="1"/>
  <c r="A326" i="9" s="1"/>
  <c r="DD124" i="9"/>
  <c r="A124" i="9" s="1" a="1"/>
  <c r="A124" i="9" s="1"/>
  <c r="DD162" i="9"/>
  <c r="A162" i="9" s="1" a="1"/>
  <c r="A162" i="9" s="1"/>
  <c r="DD90" i="9"/>
  <c r="A90" i="9" s="1" a="1"/>
  <c r="A90" i="9" s="1"/>
  <c r="DD136" i="9"/>
  <c r="A136" i="9" s="1" a="1"/>
  <c r="A136" i="9" s="1"/>
  <c r="DD250" i="9"/>
  <c r="A250" i="9" s="1" a="1"/>
  <c r="A250" i="9" s="1"/>
  <c r="DD334" i="9"/>
  <c r="A334" i="9" s="1" a="1"/>
  <c r="A334" i="9" s="1"/>
  <c r="DD421" i="9"/>
  <c r="A421" i="9" s="1" a="1"/>
  <c r="A421" i="9" s="1"/>
  <c r="DD242" i="9"/>
  <c r="A242" i="9" s="1" a="1"/>
  <c r="A242" i="9" s="1"/>
  <c r="DD219" i="9"/>
  <c r="A219" i="9" s="1" a="1"/>
  <c r="A219" i="9" s="1"/>
  <c r="DD192" i="9"/>
  <c r="A192" i="9" s="1" a="1"/>
  <c r="A192" i="9" s="1"/>
  <c r="DD239" i="9"/>
  <c r="A239" i="9" s="1" a="1"/>
  <c r="A239" i="9" s="1"/>
  <c r="DD344" i="9"/>
  <c r="A344" i="9" s="1" a="1"/>
  <c r="A344" i="9" s="1"/>
  <c r="DD79" i="9"/>
  <c r="A79" i="9" s="1" a="1"/>
  <c r="A79" i="9" s="1"/>
  <c r="DD174" i="9"/>
  <c r="A174" i="9" s="1" a="1"/>
  <c r="A174" i="9" s="1"/>
  <c r="DD117" i="9"/>
  <c r="A117" i="9" s="1" a="1"/>
  <c r="A117" i="9" s="1"/>
  <c r="DD352" i="9"/>
  <c r="A352" i="9" s="1" a="1"/>
  <c r="A352" i="9" s="1"/>
  <c r="DD277" i="9"/>
  <c r="A277" i="9" s="1" a="1"/>
  <c r="A277" i="9" s="1"/>
  <c r="DD394" i="9"/>
  <c r="A394" i="9" s="1" a="1"/>
  <c r="A394" i="9" s="1"/>
  <c r="DD409" i="9"/>
  <c r="A409" i="9" s="1" a="1"/>
  <c r="A409" i="9" s="1"/>
  <c r="V245" i="26"/>
  <c r="V271" i="26"/>
  <c r="V259" i="26"/>
  <c r="V290" i="26"/>
  <c r="V231" i="26"/>
  <c r="V280" i="26"/>
  <c r="V16" i="6"/>
  <c r="V12" i="6"/>
  <c r="V14" i="6"/>
  <c r="E248" i="6"/>
  <c r="CR248" i="6" s="1"/>
  <c r="A248" i="6" s="1" a="1"/>
  <c r="A248" i="6" s="1"/>
  <c r="CR130" i="6"/>
  <c r="A130" i="6" s="1" a="1"/>
  <c r="A130" i="6" s="1"/>
  <c r="V42" i="6"/>
  <c r="V63" i="33"/>
  <c r="E21" i="50" s="1"/>
  <c r="BX167" i="30"/>
  <c r="CY167" i="30" s="1"/>
  <c r="CQ167" i="30" s="1"/>
  <c r="A167" i="30" s="1" a="1"/>
  <c r="A167" i="30" s="1"/>
  <c r="BX190" i="30"/>
  <c r="V73" i="33"/>
  <c r="E27" i="50" s="1"/>
  <c r="CI1013" i="9"/>
  <c r="CI522" i="9"/>
  <c r="CI310" i="9"/>
  <c r="CX310" i="9" s="1"/>
  <c r="A310" i="9" s="1" a="1"/>
  <c r="A310" i="9" s="1"/>
  <c r="CI311" i="9"/>
  <c r="BY311" i="9"/>
  <c r="BX311" i="9"/>
  <c r="BZ311" i="9"/>
  <c r="CA311" i="9"/>
  <c r="CB311" i="9"/>
  <c r="CC311" i="9"/>
  <c r="CD311" i="9"/>
  <c r="CF311" i="9"/>
  <c r="CH311" i="9"/>
  <c r="CG311" i="9"/>
  <c r="CE311" i="9"/>
  <c r="CI1007" i="9"/>
  <c r="CI516" i="9"/>
  <c r="CI196" i="9"/>
  <c r="CX196" i="9" s="1"/>
  <c r="A196" i="9" s="1" a="1"/>
  <c r="A196" i="9" s="1"/>
  <c r="CI197" i="9"/>
  <c r="BY197" i="9"/>
  <c r="BX197" i="9"/>
  <c r="BZ197" i="9"/>
  <c r="CA197" i="9"/>
  <c r="CB197" i="9"/>
  <c r="CC197" i="9"/>
  <c r="CD197" i="9"/>
  <c r="CG197" i="9"/>
  <c r="CE197" i="9"/>
  <c r="CF197" i="9"/>
  <c r="CH197" i="9"/>
  <c r="V144" i="20"/>
  <c r="V178" i="1"/>
  <c r="BX144" i="1"/>
  <c r="CZ144" i="1" s="1"/>
  <c r="CR144" i="1" s="1"/>
  <c r="A144" i="1" s="1" a="1"/>
  <c r="A144" i="1" s="1"/>
  <c r="V146" i="1"/>
  <c r="BX168" i="30"/>
  <c r="CY168" i="30" s="1"/>
  <c r="CQ168" i="30" s="1"/>
  <c r="A168" i="30" s="1" a="1"/>
  <c r="A168" i="30" s="1"/>
  <c r="V74" i="33"/>
  <c r="E28" i="50" s="1"/>
  <c r="BX191" i="30"/>
  <c r="BX74" i="33" s="1"/>
  <c r="CI1011" i="9"/>
  <c r="CI520" i="9"/>
  <c r="CI272" i="9"/>
  <c r="CX272" i="9" s="1"/>
  <c r="A272" i="9" s="1" a="1"/>
  <c r="A272" i="9" s="1"/>
  <c r="CI273" i="9"/>
  <c r="BY273" i="9"/>
  <c r="BX273" i="9"/>
  <c r="BZ273" i="9"/>
  <c r="CA273" i="9"/>
  <c r="CB273" i="9"/>
  <c r="CC273" i="9"/>
  <c r="CD273" i="9"/>
  <c r="CG273" i="9"/>
  <c r="CH273" i="9"/>
  <c r="CF273" i="9"/>
  <c r="CE273" i="9"/>
  <c r="CI1016" i="9"/>
  <c r="CI525" i="9"/>
  <c r="CI367" i="9"/>
  <c r="CX367" i="9" s="1"/>
  <c r="A367" i="9" s="1" a="1"/>
  <c r="A367" i="9" s="1"/>
  <c r="CI368" i="9"/>
  <c r="BX368" i="9"/>
  <c r="BY368" i="9"/>
  <c r="BZ368" i="9"/>
  <c r="CA368" i="9"/>
  <c r="CB368" i="9"/>
  <c r="CC368" i="9"/>
  <c r="CD368" i="9"/>
  <c r="CF368" i="9"/>
  <c r="CE368" i="9"/>
  <c r="CG368" i="9"/>
  <c r="CH368" i="9"/>
  <c r="CI1000" i="9"/>
  <c r="CI509" i="9"/>
  <c r="CI63" i="9"/>
  <c r="CX63" i="9" s="1"/>
  <c r="A63" i="9" s="1" a="1"/>
  <c r="A63" i="9" s="1"/>
  <c r="CI64" i="9"/>
  <c r="BY64" i="9"/>
  <c r="BX64" i="9"/>
  <c r="BZ64" i="9"/>
  <c r="CA64" i="9"/>
  <c r="CB64" i="9"/>
  <c r="CC64" i="9"/>
  <c r="CD64" i="9"/>
  <c r="CE64" i="9"/>
  <c r="CF64" i="9"/>
  <c r="CG64" i="9"/>
  <c r="CH64" i="9"/>
  <c r="DA31" i="12"/>
  <c r="E44" i="28"/>
  <c r="Y32" i="12"/>
  <c r="A33" i="12" s="1"/>
  <c r="AA33" i="12" s="1"/>
  <c r="V61" i="33"/>
  <c r="E19" i="50" s="1"/>
  <c r="BX161" i="30"/>
  <c r="CY161" i="30" s="1"/>
  <c r="CQ161" i="30" s="1"/>
  <c r="A161" i="30" s="1" a="1"/>
  <c r="A161" i="30" s="1"/>
  <c r="BX169" i="30"/>
  <c r="CY169" i="30" s="1"/>
  <c r="CQ169" i="30" s="1"/>
  <c r="A169" i="30" s="1" a="1"/>
  <c r="A169" i="30" s="1"/>
  <c r="V117" i="13"/>
  <c r="BX211" i="30"/>
  <c r="CI9" i="35"/>
  <c r="CI52" i="33"/>
  <c r="CI9" i="32"/>
  <c r="CI9" i="30"/>
  <c r="CI308" i="26"/>
  <c r="CI245" i="26"/>
  <c r="CI290" i="26"/>
  <c r="CI259" i="26"/>
  <c r="CI280" i="26"/>
  <c r="CI231" i="26"/>
  <c r="CI271" i="26"/>
  <c r="CI12" i="6"/>
  <c r="CI16" i="6"/>
  <c r="CI1018" i="9"/>
  <c r="CI527" i="9"/>
  <c r="CI405" i="9"/>
  <c r="CX405" i="9" s="1"/>
  <c r="A405" i="9" s="1" a="1"/>
  <c r="A405" i="9" s="1"/>
  <c r="CI406" i="9"/>
  <c r="BX406" i="9"/>
  <c r="BY406" i="9"/>
  <c r="BZ406" i="9"/>
  <c r="CA406" i="9"/>
  <c r="CB406" i="9"/>
  <c r="CC406" i="9"/>
  <c r="CD406" i="9"/>
  <c r="CE406" i="9"/>
  <c r="CH406" i="9"/>
  <c r="CG406" i="9"/>
  <c r="CF406" i="9"/>
  <c r="CI1003" i="9"/>
  <c r="CI512" i="9"/>
  <c r="CI120" i="9"/>
  <c r="CX120" i="9" s="1"/>
  <c r="A120" i="9" s="1" a="1"/>
  <c r="A120" i="9" s="1"/>
  <c r="CI121" i="9"/>
  <c r="BY121" i="9"/>
  <c r="BX121" i="9"/>
  <c r="BZ121" i="9"/>
  <c r="CA121" i="9"/>
  <c r="CB121" i="9"/>
  <c r="CC121" i="9"/>
  <c r="CD121" i="9"/>
  <c r="CG121" i="9"/>
  <c r="CH121" i="9"/>
  <c r="CE121" i="9"/>
  <c r="CF121" i="9"/>
  <c r="CI1005" i="9"/>
  <c r="CI514" i="9"/>
  <c r="CI158" i="9"/>
  <c r="CX158" i="9" s="1"/>
  <c r="A158" i="9" s="1" a="1"/>
  <c r="A158" i="9" s="1"/>
  <c r="CI159" i="9"/>
  <c r="BX159" i="9"/>
  <c r="BY159" i="9"/>
  <c r="BZ159" i="9"/>
  <c r="CA159" i="9"/>
  <c r="CB159" i="9"/>
  <c r="CC159" i="9"/>
  <c r="CD159" i="9"/>
  <c r="CF159" i="9"/>
  <c r="CG159" i="9"/>
  <c r="CE159" i="9"/>
  <c r="CH159" i="9"/>
  <c r="CI1004" i="9"/>
  <c r="CI513" i="9"/>
  <c r="CI139" i="9"/>
  <c r="CX139" i="9" s="1"/>
  <c r="A139" i="9" s="1" a="1"/>
  <c r="A139" i="9" s="1"/>
  <c r="CI140" i="9"/>
  <c r="BX140" i="9"/>
  <c r="BY140" i="9"/>
  <c r="BZ140" i="9"/>
  <c r="CA140" i="9"/>
  <c r="CB140" i="9"/>
  <c r="CC140" i="9"/>
  <c r="CD140" i="9"/>
  <c r="CG140" i="9"/>
  <c r="CE140" i="9"/>
  <c r="CF140" i="9"/>
  <c r="CH140" i="9"/>
  <c r="CI1002" i="9"/>
  <c r="CI511" i="9"/>
  <c r="CI101" i="9"/>
  <c r="CX101" i="9" s="1"/>
  <c r="A101" i="9" s="1" a="1"/>
  <c r="A101" i="9" s="1"/>
  <c r="CI102" i="9"/>
  <c r="BY102" i="9"/>
  <c r="BX102" i="9"/>
  <c r="BZ102" i="9"/>
  <c r="CA102" i="9"/>
  <c r="CB102" i="9"/>
  <c r="CC102" i="9"/>
  <c r="CD102" i="9"/>
  <c r="CH102" i="9"/>
  <c r="CG102" i="9"/>
  <c r="CE102" i="9"/>
  <c r="CF102" i="9"/>
  <c r="BX163" i="30"/>
  <c r="CY163" i="30" s="1"/>
  <c r="CQ163" i="30" s="1"/>
  <c r="A163" i="30" s="1" a="1"/>
  <c r="A163" i="30" s="1"/>
  <c r="CI1008" i="9"/>
  <c r="CI215" i="9"/>
  <c r="CX215" i="9" s="1"/>
  <c r="A215" i="9" s="1" a="1"/>
  <c r="A215" i="9" s="1"/>
  <c r="CI517" i="9"/>
  <c r="CI216" i="9"/>
  <c r="BY216" i="9"/>
  <c r="BX216" i="9"/>
  <c r="BZ216" i="9"/>
  <c r="CA216" i="9"/>
  <c r="CB216" i="9"/>
  <c r="CC216" i="9"/>
  <c r="CD216" i="9"/>
  <c r="CG216" i="9"/>
  <c r="CH216" i="9"/>
  <c r="CF216" i="9"/>
  <c r="CE216" i="9"/>
  <c r="CI1006" i="9"/>
  <c r="CI515" i="9"/>
  <c r="CI177" i="9"/>
  <c r="CX177" i="9" s="1"/>
  <c r="A177" i="9" s="1" a="1"/>
  <c r="A177" i="9" s="1"/>
  <c r="CI178" i="9"/>
  <c r="BX178" i="9"/>
  <c r="BY178" i="9"/>
  <c r="BZ178" i="9"/>
  <c r="CA178" i="9"/>
  <c r="CB178" i="9"/>
  <c r="CC178" i="9"/>
  <c r="CD178" i="9"/>
  <c r="CG178" i="9"/>
  <c r="CF178" i="9"/>
  <c r="CE178" i="9"/>
  <c r="CH178" i="9"/>
  <c r="CI1015" i="9"/>
  <c r="CI524" i="9"/>
  <c r="CI348" i="9"/>
  <c r="CX348" i="9" s="1"/>
  <c r="A348" i="9" s="1" a="1"/>
  <c r="A348" i="9" s="1"/>
  <c r="CI349" i="9"/>
  <c r="BY349" i="9"/>
  <c r="BX349" i="9"/>
  <c r="BZ349" i="9"/>
  <c r="CA349" i="9"/>
  <c r="CB349" i="9"/>
  <c r="CC349" i="9"/>
  <c r="CD349" i="9"/>
  <c r="CH349" i="9"/>
  <c r="CF349" i="9"/>
  <c r="CE349" i="9"/>
  <c r="CG349" i="9"/>
  <c r="BX162" i="30"/>
  <c r="CY162" i="30"/>
  <c r="CQ162" i="30" s="1"/>
  <c r="A162" i="30" s="1" a="1"/>
  <c r="A162" i="30" s="1"/>
  <c r="BX171" i="30"/>
  <c r="CY171" i="30" s="1"/>
  <c r="CQ171" i="30" s="1"/>
  <c r="A171" i="30" s="1" a="1"/>
  <c r="A171" i="30" s="1"/>
  <c r="CG9" i="35"/>
  <c r="CG52" i="33"/>
  <c r="CG9" i="32"/>
  <c r="CG9" i="30"/>
  <c r="CG308" i="26"/>
  <c r="CG280" i="26"/>
  <c r="CG245" i="26"/>
  <c r="CG231" i="26"/>
  <c r="CG290" i="26"/>
  <c r="CG259" i="26"/>
  <c r="CG271" i="26"/>
  <c r="CG12" i="6"/>
  <c r="CG16" i="6"/>
  <c r="BX164" i="30"/>
  <c r="CY164" i="30" s="1"/>
  <c r="CQ164" i="30" s="1"/>
  <c r="A164" i="30" s="1" a="1"/>
  <c r="A164" i="30" s="1"/>
  <c r="BX172" i="30"/>
  <c r="CY172" i="30" s="1"/>
  <c r="CQ172" i="30" s="1"/>
  <c r="A172" i="30" s="1" a="1"/>
  <c r="A172" i="30" s="1"/>
  <c r="CH15" i="32"/>
  <c r="CH62" i="32" s="1"/>
  <c r="CH18" i="32"/>
  <c r="CH32" i="32"/>
  <c r="CI1019" i="9"/>
  <c r="CI528" i="9"/>
  <c r="CI424" i="9"/>
  <c r="CX424" i="9" s="1"/>
  <c r="A424" i="9" s="1" a="1"/>
  <c r="A424" i="9" s="1"/>
  <c r="CI425" i="9"/>
  <c r="BX425" i="9"/>
  <c r="BY425" i="9"/>
  <c r="BZ425" i="9"/>
  <c r="CA425" i="9"/>
  <c r="CB425" i="9"/>
  <c r="CC425" i="9"/>
  <c r="CD425" i="9"/>
  <c r="CE425" i="9"/>
  <c r="CH425" i="9"/>
  <c r="CG425" i="9"/>
  <c r="CF425" i="9"/>
  <c r="CI1009" i="9"/>
  <c r="CI518" i="9"/>
  <c r="CI234" i="9"/>
  <c r="CX234" i="9" s="1"/>
  <c r="A234" i="9" s="1" a="1"/>
  <c r="A234" i="9" s="1"/>
  <c r="CI235" i="9"/>
  <c r="BY235" i="9"/>
  <c r="BX235" i="9"/>
  <c r="BZ235" i="9"/>
  <c r="CA235" i="9"/>
  <c r="CB235" i="9"/>
  <c r="CC235" i="9"/>
  <c r="CD235" i="9"/>
  <c r="CE235" i="9"/>
  <c r="CH235" i="9"/>
  <c r="CG235" i="9"/>
  <c r="CF235" i="9"/>
  <c r="AA34" i="49"/>
  <c r="Z34" i="49"/>
  <c r="X34" i="49"/>
  <c r="W34" i="49"/>
  <c r="U34" i="49"/>
  <c r="T34" i="49"/>
  <c r="R34" i="49"/>
  <c r="Q34" i="49"/>
  <c r="AA33" i="49"/>
  <c r="Z33" i="49"/>
  <c r="X33" i="49"/>
  <c r="W33" i="49"/>
  <c r="U33" i="49"/>
  <c r="T33" i="49"/>
  <c r="R33" i="49"/>
  <c r="Q33" i="49"/>
  <c r="AA27" i="49"/>
  <c r="Z27" i="49"/>
  <c r="X27" i="49"/>
  <c r="W27" i="49"/>
  <c r="U27" i="49"/>
  <c r="T27" i="49"/>
  <c r="R27" i="49"/>
  <c r="Q27" i="49"/>
  <c r="AA26" i="49"/>
  <c r="Z26" i="49"/>
  <c r="X26" i="49"/>
  <c r="W26" i="49"/>
  <c r="U26" i="49"/>
  <c r="T26" i="49"/>
  <c r="R26" i="49"/>
  <c r="Q26" i="49"/>
  <c r="K24" i="49"/>
  <c r="AA23" i="49"/>
  <c r="Z23" i="49"/>
  <c r="X23" i="49"/>
  <c r="W23" i="49"/>
  <c r="U23" i="49"/>
  <c r="T23" i="49"/>
  <c r="R23" i="49"/>
  <c r="Q23" i="49"/>
  <c r="AA22" i="49"/>
  <c r="Z22" i="49"/>
  <c r="X22" i="49"/>
  <c r="W22" i="49"/>
  <c r="U22" i="49"/>
  <c r="T22" i="49"/>
  <c r="R22" i="49"/>
  <c r="Q22" i="49"/>
  <c r="AA21" i="49"/>
  <c r="Z21" i="49"/>
  <c r="Z24" i="49" s="1"/>
  <c r="X21" i="49"/>
  <c r="W21" i="49"/>
  <c r="U21" i="49"/>
  <c r="T21" i="49"/>
  <c r="R21" i="49"/>
  <c r="R24" i="49" s="1"/>
  <c r="Q21" i="49"/>
  <c r="Q24" i="49" s="1"/>
  <c r="AA17" i="49"/>
  <c r="Z17" i="49"/>
  <c r="X17" i="49"/>
  <c r="W17" i="49"/>
  <c r="U17" i="49"/>
  <c r="T17" i="49"/>
  <c r="R17" i="49"/>
  <c r="Q17" i="49"/>
  <c r="AA16" i="49"/>
  <c r="Z16" i="49"/>
  <c r="X16" i="49"/>
  <c r="W16" i="49"/>
  <c r="U16" i="49"/>
  <c r="T16" i="49"/>
  <c r="R16" i="49"/>
  <c r="Q16" i="49"/>
  <c r="K14" i="49"/>
  <c r="K18" i="49" s="1"/>
  <c r="K29" i="49" s="1"/>
  <c r="AA13" i="49"/>
  <c r="Z13" i="49"/>
  <c r="X13" i="49"/>
  <c r="W13" i="49"/>
  <c r="U13" i="49"/>
  <c r="T13" i="49"/>
  <c r="R13" i="49"/>
  <c r="Q13" i="49"/>
  <c r="AA12" i="49"/>
  <c r="Z12" i="49"/>
  <c r="X12" i="49"/>
  <c r="W12" i="49"/>
  <c r="U12" i="49"/>
  <c r="T12" i="49"/>
  <c r="R12" i="49"/>
  <c r="Q12" i="49"/>
  <c r="AA11" i="49"/>
  <c r="Z11" i="49"/>
  <c r="X11" i="49"/>
  <c r="W11" i="49"/>
  <c r="U11" i="49"/>
  <c r="T11" i="49"/>
  <c r="R11" i="49"/>
  <c r="Q11" i="49"/>
  <c r="AA10" i="49"/>
  <c r="Z10" i="49"/>
  <c r="X10" i="49"/>
  <c r="W10" i="49"/>
  <c r="U10" i="49"/>
  <c r="T10" i="49"/>
  <c r="R10" i="49"/>
  <c r="Q10" i="49"/>
  <c r="H10" i="49"/>
  <c r="G10" i="49"/>
  <c r="AA9" i="49"/>
  <c r="Z9" i="49"/>
  <c r="X9" i="49"/>
  <c r="W9" i="49"/>
  <c r="U9" i="49"/>
  <c r="T9" i="49"/>
  <c r="R9" i="49"/>
  <c r="Q9" i="49"/>
  <c r="G9" i="49" s="1"/>
  <c r="AA8" i="49"/>
  <c r="Z8" i="49"/>
  <c r="Z14" i="49" s="1"/>
  <c r="Z18" i="49" s="1"/>
  <c r="Z29" i="49" s="1"/>
  <c r="X8" i="49"/>
  <c r="X14" i="49" s="1"/>
  <c r="X18" i="49" s="1"/>
  <c r="W8" i="49"/>
  <c r="U8" i="49"/>
  <c r="U14" i="49" s="1"/>
  <c r="U18" i="49" s="1"/>
  <c r="T8" i="49"/>
  <c r="R8" i="49"/>
  <c r="H8" i="49" s="1"/>
  <c r="Q8" i="49"/>
  <c r="Z5" i="49"/>
  <c r="AD4" i="49" s="1"/>
  <c r="W5" i="49"/>
  <c r="AD3" i="49" s="1"/>
  <c r="T5" i="49"/>
  <c r="AD2" i="49" s="1"/>
  <c r="Q5" i="49"/>
  <c r="G34" i="49" s="1"/>
  <c r="L5" i="49"/>
  <c r="B2" i="49"/>
  <c r="AD1" i="49"/>
  <c r="AX54" i="48"/>
  <c r="BA45" i="48"/>
  <c r="Z42" i="48"/>
  <c r="R42" i="48"/>
  <c r="Z41" i="48"/>
  <c r="R41" i="48"/>
  <c r="AF38" i="48"/>
  <c r="E37" i="48"/>
  <c r="E38" i="48" s="1"/>
  <c r="Z34" i="48"/>
  <c r="R34" i="48"/>
  <c r="Z33" i="48"/>
  <c r="R33" i="48"/>
  <c r="E31" i="48"/>
  <c r="E36" i="48" s="1"/>
  <c r="Z27" i="48"/>
  <c r="R27" i="48"/>
  <c r="AP26" i="48"/>
  <c r="AO26" i="48"/>
  <c r="AM26" i="48"/>
  <c r="AL26" i="48"/>
  <c r="AJ26" i="48"/>
  <c r="AI26" i="48"/>
  <c r="AG26" i="48"/>
  <c r="AF26" i="48"/>
  <c r="J26" i="48"/>
  <c r="Z24" i="48"/>
  <c r="W24" i="48"/>
  <c r="R24" i="48"/>
  <c r="Z23" i="48"/>
  <c r="R23" i="48"/>
  <c r="Z22" i="48"/>
  <c r="W22" i="48"/>
  <c r="R22" i="48"/>
  <c r="Z17" i="48"/>
  <c r="R17" i="48"/>
  <c r="AM31" i="48"/>
  <c r="AM36" i="48" s="1"/>
  <c r="AL37" i="48"/>
  <c r="AL38" i="48" s="1"/>
  <c r="AJ37" i="48"/>
  <c r="AJ38" i="48" s="1"/>
  <c r="AG37" i="48"/>
  <c r="AG38" i="48" s="1"/>
  <c r="J16" i="48"/>
  <c r="K22" i="48" s="1"/>
  <c r="Z14" i="48"/>
  <c r="R14" i="48"/>
  <c r="Z13" i="48"/>
  <c r="R13" i="48"/>
  <c r="Z12" i="48"/>
  <c r="R12" i="48"/>
  <c r="Z11" i="48"/>
  <c r="R11" i="48"/>
  <c r="Z10" i="48"/>
  <c r="R10" i="48"/>
  <c r="Z9" i="48"/>
  <c r="R9" i="48"/>
  <c r="AW5" i="48"/>
  <c r="AW4" i="48"/>
  <c r="AW3" i="48"/>
  <c r="B3" i="48"/>
  <c r="AW2" i="48"/>
  <c r="Y21" i="54"/>
  <c r="X21" i="54"/>
  <c r="W21" i="54"/>
  <c r="Y20" i="54"/>
  <c r="X20" i="54"/>
  <c r="W20" i="54"/>
  <c r="Y19" i="54"/>
  <c r="X19" i="54"/>
  <c r="W19" i="54"/>
  <c r="Y18" i="54"/>
  <c r="X18" i="54"/>
  <c r="W18" i="54"/>
  <c r="D14" i="54"/>
  <c r="D13" i="54"/>
  <c r="AA11" i="54"/>
  <c r="V11" i="54"/>
  <c r="AB10" i="54"/>
  <c r="W8" i="54"/>
  <c r="X8" i="54" s="1"/>
  <c r="Y8" i="54" s="1"/>
  <c r="Z8" i="54" s="1"/>
  <c r="AA8" i="54" s="1"/>
  <c r="AB8" i="54" s="1"/>
  <c r="AC8" i="54" s="1"/>
  <c r="AD8" i="54" s="1"/>
  <c r="AE8" i="54" s="1"/>
  <c r="AF8" i="54" s="1"/>
  <c r="AG8" i="54" s="1"/>
  <c r="AH8" i="54" s="1"/>
  <c r="AI8" i="54" s="1"/>
  <c r="AJ8" i="54" s="1"/>
  <c r="AK8" i="54" s="1"/>
  <c r="AL8" i="54" s="1"/>
  <c r="AM8" i="54" s="1"/>
  <c r="AN8" i="54" s="1"/>
  <c r="AO8" i="54" s="1"/>
  <c r="AP8" i="54" s="1"/>
  <c r="AQ8" i="54" s="1"/>
  <c r="AR8" i="54" s="1"/>
  <c r="AS8" i="54" s="1"/>
  <c r="AT8" i="54" s="1"/>
  <c r="AU8" i="54" s="1"/>
  <c r="AV8" i="54" s="1"/>
  <c r="AW8" i="54" s="1"/>
  <c r="AX8" i="54" s="1"/>
  <c r="AY8" i="54" s="1"/>
  <c r="AZ8" i="54" s="1"/>
  <c r="BA8" i="54" s="1"/>
  <c r="BB8" i="54" s="1"/>
  <c r="BC8" i="54" s="1"/>
  <c r="BD8" i="54" s="1"/>
  <c r="BE8" i="54" s="1"/>
  <c r="BF8" i="54" s="1"/>
  <c r="BG8" i="54" s="1"/>
  <c r="BH8" i="54" s="1"/>
  <c r="BI8" i="54" s="1"/>
  <c r="BJ8" i="54" s="1"/>
  <c r="BX6" i="54" a="1"/>
  <c r="BX6" i="54" s="1"/>
  <c r="V6" i="54" a="1"/>
  <c r="V6" i="54" s="1"/>
  <c r="A6" i="54" a="1"/>
  <c r="A6" i="54" s="1"/>
  <c r="D5" i="54"/>
  <c r="D4" i="54"/>
  <c r="D3" i="54"/>
  <c r="Y2" i="54"/>
  <c r="X2" i="54"/>
  <c r="W2" i="54"/>
  <c r="V2" i="54"/>
  <c r="A2" i="54"/>
  <c r="BX1" i="54"/>
  <c r="AA1" i="54"/>
  <c r="V1" i="54"/>
  <c r="D1" i="54"/>
  <c r="CI102" i="53"/>
  <c r="CH102" i="53"/>
  <c r="CG102" i="53"/>
  <c r="CF102" i="53"/>
  <c r="CE102" i="53"/>
  <c r="CD102" i="53"/>
  <c r="CC102" i="53"/>
  <c r="CB102" i="53"/>
  <c r="BJ102" i="53"/>
  <c r="BI102" i="53"/>
  <c r="BH102" i="53"/>
  <c r="BG102" i="53"/>
  <c r="BF102" i="53"/>
  <c r="BE102" i="53"/>
  <c r="BD102" i="53"/>
  <c r="BC102" i="53"/>
  <c r="BB102" i="53"/>
  <c r="BA102" i="53"/>
  <c r="AZ102" i="53"/>
  <c r="AY102" i="53"/>
  <c r="AX102" i="53"/>
  <c r="AW102" i="53"/>
  <c r="AV102" i="53"/>
  <c r="AU102" i="53"/>
  <c r="AT102" i="53"/>
  <c r="AS102" i="53"/>
  <c r="AR102" i="53"/>
  <c r="AQ102" i="53"/>
  <c r="AP102" i="53"/>
  <c r="AO102" i="53"/>
  <c r="AN102" i="53"/>
  <c r="AM102" i="53"/>
  <c r="AL102" i="53"/>
  <c r="AK102" i="53"/>
  <c r="AJ102" i="53"/>
  <c r="AI102" i="53"/>
  <c r="AH102" i="53"/>
  <c r="AG102" i="53"/>
  <c r="AF102" i="53"/>
  <c r="AE102" i="53"/>
  <c r="AD102" i="53"/>
  <c r="AC102" i="53"/>
  <c r="AB102" i="53"/>
  <c r="AA102" i="53"/>
  <c r="V102" i="53"/>
  <c r="CI97" i="53"/>
  <c r="CH97" i="53"/>
  <c r="CG97" i="53"/>
  <c r="CF97" i="53"/>
  <c r="CE97" i="53"/>
  <c r="CD97" i="53"/>
  <c r="CC97" i="53"/>
  <c r="CB97" i="53"/>
  <c r="BJ97" i="53"/>
  <c r="BI97" i="53"/>
  <c r="BH97" i="53"/>
  <c r="BG97" i="53"/>
  <c r="BF97" i="53"/>
  <c r="BE97" i="53"/>
  <c r="BD97" i="53"/>
  <c r="BC97" i="53"/>
  <c r="BB97" i="53"/>
  <c r="BA97" i="53"/>
  <c r="AZ97" i="53"/>
  <c r="AY97" i="53"/>
  <c r="AX97" i="53"/>
  <c r="AW97" i="53"/>
  <c r="AV97" i="53"/>
  <c r="AU97" i="53"/>
  <c r="AT97" i="53"/>
  <c r="AS97" i="53"/>
  <c r="AR97" i="53"/>
  <c r="AQ97" i="53"/>
  <c r="AP97" i="53"/>
  <c r="AO97" i="53"/>
  <c r="AN97" i="53"/>
  <c r="AM97" i="53"/>
  <c r="AL97" i="53"/>
  <c r="AK97" i="53"/>
  <c r="AJ97" i="53"/>
  <c r="AI97" i="53"/>
  <c r="AH97" i="53"/>
  <c r="AG97" i="53"/>
  <c r="AF97" i="53"/>
  <c r="AE97" i="53"/>
  <c r="AD97" i="53"/>
  <c r="AC97" i="53"/>
  <c r="AB97" i="53"/>
  <c r="AA97" i="53"/>
  <c r="V97" i="53"/>
  <c r="CI92" i="53"/>
  <c r="CH92" i="53"/>
  <c r="CG92" i="53"/>
  <c r="CF92" i="53"/>
  <c r="CE92" i="53"/>
  <c r="CD92" i="53"/>
  <c r="CC92" i="53"/>
  <c r="CB92" i="53"/>
  <c r="BJ92" i="53"/>
  <c r="BI92" i="53"/>
  <c r="BH92" i="53"/>
  <c r="BG92" i="53"/>
  <c r="BF92" i="53"/>
  <c r="BE92" i="53"/>
  <c r="BD92" i="53"/>
  <c r="BC92" i="53"/>
  <c r="BB92" i="53"/>
  <c r="BA92" i="53"/>
  <c r="AZ92" i="53"/>
  <c r="AY92" i="53"/>
  <c r="AX92" i="53"/>
  <c r="AW92" i="53"/>
  <c r="AV92" i="53"/>
  <c r="AU92" i="53"/>
  <c r="AT92" i="53"/>
  <c r="AS92" i="53"/>
  <c r="AR92" i="53"/>
  <c r="AQ92" i="53"/>
  <c r="AP92" i="53"/>
  <c r="AO92" i="53"/>
  <c r="AN92" i="53"/>
  <c r="AM92" i="53"/>
  <c r="AL92" i="53"/>
  <c r="AK92" i="53"/>
  <c r="AJ92" i="53"/>
  <c r="AI92" i="53"/>
  <c r="AH92" i="53"/>
  <c r="AG92" i="53"/>
  <c r="AF92" i="53"/>
  <c r="AE92" i="53"/>
  <c r="AD92" i="53"/>
  <c r="AC92" i="53"/>
  <c r="AB92" i="53"/>
  <c r="AA92" i="53"/>
  <c r="V92" i="53"/>
  <c r="CI87" i="53"/>
  <c r="CH87" i="53"/>
  <c r="CG87" i="53"/>
  <c r="CF87" i="53"/>
  <c r="CE87" i="53"/>
  <c r="CD87" i="53"/>
  <c r="CC87" i="53"/>
  <c r="CB87" i="53"/>
  <c r="BJ87" i="53"/>
  <c r="BI87" i="53"/>
  <c r="BH87" i="53"/>
  <c r="BG87" i="53"/>
  <c r="BF87" i="53"/>
  <c r="BE87" i="53"/>
  <c r="BD87" i="53"/>
  <c r="BC87" i="53"/>
  <c r="BB87" i="53"/>
  <c r="BA87" i="53"/>
  <c r="AZ87" i="53"/>
  <c r="AY87" i="53"/>
  <c r="AX87" i="53"/>
  <c r="AW87" i="53"/>
  <c r="AV87" i="53"/>
  <c r="AU87" i="53"/>
  <c r="AT87" i="53"/>
  <c r="AS87" i="53"/>
  <c r="AR87" i="53"/>
  <c r="AQ87" i="53"/>
  <c r="AP87" i="53"/>
  <c r="AO87" i="53"/>
  <c r="AN87" i="53"/>
  <c r="AM87" i="53"/>
  <c r="AL87" i="53"/>
  <c r="AK87" i="53"/>
  <c r="AJ87" i="53"/>
  <c r="AI87" i="53"/>
  <c r="AH87" i="53"/>
  <c r="AG87" i="53"/>
  <c r="AF87" i="53"/>
  <c r="AE87" i="53"/>
  <c r="AD87" i="53"/>
  <c r="AC87" i="53"/>
  <c r="AB87" i="53"/>
  <c r="AA87" i="53"/>
  <c r="V87" i="53"/>
  <c r="BX76" i="53"/>
  <c r="CA75" i="53"/>
  <c r="BZ75" i="53"/>
  <c r="BY75" i="53"/>
  <c r="BX75" i="53"/>
  <c r="CI69" i="53"/>
  <c r="CH69" i="53"/>
  <c r="CG69" i="53"/>
  <c r="CG71" i="53" s="1"/>
  <c r="CF69" i="53"/>
  <c r="CE69" i="53"/>
  <c r="CD69" i="53"/>
  <c r="CC69" i="53"/>
  <c r="CB69" i="53"/>
  <c r="BJ69" i="53"/>
  <c r="BI69" i="53"/>
  <c r="BH69" i="53"/>
  <c r="BG69" i="53"/>
  <c r="BF69" i="53"/>
  <c r="BE69" i="53"/>
  <c r="BD69" i="53"/>
  <c r="BC69" i="53"/>
  <c r="BB69" i="53"/>
  <c r="BA69" i="53"/>
  <c r="AZ69" i="53"/>
  <c r="AY69" i="53"/>
  <c r="AX69" i="53"/>
  <c r="AW69" i="53"/>
  <c r="AV69" i="53"/>
  <c r="AU69" i="53"/>
  <c r="AT69" i="53"/>
  <c r="AS69" i="53"/>
  <c r="AR69" i="53"/>
  <c r="AR71" i="53" s="1"/>
  <c r="AQ69" i="53"/>
  <c r="AP69" i="53"/>
  <c r="AO69" i="53"/>
  <c r="AN69" i="53"/>
  <c r="AM69" i="53"/>
  <c r="AL69" i="53"/>
  <c r="AK69" i="53"/>
  <c r="AJ69" i="53"/>
  <c r="AI69" i="53"/>
  <c r="AH69" i="53"/>
  <c r="AG69" i="53"/>
  <c r="AF69" i="53"/>
  <c r="AE69" i="53"/>
  <c r="AD69" i="53"/>
  <c r="AC69" i="53"/>
  <c r="AB69" i="53"/>
  <c r="AA69" i="53"/>
  <c r="V69" i="53"/>
  <c r="CI68" i="53"/>
  <c r="CH68" i="53"/>
  <c r="CH71" i="53" s="1"/>
  <c r="CG68" i="53"/>
  <c r="CF68" i="53"/>
  <c r="CE68" i="53"/>
  <c r="CD68" i="53"/>
  <c r="CD71" i="53" s="1"/>
  <c r="CC68" i="53"/>
  <c r="CC71" i="53" s="1"/>
  <c r="CB68" i="53"/>
  <c r="BJ68" i="53"/>
  <c r="BI68" i="53"/>
  <c r="BH68" i="53"/>
  <c r="BG68" i="53"/>
  <c r="BG71" i="53" s="1"/>
  <c r="BF68" i="53"/>
  <c r="BE68" i="53"/>
  <c r="BE71" i="53" s="1"/>
  <c r="BD68" i="53"/>
  <c r="BD71" i="53" s="1"/>
  <c r="BC68" i="53"/>
  <c r="BC71" i="53" s="1"/>
  <c r="BB68" i="53"/>
  <c r="BA68" i="53"/>
  <c r="AZ68" i="53"/>
  <c r="AY68" i="53"/>
  <c r="AY71" i="53" s="1"/>
  <c r="AX68" i="53"/>
  <c r="AW68" i="53"/>
  <c r="AW71" i="53" s="1"/>
  <c r="AV68" i="53"/>
  <c r="AV71" i="53" s="1"/>
  <c r="AU68" i="53"/>
  <c r="AT68" i="53"/>
  <c r="AS68" i="53"/>
  <c r="AR68" i="53"/>
  <c r="AQ68" i="53"/>
  <c r="AQ71" i="53" s="1"/>
  <c r="AP68" i="53"/>
  <c r="AO68" i="53"/>
  <c r="AO71" i="53" s="1"/>
  <c r="AN68" i="53"/>
  <c r="AN71" i="53" s="1"/>
  <c r="AM68" i="53"/>
  <c r="AL68" i="53"/>
  <c r="AK68" i="53"/>
  <c r="AJ68" i="53"/>
  <c r="AI68" i="53"/>
  <c r="AI71" i="53" s="1"/>
  <c r="AH68" i="53"/>
  <c r="AG68" i="53"/>
  <c r="AG71" i="53" s="1"/>
  <c r="AF68" i="53"/>
  <c r="AF71" i="53" s="1"/>
  <c r="AE68" i="53"/>
  <c r="AD68" i="53"/>
  <c r="AC68" i="53"/>
  <c r="AB68" i="53"/>
  <c r="AA68" i="53"/>
  <c r="AA71" i="53" s="1"/>
  <c r="V68" i="53"/>
  <c r="BX66" i="53"/>
  <c r="BX65" i="53"/>
  <c r="BX64" i="53"/>
  <c r="BX69" i="53" s="1"/>
  <c r="BX63" i="53"/>
  <c r="BX62" i="53"/>
  <c r="BX59" i="53"/>
  <c r="BX58" i="53"/>
  <c r="BX57" i="53"/>
  <c r="BX56" i="53"/>
  <c r="CG53" i="53"/>
  <c r="BH53" i="53"/>
  <c r="AR53" i="53"/>
  <c r="CI51" i="53"/>
  <c r="CH51" i="53"/>
  <c r="CG51" i="53"/>
  <c r="CF51" i="53"/>
  <c r="CE51" i="53"/>
  <c r="CD51" i="53"/>
  <c r="CC51" i="53"/>
  <c r="CB51" i="53"/>
  <c r="BJ51" i="53"/>
  <c r="BI51" i="53"/>
  <c r="BH51" i="53"/>
  <c r="BG51" i="53"/>
  <c r="BF51" i="53"/>
  <c r="BE51" i="53"/>
  <c r="BD51" i="53"/>
  <c r="BC51" i="53"/>
  <c r="BB51" i="53"/>
  <c r="BA51" i="53"/>
  <c r="AZ51" i="53"/>
  <c r="AY51" i="53"/>
  <c r="AX51" i="53"/>
  <c r="AW51" i="53"/>
  <c r="AV51" i="53"/>
  <c r="AU51" i="53"/>
  <c r="AT51" i="53"/>
  <c r="AS51" i="53"/>
  <c r="AR51" i="53"/>
  <c r="AQ51" i="53"/>
  <c r="AP51" i="53"/>
  <c r="AO51" i="53"/>
  <c r="AN51" i="53"/>
  <c r="AM51" i="53"/>
  <c r="AL51" i="53"/>
  <c r="AK51" i="53"/>
  <c r="AJ51" i="53"/>
  <c r="AI51" i="53"/>
  <c r="AH51" i="53"/>
  <c r="AH53" i="53" s="1"/>
  <c r="AG51" i="53"/>
  <c r="AF51" i="53"/>
  <c r="AE51" i="53"/>
  <c r="AD51" i="53"/>
  <c r="AC51" i="53"/>
  <c r="AB51" i="53"/>
  <c r="AA51" i="53"/>
  <c r="V51" i="53"/>
  <c r="CI50" i="53"/>
  <c r="CI53" i="53" s="1"/>
  <c r="CH50" i="53"/>
  <c r="CG50" i="53"/>
  <c r="CF50" i="53"/>
  <c r="CE50" i="53"/>
  <c r="CD50" i="53"/>
  <c r="CC50" i="53"/>
  <c r="CC53" i="53" s="1"/>
  <c r="CB50" i="53"/>
  <c r="CB53" i="53" s="1"/>
  <c r="BJ50" i="53"/>
  <c r="BI50" i="53"/>
  <c r="BH50" i="53"/>
  <c r="BG50" i="53"/>
  <c r="BG53" i="53" s="1"/>
  <c r="BF50" i="53"/>
  <c r="BE50" i="53"/>
  <c r="BE53" i="53" s="1"/>
  <c r="BD50" i="53"/>
  <c r="BD53" i="53" s="1"/>
  <c r="BC50" i="53"/>
  <c r="BB50" i="53"/>
  <c r="BA50" i="53"/>
  <c r="AZ50" i="53"/>
  <c r="AY50" i="53"/>
  <c r="AY53" i="53" s="1"/>
  <c r="AX50" i="53"/>
  <c r="AW50" i="53"/>
  <c r="AW53" i="53" s="1"/>
  <c r="AV50" i="53"/>
  <c r="AV53" i="53" s="1"/>
  <c r="AU50" i="53"/>
  <c r="AT50" i="53"/>
  <c r="AS50" i="53"/>
  <c r="AR50" i="53"/>
  <c r="AQ50" i="53"/>
  <c r="AQ53" i="53" s="1"/>
  <c r="AP50" i="53"/>
  <c r="AO50" i="53"/>
  <c r="AO53" i="53" s="1"/>
  <c r="AN50" i="53"/>
  <c r="AN53" i="53" s="1"/>
  <c r="AM50" i="53"/>
  <c r="AL50" i="53"/>
  <c r="AK50" i="53"/>
  <c r="AJ50" i="53"/>
  <c r="AI50" i="53"/>
  <c r="AI53" i="53" s="1"/>
  <c r="AH50" i="53"/>
  <c r="AG50" i="53"/>
  <c r="AG53" i="53" s="1"/>
  <c r="AF50" i="53"/>
  <c r="AF53" i="53" s="1"/>
  <c r="AE50" i="53"/>
  <c r="AD50" i="53"/>
  <c r="AC50" i="53"/>
  <c r="AC53" i="53" s="1"/>
  <c r="AB50" i="53"/>
  <c r="AA50" i="53"/>
  <c r="AA53" i="53" s="1"/>
  <c r="V50" i="53"/>
  <c r="BX48" i="53"/>
  <c r="BX47" i="53"/>
  <c r="BX46" i="53"/>
  <c r="BX97" i="53" s="1"/>
  <c r="BX43" i="53"/>
  <c r="BX42" i="53"/>
  <c r="BX92" i="53" s="1"/>
  <c r="BX41" i="53"/>
  <c r="BX87" i="53" s="1"/>
  <c r="CI36" i="53"/>
  <c r="CH36" i="53"/>
  <c r="CG36" i="53"/>
  <c r="CF36" i="53"/>
  <c r="CE36" i="53"/>
  <c r="CD36" i="53"/>
  <c r="CC36" i="53"/>
  <c r="CB36" i="53"/>
  <c r="AZ36" i="53"/>
  <c r="AV36" i="53"/>
  <c r="AN36" i="53"/>
  <c r="AC36" i="53"/>
  <c r="V36" i="53"/>
  <c r="BI35" i="53"/>
  <c r="BA35" i="53"/>
  <c r="AW35" i="53"/>
  <c r="AW38" i="53" s="1"/>
  <c r="AQ35" i="53"/>
  <c r="AK35" i="53"/>
  <c r="AJ35" i="53"/>
  <c r="AC35" i="53"/>
  <c r="CI33" i="53"/>
  <c r="CH33" i="53"/>
  <c r="CG33" i="53"/>
  <c r="CF33" i="53"/>
  <c r="CE33" i="53"/>
  <c r="CD33" i="53"/>
  <c r="CC33" i="53"/>
  <c r="CB33" i="53"/>
  <c r="BJ33" i="53"/>
  <c r="BJ36" i="53" s="1"/>
  <c r="BI33" i="53"/>
  <c r="BI36" i="53" s="1"/>
  <c r="BH33" i="53"/>
  <c r="BH36" i="53" s="1"/>
  <c r="BH38" i="53" s="1"/>
  <c r="BG33" i="53"/>
  <c r="BG36" i="53" s="1"/>
  <c r="BF33" i="53"/>
  <c r="BF36" i="53" s="1"/>
  <c r="BE33" i="53"/>
  <c r="BE36" i="53" s="1"/>
  <c r="BD33" i="53"/>
  <c r="BD36" i="53" s="1"/>
  <c r="BC33" i="53"/>
  <c r="BC36" i="53" s="1"/>
  <c r="BB33" i="53"/>
  <c r="BB36" i="53" s="1"/>
  <c r="BA33" i="53"/>
  <c r="BA36" i="53" s="1"/>
  <c r="AZ33" i="53"/>
  <c r="AY33" i="53"/>
  <c r="AY36" i="53" s="1"/>
  <c r="AX33" i="53"/>
  <c r="AX36" i="53" s="1"/>
  <c r="AW33" i="53"/>
  <c r="AW36" i="53" s="1"/>
  <c r="AV33" i="53"/>
  <c r="AU33" i="53"/>
  <c r="AU36" i="53" s="1"/>
  <c r="AT33" i="53"/>
  <c r="AT36" i="53" s="1"/>
  <c r="AS33" i="53"/>
  <c r="AS36" i="53" s="1"/>
  <c r="AR33" i="53"/>
  <c r="AR36" i="53" s="1"/>
  <c r="AQ33" i="53"/>
  <c r="AQ36" i="53" s="1"/>
  <c r="AP33" i="53"/>
  <c r="AP36" i="53" s="1"/>
  <c r="AO33" i="53"/>
  <c r="AO36" i="53" s="1"/>
  <c r="AN33" i="53"/>
  <c r="AM33" i="53"/>
  <c r="AM36" i="53" s="1"/>
  <c r="AL33" i="53"/>
  <c r="AL36" i="53" s="1"/>
  <c r="AK33" i="53"/>
  <c r="AK36" i="53" s="1"/>
  <c r="AJ33" i="53"/>
  <c r="AJ36" i="53" s="1"/>
  <c r="AI33" i="53"/>
  <c r="AI36" i="53" s="1"/>
  <c r="AH33" i="53"/>
  <c r="AH36" i="53" s="1"/>
  <c r="AG33" i="53"/>
  <c r="AG36" i="53" s="1"/>
  <c r="AF33" i="53"/>
  <c r="AF36" i="53" s="1"/>
  <c r="AE33" i="53"/>
  <c r="AE36" i="53" s="1"/>
  <c r="AD33" i="53"/>
  <c r="AD36" i="53" s="1"/>
  <c r="AC33" i="53"/>
  <c r="AB33" i="53"/>
  <c r="AB36" i="53" s="1"/>
  <c r="AA33" i="53"/>
  <c r="AA36" i="53" s="1"/>
  <c r="V33" i="53"/>
  <c r="BX32" i="53"/>
  <c r="BX31" i="53"/>
  <c r="BX30" i="53"/>
  <c r="BX29" i="53"/>
  <c r="BX28" i="53"/>
  <c r="CI25" i="53"/>
  <c r="CI35" i="53" s="1"/>
  <c r="CI38" i="53" s="1"/>
  <c r="CH25" i="53"/>
  <c r="CH35" i="53" s="1"/>
  <c r="CH38" i="53" s="1"/>
  <c r="CG25" i="53"/>
  <c r="CG35" i="53" s="1"/>
  <c r="CG38" i="53" s="1"/>
  <c r="CF25" i="53"/>
  <c r="CF35" i="53" s="1"/>
  <c r="CE25" i="53"/>
  <c r="CE35" i="53" s="1"/>
  <c r="CE38" i="53" s="1"/>
  <c r="CD25" i="53"/>
  <c r="CD35" i="53" s="1"/>
  <c r="CD38" i="53" s="1"/>
  <c r="CC25" i="53"/>
  <c r="CC35" i="53" s="1"/>
  <c r="CC38" i="53" s="1"/>
  <c r="CB25" i="53"/>
  <c r="CB35" i="53" s="1"/>
  <c r="CB38" i="53" s="1"/>
  <c r="BJ25" i="53"/>
  <c r="BJ35" i="53" s="1"/>
  <c r="BI25" i="53"/>
  <c r="BH25" i="53"/>
  <c r="BH35" i="53" s="1"/>
  <c r="BG25" i="53"/>
  <c r="BG35" i="53" s="1"/>
  <c r="BG38" i="53" s="1"/>
  <c r="BF25" i="53"/>
  <c r="BF35" i="53" s="1"/>
  <c r="BF38" i="53" s="1"/>
  <c r="BE25" i="53"/>
  <c r="BE35" i="53" s="1"/>
  <c r="BE38" i="53" s="1"/>
  <c r="BD25" i="53"/>
  <c r="BD35" i="53" s="1"/>
  <c r="BD38" i="53" s="1"/>
  <c r="BC25" i="53"/>
  <c r="BC35" i="53" s="1"/>
  <c r="BB25" i="53"/>
  <c r="BB35" i="53" s="1"/>
  <c r="BA25" i="53"/>
  <c r="AZ25" i="53"/>
  <c r="AZ35" i="53" s="1"/>
  <c r="AY25" i="53"/>
  <c r="AY35" i="53" s="1"/>
  <c r="AX25" i="53"/>
  <c r="AX35" i="53" s="1"/>
  <c r="AX38" i="53" s="1"/>
  <c r="AW25" i="53"/>
  <c r="AV25" i="53"/>
  <c r="AV35" i="53" s="1"/>
  <c r="AU25" i="53"/>
  <c r="AU35" i="53" s="1"/>
  <c r="AT25" i="53"/>
  <c r="AT35" i="53" s="1"/>
  <c r="AS25" i="53"/>
  <c r="AS35" i="53" s="1"/>
  <c r="AR25" i="53"/>
  <c r="AR35" i="53" s="1"/>
  <c r="AR38" i="53" s="1"/>
  <c r="AQ25" i="53"/>
  <c r="AP25" i="53"/>
  <c r="AP35" i="53" s="1"/>
  <c r="AP38" i="53" s="1"/>
  <c r="AO25" i="53"/>
  <c r="AO35" i="53" s="1"/>
  <c r="AO38" i="53" s="1"/>
  <c r="AN25" i="53"/>
  <c r="AN35" i="53" s="1"/>
  <c r="AM25" i="53"/>
  <c r="AM35" i="53" s="1"/>
  <c r="AL25" i="53"/>
  <c r="AL35" i="53" s="1"/>
  <c r="AK25" i="53"/>
  <c r="AJ25" i="53"/>
  <c r="AI25" i="53"/>
  <c r="AI35" i="53" s="1"/>
  <c r="AI38" i="53" s="1"/>
  <c r="AH25" i="53"/>
  <c r="AH35" i="53" s="1"/>
  <c r="AH38" i="53" s="1"/>
  <c r="AG25" i="53"/>
  <c r="AG35" i="53" s="1"/>
  <c r="AG38" i="53" s="1"/>
  <c r="AF25" i="53"/>
  <c r="AF35" i="53" s="1"/>
  <c r="AF38" i="53" s="1"/>
  <c r="AE25" i="53"/>
  <c r="AE35" i="53" s="1"/>
  <c r="AD25" i="53"/>
  <c r="AD35" i="53" s="1"/>
  <c r="AC25" i="53"/>
  <c r="AB25" i="53"/>
  <c r="AB35" i="53" s="1"/>
  <c r="AA25" i="53"/>
  <c r="AA35" i="53" s="1"/>
  <c r="V25" i="53"/>
  <c r="V35" i="53" s="1"/>
  <c r="V38" i="53" s="1"/>
  <c r="BX24" i="53"/>
  <c r="BX23" i="53"/>
  <c r="BX22" i="53"/>
  <c r="BX21" i="53"/>
  <c r="BX20" i="53"/>
  <c r="BX19" i="53"/>
  <c r="BX18" i="53"/>
  <c r="BX17" i="53"/>
  <c r="BX16" i="53"/>
  <c r="BX15" i="53"/>
  <c r="BX14" i="53"/>
  <c r="BX13" i="53"/>
  <c r="BX25" i="53" s="1"/>
  <c r="BX35" i="53" s="1"/>
  <c r="BX6" i="53" a="1"/>
  <c r="BX6" i="53" s="1"/>
  <c r="V6" i="53" a="1"/>
  <c r="V6" i="53" s="1"/>
  <c r="A6" i="53" a="1"/>
  <c r="A6" i="53" s="1"/>
  <c r="D5" i="53"/>
  <c r="C5" i="53"/>
  <c r="D12" i="54" s="1"/>
  <c r="D4" i="53"/>
  <c r="C4" i="53"/>
  <c r="D3" i="53"/>
  <c r="Y2" i="53"/>
  <c r="X2" i="53"/>
  <c r="W2" i="53"/>
  <c r="V2" i="53"/>
  <c r="A2" i="53"/>
  <c r="BX1" i="53"/>
  <c r="AA1" i="53"/>
  <c r="V1" i="53"/>
  <c r="D1" i="53"/>
  <c r="CI86" i="53"/>
  <c r="CI88" i="53" s="1"/>
  <c r="CH86" i="53"/>
  <c r="CH88" i="53" s="1"/>
  <c r="CG86" i="53"/>
  <c r="CG88" i="53" s="1"/>
  <c r="CF86" i="53"/>
  <c r="CF88" i="53" s="1"/>
  <c r="CE86" i="53"/>
  <c r="CE88" i="53" s="1"/>
  <c r="CD86" i="53"/>
  <c r="CD88" i="53" s="1"/>
  <c r="CC86" i="53"/>
  <c r="CC88" i="53" s="1"/>
  <c r="CB86" i="53"/>
  <c r="CB88" i="53" s="1"/>
  <c r="BJ86" i="53"/>
  <c r="BJ88" i="53" s="1"/>
  <c r="BI86" i="53"/>
  <c r="BI88" i="53" s="1"/>
  <c r="BH86" i="53"/>
  <c r="BH88" i="53" s="1"/>
  <c r="BG86" i="53"/>
  <c r="BG88" i="53" s="1"/>
  <c r="BF86" i="53"/>
  <c r="BF88" i="53" s="1"/>
  <c r="BE86" i="53"/>
  <c r="BE88" i="53" s="1"/>
  <c r="BD86" i="53"/>
  <c r="BD88" i="53" s="1"/>
  <c r="BC86" i="53"/>
  <c r="BC88" i="53" s="1"/>
  <c r="BB86" i="53"/>
  <c r="BB88" i="53" s="1"/>
  <c r="BA86" i="53"/>
  <c r="BA88" i="53" s="1"/>
  <c r="AZ86" i="53"/>
  <c r="AZ88" i="53" s="1"/>
  <c r="AY86" i="53"/>
  <c r="AY88" i="53" s="1"/>
  <c r="AX86" i="53"/>
  <c r="AX88" i="53" s="1"/>
  <c r="AW86" i="53"/>
  <c r="AW88" i="53" s="1"/>
  <c r="AV86" i="53"/>
  <c r="AV88" i="53" s="1"/>
  <c r="AU86" i="53"/>
  <c r="AU88" i="53" s="1"/>
  <c r="AT86" i="53"/>
  <c r="AT88" i="53" s="1"/>
  <c r="AS86" i="53"/>
  <c r="AS88" i="53" s="1"/>
  <c r="AR86" i="53"/>
  <c r="AR88" i="53" s="1"/>
  <c r="AQ86" i="53"/>
  <c r="AQ88" i="53" s="1"/>
  <c r="AP86" i="53"/>
  <c r="AP88" i="53" s="1"/>
  <c r="AO86" i="53"/>
  <c r="AO88" i="53" s="1"/>
  <c r="AN86" i="53"/>
  <c r="AN88" i="53" s="1"/>
  <c r="AM86" i="53"/>
  <c r="AM88" i="53" s="1"/>
  <c r="AL86" i="53"/>
  <c r="AL88" i="53" s="1"/>
  <c r="AK86" i="53"/>
  <c r="AK88" i="53" s="1"/>
  <c r="AJ86" i="53"/>
  <c r="AJ88" i="53" s="1"/>
  <c r="AI86" i="53"/>
  <c r="AI88" i="53" s="1"/>
  <c r="AH86" i="53"/>
  <c r="AH88" i="53" s="1"/>
  <c r="AG86" i="53"/>
  <c r="AG88" i="53" s="1"/>
  <c r="AF86" i="53"/>
  <c r="AF88" i="53" s="1"/>
  <c r="AE86" i="53"/>
  <c r="AE88" i="53" s="1"/>
  <c r="AD86" i="53"/>
  <c r="AD88" i="53" s="1"/>
  <c r="AC86" i="53"/>
  <c r="AC88" i="53" s="1"/>
  <c r="AB86" i="53"/>
  <c r="AB88" i="53" s="1"/>
  <c r="AA86" i="53"/>
  <c r="AA88" i="53" s="1"/>
  <c r="C3" i="53"/>
  <c r="B26" i="14" a="1"/>
  <c r="E22" i="50" l="1"/>
  <c r="CH26" i="32"/>
  <c r="CH25" i="35" s="1"/>
  <c r="AS143" i="30"/>
  <c r="AS141" i="30"/>
  <c r="AT133" i="6"/>
  <c r="AT119" i="30" s="1"/>
  <c r="AT16" i="6"/>
  <c r="AU114" i="6"/>
  <c r="AU125" i="6"/>
  <c r="CI645" i="9"/>
  <c r="CE54" i="30"/>
  <c r="CH62" i="30"/>
  <c r="CH45" i="32" s="1"/>
  <c r="CF131" i="30"/>
  <c r="CE21" i="35"/>
  <c r="CH15" i="35"/>
  <c r="CH16" i="35" s="1"/>
  <c r="CF13" i="35"/>
  <c r="CE15" i="32"/>
  <c r="CE62" i="32" s="1"/>
  <c r="CE45" i="30"/>
  <c r="CF15" i="35"/>
  <c r="CF16" i="35" s="1"/>
  <c r="CF18" i="35"/>
  <c r="CF19" i="35" s="1"/>
  <c r="CE195" i="30"/>
  <c r="CE78" i="33" s="1"/>
  <c r="CE80" i="33" s="1"/>
  <c r="CE110" i="30"/>
  <c r="CE22" i="32" s="1"/>
  <c r="CE99" i="33" s="1"/>
  <c r="CE18" i="32"/>
  <c r="CE131" i="30"/>
  <c r="CF32" i="32"/>
  <c r="CE26" i="32"/>
  <c r="CE25" i="35" s="1"/>
  <c r="CF49" i="32"/>
  <c r="CE62" i="30"/>
  <c r="CE45" i="32" s="1"/>
  <c r="CF15" i="32"/>
  <c r="CF62" i="32" s="1"/>
  <c r="CE13" i="35"/>
  <c r="CE206" i="30"/>
  <c r="CE88" i="33" s="1"/>
  <c r="CE90" i="33" s="1"/>
  <c r="CE176" i="30"/>
  <c r="CH18" i="35"/>
  <c r="CH19" i="35" s="1"/>
  <c r="CE25" i="32"/>
  <c r="CE24" i="35" s="1"/>
  <c r="CE60" i="30"/>
  <c r="CE137" i="30"/>
  <c r="CE24" i="30"/>
  <c r="CE32" i="30" s="1"/>
  <c r="CE36" i="30" s="1"/>
  <c r="CF18" i="32"/>
  <c r="CE74" i="30"/>
  <c r="CE158" i="30"/>
  <c r="CE124" i="30"/>
  <c r="CH21" i="35"/>
  <c r="CF26" i="32"/>
  <c r="CF25" i="35" s="1"/>
  <c r="CH24" i="30"/>
  <c r="CH14" i="32" s="1"/>
  <c r="CH66" i="32" s="1"/>
  <c r="CH74" i="30"/>
  <c r="CH158" i="30"/>
  <c r="CF24" i="30"/>
  <c r="CF14" i="32" s="1"/>
  <c r="CF66" i="32" s="1"/>
  <c r="CF110" i="30"/>
  <c r="CF22" i="32" s="1"/>
  <c r="CF99" i="33" s="1"/>
  <c r="CH124" i="30"/>
  <c r="CH30" i="30"/>
  <c r="CF158" i="30"/>
  <c r="CH195" i="30"/>
  <c r="CH78" i="33" s="1"/>
  <c r="CH80" i="33" s="1"/>
  <c r="CH45" i="30"/>
  <c r="CF45" i="30"/>
  <c r="CH131" i="30"/>
  <c r="CH54" i="30"/>
  <c r="CF176" i="30"/>
  <c r="CE15" i="35"/>
  <c r="CE16" i="35" s="1"/>
  <c r="CH137" i="30"/>
  <c r="CH110" i="30"/>
  <c r="CH22" i="32" s="1"/>
  <c r="CH99" i="33" s="1"/>
  <c r="CH206" i="30"/>
  <c r="CH88" i="33" s="1"/>
  <c r="CH90" i="33" s="1"/>
  <c r="CH60" i="30"/>
  <c r="CF137" i="30"/>
  <c r="CF195" i="30"/>
  <c r="CF78" i="33" s="1"/>
  <c r="CF80" i="33" s="1"/>
  <c r="CF206" i="30"/>
  <c r="CF88" i="33" s="1"/>
  <c r="CF90" i="33" s="1"/>
  <c r="CF60" i="30"/>
  <c r="CF74" i="30"/>
  <c r="CF54" i="30"/>
  <c r="A31" i="12"/>
  <c r="A2" i="12" s="1" a="1"/>
  <c r="A2" i="12" s="1"/>
  <c r="A26" i="14" s="1"/>
  <c r="CF124" i="30"/>
  <c r="CF30" i="30"/>
  <c r="B26" i="14"/>
  <c r="CH49" i="32"/>
  <c r="CG25" i="32"/>
  <c r="CG24" i="35" s="1"/>
  <c r="CG26" i="32"/>
  <c r="CG25" i="35" s="1"/>
  <c r="CG18" i="32"/>
  <c r="CG15" i="32"/>
  <c r="CG62" i="32" s="1"/>
  <c r="CG32" i="32"/>
  <c r="CG21" i="35"/>
  <c r="CG18" i="35"/>
  <c r="CG19" i="35" s="1"/>
  <c r="CG15" i="35"/>
  <c r="CG16" i="35" s="1"/>
  <c r="CG13" i="35"/>
  <c r="CI21" i="35"/>
  <c r="CI18" i="35"/>
  <c r="CI19" i="35" s="1"/>
  <c r="CI15" i="35"/>
  <c r="CI16" i="35" s="1"/>
  <c r="CI13" i="35"/>
  <c r="CE645" i="9"/>
  <c r="V174" i="1"/>
  <c r="V156" i="1"/>
  <c r="BX73" i="33"/>
  <c r="BX9" i="35"/>
  <c r="BX52" i="33"/>
  <c r="BX9" i="32"/>
  <c r="BX9" i="30"/>
  <c r="BX176" i="30" s="1"/>
  <c r="BX259" i="26"/>
  <c r="CR259" i="26" s="1"/>
  <c r="A259" i="26" s="1" a="1"/>
  <c r="A259" i="26" s="1"/>
  <c r="BX290" i="26"/>
  <c r="CR290" i="26" s="1"/>
  <c r="A290" i="26" s="1" a="1"/>
  <c r="A290" i="26" s="1"/>
  <c r="BX16" i="6"/>
  <c r="CS16" i="6" s="1"/>
  <c r="A16" i="6" s="1" a="1"/>
  <c r="A16" i="6" s="1"/>
  <c r="BX14" i="6"/>
  <c r="CS14" i="6" s="1"/>
  <c r="A14" i="6" s="1" a="1"/>
  <c r="A14" i="6" s="1"/>
  <c r="BX271" i="26"/>
  <c r="CR271" i="26" s="1"/>
  <c r="A271" i="26" s="1" a="1"/>
  <c r="A271" i="26" s="1"/>
  <c r="BX231" i="26"/>
  <c r="CR231" i="26" s="1"/>
  <c r="A231" i="26" s="1" a="1"/>
  <c r="A231" i="26" s="1"/>
  <c r="BX245" i="26"/>
  <c r="CR245" i="26" s="1"/>
  <c r="A245" i="26" s="1" a="1"/>
  <c r="A245" i="26" s="1"/>
  <c r="BX280" i="26"/>
  <c r="CR280" i="26" s="1"/>
  <c r="A280" i="26" s="1" a="1"/>
  <c r="A280" i="26" s="1"/>
  <c r="BX12" i="6"/>
  <c r="CS12" i="6" s="1"/>
  <c r="A12" i="6" s="1" a="1"/>
  <c r="A12" i="6" s="1"/>
  <c r="BX308" i="26"/>
  <c r="V15" i="35"/>
  <c r="V16" i="35" s="1"/>
  <c r="V21" i="35"/>
  <c r="V18" i="35"/>
  <c r="V19" i="35" s="1"/>
  <c r="V13" i="35"/>
  <c r="CX159" i="9"/>
  <c r="A159" i="9" s="1" a="1"/>
  <c r="A159" i="9" s="1"/>
  <c r="CD645" i="9"/>
  <c r="BX144" i="20"/>
  <c r="DB144" i="20" s="1"/>
  <c r="CT144" i="20" s="1"/>
  <c r="A144" i="20" s="1" a="1"/>
  <c r="A144" i="20" s="1"/>
  <c r="BX178" i="1"/>
  <c r="BX146" i="1"/>
  <c r="V20" i="6"/>
  <c r="V18" i="6"/>
  <c r="CX216" i="9"/>
  <c r="A216" i="9" s="1" a="1"/>
  <c r="A216" i="9" s="1"/>
  <c r="CC645" i="9"/>
  <c r="CY191" i="30"/>
  <c r="CQ191" i="30" s="1"/>
  <c r="A191" i="30" s="1" a="1"/>
  <c r="A191" i="30" s="1"/>
  <c r="BX63" i="33"/>
  <c r="V137" i="30"/>
  <c r="V131" i="30"/>
  <c r="E298" i="26"/>
  <c r="V206" i="30"/>
  <c r="V74" i="30"/>
  <c r="V88" i="30"/>
  <c r="V110" i="30"/>
  <c r="V124" i="30"/>
  <c r="E269" i="26"/>
  <c r="CS269" i="26" s="1"/>
  <c r="A269" i="26" s="1" a="1"/>
  <c r="A269" i="26" s="1"/>
  <c r="E243" i="26"/>
  <c r="CS243" i="26" s="1"/>
  <c r="A243" i="26" s="1" a="1"/>
  <c r="A243" i="26" s="1"/>
  <c r="E229" i="26"/>
  <c r="CS229" i="26" s="1"/>
  <c r="A229" i="26" s="1" a="1"/>
  <c r="A229" i="26" s="1"/>
  <c r="E257" i="26"/>
  <c r="CS257" i="26" s="1"/>
  <c r="A257" i="26" s="1" a="1"/>
  <c r="A257" i="26" s="1"/>
  <c r="E278" i="26"/>
  <c r="CS278" i="26" s="1"/>
  <c r="A278" i="26" s="1" a="1"/>
  <c r="A278" i="26" s="1"/>
  <c r="E288" i="26"/>
  <c r="CS288" i="26" s="1"/>
  <c r="A288" i="26" s="1" a="1"/>
  <c r="A288" i="26" s="1"/>
  <c r="V54" i="30"/>
  <c r="V45" i="30"/>
  <c r="V158" i="30"/>
  <c r="V30" i="30"/>
  <c r="V24" i="30"/>
  <c r="CX349" i="9"/>
  <c r="A349" i="9" s="1" a="1"/>
  <c r="A349" i="9" s="1"/>
  <c r="CX178" i="9"/>
  <c r="A178" i="9" s="1" a="1"/>
  <c r="A178" i="9" s="1"/>
  <c r="CX102" i="9"/>
  <c r="A102" i="9" s="1" a="1"/>
  <c r="A102" i="9" s="1"/>
  <c r="CX140" i="9"/>
  <c r="A140" i="9" s="1" a="1"/>
  <c r="A140" i="9" s="1"/>
  <c r="CB645" i="9"/>
  <c r="CZ178" i="1"/>
  <c r="CR178" i="1" s="1"/>
  <c r="A178" i="1" s="1" a="1"/>
  <c r="A178" i="1" s="1"/>
  <c r="W49" i="32"/>
  <c r="BY49" i="32" s="1"/>
  <c r="CR49" i="32" s="1"/>
  <c r="CN49" i="32" s="1"/>
  <c r="A49" i="32" s="1" a="1"/>
  <c r="A49" i="32" s="1"/>
  <c r="V32" i="32"/>
  <c r="V25" i="32"/>
  <c r="V26" i="32"/>
  <c r="V18" i="32"/>
  <c r="V20" i="32" s="1"/>
  <c r="V15" i="32"/>
  <c r="V62" i="32" s="1"/>
  <c r="CX292" i="9"/>
  <c r="A292" i="9" s="1" a="1"/>
  <c r="A292" i="9" s="1"/>
  <c r="BX62" i="33"/>
  <c r="CA645" i="9"/>
  <c r="CX273" i="9"/>
  <c r="A273" i="9" s="1" a="1"/>
  <c r="A273" i="9" s="1"/>
  <c r="V178" i="20"/>
  <c r="V146" i="20"/>
  <c r="V193" i="30"/>
  <c r="BX42" i="6"/>
  <c r="BX193" i="30" s="1"/>
  <c r="BX76" i="33" s="1"/>
  <c r="E44" i="6"/>
  <c r="CR44" i="6" s="1"/>
  <c r="A44" i="6" s="1" a="1"/>
  <c r="A44" i="6" s="1"/>
  <c r="CD176" i="30"/>
  <c r="CD206" i="30"/>
  <c r="CD88" i="33" s="1"/>
  <c r="CD90" i="33" s="1"/>
  <c r="CD54" i="30"/>
  <c r="CD45" i="30"/>
  <c r="CD30" i="30"/>
  <c r="CD158" i="30"/>
  <c r="CD24" i="30"/>
  <c r="CD62" i="30"/>
  <c r="CD45" i="32" s="1"/>
  <c r="CD60" i="30"/>
  <c r="CD110" i="30"/>
  <c r="CD22" i="32" s="1"/>
  <c r="CD99" i="33" s="1"/>
  <c r="CD131" i="30"/>
  <c r="CD195" i="30"/>
  <c r="CD78" i="33" s="1"/>
  <c r="CD80" i="33" s="1"/>
  <c r="CD124" i="30"/>
  <c r="CD74" i="30"/>
  <c r="CD137" i="30"/>
  <c r="CX387" i="9"/>
  <c r="A387" i="9" s="1" a="1"/>
  <c r="A387" i="9" s="1"/>
  <c r="CY165" i="30"/>
  <c r="CQ165" i="30" s="1"/>
  <c r="A165" i="30" s="1" a="1"/>
  <c r="A165" i="30" s="1"/>
  <c r="CX235" i="9"/>
  <c r="A235" i="9" s="1" a="1"/>
  <c r="A235" i="9" s="1"/>
  <c r="BX645" i="9"/>
  <c r="CX425" i="9"/>
  <c r="A425" i="9" s="1" a="1"/>
  <c r="A425" i="9" s="1"/>
  <c r="CG176" i="30"/>
  <c r="CG206" i="30"/>
  <c r="CG88" i="33" s="1"/>
  <c r="CG90" i="33" s="1"/>
  <c r="CG54" i="30"/>
  <c r="CG45" i="30"/>
  <c r="CG30" i="30"/>
  <c r="CG158" i="30"/>
  <c r="CG24" i="30"/>
  <c r="CG62" i="30"/>
  <c r="CG45" i="32" s="1"/>
  <c r="CG60" i="30"/>
  <c r="CG110" i="30"/>
  <c r="CG22" i="32" s="1"/>
  <c r="CG99" i="33" s="1"/>
  <c r="CG131" i="30"/>
  <c r="CG124" i="30"/>
  <c r="CG195" i="30"/>
  <c r="CG78" i="33" s="1"/>
  <c r="CG80" i="33" s="1"/>
  <c r="CG74" i="30"/>
  <c r="CG137" i="30"/>
  <c r="CG49" i="32"/>
  <c r="CI176" i="30"/>
  <c r="CI206" i="30"/>
  <c r="CI88" i="33" s="1"/>
  <c r="CI90" i="33" s="1"/>
  <c r="CI54" i="30"/>
  <c r="CI45" i="30"/>
  <c r="CI30" i="30"/>
  <c r="CI158" i="30"/>
  <c r="CI24" i="30"/>
  <c r="CI62" i="30"/>
  <c r="CI45" i="32" s="1"/>
  <c r="CI60" i="30"/>
  <c r="CI131" i="30"/>
  <c r="CI110" i="30"/>
  <c r="CI22" i="32" s="1"/>
  <c r="CI99" i="33" s="1"/>
  <c r="CI124" i="30"/>
  <c r="CI195" i="30"/>
  <c r="CI78" i="33" s="1"/>
  <c r="CI80" i="33" s="1"/>
  <c r="CI74" i="30"/>
  <c r="CI137" i="30"/>
  <c r="CH645" i="9"/>
  <c r="BZ645" i="9"/>
  <c r="CX311" i="9"/>
  <c r="A311" i="9" s="1" a="1"/>
  <c r="A311" i="9" s="1"/>
  <c r="CE49" i="32"/>
  <c r="CD25" i="32"/>
  <c r="CD24" i="35" s="1"/>
  <c r="CD26" i="32"/>
  <c r="CD25" i="35" s="1"/>
  <c r="CD49" i="32"/>
  <c r="CD15" i="32"/>
  <c r="CD62" i="32" s="1"/>
  <c r="CD18" i="32"/>
  <c r="CD32" i="32"/>
  <c r="CX254" i="9"/>
  <c r="A254" i="9" s="1" a="1"/>
  <c r="A254" i="9" s="1"/>
  <c r="CX330" i="9"/>
  <c r="A330" i="9" s="1" a="1"/>
  <c r="A330" i="9" s="1"/>
  <c r="CX83" i="9"/>
  <c r="A83" i="9" s="1" a="1"/>
  <c r="A83" i="9" s="1"/>
  <c r="CI25" i="32"/>
  <c r="CI24" i="35" s="1"/>
  <c r="CI26" i="32"/>
  <c r="CI25" i="35" s="1"/>
  <c r="CI15" i="32"/>
  <c r="CI62" i="32" s="1"/>
  <c r="CI18" i="32"/>
  <c r="CI32" i="32"/>
  <c r="BX61" i="33"/>
  <c r="CX64" i="9"/>
  <c r="A64" i="9" s="1" a="1"/>
  <c r="A64" i="9" s="1"/>
  <c r="CX368" i="9"/>
  <c r="A368" i="9" s="1" a="1"/>
  <c r="A368" i="9" s="1"/>
  <c r="CX197" i="9"/>
  <c r="A197" i="9" s="1" a="1"/>
  <c r="A197" i="9" s="1"/>
  <c r="V15" i="36"/>
  <c r="V13" i="36"/>
  <c r="V17" i="36"/>
  <c r="CG645" i="9"/>
  <c r="CI49" i="32"/>
  <c r="CX121" i="9"/>
  <c r="A121" i="9" s="1" a="1"/>
  <c r="A121" i="9" s="1"/>
  <c r="CX406" i="9"/>
  <c r="A406" i="9" s="1" a="1"/>
  <c r="A406" i="9" s="1"/>
  <c r="CF645" i="9"/>
  <c r="BY645" i="9"/>
  <c r="CY190" i="30"/>
  <c r="CQ190" i="30" s="1"/>
  <c r="A190" i="30" s="1" a="1"/>
  <c r="A190" i="30" s="1"/>
  <c r="V131" i="13"/>
  <c r="V130" i="13"/>
  <c r="V132" i="13"/>
  <c r="V102" i="13"/>
  <c r="V101" i="13"/>
  <c r="CD21" i="35"/>
  <c r="CD18" i="35"/>
  <c r="CD19" i="35" s="1"/>
  <c r="CD15" i="35"/>
  <c r="CD16" i="35" s="1"/>
  <c r="CD13" i="35"/>
  <c r="G24" i="48"/>
  <c r="AS58" i="48" s="1"/>
  <c r="AS38" i="53"/>
  <c r="AB11" i="54"/>
  <c r="AC10" i="54"/>
  <c r="AV38" i="53"/>
  <c r="AP53" i="53"/>
  <c r="AX53" i="53"/>
  <c r="BF53" i="53"/>
  <c r="CE53" i="53"/>
  <c r="V71" i="53"/>
  <c r="AH71" i="53"/>
  <c r="AP71" i="53"/>
  <c r="AX71" i="53"/>
  <c r="BF71" i="53"/>
  <c r="CE71" i="53"/>
  <c r="AC71" i="53"/>
  <c r="AK71" i="53"/>
  <c r="BA71" i="53"/>
  <c r="BI71" i="53"/>
  <c r="R14" i="49"/>
  <c r="R18" i="49" s="1"/>
  <c r="R29" i="49" s="1"/>
  <c r="G27" i="49"/>
  <c r="U29" i="49"/>
  <c r="G13" i="49"/>
  <c r="G22" i="49"/>
  <c r="G33" i="49"/>
  <c r="AB53" i="53"/>
  <c r="AJ53" i="53"/>
  <c r="AZ53" i="53"/>
  <c r="AM53" i="53"/>
  <c r="BC53" i="53"/>
  <c r="BX51" i="53"/>
  <c r="AB71" i="53"/>
  <c r="AJ71" i="53"/>
  <c r="AZ71" i="53"/>
  <c r="BH71" i="53"/>
  <c r="CB71" i="53"/>
  <c r="K24" i="48"/>
  <c r="J31" i="48"/>
  <c r="J36" i="48" s="1"/>
  <c r="H12" i="49"/>
  <c r="H13" i="49"/>
  <c r="H22" i="49"/>
  <c r="H33" i="49"/>
  <c r="CF38" i="53"/>
  <c r="AG31" i="48"/>
  <c r="AG36" i="48" s="1"/>
  <c r="J37" i="48"/>
  <c r="J38" i="48" s="1"/>
  <c r="AD53" i="53"/>
  <c r="AL53" i="53"/>
  <c r="AT53" i="53"/>
  <c r="BB53" i="53"/>
  <c r="BJ53" i="53"/>
  <c r="AD71" i="53"/>
  <c r="AL71" i="53"/>
  <c r="AT71" i="53"/>
  <c r="BB71" i="53"/>
  <c r="BJ71" i="53"/>
  <c r="CI71" i="53"/>
  <c r="AJ31" i="48"/>
  <c r="AJ36" i="48" s="1"/>
  <c r="U31" i="49" s="1"/>
  <c r="AQ38" i="53"/>
  <c r="AJ38" i="53"/>
  <c r="CB73" i="53"/>
  <c r="AA24" i="48"/>
  <c r="AM37" i="48"/>
  <c r="AM38" i="48" s="1"/>
  <c r="AA14" i="49"/>
  <c r="AA18" i="49" s="1"/>
  <c r="AE38" i="53"/>
  <c r="AM38" i="53"/>
  <c r="AU38" i="53"/>
  <c r="BC38" i="53"/>
  <c r="AK38" i="53"/>
  <c r="CF71" i="53"/>
  <c r="H9" i="49"/>
  <c r="G17" i="49"/>
  <c r="X24" i="49"/>
  <c r="X29" i="49" s="1"/>
  <c r="X31" i="49" s="1"/>
  <c r="U24" i="49"/>
  <c r="G26" i="49"/>
  <c r="BX33" i="53"/>
  <c r="CD53" i="53"/>
  <c r="CF53" i="53"/>
  <c r="BX68" i="53"/>
  <c r="AO73" i="53"/>
  <c r="CG73" i="53"/>
  <c r="H17" i="49"/>
  <c r="H26" i="49"/>
  <c r="G33" i="48"/>
  <c r="G41" i="48"/>
  <c r="G17" i="48"/>
  <c r="BX86" i="53"/>
  <c r="BX88" i="53" s="1"/>
  <c r="BX71" i="53"/>
  <c r="BC73" i="53"/>
  <c r="AG73" i="53"/>
  <c r="AF73" i="53"/>
  <c r="AV73" i="53"/>
  <c r="BD73" i="53"/>
  <c r="CI73" i="53"/>
  <c r="AQ73" i="53"/>
  <c r="AA38" i="53"/>
  <c r="AA73" i="53" s="1"/>
  <c r="AY38" i="53"/>
  <c r="V53" i="53"/>
  <c r="V73" i="53" s="1"/>
  <c r="V77" i="53" s="1"/>
  <c r="AW73" i="53"/>
  <c r="BE73" i="53"/>
  <c r="AR73" i="53"/>
  <c r="AB38" i="53"/>
  <c r="AB73" i="53" s="1"/>
  <c r="AZ38" i="53"/>
  <c r="AZ73" i="53" s="1"/>
  <c r="AN38" i="53"/>
  <c r="AN73" i="53" s="1"/>
  <c r="BA38" i="53"/>
  <c r="AI73" i="53"/>
  <c r="BX36" i="53"/>
  <c r="BX38" i="53" s="1"/>
  <c r="AE53" i="53"/>
  <c r="AU53" i="53"/>
  <c r="CH53" i="53"/>
  <c r="CH73" i="53" s="1"/>
  <c r="BX102" i="53"/>
  <c r="AE71" i="53"/>
  <c r="AM71" i="53"/>
  <c r="AM73" i="53" s="1"/>
  <c r="AU71" i="53"/>
  <c r="AU73" i="53" s="1"/>
  <c r="CF73" i="53"/>
  <c r="AY73" i="53"/>
  <c r="BG73" i="53"/>
  <c r="CC73" i="53"/>
  <c r="AC38" i="53"/>
  <c r="AC73" i="53" s="1"/>
  <c r="BI38" i="53"/>
  <c r="BI73" i="53" s="1"/>
  <c r="AJ73" i="53"/>
  <c r="BH73" i="53"/>
  <c r="CD73" i="53"/>
  <c r="AD38" i="53"/>
  <c r="AD73" i="53" s="1"/>
  <c r="AL38" i="53"/>
  <c r="AL73" i="53" s="1"/>
  <c r="AT38" i="53"/>
  <c r="AT73" i="53" s="1"/>
  <c r="BB38" i="53"/>
  <c r="BB73" i="53" s="1"/>
  <c r="BJ38" i="53"/>
  <c r="BJ73" i="53" s="1"/>
  <c r="AK53" i="53"/>
  <c r="AK73" i="53" s="1"/>
  <c r="AS53" i="53"/>
  <c r="BA53" i="53"/>
  <c r="BA73" i="53" s="1"/>
  <c r="BI53" i="53"/>
  <c r="AS71" i="53"/>
  <c r="AH73" i="53"/>
  <c r="AP73" i="53"/>
  <c r="AX73" i="53"/>
  <c r="BF73" i="53"/>
  <c r="AA22" i="48"/>
  <c r="H14" i="49"/>
  <c r="BX50" i="53"/>
  <c r="BX53" i="53" s="1"/>
  <c r="CE73" i="53"/>
  <c r="AP37" i="48"/>
  <c r="AP38" i="48" s="1"/>
  <c r="AP31" i="48"/>
  <c r="AP36" i="48" s="1"/>
  <c r="Z26" i="48"/>
  <c r="Z31" i="48" s="1"/>
  <c r="Z36" i="48" s="1"/>
  <c r="AF31" i="48"/>
  <c r="AF36" i="48" s="1"/>
  <c r="AF37" i="48"/>
  <c r="R26" i="48"/>
  <c r="S22" i="48"/>
  <c r="W14" i="49"/>
  <c r="W18" i="49" s="1"/>
  <c r="AL31" i="48"/>
  <c r="AL36" i="48" s="1"/>
  <c r="S24" i="48"/>
  <c r="R31" i="48"/>
  <c r="R36" i="48" s="1"/>
  <c r="AA24" i="49"/>
  <c r="AA29" i="49" s="1"/>
  <c r="AI37" i="48"/>
  <c r="AI38" i="48" s="1"/>
  <c r="AI31" i="48"/>
  <c r="AI36" i="48" s="1"/>
  <c r="R37" i="48"/>
  <c r="R38" i="48" s="1"/>
  <c r="Z37" i="48"/>
  <c r="Z38" i="48" s="1"/>
  <c r="AO31" i="48"/>
  <c r="AO36" i="48" s="1"/>
  <c r="Z31" i="49" s="1"/>
  <c r="AO37" i="48"/>
  <c r="AO38" i="48" s="1"/>
  <c r="T14" i="49"/>
  <c r="T18" i="49" s="1"/>
  <c r="T24" i="49"/>
  <c r="G23" i="49"/>
  <c r="H27" i="49"/>
  <c r="H34" i="49"/>
  <c r="H23" i="49"/>
  <c r="G16" i="49"/>
  <c r="H11" i="49"/>
  <c r="G8" i="49"/>
  <c r="G11" i="49"/>
  <c r="G21" i="49"/>
  <c r="Q14" i="49"/>
  <c r="Q18" i="49" s="1"/>
  <c r="Q29" i="49" s="1"/>
  <c r="G12" i="49"/>
  <c r="H16" i="49"/>
  <c r="H21" i="49"/>
  <c r="H24" i="49" s="1"/>
  <c r="W24" i="49"/>
  <c r="CF32" i="30" l="1"/>
  <c r="CF36" i="30" s="1"/>
  <c r="AV109" i="6"/>
  <c r="AU130" i="6"/>
  <c r="AT20" i="6"/>
  <c r="AT18" i="6"/>
  <c r="AT124" i="30"/>
  <c r="AT139" i="30" s="1"/>
  <c r="AT32" i="32"/>
  <c r="CE14" i="32"/>
  <c r="CF39" i="32"/>
  <c r="CH39" i="32"/>
  <c r="CH32" i="30"/>
  <c r="CH36" i="30" s="1"/>
  <c r="CH47" i="30" s="1"/>
  <c r="CL42" i="6"/>
  <c r="CL2" i="6" s="1" a="1"/>
  <c r="CL2" i="6" s="1"/>
  <c r="CO42" i="6" a="1"/>
  <c r="CO42" i="6" s="1"/>
  <c r="CS42" i="6"/>
  <c r="CI14" i="32"/>
  <c r="CI32" i="30"/>
  <c r="CI36" i="30" s="1"/>
  <c r="CD14" i="32"/>
  <c r="CD32" i="30"/>
  <c r="CD36" i="30" s="1"/>
  <c r="V76" i="33"/>
  <c r="E30" i="50" s="1"/>
  <c r="E32" i="50" s="1"/>
  <c r="CY193" i="30"/>
  <c r="CQ193" i="30" s="1"/>
  <c r="A193" i="30" s="1" a="1"/>
  <c r="A193" i="30" s="1"/>
  <c r="V195" i="30"/>
  <c r="V125" i="13"/>
  <c r="CF63" i="32"/>
  <c r="CF28" i="32"/>
  <c r="CF34" i="32"/>
  <c r="CF33" i="32"/>
  <c r="CF56" i="32"/>
  <c r="CF55" i="32"/>
  <c r="CF54" i="32"/>
  <c r="CF53" i="32"/>
  <c r="CF52" i="32"/>
  <c r="CF51" i="32"/>
  <c r="CF50" i="32"/>
  <c r="CF46" i="32"/>
  <c r="CF59" i="32"/>
  <c r="CF44" i="32"/>
  <c r="CF42" i="32"/>
  <c r="CF40" i="32"/>
  <c r="CF38" i="32"/>
  <c r="CF67" i="32"/>
  <c r="V174" i="20"/>
  <c r="V156" i="20"/>
  <c r="V51" i="35"/>
  <c r="V23" i="35"/>
  <c r="V71" i="13"/>
  <c r="V99" i="35" s="1"/>
  <c r="V32" i="36"/>
  <c r="V98" i="33"/>
  <c r="V105" i="13"/>
  <c r="V124" i="13"/>
  <c r="BX195" i="30"/>
  <c r="BX78" i="33" s="1"/>
  <c r="BX80" i="33" s="1"/>
  <c r="CG14" i="32"/>
  <c r="CG66" i="32" s="1"/>
  <c r="CG32" i="30"/>
  <c r="CG36" i="30" s="1"/>
  <c r="V25" i="35"/>
  <c r="V60" i="35"/>
  <c r="V34" i="36"/>
  <c r="V22" i="32"/>
  <c r="BX20" i="6"/>
  <c r="BX18" i="6"/>
  <c r="CS110" i="6"/>
  <c r="A110" i="6" s="1" a="1"/>
  <c r="A110" i="6" s="1"/>
  <c r="E114" i="6"/>
  <c r="CR114" i="6" s="1"/>
  <c r="A114" i="6" s="1" a="1"/>
  <c r="A114" i="6" s="1"/>
  <c r="V24" i="35"/>
  <c r="V33" i="36"/>
  <c r="V23" i="32"/>
  <c r="V112" i="30"/>
  <c r="BX174" i="1"/>
  <c r="BX181" i="1" s="1"/>
  <c r="BX156" i="1"/>
  <c r="BX166" i="1" s="1"/>
  <c r="BX137" i="30"/>
  <c r="CY137" i="30" s="1"/>
  <c r="CQ137" i="30" s="1"/>
  <c r="A137" i="30" s="1" a="1"/>
  <c r="A137" i="30" s="1"/>
  <c r="BX131" i="30"/>
  <c r="CY131" i="30" s="1"/>
  <c r="CQ131" i="30" s="1"/>
  <c r="A131" i="30" s="1" a="1"/>
  <c r="A131" i="30" s="1"/>
  <c r="BX206" i="30"/>
  <c r="BX88" i="33" s="1"/>
  <c r="BX90" i="33" s="1"/>
  <c r="BX124" i="30"/>
  <c r="CY124" i="30" s="1"/>
  <c r="CQ124" i="30" s="1"/>
  <c r="BX88" i="30"/>
  <c r="BX110" i="30"/>
  <c r="BX22" i="32" s="1"/>
  <c r="BX74" i="30"/>
  <c r="CY74" i="30" s="1"/>
  <c r="CQ74" i="30" s="1"/>
  <c r="A74" i="30" s="1" a="1"/>
  <c r="A74" i="30" s="1"/>
  <c r="BX54" i="30"/>
  <c r="CY54" i="30" s="1"/>
  <c r="CQ54" i="30" s="1"/>
  <c r="A54" i="30" s="1" a="1"/>
  <c r="A54" i="30" s="1"/>
  <c r="BX45" i="30"/>
  <c r="CY45" i="30" s="1"/>
  <c r="CQ45" i="30" s="1"/>
  <c r="A45" i="30" s="1" a="1"/>
  <c r="A45" i="30" s="1"/>
  <c r="BX30" i="30"/>
  <c r="CY30" i="30" s="1"/>
  <c r="CQ30" i="30" s="1"/>
  <c r="A30" i="30" s="1" a="1"/>
  <c r="A30" i="30" s="1"/>
  <c r="BX158" i="30"/>
  <c r="BX24" i="30"/>
  <c r="CY24" i="30" s="1"/>
  <c r="CQ24" i="30" s="1"/>
  <c r="A24" i="30" s="1" a="1"/>
  <c r="A24" i="30" s="1"/>
  <c r="CZ146" i="1"/>
  <c r="CR146" i="1" s="1"/>
  <c r="A146" i="1" s="1" a="1"/>
  <c r="A146" i="1" s="1"/>
  <c r="CE43" i="32"/>
  <c r="CE47" i="30"/>
  <c r="CE38" i="30"/>
  <c r="DE645" i="9"/>
  <c r="A645" i="9" s="1" a="1"/>
  <c r="A645" i="9" s="1"/>
  <c r="A2" i="9" s="1" a="1"/>
  <c r="A2" i="9" s="1"/>
  <c r="A20" i="14" s="1"/>
  <c r="V123" i="13"/>
  <c r="V114" i="30"/>
  <c r="CH34" i="32"/>
  <c r="CH33" i="32"/>
  <c r="CH56" i="32"/>
  <c r="CH55" i="32"/>
  <c r="CH54" i="32"/>
  <c r="CH53" i="32"/>
  <c r="CH52" i="32"/>
  <c r="CH51" i="32"/>
  <c r="CH50" i="32"/>
  <c r="CH46" i="32"/>
  <c r="CH59" i="32"/>
  <c r="CH44" i="32"/>
  <c r="CH42" i="32"/>
  <c r="CH40" i="32"/>
  <c r="CH38" i="32"/>
  <c r="CH28" i="32"/>
  <c r="CH63" i="32"/>
  <c r="CH67" i="32"/>
  <c r="BX32" i="32"/>
  <c r="CQ32" i="32" s="1"/>
  <c r="CN32" i="32" s="1"/>
  <c r="A32" i="32" s="1" a="1"/>
  <c r="A32" i="32" s="1"/>
  <c r="BX25" i="32"/>
  <c r="BX26" i="32"/>
  <c r="CL26" i="32" s="1"/>
  <c r="BX18" i="32"/>
  <c r="BX15" i="32"/>
  <c r="V166" i="1"/>
  <c r="V114" i="13"/>
  <c r="V88" i="33"/>
  <c r="V90" i="33" s="1"/>
  <c r="BX35" i="30"/>
  <c r="V35" i="30" s="1"/>
  <c r="CY35" i="30" s="1"/>
  <c r="CQ35" i="30" s="1"/>
  <c r="A35" i="30" s="1" a="1"/>
  <c r="A35" i="30" s="1"/>
  <c r="BX178" i="20"/>
  <c r="DB178" i="20" s="1"/>
  <c r="CT178" i="20" s="1"/>
  <c r="A178" i="20" s="1" a="1"/>
  <c r="A178" i="20" s="1"/>
  <c r="BX146" i="20"/>
  <c r="V181" i="1"/>
  <c r="V97" i="13"/>
  <c r="V14" i="32"/>
  <c r="V66" i="32" s="1"/>
  <c r="V32" i="30"/>
  <c r="A2" i="26" a="1"/>
  <c r="A2" i="26" s="1"/>
  <c r="A19" i="14" s="1"/>
  <c r="BX15" i="35"/>
  <c r="BX16" i="35" s="1"/>
  <c r="BX18" i="35"/>
  <c r="BX19" i="35" s="1"/>
  <c r="BX13" i="35"/>
  <c r="BX21" i="35"/>
  <c r="V98" i="13"/>
  <c r="CF43" i="32"/>
  <c r="CF47" i="30"/>
  <c r="CF38" i="30"/>
  <c r="AU58" i="48"/>
  <c r="R31" i="49"/>
  <c r="Q31" i="49"/>
  <c r="AA31" i="49"/>
  <c r="AC11" i="54"/>
  <c r="AD10" i="54"/>
  <c r="T29" i="49"/>
  <c r="T31" i="49" s="1"/>
  <c r="W29" i="49"/>
  <c r="W31" i="49" s="1"/>
  <c r="AS73" i="53"/>
  <c r="V82" i="53"/>
  <c r="AA76" i="53"/>
  <c r="W76" i="53"/>
  <c r="G27" i="48"/>
  <c r="G12" i="48"/>
  <c r="G11" i="48"/>
  <c r="H18" i="49"/>
  <c r="H29" i="49" s="1"/>
  <c r="G24" i="49"/>
  <c r="BX73" i="53"/>
  <c r="BX77" i="53" s="1"/>
  <c r="V81" i="53"/>
  <c r="V83" i="53" s="1"/>
  <c r="V12" i="54"/>
  <c r="V86" i="53"/>
  <c r="V88" i="53" s="1"/>
  <c r="BX91" i="53"/>
  <c r="BX93" i="53" s="1"/>
  <c r="G9" i="48"/>
  <c r="AU61" i="48"/>
  <c r="AS61" i="48"/>
  <c r="G14" i="49"/>
  <c r="G18" i="49" s="1"/>
  <c r="G29" i="49" s="1"/>
  <c r="AE73" i="53"/>
  <c r="V91" i="53"/>
  <c r="V93" i="53" s="1"/>
  <c r="B21" i="14" a="1"/>
  <c r="CD39" i="32" l="1"/>
  <c r="CD66" i="32"/>
  <c r="CE39" i="32"/>
  <c r="CE66" i="32"/>
  <c r="CI39" i="32"/>
  <c r="CI66" i="32"/>
  <c r="CE52" i="32"/>
  <c r="AT141" i="30"/>
  <c r="AT143" i="30"/>
  <c r="AU133" i="6"/>
  <c r="AU119" i="30" s="1"/>
  <c r="AU16" i="6"/>
  <c r="CE59" i="32"/>
  <c r="AV114" i="6"/>
  <c r="AV125" i="6"/>
  <c r="CE56" i="32"/>
  <c r="CE33" i="32"/>
  <c r="CE46" i="32"/>
  <c r="CE51" i="32"/>
  <c r="CE28" i="32"/>
  <c r="CE44" i="32"/>
  <c r="CE63" i="32"/>
  <c r="CH43" i="32"/>
  <c r="CE50" i="32"/>
  <c r="CE34" i="32"/>
  <c r="CE53" i="32"/>
  <c r="CE38" i="32"/>
  <c r="CE67" i="32"/>
  <c r="CE54" i="32"/>
  <c r="CE40" i="32"/>
  <c r="CE55" i="32"/>
  <c r="CE42" i="32"/>
  <c r="CH38" i="30"/>
  <c r="CZ181" i="1"/>
  <c r="CR181" i="1" s="1"/>
  <c r="A181" i="1" s="1" a="1"/>
  <c r="A181" i="1" s="1"/>
  <c r="CZ174" i="1"/>
  <c r="CR174" i="1" s="1"/>
  <c r="A174" i="1" s="1" a="1"/>
  <c r="A174" i="1" s="1"/>
  <c r="A42" i="6" a="1"/>
  <c r="A42" i="6" s="1"/>
  <c r="CN90" i="33"/>
  <c r="A90" i="33" s="1" a="1"/>
  <c r="A90" i="33" s="1"/>
  <c r="B21" i="14"/>
  <c r="V56" i="35"/>
  <c r="V83" i="13"/>
  <c r="V100" i="35" s="1"/>
  <c r="V14" i="12"/>
  <c r="BX174" i="20"/>
  <c r="BX181" i="20" s="1"/>
  <c r="BX62" i="30" s="1"/>
  <c r="BX156" i="20"/>
  <c r="BX166" i="20" s="1"/>
  <c r="CZ156" i="1"/>
  <c r="CR156" i="1" s="1"/>
  <c r="A156" i="1" s="1" a="1"/>
  <c r="A156" i="1" s="1"/>
  <c r="BX99" i="33"/>
  <c r="CQ22" i="32"/>
  <c r="CN22" i="32" s="1"/>
  <c r="A22" i="32" s="1" a="1"/>
  <c r="A22" i="32" s="1"/>
  <c r="CY110" i="30"/>
  <c r="CQ110" i="30" s="1"/>
  <c r="A110" i="30" s="1" a="1"/>
  <c r="A110" i="30" s="1"/>
  <c r="CG63" i="32"/>
  <c r="CG34" i="32"/>
  <c r="CG33" i="32"/>
  <c r="CG56" i="32"/>
  <c r="CG55" i="32"/>
  <c r="CG54" i="32"/>
  <c r="CG53" i="32"/>
  <c r="CG52" i="32"/>
  <c r="CG51" i="32"/>
  <c r="CG50" i="32"/>
  <c r="CG46" i="32"/>
  <c r="CG59" i="32"/>
  <c r="CG44" i="32"/>
  <c r="CG42" i="32"/>
  <c r="CG40" i="32"/>
  <c r="CG38" i="32"/>
  <c r="CG28" i="32"/>
  <c r="CG67" i="32"/>
  <c r="V36" i="30"/>
  <c r="CZ166" i="1"/>
  <c r="CR166" i="1" s="1"/>
  <c r="A166" i="1" s="1" a="1"/>
  <c r="A166" i="1" s="1"/>
  <c r="BX23" i="32"/>
  <c r="CQ23" i="32" s="1"/>
  <c r="CN23" i="32" s="1"/>
  <c r="A23" i="32" s="1" a="1"/>
  <c r="A23" i="32" s="1"/>
  <c r="BX112" i="30"/>
  <c r="CY112" i="30" s="1"/>
  <c r="CQ112" i="30" s="1"/>
  <c r="A112" i="30" s="1" a="1"/>
  <c r="A112" i="30" s="1"/>
  <c r="V55" i="35"/>
  <c r="V99" i="33"/>
  <c r="BX24" i="35"/>
  <c r="CQ25" i="32"/>
  <c r="CN25" i="32" s="1"/>
  <c r="A25" i="32" s="1" a="1"/>
  <c r="A25" i="32" s="1"/>
  <c r="CF54" i="33"/>
  <c r="CF41" i="32"/>
  <c r="CF148" i="30"/>
  <c r="CF180" i="30" s="1"/>
  <c r="CF56" i="30"/>
  <c r="BX62" i="32"/>
  <c r="CQ62" i="32" s="1"/>
  <c r="CN62" i="32" s="1"/>
  <c r="A62" i="32" s="1" a="1"/>
  <c r="A62" i="32" s="1"/>
  <c r="CQ15" i="32"/>
  <c r="CN15" i="32" s="1"/>
  <c r="A15" i="32" s="1" a="1"/>
  <c r="A15" i="32" s="1"/>
  <c r="BX14" i="32"/>
  <c r="BX66" i="32" s="1"/>
  <c r="BX32" i="30"/>
  <c r="BX36" i="30" s="1"/>
  <c r="CD43" i="32"/>
  <c r="CD47" i="30"/>
  <c r="CD38" i="30"/>
  <c r="V46" i="32"/>
  <c r="V28" i="32"/>
  <c r="V59" i="32"/>
  <c r="V44" i="32"/>
  <c r="V32" i="35" s="1"/>
  <c r="V33" i="32"/>
  <c r="V42" i="32"/>
  <c r="V40" i="32"/>
  <c r="V38" i="32"/>
  <c r="V63" i="32"/>
  <c r="V34" i="32"/>
  <c r="V67" i="32"/>
  <c r="V79" i="35" s="1"/>
  <c r="V99" i="13"/>
  <c r="CQ18" i="32"/>
  <c r="CN18" i="32" s="1"/>
  <c r="A18" i="32" s="1" a="1"/>
  <c r="A18" i="32" s="1"/>
  <c r="BX20" i="32"/>
  <c r="V139" i="30"/>
  <c r="CY88" i="30"/>
  <c r="CQ88" i="30" s="1"/>
  <c r="A88" i="30" s="1" a="1"/>
  <c r="A88" i="30" s="1"/>
  <c r="CD59" i="32"/>
  <c r="CD44" i="32"/>
  <c r="CD42" i="32"/>
  <c r="CD40" i="32"/>
  <c r="CD38" i="32"/>
  <c r="CD63" i="32"/>
  <c r="CD28" i="32"/>
  <c r="CD34" i="32"/>
  <c r="CD33" i="32"/>
  <c r="CD56" i="32"/>
  <c r="CD54" i="32"/>
  <c r="CD52" i="32"/>
  <c r="CD50" i="32"/>
  <c r="CD46" i="32"/>
  <c r="CD55" i="32"/>
  <c r="CD53" i="32"/>
  <c r="CD51" i="32"/>
  <c r="CD67" i="32"/>
  <c r="BX25" i="35"/>
  <c r="CQ26" i="32"/>
  <c r="CN26" i="32" s="1"/>
  <c r="A26" i="32" s="1" a="1"/>
  <c r="A26" i="32" s="1"/>
  <c r="V122" i="13"/>
  <c r="DB146" i="20"/>
  <c r="CT146" i="20" s="1"/>
  <c r="A146" i="20" s="1" a="1"/>
  <c r="A146" i="20" s="1"/>
  <c r="CG39" i="32"/>
  <c r="V166" i="20"/>
  <c r="CI43" i="32"/>
  <c r="CI47" i="30"/>
  <c r="CI38" i="30"/>
  <c r="CL25" i="32"/>
  <c r="V181" i="20"/>
  <c r="CI56" i="32"/>
  <c r="CI55" i="32"/>
  <c r="CI54" i="32"/>
  <c r="CI53" i="32"/>
  <c r="CI52" i="32"/>
  <c r="CI51" i="32"/>
  <c r="CI50" i="32"/>
  <c r="CI46" i="32"/>
  <c r="CI59" i="32"/>
  <c r="CI44" i="32"/>
  <c r="CI42" i="32"/>
  <c r="CI40" i="32"/>
  <c r="CI38" i="32"/>
  <c r="CI63" i="32"/>
  <c r="CI28" i="32"/>
  <c r="CI33" i="32"/>
  <c r="CI34" i="32"/>
  <c r="CI67" i="32"/>
  <c r="CE54" i="33"/>
  <c r="CE41" i="32"/>
  <c r="CE148" i="30"/>
  <c r="CE180" i="30" s="1"/>
  <c r="CE56" i="30"/>
  <c r="BX114" i="30"/>
  <c r="BX139" i="30" s="1"/>
  <c r="CH54" i="33"/>
  <c r="CH41" i="32"/>
  <c r="CH148" i="30"/>
  <c r="CH180" i="30" s="1"/>
  <c r="CH56" i="30"/>
  <c r="CG43" i="32"/>
  <c r="CG47" i="30"/>
  <c r="CG38" i="30"/>
  <c r="V111" i="13"/>
  <c r="V78" i="33"/>
  <c r="V80" i="33" s="1"/>
  <c r="CN80" i="33" s="1"/>
  <c r="A80" i="33" s="1" a="1"/>
  <c r="A80" i="33" s="1"/>
  <c r="BX81" i="53"/>
  <c r="AD11" i="54"/>
  <c r="AE10" i="54"/>
  <c r="AU49" i="48"/>
  <c r="AS49" i="48"/>
  <c r="AU52" i="48"/>
  <c r="AS52" i="48"/>
  <c r="G10" i="48"/>
  <c r="G34" i="48"/>
  <c r="G13" i="48"/>
  <c r="BX82" i="53"/>
  <c r="BY76" i="53"/>
  <c r="AS50" i="48"/>
  <c r="AU50" i="48"/>
  <c r="V13" i="54"/>
  <c r="AA77" i="53"/>
  <c r="G22" i="48"/>
  <c r="G23" i="48"/>
  <c r="V14" i="54"/>
  <c r="V15" i="54"/>
  <c r="AW109" i="6" l="1"/>
  <c r="AV130" i="6"/>
  <c r="AU18" i="6"/>
  <c r="AU20" i="6"/>
  <c r="AU124" i="30"/>
  <c r="AU139" i="30" s="1"/>
  <c r="AU32" i="32"/>
  <c r="DB156" i="20"/>
  <c r="CT156" i="20" s="1"/>
  <c r="A156" i="20" s="1" a="1"/>
  <c r="A156" i="20" s="1"/>
  <c r="DB181" i="20"/>
  <c r="CT181" i="20" s="1"/>
  <c r="A181" i="20" s="1" a="1"/>
  <c r="A181" i="20" s="1"/>
  <c r="CY114" i="30"/>
  <c r="CQ114" i="30" s="1"/>
  <c r="A114" i="30" s="1" a="1"/>
  <c r="A114" i="30" s="1"/>
  <c r="CE37" i="32"/>
  <c r="CE58" i="30"/>
  <c r="V103" i="13"/>
  <c r="V43" i="32"/>
  <c r="V31" i="35" s="1"/>
  <c r="V47" i="30"/>
  <c r="CY36" i="30"/>
  <c r="CQ36" i="30" s="1"/>
  <c r="A36" i="30" s="1" a="1"/>
  <c r="A36" i="30" s="1"/>
  <c r="V38" i="30"/>
  <c r="CG54" i="33"/>
  <c r="CG41" i="32"/>
  <c r="CG148" i="30"/>
  <c r="CG180" i="30" s="1"/>
  <c r="CG56" i="30"/>
  <c r="CE82" i="35"/>
  <c r="CE67" i="33"/>
  <c r="CE69" i="33" s="1"/>
  <c r="CE31" i="32"/>
  <c r="CE27" i="32"/>
  <c r="CE208" i="30"/>
  <c r="CE92" i="33" s="1"/>
  <c r="V35" i="35"/>
  <c r="V19" i="13"/>
  <c r="V95" i="35" s="1"/>
  <c r="V15" i="12"/>
  <c r="CF37" i="32"/>
  <c r="CF58" i="30"/>
  <c r="BX257" i="6"/>
  <c r="V257" i="6" s="1"/>
  <c r="CY139" i="30"/>
  <c r="CQ139" i="30" s="1"/>
  <c r="V143" i="30"/>
  <c r="V141" i="30"/>
  <c r="CF82" i="35"/>
  <c r="CF67" i="33"/>
  <c r="CF69" i="33" s="1"/>
  <c r="CF31" i="32"/>
  <c r="CF27" i="32"/>
  <c r="CF208" i="30"/>
  <c r="CF92" i="33" s="1"/>
  <c r="BX45" i="32"/>
  <c r="V62" i="30"/>
  <c r="CH37" i="32"/>
  <c r="CH58" i="30"/>
  <c r="CI54" i="33"/>
  <c r="CI41" i="32"/>
  <c r="CI148" i="30"/>
  <c r="CI180" i="30" s="1"/>
  <c r="CI56" i="30"/>
  <c r="BX51" i="35"/>
  <c r="BX23" i="35"/>
  <c r="BX98" i="33"/>
  <c r="CQ20" i="32"/>
  <c r="CN20" i="32" s="1"/>
  <c r="A20" i="32" s="1" a="1"/>
  <c r="A20" i="32" s="1"/>
  <c r="V39" i="35"/>
  <c r="V32" i="13"/>
  <c r="V96" i="35" s="1"/>
  <c r="CD54" i="33"/>
  <c r="CD41" i="32"/>
  <c r="CD148" i="30"/>
  <c r="CD180" i="30" s="1"/>
  <c r="CD56" i="30"/>
  <c r="V47" i="35"/>
  <c r="V57" i="13"/>
  <c r="V98" i="35" s="1"/>
  <c r="V16" i="12"/>
  <c r="BX43" i="32"/>
  <c r="CQ43" i="32" s="1"/>
  <c r="CN43" i="32" s="1"/>
  <c r="A43" i="32" s="1" a="1"/>
  <c r="A43" i="32" s="1"/>
  <c r="BX47" i="30"/>
  <c r="BX38" i="30"/>
  <c r="CH82" i="35"/>
  <c r="CH67" i="33"/>
  <c r="CH69" i="33" s="1"/>
  <c r="CH31" i="32"/>
  <c r="CH27" i="32"/>
  <c r="CH208" i="30"/>
  <c r="CH92" i="33" s="1"/>
  <c r="DB166" i="20"/>
  <c r="CT166" i="20" s="1"/>
  <c r="A166" i="20" s="1" a="1"/>
  <c r="A166" i="20" s="1"/>
  <c r="BX63" i="32"/>
  <c r="CQ63" i="32" s="1"/>
  <c r="CN63" i="32" s="1"/>
  <c r="A63" i="32" s="1" a="1"/>
  <c r="A63" i="32" s="1"/>
  <c r="BX28" i="32"/>
  <c r="CQ28" i="32" s="1"/>
  <c r="CN28" i="32" s="1"/>
  <c r="A28" i="32" s="1" a="1"/>
  <c r="A28" i="32" s="1"/>
  <c r="BX34" i="32"/>
  <c r="CQ34" i="32" s="1"/>
  <c r="CN34" i="32" s="1"/>
  <c r="A34" i="32" s="1" a="1"/>
  <c r="A34" i="32" s="1"/>
  <c r="BX33" i="32"/>
  <c r="CQ33" i="32" s="1"/>
  <c r="CN33" i="32" s="1"/>
  <c r="A33" i="32" s="1" a="1"/>
  <c r="A33" i="32" s="1"/>
  <c r="CQ14" i="32"/>
  <c r="CN14" i="32" s="1"/>
  <c r="A14" i="32" s="1" a="1"/>
  <c r="A14" i="32" s="1"/>
  <c r="BX56" i="32"/>
  <c r="BX55" i="32"/>
  <c r="BX54" i="32"/>
  <c r="BX53" i="32"/>
  <c r="BX52" i="32"/>
  <c r="BX51" i="32"/>
  <c r="BX50" i="32"/>
  <c r="BX46" i="32"/>
  <c r="CQ46" i="32" s="1"/>
  <c r="CN46" i="32" s="1"/>
  <c r="A46" i="32" s="1" a="1"/>
  <c r="A46" i="32" s="1"/>
  <c r="BX59" i="32"/>
  <c r="BX44" i="32"/>
  <c r="CQ44" i="32" s="1"/>
  <c r="CN44" i="32" s="1"/>
  <c r="A44" i="32" s="1" a="1"/>
  <c r="A44" i="32" s="1"/>
  <c r="CQ66" i="32"/>
  <c r="CN66" i="32" s="1"/>
  <c r="A66" i="32" s="1" a="1"/>
  <c r="A66" i="32" s="1"/>
  <c r="BX42" i="32"/>
  <c r="CQ42" i="32" s="1"/>
  <c r="CN42" i="32" s="1"/>
  <c r="A42" i="32" s="1" a="1"/>
  <c r="A42" i="32" s="1"/>
  <c r="BX40" i="32"/>
  <c r="CQ40" i="32" s="1"/>
  <c r="CN40" i="32" s="1"/>
  <c r="A40" i="32" s="1" a="1"/>
  <c r="A40" i="32" s="1"/>
  <c r="BX38" i="32"/>
  <c r="CQ38" i="32" s="1"/>
  <c r="CN38" i="32" s="1"/>
  <c r="A38" i="32" s="1" a="1"/>
  <c r="A38" i="32" s="1"/>
  <c r="BX67" i="32"/>
  <c r="CQ67" i="32" s="1"/>
  <c r="CN67" i="32" s="1"/>
  <c r="A67" i="32" s="1" a="1"/>
  <c r="A67" i="32" s="1"/>
  <c r="BX143" i="30"/>
  <c r="BX141" i="30"/>
  <c r="DB174" i="20"/>
  <c r="CT174" i="20" s="1"/>
  <c r="A174" i="20" s="1" a="1"/>
  <c r="A174" i="20" s="1"/>
  <c r="CY32" i="30"/>
  <c r="CQ32" i="30" s="1"/>
  <c r="A32" i="30" s="1" a="1"/>
  <c r="A32" i="30" s="1"/>
  <c r="BX83" i="53"/>
  <c r="CG101" i="53"/>
  <c r="CG103" i="53" s="1"/>
  <c r="CD101" i="53"/>
  <c r="CD103" i="53" s="1"/>
  <c r="BX101" i="53"/>
  <c r="BX103" i="53" s="1"/>
  <c r="CC101" i="53"/>
  <c r="CC103" i="53" s="1"/>
  <c r="CF101" i="53"/>
  <c r="CF103" i="53" s="1"/>
  <c r="CI101" i="53"/>
  <c r="CI103" i="53" s="1"/>
  <c r="CH101" i="53"/>
  <c r="CH103" i="53" s="1"/>
  <c r="CD91" i="53"/>
  <c r="CD93" i="53" s="1"/>
  <c r="CE101" i="53"/>
  <c r="CE103" i="53" s="1"/>
  <c r="AF10" i="54"/>
  <c r="AE11" i="54"/>
  <c r="CF91" i="53"/>
  <c r="CF93" i="53" s="1"/>
  <c r="CG91" i="53"/>
  <c r="CG93" i="53" s="1"/>
  <c r="AU51" i="48"/>
  <c r="AS51" i="48"/>
  <c r="G42" i="48"/>
  <c r="V4" i="54"/>
  <c r="V4" i="53"/>
  <c r="C66" i="49"/>
  <c r="C48" i="49"/>
  <c r="I6" i="49"/>
  <c r="C52" i="49"/>
  <c r="C38" i="49"/>
  <c r="G6" i="49"/>
  <c r="C54" i="49"/>
  <c r="C58" i="49"/>
  <c r="C40" i="49"/>
  <c r="L6" i="49"/>
  <c r="C56" i="49"/>
  <c r="C46" i="49"/>
  <c r="C64" i="49"/>
  <c r="C62" i="49"/>
  <c r="C44" i="49"/>
  <c r="C50" i="49"/>
  <c r="C66" i="54"/>
  <c r="P5" i="48"/>
  <c r="C60" i="49"/>
  <c r="N5" i="48"/>
  <c r="AW45" i="48" s="1"/>
  <c r="W3" i="54"/>
  <c r="C42" i="49"/>
  <c r="W3" i="53"/>
  <c r="CC91" i="53"/>
  <c r="CC93" i="53" s="1"/>
  <c r="AS62" i="48"/>
  <c r="AU62" i="48"/>
  <c r="W5" i="54"/>
  <c r="W5" i="53"/>
  <c r="V101" i="53"/>
  <c r="V103" i="53" s="1"/>
  <c r="W4" i="54"/>
  <c r="W4" i="53"/>
  <c r="AA5" i="54"/>
  <c r="AA5" i="53"/>
  <c r="G26" i="48"/>
  <c r="G29" i="48" s="1"/>
  <c r="AS56" i="48"/>
  <c r="AU56" i="48"/>
  <c r="AA13" i="54"/>
  <c r="AA82" i="53"/>
  <c r="AB76" i="53"/>
  <c r="AB77" i="53" s="1"/>
  <c r="CH91" i="53"/>
  <c r="CH93" i="53" s="1"/>
  <c r="AS57" i="48"/>
  <c r="AU57" i="48"/>
  <c r="AA3" i="53"/>
  <c r="AA3" i="54"/>
  <c r="AA4" i="54"/>
  <c r="AA4" i="53"/>
  <c r="A3" i="53" a="1"/>
  <c r="A3" i="54" a="1"/>
  <c r="B2" i="54" a="1"/>
  <c r="B2" i="53" a="1"/>
  <c r="AU143" i="30" l="1"/>
  <c r="AU141" i="30"/>
  <c r="AV133" i="6"/>
  <c r="AV119" i="30" s="1"/>
  <c r="AV16" i="6"/>
  <c r="AW114" i="6"/>
  <c r="AW125" i="6"/>
  <c r="V21" i="12"/>
  <c r="CH94" i="33"/>
  <c r="V19" i="12"/>
  <c r="CE94" i="33"/>
  <c r="V50" i="32"/>
  <c r="CQ50" i="32" s="1"/>
  <c r="CN50" i="32" s="1"/>
  <c r="A50" i="32" s="1" a="1"/>
  <c r="A50" i="32" s="1"/>
  <c r="CH340" i="3"/>
  <c r="CH338" i="3"/>
  <c r="CH334" i="3"/>
  <c r="CH331" i="3"/>
  <c r="CH337" i="3"/>
  <c r="CH339" i="3"/>
  <c r="CH335" i="3"/>
  <c r="CH324" i="3"/>
  <c r="CH333" i="3"/>
  <c r="CH332" i="3"/>
  <c r="CH328" i="3"/>
  <c r="CH326" i="3"/>
  <c r="CH330" i="3"/>
  <c r="CH329" i="3"/>
  <c r="CH336" i="3"/>
  <c r="CH327" i="3"/>
  <c r="CH321" i="3"/>
  <c r="CH323" i="3"/>
  <c r="CH325" i="3"/>
  <c r="CH322" i="3"/>
  <c r="CI82" i="35"/>
  <c r="CI67" i="33"/>
  <c r="CI69" i="33" s="1"/>
  <c r="CI27" i="32"/>
  <c r="CI31" i="32"/>
  <c r="CI208" i="30"/>
  <c r="CI92" i="33" s="1"/>
  <c r="CS257" i="6"/>
  <c r="A257" i="6" s="1" a="1"/>
  <c r="A257" i="6" s="1"/>
  <c r="V258" i="6"/>
  <c r="E259" i="6" s="1"/>
  <c r="CR259" i="6" s="1"/>
  <c r="A259" i="6" s="1" a="1"/>
  <c r="A259" i="6" s="1"/>
  <c r="CE339" i="3"/>
  <c r="CE338" i="3"/>
  <c r="CE337" i="3"/>
  <c r="CE336" i="3"/>
  <c r="CE335" i="3"/>
  <c r="CE334" i="3"/>
  <c r="CE340" i="3"/>
  <c r="CE327" i="3"/>
  <c r="CE325" i="3"/>
  <c r="CE333" i="3"/>
  <c r="CE331" i="3"/>
  <c r="CE328" i="3"/>
  <c r="CE324" i="3"/>
  <c r="CE332" i="3"/>
  <c r="CE330" i="3"/>
  <c r="CE326" i="3"/>
  <c r="CE323" i="3"/>
  <c r="CE322" i="3"/>
  <c r="CE321" i="3"/>
  <c r="CE329" i="3"/>
  <c r="CL38" i="30"/>
  <c r="CY38" i="30"/>
  <c r="CQ38" i="30" s="1"/>
  <c r="V51" i="32"/>
  <c r="CQ51" i="32" s="1"/>
  <c r="CN51" i="32" s="1"/>
  <c r="A51" i="32" s="1" a="1"/>
  <c r="A51" i="32" s="1"/>
  <c r="V29" i="12"/>
  <c r="V14" i="13" s="1"/>
  <c r="V93" i="35" s="1"/>
  <c r="CF339" i="3"/>
  <c r="CF338" i="3"/>
  <c r="CF337" i="3"/>
  <c r="CF336" i="3"/>
  <c r="CF335" i="3"/>
  <c r="CF334" i="3"/>
  <c r="CF333" i="3"/>
  <c r="CF340" i="3"/>
  <c r="CF328" i="3"/>
  <c r="CF322" i="3"/>
  <c r="CF331" i="3"/>
  <c r="CF330" i="3"/>
  <c r="CF323" i="3"/>
  <c r="CF325" i="3"/>
  <c r="CF324" i="3"/>
  <c r="CF332" i="3"/>
  <c r="CF326" i="3"/>
  <c r="CF329" i="3"/>
  <c r="CF327" i="3"/>
  <c r="CF321" i="3"/>
  <c r="V52" i="32"/>
  <c r="CQ52" i="32" s="1"/>
  <c r="CN52" i="32" s="1"/>
  <c r="A52" i="32" s="1" a="1"/>
  <c r="A52" i="32" s="1"/>
  <c r="V106" i="13"/>
  <c r="V54" i="33"/>
  <c r="E10" i="50" s="1"/>
  <c r="E16" i="50" s="1"/>
  <c r="E42" i="50" s="1"/>
  <c r="V41" i="32"/>
  <c r="V148" i="30"/>
  <c r="V56" i="30"/>
  <c r="CY47" i="30"/>
  <c r="CQ47" i="30" s="1"/>
  <c r="A47" i="30" s="1" a="1"/>
  <c r="A47" i="30" s="1"/>
  <c r="V53" i="32"/>
  <c r="CQ53" i="32" s="1"/>
  <c r="CN53" i="32" s="1"/>
  <c r="A53" i="32" s="1" a="1"/>
  <c r="A53" i="32" s="1"/>
  <c r="V20" i="12"/>
  <c r="V28" i="12" s="1"/>
  <c r="CG37" i="32"/>
  <c r="CG58" i="30"/>
  <c r="V54" i="32"/>
  <c r="CQ54" i="32" s="1"/>
  <c r="CN54" i="32" s="1"/>
  <c r="A54" i="32" s="1" a="1"/>
  <c r="A54" i="32" s="1"/>
  <c r="BX54" i="33"/>
  <c r="BX41" i="32"/>
  <c r="BX148" i="30"/>
  <c r="BX180" i="30" s="1"/>
  <c r="BX56" i="30"/>
  <c r="CD37" i="32"/>
  <c r="CD58" i="30"/>
  <c r="CG82" i="35"/>
  <c r="CG67" i="33"/>
  <c r="CG69" i="33" s="1"/>
  <c r="CG31" i="32"/>
  <c r="CG27" i="32"/>
  <c r="CG208" i="30"/>
  <c r="CG92" i="33" s="1"/>
  <c r="V55" i="32"/>
  <c r="CQ55" i="32" s="1"/>
  <c r="CN55" i="32" s="1"/>
  <c r="A55" i="32" s="1" a="1"/>
  <c r="A55" i="32" s="1"/>
  <c r="CD82" i="35"/>
  <c r="CD67" i="33"/>
  <c r="CD69" i="33" s="1"/>
  <c r="CD31" i="32"/>
  <c r="CD27" i="32"/>
  <c r="CD208" i="30"/>
  <c r="V45" i="32"/>
  <c r="CY62" i="30"/>
  <c r="CQ62" i="30" s="1"/>
  <c r="A62" i="30" s="1" a="1"/>
  <c r="A62" i="30" s="1"/>
  <c r="V56" i="32"/>
  <c r="CQ56" i="32" s="1"/>
  <c r="CN56" i="32" s="1"/>
  <c r="A56" i="32" s="1" a="1"/>
  <c r="A56" i="32" s="1"/>
  <c r="CI37" i="32"/>
  <c r="CI58" i="30"/>
  <c r="CF94" i="33"/>
  <c r="AD91" i="53"/>
  <c r="AD93" i="53" s="1"/>
  <c r="A3" i="53"/>
  <c r="B2" i="53"/>
  <c r="A3" i="54"/>
  <c r="B2" i="54"/>
  <c r="BJ91" i="53"/>
  <c r="BJ93" i="53" s="1"/>
  <c r="BB91" i="53"/>
  <c r="BB93" i="53" s="1"/>
  <c r="AG10" i="54"/>
  <c r="AF11" i="54"/>
  <c r="AA96" i="53"/>
  <c r="AA98" i="53" s="1"/>
  <c r="AB96" i="53"/>
  <c r="AB98" i="53" s="1"/>
  <c r="AH91" i="53"/>
  <c r="AH93" i="53" s="1"/>
  <c r="AB91" i="53"/>
  <c r="AB93" i="53" s="1"/>
  <c r="AD96" i="53"/>
  <c r="AD98" i="53" s="1"/>
  <c r="BF91" i="53"/>
  <c r="BF93" i="53" s="1"/>
  <c r="BG91" i="53"/>
  <c r="BG93" i="53" s="1"/>
  <c r="AA91" i="53"/>
  <c r="AA93" i="53" s="1"/>
  <c r="AY91" i="53"/>
  <c r="AY93" i="53" s="1"/>
  <c r="AC96" i="53"/>
  <c r="AC98" i="53" s="1"/>
  <c r="AF91" i="53"/>
  <c r="AF93" i="53" s="1"/>
  <c r="AF6" i="48"/>
  <c r="AY45" i="48"/>
  <c r="P6" i="48"/>
  <c r="AR91" i="53"/>
  <c r="AR93" i="53" s="1"/>
  <c r="BC91" i="53"/>
  <c r="BC93" i="53" s="1"/>
  <c r="BX96" i="53"/>
  <c r="BX98" i="53" s="1"/>
  <c r="AL91" i="53"/>
  <c r="AL93" i="53" s="1"/>
  <c r="AW91" i="53"/>
  <c r="AW93" i="53" s="1"/>
  <c r="AX91" i="53"/>
  <c r="AX93" i="53" s="1"/>
  <c r="BI91" i="53"/>
  <c r="BI93" i="53" s="1"/>
  <c r="AP91" i="53"/>
  <c r="AP93" i="53" s="1"/>
  <c r="BH91" i="53"/>
  <c r="BH93" i="53" s="1"/>
  <c r="E5" i="48"/>
  <c r="AU45" i="48" s="1"/>
  <c r="V3" i="54"/>
  <c r="V3" i="53"/>
  <c r="AS59" i="48"/>
  <c r="AT91" i="53"/>
  <c r="AT93" i="53" s="1"/>
  <c r="V5" i="54"/>
  <c r="V5" i="53"/>
  <c r="BE91" i="53"/>
  <c r="BE93" i="53" s="1"/>
  <c r="BY4" i="54"/>
  <c r="BY4" i="53"/>
  <c r="AZ91" i="53"/>
  <c r="AZ93" i="53" s="1"/>
  <c r="AE91" i="53"/>
  <c r="AE93" i="53" s="1"/>
  <c r="AU59" i="48"/>
  <c r="AS91" i="53"/>
  <c r="AS93" i="53" s="1"/>
  <c r="AM91" i="53"/>
  <c r="AM93" i="53" s="1"/>
  <c r="CE91" i="53"/>
  <c r="CE93" i="53" s="1"/>
  <c r="X4" i="53"/>
  <c r="X4" i="54"/>
  <c r="AN91" i="53"/>
  <c r="AN93" i="53" s="1"/>
  <c r="BY3" i="54"/>
  <c r="BY3" i="53"/>
  <c r="AO91" i="53"/>
  <c r="AO93" i="53" s="1"/>
  <c r="AG91" i="53"/>
  <c r="AG93" i="53" s="1"/>
  <c r="AQ91" i="53"/>
  <c r="AQ93" i="53" s="1"/>
  <c r="CI91" i="53"/>
  <c r="CI93" i="53" s="1"/>
  <c r="AV91" i="53"/>
  <c r="AV93" i="53" s="1"/>
  <c r="AB13" i="54"/>
  <c r="AC76" i="53"/>
  <c r="AC77" i="53" s="1"/>
  <c r="AB82" i="53"/>
  <c r="BY5" i="54"/>
  <c r="BY5" i="53"/>
  <c r="AC91" i="53"/>
  <c r="AC93" i="53" s="1"/>
  <c r="AI91" i="53"/>
  <c r="AI93" i="53" s="1"/>
  <c r="AK91" i="53"/>
  <c r="AK93" i="53" s="1"/>
  <c r="AX109" i="6" l="1"/>
  <c r="AW130" i="6"/>
  <c r="AV20" i="6"/>
  <c r="AV18" i="6"/>
  <c r="AV32" i="32"/>
  <c r="AV124" i="30"/>
  <c r="AV139" i="30" s="1"/>
  <c r="CG94" i="33"/>
  <c r="CI94" i="33"/>
  <c r="A38" i="30" a="1"/>
  <c r="A38" i="30" s="1"/>
  <c r="CQ41" i="32"/>
  <c r="CN41" i="32" s="1"/>
  <c r="A41" i="32" s="1" a="1"/>
  <c r="A41" i="32" s="1"/>
  <c r="V34" i="35"/>
  <c r="V18" i="13"/>
  <c r="BX37" i="32"/>
  <c r="BX58" i="30"/>
  <c r="CD92" i="33"/>
  <c r="CD94" i="33" s="1"/>
  <c r="CD212" i="30"/>
  <c r="BX82" i="35"/>
  <c r="BX67" i="33"/>
  <c r="BX69" i="33" s="1"/>
  <c r="BX31" i="32"/>
  <c r="BX27" i="32"/>
  <c r="BX208" i="30"/>
  <c r="BX92" i="33" s="1"/>
  <c r="V23" i="12"/>
  <c r="V15" i="13" s="1"/>
  <c r="V94" i="35" s="1"/>
  <c r="BX258" i="6"/>
  <c r="V284" i="6"/>
  <c r="V168" i="1"/>
  <c r="CD339" i="3"/>
  <c r="CD338" i="3"/>
  <c r="CD337" i="3"/>
  <c r="CD336" i="3"/>
  <c r="CD335" i="3"/>
  <c r="CD334" i="3"/>
  <c r="CD333" i="3"/>
  <c r="CD332" i="3"/>
  <c r="CD331" i="3"/>
  <c r="CD330" i="3"/>
  <c r="CD329" i="3"/>
  <c r="CD328" i="3"/>
  <c r="CD327" i="3"/>
  <c r="CD326" i="3"/>
  <c r="CD323" i="3"/>
  <c r="CD340" i="3"/>
  <c r="CD324" i="3"/>
  <c r="CD325" i="3"/>
  <c r="CD322" i="3"/>
  <c r="CD321" i="3"/>
  <c r="V37" i="32"/>
  <c r="CY56" i="30"/>
  <c r="CQ56" i="30" s="1"/>
  <c r="A56" i="30" s="1" a="1"/>
  <c r="A56" i="30" s="1"/>
  <c r="V58" i="30"/>
  <c r="V109" i="13"/>
  <c r="V180" i="30"/>
  <c r="CY148" i="30"/>
  <c r="CQ148" i="30" s="1"/>
  <c r="A148" i="30" s="1" a="1"/>
  <c r="A148" i="30" s="1"/>
  <c r="CI340" i="3"/>
  <c r="CI326" i="3"/>
  <c r="CI325" i="3"/>
  <c r="CI321" i="3"/>
  <c r="CI337" i="3"/>
  <c r="CI339" i="3"/>
  <c r="CI328" i="3"/>
  <c r="CI322" i="3"/>
  <c r="CI333" i="3"/>
  <c r="CI332" i="3"/>
  <c r="CI331" i="3"/>
  <c r="CI330" i="3"/>
  <c r="CI329" i="3"/>
  <c r="CI336" i="3"/>
  <c r="CI327" i="3"/>
  <c r="CI335" i="3"/>
  <c r="CI334" i="3"/>
  <c r="CI324" i="3"/>
  <c r="CI338" i="3"/>
  <c r="CI323" i="3"/>
  <c r="V38" i="35"/>
  <c r="V31" i="13"/>
  <c r="CG340" i="3"/>
  <c r="CG339" i="3"/>
  <c r="CG338" i="3"/>
  <c r="CG337" i="3"/>
  <c r="CG336" i="3"/>
  <c r="CG335" i="3"/>
  <c r="CG334" i="3"/>
  <c r="CG333" i="3"/>
  <c r="CG332" i="3"/>
  <c r="CG331" i="3"/>
  <c r="CG330" i="3"/>
  <c r="CG329" i="3"/>
  <c r="CG328" i="3"/>
  <c r="CG327" i="3"/>
  <c r="CG326" i="3"/>
  <c r="CG325" i="3"/>
  <c r="CG324" i="3"/>
  <c r="CG323" i="3"/>
  <c r="CG322" i="3"/>
  <c r="CG321" i="3"/>
  <c r="CQ45" i="32"/>
  <c r="CN45" i="32" s="1"/>
  <c r="A45" i="32" s="1" a="1"/>
  <c r="A45" i="32" s="1"/>
  <c r="AG11" i="54"/>
  <c r="AH10" i="54"/>
  <c r="AJ91" i="53"/>
  <c r="AJ93" i="53" s="1"/>
  <c r="X5" i="54"/>
  <c r="X5" i="53"/>
  <c r="BX5" i="54"/>
  <c r="BX5" i="53"/>
  <c r="AB4" i="54"/>
  <c r="AB4" i="53"/>
  <c r="V96" i="53"/>
  <c r="V98" i="53" s="1"/>
  <c r="AB3" i="54"/>
  <c r="AB3" i="53"/>
  <c r="Q6" i="49"/>
  <c r="AI6" i="48"/>
  <c r="AB5" i="54"/>
  <c r="AB5" i="53"/>
  <c r="H6" i="49"/>
  <c r="C57" i="49"/>
  <c r="C43" i="49"/>
  <c r="C61" i="49"/>
  <c r="C47" i="49"/>
  <c r="C65" i="49"/>
  <c r="C63" i="49"/>
  <c r="C45" i="49"/>
  <c r="M6" i="49"/>
  <c r="C67" i="49"/>
  <c r="C49" i="49"/>
  <c r="C55" i="49"/>
  <c r="C53" i="49"/>
  <c r="C59" i="49"/>
  <c r="C41" i="49"/>
  <c r="C39" i="49"/>
  <c r="W5" i="48"/>
  <c r="X3" i="54"/>
  <c r="B24" i="54" s="1"/>
  <c r="C51" i="49"/>
  <c r="J6" i="49"/>
  <c r="X3" i="53"/>
  <c r="AU91" i="53"/>
  <c r="AU93" i="53" s="1"/>
  <c r="AC13" i="54"/>
  <c r="AD76" i="53"/>
  <c r="AD77" i="53" s="1"/>
  <c r="AC82" i="53"/>
  <c r="BX4" i="54"/>
  <c r="BX4" i="53"/>
  <c r="BA91" i="53"/>
  <c r="BA93" i="53" s="1"/>
  <c r="BD91" i="53"/>
  <c r="BD93" i="53" s="1"/>
  <c r="BZ4" i="54"/>
  <c r="BZ4" i="53"/>
  <c r="BX3" i="54"/>
  <c r="BX3" i="53"/>
  <c r="AV141" i="30" l="1"/>
  <c r="AV143" i="30"/>
  <c r="AW133" i="6"/>
  <c r="AW119" i="30" s="1"/>
  <c r="AW16" i="6"/>
  <c r="AX114" i="6"/>
  <c r="AX125" i="6"/>
  <c r="BX94" i="33"/>
  <c r="CQ37" i="32"/>
  <c r="CN37" i="32" s="1"/>
  <c r="A37" i="32" s="1" a="1"/>
  <c r="A37" i="32" s="1"/>
  <c r="BX284" i="6"/>
  <c r="CS284" i="6" s="1"/>
  <c r="A284" i="6" s="1" a="1"/>
  <c r="A284" i="6" s="1"/>
  <c r="BX168" i="1"/>
  <c r="CZ168" i="1" s="1"/>
  <c r="CR168" i="1" s="1"/>
  <c r="A168" i="1" s="1" a="1"/>
  <c r="A168" i="1" s="1"/>
  <c r="V82" i="35"/>
  <c r="V112" i="13"/>
  <c r="V67" i="33"/>
  <c r="V69" i="33" s="1"/>
  <c r="CN69" i="33" s="1"/>
  <c r="A69" i="33" s="1" a="1"/>
  <c r="A69" i="33" s="1"/>
  <c r="V31" i="32"/>
  <c r="V27" i="32"/>
  <c r="CQ27" i="32" s="1"/>
  <c r="CN27" i="32" s="1"/>
  <c r="A27" i="32" s="1" a="1"/>
  <c r="A27" i="32" s="1"/>
  <c r="V208" i="30"/>
  <c r="CD363" i="3"/>
  <c r="CD361" i="3"/>
  <c r="CD359" i="3"/>
  <c r="CD357" i="3"/>
  <c r="CD355" i="3"/>
  <c r="CD353" i="3"/>
  <c r="CD351" i="3"/>
  <c r="CD362" i="3"/>
  <c r="CD360" i="3"/>
  <c r="CD352" i="3"/>
  <c r="CD346" i="3"/>
  <c r="CD349" i="3"/>
  <c r="CD344" i="3"/>
  <c r="CD347" i="3"/>
  <c r="CD350" i="3"/>
  <c r="CD358" i="3"/>
  <c r="CD354" i="3"/>
  <c r="CD348" i="3"/>
  <c r="CD356" i="3"/>
  <c r="CD345" i="3"/>
  <c r="CD316" i="3"/>
  <c r="CD385" i="3" s="1"/>
  <c r="CD314" i="3"/>
  <c r="CD383" i="3" s="1"/>
  <c r="CD307" i="3"/>
  <c r="CD376" i="3" s="1"/>
  <c r="CD299" i="3"/>
  <c r="CD368" i="3" s="1"/>
  <c r="CD315" i="3"/>
  <c r="CD384" i="3" s="1"/>
  <c r="CD310" i="3"/>
  <c r="CD379" i="3" s="1"/>
  <c r="CD302" i="3"/>
  <c r="CD371" i="3" s="1"/>
  <c r="CD313" i="3"/>
  <c r="CD382" i="3" s="1"/>
  <c r="CD317" i="3"/>
  <c r="CD386" i="3" s="1"/>
  <c r="CD309" i="3"/>
  <c r="CD378" i="3" s="1"/>
  <c r="CD301" i="3"/>
  <c r="CD370" i="3" s="1"/>
  <c r="CD306" i="3"/>
  <c r="CD375" i="3" s="1"/>
  <c r="CD300" i="3"/>
  <c r="CD369" i="3" s="1"/>
  <c r="CD308" i="3"/>
  <c r="CD377" i="3" s="1"/>
  <c r="CD311" i="3"/>
  <c r="CD380" i="3" s="1"/>
  <c r="CD312" i="3"/>
  <c r="CD381" i="3" s="1"/>
  <c r="CD305" i="3"/>
  <c r="CD374" i="3" s="1"/>
  <c r="CD303" i="3"/>
  <c r="CD372" i="3" s="1"/>
  <c r="CD304" i="3"/>
  <c r="CD373" i="3" s="1"/>
  <c r="CD298" i="3"/>
  <c r="CD367" i="3" s="1"/>
  <c r="CD96" i="33"/>
  <c r="CD101" i="33" s="1"/>
  <c r="CD104" i="33" s="1"/>
  <c r="CE211" i="30"/>
  <c r="CE212" i="30" s="1"/>
  <c r="CD214" i="30"/>
  <c r="CD217" i="30" s="1"/>
  <c r="CD83" i="6"/>
  <c r="CL58" i="30"/>
  <c r="CY58" i="30"/>
  <c r="CQ58" i="30" s="1"/>
  <c r="V168" i="20"/>
  <c r="V170" i="1"/>
  <c r="CS258" i="6"/>
  <c r="A258" i="6" s="1" a="1"/>
  <c r="A258" i="6" s="1"/>
  <c r="G14" i="48"/>
  <c r="G16" i="48" s="1"/>
  <c r="AH11" i="54"/>
  <c r="AI10" i="54"/>
  <c r="BC45" i="48"/>
  <c r="X6" i="48"/>
  <c r="AG6" i="48"/>
  <c r="AE96" i="53"/>
  <c r="AE98" i="53" s="1"/>
  <c r="BZ3" i="54"/>
  <c r="BZ3" i="53"/>
  <c r="BZ5" i="54"/>
  <c r="BZ5" i="53"/>
  <c r="AD13" i="54"/>
  <c r="AD82" i="53"/>
  <c r="AE76" i="53"/>
  <c r="AE77" i="53" s="1"/>
  <c r="AL6" i="48"/>
  <c r="T6" i="49"/>
  <c r="AY109" i="6" l="1"/>
  <c r="AX130" i="6"/>
  <c r="AW18" i="6"/>
  <c r="AW20" i="6"/>
  <c r="AW32" i="32"/>
  <c r="AW124" i="30"/>
  <c r="AW139" i="30" s="1"/>
  <c r="CE362" i="3"/>
  <c r="CE360" i="3"/>
  <c r="CE363" i="3"/>
  <c r="CE361" i="3"/>
  <c r="CE359" i="3"/>
  <c r="CE357" i="3"/>
  <c r="CE355" i="3"/>
  <c r="CE353" i="3"/>
  <c r="CE351" i="3"/>
  <c r="CE349" i="3"/>
  <c r="CE347" i="3"/>
  <c r="CE345" i="3"/>
  <c r="CE344" i="3"/>
  <c r="CE350" i="3"/>
  <c r="CE358" i="3"/>
  <c r="CE356" i="3"/>
  <c r="CE348" i="3"/>
  <c r="CE352" i="3"/>
  <c r="CE346" i="3"/>
  <c r="CE314" i="3"/>
  <c r="CE383" i="3" s="1"/>
  <c r="CE354" i="3"/>
  <c r="CE317" i="3"/>
  <c r="CE386" i="3" s="1"/>
  <c r="CE315" i="3"/>
  <c r="CE384" i="3" s="1"/>
  <c r="CE310" i="3"/>
  <c r="CE379" i="3" s="1"/>
  <c r="CE302" i="3"/>
  <c r="CE371" i="3" s="1"/>
  <c r="CE313" i="3"/>
  <c r="CE382" i="3" s="1"/>
  <c r="CE305" i="3"/>
  <c r="CE374" i="3" s="1"/>
  <c r="CE311" i="3"/>
  <c r="CE380" i="3" s="1"/>
  <c r="CE316" i="3"/>
  <c r="CE385" i="3" s="1"/>
  <c r="CE312" i="3"/>
  <c r="CE381" i="3" s="1"/>
  <c r="CE304" i="3"/>
  <c r="CE373" i="3" s="1"/>
  <c r="CE300" i="3"/>
  <c r="CE369" i="3" s="1"/>
  <c r="CE308" i="3"/>
  <c r="CE377" i="3" s="1"/>
  <c r="CE309" i="3"/>
  <c r="CE378" i="3" s="1"/>
  <c r="CE303" i="3"/>
  <c r="CE372" i="3" s="1"/>
  <c r="CE301" i="3"/>
  <c r="CE370" i="3" s="1"/>
  <c r="CE307" i="3"/>
  <c r="CE376" i="3" s="1"/>
  <c r="CE306" i="3"/>
  <c r="CE375" i="3" s="1"/>
  <c r="CE299" i="3"/>
  <c r="CE368" i="3" s="1"/>
  <c r="CE298" i="3"/>
  <c r="CE367" i="3" s="1"/>
  <c r="CE96" i="33"/>
  <c r="CE101" i="33" s="1"/>
  <c r="CE104" i="33" s="1"/>
  <c r="CE214" i="30"/>
  <c r="CE217" i="30" s="1"/>
  <c r="CF211" i="30"/>
  <c r="CF212" i="30" s="1"/>
  <c r="CE83" i="6"/>
  <c r="BX168" i="20"/>
  <c r="BX170" i="20" s="1"/>
  <c r="BX60" i="30" s="1"/>
  <c r="BX170" i="1"/>
  <c r="CZ170" i="1" s="1"/>
  <c r="CR170" i="1" s="1"/>
  <c r="A170" i="1" s="1" a="1"/>
  <c r="A170" i="1" s="1"/>
  <c r="A2" i="1" s="1" a="1"/>
  <c r="A2" i="1" s="1"/>
  <c r="A15" i="14" s="1"/>
  <c r="V170" i="20"/>
  <c r="V115" i="13"/>
  <c r="V92" i="33"/>
  <c r="V94" i="33" s="1"/>
  <c r="CN94" i="33" s="1"/>
  <c r="A94" i="33" s="1" a="1"/>
  <c r="A94" i="33" s="1"/>
  <c r="A2" i="33" s="1" a="1"/>
  <c r="A2" i="33" s="1"/>
  <c r="A27" i="14" s="1"/>
  <c r="E212" i="30"/>
  <c r="CN212" i="30" s="1"/>
  <c r="A212" i="30" s="1" a="1"/>
  <c r="A212" i="30" s="1"/>
  <c r="A58" i="30" a="1"/>
  <c r="A58" i="30" s="1"/>
  <c r="CD19" i="32"/>
  <c r="CD20" i="32" s="1"/>
  <c r="CD85" i="30"/>
  <c r="CD88" i="30" s="1"/>
  <c r="CD14" i="6"/>
  <c r="V43" i="35"/>
  <c r="V45" i="13"/>
  <c r="V97" i="35" s="1"/>
  <c r="CL31" i="32"/>
  <c r="CQ31" i="32"/>
  <c r="CN31" i="32" s="1"/>
  <c r="A31" i="32" s="1" a="1"/>
  <c r="A31" i="32" s="1"/>
  <c r="AU53" i="48"/>
  <c r="AU54" i="48" s="1"/>
  <c r="AV56" i="48" s="1"/>
  <c r="G19" i="48"/>
  <c r="AS53" i="48"/>
  <c r="AS54" i="48" s="1"/>
  <c r="AS60" i="48" s="1"/>
  <c r="AS63" i="48" s="1"/>
  <c r="AJ10" i="54"/>
  <c r="AI11" i="54"/>
  <c r="W6" i="49"/>
  <c r="AO6" i="48"/>
  <c r="Z6" i="49" s="1"/>
  <c r="Y3" i="54"/>
  <c r="B44" i="54" s="1"/>
  <c r="Y3" i="53"/>
  <c r="AC4" i="54"/>
  <c r="AC4" i="53"/>
  <c r="Y4" i="54"/>
  <c r="Y4" i="53"/>
  <c r="Y5" i="54"/>
  <c r="Y5" i="53"/>
  <c r="AF96" i="53"/>
  <c r="AF98" i="53" s="1"/>
  <c r="AC3" i="54"/>
  <c r="AC3" i="53"/>
  <c r="AE13" i="54"/>
  <c r="AE82" i="53"/>
  <c r="AF76" i="53"/>
  <c r="AF77" i="53" s="1"/>
  <c r="AC5" i="54"/>
  <c r="AC5" i="53"/>
  <c r="G31" i="48"/>
  <c r="G36" i="48" s="1"/>
  <c r="H24" i="48"/>
  <c r="G37" i="48"/>
  <c r="G38" i="48" s="1"/>
  <c r="H22" i="48"/>
  <c r="R6" i="49"/>
  <c r="AJ6" i="48"/>
  <c r="AW141" i="30" l="1"/>
  <c r="AW143" i="30"/>
  <c r="AX133" i="6"/>
  <c r="AX119" i="30" s="1"/>
  <c r="AX16" i="6"/>
  <c r="AY114" i="6"/>
  <c r="AY125" i="6"/>
  <c r="AT58" i="48"/>
  <c r="AT56" i="48"/>
  <c r="CD23" i="32"/>
  <c r="CD112" i="30"/>
  <c r="CD114" i="30"/>
  <c r="CD139" i="30" s="1"/>
  <c r="DB168" i="20"/>
  <c r="CT168" i="20" s="1"/>
  <c r="A168" i="20" s="1" a="1"/>
  <c r="A168" i="20" s="1"/>
  <c r="CD51" i="35"/>
  <c r="CD23" i="35"/>
  <c r="CD98" i="33"/>
  <c r="V39" i="32"/>
  <c r="BX39" i="32"/>
  <c r="V60" i="30"/>
  <c r="CY60" i="30" s="1"/>
  <c r="CQ60" i="30" s="1"/>
  <c r="A60" i="30" s="1" a="1"/>
  <c r="A60" i="30" s="1"/>
  <c r="CE19" i="32"/>
  <c r="CE20" i="32" s="1"/>
  <c r="CE85" i="30"/>
  <c r="CE88" i="30" s="1"/>
  <c r="CE14" i="6"/>
  <c r="CF362" i="3"/>
  <c r="CF360" i="3"/>
  <c r="CF358" i="3"/>
  <c r="CF356" i="3"/>
  <c r="CF354" i="3"/>
  <c r="CF352" i="3"/>
  <c r="CF350" i="3"/>
  <c r="CF348" i="3"/>
  <c r="CF346" i="3"/>
  <c r="CF363" i="3"/>
  <c r="CF361" i="3"/>
  <c r="CF357" i="3"/>
  <c r="CF349" i="3"/>
  <c r="CF344" i="3"/>
  <c r="CF355" i="3"/>
  <c r="CF353" i="3"/>
  <c r="CF347" i="3"/>
  <c r="CF351" i="3"/>
  <c r="CF359" i="3"/>
  <c r="CF345" i="3"/>
  <c r="CF317" i="3"/>
  <c r="CF386" i="3" s="1"/>
  <c r="CF313" i="3"/>
  <c r="CF382" i="3" s="1"/>
  <c r="CF305" i="3"/>
  <c r="CF374" i="3" s="1"/>
  <c r="CF308" i="3"/>
  <c r="CF377" i="3" s="1"/>
  <c r="CF311" i="3"/>
  <c r="CF380" i="3" s="1"/>
  <c r="CF316" i="3"/>
  <c r="CF385" i="3" s="1"/>
  <c r="CF312" i="3"/>
  <c r="CF381" i="3" s="1"/>
  <c r="CF314" i="3"/>
  <c r="CF383" i="3" s="1"/>
  <c r="CF307" i="3"/>
  <c r="CF376" i="3" s="1"/>
  <c r="CF299" i="3"/>
  <c r="CF368" i="3" s="1"/>
  <c r="CF309" i="3"/>
  <c r="CF378" i="3" s="1"/>
  <c r="CF310" i="3"/>
  <c r="CF379" i="3" s="1"/>
  <c r="CF303" i="3"/>
  <c r="CF372" i="3" s="1"/>
  <c r="CF301" i="3"/>
  <c r="CF370" i="3" s="1"/>
  <c r="CF302" i="3"/>
  <c r="CF371" i="3" s="1"/>
  <c r="CF306" i="3"/>
  <c r="CF375" i="3" s="1"/>
  <c r="CF304" i="3"/>
  <c r="CF373" i="3" s="1"/>
  <c r="CF300" i="3"/>
  <c r="CF369" i="3" s="1"/>
  <c r="CF315" i="3"/>
  <c r="CF384" i="3" s="1"/>
  <c r="CF298" i="3"/>
  <c r="CF367" i="3" s="1"/>
  <c r="CF96" i="33"/>
  <c r="CF101" i="33" s="1"/>
  <c r="CF104" i="33" s="1"/>
  <c r="CG211" i="30"/>
  <c r="CG212" i="30" s="1"/>
  <c r="CF214" i="30"/>
  <c r="CF217" i="30" s="1"/>
  <c r="CF83" i="6"/>
  <c r="CD18" i="6"/>
  <c r="CD20" i="6"/>
  <c r="DB170" i="20"/>
  <c r="CT170" i="20" s="1"/>
  <c r="A170" i="20" s="1" a="1"/>
  <c r="A170" i="20" s="1"/>
  <c r="AU60" i="48"/>
  <c r="AU63" i="48" s="1"/>
  <c r="AV58" i="48"/>
  <c r="AA101" i="53"/>
  <c r="AA103" i="53" s="1"/>
  <c r="AK10" i="54"/>
  <c r="AJ11" i="54"/>
  <c r="U6" i="49"/>
  <c r="AM6" i="48"/>
  <c r="AF13" i="54"/>
  <c r="AF82" i="53"/>
  <c r="AG76" i="53"/>
  <c r="AG77" i="53" s="1"/>
  <c r="CA3" i="54"/>
  <c r="CA3" i="53"/>
  <c r="AG96" i="53"/>
  <c r="AG98" i="53" s="1"/>
  <c r="CA5" i="54"/>
  <c r="CA5" i="53"/>
  <c r="CA4" i="54"/>
  <c r="CA4" i="53"/>
  <c r="AZ109" i="6" l="1"/>
  <c r="AY130" i="6"/>
  <c r="AX20" i="6"/>
  <c r="AX18" i="6"/>
  <c r="AX32" i="32"/>
  <c r="AX124" i="30"/>
  <c r="CT119" i="30"/>
  <c r="A2" i="20" a="1"/>
  <c r="A2" i="20" s="1"/>
  <c r="A16" i="14" s="1"/>
  <c r="CQ39" i="32"/>
  <c r="CN39" i="32" s="1"/>
  <c r="A39" i="32" s="1" a="1"/>
  <c r="A39" i="32" s="1"/>
  <c r="A2" i="32" s="1" a="1"/>
  <c r="A2" i="32" s="1"/>
  <c r="A25" i="14" s="1"/>
  <c r="CE51" i="35"/>
  <c r="CE23" i="35"/>
  <c r="CE98" i="33"/>
  <c r="CE20" i="6"/>
  <c r="CE18" i="6"/>
  <c r="CE23" i="32"/>
  <c r="CE112" i="30"/>
  <c r="CE114" i="30"/>
  <c r="CE139" i="30" s="1"/>
  <c r="CD141" i="30"/>
  <c r="CD143" i="30"/>
  <c r="CF19" i="32"/>
  <c r="CF20" i="32" s="1"/>
  <c r="CF85" i="30"/>
  <c r="CF88" i="30" s="1"/>
  <c r="CF14" i="6"/>
  <c r="CG363" i="3"/>
  <c r="CG362" i="3"/>
  <c r="CG360" i="3"/>
  <c r="CG358" i="3"/>
  <c r="CG356" i="3"/>
  <c r="CG354" i="3"/>
  <c r="CG352" i="3"/>
  <c r="CG361" i="3"/>
  <c r="CG355" i="3"/>
  <c r="CG353" i="3"/>
  <c r="CG347" i="3"/>
  <c r="CG351" i="3"/>
  <c r="CG350" i="3"/>
  <c r="CG348" i="3"/>
  <c r="CG357" i="3"/>
  <c r="CG349" i="3"/>
  <c r="CG344" i="3"/>
  <c r="CG317" i="3"/>
  <c r="CG386" i="3" s="1"/>
  <c r="CG345" i="3"/>
  <c r="CG346" i="3"/>
  <c r="CG359" i="3"/>
  <c r="CG308" i="3"/>
  <c r="CG377" i="3" s="1"/>
  <c r="CG300" i="3"/>
  <c r="CG369" i="3" s="1"/>
  <c r="CG311" i="3"/>
  <c r="CG380" i="3" s="1"/>
  <c r="CG303" i="3"/>
  <c r="CG372" i="3" s="1"/>
  <c r="CG316" i="3"/>
  <c r="CG385" i="3" s="1"/>
  <c r="CG312" i="3"/>
  <c r="CG381" i="3" s="1"/>
  <c r="CG314" i="3"/>
  <c r="CG383" i="3" s="1"/>
  <c r="CG315" i="3"/>
  <c r="CG384" i="3" s="1"/>
  <c r="CG310" i="3"/>
  <c r="CG379" i="3" s="1"/>
  <c r="CG302" i="3"/>
  <c r="CG371" i="3" s="1"/>
  <c r="CG309" i="3"/>
  <c r="CG378" i="3" s="1"/>
  <c r="CG298" i="3"/>
  <c r="CG367" i="3" s="1"/>
  <c r="CG301" i="3"/>
  <c r="CG370" i="3" s="1"/>
  <c r="CG307" i="3"/>
  <c r="CG376" i="3" s="1"/>
  <c r="CG306" i="3"/>
  <c r="CG375" i="3" s="1"/>
  <c r="CG305" i="3"/>
  <c r="CG374" i="3" s="1"/>
  <c r="CG304" i="3"/>
  <c r="CG373" i="3" s="1"/>
  <c r="CG313" i="3"/>
  <c r="CG382" i="3" s="1"/>
  <c r="CG299" i="3"/>
  <c r="CG368" i="3" s="1"/>
  <c r="CG96" i="33"/>
  <c r="CG101" i="33" s="1"/>
  <c r="CG104" i="33" s="1"/>
  <c r="CH211" i="30"/>
  <c r="CH212" i="30" s="1"/>
  <c r="CG214" i="30"/>
  <c r="CG217" i="30" s="1"/>
  <c r="CG83" i="6"/>
  <c r="AK11" i="54"/>
  <c r="AL10" i="54"/>
  <c r="AD3" i="54"/>
  <c r="AD3" i="53"/>
  <c r="AD5" i="54"/>
  <c r="AD5" i="53"/>
  <c r="X6" i="49"/>
  <c r="AP6" i="48"/>
  <c r="AA6" i="49" s="1"/>
  <c r="AG13" i="54"/>
  <c r="AH76" i="53"/>
  <c r="AH77" i="53" s="1"/>
  <c r="AG82" i="53"/>
  <c r="AH96" i="53"/>
  <c r="AH98" i="53" s="1"/>
  <c r="AD4" i="54"/>
  <c r="AD4" i="53"/>
  <c r="AX139" i="30" l="1"/>
  <c r="CT124" i="30"/>
  <c r="AY133" i="6"/>
  <c r="AY119" i="30" s="1"/>
  <c r="AY16" i="6"/>
  <c r="AZ114" i="6"/>
  <c r="AZ125" i="6"/>
  <c r="CF18" i="6"/>
  <c r="CF20" i="6"/>
  <c r="CF23" i="32"/>
  <c r="CF112" i="30"/>
  <c r="CF114" i="30"/>
  <c r="CF139" i="30" s="1"/>
  <c r="CF51" i="35"/>
  <c r="CF23" i="35"/>
  <c r="CF98" i="33"/>
  <c r="CG19" i="32"/>
  <c r="CG20" i="32" s="1"/>
  <c r="CG85" i="30"/>
  <c r="CG88" i="30" s="1"/>
  <c r="CG14" i="6"/>
  <c r="CH362" i="3"/>
  <c r="CH360" i="3"/>
  <c r="CH358" i="3"/>
  <c r="CH356" i="3"/>
  <c r="CH354" i="3"/>
  <c r="CH352" i="3"/>
  <c r="CH363" i="3"/>
  <c r="CH361" i="3"/>
  <c r="CH353" i="3"/>
  <c r="CH347" i="3"/>
  <c r="CH351" i="3"/>
  <c r="CH350" i="3"/>
  <c r="CH345" i="3"/>
  <c r="CH348" i="3"/>
  <c r="CH359" i="3"/>
  <c r="CH346" i="3"/>
  <c r="CH355" i="3"/>
  <c r="CH344" i="3"/>
  <c r="CH357" i="3"/>
  <c r="CH349" i="3"/>
  <c r="CH316" i="3"/>
  <c r="CH385" i="3" s="1"/>
  <c r="CH311" i="3"/>
  <c r="CH380" i="3" s="1"/>
  <c r="CH303" i="3"/>
  <c r="CH372" i="3" s="1"/>
  <c r="CH306" i="3"/>
  <c r="CH375" i="3" s="1"/>
  <c r="CH312" i="3"/>
  <c r="CH381" i="3" s="1"/>
  <c r="CH314" i="3"/>
  <c r="CH383" i="3" s="1"/>
  <c r="CH317" i="3"/>
  <c r="CH386" i="3" s="1"/>
  <c r="CH315" i="3"/>
  <c r="CH384" i="3" s="1"/>
  <c r="CH313" i="3"/>
  <c r="CH382" i="3" s="1"/>
  <c r="CH305" i="3"/>
  <c r="CH374" i="3" s="1"/>
  <c r="CH308" i="3"/>
  <c r="CH377" i="3" s="1"/>
  <c r="CH298" i="3"/>
  <c r="CH367" i="3" s="1"/>
  <c r="CH310" i="3"/>
  <c r="CH379" i="3" s="1"/>
  <c r="CH301" i="3"/>
  <c r="CH370" i="3" s="1"/>
  <c r="CH307" i="3"/>
  <c r="CH376" i="3" s="1"/>
  <c r="CH304" i="3"/>
  <c r="CH373" i="3" s="1"/>
  <c r="CH302" i="3"/>
  <c r="CH371" i="3" s="1"/>
  <c r="CH300" i="3"/>
  <c r="CH369" i="3" s="1"/>
  <c r="CH299" i="3"/>
  <c r="CH368" i="3" s="1"/>
  <c r="CH309" i="3"/>
  <c r="CH378" i="3" s="1"/>
  <c r="CH96" i="33"/>
  <c r="CH101" i="33" s="1"/>
  <c r="CH104" i="33" s="1"/>
  <c r="CI211" i="30"/>
  <c r="CI212" i="30" s="1"/>
  <c r="CH214" i="30"/>
  <c r="CH217" i="30" s="1"/>
  <c r="CH83" i="6"/>
  <c r="CE143" i="30"/>
  <c r="CE141" i="30"/>
  <c r="AB101" i="53"/>
  <c r="AB103" i="53" s="1"/>
  <c r="CB4" i="53"/>
  <c r="CB4" i="54"/>
  <c r="AL11" i="54"/>
  <c r="W11" i="54" s="1"/>
  <c r="AM10" i="54"/>
  <c r="CB5" i="54"/>
  <c r="CB5" i="53"/>
  <c r="AH13" i="54"/>
  <c r="AI76" i="53"/>
  <c r="AI77" i="53" s="1"/>
  <c r="AH82" i="53"/>
  <c r="CB3" i="53"/>
  <c r="CB3" i="54"/>
  <c r="AI96" i="53"/>
  <c r="AI98" i="53" s="1"/>
  <c r="BA109" i="6" l="1"/>
  <c r="AZ130" i="6"/>
  <c r="AY20" i="6"/>
  <c r="AY18" i="6"/>
  <c r="AY124" i="30"/>
  <c r="AY139" i="30" s="1"/>
  <c r="AY32" i="32"/>
  <c r="AX141" i="30"/>
  <c r="AX143" i="30"/>
  <c r="CT139" i="30"/>
  <c r="CI363" i="3"/>
  <c r="CI361" i="3"/>
  <c r="CI362" i="3"/>
  <c r="CI360" i="3"/>
  <c r="CI358" i="3"/>
  <c r="CI356" i="3"/>
  <c r="CI354" i="3"/>
  <c r="CI352" i="3"/>
  <c r="CI350" i="3"/>
  <c r="CI348" i="3"/>
  <c r="CI346" i="3"/>
  <c r="CI344" i="3"/>
  <c r="CI351" i="3"/>
  <c r="CI345" i="3"/>
  <c r="CI359" i="3"/>
  <c r="CI357" i="3"/>
  <c r="CI349" i="3"/>
  <c r="CI353" i="3"/>
  <c r="CI347" i="3"/>
  <c r="CI355" i="3"/>
  <c r="CI317" i="3"/>
  <c r="CI386" i="3" s="1"/>
  <c r="CI316" i="3"/>
  <c r="CI385" i="3" s="1"/>
  <c r="CI315" i="3"/>
  <c r="CI384" i="3" s="1"/>
  <c r="CI313" i="3"/>
  <c r="CI382" i="3" s="1"/>
  <c r="CI312" i="3"/>
  <c r="CI381" i="3" s="1"/>
  <c r="CI311" i="3"/>
  <c r="CI380" i="3" s="1"/>
  <c r="CI310" i="3"/>
  <c r="CI379" i="3" s="1"/>
  <c r="CI309" i="3"/>
  <c r="CI378" i="3" s="1"/>
  <c r="CI308" i="3"/>
  <c r="CI377" i="3" s="1"/>
  <c r="CI307" i="3"/>
  <c r="CI376" i="3" s="1"/>
  <c r="CI306" i="3"/>
  <c r="CI375" i="3" s="1"/>
  <c r="CI305" i="3"/>
  <c r="CI374" i="3" s="1"/>
  <c r="CI304" i="3"/>
  <c r="CI373" i="3" s="1"/>
  <c r="CI303" i="3"/>
  <c r="CI372" i="3" s="1"/>
  <c r="CI302" i="3"/>
  <c r="CI371" i="3" s="1"/>
  <c r="CI301" i="3"/>
  <c r="CI370" i="3" s="1"/>
  <c r="CI300" i="3"/>
  <c r="CI369" i="3" s="1"/>
  <c r="CI299" i="3"/>
  <c r="CI368" i="3" s="1"/>
  <c r="CI298" i="3"/>
  <c r="CI367" i="3" s="1"/>
  <c r="CI314" i="3"/>
  <c r="CI383" i="3" s="1"/>
  <c r="CI96" i="33"/>
  <c r="CI101" i="33" s="1"/>
  <c r="CI104" i="33" s="1"/>
  <c r="CI214" i="30"/>
  <c r="CI217" i="30" s="1"/>
  <c r="CI83" i="6"/>
  <c r="CF143" i="30"/>
  <c r="CF141" i="30"/>
  <c r="CG20" i="6"/>
  <c r="CG18" i="6"/>
  <c r="CG23" i="32"/>
  <c r="CG112" i="30"/>
  <c r="CG114" i="30"/>
  <c r="CG139" i="30" s="1"/>
  <c r="CG51" i="35"/>
  <c r="CG23" i="35"/>
  <c r="CG98" i="33"/>
  <c r="CH19" i="32"/>
  <c r="CH20" i="32" s="1"/>
  <c r="CH85" i="30"/>
  <c r="CH88" i="30" s="1"/>
  <c r="CH14" i="6"/>
  <c r="AM11" i="54"/>
  <c r="AN10" i="54"/>
  <c r="AI13" i="54"/>
  <c r="AI82" i="53"/>
  <c r="AJ76" i="53"/>
  <c r="AJ77" i="53" s="1"/>
  <c r="AE3" i="54"/>
  <c r="AE3" i="53"/>
  <c r="AE4" i="54"/>
  <c r="AE4" i="53"/>
  <c r="AE5" i="54"/>
  <c r="AE5" i="53"/>
  <c r="AJ96" i="53"/>
  <c r="AJ98" i="53" s="1"/>
  <c r="AY141" i="30" l="1"/>
  <c r="AY143" i="30"/>
  <c r="AZ133" i="6"/>
  <c r="AZ119" i="30" s="1"/>
  <c r="AZ16" i="6"/>
  <c r="BA114" i="6"/>
  <c r="BA125" i="6"/>
  <c r="CI19" i="32"/>
  <c r="CI20" i="32" s="1"/>
  <c r="CI85" i="30"/>
  <c r="CI88" i="30" s="1"/>
  <c r="CI14" i="6"/>
  <c r="CG143" i="30"/>
  <c r="CG141" i="30"/>
  <c r="CH20" i="6"/>
  <c r="CH18" i="6"/>
  <c r="CH23" i="32"/>
  <c r="CH112" i="30"/>
  <c r="CH114" i="30"/>
  <c r="CH139" i="30" s="1"/>
  <c r="CH23" i="35"/>
  <c r="CH51" i="35"/>
  <c r="CH98" i="33"/>
  <c r="AC101" i="53"/>
  <c r="AC103" i="53" s="1"/>
  <c r="AO10" i="54"/>
  <c r="AN11" i="54"/>
  <c r="CC3" i="54"/>
  <c r="CC3" i="53"/>
  <c r="AK96" i="53"/>
  <c r="AK98" i="53" s="1"/>
  <c r="CC4" i="54"/>
  <c r="CC4" i="53"/>
  <c r="AJ82" i="53"/>
  <c r="AJ13" i="54"/>
  <c r="AK76" i="53"/>
  <c r="AK77" i="53" s="1"/>
  <c r="CC5" i="54"/>
  <c r="CC5" i="53"/>
  <c r="AZ18" i="6" l="1"/>
  <c r="AZ20" i="6"/>
  <c r="BB109" i="6"/>
  <c r="BA130" i="6"/>
  <c r="AZ124" i="30"/>
  <c r="AZ139" i="30" s="1"/>
  <c r="AZ32" i="32"/>
  <c r="CI20" i="6"/>
  <c r="CI18" i="6"/>
  <c r="CI23" i="32"/>
  <c r="CI112" i="30"/>
  <c r="CI114" i="30"/>
  <c r="CI139" i="30" s="1"/>
  <c r="CH143" i="30"/>
  <c r="CH141" i="30"/>
  <c r="CI23" i="35"/>
  <c r="CI51" i="35"/>
  <c r="CI98" i="33"/>
  <c r="CL20" i="32"/>
  <c r="CL2" i="32" s="1" a="1"/>
  <c r="CL2" i="32" s="1"/>
  <c r="AO11" i="54"/>
  <c r="AP10" i="54"/>
  <c r="AK13" i="54"/>
  <c r="AL76" i="53"/>
  <c r="AL77" i="53" s="1"/>
  <c r="AK82" i="53"/>
  <c r="AF4" i="54"/>
  <c r="AF4" i="53"/>
  <c r="AF5" i="54"/>
  <c r="AF5" i="53"/>
  <c r="AF3" i="54"/>
  <c r="AF3" i="53"/>
  <c r="AL96" i="53"/>
  <c r="AL98" i="53" s="1"/>
  <c r="B25" i="14" a="1"/>
  <c r="AZ141" i="30" l="1"/>
  <c r="AZ143" i="30"/>
  <c r="BA133" i="6"/>
  <c r="BA119" i="30" s="1"/>
  <c r="BA16" i="6"/>
  <c r="BB114" i="6"/>
  <c r="BB125" i="6"/>
  <c r="B25" i="14"/>
  <c r="B1" i="14" s="1"/>
  <c r="CI143" i="30"/>
  <c r="CI141" i="30"/>
  <c r="AD101" i="53"/>
  <c r="AD103" i="53" s="1"/>
  <c r="AP11" i="54"/>
  <c r="AQ10" i="54"/>
  <c r="AM96" i="53"/>
  <c r="AM98" i="53" s="1"/>
  <c r="CD3" i="54"/>
  <c r="CD3" i="53"/>
  <c r="CD4" i="54"/>
  <c r="CD4" i="53"/>
  <c r="CD5" i="54"/>
  <c r="CD5" i="53"/>
  <c r="AL13" i="54"/>
  <c r="W13" i="54" s="1"/>
  <c r="AL82" i="53"/>
  <c r="AM76" i="53"/>
  <c r="AM77" i="53" s="1"/>
  <c r="BC109" i="6" l="1"/>
  <c r="BB130" i="6"/>
  <c r="BA20" i="6"/>
  <c r="BA18" i="6"/>
  <c r="BA124" i="30"/>
  <c r="BA139" i="30" s="1"/>
  <c r="BA32" i="32"/>
  <c r="AR10" i="54"/>
  <c r="AQ11" i="54"/>
  <c r="AN96" i="53"/>
  <c r="AN98" i="53" s="1"/>
  <c r="AG4" i="53"/>
  <c r="AG4" i="54"/>
  <c r="AG5" i="54"/>
  <c r="AG5" i="53"/>
  <c r="AM13" i="54"/>
  <c r="AM82" i="53"/>
  <c r="AN76" i="53"/>
  <c r="AN77" i="53" s="1"/>
  <c r="AG3" i="54"/>
  <c r="AG3" i="53"/>
  <c r="BA141" i="30" l="1"/>
  <c r="BA143" i="30"/>
  <c r="BB133" i="6"/>
  <c r="BB119" i="30" s="1"/>
  <c r="BB16" i="6"/>
  <c r="BC114" i="6"/>
  <c r="BC125" i="6"/>
  <c r="AA12" i="54"/>
  <c r="AA81" i="53"/>
  <c r="AA83" i="53" s="1"/>
  <c r="AE101" i="53"/>
  <c r="AE103" i="53" s="1"/>
  <c r="AR11" i="54"/>
  <c r="AS10" i="54"/>
  <c r="AO96" i="53"/>
  <c r="AO98" i="53" s="1"/>
  <c r="CE3" i="54"/>
  <c r="CE3" i="53"/>
  <c r="CE5" i="54"/>
  <c r="CE5" i="53"/>
  <c r="CE4" i="53"/>
  <c r="CE4" i="54"/>
  <c r="AN13" i="54"/>
  <c r="AN82" i="53"/>
  <c r="AO76" i="53"/>
  <c r="AO77" i="53" s="1"/>
  <c r="BD109" i="6" l="1"/>
  <c r="BC130" i="6"/>
  <c r="BB124" i="30"/>
  <c r="BB139" i="30" s="1"/>
  <c r="BB32" i="32"/>
  <c r="BB20" i="6"/>
  <c r="BB18" i="6"/>
  <c r="AB12" i="54"/>
  <c r="AB15" i="54" s="1"/>
  <c r="AB81" i="53"/>
  <c r="AB83" i="53" s="1"/>
  <c r="AA15" i="54"/>
  <c r="AA14" i="54"/>
  <c r="AF101" i="53"/>
  <c r="AF103" i="53" s="1"/>
  <c r="AS11" i="54"/>
  <c r="AT10" i="54"/>
  <c r="AP76" i="53"/>
  <c r="AP77" i="53" s="1"/>
  <c r="AO82" i="53"/>
  <c r="AO13" i="54"/>
  <c r="AP96" i="53"/>
  <c r="AP98" i="53" s="1"/>
  <c r="AH4" i="54"/>
  <c r="AH4" i="53"/>
  <c r="AH3" i="54"/>
  <c r="AH3" i="53"/>
  <c r="AH5" i="54"/>
  <c r="AH5" i="53"/>
  <c r="BB143" i="30" l="1"/>
  <c r="BB141" i="30"/>
  <c r="BC133" i="6"/>
  <c r="BC119" i="30" s="1"/>
  <c r="BC16" i="6"/>
  <c r="BD114" i="6"/>
  <c r="BD125" i="6"/>
  <c r="AB14" i="54"/>
  <c r="AT11" i="54"/>
  <c r="AU10" i="54"/>
  <c r="AC12" i="54"/>
  <c r="AC81" i="53"/>
  <c r="AC83" i="53" s="1"/>
  <c r="AQ96" i="53"/>
  <c r="AQ98" i="53" s="1"/>
  <c r="CF4" i="54"/>
  <c r="CF4" i="53"/>
  <c r="CF5" i="54"/>
  <c r="CF5" i="53"/>
  <c r="CF3" i="54"/>
  <c r="CF3" i="53"/>
  <c r="AP13" i="54"/>
  <c r="AQ76" i="53"/>
  <c r="AQ77" i="53" s="1"/>
  <c r="AP82" i="53"/>
  <c r="BE109" i="6" l="1"/>
  <c r="BD130" i="6"/>
  <c r="BC20" i="6"/>
  <c r="BC18" i="6"/>
  <c r="BC124" i="30"/>
  <c r="BC139" i="30" s="1"/>
  <c r="BC32" i="32"/>
  <c r="AU11" i="54"/>
  <c r="AV10" i="54"/>
  <c r="AR96" i="53"/>
  <c r="AR98" i="53" s="1"/>
  <c r="AQ13" i="54"/>
  <c r="AQ82" i="53"/>
  <c r="AR76" i="53"/>
  <c r="AR77" i="53" s="1"/>
  <c r="AI4" i="54"/>
  <c r="AI4" i="53"/>
  <c r="AC15" i="54"/>
  <c r="AC14" i="54"/>
  <c r="AI3" i="54"/>
  <c r="AI3" i="53"/>
  <c r="AI5" i="54"/>
  <c r="AI5" i="53"/>
  <c r="BC143" i="30" l="1"/>
  <c r="BC141" i="30"/>
  <c r="BD133" i="6"/>
  <c r="BD119" i="30" s="1"/>
  <c r="BD16" i="6"/>
  <c r="BE114" i="6"/>
  <c r="BE125" i="6"/>
  <c r="AG101" i="53"/>
  <c r="AG103" i="53" s="1"/>
  <c r="CG4" i="53"/>
  <c r="CG4" i="54"/>
  <c r="AW10" i="54"/>
  <c r="AV11" i="54"/>
  <c r="AR13" i="54"/>
  <c r="AR82" i="53"/>
  <c r="AS76" i="53"/>
  <c r="AS77" i="53" s="1"/>
  <c r="AD12" i="54"/>
  <c r="AD81" i="53"/>
  <c r="AD83" i="53" s="1"/>
  <c r="CG3" i="54"/>
  <c r="CG3" i="53"/>
  <c r="AS96" i="53"/>
  <c r="AS98" i="53" s="1"/>
  <c r="CG5" i="54"/>
  <c r="CG5" i="53"/>
  <c r="BD18" i="6" l="1"/>
  <c r="BD20" i="6"/>
  <c r="BF109" i="6"/>
  <c r="BE130" i="6"/>
  <c r="BD124" i="30"/>
  <c r="BD139" i="30" s="1"/>
  <c r="BD32" i="32"/>
  <c r="AW11" i="54"/>
  <c r="AX10" i="54"/>
  <c r="AD15" i="54"/>
  <c r="AD14" i="54"/>
  <c r="AT96" i="53"/>
  <c r="AT98" i="53" s="1"/>
  <c r="AJ4" i="54"/>
  <c r="AJ4" i="53"/>
  <c r="AJ3" i="54"/>
  <c r="AJ3" i="53"/>
  <c r="AJ5" i="53"/>
  <c r="AJ5" i="54"/>
  <c r="AS13" i="54"/>
  <c r="AS82" i="53"/>
  <c r="AT76" i="53"/>
  <c r="AT77" i="53" s="1"/>
  <c r="BD143" i="30" l="1"/>
  <c r="BD141" i="30"/>
  <c r="BE133" i="6"/>
  <c r="BE119" i="30" s="1"/>
  <c r="BE16" i="6"/>
  <c r="BF114" i="6"/>
  <c r="BF125" i="6"/>
  <c r="CH4" i="54"/>
  <c r="CH4" i="53"/>
  <c r="AH101" i="53"/>
  <c r="AH103" i="53" s="1"/>
  <c r="AX11" i="54"/>
  <c r="X11" i="54" s="1"/>
  <c r="AY10" i="54"/>
  <c r="CH3" i="54"/>
  <c r="CH3" i="53"/>
  <c r="CH5" i="54"/>
  <c r="CH5" i="53"/>
  <c r="AU96" i="53"/>
  <c r="AU98" i="53" s="1"/>
  <c r="AT13" i="54"/>
  <c r="AT82" i="53"/>
  <c r="AU76" i="53"/>
  <c r="AU77" i="53" s="1"/>
  <c r="BE18" i="6" l="1"/>
  <c r="BE20" i="6"/>
  <c r="BE124" i="30"/>
  <c r="BE139" i="30" s="1"/>
  <c r="BE32" i="32"/>
  <c r="BG109" i="6"/>
  <c r="BF130" i="6"/>
  <c r="AE12" i="54"/>
  <c r="AE15" i="54" s="1"/>
  <c r="AE81" i="53"/>
  <c r="AE83" i="53" s="1"/>
  <c r="AZ10" i="54"/>
  <c r="AY11" i="54"/>
  <c r="AU13" i="54"/>
  <c r="AU82" i="53"/>
  <c r="AV76" i="53"/>
  <c r="AV77" i="53" s="1"/>
  <c r="AK3" i="54"/>
  <c r="AK3" i="53"/>
  <c r="AK5" i="54"/>
  <c r="AK5" i="53"/>
  <c r="AV96" i="53"/>
  <c r="AV98" i="53" s="1"/>
  <c r="AK4" i="54"/>
  <c r="AK4" i="53"/>
  <c r="BE143" i="30" l="1"/>
  <c r="BE141" i="30"/>
  <c r="BF133" i="6"/>
  <c r="BF119" i="30" s="1"/>
  <c r="BF16" i="6"/>
  <c r="BG114" i="6"/>
  <c r="BG125" i="6"/>
  <c r="AF81" i="53"/>
  <c r="AF83" i="53" s="1"/>
  <c r="AF12" i="54"/>
  <c r="AF14" i="54" s="1"/>
  <c r="AE14" i="54"/>
  <c r="AI101" i="53"/>
  <c r="AI103" i="53" s="1"/>
  <c r="BA10" i="54"/>
  <c r="AZ11" i="54"/>
  <c r="AV13" i="54"/>
  <c r="AV82" i="53"/>
  <c r="AW76" i="53"/>
  <c r="AW77" i="53" s="1"/>
  <c r="AW96" i="53"/>
  <c r="AW98" i="53" s="1"/>
  <c r="CI4" i="54"/>
  <c r="CI4" i="53"/>
  <c r="CI5" i="54"/>
  <c r="CI5" i="53"/>
  <c r="CI3" i="54"/>
  <c r="CI3" i="53"/>
  <c r="BH109" i="6" l="1"/>
  <c r="BG130" i="6"/>
  <c r="BF20" i="6"/>
  <c r="BF18" i="6"/>
  <c r="BF32" i="32"/>
  <c r="BF124" i="30"/>
  <c r="BF139" i="30" s="1"/>
  <c r="AF15" i="54"/>
  <c r="AG12" i="54"/>
  <c r="BB10" i="54"/>
  <c r="BA11" i="54"/>
  <c r="AL5" i="54"/>
  <c r="AL5" i="53"/>
  <c r="AL4" i="54"/>
  <c r="AL4" i="53"/>
  <c r="N6" i="48"/>
  <c r="AW46" i="48" s="1"/>
  <c r="AX96" i="53"/>
  <c r="AX98" i="53" s="1"/>
  <c r="AW13" i="54"/>
  <c r="AX76" i="53"/>
  <c r="AX77" i="53" s="1"/>
  <c r="AW82" i="53"/>
  <c r="AL3" i="54"/>
  <c r="AL3" i="53"/>
  <c r="BF143" i="30" l="1"/>
  <c r="BF141" i="30"/>
  <c r="BG133" i="6"/>
  <c r="BG119" i="30" s="1"/>
  <c r="BG16" i="6"/>
  <c r="BH114" i="6"/>
  <c r="BH125" i="6"/>
  <c r="AG81" i="53"/>
  <c r="AG83" i="53" s="1"/>
  <c r="AG14" i="54"/>
  <c r="AG15" i="54"/>
  <c r="BC10" i="54"/>
  <c r="BB11" i="54"/>
  <c r="N33" i="48"/>
  <c r="N41" i="48"/>
  <c r="AY96" i="53"/>
  <c r="AY98" i="53" s="1"/>
  <c r="AX13" i="54"/>
  <c r="X13" i="54" s="1"/>
  <c r="AY76" i="53"/>
  <c r="AY77" i="53" s="1"/>
  <c r="AX82" i="53"/>
  <c r="BI109" i="6" l="1"/>
  <c r="BH130" i="6"/>
  <c r="BG18" i="6"/>
  <c r="BG20" i="6"/>
  <c r="BG32" i="32"/>
  <c r="BG124" i="30"/>
  <c r="BG139" i="30" s="1"/>
  <c r="BC11" i="54"/>
  <c r="BD10" i="54"/>
  <c r="AY13" i="54"/>
  <c r="AY82" i="53"/>
  <c r="AZ76" i="53"/>
  <c r="AZ77" i="53" s="1"/>
  <c r="AM4" i="54"/>
  <c r="AM4" i="53"/>
  <c r="AW61" i="48"/>
  <c r="N23" i="48"/>
  <c r="AW57" i="48" s="1"/>
  <c r="AZ96" i="53"/>
  <c r="AZ98" i="53" s="1"/>
  <c r="AM3" i="54"/>
  <c r="AM3" i="53"/>
  <c r="AM5" i="54"/>
  <c r="AM5" i="53"/>
  <c r="BG143" i="30" l="1"/>
  <c r="BG141" i="30"/>
  <c r="BH133" i="6"/>
  <c r="BH119" i="30" s="1"/>
  <c r="BH16" i="6"/>
  <c r="BI114" i="6"/>
  <c r="BI125" i="6"/>
  <c r="AJ101" i="53"/>
  <c r="AJ103" i="53" s="1"/>
  <c r="AK101" i="53"/>
  <c r="AK103" i="53" s="1"/>
  <c r="AH81" i="53"/>
  <c r="AH83" i="53" s="1"/>
  <c r="AH12" i="54"/>
  <c r="N34" i="48"/>
  <c r="AW62" i="48" s="1"/>
  <c r="BD11" i="54"/>
  <c r="BE10" i="54"/>
  <c r="BA76" i="53"/>
  <c r="BA77" i="53" s="1"/>
  <c r="AZ13" i="54"/>
  <c r="AZ82" i="53"/>
  <c r="BA96" i="53"/>
  <c r="BA98" i="53" s="1"/>
  <c r="BJ109" i="6" l="1"/>
  <c r="BI130" i="6"/>
  <c r="BH20" i="6"/>
  <c r="BH18" i="6"/>
  <c r="BH32" i="32"/>
  <c r="BH124" i="30"/>
  <c r="BH139" i="30" s="1"/>
  <c r="AH15" i="54"/>
  <c r="AH14" i="54"/>
  <c r="BF10" i="54"/>
  <c r="BE11" i="54"/>
  <c r="AN3" i="54"/>
  <c r="AN3" i="53"/>
  <c r="BA13" i="54"/>
  <c r="BB76" i="53"/>
  <c r="BB77" i="53" s="1"/>
  <c r="BA82" i="53"/>
  <c r="BB96" i="53"/>
  <c r="BB98" i="53" s="1"/>
  <c r="AN4" i="54"/>
  <c r="AN4" i="53"/>
  <c r="AN5" i="54"/>
  <c r="AN5" i="53"/>
  <c r="BI133" i="6" l="1"/>
  <c r="BI119" i="30" s="1"/>
  <c r="BI16" i="6"/>
  <c r="BH141" i="30"/>
  <c r="BH143" i="30"/>
  <c r="BJ114" i="6"/>
  <c r="BJ130" i="6" s="1"/>
  <c r="BJ125" i="6"/>
  <c r="AL101" i="53"/>
  <c r="AL103" i="53" s="1"/>
  <c r="BG10" i="54"/>
  <c r="BF11" i="54"/>
  <c r="BC96" i="53"/>
  <c r="BC98" i="53" s="1"/>
  <c r="BB13" i="54"/>
  <c r="BB82" i="53"/>
  <c r="BC76" i="53"/>
  <c r="BC77" i="53" s="1"/>
  <c r="BJ133" i="6" l="1"/>
  <c r="BJ119" i="30" s="1"/>
  <c r="BJ16" i="6"/>
  <c r="BI18" i="6"/>
  <c r="BI20" i="6"/>
  <c r="BI32" i="32"/>
  <c r="BI124" i="30"/>
  <c r="BI139" i="30" s="1"/>
  <c r="BG11" i="54"/>
  <c r="BH10" i="54"/>
  <c r="AO4" i="54"/>
  <c r="AO4" i="53"/>
  <c r="BD96" i="53"/>
  <c r="BD98" i="53" s="1"/>
  <c r="AO5" i="54"/>
  <c r="AO5" i="53"/>
  <c r="BC13" i="54"/>
  <c r="BC82" i="53"/>
  <c r="BD76" i="53"/>
  <c r="BD77" i="53" s="1"/>
  <c r="AO3" i="54"/>
  <c r="AO3" i="53"/>
  <c r="BI141" i="30" l="1"/>
  <c r="BI143" i="30"/>
  <c r="BJ18" i="6"/>
  <c r="BJ20" i="6"/>
  <c r="CQ20" i="6" s="1"/>
  <c r="A20" i="6" s="1" a="1"/>
  <c r="A20" i="6" s="1"/>
  <c r="A2" i="6" s="1" a="1"/>
  <c r="A2" i="6" s="1"/>
  <c r="A21" i="14" s="1"/>
  <c r="BJ124" i="30"/>
  <c r="BJ32" i="32"/>
  <c r="CU119" i="30"/>
  <c r="CO119" i="30" s="1"/>
  <c r="A119" i="30" s="1" a="1"/>
  <c r="A119" i="30" s="1"/>
  <c r="BH11" i="54"/>
  <c r="BI10" i="54"/>
  <c r="BD13" i="54"/>
  <c r="BE76" i="53"/>
  <c r="BE77" i="53" s="1"/>
  <c r="BD82" i="53"/>
  <c r="BE96" i="53"/>
  <c r="BE98" i="53" s="1"/>
  <c r="BJ139" i="30" l="1"/>
  <c r="CU124" i="30"/>
  <c r="CO124" i="30" s="1"/>
  <c r="A124" i="30" s="1" a="1"/>
  <c r="A124" i="30" s="1"/>
  <c r="AM101" i="53"/>
  <c r="AM103" i="53" s="1"/>
  <c r="BI11" i="54"/>
  <c r="BJ10" i="54"/>
  <c r="BJ11" i="54" s="1"/>
  <c r="Y11" i="54" s="1"/>
  <c r="BF76" i="53"/>
  <c r="BF77" i="53" s="1"/>
  <c r="BE82" i="53"/>
  <c r="BE13" i="54"/>
  <c r="AP4" i="54"/>
  <c r="AP4" i="53"/>
  <c r="BF96" i="53"/>
  <c r="BF98" i="53" s="1"/>
  <c r="AP3" i="54"/>
  <c r="AP3" i="53"/>
  <c r="AP5" i="54"/>
  <c r="AP5" i="53"/>
  <c r="BJ141" i="30" l="1"/>
  <c r="CM141" i="30" s="1"/>
  <c r="A141" i="30" s="1" a="1"/>
  <c r="A141" i="30" s="1"/>
  <c r="BJ143" i="30"/>
  <c r="CL143" i="30" s="1"/>
  <c r="A143" i="30" s="1" a="1"/>
  <c r="A143" i="30" s="1"/>
  <c r="CU139" i="30"/>
  <c r="CO139" i="30" s="1"/>
  <c r="A139" i="30" s="1" a="1"/>
  <c r="A139" i="30" s="1"/>
  <c r="BG96" i="53"/>
  <c r="BG98" i="53" s="1"/>
  <c r="BF13" i="54"/>
  <c r="BG76" i="53"/>
  <c r="BG77" i="53" s="1"/>
  <c r="BF82" i="53"/>
  <c r="A2" i="30" l="1" a="1"/>
  <c r="A2" i="30" s="1"/>
  <c r="A24" i="14" s="1"/>
  <c r="A1" i="14" s="1"/>
  <c r="A1" i="11" s="1"/>
  <c r="AN101" i="53"/>
  <c r="AN103" i="53" s="1"/>
  <c r="AQ4" i="54"/>
  <c r="AQ4" i="53"/>
  <c r="AQ3" i="53"/>
  <c r="AQ3" i="54"/>
  <c r="BH96" i="53"/>
  <c r="BH98" i="53" s="1"/>
  <c r="BG13" i="54"/>
  <c r="BG82" i="53"/>
  <c r="BH76" i="53"/>
  <c r="BH77" i="53" s="1"/>
  <c r="AQ5" i="54"/>
  <c r="AQ5" i="53"/>
  <c r="A1" i="33" l="1"/>
  <c r="A1" i="3"/>
  <c r="A1" i="30"/>
  <c r="A1" i="22"/>
  <c r="A1" i="28"/>
  <c r="A1" i="20"/>
  <c r="A1" i="6"/>
  <c r="A1" i="9"/>
  <c r="A1" i="13"/>
  <c r="A1" i="37"/>
  <c r="A1" i="32"/>
  <c r="A1" i="1"/>
  <c r="A1" i="35"/>
  <c r="A1" i="38"/>
  <c r="A1" i="16"/>
  <c r="A1" i="26"/>
  <c r="A1" i="36"/>
  <c r="A1" i="12"/>
  <c r="BI96" i="53"/>
  <c r="BI98" i="53" s="1"/>
  <c r="BJ96" i="53"/>
  <c r="BJ98" i="53" s="1"/>
  <c r="BH13" i="54"/>
  <c r="BH82" i="53"/>
  <c r="BI76" i="53"/>
  <c r="BI77" i="53" s="1"/>
  <c r="AO101" i="53" l="1"/>
  <c r="AO103" i="53" s="1"/>
  <c r="AR4" i="54"/>
  <c r="AR4" i="53"/>
  <c r="AR3" i="54"/>
  <c r="AR3" i="53"/>
  <c r="AR5" i="54"/>
  <c r="AR5" i="53"/>
  <c r="BI13" i="54"/>
  <c r="BI82" i="53"/>
  <c r="BJ76" i="53"/>
  <c r="BJ77" i="53" s="1"/>
  <c r="AP101" i="53" l="1"/>
  <c r="AP103" i="53" s="1"/>
  <c r="BJ13" i="54"/>
  <c r="Y13" i="54" s="1"/>
  <c r="BJ82" i="53"/>
  <c r="AS4" i="54" l="1"/>
  <c r="AS4" i="53"/>
  <c r="AS3" i="54"/>
  <c r="AS3" i="53"/>
  <c r="AS5" i="54"/>
  <c r="AS5" i="53"/>
  <c r="AQ101" i="53" l="1"/>
  <c r="AQ103" i="53" s="1"/>
  <c r="AT5" i="53"/>
  <c r="AT5" i="54"/>
  <c r="AT4" i="54"/>
  <c r="AT4" i="53"/>
  <c r="AT3" i="54"/>
  <c r="AT3" i="53"/>
  <c r="AR101" i="53" l="1"/>
  <c r="AR103" i="53" s="1"/>
  <c r="AU3" i="54"/>
  <c r="AU3" i="53"/>
  <c r="AU4" i="54"/>
  <c r="AU4" i="53"/>
  <c r="AU5" i="53"/>
  <c r="AU5" i="54"/>
  <c r="AS101" i="53" l="1"/>
  <c r="AS103" i="53" s="1"/>
  <c r="AV3" i="54"/>
  <c r="AV3" i="53"/>
  <c r="AV4" i="54"/>
  <c r="AV4" i="53"/>
  <c r="AV5" i="54"/>
  <c r="AV5" i="53"/>
  <c r="AT101" i="53" l="1"/>
  <c r="AT103" i="53" s="1"/>
  <c r="AW4" i="54"/>
  <c r="AW4" i="53"/>
  <c r="AW5" i="54"/>
  <c r="AW5" i="53"/>
  <c r="AW3" i="54"/>
  <c r="AW3" i="53"/>
  <c r="AU101" i="53" l="1"/>
  <c r="AU103" i="53" s="1"/>
  <c r="AX3" i="54" l="1"/>
  <c r="AX3" i="53"/>
  <c r="AX5" i="54"/>
  <c r="AX5" i="53"/>
  <c r="AX4" i="54"/>
  <c r="AX4" i="53"/>
  <c r="AV101" i="53" l="1"/>
  <c r="AV103" i="53" s="1"/>
  <c r="AY4" i="54" l="1"/>
  <c r="AY4" i="53"/>
  <c r="AY3" i="54"/>
  <c r="AY3" i="53"/>
  <c r="AY5" i="54"/>
  <c r="AY5" i="53"/>
  <c r="AW101" i="53" l="1"/>
  <c r="AW103" i="53" s="1"/>
  <c r="AZ4" i="54" l="1"/>
  <c r="AZ4" i="53"/>
  <c r="AZ3" i="54"/>
  <c r="AZ3" i="53"/>
  <c r="AZ5" i="54"/>
  <c r="AZ5" i="53"/>
  <c r="AX101" i="53" l="1"/>
  <c r="AX103" i="53" s="1"/>
  <c r="BA4" i="54" l="1"/>
  <c r="BA4" i="53"/>
  <c r="BA3" i="54"/>
  <c r="BA3" i="53"/>
  <c r="BA5" i="54"/>
  <c r="BA5" i="53"/>
  <c r="AY101" i="53" l="1"/>
  <c r="AY103" i="53" s="1"/>
  <c r="BB3" i="54"/>
  <c r="BB3" i="53"/>
  <c r="BB5" i="54"/>
  <c r="BB5" i="53"/>
  <c r="BB4" i="54"/>
  <c r="BB4" i="53"/>
  <c r="AZ101" i="53" l="1"/>
  <c r="AZ103" i="53" s="1"/>
  <c r="BC3" i="54" l="1"/>
  <c r="BC3" i="53"/>
  <c r="BC4" i="54"/>
  <c r="BC4" i="53"/>
  <c r="BC5" i="54"/>
  <c r="BC5" i="53"/>
  <c r="BA101" i="53" l="1"/>
  <c r="BA103" i="53" s="1"/>
  <c r="BD3" i="54" l="1"/>
  <c r="BD3" i="53"/>
  <c r="BD4" i="54"/>
  <c r="BD4" i="53"/>
  <c r="BD5" i="54"/>
  <c r="BD5" i="53"/>
  <c r="BB101" i="53" l="1"/>
  <c r="BB103" i="53" s="1"/>
  <c r="BE3" i="54" l="1"/>
  <c r="BE3" i="53"/>
  <c r="BE4" i="54"/>
  <c r="BE4" i="53"/>
  <c r="BE5" i="54"/>
  <c r="BE5" i="53"/>
  <c r="BC101" i="53" l="1"/>
  <c r="BC103" i="53" s="1"/>
  <c r="BF5" i="54"/>
  <c r="BF5" i="53"/>
  <c r="BF4" i="54"/>
  <c r="BF4" i="53"/>
  <c r="BF3" i="54"/>
  <c r="BF3" i="53"/>
  <c r="BD101" i="53" l="1"/>
  <c r="BD103" i="53" s="1"/>
  <c r="BG4" i="54" l="1"/>
  <c r="BG4" i="53"/>
  <c r="BG3" i="53"/>
  <c r="BG3" i="54"/>
  <c r="BG5" i="54"/>
  <c r="BG5" i="53"/>
  <c r="BE101" i="53" l="1"/>
  <c r="BE103" i="53" s="1"/>
  <c r="BH3" i="54" l="1"/>
  <c r="BH3" i="53"/>
  <c r="BH5" i="54"/>
  <c r="BH5" i="53"/>
  <c r="BH4" i="54"/>
  <c r="BH4" i="53"/>
  <c r="BF101" i="53" l="1"/>
  <c r="BF103" i="53" s="1"/>
  <c r="BI4" i="54" l="1"/>
  <c r="BI4" i="53"/>
  <c r="BI3" i="54"/>
  <c r="BI3" i="53"/>
  <c r="BI5" i="54"/>
  <c r="BI5" i="53"/>
  <c r="BG101" i="53" l="1"/>
  <c r="BG103" i="53" s="1"/>
  <c r="BJ3" i="54"/>
  <c r="BJ3" i="53"/>
  <c r="BJ5" i="54"/>
  <c r="BJ5" i="53"/>
  <c r="BJ4" i="54"/>
  <c r="BJ4" i="53"/>
  <c r="BH101" i="53" l="1"/>
  <c r="BH103" i="53" s="1"/>
  <c r="W20" i="53"/>
  <c r="BY20" i="53" s="1"/>
  <c r="W63" i="53"/>
  <c r="BY63" i="53" s="1"/>
  <c r="W46" i="53"/>
  <c r="W16" i="53"/>
  <c r="BY16" i="53" s="1"/>
  <c r="W56" i="53"/>
  <c r="W42" i="53"/>
  <c r="W58" i="53"/>
  <c r="BY58" i="53" s="1"/>
  <c r="W43" i="53"/>
  <c r="BY43" i="53" s="1"/>
  <c r="W22" i="53"/>
  <c r="BY22" i="53" s="1"/>
  <c r="W19" i="53"/>
  <c r="BY19" i="53" s="1"/>
  <c r="W28" i="53"/>
  <c r="W47" i="53"/>
  <c r="BY47" i="53" s="1"/>
  <c r="W18" i="53"/>
  <c r="BY18" i="53" s="1"/>
  <c r="W64" i="53"/>
  <c r="BY64" i="53" s="1"/>
  <c r="W66" i="53"/>
  <c r="BY66" i="53" s="1"/>
  <c r="W21" i="53"/>
  <c r="BY21" i="53" s="1"/>
  <c r="W48" i="53"/>
  <c r="BY48" i="53" s="1"/>
  <c r="W32" i="53"/>
  <c r="BY32" i="53" s="1"/>
  <c r="W65" i="53"/>
  <c r="BY65" i="53" s="1"/>
  <c r="W29" i="53"/>
  <c r="BY29" i="53" s="1"/>
  <c r="W30" i="53"/>
  <c r="BY30" i="53" s="1"/>
  <c r="W14" i="53"/>
  <c r="BY14" i="53" s="1"/>
  <c r="W13" i="53"/>
  <c r="W31" i="53"/>
  <c r="BY31" i="53" s="1"/>
  <c r="W23" i="53"/>
  <c r="BY23" i="53" s="1"/>
  <c r="W59" i="53"/>
  <c r="BY59" i="53" s="1"/>
  <c r="W62" i="53"/>
  <c r="W41" i="53"/>
  <c r="W17" i="53"/>
  <c r="BY17" i="53" s="1"/>
  <c r="W15" i="53"/>
  <c r="BY15" i="53" s="1"/>
  <c r="W24" i="53"/>
  <c r="BY24" i="53" s="1"/>
  <c r="W57" i="53"/>
  <c r="BY57" i="53" s="1"/>
  <c r="X13" i="53"/>
  <c r="X47" i="53"/>
  <c r="BZ47" i="53" s="1"/>
  <c r="X16" i="53"/>
  <c r="BZ16" i="53" s="1"/>
  <c r="X42" i="53"/>
  <c r="X31" i="53"/>
  <c r="BZ31" i="53" s="1"/>
  <c r="X57" i="53"/>
  <c r="BZ57" i="53" s="1"/>
  <c r="X24" i="53"/>
  <c r="BZ24" i="53" s="1"/>
  <c r="X17" i="53"/>
  <c r="BZ17" i="53" s="1"/>
  <c r="X41" i="53"/>
  <c r="X66" i="53"/>
  <c r="BZ66" i="53" s="1"/>
  <c r="X32" i="53"/>
  <c r="BZ32" i="53" s="1"/>
  <c r="X58" i="53"/>
  <c r="BZ58" i="53" s="1"/>
  <c r="X43" i="53"/>
  <c r="BZ43" i="53" s="1"/>
  <c r="X59" i="53"/>
  <c r="BZ59" i="53" s="1"/>
  <c r="X20" i="53"/>
  <c r="BZ20" i="53" s="1"/>
  <c r="X23" i="53"/>
  <c r="BZ23" i="53" s="1"/>
  <c r="X56" i="53"/>
  <c r="X46" i="53"/>
  <c r="X28" i="53"/>
  <c r="X29" i="53"/>
  <c r="BZ29" i="53" s="1"/>
  <c r="X15" i="53"/>
  <c r="BZ15" i="53" s="1"/>
  <c r="X19" i="53"/>
  <c r="BZ19" i="53" s="1"/>
  <c r="X63" i="53"/>
  <c r="BZ63" i="53" s="1"/>
  <c r="X30" i="53"/>
  <c r="BZ30" i="53" s="1"/>
  <c r="X65" i="53"/>
  <c r="BZ65" i="53" s="1"/>
  <c r="X18" i="53"/>
  <c r="BZ18" i="53" s="1"/>
  <c r="X22" i="53"/>
  <c r="BZ22" i="53" s="1"/>
  <c r="X62" i="53"/>
  <c r="X48" i="53"/>
  <c r="BZ48" i="53" s="1"/>
  <c r="X64" i="53"/>
  <c r="BZ64" i="53" s="1"/>
  <c r="X21" i="53"/>
  <c r="BZ21" i="53" s="1"/>
  <c r="X14" i="53"/>
  <c r="BZ14" i="53" s="1"/>
  <c r="Y30" i="53"/>
  <c r="CA30" i="53" s="1"/>
  <c r="Y41" i="53"/>
  <c r="Y28" i="53"/>
  <c r="Y59" i="53"/>
  <c r="CA59" i="53" s="1"/>
  <c r="Y57" i="53"/>
  <c r="CA57" i="53" s="1"/>
  <c r="Y18" i="53"/>
  <c r="CA18" i="53" s="1"/>
  <c r="Y15" i="53"/>
  <c r="CA15" i="53" s="1"/>
  <c r="Y24" i="53"/>
  <c r="CA24" i="53" s="1"/>
  <c r="Y29" i="53"/>
  <c r="CA29" i="53" s="1"/>
  <c r="Y19" i="53"/>
  <c r="CA19" i="53" s="1"/>
  <c r="Y16" i="53"/>
  <c r="CA16" i="53" s="1"/>
  <c r="Y14" i="53"/>
  <c r="CA14" i="53" s="1"/>
  <c r="Y22" i="53"/>
  <c r="CA22" i="53" s="1"/>
  <c r="Y17" i="53"/>
  <c r="CA17" i="53" s="1"/>
  <c r="Y62" i="53"/>
  <c r="Y32" i="53"/>
  <c r="CA32" i="53" s="1"/>
  <c r="Y46" i="53"/>
  <c r="Y47" i="53"/>
  <c r="CA47" i="53" s="1"/>
  <c r="Y65" i="53"/>
  <c r="CA65" i="53" s="1"/>
  <c r="Y56" i="53"/>
  <c r="Y21" i="53"/>
  <c r="CA21" i="53" s="1"/>
  <c r="Y23" i="53"/>
  <c r="CA23" i="53" s="1"/>
  <c r="Y64" i="53"/>
  <c r="CA64" i="53" s="1"/>
  <c r="Y58" i="53"/>
  <c r="CA58" i="53" s="1"/>
  <c r="Y66" i="53"/>
  <c r="CA66" i="53" s="1"/>
  <c r="Y63" i="53"/>
  <c r="CA63" i="53" s="1"/>
  <c r="Y42" i="53"/>
  <c r="Y20" i="53"/>
  <c r="CA20" i="53" s="1"/>
  <c r="Y43" i="53"/>
  <c r="CA43" i="53" s="1"/>
  <c r="Y48" i="53"/>
  <c r="CA48" i="53" s="1"/>
  <c r="Y13" i="53"/>
  <c r="Y31" i="53"/>
  <c r="CA31" i="53" s="1"/>
  <c r="BZ86" i="53" l="1"/>
  <c r="CA13" i="53"/>
  <c r="CA25" i="53" s="1"/>
  <c r="CA35" i="53" s="1"/>
  <c r="Y25" i="53"/>
  <c r="Y35" i="53" s="1"/>
  <c r="Y69" i="53"/>
  <c r="CA62" i="53"/>
  <c r="Y102" i="53"/>
  <c r="W25" i="53"/>
  <c r="W35" i="53" s="1"/>
  <c r="BY13" i="53"/>
  <c r="BY25" i="53" s="1"/>
  <c r="BY35" i="53" s="1"/>
  <c r="BY42" i="53"/>
  <c r="BY92" i="53" s="1"/>
  <c r="W92" i="53"/>
  <c r="BY56" i="53"/>
  <c r="BY68" i="53" s="1"/>
  <c r="W68" i="53"/>
  <c r="CA56" i="53"/>
  <c r="CA68" i="53" s="1"/>
  <c r="Y68" i="53"/>
  <c r="Y71" i="53" s="1"/>
  <c r="X69" i="53"/>
  <c r="BZ62" i="53"/>
  <c r="X102" i="53"/>
  <c r="X92" i="53"/>
  <c r="BZ42" i="53"/>
  <c r="BZ92" i="53" s="1"/>
  <c r="W50" i="53"/>
  <c r="BY41" i="53"/>
  <c r="W87" i="53"/>
  <c r="Y92" i="53"/>
  <c r="CA42" i="53"/>
  <c r="CA92" i="53" s="1"/>
  <c r="Y33" i="53"/>
  <c r="Y36" i="53" s="1"/>
  <c r="CA28" i="53"/>
  <c r="X33" i="53"/>
  <c r="X36" i="53" s="1"/>
  <c r="BZ28" i="53"/>
  <c r="W102" i="53"/>
  <c r="W69" i="53"/>
  <c r="BY62" i="53"/>
  <c r="BY28" i="53"/>
  <c r="W33" i="53"/>
  <c r="W36" i="53" s="1"/>
  <c r="W51" i="53"/>
  <c r="BY46" i="53"/>
  <c r="W97" i="53"/>
  <c r="Y87" i="53"/>
  <c r="Y50" i="53"/>
  <c r="CA41" i="53"/>
  <c r="BZ46" i="53"/>
  <c r="X97" i="53"/>
  <c r="X51" i="53"/>
  <c r="Y97" i="53"/>
  <c r="CA46" i="53"/>
  <c r="Y51" i="53"/>
  <c r="X68" i="53"/>
  <c r="BZ56" i="53"/>
  <c r="BZ68" i="53" s="1"/>
  <c r="X87" i="53"/>
  <c r="BZ41" i="53"/>
  <c r="X50" i="53"/>
  <c r="X25" i="53"/>
  <c r="X35" i="53" s="1"/>
  <c r="BZ13" i="53"/>
  <c r="BZ25" i="53" s="1"/>
  <c r="BZ35" i="53" s="1"/>
  <c r="CA86" i="53"/>
  <c r="X71" i="53" l="1"/>
  <c r="N42" i="48"/>
  <c r="X53" i="53"/>
  <c r="X38" i="53"/>
  <c r="BY36" i="53"/>
  <c r="BY38" i="53" s="1"/>
  <c r="BY33" i="53"/>
  <c r="Y38" i="53"/>
  <c r="BZ87" i="53"/>
  <c r="BZ88" i="53" s="1"/>
  <c r="BZ50" i="53"/>
  <c r="BY102" i="53"/>
  <c r="BY69" i="53"/>
  <c r="BY71" i="53" s="1"/>
  <c r="BZ102" i="53"/>
  <c r="BZ69" i="53"/>
  <c r="BZ71" i="53" s="1"/>
  <c r="X73" i="53"/>
  <c r="BZ36" i="53"/>
  <c r="BZ38" i="53" s="1"/>
  <c r="BZ33" i="53"/>
  <c r="W38" i="53"/>
  <c r="BZ97" i="53"/>
  <c r="BZ51" i="53"/>
  <c r="BY97" i="53"/>
  <c r="BY51" i="53"/>
  <c r="BY86" i="53"/>
  <c r="CA97" i="53"/>
  <c r="CA51" i="53"/>
  <c r="CA87" i="53"/>
  <c r="CA88" i="53" s="1"/>
  <c r="CA50" i="53"/>
  <c r="CA36" i="53"/>
  <c r="CA38" i="53" s="1"/>
  <c r="CA33" i="53"/>
  <c r="BY50" i="53"/>
  <c r="BY87" i="53"/>
  <c r="CA69" i="53"/>
  <c r="CA71" i="53" s="1"/>
  <c r="CA102" i="53"/>
  <c r="Y53" i="53"/>
  <c r="W53" i="53"/>
  <c r="W71" i="53"/>
  <c r="Y73" i="53" l="1"/>
  <c r="N27" i="48"/>
  <c r="N17" i="48"/>
  <c r="BI101" i="53"/>
  <c r="BI103" i="53" s="1"/>
  <c r="BY53" i="53"/>
  <c r="BY73" i="53" s="1"/>
  <c r="BY77" i="53" s="1"/>
  <c r="BY82" i="53" s="1"/>
  <c r="CA53" i="53"/>
  <c r="CA73" i="53" s="1"/>
  <c r="BY88" i="53"/>
  <c r="X34" i="48"/>
  <c r="BZ91" i="53"/>
  <c r="BZ93" i="53" s="1"/>
  <c r="CA91" i="53"/>
  <c r="CA93" i="53" s="1"/>
  <c r="Y91" i="53"/>
  <c r="Y93" i="53" s="1"/>
  <c r="C70" i="54"/>
  <c r="X91" i="53"/>
  <c r="X93" i="53" s="1"/>
  <c r="C69" i="54"/>
  <c r="W86" i="53"/>
  <c r="W88" i="53" s="1"/>
  <c r="W73" i="53"/>
  <c r="W77" i="53" s="1"/>
  <c r="BZ53" i="53"/>
  <c r="BZ73" i="53" s="1"/>
  <c r="BY91" i="53"/>
  <c r="BY93" i="53" s="1"/>
  <c r="X86" i="53"/>
  <c r="X88" i="53" s="1"/>
  <c r="Y86" i="53"/>
  <c r="Y88" i="53" s="1"/>
  <c r="N14" i="48" l="1"/>
  <c r="P33" i="48"/>
  <c r="BZ76" i="53"/>
  <c r="BZ77" i="53" s="1"/>
  <c r="BZ82" i="53" s="1"/>
  <c r="N22" i="48"/>
  <c r="AW56" i="48" s="1"/>
  <c r="N24" i="48"/>
  <c r="AW58" i="48" s="1"/>
  <c r="N11" i="48"/>
  <c r="AW50" i="48" s="1"/>
  <c r="N13" i="48"/>
  <c r="N12" i="48"/>
  <c r="AW52" i="48" s="1"/>
  <c r="N10" i="48"/>
  <c r="AW51" i="48" s="1"/>
  <c r="N9" i="48"/>
  <c r="X27" i="48"/>
  <c r="P27" i="48"/>
  <c r="P14" i="48"/>
  <c r="T14" i="48" s="1"/>
  <c r="P17" i="48"/>
  <c r="X17" i="48"/>
  <c r="BJ101" i="53"/>
  <c r="BJ103" i="53" s="1"/>
  <c r="X33" i="48"/>
  <c r="W91" i="53"/>
  <c r="W93" i="53" s="1"/>
  <c r="X41" i="48"/>
  <c r="P34" i="48"/>
  <c r="W82" i="53"/>
  <c r="X76" i="53"/>
  <c r="X77" i="53" s="1"/>
  <c r="P41" i="48"/>
  <c r="X22" i="48"/>
  <c r="BC62" i="48"/>
  <c r="AB34" i="48"/>
  <c r="M17" i="49"/>
  <c r="J17" i="49" s="1"/>
  <c r="D51" i="49" s="1"/>
  <c r="AW53" i="48" l="1"/>
  <c r="CA76" i="53"/>
  <c r="CA77" i="53" s="1"/>
  <c r="AW49" i="48"/>
  <c r="N16" i="48"/>
  <c r="AW59" i="48"/>
  <c r="N26" i="48"/>
  <c r="X14" i="48"/>
  <c r="M13" i="49" s="1"/>
  <c r="J13" i="49" s="1"/>
  <c r="D49" i="49" s="1"/>
  <c r="P24" i="48"/>
  <c r="L27" i="49"/>
  <c r="I27" i="49" s="1"/>
  <c r="D62" i="49" s="1"/>
  <c r="T27" i="48"/>
  <c r="M27" i="49"/>
  <c r="J27" i="49" s="1"/>
  <c r="D63" i="49" s="1"/>
  <c r="AB27" i="48"/>
  <c r="L13" i="49"/>
  <c r="I13" i="49" s="1"/>
  <c r="D48" i="49" s="1"/>
  <c r="P13" i="48"/>
  <c r="X13" i="48"/>
  <c r="P12" i="48"/>
  <c r="X12" i="48"/>
  <c r="P11" i="48"/>
  <c r="X11" i="48"/>
  <c r="X10" i="48"/>
  <c r="P10" i="48"/>
  <c r="M26" i="49"/>
  <c r="J26" i="49" s="1"/>
  <c r="D61" i="49" s="1"/>
  <c r="AB17" i="48"/>
  <c r="T17" i="48"/>
  <c r="L26" i="49"/>
  <c r="I26" i="49" s="1"/>
  <c r="D60" i="49" s="1"/>
  <c r="X9" i="48"/>
  <c r="P9" i="48"/>
  <c r="M21" i="49"/>
  <c r="BC56" i="48"/>
  <c r="AB22" i="48"/>
  <c r="X23" i="48"/>
  <c r="BY96" i="53"/>
  <c r="BY98" i="53" s="1"/>
  <c r="Y76" i="53"/>
  <c r="Y77" i="53" s="1"/>
  <c r="Y82" i="53" s="1"/>
  <c r="X82" i="53"/>
  <c r="L16" i="49"/>
  <c r="I16" i="49" s="1"/>
  <c r="D52" i="49" s="1"/>
  <c r="AY61" i="48"/>
  <c r="T33" i="48"/>
  <c r="BA61" i="48" s="1"/>
  <c r="CB76" i="53"/>
  <c r="CB77" i="53" s="1"/>
  <c r="CA82" i="53"/>
  <c r="BC61" i="48"/>
  <c r="AB33" i="48"/>
  <c r="M16" i="49"/>
  <c r="J16" i="49" s="1"/>
  <c r="D53" i="49" s="1"/>
  <c r="L17" i="49"/>
  <c r="I17" i="49" s="1"/>
  <c r="D50" i="49" s="1"/>
  <c r="T34" i="48"/>
  <c r="BA62" i="48" s="1"/>
  <c r="AY62" i="48"/>
  <c r="AB41" i="48"/>
  <c r="M33" i="49"/>
  <c r="J33" i="49" s="1"/>
  <c r="D65" i="49" s="1"/>
  <c r="P22" i="48"/>
  <c r="L33" i="49"/>
  <c r="I33" i="49" s="1"/>
  <c r="D64" i="49" s="1"/>
  <c r="T41" i="48"/>
  <c r="P23" i="48"/>
  <c r="AW54" i="48" l="1"/>
  <c r="AW60" i="48" s="1"/>
  <c r="AW63" i="48" s="1"/>
  <c r="O22" i="48"/>
  <c r="N31" i="48"/>
  <c r="N36" i="48" s="1"/>
  <c r="O24" i="48"/>
  <c r="N37" i="48"/>
  <c r="N38" i="48" s="1"/>
  <c r="AB14" i="48"/>
  <c r="X24" i="48"/>
  <c r="X26" i="48" s="1"/>
  <c r="X29" i="48" s="1"/>
  <c r="AY58" i="48"/>
  <c r="L23" i="49"/>
  <c r="I23" i="49" s="1"/>
  <c r="D58" i="49" s="1"/>
  <c r="T24" i="48"/>
  <c r="BA58" i="48" s="1"/>
  <c r="BC53" i="48"/>
  <c r="M12" i="49"/>
  <c r="J12" i="49" s="1"/>
  <c r="D47" i="49" s="1"/>
  <c r="AB13" i="48"/>
  <c r="AY53" i="48"/>
  <c r="L12" i="49"/>
  <c r="I12" i="49" s="1"/>
  <c r="D46" i="49" s="1"/>
  <c r="T13" i="48"/>
  <c r="BA53" i="48" s="1"/>
  <c r="AB12" i="48"/>
  <c r="BC52" i="48"/>
  <c r="M11" i="49"/>
  <c r="J11" i="49" s="1"/>
  <c r="D45" i="49" s="1"/>
  <c r="AY52" i="48"/>
  <c r="L11" i="49"/>
  <c r="I11" i="49" s="1"/>
  <c r="D44" i="49" s="1"/>
  <c r="T12" i="48"/>
  <c r="BA52" i="48" s="1"/>
  <c r="BC50" i="48"/>
  <c r="AB11" i="48"/>
  <c r="M10" i="49"/>
  <c r="J10" i="49" s="1"/>
  <c r="D43" i="49" s="1"/>
  <c r="T11" i="48"/>
  <c r="BA50" i="48" s="1"/>
  <c r="L10" i="49"/>
  <c r="I10" i="49" s="1"/>
  <c r="D42" i="49" s="1"/>
  <c r="AY50" i="48"/>
  <c r="AB10" i="48"/>
  <c r="BC51" i="48"/>
  <c r="M9" i="49"/>
  <c r="J9" i="49" s="1"/>
  <c r="D41" i="49" s="1"/>
  <c r="AY51" i="48"/>
  <c r="L9" i="49"/>
  <c r="I9" i="49" s="1"/>
  <c r="D40" i="49" s="1"/>
  <c r="T10" i="48"/>
  <c r="BA51" i="48" s="1"/>
  <c r="X16" i="48"/>
  <c r="BC49" i="48"/>
  <c r="AB9" i="48"/>
  <c r="M8" i="49"/>
  <c r="AY49" i="48"/>
  <c r="T9" i="48"/>
  <c r="BA49" i="48" s="1"/>
  <c r="L8" i="49"/>
  <c r="P16" i="48"/>
  <c r="P37" i="48" s="1"/>
  <c r="P38" i="48" s="1"/>
  <c r="T38" i="48" s="1"/>
  <c r="AB23" i="48"/>
  <c r="BC57" i="48"/>
  <c r="M22" i="49"/>
  <c r="J22" i="49" s="1"/>
  <c r="D57" i="49" s="1"/>
  <c r="L22" i="49"/>
  <c r="I22" i="49" s="1"/>
  <c r="D56" i="49" s="1"/>
  <c r="AY57" i="48"/>
  <c r="T23" i="48"/>
  <c r="BA57" i="48" s="1"/>
  <c r="CB91" i="53"/>
  <c r="CB93" i="53" s="1"/>
  <c r="W96" i="53"/>
  <c r="W98" i="53" s="1"/>
  <c r="CB82" i="53"/>
  <c r="CC76" i="53"/>
  <c r="CC77" i="53" s="1"/>
  <c r="J21" i="49"/>
  <c r="D55" i="49" s="1"/>
  <c r="AY56" i="48"/>
  <c r="L21" i="49"/>
  <c r="T22" i="48"/>
  <c r="BA56" i="48" s="1"/>
  <c r="P26" i="48"/>
  <c r="T26" i="48" s="1"/>
  <c r="AX58" i="48" l="1"/>
  <c r="AX56" i="48"/>
  <c r="AX59" i="48" s="1"/>
  <c r="M23" i="49"/>
  <c r="J23" i="49" s="1"/>
  <c r="D59" i="49" s="1"/>
  <c r="BC58" i="48"/>
  <c r="BC59" i="48" s="1"/>
  <c r="AB24" i="48"/>
  <c r="BC54" i="48"/>
  <c r="AY54" i="48"/>
  <c r="Q24" i="48"/>
  <c r="T37" i="48"/>
  <c r="K16" i="48"/>
  <c r="T16" i="48"/>
  <c r="P19" i="48"/>
  <c r="Q22" i="48"/>
  <c r="BA54" i="48"/>
  <c r="BB56" i="48" s="1"/>
  <c r="J8" i="49"/>
  <c r="D39" i="49" s="1"/>
  <c r="M14" i="49"/>
  <c r="AB16" i="48"/>
  <c r="Y24" i="48"/>
  <c r="Y22" i="48"/>
  <c r="X19" i="48"/>
  <c r="X37" i="48"/>
  <c r="I8" i="49"/>
  <c r="D38" i="49" s="1"/>
  <c r="L14" i="49"/>
  <c r="AY59" i="48"/>
  <c r="BA59" i="48"/>
  <c r="P31" i="48"/>
  <c r="P36" i="48" s="1"/>
  <c r="P29" i="48"/>
  <c r="L24" i="49"/>
  <c r="I21" i="49"/>
  <c r="D54" i="49" s="1"/>
  <c r="CC82" i="53"/>
  <c r="CD76" i="53"/>
  <c r="CD77" i="53" s="1"/>
  <c r="AB26" i="48"/>
  <c r="X31" i="48"/>
  <c r="BZ96" i="53"/>
  <c r="BZ98" i="53" s="1"/>
  <c r="BC60" i="48" l="1"/>
  <c r="BC63" i="48" s="1"/>
  <c r="M24" i="49"/>
  <c r="J24" i="49" s="1"/>
  <c r="AY60" i="48"/>
  <c r="AY63" i="48" s="1"/>
  <c r="BB58" i="48"/>
  <c r="BA60" i="48"/>
  <c r="BA63" i="48" s="1"/>
  <c r="AB37" i="48"/>
  <c r="X38" i="48"/>
  <c r="AB38" i="48" s="1"/>
  <c r="J14" i="49"/>
  <c r="M18" i="49"/>
  <c r="J18" i="49" s="1"/>
  <c r="I14" i="49"/>
  <c r="L18" i="49"/>
  <c r="I18" i="49" s="1"/>
  <c r="T31" i="48"/>
  <c r="X96" i="53"/>
  <c r="X98" i="53" s="1"/>
  <c r="C71" i="54"/>
  <c r="I24" i="49"/>
  <c r="T36" i="48"/>
  <c r="CD82" i="53"/>
  <c r="CE76" i="53"/>
  <c r="CE77" i="53" s="1"/>
  <c r="X36" i="48"/>
  <c r="AB31" i="48"/>
  <c r="L29" i="49" l="1"/>
  <c r="I29" i="49" s="1"/>
  <c r="M29" i="49"/>
  <c r="J29" i="49" s="1"/>
  <c r="AB36" i="48"/>
  <c r="CE82" i="53"/>
  <c r="CF76" i="53"/>
  <c r="CF77" i="53" s="1"/>
  <c r="CA96" i="53"/>
  <c r="CA98" i="53" s="1"/>
  <c r="L31" i="49" l="1"/>
  <c r="M31" i="49"/>
  <c r="CF82" i="53"/>
  <c r="CG76" i="53"/>
  <c r="CG77" i="53" s="1"/>
  <c r="CB96" i="53"/>
  <c r="CB98" i="53" s="1"/>
  <c r="Y96" i="53"/>
  <c r="Y98" i="53" s="1"/>
  <c r="AI12" i="54" l="1"/>
  <c r="AI14" i="54" s="1"/>
  <c r="AI81" i="53"/>
  <c r="AI83" i="53" s="1"/>
  <c r="CG82" i="53"/>
  <c r="CH76" i="53"/>
  <c r="CH77" i="53" s="1"/>
  <c r="CC96" i="53"/>
  <c r="CC98" i="53" s="1"/>
  <c r="AK81" i="53" l="1"/>
  <c r="AK83" i="53" s="1"/>
  <c r="AJ12" i="54"/>
  <c r="AJ14" i="54" s="1"/>
  <c r="AJ81" i="53"/>
  <c r="AJ83" i="53" s="1"/>
  <c r="AI15" i="54"/>
  <c r="CI76" i="53"/>
  <c r="CI77" i="53" s="1"/>
  <c r="CI82" i="53" s="1"/>
  <c r="CH82" i="53"/>
  <c r="CD96" i="53"/>
  <c r="CD98" i="53" s="1"/>
  <c r="AK12" i="54" l="1"/>
  <c r="AK15" i="54" s="1"/>
  <c r="AJ15" i="54"/>
  <c r="AL81" i="53"/>
  <c r="AL83" i="53" s="1"/>
  <c r="AL12" i="54"/>
  <c r="AL14" i="54" s="1"/>
  <c r="W14" i="54" s="1"/>
  <c r="CE96" i="53"/>
  <c r="CE98" i="53" s="1"/>
  <c r="AK14" i="54" l="1"/>
  <c r="AL15" i="54"/>
  <c r="W15" i="54" s="1"/>
  <c r="W12" i="54"/>
  <c r="CF96" i="53"/>
  <c r="CF98" i="53" s="1"/>
  <c r="AM12" i="54" l="1"/>
  <c r="AM81" i="53"/>
  <c r="AM83" i="53" s="1"/>
  <c r="CG96" i="53"/>
  <c r="CG98" i="53" s="1"/>
  <c r="AM15" i="54" l="1"/>
  <c r="AM14" i="54"/>
  <c r="AN81" i="53"/>
  <c r="AN83" i="53" s="1"/>
  <c r="AN12" i="54"/>
  <c r="CH96" i="53"/>
  <c r="CH98" i="53" s="1"/>
  <c r="CI96" i="53"/>
  <c r="CI98" i="53" s="1"/>
  <c r="AN15" i="54" l="1"/>
  <c r="AN14" i="54"/>
  <c r="AO81" i="53"/>
  <c r="AO83" i="53" s="1"/>
  <c r="AO12" i="54"/>
  <c r="AO15" i="54" l="1"/>
  <c r="AO14" i="54"/>
  <c r="AP81" i="53"/>
  <c r="AP83" i="53" s="1"/>
  <c r="AP12" i="54"/>
  <c r="AQ81" i="53" l="1"/>
  <c r="AQ83" i="53" s="1"/>
  <c r="AQ12" i="54"/>
  <c r="AP15" i="54"/>
  <c r="AP14" i="54"/>
  <c r="AR12" i="54" l="1"/>
  <c r="AR81" i="53"/>
  <c r="AR83" i="53" s="1"/>
  <c r="AQ14" i="54"/>
  <c r="AQ15" i="54"/>
  <c r="AR15" i="54" l="1"/>
  <c r="AR14" i="54"/>
  <c r="AS12" i="54"/>
  <c r="AS81" i="53"/>
  <c r="AS83" i="53" s="1"/>
  <c r="AT12" i="54" l="1"/>
  <c r="AT81" i="53"/>
  <c r="AT83" i="53" s="1"/>
  <c r="AS15" i="54"/>
  <c r="AS14" i="54"/>
  <c r="AU81" i="53" l="1"/>
  <c r="AU83" i="53" s="1"/>
  <c r="AU12" i="54"/>
  <c r="AT15" i="54"/>
  <c r="AT14" i="54"/>
  <c r="AU15" i="54" l="1"/>
  <c r="AU14" i="54"/>
  <c r="AV12" i="54"/>
  <c r="AV81" i="53"/>
  <c r="AV83" i="53" s="1"/>
  <c r="AW12" i="54" l="1"/>
  <c r="AW81" i="53"/>
  <c r="AW83" i="53" s="1"/>
  <c r="AV14" i="54"/>
  <c r="AV15" i="54"/>
  <c r="AX12" i="54" l="1"/>
  <c r="AX81" i="53"/>
  <c r="AX83" i="53" s="1"/>
  <c r="AW15" i="54"/>
  <c r="AW14" i="54"/>
  <c r="AY12" i="54" l="1"/>
  <c r="AY81" i="53"/>
  <c r="AY83" i="53" s="1"/>
  <c r="X12" i="54"/>
  <c r="AX15" i="54"/>
  <c r="X15" i="54" s="1"/>
  <c r="AX14" i="54"/>
  <c r="X14" i="54" s="1"/>
  <c r="AY14" i="54" l="1"/>
  <c r="AY15" i="54"/>
  <c r="AZ81" i="53"/>
  <c r="AZ83" i="53" s="1"/>
  <c r="AZ12" i="54"/>
  <c r="AZ14" i="54" l="1"/>
  <c r="AZ15" i="54"/>
  <c r="BA81" i="53"/>
  <c r="BA83" i="53" s="1"/>
  <c r="BA12" i="54"/>
  <c r="BZ101" i="53"/>
  <c r="BZ103" i="53" s="1"/>
  <c r="CB101" i="53"/>
  <c r="CB103" i="53" s="1"/>
  <c r="C72" i="54"/>
  <c r="X101" i="53"/>
  <c r="X103" i="53" s="1"/>
  <c r="BY101" i="53"/>
  <c r="BY103" i="53" s="1"/>
  <c r="CA101" i="53"/>
  <c r="CA103" i="53" s="1"/>
  <c r="Y101" i="53"/>
  <c r="Y103" i="53" s="1"/>
  <c r="X42" i="48"/>
  <c r="P42" i="48"/>
  <c r="BA15" i="54" l="1"/>
  <c r="BA14" i="54"/>
  <c r="BB12" i="54"/>
  <c r="BB81" i="53"/>
  <c r="BB83" i="53" s="1"/>
  <c r="T42" i="48"/>
  <c r="L34" i="49"/>
  <c r="I34" i="49" s="1"/>
  <c r="D66" i="49" s="1"/>
  <c r="M34" i="49"/>
  <c r="J34" i="49" s="1"/>
  <c r="D67" i="49" s="1"/>
  <c r="AB42" i="48"/>
  <c r="BB14" i="54" l="1"/>
  <c r="BB15" i="54"/>
  <c r="BC12" i="54"/>
  <c r="BC81" i="53"/>
  <c r="BC83" i="53" s="1"/>
  <c r="W101" i="53"/>
  <c r="W103" i="53" s="1"/>
  <c r="BC15" i="54" l="1"/>
  <c r="BC14" i="54"/>
  <c r="BD12" i="54"/>
  <c r="BD81" i="53"/>
  <c r="BD83" i="53" s="1"/>
  <c r="BD15" i="54" l="1"/>
  <c r="BD14" i="54"/>
  <c r="BE81" i="53"/>
  <c r="BE83" i="53" s="1"/>
  <c r="BE12" i="54"/>
  <c r="BF81" i="53" l="1"/>
  <c r="BF83" i="53" s="1"/>
  <c r="BF12" i="54"/>
  <c r="BE14" i="54"/>
  <c r="BE15" i="54"/>
  <c r="C68" i="54"/>
  <c r="BF15" i="54" l="1"/>
  <c r="BF14" i="54"/>
  <c r="BG81" i="53"/>
  <c r="BG83" i="53" s="1"/>
  <c r="BG12" i="54"/>
  <c r="BY81" i="53"/>
  <c r="BY83" i="53" s="1"/>
  <c r="C73" i="54"/>
  <c r="C76" i="54"/>
  <c r="BG14" i="54" l="1"/>
  <c r="BG15" i="54"/>
  <c r="BH12" i="54"/>
  <c r="BH81" i="53"/>
  <c r="BH83" i="53" s="1"/>
  <c r="BZ81" i="53"/>
  <c r="BZ83" i="53" s="1"/>
  <c r="BI12" i="54" l="1"/>
  <c r="BI81" i="53"/>
  <c r="BI83" i="53" s="1"/>
  <c r="BH14" i="54"/>
  <c r="BH15" i="54"/>
  <c r="CA81" i="53"/>
  <c r="CA83" i="53" s="1"/>
  <c r="C75" i="54"/>
  <c r="BJ12" i="54" l="1"/>
  <c r="BJ81" i="53"/>
  <c r="BJ83" i="53" s="1"/>
  <c r="BI15" i="54"/>
  <c r="BI14" i="54"/>
  <c r="CB81" i="53"/>
  <c r="CB83" i="53" s="1"/>
  <c r="W81" i="53"/>
  <c r="W83" i="53" s="1"/>
  <c r="Y12" i="54" l="1"/>
  <c r="BJ15" i="54"/>
  <c r="Y15" i="54" s="1"/>
  <c r="BJ14" i="54"/>
  <c r="Y14" i="54" s="1"/>
  <c r="CC81" i="53"/>
  <c r="CC83" i="53" s="1"/>
  <c r="CD81" i="53" l="1"/>
  <c r="CD83" i="53" s="1"/>
  <c r="X81" i="53"/>
  <c r="X83" i="53" s="1"/>
  <c r="CE81" i="53" l="1"/>
  <c r="CE83" i="53" s="1"/>
  <c r="CF81" i="53" l="1"/>
  <c r="CF83" i="53" s="1"/>
  <c r="Y81" i="53"/>
  <c r="Y83" i="53" s="1"/>
  <c r="CG81" i="53" l="1"/>
  <c r="CG83" i="53" s="1"/>
  <c r="CH81" i="53" l="1"/>
  <c r="CH83" i="53" s="1"/>
  <c r="CI81" i="53" l="1"/>
  <c r="CI83" i="53" s="1"/>
  <c r="A1" i="53" l="1"/>
  <c r="A1" i="5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<sst xmlns="http://schemas.openxmlformats.org/spreadsheetml/2006/main" count="8361" uniqueCount="2663">
  <si>
    <t>ToC</t>
  </si>
  <si>
    <t>Resolved?</t>
  </si>
  <si>
    <t>Welcome to the College Financial Forecast Return</t>
  </si>
  <si>
    <t>No</t>
  </si>
  <si>
    <t>Checks</t>
  </si>
  <si>
    <t>Warnings</t>
  </si>
  <si>
    <t>Table of Contents</t>
  </si>
  <si>
    <t>Metadata?</t>
  </si>
  <si>
    <t>Ref codes</t>
  </si>
  <si>
    <t>MetaData count</t>
  </si>
  <si>
    <t>Intro</t>
  </si>
  <si>
    <t>Inputs</t>
  </si>
  <si>
    <t>Yes</t>
  </si>
  <si>
    <t>Outputs</t>
  </si>
  <si>
    <t>Other</t>
  </si>
  <si>
    <t>Monitoring</t>
  </si>
  <si>
    <t>*</t>
  </si>
  <si>
    <t>Guide</t>
  </si>
  <si>
    <t>Version</t>
  </si>
  <si>
    <t>Description</t>
  </si>
  <si>
    <t>Date</t>
  </si>
  <si>
    <t>V1.7</t>
  </si>
  <si>
    <t>CFFR - protected version</t>
  </si>
  <si>
    <t>Tab Styles</t>
  </si>
  <si>
    <t>Input sheets</t>
  </si>
  <si>
    <t>Yellow tabs denote the main data entry sheets for users to fill in.</t>
  </si>
  <si>
    <t>Optional input sheet</t>
  </si>
  <si>
    <t>Green tabs are for optional input sheets that add additional flexibility for users, particularly for filling in I&amp;E data with annual rather than monthly forecasts. They only need to be filled in if this particular approach of data entry is used.</t>
  </si>
  <si>
    <t>Output sheets</t>
  </si>
  <si>
    <t>Blue tabs are for the output sheets. These sheets are calculated by the model.
There are a several exceptions, where inputs can/need to be entered on some of the Output sheets as follows:</t>
  </si>
  <si>
    <t>Input exceptions on output sheets:</t>
  </si>
  <si>
    <t>Self assessment inputs on the "Financial Health" output sheet.</t>
  </si>
  <si>
    <t>Option to enter college ratio benchmarks on the "Dashboard" sheet.</t>
  </si>
  <si>
    <t>Other sheets</t>
  </si>
  <si>
    <t>Grey tabs are any other sheets that contain information or calculations such as Table of contents, a sheet of parameters, etc. These sheets are not filled in by users but may be referred to for information.</t>
  </si>
  <si>
    <t>Cell Styles</t>
  </si>
  <si>
    <t>Input</t>
  </si>
  <si>
    <t>Input cells : data needs to be entered by the user.</t>
  </si>
  <si>
    <t>Optional input</t>
  </si>
  <si>
    <t>Optional input cells : data may be entered here for additional/optional information (e.g. for a further 8 year forecast)</t>
  </si>
  <si>
    <t>Calc</t>
  </si>
  <si>
    <t>Calculation cells that are automatically calculated</t>
  </si>
  <si>
    <t>Calc - different</t>
  </si>
  <si>
    <t>This darker shade for calculation cells denotes calculation of totals or a different formula within a calculation block.</t>
  </si>
  <si>
    <t>Unassigned</t>
  </si>
  <si>
    <t>Unassigned cells or placeholders that do not contain any data.</t>
  </si>
  <si>
    <t>Order of Completion and Minimum Inputs Guidelines</t>
  </si>
  <si>
    <t>Suggested order of entering data inputs</t>
  </si>
  <si>
    <t>Enter inputs in the order that the input sheets are listed in the Table of Contents (ToC), i.e.</t>
  </si>
  <si>
    <t>Optional sheets:</t>
  </si>
  <si>
    <t>I&amp;E related inputs:</t>
  </si>
  <si>
    <t>Optional</t>
  </si>
  <si>
    <t>Please note some inputs on the I&amp;E line items link to Balance Sheet related inputs from the below input sheets. Therefore, it is not possible to completely fill in the I&amp;E sheets without populating at least some of the below BS related inputs. For I&amp;E line items that are linked to the below input sheets, links are provided in columns E-G on the "I&amp;E Monthly" (and "I&amp;E Annual") sheet, that take you to the relevant sections on the BS related input sheets.</t>
  </si>
  <si>
    <t>2 possible approaches:</t>
  </si>
  <si>
    <t>i) While filling in the I&amp;E inputs, ignore the line items that are linking to other sheets and cannot be filled in on the I&amp;E sheet(s). This means you would not be able to get a full picture of the I&amp;E before completing the BS inputs but will be able to maintain the flow of the model and minimise switching between sheets</t>
  </si>
  <si>
    <t>ii) As you are filling in the I&amp;E inputs use the links provided (in columns E-G) to navigate to the relevant model sections where you can fill in the specific inputs linking to the I&amp;E. This will allow you to have completed the I&amp;E inputs and have a full view of the I&amp;E before moving on to the remaining inputs.</t>
  </si>
  <si>
    <t>BS related inputs:</t>
  </si>
  <si>
    <t>User calculations:</t>
  </si>
  <si>
    <t>This sheet is optional and can be used at any point in time to enter user calculations and workings that can then be linked to the input sheets above. Alternatively users may copy sheets into the model from other files and use them for workings/calculations to be linked to input sheets.</t>
  </si>
  <si>
    <t>Inputs on Output Sheets:</t>
  </si>
  <si>
    <t>Enter Financial Health self-assessment on the "Financial Health" sheet.</t>
  </si>
  <si>
    <t>Option to provide college-specific ratio benchmarks to be shown against performance on the Dashboard graphs.</t>
  </si>
  <si>
    <t>Other:</t>
  </si>
  <si>
    <t>Option to provide completion and output notes on the "Guide" sheet.</t>
  </si>
  <si>
    <t>Across sheets</t>
  </si>
  <si>
    <t>Performance summary figures provided in the model header across most input and output sheets. Use the dropdown menu (cell D2) to select item to be summarised on top of the sheet.</t>
  </si>
  <si>
    <t>Follow the colour scheme to identify the minimum inputs that need to be provided.</t>
  </si>
  <si>
    <t>Minimum Inputs:</t>
  </si>
  <si>
    <t>As a minimum fill in data across all "non-optional" input sheets, marked in yellow.</t>
  </si>
  <si>
    <t>On those sheets, as a minimum fill in all non-optional input cells (if items are applicable) marked in yellow.</t>
  </si>
  <si>
    <t xml:space="preserve">The non-optional/minimum requirement inputs cover the 3 year period, excluding the optional prior year and optional 8 year forecast periods. </t>
  </si>
  <si>
    <t>Optional Inputs:</t>
  </si>
  <si>
    <t>An optional approach is provided for filling in I&amp;E data using two optional input sheets: "I&amp;E Annual" and "I&amp;E Profiles". There is also an optional "User Template" sheet. Tabs for these sheets are marked in green and the sheets can be ignored if not opted for.</t>
  </si>
  <si>
    <t>Input cells for the optional periods are marked in green. They can be used to provide additional data before and/or after the required 3 year period but are not part of the minimum requirement</t>
  </si>
  <si>
    <t>However, if opting to use the optional prior year and/or optional 8 year forecast, inputs for these periods need to be filled in consistently across all sheets (treated the same as the non-optional periods).</t>
  </si>
  <si>
    <t>Monitoring Sheets</t>
  </si>
  <si>
    <t>The Monitoring worksheets are only required to be completed by colleges which have been contacted directly by the relevant DfE Team.</t>
  </si>
  <si>
    <t xml:space="preserve">Monitoring </t>
  </si>
  <si>
    <t>Input Sheets Guidelines</t>
  </si>
  <si>
    <t>Steps to complete the CFFR:</t>
  </si>
  <si>
    <t>Notes</t>
  </si>
  <si>
    <t>Optional completion notes:</t>
  </si>
  <si>
    <t>Provide college name</t>
  </si>
  <si>
    <t>Enter the first and last date of monthly actuals (disregarding optional prior and forecast year dates, which will be auto-populated).
Maximum of 16 monthly periods of actuals data can be entered. Once the 16 months of actuals have been exhausted the model needs to be "rolled forward", i.e. the model start and end dates need to be reset and the actuals data needs to be shifted accordingly.</t>
  </si>
  <si>
    <t>A summary of Financial Health grades is included on the 'Cover Sheet'. It is populated on the "Financial Health" tab and does not need to be populated here.</t>
  </si>
  <si>
    <t xml:space="preserve">Enter inputs for merger/ de-merger in current year
</t>
  </si>
  <si>
    <t>Declarations need to be entered here based on the purpose of the CFFR submission.</t>
  </si>
  <si>
    <t>Annual 16-19, Apprenticeships, and Staff FTE numbers</t>
  </si>
  <si>
    <t>Guidance below</t>
  </si>
  <si>
    <t>Opening balances for current financial year.
Optional prior year opening balances (only fill in if the optional year is applied)</t>
  </si>
  <si>
    <t>Includes Non-Current Asset inputs on a project by project basis. Non-Current Asset Account balances are derived based on the project data inputs.</t>
  </si>
  <si>
    <t>Capital Expenditure Projects data - monthly</t>
  </si>
  <si>
    <t>Movement amount, date and description</t>
  </si>
  <si>
    <t>Surplus/Loss amount, date and description</t>
  </si>
  <si>
    <t>Disposal amount and Net Book Value, date, and description</t>
  </si>
  <si>
    <t>1. Input depreciation for each NCA Account.
2. If applicable use the Movement due to Merger entry to account for any mid-year merger impact on Non-current assets. 
3. Input additions over time to the Investments account
4. Input Fixed Asset Retentions over time.</t>
  </si>
  <si>
    <t>Use this section in case of any asset reclassifications (e.g. from Land &amp; Buildings to Investments). Treated as a non-cash movement in NCA accounts.</t>
  </si>
  <si>
    <r>
      <t xml:space="preserve">1. Forecast closing balances for Current Assets, Liabilities and Reserves
2. Additional inputs for:
- Receivables and Stock movements due to bad debt write-off/ stock revaluations and write-offs
- Finance Lease Obligations payments and interest
- Operating Lease Obligations (Right of use) payments and interest
- Capital Grant Liability Account movements
- Pension Provision Accounts Movement 
- Transfers between Reserves
3. Please note some of the line items on "BS Forecasts" are referred from other sheets and need to be filled in there first for the Balance Sheet to balance:
-Most NCA accounts + Finance and Operating (Right of use) Lease Additions link to the "Investing Inputs" sheet - please note that the Operating Lease (Right of use) lines are only for use from 2026/27 onwards and are locked for 2025/26 and the optional 2024/25 year
-Loan balances and Interest Payable Balance link to the "Loans" sheet
-I&amp;E Reserve movement and Movement in Share of JVs link to I&amp;E
4. Where colleges have </t>
    </r>
    <r>
      <rPr>
        <b/>
        <sz val="11"/>
        <rFont val="Calibri"/>
        <family val="2"/>
        <scheme val="minor"/>
      </rPr>
      <t>received capital funding in advance which forms part of their cash balance</t>
    </r>
    <r>
      <rPr>
        <sz val="11"/>
        <rFont val="Calibri"/>
        <family val="2"/>
        <scheme val="minor"/>
      </rPr>
      <t xml:space="preserve">, they should use the restricted cash fields (row 86) to record that unspent capital cash balance to the extent that this has not already been included in </t>
    </r>
    <r>
      <rPr>
        <b/>
        <sz val="11"/>
        <rFont val="Calibri"/>
        <family val="2"/>
        <scheme val="minor"/>
      </rPr>
      <t>current</t>
    </r>
    <r>
      <rPr>
        <sz val="11"/>
        <rFont val="Calibri"/>
        <family val="2"/>
        <scheme val="minor"/>
      </rPr>
      <t xml:space="preserve"> liabilities. Colleges must highlight in the CFFR commentary the impact this has on the college’s cash position and/or financial health compared to what would have been the case had the funding not been received in advance. </t>
    </r>
    <r>
      <rPr>
        <b/>
        <sz val="11"/>
        <rFont val="Calibri"/>
        <family val="2"/>
        <scheme val="minor"/>
      </rPr>
      <t>Please refer to the College Financial Planning Handbook for details</t>
    </r>
  </si>
  <si>
    <t>This is an unprotected sheet that can be used by users for their own  calculations.</t>
  </si>
  <si>
    <t>Output Sheets Description</t>
  </si>
  <si>
    <t>Description of Output Sheets:</t>
  </si>
  <si>
    <t>Optional output notes:</t>
  </si>
  <si>
    <t>An Output sheet laying out financial statements</t>
  </si>
  <si>
    <t>Income &amp; Expenditure linking to I&amp;E inputs ("I&amp;E Annual" sheet)</t>
  </si>
  <si>
    <t>Balance Sheet linking to Balance Sheet inputs ("BS Forecasts" sheet)</t>
  </si>
  <si>
    <t xml:space="preserve">Cash Flow based on I&amp;E and BS inputs. 
Indirect cash flow derivation applied for operating cash flows.
</t>
  </si>
  <si>
    <t>An output sheet calculating performance ratios based on Financial Statements</t>
  </si>
  <si>
    <t>The sheet includes input cells for self assessment and a narrative field under each of the approaches.</t>
  </si>
  <si>
    <t xml:space="preserve">Financial Health points allocated for:
- Adjusted current ratio
- EBITDA % of adjusted income
- Borrowing % of adjusted income
</t>
  </si>
  <si>
    <t>Provides a snapshot of cash flow position over time including graphs and a summary of the Cash Flow Statement</t>
  </si>
  <si>
    <t>Provides a summary of Working Capital including graphs and a summary of:
- Stock balance
- Trade Receivables balance
- Trade Payables balance
- Adjusted Cash Days 
- Debtor days
- Creditor Days</t>
  </si>
  <si>
    <t>Dashboard graphics and summary data providing a snapshot of financial performance
Model Users have the option to include their own college-specific benchmark for these ratios as an optional input.</t>
  </si>
  <si>
    <t>Summary of Financial Health grading and points</t>
  </si>
  <si>
    <t>Graphs for:
- EBITDA ratio (education specific)
- Adj. Operating Surplus/Deficit Ratio</t>
  </si>
  <si>
    <t>Graphs for:
- DSCR
- Borrowing % of Income</t>
  </si>
  <si>
    <t>Graphs for:
- Adjusted cash days (monthly)
- Adjusted current ratio</t>
  </si>
  <si>
    <t xml:space="preserve">
Summary of annual Financial Statements
Total Income Mix vs Staff Costs % of Total Income Graph
</t>
  </si>
  <si>
    <t>Summary of debt breakdown
Debt breakdown graph showing:
- Overdrafts
- Loans (DfE/ESFA)
- Commercial</t>
  </si>
  <si>
    <t>I&amp;E Inputs Completion Steps</t>
  </si>
  <si>
    <t>2 possible methods for filling in I&amp;E Inputs:</t>
  </si>
  <si>
    <t>Monthly or Annual</t>
  </si>
  <si>
    <t>Monthly inputs</t>
  </si>
  <si>
    <t>i</t>
  </si>
  <si>
    <t>The first time you use the CFFR</t>
  </si>
  <si>
    <t xml:space="preserve">Step 1: Enter data for the minimum 3 year period on a monthly basis in the 'I&amp;E Monthly' sheet. (Actuals can be entered on a year to date basis for FY2025/26 only. Note that year to date figures can only be entered for March at the latest).
There is an option to provide additional inputs for i) Prior year; and for ii) 8 Forecast periods beyond the minimum 3-year period. These input fields are on an annual basis. They are optional and are marked in green accordingly.
</t>
  </si>
  <si>
    <r>
      <rPr>
        <b/>
        <sz val="11"/>
        <color theme="1"/>
        <rFont val="Calibri"/>
        <family val="2"/>
        <scheme val="minor"/>
      </rPr>
      <t>Note</t>
    </r>
    <r>
      <rPr>
        <sz val="11"/>
        <color theme="1"/>
        <rFont val="Calibri"/>
        <family val="2"/>
        <scheme val="minor"/>
      </rPr>
      <t>: Some of the line items on the I&amp;E Monthly sheet are direct links to other input sheets. Therefore they cannot be filled in directly on the sheet but need to be entered elsewhere in the model. For such line items links are provided in columns E-G taking you to the relevant section of the model which needs to be filled in. Use the links to navigate to the relevant input sheets.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</si>
  <si>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'I&amp;E Annual' then links to outputs and calculations.</t>
    </r>
  </si>
  <si>
    <t>Actuals Monthly Update</t>
  </si>
  <si>
    <r>
      <rPr>
        <b/>
        <sz val="11"/>
        <color theme="1"/>
        <rFont val="Calibri"/>
        <family val="2"/>
        <scheme val="minor"/>
      </rPr>
      <t>Step 1:</t>
    </r>
    <r>
      <rPr>
        <sz val="11"/>
        <color theme="1"/>
        <rFont val="Calibri"/>
        <family val="2"/>
        <scheme val="minor"/>
      </rPr>
      <t xml:space="preserve"> Update the model start and end dates on the 'Cover Sheet'.</t>
    </r>
  </si>
  <si>
    <r>
      <rPr>
        <b/>
        <sz val="11"/>
        <color theme="1"/>
        <rFont val="Calibri"/>
        <family val="2"/>
        <scheme val="minor"/>
      </rPr>
      <t>Step 2:</t>
    </r>
    <r>
      <rPr>
        <sz val="11"/>
        <color theme="1"/>
        <rFont val="Calibri"/>
        <family val="2"/>
        <scheme val="minor"/>
      </rPr>
      <t xml:space="preserve"> Update actual I&amp;E data in the 'I&amp;E Monthly' sheet using the monthly timeline. 
Update the Optional Prior year actuals if used.</t>
    </r>
  </si>
  <si>
    <r>
      <rPr>
        <b/>
        <sz val="11"/>
        <color theme="1"/>
        <rFont val="Calibri"/>
        <family val="2"/>
        <scheme val="minor"/>
      </rPr>
      <t xml:space="preserve">Step 3: </t>
    </r>
    <r>
      <rPr>
        <sz val="11"/>
        <color theme="1"/>
        <rFont val="Calibri"/>
        <family val="2"/>
        <scheme val="minor"/>
      </rPr>
      <t xml:space="preserve">Update current year forecast I&amp;E data in the 'I&amp;E Monthly' sheet using the monthly timeline. 
</t>
    </r>
  </si>
  <si>
    <r>
      <rPr>
        <b/>
        <sz val="11"/>
        <color theme="1"/>
        <rFont val="Calibri"/>
        <family val="2"/>
        <scheme val="minor"/>
      </rPr>
      <t>Outcome:</t>
    </r>
    <r>
      <rPr>
        <sz val="11"/>
        <color theme="1"/>
        <rFont val="Calibri"/>
        <family val="2"/>
        <scheme val="minor"/>
      </rPr>
      <t xml:space="preserve"> The I&amp;E inputs will be reflected in the 'I&amp;E Annual' sheet. It links to outputs and calculations.</t>
    </r>
  </si>
  <si>
    <t>Annual inputs, with monthly allocations based on input profiles.</t>
  </si>
  <si>
    <t>This approach is optional and is executed via the 2 optional I&amp;E input sheets: "I&amp;E Annual" and "I&amp;E Profiles". 
Use it in order to enter I&amp;E data as annual forecasts over the 3 year period and to allocate the monthly income and expenditure based on I&amp;E profiling on the "I&amp;E Profiles" sheet.</t>
  </si>
  <si>
    <r>
      <rPr>
        <b/>
        <sz val="11"/>
        <color theme="1"/>
        <rFont val="Calibri"/>
        <family val="2"/>
        <scheme val="minor"/>
      </rPr>
      <t>Step 1:</t>
    </r>
    <r>
      <rPr>
        <sz val="11"/>
        <color theme="1"/>
        <rFont val="Calibri"/>
        <family val="2"/>
        <scheme val="minor"/>
      </rPr>
      <t xml:space="preserve"> Enter the actuals data (and optional prior year and/or 8 year optional forecast data if used) on the 'I&amp;E Monthly' sheet.</t>
    </r>
  </si>
  <si>
    <r>
      <rPr>
        <b/>
        <sz val="11"/>
        <color theme="1"/>
        <rFont val="Calibri"/>
        <family val="2"/>
        <scheme val="minor"/>
      </rPr>
      <t>Step 2:</t>
    </r>
    <r>
      <rPr>
        <sz val="11"/>
        <color theme="1"/>
        <rFont val="Calibri"/>
        <family val="2"/>
        <scheme val="minor"/>
      </rPr>
      <t xml:space="preserve"> Forecast data can be entered either entirely on the "I&amp;E Annual" sheet or partly on "I&amp;E Annual" and partly on "I&amp;E Monthly". For each I&amp;E line item choose whether it is to be entered on a monthly or on an annual basis using the dropdown menu in column G on the "I&amp;E Annual" sheet.</t>
    </r>
  </si>
  <si>
    <r>
      <rPr>
        <b/>
        <sz val="11"/>
        <color theme="1"/>
        <rFont val="Calibri"/>
        <family val="2"/>
        <scheme val="minor"/>
      </rPr>
      <t>Step 2a:</t>
    </r>
    <r>
      <rPr>
        <sz val="11"/>
        <color theme="1"/>
        <rFont val="Calibri"/>
        <family val="2"/>
        <scheme val="minor"/>
      </rPr>
      <t xml:space="preserve"> If the "Monthly" option is selected for any of the I&amp;E items, those items need to be entirely filled in on the "I&amp;E Monthly" sheet for the full monthly timeline</t>
    </r>
  </si>
  <si>
    <r>
      <rPr>
        <b/>
        <sz val="11"/>
        <color theme="1"/>
        <rFont val="Calibri"/>
        <family val="2"/>
        <scheme val="minor"/>
      </rPr>
      <t>Step 2b:</t>
    </r>
    <r>
      <rPr>
        <sz val="11"/>
        <color theme="1"/>
        <rFont val="Calibri"/>
        <family val="2"/>
        <scheme val="minor"/>
      </rPr>
      <t xml:space="preserve"> Enter I&amp;E data on an annual basis in the 'I&amp;E Annual' sheet for all line items that are set to "Annual" in column G.</t>
    </r>
  </si>
  <si>
    <r>
      <rPr>
        <b/>
        <sz val="11"/>
        <color theme="1"/>
        <rFont val="Calibri"/>
        <family val="2"/>
        <scheme val="minor"/>
      </rPr>
      <t>Step 3a:</t>
    </r>
    <r>
      <rPr>
        <sz val="11"/>
        <color theme="1"/>
        <rFont val="Calibri"/>
        <family val="2"/>
        <scheme val="minor"/>
      </rPr>
      <t xml:space="preserve"> On the 'I&amp;E profiles' sheet enter any custom profiles and name them. These will then appear in the dropdowns on 'I&amp;E Annual' Column E.</t>
    </r>
  </si>
  <si>
    <r>
      <rPr>
        <b/>
        <sz val="11"/>
        <color theme="1"/>
        <rFont val="Calibri"/>
        <family val="2"/>
        <scheme val="minor"/>
      </rPr>
      <t>Step 3b:</t>
    </r>
    <r>
      <rPr>
        <sz val="11"/>
        <color theme="1"/>
        <rFont val="Calibri"/>
        <family val="2"/>
        <scheme val="minor"/>
      </rPr>
      <t xml:space="preserve"> For all "Annual" line items on the 'I&amp;E Annual' sheet select a profile for each populated row from the dropdown menu in column E.</t>
    </r>
  </si>
  <si>
    <r>
      <rPr>
        <b/>
        <sz val="11"/>
        <color theme="1"/>
        <rFont val="Calibri"/>
        <family val="2"/>
        <scheme val="minor"/>
      </rPr>
      <t xml:space="preserve">Outcome: </t>
    </r>
    <r>
      <rPr>
        <sz val="11"/>
        <color theme="1"/>
        <rFont val="Calibri"/>
        <family val="2"/>
        <scheme val="minor"/>
      </rPr>
      <t>The selected I&amp;E inputs for each line item will be reflected in the 'I&amp;E Annual' sheet. It links to outputs and calculations.</t>
    </r>
  </si>
  <si>
    <r>
      <rPr>
        <b/>
        <sz val="11"/>
        <color theme="1"/>
        <rFont val="Calibri"/>
        <family val="2"/>
        <scheme val="minor"/>
      </rPr>
      <t>Step 1:</t>
    </r>
    <r>
      <rPr>
        <sz val="11"/>
        <color theme="1"/>
        <rFont val="Calibri"/>
        <family val="2"/>
        <scheme val="minor"/>
      </rPr>
      <t xml:space="preserve"> Update the Model Date on the 'Cover Sheet'.</t>
    </r>
  </si>
  <si>
    <r>
      <rPr>
        <b/>
        <sz val="11"/>
        <color theme="1"/>
        <rFont val="Calibri"/>
        <family val="2"/>
        <scheme val="minor"/>
      </rPr>
      <t>Step 2:</t>
    </r>
    <r>
      <rPr>
        <sz val="11"/>
        <color theme="1"/>
        <rFont val="Calibri"/>
        <family val="2"/>
        <scheme val="minor"/>
      </rPr>
      <t xml:space="preserve"> Update the actual data in the 'I&amp;E Monthly' sheet. The seasonal profiles will be updated automatically once the model end and start dates are updated.</t>
    </r>
  </si>
  <si>
    <r>
      <rPr>
        <b/>
        <sz val="11"/>
        <color theme="1"/>
        <rFont val="Calibri"/>
        <family val="2"/>
        <scheme val="minor"/>
      </rPr>
      <t>Step 3:</t>
    </r>
    <r>
      <rPr>
        <sz val="11"/>
        <color theme="1"/>
        <rFont val="Calibri"/>
        <family val="2"/>
        <scheme val="minor"/>
      </rPr>
      <t xml:space="preserve"> Update the annual forecast data for the current year in the 'I&amp;E Annual' sheet to reflect the change in actuals. Make sure the calculated monthly forecast figures in the 'I&amp;E Annual' sheet reflect the desired outcome by adjusting the annual data entries.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</si>
  <si>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It links to outputs and calculations.</t>
    </r>
  </si>
  <si>
    <t>Loans Completion Steps</t>
  </si>
  <si>
    <t>Loans</t>
  </si>
  <si>
    <t>Provide details for each loan (e.g. lender, loan amount, loan term start and end date, loan interest, etc.) The Loans data table includes:</t>
  </si>
  <si>
    <t>- a minimum requirement section: to be filled in for all loans entered</t>
  </si>
  <si>
    <t>- section on loan covenants: to be filled in if applicable</t>
  </si>
  <si>
    <t>- additional information section for automated interest calculation: to be filled in only if the automated interest calculation is used. If not used do not fill in this section.</t>
  </si>
  <si>
    <t>Use the yes/no dropdown column in this table to specify if the interest automated calculation option should be applied for deriving interest expense and payments. 
By default the calculated option is set to not in use, i.e.  interest expense and interest payments need to be entered via the Manual Inputs Section across the full model timeline.</t>
  </si>
  <si>
    <t>By default the calculated option is set to not in use (unless specified otherwise as per above), i.e.  interest expense and interest payments need to be entered via the "Manual Loan Data Inputs" section across the full model timeline.</t>
  </si>
  <si>
    <t>Interest rates can be provided as an annual interest rate within the table or as a variable interest rate across the timeline provided.</t>
  </si>
  <si>
    <t>Fill in capital loan balance and interest movements for each loan within this section (including data on early loan repayments and early repayment fees if applicable)</t>
  </si>
  <si>
    <r>
      <t xml:space="preserve">Inputs need to be provided for:
-Loan drawdowns 
-Loan Capital Repayment (as per loan agreement)
-Early Loan Capital Repayment 
-Interest expense </t>
    </r>
    <r>
      <rPr>
        <b/>
        <sz val="11"/>
        <color theme="1"/>
        <rFont val="Calibri"/>
        <family val="2"/>
        <scheme val="minor"/>
      </rPr>
      <t>(actuals data as a minimum)</t>
    </r>
    <r>
      <rPr>
        <sz val="11"/>
        <color theme="1"/>
        <rFont val="Calibri"/>
        <family val="2"/>
        <scheme val="minor"/>
      </rPr>
      <t xml:space="preserve">
-Interest repayments </t>
    </r>
    <r>
      <rPr>
        <b/>
        <sz val="11"/>
        <color theme="1"/>
        <rFont val="Calibri"/>
        <family val="2"/>
        <scheme val="minor"/>
      </rPr>
      <t>(actuals data as a minimum)</t>
    </r>
    <r>
      <rPr>
        <sz val="11"/>
        <color theme="1"/>
        <rFont val="Calibri"/>
        <family val="2"/>
        <scheme val="minor"/>
      </rPr>
      <t xml:space="preserve">
- Early repayment fees</t>
    </r>
  </si>
  <si>
    <r>
      <rPr>
        <b/>
        <sz val="11"/>
        <color theme="1"/>
        <rFont val="Calibri"/>
        <family val="2"/>
        <scheme val="minor"/>
      </rPr>
      <t xml:space="preserve">If the automated interest calc. option is not in use: </t>
    </r>
    <r>
      <rPr>
        <sz val="11"/>
        <color theme="1"/>
        <rFont val="Calibri"/>
        <family val="2"/>
        <scheme val="minor"/>
      </rPr>
      <t>fill in interest expense and interest payments in this section across the entire timeline</t>
    </r>
  </si>
  <si>
    <r>
      <rPr>
        <b/>
        <sz val="11"/>
        <color theme="1"/>
        <rFont val="Calibri"/>
        <family val="2"/>
        <scheme val="minor"/>
      </rPr>
      <t xml:space="preserve">If the automated interest calc. option is used: </t>
    </r>
    <r>
      <rPr>
        <sz val="11"/>
        <color theme="1"/>
        <rFont val="Calibri"/>
        <family val="2"/>
        <scheme val="minor"/>
      </rPr>
      <t>only fill in interest expense and interest payments for actuals periods in this section. The forecast periods interest expense and payments will be calculated in the "Loan Interest Calculation Option" section based on the loan capital and actual interest amounts provided in this section and the additional details provided in the Loans Data Table (as per above).</t>
    </r>
  </si>
  <si>
    <t>Automated Interest Calculations Option</t>
  </si>
  <si>
    <t>This section automatically calculates interest expense and interest repayment for the forecast periods based on the inputs provided above.</t>
  </si>
  <si>
    <t>Some of the key inputs that are needed for the automated calculation are described below:</t>
  </si>
  <si>
    <t>Select a yes/no answer from the dropdown menu to state if the automated option should be applied.</t>
  </si>
  <si>
    <t>Provide the first date that interest payment is expected to occur in the forecast period. (This date should be in the future, should not be in the actuals period, otherwise the automated interest calculation will not be correct).</t>
  </si>
  <si>
    <t>The CFFR will only process automatic interest calculations if the compounding frequency is set to Monthly, which is now the only option available</t>
  </si>
  <si>
    <t xml:space="preserve">Provide the frequency of interest payments, (e.g. interest is paid monthly, quarterly, annually, or semi-annually) </t>
  </si>
  <si>
    <t>State if interest accrues at period end (the model default is that interest accrues at the beginning of the period). If it accrues at period end, then interest will be compounded after any interest payments in the period.</t>
  </si>
  <si>
    <t>Errors and Warnings - v1.3 updates</t>
  </si>
  <si>
    <t>I&amp;E - Subcontracting</t>
  </si>
  <si>
    <t>An error check has been added to the I&amp;E Monthly and I&amp;E Annual sheets. If subcontracting out costs (row 123) is non-zero for any of the months/years recorded, this checks whether subcontracted out income has been entered in any cells further up the sheet - rows 14, 24, 30, 39, 47, 54 and 61. If no subcontracted out income has been entered, the check will return an error, meaning the template will be rejected, if the error is not corrected. Please see below for an example.</t>
  </si>
  <si>
    <t>Financial Health</t>
  </si>
  <si>
    <t xml:space="preserve">It is mandatory for colleges to provide their self-assessed financial health grades in the return. As a reminder of this, a warning has been added to the financial health sheet. The entries for college self-assessment (cells W31:Y31 on the financial health sheet) is set to default to the auto-calculated financial health grade, meaning that, if no change is made to this cell, it will be assumed that the college's self-assessed financial health grade is the same as the auto-calculated grade. If a college wants to enter a different self-assessed grade, this can be selected from the drop downs in W30:Y30, as in previous returns. If any of cells W30:Y30 are cleared and left empty, a warning will appear, prompting colleges to enter their own self-assessed grade(s). Please note that no self-assessment is required for the FY preceding the submission year, as it is expected that this would have been provided in the college's most recent Finance Record submission (i.e. for the July 2026 CFFR submission, no self-assessment is required for FY2025), so cell V30 is greyed out and locked. Please see below for an example.
</t>
  </si>
  <si>
    <t>The Finance Record (FR) introduced a question about Emergency Funding Loans. This has been replicated for the CFFR, however, inputs are only required for the current year (2025/26) and if used, the prior year, to ensure consistency with the grading in FR 2025.
If a college reports a different self-assessed grade to the calculated grade, they must enter text in the narrative box, to explain their choice. When a different grade is selected and no narrative is supplied, an error will be generated to prompt the user to provide narrative. Please see below for an example.</t>
  </si>
  <si>
    <t>For users who chose the Year-to-date Option</t>
  </si>
  <si>
    <t>Users still have the option to provide year-to-date actuals, but only up to March 2026, so monthly figures must be entered from April 2026. Users who choose to provide year-to-date actuals must select 'No' in cell E29 on the cover sheet. Choosing this option will initially generate errors on the I&amp;E monthly and BS Forecasts sheets (cells AH7 &amp; AI7 on both), which can be cleared by completing entries in the March 2026 and April 2026 columns. The March 2026 and April 2026 input cells will also remain the same colour as all other mandatory input cells, prompting completion.
If no figures are entered in either the March or April columns, for example if the user tries to provide year-to-date figures to the end of April or May 2026, errors will persist, and the submission will be rejected.
Note that the last date of monthly actuals, entered in cell E21 of the Cover Sheet, will determine which months are actuals and which forecasts, whether or not the year to date option has been chosen. In the example below, the last date or monthly actuals has been set at 31 May 2026. Whichever date is entered in E21 on the cover sheet, figures (actual or forecast, as appropriate) must be entered in all months, starting with March.
See below for an example of the errors on the I&amp;E, which are replicated in the BS Forecasts. In this example, the user is expected to enter actuals up to 31 May but has not entered data for the months of April or March, hence the errors triggered in row 7.</t>
  </si>
  <si>
    <t>Cover Sheet</t>
  </si>
  <si>
    <t>Input Checks</t>
  </si>
  <si>
    <t>Auto Checks</t>
  </si>
  <si>
    <t>Unique Description</t>
  </si>
  <si>
    <t>Note that this template will be used for multiple purposes with different declaration requirements. 
Please see column F for which declarations you need to complete for your return.</t>
  </si>
  <si>
    <t>Mid Year Merger Date</t>
  </si>
  <si>
    <t>Actuals Dates Check</t>
  </si>
  <si>
    <t>Valid College Name Check</t>
  </si>
  <si>
    <t>Valid College Data</t>
  </si>
  <si>
    <t>Ref. No.</t>
  </si>
  <si>
    <t>FINANCIAL DATA UNITS: £000</t>
  </si>
  <si>
    <t>College Details</t>
  </si>
  <si>
    <t>CS-1a</t>
  </si>
  <si>
    <t>College Name</t>
  </si>
  <si>
    <t>CS-1b</t>
  </si>
  <si>
    <t>College Type</t>
  </si>
  <si>
    <t>CS-1c</t>
  </si>
  <si>
    <t>College Code</t>
  </si>
  <si>
    <t>CS-1d</t>
  </si>
  <si>
    <t>College UPIN</t>
  </si>
  <si>
    <t>CS-1e</t>
  </si>
  <si>
    <t>College UKPRN</t>
  </si>
  <si>
    <t>Date Inputs</t>
  </si>
  <si>
    <t>CS-2a</t>
  </si>
  <si>
    <t>First day of monthly actuals:</t>
  </si>
  <si>
    <t>CS-2b</t>
  </si>
  <si>
    <t>Last day of monthly actuals:</t>
  </si>
  <si>
    <t>CS-2c</t>
  </si>
  <si>
    <t>First day of monthly actuals calculated:</t>
  </si>
  <si>
    <t>CS-2d</t>
  </si>
  <si>
    <t>Maximum last date of actuals:</t>
  </si>
  <si>
    <t>CS-2e</t>
  </si>
  <si>
    <t>Last day of monthly actuals calculated:</t>
  </si>
  <si>
    <t>CS-2f</t>
  </si>
  <si>
    <t>Monthly breakdown provided for actuals for the outturn year:</t>
  </si>
  <si>
    <t>Financial Health Grade</t>
  </si>
  <si>
    <t>Year ending:</t>
  </si>
  <si>
    <t>FH-3a-1a</t>
  </si>
  <si>
    <t>Automated Financial Health Grade</t>
  </si>
  <si>
    <t>FH-3a-1b</t>
  </si>
  <si>
    <t xml:space="preserve">Financial Health Grade Self-Assessment </t>
  </si>
  <si>
    <t>FH-3a-2a</t>
  </si>
  <si>
    <t>FH-3a-2b</t>
  </si>
  <si>
    <t>FH-3a-3a</t>
  </si>
  <si>
    <t>FH-3a-3b</t>
  </si>
  <si>
    <t>Mid Year Merger Details</t>
  </si>
  <si>
    <t>CS-3a</t>
  </si>
  <si>
    <t>Name of College merged with</t>
  </si>
  <si>
    <t>CS-3b</t>
  </si>
  <si>
    <t>CS-3c</t>
  </si>
  <si>
    <t>Merger date:</t>
  </si>
  <si>
    <t>Declarations</t>
  </si>
  <si>
    <t>Required for:</t>
  </si>
  <si>
    <t>CS-4a</t>
  </si>
  <si>
    <t>I confirm that the most appropriate financial health grade for each of the three years is as shown above.</t>
  </si>
  <si>
    <t>Required for July College Financial Planning Return</t>
  </si>
  <si>
    <t>CS-4b</t>
  </si>
  <si>
    <t>CS-4c</t>
  </si>
  <si>
    <t>I confirm that this return is consistent with the college's strategic plan and that the plan and accompanying commentary have been reviewed in accordance with the method agreed by the governing body. I agree that the data provided may be published by Department for Education.</t>
  </si>
  <si>
    <t>CS-4d</t>
  </si>
  <si>
    <t>I confirm that the supporting commentary has been prepared with due regard to the financial planning checklist in the College Financial Planning Handbook.</t>
  </si>
  <si>
    <t>CS-4e</t>
  </si>
  <si>
    <t>I confirm that this return includes the capital project and reflects the project financing as per the capital grant application.</t>
  </si>
  <si>
    <t>Required for capital grant applications</t>
  </si>
  <si>
    <t>CS-4f-1</t>
  </si>
  <si>
    <t>Required for all returns</t>
  </si>
  <si>
    <t>CS-4f-2</t>
  </si>
  <si>
    <t>Date of closest bank reconciliation:</t>
  </si>
  <si>
    <t>Accounting Officer's declaration</t>
  </si>
  <si>
    <t>CS-4g-1</t>
  </si>
  <si>
    <t>CS-4g-2</t>
  </si>
  <si>
    <t>Name:</t>
  </si>
  <si>
    <t>CS-4g-3</t>
  </si>
  <si>
    <t>Date:</t>
  </si>
  <si>
    <t>CS-4g-7</t>
  </si>
  <si>
    <t>Accounting Officer Email Address</t>
  </si>
  <si>
    <t>CS-4g-4</t>
  </si>
  <si>
    <t>Name of contact for queries (if different):</t>
  </si>
  <si>
    <t>CS-4g-5</t>
  </si>
  <si>
    <t>Telephone Number:</t>
  </si>
  <si>
    <t>CS-4g-6</t>
  </si>
  <si>
    <t>Email Address:</t>
  </si>
  <si>
    <t>CS-4h-1</t>
  </si>
  <si>
    <t>Chair of the Governing Body Name</t>
  </si>
  <si>
    <t>CS-4h-2</t>
  </si>
  <si>
    <t>Chair of the Governing Body Email Address</t>
  </si>
  <si>
    <t>CS-4i-1</t>
  </si>
  <si>
    <t>Governance Professional Name</t>
  </si>
  <si>
    <t>CS-4i-2</t>
  </si>
  <si>
    <t>Governance Professional Email Address</t>
  </si>
  <si>
    <t>CS-4j-1</t>
  </si>
  <si>
    <t>Finance Director Name</t>
  </si>
  <si>
    <t>CS-4j-2</t>
  </si>
  <si>
    <t>Finance Director Email Address</t>
  </si>
  <si>
    <t>The 2026 CFFR and associated documents must be submitted through the College 
Financial Data (CFD) service (follow this link). This will require a DfE sign-in account to login.</t>
  </si>
  <si>
    <t>Learners and Staff</t>
  </si>
  <si>
    <t>Input validation check</t>
  </si>
  <si>
    <t>Sign Check</t>
  </si>
  <si>
    <t>Units</t>
  </si>
  <si>
    <t>Learner and FTE Numbers</t>
  </si>
  <si>
    <t>Learner Numbers</t>
  </si>
  <si>
    <t>LE-1a</t>
  </si>
  <si>
    <t>16-19 Allocated Students (Lagged student number)</t>
  </si>
  <si>
    <t>No.</t>
  </si>
  <si>
    <t>LE-1b</t>
  </si>
  <si>
    <t>16-19 Forecast Student Outturn</t>
  </si>
  <si>
    <t>Apprenticeship Learners</t>
  </si>
  <si>
    <t>LE-2a</t>
  </si>
  <si>
    <t>16-18 Apprenticeship learners</t>
  </si>
  <si>
    <t>LE-2b</t>
  </si>
  <si>
    <t>19+ Apprenticeship learners</t>
  </si>
  <si>
    <t>LE-2</t>
  </si>
  <si>
    <t>Total Apprenticeship learners</t>
  </si>
  <si>
    <t>Staff FTE</t>
  </si>
  <si>
    <t>ST-1a</t>
  </si>
  <si>
    <t>Teaching staff FTE</t>
  </si>
  <si>
    <t>ST-1b</t>
  </si>
  <si>
    <t>Non-teaching staff FTE</t>
  </si>
  <si>
    <t>ST-1</t>
  </si>
  <si>
    <t>Total Staff FTE</t>
  </si>
  <si>
    <t>I&amp;E Monthly</t>
  </si>
  <si>
    <t>Differences</t>
  </si>
  <si>
    <t>Column Flags</t>
  </si>
  <si>
    <t>Subcontracted Out does not exceed total income</t>
  </si>
  <si>
    <t>Monthly data reconciliation to 4 year annual data</t>
  </si>
  <si>
    <t>Monthly data reconciliation to 12 year timeline</t>
  </si>
  <si>
    <t>Previous Year reconciliation against 12 year timeline</t>
  </si>
  <si>
    <t>Year 1 reconciliation against 4 year timeline</t>
  </si>
  <si>
    <t>Year 2 reconciliation against 4 year timeline</t>
  </si>
  <si>
    <t>Year 3 reconciliation against 4 year timeline</t>
  </si>
  <si>
    <t>Year 1 reconciliation against 12 year timeline</t>
  </si>
  <si>
    <t>Year 2 reconciliation against 12 year timeline</t>
  </si>
  <si>
    <t>Year 3 reconciliation against 12 year timeline</t>
  </si>
  <si>
    <t>Number of Flags where Subcontracted out Income &gt; Total Income</t>
  </si>
  <si>
    <t>Prior year input flag</t>
  </si>
  <si>
    <t>Optional year input flag</t>
  </si>
  <si>
    <t>subcontracted out income &gt; total?</t>
  </si>
  <si>
    <t>Sign Warnings</t>
  </si>
  <si>
    <t>Links</t>
  </si>
  <si>
    <t>Signage</t>
  </si>
  <si>
    <t>Income and Expenditure</t>
  </si>
  <si>
    <t>14-16 Income</t>
  </si>
  <si>
    <t>14-16 funding</t>
  </si>
  <si>
    <t>+ve/-ve (Cr/Dr)</t>
  </si>
  <si>
    <t>Subcontracted in: 14-16 income</t>
  </si>
  <si>
    <t>Total 14-16 Income</t>
  </si>
  <si>
    <t>Of which: subcontracted out: 14-16 income</t>
  </si>
  <si>
    <t>16-19 Income</t>
  </si>
  <si>
    <t>16-19 programme funding</t>
  </si>
  <si>
    <t>16-19  other programme funding (exc. Bursaries)</t>
  </si>
  <si>
    <t>High Needs - element 2</t>
  </si>
  <si>
    <t>Local Authority High Needs - element 3</t>
  </si>
  <si>
    <t>Other funding including Local Authority and schools</t>
  </si>
  <si>
    <t>Subcontracted in: 16-19 income</t>
  </si>
  <si>
    <t>Total 16-19 Income</t>
  </si>
  <si>
    <t>Of which: subcontracted out 16-19 income</t>
  </si>
  <si>
    <t>Apprenticeships Income</t>
  </si>
  <si>
    <t>Total apprenticeship programme funding</t>
  </si>
  <si>
    <t>Subcontracted in: Apprenticeship income</t>
  </si>
  <si>
    <t>Total Apprenticeships Income</t>
  </si>
  <si>
    <t>Of which: subcontracted out Apprenticeship income</t>
  </si>
  <si>
    <t>Adult Education and Training Income (Excluding clawbacks)</t>
  </si>
  <si>
    <t>Adult Skills Fund Grant</t>
  </si>
  <si>
    <t>Adult Skills Fund Procured</t>
  </si>
  <si>
    <t>Adult Skills Fund - Devolved Authorities</t>
  </si>
  <si>
    <t>Advanced Learner Loans income (excl. bursary)</t>
  </si>
  <si>
    <t>Subcontracted in - Adult Education and Training Income</t>
  </si>
  <si>
    <t>Total Adult Education and Training Income (Excluding clawbacks)</t>
  </si>
  <si>
    <t>Of which: subcontracted out Adult Education and Training Income</t>
  </si>
  <si>
    <t>HE Income</t>
  </si>
  <si>
    <t xml:space="preserve">HE loans </t>
  </si>
  <si>
    <t>OfS grants</t>
  </si>
  <si>
    <t>Other HE income (excl. fees)</t>
  </si>
  <si>
    <t>Subcontracted in - HE (Franchised)</t>
  </si>
  <si>
    <t>Total HE Income</t>
  </si>
  <si>
    <t>Of which: subcontracted out HE income</t>
  </si>
  <si>
    <t>European Income</t>
  </si>
  <si>
    <t>European Social Fund - direct</t>
  </si>
  <si>
    <t>Other European Funding</t>
  </si>
  <si>
    <t>Subcontracted in - European Funding</t>
  </si>
  <si>
    <t>Total European Funding</t>
  </si>
  <si>
    <t>Of which: subcontracted out European Funding income</t>
  </si>
  <si>
    <t>Skills Bootcamps Income</t>
  </si>
  <si>
    <t>M-IE-1f-11</t>
  </si>
  <si>
    <t>Skills Bootcamps</t>
  </si>
  <si>
    <t>M-IE-1f-12</t>
  </si>
  <si>
    <t>Skills Bootcamps - Devolved Authorities</t>
  </si>
  <si>
    <t>M-IE-1f-SI</t>
  </si>
  <si>
    <t>Subcontracted in - Skills Bootcamps</t>
  </si>
  <si>
    <t>M-IE-1f-ii</t>
  </si>
  <si>
    <t>Total Skills Bootcamps Income</t>
  </si>
  <si>
    <t>M-IE-1f-SO</t>
  </si>
  <si>
    <t>Of which: subcontracted out Skills Bootcamps Income</t>
  </si>
  <si>
    <t>Other income from provision of education and training</t>
  </si>
  <si>
    <t>Full cost provision</t>
  </si>
  <si>
    <t>HE home student fees (not loans)</t>
  </si>
  <si>
    <t>International students - fee income</t>
  </si>
  <si>
    <t>Total employer contributions contracted apprenticeships</t>
  </si>
  <si>
    <t>Other fees (including non-apprenticeship co-funded)</t>
  </si>
  <si>
    <t>LEP learning provision activities</t>
  </si>
  <si>
    <t>Bursaries - net income (5% admin fee, ALLB and Free Meals)</t>
  </si>
  <si>
    <t>Teachers Pension Scheme Grant</t>
  </si>
  <si>
    <t>Exam and registration income</t>
  </si>
  <si>
    <t>Total Other Income from Provision of Education and Training</t>
  </si>
  <si>
    <t>Commercial income</t>
  </si>
  <si>
    <t>Student training facilities</t>
  </si>
  <si>
    <t>Catering</t>
  </si>
  <si>
    <t>Nursery</t>
  </si>
  <si>
    <t>Residences and conferences</t>
  </si>
  <si>
    <t>Consultancy</t>
  </si>
  <si>
    <t>International overseas delivery</t>
  </si>
  <si>
    <t>Farming</t>
  </si>
  <si>
    <t>Other commercial income</t>
  </si>
  <si>
    <t>Total commercial income</t>
  </si>
  <si>
    <t>Other Income</t>
  </si>
  <si>
    <t>Other income from non-learning activities incl. VAT recovered</t>
  </si>
  <si>
    <t>Endowment income</t>
  </si>
  <si>
    <t>Total Other Income</t>
  </si>
  <si>
    <t>Funding Support</t>
  </si>
  <si>
    <t>Emergency Funding</t>
  </si>
  <si>
    <t>Exceptional Restructuring Funding</t>
  </si>
  <si>
    <t>Other Government Support</t>
  </si>
  <si>
    <t>Total Funding Support</t>
  </si>
  <si>
    <t>Non-cash accounting receipts or non-exchange transactions (gifts) excl. donated assets</t>
  </si>
  <si>
    <t>Donated Assets</t>
  </si>
  <si>
    <t>Total gifts and donated assets</t>
  </si>
  <si>
    <t>Total Operating Income</t>
  </si>
  <si>
    <t>Staff Costs (excl. restructuring)</t>
  </si>
  <si>
    <t>Teaching staff</t>
  </si>
  <si>
    <t>+ve/-ve (Dr/Cr)</t>
  </si>
  <si>
    <t>Contracted tuition services</t>
  </si>
  <si>
    <t>Teaching and other support staff</t>
  </si>
  <si>
    <t>Administration staff</t>
  </si>
  <si>
    <t>Operational &amp; maintenance staff</t>
  </si>
  <si>
    <t>Commercial staff costs</t>
  </si>
  <si>
    <t>Apprenticeship 2% payroll levy charge</t>
  </si>
  <si>
    <t>Other staff costs</t>
  </si>
  <si>
    <t>FRS102 adj. - LGPS and EPP current service costs (non-cash)</t>
  </si>
  <si>
    <t>Total Staff Costs (excl. restructuring)</t>
  </si>
  <si>
    <t>Other operating expenditure</t>
  </si>
  <si>
    <t>Teaching costs</t>
  </si>
  <si>
    <t>Teaching and other support costs</t>
  </si>
  <si>
    <t>Administration costs</t>
  </si>
  <si>
    <t>Examination costs</t>
  </si>
  <si>
    <t>Rent and lease costs</t>
  </si>
  <si>
    <t>Commercial costs</t>
  </si>
  <si>
    <t>Subcontracting out costs</t>
  </si>
  <si>
    <t>Bad debt provision costs</t>
  </si>
  <si>
    <t>Other operating expenditure costs</t>
  </si>
  <si>
    <t>Provisions made (released)</t>
  </si>
  <si>
    <t>Operational &amp; maintenance costs (excl. energy costs)</t>
  </si>
  <si>
    <t>Electricity costs</t>
  </si>
  <si>
    <t>Gas costs</t>
  </si>
  <si>
    <t>Other energy costs (e.g. heating oil)</t>
  </si>
  <si>
    <t>Total energy costs</t>
  </si>
  <si>
    <t>Total Other operating expenditure</t>
  </si>
  <si>
    <t>Staff Restructuring Costs</t>
  </si>
  <si>
    <t>Staff restructuring costs  (excl. enhanced pension costs)</t>
  </si>
  <si>
    <t>Staff restructuring enhanced pension costs</t>
  </si>
  <si>
    <t>Total Staff Restructuring Costs</t>
  </si>
  <si>
    <t>Total Operating Expenditure</t>
  </si>
  <si>
    <t>Net Operating Income</t>
  </si>
  <si>
    <t>Release of Capital Grants</t>
  </si>
  <si>
    <t>Movement in holiday pay accrual</t>
  </si>
  <si>
    <t>Surplus/(deficit) before ITDA</t>
  </si>
  <si>
    <t>Interest, tax, depreciation and amortisation</t>
  </si>
  <si>
    <t>Depreciation and amortisation</t>
  </si>
  <si>
    <t>Interest and investment income</t>
  </si>
  <si>
    <t>Interest and other finance costs</t>
  </si>
  <si>
    <t>FRS102 adj. - LGPS and EPP net interest charge (non-cash)</t>
  </si>
  <si>
    <t>Taxation</t>
  </si>
  <si>
    <t>Total interest, tax, depreciation and amortisation</t>
  </si>
  <si>
    <t>Surplus/(deficit) after interest, tax, depreciation and amortisation costs</t>
  </si>
  <si>
    <t>Other gains and losses</t>
  </si>
  <si>
    <t>Gain/(loss) on disposal of fixed assets</t>
  </si>
  <si>
    <t>Gain/(loss) on Disposal of Investments</t>
  </si>
  <si>
    <t>Surplus/(loss) on Revaluation of Investments</t>
  </si>
  <si>
    <t>Share of surplus / (deficit) in JVs and Associates (inc. overseas)</t>
  </si>
  <si>
    <t>Fair value of Net Assets due to merger / de-merger</t>
  </si>
  <si>
    <t>Total other gains and losses</t>
  </si>
  <si>
    <t>Total surplus/(deficit) for the year</t>
  </si>
  <si>
    <t>Transfers (to)/from revaluation reserve adjustment</t>
  </si>
  <si>
    <t>Actuarial gain/(loss) on pensions adjustment</t>
  </si>
  <si>
    <t>Total Comprehensive Income</t>
  </si>
  <si>
    <t>Education-Specific EBITDA</t>
  </si>
  <si>
    <t>Emergency Funding and Other Government Support Related Expenditure</t>
  </si>
  <si>
    <t>Education-specific EBITDA</t>
  </si>
  <si>
    <t>I&amp;E optional inputs check</t>
  </si>
  <si>
    <t>non-optional inputs</t>
  </si>
  <si>
    <t xml:space="preserve">I&amp;E inputs flag </t>
  </si>
  <si>
    <t>I&amp;E Annual</t>
  </si>
  <si>
    <t>Forecast Amounts</t>
  </si>
  <si>
    <t>Profile Selected</t>
  </si>
  <si>
    <t>Selected Profile Name matches Profiles List</t>
  </si>
  <si>
    <t>Monthly data matches the 4 year annual data</t>
  </si>
  <si>
    <t xml:space="preserve">Previous Year reconciliation </t>
  </si>
  <si>
    <t>Select Profile</t>
  </si>
  <si>
    <t>Profiles Link</t>
  </si>
  <si>
    <t>Monthly vs Annual</t>
  </si>
  <si>
    <t xml:space="preserve"> No.</t>
  </si>
  <si>
    <t>Year 1 Forecast</t>
  </si>
  <si>
    <t>Year 2 Forecast</t>
  </si>
  <si>
    <t>Year 3 Forecast</t>
  </si>
  <si>
    <t>IE-1a-1a</t>
  </si>
  <si>
    <t>IE-1a-1SI</t>
  </si>
  <si>
    <t>IE-1a-1</t>
  </si>
  <si>
    <t>IE-1a-1SO</t>
  </si>
  <si>
    <t>IE-1a-2a</t>
  </si>
  <si>
    <t>IE-1a-2b</t>
  </si>
  <si>
    <t>IE-1a-2c</t>
  </si>
  <si>
    <t>IE-1a-2d</t>
  </si>
  <si>
    <t>IE-1a-2e</t>
  </si>
  <si>
    <t>IE-1a-2SI</t>
  </si>
  <si>
    <t>IE-1a-2</t>
  </si>
  <si>
    <t>IE-1a-2SO</t>
  </si>
  <si>
    <t>IE-1b-1</t>
  </si>
  <si>
    <t>IE-1b-SI</t>
  </si>
  <si>
    <t>IE-1b</t>
  </si>
  <si>
    <t>IE-1b-SO</t>
  </si>
  <si>
    <t>IE-1c-1</t>
  </si>
  <si>
    <t>IE-1c-2</t>
  </si>
  <si>
    <t>IE-1c-3</t>
  </si>
  <si>
    <t>IE-1c-4</t>
  </si>
  <si>
    <t>IE-1c-SI</t>
  </si>
  <si>
    <t>IE-1c</t>
  </si>
  <si>
    <t>IE-1c-SO</t>
  </si>
  <si>
    <t>IE-1d-1</t>
  </si>
  <si>
    <t>IE-1d-2</t>
  </si>
  <si>
    <t>IE-1d-3</t>
  </si>
  <si>
    <t>IE-1d-SI</t>
  </si>
  <si>
    <t>IE-1d</t>
  </si>
  <si>
    <t>IE-1d-SO</t>
  </si>
  <si>
    <t>IE-1e-1</t>
  </si>
  <si>
    <t>IE-1e-2</t>
  </si>
  <si>
    <t>IE-1e-SI</t>
  </si>
  <si>
    <t>IE-1e</t>
  </si>
  <si>
    <t>IE-1e-SO</t>
  </si>
  <si>
    <t>IE-1f-11</t>
  </si>
  <si>
    <t>IE-1f-12</t>
  </si>
  <si>
    <t>IE-1f-SI</t>
  </si>
  <si>
    <t>IE-1f-ii</t>
  </si>
  <si>
    <t>IE-1f-SO</t>
  </si>
  <si>
    <t>IE-1f-1</t>
  </si>
  <si>
    <t>IE-1f-2</t>
  </si>
  <si>
    <t>IE-1f-3</t>
  </si>
  <si>
    <t>IE-1f-4</t>
  </si>
  <si>
    <t>IE-1f-5</t>
  </si>
  <si>
    <t>IE-1f-6</t>
  </si>
  <si>
    <t>IE-1f-7</t>
  </si>
  <si>
    <t>IE-1f-8</t>
  </si>
  <si>
    <t>IE-1f-9</t>
  </si>
  <si>
    <t>IE-1f-10</t>
  </si>
  <si>
    <t>IE-1f</t>
  </si>
  <si>
    <t>Commercial Income</t>
  </si>
  <si>
    <t>IE-1g-1</t>
  </si>
  <si>
    <t>IE-1g-2</t>
  </si>
  <si>
    <t>IE-1g-3</t>
  </si>
  <si>
    <t>IE-1g-4</t>
  </si>
  <si>
    <t>IE-1g-5</t>
  </si>
  <si>
    <t>IE-1g-6</t>
  </si>
  <si>
    <t>IE-1g-7</t>
  </si>
  <si>
    <t>IE-1g-8</t>
  </si>
  <si>
    <t>IE-1g</t>
  </si>
  <si>
    <t>IE-1h-1</t>
  </si>
  <si>
    <t>IE-1h-2</t>
  </si>
  <si>
    <t>IE-1h</t>
  </si>
  <si>
    <t>IE-1i-1</t>
  </si>
  <si>
    <t>IE-1i-2</t>
  </si>
  <si>
    <t>IE-1i-3</t>
  </si>
  <si>
    <t>IE-1i</t>
  </si>
  <si>
    <t>IE-1j-1</t>
  </si>
  <si>
    <t>IE-1j-2</t>
  </si>
  <si>
    <t>IE-1j</t>
  </si>
  <si>
    <t>IE-1</t>
  </si>
  <si>
    <t>Staff Costs excl. Restructuring</t>
  </si>
  <si>
    <t>IE-2a-1</t>
  </si>
  <si>
    <t>IE-2a-2</t>
  </si>
  <si>
    <t>IE-2a-3</t>
  </si>
  <si>
    <t>IE-2a-4</t>
  </si>
  <si>
    <t>IE-2a-5</t>
  </si>
  <si>
    <t>IE-2a-6</t>
  </si>
  <si>
    <t>IE-2a-7</t>
  </si>
  <si>
    <t>IE-2a-8</t>
  </si>
  <si>
    <t>IE-2a-9</t>
  </si>
  <si>
    <t>IE-2a</t>
  </si>
  <si>
    <t>IE-2b-1</t>
  </si>
  <si>
    <t>IE-2b-2</t>
  </si>
  <si>
    <t>IE-2b-3</t>
  </si>
  <si>
    <t>IE-2b-5</t>
  </si>
  <si>
    <t>IE-2b-6</t>
  </si>
  <si>
    <t>IE-2b-7</t>
  </si>
  <si>
    <t>IE-2b-8</t>
  </si>
  <si>
    <t>IE-2b-9</t>
  </si>
  <si>
    <t>IE-2b-10</t>
  </si>
  <si>
    <t>IE-2b-11</t>
  </si>
  <si>
    <t>IE-2b-12</t>
  </si>
  <si>
    <t>S1.5c</t>
  </si>
  <si>
    <t>S1.5d</t>
  </si>
  <si>
    <t>S1.5e</t>
  </si>
  <si>
    <t>S1.5f</t>
  </si>
  <si>
    <t>IE-2b</t>
  </si>
  <si>
    <t>IE-2c-1</t>
  </si>
  <si>
    <t>IE-2c-2</t>
  </si>
  <si>
    <t>IE-2c</t>
  </si>
  <si>
    <t>IE-2</t>
  </si>
  <si>
    <t>IE-3</t>
  </si>
  <si>
    <t>IE-4a</t>
  </si>
  <si>
    <t>IE-4b</t>
  </si>
  <si>
    <t>IE-4</t>
  </si>
  <si>
    <t>IE-5a-1</t>
  </si>
  <si>
    <t>IE-5a-2</t>
  </si>
  <si>
    <t>IE-5a-3</t>
  </si>
  <si>
    <t>IE-5a-4</t>
  </si>
  <si>
    <t>IE-5a-5</t>
  </si>
  <si>
    <t>IE-5a</t>
  </si>
  <si>
    <t>IE-5</t>
  </si>
  <si>
    <t>IE-6a-1a</t>
  </si>
  <si>
    <t>IE-6a-1b</t>
  </si>
  <si>
    <t>IE-6a-2</t>
  </si>
  <si>
    <t>IE-6a-3</t>
  </si>
  <si>
    <t>IE-6a-4</t>
  </si>
  <si>
    <t>IE-6a</t>
  </si>
  <si>
    <t>IE-6</t>
  </si>
  <si>
    <t>IE-7a</t>
  </si>
  <si>
    <t>IE-7b</t>
  </si>
  <si>
    <t>IE-7</t>
  </si>
  <si>
    <t>IE-8a</t>
  </si>
  <si>
    <t>IE-8</t>
  </si>
  <si>
    <t>I&amp;E Profiles</t>
  </si>
  <si>
    <t>Input &amp; Auto Checks</t>
  </si>
  <si>
    <t>Year 1 Profile adds to up to 100%</t>
  </si>
  <si>
    <t>Year 2 Profile adds to up to 100%</t>
  </si>
  <si>
    <t>Year 3 Profile adds to up to 100%</t>
  </si>
  <si>
    <t>I&amp;E Monthly Profiles - Inputs</t>
  </si>
  <si>
    <t>GFE</t>
  </si>
  <si>
    <t>Straight line</t>
  </si>
  <si>
    <t>ALLB</t>
  </si>
  <si>
    <t>[End of list]</t>
  </si>
  <si>
    <t>I&amp;E Monthly Profiles - Forecast Only</t>
  </si>
  <si>
    <t>Opening Balances</t>
  </si>
  <si>
    <t>BS Check</t>
  </si>
  <si>
    <t>DATA UNITS: £000</t>
  </si>
  <si>
    <t>Opening Balance at (period start date):</t>
  </si>
  <si>
    <t>Non-Current Assets</t>
  </si>
  <si>
    <t>B-1a-OB</t>
  </si>
  <si>
    <t>Land &amp; Buildings</t>
  </si>
  <si>
    <t>+ve (Dr)</t>
  </si>
  <si>
    <t>B-1b-OB</t>
  </si>
  <si>
    <t>Equipment</t>
  </si>
  <si>
    <t>B-1c-OB</t>
  </si>
  <si>
    <t>Other NCA</t>
  </si>
  <si>
    <t>B-1d-OB</t>
  </si>
  <si>
    <t>Assets under Construction</t>
  </si>
  <si>
    <t>B-1e-OB</t>
  </si>
  <si>
    <t>Investments</t>
  </si>
  <si>
    <t>B-1f-OB</t>
  </si>
  <si>
    <t>Investment in JVs and Associates (inc. overseas)</t>
  </si>
  <si>
    <t>B-1g-OB</t>
  </si>
  <si>
    <t>Non-current asset debtors due after one year</t>
  </si>
  <si>
    <t>B-1-OB</t>
  </si>
  <si>
    <t>Total Non-Current Assets</t>
  </si>
  <si>
    <t>Current Assets</t>
  </si>
  <si>
    <t>B-2a-OB</t>
  </si>
  <si>
    <t xml:space="preserve">Assets Held for Sale </t>
  </si>
  <si>
    <t>B-2b-OB</t>
  </si>
  <si>
    <t>Stock</t>
  </si>
  <si>
    <t>B-2c-OB</t>
  </si>
  <si>
    <t>Trade Receivables</t>
  </si>
  <si>
    <t>B-2d-OB</t>
  </si>
  <si>
    <t>Other Receivables</t>
  </si>
  <si>
    <t>B-2e-OB</t>
  </si>
  <si>
    <t>Bad Debt Provision</t>
  </si>
  <si>
    <t>-ve (Cr)</t>
  </si>
  <si>
    <t>B-2f-OB</t>
  </si>
  <si>
    <t>Prepayments</t>
  </si>
  <si>
    <t>B-2g-OB</t>
  </si>
  <si>
    <t>Accrued Income</t>
  </si>
  <si>
    <t>B-2h-OB</t>
  </si>
  <si>
    <t>Unrestricted Short-term Investments</t>
  </si>
  <si>
    <t>B-2i-OB</t>
  </si>
  <si>
    <t>Unrestricted Cash and Cash Equivalents</t>
  </si>
  <si>
    <t>B-2j-OB</t>
  </si>
  <si>
    <t xml:space="preserve">Restricted Cash </t>
  </si>
  <si>
    <t>B-2k-OB</t>
  </si>
  <si>
    <t>Non-current asset debtors due within one year</t>
  </si>
  <si>
    <t>B-2-OB</t>
  </si>
  <si>
    <t>Total Current Assets</t>
  </si>
  <si>
    <t>Liabilities and Reserves</t>
  </si>
  <si>
    <t>Creditors: amounts falling due within one year</t>
  </si>
  <si>
    <t>B-3a-OB</t>
  </si>
  <si>
    <t>Overdrafts</t>
  </si>
  <si>
    <t>+ve (Cr)</t>
  </si>
  <si>
    <t>B-3b-OB</t>
  </si>
  <si>
    <t>Loans (DfE/ESFA)</t>
  </si>
  <si>
    <t>B-3c-OB</t>
  </si>
  <si>
    <t>Commercial Loans</t>
  </si>
  <si>
    <t>B-3d-OB</t>
  </si>
  <si>
    <t>Finance Lease Obligations</t>
  </si>
  <si>
    <t>B-3s-OB</t>
  </si>
  <si>
    <t>Operating Lease Obligations (Right of use)</t>
  </si>
  <si>
    <t>B-3e-OB</t>
  </si>
  <si>
    <t xml:space="preserve">Interest Payable </t>
  </si>
  <si>
    <t>B-3f-OB</t>
  </si>
  <si>
    <t>Deferred Income - Capital Grant Liability</t>
  </si>
  <si>
    <t>B-3t-OB</t>
  </si>
  <si>
    <t>Capital Grants in Advance - Value Unspent</t>
  </si>
  <si>
    <t>B-3g-OB</t>
  </si>
  <si>
    <t>Trade Payables</t>
  </si>
  <si>
    <t>B-3h-OB</t>
  </si>
  <si>
    <t>Other Payments on Account</t>
  </si>
  <si>
    <t>B-3i-OB</t>
  </si>
  <si>
    <t>Other Liabilities</t>
  </si>
  <si>
    <t>B-3j-OB</t>
  </si>
  <si>
    <t>Fixed Asset Retentions</t>
  </si>
  <si>
    <t>B-3k-OB</t>
  </si>
  <si>
    <t>Recovery of DfE/ESFA/DA Funding</t>
  </si>
  <si>
    <t>B-3l-OB</t>
  </si>
  <si>
    <t>AEB Clawback</t>
  </si>
  <si>
    <t>B-3m-OB</t>
  </si>
  <si>
    <t>Deferred Income - Revenue</t>
  </si>
  <si>
    <t>B-3n-OB</t>
  </si>
  <si>
    <t>Accruals</t>
  </si>
  <si>
    <t>B-3o-OB</t>
  </si>
  <si>
    <t>Holiday and Sabbatical Pay Accrual</t>
  </si>
  <si>
    <t>B-3p-OB</t>
  </si>
  <si>
    <t>Bursary Deferred Income Account</t>
  </si>
  <si>
    <t>B-3q-OB</t>
  </si>
  <si>
    <t>Corporation Tax</t>
  </si>
  <si>
    <t>B-3r-OB</t>
  </si>
  <si>
    <t>Other Taxation and Social Security</t>
  </si>
  <si>
    <t>B-3-OB</t>
  </si>
  <si>
    <t>Total Creditors: amounts falling due within one year</t>
  </si>
  <si>
    <t>Creditors: amounts falling due after one year</t>
  </si>
  <si>
    <t>B-6a-OB</t>
  </si>
  <si>
    <t>B-6b-OB</t>
  </si>
  <si>
    <t>B-6c-OB</t>
  </si>
  <si>
    <t>B-6g-OB</t>
  </si>
  <si>
    <t>B-6d-OB</t>
  </si>
  <si>
    <t>B-6e-OB</t>
  </si>
  <si>
    <t>B-6h-OB</t>
  </si>
  <si>
    <t>B-6f-OB</t>
  </si>
  <si>
    <t>B-6-OB</t>
  </si>
  <si>
    <t>Total Creditors: amounts falling due after one year</t>
  </si>
  <si>
    <t>Provisions</t>
  </si>
  <si>
    <t>B-7a-OB</t>
  </si>
  <si>
    <t>Local Government Pension Scheme Provision</t>
  </si>
  <si>
    <t>B-7b-OB</t>
  </si>
  <si>
    <t>Enhanced Pension Provision</t>
  </si>
  <si>
    <t>B-7c-OB</t>
  </si>
  <si>
    <t>Other Pension Provisions</t>
  </si>
  <si>
    <t>B-7d-OB</t>
  </si>
  <si>
    <t>Other Provisions</t>
  </si>
  <si>
    <t>B-7-OB</t>
  </si>
  <si>
    <t>Total Provisions</t>
  </si>
  <si>
    <t>Reserves</t>
  </si>
  <si>
    <t>B-9a-OB</t>
  </si>
  <si>
    <t>Revaluation Reserve</t>
  </si>
  <si>
    <t>B-9b-OB</t>
  </si>
  <si>
    <t>Restricted Reserve</t>
  </si>
  <si>
    <t>B-9c-OB</t>
  </si>
  <si>
    <t>I&amp;E Reserve</t>
  </si>
  <si>
    <t>B-9-OB</t>
  </si>
  <si>
    <t>Total Reserves</t>
  </si>
  <si>
    <t>Net Balance Sheet Position</t>
  </si>
  <si>
    <t>Net Balance Sheet Position Check</t>
  </si>
  <si>
    <t>Opening Balances Inputs Flag</t>
  </si>
  <si>
    <t>Investing Inputs</t>
  </si>
  <si>
    <t>Auto checks</t>
  </si>
  <si>
    <t>Operating Lease (Right of use) relevent year check</t>
  </si>
  <si>
    <t>Optional forecast input flag</t>
  </si>
  <si>
    <t>Asset Type Assigned Check</t>
  </si>
  <si>
    <t>Asset Type match</t>
  </si>
  <si>
    <t>Fin Source Match</t>
  </si>
  <si>
    <t>Transaction date within model timeline</t>
  </si>
  <si>
    <t xml:space="preserve">Negative Balance Check </t>
  </si>
  <si>
    <t xml:space="preserve">Prior Year Balance Reconciliation </t>
  </si>
  <si>
    <t>Asset Debtors Check</t>
  </si>
  <si>
    <t xml:space="preserve">Tables Totals Reconciliation </t>
  </si>
  <si>
    <t>Capital Expenditure</t>
  </si>
  <si>
    <t>Project Description</t>
  </si>
  <si>
    <t>Asset Type</t>
  </si>
  <si>
    <t>Fin Source</t>
  </si>
  <si>
    <t>% Grant Funded</t>
  </si>
  <si>
    <t>Select</t>
  </si>
  <si>
    <t>%</t>
  </si>
  <si>
    <t>CP1</t>
  </si>
  <si>
    <t>CP2</t>
  </si>
  <si>
    <t>CP3</t>
  </si>
  <si>
    <t>CP4</t>
  </si>
  <si>
    <t>CP5</t>
  </si>
  <si>
    <t>CP6</t>
  </si>
  <si>
    <t>CP7</t>
  </si>
  <si>
    <t>CP8</t>
  </si>
  <si>
    <t>CP9</t>
  </si>
  <si>
    <t>CP10</t>
  </si>
  <si>
    <t>CP11</t>
  </si>
  <si>
    <t>CP12</t>
  </si>
  <si>
    <t>CP13</t>
  </si>
  <si>
    <t>CP14</t>
  </si>
  <si>
    <t>CP15</t>
  </si>
  <si>
    <t>Land &amp; Buildings Sub-Total</t>
  </si>
  <si>
    <t>Equipment Sub-Total</t>
  </si>
  <si>
    <t>Other Sub-Total</t>
  </si>
  <si>
    <t>Total Capital Expenditure</t>
  </si>
  <si>
    <t>Total</t>
  </si>
  <si>
    <t>Capital Expenditure Donations</t>
  </si>
  <si>
    <t>Land &amp; Buildings Donations Sub-Total</t>
  </si>
  <si>
    <t>Equipment Donations Sub-Total</t>
  </si>
  <si>
    <t>Other Donations Sub-Total</t>
  </si>
  <si>
    <t>Assets Under Construction Donations Sub-Total</t>
  </si>
  <si>
    <t>Total Capital Expenditure Donations</t>
  </si>
  <si>
    <t>Capital Expenditure Finance Leases</t>
  </si>
  <si>
    <t>Land &amp; Buildings Finance Leases Sub-Total</t>
  </si>
  <si>
    <t>Equipment Finance Leases Sub-Total</t>
  </si>
  <si>
    <t>Other - Finance Leases Sub-Total</t>
  </si>
  <si>
    <t>Assets Under Construction Finance Leases Sub-Total</t>
  </si>
  <si>
    <t>Total Capital Expenditure from Finance Leases</t>
  </si>
  <si>
    <t>Capital Expenditure Operating Leases (Right of use)</t>
  </si>
  <si>
    <t>Operating Lease (Right of use)</t>
  </si>
  <si>
    <t>Land &amp; Buildings Operating Leases (Right of use) Sub-Total</t>
  </si>
  <si>
    <t>Equipment Operating Leases (Right of use) Sub-Total</t>
  </si>
  <si>
    <t>Other - Operating Leases (Right of use) Sub-Total</t>
  </si>
  <si>
    <t>Assets Under Construction Operating Leases (Right of use) Sub-Total</t>
  </si>
  <si>
    <t>Total Capital Expenditure from Operating Leases (Right of use)</t>
  </si>
  <si>
    <t>Movement from Assets under Construction</t>
  </si>
  <si>
    <t>Asset under Construction Description</t>
  </si>
  <si>
    <t>Date moved from Assets under Construction</t>
  </si>
  <si>
    <t>Net Book Value</t>
  </si>
  <si>
    <t>£000's</t>
  </si>
  <si>
    <t>AC1</t>
  </si>
  <si>
    <t>AC2</t>
  </si>
  <si>
    <t>AC3</t>
  </si>
  <si>
    <t>AC4</t>
  </si>
  <si>
    <t>AC5</t>
  </si>
  <si>
    <t>AC6</t>
  </si>
  <si>
    <t>AC7</t>
  </si>
  <si>
    <t>AC8</t>
  </si>
  <si>
    <t>AC9</t>
  </si>
  <si>
    <t>AC10</t>
  </si>
  <si>
    <t>AC11</t>
  </si>
  <si>
    <t>AC12</t>
  </si>
  <si>
    <t>AC13</t>
  </si>
  <si>
    <t>AC14</t>
  </si>
  <si>
    <t>AC15</t>
  </si>
  <si>
    <t>Assets under Construction - Total Movement</t>
  </si>
  <si>
    <t>Surplus/Loss on Revaluation/ Fair Value Adjustment</t>
  </si>
  <si>
    <t>Revaluation/ Fair Value Adjustment Description</t>
  </si>
  <si>
    <t>Revaluation Date</t>
  </si>
  <si>
    <t>Surplus/Loss on Revaluation/Fair Value Adjustment</t>
  </si>
  <si>
    <t>£000's
+ve/-ve (Dr/Cr)</t>
  </si>
  <si>
    <t>RV1</t>
  </si>
  <si>
    <t>RV2</t>
  </si>
  <si>
    <t>RV3</t>
  </si>
  <si>
    <t>RV4</t>
  </si>
  <si>
    <t>RV5</t>
  </si>
  <si>
    <t>RV6</t>
  </si>
  <si>
    <t>RV7</t>
  </si>
  <si>
    <t>RV8</t>
  </si>
  <si>
    <t>RV9</t>
  </si>
  <si>
    <t>RV10</t>
  </si>
  <si>
    <t>RV11</t>
  </si>
  <si>
    <t>RV12</t>
  </si>
  <si>
    <t>RV13</t>
  </si>
  <si>
    <t>RV14</t>
  </si>
  <si>
    <t>RV15</t>
  </si>
  <si>
    <t>Investments Sub-Total</t>
  </si>
  <si>
    <t>Total Surplus/Loss on Revaluation</t>
  </si>
  <si>
    <t>Moved to Assets Held for Sale</t>
  </si>
  <si>
    <t>Sale Description</t>
  </si>
  <si>
    <t>Date moved to Assets Held for Sale</t>
  </si>
  <si>
    <t>AH1</t>
  </si>
  <si>
    <t>AH2</t>
  </si>
  <si>
    <t>AH3</t>
  </si>
  <si>
    <t>AH4</t>
  </si>
  <si>
    <t>AH5</t>
  </si>
  <si>
    <t>AH6</t>
  </si>
  <si>
    <t>AH7</t>
  </si>
  <si>
    <t>AH8</t>
  </si>
  <si>
    <t>AH9</t>
  </si>
  <si>
    <t>AH10</t>
  </si>
  <si>
    <t>AH11</t>
  </si>
  <si>
    <t>AH12</t>
  </si>
  <si>
    <t>AH13</t>
  </si>
  <si>
    <t>AH14</t>
  </si>
  <si>
    <t>AH15</t>
  </si>
  <si>
    <t>Total Assets held for Sale</t>
  </si>
  <si>
    <t>Disposals</t>
  </si>
  <si>
    <t>Date Sold</t>
  </si>
  <si>
    <t>Gross Sale Value</t>
  </si>
  <si>
    <t>DS1</t>
  </si>
  <si>
    <t>DS2</t>
  </si>
  <si>
    <t>DS3</t>
  </si>
  <si>
    <t>DS4</t>
  </si>
  <si>
    <t>DS5</t>
  </si>
  <si>
    <t>DS6</t>
  </si>
  <si>
    <t>DS7</t>
  </si>
  <si>
    <t>DS8</t>
  </si>
  <si>
    <t>DS9</t>
  </si>
  <si>
    <t>DS10</t>
  </si>
  <si>
    <t>DS11</t>
  </si>
  <si>
    <t>DS12</t>
  </si>
  <si>
    <t>DS13</t>
  </si>
  <si>
    <t>DS14</t>
  </si>
  <si>
    <t>DS15</t>
  </si>
  <si>
    <t>Assets Held for Sale Sub-Total</t>
  </si>
  <si>
    <t>Total Disposals</t>
  </si>
  <si>
    <t>Asset receipts due within one year</t>
  </si>
  <si>
    <t>Asset receipts due after one year</t>
  </si>
  <si>
    <t>Total Asset Debtors</t>
  </si>
  <si>
    <t>Cash received from Asset Disposals</t>
  </si>
  <si>
    <t>Cash received from Asset Debtors</t>
  </si>
  <si>
    <t>Total Cash Receipts from Assets</t>
  </si>
  <si>
    <t>Net Book Value of Disposals</t>
  </si>
  <si>
    <t>Total Gain/Loss on Disposals</t>
  </si>
  <si>
    <t>Gain/Loss on Disposal</t>
  </si>
  <si>
    <t>NCA Accounts</t>
  </si>
  <si>
    <t>Opening Balance</t>
  </si>
  <si>
    <t>B-1a-1</t>
  </si>
  <si>
    <t>Additions (incl. donations)</t>
  </si>
  <si>
    <t>B-1a-2</t>
  </si>
  <si>
    <t>B-1a-3</t>
  </si>
  <si>
    <t>Surplus/Loss on Revaluation</t>
  </si>
  <si>
    <t>B-1a-4</t>
  </si>
  <si>
    <t>B-1a-5</t>
  </si>
  <si>
    <t>B-1a-6</t>
  </si>
  <si>
    <t>Depreciation</t>
  </si>
  <si>
    <t>B-1a-7</t>
  </si>
  <si>
    <t>Movement due to mergers</t>
  </si>
  <si>
    <t>B-1a-8</t>
  </si>
  <si>
    <t>NCA Reclassification</t>
  </si>
  <si>
    <t>Prior year balance check</t>
  </si>
  <si>
    <t>B-1a-CB</t>
  </si>
  <si>
    <t>Closing Balance</t>
  </si>
  <si>
    <t>Land &amp; Buildings Balance check</t>
  </si>
  <si>
    <t>B-1b-1</t>
  </si>
  <si>
    <t>B-1b-2</t>
  </si>
  <si>
    <t>B-1b-3</t>
  </si>
  <si>
    <t>B-1b-4</t>
  </si>
  <si>
    <t>B-1b-5</t>
  </si>
  <si>
    <t>B-1b-6</t>
  </si>
  <si>
    <t>B-1b-7</t>
  </si>
  <si>
    <t>B-1b-8</t>
  </si>
  <si>
    <t>B-1b-CB</t>
  </si>
  <si>
    <t>Equipment Balance check</t>
  </si>
  <si>
    <t>B-1c-1</t>
  </si>
  <si>
    <t>Additions</t>
  </si>
  <si>
    <t>B-1c-2</t>
  </si>
  <si>
    <t>B-1c-3</t>
  </si>
  <si>
    <t>B-1c-4</t>
  </si>
  <si>
    <t>B-1c-5</t>
  </si>
  <si>
    <t>B-1c-6</t>
  </si>
  <si>
    <t>B-1c-7</t>
  </si>
  <si>
    <t>B-1c-8</t>
  </si>
  <si>
    <t>B-1c-CB</t>
  </si>
  <si>
    <t xml:space="preserve">Other Non-Current Assets Balance check </t>
  </si>
  <si>
    <t>B-1e-1</t>
  </si>
  <si>
    <t>B-1e-2</t>
  </si>
  <si>
    <t>B-1e-3</t>
  </si>
  <si>
    <t>B-1e-4</t>
  </si>
  <si>
    <t>B-1e-6</t>
  </si>
  <si>
    <t>B-1e-7</t>
  </si>
  <si>
    <t>B-1e-CB</t>
  </si>
  <si>
    <t>Investments Balance check</t>
  </si>
  <si>
    <t>B-1d-1</t>
  </si>
  <si>
    <t>B-1d-2</t>
  </si>
  <si>
    <t>Moved to Non-Current Assets</t>
  </si>
  <si>
    <t>B-1d-3</t>
  </si>
  <si>
    <t>B-1d-CB</t>
  </si>
  <si>
    <t>Assets under Construction Balance check</t>
  </si>
  <si>
    <t>B-2a-1</t>
  </si>
  <si>
    <t>Movement from Fixed Assets</t>
  </si>
  <si>
    <t>B-2a-2</t>
  </si>
  <si>
    <t>B-2a-3</t>
  </si>
  <si>
    <t>B-2a-4</t>
  </si>
  <si>
    <t>B-2a-CB</t>
  </si>
  <si>
    <t>Assets held for Sale Balance check</t>
  </si>
  <si>
    <t>B-3j-1</t>
  </si>
  <si>
    <t>B-3j-2</t>
  </si>
  <si>
    <t>B-3j-3</t>
  </si>
  <si>
    <t>B-3j-4</t>
  </si>
  <si>
    <t>B-3j-CB</t>
  </si>
  <si>
    <t>Finance Lease Additions</t>
  </si>
  <si>
    <t>FL-1a</t>
  </si>
  <si>
    <t>FL-1b</t>
  </si>
  <si>
    <t>FL-1c</t>
  </si>
  <si>
    <t>FL-1d</t>
  </si>
  <si>
    <t>FL-1e</t>
  </si>
  <si>
    <t>FL-1</t>
  </si>
  <si>
    <t>Total Finance Lease Additions</t>
  </si>
  <si>
    <t>Operating Lease Additions (right of use)</t>
  </si>
  <si>
    <t>OP-1a</t>
  </si>
  <si>
    <t>OP-1b</t>
  </si>
  <si>
    <t>OP-1c</t>
  </si>
  <si>
    <t>OP-1d</t>
  </si>
  <si>
    <t>OP-1e</t>
  </si>
  <si>
    <t>OP-1</t>
  </si>
  <si>
    <t>Total Operating Lease Additions (right of use)</t>
  </si>
  <si>
    <t xml:space="preserve">Gain/Loss on Disposal </t>
  </si>
  <si>
    <t>IE-6a-1a-1</t>
  </si>
  <si>
    <t>IE-6a-1a-2</t>
  </si>
  <si>
    <t>IE-6a-1a-3</t>
  </si>
  <si>
    <t>IE-6a-1a-4</t>
  </si>
  <si>
    <t>IE-6a-1</t>
  </si>
  <si>
    <t>Total Gain/Loss on Disposal</t>
  </si>
  <si>
    <t>NCA Accounts Reclassification</t>
  </si>
  <si>
    <t>NCA-1</t>
  </si>
  <si>
    <t>NCA Reclassification 1 - Movements between NCA Accounts</t>
  </si>
  <si>
    <t>Reclassification to the following NCA Account:</t>
  </si>
  <si>
    <t>NCA-1a</t>
  </si>
  <si>
    <t>Reclassification from the following NCA Account:</t>
  </si>
  <si>
    <t>NCA-1b</t>
  </si>
  <si>
    <t>NCA-2</t>
  </si>
  <si>
    <t>NCA Reclassification 2 - Movements between NCA Accounts</t>
  </si>
  <si>
    <t>NCA-2a</t>
  </si>
  <si>
    <t>NCA-2b</t>
  </si>
  <si>
    <t>NCA-3</t>
  </si>
  <si>
    <t>NCA Reclassification 3 - Movements between NCA Accounts</t>
  </si>
  <si>
    <t>NCA-3a</t>
  </si>
  <si>
    <t>NCA-3b</t>
  </si>
  <si>
    <t>Reserve Movement Summary</t>
  </si>
  <si>
    <t>Investing - optional Inputs check</t>
  </si>
  <si>
    <t>Investing Inputs are not used?</t>
  </si>
  <si>
    <t>Investing Inputs flag</t>
  </si>
  <si>
    <t>Loans Opening Balance Reconciliation to "Opening Balances" sheet</t>
  </si>
  <si>
    <t>Accrued Interest Opening Balance Reconciliation</t>
  </si>
  <si>
    <t>Loan covenant breach date check</t>
  </si>
  <si>
    <t>Data entered for automated Interest Calc Only</t>
  </si>
  <si>
    <t>Opening Balance does not exceed Facility</t>
  </si>
  <si>
    <t>Loan Start Date before Loan End Date</t>
  </si>
  <si>
    <t>Manual Inputs Option selected</t>
  </si>
  <si>
    <t>Variable Interest Option</t>
  </si>
  <si>
    <t>First Forecast Interest Payment Date</t>
  </si>
  <si>
    <t>Interest Frequency Options</t>
  </si>
  <si>
    <t>Manual Loan Input Checks</t>
  </si>
  <si>
    <t xml:space="preserve">Year 1 reconciliation </t>
  </si>
  <si>
    <t xml:space="preserve">Year 2 reconciliation </t>
  </si>
  <si>
    <t>Year 3 reconciliation</t>
  </si>
  <si>
    <t>Year 4 reconciliation</t>
  </si>
  <si>
    <t>Optional Prior Year reconciliation</t>
  </si>
  <si>
    <t>Manual inputs Reconciliation</t>
  </si>
  <si>
    <t>Check Flag</t>
  </si>
  <si>
    <t>Loan Data Table</t>
  </si>
  <si>
    <t>Variable Annual Interest Rate Option (%)</t>
  </si>
  <si>
    <t>Information Requirement by DfE</t>
  </si>
  <si>
    <t>Loan Covenants</t>
  </si>
  <si>
    <t>Info required if automated interest calc. is used</t>
  </si>
  <si>
    <t>Lender</t>
  </si>
  <si>
    <t>Loan Category</t>
  </si>
  <si>
    <t>Total Loan Amount</t>
  </si>
  <si>
    <t>Loan Opening Balance</t>
  </si>
  <si>
    <t>Accrued Interest Opening Balance</t>
  </si>
  <si>
    <t>Loan Term Start Date</t>
  </si>
  <si>
    <t>Loan Term End Date</t>
  </si>
  <si>
    <t>Apply Variable Loan Interest Rate?</t>
  </si>
  <si>
    <t>Forecast Annual Interest Rate</t>
  </si>
  <si>
    <t>Loan covenant breach date</t>
  </si>
  <si>
    <t>Min Cash Position</t>
  </si>
  <si>
    <t>Min DSCR</t>
  </si>
  <si>
    <t>Use Automated Interest Calculation?</t>
  </si>
  <si>
    <t>Date of first forecast interest payment</t>
  </si>
  <si>
    <t>Interest Compounding Frequency</t>
  </si>
  <si>
    <t>Interest Payment Frequency</t>
  </si>
  <si>
    <t>Intr. accrues at Period End</t>
  </si>
  <si>
    <t>Name</t>
  </si>
  <si>
    <t>Classification</t>
  </si>
  <si>
    <t>date</t>
  </si>
  <si>
    <t>% p.a.</t>
  </si>
  <si>
    <t>ratio</t>
  </si>
  <si>
    <t>LN-1</t>
  </si>
  <si>
    <t>LN-2</t>
  </si>
  <si>
    <t>LN-3</t>
  </si>
  <si>
    <t>LN-4</t>
  </si>
  <si>
    <t>LN-5</t>
  </si>
  <si>
    <t>LN-6</t>
  </si>
  <si>
    <t>LN-7</t>
  </si>
  <si>
    <t>LN-8</t>
  </si>
  <si>
    <t>LN-9</t>
  </si>
  <si>
    <t>LN-10</t>
  </si>
  <si>
    <t>LN-11</t>
  </si>
  <si>
    <t>LN-12</t>
  </si>
  <si>
    <t>LN-13</t>
  </si>
  <si>
    <t>LN-14</t>
  </si>
  <si>
    <t>LN-15</t>
  </si>
  <si>
    <t>LN-16</t>
  </si>
  <si>
    <t>LN-17</t>
  </si>
  <si>
    <t>LN-18</t>
  </si>
  <si>
    <t>LN-19</t>
  </si>
  <si>
    <t>LN-20</t>
  </si>
  <si>
    <t>Sub-Total</t>
  </si>
  <si>
    <t>Total DFE/ESFA loans</t>
  </si>
  <si>
    <t>Total Commercial loans</t>
  </si>
  <si>
    <t>Reconciliation Table against Opening Balances</t>
  </si>
  <si>
    <t>Loans Op. Bal.</t>
  </si>
  <si>
    <t>Interest Op. Bal.</t>
  </si>
  <si>
    <t>Loans Op. Bal. Diff.</t>
  </si>
  <si>
    <t xml:space="preserve"> Interest Op. Bal. Diff.</t>
  </si>
  <si>
    <t>Manual Loan Data Inputs</t>
  </si>
  <si>
    <t>Loan 1</t>
  </si>
  <si>
    <t>LN-1-1OB</t>
  </si>
  <si>
    <t>Opening Loan Balance</t>
  </si>
  <si>
    <t/>
  </si>
  <si>
    <t>LN-1-1a</t>
  </si>
  <si>
    <t>Drawdowns</t>
  </si>
  <si>
    <t>LN-1-1b</t>
  </si>
  <si>
    <t>Loan Capital Repayment (as per loan agreement)</t>
  </si>
  <si>
    <t>-ve (Dr)</t>
  </si>
  <si>
    <t>LN-1-1c</t>
  </si>
  <si>
    <t xml:space="preserve">Early Repayment </t>
  </si>
  <si>
    <t>LN-1-1CB</t>
  </si>
  <si>
    <t>Closing Loan Balance</t>
  </si>
  <si>
    <t>Loan Balance check</t>
  </si>
  <si>
    <t>Loan Amount</t>
  </si>
  <si>
    <t>Outstanding Loan Balance at term end check</t>
  </si>
  <si>
    <t>End Date</t>
  </si>
  <si>
    <t>Interest Payable Opening Balance</t>
  </si>
  <si>
    <t>Accrued Interest Expense</t>
  </si>
  <si>
    <t>Interest Payment</t>
  </si>
  <si>
    <t>Interest Payable Closing Balance</t>
  </si>
  <si>
    <t>LN-1-2a</t>
  </si>
  <si>
    <t>Early Repayment Fee</t>
  </si>
  <si>
    <t>Early Repayment Fee check</t>
  </si>
  <si>
    <t>Loan 2</t>
  </si>
  <si>
    <t>LN-2-1OB</t>
  </si>
  <si>
    <t>LN-2-1a</t>
  </si>
  <si>
    <t>LN-2-1b</t>
  </si>
  <si>
    <t>LN-2-1c</t>
  </si>
  <si>
    <t>LN-2-1CB</t>
  </si>
  <si>
    <t>LN-2-2a</t>
  </si>
  <si>
    <t>Loan 3</t>
  </si>
  <si>
    <t>LN-3-1OB</t>
  </si>
  <si>
    <t>LN-3-1a</t>
  </si>
  <si>
    <t>LN-3-1b</t>
  </si>
  <si>
    <t>LN-3-1c</t>
  </si>
  <si>
    <t>LN-3-1CB</t>
  </si>
  <si>
    <t>LN-3-2a</t>
  </si>
  <si>
    <t>Loan 4</t>
  </si>
  <si>
    <t>LN-4-1OB</t>
  </si>
  <si>
    <t>LN-4-1a</t>
  </si>
  <si>
    <t>LN-4-1b</t>
  </si>
  <si>
    <t>LN-4-1c</t>
  </si>
  <si>
    <t>LN-4-1CB</t>
  </si>
  <si>
    <t>LN-4-2a</t>
  </si>
  <si>
    <t>Loan 5</t>
  </si>
  <si>
    <t>LN-5-1OB</t>
  </si>
  <si>
    <t>LN-5-1a</t>
  </si>
  <si>
    <t>LN-5-1b</t>
  </si>
  <si>
    <t>LN-5-1c</t>
  </si>
  <si>
    <t>LN-5-1CB</t>
  </si>
  <si>
    <t>LN-5-2a</t>
  </si>
  <si>
    <t>Loan 6</t>
  </si>
  <si>
    <t>LN-6-1OB</t>
  </si>
  <si>
    <t>LN-6-1a</t>
  </si>
  <si>
    <t>LN-6-1b</t>
  </si>
  <si>
    <t>LN-6-1c</t>
  </si>
  <si>
    <t>LN-6-1CB</t>
  </si>
  <si>
    <t>LN-6-2a</t>
  </si>
  <si>
    <t>Loan 7</t>
  </si>
  <si>
    <t>LN-7-1OB</t>
  </si>
  <si>
    <t>LN-7-1a</t>
  </si>
  <si>
    <t>LN-7-1b</t>
  </si>
  <si>
    <t>LN-7-1c</t>
  </si>
  <si>
    <t>LN-7-1CB</t>
  </si>
  <si>
    <t>LN-7-2a</t>
  </si>
  <si>
    <t>Loan 8</t>
  </si>
  <si>
    <t>LN-8-1OB</t>
  </si>
  <si>
    <t>LN-8-1a</t>
  </si>
  <si>
    <t>LN-8-1b</t>
  </si>
  <si>
    <t>LN-8-1c</t>
  </si>
  <si>
    <t>LN-8-1CB</t>
  </si>
  <si>
    <t>LN-8-2a</t>
  </si>
  <si>
    <t>Loan 9</t>
  </si>
  <si>
    <t>LN-9-1OB</t>
  </si>
  <si>
    <t>LN-9-1a</t>
  </si>
  <si>
    <t>LN-9-1b</t>
  </si>
  <si>
    <t>LN-9-1c</t>
  </si>
  <si>
    <t>LN-9-1CB</t>
  </si>
  <si>
    <t>LN-9-2a</t>
  </si>
  <si>
    <t>Loan 10</t>
  </si>
  <si>
    <t>LN-10-1OB</t>
  </si>
  <si>
    <t>LN-10-1a</t>
  </si>
  <si>
    <t>LN-10-1b</t>
  </si>
  <si>
    <t>LN-10-1c</t>
  </si>
  <si>
    <t>LN-10-1CB</t>
  </si>
  <si>
    <t>LN-10-2a</t>
  </si>
  <si>
    <t>Loan 11</t>
  </si>
  <si>
    <t>LN-11-1OB</t>
  </si>
  <si>
    <t>LN-11-1a</t>
  </si>
  <si>
    <t>LN-11-1b</t>
  </si>
  <si>
    <t>LN-11-1c</t>
  </si>
  <si>
    <t>LN-11-1CB</t>
  </si>
  <si>
    <t>LN-11-2a</t>
  </si>
  <si>
    <t>Loan 12</t>
  </si>
  <si>
    <t>LN-12-1OB</t>
  </si>
  <si>
    <t>LN-12-1a</t>
  </si>
  <si>
    <t>LN-12-1b</t>
  </si>
  <si>
    <t>LN-12-1c</t>
  </si>
  <si>
    <t>LN-12-1CB</t>
  </si>
  <si>
    <t>LN-12-2a</t>
  </si>
  <si>
    <t>Loan 13</t>
  </si>
  <si>
    <t>LN-13-1OB</t>
  </si>
  <si>
    <t>LN-13-1a</t>
  </si>
  <si>
    <t>LN-13-1b</t>
  </si>
  <si>
    <t>LN-13-1c</t>
  </si>
  <si>
    <t>LN-13-1CB</t>
  </si>
  <si>
    <t>LN-13-2a</t>
  </si>
  <si>
    <t>Loan 14</t>
  </si>
  <si>
    <t>LN-14-1OB</t>
  </si>
  <si>
    <t>LN-14-1a</t>
  </si>
  <si>
    <t>LN-14-1b</t>
  </si>
  <si>
    <t>LN-14-1c</t>
  </si>
  <si>
    <t>LN-14-1CB</t>
  </si>
  <si>
    <t>LN-14-2a</t>
  </si>
  <si>
    <t>Loan 15</t>
  </si>
  <si>
    <t>LN-15-1OB</t>
  </si>
  <si>
    <t>LN-15-1a</t>
  </si>
  <si>
    <t>LN-15-1b</t>
  </si>
  <si>
    <t>LN-15-1c</t>
  </si>
  <si>
    <t>LN-15-1CB</t>
  </si>
  <si>
    <t>LN-15-2a</t>
  </si>
  <si>
    <t>Loan 16</t>
  </si>
  <si>
    <t>LN-16-1OB</t>
  </si>
  <si>
    <t>LN-16-1a</t>
  </si>
  <si>
    <t>LN-16-1b</t>
  </si>
  <si>
    <t>LN-16-1c</t>
  </si>
  <si>
    <t>LN-16-1CB</t>
  </si>
  <si>
    <t>LN-16-2a</t>
  </si>
  <si>
    <t>Loan 17</t>
  </si>
  <si>
    <t>LN-17-1OB</t>
  </si>
  <si>
    <t>LN-17-1a</t>
  </si>
  <si>
    <t>LN-17-1b</t>
  </si>
  <si>
    <t>LN-17-1c</t>
  </si>
  <si>
    <t>LN-17-1CB</t>
  </si>
  <si>
    <t>LN-17-2a</t>
  </si>
  <si>
    <t>Loan 18</t>
  </si>
  <si>
    <t>LN-18-1OB</t>
  </si>
  <si>
    <t>LN-18-1a</t>
  </si>
  <si>
    <t>LN-18-1b</t>
  </si>
  <si>
    <t>LN-18-1c</t>
  </si>
  <si>
    <t>LN-18-1CB</t>
  </si>
  <si>
    <t>LN-18-2a</t>
  </si>
  <si>
    <t>Loan 19</t>
  </si>
  <si>
    <t>LN-19-1OB</t>
  </si>
  <si>
    <t>LN-19-1a</t>
  </si>
  <si>
    <t>LN-19-1b</t>
  </si>
  <si>
    <t>LN-19-1c</t>
  </si>
  <si>
    <t>LN-19-1CB</t>
  </si>
  <si>
    <t>LN-19-2a</t>
  </si>
  <si>
    <t>Loan 20</t>
  </si>
  <si>
    <t>LN-20-1OB</t>
  </si>
  <si>
    <t>LN-20-1a</t>
  </si>
  <si>
    <t>LN-20-1b</t>
  </si>
  <si>
    <t>LN-20-1c</t>
  </si>
  <si>
    <t>LN-20-1CB</t>
  </si>
  <si>
    <t>LN-20-2a</t>
  </si>
  <si>
    <t>Loan Interest Calculation Option</t>
  </si>
  <si>
    <t>Loan No.</t>
  </si>
  <si>
    <t>Loan Capital Repayment (incl. early repayment)</t>
  </si>
  <si>
    <t>Loans Manual Inputs Reconciliation</t>
  </si>
  <si>
    <t>Applicable Interest Rate</t>
  </si>
  <si>
    <t>Fixed Intr. Rate</t>
  </si>
  <si>
    <t>Var Intr. Flag</t>
  </si>
  <si>
    <t>Compounded Interest Factor</t>
  </si>
  <si>
    <t>Intr. compounding periods p.a.</t>
  </si>
  <si>
    <t>Accrued Interest Expense during current Period - Calc</t>
  </si>
  <si>
    <t>Intr. Accrues at Period End</t>
  </si>
  <si>
    <t>Automated Interest Calc Flag</t>
  </si>
  <si>
    <t>Compounded Interest - Calc</t>
  </si>
  <si>
    <t>Compound Frequency</t>
  </si>
  <si>
    <t>Compounded Interest incl. initial balance - Calc</t>
  </si>
  <si>
    <t>Due Interest Payment - Calc</t>
  </si>
  <si>
    <t>Interest Payment based on payment frequency - Calc</t>
  </si>
  <si>
    <t>Payment Frequency</t>
  </si>
  <si>
    <t>Interest Payable Closing Balance - Calc</t>
  </si>
  <si>
    <t>Loans - Selected Calculation Option</t>
  </si>
  <si>
    <t>Loan No</t>
  </si>
  <si>
    <t>Loan Calc Option</t>
  </si>
  <si>
    <t>LN-1-2b</t>
  </si>
  <si>
    <t>LN-2-2b</t>
  </si>
  <si>
    <t>LN-3-2b</t>
  </si>
  <si>
    <t>LN-4-2b</t>
  </si>
  <si>
    <t>LN-5-2b</t>
  </si>
  <si>
    <t>LN-6-2b</t>
  </si>
  <si>
    <t>LN-7-2b</t>
  </si>
  <si>
    <t>LN-8-2b</t>
  </si>
  <si>
    <t>LN-9-2b</t>
  </si>
  <si>
    <t>LN-10-2b</t>
  </si>
  <si>
    <t>LN-11-2b</t>
  </si>
  <si>
    <t>LN-12-2b</t>
  </si>
  <si>
    <t>LN-13-2b</t>
  </si>
  <si>
    <t>LN-14-2b</t>
  </si>
  <si>
    <t>LN-15-2b</t>
  </si>
  <si>
    <t>LN-16-2b</t>
  </si>
  <si>
    <t>LN-17-2b</t>
  </si>
  <si>
    <t>LN-18-2b</t>
  </si>
  <si>
    <t>LN-19-2b</t>
  </si>
  <si>
    <t>LN-20-2b</t>
  </si>
  <si>
    <t>LN-1-2c</t>
  </si>
  <si>
    <t>LN-2-2c</t>
  </si>
  <si>
    <t>LN-3-2c</t>
  </si>
  <si>
    <t>LN-4-2c</t>
  </si>
  <si>
    <t>LN-5-2c</t>
  </si>
  <si>
    <t>LN-6-2c</t>
  </si>
  <si>
    <t>LN-7-2c</t>
  </si>
  <si>
    <t>LN-8-2c</t>
  </si>
  <si>
    <t>LN-9-2c</t>
  </si>
  <si>
    <t>LN-10-2c</t>
  </si>
  <si>
    <t>LN-11-2c</t>
  </si>
  <si>
    <t>LN-12-2c</t>
  </si>
  <si>
    <t>LN-13-2c</t>
  </si>
  <si>
    <t>LN-14-2c</t>
  </si>
  <si>
    <t>LN-15-2c</t>
  </si>
  <si>
    <t>LN-16-2c</t>
  </si>
  <si>
    <t>LN-17-2c</t>
  </si>
  <si>
    <t>LN-18-2c</t>
  </si>
  <si>
    <t>LN-19-2c</t>
  </si>
  <si>
    <t>LN-20-2c</t>
  </si>
  <si>
    <t>LN-1-2CB</t>
  </si>
  <si>
    <t>LN-2-2CB</t>
  </si>
  <si>
    <t>LN-3-2CB</t>
  </si>
  <si>
    <t>LN-4-2CB</t>
  </si>
  <si>
    <t>LN-5-2CB</t>
  </si>
  <si>
    <t>LN-6-2CB</t>
  </si>
  <si>
    <t>LN-7-2CB</t>
  </si>
  <si>
    <t>LN-8-2CB</t>
  </si>
  <si>
    <t>LN-9-2CB</t>
  </si>
  <si>
    <t>LN-10-2CB</t>
  </si>
  <si>
    <t>LN-11-2CB</t>
  </si>
  <si>
    <t>LN-12-2CB</t>
  </si>
  <si>
    <t>LN-13-2CB</t>
  </si>
  <si>
    <t>LN-14-2CB</t>
  </si>
  <si>
    <t>LN-15-2CB</t>
  </si>
  <si>
    <t>LN-16-2CB</t>
  </si>
  <si>
    <t>LN-17-2CB</t>
  </si>
  <si>
    <t>LN-18-2CB</t>
  </si>
  <si>
    <t>LN-19-2CB</t>
  </si>
  <si>
    <t>LN-20-2CB</t>
  </si>
  <si>
    <t>Short Term vs. Long Term Debt</t>
  </si>
  <si>
    <t>Amount Due Within One Year</t>
  </si>
  <si>
    <t>Amount due After One Year</t>
  </si>
  <si>
    <t>Amount Due Within One Year after Covenant Breach Adjustment</t>
  </si>
  <si>
    <t>ST-LN-1-1CB</t>
  </si>
  <si>
    <t>ST-LN-2-1CB</t>
  </si>
  <si>
    <t>ST-LN-3-1CB</t>
  </si>
  <si>
    <t>ST-LN-4-1CB</t>
  </si>
  <si>
    <t>ST-LN-5-1CB</t>
  </si>
  <si>
    <t>ST-LN-6-1CB</t>
  </si>
  <si>
    <t>ST-LN-7-1CB</t>
  </si>
  <si>
    <t>ST-LN-8-1CB</t>
  </si>
  <si>
    <t>ST-LN-9-1CB</t>
  </si>
  <si>
    <t>ST-LN-10-1CB</t>
  </si>
  <si>
    <t>ST-LN-11-1CB</t>
  </si>
  <si>
    <t>ST-LN-12-1CB</t>
  </si>
  <si>
    <t>ST-LN-13-1CB</t>
  </si>
  <si>
    <t>ST-LN-14-1CB</t>
  </si>
  <si>
    <t>ST-LN-15-1CB</t>
  </si>
  <si>
    <t>ST-LN-16-1CB</t>
  </si>
  <si>
    <t>ST-LN-17-1CB</t>
  </si>
  <si>
    <t>ST-LN-18-1CB</t>
  </si>
  <si>
    <t>ST-LN-19-1CB</t>
  </si>
  <si>
    <t>ST-LN-20-1CB</t>
  </si>
  <si>
    <t>Interest Payable Amount due within one year</t>
  </si>
  <si>
    <t>Interest Payable Amount due after one year</t>
  </si>
  <si>
    <t>Interest Payable Amount due within one year after Covenant Breach Adjustment</t>
  </si>
  <si>
    <t>Loans Summary By Category</t>
  </si>
  <si>
    <t>Commercial</t>
  </si>
  <si>
    <t>Amounts due within one year</t>
  </si>
  <si>
    <t>Drawdown</t>
  </si>
  <si>
    <t>Early Loan Capital Repayment</t>
  </si>
  <si>
    <t xml:space="preserve">Interest Payment </t>
  </si>
  <si>
    <t xml:space="preserve">Interest Expense </t>
  </si>
  <si>
    <t>Interest Payable Closing Balance due within one year</t>
  </si>
  <si>
    <t>Interest Expense and Early Repayment Fee</t>
  </si>
  <si>
    <t>Loans optional inputs check</t>
  </si>
  <si>
    <t>Loans inputs flag</t>
  </si>
  <si>
    <t>BS Forecasts</t>
  </si>
  <si>
    <t>Warning Flags</t>
  </si>
  <si>
    <t>Liabilities and Reserve Balance</t>
  </si>
  <si>
    <t>Reserves Selection Check</t>
  </si>
  <si>
    <t xml:space="preserve">Reserves Name Match </t>
  </si>
  <si>
    <t>Balance Sheet Check</t>
  </si>
  <si>
    <t>Annual timeline reconciliation</t>
  </si>
  <si>
    <t>Balance Sheet Summary</t>
  </si>
  <si>
    <t>Periods in use Flag</t>
  </si>
  <si>
    <t>Total Liabilities and Reserves</t>
  </si>
  <si>
    <t>Balance Sheet Position</t>
  </si>
  <si>
    <t>B-1f-1</t>
  </si>
  <si>
    <t>Share of surplus/(deficit) in joint ventures</t>
  </si>
  <si>
    <t>B-1f-2</t>
  </si>
  <si>
    <t>Dividends received</t>
  </si>
  <si>
    <t>B-1f-3</t>
  </si>
  <si>
    <t>B-1f-CB</t>
  </si>
  <si>
    <t>B-2b-1</t>
  </si>
  <si>
    <t>Revaluations/(write-offs) (to SOCI other G/L)</t>
  </si>
  <si>
    <t>B-2c-1</t>
  </si>
  <si>
    <t>Bad debt write-off</t>
  </si>
  <si>
    <t>B-2d-1</t>
  </si>
  <si>
    <t>B-2e-1</t>
  </si>
  <si>
    <t>Provided for/released in period</t>
  </si>
  <si>
    <t>-ve/+ve (Cr/Dr)</t>
  </si>
  <si>
    <t>B-2e-2</t>
  </si>
  <si>
    <t>Write-off in period</t>
  </si>
  <si>
    <t>B-2i-1</t>
  </si>
  <si>
    <t>Closing overdraft balance</t>
  </si>
  <si>
    <t>ESF-CB</t>
  </si>
  <si>
    <t>Closing loan capital balance</t>
  </si>
  <si>
    <t>Amount due in one year</t>
  </si>
  <si>
    <t>Amount due after one year</t>
  </si>
  <si>
    <t>COM-1CB</t>
  </si>
  <si>
    <t>FL-a-OB</t>
  </si>
  <si>
    <t>FL-2a</t>
  </si>
  <si>
    <t>FL-3a</t>
  </si>
  <si>
    <t>Repayments</t>
  </si>
  <si>
    <t>FL-4a</t>
  </si>
  <si>
    <t>Interest payments</t>
  </si>
  <si>
    <t>FL-a-CB</t>
  </si>
  <si>
    <t>OP-OB</t>
  </si>
  <si>
    <t>OP-2</t>
  </si>
  <si>
    <t>OP-3</t>
  </si>
  <si>
    <t>OP-4</t>
  </si>
  <si>
    <t>OP-CB</t>
  </si>
  <si>
    <t>Total Finance and Operating Lease (Right of use) Obligations</t>
  </si>
  <si>
    <t>FL-OB</t>
  </si>
  <si>
    <t>FL-2</t>
  </si>
  <si>
    <t>FL-3</t>
  </si>
  <si>
    <t>FL-4</t>
  </si>
  <si>
    <t>FL-CB</t>
  </si>
  <si>
    <t>Interest Payable</t>
  </si>
  <si>
    <t>INT-CB</t>
  </si>
  <si>
    <t>CG-OB</t>
  </si>
  <si>
    <t>CG-1</t>
  </si>
  <si>
    <t>Capital Grant received in cash: DfE/ESFA</t>
  </si>
  <si>
    <t>+ve(Cr)</t>
  </si>
  <si>
    <t>CG-2</t>
  </si>
  <si>
    <t>Capital Grant received in cash: OfS</t>
  </si>
  <si>
    <t>CG-3</t>
  </si>
  <si>
    <t>Capital Grant received in cash: LEP</t>
  </si>
  <si>
    <t>CG-4</t>
  </si>
  <si>
    <t>Capital Grant received in cash: Other Grants</t>
  </si>
  <si>
    <t>CG-5</t>
  </si>
  <si>
    <t>Capital grant repayments: DfE/ESFA</t>
  </si>
  <si>
    <t>CG-6</t>
  </si>
  <si>
    <t>Capital grant repayments: OfS</t>
  </si>
  <si>
    <t>CG-7</t>
  </si>
  <si>
    <t>Capital grant repayments: LEP</t>
  </si>
  <si>
    <t>CG-8</t>
  </si>
  <si>
    <t>Capital grant repayments: Other Grants</t>
  </si>
  <si>
    <t>CG-9</t>
  </si>
  <si>
    <t>Amortisation through I&amp;E: DfE/ESFA</t>
  </si>
  <si>
    <t>CG-10</t>
  </si>
  <si>
    <t>Amortisation through I&amp;E: OfS</t>
  </si>
  <si>
    <t>CG-11</t>
  </si>
  <si>
    <t>Amortisation through I&amp;E: LEP</t>
  </si>
  <si>
    <t>CG-12</t>
  </si>
  <si>
    <t>Amortisation through I&amp;E: Other Grants</t>
  </si>
  <si>
    <t>CG-CB</t>
  </si>
  <si>
    <t>UC-CB</t>
  </si>
  <si>
    <t>B-3t-CB</t>
  </si>
  <si>
    <t>B-6h-CB</t>
  </si>
  <si>
    <t>OL-CB</t>
  </si>
  <si>
    <t>Amount due within one year</t>
  </si>
  <si>
    <t>Fixed Assets Retentions</t>
  </si>
  <si>
    <t>BS-B-7a-1</t>
  </si>
  <si>
    <t>Current service charge net of employee contributions</t>
  </si>
  <si>
    <t>BS-B-7a-2</t>
  </si>
  <si>
    <t xml:space="preserve">Employer Contributions </t>
  </si>
  <si>
    <t>BS-B-7a-3</t>
  </si>
  <si>
    <t xml:space="preserve">Past Service Deficit Employer Contributions </t>
  </si>
  <si>
    <t>BS-B-7a-4</t>
  </si>
  <si>
    <t>Past service costs</t>
  </si>
  <si>
    <t>BS-B-7a-5</t>
  </si>
  <si>
    <t>Curtailments and settlements</t>
  </si>
  <si>
    <t>BS-B-7a-6</t>
  </si>
  <si>
    <t>Expected return on pension assets</t>
  </si>
  <si>
    <t>BS-B-7a-7</t>
  </si>
  <si>
    <t>Interest on pension liabilities</t>
  </si>
  <si>
    <t>BS-B-7a-8</t>
  </si>
  <si>
    <t>Actuarial (gain)/loss</t>
  </si>
  <si>
    <t>BS-B-7a-9</t>
  </si>
  <si>
    <t>Lumpsum settlement payment</t>
  </si>
  <si>
    <t>BS-B-7a-10</t>
  </si>
  <si>
    <t>BS-B-7b-1</t>
  </si>
  <si>
    <t>Additions in period</t>
  </si>
  <si>
    <t>BS-B-7b-2</t>
  </si>
  <si>
    <t>Net interest on provision in period</t>
  </si>
  <si>
    <t>BS-B-7b-3</t>
  </si>
  <si>
    <t>Released in period</t>
  </si>
  <si>
    <t>BS-B-7b-4</t>
  </si>
  <si>
    <t>BS-B-7b-5</t>
  </si>
  <si>
    <t>BS-B-7c-1</t>
  </si>
  <si>
    <t>BS-B-7c-2</t>
  </si>
  <si>
    <t>BS-B-7c-3</t>
  </si>
  <si>
    <t>BS-B-7c-4</t>
  </si>
  <si>
    <t>BS-B-7c-5</t>
  </si>
  <si>
    <t>BS-B-7c-6</t>
  </si>
  <si>
    <t>BS-B-7d-1</t>
  </si>
  <si>
    <t>BS-B-7d-2</t>
  </si>
  <si>
    <t>Cash paid</t>
  </si>
  <si>
    <t>BS-B-9a-1</t>
  </si>
  <si>
    <t>Surplus/Loss on Revaluation of Tangible Non-Current Assets</t>
  </si>
  <si>
    <t>BS-B-9a-2</t>
  </si>
  <si>
    <t>Transfers to/(from) Revaluation Reserve</t>
  </si>
  <si>
    <t>BS-B-9b-1</t>
  </si>
  <si>
    <t>Transfer to/(from) restricted reserve</t>
  </si>
  <si>
    <t>BS-B-9c-1</t>
  </si>
  <si>
    <t>Movement in year</t>
  </si>
  <si>
    <t>BS-B-9c-2</t>
  </si>
  <si>
    <t>Transfers to/(from) I&amp;E reserve</t>
  </si>
  <si>
    <t>Transfer between Reserves</t>
  </si>
  <si>
    <t>T-1</t>
  </si>
  <si>
    <t>Transfer 1 - Movement from revaluation reserve to I&amp;E</t>
  </si>
  <si>
    <t>Transfer to/(from) the following reserve:</t>
  </si>
  <si>
    <t>T-1a</t>
  </si>
  <si>
    <t>Transfer (from)/to the following reserve:</t>
  </si>
  <si>
    <t>T-1b</t>
  </si>
  <si>
    <t>T-2</t>
  </si>
  <si>
    <t>Transfer 2 - Movements between Reserves</t>
  </si>
  <si>
    <t>T-2a</t>
  </si>
  <si>
    <t>T-2b</t>
  </si>
  <si>
    <t>T-3</t>
  </si>
  <si>
    <t>Transfer 3 - Movements between Reserves</t>
  </si>
  <si>
    <t>T-3a</t>
  </si>
  <si>
    <t>T-3b</t>
  </si>
  <si>
    <t>BS Forecasts optional inputs check</t>
  </si>
  <si>
    <t>non-optional inputs:</t>
  </si>
  <si>
    <t>BS Forecasts inputs flag</t>
  </si>
  <si>
    <t>User Template</t>
  </si>
  <si>
    <t>Fin Stat</t>
  </si>
  <si>
    <t>Year 1 reconciliation to 4 year timeline</t>
  </si>
  <si>
    <t>Year 2 reconciliation to 4 year timeline</t>
  </si>
  <si>
    <t>Year 3 reconciliation to 4 year timeline</t>
  </si>
  <si>
    <t>Year 1 reconciliation to 12 year timeline</t>
  </si>
  <si>
    <t>Year 2 reconciliation to 12 year timeline</t>
  </si>
  <si>
    <t>Year 3 reconciliation to 12 year timeline</t>
  </si>
  <si>
    <t>Prior Year Reconciliation</t>
  </si>
  <si>
    <t>Reconciliation</t>
  </si>
  <si>
    <t>Periods in Use Flag</t>
  </si>
  <si>
    <t>IE</t>
  </si>
  <si>
    <t>Income &amp; Expenditure</t>
  </si>
  <si>
    <t>FS-IE-1a</t>
  </si>
  <si>
    <t>Total 14-19 Income</t>
  </si>
  <si>
    <t>FS-IE-1f-ii</t>
  </si>
  <si>
    <t>Total Skills Bootcamps income</t>
  </si>
  <si>
    <t>Of which: subcontracted out</t>
  </si>
  <si>
    <t xml:space="preserve">Total Operating Expenditure </t>
  </si>
  <si>
    <t>Surplus/(deficit) before ITDA Reconciliation</t>
  </si>
  <si>
    <t>Total surplus/(deficit) for the year Reconciliation</t>
  </si>
  <si>
    <t>Balance Sheet</t>
  </si>
  <si>
    <t>FS-B-1-CB</t>
  </si>
  <si>
    <t>FS-B-2-CB</t>
  </si>
  <si>
    <t>FS-B-3-CB</t>
  </si>
  <si>
    <t>Net Current Assets/(Liabilities)</t>
  </si>
  <si>
    <t>Total assets less current liabilities</t>
  </si>
  <si>
    <t>FS-B-6-CB</t>
  </si>
  <si>
    <t>FS-B-7-CB</t>
  </si>
  <si>
    <t>FS-B-8-CB</t>
  </si>
  <si>
    <t>Balance Sheet Reconciliation</t>
  </si>
  <si>
    <t>Cash Flow</t>
  </si>
  <si>
    <t>Cash Flow from Operating Activities</t>
  </si>
  <si>
    <t>Adjustment for non-cash items</t>
  </si>
  <si>
    <t>IC-1a-1</t>
  </si>
  <si>
    <t>IC-1a-2a</t>
  </si>
  <si>
    <t>Pension contributions costs less contributions paid</t>
  </si>
  <si>
    <t>IC-1a-2b</t>
  </si>
  <si>
    <t>IC-1a-2c</t>
  </si>
  <si>
    <t>Pension Lumpsum Settlement Payment</t>
  </si>
  <si>
    <t>IC-1a-3</t>
  </si>
  <si>
    <t>Release of deferred capital grants</t>
  </si>
  <si>
    <t>IC-1a-4</t>
  </si>
  <si>
    <t>Donated Assets adjustment</t>
  </si>
  <si>
    <t>IC-1a-5</t>
  </si>
  <si>
    <t>Other Provisions adjustment</t>
  </si>
  <si>
    <t>IC-1a</t>
  </si>
  <si>
    <t>Total non-cash adjustments</t>
  </si>
  <si>
    <t>Working capital movements</t>
  </si>
  <si>
    <t>Links to inputs</t>
  </si>
  <si>
    <t>IC-1b-1a</t>
  </si>
  <si>
    <t>(Increase)/decrease in stocks</t>
  </si>
  <si>
    <t>IC-1b-1b</t>
  </si>
  <si>
    <t>(Increase)/decrease in debtors</t>
  </si>
  <si>
    <t>IC-1b-1c</t>
  </si>
  <si>
    <t>Increase/(decrease) in creditors due within one year</t>
  </si>
  <si>
    <t>IC-1b-2b</t>
  </si>
  <si>
    <t>Increase/(decrease) in creditors due after one year</t>
  </si>
  <si>
    <t>IC-1b-3a</t>
  </si>
  <si>
    <t xml:space="preserve">Increase/(decrease) in corporation tax </t>
  </si>
  <si>
    <t>IC-1b-3b</t>
  </si>
  <si>
    <t>Movement in Other Taxation and Social Security</t>
  </si>
  <si>
    <t>IC-1b-4</t>
  </si>
  <si>
    <t>(Increase)/decrease in prepayments</t>
  </si>
  <si>
    <t>IC-1b-5</t>
  </si>
  <si>
    <t>(Increase)/decrease in accrued income</t>
  </si>
  <si>
    <t>IC-1b-6</t>
  </si>
  <si>
    <t>Increase/(decrease) in holiday and sabbatical pay accrual</t>
  </si>
  <si>
    <t>IC-1b-7</t>
  </si>
  <si>
    <t>Increase/(decrease) in Accruals</t>
  </si>
  <si>
    <t>IC-1b-8</t>
  </si>
  <si>
    <t>Movement in bursary deferred income account</t>
  </si>
  <si>
    <t>IC-1b-9</t>
  </si>
  <si>
    <t>Movement in Recovery of DfE/ESFA/DA Funding</t>
  </si>
  <si>
    <t>IC-1b-10</t>
  </si>
  <si>
    <t>Movement in AEB Clawback</t>
  </si>
  <si>
    <t>IC-1b-11</t>
  </si>
  <si>
    <t>Other provisions cash payment</t>
  </si>
  <si>
    <t>IC-1b-12</t>
  </si>
  <si>
    <t>Movement in unrestricted short term investments</t>
  </si>
  <si>
    <t>IC-1b</t>
  </si>
  <si>
    <t>Total working capital movements</t>
  </si>
  <si>
    <t>Adjustment for investing or financing activities</t>
  </si>
  <si>
    <t>IC-1c</t>
  </si>
  <si>
    <t>Net interest and finance costs payable/receivable</t>
  </si>
  <si>
    <t>IC-1</t>
  </si>
  <si>
    <t>Net cash flow from operating activities</t>
  </si>
  <si>
    <t>Cash flows from Investing Activities</t>
  </si>
  <si>
    <t>IC-2a</t>
  </si>
  <si>
    <t>Receipts from sale of Non-Current Assets</t>
  </si>
  <si>
    <t>IC-2b</t>
  </si>
  <si>
    <t>Repayment of Capital Grants</t>
  </si>
  <si>
    <t>IC-2c-1</t>
  </si>
  <si>
    <t>Payments made to acquire Land &amp; Buildings</t>
  </si>
  <si>
    <t>IC-2c-2</t>
  </si>
  <si>
    <t>Payments made to acquire Equipment</t>
  </si>
  <si>
    <t>IC-2c-3</t>
  </si>
  <si>
    <t>Payments made towards Other Non-Current Assets</t>
  </si>
  <si>
    <t>IC-2c-4</t>
  </si>
  <si>
    <t>Payments made towards Assets under Construction</t>
  </si>
  <si>
    <t>IC-2c-5</t>
  </si>
  <si>
    <t>Payments made to acquire Investments</t>
  </si>
  <si>
    <t>IC-2c-6</t>
  </si>
  <si>
    <t>Movement in Fixed Assets Retentions</t>
  </si>
  <si>
    <t>IC-2d</t>
  </si>
  <si>
    <t>Increase in/release of restricted cash</t>
  </si>
  <si>
    <t>IC-2e</t>
  </si>
  <si>
    <t>Receipt of Deferred Capital Grants</t>
  </si>
  <si>
    <t>IC-2f</t>
  </si>
  <si>
    <t>Dividends received from Investment in JVs</t>
  </si>
  <si>
    <t>IC-2g</t>
  </si>
  <si>
    <t>Interest and Investment Income</t>
  </si>
  <si>
    <t>IC-2</t>
  </si>
  <si>
    <t>Net cash flow from Investing Activities</t>
  </si>
  <si>
    <t>Cash flows from Financing Activities</t>
  </si>
  <si>
    <t>IC-3a-1</t>
  </si>
  <si>
    <t xml:space="preserve">Interest paid </t>
  </si>
  <si>
    <t>IC-3a-2</t>
  </si>
  <si>
    <t>Early Loan Capital Repayment Fees</t>
  </si>
  <si>
    <t>IC-3b</t>
  </si>
  <si>
    <t>Interest element of finance lease/operating lease (right of use) rental payments</t>
  </si>
  <si>
    <t>IC-3c</t>
  </si>
  <si>
    <t>New long term loans</t>
  </si>
  <si>
    <t>IC-3d-1</t>
  </si>
  <si>
    <t>IC-3d-2</t>
  </si>
  <si>
    <t>IC-3e</t>
  </si>
  <si>
    <t>Capital element of finance lease/operating lease (right of use) rental payments</t>
  </si>
  <si>
    <t>IC-3f</t>
  </si>
  <si>
    <t>Cash movement due to merger / de-merger</t>
  </si>
  <si>
    <t>IC-3</t>
  </si>
  <si>
    <t>Net cash flow from financing activities</t>
  </si>
  <si>
    <t>IC-4</t>
  </si>
  <si>
    <t>Increase/(decrease) in unrestricted cash and cash equivalents</t>
  </si>
  <si>
    <t>Analysis of cash and cash equivalents</t>
  </si>
  <si>
    <t>IC-5a</t>
  </si>
  <si>
    <t>Unrestricted cash and cash equivalents at beginning of the period</t>
  </si>
  <si>
    <t>IC-5</t>
  </si>
  <si>
    <t>Unrestricted cash and cash equivalents at end of the period</t>
  </si>
  <si>
    <t>B-2h-CB</t>
  </si>
  <si>
    <t>B-2j-CB</t>
  </si>
  <si>
    <t>Restricted cash</t>
  </si>
  <si>
    <t>IC-6</t>
  </si>
  <si>
    <t>Total cash</t>
  </si>
  <si>
    <t>Ratios</t>
  </si>
  <si>
    <t>Reconciliation between 4- and 12-year Annual timeline</t>
  </si>
  <si>
    <t>Reconciliation between 4 year and monthly timeline</t>
  </si>
  <si>
    <t>Optional Prior Year Diff.</t>
  </si>
  <si>
    <t>Year 1 Diff.</t>
  </si>
  <si>
    <t>Year 2 Diff.</t>
  </si>
  <si>
    <t>Year 3 Diff.</t>
  </si>
  <si>
    <t>FEC BENCHMARK</t>
  </si>
  <si>
    <t>4 year vs 12 year timeline</t>
  </si>
  <si>
    <t>4 year vs monthly timeline</t>
  </si>
  <si>
    <t>Adjusted Income and Expenditure for Ratio Calculation</t>
  </si>
  <si>
    <t>R-1a</t>
  </si>
  <si>
    <t>Adjusted Income</t>
  </si>
  <si>
    <t>£000</t>
  </si>
  <si>
    <t>R-1b</t>
  </si>
  <si>
    <t>Operating Expenditure excl. staff Restructuring Costs</t>
  </si>
  <si>
    <t>Liquidity</t>
  </si>
  <si>
    <t>R-2a-1</t>
  </si>
  <si>
    <t>Expenditure for Adjusted Unrestricted Cash Days</t>
  </si>
  <si>
    <t>R-2a-2</t>
  </si>
  <si>
    <t>Unrestricted cash and cash equivalents and short-term investments</t>
  </si>
  <si>
    <t>R-2a</t>
  </si>
  <si>
    <t>Adjusted unrestricted cash days in hand</t>
  </si>
  <si>
    <t>days</t>
  </si>
  <si>
    <t>&gt; 40</t>
  </si>
  <si>
    <t>R-2b</t>
  </si>
  <si>
    <t>Current ratio</t>
  </si>
  <si>
    <t>R-2c</t>
  </si>
  <si>
    <t>Adjusted current ratio</t>
  </si>
  <si>
    <t>&gt; 1.4</t>
  </si>
  <si>
    <t>R-2d-1</t>
  </si>
  <si>
    <t>Income for trade debtor days calculation</t>
  </si>
  <si>
    <t>R-2d</t>
  </si>
  <si>
    <t>Trade debtor days -excluding funding body grants</t>
  </si>
  <si>
    <t>R-2e</t>
  </si>
  <si>
    <t>Trade creditors days - non-pay expenditure</t>
  </si>
  <si>
    <t>R-2g</t>
  </si>
  <si>
    <t>Cash generation from operations (as a % of adjusted income)</t>
  </si>
  <si>
    <t>Gearing</t>
  </si>
  <si>
    <t>R-4a</t>
  </si>
  <si>
    <t>Debt Service Cover Ratio</t>
  </si>
  <si>
    <t>&gt; 2</t>
  </si>
  <si>
    <t>R-4b</t>
  </si>
  <si>
    <t>Borrowing</t>
  </si>
  <si>
    <t>R-4c</t>
  </si>
  <si>
    <t>Borrowing as a % of adjusted income</t>
  </si>
  <si>
    <t>R-4d</t>
  </si>
  <si>
    <t>Interest as a % of adjusted income</t>
  </si>
  <si>
    <t>Margin</t>
  </si>
  <si>
    <t>R-5a</t>
  </si>
  <si>
    <t>Total surplus/(deficit) as a % of adjusted income</t>
  </si>
  <si>
    <t>R-5b</t>
  </si>
  <si>
    <t>Total comprehensive income as a % of adjusted income</t>
  </si>
  <si>
    <t>R-5c</t>
  </si>
  <si>
    <t>Available reserves as a % of adjusted income</t>
  </si>
  <si>
    <t>R-5d</t>
  </si>
  <si>
    <t>Adjusted Operating Surplus (Deficit)</t>
  </si>
  <si>
    <t>R-5e</t>
  </si>
  <si>
    <t>Adjusted Operating Ratio</t>
  </si>
  <si>
    <t xml:space="preserve">EBITDA - standard </t>
  </si>
  <si>
    <t>R-5f</t>
  </si>
  <si>
    <t>EBITDA as a % of adjusted income - standard</t>
  </si>
  <si>
    <t xml:space="preserve">EBITDA - education specific </t>
  </si>
  <si>
    <t>R-5g</t>
  </si>
  <si>
    <t>EBITDA as a % of adjusted income - education specific</t>
  </si>
  <si>
    <t>&gt; 6%</t>
  </si>
  <si>
    <t>Income</t>
  </si>
  <si>
    <t>R-6a</t>
  </si>
  <si>
    <t>Year on year (month on month) increase - income</t>
  </si>
  <si>
    <t>R-6b</t>
  </si>
  <si>
    <t>Dependency on 14-16 income</t>
  </si>
  <si>
    <t>R-6c</t>
  </si>
  <si>
    <t>Dependency on 14-19 income</t>
  </si>
  <si>
    <t>R-6d</t>
  </si>
  <si>
    <t>Dependency on  Apprenticeship income</t>
  </si>
  <si>
    <t>R-6e</t>
  </si>
  <si>
    <t>Dependency on AEB income</t>
  </si>
  <si>
    <t>R-6f</t>
  </si>
  <si>
    <t>Dependency on HE income</t>
  </si>
  <si>
    <t>R-6g</t>
  </si>
  <si>
    <t>Dependency on European Income</t>
  </si>
  <si>
    <t>R-6h</t>
  </si>
  <si>
    <t>Dependency on all other income</t>
  </si>
  <si>
    <t>Income Generating Activities</t>
  </si>
  <si>
    <t>R-7a</t>
  </si>
  <si>
    <t xml:space="preserve">Contribution from other income generating activities </t>
  </si>
  <si>
    <t>Expenditure</t>
  </si>
  <si>
    <t>R-8a</t>
  </si>
  <si>
    <t>Administration costs as a % of total expenditure 
(before depreciation, interest and tax costs)</t>
  </si>
  <si>
    <t>R-8b</t>
  </si>
  <si>
    <t>Other operating expenditure (excluding subcontracting) as a % of total adjusted income</t>
  </si>
  <si>
    <t>Staffing</t>
  </si>
  <si>
    <t>R-9a</t>
  </si>
  <si>
    <t>Staff costs (incl. contract tuition services/excl. restructuring and FRS102) as % of adjusted income (excl. income subcontracted out)</t>
  </si>
  <si>
    <t>GFE: &lt; 65%
SFC: &lt; 70%</t>
  </si>
  <si>
    <t>R-9b</t>
  </si>
  <si>
    <t>Total Staff costs as % of Adjusted Income</t>
  </si>
  <si>
    <t>Self Assessment complete</t>
  </si>
  <si>
    <t>Selected Self Assessment is valid - previous year</t>
  </si>
  <si>
    <t>Selected Self Assessment is valid - year 1</t>
  </si>
  <si>
    <t>Selected Self Assessment is valid - year 2</t>
  </si>
  <si>
    <t>Selected Self Assessment is valid - year 3</t>
  </si>
  <si>
    <t>Completion Warnings</t>
  </si>
  <si>
    <t>Grading System</t>
  </si>
  <si>
    <t>Ratio Scales</t>
  </si>
  <si>
    <t>Financial Health Grading</t>
  </si>
  <si>
    <t>Points</t>
  </si>
  <si>
    <t>EBITDA</t>
  </si>
  <si>
    <t>Debt as % of income</t>
  </si>
  <si>
    <t>FH Rating</t>
  </si>
  <si>
    <t>Financial Health Ratios</t>
  </si>
  <si>
    <t>&gt;=10%</t>
  </si>
  <si>
    <t>&gt;=2.0</t>
  </si>
  <si>
    <t>&gt;=9%</t>
  </si>
  <si>
    <t>&gt;=1.8</t>
  </si>
  <si>
    <t>&lt;10%</t>
  </si>
  <si>
    <t>&gt;=8%</t>
  </si>
  <si>
    <t>&gt;=1.6</t>
  </si>
  <si>
    <t>&lt;20%</t>
  </si>
  <si>
    <t>&gt;=7%</t>
  </si>
  <si>
    <t>&gt;=1.4</t>
  </si>
  <si>
    <t>&lt;30%</t>
  </si>
  <si>
    <t>&gt;=6%</t>
  </si>
  <si>
    <t>&gt;=1.2</t>
  </si>
  <si>
    <t>&lt;35%</t>
  </si>
  <si>
    <t>Calculated Grades</t>
  </si>
  <si>
    <t>&gt;=5%</t>
  </si>
  <si>
    <t>&gt;=1.0</t>
  </si>
  <si>
    <t>&lt;40%</t>
  </si>
  <si>
    <t>FH-1a</t>
  </si>
  <si>
    <t>Adjusted current ratio points</t>
  </si>
  <si>
    <t>points</t>
  </si>
  <si>
    <t>&gt;=4%</t>
  </si>
  <si>
    <t>&gt;=0.8</t>
  </si>
  <si>
    <t>&lt;45%</t>
  </si>
  <si>
    <t>FH-1b</t>
  </si>
  <si>
    <t>EBITDA as a % of income - education specific points</t>
  </si>
  <si>
    <t>&gt;=3%</t>
  </si>
  <si>
    <t>&gt;=0.7</t>
  </si>
  <si>
    <t>&lt;50%</t>
  </si>
  <si>
    <t>FH-1c</t>
  </si>
  <si>
    <t>Borrowing as a % of adjusted income points</t>
  </si>
  <si>
    <t>&gt;=2%</t>
  </si>
  <si>
    <t>&gt;=0.6</t>
  </si>
  <si>
    <t>&lt;55%</t>
  </si>
  <si>
    <t>&gt;=1%</t>
  </si>
  <si>
    <t>&gt;=0.5</t>
  </si>
  <si>
    <t>&lt;60%</t>
  </si>
  <si>
    <t>FH-1d</t>
  </si>
  <si>
    <t>Total Points</t>
  </si>
  <si>
    <t>&lt;1%</t>
  </si>
  <si>
    <t>&lt;0.5</t>
  </si>
  <si>
    <t>&gt;=60%</t>
  </si>
  <si>
    <t>Top Score</t>
  </si>
  <si>
    <t>FH-2a</t>
  </si>
  <si>
    <t>Automated adjustment- Emergency Funding Grant Support</t>
  </si>
  <si>
    <t>FH-2ai</t>
  </si>
  <si>
    <t>Automated adjustment - have you received, or do you expect to receive, an emergency funding loan during the current or prior year?</t>
  </si>
  <si>
    <t>FH-2b</t>
  </si>
  <si>
    <t>Automated adjustment - EBITDA score of zero</t>
  </si>
  <si>
    <t>FH-2c</t>
  </si>
  <si>
    <t>Financial health grade - auto grade</t>
  </si>
  <si>
    <t>FH-3a</t>
  </si>
  <si>
    <t>College Self-Assessment  grade</t>
  </si>
  <si>
    <t>FH-3b</t>
  </si>
  <si>
    <t>College Self-Assessment Narrative</t>
  </si>
  <si>
    <t>Cash Flow Summary</t>
  </si>
  <si>
    <t>Reconciliation of Cash Flow Summary against Fin Stat</t>
  </si>
  <si>
    <t>Cash Flow Graphs</t>
  </si>
  <si>
    <t>Cash Flow summary</t>
  </si>
  <si>
    <t>IC-1a-2</t>
  </si>
  <si>
    <t>Pension Provisions cash adjustments</t>
  </si>
  <si>
    <t>IC-1a-O</t>
  </si>
  <si>
    <t>Other non-cash adjustments</t>
  </si>
  <si>
    <t>IC-1b-1</t>
  </si>
  <si>
    <t>Movement in Working Capital</t>
  </si>
  <si>
    <t>IC-1b-3</t>
  </si>
  <si>
    <t>Movements in taxes</t>
  </si>
  <si>
    <t>IC-1b-O</t>
  </si>
  <si>
    <t>Movements in other accruals, deferrals and provisions</t>
  </si>
  <si>
    <t>Net cash flow from operating activities reconciliation</t>
  </si>
  <si>
    <t>Receipts from sale of non-current assets</t>
  </si>
  <si>
    <t>Repayment of capital grants</t>
  </si>
  <si>
    <t>IC-2c</t>
  </si>
  <si>
    <t>Payments made to acquire non-current assets and investments</t>
  </si>
  <si>
    <t>Receipt of deferred capital grants</t>
  </si>
  <si>
    <t>Dividends received from investment in JVs</t>
  </si>
  <si>
    <t>Net cash flow from investing activities</t>
  </si>
  <si>
    <t>Net cash flow from investing activities reconciliation</t>
  </si>
  <si>
    <t>IC-3a</t>
  </si>
  <si>
    <t>Interest and finance fee payments</t>
  </si>
  <si>
    <t>Interest element of finance/operating (right of use) lease rental payments</t>
  </si>
  <si>
    <t>New long term loans/Finance/operating (right of use) leases</t>
  </si>
  <si>
    <t>IC-3d</t>
  </si>
  <si>
    <t xml:space="preserve">Loan Capital Repayment </t>
  </si>
  <si>
    <t>Capital element of finance/operating (right of use) lease rental payments</t>
  </si>
  <si>
    <t>Net cash flow from financing activities reconciliation</t>
  </si>
  <si>
    <t>Increase/(decrease) in unrestricted cash and cash equivalents reconciliation</t>
  </si>
  <si>
    <t>Unrestricted short-term investments</t>
  </si>
  <si>
    <t>WC Dashboard</t>
  </si>
  <si>
    <t>Working Capital Summary</t>
  </si>
  <si>
    <t>Dashboard</t>
  </si>
  <si>
    <t>`</t>
  </si>
  <si>
    <t>Financial Analysis - Ratios</t>
  </si>
  <si>
    <t>Benchmark</t>
  </si>
  <si>
    <t>FINANCAL HEALTH</t>
  </si>
  <si>
    <t>Current system</t>
  </si>
  <si>
    <t xml:space="preserve">Financial Health Grade  </t>
  </si>
  <si>
    <t>PERFORMANCE</t>
  </si>
  <si>
    <t xml:space="preserve">College </t>
  </si>
  <si>
    <t>Education-specific EBITDA as % of adjusted income. Measures underlying profitability as a percent of revenue.</t>
  </si>
  <si>
    <t>Adjusted Operating Surplus/Deficit as a % of adjusted income</t>
  </si>
  <si>
    <t>FINANCING</t>
  </si>
  <si>
    <t>Total debt and interest expense as a % of adjusted income. Measures the ability to cover debt obligations out of revenue generated.</t>
  </si>
  <si>
    <t>SOLVENCY</t>
  </si>
  <si>
    <t>Financial Statements</t>
  </si>
  <si>
    <t>SOCI</t>
  </si>
  <si>
    <t>Total income</t>
  </si>
  <si>
    <t>Total expenditure</t>
  </si>
  <si>
    <t>Surplus/deficit subtotal</t>
  </si>
  <si>
    <t>Release of capital grants</t>
  </si>
  <si>
    <t>Emergency Funding &amp; RF</t>
  </si>
  <si>
    <t>Surplus/deficit before ITDA</t>
  </si>
  <si>
    <t>Total ITDA</t>
  </si>
  <si>
    <t>Surplus/(deficit) after ITDA</t>
  </si>
  <si>
    <t>CASH FLOW</t>
  </si>
  <si>
    <t>Operating surplus/deficit</t>
  </si>
  <si>
    <t>Net investment receipts and payments</t>
  </si>
  <si>
    <t>DB-IC-6</t>
  </si>
  <si>
    <t>CFADS</t>
  </si>
  <si>
    <t>Net financing receipts and payments</t>
  </si>
  <si>
    <t>Total cash movement</t>
  </si>
  <si>
    <t>Opening unrestricted cash</t>
  </si>
  <si>
    <t>Movement in restricted cash</t>
  </si>
  <si>
    <t>Closing unrestricted cash</t>
  </si>
  <si>
    <t>BALANCE SHEET</t>
  </si>
  <si>
    <t>DB-B-1a</t>
  </si>
  <si>
    <t>Net current assets</t>
  </si>
  <si>
    <t>Non current assets</t>
  </si>
  <si>
    <t>DB-B-1b</t>
  </si>
  <si>
    <t>Non current liabilities and provisions</t>
  </si>
  <si>
    <t>Total net assets</t>
  </si>
  <si>
    <t>Debt</t>
  </si>
  <si>
    <t>DEBT</t>
  </si>
  <si>
    <t>DB-B-2a</t>
  </si>
  <si>
    <t>Dash Data</t>
  </si>
  <si>
    <t>Other Liabilities (positive)</t>
  </si>
  <si>
    <t>EBITDA as a % of income College Benchmark</t>
  </si>
  <si>
    <t>Adj. Operating Income Ratio College Benchmark</t>
  </si>
  <si>
    <t>Financing</t>
  </si>
  <si>
    <t>Debt Service Cover Ratio College Benchmark</t>
  </si>
  <si>
    <t>Borrowing as a % of adjusted income College Benchmark</t>
  </si>
  <si>
    <t>Solvency</t>
  </si>
  <si>
    <t>Adjusted unrestricted cash days College Benchmark</t>
  </si>
  <si>
    <t>Adjusted current ratio College Benchmark</t>
  </si>
  <si>
    <t>Summary Figures</t>
  </si>
  <si>
    <t>Fin Health</t>
  </si>
  <si>
    <t xml:space="preserve">Financial Health </t>
  </si>
  <si>
    <t>Fin Health Points</t>
  </si>
  <si>
    <t>Performance</t>
  </si>
  <si>
    <t>Adjusted Ops Surplus/Deficit ratio</t>
  </si>
  <si>
    <t>Debt Service Cover Ratio (DSCR)</t>
  </si>
  <si>
    <t>Timeline</t>
  </si>
  <si>
    <t>Annual Timeline</t>
  </si>
  <si>
    <t>Monthly Timeline</t>
  </si>
  <si>
    <t>12 Year Annual Timeline</t>
  </si>
  <si>
    <t xml:space="preserve">Optional </t>
  </si>
  <si>
    <t>Financial Year</t>
  </si>
  <si>
    <t>Forecast vs Actual</t>
  </si>
  <si>
    <t>Period End Date</t>
  </si>
  <si>
    <t>Period Start date</t>
  </si>
  <si>
    <t>Financial Year Number</t>
  </si>
  <si>
    <t>Actual Period Flag</t>
  </si>
  <si>
    <t>First Actual Period Flag</t>
  </si>
  <si>
    <t>First Forecast Period Flag</t>
  </si>
  <si>
    <t>Forecast Period Flag</t>
  </si>
  <si>
    <t>Current Year Flag</t>
  </si>
  <si>
    <t>Current Year Forecast Period Flag</t>
  </si>
  <si>
    <t>Current Year Actual Period Flag</t>
  </si>
  <si>
    <t>Act vs Forecast Annual Period Index</t>
  </si>
  <si>
    <t>Year label</t>
  </si>
  <si>
    <t>Y1</t>
  </si>
  <si>
    <t>Y2</t>
  </si>
  <si>
    <t>Y3</t>
  </si>
  <si>
    <t>Y4</t>
  </si>
  <si>
    <t>Column letter(s)</t>
  </si>
  <si>
    <t>Minimum of 12 months and number of  months since first day of monthly data</t>
  </si>
  <si>
    <t>Loan Flags</t>
  </si>
  <si>
    <t>Days in Period</t>
  </si>
  <si>
    <t>Loan Term Flag</t>
  </si>
  <si>
    <t>Loan Start Date</t>
  </si>
  <si>
    <t>Loan End Date</t>
  </si>
  <si>
    <t>Loan Term Monthly Period Counter</t>
  </si>
  <si>
    <t>First Loan Term Period Flag</t>
  </si>
  <si>
    <t>Last Loan Term Period Flag</t>
  </si>
  <si>
    <t>First Forecast Interest Payment flag</t>
  </si>
  <si>
    <t>First Intr. Pay</t>
  </si>
  <si>
    <t>Interest Calc Period flag</t>
  </si>
  <si>
    <t xml:space="preserve">Monthly Period Counter since first interest payment </t>
  </si>
  <si>
    <t>Interest Compound Flag</t>
  </si>
  <si>
    <t>Months per period</t>
  </si>
  <si>
    <t>Interest Compound Period Counter</t>
  </si>
  <si>
    <t>Interest Payment Flag</t>
  </si>
  <si>
    <t>Breach of Cash Position Covenant Flag</t>
  </si>
  <si>
    <t>Breach of DSCR Covenant Flag</t>
  </si>
  <si>
    <t>Loan Covenant Breach Date - Input</t>
  </si>
  <si>
    <t>Loan Covenant Breach Flag</t>
  </si>
  <si>
    <t>Parameters</t>
  </si>
  <si>
    <t xml:space="preserve">General </t>
  </si>
  <si>
    <t>Model calculation method:</t>
  </si>
  <si>
    <t>Automated</t>
  </si>
  <si>
    <t>Maximum number of months of actual data:</t>
  </si>
  <si>
    <t>First and Last month in the financial year</t>
  </si>
  <si>
    <t>Month no</t>
  </si>
  <si>
    <t>First Month (August)</t>
  </si>
  <si>
    <t>Last Month (July)</t>
  </si>
  <si>
    <t>Annual vs Monthly I&amp;E Selection Dropdown</t>
  </si>
  <si>
    <t>Monthly</t>
  </si>
  <si>
    <t>Annual</t>
  </si>
  <si>
    <t>Yes/No</t>
  </si>
  <si>
    <t>Days Parameters</t>
  </si>
  <si>
    <t>Days per year</t>
  </si>
  <si>
    <t>Days per month</t>
  </si>
  <si>
    <t>BS check threshold (£000's)</t>
  </si>
  <si>
    <t>Error rounding</t>
  </si>
  <si>
    <t>Non-Current Asset Type for Capex</t>
  </si>
  <si>
    <t>Non-Current Asset Type</t>
  </si>
  <si>
    <t>Funding Source</t>
  </si>
  <si>
    <t>DfE/ESFA</t>
  </si>
  <si>
    <t>OfS</t>
  </si>
  <si>
    <t>LEP</t>
  </si>
  <si>
    <t>Donation of FA</t>
  </si>
  <si>
    <t>Finance Lease</t>
  </si>
  <si>
    <t>Self-funded</t>
  </si>
  <si>
    <t>Reserve Accounts</t>
  </si>
  <si>
    <t>Loan Parameters</t>
  </si>
  <si>
    <t>Loan Types</t>
  </si>
  <si>
    <t>Loan Categories</t>
  </si>
  <si>
    <t>DfE/ESFA Insolvency Loans</t>
  </si>
  <si>
    <t>DfE/ESFA RF/EFS loans</t>
  </si>
  <si>
    <t>DfE/ESFA Reclassification refinancing</t>
  </si>
  <si>
    <t>DfE/ESFA Capital loans</t>
  </si>
  <si>
    <t>Commercial - Banks</t>
  </si>
  <si>
    <t>Commercial - SALIX</t>
  </si>
  <si>
    <t>Commercial - CBILS</t>
  </si>
  <si>
    <t>Commercial - other</t>
  </si>
  <si>
    <t>Loan Interest Compounding Frequency</t>
  </si>
  <si>
    <t>Periods p.a.</t>
  </si>
  <si>
    <t>Daily</t>
  </si>
  <si>
    <t>Quarterly</t>
  </si>
  <si>
    <t>Bi-Annually</t>
  </si>
  <si>
    <t>Annually</t>
  </si>
  <si>
    <t>Loan Interest Payment Frequency</t>
  </si>
  <si>
    <t>Financial Health Parameters - Existing System</t>
  </si>
  <si>
    <t>Inadequate</t>
  </si>
  <si>
    <t>Requires Improvement</t>
  </si>
  <si>
    <t>Good</t>
  </si>
  <si>
    <t>Outstanding</t>
  </si>
  <si>
    <t>FEC Benchmarks</t>
  </si>
  <si>
    <t>Definition</t>
  </si>
  <si>
    <t>Measure</t>
  </si>
  <si>
    <t xml:space="preserve">Min </t>
  </si>
  <si>
    <t>Min 2</t>
  </si>
  <si>
    <t>Adjusted Operating Surplus/Deficit (as a % of income)</t>
  </si>
  <si>
    <t>Surplus/(deficit) on continuing operations after depreciation and before exceptional items, tax, pension finance income and FRS 102 adjustments, divided by adjusted income</t>
  </si>
  <si>
    <t>Net cashflow from operating activities divided by the total of interest paid, interest element of finance leases, repayment of amount borrowed and capital element of finance leases</t>
  </si>
  <si>
    <t>Cash Days in Hand</t>
  </si>
  <si>
    <t>Cash and investments divided by annual operating costs and interest charges, then multiplied by 365 days.
Effectively a measure of how many days it would take to exhaust cash reserves if all income were to stop.</t>
  </si>
  <si>
    <t>Adjusted Current Ratio</t>
  </si>
  <si>
    <t xml:space="preserve">Current assets (excluding restricted cash from disposal of fixed assets held for future reinvestment and assets held for resale) divided by current liabilities (excluding deferred capital grants and holiday pay accruals) </t>
  </si>
  <si>
    <t>Pay costs (as a % of income)</t>
  </si>
  <si>
    <t xml:space="preserve">Total staff costs (teaching and support, including contract tuition services but excluding restructuring and FRS102 pensions adjustments) as a percentage of adjusted income (excluding franchised provision income) </t>
  </si>
  <si>
    <t>Financial grade as defined by DfE (to note this is currently subject to review)</t>
  </si>
  <si>
    <t>Lookup</t>
  </si>
  <si>
    <t>Rule</t>
  </si>
  <si>
    <t>&lt; 0.5</t>
  </si>
  <si>
    <t>&gt;/= 0.5</t>
  </si>
  <si>
    <t>&gt;/= 0.6</t>
  </si>
  <si>
    <t>&gt;/= 0.7</t>
  </si>
  <si>
    <t>&gt;/= 0.8</t>
  </si>
  <si>
    <t>&gt;/= 1.0</t>
  </si>
  <si>
    <t>&gt;/= 1.2</t>
  </si>
  <si>
    <t>&gt;/= 1.4</t>
  </si>
  <si>
    <t>&gt;/= 1.6</t>
  </si>
  <si>
    <t>&gt;/= 1.8</t>
  </si>
  <si>
    <t>&gt;/= 2.0</t>
  </si>
  <si>
    <t xml:space="preserve">Sector EBITDA as % Income </t>
  </si>
  <si>
    <t>&gt;/= 1%</t>
  </si>
  <si>
    <t>&gt;/= 2%</t>
  </si>
  <si>
    <t>&gt;/= 3%</t>
  </si>
  <si>
    <t>&gt;/= 4%</t>
  </si>
  <si>
    <t>&gt;/= 5%</t>
  </si>
  <si>
    <t>&gt;/= 6%</t>
  </si>
  <si>
    <t>&gt;/= 7%</t>
  </si>
  <si>
    <t>&gt;/= 8%</t>
  </si>
  <si>
    <t>&gt;/= 9%</t>
  </si>
  <si>
    <t>&gt;/= 10%</t>
  </si>
  <si>
    <t>Borrowing as a % of Income</t>
  </si>
  <si>
    <t>0</t>
  </si>
  <si>
    <t>&gt;60%</t>
  </si>
  <si>
    <t>Financial Health Parameters - Proposed System</t>
  </si>
  <si>
    <t>&lt;0.6</t>
  </si>
  <si>
    <t>&gt;=0.9</t>
  </si>
  <si>
    <t>&gt;= 2.0</t>
  </si>
  <si>
    <t>Debt Service Cover</t>
  </si>
  <si>
    <t>&lt;0.8</t>
  </si>
  <si>
    <t>&gt;=1.25</t>
  </si>
  <si>
    <t>&gt;=1.5</t>
  </si>
  <si>
    <t>&gt;=1.75</t>
  </si>
  <si>
    <t>&gt;=2.25</t>
  </si>
  <si>
    <t>&gt;=2.5</t>
  </si>
  <si>
    <t>&gt;=2.75</t>
  </si>
  <si>
    <t>Cash Generation from Operations</t>
  </si>
  <si>
    <t>&lt;0.5%</t>
  </si>
  <si>
    <t>&gt;=0.5%</t>
  </si>
  <si>
    <t>&gt;=1.5%</t>
  </si>
  <si>
    <t>&gt;=2.5%</t>
  </si>
  <si>
    <t>&gt;=3.5%</t>
  </si>
  <si>
    <t>&gt;=4.5%</t>
  </si>
  <si>
    <t>List of Colleges</t>
  </si>
  <si>
    <t>COLLEGE TYPE</t>
  </si>
  <si>
    <t>COLLEGE CODE</t>
  </si>
  <si>
    <t>COLLEGE UPIN</t>
  </si>
  <si>
    <t>COLLEGE UKPRN</t>
  </si>
  <si>
    <t>ABINGDON AND WITNEY COLLEGE</t>
  </si>
  <si>
    <t>GFEC</t>
  </si>
  <si>
    <t>ABING</t>
  </si>
  <si>
    <t>ACTIVATE LEARNING</t>
  </si>
  <si>
    <t>OXFFE</t>
  </si>
  <si>
    <t>ADA NATIONAL COLLEGE FOR DIGITAL SKILLS</t>
  </si>
  <si>
    <t>NCDSK</t>
  </si>
  <si>
    <t>AQUINAS COLLEGE</t>
  </si>
  <si>
    <t>SFC</t>
  </si>
  <si>
    <t>AQUIN</t>
  </si>
  <si>
    <t>ASKHAM BRYAN COLLEGE</t>
  </si>
  <si>
    <t>A&amp;HC</t>
  </si>
  <si>
    <t>ASKBR</t>
  </si>
  <si>
    <t>BUCKINGHAMSHIRE COLLEGE GROUP</t>
  </si>
  <si>
    <t>AYLES</t>
  </si>
  <si>
    <t>BARKING AND DAGENHAM COLLEGE</t>
  </si>
  <si>
    <t>BARKG</t>
  </si>
  <si>
    <t>BARNET &amp; SOUTHGATE COLLEGE</t>
  </si>
  <si>
    <t>BARNT</t>
  </si>
  <si>
    <t>BARNSLEY COLLEGE</t>
  </si>
  <si>
    <t>TC</t>
  </si>
  <si>
    <t>BNSLY</t>
  </si>
  <si>
    <t>BARTON PEVERIL SIXTH FORM COLLEGE</t>
  </si>
  <si>
    <t>BARPE</t>
  </si>
  <si>
    <t>BASINGSTOKE COLLEGE OF TECHNOLOGY</t>
  </si>
  <si>
    <t>BASNG</t>
  </si>
  <si>
    <t>BATH COLLEGE</t>
  </si>
  <si>
    <t>CYBAT</t>
  </si>
  <si>
    <t>BEDFORD COLLEGE</t>
  </si>
  <si>
    <t>BEDFD</t>
  </si>
  <si>
    <t>BEXHILL COLLEGE</t>
  </si>
  <si>
    <t>BEXHL</t>
  </si>
  <si>
    <t>BIRMINGHAM METROPOLITAN COLLEGE</t>
  </si>
  <si>
    <t>SUTTN</t>
  </si>
  <si>
    <t>BISHOP AUCKLAND COLLEGE</t>
  </si>
  <si>
    <t>BSHAU</t>
  </si>
  <si>
    <t>BISHOP BURTON COLLEGE</t>
  </si>
  <si>
    <t>BISBU</t>
  </si>
  <si>
    <t>BLACKBURN COLLEGE</t>
  </si>
  <si>
    <t>BBURN</t>
  </si>
  <si>
    <t>BLACKPOOL AND THE FYLDE COLLEGE</t>
  </si>
  <si>
    <t>BFYLD</t>
  </si>
  <si>
    <t>BOLTON COLLEGE</t>
  </si>
  <si>
    <t>DC</t>
  </si>
  <si>
    <t>BOLCL</t>
  </si>
  <si>
    <t>BOLTON SIXTH FORM COLLEGE</t>
  </si>
  <si>
    <t>BLNSF</t>
  </si>
  <si>
    <t>BOSTON COLLEGE</t>
  </si>
  <si>
    <t>BOSTO</t>
  </si>
  <si>
    <t>BOURNEMOUTH AND POOLE COLLEGE, THE</t>
  </si>
  <si>
    <t>BPCFE</t>
  </si>
  <si>
    <t>BRADFORD COLLEGE</t>
  </si>
  <si>
    <t>BRILK</t>
  </si>
  <si>
    <t>UNIVERSITY CENTRE SOMERSET COLLEGE GROUP</t>
  </si>
  <si>
    <t>BRIDG</t>
  </si>
  <si>
    <t>BRIGHTON HOVE AND SUSSEX SIXTH FORM COLLEGE</t>
  </si>
  <si>
    <t>BRIHO</t>
  </si>
  <si>
    <t>BROCKENHURST COLLEGE</t>
  </si>
  <si>
    <t>BROCK</t>
  </si>
  <si>
    <t>BROOKLANDS COLLEGE</t>
  </si>
  <si>
    <t>BRKLD</t>
  </si>
  <si>
    <t>BURNLEY COLLEGE</t>
  </si>
  <si>
    <t>BRNLY</t>
  </si>
  <si>
    <t>BURTON AND SOUTH DERBYSHIRE COLLEGE</t>
  </si>
  <si>
    <t>BURTN</t>
  </si>
  <si>
    <t>BURY COLLEGE</t>
  </si>
  <si>
    <t>BURYC</t>
  </si>
  <si>
    <t>CALDERDALE COLLEGE</t>
  </si>
  <si>
    <t>CALDE</t>
  </si>
  <si>
    <t>CAMBRIDGE REGIONAL COLLEGE</t>
  </si>
  <si>
    <t>CAMRE</t>
  </si>
  <si>
    <t>CAPEL MANOR COLLEGE</t>
  </si>
  <si>
    <t>CAPEL</t>
  </si>
  <si>
    <t>CAPITAL CITY COLLEGE GROUP</t>
  </si>
  <si>
    <t>WMINS</t>
  </si>
  <si>
    <t>CARDINAL NEWMAN COLLEGE</t>
  </si>
  <si>
    <t>CARNE</t>
  </si>
  <si>
    <t>CARMEL COLLEGE</t>
  </si>
  <si>
    <t>CARML</t>
  </si>
  <si>
    <t>CHELMSFORD COLLEGE</t>
  </si>
  <si>
    <t>CHELM</t>
  </si>
  <si>
    <t>CHESHIRE COLLEGE SOUTH AND WEST</t>
  </si>
  <si>
    <t>SOCHE</t>
  </si>
  <si>
    <t>CHESTERFIELD COLLEGE</t>
  </si>
  <si>
    <t>CHSTF</t>
  </si>
  <si>
    <t>CHICHESTER COLLEGE GROUP</t>
  </si>
  <si>
    <t>CHICH</t>
  </si>
  <si>
    <t>CHRIST THE KING SIXTH FORM COLLEGE</t>
  </si>
  <si>
    <t>CHKIN</t>
  </si>
  <si>
    <t>CIRENCESTER COLLEGE</t>
  </si>
  <si>
    <t>CIREN</t>
  </si>
  <si>
    <t>CITY COLLEGE NORWICH</t>
  </si>
  <si>
    <t>NRWCH</t>
  </si>
  <si>
    <t>CITY COLLEGE PLYMOUTH</t>
  </si>
  <si>
    <t>PLYFE</t>
  </si>
  <si>
    <t>CITY OF BRISTOL COLLEGE</t>
  </si>
  <si>
    <t>CTBRI</t>
  </si>
  <si>
    <t>CITY OF PORTSMOUTH COLLEGE</t>
  </si>
  <si>
    <t>HIGHB</t>
  </si>
  <si>
    <t>CITY OF SUNDERLAND COLLEGE</t>
  </si>
  <si>
    <t>CTSUN</t>
  </si>
  <si>
    <t>CITY OF WOLVERHAMPTON COLLEGE</t>
  </si>
  <si>
    <t>WOLVE</t>
  </si>
  <si>
    <t>COLCHESTER INSTITUTE</t>
  </si>
  <si>
    <t>CLHIN</t>
  </si>
  <si>
    <t>CORNWALL COLLEGE</t>
  </si>
  <si>
    <t>CORNL</t>
  </si>
  <si>
    <t>COVENTRY COLLEGE</t>
  </si>
  <si>
    <t>HENCO</t>
  </si>
  <si>
    <t>CRAVEN COLLEGE</t>
  </si>
  <si>
    <t>CRAVN</t>
  </si>
  <si>
    <t>CROYDON COLLEGE</t>
  </si>
  <si>
    <t>CROYD</t>
  </si>
  <si>
    <t>DARLINGTON COLLEGE</t>
  </si>
  <si>
    <t>DARLN</t>
  </si>
  <si>
    <t>DCG</t>
  </si>
  <si>
    <t>DERBY</t>
  </si>
  <si>
    <t>DERWENTSIDE COLLEGE</t>
  </si>
  <si>
    <t>DERWE</t>
  </si>
  <si>
    <t>DN COLLEGES GROUP</t>
  </si>
  <si>
    <t>NTLND</t>
  </si>
  <si>
    <t>DUDLEY COLLEGE OF TECHNOLOGY</t>
  </si>
  <si>
    <t>DUDLY</t>
  </si>
  <si>
    <t>EALING, HAMMERSMITH &amp; WEST LONDON COLLEGE</t>
  </si>
  <si>
    <t>HAMWL</t>
  </si>
  <si>
    <t>EAST COAST COLLEGE</t>
  </si>
  <si>
    <t>LWSFT</t>
  </si>
  <si>
    <t>EAST DURHAM COLLEGE</t>
  </si>
  <si>
    <t>EDHCC</t>
  </si>
  <si>
    <t>EAST SURREY COLLEGE</t>
  </si>
  <si>
    <t>ESURR</t>
  </si>
  <si>
    <t>EAST SUSSEX COLLEGE GROUP</t>
  </si>
  <si>
    <t>HASTG</t>
  </si>
  <si>
    <t>EKC GROUP</t>
  </si>
  <si>
    <t>THANT</t>
  </si>
  <si>
    <t>EXETER AND NORTH DEVON COLLEGES GROUP</t>
  </si>
  <si>
    <t>EXETE</t>
  </si>
  <si>
    <t>FARNBOROUGH COLLEGE OF TECHNOLOGY</t>
  </si>
  <si>
    <t>FCOTF</t>
  </si>
  <si>
    <t>FIRCROFT COLLEGE OF ADULT EDUCATION</t>
  </si>
  <si>
    <t>FIRCR</t>
  </si>
  <si>
    <t>FURNESS COLLEGE</t>
  </si>
  <si>
    <t>FURNE</t>
  </si>
  <si>
    <t>GATESHEAD COLLEGE</t>
  </si>
  <si>
    <t>GATHD</t>
  </si>
  <si>
    <t>GLOUCESTERSHIRE COLLEGE</t>
  </si>
  <si>
    <t>GLOUC</t>
  </si>
  <si>
    <t>GRANTHAM COLLEGE</t>
  </si>
  <si>
    <t>GRANT</t>
  </si>
  <si>
    <t>GREENHEAD COLLEGE</t>
  </si>
  <si>
    <t>GRHED</t>
  </si>
  <si>
    <t>HALESOWEN COLLEGE</t>
  </si>
  <si>
    <t>HALES</t>
  </si>
  <si>
    <t>HARLOW COLLEGE</t>
  </si>
  <si>
    <t>HRLOW</t>
  </si>
  <si>
    <t>HARTLEPOOL COLLEGE OF FURTHER EDUCATION</t>
  </si>
  <si>
    <t>HPLFE</t>
  </si>
  <si>
    <t>HARTPURY COLLEGE OF FURTHER EDUCATION</t>
  </si>
  <si>
    <t>HRTPY</t>
  </si>
  <si>
    <t>HAVANT AND SOUTH DOWNS COLLEGE</t>
  </si>
  <si>
    <t>SDOWN</t>
  </si>
  <si>
    <t>HEART OF WORCESTERSHIRE COLLEGE</t>
  </si>
  <si>
    <t>WRCTE</t>
  </si>
  <si>
    <t>HEART OF YORKSHIRE EDUCATION GROUP</t>
  </si>
  <si>
    <t>WAKEF</t>
  </si>
  <si>
    <t>HEREFORD COLLEGE OF ARTS</t>
  </si>
  <si>
    <t>AD&amp;PA</t>
  </si>
  <si>
    <t>HFDAD</t>
  </si>
  <si>
    <t>HEREFORDSHIRE, LUDLOW, AND NORTH SHROPSHIRE COLLEGE</t>
  </si>
  <si>
    <t>HERTE</t>
  </si>
  <si>
    <t>HEREWARD COLLEGE OF FURTHER EDUCATION</t>
  </si>
  <si>
    <t>HEREW</t>
  </si>
  <si>
    <t>HERTFORD REGIONAL COLLEGE</t>
  </si>
  <si>
    <t>HTREG</t>
  </si>
  <si>
    <t>HOLY CROSS COLLEGE</t>
  </si>
  <si>
    <t>HOLYC</t>
  </si>
  <si>
    <t>HOPWOOD HALL COLLEGE</t>
  </si>
  <si>
    <t>HOPWD</t>
  </si>
  <si>
    <t>HRUC (HARROW, RICHMOND AND UXBRIDGE COLLEGES).</t>
  </si>
  <si>
    <t>UXBRI</t>
  </si>
  <si>
    <t>HUDDERSFIELD NEW COLLEGE</t>
  </si>
  <si>
    <t>HUNEW</t>
  </si>
  <si>
    <t>HUGH BAIRD COLLEGE</t>
  </si>
  <si>
    <t>HBAIR</t>
  </si>
  <si>
    <t>HULL COLLEGE</t>
  </si>
  <si>
    <t>HULLC</t>
  </si>
  <si>
    <t>INSPIRE EDUCATION GROUP</t>
  </si>
  <si>
    <t>PBORO</t>
  </si>
  <si>
    <t>ISLE OF WIGHT COLLEGE</t>
  </si>
  <si>
    <t>ISLWT</t>
  </si>
  <si>
    <t>ITCHEN COLLEGE</t>
  </si>
  <si>
    <t>ITCHE</t>
  </si>
  <si>
    <t>JOHN LEGGOTT SIXTH FORM COLLEGE</t>
  </si>
  <si>
    <t>JLEGG</t>
  </si>
  <si>
    <t>JOSEPH CHAMBERLAIN SIXTH FORM COLLEGE</t>
  </si>
  <si>
    <t>JCHAM</t>
  </si>
  <si>
    <t>KENDAL COLLEGE</t>
  </si>
  <si>
    <t>KENDA</t>
  </si>
  <si>
    <t>KIRKLEES COLLEGE</t>
  </si>
  <si>
    <t>HUDTE</t>
  </si>
  <si>
    <t>LAKES COLLEGE WEST CUMBRIA</t>
  </si>
  <si>
    <t>WCUMB</t>
  </si>
  <si>
    <t>LANCASTER AND MORECAMBE COLLEGE</t>
  </si>
  <si>
    <t>LANMO</t>
  </si>
  <si>
    <t>LEEDS COLLEGE OF BUILDING</t>
  </si>
  <si>
    <t>LEEBU</t>
  </si>
  <si>
    <t>LEICESTER COLLEGE</t>
  </si>
  <si>
    <t>LCSTR</t>
  </si>
  <si>
    <t>LEYTON SIXTH FORM COLLEGE</t>
  </si>
  <si>
    <t>LEYTN</t>
  </si>
  <si>
    <t>LINCOLN COLLEGE</t>
  </si>
  <si>
    <t>NLINC</t>
  </si>
  <si>
    <t>LONDON SOUTH EAST COLLEGES</t>
  </si>
  <si>
    <t>BROML</t>
  </si>
  <si>
    <t>LORETO COLLEGE</t>
  </si>
  <si>
    <t>LORET</t>
  </si>
  <si>
    <t>LOUGHBOROUGH COLLEGE</t>
  </si>
  <si>
    <t>LOUFE</t>
  </si>
  <si>
    <t>LTE GROUP</t>
  </si>
  <si>
    <t>CYCOL</t>
  </si>
  <si>
    <t>LUMINATE EDUCATION GROUP</t>
  </si>
  <si>
    <t>LEETE</t>
  </si>
  <si>
    <t>LUTON SIXTH FORM COLLEGE</t>
  </si>
  <si>
    <t>LTNSF</t>
  </si>
  <si>
    <t>MACCLESFIELD COLLEGE</t>
  </si>
  <si>
    <t>MACCL</t>
  </si>
  <si>
    <t>MARY WARD SETTLEMENT</t>
  </si>
  <si>
    <t>MWARD</t>
  </si>
  <si>
    <t>MIDDLESBROUGH COLLEGE</t>
  </si>
  <si>
    <t>MIBRO</t>
  </si>
  <si>
    <t>MID-KENT COLLEGE</t>
  </si>
  <si>
    <t>MKENT</t>
  </si>
  <si>
    <t>MILTON KEYNES COLLEGE</t>
  </si>
  <si>
    <t>MILTN</t>
  </si>
  <si>
    <t>MORLEY COLLEGE LIMITED</t>
  </si>
  <si>
    <t>MORLE</t>
  </si>
  <si>
    <t>MOULTON COLLEGE</t>
  </si>
  <si>
    <t>MOULT</t>
  </si>
  <si>
    <t>MYERSCOUGH COLLEGE</t>
  </si>
  <si>
    <t>MYERS</t>
  </si>
  <si>
    <t>NCG</t>
  </si>
  <si>
    <t>NWCAS</t>
  </si>
  <si>
    <t>EAST LANCASHIRE LEARNING GROUP</t>
  </si>
  <si>
    <t>NELCO</t>
  </si>
  <si>
    <t>NEW CITY COLLEGE</t>
  </si>
  <si>
    <t>TOWHA</t>
  </si>
  <si>
    <t>NEW COLLEGE DURHAM</t>
  </si>
  <si>
    <t>NWDUR</t>
  </si>
  <si>
    <t>NEW COLLEGE SWINDON</t>
  </si>
  <si>
    <t>NWSWI</t>
  </si>
  <si>
    <t>NEWBURY COLLEGE</t>
  </si>
  <si>
    <t>NWBRY</t>
  </si>
  <si>
    <t>NEWCASTLE AND STAFFORD COLLEGES GROUP</t>
  </si>
  <si>
    <t>NELYM</t>
  </si>
  <si>
    <t>NEWHAM COLLEGE OF FURTHER EDUCATION</t>
  </si>
  <si>
    <t>NEWFE</t>
  </si>
  <si>
    <t>NORTH EAST SURREY COLLEGE OF TECHNOLOGY (NESCOT)</t>
  </si>
  <si>
    <t>NESUR</t>
  </si>
  <si>
    <t>NORTH HERTFORDSHIRE COLLEGE</t>
  </si>
  <si>
    <t>NHERT</t>
  </si>
  <si>
    <t>NORTH KENT COLLEGE</t>
  </si>
  <si>
    <t>NWKEN</t>
  </si>
  <si>
    <t>NORTH WARWICKSHIRE AND SOUTH LEICESTERSHIRE COLLEGE</t>
  </si>
  <si>
    <t>NTWAR</t>
  </si>
  <si>
    <t>NORTHAMPTON COLLEGE</t>
  </si>
  <si>
    <t>NAMPT</t>
  </si>
  <si>
    <t>NORTHERN COLLEGE FOR RESIDENTIAL ADULT EDUCATION LIMITED(THE)</t>
  </si>
  <si>
    <t>NCRES</t>
  </si>
  <si>
    <t>NOTRE DAME CATHOLIC SIXTH FORM COLLEGE</t>
  </si>
  <si>
    <t>NOTRE</t>
  </si>
  <si>
    <t>NOTTINGHAM COLLEGE</t>
  </si>
  <si>
    <t>CLARN</t>
  </si>
  <si>
    <t>OAKLANDS COLLEGE</t>
  </si>
  <si>
    <t>OAKLA</t>
  </si>
  <si>
    <t>PETER SYMONDS COLLEGE</t>
  </si>
  <si>
    <t>PSYMO</t>
  </si>
  <si>
    <t>PETROC</t>
  </si>
  <si>
    <t>NTDEV</t>
  </si>
  <si>
    <t>PLUMPTON COLLEGE</t>
  </si>
  <si>
    <t>PLMTN</t>
  </si>
  <si>
    <t>PRESTON COLLEGE</t>
  </si>
  <si>
    <t>PREST</t>
  </si>
  <si>
    <t>REASEHEATH COLLEGE</t>
  </si>
  <si>
    <t>REASE</t>
  </si>
  <si>
    <t>RICHMOND AND HILLCROFT ADULT AND COMMUNITY COLLEGE</t>
  </si>
  <si>
    <t>HILCT</t>
  </si>
  <si>
    <t>RIVERSIDE COLLEGE</t>
  </si>
  <si>
    <t>HALTN</t>
  </si>
  <si>
    <t>RNN GROUP</t>
  </si>
  <si>
    <t>ROHAM</t>
  </si>
  <si>
    <t>RUNSHAW COLLEGE</t>
  </si>
  <si>
    <t>RUNSH</t>
  </si>
  <si>
    <t>RUSKIN COLLEGE</t>
  </si>
  <si>
    <t>RUSKN</t>
  </si>
  <si>
    <t>SALFORD CITY COLLEGE</t>
  </si>
  <si>
    <t>SALFD</t>
  </si>
  <si>
    <t>SANDWELL COLLEGE</t>
  </si>
  <si>
    <t>SANDW</t>
  </si>
  <si>
    <t>SCARBOROUGH SIXTH FORM COLLEGE</t>
  </si>
  <si>
    <t>SCARB</t>
  </si>
  <si>
    <t>SHEFFIELD COLLEGE, THE</t>
  </si>
  <si>
    <t>SHFCL</t>
  </si>
  <si>
    <t>SHIPLEY COLLEGE</t>
  </si>
  <si>
    <t>SHIPL</t>
  </si>
  <si>
    <t>SHREWSBURY COLLEGE</t>
  </si>
  <si>
    <t>SHWSF</t>
  </si>
  <si>
    <t>SIR GEORGE MONOUX COLLEGE</t>
  </si>
  <si>
    <t>SRGEO</t>
  </si>
  <si>
    <t>SOLIHULL COLLEGE AND UNIVERSITY CENTRE</t>
  </si>
  <si>
    <t>SOLFE</t>
  </si>
  <si>
    <t>SOUTH &amp; CITY COLLEGE BIRMINGHAM</t>
  </si>
  <si>
    <t>SOBIR</t>
  </si>
  <si>
    <t>SOUTH BANK COLLEGES</t>
  </si>
  <si>
    <t>LAMBE</t>
  </si>
  <si>
    <t>SOUTH DEVON COLLEGE</t>
  </si>
  <si>
    <t>SODEV</t>
  </si>
  <si>
    <t>SOUTH ESSEX COLLEGE OF FURTHER AND HIGHER EDUCATION</t>
  </si>
  <si>
    <t>SEEAT</t>
  </si>
  <si>
    <t>SOUTH GLOUCESTERSHIRE AND STROUD COLLEGE</t>
  </si>
  <si>
    <t>STROU</t>
  </si>
  <si>
    <t>SOUTH HAMPSHIRE COLLEGE GROUP</t>
  </si>
  <si>
    <t>FAREH</t>
  </si>
  <si>
    <t>SOUTH STAFFORDSHIRE COLLEGE</t>
  </si>
  <si>
    <t>TAMWO</t>
  </si>
  <si>
    <t>SOUTH THAMES COLLEGES GROUP</t>
  </si>
  <si>
    <t>KGSTN</t>
  </si>
  <si>
    <t>SOUTHPORT EDUCATION GROUP</t>
  </si>
  <si>
    <t>SPORT</t>
  </si>
  <si>
    <t>SPARSHOLT COLLEGE</t>
  </si>
  <si>
    <t>SPARS</t>
  </si>
  <si>
    <t>ST BRENDAN'S SIXTH FORM COLLEGE</t>
  </si>
  <si>
    <t>STBRN</t>
  </si>
  <si>
    <t>ST CHARLES CATHOLIC SIXTH FORM COLLEGE</t>
  </si>
  <si>
    <t>STCHA</t>
  </si>
  <si>
    <t>ST DOMINIC'S SIXTH FORM COLLEGE</t>
  </si>
  <si>
    <t>STDOM</t>
  </si>
  <si>
    <t>ST FRANCIS XAVIER SIXTH FORM COLLEGE</t>
  </si>
  <si>
    <t>SFXVA</t>
  </si>
  <si>
    <t>ST HELENS COLLEGE</t>
  </si>
  <si>
    <t>STHEL</t>
  </si>
  <si>
    <t>ST JOHN RIGBY RC SIXTH FORM COLLEGE</t>
  </si>
  <si>
    <t>STJOH</t>
  </si>
  <si>
    <t>STANMORE COLLEGE</t>
  </si>
  <si>
    <t>STANM</t>
  </si>
  <si>
    <t>STOKE ON TRENT COLLEGE</t>
  </si>
  <si>
    <t>STOKE</t>
  </si>
  <si>
    <t>SUFFOLK NEW COLLEGE</t>
  </si>
  <si>
    <t>SUFFO</t>
  </si>
  <si>
    <t>TAMESIDE COLLEGE</t>
  </si>
  <si>
    <t>TAMES</t>
  </si>
  <si>
    <t>TEC PARTNERSHIP</t>
  </si>
  <si>
    <t>GRMBY</t>
  </si>
  <si>
    <t>TELFORD COLLEGE</t>
  </si>
  <si>
    <t>TELFD</t>
  </si>
  <si>
    <t>THE CITY LITERARY INSTITUTE</t>
  </si>
  <si>
    <t>CTLIT</t>
  </si>
  <si>
    <t>THE CITY OF LIVERPOOL COLLEGE</t>
  </si>
  <si>
    <t>CYLVP</t>
  </si>
  <si>
    <t>THE COLLEGE OF WEST ANGLIA</t>
  </si>
  <si>
    <t>NKCOL</t>
  </si>
  <si>
    <t>THE EDUCATION TRAINING COLLECTIVE</t>
  </si>
  <si>
    <t>STOBI</t>
  </si>
  <si>
    <t>THE HENLEY COLLEGE</t>
  </si>
  <si>
    <t>HENHE</t>
  </si>
  <si>
    <t>THE NORTHERN SCHOOL OF ART</t>
  </si>
  <si>
    <t>CLVAD</t>
  </si>
  <si>
    <t>THE OLDHAM COLLEGE</t>
  </si>
  <si>
    <t>OLDFE</t>
  </si>
  <si>
    <t>THE TRAFFORD AND STOCKPORT COLLEGE GROUP</t>
  </si>
  <si>
    <t>SOTRF</t>
  </si>
  <si>
    <t>THE WINDSOR FOREST COLLEGES GROUP</t>
  </si>
  <si>
    <t>EBERK</t>
  </si>
  <si>
    <t>TRURO AND PENWITH COLLEGE</t>
  </si>
  <si>
    <t>TRURO</t>
  </si>
  <si>
    <t>TYNE COAST COLLEGE</t>
  </si>
  <si>
    <t>STTYN</t>
  </si>
  <si>
    <t>UNIFIED SEEVIC PALMER'S COLLEGE</t>
  </si>
  <si>
    <t>SEESF</t>
  </si>
  <si>
    <t>UNITED COLLEGES GROUP</t>
  </si>
  <si>
    <t>CYWST</t>
  </si>
  <si>
    <t>VARNDEAN COLLEGE</t>
  </si>
  <si>
    <t>VARND</t>
  </si>
  <si>
    <t>WALSALL COLLEGE</t>
  </si>
  <si>
    <t>WACAT</t>
  </si>
  <si>
    <t>WALTHAM FOREST COLLEGE</t>
  </si>
  <si>
    <t>WALTH</t>
  </si>
  <si>
    <t>WARRINGTON &amp; VALE ROYAL COLLEGE</t>
  </si>
  <si>
    <t>WRGTN</t>
  </si>
  <si>
    <t>WARWICKSHIRE COLLEGE</t>
  </si>
  <si>
    <t>MDWAR</t>
  </si>
  <si>
    <t>WEST HERTS COLLEGE</t>
  </si>
  <si>
    <t>WEHRT</t>
  </si>
  <si>
    <t>WEST NOTTINGHAMSHIRE COLLEGE</t>
  </si>
  <si>
    <t>WTNOT</t>
  </si>
  <si>
    <t>WEST SUFFOLK COLLEGE</t>
  </si>
  <si>
    <t>WSUFF</t>
  </si>
  <si>
    <t>WEST THAMES COLLEGE</t>
  </si>
  <si>
    <t>WSTTH</t>
  </si>
  <si>
    <t>WESTON COLLEGE OF FURTHER AND HIGHER EDUCATION</t>
  </si>
  <si>
    <t>WESTO</t>
  </si>
  <si>
    <t>WEYMOUTH AND KINGSTON MAURWARD COLLEGE</t>
  </si>
  <si>
    <t>WEYMO</t>
  </si>
  <si>
    <t>WIGAN AND LEIGH COLLEGE</t>
  </si>
  <si>
    <t>WIGAN</t>
  </si>
  <si>
    <t>WILBERFORCE COLLEGE</t>
  </si>
  <si>
    <t>WILBE</t>
  </si>
  <si>
    <t>WILTSHIRE COLLEGE AND UNIVERSITY CENTRE</t>
  </si>
  <si>
    <t>WILTS</t>
  </si>
  <si>
    <t>WINSTANLEY COLLEGE</t>
  </si>
  <si>
    <t>WNSTY</t>
  </si>
  <si>
    <t>WIRRAL METROPOLITAN COLLEGE</t>
  </si>
  <si>
    <t>WIRRA</t>
  </si>
  <si>
    <t>WORKERS' EDUCATIONAL ASSOCIATION</t>
  </si>
  <si>
    <t>WORKE</t>
  </si>
  <si>
    <t>WORKING MEN'S COLLEGE CORPORATION</t>
  </si>
  <si>
    <t>WRKNG</t>
  </si>
  <si>
    <t>WQE AND REGENT COLLEGE GROUP</t>
  </si>
  <si>
    <t>WYGQU</t>
  </si>
  <si>
    <t>WRITTLE COLLEGE LIMITED</t>
  </si>
  <si>
    <t>WRITT</t>
  </si>
  <si>
    <t>WYKE SIXTH FORM COLLEGE</t>
  </si>
  <si>
    <t>WYKES</t>
  </si>
  <si>
    <t>XAVERIAN COLLEGE</t>
  </si>
  <si>
    <t>XAVER</t>
  </si>
  <si>
    <t>YEOVIL COLLEGE</t>
  </si>
  <si>
    <t>YEOVI</t>
  </si>
  <si>
    <t>YORK COLLEGE</t>
  </si>
  <si>
    <t>YORFE</t>
  </si>
  <si>
    <t>Monitoring Guide</t>
  </si>
  <si>
    <t>Monitoring worksheets guidance</t>
  </si>
  <si>
    <t>The remaining Monitoring worksheets are usually completed when directly requested by the relevant DfE team.
For all other colleges completion of the Monitoring worksheets is not required, however, colleges may still optionally choose to complete the Monitoring worksheets</t>
  </si>
  <si>
    <t>What are the Monitoring worksheets?</t>
  </si>
  <si>
    <t>The Monitoring worksheets are the five remaining worksheets in this document, to the right of this worksheet.
- Direct CF
- Cash Profile
- I&amp;E Summary
- I&amp;E variances
- Cash summary</t>
  </si>
  <si>
    <t>Who completes the Monitoring worksheets?</t>
  </si>
  <si>
    <t>The Monitoring worksheets are commonly completed by colleges that have received restructuring funding or emergency funding.</t>
  </si>
  <si>
    <t>Should I complete the Monitoring worksheets?</t>
  </si>
  <si>
    <t>You do not need to complete the Monitoring worksheets unless you have been directly requested to do so by the relevant DfE Team.</t>
  </si>
  <si>
    <t>How do I complete the Monitoring worksheets?</t>
  </si>
  <si>
    <t>If you need to complete the Monitoring worksheets you should receive guidance directly from the relevant DfE Team.</t>
  </si>
  <si>
    <t>Can I optionally complete the Monitoring worksheets, even if I have not been requested to do so?</t>
  </si>
  <si>
    <t>Benefits of completing the Monitoring worksheets include:
- variance analysis between this return and previous returns
- comparison of direct and indirect cash flow
If you do not need to complete the Monitoring worksheets, however you would still like to do so, please contact the relevant DfE Team.</t>
  </si>
  <si>
    <t>Direct CF</t>
  </si>
  <si>
    <t>Forecast Start Date</t>
  </si>
  <si>
    <t>Operating Receipts (£'000)</t>
  </si>
  <si>
    <t xml:space="preserve">Core 14-16 funding (excl apprenticeships) </t>
  </si>
  <si>
    <t xml:space="preserve">Core 16-19 funding (excl apprenticeships) </t>
  </si>
  <si>
    <t xml:space="preserve">Core Non Apprenticeship Funding </t>
  </si>
  <si>
    <t xml:space="preserve">Core Apprenticeship funding </t>
  </si>
  <si>
    <t>Other 16-19/App/Non-App Income</t>
  </si>
  <si>
    <t xml:space="preserve">OfS grants </t>
  </si>
  <si>
    <t xml:space="preserve">Other funding body grants </t>
  </si>
  <si>
    <t xml:space="preserve">Advancer Learner Loans </t>
  </si>
  <si>
    <t xml:space="preserve">Higher education courses designated for HE Loans 
</t>
  </si>
  <si>
    <t xml:space="preserve">Other tuition fees and education contracts </t>
  </si>
  <si>
    <t xml:space="preserve">Other income generating activities </t>
  </si>
  <si>
    <t>Other  (insert description)</t>
  </si>
  <si>
    <t>Operating Payments (£'000)</t>
  </si>
  <si>
    <t>Staff costs (excl restructuring)</t>
  </si>
  <si>
    <t>Staff restructuring costs</t>
  </si>
  <si>
    <t xml:space="preserve">Reconciliation adjustment relating to prior year funding
</t>
  </si>
  <si>
    <t>Total other operating expenditure</t>
  </si>
  <si>
    <t>Other (ie VAT. insert description)</t>
  </si>
  <si>
    <t>Total Operating Receipts</t>
  </si>
  <si>
    <t>Total Operating Payments</t>
  </si>
  <si>
    <t>Operating Surplus / Deficit</t>
  </si>
  <si>
    <t>Investing Receipts (£'000)</t>
  </si>
  <si>
    <t>Capital grant receipts</t>
  </si>
  <si>
    <t>Land sale receipts</t>
  </si>
  <si>
    <t>Investing Payments (£'000)</t>
  </si>
  <si>
    <t>Land and buildings capex</t>
  </si>
  <si>
    <t>Total Investing Receipts</t>
  </si>
  <si>
    <t>Total Investing Payments</t>
  </si>
  <si>
    <t>Net investing receipts and payments</t>
  </si>
  <si>
    <t>Financing Receipts (£'000)</t>
  </si>
  <si>
    <t>Commercial borrowing</t>
  </si>
  <si>
    <t>Restructuring Facility / Emergency Funding</t>
  </si>
  <si>
    <t>Interest income</t>
  </si>
  <si>
    <t>Financing Payments (£'000)</t>
  </si>
  <si>
    <t>Commercial loan capital repayments</t>
  </si>
  <si>
    <t>Commercial interest payments</t>
  </si>
  <si>
    <t>DFE repayments (loan and/or grant)</t>
  </si>
  <si>
    <t>DFE interest payments</t>
  </si>
  <si>
    <t>Total Financing Receipts</t>
  </si>
  <si>
    <t>Total Financing Payments</t>
  </si>
  <si>
    <t>Net Cash flow</t>
  </si>
  <si>
    <t>Overdraft/RCF available</t>
  </si>
  <si>
    <t>Opening cash</t>
  </si>
  <si>
    <t>Closing cash</t>
  </si>
  <si>
    <t>End of month cash balance</t>
  </si>
  <si>
    <t>Indirect</t>
  </si>
  <si>
    <t>Direct</t>
  </si>
  <si>
    <t>Variance</t>
  </si>
  <si>
    <t>Capital receipts (asset sales)</t>
  </si>
  <si>
    <t>Capital expenditure</t>
  </si>
  <si>
    <t>Loan payments (capital and interest)</t>
  </si>
  <si>
    <t>Cash Profile</t>
  </si>
  <si>
    <t>Cash profile</t>
  </si>
  <si>
    <t>Profile Scenario A</t>
  </si>
  <si>
    <t xml:space="preserve"> CFFR Reforecast</t>
  </si>
  <si>
    <t xml:space="preserve"> Direct CF</t>
  </si>
  <si>
    <t>CFFR Reforecast variance to Direct CF</t>
  </si>
  <si>
    <t>Profile Scenario B</t>
  </si>
  <si>
    <t>Profile Scenario C</t>
  </si>
  <si>
    <t>Profile Scenario D</t>
  </si>
  <si>
    <t>Cash utilisation</t>
  </si>
  <si>
    <t>£'000</t>
  </si>
  <si>
    <t>Cash generation/EBITDA</t>
  </si>
  <si>
    <t>FA disposals/restricted cash release</t>
  </si>
  <si>
    <t>Capex (net of capital grants)</t>
  </si>
  <si>
    <t>Debt servicing</t>
  </si>
  <si>
    <t>Cash surplus/(deficit)</t>
  </si>
  <si>
    <t>check (should be nil)</t>
  </si>
  <si>
    <t>I&amp;E Summary</t>
  </si>
  <si>
    <t>Input scenario A</t>
  </si>
  <si>
    <t>Forecast begins</t>
  </si>
  <si>
    <t>Input scenario C</t>
  </si>
  <si>
    <t>Input scenario D</t>
  </si>
  <si>
    <t>FY20 Q3</t>
  </si>
  <si>
    <t>I&amp;E Scenario A</t>
  </si>
  <si>
    <t>I&amp;E Scenario B</t>
  </si>
  <si>
    <t>I&amp;E Scenario C</t>
  </si>
  <si>
    <t>I&amp;E Scenario D</t>
  </si>
  <si>
    <t>CFFR  inputs</t>
  </si>
  <si>
    <t>Actual</t>
  </si>
  <si>
    <t>Issues</t>
  </si>
  <si>
    <t>Income by activity</t>
  </si>
  <si>
    <t>14-19 Income</t>
  </si>
  <si>
    <t>1a</t>
  </si>
  <si>
    <t>1b, 1f-4</t>
  </si>
  <si>
    <t>AEB Income</t>
  </si>
  <si>
    <t>1c</t>
  </si>
  <si>
    <t>HE &amp; FE Income</t>
  </si>
  <si>
    <t>1d, 1f-1-3</t>
  </si>
  <si>
    <t>1e</t>
  </si>
  <si>
    <t>1f-5-10, 1g, 1h, 1j</t>
  </si>
  <si>
    <t>Of which is subcontracted:</t>
  </si>
  <si>
    <t xml:space="preserve">1a- 1SO, 2SO, 1b-SO, 1c-SO, 1d-SO, 1E-SO </t>
  </si>
  <si>
    <t>check</t>
  </si>
  <si>
    <t>Costs</t>
  </si>
  <si>
    <r>
      <t xml:space="preserve">Pay costs </t>
    </r>
    <r>
      <rPr>
        <sz val="8"/>
        <color theme="1"/>
        <rFont val="Calibri"/>
        <family val="2"/>
      </rPr>
      <t>(% of income)</t>
    </r>
  </si>
  <si>
    <t>2a, 4b (2a-9)</t>
  </si>
  <si>
    <t>2c</t>
  </si>
  <si>
    <t>Non-pay costs</t>
  </si>
  <si>
    <t>2b</t>
  </si>
  <si>
    <t>Of which relates to subcontracting:</t>
  </si>
  <si>
    <t>2b-8</t>
  </si>
  <si>
    <t xml:space="preserve">check </t>
  </si>
  <si>
    <t>Capital grants</t>
  </si>
  <si>
    <t>4a</t>
  </si>
  <si>
    <t>EF Grant</t>
  </si>
  <si>
    <t>li</t>
  </si>
  <si>
    <t>EBITDA (post EF)</t>
  </si>
  <si>
    <t>5a-1</t>
  </si>
  <si>
    <t>Interest</t>
  </si>
  <si>
    <t>5a-2,5a-3</t>
  </si>
  <si>
    <t>FY19</t>
  </si>
  <si>
    <t>Reforecast</t>
  </si>
  <si>
    <t>16-19</t>
  </si>
  <si>
    <t>AEB</t>
  </si>
  <si>
    <t>Apprenticeships</t>
  </si>
  <si>
    <t>HE &amp; FE income</t>
  </si>
  <si>
    <t>Pay costs</t>
  </si>
  <si>
    <t>EF grant</t>
  </si>
  <si>
    <t>Input scenario B</t>
  </si>
  <si>
    <t>I&amp;E variances</t>
  </si>
  <si>
    <t>Variances</t>
  </si>
  <si>
    <t>Reforecast (FY20.Q34</t>
  </si>
  <si>
    <t>Note</t>
  </si>
  <si>
    <t>CFFR  ref.</t>
  </si>
  <si>
    <t xml:space="preserve"> FY19 </t>
  </si>
  <si>
    <t xml:space="preserve">1f-5-10, 1g, 1h </t>
  </si>
  <si>
    <t>Restructuring costs</t>
  </si>
  <si>
    <t>Subcontracted income</t>
  </si>
  <si>
    <t>Subcontracted costs</t>
  </si>
  <si>
    <t>Check</t>
  </si>
  <si>
    <t>5a-2, 5a-3</t>
  </si>
  <si>
    <t>Narrative</t>
  </si>
  <si>
    <t>Cash summary</t>
  </si>
  <si>
    <t>Indirect cash flow</t>
  </si>
  <si>
    <t>Input Scenario B</t>
  </si>
  <si>
    <t>Input Scenario C</t>
  </si>
  <si>
    <t>Input Scenario D</t>
  </si>
  <si>
    <t>Cash Scenario A</t>
  </si>
  <si>
    <t>Cash Scenario B</t>
  </si>
  <si>
    <t>Cash Scenario C</t>
  </si>
  <si>
    <t>Cash Scenario D</t>
  </si>
  <si>
    <t>Forecast</t>
  </si>
  <si>
    <t>FS-IE-5</t>
  </si>
  <si>
    <t>Net cash flow from operating activities (Cash EBITDA)</t>
  </si>
  <si>
    <t>Working capital movement</t>
  </si>
  <si>
    <t>Interest element of finance lease rental payments</t>
  </si>
  <si>
    <t>New long term loans/Finance leases</t>
  </si>
  <si>
    <t>Capital element of finance lease rental payments</t>
  </si>
  <si>
    <t>CFFR Cash balance check</t>
  </si>
  <si>
    <t>Difference</t>
  </si>
  <si>
    <t>Notes for material variances</t>
  </si>
  <si>
    <t>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</si>
</sst>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Red]\-&quot;£&quot;#,##0"/>
    <numFmt numFmtId="43" formatCode="_-* #,##0.00_-;\-* #,##0.00_-;_-* &quot;-&quot;??_-;_-@_-"/>
    <numFmt numFmtId="164" formatCode="&quot;ERROR&quot;;;&quot;OK&quot;"/>
    <numFmt numFmtId="165" formatCode="#,##0;[Red]\(#,##0\);\-"/>
    <numFmt numFmtId="166" formatCode="_-* #,##0.0_-;* \(#,##0.0\)_-;_-* &quot;-&quot;??_-;_-@_-"/>
    <numFmt numFmtId="167" formatCode="_-* #,##0_-;* \(#,##0\)_-;_-* &quot;-&quot;??_-;_-@_-"/>
    <numFmt numFmtId="168" formatCode="#,##0_ ;\(#,##0\);\-\ "/>
    <numFmt numFmtId="169" formatCode="&quot;Yes&quot;;;&quot;No&quot;"/>
    <numFmt numFmtId="170" formatCode="&quot;Forecast&quot;;&quot;Act/For&quot;;&quot;Actual&quot;"/>
    <numFmt numFmtId="171" formatCode="&quot;Annual&quot;;;&quot;Monthly&quot;"/>
    <numFmt numFmtId="172" formatCode="_-* ###0_-;* \(###0\)_-;_-* &quot;-&quot;??_-;_-@_-"/>
    <numFmt numFmtId="173" formatCode="_-* #,##0.00_-;* \(#,##0.00\)_-;_-* &quot;-&quot;??_-;_-@_-"/>
    <numFmt numFmtId="174" formatCode="_-* #,##0.0_-;\-* #,##0.0_-;_-* &quot;-&quot;?_-;_-@_-"/>
    <numFmt numFmtId="175" formatCode="&quot;Yes&quot;;;&quot;-&quot;"/>
    <numFmt numFmtId="176" formatCode="0;\-0;0;&quot;          &quot;@"/>
    <numFmt numFmtId="177" formatCode="0;\-0;0;&quot; - &quot;@"/>
    <numFmt numFmtId="178" formatCode="_-* #,##0.00000000_-;* \(#,##0.00000000\)_-;_-* &quot;-&quot;??_-;_-@_-"/>
    <numFmt numFmtId="179" formatCode="&quot;WARNING&quot;;;&quot;OK&quot;"/>
    <numFmt numFmtId="180" formatCode="_-* #,##0.000_-;* \(#,##0.000\)_-;_-* &quot;-&quot;??_-;_-@_-"/>
    <numFmt numFmtId="181" formatCode="[$-809]dd\ mmmm\ yyyy;@"/>
    <numFmt numFmtId="182" formatCode="_-* #,##0_-;\-* #,##0_-;_-* &quot;-&quot;??_-;_-@_-"/>
    <numFmt numFmtId="183" formatCode="#,##0;\(#,##0\);\-"/>
    <numFmt numFmtId="184" formatCode="#,##0;[Red]\(#,##0\)"/>
    <numFmt numFmtId="185" formatCode="#,##0_);\(#,##0\);\-_)"/>
    <numFmt numFmtId="186" formatCode="_-* #,##0_-;\-* #,##0_-;_-* &quot;-&quot;?_-;_-@_-"/>
    <numFmt numFmtId="187" formatCode="#,##0;\(#,##0\)"/>
    <numFmt numFmtId="188" formatCode="&quot;ERROR&quot;;;&quot;&quot;"/>
    <numFmt numFmtId="189" formatCode="&quot;Hamster&quot;;;&quot;&quot;"/>
    <numFmt numFmtId="190" formatCode="[$-F800]dddd\,\ mmmm\ dd\,\ yyyy"/>
  </numFmts>
  <fonts count="7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rgb="FFFF0000"/>
      <name val="Calibri"/>
      <family val="2"/>
      <scheme val="minor"/>
    </font>
    <font>
      <sz val="10"/>
      <name val="Calibri"/>
      <family val="2"/>
      <scheme val="minor"/>
    </font>
    <font>
      <b/>
      <sz val="8"/>
      <color theme="0"/>
      <name val="Arial"/>
      <family val="2"/>
    </font>
    <font>
      <b/>
      <sz val="11"/>
      <color theme="0"/>
      <name val="Calibri"/>
      <family val="2"/>
    </font>
    <font>
      <sz val="8"/>
      <name val="Calibri"/>
      <family val="2"/>
      <scheme val="minor"/>
    </font>
    <font>
      <b/>
      <sz val="10"/>
      <name val="Arial"/>
      <family val="2"/>
    </font>
    <font>
      <sz val="10"/>
      <name val="Arial"/>
      <family val="2"/>
    </font>
    <font>
      <sz val="11"/>
      <color theme="0"/>
      <name val="Calibri"/>
      <family val="2"/>
      <scheme val="minor"/>
    </font>
    <font>
      <u/>
      <sz val="11"/>
      <color theme="10"/>
      <name val="Calibri"/>
      <family val="2"/>
      <scheme val="minor"/>
    </font>
    <font>
      <u/>
      <sz val="8"/>
      <color theme="0"/>
      <name val="Calibri"/>
      <family val="2"/>
      <scheme val="minor"/>
    </font>
    <font>
      <sz val="15"/>
      <color theme="1"/>
      <name val="Calibri"/>
      <family val="2"/>
      <scheme val="minor"/>
    </font>
    <font>
      <b/>
      <sz val="11"/>
      <name val="Calibri"/>
      <family val="2"/>
      <scheme val="minor"/>
    </font>
    <font>
      <sz val="8"/>
      <color theme="0"/>
      <name val="Calibri"/>
      <family val="2"/>
      <scheme val="minor"/>
    </font>
    <font>
      <b/>
      <sz val="11"/>
      <color indexed="8"/>
      <name val="Calibri"/>
      <family val="2"/>
      <scheme val="minor"/>
    </font>
    <font>
      <sz val="11"/>
      <color theme="1"/>
      <name val="Webdings"/>
      <family val="1"/>
      <charset val="2"/>
    </font>
    <font>
      <u/>
      <sz val="8"/>
      <color theme="10"/>
      <name val="Calibri"/>
      <family val="2"/>
      <scheme val="minor"/>
    </font>
    <font>
      <b/>
      <sz val="10"/>
      <color rgb="FFFF0000"/>
      <name val="Arial"/>
      <family val="2"/>
    </font>
    <font>
      <i/>
      <sz val="11"/>
      <color theme="1"/>
      <name val="Calibri"/>
      <family val="2"/>
      <scheme val="minor"/>
    </font>
    <font>
      <i/>
      <sz val="8"/>
      <color theme="1"/>
      <name val="Calibri"/>
      <family val="2"/>
      <scheme val="minor"/>
    </font>
    <font>
      <sz val="10"/>
      <color theme="1"/>
      <name val="Calibri"/>
      <family val="2"/>
      <scheme val="minor"/>
    </font>
    <font>
      <b/>
      <i/>
      <sz val="8"/>
      <color theme="1"/>
      <name val="Calibri"/>
      <family val="2"/>
      <scheme val="minor"/>
    </font>
    <font>
      <sz val="8"/>
      <color theme="1"/>
      <name val="Calibri"/>
      <family val="2"/>
      <scheme val="minor"/>
    </font>
    <font>
      <u/>
      <sz val="9"/>
      <color theme="10"/>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8"/>
      <color theme="1"/>
      <name val="Calibri"/>
      <family val="2"/>
      <scheme val="minor"/>
    </font>
    <font>
      <b/>
      <sz val="8"/>
      <name val="Arial"/>
      <family val="2"/>
    </font>
    <font>
      <b/>
      <sz val="8"/>
      <name val="Calibri"/>
      <family val="2"/>
      <scheme val="minor"/>
    </font>
    <font>
      <sz val="8"/>
      <name val="Arial"/>
      <family val="2"/>
    </font>
    <font>
      <b/>
      <sz val="11"/>
      <color rgb="FF000000"/>
      <name val="Calibri"/>
      <family val="2"/>
    </font>
    <font>
      <sz val="11"/>
      <color rgb="FF000000"/>
      <name val="Calibri"/>
      <family val="2"/>
    </font>
    <font>
      <b/>
      <u/>
      <sz val="11"/>
      <color theme="1"/>
      <name val="Calibri"/>
      <family val="2"/>
      <scheme val="minor"/>
    </font>
    <font>
      <b/>
      <sz val="8"/>
      <color theme="0"/>
      <name val="Calibri"/>
      <family val="2"/>
    </font>
    <font>
      <u/>
      <sz val="11"/>
      <color theme="1"/>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b/>
      <i/>
      <u/>
      <sz val="11"/>
      <color theme="1"/>
      <name val="Calibri"/>
      <family val="2"/>
      <scheme val="minor"/>
    </font>
    <font>
      <i/>
      <sz val="11"/>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rgb="FF00B050"/>
      <name val="Calibri"/>
      <family val="2"/>
      <scheme val="minor"/>
    </font>
    <font>
      <b/>
      <sz val="8"/>
      <color rgb="FFFF0000"/>
      <name val="Calibri"/>
      <family val="2"/>
      <scheme val="minor"/>
    </font>
    <font>
      <sz val="9"/>
      <color theme="1"/>
      <name val="Calibri"/>
      <family val="2"/>
      <scheme val="minor"/>
    </font>
    <font>
      <sz val="8"/>
      <color rgb="FFFF0000"/>
      <name val="Calibri"/>
      <family val="2"/>
      <scheme val="minor"/>
    </font>
    <font>
      <i/>
      <sz val="10"/>
      <color theme="1"/>
      <name val="Calibri"/>
      <family val="2"/>
      <scheme val="minor"/>
    </font>
    <font>
      <i/>
      <sz val="9"/>
      <color theme="1"/>
      <name val="Calibri"/>
      <family val="2"/>
      <scheme val="minor"/>
    </font>
    <font>
      <i/>
      <sz val="8"/>
      <name val="Calibri"/>
      <family val="2"/>
      <scheme val="minor"/>
    </font>
    <font>
      <b/>
      <sz val="8"/>
      <color theme="5" tint="-0.249977111117893"/>
      <name val="Calibri"/>
      <family val="2"/>
      <scheme val="minor"/>
    </font>
    <font>
      <sz val="7"/>
      <color theme="1"/>
      <name val="Calibri"/>
      <family val="2"/>
      <scheme val="minor"/>
    </font>
    <font>
      <sz val="5"/>
      <color theme="1"/>
      <name val="Calibri"/>
      <family val="2"/>
      <scheme val="minor"/>
    </font>
    <font>
      <sz val="4"/>
      <color theme="1"/>
      <name val="Calibri"/>
      <family val="2"/>
      <scheme val="minor"/>
    </font>
    <font>
      <i/>
      <sz val="4"/>
      <color theme="1"/>
      <name val="Calibri"/>
      <family val="2"/>
      <scheme val="minor"/>
    </font>
    <font>
      <sz val="9"/>
      <color rgb="FFFF0000"/>
      <name val="Calibri"/>
      <family val="2"/>
      <scheme val="minor"/>
    </font>
    <font>
      <b/>
      <sz val="12"/>
      <name val="Calibri"/>
      <family val="2"/>
      <scheme val="minor"/>
    </font>
    <font>
      <sz val="10"/>
      <color rgb="FFFF0000"/>
      <name val="Gill Sans MT"/>
      <family val="2"/>
    </font>
    <font>
      <b/>
      <sz val="11"/>
      <color rgb="FF000000"/>
      <name val="Calibri"/>
      <family val="2"/>
      <scheme val="minor"/>
    </font>
    <font>
      <sz val="11"/>
      <color rgb="FF1F497D"/>
      <name val="Calibri"/>
      <family val="2"/>
      <scheme val="minor"/>
    </font>
    <font>
      <sz val="11"/>
      <color rgb="FFFFFFFF"/>
      <name val="Calibri"/>
      <family val="2"/>
      <scheme val="minor"/>
    </font>
    <font>
      <i/>
      <sz val="11"/>
      <color rgb="FF000000"/>
      <name val="Calibri"/>
      <family val="2"/>
      <scheme val="minor"/>
    </font>
    <font>
      <b/>
      <i/>
      <sz val="11"/>
      <color theme="0"/>
      <name val="Calibri"/>
      <family val="2"/>
      <scheme val="minor"/>
    </font>
    <font>
      <sz val="8"/>
      <color theme="1"/>
      <name val="Calibri"/>
      <family val="2"/>
    </font>
    <font>
      <i/>
      <sz val="8"/>
      <color rgb="FFFF0000"/>
      <name val="Calibri"/>
      <family val="2"/>
      <scheme val="minor"/>
    </font>
    <font>
      <b/>
      <sz val="11"/>
      <color rgb="FFFF0000"/>
      <name val="Calibri"/>
      <family val="2"/>
    </font>
    <font>
      <b/>
      <sz val="10"/>
      <name val="Webdings"/>
      <family val="1"/>
      <charset val="2"/>
    </font>
    <font>
      <b/>
      <sz val="10"/>
      <color theme="1"/>
      <name val="Calibri"/>
      <family val="2"/>
      <scheme val="minor"/>
    </font>
    <font>
      <sz val="11"/>
      <name val="Arial"/>
      <family val="2"/>
    </font>
    <font>
      <u/>
      <sz val="11"/>
      <color theme="4" tint="-0.249977111117893"/>
      <name val="Calibri"/>
      <family val="2"/>
      <scheme val="minor"/>
    </font>
    <font>
      <sz val="11"/>
      <color theme="1"/>
      <name val="Arial"/>
      <family val="2"/>
    </font>
  </fonts>
  <fills count="51">
    <fill>
      <patternFill patternType="none"/>
    </fill>
    <fill>
      <patternFill patternType="gray125"/>
    </fill>
    <fill>
      <patternFill patternType="solid">
        <fgColor theme="6" tint="0.79998168889431442"/>
        <bgColor indexed="65"/>
      </patternFill>
    </fill>
    <fill>
      <patternFill patternType="solid">
        <fgColor theme="7" tint="0.79998168889431442"/>
        <bgColor indexed="64"/>
      </patternFill>
    </fill>
    <fill>
      <patternFill patternType="solid">
        <fgColor rgb="FF0091DA"/>
        <bgColor indexed="64"/>
      </patternFill>
    </fill>
    <fill>
      <patternFill patternType="solid">
        <fgColor rgb="FFCCFFFF"/>
        <bgColor indexed="64"/>
      </patternFill>
    </fill>
    <fill>
      <patternFill patternType="solid">
        <fgColor rgb="FFBBF7DC"/>
        <bgColor indexed="64"/>
      </patternFill>
    </fill>
    <fill>
      <patternFill patternType="solid">
        <fgColor rgb="FF0070C0"/>
        <bgColor indexed="64"/>
      </patternFill>
    </fill>
    <fill>
      <patternFill patternType="solid">
        <fgColor theme="6" tint="0.59996337778862885"/>
        <bgColor indexed="64"/>
      </patternFill>
    </fill>
    <fill>
      <patternFill patternType="solid">
        <fgColor rgb="FF98C6EA"/>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EDEDED"/>
        <bgColor indexed="64"/>
      </patternFill>
    </fill>
    <fill>
      <patternFill patternType="solid">
        <fgColor rgb="FFFFF2CC"/>
        <bgColor indexed="64"/>
      </patternFill>
    </fill>
    <fill>
      <patternFill patternType="solid">
        <fgColor rgb="FFDBDBDB"/>
        <bgColor indexed="64"/>
      </patternFill>
    </fill>
    <fill>
      <patternFill patternType="solid">
        <fgColor rgb="FFA6A6A6"/>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D9E1F2"/>
        <bgColor indexed="64"/>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1" tint="0.499984740745262"/>
        <bgColor indexed="64"/>
      </patternFill>
    </fill>
  </fills>
  <borders count="61">
    <border>
      <left/>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
      <left style="thin">
        <color rgb="FF757171"/>
      </left>
      <right style="thin">
        <color rgb="FF757171"/>
      </right>
      <top style="thin">
        <color rgb="FF757171"/>
      </top>
      <bottom style="thin">
        <color rgb="FF757171"/>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1" tint="0.34998626667073579"/>
      </top>
      <bottom style="thin">
        <color theme="1"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medium">
        <color indexed="64"/>
      </bottom>
      <diagonal/>
    </border>
    <border>
      <left/>
      <right/>
      <top style="thin">
        <color indexed="64"/>
      </top>
      <bottom style="double">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theme="0" tint="-0.499984740745262"/>
      </left>
      <right style="thin">
        <color indexed="64"/>
      </right>
      <top style="thin">
        <color theme="0" tint="-0.499984740745262"/>
      </top>
      <bottom style="thin">
        <color theme="0" tint="-0.499984740745262"/>
      </bottom>
      <diagonal/>
    </border>
    <border>
      <left/>
      <right style="hair">
        <color indexed="64"/>
      </right>
      <top/>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diagonal/>
    </border>
  </borders>
  <cellStyleXfs count="68">
    <xf numFmtId="0" fontId="0" fillId="0" borderId="0"/>
    <xf numFmtId="0" fontId="1" fillId="2" borderId="0" applyNumberFormat="0" applyBorder="0" applyAlignment="0" applyProtection="0"/>
    <xf numFmtId="0" fontId="6" fillId="0" borderId="9">
      <alignment horizontal="left" vertical="center" wrapText="1" indent="1"/>
    </xf>
    <xf numFmtId="165" fontId="7" fillId="4" borderId="10" applyAlignment="0"/>
    <xf numFmtId="167" fontId="1" fillId="6" borderId="11"/>
    <xf numFmtId="167" fontId="1" fillId="8" borderId="11"/>
    <xf numFmtId="166" fontId="1" fillId="5" borderId="11"/>
    <xf numFmtId="167" fontId="1" fillId="3" borderId="11"/>
    <xf numFmtId="167" fontId="3" fillId="27" borderId="11"/>
    <xf numFmtId="167" fontId="8" fillId="7" borderId="0" applyBorder="0" applyAlignment="0"/>
    <xf numFmtId="15" fontId="8" fillId="7" borderId="0"/>
    <xf numFmtId="15" fontId="1" fillId="8" borderId="11"/>
    <xf numFmtId="0" fontId="1" fillId="0" borderId="0">
      <alignment wrapText="1"/>
    </xf>
    <xf numFmtId="0" fontId="3" fillId="0" borderId="0">
      <alignment wrapText="1"/>
    </xf>
    <xf numFmtId="0" fontId="3" fillId="0" borderId="0">
      <alignment wrapText="1"/>
    </xf>
    <xf numFmtId="170" fontId="8" fillId="7" borderId="0"/>
    <xf numFmtId="15" fontId="1" fillId="0" borderId="0"/>
    <xf numFmtId="168" fontId="10" fillId="9" borderId="0" applyNumberFormat="0">
      <alignment vertical="center"/>
    </xf>
    <xf numFmtId="167" fontId="1" fillId="8" borderId="11"/>
    <xf numFmtId="15" fontId="4" fillId="3" borderId="11"/>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69" fontId="1" fillId="3" borderId="11"/>
    <xf numFmtId="0" fontId="10" fillId="9" borderId="10">
      <alignment horizontal="center" vertical="center" wrapText="1"/>
    </xf>
    <xf numFmtId="10" fontId="1" fillId="5" borderId="11"/>
    <xf numFmtId="15" fontId="4" fillId="5" borderId="11"/>
    <xf numFmtId="0" fontId="1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0" fontId="1" fillId="8" borderId="11"/>
    <xf numFmtId="167" fontId="14" fillId="7" borderId="0"/>
    <xf numFmtId="10" fontId="1" fillId="3" borderId="11"/>
    <xf numFmtId="10" fontId="1" fillId="6" borderId="11"/>
    <xf numFmtId="171" fontId="1" fillId="3" borderId="11"/>
    <xf numFmtId="172" fontId="1" fillId="8" borderId="11"/>
    <xf numFmtId="0" fontId="11" fillId="9" borderId="10" applyBorder="0">
      <alignment horizontal="center" vertical="center" wrapText="1"/>
    </xf>
    <xf numFmtId="166" fontId="1" fillId="0" borderId="11"/>
    <xf numFmtId="15" fontId="4" fillId="19" borderId="11"/>
    <xf numFmtId="0" fontId="24" fillId="0" borderId="0"/>
    <xf numFmtId="175" fontId="1" fillId="3" borderId="11"/>
    <xf numFmtId="0" fontId="6" fillId="0" borderId="19">
      <alignment horizontal="left" vertical="center" wrapText="1"/>
    </xf>
    <xf numFmtId="169" fontId="1" fillId="19" borderId="11">
      <protection locked="0"/>
    </xf>
    <xf numFmtId="177" fontId="1" fillId="0" borderId="0" applyFont="0" applyFill="0" applyBorder="0" applyAlignment="0" applyProtection="0">
      <alignment horizontal="left" vertical="top" wrapText="1"/>
    </xf>
    <xf numFmtId="0" fontId="26" fillId="0" borderId="0" applyFill="0"/>
    <xf numFmtId="15" fontId="1" fillId="27" borderId="11"/>
    <xf numFmtId="169" fontId="1" fillId="27" borderId="11" applyNumberFormat="0" applyFont="0" applyFill="0" applyAlignment="0" applyProtection="0">
      <protection locked="0"/>
    </xf>
    <xf numFmtId="0" fontId="34" fillId="9" borderId="0" applyFill="0" applyAlignment="0">
      <alignment vertical="center"/>
    </xf>
    <xf numFmtId="173" fontId="1" fillId="8" borderId="11"/>
    <xf numFmtId="9" fontId="1" fillId="8" borderId="11"/>
    <xf numFmtId="173" fontId="1" fillId="6" borderId="11"/>
    <xf numFmtId="10" fontId="1" fillId="27" borderId="11"/>
    <xf numFmtId="49" fontId="1" fillId="8" borderId="11"/>
    <xf numFmtId="0" fontId="1" fillId="0" borderId="0"/>
    <xf numFmtId="0" fontId="41" fillId="40" borderId="40" applyNumberFormat="0" applyAlignment="0" applyProtection="0"/>
    <xf numFmtId="0" fontId="40" fillId="39" borderId="39" applyNumberFormat="0" applyAlignment="0" applyProtection="0"/>
    <xf numFmtId="0" fontId="51" fillId="43" borderId="42">
      <alignment wrapText="1"/>
    </xf>
    <xf numFmtId="166" fontId="1" fillId="3" borderId="14">
      <protection locked="0"/>
    </xf>
    <xf numFmtId="169" fontId="1" fillId="27" borderId="11" applyNumberFormat="0" applyFont="0" applyFill="0" applyAlignment="0" applyProtection="0">
      <protection locked="0"/>
    </xf>
  </cellStyleXfs>
  <cellXfs count="724">
    <xf numFmtId="0" fontId="0" fillId="0" borderId="0" xfId="0"/>
    <xf numFmtId="0" fontId="0" fillId="0" borderId="0" xfId="0" applyAlignment="1">
      <alignment wrapText="1"/>
    </xf>
    <xf numFmtId="0" fontId="2" fillId="0" borderId="0" xfId="0" applyFont="1"/>
    <xf numFmtId="0" fontId="0" fillId="0" borderId="0" xfId="0" applyAlignment="1">
      <alignment horizontal="center" vertical="center"/>
    </xf>
    <xf numFmtId="0" fontId="4" fillId="0" borderId="0" xfId="0" applyFont="1"/>
    <xf numFmtId="0" fontId="3" fillId="0" borderId="0" xfId="0" applyFont="1"/>
    <xf numFmtId="0" fontId="5" fillId="0" borderId="0" xfId="0" applyFont="1"/>
    <xf numFmtId="164" fontId="0" fillId="0" borderId="0" xfId="0" applyNumberFormat="1" applyAlignment="1">
      <alignment horizontal="center"/>
    </xf>
    <xf numFmtId="6" fontId="0" fillId="0" borderId="0" xfId="0" quotePrefix="1" applyNumberFormat="1"/>
    <xf numFmtId="0" fontId="0" fillId="0" borderId="0" xfId="0" quotePrefix="1"/>
    <xf numFmtId="167" fontId="1" fillId="8" borderId="11" xfId="5"/>
    <xf numFmtId="0" fontId="1" fillId="2" borderId="0" xfId="1"/>
    <xf numFmtId="167" fontId="3" fillId="27" borderId="11" xfId="8"/>
    <xf numFmtId="167" fontId="8" fillId="7" borderId="0" xfId="9"/>
    <xf numFmtId="0" fontId="0" fillId="0" borderId="0" xfId="0" applyAlignment="1">
      <alignment horizontal="left" vertical="center"/>
    </xf>
    <xf numFmtId="15" fontId="8" fillId="7" borderId="0" xfId="9" applyNumberFormat="1"/>
    <xf numFmtId="167" fontId="8" fillId="7" borderId="1" xfId="9" applyBorder="1"/>
    <xf numFmtId="167" fontId="8" fillId="7" borderId="2" xfId="9" applyBorder="1"/>
    <xf numFmtId="167" fontId="8" fillId="7" borderId="3" xfId="9" applyBorder="1"/>
    <xf numFmtId="15" fontId="8" fillId="7" borderId="6" xfId="10" applyBorder="1"/>
    <xf numFmtId="15" fontId="8" fillId="7" borderId="7" xfId="10" applyBorder="1"/>
    <xf numFmtId="15" fontId="8" fillId="7" borderId="8" xfId="10" applyBorder="1"/>
    <xf numFmtId="167" fontId="8" fillId="7" borderId="0" xfId="9" applyAlignment="1">
      <alignment horizontal="right"/>
    </xf>
    <xf numFmtId="167" fontId="8" fillId="7" borderId="0" xfId="9" applyAlignment="1">
      <alignment wrapText="1"/>
    </xf>
    <xf numFmtId="0" fontId="3" fillId="0" borderId="0" xfId="0" applyFont="1" applyAlignment="1">
      <alignment wrapText="1"/>
    </xf>
    <xf numFmtId="0" fontId="1" fillId="2" borderId="0" xfId="1" applyAlignment="1">
      <alignment wrapText="1"/>
    </xf>
    <xf numFmtId="0" fontId="0" fillId="0" borderId="11" xfId="0" applyBorder="1"/>
    <xf numFmtId="0" fontId="3" fillId="0" borderId="11" xfId="0" applyFont="1" applyBorder="1"/>
    <xf numFmtId="170" fontId="8" fillId="7" borderId="4" xfId="15" applyBorder="1"/>
    <xf numFmtId="170" fontId="8" fillId="7" borderId="0" xfId="15"/>
    <xf numFmtId="170" fontId="8" fillId="7" borderId="5" xfId="15" applyBorder="1"/>
    <xf numFmtId="15" fontId="0" fillId="0" borderId="0" xfId="0" applyNumberFormat="1"/>
    <xf numFmtId="15" fontId="1" fillId="8" borderId="11" xfId="11"/>
    <xf numFmtId="0" fontId="1" fillId="0" borderId="0" xfId="12">
      <alignment wrapText="1"/>
    </xf>
    <xf numFmtId="0" fontId="10" fillId="9" borderId="0" xfId="17" applyNumberFormat="1">
      <alignment vertical="center"/>
    </xf>
    <xf numFmtId="0" fontId="0" fillId="2" borderId="0" xfId="1" applyFont="1"/>
    <xf numFmtId="167" fontId="8" fillId="7" borderId="0" xfId="9" applyAlignment="1">
      <alignment horizontal="right" wrapText="1"/>
    </xf>
    <xf numFmtId="167" fontId="8" fillId="7" borderId="0" xfId="9" applyAlignment="1"/>
    <xf numFmtId="167" fontId="1" fillId="8" borderId="11" xfId="18"/>
    <xf numFmtId="0" fontId="11" fillId="9" borderId="0" xfId="17" applyNumberFormat="1" applyFont="1">
      <alignment vertical="center"/>
    </xf>
    <xf numFmtId="0" fontId="0" fillId="0" borderId="0" xfId="0" quotePrefix="1" applyAlignment="1">
      <alignment horizontal="left"/>
    </xf>
    <xf numFmtId="6" fontId="4" fillId="0" borderId="0" xfId="0" quotePrefix="1" applyNumberFormat="1" applyFont="1"/>
    <xf numFmtId="0" fontId="4" fillId="0" borderId="0" xfId="0" quotePrefix="1" applyFont="1"/>
    <xf numFmtId="0" fontId="0" fillId="2" borderId="0" xfId="1" applyFont="1" applyAlignment="1">
      <alignment wrapText="1"/>
    </xf>
    <xf numFmtId="0" fontId="10" fillId="9" borderId="12" xfId="32" applyBorder="1">
      <alignment horizontal="center" vertical="center" wrapText="1"/>
    </xf>
    <xf numFmtId="0" fontId="10" fillId="9" borderId="10" xfId="32">
      <alignment horizontal="center" vertical="center" wrapText="1"/>
    </xf>
    <xf numFmtId="0" fontId="10" fillId="9" borderId="13" xfId="32" applyBorder="1">
      <alignment horizontal="center" vertical="center" wrapText="1"/>
    </xf>
    <xf numFmtId="0" fontId="0" fillId="0" borderId="10" xfId="0" applyBorder="1" applyAlignment="1">
      <alignment horizontal="left"/>
    </xf>
    <xf numFmtId="0" fontId="0" fillId="0" borderId="13" xfId="0" applyBorder="1" applyAlignment="1">
      <alignment horizontal="left"/>
    </xf>
    <xf numFmtId="166" fontId="0" fillId="0" borderId="0" xfId="0" applyNumberFormat="1"/>
    <xf numFmtId="0" fontId="3" fillId="0" borderId="0" xfId="13">
      <alignment wrapText="1"/>
    </xf>
    <xf numFmtId="43" fontId="0" fillId="0" borderId="0" xfId="29" applyFont="1"/>
    <xf numFmtId="10" fontId="0" fillId="0" borderId="0" xfId="30" applyNumberFormat="1" applyFont="1"/>
    <xf numFmtId="166" fontId="3" fillId="0" borderId="0" xfId="13" applyNumberFormat="1">
      <alignment wrapText="1"/>
    </xf>
    <xf numFmtId="0" fontId="13" fillId="0" borderId="0" xfId="35"/>
    <xf numFmtId="10" fontId="1" fillId="8" borderId="11" xfId="39"/>
    <xf numFmtId="167" fontId="8" fillId="7" borderId="0" xfId="9" applyAlignment="1">
      <alignment vertical="center" wrapText="1"/>
    </xf>
    <xf numFmtId="0" fontId="0" fillId="0" borderId="0" xfId="0" applyAlignment="1">
      <alignment vertical="center" wrapText="1"/>
    </xf>
    <xf numFmtId="0" fontId="10" fillId="9" borderId="0" xfId="17" applyNumberFormat="1" applyAlignment="1">
      <alignment vertical="center" wrapText="1"/>
    </xf>
    <xf numFmtId="0" fontId="1" fillId="2" borderId="0" xfId="1" applyAlignment="1">
      <alignment vertical="center" wrapText="1"/>
    </xf>
    <xf numFmtId="167" fontId="8" fillId="7" borderId="0" xfId="9" applyAlignment="1">
      <alignment horizontal="right" vertical="center" wrapText="1"/>
    </xf>
    <xf numFmtId="0" fontId="3" fillId="0" borderId="0" xfId="0" applyFont="1" applyAlignment="1">
      <alignment vertical="center" wrapText="1"/>
    </xf>
    <xf numFmtId="167" fontId="1" fillId="25" borderId="11" xfId="5" applyFill="1"/>
    <xf numFmtId="167" fontId="1" fillId="23" borderId="11" xfId="5" applyFill="1"/>
    <xf numFmtId="167" fontId="1" fillId="26" borderId="11" xfId="5" applyFill="1"/>
    <xf numFmtId="167" fontId="1" fillId="24" borderId="11" xfId="5" applyFill="1"/>
    <xf numFmtId="167" fontId="1" fillId="8" borderId="11" xfId="5" quotePrefix="1"/>
    <xf numFmtId="167" fontId="14" fillId="7" borderId="0" xfId="40"/>
    <xf numFmtId="0" fontId="13" fillId="0" borderId="0" xfId="35" applyAlignment="1">
      <alignment wrapText="1"/>
    </xf>
    <xf numFmtId="166" fontId="13" fillId="8" borderId="14" xfId="35" applyNumberFormat="1" applyFill="1" applyBorder="1"/>
    <xf numFmtId="0" fontId="13" fillId="0" borderId="0" xfId="35" applyBorder="1" applyAlignment="1">
      <alignment wrapText="1"/>
    </xf>
    <xf numFmtId="6" fontId="3" fillId="0" borderId="0" xfId="0" quotePrefix="1" applyNumberFormat="1" applyFont="1"/>
    <xf numFmtId="0" fontId="16" fillId="0" borderId="0" xfId="0" applyFont="1" applyAlignment="1">
      <alignment wrapText="1"/>
    </xf>
    <xf numFmtId="0" fontId="4" fillId="0" borderId="0" xfId="0" applyFont="1" applyAlignment="1">
      <alignment wrapText="1"/>
    </xf>
    <xf numFmtId="0" fontId="4" fillId="0" borderId="0" xfId="12" applyFont="1">
      <alignment wrapText="1"/>
    </xf>
    <xf numFmtId="167" fontId="17" fillId="7" borderId="0" xfId="40" applyFont="1" applyAlignment="1">
      <alignment vertical="center"/>
    </xf>
    <xf numFmtId="0" fontId="18" fillId="0" borderId="0" xfId="0" applyFont="1"/>
    <xf numFmtId="0" fontId="0" fillId="19" borderId="0" xfId="0" applyFill="1"/>
    <xf numFmtId="0" fontId="0" fillId="19" borderId="0" xfId="0" applyFill="1" applyAlignment="1">
      <alignment wrapText="1"/>
    </xf>
    <xf numFmtId="166" fontId="13" fillId="8" borderId="11" xfId="35" applyNumberFormat="1" applyFill="1" applyBorder="1"/>
    <xf numFmtId="0" fontId="13" fillId="0" borderId="0" xfId="35" applyBorder="1" applyAlignment="1">
      <alignment vertical="center" wrapText="1"/>
    </xf>
    <xf numFmtId="167" fontId="8" fillId="7" borderId="0" xfId="9" applyAlignment="1">
      <alignment vertical="center"/>
    </xf>
    <xf numFmtId="167" fontId="8" fillId="7" borderId="0" xfId="9" applyAlignment="1">
      <alignment horizontal="right" vertical="center"/>
    </xf>
    <xf numFmtId="172" fontId="1" fillId="8" borderId="11" xfId="44"/>
    <xf numFmtId="10" fontId="0" fillId="0" borderId="0" xfId="0" applyNumberFormat="1"/>
    <xf numFmtId="0" fontId="19" fillId="0" borderId="0" xfId="0" applyFont="1" applyAlignment="1">
      <alignment horizontal="center"/>
    </xf>
    <xf numFmtId="0" fontId="13" fillId="2" borderId="0" xfId="35" applyFill="1"/>
    <xf numFmtId="0" fontId="20" fillId="2" borderId="0" xfId="35" applyFont="1" applyFill="1"/>
    <xf numFmtId="0" fontId="21" fillId="9" borderId="0" xfId="17" applyNumberFormat="1" applyFont="1">
      <alignment vertical="center"/>
    </xf>
    <xf numFmtId="0" fontId="0" fillId="0" borderId="15" xfId="0" applyBorder="1"/>
    <xf numFmtId="0" fontId="0" fillId="0" borderId="5" xfId="0" applyBorder="1" applyAlignment="1">
      <alignment horizontal="left" vertical="center" wrapText="1"/>
    </xf>
    <xf numFmtId="0" fontId="0" fillId="0" borderId="5"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3" fillId="0" borderId="0" xfId="0" quotePrefix="1" applyFont="1"/>
    <xf numFmtId="0" fontId="16" fillId="0" borderId="0" xfId="0" applyFont="1"/>
    <xf numFmtId="0" fontId="19" fillId="0" borderId="2" xfId="0" applyFont="1" applyBorder="1" applyAlignment="1">
      <alignment horizontal="center" vertical="center"/>
    </xf>
    <xf numFmtId="167" fontId="0" fillId="8" borderId="11" xfId="5" applyFont="1"/>
    <xf numFmtId="164" fontId="0" fillId="0" borderId="0" xfId="0" applyNumberFormat="1" applyAlignment="1">
      <alignment horizontal="center" vertical="center"/>
    </xf>
    <xf numFmtId="167" fontId="8" fillId="7" borderId="0" xfId="9" applyAlignment="1">
      <alignment horizontal="left"/>
    </xf>
    <xf numFmtId="0" fontId="3" fillId="0" borderId="0" xfId="0" quotePrefix="1" applyFont="1" applyAlignment="1">
      <alignment horizontal="left"/>
    </xf>
    <xf numFmtId="167" fontId="8" fillId="7" borderId="0" xfId="9" applyAlignment="1">
      <alignment horizontal="centerContinuous"/>
    </xf>
    <xf numFmtId="0" fontId="1" fillId="0" borderId="0" xfId="12" applyAlignment="1">
      <alignment vertical="center" wrapText="1"/>
    </xf>
    <xf numFmtId="0" fontId="0" fillId="0" borderId="0" xfId="12" applyFont="1" applyAlignment="1">
      <alignment vertical="center" wrapText="1"/>
    </xf>
    <xf numFmtId="166" fontId="1" fillId="0" borderId="11" xfId="46"/>
    <xf numFmtId="0" fontId="3" fillId="0" borderId="0" xfId="0" applyFont="1" applyAlignment="1">
      <alignment vertical="center"/>
    </xf>
    <xf numFmtId="0" fontId="19" fillId="0" borderId="3" xfId="0" applyFont="1" applyBorder="1" applyAlignment="1">
      <alignment horizontal="center" vertical="center"/>
    </xf>
    <xf numFmtId="167" fontId="1" fillId="6" borderId="11" xfId="4" applyProtection="1">
      <protection locked="0"/>
    </xf>
    <xf numFmtId="15" fontId="4" fillId="3" borderId="11" xfId="19" applyProtection="1">
      <protection locked="0"/>
    </xf>
    <xf numFmtId="167" fontId="0" fillId="3" borderId="11" xfId="7" applyFont="1" applyProtection="1">
      <protection locked="0"/>
    </xf>
    <xf numFmtId="10" fontId="1" fillId="3" borderId="11" xfId="41" applyProtection="1">
      <protection locked="0"/>
    </xf>
    <xf numFmtId="167" fontId="1" fillId="3" borderId="14" xfId="7" applyBorder="1" applyProtection="1">
      <protection locked="0"/>
    </xf>
    <xf numFmtId="167" fontId="1" fillId="3" borderId="11" xfId="7" applyProtection="1">
      <protection locked="0"/>
    </xf>
    <xf numFmtId="0" fontId="0" fillId="0" borderId="0" xfId="0" applyProtection="1">
      <protection locked="0"/>
    </xf>
    <xf numFmtId="0" fontId="0" fillId="0" borderId="0" xfId="0" applyAlignment="1" applyProtection="1">
      <alignment wrapText="1"/>
      <protection locked="0"/>
    </xf>
    <xf numFmtId="15" fontId="4" fillId="19" borderId="11" xfId="47"/>
    <xf numFmtId="0" fontId="22" fillId="0" borderId="0" xfId="0" applyFont="1" applyAlignment="1">
      <alignment wrapText="1"/>
    </xf>
    <xf numFmtId="166" fontId="23" fillId="0" borderId="0" xfId="0" applyNumberFormat="1" applyFont="1"/>
    <xf numFmtId="0" fontId="0" fillId="0" borderId="0" xfId="0" applyAlignment="1">
      <alignment vertical="center"/>
    </xf>
    <xf numFmtId="0" fontId="1" fillId="2" borderId="0" xfId="1" applyAlignment="1">
      <alignment vertical="center"/>
    </xf>
    <xf numFmtId="0" fontId="11" fillId="9" borderId="2" xfId="45" applyBorder="1">
      <alignment horizontal="center" vertical="center" wrapText="1"/>
    </xf>
    <xf numFmtId="169" fontId="1" fillId="3" borderId="14" xfId="31" applyBorder="1" applyProtection="1">
      <protection locked="0"/>
    </xf>
    <xf numFmtId="15" fontId="4" fillId="3" borderId="14" xfId="19" applyBorder="1" applyProtection="1">
      <protection locked="0"/>
    </xf>
    <xf numFmtId="174" fontId="0" fillId="0" borderId="0" xfId="0" applyNumberFormat="1" applyAlignment="1">
      <alignment horizontal="center"/>
    </xf>
    <xf numFmtId="0" fontId="19" fillId="0" borderId="0" xfId="0" applyFont="1" applyAlignment="1">
      <alignment horizontal="center" vertical="center"/>
    </xf>
    <xf numFmtId="169" fontId="1" fillId="8" borderId="11" xfId="5" applyNumberFormat="1"/>
    <xf numFmtId="0" fontId="1" fillId="29" borderId="0" xfId="1" applyFill="1"/>
    <xf numFmtId="0" fontId="0" fillId="29" borderId="0" xfId="1" applyFont="1" applyFill="1"/>
    <xf numFmtId="15" fontId="4" fillId="30" borderId="11" xfId="19" applyFill="1" applyProtection="1">
      <protection locked="0"/>
    </xf>
    <xf numFmtId="167" fontId="1" fillId="30" borderId="11" xfId="7" applyFill="1" applyProtection="1">
      <protection locked="0"/>
    </xf>
    <xf numFmtId="167" fontId="1" fillId="31" borderId="11" xfId="18" applyFill="1"/>
    <xf numFmtId="167" fontId="1" fillId="31" borderId="11" xfId="5" applyFill="1"/>
    <xf numFmtId="10" fontId="1" fillId="31" borderId="11" xfId="39" applyFill="1"/>
    <xf numFmtId="167" fontId="3" fillId="32" borderId="11" xfId="8" applyFill="1"/>
    <xf numFmtId="167" fontId="1" fillId="30" borderId="14" xfId="7" applyFill="1" applyBorder="1" applyProtection="1">
      <protection locked="0"/>
    </xf>
    <xf numFmtId="167" fontId="1" fillId="31" borderId="14" xfId="5" applyFill="1" applyBorder="1"/>
    <xf numFmtId="166" fontId="13" fillId="31" borderId="14" xfId="35" applyNumberFormat="1" applyFill="1" applyBorder="1"/>
    <xf numFmtId="15" fontId="4" fillId="30" borderId="14" xfId="19" applyFill="1" applyBorder="1" applyProtection="1">
      <protection locked="0"/>
    </xf>
    <xf numFmtId="15" fontId="4" fillId="33" borderId="11" xfId="47" applyFill="1"/>
    <xf numFmtId="169" fontId="1" fillId="30" borderId="14" xfId="31" applyFill="1" applyBorder="1" applyProtection="1">
      <protection locked="0"/>
    </xf>
    <xf numFmtId="167" fontId="4" fillId="31" borderId="11" xfId="5" applyFont="1" applyFill="1"/>
    <xf numFmtId="15" fontId="1" fillId="31" borderId="11" xfId="11" applyFill="1"/>
    <xf numFmtId="172" fontId="1" fillId="31" borderId="11" xfId="44" applyFill="1"/>
    <xf numFmtId="10" fontId="1" fillId="30" borderId="14" xfId="41" applyFill="1" applyBorder="1" applyProtection="1">
      <protection locked="0"/>
    </xf>
    <xf numFmtId="167" fontId="1" fillId="8" borderId="11" xfId="5" applyAlignment="1">
      <alignment wrapText="1"/>
    </xf>
    <xf numFmtId="9" fontId="0" fillId="0" borderId="0" xfId="0" applyNumberFormat="1"/>
    <xf numFmtId="167" fontId="1" fillId="8" borderId="14" xfId="5" applyBorder="1"/>
    <xf numFmtId="0" fontId="3" fillId="0" borderId="1" xfId="0" applyFont="1" applyBorder="1"/>
    <xf numFmtId="0" fontId="3" fillId="0" borderId="2" xfId="0" applyFont="1" applyBorder="1"/>
    <xf numFmtId="0" fontId="3" fillId="0" borderId="3" xfId="0" applyFont="1" applyBorder="1"/>
    <xf numFmtId="0" fontId="26" fillId="0" borderId="6" xfId="0" applyFont="1" applyBorder="1" applyAlignment="1">
      <alignment horizontal="left"/>
    </xf>
    <xf numFmtId="0" fontId="26" fillId="0" borderId="7" xfId="0" applyFont="1" applyBorder="1" applyAlignment="1">
      <alignment horizontal="left"/>
    </xf>
    <xf numFmtId="0" fontId="26" fillId="0" borderId="8" xfId="0" applyFont="1" applyBorder="1" applyAlignment="1">
      <alignment horizontal="left"/>
    </xf>
    <xf numFmtId="167" fontId="8" fillId="7" borderId="0" xfId="9" applyBorder="1"/>
    <xf numFmtId="166" fontId="13" fillId="8" borderId="11" xfId="35" applyNumberFormat="1" applyFill="1" applyBorder="1" applyAlignment="1">
      <alignment vertical="center" wrapText="1"/>
    </xf>
    <xf numFmtId="0" fontId="0" fillId="0" borderId="16" xfId="0" applyBorder="1" applyAlignment="1">
      <alignment horizontal="center" vertical="center"/>
    </xf>
    <xf numFmtId="0" fontId="0" fillId="0" borderId="21" xfId="0"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0" fillId="0" borderId="25" xfId="0" applyBorder="1"/>
    <xf numFmtId="0" fontId="13" fillId="0" borderId="0" xfId="35" applyAlignment="1">
      <alignment horizontal="left" vertical="center"/>
    </xf>
    <xf numFmtId="167" fontId="0" fillId="19" borderId="11" xfId="7" applyFont="1" applyFill="1"/>
    <xf numFmtId="0" fontId="0" fillId="0" borderId="0" xfId="0" applyAlignment="1">
      <alignment horizontal="left" vertical="top"/>
    </xf>
    <xf numFmtId="0" fontId="13" fillId="0" borderId="4" xfId="35" applyBorder="1" applyAlignment="1">
      <alignment vertical="center" wrapText="1"/>
    </xf>
    <xf numFmtId="0" fontId="13" fillId="0" borderId="24" xfId="35" applyBorder="1" applyAlignment="1">
      <alignment horizontal="left" vertical="center" wrapText="1"/>
    </xf>
    <xf numFmtId="0" fontId="13" fillId="0" borderId="22" xfId="35" applyBorder="1" applyAlignment="1">
      <alignment horizontal="left" vertical="center" wrapText="1"/>
    </xf>
    <xf numFmtId="177" fontId="27" fillId="0" borderId="17" xfId="52" applyFont="1" applyBorder="1" applyAlignment="1">
      <alignment horizontal="left" vertical="center" wrapText="1"/>
    </xf>
    <xf numFmtId="177" fontId="27" fillId="0" borderId="22" xfId="52" applyFont="1" applyBorder="1" applyAlignment="1">
      <alignment horizontal="left" vertical="center" wrapText="1"/>
    </xf>
    <xf numFmtId="178" fontId="3" fillId="27" borderId="11" xfId="8" applyNumberFormat="1"/>
    <xf numFmtId="178" fontId="1" fillId="8" borderId="11" xfId="5" applyNumberFormat="1"/>
    <xf numFmtId="0" fontId="3" fillId="0" borderId="11" xfId="0" applyFont="1" applyBorder="1" applyAlignment="1">
      <alignment horizontal="left" vertical="center"/>
    </xf>
    <xf numFmtId="0" fontId="3" fillId="0" borderId="27" xfId="0" applyFont="1" applyBorder="1" applyAlignment="1">
      <alignment horizontal="center" vertical="center"/>
    </xf>
    <xf numFmtId="0" fontId="13" fillId="0" borderId="28" xfId="35" applyBorder="1" applyAlignment="1">
      <alignment horizontal="left" vertical="center" wrapText="1"/>
    </xf>
    <xf numFmtId="0" fontId="0" fillId="0" borderId="6" xfId="0" applyBorder="1" applyAlignment="1">
      <alignment horizontal="center" vertical="center"/>
    </xf>
    <xf numFmtId="167" fontId="0" fillId="6" borderId="26" xfId="4" applyFont="1" applyBorder="1" applyAlignment="1">
      <alignment vertical="center" wrapText="1"/>
    </xf>
    <xf numFmtId="167" fontId="0" fillId="8" borderId="26" xfId="5" applyFont="1" applyBorder="1" applyAlignment="1">
      <alignment vertical="center"/>
    </xf>
    <xf numFmtId="167" fontId="3" fillId="35" borderId="26" xfId="8" applyFill="1" applyBorder="1" applyAlignment="1">
      <alignment vertical="center"/>
    </xf>
    <xf numFmtId="167" fontId="0" fillId="3" borderId="11" xfId="7" applyFont="1" applyAlignment="1">
      <alignment vertical="center"/>
    </xf>
    <xf numFmtId="167" fontId="0" fillId="6" borderId="11" xfId="4" applyFont="1" applyAlignment="1">
      <alignment vertical="center"/>
    </xf>
    <xf numFmtId="167" fontId="0" fillId="8" borderId="11" xfId="5" applyFont="1" applyAlignment="1">
      <alignment vertical="center"/>
    </xf>
    <xf numFmtId="167" fontId="3" fillId="27" borderId="11" xfId="8" applyAlignment="1">
      <alignment vertical="center"/>
    </xf>
    <xf numFmtId="166" fontId="0" fillId="0" borderId="11" xfId="46" applyFont="1" applyAlignment="1">
      <alignment vertical="center"/>
    </xf>
    <xf numFmtId="0" fontId="28" fillId="0" borderId="0" xfId="0" applyFont="1" applyAlignment="1">
      <alignment horizontal="centerContinuous" vertical="center" wrapText="1"/>
    </xf>
    <xf numFmtId="0" fontId="0" fillId="0" borderId="0" xfId="0" applyAlignment="1">
      <alignment horizontal="lef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0" fillId="0" borderId="11" xfId="0" applyBorder="1" applyAlignment="1">
      <alignment vertical="center" wrapText="1"/>
    </xf>
    <xf numFmtId="0" fontId="0" fillId="0" borderId="11" xfId="0" applyBorder="1" applyAlignment="1">
      <alignment horizontal="left" vertical="center" wrapText="1"/>
    </xf>
    <xf numFmtId="177" fontId="24" fillId="0" borderId="0" xfId="52" applyFont="1" applyAlignment="1">
      <alignment horizontal="left" vertical="center" wrapText="1"/>
    </xf>
    <xf numFmtId="0" fontId="29" fillId="0" borderId="0" xfId="0" applyFont="1" applyAlignment="1">
      <alignment horizontal="centerContinuous" vertical="center" wrapText="1"/>
    </xf>
    <xf numFmtId="0" fontId="4" fillId="0" borderId="2" xfId="35" applyFont="1" applyBorder="1" applyAlignment="1">
      <alignment horizontal="left" vertical="center" wrapText="1"/>
    </xf>
    <xf numFmtId="0" fontId="4" fillId="0" borderId="22" xfId="35" applyFont="1" applyBorder="1" applyAlignment="1">
      <alignment horizontal="left" vertical="center" wrapText="1"/>
    </xf>
    <xf numFmtId="176" fontId="4" fillId="0" borderId="17" xfId="35" applyNumberFormat="1" applyFont="1" applyBorder="1" applyAlignment="1">
      <alignment horizontal="left" vertical="center" wrapText="1"/>
    </xf>
    <xf numFmtId="0" fontId="4" fillId="0" borderId="28" xfId="35"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0" fillId="0" borderId="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left" vertical="center" wrapText="1"/>
    </xf>
    <xf numFmtId="0" fontId="0" fillId="0" borderId="6" xfId="0" applyBorder="1" applyAlignment="1">
      <alignment vertical="center" wrapText="1"/>
    </xf>
    <xf numFmtId="0" fontId="0" fillId="0" borderId="7" xfId="0" applyBorder="1" applyAlignment="1">
      <alignment horizontal="left" vertical="center" wrapText="1"/>
    </xf>
    <xf numFmtId="0" fontId="3" fillId="0" borderId="4" xfId="0" applyFont="1" applyBorder="1" applyAlignment="1">
      <alignment vertical="center" wrapText="1"/>
    </xf>
    <xf numFmtId="167" fontId="0" fillId="36" borderId="26" xfId="7" applyFont="1" applyFill="1" applyBorder="1" applyAlignment="1">
      <alignment vertical="center"/>
    </xf>
    <xf numFmtId="0" fontId="0" fillId="33" borderId="0" xfId="0" applyFill="1"/>
    <xf numFmtId="43" fontId="0" fillId="0" borderId="0" xfId="0" applyNumberFormat="1" applyAlignment="1">
      <alignment vertical="center"/>
    </xf>
    <xf numFmtId="43" fontId="0" fillId="0" borderId="0" xfId="0" applyNumberFormat="1"/>
    <xf numFmtId="0" fontId="3" fillId="0" borderId="0" xfId="12" applyFont="1" applyAlignment="1">
      <alignment vertical="center" wrapText="1"/>
    </xf>
    <xf numFmtId="0" fontId="3" fillId="2" borderId="0" xfId="1" applyFont="1"/>
    <xf numFmtId="0" fontId="0" fillId="0" borderId="0" xfId="53" applyFont="1"/>
    <xf numFmtId="0" fontId="26" fillId="0" borderId="0" xfId="53"/>
    <xf numFmtId="0" fontId="10" fillId="9" borderId="0" xfId="53" applyFont="1" applyFill="1"/>
    <xf numFmtId="0" fontId="26" fillId="0" borderId="0" xfId="53" applyFill="1"/>
    <xf numFmtId="167" fontId="4" fillId="6" borderId="11" xfId="4" applyFont="1" applyProtection="1">
      <protection locked="0"/>
    </xf>
    <xf numFmtId="43" fontId="3" fillId="0" borderId="0" xfId="0" applyNumberFormat="1" applyFont="1"/>
    <xf numFmtId="15" fontId="1" fillId="27" borderId="11" xfId="54"/>
    <xf numFmtId="0" fontId="0" fillId="0" borderId="0" xfId="53" applyFont="1" applyAlignment="1">
      <alignment vertical="center"/>
    </xf>
    <xf numFmtId="0" fontId="0" fillId="0" borderId="0" xfId="0" applyAlignment="1">
      <alignment horizontal="center"/>
    </xf>
    <xf numFmtId="0" fontId="0" fillId="0" borderId="0" xfId="12" applyFont="1">
      <alignment wrapText="1"/>
    </xf>
    <xf numFmtId="164" fontId="13" fillId="0" borderId="0" xfId="35" applyNumberFormat="1" applyAlignment="1">
      <alignment horizontal="center"/>
    </xf>
    <xf numFmtId="179" fontId="0" fillId="0" borderId="0" xfId="0" applyNumberFormat="1" applyAlignment="1">
      <alignment horizontal="center"/>
    </xf>
    <xf numFmtId="179" fontId="13" fillId="0" borderId="0" xfId="35" applyNumberFormat="1" applyAlignment="1">
      <alignment horizontal="center"/>
    </xf>
    <xf numFmtId="166" fontId="3" fillId="0" borderId="11" xfId="46" applyFont="1"/>
    <xf numFmtId="167" fontId="1" fillId="31" borderId="30" xfId="5" applyFill="1" applyBorder="1"/>
    <xf numFmtId="167" fontId="3" fillId="27" borderId="31" xfId="8" applyBorder="1"/>
    <xf numFmtId="0" fontId="3" fillId="0" borderId="12" xfId="0" applyFont="1" applyBorder="1" applyAlignment="1">
      <alignment horizontal="center"/>
    </xf>
    <xf numFmtId="0" fontId="3" fillId="0" borderId="10" xfId="0" applyFont="1" applyBorder="1" applyAlignment="1">
      <alignment horizontal="center"/>
    </xf>
    <xf numFmtId="0" fontId="3" fillId="0" borderId="13" xfId="0" applyFont="1" applyBorder="1" applyAlignment="1">
      <alignment horizontal="center"/>
    </xf>
    <xf numFmtId="0" fontId="26" fillId="0" borderId="0" xfId="0" applyFont="1"/>
    <xf numFmtId="0" fontId="32" fillId="9" borderId="0" xfId="17" applyNumberFormat="1" applyFont="1">
      <alignment vertical="center"/>
    </xf>
    <xf numFmtId="0" fontId="32" fillId="9" borderId="0" xfId="53" applyFont="1" applyFill="1"/>
    <xf numFmtId="0" fontId="31" fillId="0" borderId="0" xfId="53" applyFont="1"/>
    <xf numFmtId="0" fontId="26" fillId="2" borderId="0" xfId="1" applyFont="1"/>
    <xf numFmtId="0" fontId="9" fillId="0" borderId="0" xfId="53" applyFont="1"/>
    <xf numFmtId="0" fontId="9" fillId="0" borderId="0" xfId="53" applyFont="1" applyFill="1"/>
    <xf numFmtId="169" fontId="1" fillId="3" borderId="11" xfId="31"/>
    <xf numFmtId="166" fontId="1" fillId="30" borderId="11" xfId="55" applyNumberFormat="1" applyFill="1" applyProtection="1">
      <protection locked="0"/>
    </xf>
    <xf numFmtId="0" fontId="26" fillId="9" borderId="0" xfId="53" applyFill="1"/>
    <xf numFmtId="0" fontId="26" fillId="0" borderId="0" xfId="53" applyAlignment="1">
      <alignment vertical="center"/>
    </xf>
    <xf numFmtId="173" fontId="1" fillId="8" borderId="11" xfId="57"/>
    <xf numFmtId="179" fontId="0" fillId="0" borderId="0" xfId="0" applyNumberFormat="1" applyAlignment="1">
      <alignment horizontal="center" vertical="center"/>
    </xf>
    <xf numFmtId="174" fontId="0" fillId="0" borderId="0" xfId="0" quotePrefix="1" applyNumberFormat="1"/>
    <xf numFmtId="166" fontId="1" fillId="3" borderId="11" xfId="55" applyNumberFormat="1" applyFill="1" applyProtection="1">
      <protection locked="0"/>
    </xf>
    <xf numFmtId="0" fontId="3" fillId="0" borderId="10" xfId="0" applyFont="1" applyBorder="1" applyAlignment="1">
      <alignment horizontal="centerContinuous"/>
    </xf>
    <xf numFmtId="0" fontId="3" fillId="0" borderId="10" xfId="0" quotePrefix="1" applyFont="1" applyBorder="1" applyAlignment="1">
      <alignment horizontal="centerContinuous"/>
    </xf>
    <xf numFmtId="0" fontId="3" fillId="0" borderId="12" xfId="0" applyFont="1" applyBorder="1" applyAlignment="1">
      <alignment horizontal="centerContinuous"/>
    </xf>
    <xf numFmtId="0" fontId="3" fillId="0" borderId="13" xfId="0" applyFont="1" applyBorder="1" applyAlignment="1">
      <alignment horizontal="centerContinuous"/>
    </xf>
    <xf numFmtId="15" fontId="3" fillId="0" borderId="0" xfId="0" applyNumberFormat="1" applyFont="1" applyAlignment="1">
      <alignment wrapText="1"/>
    </xf>
    <xf numFmtId="0" fontId="33" fillId="0" borderId="0" xfId="53" applyFont="1"/>
    <xf numFmtId="0" fontId="31" fillId="0" borderId="0" xfId="53" applyFont="1" applyFill="1"/>
    <xf numFmtId="0" fontId="26" fillId="2" borderId="0" xfId="1" applyFont="1" applyAlignment="1">
      <alignment vertical="center"/>
    </xf>
    <xf numFmtId="0" fontId="34" fillId="9" borderId="0" xfId="56">
      <alignment vertical="center"/>
    </xf>
    <xf numFmtId="0" fontId="9" fillId="0" borderId="0" xfId="56" applyFont="1" applyFill="1" applyAlignment="1"/>
    <xf numFmtId="0" fontId="32" fillId="9" borderId="0" xfId="56" applyFont="1">
      <alignment vertical="center"/>
    </xf>
    <xf numFmtId="0" fontId="9" fillId="0" borderId="0" xfId="56" applyFont="1" applyFill="1" applyAlignment="1">
      <alignment wrapText="1"/>
    </xf>
    <xf numFmtId="0" fontId="9" fillId="0" borderId="0" xfId="0" applyFont="1"/>
    <xf numFmtId="167" fontId="0" fillId="8" borderId="11" xfId="18" applyFont="1"/>
    <xf numFmtId="0" fontId="11" fillId="9" borderId="1" xfId="45" applyBorder="1">
      <alignment horizontal="center" vertical="center" wrapText="1"/>
    </xf>
    <xf numFmtId="0" fontId="11" fillId="9" borderId="3" xfId="45" applyBorder="1">
      <alignment horizontal="center" vertical="center" wrapText="1"/>
    </xf>
    <xf numFmtId="0" fontId="0" fillId="0" borderId="12" xfId="0" applyBorder="1" applyAlignment="1">
      <alignment horizontal="left"/>
    </xf>
    <xf numFmtId="15" fontId="8" fillId="7" borderId="0" xfId="10"/>
    <xf numFmtId="0" fontId="0" fillId="0" borderId="7" xfId="0" applyBorder="1"/>
    <xf numFmtId="166" fontId="0" fillId="3" borderId="11" xfId="55" applyNumberFormat="1" applyFont="1" applyFill="1" applyProtection="1">
      <protection locked="0"/>
    </xf>
    <xf numFmtId="169" fontId="1" fillId="3" borderId="11" xfId="55" applyFill="1" applyProtection="1">
      <protection locked="0"/>
    </xf>
    <xf numFmtId="0" fontId="18" fillId="0" borderId="0" xfId="0" applyFont="1" applyAlignment="1">
      <alignment wrapText="1"/>
    </xf>
    <xf numFmtId="173" fontId="1" fillId="8" borderId="11" xfId="57" quotePrefix="1"/>
    <xf numFmtId="0" fontId="35" fillId="0" borderId="33" xfId="0" applyFont="1" applyBorder="1" applyAlignment="1">
      <alignment horizontal="center" vertical="center" wrapText="1" readingOrder="1"/>
    </xf>
    <xf numFmtId="0" fontId="36" fillId="0" borderId="32" xfId="0" applyFont="1" applyBorder="1" applyAlignment="1">
      <alignment horizontal="center" wrapText="1" readingOrder="1"/>
    </xf>
    <xf numFmtId="0" fontId="36" fillId="38" borderId="32" xfId="0" applyFont="1" applyFill="1" applyBorder="1" applyAlignment="1">
      <alignment horizontal="center" wrapText="1" readingOrder="1"/>
    </xf>
    <xf numFmtId="0" fontId="35" fillId="0" borderId="34" xfId="0" applyFont="1" applyBorder="1" applyAlignment="1">
      <alignment horizontal="center" vertical="center" wrapText="1" readingOrder="1"/>
    </xf>
    <xf numFmtId="164" fontId="13" fillId="0" borderId="0" xfId="35" applyNumberFormat="1" applyAlignment="1">
      <alignment horizontal="center" vertical="center"/>
    </xf>
    <xf numFmtId="179" fontId="13" fillId="0" borderId="0" xfId="35" applyNumberFormat="1" applyAlignment="1">
      <alignment horizontal="center" vertical="center"/>
    </xf>
    <xf numFmtId="0" fontId="0" fillId="0" borderId="2" xfId="0" applyBorder="1"/>
    <xf numFmtId="167" fontId="0" fillId="0" borderId="2" xfId="0" applyNumberFormat="1" applyBorder="1"/>
    <xf numFmtId="177" fontId="24" fillId="0" borderId="4" xfId="52" applyFont="1" applyBorder="1" applyAlignment="1">
      <alignment horizontal="left" vertical="center" wrapText="1"/>
    </xf>
    <xf numFmtId="177" fontId="24" fillId="0" borderId="0" xfId="52" applyFont="1" applyBorder="1" applyAlignment="1">
      <alignment horizontal="left" vertical="center" wrapText="1"/>
    </xf>
    <xf numFmtId="0" fontId="37" fillId="0" borderId="0" xfId="0" applyFont="1"/>
    <xf numFmtId="10" fontId="1" fillId="8" borderId="11" xfId="39" quotePrefix="1"/>
    <xf numFmtId="167" fontId="38" fillId="7" borderId="0" xfId="9" applyFont="1" applyAlignment="1">
      <alignment vertical="center"/>
    </xf>
    <xf numFmtId="167" fontId="8" fillId="7" borderId="0" xfId="9" applyAlignment="1">
      <alignment horizontal="center" vertical="center" wrapText="1"/>
    </xf>
    <xf numFmtId="181" fontId="3" fillId="0" borderId="0" xfId="0" applyNumberFormat="1" applyFont="1" applyAlignment="1">
      <alignment horizontal="left"/>
    </xf>
    <xf numFmtId="166" fontId="1" fillId="3" borderId="11" xfId="55" applyNumberFormat="1" applyFill="1" applyAlignment="1" applyProtection="1">
      <alignment wrapText="1"/>
      <protection locked="0"/>
    </xf>
    <xf numFmtId="0" fontId="26" fillId="0" borderId="0" xfId="12" applyFont="1" applyAlignment="1"/>
    <xf numFmtId="167" fontId="8" fillId="7" borderId="1" xfId="9" applyBorder="1" applyAlignment="1">
      <alignment horizontal="left" vertical="center" wrapText="1"/>
    </xf>
    <xf numFmtId="167" fontId="8" fillId="7" borderId="2" xfId="9" applyBorder="1" applyAlignment="1">
      <alignment horizontal="center" vertical="center"/>
    </xf>
    <xf numFmtId="167" fontId="8" fillId="7" borderId="1" xfId="9" applyBorder="1" applyAlignment="1">
      <alignment horizontal="left" vertical="center"/>
    </xf>
    <xf numFmtId="177" fontId="27" fillId="0" borderId="7" xfId="52" applyFont="1" applyBorder="1" applyAlignment="1">
      <alignment horizontal="left" vertical="center" wrapText="1"/>
    </xf>
    <xf numFmtId="0" fontId="0" fillId="0" borderId="0" xfId="0" quotePrefix="1" applyAlignment="1">
      <alignment horizontal="left" vertical="center" wrapText="1"/>
    </xf>
    <xf numFmtId="0" fontId="3" fillId="0" borderId="0" xfId="0" applyFont="1" applyAlignment="1">
      <alignment horizontal="left" vertical="center"/>
    </xf>
    <xf numFmtId="0" fontId="39" fillId="0" borderId="0" xfId="0" applyFont="1" applyAlignment="1">
      <alignment horizontal="left" vertical="center" wrapText="1"/>
    </xf>
    <xf numFmtId="0" fontId="0" fillId="0" borderId="35" xfId="0" applyBorder="1"/>
    <xf numFmtId="0" fontId="0" fillId="0" borderId="36" xfId="0" applyBorder="1"/>
    <xf numFmtId="0" fontId="0" fillId="0" borderId="37" xfId="0" applyBorder="1"/>
    <xf numFmtId="167" fontId="1" fillId="25" borderId="38" xfId="5" applyFill="1" applyBorder="1"/>
    <xf numFmtId="167" fontId="1" fillId="25" borderId="0" xfId="5" applyFill="1" applyBorder="1"/>
    <xf numFmtId="167" fontId="1" fillId="23" borderId="38" xfId="5" applyFill="1" applyBorder="1"/>
    <xf numFmtId="167" fontId="1" fillId="23" borderId="0" xfId="5" applyFill="1" applyBorder="1"/>
    <xf numFmtId="167" fontId="1" fillId="26" borderId="38" xfId="5" applyFill="1" applyBorder="1"/>
    <xf numFmtId="167" fontId="1" fillId="26" borderId="0" xfId="5" applyFill="1" applyBorder="1"/>
    <xf numFmtId="167" fontId="1" fillId="24" borderId="38" xfId="5" applyFill="1" applyBorder="1"/>
    <xf numFmtId="167" fontId="1" fillId="24" borderId="0" xfId="5" applyFill="1" applyBorder="1"/>
    <xf numFmtId="167" fontId="1" fillId="6" borderId="20" xfId="4" applyBorder="1" applyAlignment="1" applyProtection="1">
      <alignment wrapText="1"/>
      <protection locked="0"/>
    </xf>
    <xf numFmtId="167" fontId="1" fillId="6" borderId="29" xfId="4" applyBorder="1" applyAlignment="1" applyProtection="1">
      <alignment wrapText="1"/>
      <protection locked="0"/>
    </xf>
    <xf numFmtId="167" fontId="8" fillId="7" borderId="0" xfId="9" applyBorder="1" applyAlignment="1">
      <alignment horizontal="right"/>
    </xf>
    <xf numFmtId="10" fontId="1" fillId="6" borderId="11" xfId="42" applyAlignment="1" applyProtection="1">
      <alignment vertical="center"/>
      <protection locked="0"/>
    </xf>
    <xf numFmtId="173" fontId="1" fillId="6" borderId="11" xfId="59" applyAlignment="1" applyProtection="1">
      <alignment vertical="center"/>
      <protection locked="0"/>
    </xf>
    <xf numFmtId="167" fontId="1" fillId="6" borderId="11" xfId="4" applyAlignment="1" applyProtection="1">
      <alignment vertical="center"/>
      <protection locked="0"/>
    </xf>
    <xf numFmtId="0" fontId="26" fillId="0" borderId="0" xfId="48" applyFont="1"/>
    <xf numFmtId="0" fontId="34" fillId="0" borderId="0" xfId="56" applyFill="1" applyAlignment="1"/>
    <xf numFmtId="167" fontId="1" fillId="6" borderId="11" xfId="4"/>
    <xf numFmtId="0" fontId="0" fillId="2" borderId="0" xfId="1" applyFont="1" applyProtection="1"/>
    <xf numFmtId="0" fontId="1" fillId="2" borderId="0" xfId="1" applyProtection="1"/>
    <xf numFmtId="9" fontId="1" fillId="8" borderId="11" xfId="58"/>
    <xf numFmtId="0" fontId="1" fillId="2" borderId="0" xfId="1" applyAlignment="1" applyProtection="1">
      <alignment wrapText="1"/>
    </xf>
    <xf numFmtId="49" fontId="1" fillId="3" borderId="11" xfId="55" applyNumberFormat="1" applyFill="1" applyAlignment="1" applyProtection="1">
      <alignment wrapText="1"/>
      <protection locked="0"/>
    </xf>
    <xf numFmtId="0" fontId="11" fillId="0" borderId="26" xfId="0" applyFont="1" applyBorder="1"/>
    <xf numFmtId="0" fontId="11" fillId="0" borderId="26" xfId="0" applyFont="1" applyBorder="1" applyAlignment="1">
      <alignment horizontal="center"/>
    </xf>
    <xf numFmtId="0" fontId="1" fillId="8" borderId="11" xfId="61" applyNumberFormat="1"/>
    <xf numFmtId="183" fontId="43" fillId="0" borderId="0" xfId="0" applyNumberFormat="1" applyFont="1" applyAlignment="1">
      <alignment horizontal="left"/>
    </xf>
    <xf numFmtId="183" fontId="3" fillId="41" borderId="0" xfId="0" applyNumberFormat="1" applyFont="1" applyFill="1" applyAlignment="1">
      <alignment horizontal="left"/>
    </xf>
    <xf numFmtId="183" fontId="3" fillId="42" borderId="0" xfId="0" applyNumberFormat="1" applyFont="1" applyFill="1" applyAlignment="1">
      <alignment horizontal="left"/>
    </xf>
    <xf numFmtId="183" fontId="3" fillId="42" borderId="10" xfId="0" applyNumberFormat="1" applyFont="1" applyFill="1" applyBorder="1" applyAlignment="1">
      <alignment horizontal="left"/>
    </xf>
    <xf numFmtId="183" fontId="3" fillId="19" borderId="41" xfId="0" applyNumberFormat="1" applyFont="1" applyFill="1" applyBorder="1" applyAlignment="1">
      <alignment horizontal="left"/>
    </xf>
    <xf numFmtId="183" fontId="3" fillId="19" borderId="0" xfId="0" applyNumberFormat="1" applyFont="1" applyFill="1" applyAlignment="1">
      <alignment horizontal="left"/>
    </xf>
    <xf numFmtId="183" fontId="3" fillId="0" borderId="0" xfId="0" applyNumberFormat="1" applyFont="1" applyAlignment="1">
      <alignment horizontal="left"/>
    </xf>
    <xf numFmtId="183" fontId="3" fillId="0" borderId="7" xfId="0" applyNumberFormat="1" applyFont="1" applyBorder="1" applyAlignment="1">
      <alignment horizontal="left"/>
    </xf>
    <xf numFmtId="0" fontId="0" fillId="42" borderId="0" xfId="0" applyFill="1"/>
    <xf numFmtId="0" fontId="3" fillId="42" borderId="0" xfId="0" applyFont="1" applyFill="1"/>
    <xf numFmtId="184" fontId="0" fillId="42" borderId="0" xfId="0" applyNumberFormat="1" applyFill="1"/>
    <xf numFmtId="0" fontId="46" fillId="42" borderId="0" xfId="0" applyFont="1" applyFill="1"/>
    <xf numFmtId="0" fontId="47" fillId="42" borderId="0" xfId="0" applyFont="1" applyFill="1"/>
    <xf numFmtId="0" fontId="2" fillId="42" borderId="0" xfId="0" applyFont="1" applyFill="1"/>
    <xf numFmtId="1" fontId="3" fillId="42" borderId="0" xfId="0" applyNumberFormat="1" applyFont="1" applyFill="1"/>
    <xf numFmtId="0" fontId="26" fillId="42" borderId="0" xfId="0" applyFont="1" applyFill="1" applyAlignment="1">
      <alignment vertical="center"/>
    </xf>
    <xf numFmtId="0" fontId="2" fillId="42" borderId="0" xfId="0" applyFont="1" applyFill="1" applyAlignment="1">
      <alignment horizontal="center"/>
    </xf>
    <xf numFmtId="0" fontId="5" fillId="42" borderId="0" xfId="0" applyFont="1" applyFill="1" applyAlignment="1">
      <alignment horizontal="center" vertical="center"/>
    </xf>
    <xf numFmtId="0" fontId="3" fillId="41" borderId="0" xfId="0" applyFont="1" applyFill="1" applyAlignment="1">
      <alignment horizontal="right"/>
    </xf>
    <xf numFmtId="0" fontId="3" fillId="41" borderId="0" xfId="0" applyFont="1" applyFill="1" applyAlignment="1">
      <alignment horizontal="center"/>
    </xf>
    <xf numFmtId="0" fontId="0" fillId="42" borderId="5" xfId="0" applyFill="1" applyBorder="1"/>
    <xf numFmtId="0" fontId="48" fillId="42" borderId="0" xfId="0" applyFont="1" applyFill="1" applyAlignment="1">
      <alignment horizontal="center"/>
    </xf>
    <xf numFmtId="0" fontId="3" fillId="41" borderId="0" xfId="0" applyFont="1" applyFill="1" applyAlignment="1">
      <alignment horizontal="left"/>
    </xf>
    <xf numFmtId="0" fontId="0" fillId="42" borderId="0" xfId="0" applyFill="1" applyAlignment="1">
      <alignment horizontal="right"/>
    </xf>
    <xf numFmtId="0" fontId="26" fillId="42" borderId="0" xfId="0" applyFont="1" applyFill="1" applyAlignment="1">
      <alignment vertical="center" wrapText="1"/>
    </xf>
    <xf numFmtId="184" fontId="2" fillId="42" borderId="0" xfId="0" applyNumberFormat="1" applyFont="1" applyFill="1" applyAlignment="1">
      <alignment vertical="top"/>
    </xf>
    <xf numFmtId="0" fontId="4" fillId="42" borderId="0" xfId="0" applyFont="1" applyFill="1"/>
    <xf numFmtId="0" fontId="0" fillId="42" borderId="0" xfId="0" applyFill="1" applyAlignment="1">
      <alignment vertical="top"/>
    </xf>
    <xf numFmtId="184" fontId="0" fillId="42" borderId="0" xfId="0" applyNumberFormat="1" applyFill="1" applyAlignment="1">
      <alignment vertical="top"/>
    </xf>
    <xf numFmtId="9" fontId="49" fillId="42" borderId="0" xfId="0" applyNumberFormat="1" applyFont="1" applyFill="1" applyAlignment="1">
      <alignment vertical="top"/>
    </xf>
    <xf numFmtId="0" fontId="9" fillId="42" borderId="0" xfId="0" applyFont="1" applyFill="1" applyAlignment="1">
      <alignment vertical="top" wrapText="1"/>
    </xf>
    <xf numFmtId="0" fontId="9" fillId="42" borderId="0" xfId="0" applyFont="1" applyFill="1" applyAlignment="1">
      <alignment wrapText="1"/>
    </xf>
    <xf numFmtId="184" fontId="2" fillId="42" borderId="0" xfId="0" applyNumberFormat="1" applyFont="1" applyFill="1" applyAlignment="1">
      <alignment horizontal="center" vertical="top"/>
    </xf>
    <xf numFmtId="184" fontId="0" fillId="42" borderId="7" xfId="0" applyNumberFormat="1" applyFill="1" applyBorder="1" applyAlignment="1">
      <alignment vertical="top"/>
    </xf>
    <xf numFmtId="0" fontId="50" fillId="42" borderId="0" xfId="0" applyFont="1" applyFill="1" applyAlignment="1">
      <alignment vertical="top" wrapText="1"/>
    </xf>
    <xf numFmtId="184" fontId="5" fillId="42" borderId="0" xfId="0" applyNumberFormat="1" applyFont="1" applyFill="1" applyAlignment="1">
      <alignment horizontal="center"/>
    </xf>
    <xf numFmtId="184" fontId="3" fillId="42" borderId="0" xfId="0" applyNumberFormat="1" applyFont="1" applyFill="1"/>
    <xf numFmtId="0" fontId="26" fillId="42" borderId="0" xfId="0" applyFont="1" applyFill="1" applyAlignment="1">
      <alignment vertical="top" wrapText="1"/>
    </xf>
    <xf numFmtId="0" fontId="26" fillId="42" borderId="5" xfId="0" applyFont="1" applyFill="1" applyBorder="1" applyAlignment="1">
      <alignment vertical="center"/>
    </xf>
    <xf numFmtId="0" fontId="51" fillId="43" borderId="42" xfId="65">
      <alignment wrapText="1"/>
    </xf>
    <xf numFmtId="184" fontId="2" fillId="42" borderId="0" xfId="0" applyNumberFormat="1" applyFont="1" applyFill="1" applyAlignment="1">
      <alignment horizontal="center"/>
    </xf>
    <xf numFmtId="184" fontId="22" fillId="19" borderId="0" xfId="0" applyNumberFormat="1" applyFont="1" applyFill="1"/>
    <xf numFmtId="184" fontId="22" fillId="19" borderId="0" xfId="0" applyNumberFormat="1" applyFont="1" applyFill="1" applyAlignment="1">
      <alignment vertical="top"/>
    </xf>
    <xf numFmtId="0" fontId="23" fillId="19" borderId="0" xfId="0" applyFont="1" applyFill="1" applyAlignment="1">
      <alignment vertical="top" wrapText="1"/>
    </xf>
    <xf numFmtId="9" fontId="52" fillId="19" borderId="0" xfId="0" applyNumberFormat="1" applyFont="1" applyFill="1" applyAlignment="1">
      <alignment vertical="top"/>
    </xf>
    <xf numFmtId="184" fontId="22" fillId="42" borderId="0" xfId="0" applyNumberFormat="1" applyFont="1" applyFill="1"/>
    <xf numFmtId="184" fontId="44" fillId="42" borderId="0" xfId="0" applyNumberFormat="1" applyFont="1" applyFill="1" applyAlignment="1">
      <alignment horizontal="center"/>
    </xf>
    <xf numFmtId="184" fontId="22" fillId="42" borderId="0" xfId="0" applyNumberFormat="1" applyFont="1" applyFill="1" applyAlignment="1">
      <alignment vertical="top"/>
    </xf>
    <xf numFmtId="0" fontId="23" fillId="42" borderId="0" xfId="0" applyFont="1" applyFill="1" applyAlignment="1">
      <alignment vertical="top" wrapText="1"/>
    </xf>
    <xf numFmtId="9" fontId="52" fillId="42" borderId="0" xfId="0" applyNumberFormat="1" applyFont="1" applyFill="1" applyAlignment="1">
      <alignment vertical="top"/>
    </xf>
    <xf numFmtId="0" fontId="22" fillId="42" borderId="0" xfId="0" applyFont="1" applyFill="1"/>
    <xf numFmtId="0" fontId="23" fillId="42" borderId="0" xfId="0" applyFont="1" applyFill="1" applyAlignment="1">
      <alignment vertical="center"/>
    </xf>
    <xf numFmtId="0" fontId="26" fillId="42" borderId="4" xfId="0" applyFont="1" applyFill="1" applyBorder="1" applyAlignment="1">
      <alignment vertical="center"/>
    </xf>
    <xf numFmtId="184" fontId="26" fillId="42" borderId="0" xfId="0" applyNumberFormat="1" applyFont="1" applyFill="1"/>
    <xf numFmtId="9" fontId="26" fillId="42" borderId="0" xfId="0" applyNumberFormat="1" applyFont="1" applyFill="1" applyAlignment="1">
      <alignment vertical="top"/>
    </xf>
    <xf numFmtId="9" fontId="49" fillId="42" borderId="7" xfId="0" applyNumberFormat="1" applyFont="1" applyFill="1" applyBorder="1" applyAlignment="1">
      <alignment vertical="top"/>
    </xf>
    <xf numFmtId="9" fontId="23" fillId="19" borderId="0" xfId="0" applyNumberFormat="1" applyFont="1" applyFill="1" applyAlignment="1">
      <alignment vertical="top"/>
    </xf>
    <xf numFmtId="0" fontId="53" fillId="19" borderId="0" xfId="0" applyFont="1" applyFill="1" applyAlignment="1">
      <alignment vertical="top" wrapText="1"/>
    </xf>
    <xf numFmtId="9" fontId="23" fillId="42" borderId="0" xfId="0" applyNumberFormat="1" applyFont="1" applyFill="1" applyAlignment="1">
      <alignment vertical="top"/>
    </xf>
    <xf numFmtId="0" fontId="53" fillId="42" borderId="0" xfId="0" applyFont="1" applyFill="1" applyAlignment="1">
      <alignment vertical="top" wrapText="1"/>
    </xf>
    <xf numFmtId="184" fontId="3" fillId="42" borderId="10" xfId="0" applyNumberFormat="1" applyFont="1" applyFill="1" applyBorder="1"/>
    <xf numFmtId="0" fontId="26" fillId="42" borderId="0" xfId="0" applyFont="1" applyFill="1"/>
    <xf numFmtId="0" fontId="26" fillId="42" borderId="0" xfId="0" applyFont="1" applyFill="1" applyAlignment="1">
      <alignment wrapText="1"/>
    </xf>
    <xf numFmtId="0" fontId="22" fillId="0" borderId="0" xfId="0" applyFont="1"/>
    <xf numFmtId="0" fontId="3" fillId="42" borderId="0" xfId="0" applyFont="1" applyFill="1" applyAlignment="1">
      <alignment horizontal="center"/>
    </xf>
    <xf numFmtId="0" fontId="26" fillId="41" borderId="1" xfId="0" applyFont="1" applyFill="1" applyBorder="1"/>
    <xf numFmtId="0" fontId="31" fillId="41" borderId="2" xfId="0" applyFont="1" applyFill="1" applyBorder="1" applyAlignment="1">
      <alignment horizontal="right"/>
    </xf>
    <xf numFmtId="0" fontId="26" fillId="41" borderId="2" xfId="0" applyFont="1" applyFill="1" applyBorder="1"/>
    <xf numFmtId="0" fontId="54" fillId="41" borderId="2" xfId="0" applyFont="1" applyFill="1" applyBorder="1" applyAlignment="1">
      <alignment horizontal="right"/>
    </xf>
    <xf numFmtId="0" fontId="26" fillId="41" borderId="3" xfId="0" applyFont="1" applyFill="1" applyBorder="1"/>
    <xf numFmtId="0" fontId="31" fillId="41" borderId="4" xfId="0" applyFont="1" applyFill="1" applyBorder="1"/>
    <xf numFmtId="0" fontId="31" fillId="41" borderId="0" xfId="0" applyFont="1" applyFill="1" applyAlignment="1">
      <alignment horizontal="right"/>
    </xf>
    <xf numFmtId="0" fontId="26" fillId="41" borderId="0" xfId="0" applyFont="1" applyFill="1"/>
    <xf numFmtId="17" fontId="54" fillId="41" borderId="0" xfId="0" applyNumberFormat="1" applyFont="1" applyFill="1" applyAlignment="1">
      <alignment horizontal="right"/>
    </xf>
    <xf numFmtId="0" fontId="26" fillId="41" borderId="5" xfId="0" applyFont="1" applyFill="1" applyBorder="1"/>
    <xf numFmtId="0" fontId="31" fillId="42" borderId="4" xfId="0" applyFont="1" applyFill="1" applyBorder="1"/>
    <xf numFmtId="0" fontId="26" fillId="42" borderId="0" xfId="0" applyFont="1" applyFill="1" applyAlignment="1">
      <alignment horizontal="right"/>
    </xf>
    <xf numFmtId="0" fontId="26" fillId="42" borderId="5" xfId="0" applyFont="1" applyFill="1" applyBorder="1"/>
    <xf numFmtId="0" fontId="23" fillId="42" borderId="0" xfId="0" applyFont="1" applyFill="1"/>
    <xf numFmtId="0" fontId="23" fillId="42" borderId="5" xfId="0" applyFont="1" applyFill="1" applyBorder="1"/>
    <xf numFmtId="184" fontId="26" fillId="42" borderId="0" xfId="0" applyNumberFormat="1" applyFont="1" applyFill="1" applyAlignment="1">
      <alignment vertical="center"/>
    </xf>
    <xf numFmtId="184" fontId="26" fillId="42" borderId="7" xfId="0" applyNumberFormat="1" applyFont="1" applyFill="1" applyBorder="1" applyAlignment="1">
      <alignment vertical="center"/>
    </xf>
    <xf numFmtId="184" fontId="31" fillId="42" borderId="0" xfId="0" applyNumberFormat="1" applyFont="1" applyFill="1" applyAlignment="1">
      <alignment vertical="center"/>
    </xf>
    <xf numFmtId="0" fontId="31" fillId="42" borderId="4" xfId="0" applyFont="1" applyFill="1" applyBorder="1" applyAlignment="1">
      <alignment vertical="center"/>
    </xf>
    <xf numFmtId="0" fontId="55" fillId="42" borderId="0" xfId="0" applyFont="1" applyFill="1" applyAlignment="1">
      <alignment vertical="center"/>
    </xf>
    <xf numFmtId="9" fontId="56" fillId="42" borderId="0" xfId="0" applyNumberFormat="1" applyFont="1" applyFill="1" applyAlignment="1">
      <alignment vertical="center"/>
    </xf>
    <xf numFmtId="9" fontId="56" fillId="42" borderId="0" xfId="0" applyNumberFormat="1" applyFont="1" applyFill="1"/>
    <xf numFmtId="184" fontId="31" fillId="42" borderId="7" xfId="0" applyNumberFormat="1" applyFont="1" applyFill="1" applyBorder="1" applyAlignment="1">
      <alignment vertical="center"/>
    </xf>
    <xf numFmtId="9" fontId="55" fillId="42" borderId="0" xfId="0" applyNumberFormat="1" applyFont="1" applyFill="1"/>
    <xf numFmtId="184" fontId="31" fillId="42" borderId="10" xfId="0" applyNumberFormat="1" applyFont="1" applyFill="1" applyBorder="1" applyAlignment="1">
      <alignment vertical="center"/>
    </xf>
    <xf numFmtId="9" fontId="56" fillId="42" borderId="5" xfId="0" applyNumberFormat="1" applyFont="1" applyFill="1" applyBorder="1" applyAlignment="1">
      <alignment vertical="center"/>
    </xf>
    <xf numFmtId="184" fontId="31" fillId="42" borderId="43" xfId="0" applyNumberFormat="1" applyFont="1" applyFill="1" applyBorder="1" applyAlignment="1">
      <alignment vertical="center"/>
    </xf>
    <xf numFmtId="184" fontId="31" fillId="42" borderId="44" xfId="0" applyNumberFormat="1" applyFont="1" applyFill="1" applyBorder="1" applyAlignment="1">
      <alignment vertical="center"/>
    </xf>
    <xf numFmtId="0" fontId="57" fillId="42" borderId="6" xfId="0" applyFont="1" applyFill="1" applyBorder="1" applyAlignment="1">
      <alignment vertical="center"/>
    </xf>
    <xf numFmtId="0" fontId="57" fillId="42" borderId="7" xfId="0" applyFont="1" applyFill="1" applyBorder="1" applyAlignment="1">
      <alignment vertical="center"/>
    </xf>
    <xf numFmtId="0" fontId="58" fillId="42" borderId="7" xfId="0" applyFont="1" applyFill="1" applyBorder="1" applyAlignment="1">
      <alignment vertical="center"/>
    </xf>
    <xf numFmtId="0" fontId="57" fillId="42" borderId="8" xfId="0" applyFont="1" applyFill="1" applyBorder="1" applyAlignment="1">
      <alignment vertical="center"/>
    </xf>
    <xf numFmtId="0" fontId="59" fillId="42" borderId="0" xfId="0" applyFont="1" applyFill="1" applyAlignment="1">
      <alignment horizontal="center" vertical="top" wrapText="1"/>
    </xf>
    <xf numFmtId="0" fontId="2" fillId="0" borderId="0" xfId="0" applyFont="1" applyAlignment="1">
      <alignment horizontal="center"/>
    </xf>
    <xf numFmtId="0" fontId="0" fillId="42" borderId="0" xfId="0" applyFill="1" applyAlignment="1">
      <alignment vertical="center"/>
    </xf>
    <xf numFmtId="0" fontId="3" fillId="42" borderId="0" xfId="0" applyFont="1" applyFill="1" applyAlignment="1">
      <alignment horizontal="center" vertical="center"/>
    </xf>
    <xf numFmtId="0" fontId="0" fillId="42" borderId="0" xfId="0" applyFill="1" applyAlignment="1">
      <alignment horizontal="right" vertical="center"/>
    </xf>
    <xf numFmtId="0" fontId="3" fillId="0" borderId="0" xfId="0" applyFont="1" applyAlignment="1">
      <alignment horizontal="center" vertical="center"/>
    </xf>
    <xf numFmtId="0" fontId="0" fillId="42" borderId="0" xfId="0" applyFill="1" applyAlignment="1">
      <alignment horizontal="center" vertical="center"/>
    </xf>
    <xf numFmtId="0" fontId="3" fillId="42" borderId="0" xfId="0" applyFont="1" applyFill="1" applyAlignment="1">
      <alignment vertical="center"/>
    </xf>
    <xf numFmtId="0" fontId="16" fillId="44" borderId="26" xfId="0" applyFont="1" applyFill="1" applyBorder="1" applyAlignment="1">
      <alignment horizontal="right" vertical="center"/>
    </xf>
    <xf numFmtId="0" fontId="2" fillId="42" borderId="0" xfId="0" applyFont="1" applyFill="1" applyAlignment="1">
      <alignment horizontal="center" vertical="center"/>
    </xf>
    <xf numFmtId="182" fontId="0" fillId="42" borderId="0" xfId="29" applyNumberFormat="1" applyFont="1" applyFill="1" applyBorder="1" applyAlignment="1">
      <alignment vertical="center"/>
    </xf>
    <xf numFmtId="184" fontId="0" fillId="42" borderId="0" xfId="29" applyNumberFormat="1" applyFont="1" applyFill="1" applyBorder="1" applyAlignment="1">
      <alignment vertical="center"/>
    </xf>
    <xf numFmtId="0" fontId="16" fillId="44" borderId="26" xfId="0" applyFont="1" applyFill="1" applyBorder="1" applyAlignment="1">
      <alignment horizontal="center" vertical="center"/>
    </xf>
    <xf numFmtId="0" fontId="46" fillId="42" borderId="26" xfId="0" applyFont="1" applyFill="1" applyBorder="1" applyAlignment="1">
      <alignment horizontal="center" vertical="center"/>
    </xf>
    <xf numFmtId="0" fontId="63" fillId="0" borderId="0" xfId="0" applyFont="1" applyAlignment="1">
      <alignment horizontal="left" vertical="center"/>
    </xf>
    <xf numFmtId="0" fontId="30" fillId="0" borderId="0" xfId="0" applyFont="1" applyAlignment="1">
      <alignment horizontal="justify" vertical="center"/>
    </xf>
    <xf numFmtId="0" fontId="28" fillId="42" borderId="0" xfId="0" applyFont="1" applyFill="1"/>
    <xf numFmtId="0" fontId="46" fillId="42" borderId="0" xfId="0" applyFont="1" applyFill="1" applyAlignment="1">
      <alignment horizontal="right"/>
    </xf>
    <xf numFmtId="0" fontId="0" fillId="42" borderId="0" xfId="0" applyFill="1" applyAlignment="1">
      <alignment horizontal="center"/>
    </xf>
    <xf numFmtId="0" fontId="0" fillId="42" borderId="7" xfId="0" applyFill="1" applyBorder="1"/>
    <xf numFmtId="0" fontId="0" fillId="42" borderId="35" xfId="0" applyFill="1" applyBorder="1"/>
    <xf numFmtId="0" fontId="0" fillId="42" borderId="36" xfId="0" applyFill="1" applyBorder="1"/>
    <xf numFmtId="0" fontId="47" fillId="42" borderId="36" xfId="0" applyFont="1" applyFill="1" applyBorder="1" applyAlignment="1">
      <alignment horizontal="center"/>
    </xf>
    <xf numFmtId="0" fontId="47" fillId="42" borderId="37" xfId="0" applyFont="1" applyFill="1" applyBorder="1" applyAlignment="1">
      <alignment horizontal="center"/>
    </xf>
    <xf numFmtId="0" fontId="0" fillId="42" borderId="37" xfId="0" applyFill="1" applyBorder="1"/>
    <xf numFmtId="0" fontId="0" fillId="42" borderId="8" xfId="0" applyFill="1" applyBorder="1"/>
    <xf numFmtId="0" fontId="47" fillId="0" borderId="0" xfId="0" applyFont="1"/>
    <xf numFmtId="0" fontId="0" fillId="42" borderId="3" xfId="0" applyFill="1" applyBorder="1"/>
    <xf numFmtId="0" fontId="0" fillId="42" borderId="36" xfId="0" applyFill="1" applyBorder="1" applyAlignment="1">
      <alignment horizontal="center"/>
    </xf>
    <xf numFmtId="0" fontId="0" fillId="42" borderId="37" xfId="0" applyFill="1" applyBorder="1" applyAlignment="1">
      <alignment horizontal="center"/>
    </xf>
    <xf numFmtId="0" fontId="16" fillId="42" borderId="0" xfId="0" applyFont="1" applyFill="1"/>
    <xf numFmtId="1" fontId="0" fillId="0" borderId="0" xfId="0" applyNumberFormat="1"/>
    <xf numFmtId="0" fontId="12" fillId="42" borderId="0" xfId="0" applyFont="1" applyFill="1"/>
    <xf numFmtId="0" fontId="8" fillId="7" borderId="0" xfId="9" applyNumberFormat="1"/>
    <xf numFmtId="14" fontId="8" fillId="7" borderId="0" xfId="9" applyNumberFormat="1"/>
    <xf numFmtId="0" fontId="1" fillId="0" borderId="0" xfId="62"/>
    <xf numFmtId="1" fontId="0" fillId="42" borderId="0" xfId="0" applyNumberFormat="1" applyFill="1"/>
    <xf numFmtId="167" fontId="1" fillId="8" borderId="46" xfId="5" applyBorder="1"/>
    <xf numFmtId="167" fontId="1" fillId="8" borderId="48" xfId="5" applyBorder="1"/>
    <xf numFmtId="167" fontId="1" fillId="8" borderId="49" xfId="5" applyBorder="1"/>
    <xf numFmtId="1" fontId="0" fillId="42" borderId="35" xfId="0" applyNumberFormat="1" applyFill="1" applyBorder="1"/>
    <xf numFmtId="0" fontId="0" fillId="42" borderId="2" xfId="0" applyFill="1" applyBorder="1"/>
    <xf numFmtId="167" fontId="1" fillId="8" borderId="51" xfId="5" applyBorder="1"/>
    <xf numFmtId="167" fontId="1" fillId="8" borderId="52" xfId="5" applyBorder="1"/>
    <xf numFmtId="167" fontId="1" fillId="8" borderId="53" xfId="5" applyBorder="1"/>
    <xf numFmtId="172" fontId="1" fillId="8" borderId="51" xfId="44" applyBorder="1"/>
    <xf numFmtId="172" fontId="1" fillId="8" borderId="52" xfId="44" applyBorder="1"/>
    <xf numFmtId="172" fontId="1" fillId="8" borderId="53" xfId="44" applyBorder="1"/>
    <xf numFmtId="182" fontId="30" fillId="42" borderId="0" xfId="29" applyNumberFormat="1" applyFont="1" applyFill="1" applyBorder="1" applyAlignment="1">
      <alignment horizontal="right" vertical="center"/>
    </xf>
    <xf numFmtId="182" fontId="62" fillId="42" borderId="0" xfId="29" applyNumberFormat="1" applyFont="1" applyFill="1" applyBorder="1" applyAlignment="1">
      <alignment horizontal="right" vertical="center"/>
    </xf>
    <xf numFmtId="167" fontId="3" fillId="27" borderId="15" xfId="8" applyBorder="1"/>
    <xf numFmtId="0" fontId="12" fillId="0" borderId="0" xfId="0" applyFont="1" applyAlignment="1">
      <alignment vertical="center"/>
    </xf>
    <xf numFmtId="184" fontId="41" fillId="42" borderId="0" xfId="63" applyNumberFormat="1" applyFill="1" applyBorder="1"/>
    <xf numFmtId="0" fontId="41" fillId="42" borderId="0" xfId="63" applyFill="1" applyBorder="1"/>
    <xf numFmtId="0" fontId="64" fillId="42" borderId="0" xfId="0" applyFont="1" applyFill="1"/>
    <xf numFmtId="0" fontId="62" fillId="42" borderId="0" xfId="0" applyFont="1" applyFill="1" applyAlignment="1">
      <alignment vertical="center"/>
    </xf>
    <xf numFmtId="0" fontId="62" fillId="42" borderId="0" xfId="0" applyFont="1" applyFill="1" applyAlignment="1">
      <alignment horizontal="right" vertical="center"/>
    </xf>
    <xf numFmtId="167" fontId="3" fillId="42" borderId="0" xfId="8" applyFill="1" applyBorder="1"/>
    <xf numFmtId="0" fontId="2" fillId="45" borderId="0" xfId="0" quotePrefix="1" applyFont="1" applyFill="1" applyAlignment="1">
      <alignment horizontal="left" vertical="center"/>
    </xf>
    <xf numFmtId="167" fontId="1" fillId="8" borderId="54" xfId="5" applyBorder="1"/>
    <xf numFmtId="15" fontId="16" fillId="42" borderId="0" xfId="0" applyNumberFormat="1" applyFont="1" applyFill="1" applyAlignment="1">
      <alignment horizontal="left"/>
    </xf>
    <xf numFmtId="0" fontId="30" fillId="42" borderId="0" xfId="0" applyFont="1" applyFill="1" applyAlignment="1">
      <alignment horizontal="right" vertical="center"/>
    </xf>
    <xf numFmtId="182" fontId="0" fillId="41" borderId="0" xfId="29" applyNumberFormat="1" applyFont="1" applyFill="1" applyBorder="1" applyAlignment="1">
      <alignment vertical="center"/>
    </xf>
    <xf numFmtId="0" fontId="30" fillId="42" borderId="0" xfId="0" applyFont="1" applyFill="1" applyAlignment="1">
      <alignment vertical="center"/>
    </xf>
    <xf numFmtId="0" fontId="65" fillId="45" borderId="0" xfId="0" applyFont="1" applyFill="1" applyAlignment="1">
      <alignment horizontal="center" vertical="center"/>
    </xf>
    <xf numFmtId="0" fontId="65" fillId="45" borderId="0" xfId="0" applyFont="1" applyFill="1" applyAlignment="1">
      <alignment vertical="center"/>
    </xf>
    <xf numFmtId="0" fontId="2" fillId="45" borderId="0" xfId="0" applyFont="1" applyFill="1" applyAlignment="1">
      <alignment horizontal="right" vertical="center"/>
    </xf>
    <xf numFmtId="0" fontId="2" fillId="45" borderId="0" xfId="0" applyFont="1" applyFill="1" applyAlignment="1">
      <alignment horizontal="center" vertical="center"/>
    </xf>
    <xf numFmtId="43" fontId="2" fillId="42" borderId="0" xfId="29" applyFont="1" applyFill="1" applyBorder="1" applyAlignment="1">
      <alignment horizontal="right" vertical="center"/>
    </xf>
    <xf numFmtId="43" fontId="2" fillId="42" borderId="0" xfId="29" applyFont="1" applyFill="1" applyBorder="1" applyAlignment="1">
      <alignment horizontal="center" vertical="center"/>
    </xf>
    <xf numFmtId="0" fontId="47" fillId="42" borderId="35" xfId="0" applyFont="1" applyFill="1" applyBorder="1" applyAlignment="1" applyProtection="1">
      <alignment horizontal="center"/>
      <protection locked="0"/>
    </xf>
    <xf numFmtId="167" fontId="1" fillId="3" borderId="15" xfId="7" applyBorder="1" applyProtection="1">
      <protection locked="0"/>
    </xf>
    <xf numFmtId="0" fontId="42" fillId="7" borderId="0" xfId="0" applyFont="1" applyFill="1" applyAlignment="1">
      <alignment horizontal="right"/>
    </xf>
    <xf numFmtId="0" fontId="42" fillId="7" borderId="0" xfId="0" applyFont="1" applyFill="1" applyAlignment="1">
      <alignment horizontal="center" wrapText="1"/>
    </xf>
    <xf numFmtId="0" fontId="42" fillId="46" borderId="0" xfId="0" applyFont="1" applyFill="1" applyAlignment="1">
      <alignment horizontal="right"/>
    </xf>
    <xf numFmtId="0" fontId="66" fillId="7" borderId="0" xfId="0" applyFont="1" applyFill="1" applyAlignment="1">
      <alignment vertical="center"/>
    </xf>
    <xf numFmtId="15" fontId="42" fillId="7" borderId="0" xfId="0" applyNumberFormat="1" applyFont="1" applyFill="1" applyAlignment="1">
      <alignment horizontal="right" vertical="center"/>
    </xf>
    <xf numFmtId="0" fontId="42" fillId="7" borderId="0" xfId="0" applyFont="1" applyFill="1" applyAlignment="1">
      <alignment horizontal="right" vertical="center"/>
    </xf>
    <xf numFmtId="0" fontId="42" fillId="7" borderId="0" xfId="0" applyFont="1" applyFill="1" applyAlignment="1">
      <alignment horizontal="center" vertical="center"/>
    </xf>
    <xf numFmtId="0" fontId="42" fillId="7" borderId="0" xfId="0" applyFont="1" applyFill="1" applyAlignment="1">
      <alignment vertical="center"/>
    </xf>
    <xf numFmtId="0" fontId="0" fillId="41" borderId="0" xfId="0" applyFill="1"/>
    <xf numFmtId="0" fontId="3" fillId="41" borderId="0" xfId="0" applyFont="1" applyFill="1"/>
    <xf numFmtId="0" fontId="51" fillId="43" borderId="55" xfId="65" applyBorder="1">
      <alignment wrapText="1"/>
    </xf>
    <xf numFmtId="9" fontId="26" fillId="42" borderId="0" xfId="0" applyNumberFormat="1" applyFont="1" applyFill="1" applyAlignment="1">
      <alignment horizontal="left" vertical="top"/>
    </xf>
    <xf numFmtId="167" fontId="0" fillId="42" borderId="0" xfId="0" applyNumberFormat="1" applyFill="1"/>
    <xf numFmtId="167" fontId="12" fillId="42" borderId="0" xfId="0" applyNumberFormat="1" applyFont="1" applyFill="1"/>
    <xf numFmtId="167" fontId="12" fillId="42" borderId="0" xfId="0" applyNumberFormat="1" applyFont="1" applyFill="1" applyAlignment="1">
      <alignment vertical="center"/>
    </xf>
    <xf numFmtId="15" fontId="60" fillId="42" borderId="0" xfId="0" applyNumberFormat="1" applyFont="1" applyFill="1" applyAlignment="1">
      <alignment horizontal="left"/>
    </xf>
    <xf numFmtId="17" fontId="12" fillId="42" borderId="0" xfId="0" applyNumberFormat="1" applyFont="1" applyFill="1"/>
    <xf numFmtId="186" fontId="0" fillId="0" borderId="0" xfId="0" applyNumberFormat="1" applyAlignment="1">
      <alignment horizontal="center"/>
    </xf>
    <xf numFmtId="167" fontId="0" fillId="0" borderId="0" xfId="0" applyNumberFormat="1"/>
    <xf numFmtId="166" fontId="1" fillId="3" borderId="14" xfId="66">
      <protection locked="0"/>
    </xf>
    <xf numFmtId="164" fontId="3" fillId="0" borderId="0" xfId="0" applyNumberFormat="1" applyFont="1"/>
    <xf numFmtId="0" fontId="0" fillId="0" borderId="0" xfId="0" applyAlignment="1">
      <alignment horizontal="center" vertical="center" wrapText="1"/>
    </xf>
    <xf numFmtId="0" fontId="4" fillId="0" borderId="0" xfId="0" applyFont="1" applyAlignment="1">
      <alignment horizontal="center" vertical="center" wrapText="1"/>
    </xf>
    <xf numFmtId="0" fontId="42" fillId="7" borderId="0" xfId="0" applyFont="1" applyFill="1" applyAlignment="1">
      <alignment horizontal="center"/>
    </xf>
    <xf numFmtId="0" fontId="60" fillId="42" borderId="0" xfId="0" applyFont="1" applyFill="1" applyAlignment="1">
      <alignment horizontal="left" vertical="top" wrapText="1"/>
    </xf>
    <xf numFmtId="0" fontId="59" fillId="42" borderId="0" xfId="0" applyFont="1" applyFill="1" applyAlignment="1">
      <alignment horizontal="left" vertical="top" wrapText="1"/>
    </xf>
    <xf numFmtId="0" fontId="65" fillId="42" borderId="0" xfId="0" applyFont="1" applyFill="1" applyAlignment="1">
      <alignment vertical="center"/>
    </xf>
    <xf numFmtId="0" fontId="51" fillId="42" borderId="0" xfId="65" applyFill="1" applyBorder="1">
      <alignment wrapText="1"/>
    </xf>
    <xf numFmtId="0" fontId="54" fillId="41" borderId="0" xfId="0" applyFont="1" applyFill="1" applyAlignment="1">
      <alignment horizontal="right" wrapText="1"/>
    </xf>
    <xf numFmtId="184" fontId="22" fillId="0" borderId="0" xfId="0" applyNumberFormat="1" applyFont="1"/>
    <xf numFmtId="10" fontId="1" fillId="3" borderId="11" xfId="41" applyAlignment="1" applyProtection="1">
      <alignment horizontal="center" wrapText="1"/>
      <protection locked="0"/>
    </xf>
    <xf numFmtId="167" fontId="1" fillId="3" borderId="11" xfId="7" quotePrefix="1" applyProtection="1">
      <protection locked="0"/>
    </xf>
    <xf numFmtId="167" fontId="1" fillId="6" borderId="11" xfId="4" quotePrefix="1" applyProtection="1">
      <protection locked="0"/>
    </xf>
    <xf numFmtId="167" fontId="1" fillId="30" borderId="11" xfId="7" quotePrefix="1" applyFill="1" applyProtection="1">
      <protection locked="0"/>
    </xf>
    <xf numFmtId="167" fontId="1" fillId="19" borderId="11" xfId="5" applyFill="1"/>
    <xf numFmtId="0" fontId="5" fillId="42" borderId="0" xfId="0" applyFont="1" applyFill="1"/>
    <xf numFmtId="169" fontId="1" fillId="27" borderId="11" xfId="55" applyFill="1" applyProtection="1"/>
    <xf numFmtId="169" fontId="1" fillId="19" borderId="11" xfId="55" applyFill="1" applyProtection="1"/>
    <xf numFmtId="0" fontId="10" fillId="9" borderId="0" xfId="17" quotePrefix="1" applyNumberFormat="1">
      <alignment vertical="center"/>
    </xf>
    <xf numFmtId="167" fontId="69" fillId="7" borderId="0" xfId="9" applyFont="1"/>
    <xf numFmtId="167" fontId="1" fillId="8" borderId="15" xfId="5" applyBorder="1"/>
    <xf numFmtId="167" fontId="1" fillId="8" borderId="26" xfId="5" applyBorder="1"/>
    <xf numFmtId="183" fontId="4" fillId="0" borderId="0" xfId="0" applyNumberFormat="1" applyFont="1" applyAlignment="1">
      <alignment horizontal="left"/>
    </xf>
    <xf numFmtId="183" fontId="4" fillId="0" borderId="0" xfId="0" applyNumberFormat="1" applyFont="1" applyAlignment="1">
      <alignment horizontal="left" wrapText="1"/>
    </xf>
    <xf numFmtId="167" fontId="13" fillId="7" borderId="0" xfId="35" applyNumberFormat="1" applyFill="1"/>
    <xf numFmtId="166" fontId="13" fillId="8" borderId="11" xfId="35" applyNumberFormat="1" applyFill="1" applyBorder="1" applyAlignment="1">
      <alignment wrapText="1"/>
    </xf>
    <xf numFmtId="0" fontId="0" fillId="42" borderId="0" xfId="0" applyFill="1" applyAlignment="1">
      <alignment vertical="center" wrapText="1"/>
    </xf>
    <xf numFmtId="0" fontId="3" fillId="0" borderId="6" xfId="0" applyFont="1" applyBorder="1" applyAlignment="1">
      <alignment vertical="top" wrapText="1"/>
    </xf>
    <xf numFmtId="0" fontId="0" fillId="6" borderId="7" xfId="0" applyFill="1" applyBorder="1" applyAlignment="1">
      <alignment horizontal="left" vertical="center"/>
    </xf>
    <xf numFmtId="164" fontId="13" fillId="0" borderId="0" xfId="35" applyNumberFormat="1" applyAlignment="1" applyProtection="1">
      <alignment horizontal="center"/>
    </xf>
    <xf numFmtId="179" fontId="13" fillId="0" borderId="0" xfId="35" applyNumberFormat="1" applyAlignment="1" applyProtection="1">
      <alignment horizontal="center" vertical="center"/>
    </xf>
    <xf numFmtId="0" fontId="3" fillId="0" borderId="4" xfId="0" applyFont="1" applyBorder="1" applyAlignment="1">
      <alignment horizontal="centerContinuous"/>
    </xf>
    <xf numFmtId="0" fontId="3" fillId="0" borderId="0" xfId="0" applyFont="1" applyAlignment="1">
      <alignment horizontal="centerContinuous"/>
    </xf>
    <xf numFmtId="0" fontId="3" fillId="0" borderId="5" xfId="0" applyFont="1" applyBorder="1" applyAlignment="1">
      <alignment horizontal="centerContinuous"/>
    </xf>
    <xf numFmtId="0" fontId="1" fillId="2" borderId="0" xfId="1" applyAlignment="1" applyProtection="1">
      <alignment textRotation="90" wrapText="1"/>
    </xf>
    <xf numFmtId="0" fontId="0" fillId="0" borderId="6" xfId="0" applyBorder="1"/>
    <xf numFmtId="0" fontId="0" fillId="0" borderId="8" xfId="0" applyBorder="1"/>
    <xf numFmtId="0" fontId="10" fillId="9" borderId="0" xfId="17" applyNumberFormat="1" applyAlignment="1">
      <alignment wrapText="1"/>
    </xf>
    <xf numFmtId="174" fontId="0" fillId="0" borderId="0" xfId="0" applyNumberFormat="1"/>
    <xf numFmtId="0" fontId="0" fillId="34" borderId="0" xfId="0" applyFill="1" applyAlignment="1">
      <alignment wrapText="1"/>
    </xf>
    <xf numFmtId="0" fontId="0" fillId="0" borderId="0" xfId="53" applyFont="1" applyFill="1"/>
    <xf numFmtId="10" fontId="3" fillId="0" borderId="0" xfId="0" applyNumberFormat="1" applyFont="1"/>
    <xf numFmtId="10" fontId="1" fillId="27" borderId="11" xfId="60"/>
    <xf numFmtId="0" fontId="9" fillId="0" borderId="0" xfId="53" applyFont="1" applyFill="1" applyAlignment="1">
      <alignment vertical="center"/>
    </xf>
    <xf numFmtId="0" fontId="25" fillId="0" borderId="0" xfId="0" applyFont="1" applyAlignment="1">
      <alignment vertical="center" wrapText="1"/>
    </xf>
    <xf numFmtId="180" fontId="0" fillId="0" borderId="0" xfId="0" applyNumberFormat="1"/>
    <xf numFmtId="167" fontId="8" fillId="7" borderId="0" xfId="9" applyAlignment="1">
      <alignment horizontal="center" vertical="center"/>
    </xf>
    <xf numFmtId="167" fontId="0" fillId="19" borderId="11" xfId="7" applyFont="1" applyFill="1" applyAlignment="1">
      <alignment wrapText="1"/>
    </xf>
    <xf numFmtId="0" fontId="0" fillId="0" borderId="26" xfId="0" applyBorder="1" applyAlignment="1">
      <alignment vertical="center" wrapText="1"/>
    </xf>
    <xf numFmtId="0" fontId="0" fillId="0" borderId="26" xfId="0" applyBorder="1" applyAlignment="1">
      <alignment wrapText="1"/>
    </xf>
    <xf numFmtId="166" fontId="13" fillId="8" borderId="11" xfId="35" applyNumberFormat="1" applyFill="1" applyBorder="1" applyAlignment="1" applyProtection="1">
      <alignment vertical="center" wrapText="1"/>
    </xf>
    <xf numFmtId="0" fontId="1" fillId="2" borderId="0" xfId="1" applyAlignment="1" applyProtection="1">
      <alignment vertical="center" wrapText="1"/>
    </xf>
    <xf numFmtId="0" fontId="1" fillId="2" borderId="0" xfId="1" applyAlignment="1" applyProtection="1">
      <alignment vertical="center"/>
    </xf>
    <xf numFmtId="183" fontId="0" fillId="0" borderId="0" xfId="0" applyNumberFormat="1" applyAlignment="1">
      <alignment horizontal="left"/>
    </xf>
    <xf numFmtId="0" fontId="12" fillId="0" borderId="0" xfId="0" applyFont="1"/>
    <xf numFmtId="0" fontId="42" fillId="0" borderId="0" xfId="0" applyFont="1"/>
    <xf numFmtId="0" fontId="45" fillId="42" borderId="0" xfId="0" applyFont="1" applyFill="1"/>
    <xf numFmtId="0" fontId="12" fillId="0" borderId="0" xfId="0" applyFont="1" applyAlignment="1">
      <alignment wrapText="1"/>
    </xf>
    <xf numFmtId="0" fontId="12" fillId="2" borderId="0" xfId="1" applyFont="1" applyProtection="1"/>
    <xf numFmtId="10" fontId="1" fillId="3" borderId="14" xfId="7" applyNumberFormat="1" applyBorder="1" applyProtection="1">
      <protection locked="0"/>
    </xf>
    <xf numFmtId="167" fontId="13" fillId="28" borderId="0" xfId="35" applyNumberFormat="1" applyFill="1" applyProtection="1"/>
    <xf numFmtId="166" fontId="13" fillId="8" borderId="11" xfId="35" applyNumberFormat="1" applyFill="1" applyBorder="1" applyAlignment="1" applyProtection="1">
      <alignment wrapText="1"/>
    </xf>
    <xf numFmtId="0" fontId="13" fillId="0" borderId="0" xfId="35" applyAlignment="1" applyProtection="1">
      <alignment vertical="center"/>
    </xf>
    <xf numFmtId="0" fontId="4" fillId="0" borderId="0" xfId="0" applyFont="1" applyAlignment="1">
      <alignment vertical="center"/>
    </xf>
    <xf numFmtId="0" fontId="13" fillId="0" borderId="0" xfId="35" applyFill="1" applyAlignment="1" applyProtection="1">
      <alignment vertical="center"/>
    </xf>
    <xf numFmtId="166" fontId="13" fillId="8" borderId="15" xfId="35" applyNumberFormat="1" applyFill="1" applyBorder="1" applyAlignment="1" applyProtection="1">
      <alignment vertical="center" wrapText="1"/>
    </xf>
    <xf numFmtId="0" fontId="4" fillId="0" borderId="0" xfId="0" applyFont="1" applyAlignment="1">
      <alignment vertical="center" wrapText="1"/>
    </xf>
    <xf numFmtId="0" fontId="26" fillId="0" borderId="0" xfId="53" applyFill="1" applyAlignment="1">
      <alignment vertical="center"/>
    </xf>
    <xf numFmtId="0" fontId="0" fillId="2" borderId="0" xfId="1" applyFont="1" applyAlignment="1" applyProtection="1">
      <alignment vertical="center"/>
    </xf>
    <xf numFmtId="0" fontId="15" fillId="0" borderId="0" xfId="0" applyFont="1"/>
    <xf numFmtId="43" fontId="10" fillId="9" borderId="0" xfId="17" applyNumberFormat="1">
      <alignment vertical="center"/>
    </xf>
    <xf numFmtId="0" fontId="0" fillId="0" borderId="0" xfId="53" applyFont="1" applyFill="1" applyAlignment="1">
      <alignment vertical="center" wrapText="1"/>
    </xf>
    <xf numFmtId="0" fontId="0" fillId="0" borderId="0" xfId="53" applyFont="1" applyFill="1" applyAlignment="1">
      <alignment vertical="center"/>
    </xf>
    <xf numFmtId="14" fontId="4" fillId="19" borderId="11" xfId="47" applyNumberFormat="1"/>
    <xf numFmtId="0" fontId="3" fillId="42" borderId="1" xfId="0" applyFont="1" applyFill="1" applyBorder="1"/>
    <xf numFmtId="0" fontId="3" fillId="42" borderId="2" xfId="0" applyFont="1" applyFill="1" applyBorder="1" applyAlignment="1">
      <alignment horizontal="right"/>
    </xf>
    <xf numFmtId="0" fontId="0" fillId="42" borderId="4" xfId="0" applyFill="1" applyBorder="1"/>
    <xf numFmtId="0" fontId="0" fillId="0" borderId="4" xfId="0" applyBorder="1"/>
    <xf numFmtId="187" fontId="0" fillId="23" borderId="0" xfId="0" applyNumberFormat="1" applyFill="1"/>
    <xf numFmtId="187" fontId="0" fillId="48" borderId="0" xfId="0" applyNumberFormat="1" applyFill="1"/>
    <xf numFmtId="187" fontId="0" fillId="46" borderId="0" xfId="0" applyNumberFormat="1" applyFill="1"/>
    <xf numFmtId="187" fontId="0" fillId="47" borderId="0" xfId="0" applyNumberFormat="1" applyFill="1"/>
    <xf numFmtId="187" fontId="0" fillId="49" borderId="7" xfId="0" applyNumberFormat="1" applyFill="1" applyBorder="1"/>
    <xf numFmtId="0" fontId="3" fillId="0" borderId="4" xfId="0" applyFont="1" applyBorder="1"/>
    <xf numFmtId="187" fontId="3" fillId="37" borderId="0" xfId="0" applyNumberFormat="1" applyFont="1" applyFill="1"/>
    <xf numFmtId="0" fontId="68" fillId="0" borderId="4" xfId="0" applyFont="1" applyBorder="1"/>
    <xf numFmtId="187" fontId="68" fillId="0" borderId="0" xfId="0" applyNumberFormat="1" applyFont="1"/>
    <xf numFmtId="0" fontId="68" fillId="42" borderId="4" xfId="0" applyFont="1" applyFill="1" applyBorder="1"/>
    <xf numFmtId="0" fontId="0" fillId="42" borderId="6" xfId="0" applyFill="1" applyBorder="1"/>
    <xf numFmtId="185" fontId="0" fillId="42" borderId="0" xfId="0" applyNumberFormat="1" applyFill="1" applyAlignment="1">
      <alignment horizontal="right"/>
    </xf>
    <xf numFmtId="0" fontId="0" fillId="0" borderId="26" xfId="0" applyBorder="1" applyAlignment="1">
      <alignment horizontal="left" vertical="center" wrapText="1"/>
    </xf>
    <xf numFmtId="167" fontId="8" fillId="7" borderId="0" xfId="9" quotePrefix="1" applyAlignment="1">
      <alignment horizontal="left" vertical="top" wrapText="1"/>
    </xf>
    <xf numFmtId="0" fontId="3" fillId="0" borderId="7" xfId="0" applyFont="1" applyBorder="1" applyAlignment="1">
      <alignment horizontal="left" vertical="center" wrapText="1"/>
    </xf>
    <xf numFmtId="164" fontId="0" fillId="0" borderId="0" xfId="0" applyNumberFormat="1"/>
    <xf numFmtId="166" fontId="1" fillId="0" borderId="11" xfId="46" applyAlignment="1">
      <alignment wrapText="1"/>
    </xf>
    <xf numFmtId="167" fontId="1" fillId="31" borderId="58" xfId="5" applyFill="1" applyBorder="1"/>
    <xf numFmtId="167" fontId="1" fillId="31" borderId="57" xfId="5" applyFill="1" applyBorder="1"/>
    <xf numFmtId="167" fontId="1" fillId="31" borderId="60" xfId="5" applyFill="1" applyBorder="1"/>
    <xf numFmtId="167" fontId="1" fillId="31" borderId="59" xfId="5" applyFill="1" applyBorder="1"/>
    <xf numFmtId="166" fontId="3" fillId="0" borderId="11" xfId="46" applyFont="1" applyAlignment="1">
      <alignment wrapText="1"/>
    </xf>
    <xf numFmtId="10" fontId="0" fillId="8" borderId="11" xfId="39" applyFont="1"/>
    <xf numFmtId="188" fontId="13" fillId="0" borderId="0" xfId="35" applyNumberFormat="1" applyAlignment="1">
      <alignment horizontal="center"/>
    </xf>
    <xf numFmtId="0" fontId="70" fillId="9" borderId="0" xfId="17" applyNumberFormat="1" applyFont="1" applyAlignment="1">
      <alignment horizontal="center" vertical="center"/>
    </xf>
    <xf numFmtId="189" fontId="0" fillId="0" borderId="0" xfId="0" applyNumberFormat="1"/>
    <xf numFmtId="0" fontId="0" fillId="0" borderId="0" xfId="0" applyAlignment="1">
      <alignment horizontal="justify"/>
    </xf>
    <xf numFmtId="0" fontId="3" fillId="0" borderId="1" xfId="0" applyFont="1" applyBorder="1" applyAlignment="1">
      <alignment vertical="center" wrapText="1"/>
    </xf>
    <xf numFmtId="0" fontId="0" fillId="0" borderId="2"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3" fillId="0" borderId="4" xfId="0" applyFont="1" applyBorder="1" applyAlignment="1">
      <alignment vertical="center"/>
    </xf>
    <xf numFmtId="169" fontId="1" fillId="3" borderId="11" xfId="55" applyFill="1" applyAlignment="1" applyProtection="1">
      <alignment horizontal="right"/>
      <protection locked="0"/>
    </xf>
    <xf numFmtId="190" fontId="0" fillId="0" borderId="11" xfId="0" applyNumberFormat="1" applyBorder="1" applyAlignment="1">
      <alignment horizontal="left" vertical="center"/>
    </xf>
    <xf numFmtId="169" fontId="1" fillId="3" borderId="11" xfId="67" applyNumberFormat="1" applyFill="1" applyAlignment="1" applyProtection="1">
      <alignment horizontal="right"/>
      <protection locked="0"/>
    </xf>
    <xf numFmtId="169" fontId="1" fillId="6" borderId="11" xfId="67" applyNumberFormat="1" applyFill="1" applyAlignment="1" applyProtection="1">
      <alignment horizontal="right"/>
      <protection locked="0"/>
    </xf>
    <xf numFmtId="167" fontId="0" fillId="19" borderId="11" xfId="7" applyFont="1" applyFill="1" applyAlignment="1">
      <alignment horizontal="right"/>
    </xf>
    <xf numFmtId="167" fontId="8" fillId="7" borderId="0" xfId="9" applyAlignment="1">
      <alignment horizontal="center" wrapText="1"/>
    </xf>
    <xf numFmtId="0" fontId="71" fillId="0" borderId="0" xfId="0" applyFont="1" applyAlignment="1">
      <alignment horizontal="center" wrapText="1"/>
    </xf>
    <xf numFmtId="0" fontId="0" fillId="0" borderId="0" xfId="0" applyAlignment="1">
      <alignment vertical="top" wrapText="1"/>
    </xf>
    <xf numFmtId="169" fontId="0" fillId="0" borderId="0" xfId="0" applyNumberFormat="1" applyAlignment="1">
      <alignment wrapText="1"/>
    </xf>
    <xf numFmtId="0" fontId="72" fillId="0" borderId="26" xfId="0" applyFont="1" applyBorder="1" applyAlignment="1">
      <alignment vertical="center"/>
    </xf>
    <xf numFmtId="0" fontId="72" fillId="0" borderId="26" xfId="0" applyFont="1" applyBorder="1" applyAlignment="1">
      <alignment horizontal="center" vertical="center"/>
    </xf>
    <xf numFmtId="0" fontId="72" fillId="0" borderId="26" xfId="0" applyFont="1" applyBorder="1" applyAlignment="1">
      <alignment vertical="top"/>
    </xf>
    <xf numFmtId="166" fontId="73" fillId="8" borderId="11" xfId="35" applyNumberFormat="1" applyFont="1" applyFill="1" applyBorder="1" applyAlignment="1">
      <alignment wrapText="1"/>
    </xf>
    <xf numFmtId="166" fontId="73" fillId="8" borderId="11" xfId="35" applyNumberFormat="1" applyFont="1" applyFill="1" applyBorder="1" applyAlignment="1">
      <alignment vertical="center" wrapText="1"/>
    </xf>
    <xf numFmtId="167" fontId="8" fillId="34" borderId="0" xfId="9" applyFill="1"/>
    <xf numFmtId="0" fontId="42" fillId="34" borderId="0" xfId="0" applyFont="1" applyFill="1"/>
    <xf numFmtId="167" fontId="12" fillId="34" borderId="11" xfId="5" applyFont="1" applyFill="1" applyAlignment="1">
      <alignment wrapText="1"/>
    </xf>
    <xf numFmtId="167" fontId="12" fillId="34" borderId="11" xfId="5" applyFont="1" applyFill="1"/>
    <xf numFmtId="10" fontId="12" fillId="34" borderId="11" xfId="39" applyFont="1" applyFill="1"/>
    <xf numFmtId="173" fontId="12" fillId="34" borderId="11" xfId="57" applyFont="1" applyFill="1"/>
    <xf numFmtId="0" fontId="12" fillId="34" borderId="0" xfId="0" applyFont="1" applyFill="1"/>
    <xf numFmtId="0" fontId="12" fillId="34" borderId="0" xfId="0" applyFont="1" applyFill="1" applyAlignment="1">
      <alignment wrapText="1"/>
    </xf>
    <xf numFmtId="167" fontId="1" fillId="0" borderId="11" xfId="5" applyFill="1"/>
    <xf numFmtId="0" fontId="16" fillId="0" borderId="0" xfId="0" applyFont="1" applyAlignment="1">
      <alignment vertical="center"/>
    </xf>
    <xf numFmtId="0" fontId="9" fillId="0" borderId="0" xfId="48" applyFont="1"/>
    <xf numFmtId="0" fontId="50" fillId="0" borderId="0" xfId="53" applyFont="1"/>
    <xf numFmtId="0" fontId="0" fillId="36" borderId="0" xfId="0" applyFill="1" applyAlignment="1">
      <alignment horizontal="center"/>
    </xf>
    <xf numFmtId="0" fontId="0" fillId="36" borderId="0" xfId="0" applyFill="1" applyAlignment="1">
      <alignment horizontal="center" vertical="top" wrapText="1"/>
    </xf>
    <xf numFmtId="0" fontId="74" fillId="0" borderId="0" xfId="0" applyFont="1"/>
    <xf numFmtId="15" fontId="4" fillId="30" borderId="11" xfId="19" applyFill="1" applyAlignment="1" applyProtection="1">
      <alignment wrapText="1"/>
      <protection locked="0"/>
    </xf>
    <xf numFmtId="167" fontId="1" fillId="50" borderId="11" xfId="4" applyFill="1"/>
    <xf numFmtId="167" fontId="1" fillId="50" borderId="11" xfId="7" applyFill="1"/>
    <xf numFmtId="0" fontId="0" fillId="0" borderId="0" xfId="1" applyFont="1" applyFill="1"/>
    <xf numFmtId="0" fontId="0" fillId="0" borderId="0" xfId="1" applyFont="1" applyFill="1" applyAlignment="1">
      <alignment wrapText="1"/>
    </xf>
    <xf numFmtId="0" fontId="1" fillId="0" borderId="0" xfId="1" applyFill="1"/>
    <xf numFmtId="167" fontId="1" fillId="50" borderId="11" xfId="5" applyFill="1"/>
    <xf numFmtId="167" fontId="3" fillId="50" borderId="11" xfId="8" applyFill="1"/>
    <xf numFmtId="0" fontId="0" fillId="0" borderId="4" xfId="0" applyBorder="1" applyAlignment="1">
      <alignment horizontal="justify"/>
    </xf>
    <xf numFmtId="0" fontId="0" fillId="0" borderId="0" xfId="0" applyAlignment="1">
      <alignment horizontal="justify"/>
    </xf>
    <xf numFmtId="0" fontId="0" fillId="0" borderId="5" xfId="0" applyBorder="1" applyAlignment="1">
      <alignment horizontal="justify"/>
    </xf>
    <xf numFmtId="0" fontId="0" fillId="0" borderId="4" xfId="0" applyBorder="1" applyAlignment="1">
      <alignment vertical="center" wrapText="1"/>
    </xf>
    <xf numFmtId="0" fontId="0" fillId="0" borderId="0" xfId="0" applyAlignment="1">
      <alignment vertical="center"/>
    </xf>
    <xf numFmtId="0" fontId="0" fillId="0" borderId="5" xfId="0" applyBorder="1" applyAlignment="1">
      <alignment vertical="center"/>
    </xf>
    <xf numFmtId="0" fontId="13" fillId="0" borderId="0" xfId="35" applyAlignment="1">
      <alignment horizontal="center" wrapText="1"/>
    </xf>
    <xf numFmtId="0" fontId="13" fillId="0" borderId="0" xfId="35" applyAlignment="1">
      <alignment horizontal="center"/>
    </xf>
    <xf numFmtId="0" fontId="1" fillId="2" borderId="0" xfId="1" applyAlignment="1">
      <alignment horizontal="center" textRotation="90"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35" xfId="0" applyBorder="1" applyAlignment="1">
      <alignment horizontal="center" vertical="center" wrapText="1"/>
    </xf>
    <xf numFmtId="0" fontId="0" fillId="0" borderId="7" xfId="0" applyBorder="1" applyAlignment="1">
      <alignment horizont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4" fillId="0" borderId="0" xfId="0" applyFont="1" applyAlignment="1">
      <alignment horizontal="center" vertical="center" wrapText="1"/>
    </xf>
    <xf numFmtId="0" fontId="1" fillId="2" borderId="0" xfId="1" applyAlignment="1" applyProtection="1">
      <alignment horizontal="center" textRotation="90" wrapText="1"/>
    </xf>
    <xf numFmtId="0" fontId="35" fillId="38" borderId="33" xfId="0" applyFont="1" applyFill="1" applyBorder="1" applyAlignment="1">
      <alignment horizontal="center" vertical="center" wrapText="1" readingOrder="1"/>
    </xf>
    <xf numFmtId="0" fontId="35" fillId="38" borderId="34" xfId="0" applyFont="1" applyFill="1" applyBorder="1" applyAlignment="1">
      <alignment horizontal="center" vertical="center" wrapText="1" readingOrder="1"/>
    </xf>
    <xf numFmtId="0" fontId="0" fillId="0" borderId="0" xfId="0" applyAlignment="1">
      <alignment horizontal="center"/>
    </xf>
    <xf numFmtId="167" fontId="1" fillId="3" borderId="11" xfId="7" applyAlignment="1" applyProtection="1">
      <alignment horizontal="left" vertical="top" wrapText="1"/>
      <protection locked="0"/>
    </xf>
    <xf numFmtId="0" fontId="0" fillId="0" borderId="0" xfId="0" applyAlignment="1">
      <alignment vertical="center" wrapText="1"/>
    </xf>
    <xf numFmtId="0" fontId="0" fillId="2" borderId="0" xfId="1" applyFont="1" applyAlignment="1">
      <alignment horizontal="center" textRotation="90"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59" fillId="42" borderId="0" xfId="0" applyFont="1" applyFill="1" applyAlignment="1">
      <alignment horizontal="left" vertical="top" wrapText="1"/>
    </xf>
    <xf numFmtId="0" fontId="42" fillId="7" borderId="0" xfId="0" applyFont="1" applyFill="1" applyAlignment="1">
      <alignment horizontal="center"/>
    </xf>
    <xf numFmtId="167" fontId="1" fillId="3" borderId="11" xfId="7" applyProtection="1">
      <protection locked="0"/>
    </xf>
    <xf numFmtId="0" fontId="60" fillId="42" borderId="0" xfId="0" applyFont="1" applyFill="1" applyAlignment="1">
      <alignment horizontal="left" vertical="top" wrapText="1"/>
    </xf>
    <xf numFmtId="0" fontId="61" fillId="0" borderId="0" xfId="0" applyFont="1" applyAlignment="1">
      <alignment horizontal="left" vertical="top" wrapText="1"/>
    </xf>
    <xf numFmtId="0" fontId="59" fillId="42" borderId="0" xfId="0" applyFont="1" applyFill="1" applyAlignment="1">
      <alignment horizontal="left" vertical="center" wrapText="1"/>
    </xf>
    <xf numFmtId="0" fontId="1" fillId="42" borderId="45" xfId="55" applyNumberFormat="1" applyFont="1" applyFill="1" applyBorder="1" applyAlignment="1" applyProtection="1">
      <alignment vertical="center" wrapText="1"/>
      <protection locked="0"/>
    </xf>
    <xf numFmtId="0" fontId="1" fillId="42" borderId="50" xfId="55" applyNumberFormat="1" applyFont="1" applyFill="1" applyBorder="1" applyAlignment="1" applyProtection="1">
      <alignment vertical="center" wrapText="1"/>
      <protection locked="0"/>
    </xf>
    <xf numFmtId="0" fontId="0" fillId="42" borderId="50" xfId="55" applyNumberFormat="1" applyFont="1" applyFill="1" applyBorder="1" applyAlignment="1" applyProtection="1">
      <alignment vertical="center" wrapText="1"/>
      <protection locked="0"/>
    </xf>
    <xf numFmtId="0" fontId="0" fillId="42" borderId="45" xfId="55" applyNumberFormat="1" applyFont="1" applyFill="1" applyBorder="1" applyAlignment="1" applyProtection="1">
      <alignment vertical="center" wrapText="1"/>
      <protection locked="0"/>
    </xf>
    <xf numFmtId="0" fontId="0" fillId="42" borderId="36" xfId="0" applyFill="1" applyBorder="1" applyAlignment="1">
      <alignment horizontal="center" vertical="center"/>
    </xf>
    <xf numFmtId="0" fontId="0" fillId="42" borderId="37" xfId="0" applyFill="1" applyBorder="1" applyAlignment="1">
      <alignment horizontal="center" vertical="center"/>
    </xf>
    <xf numFmtId="10" fontId="1" fillId="3" borderId="11" xfId="41" applyAlignment="1" applyProtection="1">
      <alignment wrapText="1"/>
      <protection locked="0"/>
    </xf>
    <xf numFmtId="0" fontId="66" fillId="7" borderId="0" xfId="0" applyFont="1" applyFill="1" applyAlignment="1">
      <alignment horizontal="center" vertical="center"/>
    </xf>
    <xf numFmtId="15" fontId="66" fillId="7" borderId="0" xfId="0" applyNumberFormat="1" applyFont="1" applyFill="1" applyAlignment="1">
      <alignment horizontal="center" vertical="center"/>
    </xf>
    <xf numFmtId="0" fontId="2" fillId="45" borderId="0" xfId="0" quotePrefix="1" applyFont="1" applyFill="1" applyAlignment="1">
      <alignment horizontal="center" vertical="center"/>
    </xf>
    <xf numFmtId="0" fontId="2" fillId="45" borderId="56" xfId="0" quotePrefix="1" applyFont="1" applyFill="1" applyBorder="1" applyAlignment="1">
      <alignment horizontal="center" vertical="center"/>
    </xf>
    <xf numFmtId="167" fontId="1" fillId="8" borderId="11" xfId="5"/>
    <xf numFmtId="0" fontId="16" fillId="44" borderId="35" xfId="0" applyFont="1" applyFill="1" applyBorder="1" applyAlignment="1">
      <alignment horizontal="center" vertical="center"/>
    </xf>
    <xf numFmtId="167" fontId="0" fillId="42" borderId="11" xfId="55" applyNumberFormat="1" applyFont="1" applyFill="1" applyAlignment="1" applyProtection="1">
      <alignment vertical="center" wrapText="1"/>
      <protection locked="0"/>
    </xf>
    <xf numFmtId="0" fontId="0" fillId="42" borderId="11" xfId="55" applyNumberFormat="1" applyFont="1" applyFill="1" applyAlignment="1" applyProtection="1">
      <alignment vertical="center" wrapText="1"/>
      <protection locked="0"/>
    </xf>
    <xf numFmtId="0" fontId="0" fillId="3" borderId="49" xfId="55" applyNumberFormat="1" applyFont="1" applyFill="1" applyBorder="1" applyAlignment="1" applyProtection="1">
      <alignment horizontal="center"/>
      <protection locked="0"/>
    </xf>
    <xf numFmtId="0" fontId="0" fillId="3" borderId="45" xfId="55" applyNumberFormat="1" applyFont="1" applyFill="1" applyBorder="1" applyAlignment="1" applyProtection="1">
      <alignment horizontal="center"/>
      <protection locked="0"/>
    </xf>
    <xf numFmtId="0" fontId="0" fillId="3" borderId="29" xfId="55" applyNumberFormat="1" applyFont="1" applyFill="1" applyBorder="1" applyAlignment="1" applyProtection="1">
      <alignment horizontal="center"/>
      <protection locked="0"/>
    </xf>
    <xf numFmtId="0" fontId="0" fillId="3" borderId="46" xfId="55" applyNumberFormat="1" applyFont="1" applyFill="1" applyBorder="1" applyAlignment="1" applyProtection="1">
      <alignment horizontal="center"/>
      <protection locked="0"/>
    </xf>
    <xf numFmtId="0" fontId="0" fillId="3" borderId="50" xfId="55" applyNumberFormat="1" applyFont="1" applyFill="1" applyBorder="1" applyAlignment="1" applyProtection="1">
      <alignment horizontal="center"/>
      <protection locked="0"/>
    </xf>
    <xf numFmtId="0" fontId="0" fillId="3" borderId="47" xfId="55" applyNumberFormat="1" applyFont="1" applyFill="1" applyBorder="1" applyAlignment="1" applyProtection="1">
      <alignment horizontal="center"/>
      <protection locked="0"/>
    </xf>
    <xf numFmtId="0" fontId="0" fillId="3" borderId="48" xfId="55" applyNumberFormat="1" applyFont="1" applyFill="1" applyBorder="1" applyAlignment="1" applyProtection="1">
      <alignment horizontal="center"/>
      <protection locked="0"/>
    </xf>
    <xf numFmtId="0" fontId="0" fillId="3" borderId="11" xfId="55" applyNumberFormat="1" applyFont="1" applyFill="1" applyAlignment="1" applyProtection="1">
      <alignment horizontal="center"/>
      <protection locked="0"/>
    </xf>
    <xf numFmtId="0" fontId="0" fillId="3" borderId="20" xfId="55" applyNumberFormat="1" applyFont="1" applyFill="1" applyBorder="1" applyAlignment="1" applyProtection="1">
      <alignment horizontal="center"/>
      <protection locked="0"/>
    </xf>
    <xf numFmtId="17" fontId="42" fillId="7" borderId="0" xfId="0" applyNumberFormat="1" applyFont="1" applyFill="1" applyAlignment="1">
      <alignment horizontal="center"/>
    </xf>
    <xf numFmtId="0" fontId="16" fillId="44" borderId="12" xfId="0" applyFont="1" applyFill="1" applyBorder="1" applyAlignment="1">
      <alignment horizontal="center" vertical="center"/>
    </xf>
    <xf numFmtId="0" fontId="16" fillId="44" borderId="10" xfId="0" applyFont="1" applyFill="1" applyBorder="1" applyAlignment="1">
      <alignment horizontal="center" vertical="center"/>
    </xf>
    <xf numFmtId="0" fontId="16" fillId="44" borderId="13" xfId="0" applyFont="1" applyFill="1" applyBorder="1" applyAlignment="1">
      <alignment horizontal="center" vertical="center"/>
    </xf>
  </cellXfs>
  <cellStyles count="68">
    <cellStyle name="%_actual input" xfId="33" xr:uid="{7CCBA750-FDC4-4332-A881-BF70FED586F8}"/>
    <cellStyle name="%_calc_diff" xfId="60" xr:uid="{F77C64C8-7B1A-4C88-B97A-CFEE5A4779EB}"/>
    <cellStyle name="%_forecast input" xfId="41" xr:uid="{0C7ED7F6-FE06-40ED-B38F-A47E32EE1124}"/>
    <cellStyle name="%_graphs" xfId="58" xr:uid="{5AAEA13F-3A7B-4B9A-9568-6FD4843084E5}"/>
    <cellStyle name="%_optional input" xfId="42" xr:uid="{CD7528D5-4BDB-414C-8F76-0D1FA9555358}"/>
    <cellStyle name="£calculation" xfId="5" xr:uid="{6F82EB78-C5CD-4555-B124-6DF84840391E}"/>
    <cellStyle name="£calculation total" xfId="8" xr:uid="{2874CD77-8BE5-4278-9FFD-12501912D9BD}"/>
    <cellStyle name="20% - Accent3" xfId="1" builtinId="38"/>
    <cellStyle name="20% - Accent4" xfId="36" builtinId="42" hidden="1"/>
    <cellStyle name="20% - Accent6" xfId="26" builtinId="50" hidden="1"/>
    <cellStyle name="40% - Accent4" xfId="37" builtinId="43" hidden="1"/>
    <cellStyle name="40% - Accent6" xfId="27" builtinId="51" hidden="1"/>
    <cellStyle name="60% - Accent4" xfId="38" builtinId="44" hidden="1"/>
    <cellStyle name="60% - Accent6" xfId="28" builtinId="52" hidden="1"/>
    <cellStyle name="Accent1" xfId="20" builtinId="29" hidden="1"/>
    <cellStyle name="Accent2" xfId="21" builtinId="33" hidden="1"/>
    <cellStyle name="Accent3" xfId="22" builtinId="37" hidden="1"/>
    <cellStyle name="Accent4" xfId="23" builtinId="41" hidden="1"/>
    <cellStyle name="Accent5" xfId="24" builtinId="45" hidden="1"/>
    <cellStyle name="Accent6" xfId="25" builtinId="49" hidden="1"/>
    <cellStyle name="Actual_vs_Forecast" xfId="15" xr:uid="{331E164F-3C3A-4B86-84B6-C13C775F2E67}"/>
    <cellStyle name="Actuals Input" xfId="6" xr:uid="{451AA9D0-402F-492E-AAFB-B587DB10E327}"/>
    <cellStyle name="calc date" xfId="47" xr:uid="{FAFC37F9-680E-4329-AC6D-27B171D954E0}"/>
    <cellStyle name="calc year" xfId="44" xr:uid="{116E3A0C-68D7-470D-902E-C851C7C33431}"/>
    <cellStyle name="calc yes_no" xfId="51" xr:uid="{2039D677-BBEF-4BBA-A6EE-C416EF877DE4}"/>
    <cellStyle name="Calc_%" xfId="39" xr:uid="{B407EC92-5B5E-4F68-93F1-29D8D178F9BB}"/>
    <cellStyle name="Comma" xfId="29" builtinId="3"/>
    <cellStyle name="date" xfId="16" xr:uid="{FDFF6057-C35B-42A7-960E-C90622DAE873}"/>
    <cellStyle name="Date Input" xfId="19" xr:uid="{15AE64B9-0542-4F98-92CE-E7FEC6A713F0}"/>
    <cellStyle name="date_actual input" xfId="34" xr:uid="{3F9CCDD7-8AC4-4290-976E-7096E15971B7}"/>
    <cellStyle name="date_calc" xfId="11" xr:uid="{70243F14-6FE6-44D6-BF56-058BCCA0091B}"/>
    <cellStyle name="date_diff_calc" xfId="54" xr:uid="{8F3BE293-6D25-4445-A164-4E84F6413E71}"/>
    <cellStyle name="date_Modelheader" xfId="10" xr:uid="{870F3A9D-D158-47FC-8F6E-A8459BCC41D0}"/>
    <cellStyle name="Descr_total" xfId="14" xr:uid="{EAFE5E79-2D3F-42A4-AA6D-BE06AAB25038}"/>
    <cellStyle name="Description" xfId="12" xr:uid="{EB832428-66E5-45E3-9741-D39F2EA769D4}"/>
    <cellStyle name="Flag" xfId="18" xr:uid="{A3250531-EEA4-4978-8900-FC22343CB756}"/>
    <cellStyle name="Forecast Input" xfId="7" xr:uid="{198465A4-2011-434C-9F2F-578B083BF90A}"/>
    <cellStyle name="Hyperlink" xfId="35" builtinId="8"/>
    <cellStyle name="hyperlink_header" xfId="40" xr:uid="{445AD3DC-C547-418F-BED9-0B7E1F415EBF}"/>
    <cellStyle name="i_LineItem_Label 2" xfId="2" xr:uid="{8CF606C7-4B4D-41A4-A5B6-24832FE87E08}"/>
    <cellStyle name="Indent" xfId="52" xr:uid="{532F5EF2-96DD-4750-93BE-13495B0F65D4}"/>
    <cellStyle name="Inform" xfId="65" xr:uid="{93F0DB47-C6AA-4729-8A86-5FEC1D81EBB5}"/>
    <cellStyle name="Input 3" xfId="64" xr:uid="{198FB88B-37E3-4244-A731-B0BE8F61BABE}"/>
    <cellStyle name="Modelheader" xfId="9" xr:uid="{1618E447-898A-4C1C-A84C-B0D9A6237EFF}"/>
    <cellStyle name="monthly_vs_annual input" xfId="43" xr:uid="{6CF1BCCF-EA33-40FE-B855-A777A6F54749}"/>
    <cellStyle name="Normal" xfId="0" builtinId="0"/>
    <cellStyle name="Normal 2" xfId="62" xr:uid="{ED034C8C-4E71-4103-B172-3F3A01F6FB10}"/>
    <cellStyle name="Normal 3" xfId="48" xr:uid="{E84FE7C9-7D4F-417E-A92D-589F8AAF576F}"/>
    <cellStyle name="Optional input" xfId="4" xr:uid="{4048F046-A6B5-45A7-A40D-90BF22039E2E}"/>
    <cellStyle name="Output" xfId="63" builtinId="21"/>
    <cellStyle name="Per cent" xfId="30" builtinId="5"/>
    <cellStyle name="Ratio_calc" xfId="57" xr:uid="{33FF67C0-8F13-46BE-8940-DF21EFC05309}"/>
    <cellStyle name="Ratio_Input" xfId="66" xr:uid="{1B85F8C9-D111-457B-8605-CADF2FCD13BD}"/>
    <cellStyle name="ratio_optional" xfId="59" xr:uid="{B3879FCD-CDA2-45C6-85E9-3309388EEEF6}"/>
    <cellStyle name="Ref" xfId="53" xr:uid="{E8C714B8-BBB9-473E-8708-0BAB0BF84A96}"/>
    <cellStyle name="Ref_invest" xfId="56" xr:uid="{8C5332D8-5BBB-4F2E-9356-12C816DD4215}"/>
    <cellStyle name="ReferenceCells" xfId="50" xr:uid="{A07CFEA7-B8C9-4B87-9840-A77CAD4C1B51}"/>
    <cellStyle name="Section Separator 2" xfId="3" xr:uid="{44D772B1-5D9B-4176-AAC7-C055CD28AE54}"/>
    <cellStyle name="Subtitle 2" xfId="13" xr:uid="{C274F0EB-4D46-4561-A9F5-BBF3947F4FFB}"/>
    <cellStyle name="Table Header" xfId="32" xr:uid="{66B485C7-8296-42CE-AA48-C313EEFEE5F1}"/>
    <cellStyle name="Table Header non-Bold" xfId="45" xr:uid="{77EEE7EC-D2EF-444F-A409-68EA91303311}"/>
    <cellStyle name="Text" xfId="55" xr:uid="{04D8ECF7-893A-4F46-83A9-EF684D8C0F4F}"/>
    <cellStyle name="text_calc" xfId="61" xr:uid="{A8777FF1-9432-4015-B6FD-A55D50C00D40}"/>
    <cellStyle name="Text_input" xfId="67" xr:uid="{E435242E-49E3-4731-83EC-C2C067890DBE}"/>
    <cellStyle name="Title 2" xfId="17" xr:uid="{D061C1B9-10C0-45ED-9A63-CDB1ED7641B0}"/>
    <cellStyle name="Unassigned" xfId="46" xr:uid="{55ECCC36-47F0-4810-8032-13414FA2587E}"/>
    <cellStyle name="Yes/&quot;-&quot;_Input" xfId="49" xr:uid="{E602BB6C-3927-4CA2-8C97-C6C9977D8514}"/>
    <cellStyle name="Yes/No_Input" xfId="31" xr:uid="{D0FCAE54-B296-4A2E-91A6-5D20CBD4DC14}"/>
  </cellStyles>
  <dxfs count="1539">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border>
        <right style="thin">
          <color theme="1"/>
        </right>
        <vertical/>
        <horizontal/>
      </border>
    </dxf>
    <dxf>
      <fill>
        <patternFill>
          <bgColor theme="0" tint="-0.14996795556505021"/>
        </patternFill>
      </fill>
    </dxf>
    <dxf>
      <fill>
        <patternFill>
          <bgColor theme="0"/>
        </patternFill>
      </fill>
    </dxf>
    <dxf>
      <border>
        <right style="thin">
          <color theme="1"/>
        </right>
        <vertical/>
        <horizontal/>
      </border>
    </dxf>
    <dxf>
      <border>
        <right style="thin">
          <color theme="1"/>
        </right>
        <vertical/>
        <horizontal/>
      </border>
    </dxf>
    <dxf>
      <font>
        <color rgb="FF006100"/>
      </font>
      <fill>
        <patternFill patternType="none">
          <bgColor auto="1"/>
        </patternFill>
      </fill>
    </dxf>
    <dxf>
      <font>
        <color rgb="FF9C0006"/>
      </font>
      <fill>
        <patternFill>
          <bgColor rgb="FFFFC7CE"/>
        </patternFill>
      </fill>
    </dxf>
    <dxf>
      <border>
        <right style="thin">
          <color theme="1"/>
        </right>
        <vertical/>
        <horizontal/>
      </border>
    </dxf>
    <dxf>
      <fill>
        <patternFill>
          <bgColor theme="0"/>
        </patternFill>
      </fill>
    </dxf>
    <dxf>
      <fill>
        <patternFill>
          <bgColor theme="0"/>
        </patternFill>
      </fill>
    </dxf>
    <dxf>
      <fill>
        <patternFill>
          <bgColor theme="0"/>
        </patternFill>
      </fill>
    </dxf>
    <dxf>
      <numFmt numFmtId="14" formatCode="0.00%"/>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C000"/>
        </patternFill>
      </fill>
    </dxf>
    <dxf>
      <fill>
        <patternFill>
          <bgColor rgb="FFFF0000"/>
        </patternFill>
      </fill>
    </dxf>
    <dxf>
      <fill>
        <patternFill>
          <bgColor theme="9" tint="0.39994506668294322"/>
        </patternFill>
      </fill>
    </dxf>
    <dxf>
      <fill>
        <patternFill>
          <bgColor theme="7" tint="0.79998168889431442"/>
        </patternFill>
      </fill>
    </dxf>
    <dxf>
      <fill>
        <patternFill>
          <bgColor rgb="FFFF0000"/>
        </patternFill>
      </fill>
    </dxf>
    <dxf>
      <fill>
        <patternFill>
          <bgColor theme="9" tint="0.39994506668294322"/>
        </patternFill>
      </fill>
    </dxf>
    <dxf>
      <fill>
        <patternFill>
          <bgColor theme="7" tint="0.79998168889431442"/>
        </patternFill>
      </fill>
    </dxf>
    <dxf>
      <fill>
        <patternFill>
          <bgColor rgb="FFFFC000"/>
        </patternFill>
      </fill>
    </dxf>
    <dxf>
      <fill>
        <patternFill>
          <bgColor rgb="FF00B050"/>
        </patternFill>
      </fill>
    </dxf>
    <dxf>
      <fill>
        <patternFill>
          <bgColor theme="0" tint="-0.14996795556505021"/>
        </patternFill>
      </fill>
    </dxf>
    <dxf>
      <fill>
        <patternFill>
          <bgColor rgb="FFFFF2CC"/>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theme="0" tint="-0.14996795556505021"/>
        </patternFill>
      </fill>
    </dxf>
    <dxf>
      <fill>
        <patternFill>
          <bgColor rgb="FF00B050"/>
        </patternFill>
      </fill>
    </dxf>
    <dxf>
      <fill>
        <patternFill>
          <bgColor rgb="FFFFC000"/>
        </patternFill>
      </fill>
    </dxf>
    <dxf>
      <fill>
        <patternFill>
          <bgColor rgb="FFFF0000"/>
        </patternFill>
      </fill>
    </dxf>
    <dxf>
      <fill>
        <patternFill>
          <bgColor theme="9" tint="0.3999450666829432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4" formatCode="0.00%"/>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font>
        <color rgb="FF9C0006"/>
      </font>
      <fill>
        <patternFill>
          <bgColor rgb="FFFFC7CE"/>
        </patternFill>
      </fill>
    </dxf>
    <dxf>
      <font>
        <color rgb="FF9C0006"/>
      </font>
      <fill>
        <patternFill>
          <bgColor rgb="FFFFC7CE"/>
        </patternFill>
      </fill>
    </dxf>
    <dxf>
      <fill>
        <patternFill>
          <bgColor theme="0"/>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4" formatCode="0.00%"/>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border>
        <right style="thin">
          <color theme="1"/>
        </right>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border>
        <right style="thin">
          <color theme="1"/>
        </right>
        <vertical/>
        <horizontal/>
      </border>
    </dxf>
    <dxf>
      <border>
        <right style="thin">
          <color theme="1"/>
        </right>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FF"/>
      <color rgb="FFBBF7DC"/>
      <color rgb="FFFFF2CC"/>
      <color rgb="FFBCFCD4"/>
      <color rgb="FFFFCCFF"/>
      <color rgb="FFF2CCFC"/>
      <color rgb="FFD7F7FD"/>
      <color rgb="FFCCFFFF"/>
      <color rgb="FFF7E3FD"/>
      <color rgb="FFD0F7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Flow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'Cash Flow Summary'!$D$67</c:f>
              <c:strCache>
                <c:ptCount val="1"/>
                <c:pt idx="0">
                  <c:v>Net cash flow from operating activities</c:v>
                </c:pt>
              </c:strCache>
            </c:strRef>
          </c:tx>
          <c:spPr>
            <a:solidFill>
              <a:schemeClr val="accent1"/>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'Cash Flow Summary'!$AA$67:$BJ$67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183-40B8-86F9-E03BD1A48ABD}"/>
            </c:ext>
          </c:extLst>
        </c:ser>
        <c:ser>
          <c:idx val="1"/>
          <c:order val="1"/>
          <c:tx>
            <c:strRef>
              <c:f>'Cash Flow Summary'!$D$78</c:f>
              <c:strCache>
                <c:ptCount val="1"/>
                <c:pt idx="0">
                  <c:v>Net cash flow from investing activities</c:v>
                </c:pt>
              </c:strCache>
            </c:strRef>
          </c:tx>
          <c:spPr>
            <a:solidFill>
              <a:schemeClr val="accent2"/>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'Cash Flow Summary'!$AA$78:$BJ$78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6183-40B8-86F9-E03BD1A48ABD}"/>
            </c:ext>
          </c:extLst>
        </c:ser>
        <c:ser>
          <c:idx val="2"/>
          <c:order val="2"/>
          <c:tx>
            <c:strRef>
              <c:f>'Cash Flow Summary'!$D$88</c:f>
              <c:strCache>
                <c:ptCount val="1"/>
                <c:pt idx="0">
                  <c:v>Net cash flow from financing activities</c:v>
                </c:pt>
              </c:strCache>
            </c:strRef>
          </c:tx>
          <c:spPr>
            <a:solidFill>
              <a:schemeClr val="accent3"/>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'Cash Flow Summary'!$AA$88:$BJ$88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6183-40B8-86F9-E03BD1A48ABD}"/>
            </c:ext>
          </c:extLst>
        </c:ser>
        <c:dLbls>
          <c:showLegendKey val="0"/>
          <c:showVal val="0"/>
          <c:showCatName val="0"/>
          <c:showSerName val="0"/>
          <c:showPercent val="0"/>
          <c:showBubbleSize val="0"/>
        </c:dLbls>
        <c:gapWidth val="150"/>
        <c:overlap val="100"/>
        <c:axId val="1431854255"/>
        <c:axId val="1372930575"/>
      </c:barChart>
      <c:lineChart>
        <c:grouping val="standard"/>
        <c:varyColors val="0"/>
        <c:ser>
          <c:idx val="3"/>
          <c:order val="3"/>
          <c:tx>
            <c:strRef>
              <c:f>'Cash Flow Summary'!$D$96</c:f>
              <c:strCache>
                <c:ptCount val="1"/>
                <c:pt idx="0">
                  <c:v>Unrestricted cash and cash equivalents at end of the period</c:v>
                </c:pt>
              </c:strCache>
            </c:strRef>
          </c:tx>
          <c:spPr>
            <a:ln w="28575" cap="rnd">
              <a:solidFill>
                <a:schemeClr val="tx1"/>
              </a:solidFill>
              <a:round/>
            </a:ln>
            <a:effectLst/>
          </c:spPr>
          <c:marker>
            <c:symbol val="none"/>
          </c:marker>
          <c:val>
            <c:numRef>
              <c:f>'Cash Flow Summary'!$AA$96:$BJ$96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3-6183-40B8-86F9-E03BD1A48ABD}"/>
            </c:ext>
          </c:extLst>
        </c:ser>
        <c:dLbls>
          <c:showLegendKey val="0"/>
          <c:showVal val="0"/>
          <c:showCatName val="0"/>
          <c:showSerName val="0"/>
          <c:showPercent val="0"/>
          <c:showBubbleSize val="0"/>
        </c:dLbls>
        <c:marker val="1"/>
        <c:smooth val="0"/>
        <c:axId val="842174815"/>
        <c:axId val="1344382031"/>
      </c:lineChart>
      <c:dateAx>
        <c:axId val="143185425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2930575"/>
        <c:crosses val="autoZero"/>
        <c:auto val="0"/>
        <c:lblOffset val="100"/>
        <c:baseTimeUnit val="months"/>
        <c:majorUnit val="2"/>
        <c:majorTimeUnit val="months"/>
      </c:dateAx>
      <c:valAx>
        <c:axId val="13729305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Flow</a:t>
                </a:r>
                <a:r>
                  <a:rPr lang="en-US" baseline="0"/>
                  <a:t> breakdown (£000's)</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1854255"/>
        <c:crosses val="autoZero"/>
        <c:crossBetween val="between"/>
      </c:valAx>
      <c:valAx>
        <c:axId val="134438203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174815"/>
        <c:crosses val="max"/>
        <c:crossBetween val="between"/>
      </c:valAx>
      <c:catAx>
        <c:axId val="842174815"/>
        <c:scaling>
          <c:orientation val="minMax"/>
        </c:scaling>
        <c:delete val="1"/>
        <c:axPos val="b"/>
        <c:majorTickMark val="out"/>
        <c:minorTickMark val="none"/>
        <c:tickLblPos val="nextTo"/>
        <c:crossAx val="13443820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Current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Data'!$D$56</c:f>
              <c:strCache>
                <c:ptCount val="1"/>
                <c:pt idx="0">
                  <c:v>Adjusted current ratio</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Data'!$V$56:$Y$56</c:f>
              <c:numCache>
                <c:formatCode>_-* #,##0.00_-;* \(#,##0.00\)_-;_-* "-"??_-;_-@_-</c:formatCode>
                <c:ptCount val="4"/>
                <c:pt idx="0">
                  <c:v>0</c:v>
                </c:pt>
                <c:pt idx="1">
                  <c:v>0</c:v>
                </c:pt>
                <c:pt idx="2">
                  <c:v>0</c:v>
                </c:pt>
                <c:pt idx="3">
                  <c:v>0</c:v>
                </c:pt>
              </c:numCache>
            </c:numRef>
          </c:val>
          <c:extLst>
            <c:ext xmlns:c16="http://schemas.microsoft.com/office/drawing/2014/chart" uri="{C3380CC4-5D6E-409C-BE32-E72D297353CC}">
              <c16:uniqueId val="{00000003-1AE3-49F2-8314-A293383B1308}"/>
            </c:ext>
          </c:extLst>
        </c:ser>
        <c:dLbls>
          <c:showLegendKey val="0"/>
          <c:showVal val="0"/>
          <c:showCatName val="0"/>
          <c:showSerName val="0"/>
          <c:showPercent val="0"/>
          <c:showBubbleSize val="0"/>
        </c:dLbls>
        <c:gapWidth val="219"/>
        <c:axId val="1622330799"/>
        <c:axId val="1707931055"/>
        <c:extLst>
          <c:ext xmlns:c15="http://schemas.microsoft.com/office/drawing/2012/chart" uri="{02D57815-91ED-43cb-92C2-25804820EDAC}">
            <c15:filteredBarSeries>
              <c15:ser>
                <c:idx val="0"/>
                <c:order val="0"/>
                <c:tx>
                  <c:strRef>
                    <c:extLst>
                      <c:ext uri="{02D57815-91ED-43cb-92C2-25804820EDAC}">
                        <c15:formulaRef>
                          <c15:sqref>'Dash Data'!$D$51</c15:sqref>
                        </c15:formulaRef>
                      </c:ext>
                    </c:extLst>
                    <c:strCache>
                      <c:ptCount val="1"/>
                      <c:pt idx="0">
                        <c:v>Adjusted unrestricted cash days in hand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Data'!$W$51:$Y$51</c15:sqref>
                        </c15:formulaRef>
                      </c:ext>
                    </c:extLst>
                    <c:numCache>
                      <c:formatCode>_-* #,##0_-;* \(#,##0\)_-;_-* "-"??_-;_-@_-</c:formatCode>
                      <c:ptCount val="3"/>
                      <c:pt idx="0">
                        <c:v>0</c:v>
                      </c:pt>
                      <c:pt idx="1">
                        <c:v>0</c:v>
                      </c:pt>
                      <c:pt idx="2">
                        <c:v>0</c:v>
                      </c:pt>
                    </c:numCache>
                  </c:numRef>
                </c:val>
                <c:extLst>
                  <c:ext xmlns:c16="http://schemas.microsoft.com/office/drawing/2014/chart" uri="{C3380CC4-5D6E-409C-BE32-E72D297353CC}">
                    <c16:uniqueId val="{00000000-1AE3-49F2-8314-A293383B13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'Dash Data'!$D$52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Data'!$W$52:$Y$52</c15:sqref>
                        </c15:formulaRef>
                      </c:ext>
                    </c:extLst>
                    <c:numCache>
                      <c:formatCode>_-* #,##0_-;* \(#,##0\)_-;_-*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1-1AE3-49F2-8314-A293383B13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'Dash Data'!$D$55</c15:sqref>
                        </c15:formulaRef>
                      </c:ext>
                    </c:extLst>
                    <c:strCache>
                      <c:ptCount val="1"/>
                      <c:pt idx="0">
                        <c:v>Current ratio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Data'!$W$55:$Y$55</c15:sqref>
                        </c15:formulaRef>
                      </c:ext>
                    </c:extLst>
                    <c:numCache>
                      <c:formatCode>_-* #,##0.00_-;* \(#,##0.00\)_-;_-*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2-1AE3-49F2-8314-A293383B130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'Dash Data'!$D$60</c15:sqref>
                        </c15:formulaRef>
                      </c:ext>
                    </c:extLst>
                    <c:strCache>
                      <c:ptCount val="1"/>
                      <c:pt idx="0">
                        <c:v>Trade creditors days - non-pay expenditure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Data'!$W$60:$Y$60</c15:sqref>
                        </c15:formulaRef>
                      </c:ext>
                    </c:extLst>
                    <c:numCache>
                      <c:formatCode>_-* #,##0_-;* \(#,##0\)_-;_-*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5-1AE3-49F2-8314-A293383B1308}"/>
                  </c:ext>
                </c:extLst>
              </c15:ser>
            </c15:filteredBarSeries>
          </c:ext>
        </c:extLst>
      </c:barChart>
      <c:lineChart>
        <c:grouping val="standard"/>
        <c:varyColors val="0"/>
        <c:ser>
          <c:idx val="6"/>
          <c:order val="6"/>
          <c:tx>
            <c:strRef>
              <c:f>'Dash Data'!$D$58</c:f>
              <c:strCache>
                <c:ptCount val="1"/>
                <c:pt idx="0">
                  <c:v>Adjusted current ratio College Benchmark</c:v>
                </c:pt>
              </c:strCache>
            </c:strRef>
          </c:tx>
          <c:spPr>
            <a:ln w="28575" cap="rnd">
              <a:solidFill>
                <a:schemeClr val="bg1">
                  <a:lumMod val="65000"/>
                </a:schemeClr>
              </a:solidFill>
              <a:round/>
            </a:ln>
            <a:effectLst/>
          </c:spPr>
          <c:marker>
            <c:symbol val="none"/>
          </c:marker>
          <c:val>
            <c:numRef>
              <c:f>'Dash Data'!$V$58:$Y$58</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A9F9-4A86-9D1B-4FDC4077489B}"/>
            </c:ext>
          </c:extLst>
        </c:ser>
        <c:dLbls>
          <c:showLegendKey val="0"/>
          <c:showVal val="0"/>
          <c:showCatName val="0"/>
          <c:showSerName val="0"/>
          <c:showPercent val="0"/>
          <c:showBubbleSize val="0"/>
        </c:dLbls>
        <c:marker val="1"/>
        <c:smooth val="0"/>
        <c:axId val="1622330799"/>
        <c:axId val="1707931055"/>
        <c:extLst>
          <c:ext xmlns:c15="http://schemas.microsoft.com/office/drawing/2012/chart" uri="{02D57815-91ED-43cb-92C2-25804820EDAC}">
            <c15:filteredLineSeries>
              <c15:ser>
                <c:idx val="4"/>
                <c:order val="4"/>
                <c:tx>
                  <c:strRef>
                    <c:extLst>
                      <c:ext uri="{02D57815-91ED-43cb-92C2-25804820EDAC}">
                        <c15:formulaRef>
                          <c15:sqref>'Dash Data'!$D$57</c15:sqref>
                        </c15:formulaRef>
                      </c:ext>
                    </c:extLst>
                    <c:strCache>
                      <c:ptCount val="1"/>
                    </c:strCache>
                  </c:strRef>
                </c:tx>
                <c:spPr>
                  <a:ln w="28575" cap="rnd">
                    <a:solidFill>
                      <a:schemeClr val="accent2">
                        <a:lumMod val="75000"/>
                      </a:schemeClr>
                    </a:solidFill>
                    <a:round/>
                  </a:ln>
                  <a:effectLst/>
                </c:spPr>
                <c:marker>
                  <c:symbol val="none"/>
                </c:marker>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Data'!$V$57:$Y$57</c15:sqref>
                        </c15:formulaRef>
                      </c:ext>
                    </c:extLst>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4-1AE3-49F2-8314-A293383B1308}"/>
                  </c:ext>
                </c:extLst>
              </c15:ser>
            </c15:filteredLineSeries>
          </c:ext>
        </c:extLst>
      </c:lineChart>
      <c:catAx>
        <c:axId val="16223307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1055"/>
        <c:crosses val="autoZero"/>
        <c:auto val="1"/>
        <c:lblAlgn val="ctr"/>
        <c:lblOffset val="100"/>
        <c:noMultiLvlLbl val="0"/>
      </c:catAx>
      <c:valAx>
        <c:axId val="1707931055"/>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3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Income</a:t>
            </a:r>
            <a:r>
              <a:rPr lang="en-GB" baseline="0"/>
              <a:t> Mix and Staff cost % of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percentStacked"/>
        <c:varyColors val="0"/>
        <c:ser>
          <c:idx val="0"/>
          <c:order val="0"/>
          <c:tx>
            <c:strRef>
              <c:f>'Dash Data'!$D$66</c:f>
              <c:strCache>
                <c:ptCount val="1"/>
                <c:pt idx="0">
                  <c:v>Total 14-19 Income</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Data'!$V$66:$Y$66</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0-A9F5-4650-BCA8-EC01FF2E9746}"/>
            </c:ext>
          </c:extLst>
        </c:ser>
        <c:ser>
          <c:idx val="1"/>
          <c:order val="1"/>
          <c:tx>
            <c:strRef>
              <c:f>'Dash Data'!$D$67</c:f>
              <c:strCache>
                <c:ptCount val="1"/>
                <c:pt idx="0">
                  <c:v>Total Apprenticeships Income</c:v>
                </c:pt>
              </c:strCache>
            </c:strRef>
          </c:tx>
          <c:spPr>
            <a:solidFill>
              <a:schemeClr val="accent2"/>
            </a:solidFill>
            <a:ln>
              <a:noFill/>
            </a:ln>
            <a:effectLst/>
          </c:spPr>
          <c:invertIfNegative val="0"/>
          <c:cat>
            <c:strRef>
              <c:f>'Dash Data'!$V$3:$Y$3</c:f>
              <c:strCache>
                <c:ptCount val="4"/>
                <c:pt idx="0">
                  <c:v> FY2025 </c:v>
                </c:pt>
                <c:pt idx="1">
                  <c:v> FY2026 </c:v>
                </c:pt>
                <c:pt idx="2">
                  <c:v> FY2027 </c:v>
                </c:pt>
                <c:pt idx="3">
                  <c:v> FY2028 </c:v>
                </c:pt>
              </c:strCache>
            </c:strRef>
          </c:cat>
          <c:val>
            <c:numRef>
              <c:f>'Dash Data'!$V$67:$Y$67</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1-A9F5-4650-BCA8-EC01FF2E9746}"/>
            </c:ext>
          </c:extLst>
        </c:ser>
        <c:ser>
          <c:idx val="2"/>
          <c:order val="2"/>
          <c:tx>
            <c:strRef>
              <c:f>'Dash Data'!$D$68</c:f>
              <c:strCache>
                <c:ptCount val="1"/>
                <c:pt idx="0">
                  <c:v>Total Adult Education and Training Income (Excluding clawbacks)</c:v>
                </c:pt>
              </c:strCache>
            </c:strRef>
          </c:tx>
          <c:spPr>
            <a:solidFill>
              <a:schemeClr val="accent3"/>
            </a:solidFill>
            <a:ln>
              <a:noFill/>
            </a:ln>
            <a:effectLst/>
          </c:spPr>
          <c:invertIfNegative val="0"/>
          <c:cat>
            <c:strRef>
              <c:f>'Dash Data'!$V$3:$Y$3</c:f>
              <c:strCache>
                <c:ptCount val="4"/>
                <c:pt idx="0">
                  <c:v> FY2025 </c:v>
                </c:pt>
                <c:pt idx="1">
                  <c:v> FY2026 </c:v>
                </c:pt>
                <c:pt idx="2">
                  <c:v> FY2027 </c:v>
                </c:pt>
                <c:pt idx="3">
                  <c:v> FY2028 </c:v>
                </c:pt>
              </c:strCache>
            </c:strRef>
          </c:cat>
          <c:val>
            <c:numRef>
              <c:f>'Dash Data'!$V$68:$Y$68</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2-A9F5-4650-BCA8-EC01FF2E9746}"/>
            </c:ext>
          </c:extLst>
        </c:ser>
        <c:ser>
          <c:idx val="3"/>
          <c:order val="3"/>
          <c:tx>
            <c:strRef>
              <c:f>'Dash Data'!$D$69</c:f>
              <c:strCache>
                <c:ptCount val="1"/>
                <c:pt idx="0">
                  <c:v>Total HE Income</c:v>
                </c:pt>
              </c:strCache>
            </c:strRef>
          </c:tx>
          <c:spPr>
            <a:solidFill>
              <a:schemeClr val="accent4"/>
            </a:solidFill>
            <a:ln>
              <a:noFill/>
            </a:ln>
            <a:effectLst/>
          </c:spPr>
          <c:invertIfNegative val="0"/>
          <c:cat>
            <c:strRef>
              <c:f>'Dash Data'!$V$3:$Y$3</c:f>
              <c:strCache>
                <c:ptCount val="4"/>
                <c:pt idx="0">
                  <c:v> FY2025 </c:v>
                </c:pt>
                <c:pt idx="1">
                  <c:v> FY2026 </c:v>
                </c:pt>
                <c:pt idx="2">
                  <c:v> FY2027 </c:v>
                </c:pt>
                <c:pt idx="3">
                  <c:v> FY2028 </c:v>
                </c:pt>
              </c:strCache>
            </c:strRef>
          </c:cat>
          <c:val>
            <c:numRef>
              <c:f>'Dash Data'!$V$69:$Y$69</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3-A9F5-4650-BCA8-EC01FF2E9746}"/>
            </c:ext>
          </c:extLst>
        </c:ser>
        <c:ser>
          <c:idx val="4"/>
          <c:order val="4"/>
          <c:tx>
            <c:strRef>
              <c:f>'Dash Data'!$D$71</c:f>
              <c:strCache>
                <c:ptCount val="1"/>
                <c:pt idx="0">
                  <c:v>Total Other Income from Provision of Education and Training</c:v>
                </c:pt>
              </c:strCache>
            </c:strRef>
          </c:tx>
          <c:spPr>
            <a:solidFill>
              <a:schemeClr val="accent5"/>
            </a:solidFill>
            <a:ln>
              <a:noFill/>
            </a:ln>
            <a:effectLst/>
          </c:spPr>
          <c:invertIfNegative val="0"/>
          <c:cat>
            <c:strRef>
              <c:f>'Dash Data'!$V$3:$Y$3</c:f>
              <c:strCache>
                <c:ptCount val="4"/>
                <c:pt idx="0">
                  <c:v> FY2025 </c:v>
                </c:pt>
                <c:pt idx="1">
                  <c:v> FY2026 </c:v>
                </c:pt>
                <c:pt idx="2">
                  <c:v> FY2027 </c:v>
                </c:pt>
                <c:pt idx="3">
                  <c:v> FY2028 </c:v>
                </c:pt>
              </c:strCache>
            </c:strRef>
          </c:cat>
          <c:val>
            <c:numRef>
              <c:f>'Dash Data'!$V$71:$Y$71</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4-A9F5-4650-BCA8-EC01FF2E9746}"/>
            </c:ext>
          </c:extLst>
        </c:ser>
        <c:ser>
          <c:idx val="5"/>
          <c:order val="5"/>
          <c:tx>
            <c:strRef>
              <c:f>'Dash Data'!$D$72</c:f>
              <c:strCache>
                <c:ptCount val="1"/>
                <c:pt idx="0">
                  <c:v>Total commercial income</c:v>
                </c:pt>
              </c:strCache>
            </c:strRef>
          </c:tx>
          <c:spPr>
            <a:solidFill>
              <a:schemeClr val="accent6"/>
            </a:solidFill>
            <a:ln>
              <a:noFill/>
            </a:ln>
            <a:effectLst/>
          </c:spPr>
          <c:invertIfNegative val="0"/>
          <c:cat>
            <c:strRef>
              <c:f>'Dash Data'!$V$3:$Y$3</c:f>
              <c:strCache>
                <c:ptCount val="4"/>
                <c:pt idx="0">
                  <c:v> FY2025 </c:v>
                </c:pt>
                <c:pt idx="1">
                  <c:v> FY2026 </c:v>
                </c:pt>
                <c:pt idx="2">
                  <c:v> FY2027 </c:v>
                </c:pt>
                <c:pt idx="3">
                  <c:v> FY2028 </c:v>
                </c:pt>
              </c:strCache>
            </c:strRef>
          </c:cat>
          <c:val>
            <c:numRef>
              <c:f>'Dash Data'!$V$72:$Y$72</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5-A9F5-4650-BCA8-EC01FF2E9746}"/>
            </c:ext>
          </c:extLst>
        </c:ser>
        <c:ser>
          <c:idx val="6"/>
          <c:order val="6"/>
          <c:tx>
            <c:strRef>
              <c:f>'Dash Data'!$D$73</c:f>
              <c:strCache>
                <c:ptCount val="1"/>
                <c:pt idx="0">
                  <c:v>Total Other Income</c:v>
                </c:pt>
              </c:strCache>
            </c:strRef>
          </c:tx>
          <c:spPr>
            <a:solidFill>
              <a:schemeClr val="accent1">
                <a:lumMod val="60000"/>
              </a:schemeClr>
            </a:solidFill>
            <a:ln>
              <a:noFill/>
            </a:ln>
            <a:effectLst/>
          </c:spPr>
          <c:invertIfNegative val="0"/>
          <c:cat>
            <c:strRef>
              <c:f>'Dash Data'!$V$3:$Y$3</c:f>
              <c:strCache>
                <c:ptCount val="4"/>
                <c:pt idx="0">
                  <c:v> FY2025 </c:v>
                </c:pt>
                <c:pt idx="1">
                  <c:v> FY2026 </c:v>
                </c:pt>
                <c:pt idx="2">
                  <c:v> FY2027 </c:v>
                </c:pt>
                <c:pt idx="3">
                  <c:v> FY2028 </c:v>
                </c:pt>
              </c:strCache>
            </c:strRef>
          </c:cat>
          <c:val>
            <c:numRef>
              <c:f>'Dash Data'!$V$73:$Y$73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6-A9F5-4650-BCA8-EC01FF2E9746}"/>
            </c:ext>
          </c:extLst>
        </c:ser>
        <c:ser>
          <c:idx val="7"/>
          <c:order val="7"/>
          <c:tx>
            <c:strRef>
              <c:f>'Dash Data'!$D$74</c:f>
              <c:strCache>
                <c:ptCount val="1"/>
                <c:pt idx="0">
                  <c:v>Total Funding Support</c:v>
                </c:pt>
              </c:strCache>
            </c:strRef>
          </c:tx>
          <c:spPr>
            <a:solidFill>
              <a:schemeClr val="accent2">
                <a:lumMod val="60000"/>
              </a:schemeClr>
            </a:solidFill>
            <a:ln>
              <a:noFill/>
            </a:ln>
            <a:effectLst/>
          </c:spPr>
          <c:invertIfNegative val="0"/>
          <c:cat>
            <c:strRef>
              <c:f>'Dash Data'!$V$3:$Y$3</c:f>
              <c:strCache>
                <c:ptCount val="4"/>
                <c:pt idx="0">
                  <c:v> FY2025 </c:v>
                </c:pt>
                <c:pt idx="1">
                  <c:v> FY2026 </c:v>
                </c:pt>
                <c:pt idx="2">
                  <c:v> FY2027 </c:v>
                </c:pt>
                <c:pt idx="3">
                  <c:v> FY2028 </c:v>
                </c:pt>
              </c:strCache>
            </c:strRef>
          </c:cat>
          <c:val>
            <c:numRef>
              <c:f>'Dash Data'!$V$74:$Y$74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7-A9F5-4650-BCA8-EC01FF2E9746}"/>
            </c:ext>
          </c:extLst>
        </c:ser>
        <c:dLbls>
          <c:showLegendKey val="0"/>
          <c:showVal val="0"/>
          <c:showCatName val="0"/>
          <c:showSerName val="0"/>
          <c:showPercent val="0"/>
          <c:showBubbleSize val="0"/>
        </c:dLbls>
        <c:gapWidth val="150"/>
        <c:overlap val="100"/>
        <c:axId val="1880317983"/>
        <c:axId val="1220409199"/>
      </c:barChart>
      <c:lineChart>
        <c:grouping val="standard"/>
        <c:varyColors val="0"/>
        <c:ser>
          <c:idx val="8"/>
          <c:order val="8"/>
          <c:tx>
            <c:strRef>
              <c:f>'Dash Data'!$D$79</c:f>
              <c:strCache>
                <c:ptCount val="1"/>
                <c:pt idx="0">
                  <c:v>Total Staff costs as % of Adjusted Income</c:v>
                </c:pt>
              </c:strCache>
            </c:strRef>
          </c:tx>
          <c:spPr>
            <a:ln w="28575" cap="rnd">
              <a:solidFill>
                <a:schemeClr val="accent3">
                  <a:lumMod val="60000"/>
                </a:schemeClr>
              </a:solidFill>
              <a:round/>
            </a:ln>
            <a:effectLst/>
          </c:spPr>
          <c:marker>
            <c:symbol val="none"/>
          </c:marker>
          <c:val>
            <c:numRef>
              <c:f>'Dash Data'!$V$79:$Y$79</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8-A9F5-4650-BCA8-EC01FF2E9746}"/>
            </c:ext>
          </c:extLst>
        </c:ser>
        <c:dLbls>
          <c:showLegendKey val="0"/>
          <c:showVal val="0"/>
          <c:showCatName val="0"/>
          <c:showSerName val="0"/>
          <c:showPercent val="0"/>
          <c:showBubbleSize val="0"/>
        </c:dLbls>
        <c:marker val="1"/>
        <c:smooth val="0"/>
        <c:axId val="1880317983"/>
        <c:axId val="1220409199"/>
      </c:lineChart>
      <c:catAx>
        <c:axId val="1880317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9199"/>
        <c:crosses val="autoZero"/>
        <c:auto val="1"/>
        <c:lblAlgn val="ctr"/>
        <c:lblOffset val="100"/>
        <c:noMultiLvlLbl val="0"/>
      </c:catAx>
      <c:valAx>
        <c:axId val="122040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17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Debt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'Dash Data'!$D$87</c:f>
              <c:strCache>
                <c:ptCount val="1"/>
                <c:pt idx="0">
                  <c:v>Overdrafts</c:v>
                </c:pt>
              </c:strCache>
            </c:strRef>
          </c:tx>
          <c:spPr>
            <a:solidFill>
              <a:schemeClr val="accent1"/>
            </a:solidFill>
            <a:ln>
              <a:noFill/>
            </a:ln>
            <a:effectLst/>
          </c:spP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Data'!$AA$87:$BJ$87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493-4A6C-87DD-25A79A214651}"/>
            </c:ext>
          </c:extLst>
        </c:ser>
        <c:ser>
          <c:idx val="1"/>
          <c:order val="1"/>
          <c:tx>
            <c:strRef>
              <c:f>'Dash Data'!$D$88</c:f>
              <c:strCache>
                <c:ptCount val="1"/>
                <c:pt idx="0">
                  <c:v>Loans (DfE/ESFA)</c:v>
                </c:pt>
              </c:strCache>
            </c:strRef>
          </c:tx>
          <c:spPr>
            <a:solidFill>
              <a:schemeClr val="accent2"/>
            </a:solidFill>
            <a:ln>
              <a:noFill/>
            </a:ln>
            <a:effectLst/>
          </c:spP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493-4A6C-87DD-25A79A214651}"/>
            </c:ext>
          </c:extLst>
        </c:ser>
        <c:ser>
          <c:idx val="2"/>
          <c:order val="2"/>
          <c:tx>
            <c:strRef>
              <c:f>'Dash Data'!$D$89</c:f>
              <c:strCache>
                <c:ptCount val="1"/>
                <c:pt idx="0">
                  <c:v>Commercial</c:v>
                </c:pt>
              </c:strCache>
            </c:strRef>
          </c:tx>
          <c:spPr>
            <a:solidFill>
              <a:schemeClr val="accent3"/>
            </a:solidFill>
            <a:ln>
              <a:noFill/>
            </a:ln>
            <a:effectLst/>
          </c:spP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Data'!$AA$89:$BJ$89</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4493-4A6C-87DD-25A79A214651}"/>
            </c:ext>
          </c:extLst>
        </c:ser>
        <c:dLbls>
          <c:showLegendKey val="0"/>
          <c:showVal val="0"/>
          <c:showCatName val="0"/>
          <c:showSerName val="0"/>
          <c:showPercent val="0"/>
          <c:showBubbleSize val="0"/>
        </c:dLbls>
        <c:axId val="1554159839"/>
        <c:axId val="804451087"/>
      </c:areaChart>
      <c:dateAx>
        <c:axId val="15541598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451087"/>
        <c:crosses val="autoZero"/>
        <c:auto val="1"/>
        <c:lblOffset val="100"/>
        <c:baseTimeUnit val="months"/>
      </c:dateAx>
      <c:valAx>
        <c:axId val="8044510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598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Profile'!$AA$11:$BJ$11</c15:sqref>
                  </c15:fullRef>
                </c:ext>
              </c:extLst>
              <c:f>'Cash Profile'!$AA$11:$AX$11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9AA-49E6-976F-15FBA5517A7F}"/>
            </c:ext>
          </c:extLst>
        </c:ser>
        <c:ser>
          <c:idx val="2"/>
          <c:order val="1"/>
          <c:tx>
            <c:strRef>
              <c:f>'Cash Profile'!$D$12</c:f>
              <c:strCache>
                <c:ptCount val="1"/>
                <c:pt idx="0">
                  <c:v>01/04/2026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Profile'!$AA$12:$BJ$12</c15:sqref>
                  </c15:fullRef>
                </c:ext>
              </c:extLst>
              <c:f>'Cash Profile'!$AA$12:$AX$12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E9AA-49E6-976F-15FBA5517A7F}"/>
            </c:ext>
          </c:extLst>
        </c:ser>
        <c:ser>
          <c:idx val="3"/>
          <c:order val="2"/>
          <c:tx>
            <c:strRef>
              <c:f>'Cash Profile'!$D$13</c:f>
              <c:strCache>
                <c:ptCount val="1"/>
                <c:pt idx="0">
                  <c:v>31/03/2026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Profile'!$AA$13:$BJ$13</c15:sqref>
                  </c15:fullRef>
                </c:ext>
              </c:extLst>
              <c:f>'Cash Profile'!$AA$13:$AX$13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E9AA-49E6-976F-15FBA5517A7F}"/>
            </c:ext>
          </c:extLst>
        </c:ser>
        <c:dLbls>
          <c:showLegendKey val="0"/>
          <c:showVal val="0"/>
          <c:showCatName val="0"/>
          <c:showSerName val="0"/>
          <c:showPercent val="0"/>
          <c:showBubbleSize val="0"/>
        </c:dLbls>
        <c:smooth val="0"/>
        <c:axId val="1316278512"/>
        <c:axId val="1316278840"/>
        <c:extLst/>
      </c:lineChart>
      <c:dateAx>
        <c:axId val="1316278512"/>
        <c:scaling>
          <c:orientation val="minMax"/>
          <c:max val="45138"/>
          <c:min val="44439"/>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0"/>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0538450542216086E-2"/>
                <c:y val="0.29624026626516814"/>
              </c:manualLayout>
            </c:layout>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46265</c:v>
                </c:pt>
                <c:pt idx="1">
                  <c:v>46295</c:v>
                </c:pt>
                <c:pt idx="2">
                  <c:v>46326</c:v>
                </c:pt>
                <c:pt idx="3">
                  <c:v>46356</c:v>
                </c:pt>
                <c:pt idx="4">
                  <c:v>46387</c:v>
                </c:pt>
                <c:pt idx="5">
                  <c:v>46418</c:v>
                </c:pt>
                <c:pt idx="6">
                  <c:v>46446</c:v>
                </c:pt>
                <c:pt idx="7">
                  <c:v>46477</c:v>
                </c:pt>
                <c:pt idx="8">
                  <c:v>46507</c:v>
                </c:pt>
                <c:pt idx="9">
                  <c:v>46538</c:v>
                </c:pt>
                <c:pt idx="10">
                  <c:v>46568</c:v>
                </c:pt>
                <c:pt idx="11">
                  <c:v>46599</c:v>
                </c:pt>
                <c:pt idx="12">
                  <c:v>46630</c:v>
                </c:pt>
                <c:pt idx="13">
                  <c:v>46660</c:v>
                </c:pt>
                <c:pt idx="14">
                  <c:v>46691</c:v>
                </c:pt>
                <c:pt idx="15">
                  <c:v>46721</c:v>
                </c:pt>
                <c:pt idx="16">
                  <c:v>46752</c:v>
                </c:pt>
                <c:pt idx="17">
                  <c:v>46783</c:v>
                </c:pt>
                <c:pt idx="18">
                  <c:v>46812</c:v>
                </c:pt>
                <c:pt idx="19">
                  <c:v>46843</c:v>
                </c:pt>
                <c:pt idx="20">
                  <c:v>46873</c:v>
                </c:pt>
                <c:pt idx="21">
                  <c:v>46904</c:v>
                </c:pt>
                <c:pt idx="22">
                  <c:v>46934</c:v>
                </c:pt>
                <c:pt idx="23">
                  <c:v>46965</c:v>
                </c:pt>
              </c:numCache>
            </c:numRef>
          </c:cat>
          <c:val>
            <c:numRef>
              <c:extLst>
                <c:ext xmlns:c15="http://schemas.microsoft.com/office/drawing/2012/chart" uri="{02D57815-91ED-43cb-92C2-25804820EDAC}">
                  <c15:fullRef>
                    <c15:sqref>'Cash Profile'!$AA$11:$BJ$11</c15:sqref>
                  </c15:fullRef>
                </c:ext>
              </c:extLst>
              <c:f>'Cash Profile'!$AM$11:$BJ$11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A69C-4048-9337-86F76E384E89}"/>
            </c:ext>
          </c:extLst>
        </c:ser>
        <c:ser>
          <c:idx val="2"/>
          <c:order val="1"/>
          <c:tx>
            <c:strRef>
              <c:f>'Cash Profile'!$D$12</c:f>
              <c:strCache>
                <c:ptCount val="1"/>
                <c:pt idx="0">
                  <c:v>01/04/2026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46265</c:v>
                </c:pt>
                <c:pt idx="1">
                  <c:v>46295</c:v>
                </c:pt>
                <c:pt idx="2">
                  <c:v>46326</c:v>
                </c:pt>
                <c:pt idx="3">
                  <c:v>46356</c:v>
                </c:pt>
                <c:pt idx="4">
                  <c:v>46387</c:v>
                </c:pt>
                <c:pt idx="5">
                  <c:v>46418</c:v>
                </c:pt>
                <c:pt idx="6">
                  <c:v>46446</c:v>
                </c:pt>
                <c:pt idx="7">
                  <c:v>46477</c:v>
                </c:pt>
                <c:pt idx="8">
                  <c:v>46507</c:v>
                </c:pt>
                <c:pt idx="9">
                  <c:v>46538</c:v>
                </c:pt>
                <c:pt idx="10">
                  <c:v>46568</c:v>
                </c:pt>
                <c:pt idx="11">
                  <c:v>46599</c:v>
                </c:pt>
                <c:pt idx="12">
                  <c:v>46630</c:v>
                </c:pt>
                <c:pt idx="13">
                  <c:v>46660</c:v>
                </c:pt>
                <c:pt idx="14">
                  <c:v>46691</c:v>
                </c:pt>
                <c:pt idx="15">
                  <c:v>46721</c:v>
                </c:pt>
                <c:pt idx="16">
                  <c:v>46752</c:v>
                </c:pt>
                <c:pt idx="17">
                  <c:v>46783</c:v>
                </c:pt>
                <c:pt idx="18">
                  <c:v>46812</c:v>
                </c:pt>
                <c:pt idx="19">
                  <c:v>46843</c:v>
                </c:pt>
                <c:pt idx="20">
                  <c:v>46873</c:v>
                </c:pt>
                <c:pt idx="21">
                  <c:v>46904</c:v>
                </c:pt>
                <c:pt idx="22">
                  <c:v>46934</c:v>
                </c:pt>
                <c:pt idx="23">
                  <c:v>46965</c:v>
                </c:pt>
              </c:numCache>
            </c:numRef>
          </c:cat>
          <c:val>
            <c:numRef>
              <c:extLst>
                <c:ext xmlns:c15="http://schemas.microsoft.com/office/drawing/2012/chart" uri="{02D57815-91ED-43cb-92C2-25804820EDAC}">
                  <c15:fullRef>
                    <c15:sqref>'Cash Profile'!$AA$12:$BJ$12</c15:sqref>
                  </c15:fullRef>
                </c:ext>
              </c:extLst>
              <c:f>'Cash Profile'!$AM$12:$BJ$12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A69C-4048-9337-86F76E384E89}"/>
            </c:ext>
          </c:extLst>
        </c:ser>
        <c:ser>
          <c:idx val="3"/>
          <c:order val="2"/>
          <c:tx>
            <c:strRef>
              <c:f>'Cash Profile'!$D$13</c:f>
              <c:strCache>
                <c:ptCount val="1"/>
                <c:pt idx="0">
                  <c:v>31/03/2026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46265</c:v>
                </c:pt>
                <c:pt idx="1">
                  <c:v>46295</c:v>
                </c:pt>
                <c:pt idx="2">
                  <c:v>46326</c:v>
                </c:pt>
                <c:pt idx="3">
                  <c:v>46356</c:v>
                </c:pt>
                <c:pt idx="4">
                  <c:v>46387</c:v>
                </c:pt>
                <c:pt idx="5">
                  <c:v>46418</c:v>
                </c:pt>
                <c:pt idx="6">
                  <c:v>46446</c:v>
                </c:pt>
                <c:pt idx="7">
                  <c:v>46477</c:v>
                </c:pt>
                <c:pt idx="8">
                  <c:v>46507</c:v>
                </c:pt>
                <c:pt idx="9">
                  <c:v>46538</c:v>
                </c:pt>
                <c:pt idx="10">
                  <c:v>46568</c:v>
                </c:pt>
                <c:pt idx="11">
                  <c:v>46599</c:v>
                </c:pt>
                <c:pt idx="12">
                  <c:v>46630</c:v>
                </c:pt>
                <c:pt idx="13">
                  <c:v>46660</c:v>
                </c:pt>
                <c:pt idx="14">
                  <c:v>46691</c:v>
                </c:pt>
                <c:pt idx="15">
                  <c:v>46721</c:v>
                </c:pt>
                <c:pt idx="16">
                  <c:v>46752</c:v>
                </c:pt>
                <c:pt idx="17">
                  <c:v>46783</c:v>
                </c:pt>
                <c:pt idx="18">
                  <c:v>46812</c:v>
                </c:pt>
                <c:pt idx="19">
                  <c:v>46843</c:v>
                </c:pt>
                <c:pt idx="20">
                  <c:v>46873</c:v>
                </c:pt>
                <c:pt idx="21">
                  <c:v>46904</c:v>
                </c:pt>
                <c:pt idx="22">
                  <c:v>46934</c:v>
                </c:pt>
                <c:pt idx="23">
                  <c:v>46965</c:v>
                </c:pt>
              </c:numCache>
            </c:numRef>
          </c:cat>
          <c:val>
            <c:numRef>
              <c:extLst>
                <c:ext xmlns:c15="http://schemas.microsoft.com/office/drawing/2012/chart" uri="{02D57815-91ED-43cb-92C2-25804820EDAC}">
                  <c15:fullRef>
                    <c15:sqref>'Cash Profile'!$AA$13:$BJ$13</c15:sqref>
                  </c15:fullRef>
                </c:ext>
              </c:extLst>
              <c:f>'Cash Profile'!$AM$13:$BJ$13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A69C-4048-9337-86F76E384E89}"/>
            </c:ext>
          </c:extLst>
        </c:ser>
        <c:dLbls>
          <c:showLegendKey val="0"/>
          <c:showVal val="0"/>
          <c:showCatName val="0"/>
          <c:showSerName val="0"/>
          <c:showPercent val="0"/>
          <c:showBubbleSize val="0"/>
        </c:dLbls>
        <c:smooth val="0"/>
        <c:axId val="1316278512"/>
        <c:axId val="1316278840"/>
        <c:extLst/>
      </c:lineChart>
      <c:dateAx>
        <c:axId val="1316278512"/>
        <c:scaling>
          <c:orientation val="minMax"/>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1"/>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9741534859486289E-2"/>
                <c:y val="0.21999096880340033"/>
              </c:manualLayout>
            </c:layout>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balance and cash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unrestricted cash days in hand</c:v>
                </c:pt>
              </c:strCache>
            </c:strRef>
          </c:tx>
          <c:spPr>
            <a:solidFill>
              <a:schemeClr val="accent1"/>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Data'!$AA$23:$BJ$23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C08-4BD0-A534-87841E90B2C7}"/>
            </c:ext>
          </c:extLst>
        </c:ser>
        <c:dLbls>
          <c:showLegendKey val="0"/>
          <c:showVal val="0"/>
          <c:showCatName val="0"/>
          <c:showSerName val="0"/>
          <c:showPercent val="0"/>
          <c:showBubbleSize val="0"/>
        </c:dLbls>
        <c:gapWidth val="219"/>
        <c:axId val="1534304175"/>
        <c:axId val="1344392847"/>
        <c:extLst>
          <c:ext xmlns:c15="http://schemas.microsoft.com/office/drawing/2012/chart" uri="{02D57815-91ED-43cb-92C2-25804820EDAC}">
            <c15:filteredBarSeries>
              <c15:ser>
                <c:idx val="2"/>
                <c:order val="2"/>
                <c:tx>
                  <c:strRef>
                    <c:extLst>
                      <c:ext uri="{02D57815-91ED-43cb-92C2-25804820EDAC}">
                        <c15:formulaRef>
                          <c15:sqref>'Dash Data'!$D$25</c15:sqref>
                        </c15:formulaRef>
                      </c:ext>
                    </c:extLst>
                    <c:strCache>
                      <c:ptCount val="1"/>
                      <c:pt idx="0">
                        <c:v>Trade creditors days - non-pay expenditure</c:v>
                      </c:pt>
                    </c:strCache>
                  </c:strRef>
                </c:tx>
                <c:spPr>
                  <a:solidFill>
                    <a:schemeClr val="accent3"/>
                  </a:solidFill>
                  <a:ln>
                    <a:noFill/>
                  </a:ln>
                  <a:effectLst/>
                </c:spPr>
                <c:invertIfNegative val="0"/>
                <c:cat>
                  <c:numRef>
                    <c:extLst>
                      <c:ext uri="{02D57815-91ED-43cb-92C2-25804820EDAC}">
                        <c15:formulaRef>
                          <c15:sqref>'Dash Data'!$AA$5:$BJ$5</c15:sqref>
                        </c15:formulaRef>
                      </c:ext>
                    </c:extLst>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extLst>
                      <c:ext uri="{02D57815-91ED-43cb-92C2-25804820EDAC}">
                        <c15:formulaRef>
                          <c15:sqref>'Dash Data'!$AA$25:$BJ$25</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2C08-4BD0-A534-87841E90B2C7}"/>
                  </c:ext>
                </c:extLst>
              </c15:ser>
            </c15:filteredBarSeries>
          </c:ext>
        </c:extLst>
      </c:barChart>
      <c:lineChart>
        <c:grouping val="standard"/>
        <c:varyColors val="0"/>
        <c:ser>
          <c:idx val="1"/>
          <c:order val="1"/>
          <c:tx>
            <c:strRef>
              <c:f>'Cash Flow Summary'!$D$96</c:f>
              <c:strCache>
                <c:ptCount val="1"/>
                <c:pt idx="0">
                  <c:v>Unrestricted cash and cash equivalents at end of the period</c:v>
                </c:pt>
              </c:strCache>
            </c:strRef>
          </c:tx>
          <c:spPr>
            <a:ln w="28575" cap="rnd">
              <a:solidFill>
                <a:schemeClr val="tx1"/>
              </a:solidFill>
              <a:round/>
            </a:ln>
            <a:effectLst/>
          </c:spPr>
          <c:marker>
            <c:symbol val="none"/>
          </c:marke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'Cash Flow Summary'!$AA$96:$BJ$96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2C08-4BD0-A534-87841E90B2C7}"/>
            </c:ext>
          </c:extLst>
        </c:ser>
        <c:dLbls>
          <c:showLegendKey val="0"/>
          <c:showVal val="0"/>
          <c:showCatName val="0"/>
          <c:showSerName val="0"/>
          <c:showPercent val="0"/>
          <c:showBubbleSize val="0"/>
        </c:dLbls>
        <c:marker val="1"/>
        <c:smooth val="0"/>
        <c:axId val="1670830399"/>
        <c:axId val="1667792079"/>
      </c:lineChart>
      <c:dateAx>
        <c:axId val="153430417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0"/>
        <c:lblOffset val="100"/>
        <c:baseTimeUnit val="months"/>
        <c:majorUnit val="2"/>
        <c:majorTimeUnit val="months"/>
      </c:date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At val="1"/>
        <c:crossBetween val="between"/>
      </c:valAx>
      <c:valAx>
        <c:axId val="166779207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830399"/>
        <c:crosses val="max"/>
        <c:crossBetween val="between"/>
      </c:valAx>
      <c:dateAx>
        <c:axId val="1670830399"/>
        <c:scaling>
          <c:orientation val="minMax"/>
        </c:scaling>
        <c:delete val="1"/>
        <c:axPos val="b"/>
        <c:numFmt formatCode="d\-mmm\-yy" sourceLinked="1"/>
        <c:majorTickMark val="out"/>
        <c:minorTickMark val="none"/>
        <c:tickLblPos val="nextTo"/>
        <c:crossAx val="1667792079"/>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Working</a:t>
            </a:r>
            <a:r>
              <a:rPr lang="en-US" baseline="0"/>
              <a:t> Capital Accounts - monthly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 Data'!$D$16</c:f>
              <c:strCache>
                <c:ptCount val="1"/>
                <c:pt idx="0">
                  <c:v>Trade Receivables</c:v>
                </c:pt>
              </c:strCache>
            </c:strRef>
          </c:tx>
          <c:spPr>
            <a:ln w="28575" cap="rnd">
              <a:solidFill>
                <a:schemeClr val="accent1"/>
              </a:solidFill>
              <a:round/>
            </a:ln>
            <a:effectLst/>
          </c:spPr>
          <c:marker>
            <c:symbol val="none"/>
          </c:marke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Data'!$AA$16:$BJ$16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E1B3-4DFD-A1E6-33634C0AB82A}"/>
            </c:ext>
          </c:extLst>
        </c:ser>
        <c:ser>
          <c:idx val="1"/>
          <c:order val="1"/>
          <c:tx>
            <c:strRef>
              <c:f>'Dash Data'!$D$13</c:f>
              <c:strCache>
                <c:ptCount val="1"/>
                <c:pt idx="0">
                  <c:v>Stock</c:v>
                </c:pt>
              </c:strCache>
            </c:strRef>
          </c:tx>
          <c:spPr>
            <a:ln w="28575" cap="rnd">
              <a:solidFill>
                <a:schemeClr val="accent2"/>
              </a:solidFill>
              <a:round/>
            </a:ln>
            <a:effectLst/>
          </c:spPr>
          <c:marker>
            <c:symbol val="none"/>
          </c:marke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Data'!$AA$13:$BJ$13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2-E1B3-4DFD-A1E6-33634C0AB82A}"/>
            </c:ext>
          </c:extLst>
        </c:ser>
        <c:ser>
          <c:idx val="2"/>
          <c:order val="2"/>
          <c:tx>
            <c:strRef>
              <c:f>'Dash Data'!$D$19</c:f>
              <c:strCache>
                <c:ptCount val="1"/>
                <c:pt idx="0">
                  <c:v>Trade Payables</c:v>
                </c:pt>
              </c:strCache>
            </c:strRef>
          </c:tx>
          <c:spPr>
            <a:ln w="28575" cap="rnd">
              <a:solidFill>
                <a:schemeClr val="accent3"/>
              </a:solidFill>
              <a:round/>
            </a:ln>
            <a:effectLst/>
          </c:spPr>
          <c:marker>
            <c:symbol val="none"/>
          </c:marker>
          <c:val>
            <c:numRef>
              <c:f>'Dash Data'!$AA$19:$BJ$19</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3-E1B3-4DFD-A1E6-33634C0AB82A}"/>
            </c:ext>
          </c:extLst>
        </c:ser>
        <c:dLbls>
          <c:showLegendKey val="0"/>
          <c:showVal val="0"/>
          <c:showCatName val="0"/>
          <c:showSerName val="0"/>
          <c:showPercent val="0"/>
          <c:showBubbleSize val="0"/>
        </c:dLbls>
        <c:smooth val="0"/>
        <c:axId val="1554178239"/>
        <c:axId val="319540095"/>
        <c:extLst>
          <c:ext xmlns:c15="http://schemas.microsoft.com/office/drawing/2012/chart" uri="{02D57815-91ED-43cb-92C2-25804820EDAC}">
            <c15:filteredLineSeries>
              <c15:ser>
                <c:idx val="3"/>
                <c:order val="3"/>
                <c:tx>
                  <c:strRef>
                    <c:extLst>
                      <c:ext uri="{02D57815-91ED-43cb-92C2-25804820EDAC}">
                        <c15:formulaRef>
                          <c15:sqref>'Dash Data'!$D$21</c15:sqref>
                        </c15:formulaRef>
                      </c:ext>
                    </c:extLst>
                    <c:strCache>
                      <c:ptCount val="1"/>
                      <c:pt idx="0">
                        <c:v>Other Liabilities (positive)</c:v>
                      </c:pt>
                    </c:strCache>
                  </c:strRef>
                </c:tx>
                <c:spPr>
                  <a:ln w="28575" cap="rnd">
                    <a:solidFill>
                      <a:schemeClr val="accent4"/>
                    </a:solidFill>
                    <a:round/>
                  </a:ln>
                  <a:effectLst/>
                </c:spPr>
                <c:marker>
                  <c:symbol val="none"/>
                </c:marker>
                <c:val>
                  <c:numRef>
                    <c:extLst>
                      <c:ext uri="{02D57815-91ED-43cb-92C2-25804820EDAC}">
                        <c15:formulaRef>
                          <c15:sqref>'Dash Data'!$AA$21:$BJ$21</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4-E1B3-4DFD-A1E6-33634C0AB82A}"/>
                  </c:ext>
                </c:extLst>
              </c15:ser>
            </c15:filteredLineSeries>
          </c:ext>
        </c:extLst>
      </c:lineChart>
      <c:dateAx>
        <c:axId val="15541782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40095"/>
        <c:crosses val="autoZero"/>
        <c:auto val="1"/>
        <c:lblOffset val="100"/>
        <c:baseTimeUnit val="months"/>
      </c:dateAx>
      <c:valAx>
        <c:axId val="319540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7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Cash days and WC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unrestricted cash days in hand</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Data'!$V$23:$Y$23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0-9278-4AE7-9E0F-F85D6E449825}"/>
            </c:ext>
          </c:extLst>
        </c:ser>
        <c:ser>
          <c:idx val="1"/>
          <c:order val="1"/>
          <c:tx>
            <c:strRef>
              <c:f>'Dash Data'!$D$24</c:f>
              <c:strCache>
                <c:ptCount val="1"/>
                <c:pt idx="0">
                  <c:v>Trade debtor days -excluding funding body grants</c:v>
                </c:pt>
              </c:strCache>
            </c:strRef>
          </c:tx>
          <c:spPr>
            <a:solidFill>
              <a:schemeClr val="accent2"/>
            </a:solidFill>
            <a:ln>
              <a:noFill/>
            </a:ln>
            <a:effectLst/>
          </c:spPr>
          <c:invertIfNegative val="0"/>
          <c:cat>
            <c:strRef>
              <c:f>'Dash Data'!$V$3:$Y$3</c:f>
              <c:strCache>
                <c:ptCount val="4"/>
                <c:pt idx="0">
                  <c:v> FY2025 </c:v>
                </c:pt>
                <c:pt idx="1">
                  <c:v> FY2026 </c:v>
                </c:pt>
                <c:pt idx="2">
                  <c:v> FY2027 </c:v>
                </c:pt>
                <c:pt idx="3">
                  <c:v> FY2028 </c:v>
                </c:pt>
              </c:strCache>
            </c:strRef>
          </c:cat>
          <c:val>
            <c:numRef>
              <c:f>'Dash Data'!$V$24:$Y$24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1-9278-4AE7-9E0F-F85D6E449825}"/>
            </c:ext>
          </c:extLst>
        </c:ser>
        <c:ser>
          <c:idx val="2"/>
          <c:order val="2"/>
          <c:tx>
            <c:strRef>
              <c:f>'Dash Data'!$D$25</c:f>
              <c:strCache>
                <c:ptCount val="1"/>
                <c:pt idx="0">
                  <c:v>Trade creditors days - non-pay expenditure</c:v>
                </c:pt>
              </c:strCache>
            </c:strRef>
          </c:tx>
          <c:spPr>
            <a:solidFill>
              <a:schemeClr val="accent3"/>
            </a:solidFill>
            <a:ln>
              <a:noFill/>
            </a:ln>
            <a:effectLst/>
          </c:spPr>
          <c:invertIfNegative val="0"/>
          <c:cat>
            <c:strRef>
              <c:f>'Dash Data'!$V$3:$Y$3</c:f>
              <c:strCache>
                <c:ptCount val="4"/>
                <c:pt idx="0">
                  <c:v> FY2025 </c:v>
                </c:pt>
                <c:pt idx="1">
                  <c:v> FY2026 </c:v>
                </c:pt>
                <c:pt idx="2">
                  <c:v> FY2027 </c:v>
                </c:pt>
                <c:pt idx="3">
                  <c:v> FY2028 </c:v>
                </c:pt>
              </c:strCache>
            </c:strRef>
          </c:cat>
          <c:val>
            <c:numRef>
              <c:f>'Dash Data'!$V$25:$Y$25</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2-9278-4AE7-9E0F-F85D6E449825}"/>
            </c:ext>
          </c:extLst>
        </c:ser>
        <c:dLbls>
          <c:showLegendKey val="0"/>
          <c:showVal val="0"/>
          <c:showCatName val="0"/>
          <c:showSerName val="0"/>
          <c:showPercent val="0"/>
          <c:showBubbleSize val="0"/>
        </c:dLbls>
        <c:gapWidth val="219"/>
        <c:overlap val="-27"/>
        <c:axId val="1534304175"/>
        <c:axId val="1344392847"/>
      </c:barChart>
      <c:catAx>
        <c:axId val="1534304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1"/>
        <c:lblAlgn val="ctr"/>
        <c:lblOffset val="100"/>
        <c:noMultiLvlLbl val="0"/>
      </c:cat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Education-specific</a:t>
            </a:r>
            <a:r>
              <a:rPr lang="en-GB" baseline="0"/>
              <a:t> </a:t>
            </a:r>
            <a:r>
              <a:rPr lang="en-GB"/>
              <a:t>EBITDA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Data'!$D$35</c:f>
              <c:strCache>
                <c:ptCount val="1"/>
                <c:pt idx="0">
                  <c:v>EBITDA as a % of adjusted income - education specific</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Data'!$V$35:$Y$35</c:f>
              <c:numCache>
                <c:formatCode>0%</c:formatCode>
                <c:ptCount val="4"/>
                <c:pt idx="0">
                  <c:v>0</c:v>
                </c:pt>
                <c:pt idx="1">
                  <c:v>0</c:v>
                </c:pt>
                <c:pt idx="2">
                  <c:v>0</c:v>
                </c:pt>
                <c:pt idx="3">
                  <c:v>0</c:v>
                </c:pt>
              </c:numCache>
            </c:numRef>
          </c:val>
          <c:extLst>
            <c:ext xmlns:c16="http://schemas.microsoft.com/office/drawing/2014/chart" uri="{C3380CC4-5D6E-409C-BE32-E72D297353CC}">
              <c16:uniqueId val="{00000003-BB03-4338-915C-966F92C455B9}"/>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Data'!$W$32:$Y$32</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0-BB03-4338-915C-966F92C455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'Dash Data'!$D$39</c15:sqref>
                        </c15:formulaRef>
                      </c:ext>
                    </c:extLst>
                    <c:strCache>
                      <c:ptCount val="1"/>
                      <c:pt idx="0">
                        <c:v>Adjusted Operating Ratio</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Data'!$V$39:$Y$39</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BB03-4338-915C-966F92C455B9}"/>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accent2">
                        <a:lumMod val="75000"/>
                      </a:schemeClr>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6-BB03-4338-915C-966F92C455B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7-BB03-4338-915C-966F92C455B9}"/>
                  </c:ext>
                </c:extLst>
              </c15:ser>
            </c15:filteredLineSeries>
          </c:ext>
        </c:extLst>
      </c:lineChart>
      <c:lineChart>
        <c:grouping val="standard"/>
        <c:varyColors val="0"/>
        <c:ser>
          <c:idx val="8"/>
          <c:order val="8"/>
          <c:tx>
            <c:strRef>
              <c:f>'Dash Data'!$D$36</c:f>
              <c:strCache>
                <c:ptCount val="1"/>
                <c:pt idx="0">
                  <c:v>EBITDA as a % of income College Benchmark</c:v>
                </c:pt>
              </c:strCache>
            </c:strRef>
          </c:tx>
          <c:spPr>
            <a:ln w="28575" cap="rnd">
              <a:solidFill>
                <a:schemeClr val="bg1">
                  <a:lumMod val="75000"/>
                </a:schemeClr>
              </a:solidFill>
              <a:round/>
            </a:ln>
            <a:effectLst/>
          </c:spPr>
          <c:marker>
            <c:symbol val="none"/>
          </c:marker>
          <c:val>
            <c:numRef>
              <c:f>'Dash Data'!$V$36:$Y$36</c:f>
              <c:numCache>
                <c:formatCode>0%</c:formatCode>
                <c:ptCount val="4"/>
                <c:pt idx="0">
                  <c:v>0</c:v>
                </c:pt>
                <c:pt idx="1">
                  <c:v>0</c:v>
                </c:pt>
                <c:pt idx="2">
                  <c:v>0</c:v>
                </c:pt>
                <c:pt idx="3">
                  <c:v>0</c:v>
                </c:pt>
              </c:numCache>
            </c:numRef>
          </c:val>
          <c:smooth val="1"/>
          <c:extLst>
            <c:ext xmlns:c16="http://schemas.microsoft.com/office/drawing/2014/chart" uri="{C3380CC4-5D6E-409C-BE32-E72D297353CC}">
              <c16:uniqueId val="{00000002-0F36-4E80-8497-F33680FAAF2F}"/>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FY2026 </c:v>
                      </c:pt>
                      <c:pt idx="1">
                        <c:v> FY2027 </c:v>
                      </c:pt>
                      <c:pt idx="2">
                        <c:v> FY2028 </c:v>
                      </c:pt>
                    </c:strCache>
                  </c:strRef>
                </c:cat>
                <c:val>
                  <c:numRef>
                    <c:extLst>
                      <c:ext uri="{02D57815-91ED-43cb-92C2-25804820EDAC}">
                        <c15:formulaRef>
                          <c15:sqref>'Dash Data'!$V$31:$Y$31</c15:sqref>
                        </c15:formulaRef>
                      </c:ext>
                    </c:extLst>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1-BB03-4338-915C-966F92C455B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FY2026 </c:v>
                      </c:pt>
                      <c:pt idx="1">
                        <c:v> FY2027 </c:v>
                      </c:pt>
                      <c:pt idx="2">
                        <c:v> FY2028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2-BB03-4338-915C-966F92C455B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FY2026 </c:v>
                      </c:pt>
                      <c:pt idx="1">
                        <c:v> FY2027 </c:v>
                      </c:pt>
                      <c:pt idx="2">
                        <c:v> FY2028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5-BB03-4338-915C-966F92C455B9}"/>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Operating Surplus/Deficit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'Dash Data'!$D$39</c:f>
              <c:strCache>
                <c:ptCount val="1"/>
                <c:pt idx="0">
                  <c:v>Adjusted Operating Ratio</c:v>
                </c:pt>
              </c:strCache>
              <c:extLst xmlns:c15="http://schemas.microsoft.com/office/drawing/2012/chart"/>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Data'!$V$39:$Y$39</c:f>
              <c:numCache>
                <c:formatCode>0%</c:formatCode>
                <c:ptCount val="4"/>
                <c:pt idx="0">
                  <c:v>0</c:v>
                </c:pt>
                <c:pt idx="1">
                  <c:v>0</c:v>
                </c:pt>
                <c:pt idx="2">
                  <c:v>0</c:v>
                </c:pt>
                <c:pt idx="3">
                  <c:v>0</c:v>
                </c:pt>
              </c:numCache>
              <c:extLst xmlns:c15="http://schemas.microsoft.com/office/drawing/2012/chart"/>
            </c:numRef>
          </c:val>
          <c:extLst>
            <c:ext xmlns:c16="http://schemas.microsoft.com/office/drawing/2014/chart" uri="{C3380CC4-5D6E-409C-BE32-E72D297353CC}">
              <c16:uniqueId val="{00000005-AF78-45C0-9101-480DA6398166}"/>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Data'!$W$32:$Y$32</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0-AF78-45C0-9101-480DA639816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Data'!$D$35</c15:sqref>
                        </c15:formulaRef>
                      </c:ext>
                    </c:extLst>
                    <c:strCache>
                      <c:ptCount val="1"/>
                      <c:pt idx="0">
                        <c:v>EBITDA as a % of adjusted income - education specific</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Data'!$V$35:$Y$35</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AF78-45C0-9101-480DA6398166}"/>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tx1"/>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2-AF78-45C0-9101-480DA639816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strCache>
                  </c:strRef>
                </c:tx>
                <c:spPr>
                  <a:ln w="28575" cap="rnd">
                    <a:solidFill>
                      <a:schemeClr val="accent2">
                        <a:lumMod val="75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7-AF78-45C0-9101-480DA6398166}"/>
                  </c:ext>
                </c:extLst>
              </c15:ser>
            </c15:filteredLineSeries>
          </c:ext>
        </c:extLst>
      </c:lineChart>
      <c:lineChart>
        <c:grouping val="standard"/>
        <c:varyColors val="0"/>
        <c:ser>
          <c:idx val="8"/>
          <c:order val="8"/>
          <c:tx>
            <c:strRef>
              <c:f>'Dash Data'!$D$41</c:f>
              <c:strCache>
                <c:ptCount val="1"/>
                <c:pt idx="0">
                  <c:v>Adj. Operating Income Ratio College Benchmark</c:v>
                </c:pt>
              </c:strCache>
            </c:strRef>
          </c:tx>
          <c:spPr>
            <a:ln w="28575" cap="rnd">
              <a:solidFill>
                <a:schemeClr val="bg1">
                  <a:lumMod val="75000"/>
                </a:schemeClr>
              </a:solidFill>
              <a:round/>
            </a:ln>
            <a:effectLst/>
          </c:spPr>
          <c:marker>
            <c:symbol val="none"/>
          </c:marker>
          <c:val>
            <c:numRef>
              <c:f>'Dash Data'!$V$41:$Y$41</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DBD-453B-BBCE-2CCFCCC6CCC1}"/>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FY2026 </c:v>
                      </c:pt>
                      <c:pt idx="1">
                        <c:v> FY2027 </c:v>
                      </c:pt>
                      <c:pt idx="2">
                        <c:v> FY2028 </c:v>
                      </c:pt>
                    </c:strCache>
                  </c:strRef>
                </c:cat>
                <c:val>
                  <c:numRef>
                    <c:extLst>
                      <c:ext uri="{02D57815-91ED-43cb-92C2-25804820EDAC}">
                        <c15:formulaRef>
                          <c15:sqref>'Dash Data'!$V$31:$Y$31</c15:sqref>
                        </c15:formulaRef>
                      </c:ext>
                    </c:extLst>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3-AF78-45C0-9101-480DA63981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FY2026 </c:v>
                      </c:pt>
                      <c:pt idx="1">
                        <c:v> FY2027 </c:v>
                      </c:pt>
                      <c:pt idx="2">
                        <c:v> FY2028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4-AF78-45C0-9101-480DA639816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FY2026 </c:v>
                      </c:pt>
                      <c:pt idx="1">
                        <c:v> FY2027 </c:v>
                      </c:pt>
                      <c:pt idx="2">
                        <c:v> FY2028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6-AF78-45C0-9101-480DA6398166}"/>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DSCR vs. Benchmark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Data'!$D$43</c:f>
              <c:strCache>
                <c:ptCount val="1"/>
                <c:pt idx="0">
                  <c:v>Debt Service Cover Ratio</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Data'!$V$43:$Y$43</c:f>
              <c:numCache>
                <c:formatCode>_-* #,##0.00_-;* \(#,##0.00\)_-;_-* "-"??_-;_-@_-</c:formatCode>
                <c:ptCount val="4"/>
                <c:pt idx="0">
                  <c:v>0</c:v>
                </c:pt>
                <c:pt idx="1">
                  <c:v>0</c:v>
                </c:pt>
                <c:pt idx="2">
                  <c:v>0</c:v>
                </c:pt>
                <c:pt idx="3">
                  <c:v>0</c:v>
                </c:pt>
              </c:numCache>
            </c:numRef>
          </c:val>
          <c:extLst>
            <c:ext xmlns:c16="http://schemas.microsoft.com/office/drawing/2014/chart" uri="{C3380CC4-5D6E-409C-BE32-E72D297353CC}">
              <c16:uniqueId val="{00000000-CB82-4D49-BB7D-2EB065E1E18F}"/>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1"/>
                <c:order val="1"/>
                <c:tx>
                  <c:strRef>
                    <c:extLst>
                      <c:ext uri="{02D57815-91ED-43cb-92C2-25804820EDAC}">
                        <c15:formulaRef>
                          <c15:sqref>'Dash Data'!$D$47</c15:sqref>
                        </c15:formulaRef>
                      </c:ext>
                    </c:extLst>
                    <c:strCache>
                      <c:ptCount val="1"/>
                      <c:pt idx="0">
                        <c:v>Borrowing as a % of adjusted income</c:v>
                      </c:pt>
                    </c:strCache>
                  </c:strRef>
                </c:tx>
                <c:spPr>
                  <a:solidFill>
                    <a:schemeClr val="accent2"/>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Data'!$W$47:$Y$47</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1-CB82-4D49-BB7D-2EB065E1E18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numCache>
                  </c:numRef>
                </c:val>
                <c:extLst xmlns:c15="http://schemas.microsoft.com/office/drawing/2012/chart">
                  <c:ext xmlns:c16="http://schemas.microsoft.com/office/drawing/2014/chart" uri="{C3380CC4-5D6E-409C-BE32-E72D297353CC}">
                    <c16:uniqueId val="{00000003-CB82-4D49-BB7D-2EB065E1E18F}"/>
                  </c:ext>
                </c:extLst>
              </c15:ser>
            </c15:filteredBarSeries>
          </c:ext>
        </c:extLst>
      </c:barChart>
      <c:lineChart>
        <c:grouping val="standard"/>
        <c:varyColors val="0"/>
        <c:ser>
          <c:idx val="4"/>
          <c:order val="4"/>
          <c:tx>
            <c:strRef>
              <c:f>'Dash Data'!$D$45</c:f>
              <c:strCache>
                <c:ptCount val="1"/>
                <c:pt idx="0">
                  <c:v>Debt Service Cover Ratio College Benchmark</c:v>
                </c:pt>
              </c:strCache>
            </c:strRef>
          </c:tx>
          <c:spPr>
            <a:ln w="28575" cap="rnd">
              <a:solidFill>
                <a:schemeClr val="bg1">
                  <a:lumMod val="75000"/>
                </a:schemeClr>
              </a:solidFill>
              <a:round/>
            </a:ln>
            <a:effectLst/>
          </c:spPr>
          <c:marker>
            <c:symbol val="none"/>
          </c:marker>
          <c:val>
            <c:numRef>
              <c:f>'Dash Data'!$V$45:$Y$45</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173D-4981-B57B-8EB6EA895EA2}"/>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strCache>
                  </c:strRef>
                </c:tx>
                <c:spPr>
                  <a:ln w="28575" cap="rnd">
                    <a:solidFill>
                      <a:schemeClr val="accent2">
                        <a:lumMod val="75000"/>
                      </a:schemeClr>
                    </a:solidFill>
                    <a:round/>
                  </a:ln>
                  <a:effectLst/>
                </c:spPr>
                <c:marker>
                  <c:symbol val="none"/>
                </c:marker>
                <c:cat>
                  <c:strRef>
                    <c:extLst>
                      <c:ext uri="{02D57815-91ED-43cb-92C2-25804820EDAC}">
                        <c15:formulaRef>
                          <c15:sqref>'Dash Data'!$W$3:$Y$3</c15:sqref>
                        </c15:formulaRef>
                      </c:ext>
                    </c:extLst>
                    <c:strCache>
                      <c:ptCount val="3"/>
                      <c:pt idx="0">
                        <c:v> FY2026 </c:v>
                      </c:pt>
                      <c:pt idx="1">
                        <c:v> FY2027 </c:v>
                      </c:pt>
                      <c:pt idx="2">
                        <c:v> FY2028 </c:v>
                      </c:pt>
                    </c:strCache>
                  </c:strRef>
                </c:cat>
                <c:val>
                  <c:numRef>
                    <c:extLst>
                      <c:ext uri="{02D57815-91ED-43cb-92C2-25804820EDAC}">
                        <c15:formulaRef>
                          <c15:sqref>'Dash Data'!$V$44:$Y$44</c15:sqref>
                        </c15:formulaRef>
                      </c:ext>
                    </c:extLst>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CB82-4D49-BB7D-2EB065E1E18F}"/>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Borrowing % of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'Dash Data'!$D$47</c:f>
              <c:strCache>
                <c:ptCount val="1"/>
                <c:pt idx="0">
                  <c:v>Borrowing as a % of adjusted income</c:v>
                </c:pt>
              </c:strCache>
              <c:extLst xmlns:c15="http://schemas.microsoft.com/office/drawing/2012/chart"/>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Data'!$V$47:$Y$47</c:f>
              <c:numCache>
                <c:formatCode>0%</c:formatCode>
                <c:ptCount val="4"/>
                <c:pt idx="0">
                  <c:v>0</c:v>
                </c:pt>
                <c:pt idx="1">
                  <c:v>0</c:v>
                </c:pt>
                <c:pt idx="2">
                  <c:v>0</c:v>
                </c:pt>
                <c:pt idx="3">
                  <c:v>0</c:v>
                </c:pt>
              </c:numCache>
            </c:numRef>
          </c:val>
          <c:extLst>
            <c:ext xmlns:c16="http://schemas.microsoft.com/office/drawing/2014/chart" uri="{C3380CC4-5D6E-409C-BE32-E72D297353CC}">
              <c16:uniqueId val="{00000002-03F2-4392-859C-49E6F1747726}"/>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0"/>
                <c:order val="0"/>
                <c:tx>
                  <c:strRef>
                    <c:extLst>
                      <c:ext uri="{02D57815-91ED-43cb-92C2-25804820EDAC}">
                        <c15:formulaRef>
                          <c15:sqref>'Dash Data'!$D$43</c15:sqref>
                        </c15:formulaRef>
                      </c:ext>
                    </c:extLst>
                    <c:strCache>
                      <c:ptCount val="1"/>
                      <c:pt idx="0">
                        <c:v>Debt Service Cover Ratio</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Data'!$W$43:$Y$43</c15:sqref>
                        </c15:formulaRef>
                      </c:ext>
                    </c:extLst>
                    <c:numCache>
                      <c:formatCode>_-* #,##0.00_-;* \(#,##0.00\)_-;_-* "-"??_-;_-@_-</c:formatCode>
                      <c:ptCount val="3"/>
                      <c:pt idx="0">
                        <c:v>0</c:v>
                      </c:pt>
                      <c:pt idx="1">
                        <c:v>0</c:v>
                      </c:pt>
                      <c:pt idx="2">
                        <c:v>0</c:v>
                      </c:pt>
                    </c:numCache>
                  </c:numRef>
                </c:val>
                <c:extLst>
                  <c:ext xmlns:c16="http://schemas.microsoft.com/office/drawing/2014/chart" uri="{C3380CC4-5D6E-409C-BE32-E72D297353CC}">
                    <c16:uniqueId val="{00000000-03F2-4392-859C-49E6F17477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numCache>
                  </c:numRef>
                </c:val>
                <c:extLst xmlns:c15="http://schemas.microsoft.com/office/drawing/2012/chart">
                  <c:ext xmlns:c16="http://schemas.microsoft.com/office/drawing/2014/chart" uri="{C3380CC4-5D6E-409C-BE32-E72D297353CC}">
                    <c16:uniqueId val="{00000003-03F2-4392-859C-49E6F1747726}"/>
                  </c:ext>
                </c:extLst>
              </c15:ser>
            </c15:filteredBarSeries>
          </c:ext>
        </c:extLst>
      </c:barChart>
      <c:lineChart>
        <c:grouping val="standard"/>
        <c:varyColors val="0"/>
        <c:ser>
          <c:idx val="4"/>
          <c:order val="4"/>
          <c:tx>
            <c:strRef>
              <c:f>'Dash Data'!$D$48</c:f>
              <c:strCache>
                <c:ptCount val="1"/>
                <c:pt idx="0">
                  <c:v>Borrowing as a % of adjusted income College Benchmark</c:v>
                </c:pt>
              </c:strCache>
            </c:strRef>
          </c:tx>
          <c:spPr>
            <a:ln w="28575" cap="rnd">
              <a:solidFill>
                <a:schemeClr val="bg1">
                  <a:lumMod val="75000"/>
                </a:schemeClr>
              </a:solidFill>
              <a:round/>
            </a:ln>
            <a:effectLst/>
          </c:spPr>
          <c:marker>
            <c:symbol val="none"/>
          </c:marker>
          <c:val>
            <c:numRef>
              <c:f>'Dash Data'!$V$48:$Y$48</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91B1-4E06-8565-78BA4570B5A9}"/>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strCache>
                  </c:strRef>
                </c:tx>
                <c:spPr>
                  <a:ln w="28575" cap="rnd">
                    <a:solidFill>
                      <a:schemeClr val="tx1"/>
                    </a:solidFill>
                    <a:round/>
                  </a:ln>
                  <a:effectLst/>
                </c:spPr>
                <c:marker>
                  <c:symbol val="none"/>
                </c:marker>
                <c:cat>
                  <c:strRef>
                    <c:extLst>
                      <c:ext uri="{02D57815-91ED-43cb-92C2-25804820EDAC}">
                        <c15:formulaRef>
                          <c15:sqref>'Dash Data'!$W$3:$Y$3</c15:sqref>
                        </c15:formulaRef>
                      </c:ext>
                    </c:extLst>
                    <c:strCache>
                      <c:ptCount val="3"/>
                      <c:pt idx="0">
                        <c:v> FY2026 </c:v>
                      </c:pt>
                      <c:pt idx="1">
                        <c:v> FY2027 </c:v>
                      </c:pt>
                      <c:pt idx="2">
                        <c:v> FY2028 </c:v>
                      </c:pt>
                    </c:strCache>
                  </c:strRef>
                </c:cat>
                <c:val>
                  <c:numRef>
                    <c:extLst>
                      <c:ext uri="{02D57815-91ED-43cb-92C2-25804820EDAC}">
                        <c15:formulaRef>
                          <c15:sqref>'Dash Data'!$W$44:$Y$44</c15:sqref>
                        </c15:formulaRef>
                      </c:ext>
                    </c:extLst>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03F2-4392-859C-49E6F1747726}"/>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Adjusted</a:t>
            </a:r>
            <a:r>
              <a:rPr lang="en-GB" baseline="0"/>
              <a:t> Cash Days vs. Benchmark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0"/>
          <c:order val="0"/>
          <c:tx>
            <c:strRef>
              <c:f>'Dash Data'!$D$51</c:f>
              <c:strCache>
                <c:ptCount val="1"/>
                <c:pt idx="0">
                  <c:v>Adjusted unrestricted cash days in hand</c:v>
                </c:pt>
              </c:strCache>
            </c:strRef>
          </c:tx>
          <c:spPr>
            <a:solidFill>
              <a:schemeClr val="accent1"/>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Data'!$AA$51:$BJ$51</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54D-447A-BB07-379D1FD758F7}"/>
            </c:ext>
          </c:extLst>
        </c:ser>
        <c:dLbls>
          <c:showLegendKey val="0"/>
          <c:showVal val="0"/>
          <c:showCatName val="0"/>
          <c:showSerName val="0"/>
          <c:showPercent val="0"/>
          <c:showBubbleSize val="0"/>
        </c:dLbls>
        <c:gapWidth val="219"/>
        <c:axId val="1880334783"/>
        <c:axId val="1220410031"/>
      </c:barChart>
      <c:lineChart>
        <c:grouping val="standard"/>
        <c:varyColors val="0"/>
        <c:ser>
          <c:idx val="2"/>
          <c:order val="2"/>
          <c:tx>
            <c:strRef>
              <c:f>'Dash Data'!$D$53</c:f>
              <c:strCache>
                <c:ptCount val="1"/>
                <c:pt idx="0">
                  <c:v>Adjusted unrestricted cash days College Benchmark</c:v>
                </c:pt>
              </c:strCache>
            </c:strRef>
          </c:tx>
          <c:spPr>
            <a:ln w="28575" cap="rnd">
              <a:solidFill>
                <a:schemeClr val="bg1">
                  <a:lumMod val="75000"/>
                </a:schemeClr>
              </a:solidFill>
              <a:round/>
            </a:ln>
            <a:effectLst/>
          </c:spPr>
          <c:marker>
            <c:symbol val="none"/>
          </c:marker>
          <c:val>
            <c:numRef>
              <c:f>'Dash Data'!$AA$53:$BJ$53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D5C8-4E8B-8E7F-ECE0C5A9A4D0}"/>
            </c:ext>
          </c:extLst>
        </c:ser>
        <c:dLbls>
          <c:showLegendKey val="0"/>
          <c:showVal val="0"/>
          <c:showCatName val="0"/>
          <c:showSerName val="0"/>
          <c:showPercent val="0"/>
          <c:showBubbleSize val="0"/>
        </c:dLbls>
        <c:marker val="1"/>
        <c:smooth val="0"/>
        <c:axId val="1880334783"/>
        <c:axId val="1220410031"/>
        <c:extLst>
          <c:ext xmlns:c15="http://schemas.microsoft.com/office/drawing/2012/chart" uri="{02D57815-91ED-43cb-92C2-25804820EDAC}">
            <c15:filteredLineSeries>
              <c15:ser>
                <c:idx val="1"/>
                <c:order val="1"/>
                <c:tx>
                  <c:strRef>
                    <c:extLst>
                      <c:ext uri="{02D57815-91ED-43cb-92C2-25804820EDAC}">
                        <c15:formulaRef>
                          <c15:sqref>'Dash Data'!$D$52</c15:sqref>
                        </c15:formulaRef>
                      </c:ext>
                    </c:extLst>
                    <c:strCache>
                      <c:ptCount val="1"/>
                    </c:strCache>
                  </c:strRef>
                </c:tx>
                <c:spPr>
                  <a:ln w="28575" cap="rnd">
                    <a:solidFill>
                      <a:schemeClr val="accent2">
                        <a:lumMod val="75000"/>
                      </a:schemeClr>
                    </a:solidFill>
                    <a:round/>
                  </a:ln>
                  <a:effectLst/>
                </c:spPr>
                <c:marker>
                  <c:symbol val="none"/>
                </c:marker>
                <c:cat>
                  <c:numRef>
                    <c:extLst>
                      <c:ext uri="{02D57815-91ED-43cb-92C2-25804820EDAC}">
                        <c15:formulaRef>
                          <c15:sqref>'Dash Data'!$AA$5:$BJ$5</c15:sqref>
                        </c15:formulaRef>
                      </c:ext>
                    </c:extLst>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extLst>
                      <c:ext uri="{02D57815-91ED-43cb-92C2-25804820EDAC}">
                        <c15:formulaRef>
                          <c15:sqref>'Dash Data'!$AA$52:$BJ$52</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254D-447A-BB07-379D1FD758F7}"/>
                  </c:ext>
                </c:extLst>
              </c15:ser>
            </c15:filteredLineSeries>
          </c:ext>
        </c:extLst>
      </c:lineChart>
      <c:dateAx>
        <c:axId val="1880334783"/>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10031"/>
        <c:crosses val="autoZero"/>
        <c:auto val="1"/>
        <c:lblOffset val="100"/>
        <c:baseTimeUnit val="months"/>
        <c:majorUnit val="2"/>
        <c:majorTimeUnit val="months"/>
      </c:dateAx>
      <c:valAx>
        <c:axId val="122041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3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466725</xdr:colOff>
      <xdr:row>188</xdr:row>
      <xdr:rowOff>175259</xdr:rowOff>
    </xdr:from>
    <xdr:to>
      <xdr:col>2</xdr:col>
      <xdr:colOff>1685925</xdr:colOff>
      <xdr:row>191</xdr:row>
      <xdr:rowOff>114300</xdr:rowOff>
    </xdr:to>
    <xdr:sp macro="" textlink="">
      <xdr:nvSpPr>
        <xdr:cNvPr id="3" name="TextBox 2">
          <a:extLst>
            <a:ext uri="{FF2B5EF4-FFF2-40B4-BE49-F238E27FC236}">
              <a16:creationId xmlns:a16="http://schemas.microsoft.com/office/drawing/2014/main" id="{7C86B7D8-D0FD-4A81-B4D9-9CF0768A710E}"/>
            </a:ext>
          </a:extLst>
        </xdr:cNvPr>
        <xdr:cNvSpPr txBox="1"/>
      </xdr:nvSpPr>
      <xdr:spPr>
        <a:xfrm>
          <a:off x="1276350" y="7471409"/>
          <a:ext cx="1219200" cy="481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I&amp;E Inputs approach</a:t>
          </a:r>
        </a:p>
      </xdr:txBody>
    </xdr:sp>
    <xdr:clientData/>
  </xdr:twoCellAnchor>
  <xdr:twoCellAnchor>
    <xdr:from>
      <xdr:col>2</xdr:col>
      <xdr:colOff>2011678</xdr:colOff>
      <xdr:row>182</xdr:row>
      <xdr:rowOff>161588</xdr:rowOff>
    </xdr:from>
    <xdr:to>
      <xdr:col>3</xdr:col>
      <xdr:colOff>1154206</xdr:colOff>
      <xdr:row>187</xdr:row>
      <xdr:rowOff>28388</xdr:rowOff>
    </xdr:to>
    <xdr:sp macro="" textlink="">
      <xdr:nvSpPr>
        <xdr:cNvPr id="26" name="TextBox 3">
          <a:extLst>
            <a:ext uri="{FF2B5EF4-FFF2-40B4-BE49-F238E27FC236}">
              <a16:creationId xmlns:a16="http://schemas.microsoft.com/office/drawing/2014/main" id="{63A80EB8-BFBE-4492-8AE7-3EECD1E901ED}"/>
            </a:ext>
          </a:extLst>
        </xdr:cNvPr>
        <xdr:cNvSpPr txBox="1"/>
      </xdr:nvSpPr>
      <xdr:spPr>
        <a:xfrm>
          <a:off x="3009002" y="21968235"/>
          <a:ext cx="1271645" cy="8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 monthly</a:t>
          </a:r>
          <a:r>
            <a:rPr lang="en-GB" sz="1100" baseline="0"/>
            <a:t> I&amp;E inputs in 'I&amp;E Monthly' sheet</a:t>
          </a:r>
        </a:p>
      </xdr:txBody>
    </xdr:sp>
    <xdr:clientData/>
  </xdr:twoCellAnchor>
  <xdr:twoCellAnchor>
    <xdr:from>
      <xdr:col>2</xdr:col>
      <xdr:colOff>472441</xdr:colOff>
      <xdr:row>185</xdr:row>
      <xdr:rowOff>125730</xdr:rowOff>
    </xdr:from>
    <xdr:to>
      <xdr:col>2</xdr:col>
      <xdr:colOff>1786891</xdr:colOff>
      <xdr:row>186</xdr:row>
      <xdr:rowOff>135255</xdr:rowOff>
    </xdr:to>
    <xdr:sp macro="" textlink="">
      <xdr:nvSpPr>
        <xdr:cNvPr id="5" name="TextBox 4">
          <a:extLst>
            <a:ext uri="{FF2B5EF4-FFF2-40B4-BE49-F238E27FC236}">
              <a16:creationId xmlns:a16="http://schemas.microsoft.com/office/drawing/2014/main" id="{8FC3C323-CE0D-4B05-8466-9C7697ECB316}"/>
            </a:ext>
          </a:extLst>
        </xdr:cNvPr>
        <xdr:cNvSpPr txBox="1"/>
      </xdr:nvSpPr>
      <xdr:spPr>
        <a:xfrm>
          <a:off x="1539241" y="35196780"/>
          <a:ext cx="13144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monthly</a:t>
          </a:r>
          <a:endParaRPr lang="en-GB" sz="900" i="1"/>
        </a:p>
      </xdr:txBody>
    </xdr:sp>
    <xdr:clientData/>
  </xdr:twoCellAnchor>
  <xdr:twoCellAnchor>
    <xdr:from>
      <xdr:col>2</xdr:col>
      <xdr:colOff>1078229</xdr:colOff>
      <xdr:row>187</xdr:row>
      <xdr:rowOff>26484</xdr:rowOff>
    </xdr:from>
    <xdr:to>
      <xdr:col>3</xdr:col>
      <xdr:colOff>492329</xdr:colOff>
      <xdr:row>188</xdr:row>
      <xdr:rowOff>171450</xdr:rowOff>
    </xdr:to>
    <xdr:cxnSp macro="">
      <xdr:nvCxnSpPr>
        <xdr:cNvPr id="7" name="Connector: Elbow 6" descr="Flow diagram connector">
          <a:extLst>
            <a:ext uri="{FF2B5EF4-FFF2-40B4-BE49-F238E27FC236}">
              <a16:creationId xmlns:a16="http://schemas.microsoft.com/office/drawing/2014/main" id="{977E12AC-9887-49E0-8F27-726A811CAAED}"/>
            </a:ext>
          </a:extLst>
        </xdr:cNvPr>
        <xdr:cNvCxnSpPr>
          <a:stCxn id="3" idx="0"/>
          <a:endCxn id="26" idx="2"/>
        </xdr:cNvCxnSpPr>
      </xdr:nvCxnSpPr>
      <xdr:spPr>
        <a:xfrm rot="5400000" flipH="1" flipV="1">
          <a:off x="2784484" y="20418229"/>
          <a:ext cx="240216" cy="159532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1662394</xdr:colOff>
      <xdr:row>182</xdr:row>
      <xdr:rowOff>161588</xdr:rowOff>
    </xdr:from>
    <xdr:to>
      <xdr:col>3</xdr:col>
      <xdr:colOff>3855684</xdr:colOff>
      <xdr:row>187</xdr:row>
      <xdr:rowOff>22411</xdr:rowOff>
    </xdr:to>
    <xdr:sp macro="" textlink="">
      <xdr:nvSpPr>
        <xdr:cNvPr id="30" name="TextBox 7">
          <a:extLst>
            <a:ext uri="{FF2B5EF4-FFF2-40B4-BE49-F238E27FC236}">
              <a16:creationId xmlns:a16="http://schemas.microsoft.com/office/drawing/2014/main" id="{164114FB-7478-47EA-8D73-42A6A8172405}"/>
            </a:ext>
          </a:extLst>
        </xdr:cNvPr>
        <xdr:cNvSpPr txBox="1"/>
      </xdr:nvSpPr>
      <xdr:spPr>
        <a:xfrm>
          <a:off x="4788835" y="21968235"/>
          <a:ext cx="2193290" cy="813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I&amp;E data will be automatically reflected in the 'I&amp;E Annual' sheet,</a:t>
          </a:r>
          <a:r>
            <a:rPr lang="en-GB" sz="1100" baseline="0"/>
            <a:t> which links to output sheets.</a:t>
          </a:r>
          <a:endParaRPr lang="en-GB" sz="1100"/>
        </a:p>
      </xdr:txBody>
    </xdr:sp>
    <xdr:clientData/>
  </xdr:twoCellAnchor>
  <xdr:twoCellAnchor>
    <xdr:from>
      <xdr:col>3</xdr:col>
      <xdr:colOff>1156111</xdr:colOff>
      <xdr:row>185</xdr:row>
      <xdr:rowOff>560</xdr:rowOff>
    </xdr:from>
    <xdr:to>
      <xdr:col>3</xdr:col>
      <xdr:colOff>1658584</xdr:colOff>
      <xdr:row>185</xdr:row>
      <xdr:rowOff>4501</xdr:rowOff>
    </xdr:to>
    <xdr:cxnSp macro="">
      <xdr:nvCxnSpPr>
        <xdr:cNvPr id="10" name="Connector: Elbow 9" descr="Flow diagram connector">
          <a:extLst>
            <a:ext uri="{FF2B5EF4-FFF2-40B4-BE49-F238E27FC236}">
              <a16:creationId xmlns:a16="http://schemas.microsoft.com/office/drawing/2014/main" id="{70132FEE-297C-4CA7-8EAB-EE98C66119E8}"/>
            </a:ext>
          </a:extLst>
        </xdr:cNvPr>
        <xdr:cNvCxnSpPr>
          <a:stCxn id="26" idx="3"/>
          <a:endCxn id="30" idx="1"/>
        </xdr:cNvCxnSpPr>
      </xdr:nvCxnSpPr>
      <xdr:spPr>
        <a:xfrm flipV="1">
          <a:off x="4366036" y="20707910"/>
          <a:ext cx="502473" cy="39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247650</xdr:colOff>
      <xdr:row>194</xdr:row>
      <xdr:rowOff>55245</xdr:rowOff>
    </xdr:from>
    <xdr:to>
      <xdr:col>2</xdr:col>
      <xdr:colOff>1558290</xdr:colOff>
      <xdr:row>195</xdr:row>
      <xdr:rowOff>81915</xdr:rowOff>
    </xdr:to>
    <xdr:sp macro="" textlink="">
      <xdr:nvSpPr>
        <xdr:cNvPr id="11" name="TextBox 10">
          <a:extLst>
            <a:ext uri="{FF2B5EF4-FFF2-40B4-BE49-F238E27FC236}">
              <a16:creationId xmlns:a16="http://schemas.microsoft.com/office/drawing/2014/main" id="{4489640A-1AAB-417C-91B5-77BD5A6ED567}"/>
            </a:ext>
          </a:extLst>
        </xdr:cNvPr>
        <xdr:cNvSpPr txBox="1"/>
      </xdr:nvSpPr>
      <xdr:spPr>
        <a:xfrm>
          <a:off x="1314450" y="36669345"/>
          <a:ext cx="1310640" cy="20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annually</a:t>
          </a:r>
          <a:endParaRPr lang="en-GB" sz="900" i="1"/>
        </a:p>
      </xdr:txBody>
    </xdr:sp>
    <xdr:clientData/>
  </xdr:twoCellAnchor>
  <xdr:twoCellAnchor>
    <xdr:from>
      <xdr:col>3</xdr:col>
      <xdr:colOff>1086484</xdr:colOff>
      <xdr:row>191</xdr:row>
      <xdr:rowOff>95250</xdr:rowOff>
    </xdr:from>
    <xdr:to>
      <xdr:col>3</xdr:col>
      <xdr:colOff>2461259</xdr:colOff>
      <xdr:row>197</xdr:row>
      <xdr:rowOff>142875</xdr:rowOff>
    </xdr:to>
    <xdr:sp macro="" textlink="">
      <xdr:nvSpPr>
        <xdr:cNvPr id="27" name="TextBox 12">
          <a:extLst>
            <a:ext uri="{FF2B5EF4-FFF2-40B4-BE49-F238E27FC236}">
              <a16:creationId xmlns:a16="http://schemas.microsoft.com/office/drawing/2014/main" id="{61721198-2F23-4D3E-B054-AEEF49B622FC}"/>
            </a:ext>
          </a:extLst>
        </xdr:cNvPr>
        <xdr:cNvSpPr txBox="1"/>
      </xdr:nvSpPr>
      <xdr:spPr>
        <a:xfrm>
          <a:off x="4363084" y="44424600"/>
          <a:ext cx="13747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"Annual" or "Monthly" approach for each I&amp;E line item and enter forecasts where applicable</a:t>
          </a:r>
        </a:p>
      </xdr:txBody>
    </xdr:sp>
    <xdr:clientData/>
  </xdr:twoCellAnchor>
  <xdr:twoCellAnchor>
    <xdr:from>
      <xdr:col>3</xdr:col>
      <xdr:colOff>2838448</xdr:colOff>
      <xdr:row>191</xdr:row>
      <xdr:rowOff>113028</xdr:rowOff>
    </xdr:from>
    <xdr:to>
      <xdr:col>3</xdr:col>
      <xdr:colOff>4124325</xdr:colOff>
      <xdr:row>197</xdr:row>
      <xdr:rowOff>133350</xdr:rowOff>
    </xdr:to>
    <xdr:sp macro="" textlink="">
      <xdr:nvSpPr>
        <xdr:cNvPr id="29" name="TextBox 13">
          <a:extLst>
            <a:ext uri="{FF2B5EF4-FFF2-40B4-BE49-F238E27FC236}">
              <a16:creationId xmlns:a16="http://schemas.microsoft.com/office/drawing/2014/main" id="{AE23E341-9D96-4336-B12E-E350773A973F}"/>
            </a:ext>
          </a:extLst>
        </xdr:cNvPr>
        <xdr:cNvSpPr txBox="1"/>
      </xdr:nvSpPr>
      <xdr:spPr>
        <a:xfrm>
          <a:off x="6115048" y="44442378"/>
          <a:ext cx="1285877" cy="110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If necessary enter additional user specific profiles to select from in the 'I&amp;E Profiles' sheet.</a:t>
          </a:r>
        </a:p>
      </xdr:txBody>
    </xdr:sp>
    <xdr:clientData/>
  </xdr:twoCellAnchor>
  <xdr:twoCellAnchor>
    <xdr:from>
      <xdr:col>3</xdr:col>
      <xdr:colOff>4370069</xdr:colOff>
      <xdr:row>191</xdr:row>
      <xdr:rowOff>60322</xdr:rowOff>
    </xdr:from>
    <xdr:to>
      <xdr:col>4</xdr:col>
      <xdr:colOff>1125854</xdr:colOff>
      <xdr:row>197</xdr:row>
      <xdr:rowOff>152399</xdr:rowOff>
    </xdr:to>
    <xdr:sp macro="" textlink="">
      <xdr:nvSpPr>
        <xdr:cNvPr id="19" name="TextBox 14">
          <a:extLst>
            <a:ext uri="{FF2B5EF4-FFF2-40B4-BE49-F238E27FC236}">
              <a16:creationId xmlns:a16="http://schemas.microsoft.com/office/drawing/2014/main" id="{FA51B703-0BAF-4E5E-89F0-BDE61096BDCC}"/>
            </a:ext>
          </a:extLst>
        </xdr:cNvPr>
        <xdr:cNvSpPr txBox="1"/>
      </xdr:nvSpPr>
      <xdr:spPr>
        <a:xfrm>
          <a:off x="7646669" y="44389672"/>
          <a:ext cx="1165860" cy="117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Select an</a:t>
          </a:r>
          <a:r>
            <a:rPr lang="en-GB" sz="1100" baseline="0">
              <a:solidFill>
                <a:schemeClr val="dk1"/>
              </a:solidFill>
              <a:effectLst/>
              <a:latin typeface="+mn-lt"/>
              <a:ea typeface="+mn-ea"/>
              <a:cs typeface="+mn-cs"/>
            </a:rPr>
            <a:t> I&amp;E profile for each relevant line item on the 'I&amp;E Annual' sheet.</a:t>
          </a:r>
          <a:endParaRPr lang="en-GB">
            <a:effectLst/>
          </a:endParaRPr>
        </a:p>
      </xdr:txBody>
    </xdr:sp>
    <xdr:clientData/>
  </xdr:twoCellAnchor>
  <xdr:twoCellAnchor>
    <xdr:from>
      <xdr:col>2</xdr:col>
      <xdr:colOff>1733550</xdr:colOff>
      <xdr:row>191</xdr:row>
      <xdr:rowOff>97153</xdr:rowOff>
    </xdr:from>
    <xdr:to>
      <xdr:col>3</xdr:col>
      <xdr:colOff>668655</xdr:colOff>
      <xdr:row>197</xdr:row>
      <xdr:rowOff>104774</xdr:rowOff>
    </xdr:to>
    <xdr:sp macro="" textlink="">
      <xdr:nvSpPr>
        <xdr:cNvPr id="28" name="TextBox 15">
          <a:extLst>
            <a:ext uri="{FF2B5EF4-FFF2-40B4-BE49-F238E27FC236}">
              <a16:creationId xmlns:a16="http://schemas.microsoft.com/office/drawing/2014/main" id="{0B05F7EA-13B4-45E9-9A19-62EAE09B54BD}"/>
            </a:ext>
          </a:extLst>
        </xdr:cNvPr>
        <xdr:cNvSpPr txBox="1"/>
      </xdr:nvSpPr>
      <xdr:spPr>
        <a:xfrm>
          <a:off x="2838450" y="44426503"/>
          <a:ext cx="1106805" cy="1093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any actuals (+ optional) data in "I&amp;E Monthly" </a:t>
          </a:r>
          <a:endParaRPr lang="en-GB" sz="1100"/>
        </a:p>
      </xdr:txBody>
    </xdr:sp>
    <xdr:clientData/>
  </xdr:twoCellAnchor>
  <xdr:twoCellAnchor>
    <xdr:from>
      <xdr:col>2</xdr:col>
      <xdr:colOff>2396490</xdr:colOff>
      <xdr:row>197</xdr:row>
      <xdr:rowOff>139065</xdr:rowOff>
    </xdr:from>
    <xdr:to>
      <xdr:col>2</xdr:col>
      <xdr:colOff>2891790</xdr:colOff>
      <xdr:row>198</xdr:row>
      <xdr:rowOff>152400</xdr:rowOff>
    </xdr:to>
    <xdr:sp macro="" textlink="">
      <xdr:nvSpPr>
        <xdr:cNvPr id="17" name="TextBox 16">
          <a:extLst>
            <a:ext uri="{FF2B5EF4-FFF2-40B4-BE49-F238E27FC236}">
              <a16:creationId xmlns:a16="http://schemas.microsoft.com/office/drawing/2014/main" id="{3CD22FE6-5683-4684-BBF6-ABAF43AA692B}"/>
            </a:ext>
          </a:extLst>
        </xdr:cNvPr>
        <xdr:cNvSpPr txBox="1"/>
      </xdr:nvSpPr>
      <xdr:spPr>
        <a:xfrm>
          <a:off x="3206115" y="6254115"/>
          <a:ext cx="495300"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1078231</xdr:colOff>
      <xdr:row>191</xdr:row>
      <xdr:rowOff>114299</xdr:rowOff>
    </xdr:from>
    <xdr:to>
      <xdr:col>2</xdr:col>
      <xdr:colOff>1733551</xdr:colOff>
      <xdr:row>194</xdr:row>
      <xdr:rowOff>100963</xdr:rowOff>
    </xdr:to>
    <xdr:cxnSp macro="">
      <xdr:nvCxnSpPr>
        <xdr:cNvPr id="20" name="Connector: Elbow 19" descr="Flow diagram connector">
          <a:extLst>
            <a:ext uri="{FF2B5EF4-FFF2-40B4-BE49-F238E27FC236}">
              <a16:creationId xmlns:a16="http://schemas.microsoft.com/office/drawing/2014/main" id="{6A3D889B-E6CF-42B4-90FD-71AB4C589E2E}"/>
            </a:ext>
          </a:extLst>
        </xdr:cNvPr>
        <xdr:cNvCxnSpPr>
          <a:stCxn id="3" idx="2"/>
          <a:endCxn id="28" idx="1"/>
        </xdr:cNvCxnSpPr>
      </xdr:nvCxnSpPr>
      <xdr:spPr>
        <a:xfrm rot="16200000" flipH="1">
          <a:off x="2245996" y="44380784"/>
          <a:ext cx="529589" cy="655320"/>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2428875</xdr:colOff>
      <xdr:row>190</xdr:row>
      <xdr:rowOff>9525</xdr:rowOff>
    </xdr:from>
    <xdr:to>
      <xdr:col>2</xdr:col>
      <xdr:colOff>2924175</xdr:colOff>
      <xdr:row>191</xdr:row>
      <xdr:rowOff>26670</xdr:rowOff>
    </xdr:to>
    <xdr:sp macro="" textlink="">
      <xdr:nvSpPr>
        <xdr:cNvPr id="21" name="TextBox 20">
          <a:extLst>
            <a:ext uri="{FF2B5EF4-FFF2-40B4-BE49-F238E27FC236}">
              <a16:creationId xmlns:a16="http://schemas.microsoft.com/office/drawing/2014/main" id="{AABF5290-6FA5-4CBE-9341-997217A73D06}"/>
            </a:ext>
          </a:extLst>
        </xdr:cNvPr>
        <xdr:cNvSpPr txBox="1"/>
      </xdr:nvSpPr>
      <xdr:spPr>
        <a:xfrm>
          <a:off x="3238500" y="7667625"/>
          <a:ext cx="4953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3</xdr:col>
      <xdr:colOff>1295399</xdr:colOff>
      <xdr:row>189</xdr:row>
      <xdr:rowOff>140970</xdr:rowOff>
    </xdr:from>
    <xdr:to>
      <xdr:col>3</xdr:col>
      <xdr:colOff>1925954</xdr:colOff>
      <xdr:row>190</xdr:row>
      <xdr:rowOff>140970</xdr:rowOff>
    </xdr:to>
    <xdr:sp macro="" textlink="">
      <xdr:nvSpPr>
        <xdr:cNvPr id="22" name="TextBox 21">
          <a:extLst>
            <a:ext uri="{FF2B5EF4-FFF2-40B4-BE49-F238E27FC236}">
              <a16:creationId xmlns:a16="http://schemas.microsoft.com/office/drawing/2014/main" id="{9C96047F-90DA-49A7-A53F-1C1F29D40F8B}"/>
            </a:ext>
          </a:extLst>
        </xdr:cNvPr>
        <xdr:cNvSpPr txBox="1"/>
      </xdr:nvSpPr>
      <xdr:spPr>
        <a:xfrm>
          <a:off x="4543424" y="3585019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2</a:t>
          </a:r>
        </a:p>
      </xdr:txBody>
    </xdr:sp>
    <xdr:clientData/>
  </xdr:twoCellAnchor>
  <xdr:twoCellAnchor>
    <xdr:from>
      <xdr:col>3</xdr:col>
      <xdr:colOff>2798445</xdr:colOff>
      <xdr:row>189</xdr:row>
      <xdr:rowOff>120015</xdr:rowOff>
    </xdr:from>
    <xdr:to>
      <xdr:col>3</xdr:col>
      <xdr:colOff>3425190</xdr:colOff>
      <xdr:row>190</xdr:row>
      <xdr:rowOff>120015</xdr:rowOff>
    </xdr:to>
    <xdr:sp macro="" textlink="">
      <xdr:nvSpPr>
        <xdr:cNvPr id="23" name="TextBox 22">
          <a:extLst>
            <a:ext uri="{FF2B5EF4-FFF2-40B4-BE49-F238E27FC236}">
              <a16:creationId xmlns:a16="http://schemas.microsoft.com/office/drawing/2014/main" id="{39B4025A-1588-4C8B-B69D-390AEAD0802E}"/>
            </a:ext>
          </a:extLst>
        </xdr:cNvPr>
        <xdr:cNvSpPr txBox="1"/>
      </xdr:nvSpPr>
      <xdr:spPr>
        <a:xfrm>
          <a:off x="6046470" y="35829240"/>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3a</a:t>
          </a:r>
        </a:p>
      </xdr:txBody>
    </xdr:sp>
    <xdr:clientData/>
  </xdr:twoCellAnchor>
  <xdr:twoCellAnchor>
    <xdr:from>
      <xdr:col>4</xdr:col>
      <xdr:colOff>102870</xdr:colOff>
      <xdr:row>189</xdr:row>
      <xdr:rowOff>154305</xdr:rowOff>
    </xdr:from>
    <xdr:to>
      <xdr:col>4</xdr:col>
      <xdr:colOff>733425</xdr:colOff>
      <xdr:row>190</xdr:row>
      <xdr:rowOff>154305</xdr:rowOff>
    </xdr:to>
    <xdr:sp macro="" textlink="">
      <xdr:nvSpPr>
        <xdr:cNvPr id="24" name="TextBox 23">
          <a:extLst>
            <a:ext uri="{FF2B5EF4-FFF2-40B4-BE49-F238E27FC236}">
              <a16:creationId xmlns:a16="http://schemas.microsoft.com/office/drawing/2014/main" id="{9765CA7E-03E1-4C2C-9A76-A86E9CBE41D9}"/>
            </a:ext>
          </a:extLst>
        </xdr:cNvPr>
        <xdr:cNvSpPr txBox="1"/>
      </xdr:nvSpPr>
      <xdr:spPr>
        <a:xfrm>
          <a:off x="7751445" y="35863530"/>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3b</a:t>
          </a:r>
        </a:p>
      </xdr:txBody>
    </xdr:sp>
    <xdr:clientData/>
  </xdr:twoCellAnchor>
  <xdr:twoCellAnchor>
    <xdr:from>
      <xdr:col>3</xdr:col>
      <xdr:colOff>668655</xdr:colOff>
      <xdr:row>194</xdr:row>
      <xdr:rowOff>100964</xdr:rowOff>
    </xdr:from>
    <xdr:to>
      <xdr:col>3</xdr:col>
      <xdr:colOff>1082674</xdr:colOff>
      <xdr:row>194</xdr:row>
      <xdr:rowOff>116205</xdr:rowOff>
    </xdr:to>
    <xdr:cxnSp macro="">
      <xdr:nvCxnSpPr>
        <xdr:cNvPr id="25" name="Connector: Elbow 24" descr="Flow diagram connector">
          <a:extLst>
            <a:ext uri="{FF2B5EF4-FFF2-40B4-BE49-F238E27FC236}">
              <a16:creationId xmlns:a16="http://schemas.microsoft.com/office/drawing/2014/main" id="{69BC9346-71D7-465E-B69E-A8DCD22B96A1}"/>
            </a:ext>
          </a:extLst>
        </xdr:cNvPr>
        <xdr:cNvCxnSpPr>
          <a:stCxn id="28" idx="3"/>
          <a:endCxn id="27" idx="1"/>
        </xdr:cNvCxnSpPr>
      </xdr:nvCxnSpPr>
      <xdr:spPr>
        <a:xfrm>
          <a:off x="3945255" y="44973239"/>
          <a:ext cx="414019" cy="152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2457449</xdr:colOff>
      <xdr:row>194</xdr:row>
      <xdr:rowOff>116205</xdr:rowOff>
    </xdr:from>
    <xdr:to>
      <xdr:col>3</xdr:col>
      <xdr:colOff>2838448</xdr:colOff>
      <xdr:row>194</xdr:row>
      <xdr:rowOff>123189</xdr:rowOff>
    </xdr:to>
    <xdr:cxnSp macro="">
      <xdr:nvCxnSpPr>
        <xdr:cNvPr id="44" name="Connector: Elbow 43" descr="Flow diagram connector">
          <a:extLst>
            <a:ext uri="{FF2B5EF4-FFF2-40B4-BE49-F238E27FC236}">
              <a16:creationId xmlns:a16="http://schemas.microsoft.com/office/drawing/2014/main" id="{6E35D94B-088D-43A2-B0B8-EEB93FFC923E}"/>
            </a:ext>
          </a:extLst>
        </xdr:cNvPr>
        <xdr:cNvCxnSpPr>
          <a:stCxn id="27" idx="3"/>
          <a:endCxn id="29" idx="1"/>
        </xdr:cNvCxnSpPr>
      </xdr:nvCxnSpPr>
      <xdr:spPr>
        <a:xfrm>
          <a:off x="5734049" y="44988480"/>
          <a:ext cx="380999" cy="698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4126230</xdr:colOff>
      <xdr:row>194</xdr:row>
      <xdr:rowOff>106361</xdr:rowOff>
    </xdr:from>
    <xdr:to>
      <xdr:col>3</xdr:col>
      <xdr:colOff>4370069</xdr:colOff>
      <xdr:row>194</xdr:row>
      <xdr:rowOff>121284</xdr:rowOff>
    </xdr:to>
    <xdr:cxnSp macro="">
      <xdr:nvCxnSpPr>
        <xdr:cNvPr id="56" name="Connector: Elbow 55" descr="Flow diagram connector">
          <a:extLst>
            <a:ext uri="{FF2B5EF4-FFF2-40B4-BE49-F238E27FC236}">
              <a16:creationId xmlns:a16="http://schemas.microsoft.com/office/drawing/2014/main" id="{8F772A35-6ECB-4881-BB05-5D4D65B898A1}"/>
            </a:ext>
          </a:extLst>
        </xdr:cNvPr>
        <xdr:cNvCxnSpPr>
          <a:stCxn id="29" idx="3"/>
          <a:endCxn id="19" idx="1"/>
        </xdr:cNvCxnSpPr>
      </xdr:nvCxnSpPr>
      <xdr:spPr>
        <a:xfrm flipV="1">
          <a:off x="7402830" y="44978636"/>
          <a:ext cx="243839" cy="1492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1503045</xdr:colOff>
      <xdr:row>191</xdr:row>
      <xdr:rowOff>60959</xdr:rowOff>
    </xdr:from>
    <xdr:to>
      <xdr:col>8</xdr:col>
      <xdr:colOff>161925</xdr:colOff>
      <xdr:row>197</xdr:row>
      <xdr:rowOff>87629</xdr:rowOff>
    </xdr:to>
    <xdr:sp macro="" textlink="">
      <xdr:nvSpPr>
        <xdr:cNvPr id="68" name="TextBox 14">
          <a:extLst>
            <a:ext uri="{FF2B5EF4-FFF2-40B4-BE49-F238E27FC236}">
              <a16:creationId xmlns:a16="http://schemas.microsoft.com/office/drawing/2014/main" id="{28615400-6926-4363-8852-CEE2B2B41432}"/>
            </a:ext>
          </a:extLst>
        </xdr:cNvPr>
        <xdr:cNvSpPr txBox="1"/>
      </xdr:nvSpPr>
      <xdr:spPr>
        <a:xfrm>
          <a:off x="9151620" y="36132134"/>
          <a:ext cx="1773555" cy="1112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selected I&amp;E inputs for each line item will be reflected in the 'I&amp;E Annual' sheet. It links to outputs and calculations.</a:t>
          </a:r>
          <a:endParaRPr lang="en-GB" sz="1100" baseline="0"/>
        </a:p>
      </xdr:txBody>
    </xdr:sp>
    <xdr:clientData/>
  </xdr:twoCellAnchor>
  <xdr:twoCellAnchor>
    <xdr:from>
      <xdr:col>4</xdr:col>
      <xdr:colOff>1101090</xdr:colOff>
      <xdr:row>193</xdr:row>
      <xdr:rowOff>170181</xdr:rowOff>
    </xdr:from>
    <xdr:to>
      <xdr:col>4</xdr:col>
      <xdr:colOff>1503045</xdr:colOff>
      <xdr:row>194</xdr:row>
      <xdr:rowOff>74294</xdr:rowOff>
    </xdr:to>
    <xdr:cxnSp macro="">
      <xdr:nvCxnSpPr>
        <xdr:cNvPr id="69" name="Connector: Elbow 68" descr="Flow diagram connector">
          <a:extLst>
            <a:ext uri="{FF2B5EF4-FFF2-40B4-BE49-F238E27FC236}">
              <a16:creationId xmlns:a16="http://schemas.microsoft.com/office/drawing/2014/main" id="{3D3EF78D-A0ED-4BD6-996A-15673417F22B}"/>
            </a:ext>
          </a:extLst>
        </xdr:cNvPr>
        <xdr:cNvCxnSpPr>
          <a:endCxn id="68" idx="1"/>
        </xdr:cNvCxnSpPr>
      </xdr:nvCxnSpPr>
      <xdr:spPr>
        <a:xfrm>
          <a:off x="8749665" y="36603306"/>
          <a:ext cx="401955" cy="85088"/>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2047875</xdr:colOff>
      <xdr:row>190</xdr:row>
      <xdr:rowOff>9525</xdr:rowOff>
    </xdr:from>
    <xdr:to>
      <xdr:col>3</xdr:col>
      <xdr:colOff>493395</xdr:colOff>
      <xdr:row>191</xdr:row>
      <xdr:rowOff>9525</xdr:rowOff>
    </xdr:to>
    <xdr:sp macro="" textlink="">
      <xdr:nvSpPr>
        <xdr:cNvPr id="71" name="TextBox 70">
          <a:extLst>
            <a:ext uri="{FF2B5EF4-FFF2-40B4-BE49-F238E27FC236}">
              <a16:creationId xmlns:a16="http://schemas.microsoft.com/office/drawing/2014/main" id="{932C1C7D-0C1D-4EFC-842D-35DEB3972E97}"/>
            </a:ext>
          </a:extLst>
        </xdr:cNvPr>
        <xdr:cNvSpPr txBox="1"/>
      </xdr:nvSpPr>
      <xdr:spPr>
        <a:xfrm>
          <a:off x="3114675" y="3589972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2396490</xdr:colOff>
      <xdr:row>200</xdr:row>
      <xdr:rowOff>139065</xdr:rowOff>
    </xdr:from>
    <xdr:to>
      <xdr:col>2</xdr:col>
      <xdr:colOff>2891790</xdr:colOff>
      <xdr:row>201</xdr:row>
      <xdr:rowOff>152400</xdr:rowOff>
    </xdr:to>
    <xdr:sp macro="" textlink="">
      <xdr:nvSpPr>
        <xdr:cNvPr id="72" name="TextBox 71">
          <a:extLst>
            <a:ext uri="{FF2B5EF4-FFF2-40B4-BE49-F238E27FC236}">
              <a16:creationId xmlns:a16="http://schemas.microsoft.com/office/drawing/2014/main" id="{38DDCDD9-442B-4A34-B796-D60E49D4504D}"/>
            </a:ext>
          </a:extLst>
        </xdr:cNvPr>
        <xdr:cNvSpPr txBox="1"/>
      </xdr:nvSpPr>
      <xdr:spPr>
        <a:xfrm>
          <a:off x="3244215" y="37292280"/>
          <a:ext cx="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4</xdr:col>
      <xdr:colOff>2036445</xdr:colOff>
      <xdr:row>189</xdr:row>
      <xdr:rowOff>144780</xdr:rowOff>
    </xdr:from>
    <xdr:to>
      <xdr:col>5</xdr:col>
      <xdr:colOff>434340</xdr:colOff>
      <xdr:row>190</xdr:row>
      <xdr:rowOff>144780</xdr:rowOff>
    </xdr:to>
    <xdr:sp macro="" textlink="">
      <xdr:nvSpPr>
        <xdr:cNvPr id="77" name="TextBox 76">
          <a:extLst>
            <a:ext uri="{FF2B5EF4-FFF2-40B4-BE49-F238E27FC236}">
              <a16:creationId xmlns:a16="http://schemas.microsoft.com/office/drawing/2014/main" id="{FF234F53-2CD4-4504-94B4-CBD67DC4EF43}"/>
            </a:ext>
          </a:extLst>
        </xdr:cNvPr>
        <xdr:cNvSpPr txBox="1"/>
      </xdr:nvSpPr>
      <xdr:spPr>
        <a:xfrm>
          <a:off x="9685020" y="3585400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2486025</xdr:colOff>
      <xdr:row>181</xdr:row>
      <xdr:rowOff>47625</xdr:rowOff>
    </xdr:from>
    <xdr:to>
      <xdr:col>3</xdr:col>
      <xdr:colOff>3116580</xdr:colOff>
      <xdr:row>182</xdr:row>
      <xdr:rowOff>133350</xdr:rowOff>
    </xdr:to>
    <xdr:sp macro="" textlink="">
      <xdr:nvSpPr>
        <xdr:cNvPr id="47" name="TextBox 46">
          <a:extLst>
            <a:ext uri="{FF2B5EF4-FFF2-40B4-BE49-F238E27FC236}">
              <a16:creationId xmlns:a16="http://schemas.microsoft.com/office/drawing/2014/main" id="{9AE8E279-5926-451B-8C5B-6A55EDE6442D}"/>
            </a:ext>
          </a:extLst>
        </xdr:cNvPr>
        <xdr:cNvSpPr txBox="1"/>
      </xdr:nvSpPr>
      <xdr:spPr>
        <a:xfrm>
          <a:off x="5762625" y="4273867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161925</xdr:colOff>
      <xdr:row>181</xdr:row>
      <xdr:rowOff>38100</xdr:rowOff>
    </xdr:from>
    <xdr:to>
      <xdr:col>3</xdr:col>
      <xdr:colOff>786765</xdr:colOff>
      <xdr:row>182</xdr:row>
      <xdr:rowOff>123825</xdr:rowOff>
    </xdr:to>
    <xdr:sp macro="" textlink="">
      <xdr:nvSpPr>
        <xdr:cNvPr id="48" name="TextBox 47">
          <a:extLst>
            <a:ext uri="{FF2B5EF4-FFF2-40B4-BE49-F238E27FC236}">
              <a16:creationId xmlns:a16="http://schemas.microsoft.com/office/drawing/2014/main" id="{3F601ABC-3B22-4B00-8C3A-E39915DD1036}"/>
            </a:ext>
          </a:extLst>
        </xdr:cNvPr>
        <xdr:cNvSpPr txBox="1"/>
      </xdr:nvSpPr>
      <xdr:spPr>
        <a:xfrm>
          <a:off x="3438525" y="42729150"/>
          <a:ext cx="62484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editAs="oneCell">
    <xdr:from>
      <xdr:col>2</xdr:col>
      <xdr:colOff>342900</xdr:colOff>
      <xdr:row>275</xdr:row>
      <xdr:rowOff>1714500</xdr:rowOff>
    </xdr:from>
    <xdr:to>
      <xdr:col>4</xdr:col>
      <xdr:colOff>2124075</xdr:colOff>
      <xdr:row>290</xdr:row>
      <xdr:rowOff>68880</xdr:rowOff>
    </xdr:to>
    <xdr:pic>
      <xdr:nvPicPr>
        <xdr:cNvPr id="6" name="Picture 5">
          <a:extLst>
            <a:ext uri="{FF2B5EF4-FFF2-40B4-BE49-F238E27FC236}">
              <a16:creationId xmlns:a16="http://schemas.microsoft.com/office/drawing/2014/main" id="{CF11660F-AF48-CFC5-AC0E-EB7221097E8F}"/>
            </a:ext>
          </a:extLst>
        </xdr:cNvPr>
        <xdr:cNvPicPr>
          <a:picLocks noChangeAspect="1"/>
        </xdr:cNvPicPr>
      </xdr:nvPicPr>
      <xdr:blipFill>
        <a:blip xmlns:r="http://schemas.openxmlformats.org/officeDocument/2006/relationships" r:embed="rId1"/>
        <a:stretch>
          <a:fillRect/>
        </a:stretch>
      </xdr:blipFill>
      <xdr:spPr>
        <a:xfrm>
          <a:off x="1495425" y="92754450"/>
          <a:ext cx="8181975" cy="3920155"/>
        </a:xfrm>
        <a:prstGeom prst="rect">
          <a:avLst/>
        </a:prstGeom>
      </xdr:spPr>
    </xdr:pic>
    <xdr:clientData/>
  </xdr:twoCellAnchor>
  <xdr:twoCellAnchor editAs="oneCell">
    <xdr:from>
      <xdr:col>2</xdr:col>
      <xdr:colOff>19050</xdr:colOff>
      <xdr:row>291</xdr:row>
      <xdr:rowOff>28575</xdr:rowOff>
    </xdr:from>
    <xdr:to>
      <xdr:col>4</xdr:col>
      <xdr:colOff>942975</xdr:colOff>
      <xdr:row>306</xdr:row>
      <xdr:rowOff>241208</xdr:rowOff>
    </xdr:to>
    <xdr:pic>
      <xdr:nvPicPr>
        <xdr:cNvPr id="8" name="Picture 7">
          <a:extLst>
            <a:ext uri="{FF2B5EF4-FFF2-40B4-BE49-F238E27FC236}">
              <a16:creationId xmlns:a16="http://schemas.microsoft.com/office/drawing/2014/main" id="{574F4081-BC57-6641-C147-8D586BC0884B}"/>
            </a:ext>
          </a:extLst>
        </xdr:cNvPr>
        <xdr:cNvPicPr>
          <a:picLocks noChangeAspect="1"/>
        </xdr:cNvPicPr>
      </xdr:nvPicPr>
      <xdr:blipFill>
        <a:blip xmlns:r="http://schemas.openxmlformats.org/officeDocument/2006/relationships" r:embed="rId2"/>
        <a:stretch>
          <a:fillRect/>
        </a:stretch>
      </xdr:blipFill>
      <xdr:spPr>
        <a:xfrm>
          <a:off x="1171575" y="97774125"/>
          <a:ext cx="7324725" cy="3063783"/>
        </a:xfrm>
        <a:prstGeom prst="rect">
          <a:avLst/>
        </a:prstGeom>
      </xdr:spPr>
    </xdr:pic>
    <xdr:clientData/>
  </xdr:twoCellAnchor>
  <xdr:twoCellAnchor editAs="oneCell">
    <xdr:from>
      <xdr:col>2</xdr:col>
      <xdr:colOff>200025</xdr:colOff>
      <xdr:row>250</xdr:row>
      <xdr:rowOff>158751</xdr:rowOff>
    </xdr:from>
    <xdr:to>
      <xdr:col>5</xdr:col>
      <xdr:colOff>514491</xdr:colOff>
      <xdr:row>270</xdr:row>
      <xdr:rowOff>149389</xdr:rowOff>
    </xdr:to>
    <xdr:pic>
      <xdr:nvPicPr>
        <xdr:cNvPr id="4" name="Picture 3">
          <a:extLst>
            <a:ext uri="{FF2B5EF4-FFF2-40B4-BE49-F238E27FC236}">
              <a16:creationId xmlns:a16="http://schemas.microsoft.com/office/drawing/2014/main" id="{E32F2815-D670-2371-2FF4-CD9450213214}"/>
            </a:ext>
          </a:extLst>
        </xdr:cNvPr>
        <xdr:cNvPicPr>
          <a:picLocks noChangeAspect="1"/>
        </xdr:cNvPicPr>
      </xdr:nvPicPr>
      <xdr:blipFill>
        <a:blip xmlns:r="http://schemas.openxmlformats.org/officeDocument/2006/relationships" r:embed="rId3"/>
        <a:stretch>
          <a:fillRect/>
        </a:stretch>
      </xdr:blipFill>
      <xdr:spPr>
        <a:xfrm>
          <a:off x="1409700" y="79673451"/>
          <a:ext cx="9296541" cy="3610138"/>
        </a:xfrm>
        <a:prstGeom prst="rect">
          <a:avLst/>
        </a:prstGeom>
      </xdr:spPr>
    </xdr:pic>
    <xdr:clientData/>
  </xdr:twoCellAnchor>
  <xdr:twoCellAnchor editAs="oneCell">
    <xdr:from>
      <xdr:col>2</xdr:col>
      <xdr:colOff>209550</xdr:colOff>
      <xdr:row>308</xdr:row>
      <xdr:rowOff>2978150</xdr:rowOff>
    </xdr:from>
    <xdr:to>
      <xdr:col>5</xdr:col>
      <xdr:colOff>676275</xdr:colOff>
      <xdr:row>322</xdr:row>
      <xdr:rowOff>1026138</xdr:rowOff>
    </xdr:to>
    <xdr:pic>
      <xdr:nvPicPr>
        <xdr:cNvPr id="14" name="Picture 13">
          <a:extLst>
            <a:ext uri="{FF2B5EF4-FFF2-40B4-BE49-F238E27FC236}">
              <a16:creationId xmlns:a16="http://schemas.microsoft.com/office/drawing/2014/main" id="{43CE15A7-A46F-8171-1A93-50E7F1FC823E}"/>
            </a:ext>
          </a:extLst>
        </xdr:cNvPr>
        <xdr:cNvPicPr>
          <a:picLocks noChangeAspect="1"/>
        </xdr:cNvPicPr>
      </xdr:nvPicPr>
      <xdr:blipFill>
        <a:blip xmlns:r="http://schemas.openxmlformats.org/officeDocument/2006/relationships" r:embed="rId4"/>
        <a:stretch>
          <a:fillRect/>
        </a:stretch>
      </xdr:blipFill>
      <xdr:spPr>
        <a:xfrm>
          <a:off x="1419225" y="97028000"/>
          <a:ext cx="9448800" cy="3639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527184</xdr:colOff>
      <xdr:row>1</xdr:row>
      <xdr:rowOff>63654</xdr:rowOff>
    </xdr:from>
    <xdr:to>
      <xdr:col>3</xdr:col>
      <xdr:colOff>82668</xdr:colOff>
      <xdr:row>3</xdr:row>
      <xdr:rowOff>103764</xdr:rowOff>
    </xdr:to>
    <xdr:pic>
      <xdr:nvPicPr>
        <xdr:cNvPr id="2" name="Picture 1" descr="Department for Educaction crest">
          <a:extLst>
            <a:ext uri="{FF2B5EF4-FFF2-40B4-BE49-F238E27FC236}">
              <a16:creationId xmlns:a16="http://schemas.microsoft.com/office/drawing/2014/main" id="{1ED33D97-1683-1D53-4069-ABEA1CB23F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3434" y="247804"/>
          <a:ext cx="860409" cy="633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95</xdr:col>
      <xdr:colOff>30179</xdr:colOff>
      <xdr:row>17</xdr:row>
      <xdr:rowOff>45439</xdr:rowOff>
    </xdr:from>
    <xdr:to>
      <xdr:col>95</xdr:col>
      <xdr:colOff>1507992</xdr:colOff>
      <xdr:row>18</xdr:row>
      <xdr:rowOff>154024</xdr:rowOff>
    </xdr:to>
    <xdr:sp macro="" textlink="">
      <xdr:nvSpPr>
        <xdr:cNvPr id="2" name="Rectangle: Rounded Corners 1">
          <a:extLst>
            <a:ext uri="{FF2B5EF4-FFF2-40B4-BE49-F238E27FC236}">
              <a16:creationId xmlns:a16="http://schemas.microsoft.com/office/drawing/2014/main" id="{B69251AB-6A08-4028-99FF-05D3D8DE0259}"/>
            </a:ext>
          </a:extLst>
        </xdr:cNvPr>
        <xdr:cNvSpPr/>
      </xdr:nvSpPr>
      <xdr:spPr>
        <a:xfrm>
          <a:off x="15070154" y="3541114"/>
          <a:ext cx="1477813" cy="29908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Requires improvement</a:t>
          </a:r>
        </a:p>
      </xdr:txBody>
    </xdr:sp>
    <xdr:clientData/>
  </xdr:twoCellAnchor>
  <xdr:twoCellAnchor>
    <xdr:from>
      <xdr:col>95</xdr:col>
      <xdr:colOff>30180</xdr:colOff>
      <xdr:row>15</xdr:row>
      <xdr:rowOff>40784</xdr:rowOff>
    </xdr:from>
    <xdr:to>
      <xdr:col>95</xdr:col>
      <xdr:colOff>1506814</xdr:colOff>
      <xdr:row>16</xdr:row>
      <xdr:rowOff>141749</xdr:rowOff>
    </xdr:to>
    <xdr:sp macro="" textlink="">
      <xdr:nvSpPr>
        <xdr:cNvPr id="3" name="Rectangle: Rounded Corners 2">
          <a:extLst>
            <a:ext uri="{FF2B5EF4-FFF2-40B4-BE49-F238E27FC236}">
              <a16:creationId xmlns:a16="http://schemas.microsoft.com/office/drawing/2014/main" id="{78C2CC46-3A20-43F1-B691-836D333BFF9F}"/>
            </a:ext>
          </a:extLst>
        </xdr:cNvPr>
        <xdr:cNvSpPr/>
      </xdr:nvSpPr>
      <xdr:spPr>
        <a:xfrm>
          <a:off x="15070155" y="3174509"/>
          <a:ext cx="1476634" cy="28194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Good</a:t>
          </a:r>
        </a:p>
      </xdr:txBody>
    </xdr:sp>
    <xdr:clientData/>
  </xdr:twoCellAnchor>
  <xdr:twoCellAnchor>
    <xdr:from>
      <xdr:col>95</xdr:col>
      <xdr:colOff>30179</xdr:colOff>
      <xdr:row>12</xdr:row>
      <xdr:rowOff>136072</xdr:rowOff>
    </xdr:from>
    <xdr:to>
      <xdr:col>95</xdr:col>
      <xdr:colOff>1504950</xdr:colOff>
      <xdr:row>14</xdr:row>
      <xdr:rowOff>56179</xdr:rowOff>
    </xdr:to>
    <xdr:sp macro="" textlink="">
      <xdr:nvSpPr>
        <xdr:cNvPr id="4" name="Rectangle: Rounded Corners 3">
          <a:extLst>
            <a:ext uri="{FF2B5EF4-FFF2-40B4-BE49-F238E27FC236}">
              <a16:creationId xmlns:a16="http://schemas.microsoft.com/office/drawing/2014/main" id="{DE292689-7802-4052-9FA5-E84067C1DBCE}"/>
            </a:ext>
          </a:extLst>
        </xdr:cNvPr>
        <xdr:cNvSpPr/>
      </xdr:nvSpPr>
      <xdr:spPr>
        <a:xfrm>
          <a:off x="15070154" y="2698297"/>
          <a:ext cx="1474771" cy="3011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Outstanding</a:t>
          </a:r>
        </a:p>
      </xdr:txBody>
    </xdr:sp>
    <xdr:clientData/>
  </xdr:twoCellAnchor>
  <xdr:twoCellAnchor>
    <xdr:from>
      <xdr:col>95</xdr:col>
      <xdr:colOff>30179</xdr:colOff>
      <xdr:row>19</xdr:row>
      <xdr:rowOff>126352</xdr:rowOff>
    </xdr:from>
    <xdr:to>
      <xdr:col>95</xdr:col>
      <xdr:colOff>1504950</xdr:colOff>
      <xdr:row>21</xdr:row>
      <xdr:rowOff>46459</xdr:rowOff>
    </xdr:to>
    <xdr:sp macro="" textlink="">
      <xdr:nvSpPr>
        <xdr:cNvPr id="5" name="Rectangle: Rounded Corners 4">
          <a:extLst>
            <a:ext uri="{FF2B5EF4-FFF2-40B4-BE49-F238E27FC236}">
              <a16:creationId xmlns:a16="http://schemas.microsoft.com/office/drawing/2014/main" id="{B1FD7713-22C1-41E4-9446-5BA115F2FEAD}"/>
            </a:ext>
          </a:extLst>
        </xdr:cNvPr>
        <xdr:cNvSpPr/>
      </xdr:nvSpPr>
      <xdr:spPr>
        <a:xfrm>
          <a:off x="15070154" y="4003027"/>
          <a:ext cx="1474771" cy="301107"/>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Inadequate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15240</xdr:colOff>
      <xdr:row>9</xdr:row>
      <xdr:rowOff>55244</xdr:rowOff>
    </xdr:from>
    <xdr:to>
      <xdr:col>35</xdr:col>
      <xdr:colOff>712228</xdr:colOff>
      <xdr:row>30</xdr:row>
      <xdr:rowOff>19049</xdr:rowOff>
    </xdr:to>
    <xdr:graphicFrame macro="">
      <xdr:nvGraphicFramePr>
        <xdr:cNvPr id="2" name="Chart 1" descr="Monthly Cash Flow chart">
          <a:extLst>
            <a:ext uri="{FF2B5EF4-FFF2-40B4-BE49-F238E27FC236}">
              <a16:creationId xmlns:a16="http://schemas.microsoft.com/office/drawing/2014/main" id="{203E6260-6370-4DC2-B611-99A4D17955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17144</xdr:colOff>
      <xdr:row>30</xdr:row>
      <xdr:rowOff>64770</xdr:rowOff>
    </xdr:from>
    <xdr:to>
      <xdr:col>35</xdr:col>
      <xdr:colOff>744854</xdr:colOff>
      <xdr:row>48</xdr:row>
      <xdr:rowOff>62865</xdr:rowOff>
    </xdr:to>
    <xdr:graphicFrame macro="">
      <xdr:nvGraphicFramePr>
        <xdr:cNvPr id="3" name="Chart 2" descr="Monthly cash balance and cash days chart">
          <a:extLst>
            <a:ext uri="{FF2B5EF4-FFF2-40B4-BE49-F238E27FC236}">
              <a16:creationId xmlns:a16="http://schemas.microsoft.com/office/drawing/2014/main" id="{34EF1B33-4886-4DEE-8E2B-BACCCEF94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132397</xdr:colOff>
      <xdr:row>11</xdr:row>
      <xdr:rowOff>59054</xdr:rowOff>
    </xdr:from>
    <xdr:to>
      <xdr:col>35</xdr:col>
      <xdr:colOff>689722</xdr:colOff>
      <xdr:row>27</xdr:row>
      <xdr:rowOff>28259</xdr:rowOff>
    </xdr:to>
    <xdr:graphicFrame macro="">
      <xdr:nvGraphicFramePr>
        <xdr:cNvPr id="2" name="Chart 1" descr="Working capital accounts chart">
          <a:extLst>
            <a:ext uri="{FF2B5EF4-FFF2-40B4-BE49-F238E27FC236}">
              <a16:creationId xmlns:a16="http://schemas.microsoft.com/office/drawing/2014/main" id="{A35517F1-71D5-4E5E-9298-F13932C33C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161925</xdr:colOff>
      <xdr:row>28</xdr:row>
      <xdr:rowOff>123825</xdr:rowOff>
    </xdr:from>
    <xdr:to>
      <xdr:col>36</xdr:col>
      <xdr:colOff>14400</xdr:colOff>
      <xdr:row>41</xdr:row>
      <xdr:rowOff>113985</xdr:rowOff>
    </xdr:to>
    <xdr:graphicFrame macro="">
      <xdr:nvGraphicFramePr>
        <xdr:cNvPr id="4" name="Chart 3" descr="Cash days and working capital days graphs">
          <a:extLst>
            <a:ext uri="{FF2B5EF4-FFF2-40B4-BE49-F238E27FC236}">
              <a16:creationId xmlns:a16="http://schemas.microsoft.com/office/drawing/2014/main" id="{2660459F-F0DE-4B70-8A7A-5EF4DD271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26</xdr:col>
      <xdr:colOff>20954</xdr:colOff>
      <xdr:row>16</xdr:row>
      <xdr:rowOff>131443</xdr:rowOff>
    </xdr:from>
    <xdr:to>
      <xdr:col>35</xdr:col>
      <xdr:colOff>574889</xdr:colOff>
      <xdr:row>27</xdr:row>
      <xdr:rowOff>96838</xdr:rowOff>
    </xdr:to>
    <xdr:graphicFrame macro="">
      <xdr:nvGraphicFramePr>
        <xdr:cNvPr id="3" name="Chart 2" descr="Education-specific EBITDA versus benchmark chart">
          <a:extLst>
            <a:ext uri="{FF2B5EF4-FFF2-40B4-BE49-F238E27FC236}">
              <a16:creationId xmlns:a16="http://schemas.microsoft.com/office/drawing/2014/main" id="{5EE1F43B-1D96-47F0-A08B-71CF12CD6F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20952</xdr:colOff>
      <xdr:row>30</xdr:row>
      <xdr:rowOff>0</xdr:rowOff>
    </xdr:from>
    <xdr:to>
      <xdr:col>35</xdr:col>
      <xdr:colOff>574887</xdr:colOff>
      <xdr:row>40</xdr:row>
      <xdr:rowOff>169230</xdr:rowOff>
    </xdr:to>
    <xdr:graphicFrame macro="">
      <xdr:nvGraphicFramePr>
        <xdr:cNvPr id="13" name="Chart 12" descr="Adj. Operating Surplus/Deficit Ratio vs Benchmark chart&#10;">
          <a:extLst>
            <a:ext uri="{FF2B5EF4-FFF2-40B4-BE49-F238E27FC236}">
              <a16:creationId xmlns:a16="http://schemas.microsoft.com/office/drawing/2014/main" id="{75B5C84B-EF66-46A7-B47B-E713090A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22858</xdr:colOff>
      <xdr:row>44</xdr:row>
      <xdr:rowOff>17144</xdr:rowOff>
    </xdr:from>
    <xdr:to>
      <xdr:col>35</xdr:col>
      <xdr:colOff>572983</xdr:colOff>
      <xdr:row>54</xdr:row>
      <xdr:rowOff>171134</xdr:rowOff>
    </xdr:to>
    <xdr:graphicFrame macro="">
      <xdr:nvGraphicFramePr>
        <xdr:cNvPr id="4" name="Chart 3" descr="DSFR versus Benchmark chart">
          <a:extLst>
            <a:ext uri="{FF2B5EF4-FFF2-40B4-BE49-F238E27FC236}">
              <a16:creationId xmlns:a16="http://schemas.microsoft.com/office/drawing/2014/main" id="{9C21F55A-6A7B-4A46-990C-3109E21B25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30480</xdr:colOff>
      <xdr:row>55</xdr:row>
      <xdr:rowOff>137159</xdr:rowOff>
    </xdr:from>
    <xdr:to>
      <xdr:col>35</xdr:col>
      <xdr:colOff>582510</xdr:colOff>
      <xdr:row>66</xdr:row>
      <xdr:rowOff>98744</xdr:rowOff>
    </xdr:to>
    <xdr:graphicFrame macro="">
      <xdr:nvGraphicFramePr>
        <xdr:cNvPr id="14" name="Chart 13" descr="Borrowing percentage of income chart">
          <a:extLst>
            <a:ext uri="{FF2B5EF4-FFF2-40B4-BE49-F238E27FC236}">
              <a16:creationId xmlns:a16="http://schemas.microsoft.com/office/drawing/2014/main" id="{CFED0C16-4230-4B20-A0AB-1A45CD8AE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24765</xdr:colOff>
      <xdr:row>69</xdr:row>
      <xdr:rowOff>171450</xdr:rowOff>
    </xdr:from>
    <xdr:to>
      <xdr:col>35</xdr:col>
      <xdr:colOff>571500</xdr:colOff>
      <xdr:row>80</xdr:row>
      <xdr:rowOff>136845</xdr:rowOff>
    </xdr:to>
    <xdr:graphicFrame macro="">
      <xdr:nvGraphicFramePr>
        <xdr:cNvPr id="21" name="Chart 14" descr="Text box regarding adjusted cash days in hand">
          <a:extLst>
            <a:ext uri="{FF2B5EF4-FFF2-40B4-BE49-F238E27FC236}">
              <a16:creationId xmlns:a16="http://schemas.microsoft.com/office/drawing/2014/main" id="{520CA363-36F2-4240-8B49-B8754396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24765</xdr:colOff>
      <xdr:row>81</xdr:row>
      <xdr:rowOff>169544</xdr:rowOff>
    </xdr:from>
    <xdr:to>
      <xdr:col>35</xdr:col>
      <xdr:colOff>572985</xdr:colOff>
      <xdr:row>92</xdr:row>
      <xdr:rowOff>136844</xdr:rowOff>
    </xdr:to>
    <xdr:graphicFrame macro="">
      <xdr:nvGraphicFramePr>
        <xdr:cNvPr id="20" name="Chart 15" descr="Text regarding adjusted cash days in hand">
          <a:extLst>
            <a:ext uri="{FF2B5EF4-FFF2-40B4-BE49-F238E27FC236}">
              <a16:creationId xmlns:a16="http://schemas.microsoft.com/office/drawing/2014/main" id="{C00FB605-9DDF-4EB6-9340-7817CF137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53341</xdr:colOff>
      <xdr:row>96</xdr:row>
      <xdr:rowOff>1905</xdr:rowOff>
    </xdr:from>
    <xdr:to>
      <xdr:col>38</xdr:col>
      <xdr:colOff>478156</xdr:colOff>
      <xdr:row>125</xdr:row>
      <xdr:rowOff>9525</xdr:rowOff>
    </xdr:to>
    <xdr:graphicFrame macro="">
      <xdr:nvGraphicFramePr>
        <xdr:cNvPr id="19" name="Chart 16" descr="Income mix and staff cost percentage of income chart">
          <a:extLst>
            <a:ext uri="{FF2B5EF4-FFF2-40B4-BE49-F238E27FC236}">
              <a16:creationId xmlns:a16="http://schemas.microsoft.com/office/drawing/2014/main" id="{DDC19DF0-462F-4F0D-BF56-A3C7FD3A6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57247</xdr:colOff>
      <xdr:row>127</xdr:row>
      <xdr:rowOff>18223</xdr:rowOff>
    </xdr:from>
    <xdr:to>
      <xdr:col>38</xdr:col>
      <xdr:colOff>485141</xdr:colOff>
      <xdr:row>145</xdr:row>
      <xdr:rowOff>129917</xdr:rowOff>
    </xdr:to>
    <xdr:graphicFrame macro="">
      <xdr:nvGraphicFramePr>
        <xdr:cNvPr id="11" name="Chart 10" descr="Total debt chart">
          <a:extLst>
            <a:ext uri="{FF2B5EF4-FFF2-40B4-BE49-F238E27FC236}">
              <a16:creationId xmlns:a16="http://schemas.microsoft.com/office/drawing/2014/main" id="{F0BEFAA2-456D-4411-A830-9AD866E3E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280147</xdr:colOff>
      <xdr:row>24</xdr:row>
      <xdr:rowOff>179294</xdr:rowOff>
    </xdr:from>
    <xdr:to>
      <xdr:col>5</xdr:col>
      <xdr:colOff>78441</xdr:colOff>
      <xdr:row>42</xdr:row>
      <xdr:rowOff>123264</xdr:rowOff>
    </xdr:to>
    <xdr:graphicFrame macro="">
      <xdr:nvGraphicFramePr>
        <xdr:cNvPr id="5" name="Chart 4" descr="Forecasting chart">
          <a:extLst>
            <a:ext uri="{FF2B5EF4-FFF2-40B4-BE49-F238E27FC236}">
              <a16:creationId xmlns:a16="http://schemas.microsoft.com/office/drawing/2014/main" id="{FB2F77E7-320D-4940-905B-AC7F7BE5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302560</xdr:colOff>
      <xdr:row>44</xdr:row>
      <xdr:rowOff>33617</xdr:rowOff>
    </xdr:from>
    <xdr:to>
      <xdr:col>5</xdr:col>
      <xdr:colOff>89647</xdr:colOff>
      <xdr:row>62</xdr:row>
      <xdr:rowOff>145676</xdr:rowOff>
    </xdr:to>
    <xdr:graphicFrame macro="">
      <xdr:nvGraphicFramePr>
        <xdr:cNvPr id="6" name="Chart 5" descr="Forecasting chart">
          <a:extLst>
            <a:ext uri="{FF2B5EF4-FFF2-40B4-BE49-F238E27FC236}">
              <a16:creationId xmlns:a16="http://schemas.microsoft.com/office/drawing/2014/main" id="{875DEA47-CF1C-4BC8-AACD-3A3A23417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onlinecollections.des.fasst.org.uk/fastform/college-financial-dat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0110-1956-408D-BB0B-92971942CD3C}">
  <sheetPr codeName="Sheet2">
    <outlinePr summaryBelow="0" summaryRight="0"/>
  </sheetPr>
  <dimension ref="A1:O48"/>
  <sheetViews>
    <sheetView showGridLines="0" tabSelected="1" zoomScaleNormal="100" workbookViewId="0"/>
  </sheetViews>
  <sheetFormatPr defaultColWidth="0" defaultRowHeight="14.5" outlineLevelRow="1" outlineLevelCol="1" x14ac:dyDescent="0.35"/>
  <cols>
    <col min="1" max="1" width="7.54296875" style="14" customWidth="1"/>
    <col min="2" max="2" width="9.81640625" style="14" bestFit="1" customWidth="1"/>
    <col min="3" max="3" width="2.54296875" customWidth="1"/>
    <col min="4" max="4" width="9.1796875" style="3" customWidth="1"/>
    <col min="5" max="5" width="19.54296875" style="1" customWidth="1"/>
    <col min="6" max="6" width="16.453125" style="14" customWidth="1"/>
    <col min="7" max="7" width="16.453125" style="14" hidden="1" customWidth="1"/>
    <col min="8" max="8" width="9.81640625" hidden="1" customWidth="1"/>
    <col min="9" max="9" width="0.453125" style="1" customWidth="1"/>
    <col min="10" max="10" width="2.54296875" customWidth="1" collapsed="1"/>
    <col min="11" max="11" width="3.1796875" hidden="1" customWidth="1" outlineLevel="1"/>
    <col min="12" max="12" width="10.54296875" hidden="1" customWidth="1" outlineLevel="1"/>
    <col min="13" max="13" width="15.1796875" hidden="1" customWidth="1" outlineLevel="1"/>
    <col min="14" max="14" width="16" hidden="1" customWidth="1" outlineLevel="1"/>
    <col min="15" max="15" width="3.81640625" hidden="1" customWidth="1"/>
    <col min="16" max="16384" width="9.1796875" hidden="1"/>
  </cols>
  <sheetData>
    <row r="1" spans="1:14" x14ac:dyDescent="0.35">
      <c r="A1" s="7">
        <f ca="1">SUM(A$7:A$48)</f>
        <v>0</v>
      </c>
      <c r="B1" s="241">
        <f ca="1">SUM(B$7:B$48)</f>
        <v>0</v>
      </c>
      <c r="C1" s="13" t="s">
        <v>0</v>
      </c>
      <c r="D1" s="13"/>
      <c r="E1" s="13">
        <f>CollegeNameInput</f>
        <v>0</v>
      </c>
      <c r="F1" s="13"/>
      <c r="G1" s="22"/>
    </row>
    <row r="2" spans="1:14" x14ac:dyDescent="0.35">
      <c r="A2" s="13"/>
      <c r="B2" s="13"/>
      <c r="C2" s="75"/>
      <c r="D2" s="13"/>
      <c r="E2" s="23"/>
      <c r="F2" s="13"/>
      <c r="G2" s="13"/>
      <c r="H2" s="27" t="s">
        <v>1</v>
      </c>
      <c r="I2"/>
    </row>
    <row r="3" spans="1:14" collapsed="1" x14ac:dyDescent="0.35">
      <c r="A3" s="13"/>
      <c r="B3" s="13"/>
      <c r="C3" s="101" t="s">
        <v>2</v>
      </c>
      <c r="D3" s="101"/>
      <c r="E3" s="101"/>
      <c r="F3" s="13"/>
      <c r="G3" s="13"/>
      <c r="H3" s="26" t="s">
        <v>3</v>
      </c>
      <c r="I3"/>
    </row>
    <row r="4" spans="1:14" hidden="1" outlineLevel="1" x14ac:dyDescent="0.35">
      <c r="A4" s="13"/>
      <c r="B4" s="13"/>
      <c r="C4" s="13"/>
      <c r="D4" s="13"/>
      <c r="E4" s="36"/>
      <c r="F4" s="13"/>
      <c r="G4" s="13"/>
      <c r="H4" s="26" t="s">
        <v>3</v>
      </c>
      <c r="I4"/>
    </row>
    <row r="5" spans="1:14" hidden="1" outlineLevel="1" x14ac:dyDescent="0.35">
      <c r="A5" s="13"/>
      <c r="B5" s="13"/>
      <c r="C5" s="13"/>
      <c r="D5" s="13"/>
      <c r="E5" s="36"/>
      <c r="F5" s="13"/>
      <c r="G5" s="13"/>
      <c r="H5" s="26" t="s">
        <v>3</v>
      </c>
      <c r="I5"/>
    </row>
    <row r="6" spans="1:14" x14ac:dyDescent="0.35">
      <c r="A6" s="13" t="s">
        <v>4</v>
      </c>
      <c r="B6" s="13" t="s">
        <v>5</v>
      </c>
      <c r="C6" s="13"/>
      <c r="D6" s="13"/>
      <c r="E6" s="13"/>
      <c r="F6" s="13"/>
      <c r="G6" s="13"/>
      <c r="H6" s="26" t="s">
        <v>3</v>
      </c>
      <c r="I6"/>
    </row>
    <row r="7" spans="1:14" ht="8.25" customHeight="1" x14ac:dyDescent="0.35">
      <c r="H7" s="26" t="s">
        <v>3</v>
      </c>
      <c r="I7"/>
    </row>
    <row r="8" spans="1:14" x14ac:dyDescent="0.35">
      <c r="A8" s="34"/>
      <c r="B8" s="34"/>
      <c r="C8" s="34"/>
      <c r="D8" s="34"/>
      <c r="E8" s="34" t="s">
        <v>6</v>
      </c>
      <c r="F8" s="34"/>
      <c r="G8" s="34"/>
      <c r="H8" s="26" t="s">
        <v>3</v>
      </c>
      <c r="I8"/>
      <c r="L8" s="34" t="s">
        <v>7</v>
      </c>
      <c r="M8" s="34" t="s">
        <v>8</v>
      </c>
      <c r="N8" s="34" t="s">
        <v>9</v>
      </c>
    </row>
    <row r="9" spans="1:14" ht="8.25" customHeight="1" x14ac:dyDescent="0.35">
      <c r="H9" s="26" t="s">
        <v>3</v>
      </c>
      <c r="I9"/>
    </row>
    <row r="10" spans="1:14" x14ac:dyDescent="0.35">
      <c r="C10" s="5" t="s">
        <v>10</v>
      </c>
      <c r="E10" s="68" t="str" cm="1">
        <f t="array" aca="1" ref="E10" ca="1">HYPERLINK(CONCATENATE("#",CELL("address",ToC!$A$1)),ToC!$C$1)</f>
        <v>ToC</v>
      </c>
      <c r="H10" s="26" t="s">
        <v>3</v>
      </c>
      <c r="I10"/>
    </row>
    <row r="11" spans="1:14" x14ac:dyDescent="0.35">
      <c r="E11" s="68" t="str" cm="1">
        <f t="array" aca="1" ref="E11" ca="1">HYPERLINK(CONCATENATE("#",CELL("address",Guide!$A$1)),Guide!$B$1)</f>
        <v>Guide</v>
      </c>
      <c r="H11" s="26" t="s">
        <v>3</v>
      </c>
      <c r="I11"/>
    </row>
    <row r="12" spans="1:14" ht="8.25" customHeight="1" x14ac:dyDescent="0.35">
      <c r="H12" s="26" t="s">
        <v>3</v>
      </c>
      <c r="I12"/>
    </row>
    <row r="13" spans="1:14" x14ac:dyDescent="0.35">
      <c r="A13" s="7">
        <f ca="1">IFERROR('Cover Sheet'!$A$2,99)</f>
        <v>0</v>
      </c>
      <c r="B13" s="272" cm="1">
        <f t="array" aca="1" ref="B13" ca="1">IFERROR(HYPERLINK(CONCATENATE("#",CELL("address",'Cover Sheet'!$CL$2)),'Cover Sheet'!$CL$2),99)</f>
        <v>0</v>
      </c>
      <c r="C13" s="5" t="s">
        <v>11</v>
      </c>
      <c r="E13" s="70" t="str" cm="1">
        <f t="array" aca="1" ref="E13" ca="1">HYPERLINK(CONCATENATE("#",CELL("address",'Cover Sheet'!$A$2)),'Cover Sheet'!$B$1)</f>
        <v>Cover Sheet</v>
      </c>
      <c r="H13" s="26" t="s">
        <v>3</v>
      </c>
      <c r="I13"/>
      <c r="L13" s="236" t="s">
        <v>12</v>
      </c>
      <c r="M13" s="210" t="e">
        <f>IF('Cover Sheet'!C6=#REF!,COUNTA('Cover Sheet'!C:C)-2,0)</f>
        <v>#REF!</v>
      </c>
      <c r="N13" s="218" t="e" cm="1">
        <f t="array" aca="1" ref="N13" ca="1">IF(AND(M13&gt;0,COUNTIF(MetaDataSheetList,E13)&lt;&gt;0),IFERROR(COUNTA(_xlfn.UNIQUE(_xlfn._xlws.FILTER(MetaDataRefList,MetaDataSheetList=E13))),"Re-run"),"")</f>
        <v>#REF!</v>
      </c>
    </row>
    <row r="14" spans="1:14" x14ac:dyDescent="0.35">
      <c r="A14" s="7">
        <f ca="1">IFERROR('Learners and Staff'!$A$2,99)</f>
        <v>0</v>
      </c>
      <c r="B14" s="3"/>
      <c r="C14" s="5"/>
      <c r="E14" s="70" t="str" cm="1">
        <f t="array" aca="1" ref="E14" ca="1">HYPERLINK(CONCATENATE("#",CELL("address",'Learners and Staff'!$A$2)),'Learners and Staff'!$B$1)</f>
        <v>Learners and Staff</v>
      </c>
      <c r="H14" s="26" t="s">
        <v>3</v>
      </c>
      <c r="I14"/>
      <c r="L14" s="236" t="s">
        <v>12</v>
      </c>
      <c r="M14" s="210" t="e">
        <f>IF('Learners and Staff'!C6=#REF!,COUNTA(_xlfn.UNIQUE('Learners and Staff'!C:C))-3,0)</f>
        <v>#REF!</v>
      </c>
      <c r="N14" s="218" t="e" cm="1">
        <f t="array" aca="1" ref="N14" ca="1">IF(AND(M14&gt;0,COUNTIF(MetaDataSheetList,E14)&lt;&gt;0),IFERROR(COUNTA(_xlfn.UNIQUE(_xlfn._xlws.FILTER(MetaDataRefList,MetaDataSheetList=E14))),"Re-run"),"")</f>
        <v>#REF!</v>
      </c>
    </row>
    <row r="15" spans="1:14" x14ac:dyDescent="0.35">
      <c r="A15" s="7">
        <f ca="1">IFERROR('I&amp;E Monthly'!$A$2,99)</f>
        <v>0</v>
      </c>
      <c r="B15" s="272" cm="1">
        <f t="array" aca="1" ref="B15" ca="1">IFERROR(HYPERLINK(CONCATENATE("#",CELL("address",'I&amp;E Monthly'!$CL$2)),'I&amp;E Monthly'!$CL$2),99)</f>
        <v>0</v>
      </c>
      <c r="C15" s="5"/>
      <c r="E15" s="70" t="str" cm="1">
        <f t="array" aca="1" ref="E15" ca="1">HYPERLINK(CONCATENATE("#",CELL("address",'I&amp;E Monthly'!$A$2)),'I&amp;E Monthly'!$B$1)</f>
        <v>I&amp;E Monthly</v>
      </c>
      <c r="H15" s="26" t="s">
        <v>3</v>
      </c>
      <c r="I15"/>
      <c r="L15" s="236" t="s">
        <v>3</v>
      </c>
      <c r="M15" s="210"/>
    </row>
    <row r="16" spans="1:14" x14ac:dyDescent="0.35">
      <c r="A16" s="7">
        <f ca="1">IFERROR('I&amp;E Annual'!$A$2,99)</f>
        <v>0</v>
      </c>
      <c r="B16" s="272" cm="1">
        <f t="array" aca="1" ref="B16" ca="1">IFERROR(HYPERLINK(CONCATENATE("#",CELL("address",'I&amp;E Annual'!$CL$2)),'I&amp;E Annual'!$CL$2),99)</f>
        <v>0</v>
      </c>
      <c r="C16" s="5"/>
      <c r="E16" s="70" t="str" cm="1">
        <f t="array" aca="1" ref="E16" ca="1">HYPERLINK(CONCATENATE("#",CELL("address",'I&amp;E Annual'!$A$2)),'I&amp;E Annual'!$B$1)</f>
        <v>I&amp;E Annual</v>
      </c>
      <c r="H16" s="26" t="s">
        <v>3</v>
      </c>
      <c r="I16"/>
      <c r="L16" s="236" t="s">
        <v>12</v>
      </c>
      <c r="M16" s="210" t="e">
        <f>IF('I&amp;E Annual'!C6=#REF!,COUNTA(_xlfn.UNIQUE('I&amp;E Annual'!C:C))-3,0)</f>
        <v>#REF!</v>
      </c>
      <c r="N16" s="218" t="e" cm="1">
        <f t="array" aca="1" ref="N16" ca="1">IF(AND(M16&gt;0,COUNTIF(MetaDataSheetList,E16)&lt;&gt;0),IFERROR(COUNTA(_xlfn.UNIQUE(_xlfn._xlws.FILTER(MetaDataRefList,MetaDataSheetList=E16))),"Re-run"),"")</f>
        <v>#REF!</v>
      </c>
    </row>
    <row r="17" spans="1:14" x14ac:dyDescent="0.35">
      <c r="A17" s="7">
        <f ca="1">IFERROR('I&amp;E Profiles'!$A$2,99)</f>
        <v>0</v>
      </c>
      <c r="B17" s="272" cm="1">
        <f t="array" aca="1" ref="B17" ca="1">IFERROR(HYPERLINK(CONCATENATE("#",CELL("address",'I&amp;E Profiles'!$CL$2)),'I&amp;E Profiles'!$CL$2),99)</f>
        <v>0</v>
      </c>
      <c r="C17" s="5"/>
      <c r="E17" s="70" t="str" cm="1">
        <f t="array" aca="1" ref="E17" ca="1">HYPERLINK(CONCATENATE("#",CELL("address",'I&amp;E Profiles'!$A$2)),'I&amp;E Profiles'!$B$1)</f>
        <v>I&amp;E Profiles</v>
      </c>
      <c r="H17" s="26" t="s">
        <v>3</v>
      </c>
      <c r="I17"/>
      <c r="L17" s="236" t="s">
        <v>3</v>
      </c>
      <c r="M17" s="210"/>
      <c r="N17" s="218" t="e" cm="1">
        <f t="array" aca="1" ref="N17" ca="1">IF(AND(M17&gt;0,COUNTIF(MetaDataSheetList,E17)&lt;&gt;0),IFERROR(COUNTA(_xlfn.UNIQUE(_xlfn._xlws.FILTER(MetaDataRefList,MetaDataSheetList=E17))),"Re-run"),"")</f>
        <v>#REF!</v>
      </c>
    </row>
    <row r="18" spans="1:14" x14ac:dyDescent="0.35">
      <c r="A18" s="7">
        <f ca="1">IFERROR('Opening Balances'!$A$2,99)</f>
        <v>0</v>
      </c>
      <c r="B18" s="272" cm="1">
        <f t="array" aca="1" ref="B18" ca="1">IFERROR(HYPERLINK(CONCATENATE("#",CELL("address",'Opening Balances'!$CL$2)),'Opening Balances'!$CL$2),99)</f>
        <v>0</v>
      </c>
      <c r="E18" s="70" t="str" cm="1">
        <f t="array" aca="1" ref="E18" ca="1">HYPERLINK(CONCATENATE("#",CELL("address",'Opening Balances'!$A$2)),'Opening Balances'!$B$1)</f>
        <v>Opening Balances</v>
      </c>
      <c r="H18" s="26" t="s">
        <v>3</v>
      </c>
      <c r="I18"/>
      <c r="L18" s="236" t="s">
        <v>12</v>
      </c>
      <c r="M18" s="210" t="e">
        <f>IF('Opening Balances'!C6=#REF!,COUNTA(_xlfn.UNIQUE('Opening Balances'!C:C))-3,0)</f>
        <v>#REF!</v>
      </c>
      <c r="N18" s="218" t="e" cm="1">
        <f t="array" aca="1" ref="N18" ca="1">IF(AND(M18&gt;0,COUNTIF(MetaDataSheetList,E18)&lt;&gt;0),IFERROR(COUNTA(_xlfn.UNIQUE(_xlfn._xlws.FILTER(MetaDataRefList,MetaDataSheetList=E18))),"Re-run"),"")</f>
        <v>#REF!</v>
      </c>
    </row>
    <row r="19" spans="1:14" x14ac:dyDescent="0.35">
      <c r="A19" s="7">
        <f ca="1">IFERROR('Investing Inputs'!$A$2,99)</f>
        <v>0</v>
      </c>
      <c r="B19" s="272" cm="1">
        <f t="array" aca="1" ref="B19" ca="1">IFERROR(HYPERLINK(CONCATENATE("#",CELL("address",'Investing Inputs'!$CL$2)),'Investing Inputs'!$CL$2),99)</f>
        <v>0</v>
      </c>
      <c r="E19" s="70" t="str" cm="1">
        <f t="array" aca="1" ref="E19" ca="1">HYPERLINK(CONCATENATE("#",CELL("address",'Investing Inputs'!$A$2)),'Investing Inputs'!$B$1)</f>
        <v>Investing Inputs</v>
      </c>
      <c r="H19" s="26" t="s">
        <v>3</v>
      </c>
      <c r="I19"/>
      <c r="L19" s="236" t="s">
        <v>12</v>
      </c>
      <c r="M19" s="210" t="e">
        <f>IF('Investing Inputs'!C6=#REF!,COUNTA(_xlfn.UNIQUE('Investing Inputs'!C:C))-3,0)</f>
        <v>#REF!</v>
      </c>
      <c r="N19" s="218" t="e" cm="1">
        <f t="array" aca="1" ref="N19" ca="1">IF(AND(M19&gt;0,COUNTIF(MetaDataSheetList,E19)&lt;&gt;0),IFERROR(COUNTA(_xlfn.UNIQUE(_xlfn._xlws.FILTER(MetaDataRefList,MetaDataSheetList=E19))),"Re-run"),"")</f>
        <v>#REF!</v>
      </c>
    </row>
    <row r="20" spans="1:14" x14ac:dyDescent="0.35">
      <c r="A20" s="7">
        <f ca="1">IFERROR(Loans!$A$2,99)</f>
        <v>0</v>
      </c>
      <c r="B20" s="272" cm="1">
        <f t="array" aca="1" ref="B20" ca="1">IFERROR(HYPERLINK(CONCATENATE("#",CELL("address",Loans!$CL$2)),Loans!$CL$2),99)</f>
        <v>0</v>
      </c>
      <c r="E20" s="70" t="str" cm="1">
        <f t="array" aca="1" ref="E20" ca="1">HYPERLINK(CONCATENATE("#",CELL("address",Loans!$A$2)),Loans!$B$1)</f>
        <v>Loans</v>
      </c>
      <c r="H20" s="26" t="s">
        <v>3</v>
      </c>
      <c r="I20"/>
      <c r="L20" s="236" t="s">
        <v>12</v>
      </c>
      <c r="M20" s="210" t="e">
        <f>IF(Loans!C6=#REF!,COUNTA(_xlfn.UNIQUE(Loans!C:C))-3,0)</f>
        <v>#REF!</v>
      </c>
      <c r="N20" s="218" t="e" cm="1">
        <f t="array" aca="1" ref="N20" ca="1">IF(AND(M20&gt;0,COUNTIF(MetaDataSheetList,E20)&lt;&gt;0),IFERROR(COUNTA(_xlfn.UNIQUE(_xlfn._xlws.FILTER(MetaDataRefList,MetaDataSheetList=E20))),"Re-run"),"")</f>
        <v>#REF!</v>
      </c>
    </row>
    <row r="21" spans="1:14" x14ac:dyDescent="0.35">
      <c r="A21" s="7">
        <f ca="1">IFERROR('BS Forecasts'!$A$2,99)</f>
        <v>0</v>
      </c>
      <c r="B21" s="272" cm="1">
        <f t="array" aca="1" ref="B21" ca="1">IFERROR(HYPERLINK(CONCATENATE("#",CELL("address",'BS Forecasts'!$CL$2)),'BS Forecasts'!$CL$2),99)</f>
        <v>0</v>
      </c>
      <c r="E21" s="70" t="str" cm="1">
        <f t="array" aca="1" ref="E21" ca="1">HYPERLINK(CONCATENATE("#",CELL("address",'BS Forecasts'!$A$2)),'BS Forecasts'!$B$1)</f>
        <v>BS Forecasts</v>
      </c>
      <c r="H21" s="26" t="s">
        <v>3</v>
      </c>
      <c r="I21"/>
      <c r="L21" s="236" t="s">
        <v>12</v>
      </c>
      <c r="M21" s="210" t="e">
        <f>IF('BS Forecasts'!C6=#REF!,COUNTA(_xlfn.UNIQUE('BS Forecasts'!C:C))-3,0)</f>
        <v>#REF!</v>
      </c>
      <c r="N21" s="218" t="e" cm="1">
        <f t="array" aca="1" ref="N21" ca="1">IF(AND(M21&gt;0,COUNTIF(MetaDataSheetList,E21)&lt;&gt;0),IFERROR(COUNTA(_xlfn.UNIQUE(_xlfn._xlws.FILTER(MetaDataRefList,MetaDataSheetList=E21))),"Re-run"),"")</f>
        <v>#REF!</v>
      </c>
    </row>
    <row r="22" spans="1:14" x14ac:dyDescent="0.35">
      <c r="A22"/>
      <c r="B22" s="3"/>
      <c r="E22" s="70" t="str" cm="1">
        <f t="array" aca="1" ref="E22" ca="1">HYPERLINK(CONCATENATE("#",CELL("address",'User Template'!$A$2)),'User Template'!$B$1)</f>
        <v>User Template</v>
      </c>
      <c r="H22" s="26" t="s">
        <v>3</v>
      </c>
      <c r="I22"/>
      <c r="L22" s="236" t="s">
        <v>3</v>
      </c>
      <c r="M22" s="210"/>
    </row>
    <row r="23" spans="1:14" ht="8.25" customHeight="1" x14ac:dyDescent="0.35">
      <c r="B23" s="3"/>
      <c r="H23" s="26" t="s">
        <v>3</v>
      </c>
      <c r="I23"/>
    </row>
    <row r="24" spans="1:14" x14ac:dyDescent="0.35">
      <c r="A24" s="7">
        <f ca="1">IFERROR('Fin Stat'!$A$2,99)</f>
        <v>0</v>
      </c>
      <c r="B24" s="3"/>
      <c r="C24" s="5" t="s">
        <v>13</v>
      </c>
      <c r="E24" s="68" t="str" cm="1">
        <f t="array" aca="1" ref="E24" ca="1">HYPERLINK(CONCATENATE("#",CELL("address",'Fin Stat'!$A$2)),'Fin Stat'!$B$1)</f>
        <v>Fin Stat</v>
      </c>
      <c r="H24" s="26" t="s">
        <v>3</v>
      </c>
      <c r="I24"/>
      <c r="L24" s="236" t="s">
        <v>12</v>
      </c>
      <c r="M24" s="210" t="e">
        <f>IF('Fin Stat'!C6=#REF!,COUNTA(_xlfn.UNIQUE('Fin Stat'!C:C))-3,0)</f>
        <v>#REF!</v>
      </c>
      <c r="N24" s="218" t="e" cm="1">
        <f t="array" aca="1" ref="N24" ca="1">IF(AND(M24&gt;0,COUNTIF(MetaDataSheetList,E24)&lt;&gt;0),IFERROR(COUNTA(_xlfn.UNIQUE(_xlfn._xlws.FILTER(MetaDataRefList,MetaDataSheetList=E24))),"Re-run"),"")</f>
        <v>#REF!</v>
      </c>
    </row>
    <row r="25" spans="1:14" x14ac:dyDescent="0.35">
      <c r="A25" s="7">
        <f ca="1">IFERROR(Ratios!$A$2,99)</f>
        <v>0</v>
      </c>
      <c r="B25" s="272" cm="1">
        <f t="array" aca="1" ref="B25" ca="1">IFERROR(HYPERLINK(CONCATENATE("#",CELL("address",Ratios!$CL$2)),Ratios!$CL$2),99)</f>
        <v>0</v>
      </c>
      <c r="E25" s="68" t="str" cm="1">
        <f t="array" aca="1" ref="E25" ca="1">HYPERLINK(CONCATENATE("#",CELL("address",Ratios!$A$2)),Ratios!$B$1)</f>
        <v>Ratios</v>
      </c>
      <c r="H25" s="26" t="s">
        <v>3</v>
      </c>
      <c r="I25"/>
      <c r="L25" s="236" t="s">
        <v>12</v>
      </c>
      <c r="M25" s="210" t="e">
        <f>IF(Ratios!C6=#REF!,COUNTA(_xlfn.UNIQUE(Ratios!C:C))-3,0)</f>
        <v>#REF!</v>
      </c>
      <c r="N25" s="218" t="e" cm="1">
        <f t="array" aca="1" ref="N25" ca="1">IF(AND(M25&gt;0,COUNTIF(MetaDataSheetList,E25)&lt;&gt;0),IFERROR(COUNTA(_xlfn.UNIQUE(_xlfn._xlws.FILTER(MetaDataRefList,MetaDataSheetList=E25))),"Re-run"),"")</f>
        <v>#REF!</v>
      </c>
    </row>
    <row r="26" spans="1:14" x14ac:dyDescent="0.35">
      <c r="A26" s="7">
        <f ca="1">IFERROR('Financial Health'!$A$2,99)</f>
        <v>0</v>
      </c>
      <c r="B26" s="272" cm="1">
        <f t="array" aca="1" ref="B26" ca="1">IFERROR(HYPERLINK(CONCATENATE("#",CELL("address",'Financial Health'!$CU$2)),'Financial Health'!$CU$2),99)</f>
        <v>0</v>
      </c>
      <c r="E26" s="70" t="str" cm="1">
        <f t="array" aca="1" ref="E26" ca="1">HYPERLINK(CONCATENATE("#",CELL("address",'Financial Health'!$A$2)),'Financial Health'!$B$1)</f>
        <v>Financial Health</v>
      </c>
      <c r="H26" s="26" t="s">
        <v>3</v>
      </c>
      <c r="I26"/>
      <c r="L26" s="236" t="s">
        <v>12</v>
      </c>
      <c r="M26" s="210" t="e">
        <f>IF('Financial Health'!C6=#REF!,COUNTA(_xlfn.UNIQUE('Financial Health'!C:C))-3,0)</f>
        <v>#REF!</v>
      </c>
      <c r="N26" s="218" t="e" cm="1">
        <f t="array" aca="1" ref="N26" ca="1">IF(AND(M26&gt;0,COUNTIF(MetaDataSheetList,E26)&lt;&gt;0),IFERROR(COUNTA(_xlfn.UNIQUE(_xlfn._xlws.FILTER(MetaDataRefList,MetaDataSheetList=E26))),"Re-run"),"")</f>
        <v>#REF!</v>
      </c>
    </row>
    <row r="27" spans="1:14" x14ac:dyDescent="0.35">
      <c r="A27" s="7">
        <f ca="1">IFERROR('Cash Flow Summary'!$A$2,99)</f>
        <v>0</v>
      </c>
      <c r="B27" s="3"/>
      <c r="E27" s="68" t="str" cm="1">
        <f t="array" aca="1" ref="E27" ca="1">HYPERLINK(CONCATENATE("#",CELL("address",'Cash Flow Summary'!$A$2)),'Cash Flow Summary'!$B$1)</f>
        <v>Cash Flow Summary</v>
      </c>
      <c r="H27" s="26" t="s">
        <v>3</v>
      </c>
      <c r="I27"/>
      <c r="L27" s="236" t="s">
        <v>3</v>
      </c>
      <c r="M27" s="210" t="e">
        <f>IF('Cash Flow Summary'!C6=#REF!,COUNTA(_xlfn.UNIQUE('Cash Flow Summary'!C:C))-3,0)</f>
        <v>#REF!</v>
      </c>
      <c r="N27" s="218" t="e" cm="1">
        <f t="array" aca="1" ref="N27" ca="1">IF(AND(M27&gt;0,COUNTIF(MetaDataSheetList,E27)&lt;&gt;0),IFERROR(COUNTA(_xlfn.UNIQUE(_xlfn._xlws.FILTER(MetaDataRefList,MetaDataSheetList=E27))),"Re-run"),"")</f>
        <v>#REF!</v>
      </c>
    </row>
    <row r="28" spans="1:14" x14ac:dyDescent="0.35">
      <c r="A28" s="3"/>
      <c r="B28" s="3"/>
      <c r="E28" s="70" t="str" cm="1">
        <f t="array" aca="1" ref="E28" ca="1">HYPERLINK(CONCATENATE("#",CELL("address",'WC Dashboard'!$A$2)),'WC Dashboard'!$B$1)</f>
        <v>WC Dashboard</v>
      </c>
      <c r="H28" s="26" t="s">
        <v>3</v>
      </c>
      <c r="I28"/>
      <c r="L28" s="236" t="s">
        <v>3</v>
      </c>
      <c r="M28" s="210" t="e">
        <f>IF('WC Dashboard'!C6=#REF!,COUNTA(_xlfn.UNIQUE('WC Dashboard'!C:C))-3,0)</f>
        <v>#REF!</v>
      </c>
      <c r="N28" s="218" t="e" cm="1">
        <f t="array" aca="1" ref="N28" ca="1">IF(AND(M28&gt;0,COUNTIF(MetaDataSheetList,E28)&lt;&gt;0),IFERROR(COUNTA(_xlfn.UNIQUE(_xlfn._xlws.FILTER(MetaDataRefList,MetaDataSheetList=E28))),"Re-run"),"")</f>
        <v>#REF!</v>
      </c>
    </row>
    <row r="29" spans="1:14" x14ac:dyDescent="0.35">
      <c r="A29" s="3"/>
      <c r="B29" s="3"/>
      <c r="E29" s="70" t="str" cm="1">
        <f t="array" aca="1" ref="E29" ca="1">HYPERLINK(CONCATENATE("#",CELL("address",Dashboard!$A$2)),Dashboard!$B$1)</f>
        <v>Dashboard</v>
      </c>
      <c r="H29" s="26" t="s">
        <v>3</v>
      </c>
      <c r="I29"/>
      <c r="L29" s="236" t="s">
        <v>3</v>
      </c>
      <c r="M29" s="210"/>
    </row>
    <row r="30" spans="1:14" ht="8.25" customHeight="1" x14ac:dyDescent="0.35">
      <c r="B30" s="3"/>
      <c r="H30" s="26" t="s">
        <v>3</v>
      </c>
      <c r="I30"/>
    </row>
    <row r="31" spans="1:14" x14ac:dyDescent="0.35">
      <c r="B31" s="3"/>
      <c r="C31" s="5" t="s">
        <v>14</v>
      </c>
      <c r="E31" s="70" t="str" cm="1">
        <f t="array" aca="1" ref="E31" ca="1">HYPERLINK(CONCATENATE("#",CELL("address",'Dash Data'!$B$1)),'Dash Data'!$B$1)</f>
        <v>Dash Data</v>
      </c>
      <c r="H31" s="26" t="s">
        <v>3</v>
      </c>
      <c r="I31"/>
      <c r="L31" s="236" t="s">
        <v>3</v>
      </c>
      <c r="M31" s="210" t="e">
        <f>IF('Dash Data'!C6=#REF!,COUNTA(_xlfn.UNIQUE('Dash Data'!C:C))-3,0)</f>
        <v>#REF!</v>
      </c>
      <c r="N31" s="218" t="e" cm="1">
        <f t="array" aca="1" ref="N31" ca="1">IF(AND(M31&gt;0,COUNTIF(MetaDataSheetList,E31)&lt;&gt;0),IFERROR(COUNTA(_xlfn.UNIQUE(_xlfn._xlws.FILTER(MetaDataRefList,MetaDataSheetList=E31))),"Re-run"),"")</f>
        <v>#REF!</v>
      </c>
    </row>
    <row r="32" spans="1:14" x14ac:dyDescent="0.35">
      <c r="B32" s="3"/>
      <c r="E32" s="70" t="str" cm="1">
        <f t="array" aca="1" ref="E32" ca="1">HYPERLINK(CONCATENATE("#",CELL("address",Timeline!$A$2)),Timeline!$B$1)</f>
        <v>Timeline</v>
      </c>
      <c r="H32" s="26" t="s">
        <v>3</v>
      </c>
      <c r="I32"/>
      <c r="L32" s="236" t="s">
        <v>3</v>
      </c>
      <c r="M32" s="210"/>
    </row>
    <row r="33" spans="1:13" x14ac:dyDescent="0.35">
      <c r="B33" s="3"/>
      <c r="E33" s="70" t="str" cm="1">
        <f t="array" aca="1" ref="E33" ca="1">HYPERLINK(CONCATENATE("#",CELL("address",Parameters!$A$2)),Parameters!$B$1)</f>
        <v>Parameters</v>
      </c>
      <c r="H33" s="26" t="s">
        <v>3</v>
      </c>
      <c r="I33"/>
      <c r="L33" s="236" t="s">
        <v>3</v>
      </c>
      <c r="M33" s="210"/>
    </row>
    <row r="34" spans="1:13" x14ac:dyDescent="0.35">
      <c r="B34" s="3"/>
      <c r="E34" s="70"/>
      <c r="H34" s="26" t="s">
        <v>3</v>
      </c>
      <c r="I34"/>
      <c r="L34" s="236" t="s">
        <v>3</v>
      </c>
      <c r="M34" s="210"/>
    </row>
    <row r="35" spans="1:13" x14ac:dyDescent="0.35">
      <c r="B35" s="3"/>
      <c r="E35" s="70"/>
      <c r="H35" s="26" t="s">
        <v>3</v>
      </c>
      <c r="I35"/>
      <c r="L35" s="236" t="s">
        <v>3</v>
      </c>
      <c r="M35" s="210"/>
    </row>
    <row r="36" spans="1:13" x14ac:dyDescent="0.35">
      <c r="B36" s="3"/>
      <c r="E36" s="70"/>
      <c r="I36"/>
      <c r="L36" s="236"/>
      <c r="M36" s="210"/>
    </row>
    <row r="37" spans="1:13" x14ac:dyDescent="0.35">
      <c r="B37" s="3"/>
      <c r="C37" s="5" t="s">
        <v>15</v>
      </c>
      <c r="E37" s="70" t="str" cm="1">
        <f t="array" aca="1" ref="E37" ca="1">HYPERLINK(CONCATENATE("#",CELL("address",'Monitoring Guide'!$A$1)),'Monitoring Guide'!$B$1)</f>
        <v>Monitoring Guide</v>
      </c>
      <c r="I37"/>
      <c r="L37" s="236"/>
      <c r="M37" s="210"/>
    </row>
    <row r="38" spans="1:13" x14ac:dyDescent="0.35">
      <c r="B38" s="3"/>
      <c r="E38" s="70" t="str" cm="1">
        <f t="array" aca="1" ref="E38" ca="1">HYPERLINK(CONCATENATE("#",CELL("address",'Direct CF'!$A$1)),'Direct CF'!$B$1)</f>
        <v>Direct CF</v>
      </c>
      <c r="I38"/>
      <c r="L38" s="236"/>
      <c r="M38" s="210"/>
    </row>
    <row r="39" spans="1:13" x14ac:dyDescent="0.35">
      <c r="B39" s="3"/>
      <c r="E39" s="70" t="str" cm="1">
        <f t="array" aca="1" ref="E39" ca="1">HYPERLINK(CONCATENATE("#",CELL("address",'Cash Profile'!$A$1)),'Cash Profile'!$B$1)</f>
        <v>Cash Profile</v>
      </c>
      <c r="I39"/>
      <c r="L39" s="236"/>
      <c r="M39" s="210"/>
    </row>
    <row r="40" spans="1:13" x14ac:dyDescent="0.35">
      <c r="B40" s="3"/>
      <c r="E40" s="70" t="str" cm="1">
        <f t="array" aca="1" ref="E40" ca="1">HYPERLINK(CONCATENATE("#",CELL("address",'I&amp;E Summary'!$A$1)),'I&amp;E Summary'!$B$1)</f>
        <v>I&amp;E Summary</v>
      </c>
      <c r="I40"/>
      <c r="L40" s="236"/>
      <c r="M40" s="210"/>
    </row>
    <row r="41" spans="1:13" x14ac:dyDescent="0.35">
      <c r="B41" s="3"/>
      <c r="E41" s="70" t="str" cm="1">
        <f t="array" aca="1" ref="E41" ca="1">HYPERLINK(CONCATENATE("#",CELL("address",'I&amp;E variances'!$A$1)),'I&amp;E variances'!$C$5)</f>
        <v>I&amp;E variances</v>
      </c>
      <c r="I41"/>
      <c r="L41" s="236"/>
      <c r="M41" s="210"/>
    </row>
    <row r="42" spans="1:13" x14ac:dyDescent="0.35">
      <c r="B42" s="3"/>
      <c r="E42" s="70" t="str" cm="1">
        <f t="array" aca="1" ref="E42" ca="1">HYPERLINK(CONCATENATE("#",CELL("address",'Cash summary'!$A$1)),'Cash summary'!$D$1)</f>
        <v>Cash summary</v>
      </c>
      <c r="I42"/>
      <c r="L42" s="236"/>
      <c r="M42" s="210"/>
    </row>
    <row r="43" spans="1:13" x14ac:dyDescent="0.35">
      <c r="B43" s="3"/>
      <c r="E43" s="70"/>
      <c r="I43"/>
      <c r="L43" s="236"/>
      <c r="M43" s="210"/>
    </row>
    <row r="44" spans="1:13" x14ac:dyDescent="0.35">
      <c r="B44" s="3"/>
      <c r="E44" s="70"/>
      <c r="I44"/>
      <c r="L44" s="236"/>
      <c r="M44" s="210"/>
    </row>
    <row r="45" spans="1:13" x14ac:dyDescent="0.35">
      <c r="B45" s="3"/>
      <c r="E45" s="70"/>
      <c r="I45"/>
      <c r="L45" s="236"/>
      <c r="M45" s="210"/>
    </row>
    <row r="46" spans="1:13" x14ac:dyDescent="0.35">
      <c r="B46" s="3"/>
      <c r="E46" s="70"/>
      <c r="I46"/>
      <c r="L46" s="236"/>
      <c r="M46" s="210"/>
    </row>
    <row r="48" spans="1:13" x14ac:dyDescent="0.35">
      <c r="A48" s="11" t="s">
        <v>16</v>
      </c>
      <c r="B48" s="11"/>
      <c r="C48" s="11" t="s">
        <v>16</v>
      </c>
      <c r="D48" s="11" t="s">
        <v>16</v>
      </c>
      <c r="E48" s="11" t="s">
        <v>16</v>
      </c>
      <c r="F48" s="11" t="s">
        <v>16</v>
      </c>
      <c r="G48" s="11" t="s">
        <v>16</v>
      </c>
      <c r="H48" s="11" t="s">
        <v>16</v>
      </c>
      <c r="I48" s="11"/>
    </row>
  </sheetData>
  <sheetProtection algorithmName="SHA-512" hashValue="mjGUiOGGx2LXg3yVTMAWTRiGguTUXnCs3e/ETLGVwovk86kCWvfP0snct0cuo8InjXNu9FbbQmbwdVOjHD57Og==" saltValue="AQabN8hQ4DxiaJeHokCXDQ==" spinCount="100000" sheet="1" objects="1" scenarios="1"/>
  <conditionalFormatting sqref="A1">
    <cfRule type="cellIs" dxfId="275" priority="68" operator="greaterThan">
      <formula>0</formula>
    </cfRule>
  </conditionalFormatting>
  <conditionalFormatting sqref="A13:A18">
    <cfRule type="cellIs" dxfId="274" priority="66" operator="equal">
      <formula>1</formula>
    </cfRule>
  </conditionalFormatting>
  <conditionalFormatting sqref="A13:A21">
    <cfRule type="cellIs" dxfId="273" priority="63" operator="equal">
      <formula>0</formula>
    </cfRule>
    <cfRule type="cellIs" dxfId="272" priority="64" operator="greaterThan">
      <formula>0</formula>
    </cfRule>
  </conditionalFormatting>
  <conditionalFormatting sqref="A21">
    <cfRule type="cellIs" dxfId="271" priority="110" operator="equal">
      <formula>1</formula>
    </cfRule>
  </conditionalFormatting>
  <conditionalFormatting sqref="A24:A27">
    <cfRule type="cellIs" dxfId="270" priority="79" operator="equal">
      <formula>0</formula>
    </cfRule>
    <cfRule type="cellIs" dxfId="269" priority="80" operator="greaterThan">
      <formula>0</formula>
    </cfRule>
  </conditionalFormatting>
  <conditionalFormatting sqref="A1:B1">
    <cfRule type="cellIs" dxfId="268" priority="22" operator="equal">
      <formula>0</formula>
    </cfRule>
  </conditionalFormatting>
  <conditionalFormatting sqref="B1">
    <cfRule type="cellIs" dxfId="267" priority="21" operator="greaterThan">
      <formula>0</formula>
    </cfRule>
  </conditionalFormatting>
  <conditionalFormatting sqref="B13">
    <cfRule type="cellIs" dxfId="266" priority="15" operator="greaterThan">
      <formula>0</formula>
    </cfRule>
    <cfRule type="cellIs" dxfId="265" priority="16" operator="equal">
      <formula>0</formula>
    </cfRule>
  </conditionalFormatting>
  <conditionalFormatting sqref="B15:B21">
    <cfRule type="cellIs" dxfId="264" priority="1" operator="greaterThan">
      <formula>0</formula>
    </cfRule>
    <cfRule type="cellIs" dxfId="263" priority="2" operator="equal">
      <formula>0</formula>
    </cfRule>
  </conditionalFormatting>
  <conditionalFormatting sqref="B25:B26">
    <cfRule type="cellIs" dxfId="262" priority="7" operator="greaterThan">
      <formula>0</formula>
    </cfRule>
    <cfRule type="cellIs" dxfId="261" priority="8" operator="equal">
      <formula>0</formula>
    </cfRule>
  </conditionalFormatting>
  <dataValidations count="1">
    <dataValidation type="list" allowBlank="1" showInputMessage="1" showErrorMessage="1" sqref="H3:H46" xr:uid="{078CB878-0997-4794-A23A-5DF663207C94}">
      <formula1>"Yes,No"</formula1>
    </dataValidation>
  </dataValidations>
  <pageMargins left="0.7" right="0.7" top="0.75" bottom="0.75" header="0.3" footer="0.3"/>
  <pageSetup paperSize="9" orientation="portrait" horizontalDpi="90" verticalDpi="90" r:id="rId1"/>
  <headerFooter>
    <oddHeader>&amp;C&amp;"Aptos"&amp;11&amp;K000000 OFFICIAL - FOR PUBLIC RELEASE&amp;1#_x000D_</oddHeader>
    <oddFooter>&amp;C_x000D_&amp;1#&amp;"Aptos"&amp;11&amp;K000000 OFFICIAL - FOR PUBLIC RELEASE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DBAD6-B470-42A2-B927-6581F33F8E18}">
  <sheetPr codeName="Sheet9">
    <tabColor theme="7" tint="0.59999389629810485"/>
    <outlinePr summaryBelow="0" summaryRight="0"/>
    <pageSetUpPr autoPageBreaks="0"/>
  </sheetPr>
  <dimension ref="A1:EY1161"/>
  <sheetViews>
    <sheetView showGridLines="0" zoomScaleNormal="100" workbookViewId="0">
      <pane xSplit="9" ySplit="7" topLeftCell="J8" activePane="bottomRight" state="frozen"/>
      <selection pane="topRight" activeCell="V123" sqref="V123"/>
      <selection pane="bottomLeft" activeCell="V123" sqref="V123"/>
      <selection pane="bottomRight"/>
    </sheetView>
  </sheetViews>
  <sheetFormatPr defaultColWidth="8.81640625" defaultRowHeight="14.5" outlineLevelCol="2" x14ac:dyDescent="0.35"/>
  <cols>
    <col min="1" max="1" width="6.81640625" bestFit="1" customWidth="1"/>
    <col min="2" max="2" width="9.81640625" customWidth="1"/>
    <col min="3" max="3" width="11.81640625" customWidth="1"/>
    <col min="4" max="4" width="49.1796875" bestFit="1" customWidth="1"/>
    <col min="5" max="5" width="24.1796875" style="1" customWidth="1"/>
    <col min="6" max="6" width="18" style="1" customWidth="1"/>
    <col min="7" max="7" width="10.453125" customWidth="1"/>
    <col min="8" max="8" width="10.54296875" customWidth="1"/>
    <col min="9" max="9" width="15" customWidth="1"/>
    <col min="10" max="10" width="13" customWidth="1"/>
    <col min="11" max="11" width="11.81640625" customWidth="1"/>
    <col min="12" max="12" width="9.81640625" customWidth="1" outlineLevel="1"/>
    <col min="13" max="14" width="12.54296875" customWidth="1" outlineLevel="1"/>
    <col min="15" max="15" width="10.453125" customWidth="1" outlineLevel="1"/>
    <col min="16" max="16" width="10.1796875" customWidth="1" outlineLevel="1"/>
    <col min="17" max="17" width="11.7265625" customWidth="1" outlineLevel="1"/>
    <col min="18" max="18" width="11" customWidth="1" outlineLevel="1"/>
    <col min="19" max="19" width="9.81640625" customWidth="1" outlineLevel="1"/>
    <col min="20" max="20" width="11.1796875" customWidth="1" outlineLevel="1"/>
    <col min="21" max="21" width="12.1796875" customWidth="1" outlineLevel="1"/>
    <col min="22" max="25" width="9.453125" bestFit="1" customWidth="1"/>
    <col min="26" max="26" width="1.1796875" customWidth="1"/>
    <col min="27" max="62" width="9.81640625" bestFit="1" customWidth="1"/>
    <col min="63" max="74" width="9.81640625" customWidth="1"/>
    <col min="75" max="75" width="1.1796875" customWidth="1"/>
    <col min="76" max="87" width="9.453125" bestFit="1" customWidth="1"/>
    <col min="88" max="88" width="1.1796875" customWidth="1"/>
    <col min="89" max="89" width="3.453125" customWidth="1"/>
    <col min="90" max="90" width="13.1796875" customWidth="1"/>
    <col min="91" max="91" width="3.453125" customWidth="1"/>
    <col min="92" max="92" width="15.81640625" customWidth="1"/>
    <col min="93" max="93" width="14.453125" customWidth="1"/>
    <col min="94" max="109" width="13.1796875" customWidth="1"/>
    <col min="110" max="110" width="3.453125" customWidth="1"/>
    <col min="111" max="112" width="8.81640625" customWidth="1"/>
    <col min="113" max="113" width="9.81640625" customWidth="1"/>
    <col min="114" max="118" width="8.81640625" customWidth="1"/>
    <col min="154" max="154" width="8.81640625" collapsed="1"/>
    <col min="155" max="155" width="24.54296875" hidden="1" customWidth="1" outlineLevel="2"/>
  </cols>
  <sheetData>
    <row r="1" spans="1:155" x14ac:dyDescent="0.35">
      <c r="A1" s="7">
        <f ca="1">ToC!A1</f>
        <v>0</v>
      </c>
      <c r="B1" s="13" t="s">
        <v>146</v>
      </c>
      <c r="C1" s="13"/>
      <c r="D1" s="13">
        <f>CollegeNameInput</f>
        <v>0</v>
      </c>
      <c r="E1" s="13"/>
      <c r="F1" s="13"/>
      <c r="G1" s="22"/>
      <c r="H1" s="22"/>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107" t="s">
        <v>5</v>
      </c>
      <c r="CM1" s="663"/>
      <c r="CN1" s="5" t="s">
        <v>175</v>
      </c>
      <c r="CZ1" s="5" t="s">
        <v>741</v>
      </c>
      <c r="DF1" s="663"/>
      <c r="DG1" s="5" t="s">
        <v>296</v>
      </c>
      <c r="EY1" s="5" t="s">
        <v>177</v>
      </c>
    </row>
    <row r="2" spans="1:155" ht="14.65" customHeight="1" x14ac:dyDescent="0.35">
      <c r="A2" s="220" cm="1">
        <f t="array" aca="1" ref="A2" ca="1">HYPERLINK(CONCATENATE("#",CELL("address",IF(SUM(A$7:A$1161)=0,$A$2,INDEX(A$7:A$1161,MATCH(1,A$7:A$1161,0))))),SUM(A$7:A$1161))</f>
        <v>0</v>
      </c>
      <c r="B2" s="67" t="str" cm="1">
        <f t="array" aca="1" ref="B2" ca="1">HYPERLINK(CONCATENATE("#",CELL("address",Guide!$C$206)),Guide!$B$1)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72" cm="1">
        <f t="array" aca="1" ref="CL2" ca="1">HYPERLINK(CONCATENATE("#",CELL("address",IF(SUM(CL$7:CL$213)=0,$CL$2,INDEX(CL$7:CL$213,MATCH(1,CL$7:CL$213,0))))),SUM(CL$7:CL$213))</f>
        <v>0</v>
      </c>
      <c r="CM2" s="663"/>
      <c r="CN2" s="679" t="s">
        <v>997</v>
      </c>
      <c r="CO2" s="679" t="s">
        <v>998</v>
      </c>
      <c r="DF2" s="663"/>
      <c r="DH2" s="510"/>
      <c r="DI2" s="510"/>
    </row>
    <row r="3" spans="1:155" ht="15" customHeight="1" x14ac:dyDescent="0.35">
      <c r="A3" s="67" t="str" cm="1">
        <f t="array" aca="1" ref="A3" ca="1">HYPERLINK(CONCATENATE("#",CELL("address",ToC!$A$1)),ToC!$C$1)</f>
        <v>ToC</v>
      </c>
      <c r="B3" s="67" t="str" cm="1">
        <f t="array" aca="1" ref="B3" ca="1">HYPERLINK(CONCATENATE("#",CELL("address",$B$8)),"Loans")</f>
        <v>Loans</v>
      </c>
      <c r="C3" s="67" t="str" cm="1">
        <f t="array" aca="1" ref="C3" ca="1">HYPERLINK(CONCATENATE("#",CELL("address",$B$54)),"Manual")</f>
        <v>Manual</v>
      </c>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7" t="str">
        <f>Timeline!BK3</f>
        <v>FY2029</v>
      </c>
      <c r="BL3" s="17" t="str">
        <f>Timeline!BL3</f>
        <v>FY2029</v>
      </c>
      <c r="BM3" s="17" t="str">
        <f>Timeline!BM3</f>
        <v>FY2029</v>
      </c>
      <c r="BN3" s="17" t="str">
        <f>Timeline!BN3</f>
        <v>FY2029</v>
      </c>
      <c r="BO3" s="17" t="str">
        <f>Timeline!BO3</f>
        <v>FY2029</v>
      </c>
      <c r="BP3" s="17" t="str">
        <f>Timeline!BP3</f>
        <v>FY2029</v>
      </c>
      <c r="BQ3" s="17" t="str">
        <f>Timeline!BQ3</f>
        <v>FY2029</v>
      </c>
      <c r="BR3" s="17" t="str">
        <f>Timeline!BR3</f>
        <v>FY2029</v>
      </c>
      <c r="BS3" s="17" t="str">
        <f>Timeline!BS3</f>
        <v>FY2029</v>
      </c>
      <c r="BT3" s="17" t="str">
        <f>Timeline!BT3</f>
        <v>FY2029</v>
      </c>
      <c r="BU3" s="17" t="str">
        <f>Timeline!BU3</f>
        <v>FY2029</v>
      </c>
      <c r="BV3" s="18" t="str">
        <f>Timeline!BV3</f>
        <v>FY2029</v>
      </c>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N3" s="679"/>
      <c r="CO3" s="679"/>
      <c r="CP3" s="664" t="s">
        <v>999</v>
      </c>
      <c r="CQ3" s="666" t="s">
        <v>1000</v>
      </c>
      <c r="CR3" s="666" t="s">
        <v>1001</v>
      </c>
      <c r="CS3" s="664" t="s">
        <v>1002</v>
      </c>
      <c r="CT3" s="664" t="s">
        <v>1003</v>
      </c>
      <c r="CU3" s="664" t="s">
        <v>1004</v>
      </c>
      <c r="CV3" s="664" t="s">
        <v>1005</v>
      </c>
      <c r="CW3" s="664" t="s">
        <v>1006</v>
      </c>
      <c r="CX3" s="679" t="s">
        <v>1007</v>
      </c>
      <c r="CY3" s="679" t="s">
        <v>270</v>
      </c>
      <c r="CZ3" s="664" t="s">
        <v>1008</v>
      </c>
      <c r="DA3" s="664" t="s">
        <v>1009</v>
      </c>
      <c r="DB3" s="664" t="s">
        <v>1010</v>
      </c>
      <c r="DC3" s="664" t="s">
        <v>1011</v>
      </c>
      <c r="DD3" s="664" t="s">
        <v>1012</v>
      </c>
      <c r="DE3" s="679" t="s">
        <v>1013</v>
      </c>
      <c r="DF3" s="663"/>
      <c r="DG3" s="679" t="s">
        <v>1014</v>
      </c>
      <c r="DH3" s="679" t="s">
        <v>308</v>
      </c>
      <c r="DI3" s="679" t="s">
        <v>309</v>
      </c>
    </row>
    <row r="4" spans="1:155" ht="15" customHeight="1" x14ac:dyDescent="0.35">
      <c r="A4" s="13"/>
      <c r="B4" s="67" t="str" cm="1">
        <f t="array" aca="1" ref="B4" ca="1">HYPERLINK(CONCATENATE("#",CELL("address",$D$693)),"Interest Calc")</f>
        <v>Interest Calc</v>
      </c>
      <c r="C4" s="67" t="str" cm="1">
        <f t="array" aca="1" ref="C4" ca="1">HYPERLINK(CONCATENATE("#",CELL("address",$D$904)),$D$904)</f>
        <v>Short Term vs. Long Term Debt</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f>Timeline!BK4</f>
        <v>1</v>
      </c>
      <c r="BL4" s="29">
        <f>Timeline!BL4</f>
        <v>1</v>
      </c>
      <c r="BM4" s="29">
        <f>Timeline!BM4</f>
        <v>1</v>
      </c>
      <c r="BN4" s="29">
        <f>Timeline!BN4</f>
        <v>1</v>
      </c>
      <c r="BO4" s="29">
        <f>Timeline!BO4</f>
        <v>1</v>
      </c>
      <c r="BP4" s="29">
        <f>Timeline!BP4</f>
        <v>1</v>
      </c>
      <c r="BQ4" s="29">
        <f>Timeline!BQ4</f>
        <v>1</v>
      </c>
      <c r="BR4" s="29">
        <f>Timeline!BR4</f>
        <v>1</v>
      </c>
      <c r="BS4" s="29">
        <f>Timeline!BS4</f>
        <v>1</v>
      </c>
      <c r="BT4" s="29">
        <f>Timeline!BT4</f>
        <v>1</v>
      </c>
      <c r="BU4" s="29">
        <f>Timeline!BU4</f>
        <v>1</v>
      </c>
      <c r="BV4" s="30">
        <f>Timeline!BV4</f>
        <v>1</v>
      </c>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311</v>
      </c>
      <c r="CM4" s="663"/>
      <c r="CN4" s="679"/>
      <c r="CO4" s="679"/>
      <c r="CP4" s="664"/>
      <c r="CQ4" s="666"/>
      <c r="CR4" s="666"/>
      <c r="CS4" s="664"/>
      <c r="CT4" s="664"/>
      <c r="CU4" s="664"/>
      <c r="CV4" s="664"/>
      <c r="CW4" s="664"/>
      <c r="CX4" s="679"/>
      <c r="CY4" s="679"/>
      <c r="CZ4" s="664"/>
      <c r="DA4" s="664"/>
      <c r="DB4" s="664"/>
      <c r="DC4" s="664"/>
      <c r="DD4" s="664"/>
      <c r="DE4" s="679"/>
      <c r="DF4" s="663"/>
      <c r="DG4" s="679"/>
      <c r="DH4" s="679"/>
      <c r="DI4" s="679"/>
    </row>
    <row r="5" spans="1:155" x14ac:dyDescent="0.35">
      <c r="A5" s="13"/>
      <c r="B5" s="67" t="str" cm="1">
        <f t="array" aca="1" ref="B5" ca="1">HYPERLINK(CONCATENATE("#",CELL("address",$B$833)),"Selected")</f>
        <v>Selected</v>
      </c>
      <c r="C5" s="67" t="str" cm="1">
        <f t="array" aca="1" ref="C5" ca="1">HYPERLINK(CONCATENATE("#",CELL("address",$B$1090)),"Summary")</f>
        <v>Summary</v>
      </c>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0">
        <f>Timeline!BK5</f>
        <v>46996</v>
      </c>
      <c r="BL5" s="20">
        <f>Timeline!BL5</f>
        <v>47026</v>
      </c>
      <c r="BM5" s="20">
        <f>Timeline!BM5</f>
        <v>47057</v>
      </c>
      <c r="BN5" s="20">
        <f>Timeline!BN5</f>
        <v>47087</v>
      </c>
      <c r="BO5" s="20">
        <f>Timeline!BO5</f>
        <v>47118</v>
      </c>
      <c r="BP5" s="20">
        <f>Timeline!BP5</f>
        <v>47149</v>
      </c>
      <c r="BQ5" s="20">
        <f>Timeline!BQ5</f>
        <v>47177</v>
      </c>
      <c r="BR5" s="20">
        <f>Timeline!BR5</f>
        <v>47208</v>
      </c>
      <c r="BS5" s="20">
        <f>Timeline!BS5</f>
        <v>47238</v>
      </c>
      <c r="BT5" s="20">
        <f>Timeline!BT5</f>
        <v>47269</v>
      </c>
      <c r="BU5" s="20">
        <f>Timeline!BU5</f>
        <v>47299</v>
      </c>
      <c r="BV5" s="21">
        <f>Timeline!BV5</f>
        <v>47330</v>
      </c>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79"/>
      <c r="CO5" s="679"/>
      <c r="CP5" s="664"/>
      <c r="CQ5" s="666"/>
      <c r="CR5" s="666"/>
      <c r="CS5" s="664"/>
      <c r="CT5" s="664"/>
      <c r="CU5" s="664"/>
      <c r="CV5" s="664"/>
      <c r="CW5" s="664"/>
      <c r="CX5" s="679"/>
      <c r="CY5" s="679"/>
      <c r="CZ5" s="664"/>
      <c r="DA5" s="664"/>
      <c r="DB5" s="664"/>
      <c r="DC5" s="664"/>
      <c r="DD5" s="664"/>
      <c r="DE5" s="679"/>
      <c r="DF5" s="663"/>
      <c r="DG5" s="679"/>
      <c r="DH5" s="679"/>
      <c r="DI5" s="679"/>
    </row>
    <row r="6" spans="1:155" x14ac:dyDescent="0.35">
      <c r="A6" s="67" t="str" cm="1">
        <f t="array" aca="1" ref="A6" ca="1">HYPERLINK(CONCATENATE("#",CELL("address",CM7)),"Check")</f>
        <v>Check</v>
      </c>
      <c r="B6" s="13"/>
      <c r="C6" s="13" t="s">
        <v>183</v>
      </c>
      <c r="D6" s="23"/>
      <c r="E6" s="13"/>
      <c r="F6" s="13"/>
      <c r="G6" s="13"/>
      <c r="H6" s="13"/>
      <c r="I6" s="13" t="s">
        <v>313</v>
      </c>
      <c r="J6" s="13"/>
      <c r="K6" s="13"/>
      <c r="L6" s="13"/>
      <c r="M6" s="13"/>
      <c r="N6" s="13"/>
      <c r="O6" s="15"/>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79"/>
      <c r="CO6" s="679"/>
      <c r="CP6" s="664"/>
      <c r="CQ6" s="666"/>
      <c r="CR6" s="666"/>
      <c r="CS6" s="664"/>
      <c r="CT6" s="664"/>
      <c r="CU6" s="664"/>
      <c r="CV6" s="664"/>
      <c r="CW6" s="664"/>
      <c r="CX6" s="679"/>
      <c r="CY6" s="679"/>
      <c r="CZ6" s="664"/>
      <c r="DA6" s="664"/>
      <c r="DB6" s="664"/>
      <c r="DC6" s="664"/>
      <c r="DD6" s="664"/>
      <c r="DE6" s="679"/>
      <c r="DF6" s="663"/>
      <c r="DG6" s="679"/>
      <c r="DH6" s="679"/>
      <c r="DI6" s="679"/>
    </row>
    <row r="7" spans="1:155" x14ac:dyDescent="0.35">
      <c r="B7" s="97" t="s">
        <v>184</v>
      </c>
      <c r="D7" s="1"/>
      <c r="E7"/>
      <c r="F7"/>
      <c r="BY7" s="6"/>
      <c r="CK7" s="35"/>
      <c r="CL7" s="85" t="s">
        <v>122</v>
      </c>
      <c r="CM7" s="35"/>
      <c r="CN7" s="85" t="s">
        <v>122</v>
      </c>
      <c r="CO7" s="85" t="s">
        <v>122</v>
      </c>
      <c r="CP7" s="85" t="s">
        <v>122</v>
      </c>
      <c r="CQ7" s="85" t="s">
        <v>122</v>
      </c>
      <c r="CR7" s="85" t="s">
        <v>122</v>
      </c>
      <c r="CS7" s="85" t="s">
        <v>122</v>
      </c>
      <c r="CT7" s="85" t="s">
        <v>122</v>
      </c>
      <c r="CU7" s="85" t="s">
        <v>122</v>
      </c>
      <c r="CV7" s="85" t="s">
        <v>122</v>
      </c>
      <c r="CW7" s="85" t="s">
        <v>122</v>
      </c>
      <c r="CX7" s="85" t="s">
        <v>122</v>
      </c>
      <c r="CY7" s="85" t="s">
        <v>122</v>
      </c>
      <c r="CZ7" s="85" t="s">
        <v>122</v>
      </c>
      <c r="DA7" s="85" t="s">
        <v>122</v>
      </c>
      <c r="DB7" s="85" t="s">
        <v>122</v>
      </c>
      <c r="DC7" s="85" t="s">
        <v>122</v>
      </c>
      <c r="DD7" s="85" t="s">
        <v>122</v>
      </c>
      <c r="DE7" s="85" t="s">
        <v>122</v>
      </c>
      <c r="DF7" s="35"/>
    </row>
    <row r="8" spans="1:155" x14ac:dyDescent="0.35">
      <c r="A8" s="34"/>
      <c r="B8" s="34"/>
      <c r="C8" s="238"/>
      <c r="D8" s="34" t="s">
        <v>1015</v>
      </c>
      <c r="E8" s="34"/>
      <c r="F8" s="34"/>
      <c r="G8" s="34"/>
      <c r="H8" s="34"/>
      <c r="I8" s="34"/>
      <c r="J8" s="34"/>
      <c r="K8" s="34"/>
      <c r="L8" s="34"/>
      <c r="M8" s="88"/>
      <c r="N8" s="34"/>
      <c r="O8" s="34"/>
      <c r="P8" s="34"/>
      <c r="Q8" s="34"/>
      <c r="R8" s="34"/>
      <c r="S8" s="88"/>
      <c r="T8" s="34"/>
      <c r="U8" s="34"/>
      <c r="V8" s="34"/>
      <c r="W8" s="34"/>
      <c r="X8" s="34"/>
      <c r="Y8" s="34"/>
      <c r="Z8" s="34"/>
      <c r="AA8" s="34" t="s">
        <v>1016</v>
      </c>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DF8" s="35"/>
      <c r="EY8" s="10" t="str">
        <f>IF($C8="","",$D8)</f>
        <v/>
      </c>
    </row>
    <row r="9" spans="1:155" x14ac:dyDescent="0.35">
      <c r="C9" s="213"/>
      <c r="E9" s="85" t="s">
        <v>122</v>
      </c>
      <c r="F9" s="85"/>
      <c r="G9" s="85" t="s">
        <v>122</v>
      </c>
      <c r="H9" s="85" t="s">
        <v>122</v>
      </c>
      <c r="I9" s="85" t="s">
        <v>122</v>
      </c>
      <c r="L9" s="85" t="s">
        <v>122</v>
      </c>
      <c r="M9" s="85" t="s">
        <v>122</v>
      </c>
      <c r="N9" s="85" t="s">
        <v>122</v>
      </c>
      <c r="O9" s="85" t="s">
        <v>122</v>
      </c>
      <c r="P9" s="85" t="s">
        <v>122</v>
      </c>
      <c r="Q9" s="85" t="s">
        <v>122</v>
      </c>
      <c r="R9" s="85" t="s">
        <v>122</v>
      </c>
      <c r="U9" s="85" t="s">
        <v>122</v>
      </c>
      <c r="CK9" s="11"/>
      <c r="CM9" s="11"/>
      <c r="DF9" s="11"/>
      <c r="EY9" s="10" t="str">
        <f>IF($C9="","",$D9)</f>
        <v/>
      </c>
    </row>
    <row r="10" spans="1:155" x14ac:dyDescent="0.35">
      <c r="C10" s="211"/>
      <c r="D10" s="246" t="s">
        <v>1017</v>
      </c>
      <c r="E10" s="244"/>
      <c r="F10" s="244"/>
      <c r="G10" s="245"/>
      <c r="H10" s="245"/>
      <c r="I10" s="245"/>
      <c r="J10" s="244"/>
      <c r="K10" s="244"/>
      <c r="L10" s="244"/>
      <c r="M10" s="247"/>
      <c r="N10" s="246" t="s">
        <v>1018</v>
      </c>
      <c r="O10" s="244"/>
      <c r="P10" s="247"/>
      <c r="Q10" s="246" t="s">
        <v>1019</v>
      </c>
      <c r="R10" s="244"/>
      <c r="S10" s="244"/>
      <c r="T10" s="244"/>
      <c r="U10" s="247"/>
      <c r="CK10" s="11"/>
      <c r="CM10" s="11"/>
      <c r="DF10" s="11"/>
      <c r="EY10" s="10" t="str">
        <f>IF($C10="","",$D10)</f>
        <v/>
      </c>
    </row>
    <row r="11" spans="1:155" s="1" customFormat="1" ht="62.5" x14ac:dyDescent="0.35">
      <c r="A11"/>
      <c r="B11"/>
      <c r="C11" s="211"/>
      <c r="D11" s="258" t="s">
        <v>1020</v>
      </c>
      <c r="E11" s="122" t="s">
        <v>1021</v>
      </c>
      <c r="F11" s="122"/>
      <c r="G11" s="122" t="s">
        <v>1022</v>
      </c>
      <c r="H11" s="122" t="s">
        <v>1023</v>
      </c>
      <c r="I11" s="122" t="s">
        <v>1024</v>
      </c>
      <c r="J11" s="122" t="s">
        <v>1025</v>
      </c>
      <c r="K11" s="122" t="s">
        <v>1026</v>
      </c>
      <c r="L11" s="122" t="s">
        <v>1027</v>
      </c>
      <c r="M11" s="122" t="s">
        <v>1028</v>
      </c>
      <c r="N11" s="122" t="s">
        <v>1029</v>
      </c>
      <c r="O11" s="122" t="s">
        <v>1030</v>
      </c>
      <c r="P11" s="122" t="s">
        <v>1031</v>
      </c>
      <c r="Q11" s="122" t="s">
        <v>1032</v>
      </c>
      <c r="R11" s="122" t="s">
        <v>1033</v>
      </c>
      <c r="S11" s="122" t="s">
        <v>1034</v>
      </c>
      <c r="T11" s="122" t="s">
        <v>1035</v>
      </c>
      <c r="U11" s="259" t="s">
        <v>1036</v>
      </c>
      <c r="AA11"/>
      <c r="CK11" s="25"/>
      <c r="CM11" s="25"/>
      <c r="CN11"/>
      <c r="CO11"/>
      <c r="CZ11"/>
      <c r="DA11"/>
      <c r="DB11"/>
      <c r="DC11"/>
      <c r="DD11"/>
      <c r="DE11"/>
      <c r="DF11" s="25"/>
      <c r="EY11" s="10" t="str">
        <f>IF($C11="","",$D11)</f>
        <v/>
      </c>
    </row>
    <row r="12" spans="1:155" x14ac:dyDescent="0.35">
      <c r="C12" s="211"/>
      <c r="D12" s="260" t="s">
        <v>1037</v>
      </c>
      <c r="E12" s="47" t="s">
        <v>757</v>
      </c>
      <c r="F12" s="47" t="s">
        <v>1038</v>
      </c>
      <c r="G12" s="47" t="s">
        <v>802</v>
      </c>
      <c r="H12" s="47" t="s">
        <v>802</v>
      </c>
      <c r="I12" s="47" t="s">
        <v>802</v>
      </c>
      <c r="J12" s="47" t="s">
        <v>1039</v>
      </c>
      <c r="K12" s="47" t="s">
        <v>1039</v>
      </c>
      <c r="L12" s="47" t="s">
        <v>757</v>
      </c>
      <c r="M12" s="47" t="s">
        <v>1040</v>
      </c>
      <c r="N12" s="47" t="s">
        <v>1039</v>
      </c>
      <c r="O12" s="47" t="s">
        <v>802</v>
      </c>
      <c r="P12" s="47" t="s">
        <v>1041</v>
      </c>
      <c r="Q12" s="47" t="s">
        <v>757</v>
      </c>
      <c r="R12" s="48" t="s">
        <v>1039</v>
      </c>
      <c r="S12" s="47"/>
      <c r="T12" s="47"/>
      <c r="U12" s="48" t="s">
        <v>757</v>
      </c>
      <c r="CK12" s="11"/>
      <c r="CM12" s="11"/>
      <c r="DF12" s="11"/>
      <c r="EY12" s="10" t="str">
        <f>IF($C12="","",$D12)</f>
        <v/>
      </c>
    </row>
    <row r="13" spans="1:155" x14ac:dyDescent="0.35">
      <c r="A13" s="220" cm="1">
        <f t="array" aca="1" ref="A13" ca="1">HYPERLINK(CONCATENATE("#",CELL("address",IF(MAX($CM13:$DF13)=0,A13,INDEX($CM13:$DF13,MATCH(1,$CM13:$DF13,0))))),MAX($CM13:$DF13))</f>
        <v>0</v>
      </c>
      <c r="B13" s="138" t="str" cm="1">
        <f t="array" aca="1" ref="B13" ca="1">HYPERLINK(CONCATENATE("#",CELL("address",$D$56)),$D$56)</f>
        <v>Loan 1</v>
      </c>
      <c r="C13" s="211" t="s">
        <v>1042</v>
      </c>
      <c r="D13" s="237"/>
      <c r="E13" s="243"/>
      <c r="F13" s="10" t="str">
        <f>IF(E13&lt;&gt;"",VLOOKUP(E13,Parameters!$D$69:$E$77,2,FALSE),"")</f>
        <v/>
      </c>
      <c r="G13" s="136"/>
      <c r="H13" s="136"/>
      <c r="I13" s="136"/>
      <c r="J13" s="124"/>
      <c r="K13" s="124"/>
      <c r="L13" s="123"/>
      <c r="M13" s="145"/>
      <c r="N13" s="139"/>
      <c r="O13" s="113"/>
      <c r="P13" s="507"/>
      <c r="Q13" s="141"/>
      <c r="R13" s="124"/>
      <c r="S13" s="243"/>
      <c r="T13" s="243"/>
      <c r="U13" s="123"/>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52"/>
      <c r="CK13" s="128"/>
      <c r="CL13" s="1"/>
      <c r="CM13" s="128"/>
      <c r="CP13" s="7">
        <f t="shared" ref="CP13:CP32" si="0">IF($N13="", 0, IF(AND($N13&lt;=$K13, $N13&gt;=$J13, $N13&lt;=$BJ$5,$N13&gt;$V$5), 0, 1))</f>
        <v>0</v>
      </c>
      <c r="CQ13" s="7">
        <f t="shared" ref="CQ13:CQ32" si="1">IF(AND($Q13&lt;&gt;1,COUNTA($R13:$U13)&gt;0),1,)</f>
        <v>0</v>
      </c>
      <c r="CR13" s="7">
        <f t="shared" ref="CR13:CR32" si="2">IF($H13&gt;$G13, 1,0)</f>
        <v>0</v>
      </c>
      <c r="CS13" s="7">
        <f t="shared" ref="CS13:CS32" si="3">IF($K13&lt;$J13, 1,0)</f>
        <v>0</v>
      </c>
      <c r="CT13" s="7">
        <f t="shared" ref="CT13:CT32" si="4">IF(AND($G13&lt;&gt;0, $Q13=""), 1, 0)</f>
        <v>0</v>
      </c>
      <c r="CU13" s="7">
        <f t="shared" ref="CU13:CU32" si="5">IF(AND($L13=1, COUNTA($AA13:$BJ13)&lt;&gt;COUNTA($AA$3:$BJ$3)), 1,0)</f>
        <v>0</v>
      </c>
      <c r="CV13" s="7">
        <f>IF(AND($Q13=1, $R13&lt;'Cover Sheet'!$E$21), 1, 0)</f>
        <v>0</v>
      </c>
      <c r="CW13" s="7">
        <f>IF(OR(IFERROR(MATCH(S13, Parameters!$D$80:$D$84,0),0)=0,IFERROR(MATCH(T13, Parameters!$D$80:$D$84,0),0)=0), 1, 0)*$Q13</f>
        <v>0</v>
      </c>
      <c r="CX13" s="1"/>
      <c r="CY13" s="7" cm="1">
        <f t="array" ref="CY13">SUMPRODUCT(--NOT(ISNUMBER(G13:I13)),--NOT(ISBLANK(G13:I13)))
+SUMPRODUCT(--NOT(ISNUMBER(M13)),--NOT(ISBLANK(M13)))
+SUMPRODUCT(--NOT(ISNUMBER(O13:P13)),--NOT(ISBLANK(O13:P13)))
+SUMPRODUCT(--NOT(ISNUMBER(AA13:BV13)),--NOT(ISBLANK(AA13:BV13)))</f>
        <v>0</v>
      </c>
      <c r="DF13" s="128"/>
      <c r="EY13" s="12" t="str">
        <f t="shared" ref="EY13:EY32" ca="1" si="6">IF($C13="","",$B13)</f>
        <v>Loan 1</v>
      </c>
    </row>
    <row r="14" spans="1:155" x14ac:dyDescent="0.35">
      <c r="A14" s="220" cm="1">
        <f t="array" aca="1" ref="A14" ca="1">HYPERLINK(CONCATENATE("#",CELL("address",IF(MAX($CM14:$DF14)=0,A14,INDEX($CM14:$DF14,MATCH(1,$CM14:$DF14,0))))),MAX($CM14:$DF14))</f>
        <v>0</v>
      </c>
      <c r="B14" s="138" t="str" cm="1">
        <f t="array" aca="1" ref="B14" ca="1">HYPERLINK(CONCATENATE("#",CELL("address",$D$75)),$D$75)</f>
        <v>Loan 2</v>
      </c>
      <c r="C14" s="211" t="s">
        <v>1043</v>
      </c>
      <c r="D14" s="243"/>
      <c r="E14" s="243"/>
      <c r="F14" s="10" t="str">
        <f>IF(E14&lt;&gt;"",VLOOKUP(E14,Parameters!$D$69:$E$77,2,FALSE),"")</f>
        <v/>
      </c>
      <c r="G14" s="114"/>
      <c r="H14" s="114"/>
      <c r="I14" s="136"/>
      <c r="J14" s="124"/>
      <c r="K14" s="139"/>
      <c r="L14" s="123"/>
      <c r="M14" s="145"/>
      <c r="N14" s="139"/>
      <c r="O14" s="114"/>
      <c r="P14" s="507"/>
      <c r="Q14" s="141"/>
      <c r="R14" s="124"/>
      <c r="S14" s="243"/>
      <c r="T14" s="243"/>
      <c r="U14" s="123"/>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52"/>
      <c r="CK14" s="11"/>
      <c r="CM14" s="11"/>
      <c r="CP14" s="7">
        <f t="shared" si="0"/>
        <v>0</v>
      </c>
      <c r="CQ14" s="7">
        <f t="shared" si="1"/>
        <v>0</v>
      </c>
      <c r="CR14" s="7">
        <f t="shared" si="2"/>
        <v>0</v>
      </c>
      <c r="CS14" s="7">
        <f t="shared" si="3"/>
        <v>0</v>
      </c>
      <c r="CT14" s="7">
        <f t="shared" si="4"/>
        <v>0</v>
      </c>
      <c r="CU14" s="7">
        <f t="shared" si="5"/>
        <v>0</v>
      </c>
      <c r="CV14" s="7">
        <f>IF(AND($Q14=1, $R14&lt;'Cover Sheet'!$E$21), 1, 0)</f>
        <v>0</v>
      </c>
      <c r="CW14" s="7">
        <f>IF(OR(IFERROR(MATCH(S14, Parameters!$D$80:$D$84,0),0)=0,IFERROR(MATCH(T14, Parameters!$D$80:$D$84,0),0)=0), 1, 0)*$Q14</f>
        <v>0</v>
      </c>
      <c r="CY14" s="7" cm="1">
        <f t="array" ref="CY14">SUMPRODUCT(--NOT(ISNUMBER(G14:I14)),--NOT(ISBLANK(G14:I14)))
+SUMPRODUCT(--NOT(ISNUMBER(M14)),--NOT(ISBLANK(M14)))
+SUMPRODUCT(--NOT(ISNUMBER(O14:P14)),--NOT(ISBLANK(O14:P14)))
+SUMPRODUCT(--NOT(ISNUMBER(AA14:BV14)),--NOT(ISBLANK(AA14:BV14)))</f>
        <v>0</v>
      </c>
      <c r="DF14" s="11"/>
      <c r="EY14" s="12" t="str">
        <f t="shared" ca="1" si="6"/>
        <v>Loan 2</v>
      </c>
    </row>
    <row r="15" spans="1:155" x14ac:dyDescent="0.35">
      <c r="A15" s="220" cm="1">
        <f t="array" aca="1" ref="A15" ca="1">HYPERLINK(CONCATENATE("#",CELL("address",IF(MAX($CM15:$DF15)=0,A15,INDEX($CM15:$DF15,MATCH(1,$CM15:$DF15,0))))),MAX($CM15:$DF15))</f>
        <v>0</v>
      </c>
      <c r="B15" s="138" t="str" cm="1">
        <f t="array" aca="1" ref="B15" ca="1">HYPERLINK(CONCATENATE("#",CELL("address",$D$94)),$D$94)</f>
        <v>Loan 3</v>
      </c>
      <c r="C15" s="211" t="s">
        <v>1044</v>
      </c>
      <c r="D15" s="243"/>
      <c r="E15" s="243"/>
      <c r="F15" s="10" t="str">
        <f>IF(E15&lt;&gt;"",VLOOKUP(E15,Parameters!$D$69:$E$77,2,FALSE),"")</f>
        <v/>
      </c>
      <c r="G15" s="114"/>
      <c r="H15" s="114"/>
      <c r="I15" s="114"/>
      <c r="J15" s="124"/>
      <c r="K15" s="139"/>
      <c r="L15" s="123"/>
      <c r="M15" s="145"/>
      <c r="N15" s="124"/>
      <c r="O15" s="114"/>
      <c r="P15" s="507"/>
      <c r="Q15" s="141"/>
      <c r="R15" s="124"/>
      <c r="S15" s="243"/>
      <c r="T15" s="243"/>
      <c r="U15" s="123"/>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52"/>
      <c r="CK15" s="11"/>
      <c r="CL15" s="1"/>
      <c r="CM15" s="11"/>
      <c r="CP15" s="7">
        <f t="shared" si="0"/>
        <v>0</v>
      </c>
      <c r="CQ15" s="7">
        <f t="shared" si="1"/>
        <v>0</v>
      </c>
      <c r="CR15" s="7">
        <f t="shared" si="2"/>
        <v>0</v>
      </c>
      <c r="CS15" s="7">
        <f t="shared" si="3"/>
        <v>0</v>
      </c>
      <c r="CT15" s="7">
        <f t="shared" si="4"/>
        <v>0</v>
      </c>
      <c r="CU15" s="7">
        <f t="shared" si="5"/>
        <v>0</v>
      </c>
      <c r="CV15" s="7">
        <f>IF(AND($Q15=1, $R15&lt;'Cover Sheet'!$E$21), 1, 0)</f>
        <v>0</v>
      </c>
      <c r="CW15" s="7">
        <f>IF(OR(IFERROR(MATCH(S15, Parameters!$D$80:$D$84,0),0)=0,IFERROR(MATCH(T15, Parameters!$D$80:$D$84,0),0)=0), 1, 0)*$Q15</f>
        <v>0</v>
      </c>
      <c r="CX15" s="1"/>
      <c r="CY15" s="7" cm="1">
        <f t="array" ref="CY15">SUMPRODUCT(--NOT(ISNUMBER(G15:I15)),--NOT(ISBLANK(G15:I15)))
+SUMPRODUCT(--NOT(ISNUMBER(M15)),--NOT(ISBLANK(M15)))
+SUMPRODUCT(--NOT(ISNUMBER(O15:P15)),--NOT(ISBLANK(O15:P15)))
+SUMPRODUCT(--NOT(ISNUMBER(AA15:BV15)),--NOT(ISBLANK(AA15:BV15)))</f>
        <v>0</v>
      </c>
      <c r="DF15" s="11"/>
      <c r="EY15" s="12" t="str">
        <f t="shared" ca="1" si="6"/>
        <v>Loan 3</v>
      </c>
    </row>
    <row r="16" spans="1:155" x14ac:dyDescent="0.35">
      <c r="A16" s="220" cm="1">
        <f t="array" aca="1" ref="A16" ca="1">HYPERLINK(CONCATENATE("#",CELL("address",IF(MAX($CM16:$DF16)=0,A16,INDEX($CM16:$DF16,MATCH(1,$CM16:$DF16,0))))),MAX($CM16:$DF16))</f>
        <v>0</v>
      </c>
      <c r="B16" s="138" t="str" cm="1">
        <f t="array" aca="1" ref="B16" ca="1">HYPERLINK(CONCATENATE("#",CELL("address",$D$113)),$D$113)</f>
        <v>Loan 4</v>
      </c>
      <c r="C16" s="211" t="s">
        <v>1045</v>
      </c>
      <c r="D16" s="243"/>
      <c r="E16" s="243"/>
      <c r="F16" s="10" t="str">
        <f>IF(E16&lt;&gt;"",VLOOKUP(E16,Parameters!$D$69:$E$77,2,FALSE),"")</f>
        <v/>
      </c>
      <c r="G16" s="114"/>
      <c r="H16" s="114"/>
      <c r="I16" s="114"/>
      <c r="J16" s="124"/>
      <c r="K16" s="139"/>
      <c r="L16" s="123"/>
      <c r="M16" s="145"/>
      <c r="N16" s="110"/>
      <c r="O16" s="114"/>
      <c r="P16" s="507"/>
      <c r="Q16" s="141"/>
      <c r="R16" s="124"/>
      <c r="S16" s="243"/>
      <c r="T16" s="243"/>
      <c r="U16" s="123"/>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52"/>
      <c r="CK16" s="11"/>
      <c r="CM16" s="11"/>
      <c r="CP16" s="7">
        <f t="shared" si="0"/>
        <v>0</v>
      </c>
      <c r="CQ16" s="7">
        <f t="shared" si="1"/>
        <v>0</v>
      </c>
      <c r="CR16" s="7">
        <f t="shared" si="2"/>
        <v>0</v>
      </c>
      <c r="CS16" s="7">
        <f t="shared" si="3"/>
        <v>0</v>
      </c>
      <c r="CT16" s="7">
        <f t="shared" si="4"/>
        <v>0</v>
      </c>
      <c r="CU16" s="7">
        <f t="shared" si="5"/>
        <v>0</v>
      </c>
      <c r="CV16" s="7">
        <f>IF(AND($Q16=1, $R16&lt;'Cover Sheet'!$E$21), 1, 0)</f>
        <v>0</v>
      </c>
      <c r="CW16" s="7">
        <f>IF(OR(IFERROR(MATCH(S16, Parameters!$D$80:$D$84,0),0)=0,IFERROR(MATCH(T16, Parameters!$D$80:$D$84,0),0)=0), 1, 0)*$Q16</f>
        <v>0</v>
      </c>
      <c r="CY16" s="7" cm="1">
        <f t="array" ref="CY16">SUMPRODUCT(--NOT(ISNUMBER(G16:I16)),--NOT(ISBLANK(G16:I16)))
+SUMPRODUCT(--NOT(ISNUMBER(M16)),--NOT(ISBLANK(M16)))
+SUMPRODUCT(--NOT(ISNUMBER(O16:P16)),--NOT(ISBLANK(O16:P16)))
+SUMPRODUCT(--NOT(ISNUMBER(AA16:BV16)),--NOT(ISBLANK(AA16:BV16)))</f>
        <v>0</v>
      </c>
      <c r="DF16" s="11"/>
      <c r="EY16" s="12" t="str">
        <f t="shared" ca="1" si="6"/>
        <v>Loan 4</v>
      </c>
    </row>
    <row r="17" spans="1:155" x14ac:dyDescent="0.35">
      <c r="A17" s="220" cm="1">
        <f t="array" aca="1" ref="A17" ca="1">HYPERLINK(CONCATENATE("#",CELL("address",IF(MAX($CM17:$DF17)=0,A17,INDEX($CM17:$DF17,MATCH(1,$CM17:$DF17,0))))),MAX($CM17:$DF17))</f>
        <v>0</v>
      </c>
      <c r="B17" s="138" t="str" cm="1">
        <f t="array" aca="1" ref="B17" ca="1">HYPERLINK(CONCATENATE("#",CELL("address",$D$132)),$D$132)</f>
        <v>Loan 5</v>
      </c>
      <c r="C17" s="211" t="s">
        <v>1046</v>
      </c>
      <c r="D17" s="243"/>
      <c r="E17" s="243"/>
      <c r="F17" s="10" t="str">
        <f>IF(E17&lt;&gt;"",VLOOKUP(E17,Parameters!$D$69:$E$77,2,FALSE),"")</f>
        <v/>
      </c>
      <c r="G17" s="114"/>
      <c r="H17" s="114"/>
      <c r="I17" s="114"/>
      <c r="J17" s="124"/>
      <c r="K17" s="139"/>
      <c r="L17" s="123"/>
      <c r="M17" s="145"/>
      <c r="N17" s="110"/>
      <c r="O17" s="114"/>
      <c r="P17" s="507"/>
      <c r="Q17" s="141"/>
      <c r="R17" s="124"/>
      <c r="S17" s="243"/>
      <c r="T17" s="243"/>
      <c r="U17" s="123"/>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52"/>
      <c r="CK17" s="11"/>
      <c r="CL17" s="1"/>
      <c r="CM17" s="11"/>
      <c r="CP17" s="7">
        <f t="shared" si="0"/>
        <v>0</v>
      </c>
      <c r="CQ17" s="7">
        <f t="shared" si="1"/>
        <v>0</v>
      </c>
      <c r="CR17" s="7">
        <f t="shared" si="2"/>
        <v>0</v>
      </c>
      <c r="CS17" s="7">
        <f t="shared" si="3"/>
        <v>0</v>
      </c>
      <c r="CT17" s="7">
        <f t="shared" si="4"/>
        <v>0</v>
      </c>
      <c r="CU17" s="7">
        <f t="shared" si="5"/>
        <v>0</v>
      </c>
      <c r="CV17" s="7">
        <f>IF(AND($Q17=1, $R17&lt;'Cover Sheet'!$E$21), 1, 0)</f>
        <v>0</v>
      </c>
      <c r="CW17" s="7">
        <f>IF(OR(IFERROR(MATCH(S17, Parameters!$D$80:$D$84,0),0)=0,IFERROR(MATCH(T17, Parameters!$D$80:$D$84,0),0)=0), 1, 0)*$Q17</f>
        <v>0</v>
      </c>
      <c r="CX17" s="1"/>
      <c r="CY17" s="7" cm="1">
        <f t="array" ref="CY17">SUMPRODUCT(--NOT(ISNUMBER(G17:I17)),--NOT(ISBLANK(G17:I17)))
+SUMPRODUCT(--NOT(ISNUMBER(M17)),--NOT(ISBLANK(M17)))
+SUMPRODUCT(--NOT(ISNUMBER(O17:P17)),--NOT(ISBLANK(O17:P17)))
+SUMPRODUCT(--NOT(ISNUMBER(AA17:BV17)),--NOT(ISBLANK(AA17:BV17)))</f>
        <v>0</v>
      </c>
      <c r="DF17" s="11"/>
      <c r="EY17" s="12" t="str">
        <f t="shared" ca="1" si="6"/>
        <v>Loan 5</v>
      </c>
    </row>
    <row r="18" spans="1:155" x14ac:dyDescent="0.35">
      <c r="A18" s="220" cm="1">
        <f t="array" aca="1" ref="A18" ca="1">HYPERLINK(CONCATENATE("#",CELL("address",IF(MAX($CM18:$DF18)=0,A18,INDEX($CM18:$DF18,MATCH(1,$CM18:$DF18,0))))),MAX($CM18:$DF18))</f>
        <v>0</v>
      </c>
      <c r="B18" s="138" t="str" cm="1">
        <f t="array" aca="1" ref="B18" ca="1">HYPERLINK(CONCATENATE("#",CELL("address",$D$151)),$D$151)</f>
        <v>Loan 6</v>
      </c>
      <c r="C18" s="211" t="s">
        <v>1047</v>
      </c>
      <c r="D18" s="243"/>
      <c r="E18" s="243"/>
      <c r="F18" s="10" t="str">
        <f>IF(E18&lt;&gt;"",VLOOKUP(E18,Parameters!$D$69:$E$77,2,FALSE),"")</f>
        <v/>
      </c>
      <c r="G18" s="114"/>
      <c r="H18" s="114"/>
      <c r="I18" s="114"/>
      <c r="J18" s="124"/>
      <c r="K18" s="139"/>
      <c r="L18" s="123"/>
      <c r="M18" s="145"/>
      <c r="N18" s="110"/>
      <c r="O18" s="114"/>
      <c r="P18" s="507"/>
      <c r="Q18" s="141"/>
      <c r="R18" s="124"/>
      <c r="S18" s="243"/>
      <c r="T18" s="243"/>
      <c r="U18" s="123"/>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52"/>
      <c r="CK18" s="11"/>
      <c r="CM18" s="11"/>
      <c r="CP18" s="7">
        <f t="shared" si="0"/>
        <v>0</v>
      </c>
      <c r="CQ18" s="7">
        <f t="shared" si="1"/>
        <v>0</v>
      </c>
      <c r="CR18" s="7">
        <f t="shared" si="2"/>
        <v>0</v>
      </c>
      <c r="CS18" s="7">
        <f t="shared" si="3"/>
        <v>0</v>
      </c>
      <c r="CT18" s="7">
        <f t="shared" si="4"/>
        <v>0</v>
      </c>
      <c r="CU18" s="7">
        <f t="shared" si="5"/>
        <v>0</v>
      </c>
      <c r="CV18" s="7">
        <f>IF(AND($Q18=1, $R18&lt;'Cover Sheet'!$E$21), 1, 0)</f>
        <v>0</v>
      </c>
      <c r="CW18" s="7">
        <f>IF(OR(IFERROR(MATCH(S18, Parameters!$D$80:$D$84,0),0)=0,IFERROR(MATCH(T18, Parameters!$D$80:$D$84,0),0)=0), 1, 0)*$Q18</f>
        <v>0</v>
      </c>
      <c r="CY18" s="7" cm="1">
        <f t="array" ref="CY18">SUMPRODUCT(--NOT(ISNUMBER(G18:I18)),--NOT(ISBLANK(G18:I18)))
+SUMPRODUCT(--NOT(ISNUMBER(M18)),--NOT(ISBLANK(M18)))
+SUMPRODUCT(--NOT(ISNUMBER(O18:P18)),--NOT(ISBLANK(O18:P18)))
+SUMPRODUCT(--NOT(ISNUMBER(AA18:BV18)),--NOT(ISBLANK(AA18:BV18)))</f>
        <v>0</v>
      </c>
      <c r="DF18" s="11"/>
      <c r="EY18" s="12" t="str">
        <f t="shared" ca="1" si="6"/>
        <v>Loan 6</v>
      </c>
    </row>
    <row r="19" spans="1:155" x14ac:dyDescent="0.35">
      <c r="A19" s="220" cm="1">
        <f t="array" aca="1" ref="A19" ca="1">HYPERLINK(CONCATENATE("#",CELL("address",IF(MAX($CM19:$DF19)=0,A19,INDEX($CM19:$DF19,MATCH(1,$CM19:$DF19,0))))),MAX($CM19:$DF19))</f>
        <v>0</v>
      </c>
      <c r="B19" s="138" t="str" cm="1">
        <f t="array" aca="1" ref="B19" ca="1">HYPERLINK(CONCATENATE("#",CELL("address",$D$170)),$D$170)</f>
        <v>Loan 7</v>
      </c>
      <c r="C19" s="211" t="s">
        <v>1048</v>
      </c>
      <c r="D19" s="243"/>
      <c r="E19" s="243"/>
      <c r="F19" s="10" t="str">
        <f>IF(E19&lt;&gt;"",VLOOKUP(E19,Parameters!$D$69:$E$77,2,FALSE),"")</f>
        <v/>
      </c>
      <c r="G19" s="114"/>
      <c r="H19" s="114"/>
      <c r="I19" s="114"/>
      <c r="J19" s="124"/>
      <c r="K19" s="139"/>
      <c r="L19" s="123"/>
      <c r="M19" s="145"/>
      <c r="N19" s="110"/>
      <c r="O19" s="114"/>
      <c r="P19" s="507"/>
      <c r="Q19" s="141"/>
      <c r="R19" s="124"/>
      <c r="S19" s="243"/>
      <c r="T19" s="243"/>
      <c r="U19" s="123"/>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52"/>
      <c r="CK19" s="11"/>
      <c r="CL19" s="1"/>
      <c r="CM19" s="11"/>
      <c r="CP19" s="7">
        <f t="shared" si="0"/>
        <v>0</v>
      </c>
      <c r="CQ19" s="7">
        <f t="shared" si="1"/>
        <v>0</v>
      </c>
      <c r="CR19" s="7">
        <f t="shared" si="2"/>
        <v>0</v>
      </c>
      <c r="CS19" s="7">
        <f t="shared" si="3"/>
        <v>0</v>
      </c>
      <c r="CT19" s="7">
        <f t="shared" si="4"/>
        <v>0</v>
      </c>
      <c r="CU19" s="7">
        <f t="shared" si="5"/>
        <v>0</v>
      </c>
      <c r="CV19" s="7">
        <f>IF(AND($Q19=1, $R19&lt;'Cover Sheet'!$E$21), 1, 0)</f>
        <v>0</v>
      </c>
      <c r="CW19" s="7">
        <f>IF(OR(IFERROR(MATCH(S19, Parameters!$D$80:$D$84,0),0)=0,IFERROR(MATCH(T19, Parameters!$D$80:$D$84,0),0)=0), 1, 0)*$Q19</f>
        <v>0</v>
      </c>
      <c r="CX19" s="1"/>
      <c r="CY19" s="7" cm="1">
        <f t="array" ref="CY19">SUMPRODUCT(--NOT(ISNUMBER(G19:I19)),--NOT(ISBLANK(G19:I19)))
+SUMPRODUCT(--NOT(ISNUMBER(M19)),--NOT(ISBLANK(M19)))
+SUMPRODUCT(--NOT(ISNUMBER(O19:P19)),--NOT(ISBLANK(O19:P19)))
+SUMPRODUCT(--NOT(ISNUMBER(AA19:BV19)),--NOT(ISBLANK(AA19:BV19)))</f>
        <v>0</v>
      </c>
      <c r="DF19" s="11"/>
      <c r="EY19" s="12" t="str">
        <f t="shared" ca="1" si="6"/>
        <v>Loan 7</v>
      </c>
    </row>
    <row r="20" spans="1:155" x14ac:dyDescent="0.35">
      <c r="A20" s="220" cm="1">
        <f t="array" aca="1" ref="A20" ca="1">HYPERLINK(CONCATENATE("#",CELL("address",IF(MAX($CM20:$DF20)=0,A20,INDEX($CM20:$DF20,MATCH(1,$CM20:$DF20,0))))),MAX($CM20:$DF20))</f>
        <v>0</v>
      </c>
      <c r="B20" s="138" t="str" cm="1">
        <f t="array" aca="1" ref="B20" ca="1">HYPERLINK(CONCATENATE("#",CELL("address",$D$189)),$D$189)</f>
        <v>Loan 8</v>
      </c>
      <c r="C20" s="211" t="s">
        <v>1049</v>
      </c>
      <c r="D20" s="243"/>
      <c r="E20" s="243"/>
      <c r="F20" s="10" t="str">
        <f>IF(E20&lt;&gt;"",VLOOKUP(E20,Parameters!$D$69:$E$77,2,FALSE),"")</f>
        <v/>
      </c>
      <c r="G20" s="114"/>
      <c r="H20" s="114"/>
      <c r="I20" s="114"/>
      <c r="J20" s="124"/>
      <c r="K20" s="139"/>
      <c r="L20" s="123"/>
      <c r="M20" s="145"/>
      <c r="N20" s="110"/>
      <c r="O20" s="114"/>
      <c r="P20" s="507"/>
      <c r="Q20" s="141"/>
      <c r="R20" s="124"/>
      <c r="S20" s="243"/>
      <c r="T20" s="243"/>
      <c r="U20" s="123"/>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52"/>
      <c r="CK20" s="11"/>
      <c r="CM20" s="11"/>
      <c r="CP20" s="7">
        <f t="shared" si="0"/>
        <v>0</v>
      </c>
      <c r="CQ20" s="7">
        <f t="shared" si="1"/>
        <v>0</v>
      </c>
      <c r="CR20" s="7">
        <f t="shared" si="2"/>
        <v>0</v>
      </c>
      <c r="CS20" s="7">
        <f t="shared" si="3"/>
        <v>0</v>
      </c>
      <c r="CT20" s="7">
        <f t="shared" si="4"/>
        <v>0</v>
      </c>
      <c r="CU20" s="7">
        <f t="shared" si="5"/>
        <v>0</v>
      </c>
      <c r="CV20" s="7">
        <f>IF(AND($Q20=1, $R20&lt;'Cover Sheet'!$E$21), 1, 0)</f>
        <v>0</v>
      </c>
      <c r="CW20" s="7">
        <f>IF(OR(IFERROR(MATCH(S20, Parameters!$D$80:$D$84,0),0)=0,IFERROR(MATCH(T20, Parameters!$D$80:$D$84,0),0)=0), 1, 0)*$Q20</f>
        <v>0</v>
      </c>
      <c r="CY20" s="7" cm="1">
        <f t="array" ref="CY20">SUMPRODUCT(--NOT(ISNUMBER(G20:I20)),--NOT(ISBLANK(G20:I20)))
+SUMPRODUCT(--NOT(ISNUMBER(M20)),--NOT(ISBLANK(M20)))
+SUMPRODUCT(--NOT(ISNUMBER(O20:P20)),--NOT(ISBLANK(O20:P20)))
+SUMPRODUCT(--NOT(ISNUMBER(AA20:BV20)),--NOT(ISBLANK(AA20:BV20)))</f>
        <v>0</v>
      </c>
      <c r="DF20" s="11"/>
      <c r="EY20" s="12" t="str">
        <f t="shared" ca="1" si="6"/>
        <v>Loan 8</v>
      </c>
    </row>
    <row r="21" spans="1:155" x14ac:dyDescent="0.35">
      <c r="A21" s="220" cm="1">
        <f t="array" aca="1" ref="A21" ca="1">HYPERLINK(CONCATENATE("#",CELL("address",IF(MAX($CM21:$DF21)=0,A21,INDEX($CM21:$DF21,MATCH(1,$CM21:$DF21,0))))),MAX($CM21:$DF21))</f>
        <v>0</v>
      </c>
      <c r="B21" s="138" t="str" cm="1">
        <f t="array" aca="1" ref="B21" ca="1">HYPERLINK(CONCATENATE("#",CELL("address",$D$208)),$D$208)</f>
        <v>Loan 9</v>
      </c>
      <c r="C21" s="211" t="s">
        <v>1050</v>
      </c>
      <c r="D21" s="243"/>
      <c r="E21" s="243"/>
      <c r="F21" s="10" t="str">
        <f>IF(E21&lt;&gt;"",VLOOKUP(E21,Parameters!$D$69:$E$77,2,FALSE),"")</f>
        <v/>
      </c>
      <c r="G21" s="114"/>
      <c r="H21" s="114"/>
      <c r="I21" s="114"/>
      <c r="J21" s="124"/>
      <c r="K21" s="139"/>
      <c r="L21" s="123"/>
      <c r="M21" s="145"/>
      <c r="N21" s="110"/>
      <c r="O21" s="114"/>
      <c r="P21" s="507"/>
      <c r="Q21" s="141"/>
      <c r="R21" s="124"/>
      <c r="S21" s="243"/>
      <c r="T21" s="243"/>
      <c r="U21" s="123"/>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52"/>
      <c r="CK21" s="11"/>
      <c r="CL21" s="1"/>
      <c r="CM21" s="11"/>
      <c r="CP21" s="7">
        <f t="shared" si="0"/>
        <v>0</v>
      </c>
      <c r="CQ21" s="7">
        <f t="shared" si="1"/>
        <v>0</v>
      </c>
      <c r="CR21" s="7">
        <f t="shared" si="2"/>
        <v>0</v>
      </c>
      <c r="CS21" s="7">
        <f t="shared" si="3"/>
        <v>0</v>
      </c>
      <c r="CT21" s="7">
        <f t="shared" si="4"/>
        <v>0</v>
      </c>
      <c r="CU21" s="7">
        <f t="shared" si="5"/>
        <v>0</v>
      </c>
      <c r="CV21" s="7">
        <f>IF(AND($Q21=1, $R21&lt;'Cover Sheet'!$E$21), 1, 0)</f>
        <v>0</v>
      </c>
      <c r="CW21" s="7">
        <f>IF(OR(IFERROR(MATCH(S21, Parameters!$D$80:$D$84,0),0)=0,IFERROR(MATCH(T21, Parameters!$D$80:$D$84,0),0)=0), 1, 0)*$Q21</f>
        <v>0</v>
      </c>
      <c r="CX21" s="1"/>
      <c r="CY21" s="7" cm="1">
        <f t="array" ref="CY21">SUMPRODUCT(--NOT(ISNUMBER(G21:I21)),--NOT(ISBLANK(G21:I21)))
+SUMPRODUCT(--NOT(ISNUMBER(M21)),--NOT(ISBLANK(M21)))
+SUMPRODUCT(--NOT(ISNUMBER(O21:P21)),--NOT(ISBLANK(O21:P21)))
+SUMPRODUCT(--NOT(ISNUMBER(AA21:BV21)),--NOT(ISBLANK(AA21:BV21)))</f>
        <v>0</v>
      </c>
      <c r="DF21" s="11"/>
      <c r="EY21" s="12" t="str">
        <f t="shared" ca="1" si="6"/>
        <v>Loan 9</v>
      </c>
    </row>
    <row r="22" spans="1:155" x14ac:dyDescent="0.35">
      <c r="A22" s="220" cm="1">
        <f t="array" aca="1" ref="A22" ca="1">HYPERLINK(CONCATENATE("#",CELL("address",IF(MAX($CM22:$DF22)=0,A22,INDEX($CM22:$DF22,MATCH(1,$CM22:$DF22,0))))),MAX($CM22:$DF22))</f>
        <v>0</v>
      </c>
      <c r="B22" s="138" t="str" cm="1">
        <f t="array" aca="1" ref="B22" ca="1">HYPERLINK(CONCATENATE("#",CELL("address",$D$227)),$D$227)</f>
        <v>Loan 10</v>
      </c>
      <c r="C22" s="211" t="s">
        <v>1051</v>
      </c>
      <c r="D22" s="243"/>
      <c r="E22" s="243"/>
      <c r="F22" s="10" t="str">
        <f>IF(E22&lt;&gt;"",VLOOKUP(E22,Parameters!$D$69:$E$77,2,FALSE),"")</f>
        <v/>
      </c>
      <c r="G22" s="114"/>
      <c r="H22" s="114"/>
      <c r="I22" s="114"/>
      <c r="J22" s="124"/>
      <c r="K22" s="139"/>
      <c r="L22" s="123"/>
      <c r="M22" s="145"/>
      <c r="N22" s="110"/>
      <c r="O22" s="114"/>
      <c r="P22" s="507"/>
      <c r="Q22" s="141"/>
      <c r="R22" s="124"/>
      <c r="S22" s="243"/>
      <c r="T22" s="243"/>
      <c r="U22" s="123"/>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52"/>
      <c r="CK22" s="11"/>
      <c r="CM22" s="11"/>
      <c r="CP22" s="7">
        <f t="shared" si="0"/>
        <v>0</v>
      </c>
      <c r="CQ22" s="7">
        <f t="shared" si="1"/>
        <v>0</v>
      </c>
      <c r="CR22" s="7">
        <f t="shared" si="2"/>
        <v>0</v>
      </c>
      <c r="CS22" s="7">
        <f t="shared" si="3"/>
        <v>0</v>
      </c>
      <c r="CT22" s="7">
        <f t="shared" si="4"/>
        <v>0</v>
      </c>
      <c r="CU22" s="7">
        <f t="shared" si="5"/>
        <v>0</v>
      </c>
      <c r="CV22" s="7">
        <f>IF(AND($Q22=1, $R22&lt;'Cover Sheet'!$E$21), 1, 0)</f>
        <v>0</v>
      </c>
      <c r="CW22" s="7">
        <f>IF(OR(IFERROR(MATCH(S22, Parameters!$D$80:$D$84,0),0)=0,IFERROR(MATCH(T22, Parameters!$D$80:$D$84,0),0)=0), 1, 0)*$Q22</f>
        <v>0</v>
      </c>
      <c r="CY22" s="7" cm="1">
        <f t="array" ref="CY22">SUMPRODUCT(--NOT(ISNUMBER(G22:I22)),--NOT(ISBLANK(G22:I22)))
+SUMPRODUCT(--NOT(ISNUMBER(M22)),--NOT(ISBLANK(M22)))
+SUMPRODUCT(--NOT(ISNUMBER(O22:P22)),--NOT(ISBLANK(O22:P22)))
+SUMPRODUCT(--NOT(ISNUMBER(AA22:BV22)),--NOT(ISBLANK(AA22:BV22)))</f>
        <v>0</v>
      </c>
      <c r="DF22" s="11"/>
      <c r="EY22" s="12" t="str">
        <f t="shared" ca="1" si="6"/>
        <v>Loan 10</v>
      </c>
    </row>
    <row r="23" spans="1:155" x14ac:dyDescent="0.35">
      <c r="A23" s="220" cm="1">
        <f t="array" aca="1" ref="A23" ca="1">HYPERLINK(CONCATENATE("#",CELL("address",IF(MAX($CM23:$DF23)=0,A23,INDEX($CM23:$DF23,MATCH(1,$CM23:$DF23,0))))),MAX($CM23:$DF23))</f>
        <v>0</v>
      </c>
      <c r="B23" s="138" t="str" cm="1">
        <f t="array" aca="1" ref="B23" ca="1">HYPERLINK(CONCATENATE("#",CELL("address",$D$246)),$D$246)</f>
        <v>Loan 11</v>
      </c>
      <c r="C23" s="211" t="s">
        <v>1052</v>
      </c>
      <c r="D23" s="243"/>
      <c r="E23" s="243"/>
      <c r="F23" s="10" t="str">
        <f>IF(E23&lt;&gt;"",VLOOKUP(E23,Parameters!$D$69:$E$77,2,FALSE),"")</f>
        <v/>
      </c>
      <c r="G23" s="114"/>
      <c r="H23" s="114"/>
      <c r="I23" s="114"/>
      <c r="J23" s="124"/>
      <c r="K23" s="139"/>
      <c r="L23" s="123"/>
      <c r="M23" s="145"/>
      <c r="N23" s="110"/>
      <c r="O23" s="114"/>
      <c r="P23" s="507"/>
      <c r="Q23" s="141"/>
      <c r="R23" s="124"/>
      <c r="S23" s="243"/>
      <c r="T23" s="243"/>
      <c r="U23" s="123"/>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52"/>
      <c r="CK23" s="11"/>
      <c r="CL23" s="1"/>
      <c r="CM23" s="11"/>
      <c r="CP23" s="7">
        <f t="shared" si="0"/>
        <v>0</v>
      </c>
      <c r="CQ23" s="7">
        <f t="shared" si="1"/>
        <v>0</v>
      </c>
      <c r="CR23" s="7">
        <f t="shared" si="2"/>
        <v>0</v>
      </c>
      <c r="CS23" s="7">
        <f t="shared" si="3"/>
        <v>0</v>
      </c>
      <c r="CT23" s="7">
        <f t="shared" si="4"/>
        <v>0</v>
      </c>
      <c r="CU23" s="7">
        <f t="shared" si="5"/>
        <v>0</v>
      </c>
      <c r="CV23" s="7">
        <f>IF(AND($Q23=1, $R23&lt;'Cover Sheet'!$E$21), 1, 0)</f>
        <v>0</v>
      </c>
      <c r="CW23" s="7">
        <f>IF(OR(IFERROR(MATCH(S23, Parameters!$D$80:$D$84,0),0)=0,IFERROR(MATCH(T23, Parameters!$D$80:$D$84,0),0)=0), 1, 0)*$Q23</f>
        <v>0</v>
      </c>
      <c r="CX23" s="1"/>
      <c r="CY23" s="7" cm="1">
        <f t="array" ref="CY23">SUMPRODUCT(--NOT(ISNUMBER(G23:I23)),--NOT(ISBLANK(G23:I23)))
+SUMPRODUCT(--NOT(ISNUMBER(M23)),--NOT(ISBLANK(M23)))
+SUMPRODUCT(--NOT(ISNUMBER(O23:P23)),--NOT(ISBLANK(O23:P23)))
+SUMPRODUCT(--NOT(ISNUMBER(AA23:BV23)),--NOT(ISBLANK(AA23:BV23)))</f>
        <v>0</v>
      </c>
      <c r="DF23" s="11"/>
      <c r="EY23" s="12" t="str">
        <f t="shared" ca="1" si="6"/>
        <v>Loan 11</v>
      </c>
    </row>
    <row r="24" spans="1:155" x14ac:dyDescent="0.35">
      <c r="A24" s="220" cm="1">
        <f t="array" aca="1" ref="A24" ca="1">HYPERLINK(CONCATENATE("#",CELL("address",IF(MAX($CM24:$DF24)=0,A24,INDEX($CM24:$DF24,MATCH(1,$CM24:$DF24,0))))),MAX($CM24:$DF24))</f>
        <v>0</v>
      </c>
      <c r="B24" s="138" t="str" cm="1">
        <f t="array" aca="1" ref="B24" ca="1">HYPERLINK(CONCATENATE("#",CELL("address",$D$265)),$D$265)</f>
        <v>Loan 12</v>
      </c>
      <c r="C24" s="211" t="s">
        <v>1053</v>
      </c>
      <c r="D24" s="243"/>
      <c r="E24" s="243"/>
      <c r="F24" s="10" t="str">
        <f>IF(E24&lt;&gt;"",VLOOKUP(E24,Parameters!$D$69:$E$77,2,FALSE),"")</f>
        <v/>
      </c>
      <c r="G24" s="114"/>
      <c r="H24" s="114"/>
      <c r="I24" s="114"/>
      <c r="J24" s="124"/>
      <c r="K24" s="139"/>
      <c r="L24" s="123"/>
      <c r="M24" s="145"/>
      <c r="N24" s="110"/>
      <c r="O24" s="114"/>
      <c r="P24" s="507"/>
      <c r="Q24" s="141"/>
      <c r="R24" s="124"/>
      <c r="S24" s="243"/>
      <c r="T24" s="243"/>
      <c r="U24" s="123"/>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52"/>
      <c r="CK24" s="11"/>
      <c r="CM24" s="11"/>
      <c r="CP24" s="7">
        <f t="shared" si="0"/>
        <v>0</v>
      </c>
      <c r="CQ24" s="7">
        <f t="shared" si="1"/>
        <v>0</v>
      </c>
      <c r="CR24" s="7">
        <f t="shared" si="2"/>
        <v>0</v>
      </c>
      <c r="CS24" s="7">
        <f t="shared" si="3"/>
        <v>0</v>
      </c>
      <c r="CT24" s="7">
        <f t="shared" si="4"/>
        <v>0</v>
      </c>
      <c r="CU24" s="7">
        <f t="shared" si="5"/>
        <v>0</v>
      </c>
      <c r="CV24" s="7">
        <f>IF(AND($Q24=1, $R24&lt;'Cover Sheet'!$E$21), 1, 0)</f>
        <v>0</v>
      </c>
      <c r="CW24" s="7">
        <f>IF(OR(IFERROR(MATCH(S24, Parameters!$D$80:$D$84,0),0)=0,IFERROR(MATCH(T24, Parameters!$D$80:$D$84,0),0)=0), 1, 0)*$Q24</f>
        <v>0</v>
      </c>
      <c r="CY24" s="7" cm="1">
        <f t="array" ref="CY24">SUMPRODUCT(--NOT(ISNUMBER(G24:I24)),--NOT(ISBLANK(G24:I24)))
+SUMPRODUCT(--NOT(ISNUMBER(M24)),--NOT(ISBLANK(M24)))
+SUMPRODUCT(--NOT(ISNUMBER(O24:P24)),--NOT(ISBLANK(O24:P24)))
+SUMPRODUCT(--NOT(ISNUMBER(AA24:BV24)),--NOT(ISBLANK(AA24:BV24)))</f>
        <v>0</v>
      </c>
      <c r="DF24" s="11"/>
      <c r="EY24" s="12" t="str">
        <f t="shared" ca="1" si="6"/>
        <v>Loan 12</v>
      </c>
    </row>
    <row r="25" spans="1:155" x14ac:dyDescent="0.35">
      <c r="A25" s="220" cm="1">
        <f t="array" aca="1" ref="A25" ca="1">HYPERLINK(CONCATENATE("#",CELL("address",IF(MAX($CM25:$DF25)=0,A25,INDEX($CM25:$DF25,MATCH(1,$CM25:$DF25,0))))),MAX($CM25:$DF25))</f>
        <v>0</v>
      </c>
      <c r="B25" s="138" t="str" cm="1">
        <f t="array" aca="1" ref="B25" ca="1">HYPERLINK(CONCATENATE("#",CELL("address",$D$284)),$D$284)</f>
        <v>Loan 13</v>
      </c>
      <c r="C25" s="211" t="s">
        <v>1054</v>
      </c>
      <c r="D25" s="243"/>
      <c r="E25" s="243"/>
      <c r="F25" s="10" t="str">
        <f>IF(E25&lt;&gt;"",VLOOKUP(E25,Parameters!$D$69:$E$77,2,FALSE),"")</f>
        <v/>
      </c>
      <c r="G25" s="114"/>
      <c r="H25" s="114"/>
      <c r="I25" s="114"/>
      <c r="J25" s="124"/>
      <c r="K25" s="139"/>
      <c r="L25" s="123"/>
      <c r="M25" s="145"/>
      <c r="N25" s="110"/>
      <c r="O25" s="114"/>
      <c r="P25" s="507"/>
      <c r="Q25" s="141"/>
      <c r="R25" s="124"/>
      <c r="S25" s="243"/>
      <c r="T25" s="243"/>
      <c r="U25" s="123"/>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52"/>
      <c r="CK25" s="11"/>
      <c r="CL25" s="1"/>
      <c r="CM25" s="11"/>
      <c r="CP25" s="7">
        <f t="shared" si="0"/>
        <v>0</v>
      </c>
      <c r="CQ25" s="7">
        <f t="shared" si="1"/>
        <v>0</v>
      </c>
      <c r="CR25" s="7">
        <f t="shared" si="2"/>
        <v>0</v>
      </c>
      <c r="CS25" s="7">
        <f t="shared" si="3"/>
        <v>0</v>
      </c>
      <c r="CT25" s="7">
        <f t="shared" si="4"/>
        <v>0</v>
      </c>
      <c r="CU25" s="7">
        <f t="shared" si="5"/>
        <v>0</v>
      </c>
      <c r="CV25" s="7">
        <f>IF(AND($Q25=1, $R25&lt;'Cover Sheet'!$E$21), 1, 0)</f>
        <v>0</v>
      </c>
      <c r="CW25" s="7">
        <f>IF(OR(IFERROR(MATCH(S25, Parameters!$D$80:$D$84,0),0)=0,IFERROR(MATCH(T25, Parameters!$D$80:$D$84,0),0)=0), 1, 0)*$Q25</f>
        <v>0</v>
      </c>
      <c r="CX25" s="1"/>
      <c r="CY25" s="7" cm="1">
        <f t="array" ref="CY25">SUMPRODUCT(--NOT(ISNUMBER(G25:I25)),--NOT(ISBLANK(G25:I25)))
+SUMPRODUCT(--NOT(ISNUMBER(M25)),--NOT(ISBLANK(M25)))
+SUMPRODUCT(--NOT(ISNUMBER(O25:P25)),--NOT(ISBLANK(O25:P25)))
+SUMPRODUCT(--NOT(ISNUMBER(AA25:BV25)),--NOT(ISBLANK(AA25:BV25)))</f>
        <v>0</v>
      </c>
      <c r="DF25" s="11"/>
      <c r="EY25" s="12" t="str">
        <f t="shared" ca="1" si="6"/>
        <v>Loan 13</v>
      </c>
    </row>
    <row r="26" spans="1:155" x14ac:dyDescent="0.35">
      <c r="A26" s="220" cm="1">
        <f t="array" aca="1" ref="A26" ca="1">HYPERLINK(CONCATENATE("#",CELL("address",IF(MAX($CM26:$DF26)=0,A26,INDEX($CM26:$DF26,MATCH(1,$CM26:$DF26,0))))),MAX($CM26:$DF26))</f>
        <v>0</v>
      </c>
      <c r="B26" s="138" t="str" cm="1">
        <f t="array" aca="1" ref="B26" ca="1">HYPERLINK(CONCATENATE("#",CELL("address",$D$303)),$D$303)</f>
        <v>Loan 14</v>
      </c>
      <c r="C26" s="211" t="s">
        <v>1055</v>
      </c>
      <c r="D26" s="243"/>
      <c r="E26" s="243"/>
      <c r="F26" s="10" t="str">
        <f>IF(E26&lt;&gt;"",VLOOKUP(E26,Parameters!$D$69:$E$77,2,FALSE),"")</f>
        <v/>
      </c>
      <c r="G26" s="114"/>
      <c r="H26" s="114"/>
      <c r="I26" s="114"/>
      <c r="J26" s="124"/>
      <c r="K26" s="139"/>
      <c r="L26" s="123"/>
      <c r="M26" s="145"/>
      <c r="N26" s="110"/>
      <c r="O26" s="114"/>
      <c r="P26" s="507"/>
      <c r="Q26" s="141"/>
      <c r="R26" s="124"/>
      <c r="S26" s="243"/>
      <c r="T26" s="243"/>
      <c r="U26" s="123"/>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52"/>
      <c r="CK26" s="11"/>
      <c r="CM26" s="11"/>
      <c r="CP26" s="7">
        <f t="shared" si="0"/>
        <v>0</v>
      </c>
      <c r="CQ26" s="7">
        <f t="shared" si="1"/>
        <v>0</v>
      </c>
      <c r="CR26" s="7">
        <f t="shared" si="2"/>
        <v>0</v>
      </c>
      <c r="CS26" s="7">
        <f t="shared" si="3"/>
        <v>0</v>
      </c>
      <c r="CT26" s="7">
        <f t="shared" si="4"/>
        <v>0</v>
      </c>
      <c r="CU26" s="7">
        <f t="shared" si="5"/>
        <v>0</v>
      </c>
      <c r="CV26" s="7">
        <f>IF(AND($Q26=1, $R26&lt;'Cover Sheet'!$E$21), 1, 0)</f>
        <v>0</v>
      </c>
      <c r="CW26" s="7">
        <f>IF(OR(IFERROR(MATCH(S26, Parameters!$D$80:$D$84,0),0)=0,IFERROR(MATCH(T26, Parameters!$D$80:$D$84,0),0)=0), 1, 0)*$Q26</f>
        <v>0</v>
      </c>
      <c r="CY26" s="7" cm="1">
        <f t="array" ref="CY26">SUMPRODUCT(--NOT(ISNUMBER(G26:I26)),--NOT(ISBLANK(G26:I26)))
+SUMPRODUCT(--NOT(ISNUMBER(M26)),--NOT(ISBLANK(M26)))
+SUMPRODUCT(--NOT(ISNUMBER(O26:P26)),--NOT(ISBLANK(O26:P26)))
+SUMPRODUCT(--NOT(ISNUMBER(AA26:BV26)),--NOT(ISBLANK(AA26:BV26)))</f>
        <v>0</v>
      </c>
      <c r="DF26" s="11"/>
      <c r="EY26" s="12" t="str">
        <f t="shared" ca="1" si="6"/>
        <v>Loan 14</v>
      </c>
    </row>
    <row r="27" spans="1:155" x14ac:dyDescent="0.35">
      <c r="A27" s="220" cm="1">
        <f t="array" aca="1" ref="A27" ca="1">HYPERLINK(CONCATENATE("#",CELL("address",IF(MAX($CM27:$DF27)=0,A27,INDEX($CM27:$DF27,MATCH(1,$CM27:$DF27,0))))),MAX($CM27:$DF27))</f>
        <v>0</v>
      </c>
      <c r="B27" s="138" t="str" cm="1">
        <f t="array" aca="1" ref="B27" ca="1">HYPERLINK(CONCATENATE("#",CELL("address",$D$322)),$D$322)</f>
        <v>Loan 15</v>
      </c>
      <c r="C27" s="211" t="s">
        <v>1056</v>
      </c>
      <c r="D27" s="243"/>
      <c r="E27" s="243"/>
      <c r="F27" s="10" t="str">
        <f>IF(E27&lt;&gt;"",VLOOKUP(E27,Parameters!$D$69:$E$77,2,FALSE),"")</f>
        <v/>
      </c>
      <c r="G27" s="114"/>
      <c r="H27" s="114"/>
      <c r="I27" s="114"/>
      <c r="J27" s="124"/>
      <c r="K27" s="139"/>
      <c r="L27" s="123"/>
      <c r="M27" s="145"/>
      <c r="N27" s="110"/>
      <c r="O27" s="114"/>
      <c r="P27" s="507"/>
      <c r="Q27" s="141"/>
      <c r="R27" s="124"/>
      <c r="S27" s="243"/>
      <c r="T27" s="243"/>
      <c r="U27" s="123"/>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52"/>
      <c r="CK27" s="11"/>
      <c r="CL27" s="1"/>
      <c r="CM27" s="11"/>
      <c r="CP27" s="7">
        <f t="shared" si="0"/>
        <v>0</v>
      </c>
      <c r="CQ27" s="7">
        <f t="shared" si="1"/>
        <v>0</v>
      </c>
      <c r="CR27" s="7">
        <f t="shared" si="2"/>
        <v>0</v>
      </c>
      <c r="CS27" s="7">
        <f t="shared" si="3"/>
        <v>0</v>
      </c>
      <c r="CT27" s="7">
        <f t="shared" si="4"/>
        <v>0</v>
      </c>
      <c r="CU27" s="7">
        <f t="shared" si="5"/>
        <v>0</v>
      </c>
      <c r="CV27" s="7">
        <f>IF(AND($Q27=1, $R27&lt;'Cover Sheet'!$E$21), 1, 0)</f>
        <v>0</v>
      </c>
      <c r="CW27" s="7">
        <f>IF(OR(IFERROR(MATCH(S27, Parameters!$D$80:$D$84,0),0)=0,IFERROR(MATCH(T27, Parameters!$D$80:$D$84,0),0)=0), 1, 0)*$Q27</f>
        <v>0</v>
      </c>
      <c r="CX27" s="1"/>
      <c r="CY27" s="7" cm="1">
        <f t="array" ref="CY27">SUMPRODUCT(--NOT(ISNUMBER(G27:I27)),--NOT(ISBLANK(G27:I27)))
+SUMPRODUCT(--NOT(ISNUMBER(M27)),--NOT(ISBLANK(M27)))
+SUMPRODUCT(--NOT(ISNUMBER(O27:P27)),--NOT(ISBLANK(O27:P27)))
+SUMPRODUCT(--NOT(ISNUMBER(AA27:BV27)),--NOT(ISBLANK(AA27:BV27)))</f>
        <v>0</v>
      </c>
      <c r="DF27" s="11"/>
      <c r="EY27" s="12" t="str">
        <f t="shared" ca="1" si="6"/>
        <v>Loan 15</v>
      </c>
    </row>
    <row r="28" spans="1:155" x14ac:dyDescent="0.35">
      <c r="A28" s="220" cm="1">
        <f t="array" aca="1" ref="A28" ca="1">HYPERLINK(CONCATENATE("#",CELL("address",IF(MAX($CM28:$DF28)=0,A28,INDEX($CM28:$DF28,MATCH(1,$CM28:$DF28,0))))),MAX($CM28:$DF28))</f>
        <v>0</v>
      </c>
      <c r="B28" s="138" t="str" cm="1">
        <f t="array" aca="1" ref="B28" ca="1">HYPERLINK(CONCATENATE("#",CELL("address",$D$341)),$D$341)</f>
        <v>Loan 16</v>
      </c>
      <c r="C28" s="211" t="s">
        <v>1057</v>
      </c>
      <c r="D28" s="243"/>
      <c r="E28" s="243"/>
      <c r="F28" s="10" t="str">
        <f>IF(E28&lt;&gt;"",VLOOKUP(E28,Parameters!$D$69:$E$77,2,FALSE),"")</f>
        <v/>
      </c>
      <c r="G28" s="114"/>
      <c r="H28" s="114"/>
      <c r="I28" s="114"/>
      <c r="J28" s="124"/>
      <c r="K28" s="139"/>
      <c r="L28" s="123"/>
      <c r="M28" s="145"/>
      <c r="N28" s="110"/>
      <c r="O28" s="114"/>
      <c r="P28" s="507"/>
      <c r="Q28" s="141"/>
      <c r="R28" s="124"/>
      <c r="S28" s="243"/>
      <c r="T28" s="243"/>
      <c r="U28" s="123"/>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52"/>
      <c r="CK28" s="11"/>
      <c r="CM28" s="11"/>
      <c r="CP28" s="7">
        <f t="shared" si="0"/>
        <v>0</v>
      </c>
      <c r="CQ28" s="7">
        <f t="shared" si="1"/>
        <v>0</v>
      </c>
      <c r="CR28" s="7">
        <f t="shared" si="2"/>
        <v>0</v>
      </c>
      <c r="CS28" s="7">
        <f t="shared" si="3"/>
        <v>0</v>
      </c>
      <c r="CT28" s="7">
        <f t="shared" si="4"/>
        <v>0</v>
      </c>
      <c r="CU28" s="7">
        <f t="shared" si="5"/>
        <v>0</v>
      </c>
      <c r="CV28" s="7">
        <f>IF(AND($Q28=1, $R28&lt;'Cover Sheet'!$E$21), 1, 0)</f>
        <v>0</v>
      </c>
      <c r="CW28" s="7">
        <f>IF(OR(IFERROR(MATCH(S28, Parameters!$D$80:$D$84,0),0)=0,IFERROR(MATCH(T28, Parameters!$D$80:$D$84,0),0)=0), 1, 0)*$Q28</f>
        <v>0</v>
      </c>
      <c r="CY28" s="7" cm="1">
        <f t="array" ref="CY28">SUMPRODUCT(--NOT(ISNUMBER(G28:I28)),--NOT(ISBLANK(G28:I28)))
+SUMPRODUCT(--NOT(ISNUMBER(M28)),--NOT(ISBLANK(M28)))
+SUMPRODUCT(--NOT(ISNUMBER(O28:P28)),--NOT(ISBLANK(O28:P28)))
+SUMPRODUCT(--NOT(ISNUMBER(AA28:BV28)),--NOT(ISBLANK(AA28:BV28)))</f>
        <v>0</v>
      </c>
      <c r="DF28" s="11"/>
      <c r="EY28" s="12" t="str">
        <f t="shared" ca="1" si="6"/>
        <v>Loan 16</v>
      </c>
    </row>
    <row r="29" spans="1:155" x14ac:dyDescent="0.35">
      <c r="A29" s="220" cm="1">
        <f t="array" aca="1" ref="A29" ca="1">HYPERLINK(CONCATENATE("#",CELL("address",IF(MAX($CM29:$DF29)=0,A29,INDEX($CM29:$DF29,MATCH(1,$CM29:$DF29,0))))),MAX($CM29:$DF29))</f>
        <v>0</v>
      </c>
      <c r="B29" s="138" t="str" cm="1">
        <f t="array" aca="1" ref="B29" ca="1">HYPERLINK(CONCATENATE("#",CELL("address",$D$360)),$D$360)</f>
        <v>Loan 17</v>
      </c>
      <c r="C29" s="211" t="s">
        <v>1058</v>
      </c>
      <c r="D29" s="243"/>
      <c r="E29" s="243"/>
      <c r="F29" s="10" t="str">
        <f>IF(E29&lt;&gt;"",VLOOKUP(E29,Parameters!$D$69:$E$77,2,FALSE),"")</f>
        <v/>
      </c>
      <c r="G29" s="114"/>
      <c r="H29" s="114"/>
      <c r="I29" s="114"/>
      <c r="J29" s="124"/>
      <c r="K29" s="139"/>
      <c r="L29" s="123"/>
      <c r="M29" s="145"/>
      <c r="N29" s="110"/>
      <c r="O29" s="114"/>
      <c r="P29" s="507"/>
      <c r="Q29" s="141"/>
      <c r="R29" s="124"/>
      <c r="S29" s="243"/>
      <c r="T29" s="243"/>
      <c r="U29" s="123"/>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52"/>
      <c r="CK29" s="11"/>
      <c r="CL29" s="1"/>
      <c r="CM29" s="11"/>
      <c r="CP29" s="7">
        <f t="shared" si="0"/>
        <v>0</v>
      </c>
      <c r="CQ29" s="7">
        <f t="shared" si="1"/>
        <v>0</v>
      </c>
      <c r="CR29" s="7">
        <f t="shared" si="2"/>
        <v>0</v>
      </c>
      <c r="CS29" s="7">
        <f t="shared" si="3"/>
        <v>0</v>
      </c>
      <c r="CT29" s="7">
        <f t="shared" si="4"/>
        <v>0</v>
      </c>
      <c r="CU29" s="7">
        <f t="shared" si="5"/>
        <v>0</v>
      </c>
      <c r="CV29" s="7">
        <f>IF(AND($Q29=1, $R29&lt;'Cover Sheet'!$E$21), 1, 0)</f>
        <v>0</v>
      </c>
      <c r="CW29" s="7">
        <f>IF(OR(IFERROR(MATCH(S29, Parameters!$D$80:$D$84,0),0)=0,IFERROR(MATCH(T29, Parameters!$D$80:$D$84,0),0)=0), 1, 0)*$Q29</f>
        <v>0</v>
      </c>
      <c r="CX29" s="1"/>
      <c r="CY29" s="7" cm="1">
        <f t="array" ref="CY29">SUMPRODUCT(--NOT(ISNUMBER(G29:I29)),--NOT(ISBLANK(G29:I29)))
+SUMPRODUCT(--NOT(ISNUMBER(M29)),--NOT(ISBLANK(M29)))
+SUMPRODUCT(--NOT(ISNUMBER(O29:P29)),--NOT(ISBLANK(O29:P29)))
+SUMPRODUCT(--NOT(ISNUMBER(AA29:BV29)),--NOT(ISBLANK(AA29:BV29)))</f>
        <v>0</v>
      </c>
      <c r="DF29" s="11"/>
      <c r="EY29" s="12" t="str">
        <f t="shared" ca="1" si="6"/>
        <v>Loan 17</v>
      </c>
    </row>
    <row r="30" spans="1:155" x14ac:dyDescent="0.35">
      <c r="A30" s="220" cm="1">
        <f t="array" aca="1" ref="A30" ca="1">HYPERLINK(CONCATENATE("#",CELL("address",IF(MAX($CM30:$DF30)=0,A30,INDEX($CM30:$DF30,MATCH(1,$CM30:$DF30,0))))),MAX($CM30:$DF30))</f>
        <v>0</v>
      </c>
      <c r="B30" s="138" t="str" cm="1">
        <f t="array" aca="1" ref="B30" ca="1">HYPERLINK(CONCATENATE("#",CELL("address",$D$379)),$D$379)</f>
        <v>Loan 18</v>
      </c>
      <c r="C30" s="211" t="s">
        <v>1059</v>
      </c>
      <c r="D30" s="243"/>
      <c r="E30" s="243"/>
      <c r="F30" s="10" t="str">
        <f>IF(E30&lt;&gt;"",VLOOKUP(E30,Parameters!$D$69:$E$77,2,FALSE),"")</f>
        <v/>
      </c>
      <c r="G30" s="114"/>
      <c r="H30" s="114"/>
      <c r="I30" s="114"/>
      <c r="J30" s="124"/>
      <c r="K30" s="139"/>
      <c r="L30" s="123"/>
      <c r="M30" s="145"/>
      <c r="N30" s="110"/>
      <c r="O30" s="114"/>
      <c r="P30" s="507"/>
      <c r="Q30" s="141"/>
      <c r="R30" s="124"/>
      <c r="S30" s="243"/>
      <c r="T30" s="243"/>
      <c r="U30" s="123"/>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52"/>
      <c r="CK30" s="11"/>
      <c r="CM30" s="11"/>
      <c r="CP30" s="7">
        <f t="shared" si="0"/>
        <v>0</v>
      </c>
      <c r="CQ30" s="7">
        <f t="shared" si="1"/>
        <v>0</v>
      </c>
      <c r="CR30" s="7">
        <f t="shared" si="2"/>
        <v>0</v>
      </c>
      <c r="CS30" s="7">
        <f t="shared" si="3"/>
        <v>0</v>
      </c>
      <c r="CT30" s="7">
        <f t="shared" si="4"/>
        <v>0</v>
      </c>
      <c r="CU30" s="7">
        <f t="shared" si="5"/>
        <v>0</v>
      </c>
      <c r="CV30" s="7">
        <f>IF(AND($Q30=1, $R30&lt;'Cover Sheet'!$E$21), 1, 0)</f>
        <v>0</v>
      </c>
      <c r="CW30" s="7">
        <f>IF(OR(IFERROR(MATCH(S30, Parameters!$D$80:$D$84,0),0)=0,IFERROR(MATCH(T30, Parameters!$D$80:$D$84,0),0)=0), 1, 0)*$Q30</f>
        <v>0</v>
      </c>
      <c r="CY30" s="7" cm="1">
        <f t="array" ref="CY30">SUMPRODUCT(--NOT(ISNUMBER(G30:I30)),--NOT(ISBLANK(G30:I30)))
+SUMPRODUCT(--NOT(ISNUMBER(M30)),--NOT(ISBLANK(M30)))
+SUMPRODUCT(--NOT(ISNUMBER(O30:P30)),--NOT(ISBLANK(O30:P30)))
+SUMPRODUCT(--NOT(ISNUMBER(AA30:BV30)),--NOT(ISBLANK(AA30:BV30)))</f>
        <v>0</v>
      </c>
      <c r="DF30" s="11"/>
      <c r="EY30" s="12" t="str">
        <f t="shared" ca="1" si="6"/>
        <v>Loan 18</v>
      </c>
    </row>
    <row r="31" spans="1:155" x14ac:dyDescent="0.35">
      <c r="A31" s="220" cm="1">
        <f t="array" aca="1" ref="A31" ca="1">HYPERLINK(CONCATENATE("#",CELL("address",IF(MAX($CM31:$DF31)=0,A31,INDEX($CM31:$DF31,MATCH(1,$CM31:$DF31,0))))),MAX($CM31:$DF31))</f>
        <v>0</v>
      </c>
      <c r="B31" s="138" t="str" cm="1">
        <f t="array" aca="1" ref="B31" ca="1">HYPERLINK(CONCATENATE("#",CELL("address",$D$398)),$D$398)</f>
        <v>Loan 19</v>
      </c>
      <c r="C31" s="211" t="s">
        <v>1060</v>
      </c>
      <c r="D31" s="243"/>
      <c r="E31" s="243"/>
      <c r="F31" s="10" t="str">
        <f>IF(E31&lt;&gt;"",VLOOKUP(E31,Parameters!$D$69:$E$77,2,FALSE),"")</f>
        <v/>
      </c>
      <c r="G31" s="114"/>
      <c r="H31" s="114"/>
      <c r="I31" s="114"/>
      <c r="J31" s="124"/>
      <c r="K31" s="139"/>
      <c r="L31" s="123"/>
      <c r="M31" s="145"/>
      <c r="N31" s="110"/>
      <c r="O31" s="114"/>
      <c r="P31" s="507"/>
      <c r="Q31" s="141"/>
      <c r="R31" s="124"/>
      <c r="S31" s="243"/>
      <c r="T31" s="243"/>
      <c r="U31" s="123"/>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52"/>
      <c r="CK31" s="11"/>
      <c r="CL31" s="1"/>
      <c r="CM31" s="11"/>
      <c r="CP31" s="7">
        <f t="shared" si="0"/>
        <v>0</v>
      </c>
      <c r="CQ31" s="7">
        <f t="shared" si="1"/>
        <v>0</v>
      </c>
      <c r="CR31" s="7">
        <f t="shared" si="2"/>
        <v>0</v>
      </c>
      <c r="CS31" s="7">
        <f t="shared" si="3"/>
        <v>0</v>
      </c>
      <c r="CT31" s="7">
        <f t="shared" si="4"/>
        <v>0</v>
      </c>
      <c r="CU31" s="7">
        <f t="shared" si="5"/>
        <v>0</v>
      </c>
      <c r="CV31" s="7">
        <f>IF(AND($Q31=1, $R31&lt;'Cover Sheet'!$E$21), 1, 0)</f>
        <v>0</v>
      </c>
      <c r="CW31" s="7">
        <f>IF(OR(IFERROR(MATCH(S31, Parameters!$D$80:$D$84,0),0)=0,IFERROR(MATCH(T31, Parameters!$D$80:$D$84,0),0)=0), 1, 0)*$Q31</f>
        <v>0</v>
      </c>
      <c r="CX31" s="1"/>
      <c r="CY31" s="7" cm="1">
        <f t="array" ref="CY31">SUMPRODUCT(--NOT(ISNUMBER(G31:I31)),--NOT(ISBLANK(G31:I31)))
+SUMPRODUCT(--NOT(ISNUMBER(M31)),--NOT(ISBLANK(M31)))
+SUMPRODUCT(--NOT(ISNUMBER(O31:P31)),--NOT(ISBLANK(O31:P31)))
+SUMPRODUCT(--NOT(ISNUMBER(AA31:BV31)),--NOT(ISBLANK(AA31:BV31)))</f>
        <v>0</v>
      </c>
      <c r="DF31" s="11"/>
      <c r="EY31" s="12" t="str">
        <f t="shared" ca="1" si="6"/>
        <v>Loan 19</v>
      </c>
    </row>
    <row r="32" spans="1:155" s="5" customFormat="1" x14ac:dyDescent="0.35">
      <c r="A32" s="220" cm="1">
        <f t="array" aca="1" ref="A32" ca="1">HYPERLINK(CONCATENATE("#",CELL("address",IF(MAX($CM32:$DF32)=0,A32,INDEX($CM32:$DF32,MATCH(1,$CM32:$DF32,0))))),MAX($CM32:$DF32))</f>
        <v>0</v>
      </c>
      <c r="B32" s="138" t="str" cm="1">
        <f t="array" aca="1" ref="B32" ca="1">HYPERLINK(CONCATENATE("#",CELL("address",$D$417)),$D$417)</f>
        <v>Loan 20</v>
      </c>
      <c r="C32" s="211" t="s">
        <v>1061</v>
      </c>
      <c r="D32" s="243"/>
      <c r="E32" s="243"/>
      <c r="F32" s="10" t="str">
        <f>IF(E32&lt;&gt;"",VLOOKUP(E32,Parameters!$D$69:$E$77,2,FALSE),"")</f>
        <v/>
      </c>
      <c r="G32" s="114"/>
      <c r="H32" s="114"/>
      <c r="I32" s="114"/>
      <c r="J32" s="124"/>
      <c r="K32" s="139"/>
      <c r="L32" s="123"/>
      <c r="M32" s="145"/>
      <c r="N32" s="110"/>
      <c r="O32" s="114"/>
      <c r="P32" s="507"/>
      <c r="Q32" s="141"/>
      <c r="R32" s="124"/>
      <c r="S32" s="243"/>
      <c r="T32" s="243"/>
      <c r="U32" s="123"/>
      <c r="Z32"/>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52"/>
      <c r="BX32"/>
      <c r="BY32"/>
      <c r="BZ32"/>
      <c r="CA32"/>
      <c r="CB32"/>
      <c r="CC32"/>
      <c r="CD32"/>
      <c r="CE32"/>
      <c r="CF32"/>
      <c r="CG32"/>
      <c r="CH32"/>
      <c r="CI32"/>
      <c r="CJ32"/>
      <c r="CK32" s="11"/>
      <c r="CL32"/>
      <c r="CM32" s="11"/>
      <c r="CN32"/>
      <c r="CO32"/>
      <c r="CP32" s="7">
        <f t="shared" si="0"/>
        <v>0</v>
      </c>
      <c r="CQ32" s="7">
        <f t="shared" si="1"/>
        <v>0</v>
      </c>
      <c r="CR32" s="7">
        <f t="shared" si="2"/>
        <v>0</v>
      </c>
      <c r="CS32" s="7">
        <f t="shared" si="3"/>
        <v>0</v>
      </c>
      <c r="CT32" s="7">
        <f t="shared" si="4"/>
        <v>0</v>
      </c>
      <c r="CU32" s="7">
        <f t="shared" si="5"/>
        <v>0</v>
      </c>
      <c r="CV32" s="7">
        <f>IF(AND($Q32=1, $R32&lt;'Cover Sheet'!$E$21), 1, 0)</f>
        <v>0</v>
      </c>
      <c r="CW32" s="7">
        <f>IF(OR(IFERROR(MATCH(S32, Parameters!$D$80:$D$84,0),0)=0,IFERROR(MATCH(T32, Parameters!$D$80:$D$84,0),0)=0), 1, 0)*$Q32</f>
        <v>0</v>
      </c>
      <c r="CX32"/>
      <c r="CY32" s="7" cm="1">
        <f t="array" ref="CY32">SUMPRODUCT(--NOT(ISNUMBER(G32:I32)),--NOT(ISBLANK(G32:I32)))
+SUMPRODUCT(--NOT(ISNUMBER(M32)),--NOT(ISBLANK(M32)))
+SUMPRODUCT(--NOT(ISNUMBER(O32:P32)),--NOT(ISBLANK(O32:P32)))
+SUMPRODUCT(--NOT(ISNUMBER(AA32:BV32)),--NOT(ISBLANK(AA32:BV32)))</f>
        <v>0</v>
      </c>
      <c r="CZ32"/>
      <c r="DA32"/>
      <c r="DB32"/>
      <c r="DC32"/>
      <c r="DD32"/>
      <c r="DE32"/>
      <c r="DF32" s="11"/>
      <c r="DI32"/>
      <c r="EY32" s="12" t="str">
        <f t="shared" ca="1" si="6"/>
        <v>Loan 20</v>
      </c>
    </row>
    <row r="33" spans="1:155" s="5" customFormat="1" ht="15" thickBot="1" x14ac:dyDescent="0.4">
      <c r="A33" s="220" cm="1">
        <f t="array" aca="1" ref="A33" ca="1">HYPERLINK(CONCATENATE("#",CELL("address",IF(MAX($CM33:$DF33)=0,A33,INDEX($CM33:$DF33,MATCH(1,$CM33:$DF33,0))))),MAX($CM33:$DF33))</f>
        <v>0</v>
      </c>
      <c r="C33" s="211"/>
      <c r="D33" s="106" t="s">
        <v>1062</v>
      </c>
      <c r="E33" s="607" t="str">
        <f>Parameters!D69</f>
        <v>Overdrafts</v>
      </c>
      <c r="F33" s="106"/>
      <c r="G33" s="603">
        <f>SUMIFS(G$13:G$32, $E$13:$E$32, $E33)</f>
        <v>0</v>
      </c>
      <c r="H33" s="603">
        <f>SUMIFS(H$13:H$32, $E$13:$E$32, $E33)</f>
        <v>0</v>
      </c>
      <c r="I33" s="604">
        <f>SUMIFS(I$13:I$32, $E$13:$E$32, $E33)</f>
        <v>0</v>
      </c>
      <c r="J33"/>
      <c r="K33"/>
      <c r="L33"/>
      <c r="M33"/>
      <c r="N33"/>
      <c r="O33"/>
      <c r="P33"/>
      <c r="Q33"/>
      <c r="R33"/>
      <c r="S33"/>
      <c r="T33"/>
      <c r="U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s="11"/>
      <c r="CL33"/>
      <c r="CM33" s="11"/>
      <c r="CN33"/>
      <c r="CO33"/>
      <c r="CP33"/>
      <c r="CQ33"/>
      <c r="CR33"/>
      <c r="CS33"/>
      <c r="CT33"/>
      <c r="CU33"/>
      <c r="CV33"/>
      <c r="CW33"/>
      <c r="CX33"/>
      <c r="CY33"/>
      <c r="CZ33"/>
      <c r="DA33"/>
      <c r="DB33"/>
      <c r="DC33"/>
      <c r="DD33"/>
      <c r="DE33"/>
      <c r="DF33" s="11"/>
      <c r="DI33"/>
      <c r="EY33" s="10" t="str">
        <f t="shared" ref="EY33:EY56" si="7">IF($C33="","",$D33)</f>
        <v/>
      </c>
    </row>
    <row r="34" spans="1:155" s="5" customFormat="1" ht="3.75" customHeight="1" x14ac:dyDescent="0.35">
      <c r="A34" s="220"/>
      <c r="C34" s="211"/>
      <c r="D34" s="106"/>
      <c r="E34" s="602"/>
      <c r="F34" s="106"/>
      <c r="G34" s="137"/>
      <c r="H34" s="137"/>
      <c r="I34" s="224"/>
      <c r="J34"/>
      <c r="K34"/>
      <c r="L34"/>
      <c r="M34"/>
      <c r="N34"/>
      <c r="O34"/>
      <c r="P34"/>
      <c r="Q34"/>
      <c r="R34"/>
      <c r="S34"/>
      <c r="T34"/>
      <c r="U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s="11"/>
      <c r="CL34"/>
      <c r="CM34" s="11"/>
      <c r="CN34"/>
      <c r="CO34"/>
      <c r="CP34"/>
      <c r="CQ34"/>
      <c r="CR34"/>
      <c r="CS34"/>
      <c r="CT34"/>
      <c r="CU34"/>
      <c r="CV34"/>
      <c r="CW34"/>
      <c r="CX34"/>
      <c r="CY34"/>
      <c r="CZ34"/>
      <c r="DA34"/>
      <c r="DB34"/>
      <c r="DC34"/>
      <c r="DD34"/>
      <c r="DE34"/>
      <c r="DF34" s="11"/>
      <c r="DI34"/>
      <c r="EY34" s="10"/>
    </row>
    <row r="35" spans="1:155" s="5" customFormat="1" x14ac:dyDescent="0.35">
      <c r="A35" s="220" cm="1">
        <f t="array" aca="1" ref="A35" ca="1">HYPERLINK(CONCATENATE("#",CELL("address",IF(MAX($CM35:$DF35)=0,A35,INDEX($CM35:$DF35,MATCH(1,$CM35:$DF35,0))))),MAX($CM35:$DF35))</f>
        <v>0</v>
      </c>
      <c r="C35" s="211"/>
      <c r="D35" s="106" t="s">
        <v>1062</v>
      </c>
      <c r="E35" s="602" t="str">
        <f>Parameters!D70</f>
        <v>DfE/ESFA Insolvency Loans</v>
      </c>
      <c r="F35" s="106"/>
      <c r="G35" s="137">
        <f>SUMIFS(G$13:G$32, $E$13:$E$32, $E35)</f>
        <v>0</v>
      </c>
      <c r="H35" s="137">
        <f>SUMIFS(H$13:H$32, $E$13:$E$32, $E35)</f>
        <v>0</v>
      </c>
      <c r="I35" s="224">
        <f>SUMIFS(I$13:I$32, $E$13:$E$32, $E35)</f>
        <v>0</v>
      </c>
      <c r="J35"/>
      <c r="K35"/>
      <c r="L35"/>
      <c r="M35"/>
      <c r="N35"/>
      <c r="O35"/>
      <c r="P35"/>
      <c r="Q35"/>
      <c r="R35"/>
      <c r="S35"/>
      <c r="T35"/>
      <c r="U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s="11"/>
      <c r="CL35"/>
      <c r="CM35" s="11"/>
      <c r="CN35"/>
      <c r="CO35"/>
      <c r="CP35"/>
      <c r="CQ35"/>
      <c r="CR35"/>
      <c r="CS35"/>
      <c r="CT35"/>
      <c r="CU35"/>
      <c r="CV35"/>
      <c r="CW35"/>
      <c r="CX35"/>
      <c r="CY35"/>
      <c r="CZ35"/>
      <c r="DA35"/>
      <c r="DB35"/>
      <c r="DC35"/>
      <c r="DD35"/>
      <c r="DE35"/>
      <c r="DF35" s="11"/>
      <c r="DI35"/>
      <c r="EY35" s="10" t="str">
        <f t="shared" si="7"/>
        <v/>
      </c>
    </row>
    <row r="36" spans="1:155" s="5" customFormat="1" x14ac:dyDescent="0.35">
      <c r="A36" s="220"/>
      <c r="C36" s="211"/>
      <c r="D36" s="106" t="s">
        <v>1062</v>
      </c>
      <c r="E36" s="602" t="str">
        <f>Parameters!D71</f>
        <v>DfE/ESFA RF/EFS loans</v>
      </c>
      <c r="F36" s="106"/>
      <c r="G36" s="137">
        <f>SUMIFS(G$13:G$32, $E$13:$E$32, $E36)</f>
        <v>0</v>
      </c>
      <c r="H36" s="137">
        <f t="shared" ref="H36:I38" si="8">SUMIFS(H$13:H$32, $E$13:$E$32, $E36)</f>
        <v>0</v>
      </c>
      <c r="I36" s="137">
        <f t="shared" si="8"/>
        <v>0</v>
      </c>
      <c r="J36"/>
      <c r="K36"/>
      <c r="L36"/>
      <c r="M36"/>
      <c r="N36"/>
      <c r="O36"/>
      <c r="P36"/>
      <c r="Q36"/>
      <c r="R36"/>
      <c r="S36"/>
      <c r="T36"/>
      <c r="U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s="11"/>
      <c r="CL36"/>
      <c r="CM36" s="11"/>
      <c r="CN36"/>
      <c r="CO36"/>
      <c r="CP36"/>
      <c r="CQ36"/>
      <c r="CR36"/>
      <c r="CS36"/>
      <c r="CT36"/>
      <c r="CU36"/>
      <c r="CV36"/>
      <c r="CW36"/>
      <c r="CX36"/>
      <c r="CY36"/>
      <c r="CZ36"/>
      <c r="DA36"/>
      <c r="DB36"/>
      <c r="DC36"/>
      <c r="DD36"/>
      <c r="DE36"/>
      <c r="DF36" s="11"/>
      <c r="DI36"/>
      <c r="EY36" s="10"/>
    </row>
    <row r="37" spans="1:155" s="5" customFormat="1" ht="29" x14ac:dyDescent="0.35">
      <c r="A37" s="220"/>
      <c r="C37" s="211"/>
      <c r="D37" s="106" t="s">
        <v>1062</v>
      </c>
      <c r="E37" s="602" t="str">
        <f>Parameters!D72</f>
        <v>DfE/ESFA Reclassification refinancing</v>
      </c>
      <c r="F37" s="106"/>
      <c r="G37" s="137">
        <f>SUMIFS(G$13:G$32, $E$13:$E$32, $E37)</f>
        <v>0</v>
      </c>
      <c r="H37" s="137">
        <f t="shared" si="8"/>
        <v>0</v>
      </c>
      <c r="I37" s="137">
        <f t="shared" si="8"/>
        <v>0</v>
      </c>
      <c r="J37"/>
      <c r="K37"/>
      <c r="L37"/>
      <c r="M37"/>
      <c r="N37"/>
      <c r="O37"/>
      <c r="P37"/>
      <c r="Q37"/>
      <c r="R37"/>
      <c r="S37"/>
      <c r="T37"/>
      <c r="U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s="11"/>
      <c r="CL37"/>
      <c r="CM37" s="11"/>
      <c r="CN37"/>
      <c r="CO37"/>
      <c r="CP37"/>
      <c r="CQ37"/>
      <c r="CR37"/>
      <c r="CS37"/>
      <c r="CT37"/>
      <c r="CU37"/>
      <c r="CV37"/>
      <c r="CW37"/>
      <c r="CX37"/>
      <c r="CY37"/>
      <c r="CZ37"/>
      <c r="DA37"/>
      <c r="DB37"/>
      <c r="DC37"/>
      <c r="DD37"/>
      <c r="DE37"/>
      <c r="DF37" s="11"/>
      <c r="DI37"/>
      <c r="EY37" s="10"/>
    </row>
    <row r="38" spans="1:155" s="5" customFormat="1" x14ac:dyDescent="0.35">
      <c r="A38" s="220"/>
      <c r="C38" s="211"/>
      <c r="D38" s="106" t="s">
        <v>1062</v>
      </c>
      <c r="E38" s="602" t="str">
        <f>Parameters!D73</f>
        <v>DfE/ESFA Capital loans</v>
      </c>
      <c r="F38" s="106"/>
      <c r="G38" s="605">
        <f>SUMIFS(G$13:G$32, $E$13:$E$32, $E38)</f>
        <v>0</v>
      </c>
      <c r="H38" s="137">
        <f t="shared" si="8"/>
        <v>0</v>
      </c>
      <c r="I38" s="137">
        <f t="shared" si="8"/>
        <v>0</v>
      </c>
      <c r="J38"/>
      <c r="K38"/>
      <c r="L38"/>
      <c r="M38"/>
      <c r="N38"/>
      <c r="O38"/>
      <c r="P38"/>
      <c r="Q38"/>
      <c r="R38"/>
      <c r="S38"/>
      <c r="T38"/>
      <c r="U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s="11"/>
      <c r="CL38"/>
      <c r="CM38" s="11"/>
      <c r="CN38"/>
      <c r="CO38"/>
      <c r="CP38"/>
      <c r="CQ38"/>
      <c r="CR38"/>
      <c r="CS38"/>
      <c r="CT38"/>
      <c r="CU38"/>
      <c r="CV38"/>
      <c r="CW38"/>
      <c r="CX38"/>
      <c r="CY38"/>
      <c r="CZ38"/>
      <c r="DA38"/>
      <c r="DB38"/>
      <c r="DC38"/>
      <c r="DD38"/>
      <c r="DE38"/>
      <c r="DF38" s="11"/>
      <c r="DI38"/>
      <c r="EY38" s="10"/>
    </row>
    <row r="39" spans="1:155" s="5" customFormat="1" ht="15" thickBot="1" x14ac:dyDescent="0.4">
      <c r="A39" s="220"/>
      <c r="C39" s="211"/>
      <c r="D39" s="106"/>
      <c r="E39" s="607" t="s">
        <v>1063</v>
      </c>
      <c r="F39" s="106"/>
      <c r="G39" s="606">
        <f>SUM(G35:G38)</f>
        <v>0</v>
      </c>
      <c r="H39" s="606">
        <f t="shared" ref="H39:I39" si="9">SUM(H35:H38)</f>
        <v>0</v>
      </c>
      <c r="I39" s="606">
        <f t="shared" si="9"/>
        <v>0</v>
      </c>
      <c r="J39"/>
      <c r="K39"/>
      <c r="L39"/>
      <c r="M39"/>
      <c r="N39"/>
      <c r="O39"/>
      <c r="P39"/>
      <c r="Q39"/>
      <c r="R39"/>
      <c r="S39"/>
      <c r="T39"/>
      <c r="U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s="11"/>
      <c r="CL39"/>
      <c r="CM39" s="11"/>
      <c r="CN39"/>
      <c r="CO39"/>
      <c r="CP39"/>
      <c r="CQ39"/>
      <c r="CR39"/>
      <c r="CS39"/>
      <c r="CT39"/>
      <c r="CU39"/>
      <c r="CV39"/>
      <c r="CW39"/>
      <c r="CX39"/>
      <c r="CY39"/>
      <c r="CZ39"/>
      <c r="DA39"/>
      <c r="DB39"/>
      <c r="DC39"/>
      <c r="DD39"/>
      <c r="DE39"/>
      <c r="DF39" s="11"/>
      <c r="DI39"/>
      <c r="EY39" s="10"/>
    </row>
    <row r="40" spans="1:155" s="5" customFormat="1" x14ac:dyDescent="0.35">
      <c r="A40" s="220"/>
      <c r="C40" s="211"/>
      <c r="D40" s="106" t="s">
        <v>1062</v>
      </c>
      <c r="E40" s="602" t="str">
        <f>Parameters!D74</f>
        <v>Commercial - Banks</v>
      </c>
      <c r="F40" s="106"/>
      <c r="G40" s="137">
        <f>SUMIFS(G$13:G$32, $E$13:$E$32, $E40)</f>
        <v>0</v>
      </c>
      <c r="H40" s="137">
        <f t="shared" ref="H40:I43" si="10">SUMIFS(H$13:H$32, $E$13:$E$32, $E40)</f>
        <v>0</v>
      </c>
      <c r="I40" s="137">
        <f t="shared" si="10"/>
        <v>0</v>
      </c>
      <c r="J40"/>
      <c r="K40"/>
      <c r="L40"/>
      <c r="M40"/>
      <c r="N40"/>
      <c r="O40"/>
      <c r="P40"/>
      <c r="Q40"/>
      <c r="R40"/>
      <c r="S40"/>
      <c r="T40"/>
      <c r="U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s="11"/>
      <c r="CL40"/>
      <c r="CM40" s="11"/>
      <c r="CN40"/>
      <c r="CO40"/>
      <c r="CP40"/>
      <c r="CQ40"/>
      <c r="CR40"/>
      <c r="CS40"/>
      <c r="CT40"/>
      <c r="CU40"/>
      <c r="CV40"/>
      <c r="CW40"/>
      <c r="CX40"/>
      <c r="CY40"/>
      <c r="CZ40"/>
      <c r="DA40"/>
      <c r="DB40"/>
      <c r="DC40"/>
      <c r="DD40"/>
      <c r="DE40"/>
      <c r="DF40" s="11"/>
      <c r="DI40"/>
      <c r="EY40" s="10"/>
    </row>
    <row r="41" spans="1:155" s="5" customFormat="1" x14ac:dyDescent="0.35">
      <c r="A41" s="220"/>
      <c r="C41" s="211"/>
      <c r="D41" s="106" t="s">
        <v>1062</v>
      </c>
      <c r="E41" s="602" t="str">
        <f>Parameters!D75</f>
        <v>Commercial - SALIX</v>
      </c>
      <c r="F41" s="106"/>
      <c r="G41" s="137">
        <f>SUMIFS(G$13:G$32, $E$13:$E$32, $E41)</f>
        <v>0</v>
      </c>
      <c r="H41" s="137">
        <f t="shared" si="10"/>
        <v>0</v>
      </c>
      <c r="I41" s="137">
        <f t="shared" si="10"/>
        <v>0</v>
      </c>
      <c r="J41"/>
      <c r="K41"/>
      <c r="L41"/>
      <c r="M41"/>
      <c r="N41"/>
      <c r="O41"/>
      <c r="P41"/>
      <c r="Q41"/>
      <c r="R41"/>
      <c r="S41"/>
      <c r="T41"/>
      <c r="U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s="11"/>
      <c r="CL41"/>
      <c r="CM41" s="11"/>
      <c r="CN41"/>
      <c r="CO41"/>
      <c r="CP41"/>
      <c r="CQ41"/>
      <c r="CR41"/>
      <c r="CS41"/>
      <c r="CT41"/>
      <c r="CU41"/>
      <c r="CV41"/>
      <c r="CW41"/>
      <c r="CX41"/>
      <c r="CY41"/>
      <c r="CZ41"/>
      <c r="DA41"/>
      <c r="DB41"/>
      <c r="DC41"/>
      <c r="DD41"/>
      <c r="DE41"/>
      <c r="DF41" s="11"/>
      <c r="DI41"/>
      <c r="EY41" s="10"/>
    </row>
    <row r="42" spans="1:155" s="5" customFormat="1" x14ac:dyDescent="0.35">
      <c r="A42" s="220"/>
      <c r="C42" s="211"/>
      <c r="D42" s="106" t="s">
        <v>1062</v>
      </c>
      <c r="E42" s="602" t="str">
        <f>Parameters!D76</f>
        <v>Commercial - CBILS</v>
      </c>
      <c r="F42" s="106"/>
      <c r="G42" s="137">
        <f>SUMIFS(G$13:G$32, $E$13:$E$32, $E42)</f>
        <v>0</v>
      </c>
      <c r="H42" s="137">
        <f t="shared" si="10"/>
        <v>0</v>
      </c>
      <c r="I42" s="137">
        <f t="shared" si="10"/>
        <v>0</v>
      </c>
      <c r="J42"/>
      <c r="K42"/>
      <c r="L42"/>
      <c r="M42"/>
      <c r="N42"/>
      <c r="O42"/>
      <c r="P42"/>
      <c r="Q42"/>
      <c r="R42"/>
      <c r="S42"/>
      <c r="T42"/>
      <c r="U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s="11"/>
      <c r="CL42"/>
      <c r="CM42" s="11"/>
      <c r="CN42"/>
      <c r="CO42"/>
      <c r="CP42"/>
      <c r="CQ42"/>
      <c r="CR42"/>
      <c r="CS42"/>
      <c r="CT42"/>
      <c r="CU42"/>
      <c r="CV42"/>
      <c r="CW42"/>
      <c r="CX42"/>
      <c r="CY42"/>
      <c r="CZ42"/>
      <c r="DA42"/>
      <c r="DB42"/>
      <c r="DC42"/>
      <c r="DD42"/>
      <c r="DE42"/>
      <c r="DF42" s="11"/>
      <c r="DI42"/>
      <c r="EY42" s="10"/>
    </row>
    <row r="43" spans="1:155" s="5" customFormat="1" x14ac:dyDescent="0.35">
      <c r="A43" s="220" cm="1">
        <f t="array" aca="1" ref="A43" ca="1">HYPERLINK(CONCATENATE("#",CELL("address",IF(MAX($CM43:$DF43)=0,A43,INDEX($CM43:$DF43,MATCH(1,$CM43:$DF43,0))))),MAX($CM43:$DF43))</f>
        <v>0</v>
      </c>
      <c r="C43" s="211"/>
      <c r="D43" s="106" t="s">
        <v>1062</v>
      </c>
      <c r="E43" s="602" t="str">
        <f>Parameters!D77</f>
        <v>Commercial - other</v>
      </c>
      <c r="F43" s="106"/>
      <c r="G43" s="137">
        <f>SUMIFS(G$13:G$32, $E$13:$E$32, $E43)</f>
        <v>0</v>
      </c>
      <c r="H43" s="137">
        <f t="shared" si="10"/>
        <v>0</v>
      </c>
      <c r="I43" s="137">
        <f t="shared" si="10"/>
        <v>0</v>
      </c>
      <c r="J43"/>
      <c r="K43"/>
      <c r="L43"/>
      <c r="M43"/>
      <c r="N43"/>
      <c r="O43"/>
      <c r="P43"/>
      <c r="Q43"/>
      <c r="R43"/>
      <c r="S43"/>
      <c r="T43"/>
      <c r="U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s="11"/>
      <c r="CL43"/>
      <c r="CM43" s="11"/>
      <c r="CN43"/>
      <c r="CO43"/>
      <c r="CP43"/>
      <c r="CQ43"/>
      <c r="CR43"/>
      <c r="CS43"/>
      <c r="CT43"/>
      <c r="CU43"/>
      <c r="CV43"/>
      <c r="CW43"/>
      <c r="CX43"/>
      <c r="CY43"/>
      <c r="CZ43"/>
      <c r="DA43"/>
      <c r="DB43"/>
      <c r="DC43"/>
      <c r="DD43"/>
      <c r="DE43"/>
      <c r="DF43" s="11"/>
      <c r="DI43"/>
      <c r="EY43" s="10" t="str">
        <f t="shared" si="7"/>
        <v/>
      </c>
    </row>
    <row r="44" spans="1:155" s="5" customFormat="1" ht="15" thickBot="1" x14ac:dyDescent="0.4">
      <c r="A44" s="220"/>
      <c r="C44" s="211"/>
      <c r="D44" s="106"/>
      <c r="E44" s="607" t="s">
        <v>1064</v>
      </c>
      <c r="F44" s="106"/>
      <c r="G44" s="606">
        <f>SUM(G40:G43)</f>
        <v>0</v>
      </c>
      <c r="H44" s="606">
        <f t="shared" ref="H44:I44" si="11">SUM(H40:H43)</f>
        <v>0</v>
      </c>
      <c r="I44" s="606">
        <f t="shared" si="11"/>
        <v>0</v>
      </c>
      <c r="J44"/>
      <c r="K44"/>
      <c r="L44"/>
      <c r="M44"/>
      <c r="N44"/>
      <c r="O44"/>
      <c r="P44"/>
      <c r="Q44"/>
      <c r="R44"/>
      <c r="S44"/>
      <c r="T44"/>
      <c r="U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s="11"/>
      <c r="CL44"/>
      <c r="CM44" s="11"/>
      <c r="CN44"/>
      <c r="CO44"/>
      <c r="CP44"/>
      <c r="CQ44"/>
      <c r="CR44"/>
      <c r="CS44"/>
      <c r="CT44"/>
      <c r="CU44"/>
      <c r="CV44"/>
      <c r="CW44"/>
      <c r="CX44"/>
      <c r="CY44"/>
      <c r="CZ44"/>
      <c r="DA44"/>
      <c r="DB44"/>
      <c r="DC44"/>
      <c r="DD44"/>
      <c r="DE44"/>
      <c r="DF44" s="11"/>
      <c r="DI44"/>
      <c r="EY44" s="10"/>
    </row>
    <row r="45" spans="1:155" s="5" customFormat="1" x14ac:dyDescent="0.35">
      <c r="A45" s="220" cm="1">
        <f t="array" aca="1" ref="A45" ca="1">HYPERLINK(CONCATENATE("#",CELL("address",IF(MAX($CM45:$DF45)=0,A45,INDEX($CM45:$DF45,MATCH(1,$CM45:$DF45,0))))),MAX($CM45:$DF45))</f>
        <v>0</v>
      </c>
      <c r="C45" s="211"/>
      <c r="D45" s="223" t="s">
        <v>778</v>
      </c>
      <c r="E45" s="223" t="s">
        <v>146</v>
      </c>
      <c r="F45" s="223"/>
      <c r="G45" s="12">
        <f>G44+G39+G33</f>
        <v>0</v>
      </c>
      <c r="H45" s="12">
        <f t="shared" ref="H45:I45" si="12">H44+H39+H33</f>
        <v>0</v>
      </c>
      <c r="I45" s="12">
        <f t="shared" si="12"/>
        <v>0</v>
      </c>
      <c r="J45"/>
      <c r="K45"/>
      <c r="L45"/>
      <c r="M45"/>
      <c r="N45"/>
      <c r="O45"/>
      <c r="P45"/>
      <c r="Q45"/>
      <c r="R45"/>
      <c r="S45"/>
      <c r="T45"/>
      <c r="U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s="11"/>
      <c r="CL45"/>
      <c r="CM45" s="11"/>
      <c r="CN45"/>
      <c r="CO45"/>
      <c r="CP45"/>
      <c r="CQ45"/>
      <c r="CR45"/>
      <c r="CS45"/>
      <c r="CT45"/>
      <c r="CU45"/>
      <c r="CV45"/>
      <c r="CW45"/>
      <c r="CX45"/>
      <c r="CY45"/>
      <c r="CZ45"/>
      <c r="DA45"/>
      <c r="DB45"/>
      <c r="DC45"/>
      <c r="DD45"/>
      <c r="DE45"/>
      <c r="DF45" s="11"/>
      <c r="DI45"/>
      <c r="EY45" s="10" t="str">
        <f t="shared" si="7"/>
        <v/>
      </c>
    </row>
    <row r="46" spans="1:155" ht="6.75" customHeight="1" x14ac:dyDescent="0.35">
      <c r="C46" s="211"/>
      <c r="BY46" s="6"/>
      <c r="CK46" s="11"/>
      <c r="CM46" s="11"/>
      <c r="DF46" s="11"/>
      <c r="EY46" s="10" t="str">
        <f t="shared" si="7"/>
        <v/>
      </c>
    </row>
    <row r="47" spans="1:155" ht="25" x14ac:dyDescent="0.35">
      <c r="C47" s="211"/>
      <c r="D47" s="122" t="s">
        <v>1065</v>
      </c>
      <c r="E47" s="122" t="s">
        <v>1021</v>
      </c>
      <c r="F47" s="122"/>
      <c r="G47" s="122"/>
      <c r="H47" s="122" t="s">
        <v>1066</v>
      </c>
      <c r="I47" s="122" t="s">
        <v>1067</v>
      </c>
      <c r="J47" s="122" t="s">
        <v>1068</v>
      </c>
      <c r="K47" s="122" t="s">
        <v>1069</v>
      </c>
      <c r="CK47" s="11"/>
      <c r="CM47" s="11"/>
      <c r="DF47" s="11"/>
      <c r="EY47" s="10" t="str">
        <f t="shared" si="7"/>
        <v/>
      </c>
    </row>
    <row r="48" spans="1:155" ht="6.75" customHeight="1" x14ac:dyDescent="0.35">
      <c r="C48" s="211"/>
      <c r="D48" s="47"/>
      <c r="E48" s="47"/>
      <c r="F48" s="47"/>
      <c r="G48" s="47"/>
      <c r="H48" s="47"/>
      <c r="I48" s="47"/>
      <c r="J48" s="47"/>
      <c r="K48" s="47"/>
      <c r="BY48" s="6"/>
      <c r="CK48" s="11"/>
      <c r="CM48" s="11"/>
      <c r="DF48" s="11"/>
      <c r="EY48" s="10" t="str">
        <f t="shared" si="7"/>
        <v/>
      </c>
    </row>
    <row r="49" spans="1:155" s="5" customFormat="1" x14ac:dyDescent="0.35">
      <c r="A49" s="220" cm="1">
        <f t="array" aca="1" ref="A49" ca="1">HYPERLINK(CONCATENATE("#",CELL("address",IF(MAX($CM49:$DF49)=0,A49,INDEX($CM49:$DF49,MATCH(1,$CM49:$DF49,0))))),MAX($CM49:$DF49))</f>
        <v>0</v>
      </c>
      <c r="B49"/>
      <c r="C49" s="211"/>
      <c r="D49" s="106" t="s">
        <v>1062</v>
      </c>
      <c r="E49" s="106" t="str">
        <f>Parameters!C69</f>
        <v>Overdrafts</v>
      </c>
      <c r="F49" s="106"/>
      <c r="G49" s="106"/>
      <c r="H49" s="137">
        <f>'Opening Balances'!$W$37</f>
        <v>0</v>
      </c>
      <c r="I49" s="106"/>
      <c r="J49" s="215">
        <f>ROUND(H33-H49, rounding)</f>
        <v>0</v>
      </c>
      <c r="K49" s="106"/>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s="11"/>
      <c r="CL49"/>
      <c r="CM49" s="11"/>
      <c r="CN49" s="7">
        <f>IF(ABS(J49)&lt;Parameters!$D$33, 0, 1)</f>
        <v>0</v>
      </c>
      <c r="CO49"/>
      <c r="CP49"/>
      <c r="CQ49"/>
      <c r="CR49"/>
      <c r="CS49"/>
      <c r="CT49"/>
      <c r="CU49"/>
      <c r="CV49"/>
      <c r="CW49"/>
      <c r="CX49"/>
      <c r="CY49"/>
      <c r="CZ49"/>
      <c r="DA49"/>
      <c r="DB49"/>
      <c r="DC49"/>
      <c r="DD49"/>
      <c r="DE49"/>
      <c r="DF49" s="11"/>
      <c r="DI49"/>
      <c r="EY49" s="10" t="str">
        <f t="shared" si="7"/>
        <v/>
      </c>
    </row>
    <row r="50" spans="1:155" s="5" customFormat="1" x14ac:dyDescent="0.35">
      <c r="A50" s="220" cm="1">
        <f t="array" aca="1" ref="A50" ca="1">HYPERLINK(CONCATENATE("#",CELL("address",IF(MAX($CM50:$DF50)=0,A50,INDEX($CM50:$DF50,MATCH(1,$CM50:$DF50,0))))),MAX($CM50:$DF50))</f>
        <v>0</v>
      </c>
      <c r="B50"/>
      <c r="C50" s="211"/>
      <c r="D50" s="106" t="s">
        <v>1062</v>
      </c>
      <c r="E50" s="106" t="str">
        <f>Parameters!C70</f>
        <v>Loans (DfE/ESFA)</v>
      </c>
      <c r="F50" s="106"/>
      <c r="G50" s="106"/>
      <c r="H50" s="224">
        <f>'Opening Balances'!$W$38+'Opening Balances'!$W$60</f>
        <v>0</v>
      </c>
      <c r="I50" s="106"/>
      <c r="J50" s="215">
        <f>ROUND(H39-H50, rounding)</f>
        <v>0</v>
      </c>
      <c r="K50" s="106"/>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s="11"/>
      <c r="CL50"/>
      <c r="CM50" s="11"/>
      <c r="CN50" s="7">
        <f>IF(ABS(J50)&lt;Parameters!$D$33, 0, 1)</f>
        <v>0</v>
      </c>
      <c r="CO50"/>
      <c r="CP50"/>
      <c r="CQ50"/>
      <c r="CR50"/>
      <c r="CS50"/>
      <c r="CT50"/>
      <c r="CU50"/>
      <c r="CV50"/>
      <c r="CW50"/>
      <c r="CX50"/>
      <c r="CY50"/>
      <c r="CZ50"/>
      <c r="DA50"/>
      <c r="DB50"/>
      <c r="DC50"/>
      <c r="DD50"/>
      <c r="DE50"/>
      <c r="DF50" s="11"/>
      <c r="DI50"/>
      <c r="EY50" s="10" t="str">
        <f t="shared" si="7"/>
        <v/>
      </c>
    </row>
    <row r="51" spans="1:155" s="5" customFormat="1" x14ac:dyDescent="0.35">
      <c r="A51" s="220" cm="1">
        <f t="array" aca="1" ref="A51" ca="1">HYPERLINK(CONCATENATE("#",CELL("address",IF(MAX($CM51:$DF51)=0,A51,INDEX($CM51:$DF51,MATCH(1,$CM51:$DF51,0))))),MAX($CM51:$DF51))</f>
        <v>0</v>
      </c>
      <c r="B51"/>
      <c r="C51" s="211"/>
      <c r="D51" s="106" t="s">
        <v>1062</v>
      </c>
      <c r="E51" s="106" t="str">
        <f>Parameters!C71</f>
        <v>Commercial</v>
      </c>
      <c r="F51" s="106"/>
      <c r="G51" s="106"/>
      <c r="H51" s="224">
        <f>'Opening Balances'!$W$39+'Opening Balances'!$W$61</f>
        <v>0</v>
      </c>
      <c r="I51" s="106"/>
      <c r="J51" s="215">
        <f>ROUND(H44-H51, rounding)</f>
        <v>0</v>
      </c>
      <c r="K51" s="106"/>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11"/>
      <c r="CL51"/>
      <c r="CM51" s="11"/>
      <c r="CN51" s="7">
        <f>IF(ABS(J51)&lt;Parameters!$D$33, 0, 1)</f>
        <v>0</v>
      </c>
      <c r="CO51"/>
      <c r="CP51"/>
      <c r="CQ51"/>
      <c r="CR51"/>
      <c r="CS51"/>
      <c r="CT51"/>
      <c r="CU51"/>
      <c r="CV51"/>
      <c r="CW51"/>
      <c r="CX51"/>
      <c r="CY51"/>
      <c r="CZ51"/>
      <c r="DA51"/>
      <c r="DB51"/>
      <c r="DC51"/>
      <c r="DD51"/>
      <c r="DE51"/>
      <c r="DF51" s="11"/>
      <c r="DI51"/>
      <c r="EY51" s="10" t="str">
        <f t="shared" si="7"/>
        <v/>
      </c>
    </row>
    <row r="52" spans="1:155" s="5" customFormat="1" x14ac:dyDescent="0.35">
      <c r="A52" s="220" cm="1">
        <f t="array" aca="1" ref="A52" ca="1">HYPERLINK(CONCATENATE("#",CELL("address",IF(MAX($CM52:$DF52)=0,A52,INDEX($CM52:$DF52,MATCH(1,$CM52:$DF52,0))))),MAX($CM52:$DF52))</f>
        <v>0</v>
      </c>
      <c r="B52"/>
      <c r="C52" s="211"/>
      <c r="D52" s="223" t="s">
        <v>778</v>
      </c>
      <c r="E52" s="223" t="s">
        <v>146</v>
      </c>
      <c r="F52" s="223"/>
      <c r="G52" s="106"/>
      <c r="H52" s="225">
        <f>SUM(H49:H51)</f>
        <v>0</v>
      </c>
      <c r="I52" s="224">
        <f>'Opening Balances'!$W$42+'Opening Balances'!$W$64</f>
        <v>0</v>
      </c>
      <c r="J52" s="215">
        <f>ROUND(H45-H52, rounding)</f>
        <v>0</v>
      </c>
      <c r="K52" s="215">
        <f>ROUND(I45-I52, rounding)</f>
        <v>0</v>
      </c>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s="11"/>
      <c r="CL52"/>
      <c r="CM52" s="11"/>
      <c r="CN52" s="7">
        <f>IF(ABS(J52)&lt;Parameters!$D$33, 0, 1)</f>
        <v>0</v>
      </c>
      <c r="CO52" s="7">
        <f>IF(ABS(K52)&lt;Parameters!$D$33, 0, 1)</f>
        <v>0</v>
      </c>
      <c r="CP52"/>
      <c r="CQ52"/>
      <c r="CR52"/>
      <c r="CS52"/>
      <c r="CT52"/>
      <c r="CU52"/>
      <c r="CV52"/>
      <c r="CW52"/>
      <c r="CX52"/>
      <c r="CY52"/>
      <c r="CZ52"/>
      <c r="DA52"/>
      <c r="DB52"/>
      <c r="DC52"/>
      <c r="DD52"/>
      <c r="DE52"/>
      <c r="DF52" s="11"/>
      <c r="DI52"/>
      <c r="EY52" s="10" t="str">
        <f t="shared" si="7"/>
        <v/>
      </c>
    </row>
    <row r="53" spans="1:155" ht="6.75" customHeight="1" x14ac:dyDescent="0.35">
      <c r="C53" s="211"/>
      <c r="D53" s="1"/>
      <c r="E53"/>
      <c r="F53"/>
      <c r="BY53" s="6"/>
      <c r="CK53" s="35"/>
      <c r="CM53" s="35"/>
      <c r="DF53" s="35"/>
      <c r="EY53" s="10" t="str">
        <f t="shared" si="7"/>
        <v/>
      </c>
    </row>
    <row r="54" spans="1:155" x14ac:dyDescent="0.35">
      <c r="A54" s="34"/>
      <c r="B54" s="34"/>
      <c r="C54" s="238"/>
      <c r="D54" s="34" t="s">
        <v>1070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11"/>
      <c r="CM54" s="11"/>
      <c r="DF54" s="11"/>
      <c r="EY54" s="10" t="str">
        <f t="shared" si="7"/>
        <v/>
      </c>
    </row>
    <row r="55" spans="1:155" ht="6.75" customHeight="1" x14ac:dyDescent="0.35">
      <c r="C55" s="211"/>
      <c r="D55" s="1"/>
      <c r="E55"/>
      <c r="F55"/>
      <c r="BY55" s="6"/>
      <c r="CK55" s="35"/>
      <c r="CM55" s="35"/>
      <c r="DF55" s="35"/>
      <c r="EY55" s="10" t="str">
        <f t="shared" si="7"/>
        <v/>
      </c>
    </row>
    <row r="56" spans="1:155" x14ac:dyDescent="0.35">
      <c r="A56" s="53"/>
      <c r="C56" s="211"/>
      <c r="D56" s="53" t="s">
        <v>1071</v>
      </c>
      <c r="E56" s="53"/>
      <c r="F56" s="53"/>
      <c r="G56" s="53"/>
      <c r="H56" s="53"/>
      <c r="I56" s="53"/>
      <c r="J56" s="53"/>
      <c r="M56" s="53"/>
      <c r="N56" s="53"/>
      <c r="O56" s="53"/>
      <c r="P56" s="53"/>
      <c r="Q56" s="53"/>
      <c r="R56" s="53"/>
      <c r="CK56" s="11"/>
      <c r="CM56" s="11"/>
      <c r="DF56" s="11"/>
      <c r="EY56" s="10" t="str">
        <f t="shared" si="7"/>
        <v/>
      </c>
    </row>
    <row r="57" spans="1:155" x14ac:dyDescent="0.35">
      <c r="C57" s="211" t="s">
        <v>1072</v>
      </c>
      <c r="D57" t="s">
        <v>1073</v>
      </c>
      <c r="H57" s="9" t="s">
        <v>1074</v>
      </c>
      <c r="I57" s="40" t="s">
        <v>317</v>
      </c>
      <c r="V57" s="109"/>
      <c r="W57" s="133">
        <f>V61</f>
        <v>0</v>
      </c>
      <c r="X57" s="133">
        <f>W61</f>
        <v>0</v>
      </c>
      <c r="Y57" s="10">
        <f>X61</f>
        <v>0</v>
      </c>
      <c r="AA57" s="12">
        <f>W57</f>
        <v>0</v>
      </c>
      <c r="AB57" s="10">
        <f t="shared" ref="AB57:BV57" si="13">AA61</f>
        <v>0</v>
      </c>
      <c r="AC57" s="10">
        <f t="shared" si="13"/>
        <v>0</v>
      </c>
      <c r="AD57" s="10">
        <f t="shared" si="13"/>
        <v>0</v>
      </c>
      <c r="AE57" s="10">
        <f t="shared" si="13"/>
        <v>0</v>
      </c>
      <c r="AF57" s="10">
        <f t="shared" si="13"/>
        <v>0</v>
      </c>
      <c r="AG57" s="10">
        <f t="shared" si="13"/>
        <v>0</v>
      </c>
      <c r="AH57" s="10">
        <f t="shared" si="13"/>
        <v>0</v>
      </c>
      <c r="AI57" s="10">
        <f t="shared" si="13"/>
        <v>0</v>
      </c>
      <c r="AJ57" s="10">
        <f t="shared" si="13"/>
        <v>0</v>
      </c>
      <c r="AK57" s="10">
        <f t="shared" si="13"/>
        <v>0</v>
      </c>
      <c r="AL57" s="10">
        <f t="shared" si="13"/>
        <v>0</v>
      </c>
      <c r="AM57" s="10">
        <f t="shared" si="13"/>
        <v>0</v>
      </c>
      <c r="AN57" s="10">
        <f t="shared" si="13"/>
        <v>0</v>
      </c>
      <c r="AO57" s="10">
        <f t="shared" si="13"/>
        <v>0</v>
      </c>
      <c r="AP57" s="10">
        <f t="shared" si="13"/>
        <v>0</v>
      </c>
      <c r="AQ57" s="10">
        <f t="shared" si="13"/>
        <v>0</v>
      </c>
      <c r="AR57" s="10">
        <f t="shared" si="13"/>
        <v>0</v>
      </c>
      <c r="AS57" s="10">
        <f t="shared" si="13"/>
        <v>0</v>
      </c>
      <c r="AT57" s="10">
        <f t="shared" si="13"/>
        <v>0</v>
      </c>
      <c r="AU57" s="10">
        <f t="shared" si="13"/>
        <v>0</v>
      </c>
      <c r="AV57" s="10">
        <f t="shared" si="13"/>
        <v>0</v>
      </c>
      <c r="AW57" s="10">
        <f t="shared" si="13"/>
        <v>0</v>
      </c>
      <c r="AX57" s="10">
        <f t="shared" si="13"/>
        <v>0</v>
      </c>
      <c r="AY57" s="10">
        <f t="shared" si="13"/>
        <v>0</v>
      </c>
      <c r="AZ57" s="10">
        <f t="shared" si="13"/>
        <v>0</v>
      </c>
      <c r="BA57" s="10">
        <f t="shared" si="13"/>
        <v>0</v>
      </c>
      <c r="BB57" s="10">
        <f t="shared" si="13"/>
        <v>0</v>
      </c>
      <c r="BC57" s="10">
        <f t="shared" si="13"/>
        <v>0</v>
      </c>
      <c r="BD57" s="10">
        <f t="shared" si="13"/>
        <v>0</v>
      </c>
      <c r="BE57" s="10">
        <f t="shared" si="13"/>
        <v>0</v>
      </c>
      <c r="BF57" s="10">
        <f t="shared" si="13"/>
        <v>0</v>
      </c>
      <c r="BG57" s="10">
        <f t="shared" si="13"/>
        <v>0</v>
      </c>
      <c r="BH57" s="10">
        <f t="shared" si="13"/>
        <v>0</v>
      </c>
      <c r="BI57" s="10">
        <f t="shared" si="13"/>
        <v>0</v>
      </c>
      <c r="BJ57" s="10">
        <f t="shared" si="13"/>
        <v>0</v>
      </c>
      <c r="BK57" s="10">
        <f t="shared" si="13"/>
        <v>0</v>
      </c>
      <c r="BL57" s="10">
        <f t="shared" si="13"/>
        <v>0</v>
      </c>
      <c r="BM57" s="10">
        <f t="shared" si="13"/>
        <v>0</v>
      </c>
      <c r="BN57" s="10">
        <f t="shared" si="13"/>
        <v>0</v>
      </c>
      <c r="BO57" s="10">
        <f t="shared" si="13"/>
        <v>0</v>
      </c>
      <c r="BP57" s="10">
        <f t="shared" si="13"/>
        <v>0</v>
      </c>
      <c r="BQ57" s="10">
        <f t="shared" si="13"/>
        <v>0</v>
      </c>
      <c r="BR57" s="10">
        <f t="shared" si="13"/>
        <v>0</v>
      </c>
      <c r="BS57" s="10">
        <f t="shared" si="13"/>
        <v>0</v>
      </c>
      <c r="BT57" s="10">
        <f t="shared" si="13"/>
        <v>0</v>
      </c>
      <c r="BU57" s="10">
        <f t="shared" si="13"/>
        <v>0</v>
      </c>
      <c r="BV57" s="10">
        <f t="shared" si="13"/>
        <v>0</v>
      </c>
      <c r="BX57" s="12">
        <f t="shared" ref="BX57:CA61" si="14">V57</f>
        <v>0</v>
      </c>
      <c r="BY57" s="12">
        <f t="shared" si="14"/>
        <v>0</v>
      </c>
      <c r="BZ57" s="12">
        <f t="shared" si="14"/>
        <v>0</v>
      </c>
      <c r="CA57" s="12">
        <f t="shared" si="14"/>
        <v>0</v>
      </c>
      <c r="CB57" s="10">
        <f t="shared" ref="CB57:CI57" si="15">CA61</f>
        <v>0</v>
      </c>
      <c r="CC57" s="10">
        <f t="shared" si="15"/>
        <v>0</v>
      </c>
      <c r="CD57" s="10">
        <f t="shared" si="15"/>
        <v>0</v>
      </c>
      <c r="CE57" s="10">
        <f t="shared" si="15"/>
        <v>0</v>
      </c>
      <c r="CF57" s="10">
        <f t="shared" si="15"/>
        <v>0</v>
      </c>
      <c r="CG57" s="10">
        <f t="shared" si="15"/>
        <v>0</v>
      </c>
      <c r="CH57" s="10">
        <f t="shared" si="15"/>
        <v>0</v>
      </c>
      <c r="CI57" s="10">
        <f t="shared" si="15"/>
        <v>0</v>
      </c>
      <c r="CK57" s="11"/>
      <c r="CM57" s="11"/>
      <c r="CY57" s="7" cm="1">
        <f t="array" ref="CY57">SUMPRODUCT(--NOT(ISNUMBER(V57:CI57)),--NOT(ISBLANK(V57:CI57)))</f>
        <v>0</v>
      </c>
      <c r="DF57" s="11"/>
      <c r="DG57">
        <f t="shared" ref="DG57:DG120" si="16">IF(IFERROR(FIND("check", D57), 0)=0, 0, 1)</f>
        <v>0</v>
      </c>
      <c r="DH57">
        <v>1</v>
      </c>
      <c r="DI57">
        <v>0</v>
      </c>
      <c r="EY57" s="12" t="str">
        <f>IF(C57="", "", CONCATENATE(D56, " ",D57))</f>
        <v>Loan 1 Opening Loan Balance</v>
      </c>
    </row>
    <row r="58" spans="1:155" s="5" customFormat="1" x14ac:dyDescent="0.35">
      <c r="A58" s="220" cm="1">
        <f t="array" aca="1" ref="A58" ca="1">HYPERLINK(CONCATENATE("#",CELL("address",IF(MAX($CM58:$DF58)=0,A58,INDEX($CM58:$DF58,MATCH(1,$CM58:$DF58,0))))),MAX($CM58:$DF58))</f>
        <v>0</v>
      </c>
      <c r="B58"/>
      <c r="C58" s="211" t="s">
        <v>1075</v>
      </c>
      <c r="D58" t="s">
        <v>1076</v>
      </c>
      <c r="E58" s="1"/>
      <c r="F58" s="1"/>
      <c r="G58"/>
      <c r="H58" s="9" t="s">
        <v>1074</v>
      </c>
      <c r="I58" s="40" t="s">
        <v>665</v>
      </c>
      <c r="J58"/>
      <c r="K58"/>
      <c r="L58"/>
      <c r="M58"/>
      <c r="N58"/>
      <c r="O58"/>
      <c r="P58"/>
      <c r="Q58"/>
      <c r="R58"/>
      <c r="S58"/>
      <c r="T58"/>
      <c r="U58"/>
      <c r="V58" s="109"/>
      <c r="W58" s="133">
        <f t="shared" ref="W58:Y60" si="17" xml:space="preserve"> SUMIFS($AA58:$BV58, $AA$3:$BV$3, W$3)</f>
        <v>0</v>
      </c>
      <c r="X58" s="133">
        <f t="shared" si="17"/>
        <v>0</v>
      </c>
      <c r="Y58" s="133">
        <f t="shared" si="17"/>
        <v>0</v>
      </c>
      <c r="Z58"/>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c r="BX58" s="12">
        <f t="shared" si="14"/>
        <v>0</v>
      </c>
      <c r="BY58" s="12">
        <f t="shared" si="14"/>
        <v>0</v>
      </c>
      <c r="BZ58" s="12">
        <f t="shared" si="14"/>
        <v>0</v>
      </c>
      <c r="CA58" s="12">
        <f t="shared" si="14"/>
        <v>0</v>
      </c>
      <c r="CB58" s="133">
        <f xml:space="preserve"> SUMIFS($AA58:$BV58, $AA$3:$BV$3, CB$3)</f>
        <v>0</v>
      </c>
      <c r="CC58" s="109"/>
      <c r="CD58" s="109"/>
      <c r="CE58" s="109"/>
      <c r="CF58" s="109"/>
      <c r="CG58" s="109"/>
      <c r="CH58" s="109"/>
      <c r="CI58" s="109"/>
      <c r="CJ58"/>
      <c r="CK58" s="11"/>
      <c r="CL58" s="241">
        <f>IF(MIN($V58:$CI58)&lt;0, 1, 0)</f>
        <v>0</v>
      </c>
      <c r="CM58" s="11"/>
      <c r="CN58"/>
      <c r="CO58"/>
      <c r="CP58"/>
      <c r="CQ58"/>
      <c r="CR58"/>
      <c r="CS58"/>
      <c r="CT58"/>
      <c r="CU58"/>
      <c r="CV58"/>
      <c r="CW58"/>
      <c r="CX58"/>
      <c r="CY58" s="7" cm="1">
        <f t="array" ref="CY58">SUMPRODUCT(--NOT(ISNUMBER(V58:CI58)),--NOT(ISBLANK(V58:CI58)))</f>
        <v>0</v>
      </c>
      <c r="CZ58" s="7">
        <f t="shared" ref="CZ58:DB60" si="18">IF(ROUND(W58-SUMIFS($AA58:$BV58, $AA$3:$BV$3, W$3), rounding)=0, 0, 1)</f>
        <v>0</v>
      </c>
      <c r="DA58" s="7">
        <f t="shared" si="18"/>
        <v>0</v>
      </c>
      <c r="DB58" s="7">
        <f t="shared" si="18"/>
        <v>0</v>
      </c>
      <c r="DC58" s="7">
        <f>IF(ROUND(CB58-SUMIFS($AA58:$BV58, $AA$3:$BV$3, CB$3), rounding)=0, 0, 1)</f>
        <v>0</v>
      </c>
      <c r="DD58" s="7">
        <f>IF(ROUND(V58-BX58, rounding)=0, 0, 1)*'BS Forecasts'!$V$10</f>
        <v>0</v>
      </c>
      <c r="DE58"/>
      <c r="DF58" s="11"/>
      <c r="DG58">
        <f t="shared" si="16"/>
        <v>0</v>
      </c>
      <c r="DH58">
        <v>1</v>
      </c>
      <c r="DI58">
        <v>1</v>
      </c>
      <c r="EY58" s="12" t="str">
        <f>IF(C58="", "", CONCATENATE(D56, " ",D58))</f>
        <v>Loan 1 Drawdowns</v>
      </c>
    </row>
    <row r="59" spans="1:155" x14ac:dyDescent="0.35">
      <c r="A59" s="220" cm="1">
        <f t="array" aca="1" ref="A59" ca="1">HYPERLINK(CONCATENATE("#",CELL("address",IF(MAX($CM59:$DF59)=0,A59,INDEX($CM59:$DF59,MATCH(1,$CM59:$DF59,0))))),MAX($CM59:$DF59))</f>
        <v>0</v>
      </c>
      <c r="C59" s="211" t="s">
        <v>1077</v>
      </c>
      <c r="D59" t="s">
        <v>1078</v>
      </c>
      <c r="H59" s="9" t="s">
        <v>1074</v>
      </c>
      <c r="I59" s="40" t="s">
        <v>1079</v>
      </c>
      <c r="V59" s="109"/>
      <c r="W59" s="133">
        <f t="shared" si="17"/>
        <v>0</v>
      </c>
      <c r="X59" s="133">
        <f t="shared" si="17"/>
        <v>0</v>
      </c>
      <c r="Y59" s="133">
        <f t="shared" si="1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X59" s="12">
        <f t="shared" si="14"/>
        <v>0</v>
      </c>
      <c r="BY59" s="12">
        <f t="shared" si="14"/>
        <v>0</v>
      </c>
      <c r="BZ59" s="12">
        <f t="shared" si="14"/>
        <v>0</v>
      </c>
      <c r="CA59" s="12">
        <f t="shared" si="14"/>
        <v>0</v>
      </c>
      <c r="CB59" s="133">
        <f xml:space="preserve"> SUMIFS($AA59:$BV59, $AA$3:$BV$3, CB$3)</f>
        <v>0</v>
      </c>
      <c r="CC59" s="109"/>
      <c r="CD59" s="109"/>
      <c r="CE59" s="109"/>
      <c r="CF59" s="109"/>
      <c r="CG59" s="109"/>
      <c r="CH59" s="109"/>
      <c r="CI59" s="109"/>
      <c r="CK59" s="11"/>
      <c r="CL59" s="241">
        <f>IF(MAX($V59:$CI59)&gt;0, 1, 0)</f>
        <v>0</v>
      </c>
      <c r="CM59" s="11"/>
      <c r="CY59" s="7" cm="1">
        <f t="array" ref="CY59">SUMPRODUCT(--NOT(ISNUMBER(V59:CI59)),--NOT(ISBLANK(V59:CI59)))</f>
        <v>0</v>
      </c>
      <c r="CZ59" s="7">
        <f t="shared" si="18"/>
        <v>0</v>
      </c>
      <c r="DA59" s="7">
        <f t="shared" si="18"/>
        <v>0</v>
      </c>
      <c r="DB59" s="7">
        <f t="shared" si="18"/>
        <v>0</v>
      </c>
      <c r="DC59" s="7">
        <f>IF(ROUND(CB59-SUMIFS($AA59:$BV59, $AA$3:$BV$3, CB$3), rounding)=0, 0, 1)</f>
        <v>0</v>
      </c>
      <c r="DD59" s="7">
        <f>IF(ROUND(V59-BX59, rounding)=0, 0, 1)*'BS Forecasts'!$V$10</f>
        <v>0</v>
      </c>
      <c r="DF59" s="11"/>
      <c r="DG59">
        <f t="shared" si="16"/>
        <v>0</v>
      </c>
      <c r="DH59">
        <v>1</v>
      </c>
      <c r="DI59">
        <v>1</v>
      </c>
      <c r="EY59" s="12" t="str">
        <f>IF(C59="", "", CONCATENATE(D56, " ",D59))</f>
        <v>Loan 1 Loan Capital Repayment (as per loan agreement)</v>
      </c>
    </row>
    <row r="60" spans="1:155" x14ac:dyDescent="0.35">
      <c r="A60" s="220" cm="1">
        <f t="array" aca="1" ref="A60" ca="1">HYPERLINK(CONCATENATE("#",CELL("address",IF(MAX($CM60:$DF60)=0,A60,INDEX($CM60:$DF60,MATCH(1,$CM60:$DF60,0))))),MAX($CM60:$DF60))</f>
        <v>0</v>
      </c>
      <c r="C60" s="211" t="s">
        <v>1080</v>
      </c>
      <c r="D60" t="s">
        <v>1081</v>
      </c>
      <c r="H60" s="9" t="s">
        <v>1074</v>
      </c>
      <c r="I60" s="40" t="s">
        <v>1079</v>
      </c>
      <c r="V60" s="109"/>
      <c r="W60" s="133">
        <f t="shared" si="17"/>
        <v>0</v>
      </c>
      <c r="X60" s="133">
        <f t="shared" si="17"/>
        <v>0</v>
      </c>
      <c r="Y60" s="133">
        <f t="shared" si="17"/>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X60" s="12">
        <f t="shared" si="14"/>
        <v>0</v>
      </c>
      <c r="BY60" s="12">
        <f t="shared" si="14"/>
        <v>0</v>
      </c>
      <c r="BZ60" s="12">
        <f t="shared" si="14"/>
        <v>0</v>
      </c>
      <c r="CA60" s="12">
        <f t="shared" si="14"/>
        <v>0</v>
      </c>
      <c r="CB60" s="133">
        <f xml:space="preserve"> SUMIFS($AA60:$BV60, $AA$3:$BV$3, CB$3)</f>
        <v>0</v>
      </c>
      <c r="CC60" s="109"/>
      <c r="CD60" s="109"/>
      <c r="CE60" s="109"/>
      <c r="CF60" s="109"/>
      <c r="CG60" s="109"/>
      <c r="CH60" s="109"/>
      <c r="CI60" s="109"/>
      <c r="CK60" s="11"/>
      <c r="CL60" s="241">
        <f>IF(MAX($V60:$CI60)&gt;0, 1, 0)</f>
        <v>0</v>
      </c>
      <c r="CM60" s="11"/>
      <c r="CY60" s="7" cm="1">
        <f t="array" ref="CY60">SUMPRODUCT(--NOT(ISNUMBER(V60:CI60)),--NOT(ISBLANK(V60:CI60)))</f>
        <v>0</v>
      </c>
      <c r="CZ60" s="7">
        <f t="shared" si="18"/>
        <v>0</v>
      </c>
      <c r="DA60" s="7">
        <f t="shared" si="18"/>
        <v>0</v>
      </c>
      <c r="DB60" s="7">
        <f t="shared" si="18"/>
        <v>0</v>
      </c>
      <c r="DC60" s="7">
        <f>IF(ROUND(CB60-SUMIFS($AA60:$BV60, $AA$3:$BV$3, CB$3), rounding)=0, 0, 1)</f>
        <v>0</v>
      </c>
      <c r="DD60" s="7">
        <f>IF(ROUND(V60-BX60, rounding)=0, 0, 1)*'BS Forecasts'!$V$10</f>
        <v>0</v>
      </c>
      <c r="DF60" s="11"/>
      <c r="DG60">
        <f t="shared" si="16"/>
        <v>0</v>
      </c>
      <c r="DH60">
        <v>1</v>
      </c>
      <c r="DI60">
        <v>1</v>
      </c>
      <c r="EY60" s="12" t="str">
        <f>IF(C60="", "", CONCATENATE(D56, " ",D60))</f>
        <v xml:space="preserve">Loan 1 Early Repayment </v>
      </c>
    </row>
    <row r="61" spans="1:155" x14ac:dyDescent="0.35">
      <c r="C61" s="211" t="s">
        <v>1082</v>
      </c>
      <c r="D61" t="s">
        <v>1083</v>
      </c>
      <c r="H61" s="9" t="s">
        <v>1074</v>
      </c>
      <c r="I61" s="40" t="s">
        <v>317</v>
      </c>
      <c r="V61" s="12">
        <f>$H$13</f>
        <v>0</v>
      </c>
      <c r="W61" s="133">
        <f>SUM(W57:W60)</f>
        <v>0</v>
      </c>
      <c r="X61" s="133">
        <f>SUM(X57:X60)</f>
        <v>0</v>
      </c>
      <c r="Y61" s="133">
        <f>SUM(Y57:Y60)</f>
        <v>0</v>
      </c>
      <c r="AA61" s="133">
        <f t="shared" ref="AA61:BV61" si="19">SUM(AA57:AA60)</f>
        <v>0</v>
      </c>
      <c r="AB61" s="133">
        <f t="shared" si="19"/>
        <v>0</v>
      </c>
      <c r="AC61" s="133">
        <f t="shared" si="19"/>
        <v>0</v>
      </c>
      <c r="AD61" s="133">
        <f t="shared" si="19"/>
        <v>0</v>
      </c>
      <c r="AE61" s="133">
        <f t="shared" si="19"/>
        <v>0</v>
      </c>
      <c r="AF61" s="133">
        <f t="shared" si="19"/>
        <v>0</v>
      </c>
      <c r="AG61" s="133">
        <f t="shared" si="19"/>
        <v>0</v>
      </c>
      <c r="AH61" s="133">
        <f t="shared" si="19"/>
        <v>0</v>
      </c>
      <c r="AI61" s="133">
        <f t="shared" si="19"/>
        <v>0</v>
      </c>
      <c r="AJ61" s="133">
        <f t="shared" si="19"/>
        <v>0</v>
      </c>
      <c r="AK61" s="133">
        <f t="shared" si="19"/>
        <v>0</v>
      </c>
      <c r="AL61" s="133">
        <f t="shared" si="19"/>
        <v>0</v>
      </c>
      <c r="AM61" s="133">
        <f t="shared" si="19"/>
        <v>0</v>
      </c>
      <c r="AN61" s="133">
        <f t="shared" si="19"/>
        <v>0</v>
      </c>
      <c r="AO61" s="133">
        <f t="shared" si="19"/>
        <v>0</v>
      </c>
      <c r="AP61" s="133">
        <f t="shared" si="19"/>
        <v>0</v>
      </c>
      <c r="AQ61" s="133">
        <f t="shared" si="19"/>
        <v>0</v>
      </c>
      <c r="AR61" s="133">
        <f t="shared" si="19"/>
        <v>0</v>
      </c>
      <c r="AS61" s="133">
        <f t="shared" si="19"/>
        <v>0</v>
      </c>
      <c r="AT61" s="133">
        <f t="shared" si="19"/>
        <v>0</v>
      </c>
      <c r="AU61" s="133">
        <f t="shared" si="19"/>
        <v>0</v>
      </c>
      <c r="AV61" s="133">
        <f t="shared" si="19"/>
        <v>0</v>
      </c>
      <c r="AW61" s="133">
        <f t="shared" si="19"/>
        <v>0</v>
      </c>
      <c r="AX61" s="133">
        <f t="shared" si="19"/>
        <v>0</v>
      </c>
      <c r="AY61" s="133">
        <f t="shared" si="19"/>
        <v>0</v>
      </c>
      <c r="AZ61" s="133">
        <f t="shared" si="19"/>
        <v>0</v>
      </c>
      <c r="BA61" s="133">
        <f t="shared" si="19"/>
        <v>0</v>
      </c>
      <c r="BB61" s="133">
        <f t="shared" si="19"/>
        <v>0</v>
      </c>
      <c r="BC61" s="133">
        <f t="shared" si="19"/>
        <v>0</v>
      </c>
      <c r="BD61" s="133">
        <f t="shared" si="19"/>
        <v>0</v>
      </c>
      <c r="BE61" s="133">
        <f t="shared" si="19"/>
        <v>0</v>
      </c>
      <c r="BF61" s="133">
        <f t="shared" si="19"/>
        <v>0</v>
      </c>
      <c r="BG61" s="133">
        <f t="shared" si="19"/>
        <v>0</v>
      </c>
      <c r="BH61" s="133">
        <f t="shared" si="19"/>
        <v>0</v>
      </c>
      <c r="BI61" s="133">
        <f t="shared" si="19"/>
        <v>0</v>
      </c>
      <c r="BJ61" s="133">
        <f t="shared" si="19"/>
        <v>0</v>
      </c>
      <c r="BK61" s="133">
        <f t="shared" si="19"/>
        <v>0</v>
      </c>
      <c r="BL61" s="133">
        <f t="shared" si="19"/>
        <v>0</v>
      </c>
      <c r="BM61" s="133">
        <f t="shared" si="19"/>
        <v>0</v>
      </c>
      <c r="BN61" s="133">
        <f t="shared" si="19"/>
        <v>0</v>
      </c>
      <c r="BO61" s="133">
        <f t="shared" si="19"/>
        <v>0</v>
      </c>
      <c r="BP61" s="133">
        <f t="shared" si="19"/>
        <v>0</v>
      </c>
      <c r="BQ61" s="133">
        <f t="shared" si="19"/>
        <v>0</v>
      </c>
      <c r="BR61" s="133">
        <f t="shared" si="19"/>
        <v>0</v>
      </c>
      <c r="BS61" s="133">
        <f t="shared" si="19"/>
        <v>0</v>
      </c>
      <c r="BT61" s="133">
        <f t="shared" si="19"/>
        <v>0</v>
      </c>
      <c r="BU61" s="133">
        <f t="shared" si="19"/>
        <v>0</v>
      </c>
      <c r="BV61" s="133">
        <f t="shared" si="19"/>
        <v>0</v>
      </c>
      <c r="BX61" s="12">
        <f t="shared" si="14"/>
        <v>0</v>
      </c>
      <c r="BY61" s="12">
        <f t="shared" si="14"/>
        <v>0</v>
      </c>
      <c r="BZ61" s="12">
        <f t="shared" si="14"/>
        <v>0</v>
      </c>
      <c r="CA61" s="12">
        <f t="shared" si="14"/>
        <v>0</v>
      </c>
      <c r="CB61" s="133">
        <f t="shared" ref="CB61:CI61" si="20">SUM(CB57:CB60)</f>
        <v>0</v>
      </c>
      <c r="CC61" s="133">
        <f t="shared" si="20"/>
        <v>0</v>
      </c>
      <c r="CD61" s="133">
        <f t="shared" si="20"/>
        <v>0</v>
      </c>
      <c r="CE61" s="133">
        <f t="shared" si="20"/>
        <v>0</v>
      </c>
      <c r="CF61" s="133">
        <f t="shared" si="20"/>
        <v>0</v>
      </c>
      <c r="CG61" s="133">
        <f t="shared" si="20"/>
        <v>0</v>
      </c>
      <c r="CH61" s="133">
        <f t="shared" si="20"/>
        <v>0</v>
      </c>
      <c r="CI61" s="133">
        <f t="shared" si="20"/>
        <v>0</v>
      </c>
      <c r="CK61" s="11"/>
      <c r="CM61" s="11"/>
      <c r="DF61" s="11"/>
      <c r="DG61">
        <f t="shared" si="16"/>
        <v>0</v>
      </c>
      <c r="DH61">
        <v>0</v>
      </c>
      <c r="DI61">
        <v>0</v>
      </c>
      <c r="EY61" s="12" t="str">
        <f>IF(C61="", "", CONCATENATE(D56, " ",D61))</f>
        <v>Loan 1 Closing Loan Balance</v>
      </c>
    </row>
    <row r="62" spans="1:155" ht="6.75" customHeight="1" x14ac:dyDescent="0.35">
      <c r="C62" s="211"/>
      <c r="D62" s="1"/>
      <c r="E62"/>
      <c r="F62"/>
      <c r="BY62" s="6"/>
      <c r="CK62" s="35"/>
      <c r="CM62" s="35"/>
      <c r="DF62" s="35"/>
      <c r="DG62">
        <f t="shared" si="16"/>
        <v>0</v>
      </c>
      <c r="DH62">
        <v>0</v>
      </c>
      <c r="DI62">
        <v>0</v>
      </c>
      <c r="EY62" s="12" t="str">
        <f>IF(C62="", "", CONCATENATE(D56, " ",D62))</f>
        <v/>
      </c>
    </row>
    <row r="63" spans="1:155" x14ac:dyDescent="0.35">
      <c r="A63" s="220" cm="1">
        <f t="array" aca="1" ref="A63" ca="1">HYPERLINK(CONCATENATE("#",CELL("address",IF(MAX($CM63:$DF63)=0,A63,INDEX($CM63:$DF63,MATCH(1,$CM63:$DF63,0))))),MAX($CM63:$DF63))</f>
        <v>0</v>
      </c>
      <c r="C63" s="211"/>
      <c r="D63" t="s">
        <v>1084</v>
      </c>
      <c r="E63" s="118" t="s">
        <v>1085</v>
      </c>
      <c r="F63" s="118"/>
      <c r="G63" s="133">
        <f>$G$13</f>
        <v>0</v>
      </c>
      <c r="V63" s="7">
        <f>IF(OR(V61&gt;$G63, V61&lt;0), 1, 0)</f>
        <v>0</v>
      </c>
      <c r="W63" s="7">
        <f>IF(OR(W61&gt;$G63, W61&lt;0), 1, 0)</f>
        <v>0</v>
      </c>
      <c r="X63" s="7">
        <f>IF(OR(X61&gt;$G63, X61&lt;0), 1, 0)</f>
        <v>0</v>
      </c>
      <c r="Y63" s="7">
        <f>IF(OR(Y61&gt;$G63, Y61&lt;0), 1, 0)</f>
        <v>0</v>
      </c>
      <c r="AA63" s="7">
        <f t="shared" ref="AA63:BV63" si="21">IF(OR(AA61&gt;$G63, AA61&lt;0), 1, 0)</f>
        <v>0</v>
      </c>
      <c r="AB63" s="7">
        <f t="shared" si="21"/>
        <v>0</v>
      </c>
      <c r="AC63" s="7">
        <f t="shared" si="21"/>
        <v>0</v>
      </c>
      <c r="AD63" s="7">
        <f t="shared" si="21"/>
        <v>0</v>
      </c>
      <c r="AE63" s="7">
        <f t="shared" si="21"/>
        <v>0</v>
      </c>
      <c r="AF63" s="7">
        <f t="shared" si="21"/>
        <v>0</v>
      </c>
      <c r="AG63" s="7">
        <f t="shared" si="21"/>
        <v>0</v>
      </c>
      <c r="AH63" s="7">
        <f t="shared" si="21"/>
        <v>0</v>
      </c>
      <c r="AI63" s="7">
        <f t="shared" si="21"/>
        <v>0</v>
      </c>
      <c r="AJ63" s="7">
        <f t="shared" si="21"/>
        <v>0</v>
      </c>
      <c r="AK63" s="7">
        <f t="shared" si="21"/>
        <v>0</v>
      </c>
      <c r="AL63" s="7">
        <f t="shared" si="21"/>
        <v>0</v>
      </c>
      <c r="AM63" s="7">
        <f t="shared" si="21"/>
        <v>0</v>
      </c>
      <c r="AN63" s="7">
        <f t="shared" si="21"/>
        <v>0</v>
      </c>
      <c r="AO63" s="7">
        <f t="shared" si="21"/>
        <v>0</v>
      </c>
      <c r="AP63" s="7">
        <f t="shared" si="21"/>
        <v>0</v>
      </c>
      <c r="AQ63" s="7">
        <f t="shared" si="21"/>
        <v>0</v>
      </c>
      <c r="AR63" s="7">
        <f t="shared" si="21"/>
        <v>0</v>
      </c>
      <c r="AS63" s="7">
        <f t="shared" si="21"/>
        <v>0</v>
      </c>
      <c r="AT63" s="7">
        <f t="shared" si="21"/>
        <v>0</v>
      </c>
      <c r="AU63" s="7">
        <f t="shared" si="21"/>
        <v>0</v>
      </c>
      <c r="AV63" s="7">
        <f t="shared" si="21"/>
        <v>0</v>
      </c>
      <c r="AW63" s="7">
        <f t="shared" si="21"/>
        <v>0</v>
      </c>
      <c r="AX63" s="7">
        <f t="shared" si="21"/>
        <v>0</v>
      </c>
      <c r="AY63" s="7">
        <f t="shared" si="21"/>
        <v>0</v>
      </c>
      <c r="AZ63" s="7">
        <f t="shared" si="21"/>
        <v>0</v>
      </c>
      <c r="BA63" s="7">
        <f t="shared" si="21"/>
        <v>0</v>
      </c>
      <c r="BB63" s="7">
        <f t="shared" si="21"/>
        <v>0</v>
      </c>
      <c r="BC63" s="7">
        <f t="shared" si="21"/>
        <v>0</v>
      </c>
      <c r="BD63" s="7">
        <f t="shared" si="21"/>
        <v>0</v>
      </c>
      <c r="BE63" s="7">
        <f t="shared" si="21"/>
        <v>0</v>
      </c>
      <c r="BF63" s="7">
        <f t="shared" si="21"/>
        <v>0</v>
      </c>
      <c r="BG63" s="7">
        <f t="shared" si="21"/>
        <v>0</v>
      </c>
      <c r="BH63" s="7">
        <f t="shared" si="21"/>
        <v>0</v>
      </c>
      <c r="BI63" s="7">
        <f t="shared" si="21"/>
        <v>0</v>
      </c>
      <c r="BJ63" s="7">
        <f t="shared" si="21"/>
        <v>0</v>
      </c>
      <c r="BK63" s="7">
        <f t="shared" si="21"/>
        <v>0</v>
      </c>
      <c r="BL63" s="7">
        <f t="shared" si="21"/>
        <v>0</v>
      </c>
      <c r="BM63" s="7">
        <f t="shared" si="21"/>
        <v>0</v>
      </c>
      <c r="BN63" s="7">
        <f t="shared" si="21"/>
        <v>0</v>
      </c>
      <c r="BO63" s="7">
        <f t="shared" si="21"/>
        <v>0</v>
      </c>
      <c r="BP63" s="7">
        <f t="shared" si="21"/>
        <v>0</v>
      </c>
      <c r="BQ63" s="7">
        <f t="shared" si="21"/>
        <v>0</v>
      </c>
      <c r="BR63" s="7">
        <f t="shared" si="21"/>
        <v>0</v>
      </c>
      <c r="BS63" s="7">
        <f t="shared" si="21"/>
        <v>0</v>
      </c>
      <c r="BT63" s="7">
        <f t="shared" si="21"/>
        <v>0</v>
      </c>
      <c r="BU63" s="7">
        <f t="shared" si="21"/>
        <v>0</v>
      </c>
      <c r="BV63" s="7">
        <f t="shared" si="21"/>
        <v>0</v>
      </c>
      <c r="BX63" s="7">
        <f t="shared" ref="BX63:CI63" si="22">IF(OR(BX61&gt;$G63, BX61&lt;0), 1, 0)</f>
        <v>0</v>
      </c>
      <c r="BY63" s="7">
        <f t="shared" si="22"/>
        <v>0</v>
      </c>
      <c r="BZ63" s="7">
        <f t="shared" si="22"/>
        <v>0</v>
      </c>
      <c r="CA63" s="7">
        <f t="shared" si="22"/>
        <v>0</v>
      </c>
      <c r="CB63" s="7">
        <f t="shared" si="22"/>
        <v>0</v>
      </c>
      <c r="CC63" s="7">
        <f t="shared" si="22"/>
        <v>0</v>
      </c>
      <c r="CD63" s="7">
        <f t="shared" si="22"/>
        <v>0</v>
      </c>
      <c r="CE63" s="7">
        <f t="shared" si="22"/>
        <v>0</v>
      </c>
      <c r="CF63" s="7">
        <f t="shared" si="22"/>
        <v>0</v>
      </c>
      <c r="CG63" s="7">
        <f t="shared" si="22"/>
        <v>0</v>
      </c>
      <c r="CH63" s="7">
        <f t="shared" si="22"/>
        <v>0</v>
      </c>
      <c r="CI63" s="7">
        <f t="shared" si="22"/>
        <v>0</v>
      </c>
      <c r="CK63" s="11"/>
      <c r="CM63" s="11"/>
      <c r="CX63" s="7">
        <f>IF(MAX(V63:CI63)&gt;0, 1, 0)</f>
        <v>0</v>
      </c>
      <c r="DF63" s="11"/>
      <c r="DG63">
        <f t="shared" si="16"/>
        <v>1</v>
      </c>
      <c r="DH63">
        <v>0</v>
      </c>
      <c r="DI63">
        <v>0</v>
      </c>
      <c r="EY63" s="12" t="str">
        <f>IF(C63="", "", CONCATENATE(D56, " ",D63))</f>
        <v/>
      </c>
    </row>
    <row r="64" spans="1:155" x14ac:dyDescent="0.35">
      <c r="A64" s="220" cm="1">
        <f t="array" aca="1" ref="A64" ca="1">HYPERLINK(CONCATENATE("#",CELL("address",IF(MAX($CM64:$DF64)=0,A64,INDEX($CM64:$DF64,MATCH(1,$CM64:$DF64,0))))),MAX($CM64:$DF64))</f>
        <v>0</v>
      </c>
      <c r="C64" s="211"/>
      <c r="D64" t="s">
        <v>1086</v>
      </c>
      <c r="E64" s="118" t="s">
        <v>1087</v>
      </c>
      <c r="F64" s="118"/>
      <c r="G64" s="140" t="str">
        <f>IF($K$13="", "", $K$13)</f>
        <v/>
      </c>
      <c r="V64" s="7">
        <f>IF(AND(V$5&gt;=$G64,SUM(V61:$Y61)&lt;&gt;0),1,0)</f>
        <v>0</v>
      </c>
      <c r="W64" s="7">
        <f>IF(AND(W$5&gt;=$G64,SUM(W61:$Y61)&lt;&gt;0),1,0)</f>
        <v>0</v>
      </c>
      <c r="X64" s="7">
        <f>IF(AND(X$5&gt;=$G64,SUM(X61:$Y61)&lt;&gt;0),1,0)</f>
        <v>0</v>
      </c>
      <c r="Y64" s="7">
        <f>IF(AND(Y$5&gt;=$G64,SUM(Y61:$Y61)&lt;&gt;0),1,0)</f>
        <v>0</v>
      </c>
      <c r="AA64" s="7">
        <f>IF(AND(AA$5&gt;=$G64,SUM(AA61:$BV61)&lt;&gt;0),1,0)</f>
        <v>0</v>
      </c>
      <c r="AB64" s="7">
        <f>IF(AND(AB$5&gt;=$G64,SUM(AB61:$BV61)&lt;&gt;0),1,0)</f>
        <v>0</v>
      </c>
      <c r="AC64" s="7">
        <f>IF(AND(AC$5&gt;=$G64,SUM(AC61:$BV61)&lt;&gt;0),1,0)</f>
        <v>0</v>
      </c>
      <c r="AD64" s="7">
        <f>IF(AND(AD$5&gt;=$G64,SUM(AD61:$BV61)&lt;&gt;0),1,0)</f>
        <v>0</v>
      </c>
      <c r="AE64" s="7">
        <f>IF(AND(AE$5&gt;=$G64,SUM(AE61:$BV61)&lt;&gt;0),1,0)</f>
        <v>0</v>
      </c>
      <c r="AF64" s="7">
        <f>IF(AND(AF$5&gt;=$G64,SUM(AF61:$BV61)&lt;&gt;0),1,0)</f>
        <v>0</v>
      </c>
      <c r="AG64" s="7">
        <f>IF(AND(AG$5&gt;=$G64,SUM(AG61:$BV61)&lt;&gt;0),1,0)</f>
        <v>0</v>
      </c>
      <c r="AH64" s="7">
        <f>IF(AND(AH$5&gt;=$G64,SUM(AH61:$BV61)&lt;&gt;0),1,0)</f>
        <v>0</v>
      </c>
      <c r="AI64" s="7">
        <f>IF(AND(AI$5&gt;=$G64,SUM(AI61:$BV61)&lt;&gt;0),1,0)</f>
        <v>0</v>
      </c>
      <c r="AJ64" s="7">
        <f>IF(AND(AJ$5&gt;=$G64,SUM(AJ61:$BV61)&lt;&gt;0),1,0)</f>
        <v>0</v>
      </c>
      <c r="AK64" s="7">
        <f>IF(AND(AK$5&gt;=$G64,SUM(AK61:$BV61)&lt;&gt;0),1,0)</f>
        <v>0</v>
      </c>
      <c r="AL64" s="7">
        <f>IF(AND(AL$5&gt;=$G64,SUM(AL61:$BV61)&lt;&gt;0),1,0)</f>
        <v>0</v>
      </c>
      <c r="AM64" s="7">
        <f>IF(AND(AM$5&gt;=$G64,SUM(AM61:$BV61)&lt;&gt;0),1,0)</f>
        <v>0</v>
      </c>
      <c r="AN64" s="7">
        <f>IF(AND(AN$5&gt;=$G64,SUM(AN61:$BV61)&lt;&gt;0),1,0)</f>
        <v>0</v>
      </c>
      <c r="AO64" s="7">
        <f>IF(AND(AO$5&gt;=$G64,SUM(AO61:$BV61)&lt;&gt;0),1,0)</f>
        <v>0</v>
      </c>
      <c r="AP64" s="7">
        <f>IF(AND(AP$5&gt;=$G64,SUM(AP61:$BV61)&lt;&gt;0),1,0)</f>
        <v>0</v>
      </c>
      <c r="AQ64" s="7">
        <f>IF(AND(AQ$5&gt;=$G64,SUM(AQ61:$BV61)&lt;&gt;0),1,0)</f>
        <v>0</v>
      </c>
      <c r="AR64" s="7">
        <f>IF(AND(AR$5&gt;=$G64,SUM(AR61:$BV61)&lt;&gt;0),1,0)</f>
        <v>0</v>
      </c>
      <c r="AS64" s="7">
        <f>IF(AND(AS$5&gt;=$G64,SUM(AS61:$BV61)&lt;&gt;0),1,0)</f>
        <v>0</v>
      </c>
      <c r="AT64" s="7">
        <f>IF(AND(AT$5&gt;=$G64,SUM(AT61:$BV61)&lt;&gt;0),1,0)</f>
        <v>0</v>
      </c>
      <c r="AU64" s="7">
        <f>IF(AND(AU$5&gt;=$G64,SUM(AU61:$BV61)&lt;&gt;0),1,0)</f>
        <v>0</v>
      </c>
      <c r="AV64" s="7">
        <f>IF(AND(AV$5&gt;=$G64,SUM(AV61:$BV61)&lt;&gt;0),1,0)</f>
        <v>0</v>
      </c>
      <c r="AW64" s="7">
        <f>IF(AND(AW$5&gt;=$G64,SUM(AW61:$BV61)&lt;&gt;0),1,0)</f>
        <v>0</v>
      </c>
      <c r="AX64" s="7">
        <f>IF(AND(AX$5&gt;=$G64,SUM(AX61:$BV61)&lt;&gt;0),1,0)</f>
        <v>0</v>
      </c>
      <c r="AY64" s="7">
        <f>IF(AND(AY$5&gt;=$G64,SUM(AY61:$BV61)&lt;&gt;0),1,0)</f>
        <v>0</v>
      </c>
      <c r="AZ64" s="7">
        <f>IF(AND(AZ$5&gt;=$G64,SUM(AZ61:$BV61)&lt;&gt;0),1,0)</f>
        <v>0</v>
      </c>
      <c r="BA64" s="7">
        <f>IF(AND(BA$5&gt;=$G64,SUM(BA61:$BV61)&lt;&gt;0),1,0)</f>
        <v>0</v>
      </c>
      <c r="BB64" s="7">
        <f>IF(AND(BB$5&gt;=$G64,SUM(BB61:$BV61)&lt;&gt;0),1,0)</f>
        <v>0</v>
      </c>
      <c r="BC64" s="7">
        <f>IF(AND(BC$5&gt;=$G64,SUM(BC61:$BV61)&lt;&gt;0),1,0)</f>
        <v>0</v>
      </c>
      <c r="BD64" s="7">
        <f>IF(AND(BD$5&gt;=$G64,SUM(BD61:$BV61)&lt;&gt;0),1,0)</f>
        <v>0</v>
      </c>
      <c r="BE64" s="7">
        <f>IF(AND(BE$5&gt;=$G64,SUM(BE61:$BV61)&lt;&gt;0),1,0)</f>
        <v>0</v>
      </c>
      <c r="BF64" s="7">
        <f>IF(AND(BF$5&gt;=$G64,SUM(BF61:$BV61)&lt;&gt;0),1,0)</f>
        <v>0</v>
      </c>
      <c r="BG64" s="7">
        <f>IF(AND(BG$5&gt;=$G64,SUM(BG61:$BV61)&lt;&gt;0),1,0)</f>
        <v>0</v>
      </c>
      <c r="BH64" s="7">
        <f>IF(AND(BH$5&gt;=$G64,SUM(BH61:$BV61)&lt;&gt;0),1,0)</f>
        <v>0</v>
      </c>
      <c r="BI64" s="7">
        <f>IF(AND(BI$5&gt;=$G64,SUM(BI61:$BV61)&lt;&gt;0),1,0)</f>
        <v>0</v>
      </c>
      <c r="BJ64" s="7">
        <f>IF(AND(BJ$5&gt;=$G64,SUM(BJ61:$BV61)&lt;&gt;0),1,0)</f>
        <v>0</v>
      </c>
      <c r="BK64" s="7">
        <f>IF(AND(BK$5&gt;=$G64,SUM(BK61:$BV61)&lt;&gt;0),1,0)</f>
        <v>0</v>
      </c>
      <c r="BL64" s="7">
        <f>IF(AND(BL$5&gt;=$G64,SUM(BL61:$BV61)&lt;&gt;0),1,0)</f>
        <v>0</v>
      </c>
      <c r="BM64" s="7">
        <f>IF(AND(BM$5&gt;=$G64,SUM(BM61:$BV61)&lt;&gt;0),1,0)</f>
        <v>0</v>
      </c>
      <c r="BN64" s="7">
        <f>IF(AND(BN$5&gt;=$G64,SUM(BN61:$BV61)&lt;&gt;0),1,0)</f>
        <v>0</v>
      </c>
      <c r="BO64" s="7">
        <f>IF(AND(BO$5&gt;=$G64,SUM(BO61:$BV61)&lt;&gt;0),1,0)</f>
        <v>0</v>
      </c>
      <c r="BP64" s="7">
        <f>IF(AND(BP$5&gt;=$G64,SUM(BP61:$BV61)&lt;&gt;0),1,0)</f>
        <v>0</v>
      </c>
      <c r="BQ64" s="7">
        <f>IF(AND(BQ$5&gt;=$G64,SUM(BQ61:$BV61)&lt;&gt;0),1,0)</f>
        <v>0</v>
      </c>
      <c r="BR64" s="7">
        <f>IF(AND(BR$5&gt;=$G64,SUM(BR61:$BV61)&lt;&gt;0),1,0)</f>
        <v>0</v>
      </c>
      <c r="BS64" s="7">
        <f>IF(AND(BS$5&gt;=$G64,SUM(BS61:$BV61)&lt;&gt;0),1,0)</f>
        <v>0</v>
      </c>
      <c r="BT64" s="7">
        <f>IF(AND(BT$5&gt;=$G64,SUM(BT61:$BV61)&lt;&gt;0),1,0)</f>
        <v>0</v>
      </c>
      <c r="BU64" s="7">
        <f>IF(AND(BU$5&gt;=$G64,SUM(BU61:$BV61)&lt;&gt;0),1,0)</f>
        <v>0</v>
      </c>
      <c r="BV64" s="7">
        <f>IF(AND(BV$5&gt;=$G64,SUM(BV61:$BV61)&lt;&gt;0),1,0)</f>
        <v>0</v>
      </c>
      <c r="BX64" s="7">
        <f>IF(AND(BX$5&gt;=$G64,SUM(BX61:$CI61)&lt;&gt;0),1,0)*BX$1159</f>
        <v>0</v>
      </c>
      <c r="BY64" s="7">
        <f>IF(AND(BY$5&gt;=$G64,SUM(BY61:$CI61)&lt;&gt;0),1,0)*BY$1159</f>
        <v>0</v>
      </c>
      <c r="BZ64" s="7">
        <f>IF(AND(BZ$5&gt;=$G64,SUM(BZ61:$CI61)&lt;&gt;0),1,0)*BZ$1159</f>
        <v>0</v>
      </c>
      <c r="CA64" s="7">
        <f>IF(AND(CA$5&gt;=$G64,SUM(CA61:$CI61)&lt;&gt;0),1,0)*CA$1159</f>
        <v>0</v>
      </c>
      <c r="CB64" s="7">
        <f>IF(AND(CB$5&gt;=$G64,SUM(CB61:$CI61)&lt;&gt;0),1,0)*CB$1159</f>
        <v>0</v>
      </c>
      <c r="CC64" s="7">
        <f>IF(AND(CC$5&gt;=$G64,SUM(CC61:$CI61)&lt;&gt;0),1,0)*CC$1159</f>
        <v>0</v>
      </c>
      <c r="CD64" s="7">
        <f>IF(AND(CD$5&gt;=$G64,SUM(CD61:$CI61)&lt;&gt;0),1,0)*CD$1159</f>
        <v>0</v>
      </c>
      <c r="CE64" s="7">
        <f>IF(AND(CE$5&gt;=$G64,SUM(CE61:$CI61)&lt;&gt;0),1,0)*CE$1159</f>
        <v>0</v>
      </c>
      <c r="CF64" s="7">
        <f>IF(AND(CF$5&gt;=$G64,SUM(CF61:$CI61)&lt;&gt;0),1,0)*CF$1159</f>
        <v>0</v>
      </c>
      <c r="CG64" s="7">
        <f>IF(AND(CG$5&gt;=$G64,SUM(CG61:$CI61)&lt;&gt;0),1,0)*CG$1159</f>
        <v>0</v>
      </c>
      <c r="CH64" s="7">
        <f>IF(AND(CH$5&gt;=$G64,SUM(CH61:$CI61)&lt;&gt;0),1,0)*CH$1159</f>
        <v>0</v>
      </c>
      <c r="CI64" s="7">
        <f>IF(AND(CI$5&gt;=$G64,SUM(CI61:$CI61)&lt;&gt;0),1,0)*CI$1159</f>
        <v>0</v>
      </c>
      <c r="CK64" s="11"/>
      <c r="CM64" s="11"/>
      <c r="CX64" s="7">
        <f>IF(MAX($V64:$CI64)&gt;0, 1, 0)</f>
        <v>0</v>
      </c>
      <c r="DF64" s="11"/>
      <c r="DG64">
        <f t="shared" si="16"/>
        <v>1</v>
      </c>
      <c r="DH64">
        <v>0</v>
      </c>
      <c r="DI64">
        <v>0</v>
      </c>
      <c r="EY64" s="12" t="str">
        <f>IF(C64="", "", CONCATENATE(D56, " ",D64))</f>
        <v/>
      </c>
    </row>
    <row r="65" spans="1:155" ht="6.75" customHeight="1" x14ac:dyDescent="0.35">
      <c r="C65" s="211"/>
      <c r="D65" s="1"/>
      <c r="E65"/>
      <c r="F65"/>
      <c r="BY65" s="6"/>
      <c r="CK65" s="35"/>
      <c r="CM65" s="35"/>
      <c r="DF65" s="35"/>
      <c r="DG65">
        <f t="shared" si="16"/>
        <v>0</v>
      </c>
      <c r="DH65">
        <v>0</v>
      </c>
      <c r="DI65">
        <v>0</v>
      </c>
      <c r="EY65" s="12" t="str">
        <f>IF(C65="", "", CONCATENATE(D56, " ",D65))</f>
        <v/>
      </c>
    </row>
    <row r="66" spans="1:155" x14ac:dyDescent="0.35">
      <c r="C66" s="211"/>
      <c r="D66" t="s">
        <v>1088</v>
      </c>
      <c r="H66" s="9" t="s">
        <v>1074</v>
      </c>
      <c r="I66" s="40" t="s">
        <v>317</v>
      </c>
      <c r="V66" s="109"/>
      <c r="W66" s="133">
        <f>V69</f>
        <v>0</v>
      </c>
      <c r="X66" s="133">
        <f>W69</f>
        <v>0</v>
      </c>
      <c r="Y66" s="10">
        <f>X69</f>
        <v>0</v>
      </c>
      <c r="AA66" s="12">
        <f>W66</f>
        <v>0</v>
      </c>
      <c r="AB66" s="10">
        <f t="shared" ref="AB66:BV66" si="23">AA69</f>
        <v>0</v>
      </c>
      <c r="AC66" s="10">
        <f t="shared" si="23"/>
        <v>0</v>
      </c>
      <c r="AD66" s="10">
        <f t="shared" si="23"/>
        <v>0</v>
      </c>
      <c r="AE66" s="10">
        <f t="shared" si="23"/>
        <v>0</v>
      </c>
      <c r="AF66" s="10">
        <f t="shared" si="23"/>
        <v>0</v>
      </c>
      <c r="AG66" s="10">
        <f t="shared" si="23"/>
        <v>0</v>
      </c>
      <c r="AH66" s="10">
        <f t="shared" si="23"/>
        <v>0</v>
      </c>
      <c r="AI66" s="10">
        <f t="shared" si="23"/>
        <v>0</v>
      </c>
      <c r="AJ66" s="10">
        <f t="shared" si="23"/>
        <v>0</v>
      </c>
      <c r="AK66" s="10">
        <f t="shared" si="23"/>
        <v>0</v>
      </c>
      <c r="AL66" s="10">
        <f t="shared" si="23"/>
        <v>0</v>
      </c>
      <c r="AM66" s="10">
        <f t="shared" si="23"/>
        <v>0</v>
      </c>
      <c r="AN66" s="10">
        <f t="shared" si="23"/>
        <v>0</v>
      </c>
      <c r="AO66" s="10">
        <f t="shared" si="23"/>
        <v>0</v>
      </c>
      <c r="AP66" s="10">
        <f t="shared" si="23"/>
        <v>0</v>
      </c>
      <c r="AQ66" s="10">
        <f t="shared" si="23"/>
        <v>0</v>
      </c>
      <c r="AR66" s="10">
        <f t="shared" si="23"/>
        <v>0</v>
      </c>
      <c r="AS66" s="10">
        <f t="shared" si="23"/>
        <v>0</v>
      </c>
      <c r="AT66" s="10">
        <f t="shared" si="23"/>
        <v>0</v>
      </c>
      <c r="AU66" s="10">
        <f t="shared" si="23"/>
        <v>0</v>
      </c>
      <c r="AV66" s="10">
        <f t="shared" si="23"/>
        <v>0</v>
      </c>
      <c r="AW66" s="10">
        <f t="shared" si="23"/>
        <v>0</v>
      </c>
      <c r="AX66" s="10">
        <f t="shared" si="23"/>
        <v>0</v>
      </c>
      <c r="AY66" s="10">
        <f t="shared" si="23"/>
        <v>0</v>
      </c>
      <c r="AZ66" s="10">
        <f t="shared" si="23"/>
        <v>0</v>
      </c>
      <c r="BA66" s="10">
        <f t="shared" si="23"/>
        <v>0</v>
      </c>
      <c r="BB66" s="10">
        <f t="shared" si="23"/>
        <v>0</v>
      </c>
      <c r="BC66" s="10">
        <f t="shared" si="23"/>
        <v>0</v>
      </c>
      <c r="BD66" s="10">
        <f t="shared" si="23"/>
        <v>0</v>
      </c>
      <c r="BE66" s="10">
        <f t="shared" si="23"/>
        <v>0</v>
      </c>
      <c r="BF66" s="10">
        <f t="shared" si="23"/>
        <v>0</v>
      </c>
      <c r="BG66" s="10">
        <f t="shared" si="23"/>
        <v>0</v>
      </c>
      <c r="BH66" s="10">
        <f t="shared" si="23"/>
        <v>0</v>
      </c>
      <c r="BI66" s="10">
        <f t="shared" si="23"/>
        <v>0</v>
      </c>
      <c r="BJ66" s="10">
        <f t="shared" si="23"/>
        <v>0</v>
      </c>
      <c r="BK66" s="10">
        <f t="shared" si="23"/>
        <v>0</v>
      </c>
      <c r="BL66" s="10">
        <f t="shared" si="23"/>
        <v>0</v>
      </c>
      <c r="BM66" s="10">
        <f t="shared" si="23"/>
        <v>0</v>
      </c>
      <c r="BN66" s="10">
        <f t="shared" si="23"/>
        <v>0</v>
      </c>
      <c r="BO66" s="10">
        <f t="shared" si="23"/>
        <v>0</v>
      </c>
      <c r="BP66" s="10">
        <f t="shared" si="23"/>
        <v>0</v>
      </c>
      <c r="BQ66" s="10">
        <f t="shared" si="23"/>
        <v>0</v>
      </c>
      <c r="BR66" s="10">
        <f t="shared" si="23"/>
        <v>0</v>
      </c>
      <c r="BS66" s="10">
        <f t="shared" si="23"/>
        <v>0</v>
      </c>
      <c r="BT66" s="10">
        <f t="shared" si="23"/>
        <v>0</v>
      </c>
      <c r="BU66" s="10">
        <f t="shared" si="23"/>
        <v>0</v>
      </c>
      <c r="BV66" s="10">
        <f t="shared" si="23"/>
        <v>0</v>
      </c>
      <c r="BX66" s="12">
        <f t="shared" ref="BX66:CA69" si="24">V66</f>
        <v>0</v>
      </c>
      <c r="BY66" s="12">
        <f t="shared" si="24"/>
        <v>0</v>
      </c>
      <c r="BZ66" s="12">
        <f t="shared" si="24"/>
        <v>0</v>
      </c>
      <c r="CA66" s="12">
        <f t="shared" si="24"/>
        <v>0</v>
      </c>
      <c r="CB66" s="10">
        <f t="shared" ref="CB66:CI66" si="25">CA69</f>
        <v>0</v>
      </c>
      <c r="CC66" s="10">
        <f t="shared" si="25"/>
        <v>0</v>
      </c>
      <c r="CD66" s="10">
        <f t="shared" si="25"/>
        <v>0</v>
      </c>
      <c r="CE66" s="10">
        <f t="shared" si="25"/>
        <v>0</v>
      </c>
      <c r="CF66" s="10">
        <f t="shared" si="25"/>
        <v>0</v>
      </c>
      <c r="CG66" s="10">
        <f t="shared" si="25"/>
        <v>0</v>
      </c>
      <c r="CH66" s="10">
        <f t="shared" si="25"/>
        <v>0</v>
      </c>
      <c r="CI66" s="10">
        <f t="shared" si="25"/>
        <v>0</v>
      </c>
      <c r="CK66" s="11"/>
      <c r="CM66" s="11"/>
      <c r="CY66" s="7" cm="1">
        <f t="array" ref="CY66">SUMPRODUCT(--NOT(ISNUMBER(V66:CI66)),--NOT(ISBLANK(V66:CI66)))</f>
        <v>0</v>
      </c>
      <c r="DF66" s="11"/>
      <c r="DG66">
        <f t="shared" si="16"/>
        <v>0</v>
      </c>
      <c r="DH66">
        <v>1</v>
      </c>
      <c r="DI66">
        <v>0</v>
      </c>
      <c r="EY66" s="12" t="str">
        <f>IF(C66="", "", CONCATENATE(D56, " ",D66))</f>
        <v/>
      </c>
    </row>
    <row r="67" spans="1:155" s="5" customFormat="1" x14ac:dyDescent="0.35">
      <c r="A67" s="220" cm="1">
        <f t="array" aca="1" ref="A67" ca="1">HYPERLINK(CONCATENATE("#",CELL("address",IF(MAX($CM67:$DF67)=0,A67,INDEX($CM67:$DF67,MATCH(1,$CM67:$DF67,0))))),MAX($CM67:$DF67))</f>
        <v>0</v>
      </c>
      <c r="B67" s="85" t="s">
        <v>122</v>
      </c>
      <c r="C67" s="211"/>
      <c r="D67" t="s">
        <v>1089</v>
      </c>
      <c r="E67" s="1"/>
      <c r="F67" s="1"/>
      <c r="G67"/>
      <c r="H67" s="9" t="s">
        <v>1074</v>
      </c>
      <c r="I67" s="40" t="s">
        <v>665</v>
      </c>
      <c r="J67"/>
      <c r="K67"/>
      <c r="L67"/>
      <c r="M67"/>
      <c r="N67"/>
      <c r="O67"/>
      <c r="P67"/>
      <c r="Q67"/>
      <c r="R67"/>
      <c r="S67"/>
      <c r="T67"/>
      <c r="U67"/>
      <c r="V67" s="109"/>
      <c r="W67" s="133">
        <f t="shared" ref="W67:Y68" si="26" xml:space="preserve"> SUMIFS($AA67:$BV67, $AA$3:$BV$3, W$3)</f>
        <v>0</v>
      </c>
      <c r="X67" s="133">
        <f t="shared" si="26"/>
        <v>0</v>
      </c>
      <c r="Y67" s="133">
        <f t="shared" si="26"/>
        <v>0</v>
      </c>
      <c r="Z67"/>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c r="BX67" s="12">
        <f t="shared" si="24"/>
        <v>0</v>
      </c>
      <c r="BY67" s="12">
        <f t="shared" si="24"/>
        <v>0</v>
      </c>
      <c r="BZ67" s="12">
        <f t="shared" si="24"/>
        <v>0</v>
      </c>
      <c r="CA67" s="12">
        <f t="shared" si="24"/>
        <v>0</v>
      </c>
      <c r="CB67" s="133">
        <f xml:space="preserve"> SUMIFS($AA67:$BV67, $AA$3:$BV$3, CB$3)</f>
        <v>0</v>
      </c>
      <c r="CC67" s="109"/>
      <c r="CD67" s="109"/>
      <c r="CE67" s="109"/>
      <c r="CF67" s="109"/>
      <c r="CG67" s="109"/>
      <c r="CH67" s="109"/>
      <c r="CI67" s="109"/>
      <c r="CJ67"/>
      <c r="CK67" s="11"/>
      <c r="CL67" s="241">
        <f>IF(MIN($V67:$CI67)&lt;0, 1, 0)</f>
        <v>0</v>
      </c>
      <c r="CM67" s="11"/>
      <c r="CN67"/>
      <c r="CO67"/>
      <c r="CP67"/>
      <c r="CQ67"/>
      <c r="CR67"/>
      <c r="CS67"/>
      <c r="CT67"/>
      <c r="CU67"/>
      <c r="CV67"/>
      <c r="CW67"/>
      <c r="CX67"/>
      <c r="CY67" s="7" cm="1">
        <f t="array" ref="CY67">SUMPRODUCT(--NOT(ISNUMBER(V67:CI67)),--NOT(ISBLANK(V67:CI67)))</f>
        <v>0</v>
      </c>
      <c r="CZ67" s="7">
        <f t="shared" ref="CZ67:DB68" si="27">IF(ROUND(W67-SUMIFS($AA67:$BV67, $AA$3:$BV$3, W$3), rounding)=0, 0, 1)</f>
        <v>0</v>
      </c>
      <c r="DA67" s="7">
        <f t="shared" si="27"/>
        <v>0</v>
      </c>
      <c r="DB67" s="7">
        <f t="shared" si="27"/>
        <v>0</v>
      </c>
      <c r="DC67" s="7">
        <f>IF(ROUND(CB67-SUMIFS($AA67:$BV67, $AA$3:$BV$3, CB$3), rounding)=0, 0, 1)</f>
        <v>0</v>
      </c>
      <c r="DD67" s="7">
        <f>IF(ROUND(V67-BX67, rounding)=0, 0, 1)*'BS Forecasts'!$V$10</f>
        <v>0</v>
      </c>
      <c r="DE67"/>
      <c r="DF67" s="11"/>
      <c r="DG67">
        <f t="shared" si="16"/>
        <v>0</v>
      </c>
      <c r="DH67">
        <v>1</v>
      </c>
      <c r="DI67">
        <v>1</v>
      </c>
      <c r="EY67" s="12" t="str">
        <f>IF(C67="", "", CONCATENATE(D56, " ",D67))</f>
        <v/>
      </c>
    </row>
    <row r="68" spans="1:155" x14ac:dyDescent="0.35">
      <c r="A68" s="220" cm="1">
        <f t="array" aca="1" ref="A68" ca="1">HYPERLINK(CONCATENATE("#",CELL("address",IF(MAX($CM68:$DF68)=0,A68,INDEX($CM68:$DF68,MATCH(1,$CM68:$DF68,0))))),MAX($CM68:$DF68))</f>
        <v>0</v>
      </c>
      <c r="B68" s="85" t="s">
        <v>122</v>
      </c>
      <c r="C68" s="211"/>
      <c r="D68" t="s">
        <v>1090</v>
      </c>
      <c r="H68" s="9" t="s">
        <v>1074</v>
      </c>
      <c r="I68" s="40" t="s">
        <v>1079</v>
      </c>
      <c r="V68" s="109"/>
      <c r="W68" s="133">
        <f t="shared" si="26"/>
        <v>0</v>
      </c>
      <c r="X68" s="133">
        <f t="shared" si="26"/>
        <v>0</v>
      </c>
      <c r="Y68" s="133">
        <f t="shared" si="26"/>
        <v>0</v>
      </c>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X68" s="12">
        <f t="shared" si="24"/>
        <v>0</v>
      </c>
      <c r="BY68" s="12">
        <f t="shared" si="24"/>
        <v>0</v>
      </c>
      <c r="BZ68" s="12">
        <f t="shared" si="24"/>
        <v>0</v>
      </c>
      <c r="CA68" s="12">
        <f t="shared" si="24"/>
        <v>0</v>
      </c>
      <c r="CB68" s="133">
        <f xml:space="preserve"> SUMIFS($AA68:$BV68, $AA$3:$BV$3, CB$3)</f>
        <v>0</v>
      </c>
      <c r="CC68" s="109"/>
      <c r="CD68" s="109"/>
      <c r="CE68" s="109"/>
      <c r="CF68" s="109"/>
      <c r="CG68" s="109"/>
      <c r="CH68" s="109"/>
      <c r="CI68" s="109"/>
      <c r="CK68" s="11"/>
      <c r="CL68" s="241">
        <f>IF(MAX($V68:$CI68)&gt;0, 1, 0)</f>
        <v>0</v>
      </c>
      <c r="CM68" s="11"/>
      <c r="CY68" s="7" cm="1">
        <f t="array" ref="CY68">SUMPRODUCT(--NOT(ISNUMBER(V68:CI68)),--NOT(ISBLANK(V68:CI68)))</f>
        <v>0</v>
      </c>
      <c r="CZ68" s="7">
        <f t="shared" si="27"/>
        <v>0</v>
      </c>
      <c r="DA68" s="7">
        <f t="shared" si="27"/>
        <v>0</v>
      </c>
      <c r="DB68" s="7">
        <f t="shared" si="27"/>
        <v>0</v>
      </c>
      <c r="DC68" s="7">
        <f>IF(ROUND(CB68-SUMIFS($AA68:$BV68, $AA$3:$BV$3, CB$3), rounding)=0, 0, 1)</f>
        <v>0</v>
      </c>
      <c r="DD68" s="7">
        <f>IF(ROUND(V68-BX68, rounding)=0, 0, 1)*'BS Forecasts'!$V$10</f>
        <v>0</v>
      </c>
      <c r="DF68" s="11"/>
      <c r="DG68">
        <f t="shared" si="16"/>
        <v>0</v>
      </c>
      <c r="DH68">
        <v>1</v>
      </c>
      <c r="DI68">
        <v>1</v>
      </c>
      <c r="EY68" s="12" t="str">
        <f>IF(C68="", "", CONCATENATE(D56, " ",D68))</f>
        <v/>
      </c>
    </row>
    <row r="69" spans="1:155" x14ac:dyDescent="0.35">
      <c r="C69" s="211"/>
      <c r="D69" t="s">
        <v>1091</v>
      </c>
      <c r="H69" s="9" t="s">
        <v>1074</v>
      </c>
      <c r="I69" s="40" t="s">
        <v>317</v>
      </c>
      <c r="V69" s="12">
        <f>$I$13</f>
        <v>0</v>
      </c>
      <c r="W69" s="133">
        <f>SUM(W66:W68)</f>
        <v>0</v>
      </c>
      <c r="X69" s="10">
        <f>SUM(X66:X68)</f>
        <v>0</v>
      </c>
      <c r="Y69" s="10">
        <f>SUM(Y66:Y68)</f>
        <v>0</v>
      </c>
      <c r="AA69" s="10">
        <f t="shared" ref="AA69:BV69" si="28">SUM(AA66:AA68)</f>
        <v>0</v>
      </c>
      <c r="AB69" s="10">
        <f t="shared" si="28"/>
        <v>0</v>
      </c>
      <c r="AC69" s="10">
        <f t="shared" si="28"/>
        <v>0</v>
      </c>
      <c r="AD69" s="10">
        <f t="shared" si="28"/>
        <v>0</v>
      </c>
      <c r="AE69" s="10">
        <f t="shared" si="28"/>
        <v>0</v>
      </c>
      <c r="AF69" s="10">
        <f t="shared" si="28"/>
        <v>0</v>
      </c>
      <c r="AG69" s="10">
        <f t="shared" si="28"/>
        <v>0</v>
      </c>
      <c r="AH69" s="10">
        <f t="shared" si="28"/>
        <v>0</v>
      </c>
      <c r="AI69" s="10">
        <f t="shared" si="28"/>
        <v>0</v>
      </c>
      <c r="AJ69" s="10">
        <f t="shared" si="28"/>
        <v>0</v>
      </c>
      <c r="AK69" s="10">
        <f t="shared" si="28"/>
        <v>0</v>
      </c>
      <c r="AL69" s="10">
        <f t="shared" si="28"/>
        <v>0</v>
      </c>
      <c r="AM69" s="10">
        <f t="shared" si="28"/>
        <v>0</v>
      </c>
      <c r="AN69" s="10">
        <f t="shared" si="28"/>
        <v>0</v>
      </c>
      <c r="AO69" s="10">
        <f t="shared" si="28"/>
        <v>0</v>
      </c>
      <c r="AP69" s="10">
        <f t="shared" si="28"/>
        <v>0</v>
      </c>
      <c r="AQ69" s="10">
        <f t="shared" si="28"/>
        <v>0</v>
      </c>
      <c r="AR69" s="10">
        <f t="shared" si="28"/>
        <v>0</v>
      </c>
      <c r="AS69" s="10">
        <f t="shared" si="28"/>
        <v>0</v>
      </c>
      <c r="AT69" s="10">
        <f t="shared" si="28"/>
        <v>0</v>
      </c>
      <c r="AU69" s="10">
        <f t="shared" si="28"/>
        <v>0</v>
      </c>
      <c r="AV69" s="10">
        <f t="shared" si="28"/>
        <v>0</v>
      </c>
      <c r="AW69" s="10">
        <f t="shared" si="28"/>
        <v>0</v>
      </c>
      <c r="AX69" s="10">
        <f t="shared" si="28"/>
        <v>0</v>
      </c>
      <c r="AY69" s="10">
        <f t="shared" si="28"/>
        <v>0</v>
      </c>
      <c r="AZ69" s="10">
        <f t="shared" si="28"/>
        <v>0</v>
      </c>
      <c r="BA69" s="10">
        <f t="shared" si="28"/>
        <v>0</v>
      </c>
      <c r="BB69" s="10">
        <f t="shared" si="28"/>
        <v>0</v>
      </c>
      <c r="BC69" s="10">
        <f t="shared" si="28"/>
        <v>0</v>
      </c>
      <c r="BD69" s="10">
        <f t="shared" si="28"/>
        <v>0</v>
      </c>
      <c r="BE69" s="10">
        <f t="shared" si="28"/>
        <v>0</v>
      </c>
      <c r="BF69" s="10">
        <f t="shared" si="28"/>
        <v>0</v>
      </c>
      <c r="BG69" s="10">
        <f t="shared" si="28"/>
        <v>0</v>
      </c>
      <c r="BH69" s="10">
        <f t="shared" si="28"/>
        <v>0</v>
      </c>
      <c r="BI69" s="10">
        <f t="shared" si="28"/>
        <v>0</v>
      </c>
      <c r="BJ69" s="10">
        <f t="shared" si="28"/>
        <v>0</v>
      </c>
      <c r="BK69" s="10">
        <f t="shared" si="28"/>
        <v>0</v>
      </c>
      <c r="BL69" s="10">
        <f t="shared" si="28"/>
        <v>0</v>
      </c>
      <c r="BM69" s="10">
        <f t="shared" si="28"/>
        <v>0</v>
      </c>
      <c r="BN69" s="10">
        <f t="shared" si="28"/>
        <v>0</v>
      </c>
      <c r="BO69" s="10">
        <f t="shared" si="28"/>
        <v>0</v>
      </c>
      <c r="BP69" s="10">
        <f t="shared" si="28"/>
        <v>0</v>
      </c>
      <c r="BQ69" s="10">
        <f t="shared" si="28"/>
        <v>0</v>
      </c>
      <c r="BR69" s="10">
        <f t="shared" si="28"/>
        <v>0</v>
      </c>
      <c r="BS69" s="10">
        <f t="shared" si="28"/>
        <v>0</v>
      </c>
      <c r="BT69" s="10">
        <f t="shared" si="28"/>
        <v>0</v>
      </c>
      <c r="BU69" s="10">
        <f t="shared" si="28"/>
        <v>0</v>
      </c>
      <c r="BV69" s="10">
        <f t="shared" si="28"/>
        <v>0</v>
      </c>
      <c r="BX69" s="12">
        <f t="shared" si="24"/>
        <v>0</v>
      </c>
      <c r="BY69" s="12">
        <f t="shared" si="24"/>
        <v>0</v>
      </c>
      <c r="BZ69" s="12">
        <f t="shared" si="24"/>
        <v>0</v>
      </c>
      <c r="CA69" s="12">
        <f t="shared" si="24"/>
        <v>0</v>
      </c>
      <c r="CB69" s="10">
        <f t="shared" ref="CB69:CI69" si="29">SUM(CB66:CB68)</f>
        <v>0</v>
      </c>
      <c r="CC69" s="10">
        <f t="shared" si="29"/>
        <v>0</v>
      </c>
      <c r="CD69" s="10">
        <f t="shared" si="29"/>
        <v>0</v>
      </c>
      <c r="CE69" s="10">
        <f t="shared" si="29"/>
        <v>0</v>
      </c>
      <c r="CF69" s="10">
        <f t="shared" si="29"/>
        <v>0</v>
      </c>
      <c r="CG69" s="10">
        <f t="shared" si="29"/>
        <v>0</v>
      </c>
      <c r="CH69" s="10">
        <f t="shared" si="29"/>
        <v>0</v>
      </c>
      <c r="CI69" s="10">
        <f t="shared" si="29"/>
        <v>0</v>
      </c>
      <c r="CK69" s="11"/>
      <c r="CM69" s="11"/>
      <c r="DF69" s="11"/>
      <c r="DG69">
        <f t="shared" si="16"/>
        <v>0</v>
      </c>
      <c r="DH69">
        <v>0</v>
      </c>
      <c r="DI69">
        <v>0</v>
      </c>
      <c r="EY69" s="12" t="str">
        <f>IF(C69="", "", CONCATENATE(D56, " ",D69))</f>
        <v/>
      </c>
    </row>
    <row r="70" spans="1:155" ht="6.75" customHeight="1" x14ac:dyDescent="0.35">
      <c r="C70" s="211"/>
      <c r="D70" s="1"/>
      <c r="E70"/>
      <c r="F70"/>
      <c r="BY70" s="6"/>
      <c r="CK70" s="35"/>
      <c r="CM70" s="35"/>
      <c r="DF70" s="35"/>
      <c r="DG70">
        <f t="shared" si="16"/>
        <v>0</v>
      </c>
      <c r="DH70">
        <v>0</v>
      </c>
      <c r="DI70">
        <v>0</v>
      </c>
      <c r="EY70" s="12" t="str">
        <f>IF(C70="", "", CONCATENATE(D56, " ",D70))</f>
        <v/>
      </c>
    </row>
    <row r="71" spans="1:155" s="5" customFormat="1" x14ac:dyDescent="0.35">
      <c r="A71" s="220" cm="1">
        <f t="array" aca="1" ref="A71" ca="1">HYPERLINK(CONCATENATE("#",CELL("address",IF(MAX($CM71:$DF71)=0,A71,INDEX($CM71:$DF71,MATCH(1,$CM71:$DF71,0))))),MAX($CM71:$DF71))</f>
        <v>0</v>
      </c>
      <c r="B71"/>
      <c r="C71" s="211" t="s">
        <v>1092</v>
      </c>
      <c r="D71" t="s">
        <v>1093</v>
      </c>
      <c r="E71" s="1"/>
      <c r="F71" s="1"/>
      <c r="G71"/>
      <c r="H71" s="9" t="s">
        <v>1074</v>
      </c>
      <c r="I71" s="40" t="s">
        <v>665</v>
      </c>
      <c r="J71"/>
      <c r="K71"/>
      <c r="L71"/>
      <c r="M71"/>
      <c r="N71"/>
      <c r="O71"/>
      <c r="P71"/>
      <c r="Q71"/>
      <c r="R71"/>
      <c r="S71"/>
      <c r="T71"/>
      <c r="U71"/>
      <c r="V71" s="109"/>
      <c r="W71" s="133">
        <f xml:space="preserve"> SUMIFS($AA71:$BV71, $AA$3:$BV$3, W$3)</f>
        <v>0</v>
      </c>
      <c r="X71" s="133">
        <f xml:space="preserve"> SUMIFS($AA71:$BV71, $AA$3:$BV$3, X$3)</f>
        <v>0</v>
      </c>
      <c r="Y71" s="133">
        <f xml:space="preserve"> SUMIFS($AA71:$BV71, $AA$3:$BV$3, Y$3)</f>
        <v>0</v>
      </c>
      <c r="Z71"/>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c r="BX71" s="12">
        <f>V71</f>
        <v>0</v>
      </c>
      <c r="BY71" s="12">
        <f>W71</f>
        <v>0</v>
      </c>
      <c r="BZ71" s="12">
        <f>X71</f>
        <v>0</v>
      </c>
      <c r="CA71" s="12">
        <f>Y71</f>
        <v>0</v>
      </c>
      <c r="CB71" s="133">
        <f xml:space="preserve"> SUMIFS($AA71:$BV71, $AA$3:$BV$3, CB$3)</f>
        <v>0</v>
      </c>
      <c r="CC71" s="109"/>
      <c r="CD71" s="109"/>
      <c r="CE71" s="109"/>
      <c r="CF71" s="109"/>
      <c r="CG71" s="109"/>
      <c r="CH71" s="109"/>
      <c r="CI71" s="109"/>
      <c r="CJ71"/>
      <c r="CK71" s="11"/>
      <c r="CL71" s="241">
        <f>IF(MIN($V71:$CI71)&lt;0, 1, 0)</f>
        <v>0</v>
      </c>
      <c r="CM71" s="11"/>
      <c r="CN71"/>
      <c r="CO71"/>
      <c r="CP71"/>
      <c r="CQ71"/>
      <c r="CR71"/>
      <c r="CS71"/>
      <c r="CT71"/>
      <c r="CU71"/>
      <c r="CV71"/>
      <c r="CW71"/>
      <c r="CX71"/>
      <c r="CY71" s="7" cm="1">
        <f t="array" ref="CY71">SUMPRODUCT(--NOT(ISNUMBER(V71:CI71)),--NOT(ISBLANK(V71:CI71)))</f>
        <v>0</v>
      </c>
      <c r="CZ71" s="7">
        <f>IF(ROUND(W71-SUMIFS($AA71:$BV71, $AA$3:$BV$3, W$3), rounding)=0, 0, 1)</f>
        <v>0</v>
      </c>
      <c r="DA71" s="7">
        <f>IF(ROUND(X71-SUMIFS($AA71:$BV71, $AA$3:$BV$3, X$3), rounding)=0, 0, 1)</f>
        <v>0</v>
      </c>
      <c r="DB71" s="7">
        <f>IF(ROUND(Y71-SUMIFS($AA71:$BV71, $AA$3:$BV$3, Y$3), rounding)=0, 0, 1)</f>
        <v>0</v>
      </c>
      <c r="DC71" s="7">
        <f>IF(ROUND(CB71-SUMIFS($AA71:$BV71, $AA$3:$BV$3, CB$3), rounding)=0, 0, 1)</f>
        <v>0</v>
      </c>
      <c r="DD71" s="7">
        <f>IF(ROUND(V71-BX71, rounding)=0, 0, 1)*'BS Forecasts'!$V$10</f>
        <v>0</v>
      </c>
      <c r="DE71"/>
      <c r="DF71" s="11"/>
      <c r="DG71">
        <f t="shared" si="16"/>
        <v>0</v>
      </c>
      <c r="DH71">
        <v>1</v>
      </c>
      <c r="DI71">
        <v>1</v>
      </c>
      <c r="EY71" s="12" t="str">
        <f>IF(C71="", "", CONCATENATE(D56, " ",D71))</f>
        <v>Loan 1 Early Repayment Fee</v>
      </c>
    </row>
    <row r="72" spans="1:155" ht="6.75" customHeight="1" x14ac:dyDescent="0.35">
      <c r="C72" s="211"/>
      <c r="D72" s="1"/>
      <c r="E72"/>
      <c r="F72"/>
      <c r="BY72" s="6"/>
      <c r="CK72" s="35"/>
      <c r="CM72" s="35"/>
      <c r="DF72" s="35"/>
      <c r="DG72">
        <f t="shared" si="16"/>
        <v>0</v>
      </c>
      <c r="DH72">
        <v>0</v>
      </c>
      <c r="DI72">
        <v>0</v>
      </c>
      <c r="EY72" s="12" t="str">
        <f>IF(C72="", "", CONCATENATE(D56, " ",D72))</f>
        <v/>
      </c>
    </row>
    <row r="73" spans="1:155" x14ac:dyDescent="0.35">
      <c r="A73" s="220" cm="1">
        <f t="array" aca="1" ref="A73" ca="1">HYPERLINK(CONCATENATE("#",CELL("address",IF(MAX($CM73:$DF73)=0,A73,INDEX($CM73:$DF73,MATCH(1,$CM73:$DF73,0))))),MAX($CM73:$DF73))</f>
        <v>0</v>
      </c>
      <c r="B73" s="85" t="s">
        <v>122</v>
      </c>
      <c r="D73" t="s">
        <v>1094</v>
      </c>
      <c r="E73" s="140" t="str">
        <f>IF(J$13="", "", J$13)</f>
        <v/>
      </c>
      <c r="F73" s="140"/>
      <c r="G73" s="140" t="str">
        <f>IF(K$13="", "", K$13)</f>
        <v/>
      </c>
      <c r="V73" s="7">
        <f>IF(AND(OR( V$5&gt;$G73, Timeline!V$8&lt;Loans!$E73), Loans!V71&lt;&gt;0), 1, 0)</f>
        <v>0</v>
      </c>
      <c r="W73" s="7">
        <f>IF(AND(OR( W$5&gt;$G73, Timeline!W$8&lt;Loans!$E73), Loans!W71&lt;&gt;0), 1, 0)</f>
        <v>0</v>
      </c>
      <c r="X73" s="7">
        <f>IF(AND(OR( X$5&gt;$G73, Timeline!X$8&lt;Loans!$E73), Loans!X71&lt;&gt;0), 1, 0)</f>
        <v>0</v>
      </c>
      <c r="Y73" s="7">
        <f>IF(AND(OR( Y$5&gt;$G73, Timeline!Y$8&lt;Loans!$E73), Loans!Y71&lt;&gt;0), 1, 0)</f>
        <v>0</v>
      </c>
      <c r="AA73" s="7">
        <f>IF(AND(OR( AA$5&gt;$G73, Timeline!AA$8&lt;Loans!$E73), Loans!AA71&lt;&gt;0), 1, 0)</f>
        <v>0</v>
      </c>
      <c r="AB73" s="7">
        <f>IF(AND(OR( AB$5&gt;$G73, Timeline!AB$8&lt;Loans!$E73), Loans!AB71&lt;&gt;0), 1, 0)</f>
        <v>0</v>
      </c>
      <c r="AC73" s="7">
        <f>IF(AND(OR( AC$5&gt;$G73, Timeline!AC$8&lt;Loans!$E73), Loans!AC71&lt;&gt;0), 1, 0)</f>
        <v>0</v>
      </c>
      <c r="AD73" s="7">
        <f>IF(AND(OR( AD$5&gt;$G73, Timeline!AD$8&lt;Loans!$E73), Loans!AD71&lt;&gt;0), 1, 0)</f>
        <v>0</v>
      </c>
      <c r="AE73" s="7">
        <f>IF(AND(OR( AE$5&gt;$G73, Timeline!AE$8&lt;Loans!$E73), Loans!AE71&lt;&gt;0), 1, 0)</f>
        <v>0</v>
      </c>
      <c r="AF73" s="7">
        <f>IF(AND(OR( AF$5&gt;$G73, Timeline!AF$8&lt;Loans!$E73), Loans!AF71&lt;&gt;0), 1, 0)</f>
        <v>0</v>
      </c>
      <c r="AG73" s="7">
        <f>IF(AND(OR( AG$5&gt;$G73, Timeline!AG$8&lt;Loans!$E73), Loans!AG71&lt;&gt;0), 1, 0)</f>
        <v>0</v>
      </c>
      <c r="AH73" s="7">
        <f>IF(AND(OR( AH$5&gt;$G73, Timeline!AH$8&lt;Loans!$E73), Loans!AH71&lt;&gt;0), 1, 0)</f>
        <v>0</v>
      </c>
      <c r="AI73" s="7">
        <f>IF(AND(OR( AI$5&gt;$G73, Timeline!AI$8&lt;Loans!$E73), Loans!AI71&lt;&gt;0), 1, 0)</f>
        <v>0</v>
      </c>
      <c r="AJ73" s="7">
        <f>IF(AND(OR( AJ$5&gt;$G73, Timeline!AJ$8&lt;Loans!$E73), Loans!AJ71&lt;&gt;0), 1, 0)</f>
        <v>0</v>
      </c>
      <c r="AK73" s="7">
        <f>IF(AND(OR( AK$5&gt;$G73, Timeline!AK$8&lt;Loans!$E73), Loans!AK71&lt;&gt;0), 1, 0)</f>
        <v>0</v>
      </c>
      <c r="AL73" s="7">
        <f>IF(AND(OR( AL$5&gt;$G73, Timeline!AL$8&lt;Loans!$E73), Loans!AL71&lt;&gt;0), 1, 0)</f>
        <v>0</v>
      </c>
      <c r="AM73" s="7">
        <f>IF(AND(OR( AM$5&gt;$G73, Timeline!AM$8&lt;Loans!$E73), Loans!AM71&lt;&gt;0), 1, 0)</f>
        <v>0</v>
      </c>
      <c r="AN73" s="7">
        <f>IF(AND(OR( AN$5&gt;$G73, Timeline!AN$8&lt;Loans!$E73), Loans!AN71&lt;&gt;0), 1, 0)</f>
        <v>0</v>
      </c>
      <c r="AO73" s="7">
        <f>IF(AND(OR( AO$5&gt;$G73, Timeline!AO$8&lt;Loans!$E73), Loans!AO71&lt;&gt;0), 1, 0)</f>
        <v>0</v>
      </c>
      <c r="AP73" s="7">
        <f>IF(AND(OR( AP$5&gt;$G73, Timeline!AP$8&lt;Loans!$E73), Loans!AP71&lt;&gt;0), 1, 0)</f>
        <v>0</v>
      </c>
      <c r="AQ73" s="7">
        <f>IF(AND(OR( AQ$5&gt;$G73, Timeline!AQ$8&lt;Loans!$E73), Loans!AQ71&lt;&gt;0), 1, 0)</f>
        <v>0</v>
      </c>
      <c r="AR73" s="7">
        <f>IF(AND(OR( AR$5&gt;$G73, Timeline!AR$8&lt;Loans!$E73), Loans!AR71&lt;&gt;0), 1, 0)</f>
        <v>0</v>
      </c>
      <c r="AS73" s="7">
        <f>IF(AND(OR( AS$5&gt;$G73, Timeline!AS$8&lt;Loans!$E73), Loans!AS71&lt;&gt;0), 1, 0)</f>
        <v>0</v>
      </c>
      <c r="AT73" s="7">
        <f>IF(AND(OR( AT$5&gt;$G73, Timeline!AT$8&lt;Loans!$E73), Loans!AT71&lt;&gt;0), 1, 0)</f>
        <v>0</v>
      </c>
      <c r="AU73" s="7">
        <f>IF(AND(OR( AU$5&gt;$G73, Timeline!AU$8&lt;Loans!$E73), Loans!AU71&lt;&gt;0), 1, 0)</f>
        <v>0</v>
      </c>
      <c r="AV73" s="7">
        <f>IF(AND(OR( AV$5&gt;$G73, Timeline!AV$8&lt;Loans!$E73), Loans!AV71&lt;&gt;0), 1, 0)</f>
        <v>0</v>
      </c>
      <c r="AW73" s="7">
        <f>IF(AND(OR( AW$5&gt;$G73, Timeline!AW$8&lt;Loans!$E73), Loans!AW71&lt;&gt;0), 1, 0)</f>
        <v>0</v>
      </c>
      <c r="AX73" s="7">
        <f>IF(AND(OR( AX$5&gt;$G73, Timeline!AX$8&lt;Loans!$E73), Loans!AX71&lt;&gt;0), 1, 0)</f>
        <v>0</v>
      </c>
      <c r="AY73" s="7">
        <f>IF(AND(OR( AY$5&gt;$G73, Timeline!AY$8&lt;Loans!$E73), Loans!AY71&lt;&gt;0), 1, 0)</f>
        <v>0</v>
      </c>
      <c r="AZ73" s="7">
        <f>IF(AND(OR( AZ$5&gt;$G73, Timeline!AZ$8&lt;Loans!$E73), Loans!AZ71&lt;&gt;0), 1, 0)</f>
        <v>0</v>
      </c>
      <c r="BA73" s="7">
        <f>IF(AND(OR( BA$5&gt;$G73, Timeline!BA$8&lt;Loans!$E73), Loans!BA71&lt;&gt;0), 1, 0)</f>
        <v>0</v>
      </c>
      <c r="BB73" s="7">
        <f>IF(AND(OR( BB$5&gt;$G73, Timeline!BB$8&lt;Loans!$E73), Loans!BB71&lt;&gt;0), 1, 0)</f>
        <v>0</v>
      </c>
      <c r="BC73" s="7">
        <f>IF(AND(OR( BC$5&gt;$G73, Timeline!BC$8&lt;Loans!$E73), Loans!BC71&lt;&gt;0), 1, 0)</f>
        <v>0</v>
      </c>
      <c r="BD73" s="7">
        <f>IF(AND(OR( BD$5&gt;$G73, Timeline!BD$8&lt;Loans!$E73), Loans!BD71&lt;&gt;0), 1, 0)</f>
        <v>0</v>
      </c>
      <c r="BE73" s="7">
        <f>IF(AND(OR( BE$5&gt;$G73, Timeline!BE$8&lt;Loans!$E73), Loans!BE71&lt;&gt;0), 1, 0)</f>
        <v>0</v>
      </c>
      <c r="BF73" s="7">
        <f>IF(AND(OR( BF$5&gt;$G73, Timeline!BF$8&lt;Loans!$E73), Loans!BF71&lt;&gt;0), 1, 0)</f>
        <v>0</v>
      </c>
      <c r="BG73" s="7">
        <f>IF(AND(OR( BG$5&gt;$G73, Timeline!BG$8&lt;Loans!$E73), Loans!BG71&lt;&gt;0), 1, 0)</f>
        <v>0</v>
      </c>
      <c r="BH73" s="7">
        <f>IF(AND(OR( BH$5&gt;$G73, Timeline!BH$8&lt;Loans!$E73), Loans!BH71&lt;&gt;0), 1, 0)</f>
        <v>0</v>
      </c>
      <c r="BI73" s="7">
        <f>IF(AND(OR( BI$5&gt;$G73, Timeline!BI$8&lt;Loans!$E73), Loans!BI71&lt;&gt;0), 1, 0)</f>
        <v>0</v>
      </c>
      <c r="BJ73" s="7">
        <f>IF(AND(OR( BJ$5&gt;$G73, Timeline!BJ$8&lt;Loans!$E73), Loans!BJ71&lt;&gt;0), 1, 0)</f>
        <v>0</v>
      </c>
      <c r="BK73" s="7">
        <f>IF(AND(OR( BK$5&gt;$G73, Timeline!BK$8&lt;Loans!$E73), Loans!BK71&lt;&gt;0), 1, 0)</f>
        <v>0</v>
      </c>
      <c r="BL73" s="7">
        <f>IF(AND(OR( BL$5&gt;$G73, Timeline!BL$8&lt;Loans!$E73), Loans!BL71&lt;&gt;0), 1, 0)</f>
        <v>0</v>
      </c>
      <c r="BM73" s="7">
        <f>IF(AND(OR( BM$5&gt;$G73, Timeline!BM$8&lt;Loans!$E73), Loans!BM71&lt;&gt;0), 1, 0)</f>
        <v>0</v>
      </c>
      <c r="BN73" s="7">
        <f>IF(AND(OR( BN$5&gt;$G73, Timeline!BN$8&lt;Loans!$E73), Loans!BN71&lt;&gt;0), 1, 0)</f>
        <v>0</v>
      </c>
      <c r="BO73" s="7">
        <f>IF(AND(OR( BO$5&gt;$G73, Timeline!BO$8&lt;Loans!$E73), Loans!BO71&lt;&gt;0), 1, 0)</f>
        <v>0</v>
      </c>
      <c r="BP73" s="7">
        <f>IF(AND(OR( BP$5&gt;$G73, Timeline!BP$8&lt;Loans!$E73), Loans!BP71&lt;&gt;0), 1, 0)</f>
        <v>0</v>
      </c>
      <c r="BQ73" s="7">
        <f>IF(AND(OR( BQ$5&gt;$G73, Timeline!BQ$8&lt;Loans!$E73), Loans!BQ71&lt;&gt;0), 1, 0)</f>
        <v>0</v>
      </c>
      <c r="BR73" s="7">
        <f>IF(AND(OR( BR$5&gt;$G73, Timeline!BR$8&lt;Loans!$E73), Loans!BR71&lt;&gt;0), 1, 0)</f>
        <v>0</v>
      </c>
      <c r="BS73" s="7">
        <f>IF(AND(OR( BS$5&gt;$G73, Timeline!BS$8&lt;Loans!$E73), Loans!BS71&lt;&gt;0), 1, 0)</f>
        <v>0</v>
      </c>
      <c r="BT73" s="7">
        <f>IF(AND(OR( BT$5&gt;$G73, Timeline!BT$8&lt;Loans!$E73), Loans!BT71&lt;&gt;0), 1, 0)</f>
        <v>0</v>
      </c>
      <c r="BU73" s="7">
        <f>IF(AND(OR( BU$5&gt;$G73, Timeline!BU$8&lt;Loans!$E73), Loans!BU71&lt;&gt;0), 1, 0)</f>
        <v>0</v>
      </c>
      <c r="BV73" s="7">
        <f>IF(AND(OR( BV$5&gt;$G73, Timeline!BV$8&lt;Loans!$E73), Loans!BV71&lt;&gt;0), 1, 0)</f>
        <v>0</v>
      </c>
      <c r="BX73" s="7">
        <f>IF(AND(OR( BX$5&gt;$G73, Timeline!BX$8&lt;Loans!$E73), Loans!BX71&lt;&gt;0), 1, 0)</f>
        <v>0</v>
      </c>
      <c r="BY73" s="7">
        <f>IF(AND(OR( BY$5&gt;$G73, Timeline!BY$8&lt;Loans!$E73), Loans!BY71&lt;&gt;0), 1, 0)</f>
        <v>0</v>
      </c>
      <c r="BZ73" s="7">
        <f>IF(AND(OR( BZ$5&gt;$G73, Timeline!BZ$8&lt;Loans!$E73), Loans!BZ71&lt;&gt;0), 1, 0)</f>
        <v>0</v>
      </c>
      <c r="CA73" s="7">
        <f>IF(AND(OR( CA$5&gt;$G73, Timeline!CA$8&lt;Loans!$E73), Loans!CA71&lt;&gt;0), 1, 0)</f>
        <v>0</v>
      </c>
      <c r="CB73" s="7">
        <f>IF(AND(OR( CB$5&gt;$G73, Timeline!CB$8&lt;Loans!$E73), Loans!CB71&lt;&gt;0), 1, 0)</f>
        <v>0</v>
      </c>
      <c r="CC73" s="7">
        <f>IF(AND(OR( CC$5&gt;$G73, Timeline!CC$8&lt;Loans!$E73), Loans!CC71&lt;&gt;0), 1, 0)</f>
        <v>0</v>
      </c>
      <c r="CD73" s="7">
        <f>IF(AND(OR( CD$5&gt;$G73, Timeline!CD$8&lt;Loans!$E73), Loans!CD71&lt;&gt;0), 1, 0)</f>
        <v>0</v>
      </c>
      <c r="CE73" s="7">
        <f>IF(AND(OR( CE$5&gt;$G73, Timeline!CE$8&lt;Loans!$E73), Loans!CE71&lt;&gt;0), 1, 0)</f>
        <v>0</v>
      </c>
      <c r="CF73" s="7">
        <f>IF(AND(OR( CF$5&gt;$G73, Timeline!CF$8&lt;Loans!$E73), Loans!CF71&lt;&gt;0), 1, 0)</f>
        <v>0</v>
      </c>
      <c r="CG73" s="7">
        <f>IF(AND(OR( CG$5&gt;$G73, Timeline!CG$8&lt;Loans!$E73), Loans!CG71&lt;&gt;0), 1, 0)</f>
        <v>0</v>
      </c>
      <c r="CH73" s="7">
        <f>IF(AND(OR( CH$5&gt;$G73, Timeline!CH$8&lt;Loans!$E73), Loans!CH71&lt;&gt;0), 1, 0)</f>
        <v>0</v>
      </c>
      <c r="CI73" s="7">
        <f>IF(AND(OR( CI$5&gt;$G73, Timeline!CI$8&lt;Loans!$E73), Loans!CI71&lt;&gt;0), 1, 0)</f>
        <v>0</v>
      </c>
      <c r="CK73" s="11"/>
      <c r="CM73" s="11"/>
      <c r="CX73" s="7">
        <f>IF(MAX($V73:$CI73)&gt;0, 1, 0)</f>
        <v>0</v>
      </c>
      <c r="DF73" s="11"/>
      <c r="DG73">
        <f t="shared" si="16"/>
        <v>1</v>
      </c>
      <c r="DH73">
        <v>0</v>
      </c>
      <c r="DI73">
        <v>0</v>
      </c>
      <c r="EY73" s="12" t="str">
        <f>IF(C73="", "", CONCATENATE(D56, " ",D73))</f>
        <v/>
      </c>
    </row>
    <row r="74" spans="1:155" ht="6.75" customHeight="1" x14ac:dyDescent="0.35">
      <c r="C74" s="211"/>
      <c r="D74" s="1"/>
      <c r="E74"/>
      <c r="F74"/>
      <c r="BY74" s="6"/>
      <c r="CK74" s="35"/>
      <c r="CM74" s="35"/>
      <c r="DF74" s="35"/>
      <c r="DG74">
        <f t="shared" si="16"/>
        <v>0</v>
      </c>
      <c r="DH74">
        <v>0</v>
      </c>
      <c r="DI74">
        <v>0</v>
      </c>
      <c r="EY74" s="10" t="str">
        <f>IF($C74="","",$D74)</f>
        <v/>
      </c>
    </row>
    <row r="75" spans="1:155" x14ac:dyDescent="0.35">
      <c r="A75" s="53"/>
      <c r="C75" s="211"/>
      <c r="D75" s="53" t="s">
        <v>1095</v>
      </c>
      <c r="E75" s="53"/>
      <c r="F75" s="53"/>
      <c r="G75" s="53"/>
      <c r="H75" s="53"/>
      <c r="I75" s="53"/>
      <c r="J75" s="53"/>
      <c r="M75" s="53"/>
      <c r="N75" s="53"/>
      <c r="O75" s="53"/>
      <c r="P75" s="53"/>
      <c r="Q75" s="53"/>
      <c r="R75" s="53"/>
      <c r="CK75" s="11"/>
      <c r="CM75" s="11"/>
      <c r="DF75" s="11"/>
      <c r="DG75">
        <f t="shared" si="16"/>
        <v>0</v>
      </c>
      <c r="DH75">
        <v>0</v>
      </c>
      <c r="DI75">
        <v>0</v>
      </c>
      <c r="EY75" s="10" t="str">
        <f>IF($C75="","",$D75)</f>
        <v/>
      </c>
    </row>
    <row r="76" spans="1:155" x14ac:dyDescent="0.35">
      <c r="C76" s="211" t="s">
        <v>1096</v>
      </c>
      <c r="D76" t="s">
        <v>1073</v>
      </c>
      <c r="H76" s="9" t="s">
        <v>1074</v>
      </c>
      <c r="I76" s="40" t="s">
        <v>317</v>
      </c>
      <c r="V76" s="109"/>
      <c r="W76" s="133">
        <f>V80</f>
        <v>0</v>
      </c>
      <c r="X76" s="133">
        <f>W80</f>
        <v>0</v>
      </c>
      <c r="Y76" s="10">
        <f>X80</f>
        <v>0</v>
      </c>
      <c r="AA76" s="12">
        <f>W76</f>
        <v>0</v>
      </c>
      <c r="AB76" s="10">
        <f t="shared" ref="AB76:BV76" si="30">AA80</f>
        <v>0</v>
      </c>
      <c r="AC76" s="10">
        <f t="shared" si="30"/>
        <v>0</v>
      </c>
      <c r="AD76" s="10">
        <f t="shared" si="30"/>
        <v>0</v>
      </c>
      <c r="AE76" s="10">
        <f t="shared" si="30"/>
        <v>0</v>
      </c>
      <c r="AF76" s="10">
        <f t="shared" si="30"/>
        <v>0</v>
      </c>
      <c r="AG76" s="10">
        <f t="shared" si="30"/>
        <v>0</v>
      </c>
      <c r="AH76" s="10">
        <f t="shared" si="30"/>
        <v>0</v>
      </c>
      <c r="AI76" s="10">
        <f t="shared" si="30"/>
        <v>0</v>
      </c>
      <c r="AJ76" s="10">
        <f t="shared" si="30"/>
        <v>0</v>
      </c>
      <c r="AK76" s="10">
        <f t="shared" si="30"/>
        <v>0</v>
      </c>
      <c r="AL76" s="10">
        <f t="shared" si="30"/>
        <v>0</v>
      </c>
      <c r="AM76" s="10">
        <f t="shared" si="30"/>
        <v>0</v>
      </c>
      <c r="AN76" s="10">
        <f t="shared" si="30"/>
        <v>0</v>
      </c>
      <c r="AO76" s="10">
        <f t="shared" si="30"/>
        <v>0</v>
      </c>
      <c r="AP76" s="10">
        <f t="shared" si="30"/>
        <v>0</v>
      </c>
      <c r="AQ76" s="10">
        <f t="shared" si="30"/>
        <v>0</v>
      </c>
      <c r="AR76" s="10">
        <f t="shared" si="30"/>
        <v>0</v>
      </c>
      <c r="AS76" s="10">
        <f t="shared" si="30"/>
        <v>0</v>
      </c>
      <c r="AT76" s="10">
        <f t="shared" si="30"/>
        <v>0</v>
      </c>
      <c r="AU76" s="10">
        <f t="shared" si="30"/>
        <v>0</v>
      </c>
      <c r="AV76" s="10">
        <f t="shared" si="30"/>
        <v>0</v>
      </c>
      <c r="AW76" s="10">
        <f t="shared" si="30"/>
        <v>0</v>
      </c>
      <c r="AX76" s="10">
        <f t="shared" si="30"/>
        <v>0</v>
      </c>
      <c r="AY76" s="10">
        <f t="shared" si="30"/>
        <v>0</v>
      </c>
      <c r="AZ76" s="10">
        <f t="shared" si="30"/>
        <v>0</v>
      </c>
      <c r="BA76" s="10">
        <f t="shared" si="30"/>
        <v>0</v>
      </c>
      <c r="BB76" s="10">
        <f t="shared" si="30"/>
        <v>0</v>
      </c>
      <c r="BC76" s="10">
        <f t="shared" si="30"/>
        <v>0</v>
      </c>
      <c r="BD76" s="10">
        <f t="shared" si="30"/>
        <v>0</v>
      </c>
      <c r="BE76" s="10">
        <f t="shared" si="30"/>
        <v>0</v>
      </c>
      <c r="BF76" s="10">
        <f t="shared" si="30"/>
        <v>0</v>
      </c>
      <c r="BG76" s="10">
        <f t="shared" si="30"/>
        <v>0</v>
      </c>
      <c r="BH76" s="10">
        <f t="shared" si="30"/>
        <v>0</v>
      </c>
      <c r="BI76" s="10">
        <f t="shared" si="30"/>
        <v>0</v>
      </c>
      <c r="BJ76" s="10">
        <f t="shared" si="30"/>
        <v>0</v>
      </c>
      <c r="BK76" s="10">
        <f t="shared" si="30"/>
        <v>0</v>
      </c>
      <c r="BL76" s="10">
        <f t="shared" si="30"/>
        <v>0</v>
      </c>
      <c r="BM76" s="10">
        <f t="shared" si="30"/>
        <v>0</v>
      </c>
      <c r="BN76" s="10">
        <f t="shared" si="30"/>
        <v>0</v>
      </c>
      <c r="BO76" s="10">
        <f t="shared" si="30"/>
        <v>0</v>
      </c>
      <c r="BP76" s="10">
        <f t="shared" si="30"/>
        <v>0</v>
      </c>
      <c r="BQ76" s="10">
        <f t="shared" si="30"/>
        <v>0</v>
      </c>
      <c r="BR76" s="10">
        <f t="shared" si="30"/>
        <v>0</v>
      </c>
      <c r="BS76" s="10">
        <f t="shared" si="30"/>
        <v>0</v>
      </c>
      <c r="BT76" s="10">
        <f t="shared" si="30"/>
        <v>0</v>
      </c>
      <c r="BU76" s="10">
        <f t="shared" si="30"/>
        <v>0</v>
      </c>
      <c r="BV76" s="10">
        <f t="shared" si="30"/>
        <v>0</v>
      </c>
      <c r="BX76" s="12">
        <f t="shared" ref="BX76:CA80" si="31">V76</f>
        <v>0</v>
      </c>
      <c r="BY76" s="12">
        <f t="shared" si="31"/>
        <v>0</v>
      </c>
      <c r="BZ76" s="12">
        <f t="shared" si="31"/>
        <v>0</v>
      </c>
      <c r="CA76" s="12">
        <f t="shared" si="31"/>
        <v>0</v>
      </c>
      <c r="CB76" s="10">
        <f t="shared" ref="CB76:CI76" si="32">CA80</f>
        <v>0</v>
      </c>
      <c r="CC76" s="10">
        <f t="shared" si="32"/>
        <v>0</v>
      </c>
      <c r="CD76" s="10">
        <f t="shared" si="32"/>
        <v>0</v>
      </c>
      <c r="CE76" s="10">
        <f t="shared" si="32"/>
        <v>0</v>
      </c>
      <c r="CF76" s="10">
        <f t="shared" si="32"/>
        <v>0</v>
      </c>
      <c r="CG76" s="10">
        <f t="shared" si="32"/>
        <v>0</v>
      </c>
      <c r="CH76" s="10">
        <f t="shared" si="32"/>
        <v>0</v>
      </c>
      <c r="CI76" s="10">
        <f t="shared" si="32"/>
        <v>0</v>
      </c>
      <c r="CK76" s="11"/>
      <c r="CM76" s="11"/>
      <c r="CY76" s="7" cm="1">
        <f t="array" ref="CY76">SUMPRODUCT(--NOT(ISNUMBER(V76:CI76)),--NOT(ISBLANK(V76:CI76)))</f>
        <v>0</v>
      </c>
      <c r="DF76" s="11"/>
      <c r="DG76">
        <f t="shared" si="16"/>
        <v>0</v>
      </c>
      <c r="DH76">
        <v>1</v>
      </c>
      <c r="DI76">
        <v>0</v>
      </c>
      <c r="EY76" s="12" t="str">
        <f>IF(C76="", "", CONCATENATE(D75, " ",D76))</f>
        <v>Loan 2 Opening Loan Balance</v>
      </c>
    </row>
    <row r="77" spans="1:155" s="5" customFormat="1" x14ac:dyDescent="0.35">
      <c r="A77" s="220" cm="1">
        <f t="array" aca="1" ref="A77" ca="1">HYPERLINK(CONCATENATE("#",CELL("address",IF(MAX($CM77:$DF77)=0,A77,INDEX($CM77:$DF77,MATCH(1,$CM77:$DF77,0))))),MAX($CM77:$DF77))</f>
        <v>0</v>
      </c>
      <c r="B77"/>
      <c r="C77" s="211" t="s">
        <v>1097</v>
      </c>
      <c r="D77" t="s">
        <v>1076</v>
      </c>
      <c r="E77" s="1"/>
      <c r="F77" s="1"/>
      <c r="G77"/>
      <c r="H77" s="9" t="s">
        <v>1074</v>
      </c>
      <c r="I77" s="40" t="s">
        <v>665</v>
      </c>
      <c r="J77"/>
      <c r="K77"/>
      <c r="L77"/>
      <c r="M77"/>
      <c r="N77"/>
      <c r="O77"/>
      <c r="P77"/>
      <c r="Q77"/>
      <c r="R77"/>
      <c r="S77"/>
      <c r="T77"/>
      <c r="U77"/>
      <c r="V77" s="109"/>
      <c r="W77" s="133">
        <f t="shared" ref="W77:Y79" si="33" xml:space="preserve"> SUMIFS($AA77:$BV77, $AA$3:$BV$3, W$3)</f>
        <v>0</v>
      </c>
      <c r="X77" s="133">
        <f t="shared" si="33"/>
        <v>0</v>
      </c>
      <c r="Y77" s="133">
        <f t="shared" si="33"/>
        <v>0</v>
      </c>
      <c r="Z77"/>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c r="BX77" s="12">
        <f t="shared" si="31"/>
        <v>0</v>
      </c>
      <c r="BY77" s="12">
        <f t="shared" si="31"/>
        <v>0</v>
      </c>
      <c r="BZ77" s="12">
        <f t="shared" si="31"/>
        <v>0</v>
      </c>
      <c r="CA77" s="12">
        <f t="shared" si="31"/>
        <v>0</v>
      </c>
      <c r="CB77" s="133">
        <f xml:space="preserve"> SUMIFS($AA77:$BV77, $AA$3:$BV$3, CB$3)</f>
        <v>0</v>
      </c>
      <c r="CC77" s="109"/>
      <c r="CD77" s="109"/>
      <c r="CE77" s="109"/>
      <c r="CF77" s="109"/>
      <c r="CG77" s="109"/>
      <c r="CH77" s="109"/>
      <c r="CI77" s="109"/>
      <c r="CJ77"/>
      <c r="CK77" s="11"/>
      <c r="CL77" s="241">
        <f>IF(MIN($V77:$CI77)&lt;0, 1, 0)</f>
        <v>0</v>
      </c>
      <c r="CM77" s="11"/>
      <c r="CN77"/>
      <c r="CO77"/>
      <c r="CP77"/>
      <c r="CQ77"/>
      <c r="CR77"/>
      <c r="CS77"/>
      <c r="CT77"/>
      <c r="CU77"/>
      <c r="CV77"/>
      <c r="CW77"/>
      <c r="CX77"/>
      <c r="CY77" s="7" cm="1">
        <f t="array" ref="CY77">SUMPRODUCT(--NOT(ISNUMBER(V77:CI77)),--NOT(ISBLANK(V77:CI77)))</f>
        <v>0</v>
      </c>
      <c r="CZ77" s="7">
        <f t="shared" ref="CZ77:DB79" si="34">IF(ROUND(W77-SUMIFS($AA77:$BV77, $AA$3:$BV$3, W$3), rounding)=0, 0, 1)</f>
        <v>0</v>
      </c>
      <c r="DA77" s="7">
        <f t="shared" si="34"/>
        <v>0</v>
      </c>
      <c r="DB77" s="7">
        <f t="shared" si="34"/>
        <v>0</v>
      </c>
      <c r="DC77" s="7">
        <f>IF(ROUND(CB77-SUMIFS($AA77:$BV77, $AA$3:$BV$3, CB$3), rounding)=0, 0, 1)</f>
        <v>0</v>
      </c>
      <c r="DD77" s="7">
        <f>IF(ROUND(V77-BX77, rounding)=0, 0, 1)*'BS Forecasts'!$V$10</f>
        <v>0</v>
      </c>
      <c r="DE77"/>
      <c r="DF77" s="11"/>
      <c r="DG77">
        <f t="shared" si="16"/>
        <v>0</v>
      </c>
      <c r="DH77">
        <v>1</v>
      </c>
      <c r="DI77">
        <v>1</v>
      </c>
      <c r="EY77" s="12" t="str">
        <f>IF(C77="", "", CONCATENATE(D75, " ",D77))</f>
        <v>Loan 2 Drawdowns</v>
      </c>
    </row>
    <row r="78" spans="1:155" x14ac:dyDescent="0.35">
      <c r="A78" s="220" cm="1">
        <f t="array" aca="1" ref="A78" ca="1">HYPERLINK(CONCATENATE("#",CELL("address",IF(MAX($CM78:$DF78)=0,A78,INDEX($CM78:$DF78,MATCH(1,$CM78:$DF78,0))))),MAX($CM78:$DF78))</f>
        <v>0</v>
      </c>
      <c r="C78" s="211" t="s">
        <v>1098</v>
      </c>
      <c r="D78" t="s">
        <v>1078</v>
      </c>
      <c r="E78"/>
      <c r="F78"/>
      <c r="H78" s="9" t="s">
        <v>1074</v>
      </c>
      <c r="I78" s="40" t="s">
        <v>1079</v>
      </c>
      <c r="V78" s="109"/>
      <c r="W78" s="133">
        <f t="shared" si="33"/>
        <v>0</v>
      </c>
      <c r="X78" s="133">
        <f t="shared" si="33"/>
        <v>0</v>
      </c>
      <c r="Y78" s="133">
        <f t="shared" si="33"/>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X78" s="12">
        <f t="shared" si="31"/>
        <v>0</v>
      </c>
      <c r="BY78" s="12">
        <f t="shared" si="31"/>
        <v>0</v>
      </c>
      <c r="BZ78" s="12">
        <f t="shared" si="31"/>
        <v>0</v>
      </c>
      <c r="CA78" s="12">
        <f t="shared" si="31"/>
        <v>0</v>
      </c>
      <c r="CB78" s="133">
        <f xml:space="preserve"> SUMIFS($AA78:$BV78, $AA$3:$BV$3, CB$3)</f>
        <v>0</v>
      </c>
      <c r="CC78" s="109"/>
      <c r="CD78" s="109"/>
      <c r="CE78" s="109"/>
      <c r="CF78" s="109"/>
      <c r="CG78" s="109"/>
      <c r="CH78" s="109"/>
      <c r="CI78" s="109"/>
      <c r="CK78" s="11"/>
      <c r="CL78" s="241">
        <f>IF(MAX($V78:$CI78)&gt;0, 1, 0)</f>
        <v>0</v>
      </c>
      <c r="CM78" s="11"/>
      <c r="CY78" s="7" cm="1">
        <f t="array" ref="CY78">SUMPRODUCT(--NOT(ISNUMBER(V78:CI78)),--NOT(ISBLANK(V78:CI78)))</f>
        <v>0</v>
      </c>
      <c r="CZ78" s="7">
        <f t="shared" si="34"/>
        <v>0</v>
      </c>
      <c r="DA78" s="7">
        <f t="shared" si="34"/>
        <v>0</v>
      </c>
      <c r="DB78" s="7">
        <f t="shared" si="34"/>
        <v>0</v>
      </c>
      <c r="DC78" s="7">
        <f>IF(ROUND(CB78-SUMIFS($AA78:$BV78, $AA$3:$BV$3, CB$3), rounding)=0, 0, 1)</f>
        <v>0</v>
      </c>
      <c r="DD78" s="7">
        <f>IF(ROUND(V78-BX78, rounding)=0, 0, 1)*'BS Forecasts'!$V$10</f>
        <v>0</v>
      </c>
      <c r="DF78" s="11"/>
      <c r="DG78">
        <f t="shared" si="16"/>
        <v>0</v>
      </c>
      <c r="DH78">
        <v>1</v>
      </c>
      <c r="DI78">
        <v>1</v>
      </c>
      <c r="EY78" s="12" t="str">
        <f>IF(C78="", "", CONCATENATE(D75, " ",D78))</f>
        <v>Loan 2 Loan Capital Repayment (as per loan agreement)</v>
      </c>
    </row>
    <row r="79" spans="1:155" x14ac:dyDescent="0.35">
      <c r="A79" s="220" cm="1">
        <f t="array" aca="1" ref="A79" ca="1">HYPERLINK(CONCATENATE("#",CELL("address",IF(MAX($CM79:$DF79)=0,A79,INDEX($CM79:$DF79,MATCH(1,$CM79:$DF79,0))))),MAX($CM79:$DF79))</f>
        <v>0</v>
      </c>
      <c r="C79" s="211" t="s">
        <v>1099</v>
      </c>
      <c r="D79" t="s">
        <v>1081</v>
      </c>
      <c r="H79" s="9" t="s">
        <v>1074</v>
      </c>
      <c r="I79" s="40" t="s">
        <v>1079</v>
      </c>
      <c r="V79" s="109"/>
      <c r="W79" s="133">
        <f t="shared" si="33"/>
        <v>0</v>
      </c>
      <c r="X79" s="133">
        <f t="shared" si="33"/>
        <v>0</v>
      </c>
      <c r="Y79" s="133">
        <f t="shared" si="33"/>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X79" s="12">
        <f t="shared" si="31"/>
        <v>0</v>
      </c>
      <c r="BY79" s="12">
        <f t="shared" si="31"/>
        <v>0</v>
      </c>
      <c r="BZ79" s="12">
        <f t="shared" si="31"/>
        <v>0</v>
      </c>
      <c r="CA79" s="12">
        <f t="shared" si="31"/>
        <v>0</v>
      </c>
      <c r="CB79" s="133">
        <f xml:space="preserve"> SUMIFS($AA79:$BV79, $AA$3:$BV$3, CB$3)</f>
        <v>0</v>
      </c>
      <c r="CC79" s="109"/>
      <c r="CD79" s="109"/>
      <c r="CE79" s="109"/>
      <c r="CF79" s="109"/>
      <c r="CG79" s="109"/>
      <c r="CH79" s="109"/>
      <c r="CI79" s="109"/>
      <c r="CK79" s="11"/>
      <c r="CL79" s="241">
        <f>IF(MAX($V79:$CI79)&gt;0, 1, 0)</f>
        <v>0</v>
      </c>
      <c r="CM79" s="11"/>
      <c r="CY79" s="7" cm="1">
        <f t="array" ref="CY79">SUMPRODUCT(--NOT(ISNUMBER(V79:CI79)),--NOT(ISBLANK(V79:CI79)))</f>
        <v>0</v>
      </c>
      <c r="CZ79" s="7">
        <f t="shared" si="34"/>
        <v>0</v>
      </c>
      <c r="DA79" s="7">
        <f t="shared" si="34"/>
        <v>0</v>
      </c>
      <c r="DB79" s="7">
        <f t="shared" si="34"/>
        <v>0</v>
      </c>
      <c r="DC79" s="7">
        <f>IF(ROUND(CB79-SUMIFS($AA79:$BV79, $AA$3:$BV$3, CB$3), rounding)=0, 0, 1)</f>
        <v>0</v>
      </c>
      <c r="DD79" s="7">
        <f>IF(ROUND(V79-BX79, rounding)=0, 0, 1)*'BS Forecasts'!$V$10</f>
        <v>0</v>
      </c>
      <c r="DF79" s="11"/>
      <c r="DG79">
        <f t="shared" si="16"/>
        <v>0</v>
      </c>
      <c r="DH79">
        <v>1</v>
      </c>
      <c r="DI79">
        <v>1</v>
      </c>
      <c r="EY79" s="12" t="str">
        <f>IF(C79="", "", CONCATENATE(D75, " ",D79))</f>
        <v xml:space="preserve">Loan 2 Early Repayment </v>
      </c>
    </row>
    <row r="80" spans="1:155" x14ac:dyDescent="0.35">
      <c r="C80" s="211" t="s">
        <v>1100</v>
      </c>
      <c r="D80" t="s">
        <v>1083</v>
      </c>
      <c r="H80" s="9" t="s">
        <v>1074</v>
      </c>
      <c r="I80" s="40" t="s">
        <v>317</v>
      </c>
      <c r="V80" s="12">
        <f>$H$14</f>
        <v>0</v>
      </c>
      <c r="W80" s="10">
        <f>SUM(W76:W79)</f>
        <v>0</v>
      </c>
      <c r="X80" s="10">
        <f>SUM(X76:X79)</f>
        <v>0</v>
      </c>
      <c r="Y80" s="10">
        <f>SUM(Y76:Y79)</f>
        <v>0</v>
      </c>
      <c r="AA80" s="10">
        <f t="shared" ref="AA80:BV80" si="35">SUM(AA76:AA79)</f>
        <v>0</v>
      </c>
      <c r="AB80" s="10">
        <f t="shared" si="35"/>
        <v>0</v>
      </c>
      <c r="AC80" s="10">
        <f t="shared" si="35"/>
        <v>0</v>
      </c>
      <c r="AD80" s="10">
        <f t="shared" si="35"/>
        <v>0</v>
      </c>
      <c r="AE80" s="10">
        <f t="shared" si="35"/>
        <v>0</v>
      </c>
      <c r="AF80" s="10">
        <f t="shared" si="35"/>
        <v>0</v>
      </c>
      <c r="AG80" s="10">
        <f t="shared" si="35"/>
        <v>0</v>
      </c>
      <c r="AH80" s="10">
        <f t="shared" si="35"/>
        <v>0</v>
      </c>
      <c r="AI80" s="10">
        <f t="shared" si="35"/>
        <v>0</v>
      </c>
      <c r="AJ80" s="10">
        <f t="shared" si="35"/>
        <v>0</v>
      </c>
      <c r="AK80" s="10">
        <f t="shared" si="35"/>
        <v>0</v>
      </c>
      <c r="AL80" s="10">
        <f t="shared" si="35"/>
        <v>0</v>
      </c>
      <c r="AM80" s="10">
        <f t="shared" si="35"/>
        <v>0</v>
      </c>
      <c r="AN80" s="10">
        <f t="shared" si="35"/>
        <v>0</v>
      </c>
      <c r="AO80" s="10">
        <f t="shared" si="35"/>
        <v>0</v>
      </c>
      <c r="AP80" s="10">
        <f t="shared" si="35"/>
        <v>0</v>
      </c>
      <c r="AQ80" s="10">
        <f t="shared" si="35"/>
        <v>0</v>
      </c>
      <c r="AR80" s="10">
        <f t="shared" si="35"/>
        <v>0</v>
      </c>
      <c r="AS80" s="10">
        <f t="shared" si="35"/>
        <v>0</v>
      </c>
      <c r="AT80" s="10">
        <f t="shared" si="35"/>
        <v>0</v>
      </c>
      <c r="AU80" s="10">
        <f t="shared" si="35"/>
        <v>0</v>
      </c>
      <c r="AV80" s="10">
        <f t="shared" si="35"/>
        <v>0</v>
      </c>
      <c r="AW80" s="10">
        <f t="shared" si="35"/>
        <v>0</v>
      </c>
      <c r="AX80" s="10">
        <f t="shared" si="35"/>
        <v>0</v>
      </c>
      <c r="AY80" s="10">
        <f t="shared" si="35"/>
        <v>0</v>
      </c>
      <c r="AZ80" s="10">
        <f t="shared" si="35"/>
        <v>0</v>
      </c>
      <c r="BA80" s="10">
        <f t="shared" si="35"/>
        <v>0</v>
      </c>
      <c r="BB80" s="10">
        <f t="shared" si="35"/>
        <v>0</v>
      </c>
      <c r="BC80" s="10">
        <f t="shared" si="35"/>
        <v>0</v>
      </c>
      <c r="BD80" s="10">
        <f t="shared" si="35"/>
        <v>0</v>
      </c>
      <c r="BE80" s="10">
        <f t="shared" si="35"/>
        <v>0</v>
      </c>
      <c r="BF80" s="10">
        <f t="shared" si="35"/>
        <v>0</v>
      </c>
      <c r="BG80" s="10">
        <f t="shared" si="35"/>
        <v>0</v>
      </c>
      <c r="BH80" s="10">
        <f t="shared" si="35"/>
        <v>0</v>
      </c>
      <c r="BI80" s="10">
        <f t="shared" si="35"/>
        <v>0</v>
      </c>
      <c r="BJ80" s="10">
        <f t="shared" si="35"/>
        <v>0</v>
      </c>
      <c r="BK80" s="10">
        <f t="shared" si="35"/>
        <v>0</v>
      </c>
      <c r="BL80" s="10">
        <f t="shared" si="35"/>
        <v>0</v>
      </c>
      <c r="BM80" s="10">
        <f t="shared" si="35"/>
        <v>0</v>
      </c>
      <c r="BN80" s="10">
        <f t="shared" si="35"/>
        <v>0</v>
      </c>
      <c r="BO80" s="10">
        <f t="shared" si="35"/>
        <v>0</v>
      </c>
      <c r="BP80" s="10">
        <f t="shared" si="35"/>
        <v>0</v>
      </c>
      <c r="BQ80" s="10">
        <f t="shared" si="35"/>
        <v>0</v>
      </c>
      <c r="BR80" s="10">
        <f t="shared" si="35"/>
        <v>0</v>
      </c>
      <c r="BS80" s="10">
        <f t="shared" si="35"/>
        <v>0</v>
      </c>
      <c r="BT80" s="10">
        <f t="shared" si="35"/>
        <v>0</v>
      </c>
      <c r="BU80" s="10">
        <f t="shared" si="35"/>
        <v>0</v>
      </c>
      <c r="BV80" s="10">
        <f t="shared" si="35"/>
        <v>0</v>
      </c>
      <c r="BX80" s="12">
        <f t="shared" si="31"/>
        <v>0</v>
      </c>
      <c r="BY80" s="12">
        <f t="shared" si="31"/>
        <v>0</v>
      </c>
      <c r="BZ80" s="12">
        <f t="shared" si="31"/>
        <v>0</v>
      </c>
      <c r="CA80" s="12">
        <f t="shared" si="31"/>
        <v>0</v>
      </c>
      <c r="CB80" s="10">
        <f t="shared" ref="CB80:CI80" si="36">SUM(CB76:CB79)</f>
        <v>0</v>
      </c>
      <c r="CC80" s="10">
        <f t="shared" si="36"/>
        <v>0</v>
      </c>
      <c r="CD80" s="10">
        <f t="shared" si="36"/>
        <v>0</v>
      </c>
      <c r="CE80" s="10">
        <f t="shared" si="36"/>
        <v>0</v>
      </c>
      <c r="CF80" s="10">
        <f t="shared" si="36"/>
        <v>0</v>
      </c>
      <c r="CG80" s="10">
        <f t="shared" si="36"/>
        <v>0</v>
      </c>
      <c r="CH80" s="10">
        <f t="shared" si="36"/>
        <v>0</v>
      </c>
      <c r="CI80" s="10">
        <f t="shared" si="36"/>
        <v>0</v>
      </c>
      <c r="CK80" s="11"/>
      <c r="CM80" s="11"/>
      <c r="DF80" s="11"/>
      <c r="DG80">
        <f t="shared" si="16"/>
        <v>0</v>
      </c>
      <c r="DH80">
        <v>0</v>
      </c>
      <c r="DI80">
        <v>0</v>
      </c>
      <c r="EY80" s="12" t="str">
        <f>IF(C80="", "", CONCATENATE(D75, " ",D80))</f>
        <v>Loan 2 Closing Loan Balance</v>
      </c>
    </row>
    <row r="81" spans="1:155" ht="6.75" customHeight="1" x14ac:dyDescent="0.35">
      <c r="C81" s="211"/>
      <c r="D81" s="1"/>
      <c r="E81"/>
      <c r="F81"/>
      <c r="BY81" s="6"/>
      <c r="CK81" s="35"/>
      <c r="CM81" s="35"/>
      <c r="DF81" s="35"/>
      <c r="DG81">
        <f t="shared" si="16"/>
        <v>0</v>
      </c>
      <c r="DH81">
        <v>0</v>
      </c>
      <c r="DI81">
        <v>0</v>
      </c>
      <c r="EY81" s="12" t="str">
        <f>IF(C81="", "", CONCATENATE(D75, " ",D81))</f>
        <v/>
      </c>
    </row>
    <row r="82" spans="1:155" x14ac:dyDescent="0.35">
      <c r="A82" s="220" cm="1">
        <f t="array" aca="1" ref="A82" ca="1">HYPERLINK(CONCATENATE("#",CELL("address",IF(MAX($CM82:$DF82)=0,A82,INDEX($CM82:$DF82,MATCH(1,$CM82:$DF82,0))))),MAX($CM82:$DF82))</f>
        <v>0</v>
      </c>
      <c r="C82" s="211"/>
      <c r="D82" t="s">
        <v>1084</v>
      </c>
      <c r="E82" s="118" t="s">
        <v>1085</v>
      </c>
      <c r="F82" s="118"/>
      <c r="G82" s="10">
        <f>$G$14</f>
        <v>0</v>
      </c>
      <c r="V82" s="7">
        <f>IF(OR(V80&gt;$G82, V80&lt;0), 1, 0)</f>
        <v>0</v>
      </c>
      <c r="W82" s="7">
        <f>IF(OR(W80&gt;$G82, W80&lt;0), 1, 0)</f>
        <v>0</v>
      </c>
      <c r="X82" s="7">
        <f>IF(OR(X80&gt;$G82, X80&lt;0), 1, 0)</f>
        <v>0</v>
      </c>
      <c r="Y82" s="7">
        <f>IF(OR(Y80&gt;$G82, Y80&lt;0), 1, 0)</f>
        <v>0</v>
      </c>
      <c r="AA82" s="7">
        <f t="shared" ref="AA82:BV82" si="37">IF(OR(AA80&gt;$G82, AA80&lt;0), 1, 0)</f>
        <v>0</v>
      </c>
      <c r="AB82" s="7">
        <f t="shared" si="37"/>
        <v>0</v>
      </c>
      <c r="AC82" s="7">
        <f t="shared" si="37"/>
        <v>0</v>
      </c>
      <c r="AD82" s="7">
        <f t="shared" si="37"/>
        <v>0</v>
      </c>
      <c r="AE82" s="7">
        <f t="shared" si="37"/>
        <v>0</v>
      </c>
      <c r="AF82" s="7">
        <f t="shared" si="37"/>
        <v>0</v>
      </c>
      <c r="AG82" s="7">
        <f t="shared" si="37"/>
        <v>0</v>
      </c>
      <c r="AH82" s="7">
        <f t="shared" si="37"/>
        <v>0</v>
      </c>
      <c r="AI82" s="7">
        <f t="shared" si="37"/>
        <v>0</v>
      </c>
      <c r="AJ82" s="7">
        <f t="shared" si="37"/>
        <v>0</v>
      </c>
      <c r="AK82" s="7">
        <f t="shared" si="37"/>
        <v>0</v>
      </c>
      <c r="AL82" s="7">
        <f t="shared" si="37"/>
        <v>0</v>
      </c>
      <c r="AM82" s="7">
        <f t="shared" si="37"/>
        <v>0</v>
      </c>
      <c r="AN82" s="7">
        <f t="shared" si="37"/>
        <v>0</v>
      </c>
      <c r="AO82" s="7">
        <f t="shared" si="37"/>
        <v>0</v>
      </c>
      <c r="AP82" s="7">
        <f t="shared" si="37"/>
        <v>0</v>
      </c>
      <c r="AQ82" s="7">
        <f t="shared" si="37"/>
        <v>0</v>
      </c>
      <c r="AR82" s="7">
        <f t="shared" si="37"/>
        <v>0</v>
      </c>
      <c r="AS82" s="7">
        <f t="shared" si="37"/>
        <v>0</v>
      </c>
      <c r="AT82" s="7">
        <f t="shared" si="37"/>
        <v>0</v>
      </c>
      <c r="AU82" s="7">
        <f t="shared" si="37"/>
        <v>0</v>
      </c>
      <c r="AV82" s="7">
        <f t="shared" si="37"/>
        <v>0</v>
      </c>
      <c r="AW82" s="7">
        <f t="shared" si="37"/>
        <v>0</v>
      </c>
      <c r="AX82" s="7">
        <f t="shared" si="37"/>
        <v>0</v>
      </c>
      <c r="AY82" s="7">
        <f t="shared" si="37"/>
        <v>0</v>
      </c>
      <c r="AZ82" s="7">
        <f t="shared" si="37"/>
        <v>0</v>
      </c>
      <c r="BA82" s="7">
        <f t="shared" si="37"/>
        <v>0</v>
      </c>
      <c r="BB82" s="7">
        <f t="shared" si="37"/>
        <v>0</v>
      </c>
      <c r="BC82" s="7">
        <f t="shared" si="37"/>
        <v>0</v>
      </c>
      <c r="BD82" s="7">
        <f t="shared" si="37"/>
        <v>0</v>
      </c>
      <c r="BE82" s="7">
        <f t="shared" si="37"/>
        <v>0</v>
      </c>
      <c r="BF82" s="7">
        <f t="shared" si="37"/>
        <v>0</v>
      </c>
      <c r="BG82" s="7">
        <f t="shared" si="37"/>
        <v>0</v>
      </c>
      <c r="BH82" s="7">
        <f t="shared" si="37"/>
        <v>0</v>
      </c>
      <c r="BI82" s="7">
        <f t="shared" si="37"/>
        <v>0</v>
      </c>
      <c r="BJ82" s="7">
        <f t="shared" si="37"/>
        <v>0</v>
      </c>
      <c r="BK82" s="7">
        <f t="shared" si="37"/>
        <v>0</v>
      </c>
      <c r="BL82" s="7">
        <f t="shared" si="37"/>
        <v>0</v>
      </c>
      <c r="BM82" s="7">
        <f t="shared" si="37"/>
        <v>0</v>
      </c>
      <c r="BN82" s="7">
        <f t="shared" si="37"/>
        <v>0</v>
      </c>
      <c r="BO82" s="7">
        <f t="shared" si="37"/>
        <v>0</v>
      </c>
      <c r="BP82" s="7">
        <f t="shared" si="37"/>
        <v>0</v>
      </c>
      <c r="BQ82" s="7">
        <f t="shared" si="37"/>
        <v>0</v>
      </c>
      <c r="BR82" s="7">
        <f t="shared" si="37"/>
        <v>0</v>
      </c>
      <c r="BS82" s="7">
        <f t="shared" si="37"/>
        <v>0</v>
      </c>
      <c r="BT82" s="7">
        <f t="shared" si="37"/>
        <v>0</v>
      </c>
      <c r="BU82" s="7">
        <f t="shared" si="37"/>
        <v>0</v>
      </c>
      <c r="BV82" s="7">
        <f t="shared" si="37"/>
        <v>0</v>
      </c>
      <c r="BX82" s="7">
        <f t="shared" ref="BX82:CI82" si="38">IF(OR(BX80&gt;$G82, BX80&lt;0), 1, 0)</f>
        <v>0</v>
      </c>
      <c r="BY82" s="7">
        <f t="shared" si="38"/>
        <v>0</v>
      </c>
      <c r="BZ82" s="7">
        <f t="shared" si="38"/>
        <v>0</v>
      </c>
      <c r="CA82" s="7">
        <f t="shared" si="38"/>
        <v>0</v>
      </c>
      <c r="CB82" s="7">
        <f t="shared" si="38"/>
        <v>0</v>
      </c>
      <c r="CC82" s="7">
        <f t="shared" si="38"/>
        <v>0</v>
      </c>
      <c r="CD82" s="7">
        <f t="shared" si="38"/>
        <v>0</v>
      </c>
      <c r="CE82" s="7">
        <f t="shared" si="38"/>
        <v>0</v>
      </c>
      <c r="CF82" s="7">
        <f t="shared" si="38"/>
        <v>0</v>
      </c>
      <c r="CG82" s="7">
        <f t="shared" si="38"/>
        <v>0</v>
      </c>
      <c r="CH82" s="7">
        <f t="shared" si="38"/>
        <v>0</v>
      </c>
      <c r="CI82" s="7">
        <f t="shared" si="38"/>
        <v>0</v>
      </c>
      <c r="CK82" s="11"/>
      <c r="CM82" s="11"/>
      <c r="CX82" s="7">
        <f>IF(MAX(V82:CI82)&gt;0, 1, 0)</f>
        <v>0</v>
      </c>
      <c r="DF82" s="11"/>
      <c r="DG82">
        <f t="shared" si="16"/>
        <v>1</v>
      </c>
      <c r="DH82">
        <v>0</v>
      </c>
      <c r="DI82">
        <v>0</v>
      </c>
      <c r="EY82" s="12" t="str">
        <f>IF(C82="", "", CONCATENATE(D75, " ",D82))</f>
        <v/>
      </c>
    </row>
    <row r="83" spans="1:155" x14ac:dyDescent="0.35">
      <c r="A83" s="220" cm="1">
        <f t="array" aca="1" ref="A83" ca="1">HYPERLINK(CONCATENATE("#",CELL("address",IF(MAX($CM83:$DF83)=0,A83,INDEX($CM83:$DF83,MATCH(1,$CM83:$DF83,0))))),MAX($CM83:$DF83))</f>
        <v>0</v>
      </c>
      <c r="C83" s="211"/>
      <c r="D83" t="s">
        <v>1086</v>
      </c>
      <c r="E83" s="118" t="s">
        <v>1087</v>
      </c>
      <c r="F83" s="118"/>
      <c r="G83" s="117" t="str">
        <f>IF($K$14="", "", $K$14)</f>
        <v/>
      </c>
      <c r="V83" s="7">
        <f>IF(AND(V$5&gt;=$G83,SUM(V80:$Y80)&lt;&gt;0),1,0)</f>
        <v>0</v>
      </c>
      <c r="W83" s="7">
        <f>IF(AND(W$5&gt;=$G83,SUM(W80:$Y80)&lt;&gt;0),1,0)</f>
        <v>0</v>
      </c>
      <c r="X83" s="7">
        <f>IF(AND(X$5&gt;=$G83,SUM(X80:$Y80)&lt;&gt;0),1,0)</f>
        <v>0</v>
      </c>
      <c r="Y83" s="7">
        <f>IF(AND(Y$5&gt;=$G83,SUM(Y80:$Y80)&lt;&gt;0),1,0)</f>
        <v>0</v>
      </c>
      <c r="AA83" s="7">
        <f>IF(AND(AA$5&gt;=$G83,SUM(AA80:$BV80)&lt;&gt;0),1,0)</f>
        <v>0</v>
      </c>
      <c r="AB83" s="7">
        <f>IF(AND(AB$5&gt;=$G83,SUM(AB80:$BV80)&lt;&gt;0),1,0)</f>
        <v>0</v>
      </c>
      <c r="AC83" s="7">
        <f>IF(AND(AC$5&gt;=$G83,SUM(AC80:$BV80)&lt;&gt;0),1,0)</f>
        <v>0</v>
      </c>
      <c r="AD83" s="7">
        <f>IF(AND(AD$5&gt;=$G83,SUM(AD80:$BV80)&lt;&gt;0),1,0)</f>
        <v>0</v>
      </c>
      <c r="AE83" s="7">
        <f>IF(AND(AE$5&gt;=$G83,SUM(AE80:$BV80)&lt;&gt;0),1,0)</f>
        <v>0</v>
      </c>
      <c r="AF83" s="7">
        <f>IF(AND(AF$5&gt;=$G83,SUM(AF80:$BV80)&lt;&gt;0),1,0)</f>
        <v>0</v>
      </c>
      <c r="AG83" s="7">
        <f>IF(AND(AG$5&gt;=$G83,SUM(AG80:$BV80)&lt;&gt;0),1,0)</f>
        <v>0</v>
      </c>
      <c r="AH83" s="7">
        <f>IF(AND(AH$5&gt;=$G83,SUM(AH80:$BV80)&lt;&gt;0),1,0)</f>
        <v>0</v>
      </c>
      <c r="AI83" s="7">
        <f>IF(AND(AI$5&gt;=$G83,SUM(AI80:$BV80)&lt;&gt;0),1,0)</f>
        <v>0</v>
      </c>
      <c r="AJ83" s="7">
        <f>IF(AND(AJ$5&gt;=$G83,SUM(AJ80:$BV80)&lt;&gt;0),1,0)</f>
        <v>0</v>
      </c>
      <c r="AK83" s="7">
        <f>IF(AND(AK$5&gt;=$G83,SUM(AK80:$BV80)&lt;&gt;0),1,0)</f>
        <v>0</v>
      </c>
      <c r="AL83" s="7">
        <f>IF(AND(AL$5&gt;=$G83,SUM(AL80:$BV80)&lt;&gt;0),1,0)</f>
        <v>0</v>
      </c>
      <c r="AM83" s="7">
        <f>IF(AND(AM$5&gt;=$G83,SUM(AM80:$BV80)&lt;&gt;0),1,0)</f>
        <v>0</v>
      </c>
      <c r="AN83" s="7">
        <f>IF(AND(AN$5&gt;=$G83,SUM(AN80:$BV80)&lt;&gt;0),1,0)</f>
        <v>0</v>
      </c>
      <c r="AO83" s="7">
        <f>IF(AND(AO$5&gt;=$G83,SUM(AO80:$BV80)&lt;&gt;0),1,0)</f>
        <v>0</v>
      </c>
      <c r="AP83" s="7">
        <f>IF(AND(AP$5&gt;=$G83,SUM(AP80:$BV80)&lt;&gt;0),1,0)</f>
        <v>0</v>
      </c>
      <c r="AQ83" s="7">
        <f>IF(AND(AQ$5&gt;=$G83,SUM(AQ80:$BV80)&lt;&gt;0),1,0)</f>
        <v>0</v>
      </c>
      <c r="AR83" s="7">
        <f>IF(AND(AR$5&gt;=$G83,SUM(AR80:$BV80)&lt;&gt;0),1,0)</f>
        <v>0</v>
      </c>
      <c r="AS83" s="7">
        <f>IF(AND(AS$5&gt;=$G83,SUM(AS80:$BV80)&lt;&gt;0),1,0)</f>
        <v>0</v>
      </c>
      <c r="AT83" s="7">
        <f>IF(AND(AT$5&gt;=$G83,SUM(AT80:$BV80)&lt;&gt;0),1,0)</f>
        <v>0</v>
      </c>
      <c r="AU83" s="7">
        <f>IF(AND(AU$5&gt;=$G83,SUM(AU80:$BV80)&lt;&gt;0),1,0)</f>
        <v>0</v>
      </c>
      <c r="AV83" s="7">
        <f>IF(AND(AV$5&gt;=$G83,SUM(AV80:$BV80)&lt;&gt;0),1,0)</f>
        <v>0</v>
      </c>
      <c r="AW83" s="7">
        <f>IF(AND(AW$5&gt;=$G83,SUM(AW80:$BV80)&lt;&gt;0),1,0)</f>
        <v>0</v>
      </c>
      <c r="AX83" s="7">
        <f>IF(AND(AX$5&gt;=$G83,SUM(AX80:$BV80)&lt;&gt;0),1,0)</f>
        <v>0</v>
      </c>
      <c r="AY83" s="7">
        <f>IF(AND(AY$5&gt;=$G83,SUM(AY80:$BV80)&lt;&gt;0),1,0)</f>
        <v>0</v>
      </c>
      <c r="AZ83" s="7">
        <f>IF(AND(AZ$5&gt;=$G83,SUM(AZ80:$BV80)&lt;&gt;0),1,0)</f>
        <v>0</v>
      </c>
      <c r="BA83" s="7">
        <f>IF(AND(BA$5&gt;=$G83,SUM(BA80:$BV80)&lt;&gt;0),1,0)</f>
        <v>0</v>
      </c>
      <c r="BB83" s="7">
        <f>IF(AND(BB$5&gt;=$G83,SUM(BB80:$BV80)&lt;&gt;0),1,0)</f>
        <v>0</v>
      </c>
      <c r="BC83" s="7">
        <f>IF(AND(BC$5&gt;=$G83,SUM(BC80:$BV80)&lt;&gt;0),1,0)</f>
        <v>0</v>
      </c>
      <c r="BD83" s="7">
        <f>IF(AND(BD$5&gt;=$G83,SUM(BD80:$BV80)&lt;&gt;0),1,0)</f>
        <v>0</v>
      </c>
      <c r="BE83" s="7">
        <f>IF(AND(BE$5&gt;=$G83,SUM(BE80:$BV80)&lt;&gt;0),1,0)</f>
        <v>0</v>
      </c>
      <c r="BF83" s="7">
        <f>IF(AND(BF$5&gt;=$G83,SUM(BF80:$BV80)&lt;&gt;0),1,0)</f>
        <v>0</v>
      </c>
      <c r="BG83" s="7">
        <f>IF(AND(BG$5&gt;=$G83,SUM(BG80:$BV80)&lt;&gt;0),1,0)</f>
        <v>0</v>
      </c>
      <c r="BH83" s="7">
        <f>IF(AND(BH$5&gt;=$G83,SUM(BH80:$BV80)&lt;&gt;0),1,0)</f>
        <v>0</v>
      </c>
      <c r="BI83" s="7">
        <f>IF(AND(BI$5&gt;=$G83,SUM(BI80:$BV80)&lt;&gt;0),1,0)</f>
        <v>0</v>
      </c>
      <c r="BJ83" s="7">
        <f>IF(AND(BJ$5&gt;=$G83,SUM(BJ80:$BV80)&lt;&gt;0),1,0)</f>
        <v>0</v>
      </c>
      <c r="BK83" s="7">
        <f>IF(AND(BK$5&gt;=$G83,SUM(BK80:$BV80)&lt;&gt;0),1,0)</f>
        <v>0</v>
      </c>
      <c r="BL83" s="7">
        <f>IF(AND(BL$5&gt;=$G83,SUM(BL80:$BV80)&lt;&gt;0),1,0)</f>
        <v>0</v>
      </c>
      <c r="BM83" s="7">
        <f>IF(AND(BM$5&gt;=$G83,SUM(BM80:$BV80)&lt;&gt;0),1,0)</f>
        <v>0</v>
      </c>
      <c r="BN83" s="7">
        <f>IF(AND(BN$5&gt;=$G83,SUM(BN80:$BV80)&lt;&gt;0),1,0)</f>
        <v>0</v>
      </c>
      <c r="BO83" s="7">
        <f>IF(AND(BO$5&gt;=$G83,SUM(BO80:$BV80)&lt;&gt;0),1,0)</f>
        <v>0</v>
      </c>
      <c r="BP83" s="7">
        <f>IF(AND(BP$5&gt;=$G83,SUM(BP80:$BV80)&lt;&gt;0),1,0)</f>
        <v>0</v>
      </c>
      <c r="BQ83" s="7">
        <f>IF(AND(BQ$5&gt;=$G83,SUM(BQ80:$BV80)&lt;&gt;0),1,0)</f>
        <v>0</v>
      </c>
      <c r="BR83" s="7">
        <f>IF(AND(BR$5&gt;=$G83,SUM(BR80:$BV80)&lt;&gt;0),1,0)</f>
        <v>0</v>
      </c>
      <c r="BS83" s="7">
        <f>IF(AND(BS$5&gt;=$G83,SUM(BS80:$BV80)&lt;&gt;0),1,0)</f>
        <v>0</v>
      </c>
      <c r="BT83" s="7">
        <f>IF(AND(BT$5&gt;=$G83,SUM(BT80:$BV80)&lt;&gt;0),1,0)</f>
        <v>0</v>
      </c>
      <c r="BU83" s="7">
        <f>IF(AND(BU$5&gt;=$G83,SUM(BU80:$BV80)&lt;&gt;0),1,0)</f>
        <v>0</v>
      </c>
      <c r="BV83" s="7">
        <f>IF(AND(BV$5&gt;=$G83,SUM(BV80:$BV80)&lt;&gt;0),1,0)</f>
        <v>0</v>
      </c>
      <c r="BX83" s="7">
        <f>IF(AND(BX$5&gt;=$G83,SUM(BX80:$CI80)&lt;&gt;0),1,0)*BX$1159</f>
        <v>0</v>
      </c>
      <c r="BY83" s="7">
        <f>IF(AND(BY$5&gt;=$G83,SUM(BY80:$CI80)&lt;&gt;0),1,0)*BY$1159</f>
        <v>0</v>
      </c>
      <c r="BZ83" s="7">
        <f>IF(AND(BZ$5&gt;=$G83,SUM(BZ80:$CI80)&lt;&gt;0),1,0)*BZ$1159</f>
        <v>0</v>
      </c>
      <c r="CA83" s="7">
        <f>IF(AND(CA$5&gt;=$G83,SUM(CA80:$CI80)&lt;&gt;0),1,0)*CA$1159</f>
        <v>0</v>
      </c>
      <c r="CB83" s="7">
        <f>IF(AND(CB$5&gt;=$G83,SUM(CB80:$CI80)&lt;&gt;0),1,0)*CB$1159</f>
        <v>0</v>
      </c>
      <c r="CC83" s="7">
        <f>IF(AND(CC$5&gt;=$G83,SUM(CC80:$CI80)&lt;&gt;0),1,0)*CC$1159</f>
        <v>0</v>
      </c>
      <c r="CD83" s="7">
        <f>IF(AND(CD$5&gt;=$G83,SUM(CD80:$CI80)&lt;&gt;0),1,0)*CD$1159</f>
        <v>0</v>
      </c>
      <c r="CE83" s="7">
        <f>IF(AND(CE$5&gt;=$G83,SUM(CE80:$CI80)&lt;&gt;0),1,0)*CE$1159</f>
        <v>0</v>
      </c>
      <c r="CF83" s="7">
        <f>IF(AND(CF$5&gt;=$G83,SUM(CF80:$CI80)&lt;&gt;0),1,0)*CF$1159</f>
        <v>0</v>
      </c>
      <c r="CG83" s="7">
        <f>IF(AND(CG$5&gt;=$G83,SUM(CG80:$CI80)&lt;&gt;0),1,0)*CG$1159</f>
        <v>0</v>
      </c>
      <c r="CH83" s="7">
        <f>IF(AND(CH$5&gt;=$G83,SUM(CH80:$CI80)&lt;&gt;0),1,0)*CH$1159</f>
        <v>0</v>
      </c>
      <c r="CI83" s="7">
        <f>IF(AND(CI$5&gt;=$G83,SUM(CI80:$CI80)&lt;&gt;0),1,0)*CI$1159</f>
        <v>0</v>
      </c>
      <c r="CK83" s="11"/>
      <c r="CM83" s="11"/>
      <c r="CX83" s="7">
        <f>IF(MAX($V83:$CI83)&gt;0, 1, 0)</f>
        <v>0</v>
      </c>
      <c r="DF83" s="11"/>
      <c r="DG83">
        <f t="shared" si="16"/>
        <v>1</v>
      </c>
      <c r="DH83">
        <v>0</v>
      </c>
      <c r="DI83">
        <v>0</v>
      </c>
      <c r="EY83" s="12" t="str">
        <f>IF(C83="", "", CONCATENATE(D75, " ",D83))</f>
        <v/>
      </c>
    </row>
    <row r="84" spans="1:155" ht="6.75" customHeight="1" x14ac:dyDescent="0.35">
      <c r="C84" s="211"/>
      <c r="D84" s="1"/>
      <c r="E84"/>
      <c r="F84"/>
      <c r="BY84" s="6"/>
      <c r="CK84" s="35"/>
      <c r="CM84" s="35"/>
      <c r="DF84" s="35"/>
      <c r="DG84">
        <f t="shared" si="16"/>
        <v>0</v>
      </c>
      <c r="DH84">
        <v>0</v>
      </c>
      <c r="DI84">
        <v>0</v>
      </c>
      <c r="EY84" s="12" t="str">
        <f>IF(C84="", "", CONCATENATE(D75, " ",D84))</f>
        <v/>
      </c>
    </row>
    <row r="85" spans="1:155" x14ac:dyDescent="0.35">
      <c r="C85" s="211"/>
      <c r="D85" t="s">
        <v>1088</v>
      </c>
      <c r="H85" s="9" t="s">
        <v>1074</v>
      </c>
      <c r="I85" s="40" t="s">
        <v>317</v>
      </c>
      <c r="V85" s="109"/>
      <c r="W85" s="133">
        <f>V88</f>
        <v>0</v>
      </c>
      <c r="X85" s="133">
        <f>W88</f>
        <v>0</v>
      </c>
      <c r="Y85" s="10">
        <f>X88</f>
        <v>0</v>
      </c>
      <c r="AA85" s="12">
        <f>W85</f>
        <v>0</v>
      </c>
      <c r="AB85" s="10">
        <f t="shared" ref="AB85:BV85" si="39">AA88</f>
        <v>0</v>
      </c>
      <c r="AC85" s="10">
        <f t="shared" si="39"/>
        <v>0</v>
      </c>
      <c r="AD85" s="10">
        <f t="shared" si="39"/>
        <v>0</v>
      </c>
      <c r="AE85" s="10">
        <f t="shared" si="39"/>
        <v>0</v>
      </c>
      <c r="AF85" s="10">
        <f t="shared" si="39"/>
        <v>0</v>
      </c>
      <c r="AG85" s="10">
        <f t="shared" si="39"/>
        <v>0</v>
      </c>
      <c r="AH85" s="10">
        <f t="shared" si="39"/>
        <v>0</v>
      </c>
      <c r="AI85" s="10">
        <f t="shared" si="39"/>
        <v>0</v>
      </c>
      <c r="AJ85" s="10">
        <f t="shared" si="39"/>
        <v>0</v>
      </c>
      <c r="AK85" s="10">
        <f t="shared" si="39"/>
        <v>0</v>
      </c>
      <c r="AL85" s="10">
        <f t="shared" si="39"/>
        <v>0</v>
      </c>
      <c r="AM85" s="10">
        <f t="shared" si="39"/>
        <v>0</v>
      </c>
      <c r="AN85" s="10">
        <f t="shared" si="39"/>
        <v>0</v>
      </c>
      <c r="AO85" s="10">
        <f t="shared" si="39"/>
        <v>0</v>
      </c>
      <c r="AP85" s="10">
        <f t="shared" si="39"/>
        <v>0</v>
      </c>
      <c r="AQ85" s="10">
        <f t="shared" si="39"/>
        <v>0</v>
      </c>
      <c r="AR85" s="10">
        <f t="shared" si="39"/>
        <v>0</v>
      </c>
      <c r="AS85" s="10">
        <f t="shared" si="39"/>
        <v>0</v>
      </c>
      <c r="AT85" s="10">
        <f t="shared" si="39"/>
        <v>0</v>
      </c>
      <c r="AU85" s="10">
        <f t="shared" si="39"/>
        <v>0</v>
      </c>
      <c r="AV85" s="10">
        <f t="shared" si="39"/>
        <v>0</v>
      </c>
      <c r="AW85" s="10">
        <f t="shared" si="39"/>
        <v>0</v>
      </c>
      <c r="AX85" s="10">
        <f t="shared" si="39"/>
        <v>0</v>
      </c>
      <c r="AY85" s="10">
        <f t="shared" si="39"/>
        <v>0</v>
      </c>
      <c r="AZ85" s="10">
        <f t="shared" si="39"/>
        <v>0</v>
      </c>
      <c r="BA85" s="10">
        <f t="shared" si="39"/>
        <v>0</v>
      </c>
      <c r="BB85" s="10">
        <f t="shared" si="39"/>
        <v>0</v>
      </c>
      <c r="BC85" s="10">
        <f t="shared" si="39"/>
        <v>0</v>
      </c>
      <c r="BD85" s="10">
        <f t="shared" si="39"/>
        <v>0</v>
      </c>
      <c r="BE85" s="10">
        <f t="shared" si="39"/>
        <v>0</v>
      </c>
      <c r="BF85" s="10">
        <f t="shared" si="39"/>
        <v>0</v>
      </c>
      <c r="BG85" s="10">
        <f t="shared" si="39"/>
        <v>0</v>
      </c>
      <c r="BH85" s="10">
        <f t="shared" si="39"/>
        <v>0</v>
      </c>
      <c r="BI85" s="10">
        <f t="shared" si="39"/>
        <v>0</v>
      </c>
      <c r="BJ85" s="10">
        <f t="shared" si="39"/>
        <v>0</v>
      </c>
      <c r="BK85" s="10">
        <f t="shared" si="39"/>
        <v>0</v>
      </c>
      <c r="BL85" s="10">
        <f t="shared" si="39"/>
        <v>0</v>
      </c>
      <c r="BM85" s="10">
        <f t="shared" si="39"/>
        <v>0</v>
      </c>
      <c r="BN85" s="10">
        <f t="shared" si="39"/>
        <v>0</v>
      </c>
      <c r="BO85" s="10">
        <f t="shared" si="39"/>
        <v>0</v>
      </c>
      <c r="BP85" s="10">
        <f t="shared" si="39"/>
        <v>0</v>
      </c>
      <c r="BQ85" s="10">
        <f t="shared" si="39"/>
        <v>0</v>
      </c>
      <c r="BR85" s="10">
        <f t="shared" si="39"/>
        <v>0</v>
      </c>
      <c r="BS85" s="10">
        <f t="shared" si="39"/>
        <v>0</v>
      </c>
      <c r="BT85" s="10">
        <f t="shared" si="39"/>
        <v>0</v>
      </c>
      <c r="BU85" s="10">
        <f t="shared" si="39"/>
        <v>0</v>
      </c>
      <c r="BV85" s="10">
        <f t="shared" si="39"/>
        <v>0</v>
      </c>
      <c r="BX85" s="12">
        <f t="shared" ref="BX85:CA88" si="40">V85</f>
        <v>0</v>
      </c>
      <c r="BY85" s="12">
        <f t="shared" si="40"/>
        <v>0</v>
      </c>
      <c r="BZ85" s="12">
        <f t="shared" si="40"/>
        <v>0</v>
      </c>
      <c r="CA85" s="12">
        <f t="shared" si="40"/>
        <v>0</v>
      </c>
      <c r="CB85" s="10">
        <f t="shared" ref="CB85:CI85" si="41">CA88</f>
        <v>0</v>
      </c>
      <c r="CC85" s="10">
        <f t="shared" si="41"/>
        <v>0</v>
      </c>
      <c r="CD85" s="10">
        <f t="shared" si="41"/>
        <v>0</v>
      </c>
      <c r="CE85" s="10">
        <f t="shared" si="41"/>
        <v>0</v>
      </c>
      <c r="CF85" s="10">
        <f t="shared" si="41"/>
        <v>0</v>
      </c>
      <c r="CG85" s="10">
        <f t="shared" si="41"/>
        <v>0</v>
      </c>
      <c r="CH85" s="10">
        <f t="shared" si="41"/>
        <v>0</v>
      </c>
      <c r="CI85" s="10">
        <f t="shared" si="41"/>
        <v>0</v>
      </c>
      <c r="CK85" s="11"/>
      <c r="CM85" s="11"/>
      <c r="CY85" s="7" cm="1">
        <f t="array" ref="CY85">SUMPRODUCT(--NOT(ISNUMBER(V85:CI85)),--NOT(ISBLANK(V85:CI85)))</f>
        <v>0</v>
      </c>
      <c r="DF85" s="11"/>
      <c r="DG85">
        <f t="shared" si="16"/>
        <v>0</v>
      </c>
      <c r="DH85">
        <v>1</v>
      </c>
      <c r="DI85">
        <v>0</v>
      </c>
      <c r="EY85" s="12" t="str">
        <f>IF(C85="", "", CONCATENATE(D75, " ",D85))</f>
        <v/>
      </c>
    </row>
    <row r="86" spans="1:155" s="5" customFormat="1" x14ac:dyDescent="0.35">
      <c r="A86" s="220" cm="1">
        <f t="array" aca="1" ref="A86" ca="1">HYPERLINK(CONCATENATE("#",CELL("address",IF(MAX($CM86:$DF86)=0,A86,INDEX($CM86:$DF86,MATCH(1,$CM86:$DF86,0))))),MAX($CM86:$DF86))</f>
        <v>0</v>
      </c>
      <c r="B86" s="85" t="s">
        <v>122</v>
      </c>
      <c r="C86" s="211"/>
      <c r="D86" t="s">
        <v>1089</v>
      </c>
      <c r="E86" s="1"/>
      <c r="F86" s="1"/>
      <c r="G86"/>
      <c r="H86" s="9" t="s">
        <v>1074</v>
      </c>
      <c r="I86" s="40" t="s">
        <v>665</v>
      </c>
      <c r="J86"/>
      <c r="K86"/>
      <c r="L86"/>
      <c r="M86"/>
      <c r="N86"/>
      <c r="O86"/>
      <c r="P86"/>
      <c r="Q86"/>
      <c r="R86"/>
      <c r="S86"/>
      <c r="T86"/>
      <c r="U86"/>
      <c r="V86" s="109"/>
      <c r="W86" s="133">
        <f t="shared" ref="W86:Y87" si="42" xml:space="preserve"> SUMIFS($AA86:$BV86, $AA$3:$BV$3, W$3)</f>
        <v>0</v>
      </c>
      <c r="X86" s="133">
        <f t="shared" si="42"/>
        <v>0</v>
      </c>
      <c r="Y86" s="133">
        <f t="shared" si="42"/>
        <v>0</v>
      </c>
      <c r="Z86"/>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c r="BX86" s="12">
        <f t="shared" si="40"/>
        <v>0</v>
      </c>
      <c r="BY86" s="12">
        <f t="shared" si="40"/>
        <v>0</v>
      </c>
      <c r="BZ86" s="12">
        <f t="shared" si="40"/>
        <v>0</v>
      </c>
      <c r="CA86" s="12">
        <f t="shared" si="40"/>
        <v>0</v>
      </c>
      <c r="CB86" s="133">
        <f xml:space="preserve"> SUMIFS($AA86:$BV86, $AA$3:$BV$3, CB$3)</f>
        <v>0</v>
      </c>
      <c r="CC86" s="109"/>
      <c r="CD86" s="109"/>
      <c r="CE86" s="109"/>
      <c r="CF86" s="109"/>
      <c r="CG86" s="109"/>
      <c r="CH86" s="109"/>
      <c r="CI86" s="109"/>
      <c r="CJ86"/>
      <c r="CK86" s="11"/>
      <c r="CL86" s="241">
        <f>IF(MIN($V86:$CI86)&lt;0, 1, 0)</f>
        <v>0</v>
      </c>
      <c r="CM86" s="11"/>
      <c r="CN86"/>
      <c r="CO86"/>
      <c r="CP86"/>
      <c r="CQ86"/>
      <c r="CR86"/>
      <c r="CS86"/>
      <c r="CT86"/>
      <c r="CU86"/>
      <c r="CV86"/>
      <c r="CW86"/>
      <c r="CX86"/>
      <c r="CY86" s="7" cm="1">
        <f t="array" ref="CY86">SUMPRODUCT(--NOT(ISNUMBER(V86:CI86)),--NOT(ISBLANK(V86:CI86)))</f>
        <v>0</v>
      </c>
      <c r="CZ86" s="7">
        <f t="shared" ref="CZ86:DB87" si="43">IF(ROUND(W86-SUMIFS($AA86:$BV86, $AA$3:$BV$3, W$3), rounding)=0, 0, 1)</f>
        <v>0</v>
      </c>
      <c r="DA86" s="7">
        <f t="shared" si="43"/>
        <v>0</v>
      </c>
      <c r="DB86" s="7">
        <f t="shared" si="43"/>
        <v>0</v>
      </c>
      <c r="DC86" s="7">
        <f>IF(ROUND(CB86-SUMIFS($AA86:$BV86, $AA$3:$BV$3, CB$3), rounding)=0, 0, 1)</f>
        <v>0</v>
      </c>
      <c r="DD86" s="7">
        <f>IF(ROUND(V86-BX86, rounding)=0, 0, 1)*'BS Forecasts'!$V$10</f>
        <v>0</v>
      </c>
      <c r="DE86"/>
      <c r="DF86" s="11"/>
      <c r="DG86">
        <f t="shared" si="16"/>
        <v>0</v>
      </c>
      <c r="DH86">
        <v>1</v>
      </c>
      <c r="DI86">
        <v>1</v>
      </c>
      <c r="EY86" s="12" t="str">
        <f>IF(C86="", "", CONCATENATE(D75, " ",D86))</f>
        <v/>
      </c>
    </row>
    <row r="87" spans="1:155" x14ac:dyDescent="0.35">
      <c r="A87" s="220" cm="1">
        <f t="array" aca="1" ref="A87" ca="1">HYPERLINK(CONCATENATE("#",CELL("address",IF(MAX($CM87:$DF87)=0,A87,INDEX($CM87:$DF87,MATCH(1,$CM87:$DF87,0))))),MAX($CM87:$DF87))</f>
        <v>0</v>
      </c>
      <c r="B87" s="85" t="s">
        <v>122</v>
      </c>
      <c r="C87" s="211"/>
      <c r="D87" t="s">
        <v>1090</v>
      </c>
      <c r="H87" s="9" t="s">
        <v>1074</v>
      </c>
      <c r="I87" s="40" t="s">
        <v>1079</v>
      </c>
      <c r="V87" s="109"/>
      <c r="W87" s="133">
        <f t="shared" si="42"/>
        <v>0</v>
      </c>
      <c r="X87" s="133">
        <f t="shared" si="42"/>
        <v>0</v>
      </c>
      <c r="Y87" s="133">
        <f t="shared" si="42"/>
        <v>0</v>
      </c>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X87" s="12">
        <f t="shared" si="40"/>
        <v>0</v>
      </c>
      <c r="BY87" s="12">
        <f t="shared" si="40"/>
        <v>0</v>
      </c>
      <c r="BZ87" s="12">
        <f t="shared" si="40"/>
        <v>0</v>
      </c>
      <c r="CA87" s="12">
        <f t="shared" si="40"/>
        <v>0</v>
      </c>
      <c r="CB87" s="133">
        <f xml:space="preserve"> SUMIFS($AA87:$BV87, $AA$3:$BV$3, CB$3)</f>
        <v>0</v>
      </c>
      <c r="CC87" s="109"/>
      <c r="CD87" s="109"/>
      <c r="CE87" s="109"/>
      <c r="CF87" s="109"/>
      <c r="CG87" s="109"/>
      <c r="CH87" s="109"/>
      <c r="CI87" s="109"/>
      <c r="CK87" s="11"/>
      <c r="CL87" s="241">
        <f>IF(MAX($V87:$CI87)&gt;0, 1, 0)</f>
        <v>0</v>
      </c>
      <c r="CM87" s="11"/>
      <c r="CY87" s="7" cm="1">
        <f t="array" ref="CY87">SUMPRODUCT(--NOT(ISNUMBER(V87:CI87)),--NOT(ISBLANK(V87:CI87)))</f>
        <v>0</v>
      </c>
      <c r="CZ87" s="7">
        <f t="shared" si="43"/>
        <v>0</v>
      </c>
      <c r="DA87" s="7">
        <f t="shared" si="43"/>
        <v>0</v>
      </c>
      <c r="DB87" s="7">
        <f t="shared" si="43"/>
        <v>0</v>
      </c>
      <c r="DC87" s="7">
        <f>IF(ROUND(CB87-SUMIFS($AA87:$BV87, $AA$3:$BV$3, CB$3), rounding)=0, 0, 1)</f>
        <v>0</v>
      </c>
      <c r="DD87" s="7">
        <f>IF(ROUND(V87-BX87, rounding)=0, 0, 1)*'BS Forecasts'!$V$10</f>
        <v>0</v>
      </c>
      <c r="DF87" s="11"/>
      <c r="DG87">
        <f t="shared" si="16"/>
        <v>0</v>
      </c>
      <c r="DH87">
        <v>1</v>
      </c>
      <c r="DI87">
        <v>1</v>
      </c>
      <c r="EY87" s="12" t="str">
        <f>IF(C87="", "", CONCATENATE(D75, " ",D87))</f>
        <v/>
      </c>
    </row>
    <row r="88" spans="1:155" x14ac:dyDescent="0.35">
      <c r="C88" s="211"/>
      <c r="D88" t="s">
        <v>1091</v>
      </c>
      <c r="H88" s="9" t="s">
        <v>1074</v>
      </c>
      <c r="I88" s="40" t="s">
        <v>317</v>
      </c>
      <c r="V88" s="12">
        <f>$I$14</f>
        <v>0</v>
      </c>
      <c r="W88" s="10">
        <f>SUM(W85:W87)</f>
        <v>0</v>
      </c>
      <c r="X88" s="10">
        <f>SUM(X85:X87)</f>
        <v>0</v>
      </c>
      <c r="Y88" s="10">
        <f>SUM(Y85:Y87)</f>
        <v>0</v>
      </c>
      <c r="AA88" s="10">
        <f t="shared" ref="AA88:BV88" si="44">SUM(AA85:AA87)</f>
        <v>0</v>
      </c>
      <c r="AB88" s="10">
        <f t="shared" si="44"/>
        <v>0</v>
      </c>
      <c r="AC88" s="10">
        <f t="shared" si="44"/>
        <v>0</v>
      </c>
      <c r="AD88" s="10">
        <f t="shared" si="44"/>
        <v>0</v>
      </c>
      <c r="AE88" s="10">
        <f t="shared" si="44"/>
        <v>0</v>
      </c>
      <c r="AF88" s="10">
        <f t="shared" si="44"/>
        <v>0</v>
      </c>
      <c r="AG88" s="10">
        <f t="shared" si="44"/>
        <v>0</v>
      </c>
      <c r="AH88" s="10">
        <f t="shared" si="44"/>
        <v>0</v>
      </c>
      <c r="AI88" s="10">
        <f t="shared" si="44"/>
        <v>0</v>
      </c>
      <c r="AJ88" s="10">
        <f t="shared" si="44"/>
        <v>0</v>
      </c>
      <c r="AK88" s="10">
        <f t="shared" si="44"/>
        <v>0</v>
      </c>
      <c r="AL88" s="10">
        <f t="shared" si="44"/>
        <v>0</v>
      </c>
      <c r="AM88" s="10">
        <f t="shared" si="44"/>
        <v>0</v>
      </c>
      <c r="AN88" s="10">
        <f t="shared" si="44"/>
        <v>0</v>
      </c>
      <c r="AO88" s="10">
        <f t="shared" si="44"/>
        <v>0</v>
      </c>
      <c r="AP88" s="10">
        <f t="shared" si="44"/>
        <v>0</v>
      </c>
      <c r="AQ88" s="10">
        <f t="shared" si="44"/>
        <v>0</v>
      </c>
      <c r="AR88" s="10">
        <f t="shared" si="44"/>
        <v>0</v>
      </c>
      <c r="AS88" s="10">
        <f t="shared" si="44"/>
        <v>0</v>
      </c>
      <c r="AT88" s="10">
        <f t="shared" si="44"/>
        <v>0</v>
      </c>
      <c r="AU88" s="10">
        <f t="shared" si="44"/>
        <v>0</v>
      </c>
      <c r="AV88" s="10">
        <f t="shared" si="44"/>
        <v>0</v>
      </c>
      <c r="AW88" s="10">
        <f t="shared" si="44"/>
        <v>0</v>
      </c>
      <c r="AX88" s="10">
        <f t="shared" si="44"/>
        <v>0</v>
      </c>
      <c r="AY88" s="10">
        <f t="shared" si="44"/>
        <v>0</v>
      </c>
      <c r="AZ88" s="10">
        <f t="shared" si="44"/>
        <v>0</v>
      </c>
      <c r="BA88" s="10">
        <f t="shared" si="44"/>
        <v>0</v>
      </c>
      <c r="BB88" s="10">
        <f t="shared" si="44"/>
        <v>0</v>
      </c>
      <c r="BC88" s="10">
        <f t="shared" si="44"/>
        <v>0</v>
      </c>
      <c r="BD88" s="10">
        <f t="shared" si="44"/>
        <v>0</v>
      </c>
      <c r="BE88" s="10">
        <f t="shared" si="44"/>
        <v>0</v>
      </c>
      <c r="BF88" s="10">
        <f t="shared" si="44"/>
        <v>0</v>
      </c>
      <c r="BG88" s="10">
        <f t="shared" si="44"/>
        <v>0</v>
      </c>
      <c r="BH88" s="10">
        <f t="shared" si="44"/>
        <v>0</v>
      </c>
      <c r="BI88" s="10">
        <f t="shared" si="44"/>
        <v>0</v>
      </c>
      <c r="BJ88" s="10">
        <f t="shared" si="44"/>
        <v>0</v>
      </c>
      <c r="BK88" s="10">
        <f t="shared" si="44"/>
        <v>0</v>
      </c>
      <c r="BL88" s="10">
        <f t="shared" si="44"/>
        <v>0</v>
      </c>
      <c r="BM88" s="10">
        <f t="shared" si="44"/>
        <v>0</v>
      </c>
      <c r="BN88" s="10">
        <f t="shared" si="44"/>
        <v>0</v>
      </c>
      <c r="BO88" s="10">
        <f t="shared" si="44"/>
        <v>0</v>
      </c>
      <c r="BP88" s="10">
        <f t="shared" si="44"/>
        <v>0</v>
      </c>
      <c r="BQ88" s="10">
        <f t="shared" si="44"/>
        <v>0</v>
      </c>
      <c r="BR88" s="10">
        <f t="shared" si="44"/>
        <v>0</v>
      </c>
      <c r="BS88" s="10">
        <f t="shared" si="44"/>
        <v>0</v>
      </c>
      <c r="BT88" s="10">
        <f t="shared" si="44"/>
        <v>0</v>
      </c>
      <c r="BU88" s="10">
        <f t="shared" si="44"/>
        <v>0</v>
      </c>
      <c r="BV88" s="10">
        <f t="shared" si="44"/>
        <v>0</v>
      </c>
      <c r="BX88" s="12">
        <f t="shared" si="40"/>
        <v>0</v>
      </c>
      <c r="BY88" s="12">
        <f t="shared" si="40"/>
        <v>0</v>
      </c>
      <c r="BZ88" s="12">
        <f t="shared" si="40"/>
        <v>0</v>
      </c>
      <c r="CA88" s="12">
        <f t="shared" si="40"/>
        <v>0</v>
      </c>
      <c r="CB88" s="10">
        <f t="shared" ref="CB88:CI88" si="45">SUM(CB85:CB87)</f>
        <v>0</v>
      </c>
      <c r="CC88" s="10">
        <f t="shared" si="45"/>
        <v>0</v>
      </c>
      <c r="CD88" s="10">
        <f t="shared" si="45"/>
        <v>0</v>
      </c>
      <c r="CE88" s="10">
        <f t="shared" si="45"/>
        <v>0</v>
      </c>
      <c r="CF88" s="10">
        <f t="shared" si="45"/>
        <v>0</v>
      </c>
      <c r="CG88" s="10">
        <f t="shared" si="45"/>
        <v>0</v>
      </c>
      <c r="CH88" s="10">
        <f t="shared" si="45"/>
        <v>0</v>
      </c>
      <c r="CI88" s="10">
        <f t="shared" si="45"/>
        <v>0</v>
      </c>
      <c r="CK88" s="11"/>
      <c r="CM88" s="11"/>
      <c r="DF88" s="11"/>
      <c r="DG88">
        <f t="shared" si="16"/>
        <v>0</v>
      </c>
      <c r="DH88">
        <v>0</v>
      </c>
      <c r="DI88">
        <v>0</v>
      </c>
      <c r="EY88" s="12" t="str">
        <f>IF(C88="", "", CONCATENATE(D75, " ",D88))</f>
        <v/>
      </c>
    </row>
    <row r="89" spans="1:155" ht="6.75" customHeight="1" x14ac:dyDescent="0.35">
      <c r="C89" s="211"/>
      <c r="D89" s="1"/>
      <c r="E89"/>
      <c r="F89"/>
      <c r="BY89" s="6"/>
      <c r="CK89" s="35"/>
      <c r="CM89" s="35"/>
      <c r="DF89" s="35"/>
      <c r="DG89">
        <f t="shared" si="16"/>
        <v>0</v>
      </c>
      <c r="DH89">
        <v>0</v>
      </c>
      <c r="DI89">
        <v>0</v>
      </c>
      <c r="EY89" s="12" t="str">
        <f>IF(C89="", "", CONCATENATE(D75, " ",D89))</f>
        <v/>
      </c>
    </row>
    <row r="90" spans="1:155" s="5" customFormat="1" x14ac:dyDescent="0.35">
      <c r="A90" s="220" cm="1">
        <f t="array" aca="1" ref="A90" ca="1">HYPERLINK(CONCATENATE("#",CELL("address",IF(MAX($CM90:$DF90)=0,A90,INDEX($CM90:$DF90,MATCH(1,$CM90:$DF90,0))))),MAX($CM90:$DF90))</f>
        <v>0</v>
      </c>
      <c r="B90"/>
      <c r="C90" s="211" t="s">
        <v>1101</v>
      </c>
      <c r="D90" t="s">
        <v>1093</v>
      </c>
      <c r="E90" s="1"/>
      <c r="F90" s="1"/>
      <c r="G90"/>
      <c r="H90" s="9" t="s">
        <v>1074</v>
      </c>
      <c r="I90" s="40" t="s">
        <v>665</v>
      </c>
      <c r="J90"/>
      <c r="K90"/>
      <c r="L90"/>
      <c r="M90"/>
      <c r="N90"/>
      <c r="O90"/>
      <c r="P90"/>
      <c r="Q90"/>
      <c r="R90"/>
      <c r="S90"/>
      <c r="T90"/>
      <c r="U90"/>
      <c r="V90" s="109"/>
      <c r="W90" s="133">
        <f xml:space="preserve"> SUMIFS($AA90:$BV90, $AA$3:$BV$3, W$3)</f>
        <v>0</v>
      </c>
      <c r="X90" s="133">
        <f xml:space="preserve"> SUMIFS($AA90:$BV90, $AA$3:$BV$3, X$3)</f>
        <v>0</v>
      </c>
      <c r="Y90" s="133">
        <f xml:space="preserve"> SUMIFS($AA90:$BV90, $AA$3:$BV$3, Y$3)</f>
        <v>0</v>
      </c>
      <c r="Z90"/>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c r="BX90" s="12">
        <f>V90</f>
        <v>0</v>
      </c>
      <c r="BY90" s="12">
        <f>W90</f>
        <v>0</v>
      </c>
      <c r="BZ90" s="12">
        <f>X90</f>
        <v>0</v>
      </c>
      <c r="CA90" s="12">
        <f>Y90</f>
        <v>0</v>
      </c>
      <c r="CB90" s="133">
        <f xml:space="preserve"> SUMIFS($AA90:$BV90, $AA$3:$BV$3, CB$3)</f>
        <v>0</v>
      </c>
      <c r="CC90" s="109"/>
      <c r="CD90" s="109"/>
      <c r="CE90" s="109"/>
      <c r="CF90" s="109"/>
      <c r="CG90" s="109"/>
      <c r="CH90" s="109"/>
      <c r="CI90" s="109"/>
      <c r="CJ90"/>
      <c r="CK90" s="11"/>
      <c r="CL90" s="241">
        <f>IF(MIN($V90:$CI90)&lt;0, 1, 0)</f>
        <v>0</v>
      </c>
      <c r="CM90" s="11"/>
      <c r="CN90"/>
      <c r="CO90"/>
      <c r="CP90"/>
      <c r="CQ90"/>
      <c r="CR90"/>
      <c r="CS90"/>
      <c r="CT90"/>
      <c r="CU90"/>
      <c r="CV90"/>
      <c r="CW90"/>
      <c r="CX90"/>
      <c r="CY90" s="7" cm="1">
        <f t="array" ref="CY90">SUMPRODUCT(--NOT(ISNUMBER(V90:CI90)),--NOT(ISBLANK(V90:CI90)))</f>
        <v>0</v>
      </c>
      <c r="CZ90" s="7">
        <f>IF(ROUND(W90-SUMIFS($AA90:$BV90, $AA$3:$BV$3, W$3), rounding)=0, 0, 1)</f>
        <v>0</v>
      </c>
      <c r="DA90" s="7">
        <f>IF(ROUND(X90-SUMIFS($AA90:$BV90, $AA$3:$BV$3, X$3), rounding)=0, 0, 1)</f>
        <v>0</v>
      </c>
      <c r="DB90" s="7">
        <f>IF(ROUND(Y90-SUMIFS($AA90:$BV90, $AA$3:$BV$3, Y$3), rounding)=0, 0, 1)</f>
        <v>0</v>
      </c>
      <c r="DC90" s="7">
        <f>IF(ROUND(CB90-SUMIFS($AA90:$BV90, $AA$3:$BV$3, CB$3), rounding)=0, 0, 1)</f>
        <v>0</v>
      </c>
      <c r="DD90" s="7">
        <f>IF(ROUND(V90-BX90, rounding)=0, 0, 1)*'BS Forecasts'!$V$10</f>
        <v>0</v>
      </c>
      <c r="DE90"/>
      <c r="DF90" s="11"/>
      <c r="DG90">
        <f t="shared" si="16"/>
        <v>0</v>
      </c>
      <c r="DH90">
        <v>1</v>
      </c>
      <c r="DI90">
        <v>1</v>
      </c>
      <c r="EY90" s="12" t="str">
        <f>IF(C90="", "", CONCATENATE(D75, " ",D90))</f>
        <v>Loan 2 Early Repayment Fee</v>
      </c>
    </row>
    <row r="91" spans="1:155" ht="6.75" customHeight="1" x14ac:dyDescent="0.35">
      <c r="C91" s="211"/>
      <c r="D91" s="1"/>
      <c r="E91"/>
      <c r="F91"/>
      <c r="BY91" s="6"/>
      <c r="CK91" s="35"/>
      <c r="CM91" s="35"/>
      <c r="DF91" s="35"/>
      <c r="DG91">
        <f t="shared" si="16"/>
        <v>0</v>
      </c>
      <c r="DH91">
        <v>0</v>
      </c>
      <c r="DI91">
        <v>0</v>
      </c>
      <c r="EY91" s="12" t="str">
        <f>IF(C91="", "", CONCATENATE(D75, " ",D91))</f>
        <v/>
      </c>
    </row>
    <row r="92" spans="1:155" x14ac:dyDescent="0.35">
      <c r="A92" s="220" cm="1">
        <f t="array" aca="1" ref="A92" ca="1">HYPERLINK(CONCATENATE("#",CELL("address",IF(MAX($CM92:$DF92)=0,A92,INDEX($CM92:$DF92,MATCH(1,$CM92:$DF92,0))))),MAX($CM92:$DF92))</f>
        <v>0</v>
      </c>
      <c r="B92" s="85" t="s">
        <v>122</v>
      </c>
      <c r="D92" t="s">
        <v>1094</v>
      </c>
      <c r="E92" s="140" t="str">
        <f>IF(J$14="", "", J$14)</f>
        <v/>
      </c>
      <c r="F92" s="140"/>
      <c r="G92" s="140" t="str">
        <f>IF(K$14="", "", K$14)</f>
        <v/>
      </c>
      <c r="V92" s="7">
        <f>IF(AND(OR( V$5&gt;$G92, Timeline!V$8&lt;Loans!$E92), Loans!V90&lt;&gt;0), 1, 0)</f>
        <v>0</v>
      </c>
      <c r="W92" s="7">
        <f>IF(AND(OR( W$5&gt;$G92, Timeline!W$8&lt;Loans!$E92), Loans!W90&lt;&gt;0), 1, 0)</f>
        <v>0</v>
      </c>
      <c r="X92" s="7">
        <f>IF(AND(OR( X$5&gt;$G92, Timeline!X$8&lt;Loans!$E92), Loans!X90&lt;&gt;0), 1, 0)</f>
        <v>0</v>
      </c>
      <c r="Y92" s="7">
        <f>IF(AND(OR( Y$5&gt;$G92, Timeline!Y$8&lt;Loans!$E92), Loans!Y90&lt;&gt;0), 1, 0)</f>
        <v>0</v>
      </c>
      <c r="AA92" s="7">
        <f>IF(AND(OR( AA$5&gt;$G92, Timeline!AA$8&lt;Loans!$E92), Loans!AA90&lt;&gt;0), 1, 0)</f>
        <v>0</v>
      </c>
      <c r="AB92" s="7">
        <f>IF(AND(OR( AB$5&gt;$G92, Timeline!AB$8&lt;Loans!$E92), Loans!AB90&lt;&gt;0), 1, 0)</f>
        <v>0</v>
      </c>
      <c r="AC92" s="7">
        <f>IF(AND(OR( AC$5&gt;$G92, Timeline!AC$8&lt;Loans!$E92), Loans!AC90&lt;&gt;0), 1, 0)</f>
        <v>0</v>
      </c>
      <c r="AD92" s="7">
        <f>IF(AND(OR( AD$5&gt;$G92, Timeline!AD$8&lt;Loans!$E92), Loans!AD90&lt;&gt;0), 1, 0)</f>
        <v>0</v>
      </c>
      <c r="AE92" s="7">
        <f>IF(AND(OR( AE$5&gt;$G92, Timeline!AE$8&lt;Loans!$E92), Loans!AE90&lt;&gt;0), 1, 0)</f>
        <v>0</v>
      </c>
      <c r="AF92" s="7">
        <f>IF(AND(OR( AF$5&gt;$G92, Timeline!AF$8&lt;Loans!$E92), Loans!AF90&lt;&gt;0), 1, 0)</f>
        <v>0</v>
      </c>
      <c r="AG92" s="7">
        <f>IF(AND(OR( AG$5&gt;$G92, Timeline!AG$8&lt;Loans!$E92), Loans!AG90&lt;&gt;0), 1, 0)</f>
        <v>0</v>
      </c>
      <c r="AH92" s="7">
        <f>IF(AND(OR( AH$5&gt;$G92, Timeline!AH$8&lt;Loans!$E92), Loans!AH90&lt;&gt;0), 1, 0)</f>
        <v>0</v>
      </c>
      <c r="AI92" s="7">
        <f>IF(AND(OR( AI$5&gt;$G92, Timeline!AI$8&lt;Loans!$E92), Loans!AI90&lt;&gt;0), 1, 0)</f>
        <v>0</v>
      </c>
      <c r="AJ92" s="7">
        <f>IF(AND(OR( AJ$5&gt;$G92, Timeline!AJ$8&lt;Loans!$E92), Loans!AJ90&lt;&gt;0), 1, 0)</f>
        <v>0</v>
      </c>
      <c r="AK92" s="7">
        <f>IF(AND(OR( AK$5&gt;$G92, Timeline!AK$8&lt;Loans!$E92), Loans!AK90&lt;&gt;0), 1, 0)</f>
        <v>0</v>
      </c>
      <c r="AL92" s="7">
        <f>IF(AND(OR( AL$5&gt;$G92, Timeline!AL$8&lt;Loans!$E92), Loans!AL90&lt;&gt;0), 1, 0)</f>
        <v>0</v>
      </c>
      <c r="AM92" s="7">
        <f>IF(AND(OR( AM$5&gt;$G92, Timeline!AM$8&lt;Loans!$E92), Loans!AM90&lt;&gt;0), 1, 0)</f>
        <v>0</v>
      </c>
      <c r="AN92" s="7">
        <f>IF(AND(OR( AN$5&gt;$G92, Timeline!AN$8&lt;Loans!$E92), Loans!AN90&lt;&gt;0), 1, 0)</f>
        <v>0</v>
      </c>
      <c r="AO92" s="7">
        <f>IF(AND(OR( AO$5&gt;$G92, Timeline!AO$8&lt;Loans!$E92), Loans!AO90&lt;&gt;0), 1, 0)</f>
        <v>0</v>
      </c>
      <c r="AP92" s="7">
        <f>IF(AND(OR( AP$5&gt;$G92, Timeline!AP$8&lt;Loans!$E92), Loans!AP90&lt;&gt;0), 1, 0)</f>
        <v>0</v>
      </c>
      <c r="AQ92" s="7">
        <f>IF(AND(OR( AQ$5&gt;$G92, Timeline!AQ$8&lt;Loans!$E92), Loans!AQ90&lt;&gt;0), 1, 0)</f>
        <v>0</v>
      </c>
      <c r="AR92" s="7">
        <f>IF(AND(OR( AR$5&gt;$G92, Timeline!AR$8&lt;Loans!$E92), Loans!AR90&lt;&gt;0), 1, 0)</f>
        <v>0</v>
      </c>
      <c r="AS92" s="7">
        <f>IF(AND(OR( AS$5&gt;$G92, Timeline!AS$8&lt;Loans!$E92), Loans!AS90&lt;&gt;0), 1, 0)</f>
        <v>0</v>
      </c>
      <c r="AT92" s="7">
        <f>IF(AND(OR( AT$5&gt;$G92, Timeline!AT$8&lt;Loans!$E92), Loans!AT90&lt;&gt;0), 1, 0)</f>
        <v>0</v>
      </c>
      <c r="AU92" s="7">
        <f>IF(AND(OR( AU$5&gt;$G92, Timeline!AU$8&lt;Loans!$E92), Loans!AU90&lt;&gt;0), 1, 0)</f>
        <v>0</v>
      </c>
      <c r="AV92" s="7">
        <f>IF(AND(OR( AV$5&gt;$G92, Timeline!AV$8&lt;Loans!$E92), Loans!AV90&lt;&gt;0), 1, 0)</f>
        <v>0</v>
      </c>
      <c r="AW92" s="7">
        <f>IF(AND(OR( AW$5&gt;$G92, Timeline!AW$8&lt;Loans!$E92), Loans!AW90&lt;&gt;0), 1, 0)</f>
        <v>0</v>
      </c>
      <c r="AX92" s="7">
        <f>IF(AND(OR( AX$5&gt;$G92, Timeline!AX$8&lt;Loans!$E92), Loans!AX90&lt;&gt;0), 1, 0)</f>
        <v>0</v>
      </c>
      <c r="AY92" s="7">
        <f>IF(AND(OR( AY$5&gt;$G92, Timeline!AY$8&lt;Loans!$E92), Loans!AY90&lt;&gt;0), 1, 0)</f>
        <v>0</v>
      </c>
      <c r="AZ92" s="7">
        <f>IF(AND(OR( AZ$5&gt;$G92, Timeline!AZ$8&lt;Loans!$E92), Loans!AZ90&lt;&gt;0), 1, 0)</f>
        <v>0</v>
      </c>
      <c r="BA92" s="7">
        <f>IF(AND(OR( BA$5&gt;$G92, Timeline!BA$8&lt;Loans!$E92), Loans!BA90&lt;&gt;0), 1, 0)</f>
        <v>0</v>
      </c>
      <c r="BB92" s="7">
        <f>IF(AND(OR( BB$5&gt;$G92, Timeline!BB$8&lt;Loans!$E92), Loans!BB90&lt;&gt;0), 1, 0)</f>
        <v>0</v>
      </c>
      <c r="BC92" s="7">
        <f>IF(AND(OR( BC$5&gt;$G92, Timeline!BC$8&lt;Loans!$E92), Loans!BC90&lt;&gt;0), 1, 0)</f>
        <v>0</v>
      </c>
      <c r="BD92" s="7">
        <f>IF(AND(OR( BD$5&gt;$G92, Timeline!BD$8&lt;Loans!$E92), Loans!BD90&lt;&gt;0), 1, 0)</f>
        <v>0</v>
      </c>
      <c r="BE92" s="7">
        <f>IF(AND(OR( BE$5&gt;$G92, Timeline!BE$8&lt;Loans!$E92), Loans!BE90&lt;&gt;0), 1, 0)</f>
        <v>0</v>
      </c>
      <c r="BF92" s="7">
        <f>IF(AND(OR( BF$5&gt;$G92, Timeline!BF$8&lt;Loans!$E92), Loans!BF90&lt;&gt;0), 1, 0)</f>
        <v>0</v>
      </c>
      <c r="BG92" s="7">
        <f>IF(AND(OR( BG$5&gt;$G92, Timeline!BG$8&lt;Loans!$E92), Loans!BG90&lt;&gt;0), 1, 0)</f>
        <v>0</v>
      </c>
      <c r="BH92" s="7">
        <f>IF(AND(OR( BH$5&gt;$G92, Timeline!BH$8&lt;Loans!$E92), Loans!BH90&lt;&gt;0), 1, 0)</f>
        <v>0</v>
      </c>
      <c r="BI92" s="7">
        <f>IF(AND(OR( BI$5&gt;$G92, Timeline!BI$8&lt;Loans!$E92), Loans!BI90&lt;&gt;0), 1, 0)</f>
        <v>0</v>
      </c>
      <c r="BJ92" s="7">
        <f>IF(AND(OR( BJ$5&gt;$G92, Timeline!BJ$8&lt;Loans!$E92), Loans!BJ90&lt;&gt;0), 1, 0)</f>
        <v>0</v>
      </c>
      <c r="BK92" s="7">
        <f>IF(AND(OR( BK$5&gt;$G92, Timeline!BK$8&lt;Loans!$E92), Loans!BK90&lt;&gt;0), 1, 0)</f>
        <v>0</v>
      </c>
      <c r="BL92" s="7">
        <f>IF(AND(OR( BL$5&gt;$G92, Timeline!BL$8&lt;Loans!$E92), Loans!BL90&lt;&gt;0), 1, 0)</f>
        <v>0</v>
      </c>
      <c r="BM92" s="7">
        <f>IF(AND(OR( BM$5&gt;$G92, Timeline!BM$8&lt;Loans!$E92), Loans!BM90&lt;&gt;0), 1, 0)</f>
        <v>0</v>
      </c>
      <c r="BN92" s="7">
        <f>IF(AND(OR( BN$5&gt;$G92, Timeline!BN$8&lt;Loans!$E92), Loans!BN90&lt;&gt;0), 1, 0)</f>
        <v>0</v>
      </c>
      <c r="BO92" s="7">
        <f>IF(AND(OR( BO$5&gt;$G92, Timeline!BO$8&lt;Loans!$E92), Loans!BO90&lt;&gt;0), 1, 0)</f>
        <v>0</v>
      </c>
      <c r="BP92" s="7">
        <f>IF(AND(OR( BP$5&gt;$G92, Timeline!BP$8&lt;Loans!$E92), Loans!BP90&lt;&gt;0), 1, 0)</f>
        <v>0</v>
      </c>
      <c r="BQ92" s="7">
        <f>IF(AND(OR( BQ$5&gt;$G92, Timeline!BQ$8&lt;Loans!$E92), Loans!BQ90&lt;&gt;0), 1, 0)</f>
        <v>0</v>
      </c>
      <c r="BR92" s="7">
        <f>IF(AND(OR( BR$5&gt;$G92, Timeline!BR$8&lt;Loans!$E92), Loans!BR90&lt;&gt;0), 1, 0)</f>
        <v>0</v>
      </c>
      <c r="BS92" s="7">
        <f>IF(AND(OR( BS$5&gt;$G92, Timeline!BS$8&lt;Loans!$E92), Loans!BS90&lt;&gt;0), 1, 0)</f>
        <v>0</v>
      </c>
      <c r="BT92" s="7">
        <f>IF(AND(OR( BT$5&gt;$G92, Timeline!BT$8&lt;Loans!$E92), Loans!BT90&lt;&gt;0), 1, 0)</f>
        <v>0</v>
      </c>
      <c r="BU92" s="7">
        <f>IF(AND(OR( BU$5&gt;$G92, Timeline!BU$8&lt;Loans!$E92), Loans!BU90&lt;&gt;0), 1, 0)</f>
        <v>0</v>
      </c>
      <c r="BV92" s="7">
        <f>IF(AND(OR( BV$5&gt;$G92, Timeline!BV$8&lt;Loans!$E92), Loans!BV90&lt;&gt;0), 1, 0)</f>
        <v>0</v>
      </c>
      <c r="BX92" s="7">
        <f>IF(AND(OR( BX$5&gt;$G92, Timeline!BX$8&lt;Loans!$E92), Loans!BX90&lt;&gt;0), 1, 0)</f>
        <v>0</v>
      </c>
      <c r="BY92" s="7">
        <f>IF(AND(OR( BY$5&gt;$G92, Timeline!BY$8&lt;Loans!$E92), Loans!BY90&lt;&gt;0), 1, 0)</f>
        <v>0</v>
      </c>
      <c r="BZ92" s="7">
        <f>IF(AND(OR( BZ$5&gt;$G92, Timeline!BZ$8&lt;Loans!$E92), Loans!BZ90&lt;&gt;0), 1, 0)</f>
        <v>0</v>
      </c>
      <c r="CA92" s="7">
        <f>IF(AND(OR( CA$5&gt;$G92, Timeline!CA$8&lt;Loans!$E92), Loans!CA90&lt;&gt;0), 1, 0)</f>
        <v>0</v>
      </c>
      <c r="CB92" s="7">
        <f>IF(AND(OR( CB$5&gt;$G92, Timeline!CB$8&lt;Loans!$E92), Loans!CB90&lt;&gt;0), 1, 0)</f>
        <v>0</v>
      </c>
      <c r="CC92" s="7">
        <f>IF(AND(OR( CC$5&gt;$G92, Timeline!CC$8&lt;Loans!$E92), Loans!CC90&lt;&gt;0), 1, 0)</f>
        <v>0</v>
      </c>
      <c r="CD92" s="7">
        <f>IF(AND(OR( CD$5&gt;$G92, Timeline!CD$8&lt;Loans!$E92), Loans!CD90&lt;&gt;0), 1, 0)</f>
        <v>0</v>
      </c>
      <c r="CE92" s="7">
        <f>IF(AND(OR( CE$5&gt;$G92, Timeline!CE$8&lt;Loans!$E92), Loans!CE90&lt;&gt;0), 1, 0)</f>
        <v>0</v>
      </c>
      <c r="CF92" s="7">
        <f>IF(AND(OR( CF$5&gt;$G92, Timeline!CF$8&lt;Loans!$E92), Loans!CF90&lt;&gt;0), 1, 0)</f>
        <v>0</v>
      </c>
      <c r="CG92" s="7">
        <f>IF(AND(OR( CG$5&gt;$G92, Timeline!CG$8&lt;Loans!$E92), Loans!CG90&lt;&gt;0), 1, 0)</f>
        <v>0</v>
      </c>
      <c r="CH92" s="7">
        <f>IF(AND(OR( CH$5&gt;$G92, Timeline!CH$8&lt;Loans!$E92), Loans!CH90&lt;&gt;0), 1, 0)</f>
        <v>0</v>
      </c>
      <c r="CI92" s="7">
        <f>IF(AND(OR( CI$5&gt;$G92, Timeline!CI$8&lt;Loans!$E92), Loans!CI90&lt;&gt;0), 1, 0)</f>
        <v>0</v>
      </c>
      <c r="CK92" s="11"/>
      <c r="CM92" s="11"/>
      <c r="CX92" s="7">
        <f>IF(MAX($V92:$CI92)&gt;0, 1, 0)</f>
        <v>0</v>
      </c>
      <c r="DF92" s="11"/>
      <c r="DG92">
        <f t="shared" si="16"/>
        <v>1</v>
      </c>
      <c r="DH92">
        <v>0</v>
      </c>
      <c r="DI92">
        <v>0</v>
      </c>
      <c r="EY92" s="12" t="str">
        <f>IF(C92="", "", CONCATENATE(D75, " ",D92))</f>
        <v/>
      </c>
    </row>
    <row r="93" spans="1:155" ht="6.75" customHeight="1" x14ac:dyDescent="0.35">
      <c r="C93" s="211"/>
      <c r="D93" s="1"/>
      <c r="E93"/>
      <c r="F93"/>
      <c r="BY93" s="6"/>
      <c r="CK93" s="35"/>
      <c r="CM93" s="35"/>
      <c r="DF93" s="35"/>
      <c r="DG93">
        <f t="shared" si="16"/>
        <v>0</v>
      </c>
      <c r="DH93">
        <v>0</v>
      </c>
      <c r="DI93">
        <v>0</v>
      </c>
      <c r="EY93" s="10" t="str">
        <f>IF($C93="","",$D93)</f>
        <v/>
      </c>
    </row>
    <row r="94" spans="1:155" x14ac:dyDescent="0.35">
      <c r="A94" s="53"/>
      <c r="C94" s="211"/>
      <c r="D94" s="53" t="s">
        <v>1102</v>
      </c>
      <c r="E94" s="53"/>
      <c r="F94" s="53"/>
      <c r="G94" s="53"/>
      <c r="H94" s="53"/>
      <c r="I94" s="53"/>
      <c r="J94" s="53"/>
      <c r="M94" s="53"/>
      <c r="N94" s="53"/>
      <c r="O94" s="53"/>
      <c r="P94" s="53"/>
      <c r="Q94" s="53"/>
      <c r="R94" s="53"/>
      <c r="CK94" s="11"/>
      <c r="CM94" s="11"/>
      <c r="DF94" s="11"/>
      <c r="DG94">
        <f t="shared" si="16"/>
        <v>0</v>
      </c>
      <c r="DH94">
        <v>0</v>
      </c>
      <c r="DI94">
        <v>0</v>
      </c>
      <c r="EY94" s="10" t="str">
        <f>IF($C94="","",$D94)</f>
        <v/>
      </c>
    </row>
    <row r="95" spans="1:155" x14ac:dyDescent="0.35">
      <c r="C95" s="211" t="s">
        <v>1103</v>
      </c>
      <c r="D95" t="s">
        <v>1073</v>
      </c>
      <c r="H95" s="9" t="s">
        <v>1074</v>
      </c>
      <c r="I95" s="40" t="s">
        <v>317</v>
      </c>
      <c r="V95" s="109"/>
      <c r="W95" s="133">
        <f>V99</f>
        <v>0</v>
      </c>
      <c r="X95" s="133">
        <f>W99</f>
        <v>0</v>
      </c>
      <c r="Y95" s="10">
        <f>X99</f>
        <v>0</v>
      </c>
      <c r="AA95" s="12">
        <f>W95</f>
        <v>0</v>
      </c>
      <c r="AB95" s="10">
        <f t="shared" ref="AB95:BV95" si="46">AA99</f>
        <v>0</v>
      </c>
      <c r="AC95" s="10">
        <f t="shared" si="46"/>
        <v>0</v>
      </c>
      <c r="AD95" s="10">
        <f t="shared" si="46"/>
        <v>0</v>
      </c>
      <c r="AE95" s="10">
        <f t="shared" si="46"/>
        <v>0</v>
      </c>
      <c r="AF95" s="10">
        <f t="shared" si="46"/>
        <v>0</v>
      </c>
      <c r="AG95" s="10">
        <f t="shared" si="46"/>
        <v>0</v>
      </c>
      <c r="AH95" s="10">
        <f t="shared" si="46"/>
        <v>0</v>
      </c>
      <c r="AI95" s="10">
        <f t="shared" si="46"/>
        <v>0</v>
      </c>
      <c r="AJ95" s="10">
        <f t="shared" si="46"/>
        <v>0</v>
      </c>
      <c r="AK95" s="10">
        <f t="shared" si="46"/>
        <v>0</v>
      </c>
      <c r="AL95" s="10">
        <f t="shared" si="46"/>
        <v>0</v>
      </c>
      <c r="AM95" s="10">
        <f t="shared" si="46"/>
        <v>0</v>
      </c>
      <c r="AN95" s="10">
        <f t="shared" si="46"/>
        <v>0</v>
      </c>
      <c r="AO95" s="10">
        <f t="shared" si="46"/>
        <v>0</v>
      </c>
      <c r="AP95" s="10">
        <f t="shared" si="46"/>
        <v>0</v>
      </c>
      <c r="AQ95" s="10">
        <f t="shared" si="46"/>
        <v>0</v>
      </c>
      <c r="AR95" s="10">
        <f t="shared" si="46"/>
        <v>0</v>
      </c>
      <c r="AS95" s="10">
        <f t="shared" si="46"/>
        <v>0</v>
      </c>
      <c r="AT95" s="10">
        <f t="shared" si="46"/>
        <v>0</v>
      </c>
      <c r="AU95" s="10">
        <f t="shared" si="46"/>
        <v>0</v>
      </c>
      <c r="AV95" s="10">
        <f t="shared" si="46"/>
        <v>0</v>
      </c>
      <c r="AW95" s="10">
        <f t="shared" si="46"/>
        <v>0</v>
      </c>
      <c r="AX95" s="10">
        <f t="shared" si="46"/>
        <v>0</v>
      </c>
      <c r="AY95" s="10">
        <f t="shared" si="46"/>
        <v>0</v>
      </c>
      <c r="AZ95" s="10">
        <f t="shared" si="46"/>
        <v>0</v>
      </c>
      <c r="BA95" s="10">
        <f t="shared" si="46"/>
        <v>0</v>
      </c>
      <c r="BB95" s="10">
        <f t="shared" si="46"/>
        <v>0</v>
      </c>
      <c r="BC95" s="10">
        <f t="shared" si="46"/>
        <v>0</v>
      </c>
      <c r="BD95" s="10">
        <f t="shared" si="46"/>
        <v>0</v>
      </c>
      <c r="BE95" s="10">
        <f t="shared" si="46"/>
        <v>0</v>
      </c>
      <c r="BF95" s="10">
        <f t="shared" si="46"/>
        <v>0</v>
      </c>
      <c r="BG95" s="10">
        <f t="shared" si="46"/>
        <v>0</v>
      </c>
      <c r="BH95" s="10">
        <f t="shared" si="46"/>
        <v>0</v>
      </c>
      <c r="BI95" s="10">
        <f t="shared" si="46"/>
        <v>0</v>
      </c>
      <c r="BJ95" s="10">
        <f t="shared" si="46"/>
        <v>0</v>
      </c>
      <c r="BK95" s="10">
        <f t="shared" si="46"/>
        <v>0</v>
      </c>
      <c r="BL95" s="10">
        <f t="shared" si="46"/>
        <v>0</v>
      </c>
      <c r="BM95" s="10">
        <f t="shared" si="46"/>
        <v>0</v>
      </c>
      <c r="BN95" s="10">
        <f t="shared" si="46"/>
        <v>0</v>
      </c>
      <c r="BO95" s="10">
        <f t="shared" si="46"/>
        <v>0</v>
      </c>
      <c r="BP95" s="10">
        <f t="shared" si="46"/>
        <v>0</v>
      </c>
      <c r="BQ95" s="10">
        <f t="shared" si="46"/>
        <v>0</v>
      </c>
      <c r="BR95" s="10">
        <f t="shared" si="46"/>
        <v>0</v>
      </c>
      <c r="BS95" s="10">
        <f t="shared" si="46"/>
        <v>0</v>
      </c>
      <c r="BT95" s="10">
        <f t="shared" si="46"/>
        <v>0</v>
      </c>
      <c r="BU95" s="10">
        <f t="shared" si="46"/>
        <v>0</v>
      </c>
      <c r="BV95" s="10">
        <f t="shared" si="46"/>
        <v>0</v>
      </c>
      <c r="BX95" s="12">
        <f t="shared" ref="BX95:CA99" si="47">V95</f>
        <v>0</v>
      </c>
      <c r="BY95" s="12">
        <f t="shared" si="47"/>
        <v>0</v>
      </c>
      <c r="BZ95" s="12">
        <f t="shared" si="47"/>
        <v>0</v>
      </c>
      <c r="CA95" s="12">
        <f t="shared" si="47"/>
        <v>0</v>
      </c>
      <c r="CB95" s="10">
        <f t="shared" ref="CB95:CI95" si="48">CA99</f>
        <v>0</v>
      </c>
      <c r="CC95" s="10">
        <f t="shared" si="48"/>
        <v>0</v>
      </c>
      <c r="CD95" s="10">
        <f t="shared" si="48"/>
        <v>0</v>
      </c>
      <c r="CE95" s="10">
        <f t="shared" si="48"/>
        <v>0</v>
      </c>
      <c r="CF95" s="10">
        <f t="shared" si="48"/>
        <v>0</v>
      </c>
      <c r="CG95" s="10">
        <f t="shared" si="48"/>
        <v>0</v>
      </c>
      <c r="CH95" s="10">
        <f t="shared" si="48"/>
        <v>0</v>
      </c>
      <c r="CI95" s="10">
        <f t="shared" si="48"/>
        <v>0</v>
      </c>
      <c r="CK95" s="11"/>
      <c r="CM95" s="11"/>
      <c r="CY95" s="7" cm="1">
        <f t="array" ref="CY95">SUMPRODUCT(--NOT(ISNUMBER(V95:CI95)),--NOT(ISBLANK(V95:CI95)))</f>
        <v>0</v>
      </c>
      <c r="DF95" s="11"/>
      <c r="DG95">
        <f t="shared" si="16"/>
        <v>0</v>
      </c>
      <c r="DH95">
        <v>1</v>
      </c>
      <c r="DI95">
        <v>0</v>
      </c>
      <c r="EY95" s="12" t="str">
        <f>IF(C95="", "", CONCATENATE(D94, " ",D95))</f>
        <v>Loan 3 Opening Loan Balance</v>
      </c>
    </row>
    <row r="96" spans="1:155" s="5" customFormat="1" x14ac:dyDescent="0.35">
      <c r="A96" s="220" cm="1">
        <f t="array" aca="1" ref="A96" ca="1">HYPERLINK(CONCATENATE("#",CELL("address",IF(MAX($CM96:$DF96)=0,A96,INDEX($CM96:$DF96,MATCH(1,$CM96:$DF96,0))))),MAX($CM96:$DF96))</f>
        <v>0</v>
      </c>
      <c r="B96"/>
      <c r="C96" s="211" t="s">
        <v>1104</v>
      </c>
      <c r="D96" t="s">
        <v>1076</v>
      </c>
      <c r="E96" s="1"/>
      <c r="F96" s="1"/>
      <c r="G96"/>
      <c r="H96" s="9" t="s">
        <v>1074</v>
      </c>
      <c r="I96" s="40" t="s">
        <v>665</v>
      </c>
      <c r="J96"/>
      <c r="K96"/>
      <c r="L96"/>
      <c r="M96"/>
      <c r="N96"/>
      <c r="O96"/>
      <c r="P96"/>
      <c r="Q96"/>
      <c r="R96"/>
      <c r="S96"/>
      <c r="T96"/>
      <c r="U96"/>
      <c r="V96" s="109"/>
      <c r="W96" s="133">
        <f t="shared" ref="W96:Y98" si="49" xml:space="preserve"> SUMIFS($AA96:$BV96, $AA$3:$BV$3, W$3)</f>
        <v>0</v>
      </c>
      <c r="X96" s="133">
        <f t="shared" si="49"/>
        <v>0</v>
      </c>
      <c r="Y96" s="133">
        <f t="shared" si="49"/>
        <v>0</v>
      </c>
      <c r="Z96"/>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c r="BX96" s="12">
        <f t="shared" si="47"/>
        <v>0</v>
      </c>
      <c r="BY96" s="12">
        <f t="shared" si="47"/>
        <v>0</v>
      </c>
      <c r="BZ96" s="12">
        <f t="shared" si="47"/>
        <v>0</v>
      </c>
      <c r="CA96" s="12">
        <f t="shared" si="47"/>
        <v>0</v>
      </c>
      <c r="CB96" s="133">
        <f xml:space="preserve"> SUMIFS($AA96:$BV96, $AA$3:$BV$3, CB$3)</f>
        <v>0</v>
      </c>
      <c r="CC96" s="109"/>
      <c r="CD96" s="109"/>
      <c r="CE96" s="109"/>
      <c r="CF96" s="109"/>
      <c r="CG96" s="109"/>
      <c r="CH96" s="109"/>
      <c r="CI96" s="109"/>
      <c r="CJ96"/>
      <c r="CK96" s="11"/>
      <c r="CL96" s="241">
        <f>IF(MIN($V96:$CI96)&lt;0, 1, 0)</f>
        <v>0</v>
      </c>
      <c r="CM96" s="11"/>
      <c r="CN96"/>
      <c r="CO96"/>
      <c r="CP96"/>
      <c r="CQ96"/>
      <c r="CR96"/>
      <c r="CS96"/>
      <c r="CT96"/>
      <c r="CU96"/>
      <c r="CV96"/>
      <c r="CW96"/>
      <c r="CX96"/>
      <c r="CY96" s="7" cm="1">
        <f t="array" ref="CY96">SUMPRODUCT(--NOT(ISNUMBER(V96:CI96)),--NOT(ISBLANK(V96:CI96)))</f>
        <v>0</v>
      </c>
      <c r="CZ96" s="7">
        <f t="shared" ref="CZ96:DB98" si="50">IF(ROUND(W96-SUMIFS($AA96:$BV96, $AA$3:$BV$3, W$3), rounding)=0, 0, 1)</f>
        <v>0</v>
      </c>
      <c r="DA96" s="7">
        <f t="shared" si="50"/>
        <v>0</v>
      </c>
      <c r="DB96" s="7">
        <f t="shared" si="50"/>
        <v>0</v>
      </c>
      <c r="DC96" s="7">
        <f>IF(ROUND(CB96-SUMIFS($AA96:$BV96, $AA$3:$BV$3, CB$3), rounding)=0, 0, 1)</f>
        <v>0</v>
      </c>
      <c r="DD96" s="7">
        <f>IF(ROUND(V96-BX96, rounding)=0, 0, 1)*'BS Forecasts'!$V$10</f>
        <v>0</v>
      </c>
      <c r="DE96"/>
      <c r="DF96" s="11"/>
      <c r="DG96">
        <f t="shared" si="16"/>
        <v>0</v>
      </c>
      <c r="DH96">
        <v>1</v>
      </c>
      <c r="DI96">
        <v>1</v>
      </c>
      <c r="EY96" s="12" t="str">
        <f>IF(C96="", "", CONCATENATE(D94, " ",D96))</f>
        <v>Loan 3 Drawdowns</v>
      </c>
    </row>
    <row r="97" spans="1:155" x14ac:dyDescent="0.35">
      <c r="A97" s="220" cm="1">
        <f t="array" aca="1" ref="A97" ca="1">HYPERLINK(CONCATENATE("#",CELL("address",IF(MAX($CM97:$DF97)=0,A97,INDEX($CM97:$DF97,MATCH(1,$CM97:$DF97,0))))),MAX($CM97:$DF97))</f>
        <v>0</v>
      </c>
      <c r="C97" s="211" t="s">
        <v>1105</v>
      </c>
      <c r="D97" t="s">
        <v>1078</v>
      </c>
      <c r="H97" s="9" t="s">
        <v>1074</v>
      </c>
      <c r="I97" s="40" t="s">
        <v>1079</v>
      </c>
      <c r="V97" s="109"/>
      <c r="W97" s="133">
        <f t="shared" si="49"/>
        <v>0</v>
      </c>
      <c r="X97" s="133">
        <f t="shared" si="49"/>
        <v>0</v>
      </c>
      <c r="Y97" s="133">
        <f t="shared" si="49"/>
        <v>0</v>
      </c>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X97" s="12">
        <f t="shared" si="47"/>
        <v>0</v>
      </c>
      <c r="BY97" s="12">
        <f t="shared" si="47"/>
        <v>0</v>
      </c>
      <c r="BZ97" s="12">
        <f t="shared" si="47"/>
        <v>0</v>
      </c>
      <c r="CA97" s="12">
        <f t="shared" si="47"/>
        <v>0</v>
      </c>
      <c r="CB97" s="133">
        <f xml:space="preserve"> SUMIFS($AA97:$BV97, $AA$3:$BV$3, CB$3)</f>
        <v>0</v>
      </c>
      <c r="CC97" s="109"/>
      <c r="CD97" s="109"/>
      <c r="CE97" s="109"/>
      <c r="CF97" s="109"/>
      <c r="CG97" s="109"/>
      <c r="CH97" s="109"/>
      <c r="CI97" s="109"/>
      <c r="CK97" s="11"/>
      <c r="CL97" s="241">
        <f>IF(MAX($V97:$CI97)&gt;0, 1, 0)</f>
        <v>0</v>
      </c>
      <c r="CM97" s="11"/>
      <c r="CY97" s="7" cm="1">
        <f t="array" ref="CY97">SUMPRODUCT(--NOT(ISNUMBER(V97:CI97)),--NOT(ISBLANK(V97:CI97)))</f>
        <v>0</v>
      </c>
      <c r="CZ97" s="7">
        <f t="shared" si="50"/>
        <v>0</v>
      </c>
      <c r="DA97" s="7">
        <f t="shared" si="50"/>
        <v>0</v>
      </c>
      <c r="DB97" s="7">
        <f t="shared" si="50"/>
        <v>0</v>
      </c>
      <c r="DC97" s="7">
        <f>IF(ROUND(CB97-SUMIFS($AA97:$BV97, $AA$3:$BV$3, CB$3), rounding)=0, 0, 1)</f>
        <v>0</v>
      </c>
      <c r="DD97" s="7">
        <f>IF(ROUND(V97-BX97, rounding)=0, 0, 1)*'BS Forecasts'!$V$10</f>
        <v>0</v>
      </c>
      <c r="DF97" s="11"/>
      <c r="DG97">
        <f t="shared" si="16"/>
        <v>0</v>
      </c>
      <c r="DH97">
        <v>1</v>
      </c>
      <c r="DI97">
        <v>1</v>
      </c>
      <c r="EY97" s="12" t="str">
        <f>IF(C97="", "", CONCATENATE(D94, " ",D97))</f>
        <v>Loan 3 Loan Capital Repayment (as per loan agreement)</v>
      </c>
    </row>
    <row r="98" spans="1:155" x14ac:dyDescent="0.35">
      <c r="A98" s="220" cm="1">
        <f t="array" aca="1" ref="A98" ca="1">HYPERLINK(CONCATENATE("#",CELL("address",IF(MAX($CM98:$DF98)=0,A98,INDEX($CM98:$DF98,MATCH(1,$CM98:$DF98,0))))),MAX($CM98:$DF98))</f>
        <v>0</v>
      </c>
      <c r="C98" s="211" t="s">
        <v>1106</v>
      </c>
      <c r="D98" t="s">
        <v>1081</v>
      </c>
      <c r="H98" s="9" t="s">
        <v>1074</v>
      </c>
      <c r="I98" s="40" t="s">
        <v>1079</v>
      </c>
      <c r="V98" s="109"/>
      <c r="W98" s="133">
        <f t="shared" si="49"/>
        <v>0</v>
      </c>
      <c r="X98" s="133">
        <f t="shared" si="49"/>
        <v>0</v>
      </c>
      <c r="Y98" s="133">
        <f t="shared" si="49"/>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X98" s="12">
        <f t="shared" si="47"/>
        <v>0</v>
      </c>
      <c r="BY98" s="12">
        <f t="shared" si="47"/>
        <v>0</v>
      </c>
      <c r="BZ98" s="12">
        <f t="shared" si="47"/>
        <v>0</v>
      </c>
      <c r="CA98" s="12">
        <f t="shared" si="47"/>
        <v>0</v>
      </c>
      <c r="CB98" s="133">
        <f xml:space="preserve"> SUMIFS($AA98:$BV98, $AA$3:$BV$3, CB$3)</f>
        <v>0</v>
      </c>
      <c r="CC98" s="109"/>
      <c r="CD98" s="109"/>
      <c r="CE98" s="109"/>
      <c r="CF98" s="109"/>
      <c r="CG98" s="109"/>
      <c r="CH98" s="109"/>
      <c r="CI98" s="109"/>
      <c r="CK98" s="11"/>
      <c r="CL98" s="241">
        <f>IF(MAX($V98:$CI98)&gt;0, 1, 0)</f>
        <v>0</v>
      </c>
      <c r="CM98" s="11"/>
      <c r="CY98" s="7" cm="1">
        <f t="array" ref="CY98">SUMPRODUCT(--NOT(ISNUMBER(V98:CI98)),--NOT(ISBLANK(V98:CI98)))</f>
        <v>0</v>
      </c>
      <c r="CZ98" s="7">
        <f t="shared" si="50"/>
        <v>0</v>
      </c>
      <c r="DA98" s="7">
        <f t="shared" si="50"/>
        <v>0</v>
      </c>
      <c r="DB98" s="7">
        <f t="shared" si="50"/>
        <v>0</v>
      </c>
      <c r="DC98" s="7">
        <f>IF(ROUND(CB98-SUMIFS($AA98:$BV98, $AA$3:$BV$3, CB$3), rounding)=0, 0, 1)</f>
        <v>0</v>
      </c>
      <c r="DD98" s="7">
        <f>IF(ROUND(V98-BX98, rounding)=0, 0, 1)*'BS Forecasts'!$V$10</f>
        <v>0</v>
      </c>
      <c r="DF98" s="11"/>
      <c r="DG98">
        <f t="shared" si="16"/>
        <v>0</v>
      </c>
      <c r="DH98">
        <v>1</v>
      </c>
      <c r="DI98">
        <v>1</v>
      </c>
      <c r="EY98" s="12" t="str">
        <f>IF(C98="", "", CONCATENATE(D94, " ",D98))</f>
        <v xml:space="preserve">Loan 3 Early Repayment </v>
      </c>
    </row>
    <row r="99" spans="1:155" x14ac:dyDescent="0.35">
      <c r="C99" s="211" t="s">
        <v>1107</v>
      </c>
      <c r="D99" t="s">
        <v>1083</v>
      </c>
      <c r="H99" s="9" t="s">
        <v>1074</v>
      </c>
      <c r="I99" s="40" t="s">
        <v>317</v>
      </c>
      <c r="V99" s="12">
        <f>$H$15</f>
        <v>0</v>
      </c>
      <c r="W99" s="10">
        <f>SUM(W95:W98)</f>
        <v>0</v>
      </c>
      <c r="X99" s="10">
        <f>SUM(X95:X98)</f>
        <v>0</v>
      </c>
      <c r="Y99" s="10">
        <f>SUM(Y95:Y98)</f>
        <v>0</v>
      </c>
      <c r="AA99" s="10">
        <f t="shared" ref="AA99:BV99" si="51">SUM(AA95:AA98)</f>
        <v>0</v>
      </c>
      <c r="AB99" s="10">
        <f t="shared" si="51"/>
        <v>0</v>
      </c>
      <c r="AC99" s="10">
        <f t="shared" si="51"/>
        <v>0</v>
      </c>
      <c r="AD99" s="10">
        <f t="shared" si="51"/>
        <v>0</v>
      </c>
      <c r="AE99" s="10">
        <f t="shared" si="51"/>
        <v>0</v>
      </c>
      <c r="AF99" s="10">
        <f t="shared" si="51"/>
        <v>0</v>
      </c>
      <c r="AG99" s="10">
        <f t="shared" si="51"/>
        <v>0</v>
      </c>
      <c r="AH99" s="10">
        <f t="shared" si="51"/>
        <v>0</v>
      </c>
      <c r="AI99" s="10">
        <f t="shared" si="51"/>
        <v>0</v>
      </c>
      <c r="AJ99" s="10">
        <f t="shared" si="51"/>
        <v>0</v>
      </c>
      <c r="AK99" s="10">
        <f t="shared" si="51"/>
        <v>0</v>
      </c>
      <c r="AL99" s="10">
        <f t="shared" si="51"/>
        <v>0</v>
      </c>
      <c r="AM99" s="10">
        <f t="shared" si="51"/>
        <v>0</v>
      </c>
      <c r="AN99" s="10">
        <f t="shared" si="51"/>
        <v>0</v>
      </c>
      <c r="AO99" s="10">
        <f t="shared" si="51"/>
        <v>0</v>
      </c>
      <c r="AP99" s="10">
        <f t="shared" si="51"/>
        <v>0</v>
      </c>
      <c r="AQ99" s="10">
        <f t="shared" si="51"/>
        <v>0</v>
      </c>
      <c r="AR99" s="10">
        <f t="shared" si="51"/>
        <v>0</v>
      </c>
      <c r="AS99" s="10">
        <f t="shared" si="51"/>
        <v>0</v>
      </c>
      <c r="AT99" s="10">
        <f t="shared" si="51"/>
        <v>0</v>
      </c>
      <c r="AU99" s="10">
        <f t="shared" si="51"/>
        <v>0</v>
      </c>
      <c r="AV99" s="10">
        <f t="shared" si="51"/>
        <v>0</v>
      </c>
      <c r="AW99" s="10">
        <f t="shared" si="51"/>
        <v>0</v>
      </c>
      <c r="AX99" s="10">
        <f t="shared" si="51"/>
        <v>0</v>
      </c>
      <c r="AY99" s="10">
        <f t="shared" si="51"/>
        <v>0</v>
      </c>
      <c r="AZ99" s="10">
        <f t="shared" si="51"/>
        <v>0</v>
      </c>
      <c r="BA99" s="10">
        <f t="shared" si="51"/>
        <v>0</v>
      </c>
      <c r="BB99" s="10">
        <f t="shared" si="51"/>
        <v>0</v>
      </c>
      <c r="BC99" s="10">
        <f t="shared" si="51"/>
        <v>0</v>
      </c>
      <c r="BD99" s="10">
        <f t="shared" si="51"/>
        <v>0</v>
      </c>
      <c r="BE99" s="10">
        <f t="shared" si="51"/>
        <v>0</v>
      </c>
      <c r="BF99" s="10">
        <f t="shared" si="51"/>
        <v>0</v>
      </c>
      <c r="BG99" s="10">
        <f t="shared" si="51"/>
        <v>0</v>
      </c>
      <c r="BH99" s="10">
        <f t="shared" si="51"/>
        <v>0</v>
      </c>
      <c r="BI99" s="10">
        <f t="shared" si="51"/>
        <v>0</v>
      </c>
      <c r="BJ99" s="10">
        <f t="shared" si="51"/>
        <v>0</v>
      </c>
      <c r="BK99" s="10">
        <f t="shared" si="51"/>
        <v>0</v>
      </c>
      <c r="BL99" s="10">
        <f t="shared" si="51"/>
        <v>0</v>
      </c>
      <c r="BM99" s="10">
        <f t="shared" si="51"/>
        <v>0</v>
      </c>
      <c r="BN99" s="10">
        <f t="shared" si="51"/>
        <v>0</v>
      </c>
      <c r="BO99" s="10">
        <f t="shared" si="51"/>
        <v>0</v>
      </c>
      <c r="BP99" s="10">
        <f t="shared" si="51"/>
        <v>0</v>
      </c>
      <c r="BQ99" s="10">
        <f t="shared" si="51"/>
        <v>0</v>
      </c>
      <c r="BR99" s="10">
        <f t="shared" si="51"/>
        <v>0</v>
      </c>
      <c r="BS99" s="10">
        <f t="shared" si="51"/>
        <v>0</v>
      </c>
      <c r="BT99" s="10">
        <f t="shared" si="51"/>
        <v>0</v>
      </c>
      <c r="BU99" s="10">
        <f t="shared" si="51"/>
        <v>0</v>
      </c>
      <c r="BV99" s="10">
        <f t="shared" si="51"/>
        <v>0</v>
      </c>
      <c r="BX99" s="12">
        <f t="shared" si="47"/>
        <v>0</v>
      </c>
      <c r="BY99" s="12">
        <f t="shared" si="47"/>
        <v>0</v>
      </c>
      <c r="BZ99" s="12">
        <f t="shared" si="47"/>
        <v>0</v>
      </c>
      <c r="CA99" s="12">
        <f t="shared" si="47"/>
        <v>0</v>
      </c>
      <c r="CB99" s="10">
        <f t="shared" ref="CB99:CI99" si="52">SUM(CB95:CB98)</f>
        <v>0</v>
      </c>
      <c r="CC99" s="10">
        <f t="shared" si="52"/>
        <v>0</v>
      </c>
      <c r="CD99" s="10">
        <f t="shared" si="52"/>
        <v>0</v>
      </c>
      <c r="CE99" s="10">
        <f t="shared" si="52"/>
        <v>0</v>
      </c>
      <c r="CF99" s="10">
        <f t="shared" si="52"/>
        <v>0</v>
      </c>
      <c r="CG99" s="10">
        <f t="shared" si="52"/>
        <v>0</v>
      </c>
      <c r="CH99" s="10">
        <f t="shared" si="52"/>
        <v>0</v>
      </c>
      <c r="CI99" s="10">
        <f t="shared" si="52"/>
        <v>0</v>
      </c>
      <c r="CK99" s="11"/>
      <c r="CM99" s="11"/>
      <c r="DF99" s="11"/>
      <c r="DG99">
        <f t="shared" si="16"/>
        <v>0</v>
      </c>
      <c r="DH99">
        <v>0</v>
      </c>
      <c r="DI99">
        <v>0</v>
      </c>
      <c r="EY99" s="12" t="str">
        <f>IF(C99="", "", CONCATENATE(D94, " ",D99))</f>
        <v>Loan 3 Closing Loan Balance</v>
      </c>
    </row>
    <row r="100" spans="1:155" ht="6.75" customHeight="1" x14ac:dyDescent="0.35">
      <c r="C100" s="211"/>
      <c r="D100" s="1"/>
      <c r="E100"/>
      <c r="F100"/>
      <c r="BY100" s="6"/>
      <c r="CK100" s="35"/>
      <c r="CM100" s="35"/>
      <c r="DF100" s="35"/>
      <c r="DG100">
        <f t="shared" si="16"/>
        <v>0</v>
      </c>
      <c r="DH100">
        <v>0</v>
      </c>
      <c r="DI100">
        <v>0</v>
      </c>
      <c r="EY100" s="12" t="str">
        <f>IF(C100="", "", CONCATENATE(D94, " ",D100))</f>
        <v/>
      </c>
    </row>
    <row r="101" spans="1:155" x14ac:dyDescent="0.35">
      <c r="A101" s="220" cm="1">
        <f t="array" aca="1" ref="A101" ca="1">HYPERLINK(CONCATENATE("#",CELL("address",IF(MAX($CM101:$DF101)=0,A101,INDEX($CM101:$DF101,MATCH(1,$CM101:$DF101,0))))),MAX($CM101:$DF101))</f>
        <v>0</v>
      </c>
      <c r="C101" s="211"/>
      <c r="D101" t="s">
        <v>1084</v>
      </c>
      <c r="E101" s="118" t="s">
        <v>1085</v>
      </c>
      <c r="F101" s="118"/>
      <c r="G101" s="10">
        <f>$G$15</f>
        <v>0</v>
      </c>
      <c r="V101" s="7">
        <f>IF(OR(V99&gt;$G101, V99&lt;0), 1, 0)</f>
        <v>0</v>
      </c>
      <c r="W101" s="7">
        <f>IF(OR(W99&gt;$G101, W99&lt;0), 1, 0)</f>
        <v>0</v>
      </c>
      <c r="X101" s="7">
        <f>IF(OR(X99&gt;$G101, X99&lt;0), 1, 0)</f>
        <v>0</v>
      </c>
      <c r="Y101" s="7">
        <f>IF(OR(Y99&gt;$G101, Y99&lt;0), 1, 0)</f>
        <v>0</v>
      </c>
      <c r="AA101" s="7">
        <f t="shared" ref="AA101:BV101" si="53">IF(OR(AA99&gt;$G101, AA99&lt;0), 1, 0)</f>
        <v>0</v>
      </c>
      <c r="AB101" s="7">
        <f t="shared" si="53"/>
        <v>0</v>
      </c>
      <c r="AC101" s="7">
        <f t="shared" si="53"/>
        <v>0</v>
      </c>
      <c r="AD101" s="7">
        <f t="shared" si="53"/>
        <v>0</v>
      </c>
      <c r="AE101" s="7">
        <f t="shared" si="53"/>
        <v>0</v>
      </c>
      <c r="AF101" s="7">
        <f t="shared" si="53"/>
        <v>0</v>
      </c>
      <c r="AG101" s="7">
        <f t="shared" si="53"/>
        <v>0</v>
      </c>
      <c r="AH101" s="7">
        <f t="shared" si="53"/>
        <v>0</v>
      </c>
      <c r="AI101" s="7">
        <f t="shared" si="53"/>
        <v>0</v>
      </c>
      <c r="AJ101" s="7">
        <f t="shared" si="53"/>
        <v>0</v>
      </c>
      <c r="AK101" s="7">
        <f t="shared" si="53"/>
        <v>0</v>
      </c>
      <c r="AL101" s="7">
        <f t="shared" si="53"/>
        <v>0</v>
      </c>
      <c r="AM101" s="7">
        <f t="shared" si="53"/>
        <v>0</v>
      </c>
      <c r="AN101" s="7">
        <f t="shared" si="53"/>
        <v>0</v>
      </c>
      <c r="AO101" s="7">
        <f t="shared" si="53"/>
        <v>0</v>
      </c>
      <c r="AP101" s="7">
        <f t="shared" si="53"/>
        <v>0</v>
      </c>
      <c r="AQ101" s="7">
        <f t="shared" si="53"/>
        <v>0</v>
      </c>
      <c r="AR101" s="7">
        <f t="shared" si="53"/>
        <v>0</v>
      </c>
      <c r="AS101" s="7">
        <f t="shared" si="53"/>
        <v>0</v>
      </c>
      <c r="AT101" s="7">
        <f t="shared" si="53"/>
        <v>0</v>
      </c>
      <c r="AU101" s="7">
        <f t="shared" si="53"/>
        <v>0</v>
      </c>
      <c r="AV101" s="7">
        <f t="shared" si="53"/>
        <v>0</v>
      </c>
      <c r="AW101" s="7">
        <f t="shared" si="53"/>
        <v>0</v>
      </c>
      <c r="AX101" s="7">
        <f t="shared" si="53"/>
        <v>0</v>
      </c>
      <c r="AY101" s="7">
        <f t="shared" si="53"/>
        <v>0</v>
      </c>
      <c r="AZ101" s="7">
        <f t="shared" si="53"/>
        <v>0</v>
      </c>
      <c r="BA101" s="7">
        <f t="shared" si="53"/>
        <v>0</v>
      </c>
      <c r="BB101" s="7">
        <f t="shared" si="53"/>
        <v>0</v>
      </c>
      <c r="BC101" s="7">
        <f t="shared" si="53"/>
        <v>0</v>
      </c>
      <c r="BD101" s="7">
        <f t="shared" si="53"/>
        <v>0</v>
      </c>
      <c r="BE101" s="7">
        <f t="shared" si="53"/>
        <v>0</v>
      </c>
      <c r="BF101" s="7">
        <f t="shared" si="53"/>
        <v>0</v>
      </c>
      <c r="BG101" s="7">
        <f t="shared" si="53"/>
        <v>0</v>
      </c>
      <c r="BH101" s="7">
        <f t="shared" si="53"/>
        <v>0</v>
      </c>
      <c r="BI101" s="7">
        <f t="shared" si="53"/>
        <v>0</v>
      </c>
      <c r="BJ101" s="7">
        <f t="shared" si="53"/>
        <v>0</v>
      </c>
      <c r="BK101" s="7">
        <f t="shared" si="53"/>
        <v>0</v>
      </c>
      <c r="BL101" s="7">
        <f t="shared" si="53"/>
        <v>0</v>
      </c>
      <c r="BM101" s="7">
        <f t="shared" si="53"/>
        <v>0</v>
      </c>
      <c r="BN101" s="7">
        <f t="shared" si="53"/>
        <v>0</v>
      </c>
      <c r="BO101" s="7">
        <f t="shared" si="53"/>
        <v>0</v>
      </c>
      <c r="BP101" s="7">
        <f t="shared" si="53"/>
        <v>0</v>
      </c>
      <c r="BQ101" s="7">
        <f t="shared" si="53"/>
        <v>0</v>
      </c>
      <c r="BR101" s="7">
        <f t="shared" si="53"/>
        <v>0</v>
      </c>
      <c r="BS101" s="7">
        <f t="shared" si="53"/>
        <v>0</v>
      </c>
      <c r="BT101" s="7">
        <f t="shared" si="53"/>
        <v>0</v>
      </c>
      <c r="BU101" s="7">
        <f t="shared" si="53"/>
        <v>0</v>
      </c>
      <c r="BV101" s="7">
        <f t="shared" si="53"/>
        <v>0</v>
      </c>
      <c r="BX101" s="7">
        <f t="shared" ref="BX101:CI101" si="54">IF(OR(BX99&gt;$G101, BX99&lt;0), 1, 0)</f>
        <v>0</v>
      </c>
      <c r="BY101" s="7">
        <f t="shared" si="54"/>
        <v>0</v>
      </c>
      <c r="BZ101" s="7">
        <f t="shared" si="54"/>
        <v>0</v>
      </c>
      <c r="CA101" s="7">
        <f t="shared" si="54"/>
        <v>0</v>
      </c>
      <c r="CB101" s="7">
        <f t="shared" si="54"/>
        <v>0</v>
      </c>
      <c r="CC101" s="7">
        <f t="shared" si="54"/>
        <v>0</v>
      </c>
      <c r="CD101" s="7">
        <f t="shared" si="54"/>
        <v>0</v>
      </c>
      <c r="CE101" s="7">
        <f t="shared" si="54"/>
        <v>0</v>
      </c>
      <c r="CF101" s="7">
        <f t="shared" si="54"/>
        <v>0</v>
      </c>
      <c r="CG101" s="7">
        <f t="shared" si="54"/>
        <v>0</v>
      </c>
      <c r="CH101" s="7">
        <f t="shared" si="54"/>
        <v>0</v>
      </c>
      <c r="CI101" s="7">
        <f t="shared" si="54"/>
        <v>0</v>
      </c>
      <c r="CK101" s="11"/>
      <c r="CM101" s="11"/>
      <c r="CX101" s="7">
        <f>IF(MAX(V101:CI101)&gt;0, 1, 0)</f>
        <v>0</v>
      </c>
      <c r="DF101" s="11"/>
      <c r="DG101">
        <f t="shared" si="16"/>
        <v>1</v>
      </c>
      <c r="DH101">
        <v>0</v>
      </c>
      <c r="DI101">
        <v>0</v>
      </c>
      <c r="EY101" s="12" t="str">
        <f>IF(C101="", "", CONCATENATE(D94, " ",D101))</f>
        <v/>
      </c>
    </row>
    <row r="102" spans="1:155" x14ac:dyDescent="0.35">
      <c r="A102" s="220" cm="1">
        <f t="array" aca="1" ref="A102" ca="1">HYPERLINK(CONCATENATE("#",CELL("address",IF(MAX($CM102:$DF102)=0,A102,INDEX($CM102:$DF102,MATCH(1,$CM102:$DF102,0))))),MAX($CM102:$DF102))</f>
        <v>0</v>
      </c>
      <c r="C102" s="211"/>
      <c r="D102" t="s">
        <v>1086</v>
      </c>
      <c r="E102" s="118" t="s">
        <v>1087</v>
      </c>
      <c r="F102" s="118"/>
      <c r="G102" s="117" t="str">
        <f>IF($K$15="", "", $K$15)</f>
        <v/>
      </c>
      <c r="V102" s="7">
        <f>IF(AND(V$5&gt;=$G102,SUM(V99:$Y99)&lt;&gt;0),1,0)</f>
        <v>0</v>
      </c>
      <c r="W102" s="7">
        <f>IF(AND(W$5&gt;=$G102,SUM(W99:$Y99)&lt;&gt;0),1,0)</f>
        <v>0</v>
      </c>
      <c r="X102" s="7">
        <f>IF(AND(X$5&gt;=$G102,SUM(X99:$Y99)&lt;&gt;0),1,0)</f>
        <v>0</v>
      </c>
      <c r="Y102" s="7">
        <f>IF(AND(Y$5&gt;=$G102,SUM(Y99:$Y99)&lt;&gt;0),1,0)</f>
        <v>0</v>
      </c>
      <c r="AA102" s="7">
        <f>IF(AND(AA$5&gt;=$G102,SUM(AA99:$BV99)&lt;&gt;0),1,0)</f>
        <v>0</v>
      </c>
      <c r="AB102" s="7">
        <f>IF(AND(AB$5&gt;=$G102,SUM(AB99:$BV99)&lt;&gt;0),1,0)</f>
        <v>0</v>
      </c>
      <c r="AC102" s="7">
        <f>IF(AND(AC$5&gt;=$G102,SUM(AC99:$BV99)&lt;&gt;0),1,0)</f>
        <v>0</v>
      </c>
      <c r="AD102" s="7">
        <f>IF(AND(AD$5&gt;=$G102,SUM(AD99:$BV99)&lt;&gt;0),1,0)</f>
        <v>0</v>
      </c>
      <c r="AE102" s="7">
        <f>IF(AND(AE$5&gt;=$G102,SUM(AE99:$BV99)&lt;&gt;0),1,0)</f>
        <v>0</v>
      </c>
      <c r="AF102" s="7">
        <f>IF(AND(AF$5&gt;=$G102,SUM(AF99:$BV99)&lt;&gt;0),1,0)</f>
        <v>0</v>
      </c>
      <c r="AG102" s="7">
        <f>IF(AND(AG$5&gt;=$G102,SUM(AG99:$BV99)&lt;&gt;0),1,0)</f>
        <v>0</v>
      </c>
      <c r="AH102" s="7">
        <f>IF(AND(AH$5&gt;=$G102,SUM(AH99:$BV99)&lt;&gt;0),1,0)</f>
        <v>0</v>
      </c>
      <c r="AI102" s="7">
        <f>IF(AND(AI$5&gt;=$G102,SUM(AI99:$BV99)&lt;&gt;0),1,0)</f>
        <v>0</v>
      </c>
      <c r="AJ102" s="7">
        <f>IF(AND(AJ$5&gt;=$G102,SUM(AJ99:$BV99)&lt;&gt;0),1,0)</f>
        <v>0</v>
      </c>
      <c r="AK102" s="7">
        <f>IF(AND(AK$5&gt;=$G102,SUM(AK99:$BV99)&lt;&gt;0),1,0)</f>
        <v>0</v>
      </c>
      <c r="AL102" s="7">
        <f>IF(AND(AL$5&gt;=$G102,SUM(AL99:$BV99)&lt;&gt;0),1,0)</f>
        <v>0</v>
      </c>
      <c r="AM102" s="7">
        <f>IF(AND(AM$5&gt;=$G102,SUM(AM99:$BV99)&lt;&gt;0),1,0)</f>
        <v>0</v>
      </c>
      <c r="AN102" s="7">
        <f>IF(AND(AN$5&gt;=$G102,SUM(AN99:$BV99)&lt;&gt;0),1,0)</f>
        <v>0</v>
      </c>
      <c r="AO102" s="7">
        <f>IF(AND(AO$5&gt;=$G102,SUM(AO99:$BV99)&lt;&gt;0),1,0)</f>
        <v>0</v>
      </c>
      <c r="AP102" s="7">
        <f>IF(AND(AP$5&gt;=$G102,SUM(AP99:$BV99)&lt;&gt;0),1,0)</f>
        <v>0</v>
      </c>
      <c r="AQ102" s="7">
        <f>IF(AND(AQ$5&gt;=$G102,SUM(AQ99:$BV99)&lt;&gt;0),1,0)</f>
        <v>0</v>
      </c>
      <c r="AR102" s="7">
        <f>IF(AND(AR$5&gt;=$G102,SUM(AR99:$BV99)&lt;&gt;0),1,0)</f>
        <v>0</v>
      </c>
      <c r="AS102" s="7">
        <f>IF(AND(AS$5&gt;=$G102,SUM(AS99:$BV99)&lt;&gt;0),1,0)</f>
        <v>0</v>
      </c>
      <c r="AT102" s="7">
        <f>IF(AND(AT$5&gt;=$G102,SUM(AT99:$BV99)&lt;&gt;0),1,0)</f>
        <v>0</v>
      </c>
      <c r="AU102" s="7">
        <f>IF(AND(AU$5&gt;=$G102,SUM(AU99:$BV99)&lt;&gt;0),1,0)</f>
        <v>0</v>
      </c>
      <c r="AV102" s="7">
        <f>IF(AND(AV$5&gt;=$G102,SUM(AV99:$BV99)&lt;&gt;0),1,0)</f>
        <v>0</v>
      </c>
      <c r="AW102" s="7">
        <f>IF(AND(AW$5&gt;=$G102,SUM(AW99:$BV99)&lt;&gt;0),1,0)</f>
        <v>0</v>
      </c>
      <c r="AX102" s="7">
        <f>IF(AND(AX$5&gt;=$G102,SUM(AX99:$BV99)&lt;&gt;0),1,0)</f>
        <v>0</v>
      </c>
      <c r="AY102" s="7">
        <f>IF(AND(AY$5&gt;=$G102,SUM(AY99:$BV99)&lt;&gt;0),1,0)</f>
        <v>0</v>
      </c>
      <c r="AZ102" s="7">
        <f>IF(AND(AZ$5&gt;=$G102,SUM(AZ99:$BV99)&lt;&gt;0),1,0)</f>
        <v>0</v>
      </c>
      <c r="BA102" s="7">
        <f>IF(AND(BA$5&gt;=$G102,SUM(BA99:$BV99)&lt;&gt;0),1,0)</f>
        <v>0</v>
      </c>
      <c r="BB102" s="7">
        <f>IF(AND(BB$5&gt;=$G102,SUM(BB99:$BV99)&lt;&gt;0),1,0)</f>
        <v>0</v>
      </c>
      <c r="BC102" s="7">
        <f>IF(AND(BC$5&gt;=$G102,SUM(BC99:$BV99)&lt;&gt;0),1,0)</f>
        <v>0</v>
      </c>
      <c r="BD102" s="7">
        <f>IF(AND(BD$5&gt;=$G102,SUM(BD99:$BV99)&lt;&gt;0),1,0)</f>
        <v>0</v>
      </c>
      <c r="BE102" s="7">
        <f>IF(AND(BE$5&gt;=$G102,SUM(BE99:$BV99)&lt;&gt;0),1,0)</f>
        <v>0</v>
      </c>
      <c r="BF102" s="7">
        <f>IF(AND(BF$5&gt;=$G102,SUM(BF99:$BV99)&lt;&gt;0),1,0)</f>
        <v>0</v>
      </c>
      <c r="BG102" s="7">
        <f>IF(AND(BG$5&gt;=$G102,SUM(BG99:$BV99)&lt;&gt;0),1,0)</f>
        <v>0</v>
      </c>
      <c r="BH102" s="7">
        <f>IF(AND(BH$5&gt;=$G102,SUM(BH99:$BV99)&lt;&gt;0),1,0)</f>
        <v>0</v>
      </c>
      <c r="BI102" s="7">
        <f>IF(AND(BI$5&gt;=$G102,SUM(BI99:$BV99)&lt;&gt;0),1,0)</f>
        <v>0</v>
      </c>
      <c r="BJ102" s="7">
        <f>IF(AND(BJ$5&gt;=$G102,SUM(BJ99:$BV99)&lt;&gt;0),1,0)</f>
        <v>0</v>
      </c>
      <c r="BK102" s="7">
        <f>IF(AND(BK$5&gt;=$G102,SUM(BK99:$BV99)&lt;&gt;0),1,0)</f>
        <v>0</v>
      </c>
      <c r="BL102" s="7">
        <f>IF(AND(BL$5&gt;=$G102,SUM(BL99:$BV99)&lt;&gt;0),1,0)</f>
        <v>0</v>
      </c>
      <c r="BM102" s="7">
        <f>IF(AND(BM$5&gt;=$G102,SUM(BM99:$BV99)&lt;&gt;0),1,0)</f>
        <v>0</v>
      </c>
      <c r="BN102" s="7">
        <f>IF(AND(BN$5&gt;=$G102,SUM(BN99:$BV99)&lt;&gt;0),1,0)</f>
        <v>0</v>
      </c>
      <c r="BO102" s="7">
        <f>IF(AND(BO$5&gt;=$G102,SUM(BO99:$BV99)&lt;&gt;0),1,0)</f>
        <v>0</v>
      </c>
      <c r="BP102" s="7">
        <f>IF(AND(BP$5&gt;=$G102,SUM(BP99:$BV99)&lt;&gt;0),1,0)</f>
        <v>0</v>
      </c>
      <c r="BQ102" s="7">
        <f>IF(AND(BQ$5&gt;=$G102,SUM(BQ99:$BV99)&lt;&gt;0),1,0)</f>
        <v>0</v>
      </c>
      <c r="BR102" s="7">
        <f>IF(AND(BR$5&gt;=$G102,SUM(BR99:$BV99)&lt;&gt;0),1,0)</f>
        <v>0</v>
      </c>
      <c r="BS102" s="7">
        <f>IF(AND(BS$5&gt;=$G102,SUM(BS99:$BV99)&lt;&gt;0),1,0)</f>
        <v>0</v>
      </c>
      <c r="BT102" s="7">
        <f>IF(AND(BT$5&gt;=$G102,SUM(BT99:$BV99)&lt;&gt;0),1,0)</f>
        <v>0</v>
      </c>
      <c r="BU102" s="7">
        <f>IF(AND(BU$5&gt;=$G102,SUM(BU99:$BV99)&lt;&gt;0),1,0)</f>
        <v>0</v>
      </c>
      <c r="BV102" s="7">
        <f>IF(AND(BV$5&gt;=$G102,SUM(BV99:$BV99)&lt;&gt;0),1,0)</f>
        <v>0</v>
      </c>
      <c r="BX102" s="7">
        <f>IF(AND(BX$5&gt;=$G102,SUM(BX99:$CI99)&lt;&gt;0),1,0)*BX$1159</f>
        <v>0</v>
      </c>
      <c r="BY102" s="7">
        <f>IF(AND(BY$5&gt;=$G102,SUM(BY99:$CI99)&lt;&gt;0),1,0)*BY$1159</f>
        <v>0</v>
      </c>
      <c r="BZ102" s="7">
        <f>IF(AND(BZ$5&gt;=$G102,SUM(BZ99:$CI99)&lt;&gt;0),1,0)*BZ$1159</f>
        <v>0</v>
      </c>
      <c r="CA102" s="7">
        <f>IF(AND(CA$5&gt;=$G102,SUM(CA99:$CI99)&lt;&gt;0),1,0)*CA$1159</f>
        <v>0</v>
      </c>
      <c r="CB102" s="7">
        <f>IF(AND(CB$5&gt;=$G102,SUM(CB99:$CI99)&lt;&gt;0),1,0)*CB$1159</f>
        <v>0</v>
      </c>
      <c r="CC102" s="7">
        <f>IF(AND(CC$5&gt;=$G102,SUM(CC99:$CI99)&lt;&gt;0),1,0)*CC$1159</f>
        <v>0</v>
      </c>
      <c r="CD102" s="7">
        <f>IF(AND(CD$5&gt;=$G102,SUM(CD99:$CI99)&lt;&gt;0),1,0)*CD$1159</f>
        <v>0</v>
      </c>
      <c r="CE102" s="7">
        <f>IF(AND(CE$5&gt;=$G102,SUM(CE99:$CI99)&lt;&gt;0),1,0)*CE$1159</f>
        <v>0</v>
      </c>
      <c r="CF102" s="7">
        <f>IF(AND(CF$5&gt;=$G102,SUM(CF99:$CI99)&lt;&gt;0),1,0)*CF$1159</f>
        <v>0</v>
      </c>
      <c r="CG102" s="7">
        <f>IF(AND(CG$5&gt;=$G102,SUM(CG99:$CI99)&lt;&gt;0),1,0)*CG$1159</f>
        <v>0</v>
      </c>
      <c r="CH102" s="7">
        <f>IF(AND(CH$5&gt;=$G102,SUM(CH99:$CI99)&lt;&gt;0),1,0)*CH$1159</f>
        <v>0</v>
      </c>
      <c r="CI102" s="7">
        <f>IF(AND(CI$5&gt;=$G102,SUM(CI99:$CI99)&lt;&gt;0),1,0)*CI$1159</f>
        <v>0</v>
      </c>
      <c r="CK102" s="11"/>
      <c r="CM102" s="11"/>
      <c r="CX102" s="7">
        <f>IF(MAX($V102:$CI102)&gt;0, 1, 0)</f>
        <v>0</v>
      </c>
      <c r="DF102" s="11"/>
      <c r="DG102">
        <f t="shared" si="16"/>
        <v>1</v>
      </c>
      <c r="DH102">
        <v>0</v>
      </c>
      <c r="DI102">
        <v>0</v>
      </c>
      <c r="EY102" s="12" t="str">
        <f>IF(C102="", "", CONCATENATE(D94, " ",D102))</f>
        <v/>
      </c>
    </row>
    <row r="103" spans="1:155" ht="6.75" customHeight="1" x14ac:dyDescent="0.35">
      <c r="C103" s="211"/>
      <c r="D103" s="1"/>
      <c r="E103"/>
      <c r="F103"/>
      <c r="BY103" s="6"/>
      <c r="CK103" s="35"/>
      <c r="CM103" s="35"/>
      <c r="DF103" s="35"/>
      <c r="DG103">
        <f t="shared" si="16"/>
        <v>0</v>
      </c>
      <c r="DH103">
        <v>0</v>
      </c>
      <c r="DI103">
        <v>0</v>
      </c>
      <c r="EY103" s="12" t="str">
        <f>IF(C103="", "", CONCATENATE(D94, " ",D103))</f>
        <v/>
      </c>
    </row>
    <row r="104" spans="1:155" x14ac:dyDescent="0.35">
      <c r="C104" s="211"/>
      <c r="D104" t="s">
        <v>1088</v>
      </c>
      <c r="H104" s="9" t="s">
        <v>1074</v>
      </c>
      <c r="I104" s="40" t="s">
        <v>317</v>
      </c>
      <c r="V104" s="109"/>
      <c r="W104" s="133">
        <f>V107</f>
        <v>0</v>
      </c>
      <c r="X104" s="133">
        <f>W107</f>
        <v>0</v>
      </c>
      <c r="Y104" s="10">
        <f>X107</f>
        <v>0</v>
      </c>
      <c r="AA104" s="12">
        <f>W104</f>
        <v>0</v>
      </c>
      <c r="AB104" s="10">
        <f t="shared" ref="AB104:BV104" si="55">AA107</f>
        <v>0</v>
      </c>
      <c r="AC104" s="10">
        <f t="shared" si="55"/>
        <v>0</v>
      </c>
      <c r="AD104" s="10">
        <f t="shared" si="55"/>
        <v>0</v>
      </c>
      <c r="AE104" s="10">
        <f t="shared" si="55"/>
        <v>0</v>
      </c>
      <c r="AF104" s="10">
        <f t="shared" si="55"/>
        <v>0</v>
      </c>
      <c r="AG104" s="10">
        <f t="shared" si="55"/>
        <v>0</v>
      </c>
      <c r="AH104" s="10">
        <f t="shared" si="55"/>
        <v>0</v>
      </c>
      <c r="AI104" s="10">
        <f t="shared" si="55"/>
        <v>0</v>
      </c>
      <c r="AJ104" s="10">
        <f t="shared" si="55"/>
        <v>0</v>
      </c>
      <c r="AK104" s="10">
        <f t="shared" si="55"/>
        <v>0</v>
      </c>
      <c r="AL104" s="10">
        <f t="shared" si="55"/>
        <v>0</v>
      </c>
      <c r="AM104" s="10">
        <f t="shared" si="55"/>
        <v>0</v>
      </c>
      <c r="AN104" s="10">
        <f t="shared" si="55"/>
        <v>0</v>
      </c>
      <c r="AO104" s="10">
        <f t="shared" si="55"/>
        <v>0</v>
      </c>
      <c r="AP104" s="10">
        <f t="shared" si="55"/>
        <v>0</v>
      </c>
      <c r="AQ104" s="10">
        <f t="shared" si="55"/>
        <v>0</v>
      </c>
      <c r="AR104" s="10">
        <f t="shared" si="55"/>
        <v>0</v>
      </c>
      <c r="AS104" s="10">
        <f t="shared" si="55"/>
        <v>0</v>
      </c>
      <c r="AT104" s="10">
        <f t="shared" si="55"/>
        <v>0</v>
      </c>
      <c r="AU104" s="10">
        <f t="shared" si="55"/>
        <v>0</v>
      </c>
      <c r="AV104" s="10">
        <f t="shared" si="55"/>
        <v>0</v>
      </c>
      <c r="AW104" s="10">
        <f t="shared" si="55"/>
        <v>0</v>
      </c>
      <c r="AX104" s="10">
        <f t="shared" si="55"/>
        <v>0</v>
      </c>
      <c r="AY104" s="10">
        <f t="shared" si="55"/>
        <v>0</v>
      </c>
      <c r="AZ104" s="10">
        <f t="shared" si="55"/>
        <v>0</v>
      </c>
      <c r="BA104" s="10">
        <f t="shared" si="55"/>
        <v>0</v>
      </c>
      <c r="BB104" s="10">
        <f t="shared" si="55"/>
        <v>0</v>
      </c>
      <c r="BC104" s="10">
        <f t="shared" si="55"/>
        <v>0</v>
      </c>
      <c r="BD104" s="10">
        <f t="shared" si="55"/>
        <v>0</v>
      </c>
      <c r="BE104" s="10">
        <f t="shared" si="55"/>
        <v>0</v>
      </c>
      <c r="BF104" s="10">
        <f t="shared" si="55"/>
        <v>0</v>
      </c>
      <c r="BG104" s="10">
        <f t="shared" si="55"/>
        <v>0</v>
      </c>
      <c r="BH104" s="10">
        <f t="shared" si="55"/>
        <v>0</v>
      </c>
      <c r="BI104" s="10">
        <f t="shared" si="55"/>
        <v>0</v>
      </c>
      <c r="BJ104" s="10">
        <f t="shared" si="55"/>
        <v>0</v>
      </c>
      <c r="BK104" s="10">
        <f t="shared" si="55"/>
        <v>0</v>
      </c>
      <c r="BL104" s="10">
        <f t="shared" si="55"/>
        <v>0</v>
      </c>
      <c r="BM104" s="10">
        <f t="shared" si="55"/>
        <v>0</v>
      </c>
      <c r="BN104" s="10">
        <f t="shared" si="55"/>
        <v>0</v>
      </c>
      <c r="BO104" s="10">
        <f t="shared" si="55"/>
        <v>0</v>
      </c>
      <c r="BP104" s="10">
        <f t="shared" si="55"/>
        <v>0</v>
      </c>
      <c r="BQ104" s="10">
        <f t="shared" si="55"/>
        <v>0</v>
      </c>
      <c r="BR104" s="10">
        <f t="shared" si="55"/>
        <v>0</v>
      </c>
      <c r="BS104" s="10">
        <f t="shared" si="55"/>
        <v>0</v>
      </c>
      <c r="BT104" s="10">
        <f t="shared" si="55"/>
        <v>0</v>
      </c>
      <c r="BU104" s="10">
        <f t="shared" si="55"/>
        <v>0</v>
      </c>
      <c r="BV104" s="10">
        <f t="shared" si="55"/>
        <v>0</v>
      </c>
      <c r="BX104" s="12">
        <f t="shared" ref="BX104:CA107" si="56">V104</f>
        <v>0</v>
      </c>
      <c r="BY104" s="12">
        <f t="shared" si="56"/>
        <v>0</v>
      </c>
      <c r="BZ104" s="12">
        <f t="shared" si="56"/>
        <v>0</v>
      </c>
      <c r="CA104" s="12">
        <f t="shared" si="56"/>
        <v>0</v>
      </c>
      <c r="CB104" s="10">
        <f t="shared" ref="CB104:CI104" si="57">CA107</f>
        <v>0</v>
      </c>
      <c r="CC104" s="10">
        <f t="shared" si="57"/>
        <v>0</v>
      </c>
      <c r="CD104" s="10">
        <f t="shared" si="57"/>
        <v>0</v>
      </c>
      <c r="CE104" s="10">
        <f t="shared" si="57"/>
        <v>0</v>
      </c>
      <c r="CF104" s="10">
        <f t="shared" si="57"/>
        <v>0</v>
      </c>
      <c r="CG104" s="10">
        <f t="shared" si="57"/>
        <v>0</v>
      </c>
      <c r="CH104" s="10">
        <f t="shared" si="57"/>
        <v>0</v>
      </c>
      <c r="CI104" s="10">
        <f t="shared" si="57"/>
        <v>0</v>
      </c>
      <c r="CK104" s="11"/>
      <c r="CM104" s="11"/>
      <c r="CY104" s="7" cm="1">
        <f t="array" ref="CY104">SUMPRODUCT(--NOT(ISNUMBER(V104:CI104)),--NOT(ISBLANK(V104:CI104)))</f>
        <v>0</v>
      </c>
      <c r="DF104" s="11"/>
      <c r="DG104">
        <f t="shared" si="16"/>
        <v>0</v>
      </c>
      <c r="DH104">
        <v>1</v>
      </c>
      <c r="DI104">
        <v>0</v>
      </c>
      <c r="EY104" s="12" t="str">
        <f>IF(C104="", "", CONCATENATE(D94, " ",D104))</f>
        <v/>
      </c>
    </row>
    <row r="105" spans="1:155" s="5" customFormat="1" x14ac:dyDescent="0.35">
      <c r="A105" s="220" cm="1">
        <f t="array" aca="1" ref="A105" ca="1">HYPERLINK(CONCATENATE("#",CELL("address",IF(MAX($CM105:$DF105)=0,A105,INDEX($CM105:$DF105,MATCH(1,$CM105:$DF105,0))))),MAX($CM105:$DF105))</f>
        <v>0</v>
      </c>
      <c r="B105" s="85" t="s">
        <v>122</v>
      </c>
      <c r="C105" s="211"/>
      <c r="D105" t="s">
        <v>1089</v>
      </c>
      <c r="E105" s="1"/>
      <c r="F105" s="1"/>
      <c r="G105"/>
      <c r="H105" s="9" t="s">
        <v>1074</v>
      </c>
      <c r="I105" s="40" t="s">
        <v>665</v>
      </c>
      <c r="J105"/>
      <c r="K105"/>
      <c r="L105"/>
      <c r="M105"/>
      <c r="N105"/>
      <c r="O105"/>
      <c r="P105"/>
      <c r="Q105"/>
      <c r="R105"/>
      <c r="S105"/>
      <c r="T105"/>
      <c r="U105"/>
      <c r="V105" s="109"/>
      <c r="W105" s="133">
        <f t="shared" ref="W105:Y106" si="58" xml:space="preserve"> SUMIFS($AA105:$BV105, $AA$3:$BV$3, W$3)</f>
        <v>0</v>
      </c>
      <c r="X105" s="133">
        <f t="shared" si="58"/>
        <v>0</v>
      </c>
      <c r="Y105" s="133">
        <f t="shared" si="58"/>
        <v>0</v>
      </c>
      <c r="Z105"/>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c r="BX105" s="12">
        <f t="shared" si="56"/>
        <v>0</v>
      </c>
      <c r="BY105" s="12">
        <f t="shared" si="56"/>
        <v>0</v>
      </c>
      <c r="BZ105" s="12">
        <f t="shared" si="56"/>
        <v>0</v>
      </c>
      <c r="CA105" s="12">
        <f t="shared" si="56"/>
        <v>0</v>
      </c>
      <c r="CB105" s="133">
        <f xml:space="preserve"> SUMIFS($AA105:$BV105, $AA$3:$BV$3, CB$3)</f>
        <v>0</v>
      </c>
      <c r="CC105" s="109"/>
      <c r="CD105" s="109"/>
      <c r="CE105" s="109"/>
      <c r="CF105" s="109"/>
      <c r="CG105" s="109"/>
      <c r="CH105" s="109"/>
      <c r="CI105" s="109"/>
      <c r="CJ105"/>
      <c r="CK105" s="11"/>
      <c r="CL105" s="241">
        <f>IF(MIN($V105:$CI105)&lt;0, 1, 0)</f>
        <v>0</v>
      </c>
      <c r="CM105" s="11"/>
      <c r="CN105"/>
      <c r="CO105"/>
      <c r="CP105"/>
      <c r="CQ105"/>
      <c r="CR105"/>
      <c r="CS105"/>
      <c r="CT105"/>
      <c r="CU105"/>
      <c r="CV105"/>
      <c r="CW105"/>
      <c r="CX105"/>
      <c r="CY105" s="7" cm="1">
        <f t="array" ref="CY105">SUMPRODUCT(--NOT(ISNUMBER(V105:CI105)),--NOT(ISBLANK(V105:CI105)))</f>
        <v>0</v>
      </c>
      <c r="CZ105" s="7">
        <f t="shared" ref="CZ105:DB106" si="59">IF(ROUND(W105-SUMIFS($AA105:$BV105, $AA$3:$BV$3, W$3), rounding)=0, 0, 1)</f>
        <v>0</v>
      </c>
      <c r="DA105" s="7">
        <f t="shared" si="59"/>
        <v>0</v>
      </c>
      <c r="DB105" s="7">
        <f t="shared" si="59"/>
        <v>0</v>
      </c>
      <c r="DC105" s="7">
        <f>IF(ROUND(CB105-SUMIFS($AA105:$BV105, $AA$3:$BV$3, CB$3), rounding)=0, 0, 1)</f>
        <v>0</v>
      </c>
      <c r="DD105" s="7">
        <f>IF(ROUND(V105-BX105, rounding)=0, 0, 1)*'BS Forecasts'!$V$10</f>
        <v>0</v>
      </c>
      <c r="DE105"/>
      <c r="DF105" s="11"/>
      <c r="DG105">
        <f t="shared" si="16"/>
        <v>0</v>
      </c>
      <c r="DH105">
        <v>1</v>
      </c>
      <c r="DI105">
        <v>1</v>
      </c>
      <c r="EY105" s="12" t="str">
        <f>IF(C105="", "", CONCATENATE(D94, " ",D105))</f>
        <v/>
      </c>
    </row>
    <row r="106" spans="1:155" x14ac:dyDescent="0.35">
      <c r="A106" s="220" cm="1">
        <f t="array" aca="1" ref="A106" ca="1">HYPERLINK(CONCATENATE("#",CELL("address",IF(MAX($CM106:$DF106)=0,A106,INDEX($CM106:$DF106,MATCH(1,$CM106:$DF106,0))))),MAX($CM106:$DF106))</f>
        <v>0</v>
      </c>
      <c r="B106" s="85" t="s">
        <v>122</v>
      </c>
      <c r="C106" s="211"/>
      <c r="D106" t="s">
        <v>1090</v>
      </c>
      <c r="H106" s="9" t="s">
        <v>1074</v>
      </c>
      <c r="I106" s="40" t="s">
        <v>1079</v>
      </c>
      <c r="V106" s="109"/>
      <c r="W106" s="133">
        <f t="shared" si="58"/>
        <v>0</v>
      </c>
      <c r="X106" s="133">
        <f t="shared" si="58"/>
        <v>0</v>
      </c>
      <c r="Y106" s="133">
        <f t="shared" si="58"/>
        <v>0</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X106" s="12">
        <f t="shared" si="56"/>
        <v>0</v>
      </c>
      <c r="BY106" s="12">
        <f t="shared" si="56"/>
        <v>0</v>
      </c>
      <c r="BZ106" s="12">
        <f t="shared" si="56"/>
        <v>0</v>
      </c>
      <c r="CA106" s="12">
        <f t="shared" si="56"/>
        <v>0</v>
      </c>
      <c r="CB106" s="133">
        <f xml:space="preserve"> SUMIFS($AA106:$BV106, $AA$3:$BV$3, CB$3)</f>
        <v>0</v>
      </c>
      <c r="CC106" s="109"/>
      <c r="CD106" s="109"/>
      <c r="CE106" s="109"/>
      <c r="CF106" s="109"/>
      <c r="CG106" s="109"/>
      <c r="CH106" s="109"/>
      <c r="CI106" s="109"/>
      <c r="CK106" s="11"/>
      <c r="CL106" s="241">
        <f>IF(MAX($V106:$CI106)&gt;0, 1, 0)</f>
        <v>0</v>
      </c>
      <c r="CM106" s="11"/>
      <c r="CY106" s="7" cm="1">
        <f t="array" ref="CY106">SUMPRODUCT(--NOT(ISNUMBER(V106:CI106)),--NOT(ISBLANK(V106:CI106)))</f>
        <v>0</v>
      </c>
      <c r="CZ106" s="7">
        <f t="shared" si="59"/>
        <v>0</v>
      </c>
      <c r="DA106" s="7">
        <f t="shared" si="59"/>
        <v>0</v>
      </c>
      <c r="DB106" s="7">
        <f t="shared" si="59"/>
        <v>0</v>
      </c>
      <c r="DC106" s="7">
        <f>IF(ROUND(CB106-SUMIFS($AA106:$BV106, $AA$3:$BV$3, CB$3), rounding)=0, 0, 1)</f>
        <v>0</v>
      </c>
      <c r="DD106" s="7">
        <f>IF(ROUND(V106-BX106, rounding)=0, 0, 1)*'BS Forecasts'!$V$10</f>
        <v>0</v>
      </c>
      <c r="DF106" s="11"/>
      <c r="DG106">
        <f t="shared" si="16"/>
        <v>0</v>
      </c>
      <c r="DH106">
        <v>1</v>
      </c>
      <c r="DI106">
        <v>1</v>
      </c>
      <c r="EY106" s="12" t="str">
        <f>IF(C106="", "", CONCATENATE(D94, " ",D106))</f>
        <v/>
      </c>
    </row>
    <row r="107" spans="1:155" x14ac:dyDescent="0.35">
      <c r="C107" s="211"/>
      <c r="D107" t="s">
        <v>1091</v>
      </c>
      <c r="H107" s="9" t="s">
        <v>1074</v>
      </c>
      <c r="I107" s="40" t="s">
        <v>317</v>
      </c>
      <c r="V107" s="12">
        <f>$I$15</f>
        <v>0</v>
      </c>
      <c r="W107" s="10">
        <f>SUM(W104:W106)</f>
        <v>0</v>
      </c>
      <c r="X107" s="10">
        <f>SUM(X104:X106)</f>
        <v>0</v>
      </c>
      <c r="Y107" s="10">
        <f>SUM(Y104:Y106)</f>
        <v>0</v>
      </c>
      <c r="AA107" s="10">
        <f t="shared" ref="AA107:BV107" si="60">SUM(AA104:AA106)</f>
        <v>0</v>
      </c>
      <c r="AB107" s="10">
        <f t="shared" si="60"/>
        <v>0</v>
      </c>
      <c r="AC107" s="10">
        <f t="shared" si="60"/>
        <v>0</v>
      </c>
      <c r="AD107" s="10">
        <f t="shared" si="60"/>
        <v>0</v>
      </c>
      <c r="AE107" s="10">
        <f t="shared" si="60"/>
        <v>0</v>
      </c>
      <c r="AF107" s="10">
        <f t="shared" si="60"/>
        <v>0</v>
      </c>
      <c r="AG107" s="10">
        <f t="shared" si="60"/>
        <v>0</v>
      </c>
      <c r="AH107" s="10">
        <f t="shared" si="60"/>
        <v>0</v>
      </c>
      <c r="AI107" s="10">
        <f t="shared" si="60"/>
        <v>0</v>
      </c>
      <c r="AJ107" s="10">
        <f t="shared" si="60"/>
        <v>0</v>
      </c>
      <c r="AK107" s="10">
        <f t="shared" si="60"/>
        <v>0</v>
      </c>
      <c r="AL107" s="10">
        <f t="shared" si="60"/>
        <v>0</v>
      </c>
      <c r="AM107" s="10">
        <f t="shared" si="60"/>
        <v>0</v>
      </c>
      <c r="AN107" s="10">
        <f t="shared" si="60"/>
        <v>0</v>
      </c>
      <c r="AO107" s="10">
        <f t="shared" si="60"/>
        <v>0</v>
      </c>
      <c r="AP107" s="10">
        <f t="shared" si="60"/>
        <v>0</v>
      </c>
      <c r="AQ107" s="10">
        <f t="shared" si="60"/>
        <v>0</v>
      </c>
      <c r="AR107" s="10">
        <f t="shared" si="60"/>
        <v>0</v>
      </c>
      <c r="AS107" s="10">
        <f t="shared" si="60"/>
        <v>0</v>
      </c>
      <c r="AT107" s="10">
        <f t="shared" si="60"/>
        <v>0</v>
      </c>
      <c r="AU107" s="10">
        <f t="shared" si="60"/>
        <v>0</v>
      </c>
      <c r="AV107" s="10">
        <f t="shared" si="60"/>
        <v>0</v>
      </c>
      <c r="AW107" s="10">
        <f t="shared" si="60"/>
        <v>0</v>
      </c>
      <c r="AX107" s="10">
        <f t="shared" si="60"/>
        <v>0</v>
      </c>
      <c r="AY107" s="10">
        <f t="shared" si="60"/>
        <v>0</v>
      </c>
      <c r="AZ107" s="10">
        <f t="shared" si="60"/>
        <v>0</v>
      </c>
      <c r="BA107" s="10">
        <f t="shared" si="60"/>
        <v>0</v>
      </c>
      <c r="BB107" s="10">
        <f t="shared" si="60"/>
        <v>0</v>
      </c>
      <c r="BC107" s="10">
        <f t="shared" si="60"/>
        <v>0</v>
      </c>
      <c r="BD107" s="10">
        <f t="shared" si="60"/>
        <v>0</v>
      </c>
      <c r="BE107" s="10">
        <f t="shared" si="60"/>
        <v>0</v>
      </c>
      <c r="BF107" s="10">
        <f t="shared" si="60"/>
        <v>0</v>
      </c>
      <c r="BG107" s="10">
        <f t="shared" si="60"/>
        <v>0</v>
      </c>
      <c r="BH107" s="10">
        <f t="shared" si="60"/>
        <v>0</v>
      </c>
      <c r="BI107" s="10">
        <f t="shared" si="60"/>
        <v>0</v>
      </c>
      <c r="BJ107" s="10">
        <f t="shared" si="60"/>
        <v>0</v>
      </c>
      <c r="BK107" s="10">
        <f t="shared" si="60"/>
        <v>0</v>
      </c>
      <c r="BL107" s="10">
        <f t="shared" si="60"/>
        <v>0</v>
      </c>
      <c r="BM107" s="10">
        <f t="shared" si="60"/>
        <v>0</v>
      </c>
      <c r="BN107" s="10">
        <f t="shared" si="60"/>
        <v>0</v>
      </c>
      <c r="BO107" s="10">
        <f t="shared" si="60"/>
        <v>0</v>
      </c>
      <c r="BP107" s="10">
        <f t="shared" si="60"/>
        <v>0</v>
      </c>
      <c r="BQ107" s="10">
        <f t="shared" si="60"/>
        <v>0</v>
      </c>
      <c r="BR107" s="10">
        <f t="shared" si="60"/>
        <v>0</v>
      </c>
      <c r="BS107" s="10">
        <f t="shared" si="60"/>
        <v>0</v>
      </c>
      <c r="BT107" s="10">
        <f t="shared" si="60"/>
        <v>0</v>
      </c>
      <c r="BU107" s="10">
        <f t="shared" si="60"/>
        <v>0</v>
      </c>
      <c r="BV107" s="10">
        <f t="shared" si="60"/>
        <v>0</v>
      </c>
      <c r="BX107" s="12">
        <f t="shared" si="56"/>
        <v>0</v>
      </c>
      <c r="BY107" s="12">
        <f t="shared" si="56"/>
        <v>0</v>
      </c>
      <c r="BZ107" s="12">
        <f t="shared" si="56"/>
        <v>0</v>
      </c>
      <c r="CA107" s="12">
        <f t="shared" si="56"/>
        <v>0</v>
      </c>
      <c r="CB107" s="10">
        <f t="shared" ref="CB107:CI107" si="61">SUM(CB104:CB106)</f>
        <v>0</v>
      </c>
      <c r="CC107" s="10">
        <f t="shared" si="61"/>
        <v>0</v>
      </c>
      <c r="CD107" s="10">
        <f t="shared" si="61"/>
        <v>0</v>
      </c>
      <c r="CE107" s="10">
        <f t="shared" si="61"/>
        <v>0</v>
      </c>
      <c r="CF107" s="10">
        <f t="shared" si="61"/>
        <v>0</v>
      </c>
      <c r="CG107" s="10">
        <f t="shared" si="61"/>
        <v>0</v>
      </c>
      <c r="CH107" s="10">
        <f t="shared" si="61"/>
        <v>0</v>
      </c>
      <c r="CI107" s="10">
        <f t="shared" si="61"/>
        <v>0</v>
      </c>
      <c r="CK107" s="11"/>
      <c r="CM107" s="11"/>
      <c r="DF107" s="11"/>
      <c r="DG107">
        <f t="shared" si="16"/>
        <v>0</v>
      </c>
      <c r="DH107">
        <v>0</v>
      </c>
      <c r="DI107">
        <v>0</v>
      </c>
      <c r="EY107" s="12" t="str">
        <f>IF(C107="", "", CONCATENATE(D94, " ",D107))</f>
        <v/>
      </c>
    </row>
    <row r="108" spans="1:155" ht="6.75" customHeight="1" x14ac:dyDescent="0.35">
      <c r="C108" s="211"/>
      <c r="D108" s="1"/>
      <c r="E108"/>
      <c r="F108"/>
      <c r="BY108" s="6"/>
      <c r="CK108" s="35"/>
      <c r="CM108" s="35"/>
      <c r="DF108" s="35"/>
      <c r="DG108">
        <f t="shared" si="16"/>
        <v>0</v>
      </c>
      <c r="DH108">
        <v>0</v>
      </c>
      <c r="DI108">
        <v>0</v>
      </c>
      <c r="EY108" s="12" t="str">
        <f>IF(C108="", "", CONCATENATE(D94, " ",D108))</f>
        <v/>
      </c>
    </row>
    <row r="109" spans="1:155" s="5" customFormat="1" x14ac:dyDescent="0.35">
      <c r="A109" s="220" cm="1">
        <f t="array" aca="1" ref="A109" ca="1">HYPERLINK(CONCATENATE("#",CELL("address",IF(MAX($CM109:$DF109)=0,A109,INDEX($CM109:$DF109,MATCH(1,$CM109:$DF109,0))))),MAX($CM109:$DF109))</f>
        <v>0</v>
      </c>
      <c r="B109"/>
      <c r="C109" s="211" t="s">
        <v>1108</v>
      </c>
      <c r="D109" t="s">
        <v>1093</v>
      </c>
      <c r="E109" s="1"/>
      <c r="F109" s="1"/>
      <c r="G109"/>
      <c r="H109" s="9" t="s">
        <v>1074</v>
      </c>
      <c r="I109" s="40" t="s">
        <v>665</v>
      </c>
      <c r="J109"/>
      <c r="K109"/>
      <c r="L109"/>
      <c r="M109"/>
      <c r="N109"/>
      <c r="O109"/>
      <c r="P109"/>
      <c r="Q109"/>
      <c r="R109"/>
      <c r="S109"/>
      <c r="T109"/>
      <c r="U109"/>
      <c r="V109" s="109"/>
      <c r="W109" s="133">
        <f xml:space="preserve"> SUMIFS($AA109:$BV109, $AA$3:$BV$3, W$3)</f>
        <v>0</v>
      </c>
      <c r="X109" s="133">
        <f xml:space="preserve"> SUMIFS($AA109:$BV109, $AA$3:$BV$3, X$3)</f>
        <v>0</v>
      </c>
      <c r="Y109" s="133">
        <f xml:space="preserve"> SUMIFS($AA109:$BV109, $AA$3:$BV$3, Y$3)</f>
        <v>0</v>
      </c>
      <c r="Z109"/>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c r="BX109" s="12">
        <f>V109</f>
        <v>0</v>
      </c>
      <c r="BY109" s="12">
        <f>W109</f>
        <v>0</v>
      </c>
      <c r="BZ109" s="12">
        <f>X109</f>
        <v>0</v>
      </c>
      <c r="CA109" s="12">
        <f>Y109</f>
        <v>0</v>
      </c>
      <c r="CB109" s="133">
        <f xml:space="preserve"> SUMIFS($AA109:$BV109, $AA$3:$BV$3, CB$3)</f>
        <v>0</v>
      </c>
      <c r="CC109" s="109"/>
      <c r="CD109" s="109"/>
      <c r="CE109" s="109"/>
      <c r="CF109" s="109"/>
      <c r="CG109" s="109"/>
      <c r="CH109" s="109"/>
      <c r="CI109" s="109"/>
      <c r="CJ109"/>
      <c r="CK109" s="11"/>
      <c r="CL109" s="241">
        <f>IF(MIN($V109:$CI109)&lt;0, 1, 0)</f>
        <v>0</v>
      </c>
      <c r="CM109" s="11"/>
      <c r="CN109"/>
      <c r="CO109"/>
      <c r="CP109"/>
      <c r="CQ109"/>
      <c r="CR109"/>
      <c r="CS109"/>
      <c r="CT109"/>
      <c r="CU109"/>
      <c r="CV109"/>
      <c r="CW109"/>
      <c r="CX109"/>
      <c r="CY109" s="7" cm="1">
        <f t="array" ref="CY109">SUMPRODUCT(--NOT(ISNUMBER(V109:CI109)),--NOT(ISBLANK(V109:CI109)))</f>
        <v>0</v>
      </c>
      <c r="CZ109" s="7">
        <f>IF(ROUND(W109-SUMIFS($AA109:$BV109, $AA$3:$BV$3, W$3), rounding)=0, 0, 1)</f>
        <v>0</v>
      </c>
      <c r="DA109" s="7">
        <f>IF(ROUND(X109-SUMIFS($AA109:$BV109, $AA$3:$BV$3, X$3), rounding)=0, 0, 1)</f>
        <v>0</v>
      </c>
      <c r="DB109" s="7">
        <f>IF(ROUND(Y109-SUMIFS($AA109:$BV109, $AA$3:$BV$3, Y$3), rounding)=0, 0, 1)</f>
        <v>0</v>
      </c>
      <c r="DC109" s="7">
        <f>IF(ROUND(CB109-SUMIFS($AA109:$BV109, $AA$3:$BV$3, CB$3), rounding)=0, 0, 1)</f>
        <v>0</v>
      </c>
      <c r="DD109" s="7">
        <f>IF(ROUND(V109-BX109, rounding)=0, 0, 1)*'BS Forecasts'!$V$10</f>
        <v>0</v>
      </c>
      <c r="DE109"/>
      <c r="DF109" s="11"/>
      <c r="DG109">
        <f t="shared" si="16"/>
        <v>0</v>
      </c>
      <c r="DH109">
        <v>1</v>
      </c>
      <c r="DI109">
        <v>1</v>
      </c>
      <c r="EY109" s="12" t="str">
        <f>IF(C109="", "", CONCATENATE(D94, " ",D109))</f>
        <v>Loan 3 Early Repayment Fee</v>
      </c>
    </row>
    <row r="110" spans="1:155" ht="6.75" customHeight="1" x14ac:dyDescent="0.35">
      <c r="C110" s="211"/>
      <c r="D110" s="1"/>
      <c r="E110"/>
      <c r="F110"/>
      <c r="BY110" s="6"/>
      <c r="CK110" s="35"/>
      <c r="CM110" s="35"/>
      <c r="DF110" s="35"/>
      <c r="DG110">
        <f t="shared" si="16"/>
        <v>0</v>
      </c>
      <c r="DH110">
        <v>0</v>
      </c>
      <c r="DI110">
        <v>0</v>
      </c>
      <c r="EY110" s="12" t="str">
        <f>IF(C110="", "", CONCATENATE(D94, " ",D110))</f>
        <v/>
      </c>
    </row>
    <row r="111" spans="1:155" x14ac:dyDescent="0.35">
      <c r="A111" s="220" cm="1">
        <f t="array" aca="1" ref="A111" ca="1">HYPERLINK(CONCATENATE("#",CELL("address",IF(MAX($CM111:$DF111)=0,A111,INDEX($CM111:$DF111,MATCH(1,$CM111:$DF111,0))))),MAX($CM111:$DF111))</f>
        <v>0</v>
      </c>
      <c r="B111" s="85" t="s">
        <v>122</v>
      </c>
      <c r="D111" t="s">
        <v>1094</v>
      </c>
      <c r="E111" s="140" t="str">
        <f>IF(J$15="", "", J$15)</f>
        <v/>
      </c>
      <c r="F111" s="140"/>
      <c r="G111" s="140" t="str">
        <f>IF(K$15="", "", K$15)</f>
        <v/>
      </c>
      <c r="V111" s="7">
        <f>IF(AND(OR( V$5&gt;$G111, Timeline!V$8&lt;Loans!$E111), Loans!V109&lt;&gt;0), 1, 0)</f>
        <v>0</v>
      </c>
      <c r="W111" s="7">
        <f>IF(AND(OR( W$5&gt;$G111, Timeline!W$8&lt;Loans!$E111), Loans!W109&lt;&gt;0), 1, 0)</f>
        <v>0</v>
      </c>
      <c r="X111" s="7">
        <f>IF(AND(OR( X$5&gt;$G111, Timeline!X$8&lt;Loans!$E111), Loans!X109&lt;&gt;0), 1, 0)</f>
        <v>0</v>
      </c>
      <c r="Y111" s="7">
        <f>IF(AND(OR( Y$5&gt;$G111, Timeline!Y$8&lt;Loans!$E111), Loans!Y109&lt;&gt;0), 1, 0)</f>
        <v>0</v>
      </c>
      <c r="AA111" s="7">
        <f>IF(AND(OR( AA$5&gt;$G111, Timeline!AA$8&lt;Loans!$E111), Loans!AA109&lt;&gt;0), 1, 0)</f>
        <v>0</v>
      </c>
      <c r="AB111" s="7">
        <f>IF(AND(OR( AB$5&gt;$G111, Timeline!AB$8&lt;Loans!$E111), Loans!AB109&lt;&gt;0), 1, 0)</f>
        <v>0</v>
      </c>
      <c r="AC111" s="7">
        <f>IF(AND(OR( AC$5&gt;$G111, Timeline!AC$8&lt;Loans!$E111), Loans!AC109&lt;&gt;0), 1, 0)</f>
        <v>0</v>
      </c>
      <c r="AD111" s="7">
        <f>IF(AND(OR( AD$5&gt;$G111, Timeline!AD$8&lt;Loans!$E111), Loans!AD109&lt;&gt;0), 1, 0)</f>
        <v>0</v>
      </c>
      <c r="AE111" s="7">
        <f>IF(AND(OR( AE$5&gt;$G111, Timeline!AE$8&lt;Loans!$E111), Loans!AE109&lt;&gt;0), 1, 0)</f>
        <v>0</v>
      </c>
      <c r="AF111" s="7">
        <f>IF(AND(OR( AF$5&gt;$G111, Timeline!AF$8&lt;Loans!$E111), Loans!AF109&lt;&gt;0), 1, 0)</f>
        <v>0</v>
      </c>
      <c r="AG111" s="7">
        <f>IF(AND(OR( AG$5&gt;$G111, Timeline!AG$8&lt;Loans!$E111), Loans!AG109&lt;&gt;0), 1, 0)</f>
        <v>0</v>
      </c>
      <c r="AH111" s="7">
        <f>IF(AND(OR( AH$5&gt;$G111, Timeline!AH$8&lt;Loans!$E111), Loans!AH109&lt;&gt;0), 1, 0)</f>
        <v>0</v>
      </c>
      <c r="AI111" s="7">
        <f>IF(AND(OR( AI$5&gt;$G111, Timeline!AI$8&lt;Loans!$E111), Loans!AI109&lt;&gt;0), 1, 0)</f>
        <v>0</v>
      </c>
      <c r="AJ111" s="7">
        <f>IF(AND(OR( AJ$5&gt;$G111, Timeline!AJ$8&lt;Loans!$E111), Loans!AJ109&lt;&gt;0), 1, 0)</f>
        <v>0</v>
      </c>
      <c r="AK111" s="7">
        <f>IF(AND(OR( AK$5&gt;$G111, Timeline!AK$8&lt;Loans!$E111), Loans!AK109&lt;&gt;0), 1, 0)</f>
        <v>0</v>
      </c>
      <c r="AL111" s="7">
        <f>IF(AND(OR( AL$5&gt;$G111, Timeline!AL$8&lt;Loans!$E111), Loans!AL109&lt;&gt;0), 1, 0)</f>
        <v>0</v>
      </c>
      <c r="AM111" s="7">
        <f>IF(AND(OR( AM$5&gt;$G111, Timeline!AM$8&lt;Loans!$E111), Loans!AM109&lt;&gt;0), 1, 0)</f>
        <v>0</v>
      </c>
      <c r="AN111" s="7">
        <f>IF(AND(OR( AN$5&gt;$G111, Timeline!AN$8&lt;Loans!$E111), Loans!AN109&lt;&gt;0), 1, 0)</f>
        <v>0</v>
      </c>
      <c r="AO111" s="7">
        <f>IF(AND(OR( AO$5&gt;$G111, Timeline!AO$8&lt;Loans!$E111), Loans!AO109&lt;&gt;0), 1, 0)</f>
        <v>0</v>
      </c>
      <c r="AP111" s="7">
        <f>IF(AND(OR( AP$5&gt;$G111, Timeline!AP$8&lt;Loans!$E111), Loans!AP109&lt;&gt;0), 1, 0)</f>
        <v>0</v>
      </c>
      <c r="AQ111" s="7">
        <f>IF(AND(OR( AQ$5&gt;$G111, Timeline!AQ$8&lt;Loans!$E111), Loans!AQ109&lt;&gt;0), 1, 0)</f>
        <v>0</v>
      </c>
      <c r="AR111" s="7">
        <f>IF(AND(OR( AR$5&gt;$G111, Timeline!AR$8&lt;Loans!$E111), Loans!AR109&lt;&gt;0), 1, 0)</f>
        <v>0</v>
      </c>
      <c r="AS111" s="7">
        <f>IF(AND(OR( AS$5&gt;$G111, Timeline!AS$8&lt;Loans!$E111), Loans!AS109&lt;&gt;0), 1, 0)</f>
        <v>0</v>
      </c>
      <c r="AT111" s="7">
        <f>IF(AND(OR( AT$5&gt;$G111, Timeline!AT$8&lt;Loans!$E111), Loans!AT109&lt;&gt;0), 1, 0)</f>
        <v>0</v>
      </c>
      <c r="AU111" s="7">
        <f>IF(AND(OR( AU$5&gt;$G111, Timeline!AU$8&lt;Loans!$E111), Loans!AU109&lt;&gt;0), 1, 0)</f>
        <v>0</v>
      </c>
      <c r="AV111" s="7">
        <f>IF(AND(OR( AV$5&gt;$G111, Timeline!AV$8&lt;Loans!$E111), Loans!AV109&lt;&gt;0), 1, 0)</f>
        <v>0</v>
      </c>
      <c r="AW111" s="7">
        <f>IF(AND(OR( AW$5&gt;$G111, Timeline!AW$8&lt;Loans!$E111), Loans!AW109&lt;&gt;0), 1, 0)</f>
        <v>0</v>
      </c>
      <c r="AX111" s="7">
        <f>IF(AND(OR( AX$5&gt;$G111, Timeline!AX$8&lt;Loans!$E111), Loans!AX109&lt;&gt;0), 1, 0)</f>
        <v>0</v>
      </c>
      <c r="AY111" s="7">
        <f>IF(AND(OR( AY$5&gt;$G111, Timeline!AY$8&lt;Loans!$E111), Loans!AY109&lt;&gt;0), 1, 0)</f>
        <v>0</v>
      </c>
      <c r="AZ111" s="7">
        <f>IF(AND(OR( AZ$5&gt;$G111, Timeline!AZ$8&lt;Loans!$E111), Loans!AZ109&lt;&gt;0), 1, 0)</f>
        <v>0</v>
      </c>
      <c r="BA111" s="7">
        <f>IF(AND(OR( BA$5&gt;$G111, Timeline!BA$8&lt;Loans!$E111), Loans!BA109&lt;&gt;0), 1, 0)</f>
        <v>0</v>
      </c>
      <c r="BB111" s="7">
        <f>IF(AND(OR( BB$5&gt;$G111, Timeline!BB$8&lt;Loans!$E111), Loans!BB109&lt;&gt;0), 1, 0)</f>
        <v>0</v>
      </c>
      <c r="BC111" s="7">
        <f>IF(AND(OR( BC$5&gt;$G111, Timeline!BC$8&lt;Loans!$E111), Loans!BC109&lt;&gt;0), 1, 0)</f>
        <v>0</v>
      </c>
      <c r="BD111" s="7">
        <f>IF(AND(OR( BD$5&gt;$G111, Timeline!BD$8&lt;Loans!$E111), Loans!BD109&lt;&gt;0), 1, 0)</f>
        <v>0</v>
      </c>
      <c r="BE111" s="7">
        <f>IF(AND(OR( BE$5&gt;$G111, Timeline!BE$8&lt;Loans!$E111), Loans!BE109&lt;&gt;0), 1, 0)</f>
        <v>0</v>
      </c>
      <c r="BF111" s="7">
        <f>IF(AND(OR( BF$5&gt;$G111, Timeline!BF$8&lt;Loans!$E111), Loans!BF109&lt;&gt;0), 1, 0)</f>
        <v>0</v>
      </c>
      <c r="BG111" s="7">
        <f>IF(AND(OR( BG$5&gt;$G111, Timeline!BG$8&lt;Loans!$E111), Loans!BG109&lt;&gt;0), 1, 0)</f>
        <v>0</v>
      </c>
      <c r="BH111" s="7">
        <f>IF(AND(OR( BH$5&gt;$G111, Timeline!BH$8&lt;Loans!$E111), Loans!BH109&lt;&gt;0), 1, 0)</f>
        <v>0</v>
      </c>
      <c r="BI111" s="7">
        <f>IF(AND(OR( BI$5&gt;$G111, Timeline!BI$8&lt;Loans!$E111), Loans!BI109&lt;&gt;0), 1, 0)</f>
        <v>0</v>
      </c>
      <c r="BJ111" s="7">
        <f>IF(AND(OR( BJ$5&gt;$G111, Timeline!BJ$8&lt;Loans!$E111), Loans!BJ109&lt;&gt;0), 1, 0)</f>
        <v>0</v>
      </c>
      <c r="BK111" s="7">
        <f>IF(AND(OR( BK$5&gt;$G111, Timeline!BK$8&lt;Loans!$E111), Loans!BK109&lt;&gt;0), 1, 0)</f>
        <v>0</v>
      </c>
      <c r="BL111" s="7">
        <f>IF(AND(OR( BL$5&gt;$G111, Timeline!BL$8&lt;Loans!$E111), Loans!BL109&lt;&gt;0), 1, 0)</f>
        <v>0</v>
      </c>
      <c r="BM111" s="7">
        <f>IF(AND(OR( BM$5&gt;$G111, Timeline!BM$8&lt;Loans!$E111), Loans!BM109&lt;&gt;0), 1, 0)</f>
        <v>0</v>
      </c>
      <c r="BN111" s="7">
        <f>IF(AND(OR( BN$5&gt;$G111, Timeline!BN$8&lt;Loans!$E111), Loans!BN109&lt;&gt;0), 1, 0)</f>
        <v>0</v>
      </c>
      <c r="BO111" s="7">
        <f>IF(AND(OR( BO$5&gt;$G111, Timeline!BO$8&lt;Loans!$E111), Loans!BO109&lt;&gt;0), 1, 0)</f>
        <v>0</v>
      </c>
      <c r="BP111" s="7">
        <f>IF(AND(OR( BP$5&gt;$G111, Timeline!BP$8&lt;Loans!$E111), Loans!BP109&lt;&gt;0), 1, 0)</f>
        <v>0</v>
      </c>
      <c r="BQ111" s="7">
        <f>IF(AND(OR( BQ$5&gt;$G111, Timeline!BQ$8&lt;Loans!$E111), Loans!BQ109&lt;&gt;0), 1, 0)</f>
        <v>0</v>
      </c>
      <c r="BR111" s="7">
        <f>IF(AND(OR( BR$5&gt;$G111, Timeline!BR$8&lt;Loans!$E111), Loans!BR109&lt;&gt;0), 1, 0)</f>
        <v>0</v>
      </c>
      <c r="BS111" s="7">
        <f>IF(AND(OR( BS$5&gt;$G111, Timeline!BS$8&lt;Loans!$E111), Loans!BS109&lt;&gt;0), 1, 0)</f>
        <v>0</v>
      </c>
      <c r="BT111" s="7">
        <f>IF(AND(OR( BT$5&gt;$G111, Timeline!BT$8&lt;Loans!$E111), Loans!BT109&lt;&gt;0), 1, 0)</f>
        <v>0</v>
      </c>
      <c r="BU111" s="7">
        <f>IF(AND(OR( BU$5&gt;$G111, Timeline!BU$8&lt;Loans!$E111), Loans!BU109&lt;&gt;0), 1, 0)</f>
        <v>0</v>
      </c>
      <c r="BV111" s="7">
        <f>IF(AND(OR( BV$5&gt;$G111, Timeline!BV$8&lt;Loans!$E111), Loans!BV109&lt;&gt;0), 1, 0)</f>
        <v>0</v>
      </c>
      <c r="BX111" s="7">
        <f>IF(AND(OR( BX$5&gt;$G111, Timeline!BX$8&lt;Loans!$E111), Loans!BX109&lt;&gt;0), 1, 0)</f>
        <v>0</v>
      </c>
      <c r="BY111" s="7">
        <f>IF(AND(OR( BY$5&gt;$G111, Timeline!BY$8&lt;Loans!$E111), Loans!BY109&lt;&gt;0), 1, 0)</f>
        <v>0</v>
      </c>
      <c r="BZ111" s="7">
        <f>IF(AND(OR( BZ$5&gt;$G111, Timeline!BZ$8&lt;Loans!$E111), Loans!BZ109&lt;&gt;0), 1, 0)</f>
        <v>0</v>
      </c>
      <c r="CA111" s="7">
        <f>IF(AND(OR( CA$5&gt;$G111, Timeline!CA$8&lt;Loans!$E111), Loans!CA109&lt;&gt;0), 1, 0)</f>
        <v>0</v>
      </c>
      <c r="CB111" s="7">
        <f>IF(AND(OR( CB$5&gt;$G111, Timeline!CB$8&lt;Loans!$E111), Loans!CB109&lt;&gt;0), 1, 0)</f>
        <v>0</v>
      </c>
      <c r="CC111" s="7">
        <f>IF(AND(OR( CC$5&gt;$G111, Timeline!CC$8&lt;Loans!$E111), Loans!CC109&lt;&gt;0), 1, 0)</f>
        <v>0</v>
      </c>
      <c r="CD111" s="7">
        <f>IF(AND(OR( CD$5&gt;$G111, Timeline!CD$8&lt;Loans!$E111), Loans!CD109&lt;&gt;0), 1, 0)</f>
        <v>0</v>
      </c>
      <c r="CE111" s="7">
        <f>IF(AND(OR( CE$5&gt;$G111, Timeline!CE$8&lt;Loans!$E111), Loans!CE109&lt;&gt;0), 1, 0)</f>
        <v>0</v>
      </c>
      <c r="CF111" s="7">
        <f>IF(AND(OR( CF$5&gt;$G111, Timeline!CF$8&lt;Loans!$E111), Loans!CF109&lt;&gt;0), 1, 0)</f>
        <v>0</v>
      </c>
      <c r="CG111" s="7">
        <f>IF(AND(OR( CG$5&gt;$G111, Timeline!CG$8&lt;Loans!$E111), Loans!CG109&lt;&gt;0), 1, 0)</f>
        <v>0</v>
      </c>
      <c r="CH111" s="7">
        <f>IF(AND(OR( CH$5&gt;$G111, Timeline!CH$8&lt;Loans!$E111), Loans!CH109&lt;&gt;0), 1, 0)</f>
        <v>0</v>
      </c>
      <c r="CI111" s="7">
        <f>IF(AND(OR( CI$5&gt;$G111, Timeline!CI$8&lt;Loans!$E111), Loans!CI109&lt;&gt;0), 1, 0)</f>
        <v>0</v>
      </c>
      <c r="CK111" s="11"/>
      <c r="CM111" s="11"/>
      <c r="CX111" s="7">
        <f>IF(MAX($V111:$CI111)&gt;0, 1, 0)</f>
        <v>0</v>
      </c>
      <c r="DF111" s="11"/>
      <c r="DG111">
        <f t="shared" si="16"/>
        <v>1</v>
      </c>
      <c r="DH111">
        <v>0</v>
      </c>
      <c r="DI111">
        <v>0</v>
      </c>
      <c r="EY111" s="12" t="str">
        <f>IF(C111="", "", CONCATENATE(D94, " ",D111))</f>
        <v/>
      </c>
    </row>
    <row r="112" spans="1:155" ht="6.75" customHeight="1" x14ac:dyDescent="0.35">
      <c r="C112" s="211"/>
      <c r="D112" s="1"/>
      <c r="E112"/>
      <c r="F112"/>
      <c r="BY112" s="6"/>
      <c r="CK112" s="35"/>
      <c r="CM112" s="35"/>
      <c r="DF112" s="35"/>
      <c r="DG112">
        <f t="shared" si="16"/>
        <v>0</v>
      </c>
      <c r="DH112">
        <v>0</v>
      </c>
      <c r="DI112">
        <v>0</v>
      </c>
      <c r="EY112" s="10" t="str">
        <f>IF($C112="","",$D112)</f>
        <v/>
      </c>
    </row>
    <row r="113" spans="1:155" x14ac:dyDescent="0.35">
      <c r="A113" s="53"/>
      <c r="C113" s="211"/>
      <c r="D113" s="53" t="s">
        <v>1109</v>
      </c>
      <c r="E113" s="53"/>
      <c r="F113" s="53"/>
      <c r="G113" s="53"/>
      <c r="H113" s="53"/>
      <c r="I113" s="53"/>
      <c r="J113" s="53"/>
      <c r="M113" s="53"/>
      <c r="N113" s="53"/>
      <c r="O113" s="53"/>
      <c r="P113" s="53"/>
      <c r="Q113" s="53"/>
      <c r="R113" s="53"/>
      <c r="CK113" s="11"/>
      <c r="CM113" s="11"/>
      <c r="DF113" s="11"/>
      <c r="DG113">
        <f t="shared" si="16"/>
        <v>0</v>
      </c>
      <c r="DH113">
        <v>0</v>
      </c>
      <c r="DI113">
        <v>0</v>
      </c>
      <c r="EY113" s="10" t="str">
        <f>IF($C113="","",$D113)</f>
        <v/>
      </c>
    </row>
    <row r="114" spans="1:155" x14ac:dyDescent="0.35">
      <c r="C114" s="211" t="s">
        <v>1110</v>
      </c>
      <c r="D114" t="s">
        <v>1073</v>
      </c>
      <c r="H114" s="9" t="s">
        <v>1074</v>
      </c>
      <c r="I114" s="40" t="s">
        <v>317</v>
      </c>
      <c r="V114" s="109"/>
      <c r="W114" s="133">
        <f>V118</f>
        <v>0</v>
      </c>
      <c r="X114" s="133">
        <f>W118</f>
        <v>0</v>
      </c>
      <c r="Y114" s="10">
        <f>X118</f>
        <v>0</v>
      </c>
      <c r="AA114" s="12">
        <f>W114</f>
        <v>0</v>
      </c>
      <c r="AB114" s="10">
        <f t="shared" ref="AB114:BV114" si="62">AA118</f>
        <v>0</v>
      </c>
      <c r="AC114" s="10">
        <f t="shared" si="62"/>
        <v>0</v>
      </c>
      <c r="AD114" s="10">
        <f t="shared" si="62"/>
        <v>0</v>
      </c>
      <c r="AE114" s="10">
        <f t="shared" si="62"/>
        <v>0</v>
      </c>
      <c r="AF114" s="10">
        <f t="shared" si="62"/>
        <v>0</v>
      </c>
      <c r="AG114" s="10">
        <f t="shared" si="62"/>
        <v>0</v>
      </c>
      <c r="AH114" s="10">
        <f t="shared" si="62"/>
        <v>0</v>
      </c>
      <c r="AI114" s="10">
        <f t="shared" si="62"/>
        <v>0</v>
      </c>
      <c r="AJ114" s="10">
        <f t="shared" si="62"/>
        <v>0</v>
      </c>
      <c r="AK114" s="10">
        <f t="shared" si="62"/>
        <v>0</v>
      </c>
      <c r="AL114" s="10">
        <f t="shared" si="62"/>
        <v>0</v>
      </c>
      <c r="AM114" s="10">
        <f t="shared" si="62"/>
        <v>0</v>
      </c>
      <c r="AN114" s="10">
        <f t="shared" si="62"/>
        <v>0</v>
      </c>
      <c r="AO114" s="10">
        <f t="shared" si="62"/>
        <v>0</v>
      </c>
      <c r="AP114" s="10">
        <f t="shared" si="62"/>
        <v>0</v>
      </c>
      <c r="AQ114" s="10">
        <f t="shared" si="62"/>
        <v>0</v>
      </c>
      <c r="AR114" s="10">
        <f t="shared" si="62"/>
        <v>0</v>
      </c>
      <c r="AS114" s="10">
        <f t="shared" si="62"/>
        <v>0</v>
      </c>
      <c r="AT114" s="10">
        <f t="shared" si="62"/>
        <v>0</v>
      </c>
      <c r="AU114" s="10">
        <f t="shared" si="62"/>
        <v>0</v>
      </c>
      <c r="AV114" s="10">
        <f t="shared" si="62"/>
        <v>0</v>
      </c>
      <c r="AW114" s="10">
        <f t="shared" si="62"/>
        <v>0</v>
      </c>
      <c r="AX114" s="10">
        <f t="shared" si="62"/>
        <v>0</v>
      </c>
      <c r="AY114" s="10">
        <f t="shared" si="62"/>
        <v>0</v>
      </c>
      <c r="AZ114" s="10">
        <f t="shared" si="62"/>
        <v>0</v>
      </c>
      <c r="BA114" s="10">
        <f t="shared" si="62"/>
        <v>0</v>
      </c>
      <c r="BB114" s="10">
        <f t="shared" si="62"/>
        <v>0</v>
      </c>
      <c r="BC114" s="10">
        <f t="shared" si="62"/>
        <v>0</v>
      </c>
      <c r="BD114" s="10">
        <f t="shared" si="62"/>
        <v>0</v>
      </c>
      <c r="BE114" s="10">
        <f t="shared" si="62"/>
        <v>0</v>
      </c>
      <c r="BF114" s="10">
        <f t="shared" si="62"/>
        <v>0</v>
      </c>
      <c r="BG114" s="10">
        <f t="shared" si="62"/>
        <v>0</v>
      </c>
      <c r="BH114" s="10">
        <f t="shared" si="62"/>
        <v>0</v>
      </c>
      <c r="BI114" s="10">
        <f t="shared" si="62"/>
        <v>0</v>
      </c>
      <c r="BJ114" s="10">
        <f t="shared" si="62"/>
        <v>0</v>
      </c>
      <c r="BK114" s="10">
        <f t="shared" si="62"/>
        <v>0</v>
      </c>
      <c r="BL114" s="10">
        <f t="shared" si="62"/>
        <v>0</v>
      </c>
      <c r="BM114" s="10">
        <f t="shared" si="62"/>
        <v>0</v>
      </c>
      <c r="BN114" s="10">
        <f t="shared" si="62"/>
        <v>0</v>
      </c>
      <c r="BO114" s="10">
        <f t="shared" si="62"/>
        <v>0</v>
      </c>
      <c r="BP114" s="10">
        <f t="shared" si="62"/>
        <v>0</v>
      </c>
      <c r="BQ114" s="10">
        <f t="shared" si="62"/>
        <v>0</v>
      </c>
      <c r="BR114" s="10">
        <f t="shared" si="62"/>
        <v>0</v>
      </c>
      <c r="BS114" s="10">
        <f t="shared" si="62"/>
        <v>0</v>
      </c>
      <c r="BT114" s="10">
        <f t="shared" si="62"/>
        <v>0</v>
      </c>
      <c r="BU114" s="10">
        <f t="shared" si="62"/>
        <v>0</v>
      </c>
      <c r="BV114" s="10">
        <f t="shared" si="62"/>
        <v>0</v>
      </c>
      <c r="BX114" s="12">
        <f t="shared" ref="BX114:CA118" si="63">V114</f>
        <v>0</v>
      </c>
      <c r="BY114" s="12">
        <f t="shared" si="63"/>
        <v>0</v>
      </c>
      <c r="BZ114" s="12">
        <f t="shared" si="63"/>
        <v>0</v>
      </c>
      <c r="CA114" s="12">
        <f t="shared" si="63"/>
        <v>0</v>
      </c>
      <c r="CB114" s="10">
        <f t="shared" ref="CB114:CI114" si="64">CA118</f>
        <v>0</v>
      </c>
      <c r="CC114" s="10">
        <f t="shared" si="64"/>
        <v>0</v>
      </c>
      <c r="CD114" s="10">
        <f t="shared" si="64"/>
        <v>0</v>
      </c>
      <c r="CE114" s="10">
        <f t="shared" si="64"/>
        <v>0</v>
      </c>
      <c r="CF114" s="10">
        <f t="shared" si="64"/>
        <v>0</v>
      </c>
      <c r="CG114" s="10">
        <f t="shared" si="64"/>
        <v>0</v>
      </c>
      <c r="CH114" s="10">
        <f t="shared" si="64"/>
        <v>0</v>
      </c>
      <c r="CI114" s="10">
        <f t="shared" si="64"/>
        <v>0</v>
      </c>
      <c r="CK114" s="11"/>
      <c r="CM114" s="11"/>
      <c r="CY114" s="7" cm="1">
        <f t="array" ref="CY114">SUMPRODUCT(--NOT(ISNUMBER(V114:CI114)),--NOT(ISBLANK(V114:CI114)))</f>
        <v>0</v>
      </c>
      <c r="DF114" s="11"/>
      <c r="DG114">
        <f t="shared" si="16"/>
        <v>0</v>
      </c>
      <c r="DH114">
        <v>1</v>
      </c>
      <c r="DI114">
        <v>0</v>
      </c>
      <c r="EY114" s="12" t="str">
        <f>IF(C114="", "", CONCATENATE(D113, " ",D114))</f>
        <v>Loan 4 Opening Loan Balance</v>
      </c>
    </row>
    <row r="115" spans="1:155" s="5" customFormat="1" x14ac:dyDescent="0.35">
      <c r="A115" s="220" cm="1">
        <f t="array" aca="1" ref="A115" ca="1">HYPERLINK(CONCATENATE("#",CELL("address",IF(MAX($CM115:$DF115)=0,A115,INDEX($CM115:$DF115,MATCH(1,$CM115:$DF115,0))))),MAX($CM115:$DF115))</f>
        <v>0</v>
      </c>
      <c r="B115"/>
      <c r="C115" s="211" t="s">
        <v>1111</v>
      </c>
      <c r="D115" t="s">
        <v>1076</v>
      </c>
      <c r="E115" s="1"/>
      <c r="F115" s="1"/>
      <c r="G115"/>
      <c r="H115" s="9" t="s">
        <v>1074</v>
      </c>
      <c r="I115" s="40" t="s">
        <v>665</v>
      </c>
      <c r="J115"/>
      <c r="K115"/>
      <c r="L115"/>
      <c r="M115"/>
      <c r="N115"/>
      <c r="O115"/>
      <c r="P115"/>
      <c r="Q115"/>
      <c r="R115"/>
      <c r="S115"/>
      <c r="T115"/>
      <c r="U115"/>
      <c r="V115" s="109"/>
      <c r="W115" s="133">
        <f t="shared" ref="W115:Y117" si="65" xml:space="preserve"> SUMIFS($AA115:$BV115, $AA$3:$BV$3, W$3)</f>
        <v>0</v>
      </c>
      <c r="X115" s="133">
        <f t="shared" si="65"/>
        <v>0</v>
      </c>
      <c r="Y115" s="133">
        <f t="shared" si="65"/>
        <v>0</v>
      </c>
      <c r="Z115"/>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c r="BX115" s="12">
        <f t="shared" si="63"/>
        <v>0</v>
      </c>
      <c r="BY115" s="12">
        <f t="shared" si="63"/>
        <v>0</v>
      </c>
      <c r="BZ115" s="12">
        <f t="shared" si="63"/>
        <v>0</v>
      </c>
      <c r="CA115" s="12">
        <f t="shared" si="63"/>
        <v>0</v>
      </c>
      <c r="CB115" s="133">
        <f xml:space="preserve"> SUMIFS($AA115:$BV115, $AA$3:$BV$3, CB$3)</f>
        <v>0</v>
      </c>
      <c r="CC115" s="109"/>
      <c r="CD115" s="109"/>
      <c r="CE115" s="109"/>
      <c r="CF115" s="109"/>
      <c r="CG115" s="109"/>
      <c r="CH115" s="109"/>
      <c r="CI115" s="109"/>
      <c r="CJ115"/>
      <c r="CK115" s="11"/>
      <c r="CL115" s="241">
        <f>IF(MIN($V115:$CI115)&lt;0, 1, 0)</f>
        <v>0</v>
      </c>
      <c r="CM115" s="11"/>
      <c r="CN115"/>
      <c r="CO115"/>
      <c r="CP115"/>
      <c r="CQ115"/>
      <c r="CR115"/>
      <c r="CS115"/>
      <c r="CT115"/>
      <c r="CU115"/>
      <c r="CV115"/>
      <c r="CW115"/>
      <c r="CX115"/>
      <c r="CY115" s="7" cm="1">
        <f t="array" ref="CY115">SUMPRODUCT(--NOT(ISNUMBER(V115:CI115)),--NOT(ISBLANK(V115:CI115)))</f>
        <v>0</v>
      </c>
      <c r="CZ115" s="7">
        <f t="shared" ref="CZ115:DB117" si="66">IF(ROUND(W115-SUMIFS($AA115:$BV115, $AA$3:$BV$3, W$3), rounding)=0, 0, 1)</f>
        <v>0</v>
      </c>
      <c r="DA115" s="7">
        <f t="shared" si="66"/>
        <v>0</v>
      </c>
      <c r="DB115" s="7">
        <f t="shared" si="66"/>
        <v>0</v>
      </c>
      <c r="DC115" s="7">
        <f>IF(ROUND(CB115-SUMIFS($AA115:$BV115, $AA$3:$BV$3, CB$3), rounding)=0, 0, 1)</f>
        <v>0</v>
      </c>
      <c r="DD115" s="7">
        <f>IF(ROUND(V115-BX115, rounding)=0, 0, 1)*'BS Forecasts'!$V$10</f>
        <v>0</v>
      </c>
      <c r="DE115"/>
      <c r="DF115" s="11"/>
      <c r="DG115">
        <f t="shared" si="16"/>
        <v>0</v>
      </c>
      <c r="DH115">
        <v>1</v>
      </c>
      <c r="DI115">
        <v>1</v>
      </c>
      <c r="EY115" s="12" t="str">
        <f>IF(C115="", "", CONCATENATE(D113, " ",D115))</f>
        <v>Loan 4 Drawdowns</v>
      </c>
    </row>
    <row r="116" spans="1:155" x14ac:dyDescent="0.35">
      <c r="A116" s="220" cm="1">
        <f t="array" aca="1" ref="A116" ca="1">HYPERLINK(CONCATENATE("#",CELL("address",IF(MAX($CM116:$DF116)=0,A116,INDEX($CM116:$DF116,MATCH(1,$CM116:$DF116,0))))),MAX($CM116:$DF116))</f>
        <v>0</v>
      </c>
      <c r="C116" s="211" t="s">
        <v>1112</v>
      </c>
      <c r="D116" t="s">
        <v>1078</v>
      </c>
      <c r="H116" s="9" t="s">
        <v>1074</v>
      </c>
      <c r="I116" s="40" t="s">
        <v>1079</v>
      </c>
      <c r="V116" s="109"/>
      <c r="W116" s="133">
        <f t="shared" si="65"/>
        <v>0</v>
      </c>
      <c r="X116" s="133">
        <f t="shared" si="65"/>
        <v>0</v>
      </c>
      <c r="Y116" s="133">
        <f t="shared" si="65"/>
        <v>0</v>
      </c>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X116" s="12">
        <f t="shared" si="63"/>
        <v>0</v>
      </c>
      <c r="BY116" s="12">
        <f t="shared" si="63"/>
        <v>0</v>
      </c>
      <c r="BZ116" s="12">
        <f t="shared" si="63"/>
        <v>0</v>
      </c>
      <c r="CA116" s="12">
        <f t="shared" si="63"/>
        <v>0</v>
      </c>
      <c r="CB116" s="133">
        <f xml:space="preserve"> SUMIFS($AA116:$BV116, $AA$3:$BV$3, CB$3)</f>
        <v>0</v>
      </c>
      <c r="CC116" s="109"/>
      <c r="CD116" s="109"/>
      <c r="CE116" s="109"/>
      <c r="CF116" s="109"/>
      <c r="CG116" s="109"/>
      <c r="CH116" s="109"/>
      <c r="CI116" s="109"/>
      <c r="CK116" s="11"/>
      <c r="CL116" s="241">
        <f>IF(MAX($V116:$CI116)&gt;0, 1, 0)</f>
        <v>0</v>
      </c>
      <c r="CM116" s="11"/>
      <c r="CY116" s="7" cm="1">
        <f t="array" ref="CY116">SUMPRODUCT(--NOT(ISNUMBER(V116:CI116)),--NOT(ISBLANK(V116:CI116)))</f>
        <v>0</v>
      </c>
      <c r="CZ116" s="7">
        <f t="shared" si="66"/>
        <v>0</v>
      </c>
      <c r="DA116" s="7">
        <f t="shared" si="66"/>
        <v>0</v>
      </c>
      <c r="DB116" s="7">
        <f t="shared" si="66"/>
        <v>0</v>
      </c>
      <c r="DC116" s="7">
        <f>IF(ROUND(CB116-SUMIFS($AA116:$BV116, $AA$3:$BV$3, CB$3), rounding)=0, 0, 1)</f>
        <v>0</v>
      </c>
      <c r="DD116" s="7">
        <f>IF(ROUND(V116-BX116, rounding)=0, 0, 1)*'BS Forecasts'!$V$10</f>
        <v>0</v>
      </c>
      <c r="DF116" s="11"/>
      <c r="DG116">
        <f t="shared" si="16"/>
        <v>0</v>
      </c>
      <c r="DH116">
        <v>1</v>
      </c>
      <c r="DI116">
        <v>1</v>
      </c>
      <c r="EY116" s="12" t="str">
        <f>IF(C116="", "", CONCATENATE(D113, " ",D116))</f>
        <v>Loan 4 Loan Capital Repayment (as per loan agreement)</v>
      </c>
    </row>
    <row r="117" spans="1:155" x14ac:dyDescent="0.35">
      <c r="A117" s="220" cm="1">
        <f t="array" aca="1" ref="A117" ca="1">HYPERLINK(CONCATENATE("#",CELL("address",IF(MAX($CM117:$DF117)=0,A117,INDEX($CM117:$DF117,MATCH(1,$CM117:$DF117,0))))),MAX($CM117:$DF117))</f>
        <v>0</v>
      </c>
      <c r="C117" s="211" t="s">
        <v>1113</v>
      </c>
      <c r="D117" t="s">
        <v>1081</v>
      </c>
      <c r="H117" s="9" t="s">
        <v>1074</v>
      </c>
      <c r="I117" s="40" t="s">
        <v>1079</v>
      </c>
      <c r="V117" s="109"/>
      <c r="W117" s="133">
        <f t="shared" si="65"/>
        <v>0</v>
      </c>
      <c r="X117" s="133">
        <f t="shared" si="65"/>
        <v>0</v>
      </c>
      <c r="Y117" s="133">
        <f t="shared" si="65"/>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X117" s="12">
        <f t="shared" si="63"/>
        <v>0</v>
      </c>
      <c r="BY117" s="12">
        <f t="shared" si="63"/>
        <v>0</v>
      </c>
      <c r="BZ117" s="12">
        <f t="shared" si="63"/>
        <v>0</v>
      </c>
      <c r="CA117" s="12">
        <f t="shared" si="63"/>
        <v>0</v>
      </c>
      <c r="CB117" s="133">
        <f xml:space="preserve"> SUMIFS($AA117:$BV117, $AA$3:$BV$3, CB$3)</f>
        <v>0</v>
      </c>
      <c r="CC117" s="109"/>
      <c r="CD117" s="109"/>
      <c r="CE117" s="109"/>
      <c r="CF117" s="109"/>
      <c r="CG117" s="109"/>
      <c r="CH117" s="109"/>
      <c r="CI117" s="109"/>
      <c r="CK117" s="11"/>
      <c r="CL117" s="241">
        <f>IF(MAX($V117:$CI117)&gt;0, 1, 0)</f>
        <v>0</v>
      </c>
      <c r="CM117" s="11"/>
      <c r="CY117" s="7" cm="1">
        <f t="array" ref="CY117">SUMPRODUCT(--NOT(ISNUMBER(V117:CI117)),--NOT(ISBLANK(V117:CI117)))</f>
        <v>0</v>
      </c>
      <c r="CZ117" s="7">
        <f t="shared" si="66"/>
        <v>0</v>
      </c>
      <c r="DA117" s="7">
        <f t="shared" si="66"/>
        <v>0</v>
      </c>
      <c r="DB117" s="7">
        <f t="shared" si="66"/>
        <v>0</v>
      </c>
      <c r="DC117" s="7">
        <f>IF(ROUND(CB117-SUMIFS($AA117:$BV117, $AA$3:$BV$3, CB$3), rounding)=0, 0, 1)</f>
        <v>0</v>
      </c>
      <c r="DD117" s="7">
        <f>IF(ROUND(V117-BX117, rounding)=0, 0, 1)*'BS Forecasts'!$V$10</f>
        <v>0</v>
      </c>
      <c r="DF117" s="11"/>
      <c r="DG117">
        <f t="shared" si="16"/>
        <v>0</v>
      </c>
      <c r="DH117">
        <v>1</v>
      </c>
      <c r="DI117">
        <v>1</v>
      </c>
      <c r="EY117" s="12" t="str">
        <f>IF(C117="", "", CONCATENATE(D113, " ",D117))</f>
        <v xml:space="preserve">Loan 4 Early Repayment </v>
      </c>
    </row>
    <row r="118" spans="1:155" x14ac:dyDescent="0.35">
      <c r="C118" s="211" t="s">
        <v>1114</v>
      </c>
      <c r="D118" t="s">
        <v>1083</v>
      </c>
      <c r="H118" s="9" t="s">
        <v>1074</v>
      </c>
      <c r="I118" s="40" t="s">
        <v>317</v>
      </c>
      <c r="V118" s="12">
        <f>$H$16</f>
        <v>0</v>
      </c>
      <c r="W118" s="10">
        <f>SUM(W114:W117)</f>
        <v>0</v>
      </c>
      <c r="X118" s="10">
        <f>SUM(X114:X117)</f>
        <v>0</v>
      </c>
      <c r="Y118" s="10">
        <f>SUM(Y114:Y117)</f>
        <v>0</v>
      </c>
      <c r="AA118" s="10">
        <f t="shared" ref="AA118:BV118" si="67">SUM(AA114:AA117)</f>
        <v>0</v>
      </c>
      <c r="AB118" s="10">
        <f t="shared" si="67"/>
        <v>0</v>
      </c>
      <c r="AC118" s="10">
        <f t="shared" si="67"/>
        <v>0</v>
      </c>
      <c r="AD118" s="10">
        <f t="shared" si="67"/>
        <v>0</v>
      </c>
      <c r="AE118" s="10">
        <f t="shared" si="67"/>
        <v>0</v>
      </c>
      <c r="AF118" s="10">
        <f t="shared" si="67"/>
        <v>0</v>
      </c>
      <c r="AG118" s="10">
        <f t="shared" si="67"/>
        <v>0</v>
      </c>
      <c r="AH118" s="10">
        <f t="shared" si="67"/>
        <v>0</v>
      </c>
      <c r="AI118" s="10">
        <f t="shared" si="67"/>
        <v>0</v>
      </c>
      <c r="AJ118" s="10">
        <f t="shared" si="67"/>
        <v>0</v>
      </c>
      <c r="AK118" s="10">
        <f t="shared" si="67"/>
        <v>0</v>
      </c>
      <c r="AL118" s="10">
        <f t="shared" si="67"/>
        <v>0</v>
      </c>
      <c r="AM118" s="10">
        <f t="shared" si="67"/>
        <v>0</v>
      </c>
      <c r="AN118" s="10">
        <f t="shared" si="67"/>
        <v>0</v>
      </c>
      <c r="AO118" s="10">
        <f t="shared" si="67"/>
        <v>0</v>
      </c>
      <c r="AP118" s="10">
        <f t="shared" si="67"/>
        <v>0</v>
      </c>
      <c r="AQ118" s="10">
        <f t="shared" si="67"/>
        <v>0</v>
      </c>
      <c r="AR118" s="10">
        <f t="shared" si="67"/>
        <v>0</v>
      </c>
      <c r="AS118" s="10">
        <f t="shared" si="67"/>
        <v>0</v>
      </c>
      <c r="AT118" s="10">
        <f t="shared" si="67"/>
        <v>0</v>
      </c>
      <c r="AU118" s="10">
        <f t="shared" si="67"/>
        <v>0</v>
      </c>
      <c r="AV118" s="10">
        <f t="shared" si="67"/>
        <v>0</v>
      </c>
      <c r="AW118" s="10">
        <f t="shared" si="67"/>
        <v>0</v>
      </c>
      <c r="AX118" s="10">
        <f t="shared" si="67"/>
        <v>0</v>
      </c>
      <c r="AY118" s="10">
        <f t="shared" si="67"/>
        <v>0</v>
      </c>
      <c r="AZ118" s="10">
        <f t="shared" si="67"/>
        <v>0</v>
      </c>
      <c r="BA118" s="10">
        <f t="shared" si="67"/>
        <v>0</v>
      </c>
      <c r="BB118" s="10">
        <f t="shared" si="67"/>
        <v>0</v>
      </c>
      <c r="BC118" s="10">
        <f t="shared" si="67"/>
        <v>0</v>
      </c>
      <c r="BD118" s="10">
        <f t="shared" si="67"/>
        <v>0</v>
      </c>
      <c r="BE118" s="10">
        <f t="shared" si="67"/>
        <v>0</v>
      </c>
      <c r="BF118" s="10">
        <f t="shared" si="67"/>
        <v>0</v>
      </c>
      <c r="BG118" s="10">
        <f t="shared" si="67"/>
        <v>0</v>
      </c>
      <c r="BH118" s="10">
        <f t="shared" si="67"/>
        <v>0</v>
      </c>
      <c r="BI118" s="10">
        <f t="shared" si="67"/>
        <v>0</v>
      </c>
      <c r="BJ118" s="10">
        <f t="shared" si="67"/>
        <v>0</v>
      </c>
      <c r="BK118" s="10">
        <f t="shared" si="67"/>
        <v>0</v>
      </c>
      <c r="BL118" s="10">
        <f t="shared" si="67"/>
        <v>0</v>
      </c>
      <c r="BM118" s="10">
        <f t="shared" si="67"/>
        <v>0</v>
      </c>
      <c r="BN118" s="10">
        <f t="shared" si="67"/>
        <v>0</v>
      </c>
      <c r="BO118" s="10">
        <f t="shared" si="67"/>
        <v>0</v>
      </c>
      <c r="BP118" s="10">
        <f t="shared" si="67"/>
        <v>0</v>
      </c>
      <c r="BQ118" s="10">
        <f t="shared" si="67"/>
        <v>0</v>
      </c>
      <c r="BR118" s="10">
        <f t="shared" si="67"/>
        <v>0</v>
      </c>
      <c r="BS118" s="10">
        <f t="shared" si="67"/>
        <v>0</v>
      </c>
      <c r="BT118" s="10">
        <f t="shared" si="67"/>
        <v>0</v>
      </c>
      <c r="BU118" s="10">
        <f t="shared" si="67"/>
        <v>0</v>
      </c>
      <c r="BV118" s="10">
        <f t="shared" si="67"/>
        <v>0</v>
      </c>
      <c r="BX118" s="12">
        <f t="shared" si="63"/>
        <v>0</v>
      </c>
      <c r="BY118" s="12">
        <f t="shared" si="63"/>
        <v>0</v>
      </c>
      <c r="BZ118" s="12">
        <f t="shared" si="63"/>
        <v>0</v>
      </c>
      <c r="CA118" s="12">
        <f t="shared" si="63"/>
        <v>0</v>
      </c>
      <c r="CB118" s="10">
        <f t="shared" ref="CB118:CI118" si="68">SUM(CB114:CB117)</f>
        <v>0</v>
      </c>
      <c r="CC118" s="10">
        <f t="shared" si="68"/>
        <v>0</v>
      </c>
      <c r="CD118" s="10">
        <f t="shared" si="68"/>
        <v>0</v>
      </c>
      <c r="CE118" s="10">
        <f t="shared" si="68"/>
        <v>0</v>
      </c>
      <c r="CF118" s="10">
        <f t="shared" si="68"/>
        <v>0</v>
      </c>
      <c r="CG118" s="10">
        <f t="shared" si="68"/>
        <v>0</v>
      </c>
      <c r="CH118" s="10">
        <f t="shared" si="68"/>
        <v>0</v>
      </c>
      <c r="CI118" s="10">
        <f t="shared" si="68"/>
        <v>0</v>
      </c>
      <c r="CK118" s="11"/>
      <c r="CM118" s="11"/>
      <c r="DF118" s="11"/>
      <c r="DG118">
        <f t="shared" si="16"/>
        <v>0</v>
      </c>
      <c r="DH118">
        <v>0</v>
      </c>
      <c r="DI118">
        <v>0</v>
      </c>
      <c r="EY118" s="12" t="str">
        <f>IF(C118="", "", CONCATENATE(D113, " ",D118))</f>
        <v>Loan 4 Closing Loan Balance</v>
      </c>
    </row>
    <row r="119" spans="1:155" ht="6.75" customHeight="1" x14ac:dyDescent="0.35">
      <c r="C119" s="211"/>
      <c r="D119" s="1"/>
      <c r="E119"/>
      <c r="F119"/>
      <c r="BY119" s="6"/>
      <c r="CK119" s="35"/>
      <c r="CM119" s="35"/>
      <c r="DF119" s="35"/>
      <c r="DG119">
        <f t="shared" si="16"/>
        <v>0</v>
      </c>
      <c r="DH119">
        <v>0</v>
      </c>
      <c r="DI119">
        <v>0</v>
      </c>
      <c r="EY119" s="12" t="str">
        <f>IF(C119="", "", CONCATENATE(D113, " ",D119))</f>
        <v/>
      </c>
    </row>
    <row r="120" spans="1:155" x14ac:dyDescent="0.35">
      <c r="A120" s="220" cm="1">
        <f t="array" aca="1" ref="A120" ca="1">HYPERLINK(CONCATENATE("#",CELL("address",IF(MAX($CM120:$DF120)=0,A120,INDEX($CM120:$DF120,MATCH(1,$CM120:$DF120,0))))),MAX($CM120:$DF120))</f>
        <v>0</v>
      </c>
      <c r="C120" s="211"/>
      <c r="D120" t="s">
        <v>1084</v>
      </c>
      <c r="E120" s="118" t="s">
        <v>1085</v>
      </c>
      <c r="F120" s="118"/>
      <c r="G120" s="10">
        <f>$G$16</f>
        <v>0</v>
      </c>
      <c r="V120" s="7">
        <f>IF(OR(V118&gt;$G120, V118&lt;0), 1, 0)</f>
        <v>0</v>
      </c>
      <c r="W120" s="7">
        <f>IF(OR(W118&gt;$G120, W118&lt;0), 1, 0)</f>
        <v>0</v>
      </c>
      <c r="X120" s="7">
        <f>IF(OR(X118&gt;$G120, X118&lt;0), 1, 0)</f>
        <v>0</v>
      </c>
      <c r="Y120" s="7">
        <f>IF(OR(Y118&gt;$G120, Y118&lt;0), 1, 0)</f>
        <v>0</v>
      </c>
      <c r="AA120" s="7">
        <f t="shared" ref="AA120:BV120" si="69">IF(OR(AA118&gt;$G120, AA118&lt;0), 1, 0)</f>
        <v>0</v>
      </c>
      <c r="AB120" s="7">
        <f t="shared" si="69"/>
        <v>0</v>
      </c>
      <c r="AC120" s="7">
        <f t="shared" si="69"/>
        <v>0</v>
      </c>
      <c r="AD120" s="7">
        <f t="shared" si="69"/>
        <v>0</v>
      </c>
      <c r="AE120" s="7">
        <f t="shared" si="69"/>
        <v>0</v>
      </c>
      <c r="AF120" s="7">
        <f t="shared" si="69"/>
        <v>0</v>
      </c>
      <c r="AG120" s="7">
        <f t="shared" si="69"/>
        <v>0</v>
      </c>
      <c r="AH120" s="7">
        <f t="shared" si="69"/>
        <v>0</v>
      </c>
      <c r="AI120" s="7">
        <f t="shared" si="69"/>
        <v>0</v>
      </c>
      <c r="AJ120" s="7">
        <f t="shared" si="69"/>
        <v>0</v>
      </c>
      <c r="AK120" s="7">
        <f t="shared" si="69"/>
        <v>0</v>
      </c>
      <c r="AL120" s="7">
        <f t="shared" si="69"/>
        <v>0</v>
      </c>
      <c r="AM120" s="7">
        <f t="shared" si="69"/>
        <v>0</v>
      </c>
      <c r="AN120" s="7">
        <f t="shared" si="69"/>
        <v>0</v>
      </c>
      <c r="AO120" s="7">
        <f t="shared" si="69"/>
        <v>0</v>
      </c>
      <c r="AP120" s="7">
        <f t="shared" si="69"/>
        <v>0</v>
      </c>
      <c r="AQ120" s="7">
        <f t="shared" si="69"/>
        <v>0</v>
      </c>
      <c r="AR120" s="7">
        <f t="shared" si="69"/>
        <v>0</v>
      </c>
      <c r="AS120" s="7">
        <f t="shared" si="69"/>
        <v>0</v>
      </c>
      <c r="AT120" s="7">
        <f t="shared" si="69"/>
        <v>0</v>
      </c>
      <c r="AU120" s="7">
        <f t="shared" si="69"/>
        <v>0</v>
      </c>
      <c r="AV120" s="7">
        <f t="shared" si="69"/>
        <v>0</v>
      </c>
      <c r="AW120" s="7">
        <f t="shared" si="69"/>
        <v>0</v>
      </c>
      <c r="AX120" s="7">
        <f t="shared" si="69"/>
        <v>0</v>
      </c>
      <c r="AY120" s="7">
        <f t="shared" si="69"/>
        <v>0</v>
      </c>
      <c r="AZ120" s="7">
        <f t="shared" si="69"/>
        <v>0</v>
      </c>
      <c r="BA120" s="7">
        <f t="shared" si="69"/>
        <v>0</v>
      </c>
      <c r="BB120" s="7">
        <f t="shared" si="69"/>
        <v>0</v>
      </c>
      <c r="BC120" s="7">
        <f t="shared" si="69"/>
        <v>0</v>
      </c>
      <c r="BD120" s="7">
        <f t="shared" si="69"/>
        <v>0</v>
      </c>
      <c r="BE120" s="7">
        <f t="shared" si="69"/>
        <v>0</v>
      </c>
      <c r="BF120" s="7">
        <f t="shared" si="69"/>
        <v>0</v>
      </c>
      <c r="BG120" s="7">
        <f t="shared" si="69"/>
        <v>0</v>
      </c>
      <c r="BH120" s="7">
        <f t="shared" si="69"/>
        <v>0</v>
      </c>
      <c r="BI120" s="7">
        <f t="shared" si="69"/>
        <v>0</v>
      </c>
      <c r="BJ120" s="7">
        <f t="shared" si="69"/>
        <v>0</v>
      </c>
      <c r="BK120" s="7">
        <f t="shared" si="69"/>
        <v>0</v>
      </c>
      <c r="BL120" s="7">
        <f t="shared" si="69"/>
        <v>0</v>
      </c>
      <c r="BM120" s="7">
        <f t="shared" si="69"/>
        <v>0</v>
      </c>
      <c r="BN120" s="7">
        <f t="shared" si="69"/>
        <v>0</v>
      </c>
      <c r="BO120" s="7">
        <f t="shared" si="69"/>
        <v>0</v>
      </c>
      <c r="BP120" s="7">
        <f t="shared" si="69"/>
        <v>0</v>
      </c>
      <c r="BQ120" s="7">
        <f t="shared" si="69"/>
        <v>0</v>
      </c>
      <c r="BR120" s="7">
        <f t="shared" si="69"/>
        <v>0</v>
      </c>
      <c r="BS120" s="7">
        <f t="shared" si="69"/>
        <v>0</v>
      </c>
      <c r="BT120" s="7">
        <f t="shared" si="69"/>
        <v>0</v>
      </c>
      <c r="BU120" s="7">
        <f t="shared" si="69"/>
        <v>0</v>
      </c>
      <c r="BV120" s="7">
        <f t="shared" si="69"/>
        <v>0</v>
      </c>
      <c r="BX120" s="7">
        <f t="shared" ref="BX120:CI120" si="70">IF(OR(BX118&gt;$G120, BX118&lt;0), 1, 0)</f>
        <v>0</v>
      </c>
      <c r="BY120" s="7">
        <f t="shared" si="70"/>
        <v>0</v>
      </c>
      <c r="BZ120" s="7">
        <f t="shared" si="70"/>
        <v>0</v>
      </c>
      <c r="CA120" s="7">
        <f t="shared" si="70"/>
        <v>0</v>
      </c>
      <c r="CB120" s="7">
        <f t="shared" si="70"/>
        <v>0</v>
      </c>
      <c r="CC120" s="7">
        <f t="shared" si="70"/>
        <v>0</v>
      </c>
      <c r="CD120" s="7">
        <f t="shared" si="70"/>
        <v>0</v>
      </c>
      <c r="CE120" s="7">
        <f t="shared" si="70"/>
        <v>0</v>
      </c>
      <c r="CF120" s="7">
        <f t="shared" si="70"/>
        <v>0</v>
      </c>
      <c r="CG120" s="7">
        <f t="shared" si="70"/>
        <v>0</v>
      </c>
      <c r="CH120" s="7">
        <f t="shared" si="70"/>
        <v>0</v>
      </c>
      <c r="CI120" s="7">
        <f t="shared" si="70"/>
        <v>0</v>
      </c>
      <c r="CK120" s="11"/>
      <c r="CM120" s="11"/>
      <c r="CX120" s="7">
        <f>IF(MAX(V120:CI120)&gt;0, 1, 0)</f>
        <v>0</v>
      </c>
      <c r="DF120" s="11"/>
      <c r="DG120">
        <f t="shared" si="16"/>
        <v>1</v>
      </c>
      <c r="DH120">
        <v>0</v>
      </c>
      <c r="DI120">
        <v>0</v>
      </c>
      <c r="EY120" s="12" t="str">
        <f>IF(C120="", "", CONCATENATE(D113, " ",D120))</f>
        <v/>
      </c>
    </row>
    <row r="121" spans="1:155" x14ac:dyDescent="0.35">
      <c r="A121" s="220" cm="1">
        <f t="array" aca="1" ref="A121" ca="1">HYPERLINK(CONCATENATE("#",CELL("address",IF(MAX($CM121:$DF121)=0,A121,INDEX($CM121:$DF121,MATCH(1,$CM121:$DF121,0))))),MAX($CM121:$DF121))</f>
        <v>0</v>
      </c>
      <c r="C121" s="211"/>
      <c r="D121" t="s">
        <v>1086</v>
      </c>
      <c r="E121" s="118" t="s">
        <v>1087</v>
      </c>
      <c r="F121" s="118"/>
      <c r="G121" s="117" t="str">
        <f>IF($K$16="", "", $K$16)</f>
        <v/>
      </c>
      <c r="V121" s="7">
        <f>IF(AND(V$5&gt;=$G121,SUM(V118:$Y118)&lt;&gt;0),1,0)</f>
        <v>0</v>
      </c>
      <c r="W121" s="7">
        <f>IF(AND(W$5&gt;=$G121,SUM(W118:$Y118)&lt;&gt;0),1,0)</f>
        <v>0</v>
      </c>
      <c r="X121" s="7">
        <f>IF(AND(X$5&gt;=$G121,SUM(X118:$Y118)&lt;&gt;0),1,0)</f>
        <v>0</v>
      </c>
      <c r="Y121" s="7">
        <f>IF(AND(Y$5&gt;=$G121,SUM(Y118:$Y118)&lt;&gt;0),1,0)</f>
        <v>0</v>
      </c>
      <c r="AA121" s="7">
        <f>IF(AND(AA$5&gt;=$G121,SUM(AA118:$BV118)&lt;&gt;0),1,0)</f>
        <v>0</v>
      </c>
      <c r="AB121" s="7">
        <f>IF(AND(AB$5&gt;=$G121,SUM(AB118:$BV118)&lt;&gt;0),1,0)</f>
        <v>0</v>
      </c>
      <c r="AC121" s="7">
        <f>IF(AND(AC$5&gt;=$G121,SUM(AC118:$BV118)&lt;&gt;0),1,0)</f>
        <v>0</v>
      </c>
      <c r="AD121" s="7">
        <f>IF(AND(AD$5&gt;=$G121,SUM(AD118:$BV118)&lt;&gt;0),1,0)</f>
        <v>0</v>
      </c>
      <c r="AE121" s="7">
        <f>IF(AND(AE$5&gt;=$G121,SUM(AE118:$BV118)&lt;&gt;0),1,0)</f>
        <v>0</v>
      </c>
      <c r="AF121" s="7">
        <f>IF(AND(AF$5&gt;=$G121,SUM(AF118:$BV118)&lt;&gt;0),1,0)</f>
        <v>0</v>
      </c>
      <c r="AG121" s="7">
        <f>IF(AND(AG$5&gt;=$G121,SUM(AG118:$BV118)&lt;&gt;0),1,0)</f>
        <v>0</v>
      </c>
      <c r="AH121" s="7">
        <f>IF(AND(AH$5&gt;=$G121,SUM(AH118:$BV118)&lt;&gt;0),1,0)</f>
        <v>0</v>
      </c>
      <c r="AI121" s="7">
        <f>IF(AND(AI$5&gt;=$G121,SUM(AI118:$BV118)&lt;&gt;0),1,0)</f>
        <v>0</v>
      </c>
      <c r="AJ121" s="7">
        <f>IF(AND(AJ$5&gt;=$G121,SUM(AJ118:$BV118)&lt;&gt;0),1,0)</f>
        <v>0</v>
      </c>
      <c r="AK121" s="7">
        <f>IF(AND(AK$5&gt;=$G121,SUM(AK118:$BV118)&lt;&gt;0),1,0)</f>
        <v>0</v>
      </c>
      <c r="AL121" s="7">
        <f>IF(AND(AL$5&gt;=$G121,SUM(AL118:$BV118)&lt;&gt;0),1,0)</f>
        <v>0</v>
      </c>
      <c r="AM121" s="7">
        <f>IF(AND(AM$5&gt;=$G121,SUM(AM118:$BV118)&lt;&gt;0),1,0)</f>
        <v>0</v>
      </c>
      <c r="AN121" s="7">
        <f>IF(AND(AN$5&gt;=$G121,SUM(AN118:$BV118)&lt;&gt;0),1,0)</f>
        <v>0</v>
      </c>
      <c r="AO121" s="7">
        <f>IF(AND(AO$5&gt;=$G121,SUM(AO118:$BV118)&lt;&gt;0),1,0)</f>
        <v>0</v>
      </c>
      <c r="AP121" s="7">
        <f>IF(AND(AP$5&gt;=$G121,SUM(AP118:$BV118)&lt;&gt;0),1,0)</f>
        <v>0</v>
      </c>
      <c r="AQ121" s="7">
        <f>IF(AND(AQ$5&gt;=$G121,SUM(AQ118:$BV118)&lt;&gt;0),1,0)</f>
        <v>0</v>
      </c>
      <c r="AR121" s="7">
        <f>IF(AND(AR$5&gt;=$G121,SUM(AR118:$BV118)&lt;&gt;0),1,0)</f>
        <v>0</v>
      </c>
      <c r="AS121" s="7">
        <f>IF(AND(AS$5&gt;=$G121,SUM(AS118:$BV118)&lt;&gt;0),1,0)</f>
        <v>0</v>
      </c>
      <c r="AT121" s="7">
        <f>IF(AND(AT$5&gt;=$G121,SUM(AT118:$BV118)&lt;&gt;0),1,0)</f>
        <v>0</v>
      </c>
      <c r="AU121" s="7">
        <f>IF(AND(AU$5&gt;=$G121,SUM(AU118:$BV118)&lt;&gt;0),1,0)</f>
        <v>0</v>
      </c>
      <c r="AV121" s="7">
        <f>IF(AND(AV$5&gt;=$G121,SUM(AV118:$BV118)&lt;&gt;0),1,0)</f>
        <v>0</v>
      </c>
      <c r="AW121" s="7">
        <f>IF(AND(AW$5&gt;=$G121,SUM(AW118:$BV118)&lt;&gt;0),1,0)</f>
        <v>0</v>
      </c>
      <c r="AX121" s="7">
        <f>IF(AND(AX$5&gt;=$G121,SUM(AX118:$BV118)&lt;&gt;0),1,0)</f>
        <v>0</v>
      </c>
      <c r="AY121" s="7">
        <f>IF(AND(AY$5&gt;=$G121,SUM(AY118:$BV118)&lt;&gt;0),1,0)</f>
        <v>0</v>
      </c>
      <c r="AZ121" s="7">
        <f>IF(AND(AZ$5&gt;=$G121,SUM(AZ118:$BV118)&lt;&gt;0),1,0)</f>
        <v>0</v>
      </c>
      <c r="BA121" s="7">
        <f>IF(AND(BA$5&gt;=$G121,SUM(BA118:$BV118)&lt;&gt;0),1,0)</f>
        <v>0</v>
      </c>
      <c r="BB121" s="7">
        <f>IF(AND(BB$5&gt;=$G121,SUM(BB118:$BV118)&lt;&gt;0),1,0)</f>
        <v>0</v>
      </c>
      <c r="BC121" s="7">
        <f>IF(AND(BC$5&gt;=$G121,SUM(BC118:$BV118)&lt;&gt;0),1,0)</f>
        <v>0</v>
      </c>
      <c r="BD121" s="7">
        <f>IF(AND(BD$5&gt;=$G121,SUM(BD118:$BV118)&lt;&gt;0),1,0)</f>
        <v>0</v>
      </c>
      <c r="BE121" s="7">
        <f>IF(AND(BE$5&gt;=$G121,SUM(BE118:$BV118)&lt;&gt;0),1,0)</f>
        <v>0</v>
      </c>
      <c r="BF121" s="7">
        <f>IF(AND(BF$5&gt;=$G121,SUM(BF118:$BV118)&lt;&gt;0),1,0)</f>
        <v>0</v>
      </c>
      <c r="BG121" s="7">
        <f>IF(AND(BG$5&gt;=$G121,SUM(BG118:$BV118)&lt;&gt;0),1,0)</f>
        <v>0</v>
      </c>
      <c r="BH121" s="7">
        <f>IF(AND(BH$5&gt;=$G121,SUM(BH118:$BV118)&lt;&gt;0),1,0)</f>
        <v>0</v>
      </c>
      <c r="BI121" s="7">
        <f>IF(AND(BI$5&gt;=$G121,SUM(BI118:$BV118)&lt;&gt;0),1,0)</f>
        <v>0</v>
      </c>
      <c r="BJ121" s="7">
        <f>IF(AND(BJ$5&gt;=$G121,SUM(BJ118:$BV118)&lt;&gt;0),1,0)</f>
        <v>0</v>
      </c>
      <c r="BK121" s="7">
        <f>IF(AND(BK$5&gt;=$G121,SUM(BK118:$BV118)&lt;&gt;0),1,0)</f>
        <v>0</v>
      </c>
      <c r="BL121" s="7">
        <f>IF(AND(BL$5&gt;=$G121,SUM(BL118:$BV118)&lt;&gt;0),1,0)</f>
        <v>0</v>
      </c>
      <c r="BM121" s="7">
        <f>IF(AND(BM$5&gt;=$G121,SUM(BM118:$BV118)&lt;&gt;0),1,0)</f>
        <v>0</v>
      </c>
      <c r="BN121" s="7">
        <f>IF(AND(BN$5&gt;=$G121,SUM(BN118:$BV118)&lt;&gt;0),1,0)</f>
        <v>0</v>
      </c>
      <c r="BO121" s="7">
        <f>IF(AND(BO$5&gt;=$G121,SUM(BO118:$BV118)&lt;&gt;0),1,0)</f>
        <v>0</v>
      </c>
      <c r="BP121" s="7">
        <f>IF(AND(BP$5&gt;=$G121,SUM(BP118:$BV118)&lt;&gt;0),1,0)</f>
        <v>0</v>
      </c>
      <c r="BQ121" s="7">
        <f>IF(AND(BQ$5&gt;=$G121,SUM(BQ118:$BV118)&lt;&gt;0),1,0)</f>
        <v>0</v>
      </c>
      <c r="BR121" s="7">
        <f>IF(AND(BR$5&gt;=$G121,SUM(BR118:$BV118)&lt;&gt;0),1,0)</f>
        <v>0</v>
      </c>
      <c r="BS121" s="7">
        <f>IF(AND(BS$5&gt;=$G121,SUM(BS118:$BV118)&lt;&gt;0),1,0)</f>
        <v>0</v>
      </c>
      <c r="BT121" s="7">
        <f>IF(AND(BT$5&gt;=$G121,SUM(BT118:$BV118)&lt;&gt;0),1,0)</f>
        <v>0</v>
      </c>
      <c r="BU121" s="7">
        <f>IF(AND(BU$5&gt;=$G121,SUM(BU118:$BV118)&lt;&gt;0),1,0)</f>
        <v>0</v>
      </c>
      <c r="BV121" s="7">
        <f>IF(AND(BV$5&gt;=$G121,SUM(BV118:$BV118)&lt;&gt;0),1,0)</f>
        <v>0</v>
      </c>
      <c r="BX121" s="7">
        <f>IF(AND(BX$5&gt;=$G121,SUM(BX118:$CI118)&lt;&gt;0),1,0)*BX$1159</f>
        <v>0</v>
      </c>
      <c r="BY121" s="7">
        <f>IF(AND(BY$5&gt;=$G121,SUM(BY118:$CI118)&lt;&gt;0),1,0)*BY$1159</f>
        <v>0</v>
      </c>
      <c r="BZ121" s="7">
        <f>IF(AND(BZ$5&gt;=$G121,SUM(BZ118:$CI118)&lt;&gt;0),1,0)*BZ$1159</f>
        <v>0</v>
      </c>
      <c r="CA121" s="7">
        <f>IF(AND(CA$5&gt;=$G121,SUM(CA118:$CI118)&lt;&gt;0),1,0)*CA$1159</f>
        <v>0</v>
      </c>
      <c r="CB121" s="7">
        <f>IF(AND(CB$5&gt;=$G121,SUM(CB118:$CI118)&lt;&gt;0),1,0)*CB$1159</f>
        <v>0</v>
      </c>
      <c r="CC121" s="7">
        <f>IF(AND(CC$5&gt;=$G121,SUM(CC118:$CI118)&lt;&gt;0),1,0)*CC$1159</f>
        <v>0</v>
      </c>
      <c r="CD121" s="7">
        <f>IF(AND(CD$5&gt;=$G121,SUM(CD118:$CI118)&lt;&gt;0),1,0)*CD$1159</f>
        <v>0</v>
      </c>
      <c r="CE121" s="7">
        <f>IF(AND(CE$5&gt;=$G121,SUM(CE118:$CI118)&lt;&gt;0),1,0)*CE$1159</f>
        <v>0</v>
      </c>
      <c r="CF121" s="7">
        <f>IF(AND(CF$5&gt;=$G121,SUM(CF118:$CI118)&lt;&gt;0),1,0)*CF$1159</f>
        <v>0</v>
      </c>
      <c r="CG121" s="7">
        <f>IF(AND(CG$5&gt;=$G121,SUM(CG118:$CI118)&lt;&gt;0),1,0)*CG$1159</f>
        <v>0</v>
      </c>
      <c r="CH121" s="7">
        <f>IF(AND(CH$5&gt;=$G121,SUM(CH118:$CI118)&lt;&gt;0),1,0)*CH$1159</f>
        <v>0</v>
      </c>
      <c r="CI121" s="7">
        <f>IF(AND(CI$5&gt;=$G121,SUM(CI118:$CI118)&lt;&gt;0),1,0)*CI$1159</f>
        <v>0</v>
      </c>
      <c r="CK121" s="11"/>
      <c r="CM121" s="11"/>
      <c r="CX121" s="7">
        <f>IF(MAX($V121:$CI121)&gt;0, 1, 0)</f>
        <v>0</v>
      </c>
      <c r="DF121" s="11"/>
      <c r="DG121">
        <f t="shared" ref="DG121:DG184" si="71">IF(IFERROR(FIND("check", D121), 0)=0, 0, 1)</f>
        <v>1</v>
      </c>
      <c r="DH121">
        <v>0</v>
      </c>
      <c r="DI121">
        <v>0</v>
      </c>
      <c r="EY121" s="12" t="str">
        <f>IF(C121="", "", CONCATENATE(D113, " ",D121))</f>
        <v/>
      </c>
    </row>
    <row r="122" spans="1:155" ht="6.75" customHeight="1" x14ac:dyDescent="0.35">
      <c r="C122" s="211"/>
      <c r="D122" s="1"/>
      <c r="E122"/>
      <c r="F122"/>
      <c r="BY122" s="6"/>
      <c r="CK122" s="35"/>
      <c r="CM122" s="35"/>
      <c r="DF122" s="35"/>
      <c r="DG122">
        <f t="shared" si="71"/>
        <v>0</v>
      </c>
      <c r="DH122">
        <v>0</v>
      </c>
      <c r="DI122">
        <v>0</v>
      </c>
      <c r="EY122" s="12" t="str">
        <f>IF(C122="", "", CONCATENATE(D113, " ",D122))</f>
        <v/>
      </c>
    </row>
    <row r="123" spans="1:155" x14ac:dyDescent="0.35">
      <c r="C123" s="211"/>
      <c r="D123" t="s">
        <v>1088</v>
      </c>
      <c r="H123" s="9" t="s">
        <v>1074</v>
      </c>
      <c r="I123" s="40" t="s">
        <v>317</v>
      </c>
      <c r="V123" s="109"/>
      <c r="W123" s="133">
        <f>V126</f>
        <v>0</v>
      </c>
      <c r="X123" s="133">
        <f>W126</f>
        <v>0</v>
      </c>
      <c r="Y123" s="10">
        <f>X126</f>
        <v>0</v>
      </c>
      <c r="AA123" s="12">
        <f>W123</f>
        <v>0</v>
      </c>
      <c r="AB123" s="10">
        <f t="shared" ref="AB123:BV123" si="72">AA126</f>
        <v>0</v>
      </c>
      <c r="AC123" s="10">
        <f t="shared" si="72"/>
        <v>0</v>
      </c>
      <c r="AD123" s="10">
        <f t="shared" si="72"/>
        <v>0</v>
      </c>
      <c r="AE123" s="10">
        <f t="shared" si="72"/>
        <v>0</v>
      </c>
      <c r="AF123" s="10">
        <f t="shared" si="72"/>
        <v>0</v>
      </c>
      <c r="AG123" s="10">
        <f t="shared" si="72"/>
        <v>0</v>
      </c>
      <c r="AH123" s="10">
        <f t="shared" si="72"/>
        <v>0</v>
      </c>
      <c r="AI123" s="10">
        <f t="shared" si="72"/>
        <v>0</v>
      </c>
      <c r="AJ123" s="10">
        <f t="shared" si="72"/>
        <v>0</v>
      </c>
      <c r="AK123" s="10">
        <f t="shared" si="72"/>
        <v>0</v>
      </c>
      <c r="AL123" s="10">
        <f t="shared" si="72"/>
        <v>0</v>
      </c>
      <c r="AM123" s="10">
        <f t="shared" si="72"/>
        <v>0</v>
      </c>
      <c r="AN123" s="10">
        <f t="shared" si="72"/>
        <v>0</v>
      </c>
      <c r="AO123" s="10">
        <f t="shared" si="72"/>
        <v>0</v>
      </c>
      <c r="AP123" s="10">
        <f t="shared" si="72"/>
        <v>0</v>
      </c>
      <c r="AQ123" s="10">
        <f t="shared" si="72"/>
        <v>0</v>
      </c>
      <c r="AR123" s="10">
        <f t="shared" si="72"/>
        <v>0</v>
      </c>
      <c r="AS123" s="10">
        <f t="shared" si="72"/>
        <v>0</v>
      </c>
      <c r="AT123" s="10">
        <f t="shared" si="72"/>
        <v>0</v>
      </c>
      <c r="AU123" s="10">
        <f t="shared" si="72"/>
        <v>0</v>
      </c>
      <c r="AV123" s="10">
        <f t="shared" si="72"/>
        <v>0</v>
      </c>
      <c r="AW123" s="10">
        <f t="shared" si="72"/>
        <v>0</v>
      </c>
      <c r="AX123" s="10">
        <f t="shared" si="72"/>
        <v>0</v>
      </c>
      <c r="AY123" s="10">
        <f t="shared" si="72"/>
        <v>0</v>
      </c>
      <c r="AZ123" s="10">
        <f t="shared" si="72"/>
        <v>0</v>
      </c>
      <c r="BA123" s="10">
        <f t="shared" si="72"/>
        <v>0</v>
      </c>
      <c r="BB123" s="10">
        <f t="shared" si="72"/>
        <v>0</v>
      </c>
      <c r="BC123" s="10">
        <f t="shared" si="72"/>
        <v>0</v>
      </c>
      <c r="BD123" s="10">
        <f t="shared" si="72"/>
        <v>0</v>
      </c>
      <c r="BE123" s="10">
        <f t="shared" si="72"/>
        <v>0</v>
      </c>
      <c r="BF123" s="10">
        <f t="shared" si="72"/>
        <v>0</v>
      </c>
      <c r="BG123" s="10">
        <f t="shared" si="72"/>
        <v>0</v>
      </c>
      <c r="BH123" s="10">
        <f t="shared" si="72"/>
        <v>0</v>
      </c>
      <c r="BI123" s="10">
        <f t="shared" si="72"/>
        <v>0</v>
      </c>
      <c r="BJ123" s="10">
        <f t="shared" si="72"/>
        <v>0</v>
      </c>
      <c r="BK123" s="10">
        <f t="shared" si="72"/>
        <v>0</v>
      </c>
      <c r="BL123" s="10">
        <f t="shared" si="72"/>
        <v>0</v>
      </c>
      <c r="BM123" s="10">
        <f t="shared" si="72"/>
        <v>0</v>
      </c>
      <c r="BN123" s="10">
        <f t="shared" si="72"/>
        <v>0</v>
      </c>
      <c r="BO123" s="10">
        <f t="shared" si="72"/>
        <v>0</v>
      </c>
      <c r="BP123" s="10">
        <f t="shared" si="72"/>
        <v>0</v>
      </c>
      <c r="BQ123" s="10">
        <f t="shared" si="72"/>
        <v>0</v>
      </c>
      <c r="BR123" s="10">
        <f t="shared" si="72"/>
        <v>0</v>
      </c>
      <c r="BS123" s="10">
        <f t="shared" si="72"/>
        <v>0</v>
      </c>
      <c r="BT123" s="10">
        <f t="shared" si="72"/>
        <v>0</v>
      </c>
      <c r="BU123" s="10">
        <f t="shared" si="72"/>
        <v>0</v>
      </c>
      <c r="BV123" s="10">
        <f t="shared" si="72"/>
        <v>0</v>
      </c>
      <c r="BX123" s="12">
        <f t="shared" ref="BX123:CA126" si="73">V123</f>
        <v>0</v>
      </c>
      <c r="BY123" s="12">
        <f t="shared" si="73"/>
        <v>0</v>
      </c>
      <c r="BZ123" s="12">
        <f t="shared" si="73"/>
        <v>0</v>
      </c>
      <c r="CA123" s="12">
        <f t="shared" si="73"/>
        <v>0</v>
      </c>
      <c r="CB123" s="10">
        <f t="shared" ref="CB123:CI123" si="74">CA126</f>
        <v>0</v>
      </c>
      <c r="CC123" s="10">
        <f t="shared" si="74"/>
        <v>0</v>
      </c>
      <c r="CD123" s="10">
        <f t="shared" si="74"/>
        <v>0</v>
      </c>
      <c r="CE123" s="10">
        <f t="shared" si="74"/>
        <v>0</v>
      </c>
      <c r="CF123" s="10">
        <f t="shared" si="74"/>
        <v>0</v>
      </c>
      <c r="CG123" s="10">
        <f t="shared" si="74"/>
        <v>0</v>
      </c>
      <c r="CH123" s="10">
        <f t="shared" si="74"/>
        <v>0</v>
      </c>
      <c r="CI123" s="10">
        <f t="shared" si="74"/>
        <v>0</v>
      </c>
      <c r="CK123" s="11"/>
      <c r="CM123" s="11"/>
      <c r="CY123" s="7" cm="1">
        <f t="array" ref="CY123">SUMPRODUCT(--NOT(ISNUMBER(V123:CI123)),--NOT(ISBLANK(V123:CI123)))</f>
        <v>0</v>
      </c>
      <c r="DF123" s="11"/>
      <c r="DG123">
        <f t="shared" si="71"/>
        <v>0</v>
      </c>
      <c r="DH123">
        <v>1</v>
      </c>
      <c r="DI123">
        <v>0</v>
      </c>
      <c r="EY123" s="12" t="str">
        <f>IF(C123="", "", CONCATENATE(D113, " ",D123))</f>
        <v/>
      </c>
    </row>
    <row r="124" spans="1:155" s="5" customFormat="1" x14ac:dyDescent="0.35">
      <c r="A124" s="220" cm="1">
        <f t="array" aca="1" ref="A124" ca="1">HYPERLINK(CONCATENATE("#",CELL("address",IF(MAX($CM124:$DF124)=0,A124,INDEX($CM124:$DF124,MATCH(1,$CM124:$DF124,0))))),MAX($CM124:$DF124))</f>
        <v>0</v>
      </c>
      <c r="B124" s="85" t="s">
        <v>122</v>
      </c>
      <c r="C124" s="211"/>
      <c r="D124" t="s">
        <v>1089</v>
      </c>
      <c r="E124" s="1"/>
      <c r="F124" s="1"/>
      <c r="G124"/>
      <c r="H124" s="9" t="s">
        <v>1074</v>
      </c>
      <c r="I124" s="40" t="s">
        <v>665</v>
      </c>
      <c r="J124"/>
      <c r="K124"/>
      <c r="L124"/>
      <c r="M124"/>
      <c r="N124"/>
      <c r="O124"/>
      <c r="P124"/>
      <c r="Q124"/>
      <c r="R124"/>
      <c r="S124"/>
      <c r="T124"/>
      <c r="U124"/>
      <c r="V124" s="109"/>
      <c r="W124" s="133">
        <f t="shared" ref="W124:Y125" si="75" xml:space="preserve"> SUMIFS($AA124:$BV124, $AA$3:$BV$3, W$3)</f>
        <v>0</v>
      </c>
      <c r="X124" s="133">
        <f t="shared" si="75"/>
        <v>0</v>
      </c>
      <c r="Y124" s="133">
        <f t="shared" si="75"/>
        <v>0</v>
      </c>
      <c r="Z12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c r="BX124" s="12">
        <f t="shared" si="73"/>
        <v>0</v>
      </c>
      <c r="BY124" s="12">
        <f t="shared" si="73"/>
        <v>0</v>
      </c>
      <c r="BZ124" s="12">
        <f t="shared" si="73"/>
        <v>0</v>
      </c>
      <c r="CA124" s="12">
        <f t="shared" si="73"/>
        <v>0</v>
      </c>
      <c r="CB124" s="133">
        <f xml:space="preserve"> SUMIFS($AA124:$BV124, $AA$3:$BV$3, CB$3)</f>
        <v>0</v>
      </c>
      <c r="CC124" s="109"/>
      <c r="CD124" s="109"/>
      <c r="CE124" s="109"/>
      <c r="CF124" s="109"/>
      <c r="CG124" s="109"/>
      <c r="CH124" s="109"/>
      <c r="CI124" s="109"/>
      <c r="CJ124"/>
      <c r="CK124" s="11"/>
      <c r="CL124" s="241">
        <f>IF(MIN($V124:$CI124)&lt;0, 1, 0)</f>
        <v>0</v>
      </c>
      <c r="CM124" s="11"/>
      <c r="CN124"/>
      <c r="CO124"/>
      <c r="CP124"/>
      <c r="CQ124"/>
      <c r="CR124"/>
      <c r="CS124"/>
      <c r="CT124"/>
      <c r="CU124"/>
      <c r="CV124"/>
      <c r="CW124"/>
      <c r="CX124"/>
      <c r="CY124" s="7" cm="1">
        <f t="array" ref="CY124">SUMPRODUCT(--NOT(ISNUMBER(V124:CI124)),--NOT(ISBLANK(V124:CI124)))</f>
        <v>0</v>
      </c>
      <c r="CZ124" s="7">
        <f t="shared" ref="CZ124:DB125" si="76">IF(ROUND(W124-SUMIFS($AA124:$BV124, $AA$3:$BV$3, W$3), rounding)=0, 0, 1)</f>
        <v>0</v>
      </c>
      <c r="DA124" s="7">
        <f t="shared" si="76"/>
        <v>0</v>
      </c>
      <c r="DB124" s="7">
        <f t="shared" si="76"/>
        <v>0</v>
      </c>
      <c r="DC124" s="7">
        <f>IF(ROUND(CB124-SUMIFS($AA124:$BV124, $AA$3:$BV$3, CB$3), rounding)=0, 0, 1)</f>
        <v>0</v>
      </c>
      <c r="DD124" s="7">
        <f>IF(ROUND(V124-BX124, rounding)=0, 0, 1)*'BS Forecasts'!$V$10</f>
        <v>0</v>
      </c>
      <c r="DE124"/>
      <c r="DF124" s="11"/>
      <c r="DG124">
        <f t="shared" si="71"/>
        <v>0</v>
      </c>
      <c r="DH124">
        <v>1</v>
      </c>
      <c r="DI124">
        <v>1</v>
      </c>
      <c r="EY124" s="12" t="str">
        <f>IF(C124="", "", CONCATENATE(D113, " ",D124))</f>
        <v/>
      </c>
    </row>
    <row r="125" spans="1:155" x14ac:dyDescent="0.35">
      <c r="A125" s="220" cm="1">
        <f t="array" aca="1" ref="A125" ca="1">HYPERLINK(CONCATENATE("#",CELL("address",IF(MAX($CM125:$DF125)=0,A125,INDEX($CM125:$DF125,MATCH(1,$CM125:$DF125,0))))),MAX($CM125:$DF125))</f>
        <v>0</v>
      </c>
      <c r="B125" s="85" t="s">
        <v>122</v>
      </c>
      <c r="C125" s="211"/>
      <c r="D125" t="s">
        <v>1090</v>
      </c>
      <c r="H125" s="9" t="s">
        <v>1074</v>
      </c>
      <c r="I125" s="40" t="s">
        <v>1079</v>
      </c>
      <c r="V125" s="109"/>
      <c r="W125" s="133">
        <f t="shared" si="75"/>
        <v>0</v>
      </c>
      <c r="X125" s="133">
        <f t="shared" si="75"/>
        <v>0</v>
      </c>
      <c r="Y125" s="133">
        <f t="shared" si="75"/>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X125" s="12">
        <f t="shared" si="73"/>
        <v>0</v>
      </c>
      <c r="BY125" s="12">
        <f t="shared" si="73"/>
        <v>0</v>
      </c>
      <c r="BZ125" s="12">
        <f t="shared" si="73"/>
        <v>0</v>
      </c>
      <c r="CA125" s="12">
        <f t="shared" si="73"/>
        <v>0</v>
      </c>
      <c r="CB125" s="133">
        <f xml:space="preserve"> SUMIFS($AA125:$BV125, $AA$3:$BV$3, CB$3)</f>
        <v>0</v>
      </c>
      <c r="CC125" s="109"/>
      <c r="CD125" s="109"/>
      <c r="CE125" s="109"/>
      <c r="CF125" s="109"/>
      <c r="CG125" s="109"/>
      <c r="CH125" s="109"/>
      <c r="CI125" s="109"/>
      <c r="CK125" s="11"/>
      <c r="CL125" s="241">
        <f>IF(MAX($V125:$CI125)&gt;0, 1, 0)</f>
        <v>0</v>
      </c>
      <c r="CM125" s="11"/>
      <c r="CY125" s="7" cm="1">
        <f t="array" ref="CY125">SUMPRODUCT(--NOT(ISNUMBER(V125:CI125)),--NOT(ISBLANK(V125:CI125)))</f>
        <v>0</v>
      </c>
      <c r="CZ125" s="7">
        <f t="shared" si="76"/>
        <v>0</v>
      </c>
      <c r="DA125" s="7">
        <f t="shared" si="76"/>
        <v>0</v>
      </c>
      <c r="DB125" s="7">
        <f t="shared" si="76"/>
        <v>0</v>
      </c>
      <c r="DC125" s="7">
        <f>IF(ROUND(CB125-SUMIFS($AA125:$BV125, $AA$3:$BV$3, CB$3), rounding)=0, 0, 1)</f>
        <v>0</v>
      </c>
      <c r="DD125" s="7">
        <f>IF(ROUND(V125-BX125, rounding)=0, 0, 1)*'BS Forecasts'!$V$10</f>
        <v>0</v>
      </c>
      <c r="DF125" s="11"/>
      <c r="DG125">
        <f t="shared" si="71"/>
        <v>0</v>
      </c>
      <c r="DH125">
        <v>1</v>
      </c>
      <c r="DI125">
        <v>1</v>
      </c>
      <c r="EY125" s="12" t="str">
        <f>IF(C125="", "", CONCATENATE(D113, " ",D125))</f>
        <v/>
      </c>
    </row>
    <row r="126" spans="1:155" x14ac:dyDescent="0.35">
      <c r="C126" s="211"/>
      <c r="D126" t="s">
        <v>1091</v>
      </c>
      <c r="H126" s="9" t="s">
        <v>1074</v>
      </c>
      <c r="I126" s="40" t="s">
        <v>317</v>
      </c>
      <c r="V126" s="12">
        <f>$I$16</f>
        <v>0</v>
      </c>
      <c r="W126" s="10">
        <f>SUM(W123:W125)</f>
        <v>0</v>
      </c>
      <c r="X126" s="10">
        <f>SUM(X123:X125)</f>
        <v>0</v>
      </c>
      <c r="Y126" s="10">
        <f>SUM(Y123:Y125)</f>
        <v>0</v>
      </c>
      <c r="AA126" s="10">
        <f t="shared" ref="AA126:BV126" si="77">SUM(AA123:AA125)</f>
        <v>0</v>
      </c>
      <c r="AB126" s="10">
        <f t="shared" si="77"/>
        <v>0</v>
      </c>
      <c r="AC126" s="10">
        <f t="shared" si="77"/>
        <v>0</v>
      </c>
      <c r="AD126" s="10">
        <f t="shared" si="77"/>
        <v>0</v>
      </c>
      <c r="AE126" s="10">
        <f t="shared" si="77"/>
        <v>0</v>
      </c>
      <c r="AF126" s="10">
        <f t="shared" si="77"/>
        <v>0</v>
      </c>
      <c r="AG126" s="10">
        <f t="shared" si="77"/>
        <v>0</v>
      </c>
      <c r="AH126" s="10">
        <f t="shared" si="77"/>
        <v>0</v>
      </c>
      <c r="AI126" s="10">
        <f t="shared" si="77"/>
        <v>0</v>
      </c>
      <c r="AJ126" s="10">
        <f t="shared" si="77"/>
        <v>0</v>
      </c>
      <c r="AK126" s="10">
        <f t="shared" si="77"/>
        <v>0</v>
      </c>
      <c r="AL126" s="10">
        <f t="shared" si="77"/>
        <v>0</v>
      </c>
      <c r="AM126" s="10">
        <f t="shared" si="77"/>
        <v>0</v>
      </c>
      <c r="AN126" s="10">
        <f t="shared" si="77"/>
        <v>0</v>
      </c>
      <c r="AO126" s="10">
        <f t="shared" si="77"/>
        <v>0</v>
      </c>
      <c r="AP126" s="10">
        <f t="shared" si="77"/>
        <v>0</v>
      </c>
      <c r="AQ126" s="10">
        <f t="shared" si="77"/>
        <v>0</v>
      </c>
      <c r="AR126" s="10">
        <f t="shared" si="77"/>
        <v>0</v>
      </c>
      <c r="AS126" s="10">
        <f t="shared" si="77"/>
        <v>0</v>
      </c>
      <c r="AT126" s="10">
        <f t="shared" si="77"/>
        <v>0</v>
      </c>
      <c r="AU126" s="10">
        <f t="shared" si="77"/>
        <v>0</v>
      </c>
      <c r="AV126" s="10">
        <f t="shared" si="77"/>
        <v>0</v>
      </c>
      <c r="AW126" s="10">
        <f t="shared" si="77"/>
        <v>0</v>
      </c>
      <c r="AX126" s="10">
        <f t="shared" si="77"/>
        <v>0</v>
      </c>
      <c r="AY126" s="10">
        <f t="shared" si="77"/>
        <v>0</v>
      </c>
      <c r="AZ126" s="10">
        <f t="shared" si="77"/>
        <v>0</v>
      </c>
      <c r="BA126" s="10">
        <f t="shared" si="77"/>
        <v>0</v>
      </c>
      <c r="BB126" s="10">
        <f t="shared" si="77"/>
        <v>0</v>
      </c>
      <c r="BC126" s="10">
        <f t="shared" si="77"/>
        <v>0</v>
      </c>
      <c r="BD126" s="10">
        <f t="shared" si="77"/>
        <v>0</v>
      </c>
      <c r="BE126" s="10">
        <f t="shared" si="77"/>
        <v>0</v>
      </c>
      <c r="BF126" s="10">
        <f t="shared" si="77"/>
        <v>0</v>
      </c>
      <c r="BG126" s="10">
        <f t="shared" si="77"/>
        <v>0</v>
      </c>
      <c r="BH126" s="10">
        <f t="shared" si="77"/>
        <v>0</v>
      </c>
      <c r="BI126" s="10">
        <f t="shared" si="77"/>
        <v>0</v>
      </c>
      <c r="BJ126" s="10">
        <f t="shared" si="77"/>
        <v>0</v>
      </c>
      <c r="BK126" s="10">
        <f t="shared" si="77"/>
        <v>0</v>
      </c>
      <c r="BL126" s="10">
        <f t="shared" si="77"/>
        <v>0</v>
      </c>
      <c r="BM126" s="10">
        <f t="shared" si="77"/>
        <v>0</v>
      </c>
      <c r="BN126" s="10">
        <f t="shared" si="77"/>
        <v>0</v>
      </c>
      <c r="BO126" s="10">
        <f t="shared" si="77"/>
        <v>0</v>
      </c>
      <c r="BP126" s="10">
        <f t="shared" si="77"/>
        <v>0</v>
      </c>
      <c r="BQ126" s="10">
        <f t="shared" si="77"/>
        <v>0</v>
      </c>
      <c r="BR126" s="10">
        <f t="shared" si="77"/>
        <v>0</v>
      </c>
      <c r="BS126" s="10">
        <f t="shared" si="77"/>
        <v>0</v>
      </c>
      <c r="BT126" s="10">
        <f t="shared" si="77"/>
        <v>0</v>
      </c>
      <c r="BU126" s="10">
        <f t="shared" si="77"/>
        <v>0</v>
      </c>
      <c r="BV126" s="10">
        <f t="shared" si="77"/>
        <v>0</v>
      </c>
      <c r="BX126" s="12">
        <f t="shared" si="73"/>
        <v>0</v>
      </c>
      <c r="BY126" s="12">
        <f t="shared" si="73"/>
        <v>0</v>
      </c>
      <c r="BZ126" s="12">
        <f t="shared" si="73"/>
        <v>0</v>
      </c>
      <c r="CA126" s="12">
        <f t="shared" si="73"/>
        <v>0</v>
      </c>
      <c r="CB126" s="10">
        <f t="shared" ref="CB126:CI126" si="78">SUM(CB123:CB125)</f>
        <v>0</v>
      </c>
      <c r="CC126" s="10">
        <f t="shared" si="78"/>
        <v>0</v>
      </c>
      <c r="CD126" s="10">
        <f t="shared" si="78"/>
        <v>0</v>
      </c>
      <c r="CE126" s="10">
        <f t="shared" si="78"/>
        <v>0</v>
      </c>
      <c r="CF126" s="10">
        <f t="shared" si="78"/>
        <v>0</v>
      </c>
      <c r="CG126" s="10">
        <f t="shared" si="78"/>
        <v>0</v>
      </c>
      <c r="CH126" s="10">
        <f t="shared" si="78"/>
        <v>0</v>
      </c>
      <c r="CI126" s="10">
        <f t="shared" si="78"/>
        <v>0</v>
      </c>
      <c r="CK126" s="11"/>
      <c r="CM126" s="11"/>
      <c r="DF126" s="11"/>
      <c r="DG126">
        <f t="shared" si="71"/>
        <v>0</v>
      </c>
      <c r="DH126">
        <v>0</v>
      </c>
      <c r="DI126">
        <v>0</v>
      </c>
      <c r="EY126" s="12" t="str">
        <f>IF(C126="", "", CONCATENATE(D113, " ",D126))</f>
        <v/>
      </c>
    </row>
    <row r="127" spans="1:155" ht="6.75" customHeight="1" x14ac:dyDescent="0.35">
      <c r="C127" s="211"/>
      <c r="D127" s="1"/>
      <c r="E127"/>
      <c r="F127"/>
      <c r="BY127" s="6"/>
      <c r="CK127" s="35"/>
      <c r="CM127" s="35"/>
      <c r="DF127" s="35"/>
      <c r="DG127">
        <f t="shared" si="71"/>
        <v>0</v>
      </c>
      <c r="DH127">
        <v>0</v>
      </c>
      <c r="DI127">
        <v>0</v>
      </c>
      <c r="EY127" s="12" t="str">
        <f>IF(C127="", "", CONCATENATE(D113, " ",D127))</f>
        <v/>
      </c>
    </row>
    <row r="128" spans="1:155" s="5" customFormat="1" x14ac:dyDescent="0.35">
      <c r="A128" s="220" cm="1">
        <f t="array" aca="1" ref="A128" ca="1">HYPERLINK(CONCATENATE("#",CELL("address",IF(MAX($CM128:$DF128)=0,A128,INDEX($CM128:$DF128,MATCH(1,$CM128:$DF128,0))))),MAX($CM128:$DF128))</f>
        <v>0</v>
      </c>
      <c r="B128"/>
      <c r="C128" s="211" t="s">
        <v>1115</v>
      </c>
      <c r="D128" t="s">
        <v>1093</v>
      </c>
      <c r="E128" s="1"/>
      <c r="F128" s="1"/>
      <c r="G128"/>
      <c r="H128" s="9" t="s">
        <v>1074</v>
      </c>
      <c r="I128" s="40" t="s">
        <v>665</v>
      </c>
      <c r="J128"/>
      <c r="K128"/>
      <c r="L128"/>
      <c r="M128"/>
      <c r="N128"/>
      <c r="O128"/>
      <c r="P128"/>
      <c r="Q128"/>
      <c r="R128"/>
      <c r="S128"/>
      <c r="T128"/>
      <c r="U128"/>
      <c r="V128" s="109"/>
      <c r="W128" s="133">
        <f xml:space="preserve"> SUMIFS($AA128:$BV128, $AA$3:$BV$3, W$3)</f>
        <v>0</v>
      </c>
      <c r="X128" s="133">
        <f xml:space="preserve"> SUMIFS($AA128:$BV128, $AA$3:$BV$3, X$3)</f>
        <v>0</v>
      </c>
      <c r="Y128" s="133">
        <f xml:space="preserve"> SUMIFS($AA128:$BV128, $AA$3:$BV$3, Y$3)</f>
        <v>0</v>
      </c>
      <c r="Z128"/>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c r="BX128" s="12">
        <f>V128</f>
        <v>0</v>
      </c>
      <c r="BY128" s="12">
        <f>W128</f>
        <v>0</v>
      </c>
      <c r="BZ128" s="12">
        <f>X128</f>
        <v>0</v>
      </c>
      <c r="CA128" s="12">
        <f>Y128</f>
        <v>0</v>
      </c>
      <c r="CB128" s="133">
        <f xml:space="preserve"> SUMIFS($AA128:$BV128, $AA$3:$BV$3, CB$3)</f>
        <v>0</v>
      </c>
      <c r="CC128" s="109"/>
      <c r="CD128" s="109"/>
      <c r="CE128" s="109"/>
      <c r="CF128" s="109"/>
      <c r="CG128" s="109"/>
      <c r="CH128" s="109"/>
      <c r="CI128" s="109"/>
      <c r="CJ128"/>
      <c r="CK128" s="11"/>
      <c r="CL128" s="241">
        <f>IF(MIN($V128:$CI128)&lt;0, 1, 0)</f>
        <v>0</v>
      </c>
      <c r="CM128" s="11"/>
      <c r="CN128"/>
      <c r="CO128"/>
      <c r="CP128"/>
      <c r="CQ128"/>
      <c r="CR128"/>
      <c r="CS128"/>
      <c r="CT128"/>
      <c r="CU128"/>
      <c r="CV128"/>
      <c r="CW128"/>
      <c r="CX128"/>
      <c r="CY128" s="7" cm="1">
        <f t="array" ref="CY128">SUMPRODUCT(--NOT(ISNUMBER(V128:CI128)),--NOT(ISBLANK(V128:CI128)))</f>
        <v>0</v>
      </c>
      <c r="CZ128" s="7">
        <f>IF(ROUND(W128-SUMIFS($AA128:$BV128, $AA$3:$BV$3, W$3), rounding)=0, 0, 1)</f>
        <v>0</v>
      </c>
      <c r="DA128" s="7">
        <f>IF(ROUND(X128-SUMIFS($AA128:$BV128, $AA$3:$BV$3, X$3), rounding)=0, 0, 1)</f>
        <v>0</v>
      </c>
      <c r="DB128" s="7">
        <f>IF(ROUND(Y128-SUMIFS($AA128:$BV128, $AA$3:$BV$3, Y$3), rounding)=0, 0, 1)</f>
        <v>0</v>
      </c>
      <c r="DC128" s="7">
        <f>IF(ROUND(CB128-SUMIFS($AA128:$BV128, $AA$3:$BV$3, CB$3), rounding)=0, 0, 1)</f>
        <v>0</v>
      </c>
      <c r="DD128" s="7">
        <f>IF(ROUND(V128-BX128, rounding)=0, 0, 1)*'BS Forecasts'!$V$10</f>
        <v>0</v>
      </c>
      <c r="DE128"/>
      <c r="DF128" s="11"/>
      <c r="DG128">
        <f t="shared" si="71"/>
        <v>0</v>
      </c>
      <c r="DH128">
        <v>1</v>
      </c>
      <c r="DI128">
        <v>1</v>
      </c>
      <c r="EY128" s="12" t="str">
        <f>IF(C128="", "", CONCATENATE(D113, " ",D128))</f>
        <v>Loan 4 Early Repayment Fee</v>
      </c>
    </row>
    <row r="129" spans="1:155" ht="6.75" customHeight="1" x14ac:dyDescent="0.35">
      <c r="C129" s="211"/>
      <c r="D129" s="1"/>
      <c r="E129"/>
      <c r="F129"/>
      <c r="BY129" s="6"/>
      <c r="CK129" s="35"/>
      <c r="CM129" s="35"/>
      <c r="DF129" s="35"/>
      <c r="DG129">
        <f t="shared" si="71"/>
        <v>0</v>
      </c>
      <c r="DH129">
        <v>0</v>
      </c>
      <c r="DI129">
        <v>0</v>
      </c>
      <c r="EY129" s="12" t="str">
        <f>IF(C129="", "", CONCATENATE(D113, " ",D129))</f>
        <v/>
      </c>
    </row>
    <row r="130" spans="1:155" x14ac:dyDescent="0.35">
      <c r="A130" s="220" cm="1">
        <f t="array" aca="1" ref="A130" ca="1">HYPERLINK(CONCATENATE("#",CELL("address",IF(MAX($CM130:$DF130)=0,A130,INDEX($CM130:$DF130,MATCH(1,$CM130:$DF130,0))))),MAX($CM130:$DF130))</f>
        <v>0</v>
      </c>
      <c r="B130" s="85" t="s">
        <v>122</v>
      </c>
      <c r="D130" t="s">
        <v>1094</v>
      </c>
      <c r="E130" s="140" t="str">
        <f>IF(J$16="", "", J$16)</f>
        <v/>
      </c>
      <c r="F130" s="140"/>
      <c r="G130" s="140" t="str">
        <f>IF(K$16="", "", K$16)</f>
        <v/>
      </c>
      <c r="V130" s="7">
        <f>IF(AND(OR( V$5&gt;$G130, Timeline!V$8&lt;Loans!$E130), Loans!V128&lt;&gt;0), 1, 0)</f>
        <v>0</v>
      </c>
      <c r="W130" s="7">
        <f>IF(AND(OR( W$5&gt;$G130, Timeline!W$8&lt;Loans!$E130), Loans!W128&lt;&gt;0), 1, 0)</f>
        <v>0</v>
      </c>
      <c r="X130" s="7">
        <f>IF(AND(OR( X$5&gt;$G130, Timeline!X$8&lt;Loans!$E130), Loans!X128&lt;&gt;0), 1, 0)</f>
        <v>0</v>
      </c>
      <c r="Y130" s="7">
        <f>IF(AND(OR( Y$5&gt;$G130, Timeline!Y$8&lt;Loans!$E130), Loans!Y128&lt;&gt;0), 1, 0)</f>
        <v>0</v>
      </c>
      <c r="AA130" s="7">
        <f>IF(AND(OR( AA$5&gt;$G130, Timeline!AA$8&lt;Loans!$E130), Loans!AA128&lt;&gt;0), 1, 0)</f>
        <v>0</v>
      </c>
      <c r="AB130" s="7">
        <f>IF(AND(OR( AB$5&gt;$G130, Timeline!AB$8&lt;Loans!$E130), Loans!AB128&lt;&gt;0), 1, 0)</f>
        <v>0</v>
      </c>
      <c r="AC130" s="7">
        <f>IF(AND(OR( AC$5&gt;$G130, Timeline!AC$8&lt;Loans!$E130), Loans!AC128&lt;&gt;0), 1, 0)</f>
        <v>0</v>
      </c>
      <c r="AD130" s="7">
        <f>IF(AND(OR( AD$5&gt;$G130, Timeline!AD$8&lt;Loans!$E130), Loans!AD128&lt;&gt;0), 1, 0)</f>
        <v>0</v>
      </c>
      <c r="AE130" s="7">
        <f>IF(AND(OR( AE$5&gt;$G130, Timeline!AE$8&lt;Loans!$E130), Loans!AE128&lt;&gt;0), 1, 0)</f>
        <v>0</v>
      </c>
      <c r="AF130" s="7">
        <f>IF(AND(OR( AF$5&gt;$G130, Timeline!AF$8&lt;Loans!$E130), Loans!AF128&lt;&gt;0), 1, 0)</f>
        <v>0</v>
      </c>
      <c r="AG130" s="7">
        <f>IF(AND(OR( AG$5&gt;$G130, Timeline!AG$8&lt;Loans!$E130), Loans!AG128&lt;&gt;0), 1, 0)</f>
        <v>0</v>
      </c>
      <c r="AH130" s="7">
        <f>IF(AND(OR( AH$5&gt;$G130, Timeline!AH$8&lt;Loans!$E130), Loans!AH128&lt;&gt;0), 1, 0)</f>
        <v>0</v>
      </c>
      <c r="AI130" s="7">
        <f>IF(AND(OR( AI$5&gt;$G130, Timeline!AI$8&lt;Loans!$E130), Loans!AI128&lt;&gt;0), 1, 0)</f>
        <v>0</v>
      </c>
      <c r="AJ130" s="7">
        <f>IF(AND(OR( AJ$5&gt;$G130, Timeline!AJ$8&lt;Loans!$E130), Loans!AJ128&lt;&gt;0), 1, 0)</f>
        <v>0</v>
      </c>
      <c r="AK130" s="7">
        <f>IF(AND(OR( AK$5&gt;$G130, Timeline!AK$8&lt;Loans!$E130), Loans!AK128&lt;&gt;0), 1, 0)</f>
        <v>0</v>
      </c>
      <c r="AL130" s="7">
        <f>IF(AND(OR( AL$5&gt;$G130, Timeline!AL$8&lt;Loans!$E130), Loans!AL128&lt;&gt;0), 1, 0)</f>
        <v>0</v>
      </c>
      <c r="AM130" s="7">
        <f>IF(AND(OR( AM$5&gt;$G130, Timeline!AM$8&lt;Loans!$E130), Loans!AM128&lt;&gt;0), 1, 0)</f>
        <v>0</v>
      </c>
      <c r="AN130" s="7">
        <f>IF(AND(OR( AN$5&gt;$G130, Timeline!AN$8&lt;Loans!$E130), Loans!AN128&lt;&gt;0), 1, 0)</f>
        <v>0</v>
      </c>
      <c r="AO130" s="7">
        <f>IF(AND(OR( AO$5&gt;$G130, Timeline!AO$8&lt;Loans!$E130), Loans!AO128&lt;&gt;0), 1, 0)</f>
        <v>0</v>
      </c>
      <c r="AP130" s="7">
        <f>IF(AND(OR( AP$5&gt;$G130, Timeline!AP$8&lt;Loans!$E130), Loans!AP128&lt;&gt;0), 1, 0)</f>
        <v>0</v>
      </c>
      <c r="AQ130" s="7">
        <f>IF(AND(OR( AQ$5&gt;$G130, Timeline!AQ$8&lt;Loans!$E130), Loans!AQ128&lt;&gt;0), 1, 0)</f>
        <v>0</v>
      </c>
      <c r="AR130" s="7">
        <f>IF(AND(OR( AR$5&gt;$G130, Timeline!AR$8&lt;Loans!$E130), Loans!AR128&lt;&gt;0), 1, 0)</f>
        <v>0</v>
      </c>
      <c r="AS130" s="7">
        <f>IF(AND(OR( AS$5&gt;$G130, Timeline!AS$8&lt;Loans!$E130), Loans!AS128&lt;&gt;0), 1, 0)</f>
        <v>0</v>
      </c>
      <c r="AT130" s="7">
        <f>IF(AND(OR( AT$5&gt;$G130, Timeline!AT$8&lt;Loans!$E130), Loans!AT128&lt;&gt;0), 1, 0)</f>
        <v>0</v>
      </c>
      <c r="AU130" s="7">
        <f>IF(AND(OR( AU$5&gt;$G130, Timeline!AU$8&lt;Loans!$E130), Loans!AU128&lt;&gt;0), 1, 0)</f>
        <v>0</v>
      </c>
      <c r="AV130" s="7">
        <f>IF(AND(OR( AV$5&gt;$G130, Timeline!AV$8&lt;Loans!$E130), Loans!AV128&lt;&gt;0), 1, 0)</f>
        <v>0</v>
      </c>
      <c r="AW130" s="7">
        <f>IF(AND(OR( AW$5&gt;$G130, Timeline!AW$8&lt;Loans!$E130), Loans!AW128&lt;&gt;0), 1, 0)</f>
        <v>0</v>
      </c>
      <c r="AX130" s="7">
        <f>IF(AND(OR( AX$5&gt;$G130, Timeline!AX$8&lt;Loans!$E130), Loans!AX128&lt;&gt;0), 1, 0)</f>
        <v>0</v>
      </c>
      <c r="AY130" s="7">
        <f>IF(AND(OR( AY$5&gt;$G130, Timeline!AY$8&lt;Loans!$E130), Loans!AY128&lt;&gt;0), 1, 0)</f>
        <v>0</v>
      </c>
      <c r="AZ130" s="7">
        <f>IF(AND(OR( AZ$5&gt;$G130, Timeline!AZ$8&lt;Loans!$E130), Loans!AZ128&lt;&gt;0), 1, 0)</f>
        <v>0</v>
      </c>
      <c r="BA130" s="7">
        <f>IF(AND(OR( BA$5&gt;$G130, Timeline!BA$8&lt;Loans!$E130), Loans!BA128&lt;&gt;0), 1, 0)</f>
        <v>0</v>
      </c>
      <c r="BB130" s="7">
        <f>IF(AND(OR( BB$5&gt;$G130, Timeline!BB$8&lt;Loans!$E130), Loans!BB128&lt;&gt;0), 1, 0)</f>
        <v>0</v>
      </c>
      <c r="BC130" s="7">
        <f>IF(AND(OR( BC$5&gt;$G130, Timeline!BC$8&lt;Loans!$E130), Loans!BC128&lt;&gt;0), 1, 0)</f>
        <v>0</v>
      </c>
      <c r="BD130" s="7">
        <f>IF(AND(OR( BD$5&gt;$G130, Timeline!BD$8&lt;Loans!$E130), Loans!BD128&lt;&gt;0), 1, 0)</f>
        <v>0</v>
      </c>
      <c r="BE130" s="7">
        <f>IF(AND(OR( BE$5&gt;$G130, Timeline!BE$8&lt;Loans!$E130), Loans!BE128&lt;&gt;0), 1, 0)</f>
        <v>0</v>
      </c>
      <c r="BF130" s="7">
        <f>IF(AND(OR( BF$5&gt;$G130, Timeline!BF$8&lt;Loans!$E130), Loans!BF128&lt;&gt;0), 1, 0)</f>
        <v>0</v>
      </c>
      <c r="BG130" s="7">
        <f>IF(AND(OR( BG$5&gt;$G130, Timeline!BG$8&lt;Loans!$E130), Loans!BG128&lt;&gt;0), 1, 0)</f>
        <v>0</v>
      </c>
      <c r="BH130" s="7">
        <f>IF(AND(OR( BH$5&gt;$G130, Timeline!BH$8&lt;Loans!$E130), Loans!BH128&lt;&gt;0), 1, 0)</f>
        <v>0</v>
      </c>
      <c r="BI130" s="7">
        <f>IF(AND(OR( BI$5&gt;$G130, Timeline!BI$8&lt;Loans!$E130), Loans!BI128&lt;&gt;0), 1, 0)</f>
        <v>0</v>
      </c>
      <c r="BJ130" s="7">
        <f>IF(AND(OR( BJ$5&gt;$G130, Timeline!BJ$8&lt;Loans!$E130), Loans!BJ128&lt;&gt;0), 1, 0)</f>
        <v>0</v>
      </c>
      <c r="BK130" s="7">
        <f>IF(AND(OR( BK$5&gt;$G130, Timeline!BK$8&lt;Loans!$E130), Loans!BK128&lt;&gt;0), 1, 0)</f>
        <v>0</v>
      </c>
      <c r="BL130" s="7">
        <f>IF(AND(OR( BL$5&gt;$G130, Timeline!BL$8&lt;Loans!$E130), Loans!BL128&lt;&gt;0), 1, 0)</f>
        <v>0</v>
      </c>
      <c r="BM130" s="7">
        <f>IF(AND(OR( BM$5&gt;$G130, Timeline!BM$8&lt;Loans!$E130), Loans!BM128&lt;&gt;0), 1, 0)</f>
        <v>0</v>
      </c>
      <c r="BN130" s="7">
        <f>IF(AND(OR( BN$5&gt;$G130, Timeline!BN$8&lt;Loans!$E130), Loans!BN128&lt;&gt;0), 1, 0)</f>
        <v>0</v>
      </c>
      <c r="BO130" s="7">
        <f>IF(AND(OR( BO$5&gt;$G130, Timeline!BO$8&lt;Loans!$E130), Loans!BO128&lt;&gt;0), 1, 0)</f>
        <v>0</v>
      </c>
      <c r="BP130" s="7">
        <f>IF(AND(OR( BP$5&gt;$G130, Timeline!BP$8&lt;Loans!$E130), Loans!BP128&lt;&gt;0), 1, 0)</f>
        <v>0</v>
      </c>
      <c r="BQ130" s="7">
        <f>IF(AND(OR( BQ$5&gt;$G130, Timeline!BQ$8&lt;Loans!$E130), Loans!BQ128&lt;&gt;0), 1, 0)</f>
        <v>0</v>
      </c>
      <c r="BR130" s="7">
        <f>IF(AND(OR( BR$5&gt;$G130, Timeline!BR$8&lt;Loans!$E130), Loans!BR128&lt;&gt;0), 1, 0)</f>
        <v>0</v>
      </c>
      <c r="BS130" s="7">
        <f>IF(AND(OR( BS$5&gt;$G130, Timeline!BS$8&lt;Loans!$E130), Loans!BS128&lt;&gt;0), 1, 0)</f>
        <v>0</v>
      </c>
      <c r="BT130" s="7">
        <f>IF(AND(OR( BT$5&gt;$G130, Timeline!BT$8&lt;Loans!$E130), Loans!BT128&lt;&gt;0), 1, 0)</f>
        <v>0</v>
      </c>
      <c r="BU130" s="7">
        <f>IF(AND(OR( BU$5&gt;$G130, Timeline!BU$8&lt;Loans!$E130), Loans!BU128&lt;&gt;0), 1, 0)</f>
        <v>0</v>
      </c>
      <c r="BV130" s="7">
        <f>IF(AND(OR( BV$5&gt;$G130, Timeline!BV$8&lt;Loans!$E130), Loans!BV128&lt;&gt;0), 1, 0)</f>
        <v>0</v>
      </c>
      <c r="BX130" s="7">
        <f>IF(AND(OR( BX$5&gt;$G130, Timeline!BX$8&lt;Loans!$E130), Loans!BX128&lt;&gt;0), 1, 0)</f>
        <v>0</v>
      </c>
      <c r="BY130" s="7">
        <f>IF(AND(OR( BY$5&gt;$G130, Timeline!BY$8&lt;Loans!$E130), Loans!BY128&lt;&gt;0), 1, 0)</f>
        <v>0</v>
      </c>
      <c r="BZ130" s="7">
        <f>IF(AND(OR( BZ$5&gt;$G130, Timeline!BZ$8&lt;Loans!$E130), Loans!BZ128&lt;&gt;0), 1, 0)</f>
        <v>0</v>
      </c>
      <c r="CA130" s="7">
        <f>IF(AND(OR( CA$5&gt;$G130, Timeline!CA$8&lt;Loans!$E130), Loans!CA128&lt;&gt;0), 1, 0)</f>
        <v>0</v>
      </c>
      <c r="CB130" s="7">
        <f>IF(AND(OR( CB$5&gt;$G130, Timeline!CB$8&lt;Loans!$E130), Loans!CB128&lt;&gt;0), 1, 0)</f>
        <v>0</v>
      </c>
      <c r="CC130" s="7">
        <f>IF(AND(OR( CC$5&gt;$G130, Timeline!CC$8&lt;Loans!$E130), Loans!CC128&lt;&gt;0), 1, 0)</f>
        <v>0</v>
      </c>
      <c r="CD130" s="7">
        <f>IF(AND(OR( CD$5&gt;$G130, Timeline!CD$8&lt;Loans!$E130), Loans!CD128&lt;&gt;0), 1, 0)</f>
        <v>0</v>
      </c>
      <c r="CE130" s="7">
        <f>IF(AND(OR( CE$5&gt;$G130, Timeline!CE$8&lt;Loans!$E130), Loans!CE128&lt;&gt;0), 1, 0)</f>
        <v>0</v>
      </c>
      <c r="CF130" s="7">
        <f>IF(AND(OR( CF$5&gt;$G130, Timeline!CF$8&lt;Loans!$E130), Loans!CF128&lt;&gt;0), 1, 0)</f>
        <v>0</v>
      </c>
      <c r="CG130" s="7">
        <f>IF(AND(OR( CG$5&gt;$G130, Timeline!CG$8&lt;Loans!$E130), Loans!CG128&lt;&gt;0), 1, 0)</f>
        <v>0</v>
      </c>
      <c r="CH130" s="7">
        <f>IF(AND(OR( CH$5&gt;$G130, Timeline!CH$8&lt;Loans!$E130), Loans!CH128&lt;&gt;0), 1, 0)</f>
        <v>0</v>
      </c>
      <c r="CI130" s="7">
        <f>IF(AND(OR( CI$5&gt;$G130, Timeline!CI$8&lt;Loans!$E130), Loans!CI128&lt;&gt;0), 1, 0)</f>
        <v>0</v>
      </c>
      <c r="CK130" s="11"/>
      <c r="CM130" s="11"/>
      <c r="CX130" s="7">
        <f>IF(MAX($V130:$CI130)&gt;0, 1, 0)</f>
        <v>0</v>
      </c>
      <c r="DF130" s="11"/>
      <c r="DG130">
        <f t="shared" si="71"/>
        <v>1</v>
      </c>
      <c r="DH130">
        <v>0</v>
      </c>
      <c r="DI130">
        <v>0</v>
      </c>
      <c r="EY130" s="12" t="str">
        <f>IF(C130="", "", CONCATENATE(D113, " ",D130))</f>
        <v/>
      </c>
    </row>
    <row r="131" spans="1:155" ht="6.75" customHeight="1" x14ac:dyDescent="0.35">
      <c r="C131" s="211"/>
      <c r="D131" s="1"/>
      <c r="E131"/>
      <c r="F131"/>
      <c r="BY131" s="6"/>
      <c r="CK131" s="35"/>
      <c r="CM131" s="35"/>
      <c r="DF131" s="35"/>
      <c r="DG131">
        <f t="shared" si="71"/>
        <v>0</v>
      </c>
      <c r="DH131">
        <v>0</v>
      </c>
      <c r="DI131">
        <v>0</v>
      </c>
      <c r="EY131" s="10" t="str">
        <f>IF($C131="","",$D131)</f>
        <v/>
      </c>
    </row>
    <row r="132" spans="1:155" x14ac:dyDescent="0.35">
      <c r="A132" s="53"/>
      <c r="C132" s="211"/>
      <c r="D132" s="53" t="s">
        <v>1116</v>
      </c>
      <c r="E132" s="53"/>
      <c r="F132" s="53"/>
      <c r="G132" s="53"/>
      <c r="H132" s="53"/>
      <c r="I132" s="53"/>
      <c r="J132" s="53"/>
      <c r="M132" s="53"/>
      <c r="N132" s="53"/>
      <c r="O132" s="53"/>
      <c r="P132" s="53"/>
      <c r="Q132" s="53"/>
      <c r="R132" s="53"/>
      <c r="CK132" s="11"/>
      <c r="CM132" s="11"/>
      <c r="DF132" s="11"/>
      <c r="DG132">
        <f t="shared" si="71"/>
        <v>0</v>
      </c>
      <c r="DH132">
        <v>0</v>
      </c>
      <c r="DI132">
        <v>0</v>
      </c>
      <c r="EY132" s="10" t="str">
        <f>IF($C132="","",$D132)</f>
        <v/>
      </c>
    </row>
    <row r="133" spans="1:155" x14ac:dyDescent="0.35">
      <c r="C133" s="211" t="s">
        <v>1117</v>
      </c>
      <c r="D133" t="s">
        <v>1073</v>
      </c>
      <c r="H133" s="9" t="s">
        <v>1074</v>
      </c>
      <c r="I133" s="40" t="s">
        <v>317</v>
      </c>
      <c r="V133" s="109"/>
      <c r="W133" s="133">
        <f>V137</f>
        <v>0</v>
      </c>
      <c r="X133" s="133">
        <f>W137</f>
        <v>0</v>
      </c>
      <c r="Y133" s="10">
        <f>X137</f>
        <v>0</v>
      </c>
      <c r="AA133" s="12">
        <f>W133</f>
        <v>0</v>
      </c>
      <c r="AB133" s="10">
        <f t="shared" ref="AB133:BV133" si="79">AA137</f>
        <v>0</v>
      </c>
      <c r="AC133" s="10">
        <f t="shared" si="79"/>
        <v>0</v>
      </c>
      <c r="AD133" s="10">
        <f t="shared" si="79"/>
        <v>0</v>
      </c>
      <c r="AE133" s="10">
        <f t="shared" si="79"/>
        <v>0</v>
      </c>
      <c r="AF133" s="10">
        <f t="shared" si="79"/>
        <v>0</v>
      </c>
      <c r="AG133" s="10">
        <f t="shared" si="79"/>
        <v>0</v>
      </c>
      <c r="AH133" s="10">
        <f t="shared" si="79"/>
        <v>0</v>
      </c>
      <c r="AI133" s="10">
        <f t="shared" si="79"/>
        <v>0</v>
      </c>
      <c r="AJ133" s="10">
        <f t="shared" si="79"/>
        <v>0</v>
      </c>
      <c r="AK133" s="10">
        <f t="shared" si="79"/>
        <v>0</v>
      </c>
      <c r="AL133" s="10">
        <f t="shared" si="79"/>
        <v>0</v>
      </c>
      <c r="AM133" s="10">
        <f t="shared" si="79"/>
        <v>0</v>
      </c>
      <c r="AN133" s="10">
        <f t="shared" si="79"/>
        <v>0</v>
      </c>
      <c r="AO133" s="10">
        <f t="shared" si="79"/>
        <v>0</v>
      </c>
      <c r="AP133" s="10">
        <f t="shared" si="79"/>
        <v>0</v>
      </c>
      <c r="AQ133" s="10">
        <f t="shared" si="79"/>
        <v>0</v>
      </c>
      <c r="AR133" s="10">
        <f t="shared" si="79"/>
        <v>0</v>
      </c>
      <c r="AS133" s="10">
        <f t="shared" si="79"/>
        <v>0</v>
      </c>
      <c r="AT133" s="10">
        <f t="shared" si="79"/>
        <v>0</v>
      </c>
      <c r="AU133" s="10">
        <f t="shared" si="79"/>
        <v>0</v>
      </c>
      <c r="AV133" s="10">
        <f t="shared" si="79"/>
        <v>0</v>
      </c>
      <c r="AW133" s="10">
        <f t="shared" si="79"/>
        <v>0</v>
      </c>
      <c r="AX133" s="10">
        <f t="shared" si="79"/>
        <v>0</v>
      </c>
      <c r="AY133" s="10">
        <f t="shared" si="79"/>
        <v>0</v>
      </c>
      <c r="AZ133" s="10">
        <f t="shared" si="79"/>
        <v>0</v>
      </c>
      <c r="BA133" s="10">
        <f t="shared" si="79"/>
        <v>0</v>
      </c>
      <c r="BB133" s="10">
        <f t="shared" si="79"/>
        <v>0</v>
      </c>
      <c r="BC133" s="10">
        <f t="shared" si="79"/>
        <v>0</v>
      </c>
      <c r="BD133" s="10">
        <f t="shared" si="79"/>
        <v>0</v>
      </c>
      <c r="BE133" s="10">
        <f t="shared" si="79"/>
        <v>0</v>
      </c>
      <c r="BF133" s="10">
        <f t="shared" si="79"/>
        <v>0</v>
      </c>
      <c r="BG133" s="10">
        <f t="shared" si="79"/>
        <v>0</v>
      </c>
      <c r="BH133" s="10">
        <f t="shared" si="79"/>
        <v>0</v>
      </c>
      <c r="BI133" s="10">
        <f t="shared" si="79"/>
        <v>0</v>
      </c>
      <c r="BJ133" s="10">
        <f t="shared" si="79"/>
        <v>0</v>
      </c>
      <c r="BK133" s="10">
        <f t="shared" si="79"/>
        <v>0</v>
      </c>
      <c r="BL133" s="10">
        <f t="shared" si="79"/>
        <v>0</v>
      </c>
      <c r="BM133" s="10">
        <f t="shared" si="79"/>
        <v>0</v>
      </c>
      <c r="BN133" s="10">
        <f t="shared" si="79"/>
        <v>0</v>
      </c>
      <c r="BO133" s="10">
        <f t="shared" si="79"/>
        <v>0</v>
      </c>
      <c r="BP133" s="10">
        <f t="shared" si="79"/>
        <v>0</v>
      </c>
      <c r="BQ133" s="10">
        <f t="shared" si="79"/>
        <v>0</v>
      </c>
      <c r="BR133" s="10">
        <f t="shared" si="79"/>
        <v>0</v>
      </c>
      <c r="BS133" s="10">
        <f t="shared" si="79"/>
        <v>0</v>
      </c>
      <c r="BT133" s="10">
        <f t="shared" si="79"/>
        <v>0</v>
      </c>
      <c r="BU133" s="10">
        <f t="shared" si="79"/>
        <v>0</v>
      </c>
      <c r="BV133" s="10">
        <f t="shared" si="79"/>
        <v>0</v>
      </c>
      <c r="BX133" s="12">
        <f t="shared" ref="BX133:CA137" si="80">V133</f>
        <v>0</v>
      </c>
      <c r="BY133" s="12">
        <f t="shared" si="80"/>
        <v>0</v>
      </c>
      <c r="BZ133" s="12">
        <f t="shared" si="80"/>
        <v>0</v>
      </c>
      <c r="CA133" s="12">
        <f t="shared" si="80"/>
        <v>0</v>
      </c>
      <c r="CB133" s="10">
        <f t="shared" ref="CB133:CI133" si="81">CA137</f>
        <v>0</v>
      </c>
      <c r="CC133" s="10">
        <f t="shared" si="81"/>
        <v>0</v>
      </c>
      <c r="CD133" s="10">
        <f t="shared" si="81"/>
        <v>0</v>
      </c>
      <c r="CE133" s="10">
        <f t="shared" si="81"/>
        <v>0</v>
      </c>
      <c r="CF133" s="10">
        <f t="shared" si="81"/>
        <v>0</v>
      </c>
      <c r="CG133" s="10">
        <f t="shared" si="81"/>
        <v>0</v>
      </c>
      <c r="CH133" s="10">
        <f t="shared" si="81"/>
        <v>0</v>
      </c>
      <c r="CI133" s="10">
        <f t="shared" si="81"/>
        <v>0</v>
      </c>
      <c r="CK133" s="11"/>
      <c r="CM133" s="11"/>
      <c r="CY133" s="7" cm="1">
        <f t="array" ref="CY133">SUMPRODUCT(--NOT(ISNUMBER(V133:CI133)),--NOT(ISBLANK(V133:CI133)))</f>
        <v>0</v>
      </c>
      <c r="DF133" s="11"/>
      <c r="DG133">
        <f t="shared" si="71"/>
        <v>0</v>
      </c>
      <c r="DH133">
        <v>1</v>
      </c>
      <c r="DI133">
        <v>0</v>
      </c>
      <c r="EY133" s="12" t="str">
        <f>IF(C133="", "", CONCATENATE(D132, " ",D133))</f>
        <v>Loan 5 Opening Loan Balance</v>
      </c>
    </row>
    <row r="134" spans="1:155" s="5" customFormat="1" x14ac:dyDescent="0.35">
      <c r="A134" s="220" cm="1">
        <f t="array" aca="1" ref="A134" ca="1">HYPERLINK(CONCATENATE("#",CELL("address",IF(MAX($CM134:$DF134)=0,A134,INDEX($CM134:$DF134,MATCH(1,$CM134:$DF134,0))))),MAX($CM134:$DF134))</f>
        <v>0</v>
      </c>
      <c r="B134"/>
      <c r="C134" s="211" t="s">
        <v>1118</v>
      </c>
      <c r="D134" t="s">
        <v>1076</v>
      </c>
      <c r="E134" s="1"/>
      <c r="F134" s="1"/>
      <c r="G134"/>
      <c r="H134" s="9" t="s">
        <v>1074</v>
      </c>
      <c r="I134" s="40" t="s">
        <v>665</v>
      </c>
      <c r="J134"/>
      <c r="K134"/>
      <c r="L134"/>
      <c r="M134"/>
      <c r="N134"/>
      <c r="O134"/>
      <c r="P134"/>
      <c r="Q134"/>
      <c r="R134"/>
      <c r="S134"/>
      <c r="T134"/>
      <c r="U134"/>
      <c r="V134" s="109"/>
      <c r="W134" s="133">
        <f t="shared" ref="W134:Y136" si="82" xml:space="preserve"> SUMIFS($AA134:$BV134, $AA$3:$BV$3, W$3)</f>
        <v>0</v>
      </c>
      <c r="X134" s="133">
        <f t="shared" si="82"/>
        <v>0</v>
      </c>
      <c r="Y134" s="133">
        <f t="shared" si="82"/>
        <v>0</v>
      </c>
      <c r="Z13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c r="BX134" s="12">
        <f t="shared" si="80"/>
        <v>0</v>
      </c>
      <c r="BY134" s="12">
        <f t="shared" si="80"/>
        <v>0</v>
      </c>
      <c r="BZ134" s="12">
        <f t="shared" si="80"/>
        <v>0</v>
      </c>
      <c r="CA134" s="12">
        <f t="shared" si="80"/>
        <v>0</v>
      </c>
      <c r="CB134" s="133">
        <f xml:space="preserve"> SUMIFS($AA134:$BV134, $AA$3:$BV$3, CB$3)</f>
        <v>0</v>
      </c>
      <c r="CC134" s="109"/>
      <c r="CD134" s="109"/>
      <c r="CE134" s="109"/>
      <c r="CF134" s="109"/>
      <c r="CG134" s="109"/>
      <c r="CH134" s="109"/>
      <c r="CI134" s="109"/>
      <c r="CJ134"/>
      <c r="CK134" s="11"/>
      <c r="CL134" s="241">
        <f>IF(MIN($V134:$CI134)&lt;0, 1, 0)</f>
        <v>0</v>
      </c>
      <c r="CM134" s="11"/>
      <c r="CN134"/>
      <c r="CO134"/>
      <c r="CP134"/>
      <c r="CQ134"/>
      <c r="CR134"/>
      <c r="CS134"/>
      <c r="CT134"/>
      <c r="CU134"/>
      <c r="CV134"/>
      <c r="CW134"/>
      <c r="CX134"/>
      <c r="CY134" s="7" cm="1">
        <f t="array" ref="CY134">SUMPRODUCT(--NOT(ISNUMBER(V134:CI134)),--NOT(ISBLANK(V134:CI134)))</f>
        <v>0</v>
      </c>
      <c r="CZ134" s="7">
        <f t="shared" ref="CZ134:DB136" si="83">IF(ROUND(W134-SUMIFS($AA134:$BV134, $AA$3:$BV$3, W$3), rounding)=0, 0, 1)</f>
        <v>0</v>
      </c>
      <c r="DA134" s="7">
        <f t="shared" si="83"/>
        <v>0</v>
      </c>
      <c r="DB134" s="7">
        <f t="shared" si="83"/>
        <v>0</v>
      </c>
      <c r="DC134" s="7">
        <f>IF(ROUND(CB134-SUMIFS($AA134:$BV134, $AA$3:$BV$3, CB$3), rounding)=0, 0, 1)</f>
        <v>0</v>
      </c>
      <c r="DD134" s="7">
        <f>IF(ROUND(V134-BX134, rounding)=0, 0, 1)*'BS Forecasts'!$V$10</f>
        <v>0</v>
      </c>
      <c r="DE134"/>
      <c r="DF134" s="11"/>
      <c r="DG134">
        <f t="shared" si="71"/>
        <v>0</v>
      </c>
      <c r="DH134">
        <v>1</v>
      </c>
      <c r="DI134">
        <v>1</v>
      </c>
      <c r="EY134" s="12" t="str">
        <f>IF(C134="", "", CONCATENATE(D132, " ",D134))</f>
        <v>Loan 5 Drawdowns</v>
      </c>
    </row>
    <row r="135" spans="1:155" x14ac:dyDescent="0.35">
      <c r="A135" s="220" cm="1">
        <f t="array" aca="1" ref="A135" ca="1">HYPERLINK(CONCATENATE("#",CELL("address",IF(MAX($CM135:$DF135)=0,A135,INDEX($CM135:$DF135,MATCH(1,$CM135:$DF135,0))))),MAX($CM135:$DF135))</f>
        <v>0</v>
      </c>
      <c r="C135" s="211" t="s">
        <v>1119</v>
      </c>
      <c r="D135" t="s">
        <v>1078</v>
      </c>
      <c r="H135" s="9" t="s">
        <v>1074</v>
      </c>
      <c r="I135" s="40" t="s">
        <v>1079</v>
      </c>
      <c r="V135" s="109"/>
      <c r="W135" s="133">
        <f t="shared" si="82"/>
        <v>0</v>
      </c>
      <c r="X135" s="133">
        <f t="shared" si="82"/>
        <v>0</v>
      </c>
      <c r="Y135" s="133">
        <f t="shared" si="82"/>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X135" s="12">
        <f t="shared" si="80"/>
        <v>0</v>
      </c>
      <c r="BY135" s="12">
        <f t="shared" si="80"/>
        <v>0</v>
      </c>
      <c r="BZ135" s="12">
        <f t="shared" si="80"/>
        <v>0</v>
      </c>
      <c r="CA135" s="12">
        <f t="shared" si="80"/>
        <v>0</v>
      </c>
      <c r="CB135" s="133">
        <f xml:space="preserve"> SUMIFS($AA135:$BV135, $AA$3:$BV$3, CB$3)</f>
        <v>0</v>
      </c>
      <c r="CC135" s="109"/>
      <c r="CD135" s="109"/>
      <c r="CE135" s="109"/>
      <c r="CF135" s="109"/>
      <c r="CG135" s="109"/>
      <c r="CH135" s="109"/>
      <c r="CI135" s="109"/>
      <c r="CK135" s="11"/>
      <c r="CL135" s="241">
        <f>IF(MAX($V135:$CI135)&gt;0, 1, 0)</f>
        <v>0</v>
      </c>
      <c r="CM135" s="11"/>
      <c r="CY135" s="7" cm="1">
        <f t="array" ref="CY135">SUMPRODUCT(--NOT(ISNUMBER(V135:CI135)),--NOT(ISBLANK(V135:CI135)))</f>
        <v>0</v>
      </c>
      <c r="CZ135" s="7">
        <f t="shared" si="83"/>
        <v>0</v>
      </c>
      <c r="DA135" s="7">
        <f t="shared" si="83"/>
        <v>0</v>
      </c>
      <c r="DB135" s="7">
        <f t="shared" si="83"/>
        <v>0</v>
      </c>
      <c r="DC135" s="7">
        <f>IF(ROUND(CB135-SUMIFS($AA135:$BV135, $AA$3:$BV$3, CB$3), rounding)=0, 0, 1)</f>
        <v>0</v>
      </c>
      <c r="DD135" s="7">
        <f>IF(ROUND(V135-BX135, rounding)=0, 0, 1)*'BS Forecasts'!$V$10</f>
        <v>0</v>
      </c>
      <c r="DF135" s="11"/>
      <c r="DG135">
        <f t="shared" si="71"/>
        <v>0</v>
      </c>
      <c r="DH135">
        <v>1</v>
      </c>
      <c r="DI135">
        <v>1</v>
      </c>
      <c r="EY135" s="12" t="str">
        <f>IF(C135="", "", CONCATENATE(D132, " ",D135))</f>
        <v>Loan 5 Loan Capital Repayment (as per loan agreement)</v>
      </c>
    </row>
    <row r="136" spans="1:155" x14ac:dyDescent="0.35">
      <c r="A136" s="220" cm="1">
        <f t="array" aca="1" ref="A136" ca="1">HYPERLINK(CONCATENATE("#",CELL("address",IF(MAX($CM136:$DF136)=0,A136,INDEX($CM136:$DF136,MATCH(1,$CM136:$DF136,0))))),MAX($CM136:$DF136))</f>
        <v>0</v>
      </c>
      <c r="C136" s="211" t="s">
        <v>1120</v>
      </c>
      <c r="D136" t="s">
        <v>1081</v>
      </c>
      <c r="H136" s="9" t="s">
        <v>1074</v>
      </c>
      <c r="I136" s="40" t="s">
        <v>1079</v>
      </c>
      <c r="V136" s="109"/>
      <c r="W136" s="133">
        <f t="shared" si="82"/>
        <v>0</v>
      </c>
      <c r="X136" s="133">
        <f t="shared" si="82"/>
        <v>0</v>
      </c>
      <c r="Y136" s="133">
        <f t="shared" si="82"/>
        <v>0</v>
      </c>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X136" s="12">
        <f t="shared" si="80"/>
        <v>0</v>
      </c>
      <c r="BY136" s="12">
        <f t="shared" si="80"/>
        <v>0</v>
      </c>
      <c r="BZ136" s="12">
        <f t="shared" si="80"/>
        <v>0</v>
      </c>
      <c r="CA136" s="12">
        <f t="shared" si="80"/>
        <v>0</v>
      </c>
      <c r="CB136" s="133">
        <f xml:space="preserve"> SUMIFS($AA136:$BV136, $AA$3:$BV$3, CB$3)</f>
        <v>0</v>
      </c>
      <c r="CC136" s="109"/>
      <c r="CD136" s="109"/>
      <c r="CE136" s="109"/>
      <c r="CF136" s="109"/>
      <c r="CG136" s="109"/>
      <c r="CH136" s="109"/>
      <c r="CI136" s="109"/>
      <c r="CK136" s="11"/>
      <c r="CL136" s="241">
        <f>IF(MAX($V136:$CI136)&gt;0, 1, 0)</f>
        <v>0</v>
      </c>
      <c r="CM136" s="11"/>
      <c r="CY136" s="7" cm="1">
        <f t="array" ref="CY136">SUMPRODUCT(--NOT(ISNUMBER(V136:CI136)),--NOT(ISBLANK(V136:CI136)))</f>
        <v>0</v>
      </c>
      <c r="CZ136" s="7">
        <f t="shared" si="83"/>
        <v>0</v>
      </c>
      <c r="DA136" s="7">
        <f t="shared" si="83"/>
        <v>0</v>
      </c>
      <c r="DB136" s="7">
        <f t="shared" si="83"/>
        <v>0</v>
      </c>
      <c r="DC136" s="7">
        <f>IF(ROUND(CB136-SUMIFS($AA136:$BV136, $AA$3:$BV$3, CB$3), rounding)=0, 0, 1)</f>
        <v>0</v>
      </c>
      <c r="DD136" s="7">
        <f>IF(ROUND(V136-BX136, rounding)=0, 0, 1)*'BS Forecasts'!$V$10</f>
        <v>0</v>
      </c>
      <c r="DF136" s="11"/>
      <c r="DG136">
        <f t="shared" si="71"/>
        <v>0</v>
      </c>
      <c r="DH136">
        <v>1</v>
      </c>
      <c r="DI136">
        <v>1</v>
      </c>
      <c r="EY136" s="12" t="str">
        <f>IF(C136="", "", CONCATENATE(D132, " ",D136))</f>
        <v xml:space="preserve">Loan 5 Early Repayment </v>
      </c>
    </row>
    <row r="137" spans="1:155" x14ac:dyDescent="0.35">
      <c r="C137" s="211" t="s">
        <v>1121</v>
      </c>
      <c r="D137" t="s">
        <v>1083</v>
      </c>
      <c r="H137" s="9" t="s">
        <v>1074</v>
      </c>
      <c r="I137" s="40" t="s">
        <v>317</v>
      </c>
      <c r="V137" s="12">
        <f>$H$17</f>
        <v>0</v>
      </c>
      <c r="W137" s="10">
        <f>SUM(W133:W136)</f>
        <v>0</v>
      </c>
      <c r="X137" s="10">
        <f>SUM(X133:X136)</f>
        <v>0</v>
      </c>
      <c r="Y137" s="10">
        <f>SUM(Y133:Y136)</f>
        <v>0</v>
      </c>
      <c r="AA137" s="10">
        <f t="shared" ref="AA137:BV137" si="84">SUM(AA133:AA136)</f>
        <v>0</v>
      </c>
      <c r="AB137" s="10">
        <f t="shared" si="84"/>
        <v>0</v>
      </c>
      <c r="AC137" s="10">
        <f t="shared" si="84"/>
        <v>0</v>
      </c>
      <c r="AD137" s="10">
        <f t="shared" si="84"/>
        <v>0</v>
      </c>
      <c r="AE137" s="10">
        <f t="shared" si="84"/>
        <v>0</v>
      </c>
      <c r="AF137" s="10">
        <f t="shared" si="84"/>
        <v>0</v>
      </c>
      <c r="AG137" s="10">
        <f t="shared" si="84"/>
        <v>0</v>
      </c>
      <c r="AH137" s="10">
        <f t="shared" si="84"/>
        <v>0</v>
      </c>
      <c r="AI137" s="10">
        <f t="shared" si="84"/>
        <v>0</v>
      </c>
      <c r="AJ137" s="10">
        <f t="shared" si="84"/>
        <v>0</v>
      </c>
      <c r="AK137" s="10">
        <f t="shared" si="84"/>
        <v>0</v>
      </c>
      <c r="AL137" s="10">
        <f t="shared" si="84"/>
        <v>0</v>
      </c>
      <c r="AM137" s="10">
        <f t="shared" si="84"/>
        <v>0</v>
      </c>
      <c r="AN137" s="10">
        <f t="shared" si="84"/>
        <v>0</v>
      </c>
      <c r="AO137" s="10">
        <f t="shared" si="84"/>
        <v>0</v>
      </c>
      <c r="AP137" s="10">
        <f t="shared" si="84"/>
        <v>0</v>
      </c>
      <c r="AQ137" s="10">
        <f t="shared" si="84"/>
        <v>0</v>
      </c>
      <c r="AR137" s="10">
        <f t="shared" si="84"/>
        <v>0</v>
      </c>
      <c r="AS137" s="10">
        <f t="shared" si="84"/>
        <v>0</v>
      </c>
      <c r="AT137" s="10">
        <f t="shared" si="84"/>
        <v>0</v>
      </c>
      <c r="AU137" s="10">
        <f t="shared" si="84"/>
        <v>0</v>
      </c>
      <c r="AV137" s="10">
        <f t="shared" si="84"/>
        <v>0</v>
      </c>
      <c r="AW137" s="10">
        <f t="shared" si="84"/>
        <v>0</v>
      </c>
      <c r="AX137" s="10">
        <f t="shared" si="84"/>
        <v>0</v>
      </c>
      <c r="AY137" s="10">
        <f t="shared" si="84"/>
        <v>0</v>
      </c>
      <c r="AZ137" s="10">
        <f t="shared" si="84"/>
        <v>0</v>
      </c>
      <c r="BA137" s="10">
        <f t="shared" si="84"/>
        <v>0</v>
      </c>
      <c r="BB137" s="10">
        <f t="shared" si="84"/>
        <v>0</v>
      </c>
      <c r="BC137" s="10">
        <f t="shared" si="84"/>
        <v>0</v>
      </c>
      <c r="BD137" s="10">
        <f t="shared" si="84"/>
        <v>0</v>
      </c>
      <c r="BE137" s="10">
        <f t="shared" si="84"/>
        <v>0</v>
      </c>
      <c r="BF137" s="10">
        <f t="shared" si="84"/>
        <v>0</v>
      </c>
      <c r="BG137" s="10">
        <f t="shared" si="84"/>
        <v>0</v>
      </c>
      <c r="BH137" s="10">
        <f t="shared" si="84"/>
        <v>0</v>
      </c>
      <c r="BI137" s="10">
        <f t="shared" si="84"/>
        <v>0</v>
      </c>
      <c r="BJ137" s="10">
        <f t="shared" si="84"/>
        <v>0</v>
      </c>
      <c r="BK137" s="10">
        <f t="shared" si="84"/>
        <v>0</v>
      </c>
      <c r="BL137" s="10">
        <f t="shared" si="84"/>
        <v>0</v>
      </c>
      <c r="BM137" s="10">
        <f t="shared" si="84"/>
        <v>0</v>
      </c>
      <c r="BN137" s="10">
        <f t="shared" si="84"/>
        <v>0</v>
      </c>
      <c r="BO137" s="10">
        <f t="shared" si="84"/>
        <v>0</v>
      </c>
      <c r="BP137" s="10">
        <f t="shared" si="84"/>
        <v>0</v>
      </c>
      <c r="BQ137" s="10">
        <f t="shared" si="84"/>
        <v>0</v>
      </c>
      <c r="BR137" s="10">
        <f t="shared" si="84"/>
        <v>0</v>
      </c>
      <c r="BS137" s="10">
        <f t="shared" si="84"/>
        <v>0</v>
      </c>
      <c r="BT137" s="10">
        <f t="shared" si="84"/>
        <v>0</v>
      </c>
      <c r="BU137" s="10">
        <f t="shared" si="84"/>
        <v>0</v>
      </c>
      <c r="BV137" s="10">
        <f t="shared" si="84"/>
        <v>0</v>
      </c>
      <c r="BX137" s="12">
        <f t="shared" si="80"/>
        <v>0</v>
      </c>
      <c r="BY137" s="12">
        <f t="shared" si="80"/>
        <v>0</v>
      </c>
      <c r="BZ137" s="12">
        <f t="shared" si="80"/>
        <v>0</v>
      </c>
      <c r="CA137" s="12">
        <f t="shared" si="80"/>
        <v>0</v>
      </c>
      <c r="CB137" s="10">
        <f t="shared" ref="CB137:CI137" si="85">SUM(CB133:CB136)</f>
        <v>0</v>
      </c>
      <c r="CC137" s="10">
        <f t="shared" si="85"/>
        <v>0</v>
      </c>
      <c r="CD137" s="10">
        <f t="shared" si="85"/>
        <v>0</v>
      </c>
      <c r="CE137" s="10">
        <f t="shared" si="85"/>
        <v>0</v>
      </c>
      <c r="CF137" s="10">
        <f t="shared" si="85"/>
        <v>0</v>
      </c>
      <c r="CG137" s="10">
        <f t="shared" si="85"/>
        <v>0</v>
      </c>
      <c r="CH137" s="10">
        <f t="shared" si="85"/>
        <v>0</v>
      </c>
      <c r="CI137" s="10">
        <f t="shared" si="85"/>
        <v>0</v>
      </c>
      <c r="CK137" s="11"/>
      <c r="CM137" s="11"/>
      <c r="DF137" s="11"/>
      <c r="DG137">
        <f t="shared" si="71"/>
        <v>0</v>
      </c>
      <c r="DH137">
        <v>0</v>
      </c>
      <c r="DI137">
        <v>0</v>
      </c>
      <c r="EY137" s="12" t="str">
        <f>IF(C137="", "", CONCATENATE(D132, " ",D137))</f>
        <v>Loan 5 Closing Loan Balance</v>
      </c>
    </row>
    <row r="138" spans="1:155" ht="6.75" customHeight="1" x14ac:dyDescent="0.35">
      <c r="C138" s="211"/>
      <c r="D138" s="1"/>
      <c r="E138"/>
      <c r="F138"/>
      <c r="BY138" s="6"/>
      <c r="CK138" s="35"/>
      <c r="CM138" s="35"/>
      <c r="DF138" s="35"/>
      <c r="DG138">
        <f t="shared" si="71"/>
        <v>0</v>
      </c>
      <c r="DH138">
        <v>0</v>
      </c>
      <c r="DI138">
        <v>0</v>
      </c>
      <c r="EY138" s="12" t="str">
        <f>IF(C138="", "", CONCATENATE(D132, " ",D138))</f>
        <v/>
      </c>
    </row>
    <row r="139" spans="1:155" x14ac:dyDescent="0.35">
      <c r="A139" s="220" cm="1">
        <f t="array" aca="1" ref="A139" ca="1">HYPERLINK(CONCATENATE("#",CELL("address",IF(MAX($CM139:$DF139)=0,A139,INDEX($CM139:$DF139,MATCH(1,$CM139:$DF139,0))))),MAX($CM139:$DF139))</f>
        <v>0</v>
      </c>
      <c r="C139" s="211"/>
      <c r="D139" t="s">
        <v>1084</v>
      </c>
      <c r="E139" s="118" t="s">
        <v>1085</v>
      </c>
      <c r="F139" s="118"/>
      <c r="G139" s="10">
        <f>$G$17</f>
        <v>0</v>
      </c>
      <c r="V139" s="7">
        <f>IF(OR(V137&gt;$G139, V137&lt;0), 1, 0)</f>
        <v>0</v>
      </c>
      <c r="W139" s="7">
        <f>IF(OR(W137&gt;$G139, W137&lt;0), 1, 0)</f>
        <v>0</v>
      </c>
      <c r="X139" s="7">
        <f>IF(OR(X137&gt;$G139, X137&lt;0), 1, 0)</f>
        <v>0</v>
      </c>
      <c r="Y139" s="7">
        <f>IF(OR(Y137&gt;$G139, Y137&lt;0), 1, 0)</f>
        <v>0</v>
      </c>
      <c r="AA139" s="7">
        <f t="shared" ref="AA139:BV139" si="86">IF(OR(AA137&gt;$G139, AA137&lt;0), 1, 0)</f>
        <v>0</v>
      </c>
      <c r="AB139" s="7">
        <f t="shared" si="86"/>
        <v>0</v>
      </c>
      <c r="AC139" s="7">
        <f t="shared" si="86"/>
        <v>0</v>
      </c>
      <c r="AD139" s="7">
        <f t="shared" si="86"/>
        <v>0</v>
      </c>
      <c r="AE139" s="7">
        <f t="shared" si="86"/>
        <v>0</v>
      </c>
      <c r="AF139" s="7">
        <f t="shared" si="86"/>
        <v>0</v>
      </c>
      <c r="AG139" s="7">
        <f t="shared" si="86"/>
        <v>0</v>
      </c>
      <c r="AH139" s="7">
        <f t="shared" si="86"/>
        <v>0</v>
      </c>
      <c r="AI139" s="7">
        <f t="shared" si="86"/>
        <v>0</v>
      </c>
      <c r="AJ139" s="7">
        <f t="shared" si="86"/>
        <v>0</v>
      </c>
      <c r="AK139" s="7">
        <f t="shared" si="86"/>
        <v>0</v>
      </c>
      <c r="AL139" s="7">
        <f t="shared" si="86"/>
        <v>0</v>
      </c>
      <c r="AM139" s="7">
        <f t="shared" si="86"/>
        <v>0</v>
      </c>
      <c r="AN139" s="7">
        <f t="shared" si="86"/>
        <v>0</v>
      </c>
      <c r="AO139" s="7">
        <f t="shared" si="86"/>
        <v>0</v>
      </c>
      <c r="AP139" s="7">
        <f t="shared" si="86"/>
        <v>0</v>
      </c>
      <c r="AQ139" s="7">
        <f t="shared" si="86"/>
        <v>0</v>
      </c>
      <c r="AR139" s="7">
        <f t="shared" si="86"/>
        <v>0</v>
      </c>
      <c r="AS139" s="7">
        <f t="shared" si="86"/>
        <v>0</v>
      </c>
      <c r="AT139" s="7">
        <f t="shared" si="86"/>
        <v>0</v>
      </c>
      <c r="AU139" s="7">
        <f t="shared" si="86"/>
        <v>0</v>
      </c>
      <c r="AV139" s="7">
        <f t="shared" si="86"/>
        <v>0</v>
      </c>
      <c r="AW139" s="7">
        <f t="shared" si="86"/>
        <v>0</v>
      </c>
      <c r="AX139" s="7">
        <f t="shared" si="86"/>
        <v>0</v>
      </c>
      <c r="AY139" s="7">
        <f t="shared" si="86"/>
        <v>0</v>
      </c>
      <c r="AZ139" s="7">
        <f t="shared" si="86"/>
        <v>0</v>
      </c>
      <c r="BA139" s="7">
        <f t="shared" si="86"/>
        <v>0</v>
      </c>
      <c r="BB139" s="7">
        <f t="shared" si="86"/>
        <v>0</v>
      </c>
      <c r="BC139" s="7">
        <f t="shared" si="86"/>
        <v>0</v>
      </c>
      <c r="BD139" s="7">
        <f t="shared" si="86"/>
        <v>0</v>
      </c>
      <c r="BE139" s="7">
        <f t="shared" si="86"/>
        <v>0</v>
      </c>
      <c r="BF139" s="7">
        <f t="shared" si="86"/>
        <v>0</v>
      </c>
      <c r="BG139" s="7">
        <f t="shared" si="86"/>
        <v>0</v>
      </c>
      <c r="BH139" s="7">
        <f t="shared" si="86"/>
        <v>0</v>
      </c>
      <c r="BI139" s="7">
        <f t="shared" si="86"/>
        <v>0</v>
      </c>
      <c r="BJ139" s="7">
        <f t="shared" si="86"/>
        <v>0</v>
      </c>
      <c r="BK139" s="7">
        <f t="shared" si="86"/>
        <v>0</v>
      </c>
      <c r="BL139" s="7">
        <f t="shared" si="86"/>
        <v>0</v>
      </c>
      <c r="BM139" s="7">
        <f t="shared" si="86"/>
        <v>0</v>
      </c>
      <c r="BN139" s="7">
        <f t="shared" si="86"/>
        <v>0</v>
      </c>
      <c r="BO139" s="7">
        <f t="shared" si="86"/>
        <v>0</v>
      </c>
      <c r="BP139" s="7">
        <f t="shared" si="86"/>
        <v>0</v>
      </c>
      <c r="BQ139" s="7">
        <f t="shared" si="86"/>
        <v>0</v>
      </c>
      <c r="BR139" s="7">
        <f t="shared" si="86"/>
        <v>0</v>
      </c>
      <c r="BS139" s="7">
        <f t="shared" si="86"/>
        <v>0</v>
      </c>
      <c r="BT139" s="7">
        <f t="shared" si="86"/>
        <v>0</v>
      </c>
      <c r="BU139" s="7">
        <f t="shared" si="86"/>
        <v>0</v>
      </c>
      <c r="BV139" s="7">
        <f t="shared" si="86"/>
        <v>0</v>
      </c>
      <c r="BX139" s="7">
        <f t="shared" ref="BX139:CI139" si="87">IF(OR(BX137&gt;$G139, BX137&lt;0), 1, 0)</f>
        <v>0</v>
      </c>
      <c r="BY139" s="7">
        <f t="shared" si="87"/>
        <v>0</v>
      </c>
      <c r="BZ139" s="7">
        <f t="shared" si="87"/>
        <v>0</v>
      </c>
      <c r="CA139" s="7">
        <f t="shared" si="87"/>
        <v>0</v>
      </c>
      <c r="CB139" s="7">
        <f t="shared" si="87"/>
        <v>0</v>
      </c>
      <c r="CC139" s="7">
        <f t="shared" si="87"/>
        <v>0</v>
      </c>
      <c r="CD139" s="7">
        <f t="shared" si="87"/>
        <v>0</v>
      </c>
      <c r="CE139" s="7">
        <f t="shared" si="87"/>
        <v>0</v>
      </c>
      <c r="CF139" s="7">
        <f t="shared" si="87"/>
        <v>0</v>
      </c>
      <c r="CG139" s="7">
        <f t="shared" si="87"/>
        <v>0</v>
      </c>
      <c r="CH139" s="7">
        <f t="shared" si="87"/>
        <v>0</v>
      </c>
      <c r="CI139" s="7">
        <f t="shared" si="87"/>
        <v>0</v>
      </c>
      <c r="CK139" s="11"/>
      <c r="CM139" s="11"/>
      <c r="CX139" s="7">
        <f>IF(MAX(V139:CI139)&gt;0, 1, 0)</f>
        <v>0</v>
      </c>
      <c r="DF139" s="11"/>
      <c r="DG139">
        <f t="shared" si="71"/>
        <v>1</v>
      </c>
      <c r="DH139">
        <v>0</v>
      </c>
      <c r="DI139">
        <v>0</v>
      </c>
      <c r="EY139" s="12" t="str">
        <f>IF(C139="", "", CONCATENATE(D132, " ",D139))</f>
        <v/>
      </c>
    </row>
    <row r="140" spans="1:155" x14ac:dyDescent="0.35">
      <c r="A140" s="220" cm="1">
        <f t="array" aca="1" ref="A140" ca="1">HYPERLINK(CONCATENATE("#",CELL("address",IF(MAX($CM140:$DF140)=0,A140,INDEX($CM140:$DF140,MATCH(1,$CM140:$DF140,0))))),MAX($CM140:$DF140))</f>
        <v>0</v>
      </c>
      <c r="C140" s="211"/>
      <c r="D140" t="s">
        <v>1086</v>
      </c>
      <c r="E140" s="118" t="s">
        <v>1087</v>
      </c>
      <c r="F140" s="118"/>
      <c r="G140" s="117" t="str">
        <f>IF($K$17="", "", $K$17)</f>
        <v/>
      </c>
      <c r="V140" s="7">
        <f>IF(AND(V$5&gt;=$G140,SUM(V137:$Y137)&lt;&gt;0),1,0)</f>
        <v>0</v>
      </c>
      <c r="W140" s="7">
        <f>IF(AND(W$5&gt;=$G140,SUM(W137:$Y137)&lt;&gt;0),1,0)</f>
        <v>0</v>
      </c>
      <c r="X140" s="7">
        <f>IF(AND(X$5&gt;=$G140,SUM(X137:$Y137)&lt;&gt;0),1,0)</f>
        <v>0</v>
      </c>
      <c r="Y140" s="7">
        <f>IF(AND(Y$5&gt;=$G140,SUM(Y137:$Y137)&lt;&gt;0),1,0)</f>
        <v>0</v>
      </c>
      <c r="AA140" s="7">
        <f>IF(AND(AA$5&gt;=$G140,SUM(AA137:$BV137)&lt;&gt;0),1,0)</f>
        <v>0</v>
      </c>
      <c r="AB140" s="7">
        <f>IF(AND(AB$5&gt;=$G140,SUM(AB137:$BV137)&lt;&gt;0),1,0)</f>
        <v>0</v>
      </c>
      <c r="AC140" s="7">
        <f>IF(AND(AC$5&gt;=$G140,SUM(AC137:$BV137)&lt;&gt;0),1,0)</f>
        <v>0</v>
      </c>
      <c r="AD140" s="7">
        <f>IF(AND(AD$5&gt;=$G140,SUM(AD137:$BV137)&lt;&gt;0),1,0)</f>
        <v>0</v>
      </c>
      <c r="AE140" s="7">
        <f>IF(AND(AE$5&gt;=$G140,SUM(AE137:$BV137)&lt;&gt;0),1,0)</f>
        <v>0</v>
      </c>
      <c r="AF140" s="7">
        <f>IF(AND(AF$5&gt;=$G140,SUM(AF137:$BV137)&lt;&gt;0),1,0)</f>
        <v>0</v>
      </c>
      <c r="AG140" s="7">
        <f>IF(AND(AG$5&gt;=$G140,SUM(AG137:$BV137)&lt;&gt;0),1,0)</f>
        <v>0</v>
      </c>
      <c r="AH140" s="7">
        <f>IF(AND(AH$5&gt;=$G140,SUM(AH137:$BV137)&lt;&gt;0),1,0)</f>
        <v>0</v>
      </c>
      <c r="AI140" s="7">
        <f>IF(AND(AI$5&gt;=$G140,SUM(AI137:$BV137)&lt;&gt;0),1,0)</f>
        <v>0</v>
      </c>
      <c r="AJ140" s="7">
        <f>IF(AND(AJ$5&gt;=$G140,SUM(AJ137:$BV137)&lt;&gt;0),1,0)</f>
        <v>0</v>
      </c>
      <c r="AK140" s="7">
        <f>IF(AND(AK$5&gt;=$G140,SUM(AK137:$BV137)&lt;&gt;0),1,0)</f>
        <v>0</v>
      </c>
      <c r="AL140" s="7">
        <f>IF(AND(AL$5&gt;=$G140,SUM(AL137:$BV137)&lt;&gt;0),1,0)</f>
        <v>0</v>
      </c>
      <c r="AM140" s="7">
        <f>IF(AND(AM$5&gt;=$G140,SUM(AM137:$BV137)&lt;&gt;0),1,0)</f>
        <v>0</v>
      </c>
      <c r="AN140" s="7">
        <f>IF(AND(AN$5&gt;=$G140,SUM(AN137:$BV137)&lt;&gt;0),1,0)</f>
        <v>0</v>
      </c>
      <c r="AO140" s="7">
        <f>IF(AND(AO$5&gt;=$G140,SUM(AO137:$BV137)&lt;&gt;0),1,0)</f>
        <v>0</v>
      </c>
      <c r="AP140" s="7">
        <f>IF(AND(AP$5&gt;=$G140,SUM(AP137:$BV137)&lt;&gt;0),1,0)</f>
        <v>0</v>
      </c>
      <c r="AQ140" s="7">
        <f>IF(AND(AQ$5&gt;=$G140,SUM(AQ137:$BV137)&lt;&gt;0),1,0)</f>
        <v>0</v>
      </c>
      <c r="AR140" s="7">
        <f>IF(AND(AR$5&gt;=$G140,SUM(AR137:$BV137)&lt;&gt;0),1,0)</f>
        <v>0</v>
      </c>
      <c r="AS140" s="7">
        <f>IF(AND(AS$5&gt;=$G140,SUM(AS137:$BV137)&lt;&gt;0),1,0)</f>
        <v>0</v>
      </c>
      <c r="AT140" s="7">
        <f>IF(AND(AT$5&gt;=$G140,SUM(AT137:$BV137)&lt;&gt;0),1,0)</f>
        <v>0</v>
      </c>
      <c r="AU140" s="7">
        <f>IF(AND(AU$5&gt;=$G140,SUM(AU137:$BV137)&lt;&gt;0),1,0)</f>
        <v>0</v>
      </c>
      <c r="AV140" s="7">
        <f>IF(AND(AV$5&gt;=$G140,SUM(AV137:$BV137)&lt;&gt;0),1,0)</f>
        <v>0</v>
      </c>
      <c r="AW140" s="7">
        <f>IF(AND(AW$5&gt;=$G140,SUM(AW137:$BV137)&lt;&gt;0),1,0)</f>
        <v>0</v>
      </c>
      <c r="AX140" s="7">
        <f>IF(AND(AX$5&gt;=$G140,SUM(AX137:$BV137)&lt;&gt;0),1,0)</f>
        <v>0</v>
      </c>
      <c r="AY140" s="7">
        <f>IF(AND(AY$5&gt;=$G140,SUM(AY137:$BV137)&lt;&gt;0),1,0)</f>
        <v>0</v>
      </c>
      <c r="AZ140" s="7">
        <f>IF(AND(AZ$5&gt;=$G140,SUM(AZ137:$BV137)&lt;&gt;0),1,0)</f>
        <v>0</v>
      </c>
      <c r="BA140" s="7">
        <f>IF(AND(BA$5&gt;=$G140,SUM(BA137:$BV137)&lt;&gt;0),1,0)</f>
        <v>0</v>
      </c>
      <c r="BB140" s="7">
        <f>IF(AND(BB$5&gt;=$G140,SUM(BB137:$BV137)&lt;&gt;0),1,0)</f>
        <v>0</v>
      </c>
      <c r="BC140" s="7">
        <f>IF(AND(BC$5&gt;=$G140,SUM(BC137:$BV137)&lt;&gt;0),1,0)</f>
        <v>0</v>
      </c>
      <c r="BD140" s="7">
        <f>IF(AND(BD$5&gt;=$G140,SUM(BD137:$BV137)&lt;&gt;0),1,0)</f>
        <v>0</v>
      </c>
      <c r="BE140" s="7">
        <f>IF(AND(BE$5&gt;=$G140,SUM(BE137:$BV137)&lt;&gt;0),1,0)</f>
        <v>0</v>
      </c>
      <c r="BF140" s="7">
        <f>IF(AND(BF$5&gt;=$G140,SUM(BF137:$BV137)&lt;&gt;0),1,0)</f>
        <v>0</v>
      </c>
      <c r="BG140" s="7">
        <f>IF(AND(BG$5&gt;=$G140,SUM(BG137:$BV137)&lt;&gt;0),1,0)</f>
        <v>0</v>
      </c>
      <c r="BH140" s="7">
        <f>IF(AND(BH$5&gt;=$G140,SUM(BH137:$BV137)&lt;&gt;0),1,0)</f>
        <v>0</v>
      </c>
      <c r="BI140" s="7">
        <f>IF(AND(BI$5&gt;=$G140,SUM(BI137:$BV137)&lt;&gt;0),1,0)</f>
        <v>0</v>
      </c>
      <c r="BJ140" s="7">
        <f>IF(AND(BJ$5&gt;=$G140,SUM(BJ137:$BV137)&lt;&gt;0),1,0)</f>
        <v>0</v>
      </c>
      <c r="BK140" s="7">
        <f>IF(AND(BK$5&gt;=$G140,SUM(BK137:$BV137)&lt;&gt;0),1,0)</f>
        <v>0</v>
      </c>
      <c r="BL140" s="7">
        <f>IF(AND(BL$5&gt;=$G140,SUM(BL137:$BV137)&lt;&gt;0),1,0)</f>
        <v>0</v>
      </c>
      <c r="BM140" s="7">
        <f>IF(AND(BM$5&gt;=$G140,SUM(BM137:$BV137)&lt;&gt;0),1,0)</f>
        <v>0</v>
      </c>
      <c r="BN140" s="7">
        <f>IF(AND(BN$5&gt;=$G140,SUM(BN137:$BV137)&lt;&gt;0),1,0)</f>
        <v>0</v>
      </c>
      <c r="BO140" s="7">
        <f>IF(AND(BO$5&gt;=$G140,SUM(BO137:$BV137)&lt;&gt;0),1,0)</f>
        <v>0</v>
      </c>
      <c r="BP140" s="7">
        <f>IF(AND(BP$5&gt;=$G140,SUM(BP137:$BV137)&lt;&gt;0),1,0)</f>
        <v>0</v>
      </c>
      <c r="BQ140" s="7">
        <f>IF(AND(BQ$5&gt;=$G140,SUM(BQ137:$BV137)&lt;&gt;0),1,0)</f>
        <v>0</v>
      </c>
      <c r="BR140" s="7">
        <f>IF(AND(BR$5&gt;=$G140,SUM(BR137:$BV137)&lt;&gt;0),1,0)</f>
        <v>0</v>
      </c>
      <c r="BS140" s="7">
        <f>IF(AND(BS$5&gt;=$G140,SUM(BS137:$BV137)&lt;&gt;0),1,0)</f>
        <v>0</v>
      </c>
      <c r="BT140" s="7">
        <f>IF(AND(BT$5&gt;=$G140,SUM(BT137:$BV137)&lt;&gt;0),1,0)</f>
        <v>0</v>
      </c>
      <c r="BU140" s="7">
        <f>IF(AND(BU$5&gt;=$G140,SUM(BU137:$BV137)&lt;&gt;0),1,0)</f>
        <v>0</v>
      </c>
      <c r="BV140" s="7">
        <f>IF(AND(BV$5&gt;=$G140,SUM(BV137:$BV137)&lt;&gt;0),1,0)</f>
        <v>0</v>
      </c>
      <c r="BX140" s="7">
        <f>IF(AND(BX$5&gt;=$G140,SUM(BX137:$CI137)&lt;&gt;0),1,0)*BX$1159</f>
        <v>0</v>
      </c>
      <c r="BY140" s="7">
        <f>IF(AND(BY$5&gt;=$G140,SUM(BY137:$CI137)&lt;&gt;0),1,0)*BY$1159</f>
        <v>0</v>
      </c>
      <c r="BZ140" s="7">
        <f>IF(AND(BZ$5&gt;=$G140,SUM(BZ137:$CI137)&lt;&gt;0),1,0)*BZ$1159</f>
        <v>0</v>
      </c>
      <c r="CA140" s="7">
        <f>IF(AND(CA$5&gt;=$G140,SUM(CA137:$CI137)&lt;&gt;0),1,0)*CA$1159</f>
        <v>0</v>
      </c>
      <c r="CB140" s="7">
        <f>IF(AND(CB$5&gt;=$G140,SUM(CB137:$CI137)&lt;&gt;0),1,0)*CB$1159</f>
        <v>0</v>
      </c>
      <c r="CC140" s="7">
        <f>IF(AND(CC$5&gt;=$G140,SUM(CC137:$CI137)&lt;&gt;0),1,0)*CC$1159</f>
        <v>0</v>
      </c>
      <c r="CD140" s="7">
        <f>IF(AND(CD$5&gt;=$G140,SUM(CD137:$CI137)&lt;&gt;0),1,0)*CD$1159</f>
        <v>0</v>
      </c>
      <c r="CE140" s="7">
        <f>IF(AND(CE$5&gt;=$G140,SUM(CE137:$CI137)&lt;&gt;0),1,0)*CE$1159</f>
        <v>0</v>
      </c>
      <c r="CF140" s="7">
        <f>IF(AND(CF$5&gt;=$G140,SUM(CF137:$CI137)&lt;&gt;0),1,0)*CF$1159</f>
        <v>0</v>
      </c>
      <c r="CG140" s="7">
        <f>IF(AND(CG$5&gt;=$G140,SUM(CG137:$CI137)&lt;&gt;0),1,0)*CG$1159</f>
        <v>0</v>
      </c>
      <c r="CH140" s="7">
        <f>IF(AND(CH$5&gt;=$G140,SUM(CH137:$CI137)&lt;&gt;0),1,0)*CH$1159</f>
        <v>0</v>
      </c>
      <c r="CI140" s="7">
        <f>IF(AND(CI$5&gt;=$G140,SUM(CI137:$CI137)&lt;&gt;0),1,0)*CI$1159</f>
        <v>0</v>
      </c>
      <c r="CK140" s="11"/>
      <c r="CM140" s="11"/>
      <c r="CX140" s="7">
        <f>IF(MAX($V140:$CI140)&gt;0, 1, 0)</f>
        <v>0</v>
      </c>
      <c r="DF140" s="11"/>
      <c r="DG140">
        <f t="shared" si="71"/>
        <v>1</v>
      </c>
      <c r="DH140">
        <v>0</v>
      </c>
      <c r="DI140">
        <v>0</v>
      </c>
      <c r="EY140" s="12" t="str">
        <f>IF(C140="", "", CONCATENATE(D132, " ",D140))</f>
        <v/>
      </c>
    </row>
    <row r="141" spans="1:155" ht="6.75" customHeight="1" x14ac:dyDescent="0.35">
      <c r="C141" s="211"/>
      <c r="D141" s="1"/>
      <c r="E141"/>
      <c r="F141"/>
      <c r="BY141" s="6"/>
      <c r="CK141" s="35"/>
      <c r="CM141" s="35"/>
      <c r="DF141" s="35"/>
      <c r="DG141">
        <f t="shared" si="71"/>
        <v>0</v>
      </c>
      <c r="DH141">
        <v>0</v>
      </c>
      <c r="DI141">
        <v>0</v>
      </c>
      <c r="EY141" s="12" t="str">
        <f>IF(C141="", "", CONCATENATE(D132, " ",D141))</f>
        <v/>
      </c>
    </row>
    <row r="142" spans="1:155" x14ac:dyDescent="0.35">
      <c r="C142" s="211"/>
      <c r="D142" t="s">
        <v>1088</v>
      </c>
      <c r="H142" s="9" t="s">
        <v>1074</v>
      </c>
      <c r="I142" s="40" t="s">
        <v>317</v>
      </c>
      <c r="V142" s="109"/>
      <c r="W142" s="133">
        <f>V145</f>
        <v>0</v>
      </c>
      <c r="X142" s="133">
        <f>W145</f>
        <v>0</v>
      </c>
      <c r="Y142" s="10">
        <f>X145</f>
        <v>0</v>
      </c>
      <c r="AA142" s="12">
        <f>W142</f>
        <v>0</v>
      </c>
      <c r="AB142" s="10">
        <f t="shared" ref="AB142:BV142" si="88">AA145</f>
        <v>0</v>
      </c>
      <c r="AC142" s="10">
        <f t="shared" si="88"/>
        <v>0</v>
      </c>
      <c r="AD142" s="10">
        <f t="shared" si="88"/>
        <v>0</v>
      </c>
      <c r="AE142" s="10">
        <f t="shared" si="88"/>
        <v>0</v>
      </c>
      <c r="AF142" s="10">
        <f t="shared" si="88"/>
        <v>0</v>
      </c>
      <c r="AG142" s="10">
        <f t="shared" si="88"/>
        <v>0</v>
      </c>
      <c r="AH142" s="10">
        <f t="shared" si="88"/>
        <v>0</v>
      </c>
      <c r="AI142" s="10">
        <f t="shared" si="88"/>
        <v>0</v>
      </c>
      <c r="AJ142" s="10">
        <f t="shared" si="88"/>
        <v>0</v>
      </c>
      <c r="AK142" s="10">
        <f t="shared" si="88"/>
        <v>0</v>
      </c>
      <c r="AL142" s="10">
        <f t="shared" si="88"/>
        <v>0</v>
      </c>
      <c r="AM142" s="10">
        <f t="shared" si="88"/>
        <v>0</v>
      </c>
      <c r="AN142" s="10">
        <f t="shared" si="88"/>
        <v>0</v>
      </c>
      <c r="AO142" s="10">
        <f t="shared" si="88"/>
        <v>0</v>
      </c>
      <c r="AP142" s="10">
        <f t="shared" si="88"/>
        <v>0</v>
      </c>
      <c r="AQ142" s="10">
        <f t="shared" si="88"/>
        <v>0</v>
      </c>
      <c r="AR142" s="10">
        <f t="shared" si="88"/>
        <v>0</v>
      </c>
      <c r="AS142" s="10">
        <f t="shared" si="88"/>
        <v>0</v>
      </c>
      <c r="AT142" s="10">
        <f t="shared" si="88"/>
        <v>0</v>
      </c>
      <c r="AU142" s="10">
        <f t="shared" si="88"/>
        <v>0</v>
      </c>
      <c r="AV142" s="10">
        <f t="shared" si="88"/>
        <v>0</v>
      </c>
      <c r="AW142" s="10">
        <f t="shared" si="88"/>
        <v>0</v>
      </c>
      <c r="AX142" s="10">
        <f t="shared" si="88"/>
        <v>0</v>
      </c>
      <c r="AY142" s="10">
        <f t="shared" si="88"/>
        <v>0</v>
      </c>
      <c r="AZ142" s="10">
        <f t="shared" si="88"/>
        <v>0</v>
      </c>
      <c r="BA142" s="10">
        <f t="shared" si="88"/>
        <v>0</v>
      </c>
      <c r="BB142" s="10">
        <f t="shared" si="88"/>
        <v>0</v>
      </c>
      <c r="BC142" s="10">
        <f t="shared" si="88"/>
        <v>0</v>
      </c>
      <c r="BD142" s="10">
        <f t="shared" si="88"/>
        <v>0</v>
      </c>
      <c r="BE142" s="10">
        <f t="shared" si="88"/>
        <v>0</v>
      </c>
      <c r="BF142" s="10">
        <f t="shared" si="88"/>
        <v>0</v>
      </c>
      <c r="BG142" s="10">
        <f t="shared" si="88"/>
        <v>0</v>
      </c>
      <c r="BH142" s="10">
        <f t="shared" si="88"/>
        <v>0</v>
      </c>
      <c r="BI142" s="10">
        <f t="shared" si="88"/>
        <v>0</v>
      </c>
      <c r="BJ142" s="10">
        <f t="shared" si="88"/>
        <v>0</v>
      </c>
      <c r="BK142" s="10">
        <f t="shared" si="88"/>
        <v>0</v>
      </c>
      <c r="BL142" s="10">
        <f t="shared" si="88"/>
        <v>0</v>
      </c>
      <c r="BM142" s="10">
        <f t="shared" si="88"/>
        <v>0</v>
      </c>
      <c r="BN142" s="10">
        <f t="shared" si="88"/>
        <v>0</v>
      </c>
      <c r="BO142" s="10">
        <f t="shared" si="88"/>
        <v>0</v>
      </c>
      <c r="BP142" s="10">
        <f t="shared" si="88"/>
        <v>0</v>
      </c>
      <c r="BQ142" s="10">
        <f t="shared" si="88"/>
        <v>0</v>
      </c>
      <c r="BR142" s="10">
        <f t="shared" si="88"/>
        <v>0</v>
      </c>
      <c r="BS142" s="10">
        <f t="shared" si="88"/>
        <v>0</v>
      </c>
      <c r="BT142" s="10">
        <f t="shared" si="88"/>
        <v>0</v>
      </c>
      <c r="BU142" s="10">
        <f t="shared" si="88"/>
        <v>0</v>
      </c>
      <c r="BV142" s="10">
        <f t="shared" si="88"/>
        <v>0</v>
      </c>
      <c r="BX142" s="12">
        <f t="shared" ref="BX142:CA145" si="89">V142</f>
        <v>0</v>
      </c>
      <c r="BY142" s="12">
        <f t="shared" si="89"/>
        <v>0</v>
      </c>
      <c r="BZ142" s="12">
        <f t="shared" si="89"/>
        <v>0</v>
      </c>
      <c r="CA142" s="12">
        <f t="shared" si="89"/>
        <v>0</v>
      </c>
      <c r="CB142" s="10">
        <f t="shared" ref="CB142:CI142" si="90">CA145</f>
        <v>0</v>
      </c>
      <c r="CC142" s="10">
        <f t="shared" si="90"/>
        <v>0</v>
      </c>
      <c r="CD142" s="10">
        <f t="shared" si="90"/>
        <v>0</v>
      </c>
      <c r="CE142" s="10">
        <f t="shared" si="90"/>
        <v>0</v>
      </c>
      <c r="CF142" s="10">
        <f t="shared" si="90"/>
        <v>0</v>
      </c>
      <c r="CG142" s="10">
        <f t="shared" si="90"/>
        <v>0</v>
      </c>
      <c r="CH142" s="10">
        <f t="shared" si="90"/>
        <v>0</v>
      </c>
      <c r="CI142" s="10">
        <f t="shared" si="90"/>
        <v>0</v>
      </c>
      <c r="CK142" s="11"/>
      <c r="CM142" s="11"/>
      <c r="CY142" s="7" cm="1">
        <f t="array" ref="CY142">SUMPRODUCT(--NOT(ISNUMBER(V142:CI142)),--NOT(ISBLANK(V142:CI142)))</f>
        <v>0</v>
      </c>
      <c r="DF142" s="11"/>
      <c r="DG142">
        <f t="shared" si="71"/>
        <v>0</v>
      </c>
      <c r="DH142">
        <v>1</v>
      </c>
      <c r="DI142">
        <v>0</v>
      </c>
      <c r="EY142" s="12" t="str">
        <f>IF(C142="", "", CONCATENATE(D132, " ",D142))</f>
        <v/>
      </c>
    </row>
    <row r="143" spans="1:155" s="5" customFormat="1" x14ac:dyDescent="0.35">
      <c r="A143" s="220" cm="1">
        <f t="array" aca="1" ref="A143" ca="1">HYPERLINK(CONCATENATE("#",CELL("address",IF(MAX($CM143:$DF143)=0,A143,INDEX($CM143:$DF143,MATCH(1,$CM143:$DF143,0))))),MAX($CM143:$DF143))</f>
        <v>0</v>
      </c>
      <c r="B143" s="85" t="s">
        <v>122</v>
      </c>
      <c r="C143" s="211"/>
      <c r="D143" t="s">
        <v>1089</v>
      </c>
      <c r="E143" s="1"/>
      <c r="F143" s="1"/>
      <c r="G143"/>
      <c r="H143" s="9" t="s">
        <v>1074</v>
      </c>
      <c r="I143" s="40" t="s">
        <v>665</v>
      </c>
      <c r="J143"/>
      <c r="K143"/>
      <c r="L143"/>
      <c r="M143"/>
      <c r="N143"/>
      <c r="O143"/>
      <c r="P143"/>
      <c r="Q143"/>
      <c r="R143"/>
      <c r="S143"/>
      <c r="T143"/>
      <c r="U143"/>
      <c r="V143" s="109"/>
      <c r="W143" s="133">
        <f t="shared" ref="W143:Y144" si="91" xml:space="preserve"> SUMIFS($AA143:$BV143, $AA$3:$BV$3, W$3)</f>
        <v>0</v>
      </c>
      <c r="X143" s="133">
        <f t="shared" si="91"/>
        <v>0</v>
      </c>
      <c r="Y143" s="133">
        <f t="shared" si="91"/>
        <v>0</v>
      </c>
      <c r="Z143"/>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c r="BX143" s="12">
        <f t="shared" si="89"/>
        <v>0</v>
      </c>
      <c r="BY143" s="12">
        <f t="shared" si="89"/>
        <v>0</v>
      </c>
      <c r="BZ143" s="12">
        <f t="shared" si="89"/>
        <v>0</v>
      </c>
      <c r="CA143" s="12">
        <f t="shared" si="89"/>
        <v>0</v>
      </c>
      <c r="CB143" s="133">
        <f xml:space="preserve"> SUMIFS($AA143:$BV143, $AA$3:$BV$3, CB$3)</f>
        <v>0</v>
      </c>
      <c r="CC143" s="109"/>
      <c r="CD143" s="109"/>
      <c r="CE143" s="109"/>
      <c r="CF143" s="109"/>
      <c r="CG143" s="109"/>
      <c r="CH143" s="109"/>
      <c r="CI143" s="109"/>
      <c r="CJ143"/>
      <c r="CK143" s="11"/>
      <c r="CL143" s="241">
        <f>IF(MIN($V143:$CI143)&lt;0, 1, 0)</f>
        <v>0</v>
      </c>
      <c r="CM143" s="11"/>
      <c r="CN143"/>
      <c r="CO143"/>
      <c r="CP143"/>
      <c r="CQ143"/>
      <c r="CR143"/>
      <c r="CS143"/>
      <c r="CT143"/>
      <c r="CU143"/>
      <c r="CV143"/>
      <c r="CW143"/>
      <c r="CX143"/>
      <c r="CY143" s="7" cm="1">
        <f t="array" ref="CY143">SUMPRODUCT(--NOT(ISNUMBER(V143:CI143)),--NOT(ISBLANK(V143:CI143)))</f>
        <v>0</v>
      </c>
      <c r="CZ143" s="7">
        <f t="shared" ref="CZ143:DB144" si="92">IF(ROUND(W143-SUMIFS($AA143:$BV143, $AA$3:$BV$3, W$3), rounding)=0, 0, 1)</f>
        <v>0</v>
      </c>
      <c r="DA143" s="7">
        <f t="shared" si="92"/>
        <v>0</v>
      </c>
      <c r="DB143" s="7">
        <f t="shared" si="92"/>
        <v>0</v>
      </c>
      <c r="DC143" s="7">
        <f>IF(ROUND(CB143-SUMIFS($AA143:$BV143, $AA$3:$BV$3, CB$3), rounding)=0, 0, 1)</f>
        <v>0</v>
      </c>
      <c r="DD143" s="7">
        <f>IF(ROUND(V143-BX143, rounding)=0, 0, 1)*'BS Forecasts'!$V$10</f>
        <v>0</v>
      </c>
      <c r="DE143"/>
      <c r="DF143" s="11"/>
      <c r="DG143">
        <f t="shared" si="71"/>
        <v>0</v>
      </c>
      <c r="DH143">
        <v>1</v>
      </c>
      <c r="DI143">
        <v>1</v>
      </c>
      <c r="EY143" s="12" t="str">
        <f>IF(C143="", "", CONCATENATE(D132, " ",D143))</f>
        <v/>
      </c>
    </row>
    <row r="144" spans="1:155" x14ac:dyDescent="0.35">
      <c r="A144" s="220" cm="1">
        <f t="array" aca="1" ref="A144" ca="1">HYPERLINK(CONCATENATE("#",CELL("address",IF(MAX($CM144:$DF144)=0,A144,INDEX($CM144:$DF144,MATCH(1,$CM144:$DF144,0))))),MAX($CM144:$DF144))</f>
        <v>0</v>
      </c>
      <c r="B144" s="85" t="s">
        <v>122</v>
      </c>
      <c r="C144" s="211"/>
      <c r="D144" t="s">
        <v>1090</v>
      </c>
      <c r="H144" s="9" t="s">
        <v>1074</v>
      </c>
      <c r="I144" s="40" t="s">
        <v>1079</v>
      </c>
      <c r="V144" s="109"/>
      <c r="W144" s="133">
        <f t="shared" si="91"/>
        <v>0</v>
      </c>
      <c r="X144" s="133">
        <f t="shared" si="91"/>
        <v>0</v>
      </c>
      <c r="Y144" s="133">
        <f t="shared" si="91"/>
        <v>0</v>
      </c>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X144" s="12">
        <f t="shared" si="89"/>
        <v>0</v>
      </c>
      <c r="BY144" s="12">
        <f t="shared" si="89"/>
        <v>0</v>
      </c>
      <c r="BZ144" s="12">
        <f t="shared" si="89"/>
        <v>0</v>
      </c>
      <c r="CA144" s="12">
        <f t="shared" si="89"/>
        <v>0</v>
      </c>
      <c r="CB144" s="133">
        <f xml:space="preserve"> SUMIFS($AA144:$BV144, $AA$3:$BV$3, CB$3)</f>
        <v>0</v>
      </c>
      <c r="CC144" s="109"/>
      <c r="CD144" s="109"/>
      <c r="CE144" s="109"/>
      <c r="CF144" s="109"/>
      <c r="CG144" s="109"/>
      <c r="CH144" s="109"/>
      <c r="CI144" s="109"/>
      <c r="CK144" s="11"/>
      <c r="CL144" s="241">
        <f>IF(MAX($V144:$CI144)&gt;0, 1, 0)</f>
        <v>0</v>
      </c>
      <c r="CM144" s="11"/>
      <c r="CY144" s="7" cm="1">
        <f t="array" ref="CY144">SUMPRODUCT(--NOT(ISNUMBER(V144:CI144)),--NOT(ISBLANK(V144:CI144)))</f>
        <v>0</v>
      </c>
      <c r="CZ144" s="7">
        <f t="shared" si="92"/>
        <v>0</v>
      </c>
      <c r="DA144" s="7">
        <f t="shared" si="92"/>
        <v>0</v>
      </c>
      <c r="DB144" s="7">
        <f t="shared" si="92"/>
        <v>0</v>
      </c>
      <c r="DC144" s="7">
        <f>IF(ROUND(CB144-SUMIFS($AA144:$BV144, $AA$3:$BV$3, CB$3), rounding)=0, 0, 1)</f>
        <v>0</v>
      </c>
      <c r="DD144" s="7">
        <f>IF(ROUND(V144-BX144, rounding)=0, 0, 1)*'BS Forecasts'!$V$10</f>
        <v>0</v>
      </c>
      <c r="DF144" s="11"/>
      <c r="DG144">
        <f t="shared" si="71"/>
        <v>0</v>
      </c>
      <c r="DH144">
        <v>1</v>
      </c>
      <c r="DI144">
        <v>1</v>
      </c>
      <c r="EY144" s="12" t="str">
        <f>IF(C144="", "", CONCATENATE(D132, " ",D144))</f>
        <v/>
      </c>
    </row>
    <row r="145" spans="1:155" x14ac:dyDescent="0.35">
      <c r="C145" s="211"/>
      <c r="D145" t="s">
        <v>1091</v>
      </c>
      <c r="H145" s="9" t="s">
        <v>1074</v>
      </c>
      <c r="I145" s="40" t="s">
        <v>317</v>
      </c>
      <c r="V145" s="12">
        <f>$I$17</f>
        <v>0</v>
      </c>
      <c r="W145" s="10">
        <f>SUM(W142:W144)</f>
        <v>0</v>
      </c>
      <c r="X145" s="10">
        <f>SUM(X142:X144)</f>
        <v>0</v>
      </c>
      <c r="Y145" s="10">
        <f>SUM(Y142:Y144)</f>
        <v>0</v>
      </c>
      <c r="AA145" s="10">
        <f t="shared" ref="AA145:BV145" si="93">SUM(AA142:AA144)</f>
        <v>0</v>
      </c>
      <c r="AB145" s="10">
        <f t="shared" si="93"/>
        <v>0</v>
      </c>
      <c r="AC145" s="10">
        <f t="shared" si="93"/>
        <v>0</v>
      </c>
      <c r="AD145" s="10">
        <f t="shared" si="93"/>
        <v>0</v>
      </c>
      <c r="AE145" s="10">
        <f t="shared" si="93"/>
        <v>0</v>
      </c>
      <c r="AF145" s="10">
        <f t="shared" si="93"/>
        <v>0</v>
      </c>
      <c r="AG145" s="10">
        <f t="shared" si="93"/>
        <v>0</v>
      </c>
      <c r="AH145" s="10">
        <f t="shared" si="93"/>
        <v>0</v>
      </c>
      <c r="AI145" s="10">
        <f t="shared" si="93"/>
        <v>0</v>
      </c>
      <c r="AJ145" s="10">
        <f t="shared" si="93"/>
        <v>0</v>
      </c>
      <c r="AK145" s="10">
        <f t="shared" si="93"/>
        <v>0</v>
      </c>
      <c r="AL145" s="10">
        <f t="shared" si="93"/>
        <v>0</v>
      </c>
      <c r="AM145" s="10">
        <f t="shared" si="93"/>
        <v>0</v>
      </c>
      <c r="AN145" s="10">
        <f t="shared" si="93"/>
        <v>0</v>
      </c>
      <c r="AO145" s="10">
        <f t="shared" si="93"/>
        <v>0</v>
      </c>
      <c r="AP145" s="10">
        <f t="shared" si="93"/>
        <v>0</v>
      </c>
      <c r="AQ145" s="10">
        <f t="shared" si="93"/>
        <v>0</v>
      </c>
      <c r="AR145" s="10">
        <f t="shared" si="93"/>
        <v>0</v>
      </c>
      <c r="AS145" s="10">
        <f t="shared" si="93"/>
        <v>0</v>
      </c>
      <c r="AT145" s="10">
        <f t="shared" si="93"/>
        <v>0</v>
      </c>
      <c r="AU145" s="10">
        <f t="shared" si="93"/>
        <v>0</v>
      </c>
      <c r="AV145" s="10">
        <f t="shared" si="93"/>
        <v>0</v>
      </c>
      <c r="AW145" s="10">
        <f t="shared" si="93"/>
        <v>0</v>
      </c>
      <c r="AX145" s="10">
        <f t="shared" si="93"/>
        <v>0</v>
      </c>
      <c r="AY145" s="10">
        <f t="shared" si="93"/>
        <v>0</v>
      </c>
      <c r="AZ145" s="10">
        <f t="shared" si="93"/>
        <v>0</v>
      </c>
      <c r="BA145" s="10">
        <f t="shared" si="93"/>
        <v>0</v>
      </c>
      <c r="BB145" s="10">
        <f t="shared" si="93"/>
        <v>0</v>
      </c>
      <c r="BC145" s="10">
        <f t="shared" si="93"/>
        <v>0</v>
      </c>
      <c r="BD145" s="10">
        <f t="shared" si="93"/>
        <v>0</v>
      </c>
      <c r="BE145" s="10">
        <f t="shared" si="93"/>
        <v>0</v>
      </c>
      <c r="BF145" s="10">
        <f t="shared" si="93"/>
        <v>0</v>
      </c>
      <c r="BG145" s="10">
        <f t="shared" si="93"/>
        <v>0</v>
      </c>
      <c r="BH145" s="10">
        <f t="shared" si="93"/>
        <v>0</v>
      </c>
      <c r="BI145" s="10">
        <f t="shared" si="93"/>
        <v>0</v>
      </c>
      <c r="BJ145" s="10">
        <f t="shared" si="93"/>
        <v>0</v>
      </c>
      <c r="BK145" s="10">
        <f t="shared" si="93"/>
        <v>0</v>
      </c>
      <c r="BL145" s="10">
        <f t="shared" si="93"/>
        <v>0</v>
      </c>
      <c r="BM145" s="10">
        <f t="shared" si="93"/>
        <v>0</v>
      </c>
      <c r="BN145" s="10">
        <f t="shared" si="93"/>
        <v>0</v>
      </c>
      <c r="BO145" s="10">
        <f t="shared" si="93"/>
        <v>0</v>
      </c>
      <c r="BP145" s="10">
        <f t="shared" si="93"/>
        <v>0</v>
      </c>
      <c r="BQ145" s="10">
        <f t="shared" si="93"/>
        <v>0</v>
      </c>
      <c r="BR145" s="10">
        <f t="shared" si="93"/>
        <v>0</v>
      </c>
      <c r="BS145" s="10">
        <f t="shared" si="93"/>
        <v>0</v>
      </c>
      <c r="BT145" s="10">
        <f t="shared" si="93"/>
        <v>0</v>
      </c>
      <c r="BU145" s="10">
        <f t="shared" si="93"/>
        <v>0</v>
      </c>
      <c r="BV145" s="10">
        <f t="shared" si="93"/>
        <v>0</v>
      </c>
      <c r="BX145" s="12">
        <f t="shared" si="89"/>
        <v>0</v>
      </c>
      <c r="BY145" s="12">
        <f t="shared" si="89"/>
        <v>0</v>
      </c>
      <c r="BZ145" s="12">
        <f t="shared" si="89"/>
        <v>0</v>
      </c>
      <c r="CA145" s="12">
        <f t="shared" si="89"/>
        <v>0</v>
      </c>
      <c r="CB145" s="10">
        <f t="shared" ref="CB145:CI145" si="94">SUM(CB142:CB144)</f>
        <v>0</v>
      </c>
      <c r="CC145" s="10">
        <f t="shared" si="94"/>
        <v>0</v>
      </c>
      <c r="CD145" s="10">
        <f t="shared" si="94"/>
        <v>0</v>
      </c>
      <c r="CE145" s="10">
        <f t="shared" si="94"/>
        <v>0</v>
      </c>
      <c r="CF145" s="10">
        <f t="shared" si="94"/>
        <v>0</v>
      </c>
      <c r="CG145" s="10">
        <f t="shared" si="94"/>
        <v>0</v>
      </c>
      <c r="CH145" s="10">
        <f t="shared" si="94"/>
        <v>0</v>
      </c>
      <c r="CI145" s="10">
        <f t="shared" si="94"/>
        <v>0</v>
      </c>
      <c r="CK145" s="11"/>
      <c r="CM145" s="11"/>
      <c r="DF145" s="11"/>
      <c r="DG145">
        <f t="shared" si="71"/>
        <v>0</v>
      </c>
      <c r="DH145">
        <v>0</v>
      </c>
      <c r="DI145">
        <v>0</v>
      </c>
      <c r="EY145" s="12" t="str">
        <f>IF(C145="", "", CONCATENATE(D132, " ",D145))</f>
        <v/>
      </c>
    </row>
    <row r="146" spans="1:155" ht="6.75" customHeight="1" x14ac:dyDescent="0.35">
      <c r="C146" s="211"/>
      <c r="D146" s="1"/>
      <c r="E146"/>
      <c r="F146"/>
      <c r="BY146" s="6"/>
      <c r="CK146" s="35"/>
      <c r="CM146" s="35"/>
      <c r="DF146" s="35"/>
      <c r="DG146">
        <f t="shared" si="71"/>
        <v>0</v>
      </c>
      <c r="DH146">
        <v>0</v>
      </c>
      <c r="DI146">
        <v>0</v>
      </c>
      <c r="EY146" s="12" t="str">
        <f>IF(C146="", "", CONCATENATE(D132, " ",D146))</f>
        <v/>
      </c>
    </row>
    <row r="147" spans="1:155" s="5" customFormat="1" x14ac:dyDescent="0.35">
      <c r="A147" s="220" cm="1">
        <f t="array" aca="1" ref="A147" ca="1">HYPERLINK(CONCATENATE("#",CELL("address",IF(MAX($CM147:$DF147)=0,A147,INDEX($CM147:$DF147,MATCH(1,$CM147:$DF147,0))))),MAX($CM147:$DF147))</f>
        <v>0</v>
      </c>
      <c r="B147"/>
      <c r="C147" s="211" t="s">
        <v>1122</v>
      </c>
      <c r="D147" t="s">
        <v>1093</v>
      </c>
      <c r="E147" s="1"/>
      <c r="F147" s="1"/>
      <c r="G147"/>
      <c r="H147" s="9" t="s">
        <v>1074</v>
      </c>
      <c r="I147" s="40" t="s">
        <v>665</v>
      </c>
      <c r="J147"/>
      <c r="K147"/>
      <c r="L147"/>
      <c r="M147"/>
      <c r="N147"/>
      <c r="O147"/>
      <c r="P147"/>
      <c r="Q147"/>
      <c r="R147"/>
      <c r="S147"/>
      <c r="T147"/>
      <c r="U147"/>
      <c r="V147" s="109"/>
      <c r="W147" s="133">
        <f xml:space="preserve"> SUMIFS($AA147:$BV147, $AA$3:$BV$3, W$3)</f>
        <v>0</v>
      </c>
      <c r="X147" s="133">
        <f xml:space="preserve"> SUMIFS($AA147:$BV147, $AA$3:$BV$3, X$3)</f>
        <v>0</v>
      </c>
      <c r="Y147" s="133">
        <f xml:space="preserve"> SUMIFS($AA147:$BV147, $AA$3:$BV$3, Y$3)</f>
        <v>0</v>
      </c>
      <c r="Z147"/>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c r="BX147" s="12">
        <f>V147</f>
        <v>0</v>
      </c>
      <c r="BY147" s="12">
        <f>W147</f>
        <v>0</v>
      </c>
      <c r="BZ147" s="12">
        <f>X147</f>
        <v>0</v>
      </c>
      <c r="CA147" s="12">
        <f>Y147</f>
        <v>0</v>
      </c>
      <c r="CB147" s="133">
        <f xml:space="preserve"> SUMIFS($AA147:$BV147, $AA$3:$BV$3, CB$3)</f>
        <v>0</v>
      </c>
      <c r="CC147" s="109"/>
      <c r="CD147" s="109"/>
      <c r="CE147" s="109"/>
      <c r="CF147" s="109"/>
      <c r="CG147" s="109"/>
      <c r="CH147" s="109"/>
      <c r="CI147" s="109"/>
      <c r="CJ147"/>
      <c r="CK147" s="11"/>
      <c r="CL147" s="241">
        <f>IF(MIN($V147:$CI147)&lt;0, 1, 0)</f>
        <v>0</v>
      </c>
      <c r="CM147" s="11"/>
      <c r="CN147"/>
      <c r="CO147"/>
      <c r="CP147"/>
      <c r="CQ147"/>
      <c r="CR147"/>
      <c r="CS147"/>
      <c r="CT147"/>
      <c r="CU147"/>
      <c r="CV147"/>
      <c r="CW147"/>
      <c r="CX147"/>
      <c r="CY147" s="7" cm="1">
        <f t="array" ref="CY147">SUMPRODUCT(--NOT(ISNUMBER(V147:CI147)),--NOT(ISBLANK(V147:CI147)))</f>
        <v>0</v>
      </c>
      <c r="CZ147" s="7">
        <f>IF(ROUND(W147-SUMIFS($AA147:$BV147, $AA$3:$BV$3, W$3), rounding)=0, 0, 1)</f>
        <v>0</v>
      </c>
      <c r="DA147" s="7">
        <f>IF(ROUND(X147-SUMIFS($AA147:$BV147, $AA$3:$BV$3, X$3), rounding)=0, 0, 1)</f>
        <v>0</v>
      </c>
      <c r="DB147" s="7">
        <f>IF(ROUND(Y147-SUMIFS($AA147:$BV147, $AA$3:$BV$3, Y$3), rounding)=0, 0, 1)</f>
        <v>0</v>
      </c>
      <c r="DC147" s="7">
        <f>IF(ROUND(CB147-SUMIFS($AA147:$BV147, $AA$3:$BV$3, CB$3), rounding)=0, 0, 1)</f>
        <v>0</v>
      </c>
      <c r="DD147" s="7">
        <f>IF(ROUND(V147-BX147, rounding)=0, 0, 1)*'BS Forecasts'!$V$10</f>
        <v>0</v>
      </c>
      <c r="DE147"/>
      <c r="DF147" s="11"/>
      <c r="DG147">
        <f t="shared" si="71"/>
        <v>0</v>
      </c>
      <c r="DH147">
        <v>1</v>
      </c>
      <c r="DI147">
        <v>1</v>
      </c>
      <c r="EY147" s="12" t="str">
        <f>IF(C147="", "", CONCATENATE(D132, " ",D147))</f>
        <v>Loan 5 Early Repayment Fee</v>
      </c>
    </row>
    <row r="148" spans="1:155" ht="6.75" customHeight="1" x14ac:dyDescent="0.35">
      <c r="C148" s="211"/>
      <c r="D148" s="1"/>
      <c r="E148"/>
      <c r="F148"/>
      <c r="BY148" s="6"/>
      <c r="CK148" s="35"/>
      <c r="CM148" s="35"/>
      <c r="DF148" s="35"/>
      <c r="DG148">
        <f t="shared" si="71"/>
        <v>0</v>
      </c>
      <c r="DH148">
        <v>0</v>
      </c>
      <c r="DI148">
        <v>0</v>
      </c>
      <c r="EY148" s="12" t="str">
        <f>IF(C148="", "", CONCATENATE(D132, " ",D148))</f>
        <v/>
      </c>
    </row>
    <row r="149" spans="1:155" x14ac:dyDescent="0.35">
      <c r="A149" s="220" cm="1">
        <f t="array" aca="1" ref="A149" ca="1">HYPERLINK(CONCATENATE("#",CELL("address",IF(MAX($CM149:$DF149)=0,A149,INDEX($CM149:$DF149,MATCH(1,$CM149:$DF149,0))))),MAX($CM149:$DF149))</f>
        <v>0</v>
      </c>
      <c r="B149" s="85" t="s">
        <v>122</v>
      </c>
      <c r="D149" t="s">
        <v>1094</v>
      </c>
      <c r="E149" s="140" t="str">
        <f>IF(J$17="", "", J$17)</f>
        <v/>
      </c>
      <c r="F149" s="140"/>
      <c r="G149" s="140" t="str">
        <f>IF(K$17="", "", K$17)</f>
        <v/>
      </c>
      <c r="V149" s="7">
        <f>IF(AND(OR( V$5&gt;$G149, Timeline!V$8&lt;Loans!$E149), Loans!V147&lt;&gt;0), 1, 0)</f>
        <v>0</v>
      </c>
      <c r="W149" s="7">
        <f>IF(AND(OR( W$5&gt;$G149, Timeline!W$8&lt;Loans!$E149), Loans!W147&lt;&gt;0), 1, 0)</f>
        <v>0</v>
      </c>
      <c r="X149" s="7">
        <f>IF(AND(OR( X$5&gt;$G149, Timeline!X$8&lt;Loans!$E149), Loans!X147&lt;&gt;0), 1, 0)</f>
        <v>0</v>
      </c>
      <c r="Y149" s="7">
        <f>IF(AND(OR( Y$5&gt;$G149, Timeline!Y$8&lt;Loans!$E149), Loans!Y147&lt;&gt;0), 1, 0)</f>
        <v>0</v>
      </c>
      <c r="AA149" s="7">
        <f>IF(AND(OR( AA$5&gt;$G149, Timeline!AA$8&lt;Loans!$E149), Loans!AA147&lt;&gt;0), 1, 0)</f>
        <v>0</v>
      </c>
      <c r="AB149" s="7">
        <f>IF(AND(OR( AB$5&gt;$G149, Timeline!AB$8&lt;Loans!$E149), Loans!AB147&lt;&gt;0), 1, 0)</f>
        <v>0</v>
      </c>
      <c r="AC149" s="7">
        <f>IF(AND(OR( AC$5&gt;$G149, Timeline!AC$8&lt;Loans!$E149), Loans!AC147&lt;&gt;0), 1, 0)</f>
        <v>0</v>
      </c>
      <c r="AD149" s="7">
        <f>IF(AND(OR( AD$5&gt;$G149, Timeline!AD$8&lt;Loans!$E149), Loans!AD147&lt;&gt;0), 1, 0)</f>
        <v>0</v>
      </c>
      <c r="AE149" s="7">
        <f>IF(AND(OR( AE$5&gt;$G149, Timeline!AE$8&lt;Loans!$E149), Loans!AE147&lt;&gt;0), 1, 0)</f>
        <v>0</v>
      </c>
      <c r="AF149" s="7">
        <f>IF(AND(OR( AF$5&gt;$G149, Timeline!AF$8&lt;Loans!$E149), Loans!AF147&lt;&gt;0), 1, 0)</f>
        <v>0</v>
      </c>
      <c r="AG149" s="7">
        <f>IF(AND(OR( AG$5&gt;$G149, Timeline!AG$8&lt;Loans!$E149), Loans!AG147&lt;&gt;0), 1, 0)</f>
        <v>0</v>
      </c>
      <c r="AH149" s="7">
        <f>IF(AND(OR( AH$5&gt;$G149, Timeline!AH$8&lt;Loans!$E149), Loans!AH147&lt;&gt;0), 1, 0)</f>
        <v>0</v>
      </c>
      <c r="AI149" s="7">
        <f>IF(AND(OR( AI$5&gt;$G149, Timeline!AI$8&lt;Loans!$E149), Loans!AI147&lt;&gt;0), 1, 0)</f>
        <v>0</v>
      </c>
      <c r="AJ149" s="7">
        <f>IF(AND(OR( AJ$5&gt;$G149, Timeline!AJ$8&lt;Loans!$E149), Loans!AJ147&lt;&gt;0), 1, 0)</f>
        <v>0</v>
      </c>
      <c r="AK149" s="7">
        <f>IF(AND(OR( AK$5&gt;$G149, Timeline!AK$8&lt;Loans!$E149), Loans!AK147&lt;&gt;0), 1, 0)</f>
        <v>0</v>
      </c>
      <c r="AL149" s="7">
        <f>IF(AND(OR( AL$5&gt;$G149, Timeline!AL$8&lt;Loans!$E149), Loans!AL147&lt;&gt;0), 1, 0)</f>
        <v>0</v>
      </c>
      <c r="AM149" s="7">
        <f>IF(AND(OR( AM$5&gt;$G149, Timeline!AM$8&lt;Loans!$E149), Loans!AM147&lt;&gt;0), 1, 0)</f>
        <v>0</v>
      </c>
      <c r="AN149" s="7">
        <f>IF(AND(OR( AN$5&gt;$G149, Timeline!AN$8&lt;Loans!$E149), Loans!AN147&lt;&gt;0), 1, 0)</f>
        <v>0</v>
      </c>
      <c r="AO149" s="7">
        <f>IF(AND(OR( AO$5&gt;$G149, Timeline!AO$8&lt;Loans!$E149), Loans!AO147&lt;&gt;0), 1, 0)</f>
        <v>0</v>
      </c>
      <c r="AP149" s="7">
        <f>IF(AND(OR( AP$5&gt;$G149, Timeline!AP$8&lt;Loans!$E149), Loans!AP147&lt;&gt;0), 1, 0)</f>
        <v>0</v>
      </c>
      <c r="AQ149" s="7">
        <f>IF(AND(OR( AQ$5&gt;$G149, Timeline!AQ$8&lt;Loans!$E149), Loans!AQ147&lt;&gt;0), 1, 0)</f>
        <v>0</v>
      </c>
      <c r="AR149" s="7">
        <f>IF(AND(OR( AR$5&gt;$G149, Timeline!AR$8&lt;Loans!$E149), Loans!AR147&lt;&gt;0), 1, 0)</f>
        <v>0</v>
      </c>
      <c r="AS149" s="7">
        <f>IF(AND(OR( AS$5&gt;$G149, Timeline!AS$8&lt;Loans!$E149), Loans!AS147&lt;&gt;0), 1, 0)</f>
        <v>0</v>
      </c>
      <c r="AT149" s="7">
        <f>IF(AND(OR( AT$5&gt;$G149, Timeline!AT$8&lt;Loans!$E149), Loans!AT147&lt;&gt;0), 1, 0)</f>
        <v>0</v>
      </c>
      <c r="AU149" s="7">
        <f>IF(AND(OR( AU$5&gt;$G149, Timeline!AU$8&lt;Loans!$E149), Loans!AU147&lt;&gt;0), 1, 0)</f>
        <v>0</v>
      </c>
      <c r="AV149" s="7">
        <f>IF(AND(OR( AV$5&gt;$G149, Timeline!AV$8&lt;Loans!$E149), Loans!AV147&lt;&gt;0), 1, 0)</f>
        <v>0</v>
      </c>
      <c r="AW149" s="7">
        <f>IF(AND(OR( AW$5&gt;$G149, Timeline!AW$8&lt;Loans!$E149), Loans!AW147&lt;&gt;0), 1, 0)</f>
        <v>0</v>
      </c>
      <c r="AX149" s="7">
        <f>IF(AND(OR( AX$5&gt;$G149, Timeline!AX$8&lt;Loans!$E149), Loans!AX147&lt;&gt;0), 1, 0)</f>
        <v>0</v>
      </c>
      <c r="AY149" s="7">
        <f>IF(AND(OR( AY$5&gt;$G149, Timeline!AY$8&lt;Loans!$E149), Loans!AY147&lt;&gt;0), 1, 0)</f>
        <v>0</v>
      </c>
      <c r="AZ149" s="7">
        <f>IF(AND(OR( AZ$5&gt;$G149, Timeline!AZ$8&lt;Loans!$E149), Loans!AZ147&lt;&gt;0), 1, 0)</f>
        <v>0</v>
      </c>
      <c r="BA149" s="7">
        <f>IF(AND(OR( BA$5&gt;$G149, Timeline!BA$8&lt;Loans!$E149), Loans!BA147&lt;&gt;0), 1, 0)</f>
        <v>0</v>
      </c>
      <c r="BB149" s="7">
        <f>IF(AND(OR( BB$5&gt;$G149, Timeline!BB$8&lt;Loans!$E149), Loans!BB147&lt;&gt;0), 1, 0)</f>
        <v>0</v>
      </c>
      <c r="BC149" s="7">
        <f>IF(AND(OR( BC$5&gt;$G149, Timeline!BC$8&lt;Loans!$E149), Loans!BC147&lt;&gt;0), 1, 0)</f>
        <v>0</v>
      </c>
      <c r="BD149" s="7">
        <f>IF(AND(OR( BD$5&gt;$G149, Timeline!BD$8&lt;Loans!$E149), Loans!BD147&lt;&gt;0), 1, 0)</f>
        <v>0</v>
      </c>
      <c r="BE149" s="7">
        <f>IF(AND(OR( BE$5&gt;$G149, Timeline!BE$8&lt;Loans!$E149), Loans!BE147&lt;&gt;0), 1, 0)</f>
        <v>0</v>
      </c>
      <c r="BF149" s="7">
        <f>IF(AND(OR( BF$5&gt;$G149, Timeline!BF$8&lt;Loans!$E149), Loans!BF147&lt;&gt;0), 1, 0)</f>
        <v>0</v>
      </c>
      <c r="BG149" s="7">
        <f>IF(AND(OR( BG$5&gt;$G149, Timeline!BG$8&lt;Loans!$E149), Loans!BG147&lt;&gt;0), 1, 0)</f>
        <v>0</v>
      </c>
      <c r="BH149" s="7">
        <f>IF(AND(OR( BH$5&gt;$G149, Timeline!BH$8&lt;Loans!$E149), Loans!BH147&lt;&gt;0), 1, 0)</f>
        <v>0</v>
      </c>
      <c r="BI149" s="7">
        <f>IF(AND(OR( BI$5&gt;$G149, Timeline!BI$8&lt;Loans!$E149), Loans!BI147&lt;&gt;0), 1, 0)</f>
        <v>0</v>
      </c>
      <c r="BJ149" s="7">
        <f>IF(AND(OR( BJ$5&gt;$G149, Timeline!BJ$8&lt;Loans!$E149), Loans!BJ147&lt;&gt;0), 1, 0)</f>
        <v>0</v>
      </c>
      <c r="BK149" s="7">
        <f>IF(AND(OR( BK$5&gt;$G149, Timeline!BK$8&lt;Loans!$E149), Loans!BK147&lt;&gt;0), 1, 0)</f>
        <v>0</v>
      </c>
      <c r="BL149" s="7">
        <f>IF(AND(OR( BL$5&gt;$G149, Timeline!BL$8&lt;Loans!$E149), Loans!BL147&lt;&gt;0), 1, 0)</f>
        <v>0</v>
      </c>
      <c r="BM149" s="7">
        <f>IF(AND(OR( BM$5&gt;$G149, Timeline!BM$8&lt;Loans!$E149), Loans!BM147&lt;&gt;0), 1, 0)</f>
        <v>0</v>
      </c>
      <c r="BN149" s="7">
        <f>IF(AND(OR( BN$5&gt;$G149, Timeline!BN$8&lt;Loans!$E149), Loans!BN147&lt;&gt;0), 1, 0)</f>
        <v>0</v>
      </c>
      <c r="BO149" s="7">
        <f>IF(AND(OR( BO$5&gt;$G149, Timeline!BO$8&lt;Loans!$E149), Loans!BO147&lt;&gt;0), 1, 0)</f>
        <v>0</v>
      </c>
      <c r="BP149" s="7">
        <f>IF(AND(OR( BP$5&gt;$G149, Timeline!BP$8&lt;Loans!$E149), Loans!BP147&lt;&gt;0), 1, 0)</f>
        <v>0</v>
      </c>
      <c r="BQ149" s="7">
        <f>IF(AND(OR( BQ$5&gt;$G149, Timeline!BQ$8&lt;Loans!$E149), Loans!BQ147&lt;&gt;0), 1, 0)</f>
        <v>0</v>
      </c>
      <c r="BR149" s="7">
        <f>IF(AND(OR( BR$5&gt;$G149, Timeline!BR$8&lt;Loans!$E149), Loans!BR147&lt;&gt;0), 1, 0)</f>
        <v>0</v>
      </c>
      <c r="BS149" s="7">
        <f>IF(AND(OR( BS$5&gt;$G149, Timeline!BS$8&lt;Loans!$E149), Loans!BS147&lt;&gt;0), 1, 0)</f>
        <v>0</v>
      </c>
      <c r="BT149" s="7">
        <f>IF(AND(OR( BT$5&gt;$G149, Timeline!BT$8&lt;Loans!$E149), Loans!BT147&lt;&gt;0), 1, 0)</f>
        <v>0</v>
      </c>
      <c r="BU149" s="7">
        <f>IF(AND(OR( BU$5&gt;$G149, Timeline!BU$8&lt;Loans!$E149), Loans!BU147&lt;&gt;0), 1, 0)</f>
        <v>0</v>
      </c>
      <c r="BV149" s="7">
        <f>IF(AND(OR( BV$5&gt;$G149, Timeline!BV$8&lt;Loans!$E149), Loans!BV147&lt;&gt;0), 1, 0)</f>
        <v>0</v>
      </c>
      <c r="BX149" s="7">
        <f>IF(AND(OR( BX$5&gt;$G149, Timeline!BX$8&lt;Loans!$E149), Loans!BX147&lt;&gt;0), 1, 0)</f>
        <v>0</v>
      </c>
      <c r="BY149" s="7">
        <f>IF(AND(OR( BY$5&gt;$G149, Timeline!BY$8&lt;Loans!$E149), Loans!BY147&lt;&gt;0), 1, 0)</f>
        <v>0</v>
      </c>
      <c r="BZ149" s="7">
        <f>IF(AND(OR( BZ$5&gt;$G149, Timeline!BZ$8&lt;Loans!$E149), Loans!BZ147&lt;&gt;0), 1, 0)</f>
        <v>0</v>
      </c>
      <c r="CA149" s="7">
        <f>IF(AND(OR( CA$5&gt;$G149, Timeline!CA$8&lt;Loans!$E149), Loans!CA147&lt;&gt;0), 1, 0)</f>
        <v>0</v>
      </c>
      <c r="CB149" s="7">
        <f>IF(AND(OR( CB$5&gt;$G149, Timeline!CB$8&lt;Loans!$E149), Loans!CB147&lt;&gt;0), 1, 0)</f>
        <v>0</v>
      </c>
      <c r="CC149" s="7">
        <f>IF(AND(OR( CC$5&gt;$G149, Timeline!CC$8&lt;Loans!$E149), Loans!CC147&lt;&gt;0), 1, 0)</f>
        <v>0</v>
      </c>
      <c r="CD149" s="7">
        <f>IF(AND(OR( CD$5&gt;$G149, Timeline!CD$8&lt;Loans!$E149), Loans!CD147&lt;&gt;0), 1, 0)</f>
        <v>0</v>
      </c>
      <c r="CE149" s="7">
        <f>IF(AND(OR( CE$5&gt;$G149, Timeline!CE$8&lt;Loans!$E149), Loans!CE147&lt;&gt;0), 1, 0)</f>
        <v>0</v>
      </c>
      <c r="CF149" s="7">
        <f>IF(AND(OR( CF$5&gt;$G149, Timeline!CF$8&lt;Loans!$E149), Loans!CF147&lt;&gt;0), 1, 0)</f>
        <v>0</v>
      </c>
      <c r="CG149" s="7">
        <f>IF(AND(OR( CG$5&gt;$G149, Timeline!CG$8&lt;Loans!$E149), Loans!CG147&lt;&gt;0), 1, 0)</f>
        <v>0</v>
      </c>
      <c r="CH149" s="7">
        <f>IF(AND(OR( CH$5&gt;$G149, Timeline!CH$8&lt;Loans!$E149), Loans!CH147&lt;&gt;0), 1, 0)</f>
        <v>0</v>
      </c>
      <c r="CI149" s="7">
        <f>IF(AND(OR( CI$5&gt;$G149, Timeline!CI$8&lt;Loans!$E149), Loans!CI147&lt;&gt;0), 1, 0)</f>
        <v>0</v>
      </c>
      <c r="CK149" s="11"/>
      <c r="CM149" s="11"/>
      <c r="CX149" s="7">
        <f>IF(MAX($V149:$CI149)&gt;0, 1, 0)</f>
        <v>0</v>
      </c>
      <c r="DF149" s="11"/>
      <c r="DG149">
        <f t="shared" si="71"/>
        <v>1</v>
      </c>
      <c r="DH149">
        <v>0</v>
      </c>
      <c r="DI149">
        <v>0</v>
      </c>
      <c r="EY149" s="12" t="str">
        <f>IF(C149="", "", CONCATENATE(D132, " ",D149))</f>
        <v/>
      </c>
    </row>
    <row r="150" spans="1:155" ht="6.75" customHeight="1" x14ac:dyDescent="0.35">
      <c r="C150" s="211"/>
      <c r="D150" s="1"/>
      <c r="E150"/>
      <c r="F150"/>
      <c r="BY150" s="6"/>
      <c r="CK150" s="35"/>
      <c r="CM150" s="35"/>
      <c r="DF150" s="35"/>
      <c r="DG150">
        <f t="shared" si="71"/>
        <v>0</v>
      </c>
      <c r="DH150">
        <v>0</v>
      </c>
      <c r="DI150">
        <v>0</v>
      </c>
      <c r="EY150" s="10" t="str">
        <f>IF($C150="","",$D150)</f>
        <v/>
      </c>
    </row>
    <row r="151" spans="1:155" x14ac:dyDescent="0.35">
      <c r="A151" s="53"/>
      <c r="C151" s="211"/>
      <c r="D151" s="53" t="s">
        <v>1123</v>
      </c>
      <c r="E151" s="53"/>
      <c r="F151" s="53"/>
      <c r="G151" s="53"/>
      <c r="H151" s="53"/>
      <c r="I151" s="53"/>
      <c r="J151" s="53"/>
      <c r="M151" s="53"/>
      <c r="N151" s="53"/>
      <c r="O151" s="53"/>
      <c r="P151" s="53"/>
      <c r="Q151" s="53"/>
      <c r="R151" s="53"/>
      <c r="CK151" s="11"/>
      <c r="CM151" s="11"/>
      <c r="DF151" s="11"/>
      <c r="DG151">
        <f t="shared" si="71"/>
        <v>0</v>
      </c>
      <c r="DH151">
        <v>0</v>
      </c>
      <c r="DI151">
        <v>0</v>
      </c>
      <c r="EY151" s="10" t="str">
        <f>IF($C151="","",$D151)</f>
        <v/>
      </c>
    </row>
    <row r="152" spans="1:155" x14ac:dyDescent="0.35">
      <c r="C152" s="211" t="s">
        <v>1124</v>
      </c>
      <c r="D152" t="s">
        <v>1073</v>
      </c>
      <c r="H152" s="9" t="s">
        <v>1074</v>
      </c>
      <c r="I152" s="40" t="s">
        <v>317</v>
      </c>
      <c r="V152" s="109"/>
      <c r="W152" s="133">
        <f>V156</f>
        <v>0</v>
      </c>
      <c r="X152" s="133">
        <f>W156</f>
        <v>0</v>
      </c>
      <c r="Y152" s="10">
        <f>X156</f>
        <v>0</v>
      </c>
      <c r="AA152" s="12">
        <f>W152</f>
        <v>0</v>
      </c>
      <c r="AB152" s="10">
        <f t="shared" ref="AB152:BV152" si="95">AA156</f>
        <v>0</v>
      </c>
      <c r="AC152" s="10">
        <f t="shared" si="95"/>
        <v>0</v>
      </c>
      <c r="AD152" s="10">
        <f t="shared" si="95"/>
        <v>0</v>
      </c>
      <c r="AE152" s="10">
        <f t="shared" si="95"/>
        <v>0</v>
      </c>
      <c r="AF152" s="10">
        <f t="shared" si="95"/>
        <v>0</v>
      </c>
      <c r="AG152" s="10">
        <f t="shared" si="95"/>
        <v>0</v>
      </c>
      <c r="AH152" s="10">
        <f t="shared" si="95"/>
        <v>0</v>
      </c>
      <c r="AI152" s="10">
        <f t="shared" si="95"/>
        <v>0</v>
      </c>
      <c r="AJ152" s="10">
        <f t="shared" si="95"/>
        <v>0</v>
      </c>
      <c r="AK152" s="10">
        <f t="shared" si="95"/>
        <v>0</v>
      </c>
      <c r="AL152" s="10">
        <f t="shared" si="95"/>
        <v>0</v>
      </c>
      <c r="AM152" s="10">
        <f t="shared" si="95"/>
        <v>0</v>
      </c>
      <c r="AN152" s="10">
        <f t="shared" si="95"/>
        <v>0</v>
      </c>
      <c r="AO152" s="10">
        <f t="shared" si="95"/>
        <v>0</v>
      </c>
      <c r="AP152" s="10">
        <f t="shared" si="95"/>
        <v>0</v>
      </c>
      <c r="AQ152" s="10">
        <f t="shared" si="95"/>
        <v>0</v>
      </c>
      <c r="AR152" s="10">
        <f t="shared" si="95"/>
        <v>0</v>
      </c>
      <c r="AS152" s="10">
        <f t="shared" si="95"/>
        <v>0</v>
      </c>
      <c r="AT152" s="10">
        <f t="shared" si="95"/>
        <v>0</v>
      </c>
      <c r="AU152" s="10">
        <f t="shared" si="95"/>
        <v>0</v>
      </c>
      <c r="AV152" s="10">
        <f t="shared" si="95"/>
        <v>0</v>
      </c>
      <c r="AW152" s="10">
        <f t="shared" si="95"/>
        <v>0</v>
      </c>
      <c r="AX152" s="10">
        <f t="shared" si="95"/>
        <v>0</v>
      </c>
      <c r="AY152" s="10">
        <f t="shared" si="95"/>
        <v>0</v>
      </c>
      <c r="AZ152" s="10">
        <f t="shared" si="95"/>
        <v>0</v>
      </c>
      <c r="BA152" s="10">
        <f t="shared" si="95"/>
        <v>0</v>
      </c>
      <c r="BB152" s="10">
        <f t="shared" si="95"/>
        <v>0</v>
      </c>
      <c r="BC152" s="10">
        <f t="shared" si="95"/>
        <v>0</v>
      </c>
      <c r="BD152" s="10">
        <f t="shared" si="95"/>
        <v>0</v>
      </c>
      <c r="BE152" s="10">
        <f t="shared" si="95"/>
        <v>0</v>
      </c>
      <c r="BF152" s="10">
        <f t="shared" si="95"/>
        <v>0</v>
      </c>
      <c r="BG152" s="10">
        <f t="shared" si="95"/>
        <v>0</v>
      </c>
      <c r="BH152" s="10">
        <f t="shared" si="95"/>
        <v>0</v>
      </c>
      <c r="BI152" s="10">
        <f t="shared" si="95"/>
        <v>0</v>
      </c>
      <c r="BJ152" s="10">
        <f t="shared" si="95"/>
        <v>0</v>
      </c>
      <c r="BK152" s="10">
        <f t="shared" si="95"/>
        <v>0</v>
      </c>
      <c r="BL152" s="10">
        <f t="shared" si="95"/>
        <v>0</v>
      </c>
      <c r="BM152" s="10">
        <f t="shared" si="95"/>
        <v>0</v>
      </c>
      <c r="BN152" s="10">
        <f t="shared" si="95"/>
        <v>0</v>
      </c>
      <c r="BO152" s="10">
        <f t="shared" si="95"/>
        <v>0</v>
      </c>
      <c r="BP152" s="10">
        <f t="shared" si="95"/>
        <v>0</v>
      </c>
      <c r="BQ152" s="10">
        <f t="shared" si="95"/>
        <v>0</v>
      </c>
      <c r="BR152" s="10">
        <f t="shared" si="95"/>
        <v>0</v>
      </c>
      <c r="BS152" s="10">
        <f t="shared" si="95"/>
        <v>0</v>
      </c>
      <c r="BT152" s="10">
        <f t="shared" si="95"/>
        <v>0</v>
      </c>
      <c r="BU152" s="10">
        <f t="shared" si="95"/>
        <v>0</v>
      </c>
      <c r="BV152" s="10">
        <f t="shared" si="95"/>
        <v>0</v>
      </c>
      <c r="BX152" s="12">
        <f t="shared" ref="BX152:CA156" si="96">V152</f>
        <v>0</v>
      </c>
      <c r="BY152" s="12">
        <f t="shared" si="96"/>
        <v>0</v>
      </c>
      <c r="BZ152" s="12">
        <f t="shared" si="96"/>
        <v>0</v>
      </c>
      <c r="CA152" s="12">
        <f t="shared" si="96"/>
        <v>0</v>
      </c>
      <c r="CB152" s="10">
        <f t="shared" ref="CB152:CI152" si="97">CA156</f>
        <v>0</v>
      </c>
      <c r="CC152" s="10">
        <f t="shared" si="97"/>
        <v>0</v>
      </c>
      <c r="CD152" s="10">
        <f t="shared" si="97"/>
        <v>0</v>
      </c>
      <c r="CE152" s="10">
        <f t="shared" si="97"/>
        <v>0</v>
      </c>
      <c r="CF152" s="10">
        <f t="shared" si="97"/>
        <v>0</v>
      </c>
      <c r="CG152" s="10">
        <f t="shared" si="97"/>
        <v>0</v>
      </c>
      <c r="CH152" s="10">
        <f t="shared" si="97"/>
        <v>0</v>
      </c>
      <c r="CI152" s="10">
        <f t="shared" si="97"/>
        <v>0</v>
      </c>
      <c r="CK152" s="11"/>
      <c r="CM152" s="11"/>
      <c r="CY152" s="7" cm="1">
        <f t="array" ref="CY152">SUMPRODUCT(--NOT(ISNUMBER(V152:CI152)),--NOT(ISBLANK(V152:CI152)))</f>
        <v>0</v>
      </c>
      <c r="DF152" s="11"/>
      <c r="DG152">
        <f t="shared" si="71"/>
        <v>0</v>
      </c>
      <c r="DH152">
        <v>1</v>
      </c>
      <c r="DI152">
        <v>0</v>
      </c>
      <c r="EY152" s="12" t="str">
        <f>IF(C152="", "", CONCATENATE(D151, " ",D152))</f>
        <v>Loan 6 Opening Loan Balance</v>
      </c>
    </row>
    <row r="153" spans="1:155" s="5" customFormat="1" x14ac:dyDescent="0.35">
      <c r="A153" s="220" cm="1">
        <f t="array" aca="1" ref="A153" ca="1">HYPERLINK(CONCATENATE("#",CELL("address",IF(MAX($CM153:$DF153)=0,A153,INDEX($CM153:$DF153,MATCH(1,$CM153:$DF153,0))))),MAX($CM153:$DF153))</f>
        <v>0</v>
      </c>
      <c r="B153"/>
      <c r="C153" s="211" t="s">
        <v>1125</v>
      </c>
      <c r="D153" t="s">
        <v>1076</v>
      </c>
      <c r="E153" s="1"/>
      <c r="F153" s="1"/>
      <c r="G153"/>
      <c r="H153" s="9" t="s">
        <v>1074</v>
      </c>
      <c r="I153" s="40" t="s">
        <v>665</v>
      </c>
      <c r="J153"/>
      <c r="K153"/>
      <c r="L153"/>
      <c r="M153"/>
      <c r="N153"/>
      <c r="O153"/>
      <c r="P153"/>
      <c r="Q153"/>
      <c r="R153"/>
      <c r="S153"/>
      <c r="T153"/>
      <c r="U153"/>
      <c r="V153" s="109"/>
      <c r="W153" s="133">
        <f t="shared" ref="W153:Y155" si="98" xml:space="preserve"> SUMIFS($AA153:$BV153, $AA$3:$BV$3, W$3)</f>
        <v>0</v>
      </c>
      <c r="X153" s="133">
        <f t="shared" si="98"/>
        <v>0</v>
      </c>
      <c r="Y153" s="133">
        <f t="shared" si="98"/>
        <v>0</v>
      </c>
      <c r="Z153"/>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c r="BX153" s="12">
        <f t="shared" si="96"/>
        <v>0</v>
      </c>
      <c r="BY153" s="12">
        <f t="shared" si="96"/>
        <v>0</v>
      </c>
      <c r="BZ153" s="12">
        <f t="shared" si="96"/>
        <v>0</v>
      </c>
      <c r="CA153" s="12">
        <f t="shared" si="96"/>
        <v>0</v>
      </c>
      <c r="CB153" s="133">
        <f xml:space="preserve"> SUMIFS($AA153:$BV153, $AA$3:$BV$3, CB$3)</f>
        <v>0</v>
      </c>
      <c r="CC153" s="109"/>
      <c r="CD153" s="109"/>
      <c r="CE153" s="109"/>
      <c r="CF153" s="109"/>
      <c r="CG153" s="109"/>
      <c r="CH153" s="109"/>
      <c r="CI153" s="109"/>
      <c r="CJ153"/>
      <c r="CK153" s="11"/>
      <c r="CL153" s="241">
        <f>IF(MIN($V153:$CI153)&lt;0, 1, 0)</f>
        <v>0</v>
      </c>
      <c r="CM153" s="11"/>
      <c r="CN153"/>
      <c r="CO153"/>
      <c r="CP153"/>
      <c r="CQ153"/>
      <c r="CR153"/>
      <c r="CS153"/>
      <c r="CT153"/>
      <c r="CU153"/>
      <c r="CV153"/>
      <c r="CW153"/>
      <c r="CX153"/>
      <c r="CY153" s="7" cm="1">
        <f t="array" ref="CY153">SUMPRODUCT(--NOT(ISNUMBER(V153:CI153)),--NOT(ISBLANK(V153:CI153)))</f>
        <v>0</v>
      </c>
      <c r="CZ153" s="7">
        <f t="shared" ref="CZ153:DB155" si="99">IF(ROUND(W153-SUMIFS($AA153:$BV153, $AA$3:$BV$3, W$3), rounding)=0, 0, 1)</f>
        <v>0</v>
      </c>
      <c r="DA153" s="7">
        <f t="shared" si="99"/>
        <v>0</v>
      </c>
      <c r="DB153" s="7">
        <f t="shared" si="99"/>
        <v>0</v>
      </c>
      <c r="DC153" s="7">
        <f>IF(ROUND(CB153-SUMIFS($AA153:$BV153, $AA$3:$BV$3, CB$3), rounding)=0, 0, 1)</f>
        <v>0</v>
      </c>
      <c r="DD153" s="7">
        <f>IF(ROUND(V153-BX153, rounding)=0, 0, 1)*'BS Forecasts'!$V$10</f>
        <v>0</v>
      </c>
      <c r="DE153"/>
      <c r="DF153" s="11"/>
      <c r="DG153">
        <f t="shared" si="71"/>
        <v>0</v>
      </c>
      <c r="DH153">
        <v>1</v>
      </c>
      <c r="DI153">
        <v>1</v>
      </c>
      <c r="EY153" s="12" t="str">
        <f>IF(C153="", "", CONCATENATE(D151, " ",D153))</f>
        <v>Loan 6 Drawdowns</v>
      </c>
    </row>
    <row r="154" spans="1:155" x14ac:dyDescent="0.35">
      <c r="A154" s="220" cm="1">
        <f t="array" aca="1" ref="A154" ca="1">HYPERLINK(CONCATENATE("#",CELL("address",IF(MAX($CM154:$DF154)=0,A154,INDEX($CM154:$DF154,MATCH(1,$CM154:$DF154,0))))),MAX($CM154:$DF154))</f>
        <v>0</v>
      </c>
      <c r="C154" s="211" t="s">
        <v>1126</v>
      </c>
      <c r="D154" t="s">
        <v>1078</v>
      </c>
      <c r="H154" s="9" t="s">
        <v>1074</v>
      </c>
      <c r="I154" s="40" t="s">
        <v>1079</v>
      </c>
      <c r="V154" s="109"/>
      <c r="W154" s="133">
        <f t="shared" si="98"/>
        <v>0</v>
      </c>
      <c r="X154" s="133">
        <f t="shared" si="98"/>
        <v>0</v>
      </c>
      <c r="Y154" s="133">
        <f t="shared" si="98"/>
        <v>0</v>
      </c>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X154" s="12">
        <f t="shared" si="96"/>
        <v>0</v>
      </c>
      <c r="BY154" s="12">
        <f t="shared" si="96"/>
        <v>0</v>
      </c>
      <c r="BZ154" s="12">
        <f t="shared" si="96"/>
        <v>0</v>
      </c>
      <c r="CA154" s="12">
        <f t="shared" si="96"/>
        <v>0</v>
      </c>
      <c r="CB154" s="133">
        <f xml:space="preserve"> SUMIFS($AA154:$BV154, $AA$3:$BV$3, CB$3)</f>
        <v>0</v>
      </c>
      <c r="CC154" s="109"/>
      <c r="CD154" s="109"/>
      <c r="CE154" s="109"/>
      <c r="CF154" s="109"/>
      <c r="CG154" s="109"/>
      <c r="CH154" s="109"/>
      <c r="CI154" s="109"/>
      <c r="CK154" s="11"/>
      <c r="CL154" s="241">
        <f>IF(MAX($V154:$CI154)&gt;0, 1, 0)</f>
        <v>0</v>
      </c>
      <c r="CM154" s="11"/>
      <c r="CY154" s="7" cm="1">
        <f t="array" ref="CY154">SUMPRODUCT(--NOT(ISNUMBER(V154:CI154)),--NOT(ISBLANK(V154:CI154)))</f>
        <v>0</v>
      </c>
      <c r="CZ154" s="7">
        <f t="shared" si="99"/>
        <v>0</v>
      </c>
      <c r="DA154" s="7">
        <f t="shared" si="99"/>
        <v>0</v>
      </c>
      <c r="DB154" s="7">
        <f t="shared" si="99"/>
        <v>0</v>
      </c>
      <c r="DC154" s="7">
        <f>IF(ROUND(CB154-SUMIFS($AA154:$BV154, $AA$3:$BV$3, CB$3), rounding)=0, 0, 1)</f>
        <v>0</v>
      </c>
      <c r="DD154" s="7">
        <f>IF(ROUND(V154-BX154, rounding)=0, 0, 1)*'BS Forecasts'!$V$10</f>
        <v>0</v>
      </c>
      <c r="DF154" s="11"/>
      <c r="DG154">
        <f t="shared" si="71"/>
        <v>0</v>
      </c>
      <c r="DH154">
        <v>1</v>
      </c>
      <c r="DI154">
        <v>1</v>
      </c>
      <c r="EY154" s="12" t="str">
        <f>IF(C154="", "", CONCATENATE(D151, " ",D154))</f>
        <v>Loan 6 Loan Capital Repayment (as per loan agreement)</v>
      </c>
    </row>
    <row r="155" spans="1:155" x14ac:dyDescent="0.35">
      <c r="A155" s="220" cm="1">
        <f t="array" aca="1" ref="A155" ca="1">HYPERLINK(CONCATENATE("#",CELL("address",IF(MAX($CM155:$DF155)=0,A155,INDEX($CM155:$DF155,MATCH(1,$CM155:$DF155,0))))),MAX($CM155:$DF155))</f>
        <v>0</v>
      </c>
      <c r="C155" s="211" t="s">
        <v>1127</v>
      </c>
      <c r="D155" t="s">
        <v>1081</v>
      </c>
      <c r="H155" s="9" t="s">
        <v>1074</v>
      </c>
      <c r="I155" s="40" t="s">
        <v>1079</v>
      </c>
      <c r="V155" s="109"/>
      <c r="W155" s="133">
        <f t="shared" si="98"/>
        <v>0</v>
      </c>
      <c r="X155" s="133">
        <f t="shared" si="98"/>
        <v>0</v>
      </c>
      <c r="Y155" s="133">
        <f t="shared" si="98"/>
        <v>0</v>
      </c>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X155" s="12">
        <f t="shared" si="96"/>
        <v>0</v>
      </c>
      <c r="BY155" s="12">
        <f t="shared" si="96"/>
        <v>0</v>
      </c>
      <c r="BZ155" s="12">
        <f t="shared" si="96"/>
        <v>0</v>
      </c>
      <c r="CA155" s="12">
        <f t="shared" si="96"/>
        <v>0</v>
      </c>
      <c r="CB155" s="133">
        <f xml:space="preserve"> SUMIFS($AA155:$BV155, $AA$3:$BV$3, CB$3)</f>
        <v>0</v>
      </c>
      <c r="CC155" s="109"/>
      <c r="CD155" s="109"/>
      <c r="CE155" s="109"/>
      <c r="CF155" s="109"/>
      <c r="CG155" s="109"/>
      <c r="CH155" s="109"/>
      <c r="CI155" s="109"/>
      <c r="CK155" s="11"/>
      <c r="CL155" s="241">
        <f>IF(MAX($V155:$CI155)&gt;0, 1, 0)</f>
        <v>0</v>
      </c>
      <c r="CM155" s="11"/>
      <c r="CY155" s="7" cm="1">
        <f t="array" ref="CY155">SUMPRODUCT(--NOT(ISNUMBER(V155:CI155)),--NOT(ISBLANK(V155:CI155)))</f>
        <v>0</v>
      </c>
      <c r="CZ155" s="7">
        <f t="shared" si="99"/>
        <v>0</v>
      </c>
      <c r="DA155" s="7">
        <f t="shared" si="99"/>
        <v>0</v>
      </c>
      <c r="DB155" s="7">
        <f t="shared" si="99"/>
        <v>0</v>
      </c>
      <c r="DC155" s="7">
        <f>IF(ROUND(CB155-SUMIFS($AA155:$BV155, $AA$3:$BV$3, CB$3), rounding)=0, 0, 1)</f>
        <v>0</v>
      </c>
      <c r="DD155" s="7">
        <f>IF(ROUND(V155-BX155, rounding)=0, 0, 1)*'BS Forecasts'!$V$10</f>
        <v>0</v>
      </c>
      <c r="DF155" s="11"/>
      <c r="DG155">
        <f t="shared" si="71"/>
        <v>0</v>
      </c>
      <c r="DH155">
        <v>1</v>
      </c>
      <c r="DI155">
        <v>1</v>
      </c>
      <c r="EY155" s="12" t="str">
        <f>IF(C155="", "", CONCATENATE(D151, " ",D155))</f>
        <v xml:space="preserve">Loan 6 Early Repayment </v>
      </c>
    </row>
    <row r="156" spans="1:155" x14ac:dyDescent="0.35">
      <c r="C156" s="211" t="s">
        <v>1128</v>
      </c>
      <c r="D156" t="s">
        <v>1083</v>
      </c>
      <c r="H156" s="9" t="s">
        <v>1074</v>
      </c>
      <c r="I156" s="40" t="s">
        <v>317</v>
      </c>
      <c r="V156" s="12">
        <f>$H$18</f>
        <v>0</v>
      </c>
      <c r="W156" s="10">
        <f>SUM(W152:W155)</f>
        <v>0</v>
      </c>
      <c r="X156" s="10">
        <f>SUM(X152:X155)</f>
        <v>0</v>
      </c>
      <c r="Y156" s="10">
        <f>SUM(Y152:Y155)</f>
        <v>0</v>
      </c>
      <c r="AA156" s="10">
        <f t="shared" ref="AA156:BV156" si="100">SUM(AA152:AA155)</f>
        <v>0</v>
      </c>
      <c r="AB156" s="10">
        <f t="shared" si="100"/>
        <v>0</v>
      </c>
      <c r="AC156" s="10">
        <f t="shared" si="100"/>
        <v>0</v>
      </c>
      <c r="AD156" s="10">
        <f t="shared" si="100"/>
        <v>0</v>
      </c>
      <c r="AE156" s="10">
        <f t="shared" si="100"/>
        <v>0</v>
      </c>
      <c r="AF156" s="10">
        <f t="shared" si="100"/>
        <v>0</v>
      </c>
      <c r="AG156" s="10">
        <f t="shared" si="100"/>
        <v>0</v>
      </c>
      <c r="AH156" s="10">
        <f t="shared" si="100"/>
        <v>0</v>
      </c>
      <c r="AI156" s="10">
        <f t="shared" si="100"/>
        <v>0</v>
      </c>
      <c r="AJ156" s="10">
        <f t="shared" si="100"/>
        <v>0</v>
      </c>
      <c r="AK156" s="10">
        <f t="shared" si="100"/>
        <v>0</v>
      </c>
      <c r="AL156" s="10">
        <f t="shared" si="100"/>
        <v>0</v>
      </c>
      <c r="AM156" s="10">
        <f t="shared" si="100"/>
        <v>0</v>
      </c>
      <c r="AN156" s="10">
        <f t="shared" si="100"/>
        <v>0</v>
      </c>
      <c r="AO156" s="10">
        <f t="shared" si="100"/>
        <v>0</v>
      </c>
      <c r="AP156" s="10">
        <f t="shared" si="100"/>
        <v>0</v>
      </c>
      <c r="AQ156" s="10">
        <f t="shared" si="100"/>
        <v>0</v>
      </c>
      <c r="AR156" s="10">
        <f t="shared" si="100"/>
        <v>0</v>
      </c>
      <c r="AS156" s="10">
        <f t="shared" si="100"/>
        <v>0</v>
      </c>
      <c r="AT156" s="10">
        <f t="shared" si="100"/>
        <v>0</v>
      </c>
      <c r="AU156" s="10">
        <f t="shared" si="100"/>
        <v>0</v>
      </c>
      <c r="AV156" s="10">
        <f t="shared" si="100"/>
        <v>0</v>
      </c>
      <c r="AW156" s="10">
        <f t="shared" si="100"/>
        <v>0</v>
      </c>
      <c r="AX156" s="10">
        <f t="shared" si="100"/>
        <v>0</v>
      </c>
      <c r="AY156" s="10">
        <f t="shared" si="100"/>
        <v>0</v>
      </c>
      <c r="AZ156" s="10">
        <f t="shared" si="100"/>
        <v>0</v>
      </c>
      <c r="BA156" s="10">
        <f t="shared" si="100"/>
        <v>0</v>
      </c>
      <c r="BB156" s="10">
        <f t="shared" si="100"/>
        <v>0</v>
      </c>
      <c r="BC156" s="10">
        <f t="shared" si="100"/>
        <v>0</v>
      </c>
      <c r="BD156" s="10">
        <f t="shared" si="100"/>
        <v>0</v>
      </c>
      <c r="BE156" s="10">
        <f t="shared" si="100"/>
        <v>0</v>
      </c>
      <c r="BF156" s="10">
        <f t="shared" si="100"/>
        <v>0</v>
      </c>
      <c r="BG156" s="10">
        <f t="shared" si="100"/>
        <v>0</v>
      </c>
      <c r="BH156" s="10">
        <f t="shared" si="100"/>
        <v>0</v>
      </c>
      <c r="BI156" s="10">
        <f t="shared" si="100"/>
        <v>0</v>
      </c>
      <c r="BJ156" s="10">
        <f t="shared" si="100"/>
        <v>0</v>
      </c>
      <c r="BK156" s="10">
        <f t="shared" si="100"/>
        <v>0</v>
      </c>
      <c r="BL156" s="10">
        <f t="shared" si="100"/>
        <v>0</v>
      </c>
      <c r="BM156" s="10">
        <f t="shared" si="100"/>
        <v>0</v>
      </c>
      <c r="BN156" s="10">
        <f t="shared" si="100"/>
        <v>0</v>
      </c>
      <c r="BO156" s="10">
        <f t="shared" si="100"/>
        <v>0</v>
      </c>
      <c r="BP156" s="10">
        <f t="shared" si="100"/>
        <v>0</v>
      </c>
      <c r="BQ156" s="10">
        <f t="shared" si="100"/>
        <v>0</v>
      </c>
      <c r="BR156" s="10">
        <f t="shared" si="100"/>
        <v>0</v>
      </c>
      <c r="BS156" s="10">
        <f t="shared" si="100"/>
        <v>0</v>
      </c>
      <c r="BT156" s="10">
        <f t="shared" si="100"/>
        <v>0</v>
      </c>
      <c r="BU156" s="10">
        <f t="shared" si="100"/>
        <v>0</v>
      </c>
      <c r="BV156" s="10">
        <f t="shared" si="100"/>
        <v>0</v>
      </c>
      <c r="BX156" s="12">
        <f t="shared" si="96"/>
        <v>0</v>
      </c>
      <c r="BY156" s="12">
        <f t="shared" si="96"/>
        <v>0</v>
      </c>
      <c r="BZ156" s="12">
        <f t="shared" si="96"/>
        <v>0</v>
      </c>
      <c r="CA156" s="12">
        <f t="shared" si="96"/>
        <v>0</v>
      </c>
      <c r="CB156" s="10">
        <f t="shared" ref="CB156:CI156" si="101">SUM(CB152:CB155)</f>
        <v>0</v>
      </c>
      <c r="CC156" s="10">
        <f t="shared" si="101"/>
        <v>0</v>
      </c>
      <c r="CD156" s="10">
        <f t="shared" si="101"/>
        <v>0</v>
      </c>
      <c r="CE156" s="10">
        <f t="shared" si="101"/>
        <v>0</v>
      </c>
      <c r="CF156" s="10">
        <f t="shared" si="101"/>
        <v>0</v>
      </c>
      <c r="CG156" s="10">
        <f t="shared" si="101"/>
        <v>0</v>
      </c>
      <c r="CH156" s="10">
        <f t="shared" si="101"/>
        <v>0</v>
      </c>
      <c r="CI156" s="10">
        <f t="shared" si="101"/>
        <v>0</v>
      </c>
      <c r="CK156" s="11"/>
      <c r="CM156" s="11"/>
      <c r="DF156" s="11"/>
      <c r="DG156">
        <f t="shared" si="71"/>
        <v>0</v>
      </c>
      <c r="DH156">
        <v>0</v>
      </c>
      <c r="DI156">
        <v>0</v>
      </c>
      <c r="EY156" s="12" t="str">
        <f>IF(C156="", "", CONCATENATE(D151, " ",D156))</f>
        <v>Loan 6 Closing Loan Balance</v>
      </c>
    </row>
    <row r="157" spans="1:155" ht="6.75" customHeight="1" x14ac:dyDescent="0.35">
      <c r="C157" s="211"/>
      <c r="D157" s="1"/>
      <c r="E157"/>
      <c r="F157"/>
      <c r="BY157" s="6"/>
      <c r="CK157" s="35"/>
      <c r="CM157" s="35"/>
      <c r="DF157" s="35"/>
      <c r="DG157">
        <f t="shared" si="71"/>
        <v>0</v>
      </c>
      <c r="DH157">
        <v>0</v>
      </c>
      <c r="DI157">
        <v>0</v>
      </c>
      <c r="EY157" s="12" t="str">
        <f>IF(C157="", "", CONCATENATE(D151, " ",D157))</f>
        <v/>
      </c>
    </row>
    <row r="158" spans="1:155" x14ac:dyDescent="0.35">
      <c r="A158" s="220" cm="1">
        <f t="array" aca="1" ref="A158" ca="1">HYPERLINK(CONCATENATE("#",CELL("address",IF(MAX($CM158:$DF158)=0,A158,INDEX($CM158:$DF158,MATCH(1,$CM158:$DF158,0))))),MAX($CM158:$DF158))</f>
        <v>0</v>
      </c>
      <c r="C158" s="211"/>
      <c r="D158" t="s">
        <v>1084</v>
      </c>
      <c r="E158" s="118" t="s">
        <v>1085</v>
      </c>
      <c r="F158" s="118"/>
      <c r="G158" s="10">
        <f>$G$18</f>
        <v>0</v>
      </c>
      <c r="V158" s="7">
        <f>IF(OR(V156&gt;$G158, V156&lt;0), 1, 0)</f>
        <v>0</v>
      </c>
      <c r="W158" s="7">
        <f>IF(OR(W156&gt;$G158, W156&lt;0), 1, 0)</f>
        <v>0</v>
      </c>
      <c r="X158" s="7">
        <f>IF(OR(X156&gt;$G158, X156&lt;0), 1, 0)</f>
        <v>0</v>
      </c>
      <c r="Y158" s="7">
        <f>IF(OR(Y156&gt;$G158, Y156&lt;0), 1, 0)</f>
        <v>0</v>
      </c>
      <c r="AA158" s="7">
        <f t="shared" ref="AA158:BV158" si="102">IF(OR(AA156&gt;$G158, AA156&lt;0), 1, 0)</f>
        <v>0</v>
      </c>
      <c r="AB158" s="7">
        <f t="shared" si="102"/>
        <v>0</v>
      </c>
      <c r="AC158" s="7">
        <f t="shared" si="102"/>
        <v>0</v>
      </c>
      <c r="AD158" s="7">
        <f t="shared" si="102"/>
        <v>0</v>
      </c>
      <c r="AE158" s="7">
        <f t="shared" si="102"/>
        <v>0</v>
      </c>
      <c r="AF158" s="7">
        <f t="shared" si="102"/>
        <v>0</v>
      </c>
      <c r="AG158" s="7">
        <f t="shared" si="102"/>
        <v>0</v>
      </c>
      <c r="AH158" s="7">
        <f t="shared" si="102"/>
        <v>0</v>
      </c>
      <c r="AI158" s="7">
        <f t="shared" si="102"/>
        <v>0</v>
      </c>
      <c r="AJ158" s="7">
        <f t="shared" si="102"/>
        <v>0</v>
      </c>
      <c r="AK158" s="7">
        <f t="shared" si="102"/>
        <v>0</v>
      </c>
      <c r="AL158" s="7">
        <f t="shared" si="102"/>
        <v>0</v>
      </c>
      <c r="AM158" s="7">
        <f t="shared" si="102"/>
        <v>0</v>
      </c>
      <c r="AN158" s="7">
        <f t="shared" si="102"/>
        <v>0</v>
      </c>
      <c r="AO158" s="7">
        <f t="shared" si="102"/>
        <v>0</v>
      </c>
      <c r="AP158" s="7">
        <f t="shared" si="102"/>
        <v>0</v>
      </c>
      <c r="AQ158" s="7">
        <f t="shared" si="102"/>
        <v>0</v>
      </c>
      <c r="AR158" s="7">
        <f t="shared" si="102"/>
        <v>0</v>
      </c>
      <c r="AS158" s="7">
        <f t="shared" si="102"/>
        <v>0</v>
      </c>
      <c r="AT158" s="7">
        <f t="shared" si="102"/>
        <v>0</v>
      </c>
      <c r="AU158" s="7">
        <f t="shared" si="102"/>
        <v>0</v>
      </c>
      <c r="AV158" s="7">
        <f t="shared" si="102"/>
        <v>0</v>
      </c>
      <c r="AW158" s="7">
        <f t="shared" si="102"/>
        <v>0</v>
      </c>
      <c r="AX158" s="7">
        <f t="shared" si="102"/>
        <v>0</v>
      </c>
      <c r="AY158" s="7">
        <f t="shared" si="102"/>
        <v>0</v>
      </c>
      <c r="AZ158" s="7">
        <f t="shared" si="102"/>
        <v>0</v>
      </c>
      <c r="BA158" s="7">
        <f t="shared" si="102"/>
        <v>0</v>
      </c>
      <c r="BB158" s="7">
        <f t="shared" si="102"/>
        <v>0</v>
      </c>
      <c r="BC158" s="7">
        <f t="shared" si="102"/>
        <v>0</v>
      </c>
      <c r="BD158" s="7">
        <f t="shared" si="102"/>
        <v>0</v>
      </c>
      <c r="BE158" s="7">
        <f t="shared" si="102"/>
        <v>0</v>
      </c>
      <c r="BF158" s="7">
        <f t="shared" si="102"/>
        <v>0</v>
      </c>
      <c r="BG158" s="7">
        <f t="shared" si="102"/>
        <v>0</v>
      </c>
      <c r="BH158" s="7">
        <f t="shared" si="102"/>
        <v>0</v>
      </c>
      <c r="BI158" s="7">
        <f t="shared" si="102"/>
        <v>0</v>
      </c>
      <c r="BJ158" s="7">
        <f t="shared" si="102"/>
        <v>0</v>
      </c>
      <c r="BK158" s="7">
        <f t="shared" si="102"/>
        <v>0</v>
      </c>
      <c r="BL158" s="7">
        <f t="shared" si="102"/>
        <v>0</v>
      </c>
      <c r="BM158" s="7">
        <f t="shared" si="102"/>
        <v>0</v>
      </c>
      <c r="BN158" s="7">
        <f t="shared" si="102"/>
        <v>0</v>
      </c>
      <c r="BO158" s="7">
        <f t="shared" si="102"/>
        <v>0</v>
      </c>
      <c r="BP158" s="7">
        <f t="shared" si="102"/>
        <v>0</v>
      </c>
      <c r="BQ158" s="7">
        <f t="shared" si="102"/>
        <v>0</v>
      </c>
      <c r="BR158" s="7">
        <f t="shared" si="102"/>
        <v>0</v>
      </c>
      <c r="BS158" s="7">
        <f t="shared" si="102"/>
        <v>0</v>
      </c>
      <c r="BT158" s="7">
        <f t="shared" si="102"/>
        <v>0</v>
      </c>
      <c r="BU158" s="7">
        <f t="shared" si="102"/>
        <v>0</v>
      </c>
      <c r="BV158" s="7">
        <f t="shared" si="102"/>
        <v>0</v>
      </c>
      <c r="BX158" s="7">
        <f t="shared" ref="BX158:CI158" si="103">IF(OR(BX156&gt;$G158, BX156&lt;0), 1, 0)</f>
        <v>0</v>
      </c>
      <c r="BY158" s="7">
        <f t="shared" si="103"/>
        <v>0</v>
      </c>
      <c r="BZ158" s="7">
        <f t="shared" si="103"/>
        <v>0</v>
      </c>
      <c r="CA158" s="7">
        <f t="shared" si="103"/>
        <v>0</v>
      </c>
      <c r="CB158" s="7">
        <f t="shared" si="103"/>
        <v>0</v>
      </c>
      <c r="CC158" s="7">
        <f t="shared" si="103"/>
        <v>0</v>
      </c>
      <c r="CD158" s="7">
        <f t="shared" si="103"/>
        <v>0</v>
      </c>
      <c r="CE158" s="7">
        <f t="shared" si="103"/>
        <v>0</v>
      </c>
      <c r="CF158" s="7">
        <f t="shared" si="103"/>
        <v>0</v>
      </c>
      <c r="CG158" s="7">
        <f t="shared" si="103"/>
        <v>0</v>
      </c>
      <c r="CH158" s="7">
        <f t="shared" si="103"/>
        <v>0</v>
      </c>
      <c r="CI158" s="7">
        <f t="shared" si="103"/>
        <v>0</v>
      </c>
      <c r="CK158" s="11"/>
      <c r="CM158" s="11"/>
      <c r="CX158" s="7">
        <f>IF(MAX(V158:CI158)&gt;0, 1, 0)</f>
        <v>0</v>
      </c>
      <c r="DF158" s="11"/>
      <c r="DG158">
        <f t="shared" si="71"/>
        <v>1</v>
      </c>
      <c r="DH158">
        <v>0</v>
      </c>
      <c r="DI158">
        <v>0</v>
      </c>
      <c r="EY158" s="12" t="str">
        <f>IF(C158="", "", CONCATENATE(D151, " ",D158))</f>
        <v/>
      </c>
    </row>
    <row r="159" spans="1:155" x14ac:dyDescent="0.35">
      <c r="A159" s="220" cm="1">
        <f t="array" aca="1" ref="A159" ca="1">HYPERLINK(CONCATENATE("#",CELL("address",IF(MAX($CM159:$DF159)=0,A159,INDEX($CM159:$DF159,MATCH(1,$CM159:$DF159,0))))),MAX($CM159:$DF159))</f>
        <v>0</v>
      </c>
      <c r="C159" s="211"/>
      <c r="D159" t="s">
        <v>1086</v>
      </c>
      <c r="E159" s="118" t="s">
        <v>1087</v>
      </c>
      <c r="F159" s="118"/>
      <c r="G159" s="117" t="str">
        <f>IF($K$18="", "", $K$18)</f>
        <v/>
      </c>
      <c r="V159" s="7">
        <f>IF(AND(V$5&gt;=$G159,SUM(V156:$Y156)&lt;&gt;0),1,0)</f>
        <v>0</v>
      </c>
      <c r="W159" s="7">
        <f>IF(AND(W$5&gt;=$G159,SUM(W156:$Y156)&lt;&gt;0),1,0)</f>
        <v>0</v>
      </c>
      <c r="X159" s="7">
        <f>IF(AND(X$5&gt;=$G159,SUM(X156:$Y156)&lt;&gt;0),1,0)</f>
        <v>0</v>
      </c>
      <c r="Y159" s="7">
        <f>IF(AND(Y$5&gt;=$G159,SUM(Y156:$Y156)&lt;&gt;0),1,0)</f>
        <v>0</v>
      </c>
      <c r="AA159" s="7">
        <f>IF(AND(AA$5&gt;=$G159,SUM(AA156:$BV156)&lt;&gt;0),1,0)</f>
        <v>0</v>
      </c>
      <c r="AB159" s="7">
        <f>IF(AND(AB$5&gt;=$G159,SUM(AB156:$BV156)&lt;&gt;0),1,0)</f>
        <v>0</v>
      </c>
      <c r="AC159" s="7">
        <f>IF(AND(AC$5&gt;=$G159,SUM(AC156:$BV156)&lt;&gt;0),1,0)</f>
        <v>0</v>
      </c>
      <c r="AD159" s="7">
        <f>IF(AND(AD$5&gt;=$G159,SUM(AD156:$BV156)&lt;&gt;0),1,0)</f>
        <v>0</v>
      </c>
      <c r="AE159" s="7">
        <f>IF(AND(AE$5&gt;=$G159,SUM(AE156:$BV156)&lt;&gt;0),1,0)</f>
        <v>0</v>
      </c>
      <c r="AF159" s="7">
        <f>IF(AND(AF$5&gt;=$G159,SUM(AF156:$BV156)&lt;&gt;0),1,0)</f>
        <v>0</v>
      </c>
      <c r="AG159" s="7">
        <f>IF(AND(AG$5&gt;=$G159,SUM(AG156:$BV156)&lt;&gt;0),1,0)</f>
        <v>0</v>
      </c>
      <c r="AH159" s="7">
        <f>IF(AND(AH$5&gt;=$G159,SUM(AH156:$BV156)&lt;&gt;0),1,0)</f>
        <v>0</v>
      </c>
      <c r="AI159" s="7">
        <f>IF(AND(AI$5&gt;=$G159,SUM(AI156:$BV156)&lt;&gt;0),1,0)</f>
        <v>0</v>
      </c>
      <c r="AJ159" s="7">
        <f>IF(AND(AJ$5&gt;=$G159,SUM(AJ156:$BV156)&lt;&gt;0),1,0)</f>
        <v>0</v>
      </c>
      <c r="AK159" s="7">
        <f>IF(AND(AK$5&gt;=$G159,SUM(AK156:$BV156)&lt;&gt;0),1,0)</f>
        <v>0</v>
      </c>
      <c r="AL159" s="7">
        <f>IF(AND(AL$5&gt;=$G159,SUM(AL156:$BV156)&lt;&gt;0),1,0)</f>
        <v>0</v>
      </c>
      <c r="AM159" s="7">
        <f>IF(AND(AM$5&gt;=$G159,SUM(AM156:$BV156)&lt;&gt;0),1,0)</f>
        <v>0</v>
      </c>
      <c r="AN159" s="7">
        <f>IF(AND(AN$5&gt;=$G159,SUM(AN156:$BV156)&lt;&gt;0),1,0)</f>
        <v>0</v>
      </c>
      <c r="AO159" s="7">
        <f>IF(AND(AO$5&gt;=$G159,SUM(AO156:$BV156)&lt;&gt;0),1,0)</f>
        <v>0</v>
      </c>
      <c r="AP159" s="7">
        <f>IF(AND(AP$5&gt;=$G159,SUM(AP156:$BV156)&lt;&gt;0),1,0)</f>
        <v>0</v>
      </c>
      <c r="AQ159" s="7">
        <f>IF(AND(AQ$5&gt;=$G159,SUM(AQ156:$BV156)&lt;&gt;0),1,0)</f>
        <v>0</v>
      </c>
      <c r="AR159" s="7">
        <f>IF(AND(AR$5&gt;=$G159,SUM(AR156:$BV156)&lt;&gt;0),1,0)</f>
        <v>0</v>
      </c>
      <c r="AS159" s="7">
        <f>IF(AND(AS$5&gt;=$G159,SUM(AS156:$BV156)&lt;&gt;0),1,0)</f>
        <v>0</v>
      </c>
      <c r="AT159" s="7">
        <f>IF(AND(AT$5&gt;=$G159,SUM(AT156:$BV156)&lt;&gt;0),1,0)</f>
        <v>0</v>
      </c>
      <c r="AU159" s="7">
        <f>IF(AND(AU$5&gt;=$G159,SUM(AU156:$BV156)&lt;&gt;0),1,0)</f>
        <v>0</v>
      </c>
      <c r="AV159" s="7">
        <f>IF(AND(AV$5&gt;=$G159,SUM(AV156:$BV156)&lt;&gt;0),1,0)</f>
        <v>0</v>
      </c>
      <c r="AW159" s="7">
        <f>IF(AND(AW$5&gt;=$G159,SUM(AW156:$BV156)&lt;&gt;0),1,0)</f>
        <v>0</v>
      </c>
      <c r="AX159" s="7">
        <f>IF(AND(AX$5&gt;=$G159,SUM(AX156:$BV156)&lt;&gt;0),1,0)</f>
        <v>0</v>
      </c>
      <c r="AY159" s="7">
        <f>IF(AND(AY$5&gt;=$G159,SUM(AY156:$BV156)&lt;&gt;0),1,0)</f>
        <v>0</v>
      </c>
      <c r="AZ159" s="7">
        <f>IF(AND(AZ$5&gt;=$G159,SUM(AZ156:$BV156)&lt;&gt;0),1,0)</f>
        <v>0</v>
      </c>
      <c r="BA159" s="7">
        <f>IF(AND(BA$5&gt;=$G159,SUM(BA156:$BV156)&lt;&gt;0),1,0)</f>
        <v>0</v>
      </c>
      <c r="BB159" s="7">
        <f>IF(AND(BB$5&gt;=$G159,SUM(BB156:$BV156)&lt;&gt;0),1,0)</f>
        <v>0</v>
      </c>
      <c r="BC159" s="7">
        <f>IF(AND(BC$5&gt;=$G159,SUM(BC156:$BV156)&lt;&gt;0),1,0)</f>
        <v>0</v>
      </c>
      <c r="BD159" s="7">
        <f>IF(AND(BD$5&gt;=$G159,SUM(BD156:$BV156)&lt;&gt;0),1,0)</f>
        <v>0</v>
      </c>
      <c r="BE159" s="7">
        <f>IF(AND(BE$5&gt;=$G159,SUM(BE156:$BV156)&lt;&gt;0),1,0)</f>
        <v>0</v>
      </c>
      <c r="BF159" s="7">
        <f>IF(AND(BF$5&gt;=$G159,SUM(BF156:$BV156)&lt;&gt;0),1,0)</f>
        <v>0</v>
      </c>
      <c r="BG159" s="7">
        <f>IF(AND(BG$5&gt;=$G159,SUM(BG156:$BV156)&lt;&gt;0),1,0)</f>
        <v>0</v>
      </c>
      <c r="BH159" s="7">
        <f>IF(AND(BH$5&gt;=$G159,SUM(BH156:$BV156)&lt;&gt;0),1,0)</f>
        <v>0</v>
      </c>
      <c r="BI159" s="7">
        <f>IF(AND(BI$5&gt;=$G159,SUM(BI156:$BV156)&lt;&gt;0),1,0)</f>
        <v>0</v>
      </c>
      <c r="BJ159" s="7">
        <f>IF(AND(BJ$5&gt;=$G159,SUM(BJ156:$BV156)&lt;&gt;0),1,0)</f>
        <v>0</v>
      </c>
      <c r="BK159" s="7">
        <f>IF(AND(BK$5&gt;=$G159,SUM(BK156:$BV156)&lt;&gt;0),1,0)</f>
        <v>0</v>
      </c>
      <c r="BL159" s="7">
        <f>IF(AND(BL$5&gt;=$G159,SUM(BL156:$BV156)&lt;&gt;0),1,0)</f>
        <v>0</v>
      </c>
      <c r="BM159" s="7">
        <f>IF(AND(BM$5&gt;=$G159,SUM(BM156:$BV156)&lt;&gt;0),1,0)</f>
        <v>0</v>
      </c>
      <c r="BN159" s="7">
        <f>IF(AND(BN$5&gt;=$G159,SUM(BN156:$BV156)&lt;&gt;0),1,0)</f>
        <v>0</v>
      </c>
      <c r="BO159" s="7">
        <f>IF(AND(BO$5&gt;=$G159,SUM(BO156:$BV156)&lt;&gt;0),1,0)</f>
        <v>0</v>
      </c>
      <c r="BP159" s="7">
        <f>IF(AND(BP$5&gt;=$G159,SUM(BP156:$BV156)&lt;&gt;0),1,0)</f>
        <v>0</v>
      </c>
      <c r="BQ159" s="7">
        <f>IF(AND(BQ$5&gt;=$G159,SUM(BQ156:$BV156)&lt;&gt;0),1,0)</f>
        <v>0</v>
      </c>
      <c r="BR159" s="7">
        <f>IF(AND(BR$5&gt;=$G159,SUM(BR156:$BV156)&lt;&gt;0),1,0)</f>
        <v>0</v>
      </c>
      <c r="BS159" s="7">
        <f>IF(AND(BS$5&gt;=$G159,SUM(BS156:$BV156)&lt;&gt;0),1,0)</f>
        <v>0</v>
      </c>
      <c r="BT159" s="7">
        <f>IF(AND(BT$5&gt;=$G159,SUM(BT156:$BV156)&lt;&gt;0),1,0)</f>
        <v>0</v>
      </c>
      <c r="BU159" s="7">
        <f>IF(AND(BU$5&gt;=$G159,SUM(BU156:$BV156)&lt;&gt;0),1,0)</f>
        <v>0</v>
      </c>
      <c r="BV159" s="7">
        <f>IF(AND(BV$5&gt;=$G159,SUM(BV156:$BV156)&lt;&gt;0),1,0)</f>
        <v>0</v>
      </c>
      <c r="BX159" s="7">
        <f>IF(AND(BX$5&gt;=$G159,SUM(BX156:$CI156)&lt;&gt;0),1,0)*BX$1159</f>
        <v>0</v>
      </c>
      <c r="BY159" s="7">
        <f>IF(AND(BY$5&gt;=$G159,SUM(BY156:$CI156)&lt;&gt;0),1,0)*BY$1159</f>
        <v>0</v>
      </c>
      <c r="BZ159" s="7">
        <f>IF(AND(BZ$5&gt;=$G159,SUM(BZ156:$CI156)&lt;&gt;0),1,0)*BZ$1159</f>
        <v>0</v>
      </c>
      <c r="CA159" s="7">
        <f>IF(AND(CA$5&gt;=$G159,SUM(CA156:$CI156)&lt;&gt;0),1,0)*CA$1159</f>
        <v>0</v>
      </c>
      <c r="CB159" s="7">
        <f>IF(AND(CB$5&gt;=$G159,SUM(CB156:$CI156)&lt;&gt;0),1,0)*CB$1159</f>
        <v>0</v>
      </c>
      <c r="CC159" s="7">
        <f>IF(AND(CC$5&gt;=$G159,SUM(CC156:$CI156)&lt;&gt;0),1,0)*CC$1159</f>
        <v>0</v>
      </c>
      <c r="CD159" s="7">
        <f>IF(AND(CD$5&gt;=$G159,SUM(CD156:$CI156)&lt;&gt;0),1,0)*CD$1159</f>
        <v>0</v>
      </c>
      <c r="CE159" s="7">
        <f>IF(AND(CE$5&gt;=$G159,SUM(CE156:$CI156)&lt;&gt;0),1,0)*CE$1159</f>
        <v>0</v>
      </c>
      <c r="CF159" s="7">
        <f>IF(AND(CF$5&gt;=$G159,SUM(CF156:$CI156)&lt;&gt;0),1,0)*CF$1159</f>
        <v>0</v>
      </c>
      <c r="CG159" s="7">
        <f>IF(AND(CG$5&gt;=$G159,SUM(CG156:$CI156)&lt;&gt;0),1,0)*CG$1159</f>
        <v>0</v>
      </c>
      <c r="CH159" s="7">
        <f>IF(AND(CH$5&gt;=$G159,SUM(CH156:$CI156)&lt;&gt;0),1,0)*CH$1159</f>
        <v>0</v>
      </c>
      <c r="CI159" s="7">
        <f>IF(AND(CI$5&gt;=$G159,SUM(CI156:$CI156)&lt;&gt;0),1,0)*CI$1159</f>
        <v>0</v>
      </c>
      <c r="CK159" s="11"/>
      <c r="CM159" s="11"/>
      <c r="CX159" s="7">
        <f>IF(MAX($V159:$CI159)&gt;0, 1, 0)</f>
        <v>0</v>
      </c>
      <c r="DF159" s="11"/>
      <c r="DG159">
        <f t="shared" si="71"/>
        <v>1</v>
      </c>
      <c r="DH159">
        <v>0</v>
      </c>
      <c r="DI159">
        <v>0</v>
      </c>
      <c r="EY159" s="12" t="str">
        <f>IF(C159="", "", CONCATENATE(D151, " ",D159))</f>
        <v/>
      </c>
    </row>
    <row r="160" spans="1:155" ht="6.75" customHeight="1" x14ac:dyDescent="0.35">
      <c r="C160" s="211"/>
      <c r="D160" s="1"/>
      <c r="E160"/>
      <c r="F160"/>
      <c r="BY160" s="6"/>
      <c r="CK160" s="35"/>
      <c r="CM160" s="35"/>
      <c r="DF160" s="35"/>
      <c r="DG160">
        <f t="shared" si="71"/>
        <v>0</v>
      </c>
      <c r="DH160">
        <v>0</v>
      </c>
      <c r="DI160">
        <v>0</v>
      </c>
      <c r="EY160" s="12" t="str">
        <f>IF(C160="", "", CONCATENATE(D151, " ",D160))</f>
        <v/>
      </c>
    </row>
    <row r="161" spans="1:155" x14ac:dyDescent="0.35">
      <c r="C161" s="211"/>
      <c r="D161" t="s">
        <v>1088</v>
      </c>
      <c r="H161" s="9" t="s">
        <v>1074</v>
      </c>
      <c r="I161" s="40" t="s">
        <v>317</v>
      </c>
      <c r="V161" s="109"/>
      <c r="W161" s="133">
        <f>V164</f>
        <v>0</v>
      </c>
      <c r="X161" s="133">
        <f>W164</f>
        <v>0</v>
      </c>
      <c r="Y161" s="10">
        <f>X164</f>
        <v>0</v>
      </c>
      <c r="AA161" s="12">
        <f>W161</f>
        <v>0</v>
      </c>
      <c r="AB161" s="10">
        <f t="shared" ref="AB161:BV161" si="104">AA164</f>
        <v>0</v>
      </c>
      <c r="AC161" s="10">
        <f t="shared" si="104"/>
        <v>0</v>
      </c>
      <c r="AD161" s="10">
        <f t="shared" si="104"/>
        <v>0</v>
      </c>
      <c r="AE161" s="10">
        <f t="shared" si="104"/>
        <v>0</v>
      </c>
      <c r="AF161" s="10">
        <f t="shared" si="104"/>
        <v>0</v>
      </c>
      <c r="AG161" s="10">
        <f t="shared" si="104"/>
        <v>0</v>
      </c>
      <c r="AH161" s="10">
        <f t="shared" si="104"/>
        <v>0</v>
      </c>
      <c r="AI161" s="10">
        <f t="shared" si="104"/>
        <v>0</v>
      </c>
      <c r="AJ161" s="10">
        <f t="shared" si="104"/>
        <v>0</v>
      </c>
      <c r="AK161" s="10">
        <f t="shared" si="104"/>
        <v>0</v>
      </c>
      <c r="AL161" s="10">
        <f t="shared" si="104"/>
        <v>0</v>
      </c>
      <c r="AM161" s="10">
        <f t="shared" si="104"/>
        <v>0</v>
      </c>
      <c r="AN161" s="10">
        <f t="shared" si="104"/>
        <v>0</v>
      </c>
      <c r="AO161" s="10">
        <f t="shared" si="104"/>
        <v>0</v>
      </c>
      <c r="AP161" s="10">
        <f t="shared" si="104"/>
        <v>0</v>
      </c>
      <c r="AQ161" s="10">
        <f t="shared" si="104"/>
        <v>0</v>
      </c>
      <c r="AR161" s="10">
        <f t="shared" si="104"/>
        <v>0</v>
      </c>
      <c r="AS161" s="10">
        <f t="shared" si="104"/>
        <v>0</v>
      </c>
      <c r="AT161" s="10">
        <f t="shared" si="104"/>
        <v>0</v>
      </c>
      <c r="AU161" s="10">
        <f t="shared" si="104"/>
        <v>0</v>
      </c>
      <c r="AV161" s="10">
        <f t="shared" si="104"/>
        <v>0</v>
      </c>
      <c r="AW161" s="10">
        <f t="shared" si="104"/>
        <v>0</v>
      </c>
      <c r="AX161" s="10">
        <f t="shared" si="104"/>
        <v>0</v>
      </c>
      <c r="AY161" s="10">
        <f t="shared" si="104"/>
        <v>0</v>
      </c>
      <c r="AZ161" s="10">
        <f t="shared" si="104"/>
        <v>0</v>
      </c>
      <c r="BA161" s="10">
        <f t="shared" si="104"/>
        <v>0</v>
      </c>
      <c r="BB161" s="10">
        <f t="shared" si="104"/>
        <v>0</v>
      </c>
      <c r="BC161" s="10">
        <f t="shared" si="104"/>
        <v>0</v>
      </c>
      <c r="BD161" s="10">
        <f t="shared" si="104"/>
        <v>0</v>
      </c>
      <c r="BE161" s="10">
        <f t="shared" si="104"/>
        <v>0</v>
      </c>
      <c r="BF161" s="10">
        <f t="shared" si="104"/>
        <v>0</v>
      </c>
      <c r="BG161" s="10">
        <f t="shared" si="104"/>
        <v>0</v>
      </c>
      <c r="BH161" s="10">
        <f t="shared" si="104"/>
        <v>0</v>
      </c>
      <c r="BI161" s="10">
        <f t="shared" si="104"/>
        <v>0</v>
      </c>
      <c r="BJ161" s="10">
        <f t="shared" si="104"/>
        <v>0</v>
      </c>
      <c r="BK161" s="10">
        <f t="shared" si="104"/>
        <v>0</v>
      </c>
      <c r="BL161" s="10">
        <f t="shared" si="104"/>
        <v>0</v>
      </c>
      <c r="BM161" s="10">
        <f t="shared" si="104"/>
        <v>0</v>
      </c>
      <c r="BN161" s="10">
        <f t="shared" si="104"/>
        <v>0</v>
      </c>
      <c r="BO161" s="10">
        <f t="shared" si="104"/>
        <v>0</v>
      </c>
      <c r="BP161" s="10">
        <f t="shared" si="104"/>
        <v>0</v>
      </c>
      <c r="BQ161" s="10">
        <f t="shared" si="104"/>
        <v>0</v>
      </c>
      <c r="BR161" s="10">
        <f t="shared" si="104"/>
        <v>0</v>
      </c>
      <c r="BS161" s="10">
        <f t="shared" si="104"/>
        <v>0</v>
      </c>
      <c r="BT161" s="10">
        <f t="shared" si="104"/>
        <v>0</v>
      </c>
      <c r="BU161" s="10">
        <f t="shared" si="104"/>
        <v>0</v>
      </c>
      <c r="BV161" s="10">
        <f t="shared" si="104"/>
        <v>0</v>
      </c>
      <c r="BX161" s="12">
        <f t="shared" ref="BX161:CA164" si="105">V161</f>
        <v>0</v>
      </c>
      <c r="BY161" s="12">
        <f t="shared" si="105"/>
        <v>0</v>
      </c>
      <c r="BZ161" s="12">
        <f t="shared" si="105"/>
        <v>0</v>
      </c>
      <c r="CA161" s="12">
        <f t="shared" si="105"/>
        <v>0</v>
      </c>
      <c r="CB161" s="10">
        <f t="shared" ref="CB161:CI161" si="106">CA164</f>
        <v>0</v>
      </c>
      <c r="CC161" s="10">
        <f t="shared" si="106"/>
        <v>0</v>
      </c>
      <c r="CD161" s="10">
        <f t="shared" si="106"/>
        <v>0</v>
      </c>
      <c r="CE161" s="10">
        <f t="shared" si="106"/>
        <v>0</v>
      </c>
      <c r="CF161" s="10">
        <f t="shared" si="106"/>
        <v>0</v>
      </c>
      <c r="CG161" s="10">
        <f t="shared" si="106"/>
        <v>0</v>
      </c>
      <c r="CH161" s="10">
        <f t="shared" si="106"/>
        <v>0</v>
      </c>
      <c r="CI161" s="10">
        <f t="shared" si="106"/>
        <v>0</v>
      </c>
      <c r="CK161" s="11"/>
      <c r="CM161" s="11"/>
      <c r="CY161" s="7" cm="1">
        <f t="array" ref="CY161">SUMPRODUCT(--NOT(ISNUMBER(V161:CI161)),--NOT(ISBLANK(V161:CI161)))</f>
        <v>0</v>
      </c>
      <c r="DF161" s="11"/>
      <c r="DG161">
        <f t="shared" si="71"/>
        <v>0</v>
      </c>
      <c r="DH161">
        <v>1</v>
      </c>
      <c r="DI161">
        <v>0</v>
      </c>
      <c r="EY161" s="12" t="str">
        <f>IF(C161="", "", CONCATENATE(D151, " ",D161))</f>
        <v/>
      </c>
    </row>
    <row r="162" spans="1:155" s="5" customFormat="1" x14ac:dyDescent="0.35">
      <c r="A162" s="220" cm="1">
        <f t="array" aca="1" ref="A162" ca="1">HYPERLINK(CONCATENATE("#",CELL("address",IF(MAX($CM162:$DF162)=0,A162,INDEX($CM162:$DF162,MATCH(1,$CM162:$DF162,0))))),MAX($CM162:$DF162))</f>
        <v>0</v>
      </c>
      <c r="B162" s="85" t="s">
        <v>122</v>
      </c>
      <c r="C162" s="211"/>
      <c r="D162" t="s">
        <v>1089</v>
      </c>
      <c r="E162" s="1"/>
      <c r="F162" s="1"/>
      <c r="G162"/>
      <c r="H162" s="9" t="s">
        <v>1074</v>
      </c>
      <c r="I162" s="40" t="s">
        <v>665</v>
      </c>
      <c r="J162"/>
      <c r="K162"/>
      <c r="L162"/>
      <c r="M162"/>
      <c r="N162"/>
      <c r="O162"/>
      <c r="P162"/>
      <c r="Q162"/>
      <c r="R162"/>
      <c r="S162"/>
      <c r="T162"/>
      <c r="U162"/>
      <c r="V162" s="109"/>
      <c r="W162" s="133">
        <f t="shared" ref="W162:Y163" si="107" xml:space="preserve"> SUMIFS($AA162:$BV162, $AA$3:$BV$3, W$3)</f>
        <v>0</v>
      </c>
      <c r="X162" s="133">
        <f t="shared" si="107"/>
        <v>0</v>
      </c>
      <c r="Y162" s="133">
        <f t="shared" si="107"/>
        <v>0</v>
      </c>
      <c r="Z162"/>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c r="BX162" s="12">
        <f t="shared" si="105"/>
        <v>0</v>
      </c>
      <c r="BY162" s="12">
        <f t="shared" si="105"/>
        <v>0</v>
      </c>
      <c r="BZ162" s="12">
        <f t="shared" si="105"/>
        <v>0</v>
      </c>
      <c r="CA162" s="12">
        <f t="shared" si="105"/>
        <v>0</v>
      </c>
      <c r="CB162" s="133">
        <f xml:space="preserve"> SUMIFS($AA162:$BV162, $AA$3:$BV$3, CB$3)</f>
        <v>0</v>
      </c>
      <c r="CC162" s="109"/>
      <c r="CD162" s="109"/>
      <c r="CE162" s="109"/>
      <c r="CF162" s="109"/>
      <c r="CG162" s="109"/>
      <c r="CH162" s="109"/>
      <c r="CI162" s="109"/>
      <c r="CJ162"/>
      <c r="CK162" s="11"/>
      <c r="CL162" s="241">
        <f>IF(MIN($V162:$CI162)&lt;0, 1, 0)</f>
        <v>0</v>
      </c>
      <c r="CM162" s="11"/>
      <c r="CN162"/>
      <c r="CO162"/>
      <c r="CP162"/>
      <c r="CQ162"/>
      <c r="CR162"/>
      <c r="CS162"/>
      <c r="CT162"/>
      <c r="CU162"/>
      <c r="CV162"/>
      <c r="CW162"/>
      <c r="CX162"/>
      <c r="CY162" s="7" cm="1">
        <f t="array" ref="CY162">SUMPRODUCT(--NOT(ISNUMBER(V162:CI162)),--NOT(ISBLANK(V162:CI162)))</f>
        <v>0</v>
      </c>
      <c r="CZ162" s="7">
        <f t="shared" ref="CZ162:DB163" si="108">IF(ROUND(W162-SUMIFS($AA162:$BV162, $AA$3:$BV$3, W$3), rounding)=0, 0, 1)</f>
        <v>0</v>
      </c>
      <c r="DA162" s="7">
        <f t="shared" si="108"/>
        <v>0</v>
      </c>
      <c r="DB162" s="7">
        <f t="shared" si="108"/>
        <v>0</v>
      </c>
      <c r="DC162" s="7">
        <f>IF(ROUND(CB162-SUMIFS($AA162:$BV162, $AA$3:$BV$3, CB$3), rounding)=0, 0, 1)</f>
        <v>0</v>
      </c>
      <c r="DD162" s="7">
        <f>IF(ROUND(V162-BX162, rounding)=0, 0, 1)*'BS Forecasts'!$V$10</f>
        <v>0</v>
      </c>
      <c r="DE162"/>
      <c r="DF162" s="11"/>
      <c r="DG162">
        <f t="shared" si="71"/>
        <v>0</v>
      </c>
      <c r="DH162">
        <v>1</v>
      </c>
      <c r="DI162">
        <v>1</v>
      </c>
      <c r="EY162" s="12" t="str">
        <f>IF(C162="", "", CONCATENATE(D151, " ",D162))</f>
        <v/>
      </c>
    </row>
    <row r="163" spans="1:155" x14ac:dyDescent="0.35">
      <c r="A163" s="220" cm="1">
        <f t="array" aca="1" ref="A163" ca="1">HYPERLINK(CONCATENATE("#",CELL("address",IF(MAX($CM163:$DF163)=0,A163,INDEX($CM163:$DF163,MATCH(1,$CM163:$DF163,0))))),MAX($CM163:$DF163))</f>
        <v>0</v>
      </c>
      <c r="B163" s="85" t="s">
        <v>122</v>
      </c>
      <c r="C163" s="211"/>
      <c r="D163" t="s">
        <v>1090</v>
      </c>
      <c r="H163" s="9" t="s">
        <v>1074</v>
      </c>
      <c r="I163" s="40" t="s">
        <v>1079</v>
      </c>
      <c r="V163" s="109"/>
      <c r="W163" s="133">
        <f t="shared" si="107"/>
        <v>0</v>
      </c>
      <c r="X163" s="133">
        <f t="shared" si="107"/>
        <v>0</v>
      </c>
      <c r="Y163" s="133">
        <f t="shared" si="10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X163" s="12">
        <f t="shared" si="105"/>
        <v>0</v>
      </c>
      <c r="BY163" s="12">
        <f t="shared" si="105"/>
        <v>0</v>
      </c>
      <c r="BZ163" s="12">
        <f t="shared" si="105"/>
        <v>0</v>
      </c>
      <c r="CA163" s="12">
        <f t="shared" si="105"/>
        <v>0</v>
      </c>
      <c r="CB163" s="133">
        <f xml:space="preserve"> SUMIFS($AA163:$BV163, $AA$3:$BV$3, CB$3)</f>
        <v>0</v>
      </c>
      <c r="CC163" s="109"/>
      <c r="CD163" s="109"/>
      <c r="CE163" s="109"/>
      <c r="CF163" s="109"/>
      <c r="CG163" s="109"/>
      <c r="CH163" s="109"/>
      <c r="CI163" s="109"/>
      <c r="CK163" s="11"/>
      <c r="CL163" s="241">
        <f>IF(MAX($V163:$CI163)&gt;0, 1, 0)</f>
        <v>0</v>
      </c>
      <c r="CM163" s="11"/>
      <c r="CY163" s="7" cm="1">
        <f t="array" ref="CY163">SUMPRODUCT(--NOT(ISNUMBER(V163:CI163)),--NOT(ISBLANK(V163:CI163)))</f>
        <v>0</v>
      </c>
      <c r="CZ163" s="7">
        <f t="shared" si="108"/>
        <v>0</v>
      </c>
      <c r="DA163" s="7">
        <f t="shared" si="108"/>
        <v>0</v>
      </c>
      <c r="DB163" s="7">
        <f t="shared" si="108"/>
        <v>0</v>
      </c>
      <c r="DC163" s="7">
        <f>IF(ROUND(CB163-SUMIFS($AA163:$BV163, $AA$3:$BV$3, CB$3), rounding)=0, 0, 1)</f>
        <v>0</v>
      </c>
      <c r="DD163" s="7">
        <f>IF(ROUND(V163-BX163, rounding)=0, 0, 1)*'BS Forecasts'!$V$10</f>
        <v>0</v>
      </c>
      <c r="DF163" s="11"/>
      <c r="DG163">
        <f t="shared" si="71"/>
        <v>0</v>
      </c>
      <c r="DH163">
        <v>1</v>
      </c>
      <c r="DI163">
        <v>1</v>
      </c>
      <c r="EY163" s="12" t="str">
        <f>IF(C163="", "", CONCATENATE(D151, " ",D163))</f>
        <v/>
      </c>
    </row>
    <row r="164" spans="1:155" x14ac:dyDescent="0.35">
      <c r="C164" s="211"/>
      <c r="D164" t="s">
        <v>1091</v>
      </c>
      <c r="H164" s="9" t="s">
        <v>1074</v>
      </c>
      <c r="I164" s="40" t="s">
        <v>317</v>
      </c>
      <c r="V164" s="12">
        <f>$I$18</f>
        <v>0</v>
      </c>
      <c r="W164" s="10">
        <f>SUM(W161:W163)</f>
        <v>0</v>
      </c>
      <c r="X164" s="10">
        <f>SUM(X161:X163)</f>
        <v>0</v>
      </c>
      <c r="Y164" s="10">
        <f>SUM(Y161:Y163)</f>
        <v>0</v>
      </c>
      <c r="AA164" s="10">
        <f t="shared" ref="AA164:BV164" si="109">SUM(AA161:AA163)</f>
        <v>0</v>
      </c>
      <c r="AB164" s="10">
        <f t="shared" si="109"/>
        <v>0</v>
      </c>
      <c r="AC164" s="10">
        <f t="shared" si="109"/>
        <v>0</v>
      </c>
      <c r="AD164" s="10">
        <f t="shared" si="109"/>
        <v>0</v>
      </c>
      <c r="AE164" s="10">
        <f t="shared" si="109"/>
        <v>0</v>
      </c>
      <c r="AF164" s="10">
        <f t="shared" si="109"/>
        <v>0</v>
      </c>
      <c r="AG164" s="10">
        <f t="shared" si="109"/>
        <v>0</v>
      </c>
      <c r="AH164" s="10">
        <f t="shared" si="109"/>
        <v>0</v>
      </c>
      <c r="AI164" s="10">
        <f t="shared" si="109"/>
        <v>0</v>
      </c>
      <c r="AJ164" s="10">
        <f t="shared" si="109"/>
        <v>0</v>
      </c>
      <c r="AK164" s="10">
        <f t="shared" si="109"/>
        <v>0</v>
      </c>
      <c r="AL164" s="10">
        <f t="shared" si="109"/>
        <v>0</v>
      </c>
      <c r="AM164" s="10">
        <f t="shared" si="109"/>
        <v>0</v>
      </c>
      <c r="AN164" s="10">
        <f t="shared" si="109"/>
        <v>0</v>
      </c>
      <c r="AO164" s="10">
        <f t="shared" si="109"/>
        <v>0</v>
      </c>
      <c r="AP164" s="10">
        <f t="shared" si="109"/>
        <v>0</v>
      </c>
      <c r="AQ164" s="10">
        <f t="shared" si="109"/>
        <v>0</v>
      </c>
      <c r="AR164" s="10">
        <f t="shared" si="109"/>
        <v>0</v>
      </c>
      <c r="AS164" s="10">
        <f t="shared" si="109"/>
        <v>0</v>
      </c>
      <c r="AT164" s="10">
        <f t="shared" si="109"/>
        <v>0</v>
      </c>
      <c r="AU164" s="10">
        <f t="shared" si="109"/>
        <v>0</v>
      </c>
      <c r="AV164" s="10">
        <f t="shared" si="109"/>
        <v>0</v>
      </c>
      <c r="AW164" s="10">
        <f t="shared" si="109"/>
        <v>0</v>
      </c>
      <c r="AX164" s="10">
        <f t="shared" si="109"/>
        <v>0</v>
      </c>
      <c r="AY164" s="10">
        <f t="shared" si="109"/>
        <v>0</v>
      </c>
      <c r="AZ164" s="10">
        <f t="shared" si="109"/>
        <v>0</v>
      </c>
      <c r="BA164" s="10">
        <f t="shared" si="109"/>
        <v>0</v>
      </c>
      <c r="BB164" s="10">
        <f t="shared" si="109"/>
        <v>0</v>
      </c>
      <c r="BC164" s="10">
        <f t="shared" si="109"/>
        <v>0</v>
      </c>
      <c r="BD164" s="10">
        <f t="shared" si="109"/>
        <v>0</v>
      </c>
      <c r="BE164" s="10">
        <f t="shared" si="109"/>
        <v>0</v>
      </c>
      <c r="BF164" s="10">
        <f t="shared" si="109"/>
        <v>0</v>
      </c>
      <c r="BG164" s="10">
        <f t="shared" si="109"/>
        <v>0</v>
      </c>
      <c r="BH164" s="10">
        <f t="shared" si="109"/>
        <v>0</v>
      </c>
      <c r="BI164" s="10">
        <f t="shared" si="109"/>
        <v>0</v>
      </c>
      <c r="BJ164" s="10">
        <f t="shared" si="109"/>
        <v>0</v>
      </c>
      <c r="BK164" s="10">
        <f t="shared" si="109"/>
        <v>0</v>
      </c>
      <c r="BL164" s="10">
        <f t="shared" si="109"/>
        <v>0</v>
      </c>
      <c r="BM164" s="10">
        <f t="shared" si="109"/>
        <v>0</v>
      </c>
      <c r="BN164" s="10">
        <f t="shared" si="109"/>
        <v>0</v>
      </c>
      <c r="BO164" s="10">
        <f t="shared" si="109"/>
        <v>0</v>
      </c>
      <c r="BP164" s="10">
        <f t="shared" si="109"/>
        <v>0</v>
      </c>
      <c r="BQ164" s="10">
        <f t="shared" si="109"/>
        <v>0</v>
      </c>
      <c r="BR164" s="10">
        <f t="shared" si="109"/>
        <v>0</v>
      </c>
      <c r="BS164" s="10">
        <f t="shared" si="109"/>
        <v>0</v>
      </c>
      <c r="BT164" s="10">
        <f t="shared" si="109"/>
        <v>0</v>
      </c>
      <c r="BU164" s="10">
        <f t="shared" si="109"/>
        <v>0</v>
      </c>
      <c r="BV164" s="10">
        <f t="shared" si="109"/>
        <v>0</v>
      </c>
      <c r="BX164" s="12">
        <f t="shared" si="105"/>
        <v>0</v>
      </c>
      <c r="BY164" s="12">
        <f t="shared" si="105"/>
        <v>0</v>
      </c>
      <c r="BZ164" s="12">
        <f t="shared" si="105"/>
        <v>0</v>
      </c>
      <c r="CA164" s="12">
        <f t="shared" si="105"/>
        <v>0</v>
      </c>
      <c r="CB164" s="10">
        <f t="shared" ref="CB164:CI164" si="110">SUM(CB161:CB163)</f>
        <v>0</v>
      </c>
      <c r="CC164" s="10">
        <f t="shared" si="110"/>
        <v>0</v>
      </c>
      <c r="CD164" s="10">
        <f t="shared" si="110"/>
        <v>0</v>
      </c>
      <c r="CE164" s="10">
        <f t="shared" si="110"/>
        <v>0</v>
      </c>
      <c r="CF164" s="10">
        <f t="shared" si="110"/>
        <v>0</v>
      </c>
      <c r="CG164" s="10">
        <f t="shared" si="110"/>
        <v>0</v>
      </c>
      <c r="CH164" s="10">
        <f t="shared" si="110"/>
        <v>0</v>
      </c>
      <c r="CI164" s="10">
        <f t="shared" si="110"/>
        <v>0</v>
      </c>
      <c r="CK164" s="11"/>
      <c r="CM164" s="11"/>
      <c r="DF164" s="11"/>
      <c r="DG164">
        <f t="shared" si="71"/>
        <v>0</v>
      </c>
      <c r="DH164">
        <v>0</v>
      </c>
      <c r="DI164">
        <v>0</v>
      </c>
      <c r="EY164" s="12" t="str">
        <f>IF(C164="", "", CONCATENATE(D151, " ",D164))</f>
        <v/>
      </c>
    </row>
    <row r="165" spans="1:155" ht="6.75" customHeight="1" x14ac:dyDescent="0.35">
      <c r="C165" s="211"/>
      <c r="D165" s="1"/>
      <c r="E165"/>
      <c r="F165"/>
      <c r="BY165" s="6"/>
      <c r="CK165" s="35"/>
      <c r="CM165" s="35"/>
      <c r="DF165" s="35"/>
      <c r="DG165">
        <f t="shared" si="71"/>
        <v>0</v>
      </c>
      <c r="DH165">
        <v>0</v>
      </c>
      <c r="DI165">
        <v>0</v>
      </c>
      <c r="EY165" s="12" t="str">
        <f>IF(C165="", "", CONCATENATE(D151, " ",D165))</f>
        <v/>
      </c>
    </row>
    <row r="166" spans="1:155" s="5" customFormat="1" x14ac:dyDescent="0.35">
      <c r="A166" s="220" cm="1">
        <f t="array" aca="1" ref="A166" ca="1">HYPERLINK(CONCATENATE("#",CELL("address",IF(MAX($CM166:$DF166)=0,A166,INDEX($CM166:$DF166,MATCH(1,$CM166:$DF166,0))))),MAX($CM166:$DF166))</f>
        <v>0</v>
      </c>
      <c r="B166"/>
      <c r="C166" s="211" t="s">
        <v>1129</v>
      </c>
      <c r="D166" t="s">
        <v>1093</v>
      </c>
      <c r="E166" s="1"/>
      <c r="F166" s="1"/>
      <c r="G166"/>
      <c r="H166" s="9" t="s">
        <v>1074</v>
      </c>
      <c r="I166" s="40" t="s">
        <v>665</v>
      </c>
      <c r="J166"/>
      <c r="K166"/>
      <c r="L166"/>
      <c r="M166"/>
      <c r="N166"/>
      <c r="O166"/>
      <c r="P166"/>
      <c r="Q166"/>
      <c r="R166"/>
      <c r="S166"/>
      <c r="T166"/>
      <c r="U166"/>
      <c r="V166" s="109"/>
      <c r="W166" s="133">
        <f xml:space="preserve"> SUMIFS($AA166:$BV166, $AA$3:$BV$3, W$3)</f>
        <v>0</v>
      </c>
      <c r="X166" s="133">
        <f xml:space="preserve"> SUMIFS($AA166:$BV166, $AA$3:$BV$3, X$3)</f>
        <v>0</v>
      </c>
      <c r="Y166" s="133">
        <f xml:space="preserve"> SUMIFS($AA166:$BV166, $AA$3:$BV$3, Y$3)</f>
        <v>0</v>
      </c>
      <c r="Z166"/>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c r="BX166" s="12">
        <f>V166</f>
        <v>0</v>
      </c>
      <c r="BY166" s="12">
        <f>W166</f>
        <v>0</v>
      </c>
      <c r="BZ166" s="12">
        <f>X166</f>
        <v>0</v>
      </c>
      <c r="CA166" s="12">
        <f>Y166</f>
        <v>0</v>
      </c>
      <c r="CB166" s="133">
        <f xml:space="preserve"> SUMIFS($AA166:$BV166, $AA$3:$BV$3, CB$3)</f>
        <v>0</v>
      </c>
      <c r="CC166" s="109"/>
      <c r="CD166" s="109"/>
      <c r="CE166" s="109"/>
      <c r="CF166" s="109"/>
      <c r="CG166" s="109"/>
      <c r="CH166" s="109"/>
      <c r="CI166" s="109"/>
      <c r="CJ166"/>
      <c r="CK166" s="11"/>
      <c r="CL166" s="241">
        <f>IF(MIN($V166:$CI166)&lt;0, 1, 0)</f>
        <v>0</v>
      </c>
      <c r="CM166" s="11"/>
      <c r="CN166"/>
      <c r="CO166"/>
      <c r="CP166"/>
      <c r="CQ166"/>
      <c r="CR166"/>
      <c r="CS166"/>
      <c r="CT166"/>
      <c r="CU166"/>
      <c r="CV166"/>
      <c r="CW166"/>
      <c r="CX166"/>
      <c r="CY166" s="7" cm="1">
        <f t="array" ref="CY166">SUMPRODUCT(--NOT(ISNUMBER(V166:CI166)),--NOT(ISBLANK(V166:CI166)))</f>
        <v>0</v>
      </c>
      <c r="CZ166" s="7">
        <f>IF(ROUND(W166-SUMIFS($AA166:$BV166, $AA$3:$BV$3, W$3), rounding)=0, 0, 1)</f>
        <v>0</v>
      </c>
      <c r="DA166" s="7">
        <f>IF(ROUND(X166-SUMIFS($AA166:$BV166, $AA$3:$BV$3, X$3), rounding)=0, 0, 1)</f>
        <v>0</v>
      </c>
      <c r="DB166" s="7">
        <f>IF(ROUND(Y166-SUMIFS($AA166:$BV166, $AA$3:$BV$3, Y$3), rounding)=0, 0, 1)</f>
        <v>0</v>
      </c>
      <c r="DC166" s="7">
        <f>IF(ROUND(CB166-SUMIFS($AA166:$BV166, $AA$3:$BV$3, CB$3), rounding)=0, 0, 1)</f>
        <v>0</v>
      </c>
      <c r="DD166" s="7">
        <f>IF(ROUND(V166-BX166, rounding)=0, 0, 1)*'BS Forecasts'!$V$10</f>
        <v>0</v>
      </c>
      <c r="DE166"/>
      <c r="DF166" s="11"/>
      <c r="DG166">
        <f t="shared" si="71"/>
        <v>0</v>
      </c>
      <c r="DH166">
        <v>1</v>
      </c>
      <c r="DI166">
        <v>1</v>
      </c>
      <c r="EY166" s="12" t="str">
        <f>IF(C166="", "", CONCATENATE(D151, " ",D166))</f>
        <v>Loan 6 Early Repayment Fee</v>
      </c>
    </row>
    <row r="167" spans="1:155" ht="6.75" customHeight="1" x14ac:dyDescent="0.35">
      <c r="C167" s="211"/>
      <c r="D167" s="1"/>
      <c r="E167"/>
      <c r="F167"/>
      <c r="BY167" s="6"/>
      <c r="CK167" s="35"/>
      <c r="CM167" s="35"/>
      <c r="DF167" s="35"/>
      <c r="DG167">
        <f t="shared" si="71"/>
        <v>0</v>
      </c>
      <c r="DH167">
        <v>0</v>
      </c>
      <c r="DI167">
        <v>0</v>
      </c>
      <c r="EY167" s="12" t="str">
        <f>IF(C167="", "", CONCATENATE(D151, " ",D167))</f>
        <v/>
      </c>
    </row>
    <row r="168" spans="1:155" x14ac:dyDescent="0.35">
      <c r="A168" s="220" cm="1">
        <f t="array" aca="1" ref="A168" ca="1">HYPERLINK(CONCATENATE("#",CELL("address",IF(MAX($CM168:$DF168)=0,A168,INDEX($CM168:$DF168,MATCH(1,$CM168:$DF168,0))))),MAX($CM168:$DF168))</f>
        <v>0</v>
      </c>
      <c r="B168" s="85" t="s">
        <v>122</v>
      </c>
      <c r="D168" t="s">
        <v>1094</v>
      </c>
      <c r="E168" s="140" t="str">
        <f>IF(J$18="", "", J$18)</f>
        <v/>
      </c>
      <c r="F168" s="140"/>
      <c r="G168" s="140" t="str">
        <f>IF(K$18="", "", K$18)</f>
        <v/>
      </c>
      <c r="V168" s="7">
        <f>IF(AND(OR( V$5&gt;$G168, Timeline!V$8&lt;Loans!$E168), Loans!V166&lt;&gt;0), 1, 0)</f>
        <v>0</v>
      </c>
      <c r="W168" s="7">
        <f>IF(AND(OR( W$5&gt;$G168, Timeline!W$8&lt;Loans!$E168), Loans!W166&lt;&gt;0), 1, 0)</f>
        <v>0</v>
      </c>
      <c r="X168" s="7">
        <f>IF(AND(OR( X$5&gt;$G168, Timeline!X$8&lt;Loans!$E168), Loans!X166&lt;&gt;0), 1, 0)</f>
        <v>0</v>
      </c>
      <c r="Y168" s="7">
        <f>IF(AND(OR( Y$5&gt;$G168, Timeline!Y$8&lt;Loans!$E168), Loans!Y166&lt;&gt;0), 1, 0)</f>
        <v>0</v>
      </c>
      <c r="AA168" s="7">
        <f>IF(AND(OR( AA$5&gt;$G168, Timeline!AA$8&lt;Loans!$E168), Loans!AA166&lt;&gt;0), 1, 0)</f>
        <v>0</v>
      </c>
      <c r="AB168" s="7">
        <f>IF(AND(OR( AB$5&gt;$G168, Timeline!AB$8&lt;Loans!$E168), Loans!AB166&lt;&gt;0), 1, 0)</f>
        <v>0</v>
      </c>
      <c r="AC168" s="7">
        <f>IF(AND(OR( AC$5&gt;$G168, Timeline!AC$8&lt;Loans!$E168), Loans!AC166&lt;&gt;0), 1, 0)</f>
        <v>0</v>
      </c>
      <c r="AD168" s="7">
        <f>IF(AND(OR( AD$5&gt;$G168, Timeline!AD$8&lt;Loans!$E168), Loans!AD166&lt;&gt;0), 1, 0)</f>
        <v>0</v>
      </c>
      <c r="AE168" s="7">
        <f>IF(AND(OR( AE$5&gt;$G168, Timeline!AE$8&lt;Loans!$E168), Loans!AE166&lt;&gt;0), 1, 0)</f>
        <v>0</v>
      </c>
      <c r="AF168" s="7">
        <f>IF(AND(OR( AF$5&gt;$G168, Timeline!AF$8&lt;Loans!$E168), Loans!AF166&lt;&gt;0), 1, 0)</f>
        <v>0</v>
      </c>
      <c r="AG168" s="7">
        <f>IF(AND(OR( AG$5&gt;$G168, Timeline!AG$8&lt;Loans!$E168), Loans!AG166&lt;&gt;0), 1, 0)</f>
        <v>0</v>
      </c>
      <c r="AH168" s="7">
        <f>IF(AND(OR( AH$5&gt;$G168, Timeline!AH$8&lt;Loans!$E168), Loans!AH166&lt;&gt;0), 1, 0)</f>
        <v>0</v>
      </c>
      <c r="AI168" s="7">
        <f>IF(AND(OR( AI$5&gt;$G168, Timeline!AI$8&lt;Loans!$E168), Loans!AI166&lt;&gt;0), 1, 0)</f>
        <v>0</v>
      </c>
      <c r="AJ168" s="7">
        <f>IF(AND(OR( AJ$5&gt;$G168, Timeline!AJ$8&lt;Loans!$E168), Loans!AJ166&lt;&gt;0), 1, 0)</f>
        <v>0</v>
      </c>
      <c r="AK168" s="7">
        <f>IF(AND(OR( AK$5&gt;$G168, Timeline!AK$8&lt;Loans!$E168), Loans!AK166&lt;&gt;0), 1, 0)</f>
        <v>0</v>
      </c>
      <c r="AL168" s="7">
        <f>IF(AND(OR( AL$5&gt;$G168, Timeline!AL$8&lt;Loans!$E168), Loans!AL166&lt;&gt;0), 1, 0)</f>
        <v>0</v>
      </c>
      <c r="AM168" s="7">
        <f>IF(AND(OR( AM$5&gt;$G168, Timeline!AM$8&lt;Loans!$E168), Loans!AM166&lt;&gt;0), 1, 0)</f>
        <v>0</v>
      </c>
      <c r="AN168" s="7">
        <f>IF(AND(OR( AN$5&gt;$G168, Timeline!AN$8&lt;Loans!$E168), Loans!AN166&lt;&gt;0), 1, 0)</f>
        <v>0</v>
      </c>
      <c r="AO168" s="7">
        <f>IF(AND(OR( AO$5&gt;$G168, Timeline!AO$8&lt;Loans!$E168), Loans!AO166&lt;&gt;0), 1, 0)</f>
        <v>0</v>
      </c>
      <c r="AP168" s="7">
        <f>IF(AND(OR( AP$5&gt;$G168, Timeline!AP$8&lt;Loans!$E168), Loans!AP166&lt;&gt;0), 1, 0)</f>
        <v>0</v>
      </c>
      <c r="AQ168" s="7">
        <f>IF(AND(OR( AQ$5&gt;$G168, Timeline!AQ$8&lt;Loans!$E168), Loans!AQ166&lt;&gt;0), 1, 0)</f>
        <v>0</v>
      </c>
      <c r="AR168" s="7">
        <f>IF(AND(OR( AR$5&gt;$G168, Timeline!AR$8&lt;Loans!$E168), Loans!AR166&lt;&gt;0), 1, 0)</f>
        <v>0</v>
      </c>
      <c r="AS168" s="7">
        <f>IF(AND(OR( AS$5&gt;$G168, Timeline!AS$8&lt;Loans!$E168), Loans!AS166&lt;&gt;0), 1, 0)</f>
        <v>0</v>
      </c>
      <c r="AT168" s="7">
        <f>IF(AND(OR( AT$5&gt;$G168, Timeline!AT$8&lt;Loans!$E168), Loans!AT166&lt;&gt;0), 1, 0)</f>
        <v>0</v>
      </c>
      <c r="AU168" s="7">
        <f>IF(AND(OR( AU$5&gt;$G168, Timeline!AU$8&lt;Loans!$E168), Loans!AU166&lt;&gt;0), 1, 0)</f>
        <v>0</v>
      </c>
      <c r="AV168" s="7">
        <f>IF(AND(OR( AV$5&gt;$G168, Timeline!AV$8&lt;Loans!$E168), Loans!AV166&lt;&gt;0), 1, 0)</f>
        <v>0</v>
      </c>
      <c r="AW168" s="7">
        <f>IF(AND(OR( AW$5&gt;$G168, Timeline!AW$8&lt;Loans!$E168), Loans!AW166&lt;&gt;0), 1, 0)</f>
        <v>0</v>
      </c>
      <c r="AX168" s="7">
        <f>IF(AND(OR( AX$5&gt;$G168, Timeline!AX$8&lt;Loans!$E168), Loans!AX166&lt;&gt;0), 1, 0)</f>
        <v>0</v>
      </c>
      <c r="AY168" s="7">
        <f>IF(AND(OR( AY$5&gt;$G168, Timeline!AY$8&lt;Loans!$E168), Loans!AY166&lt;&gt;0), 1, 0)</f>
        <v>0</v>
      </c>
      <c r="AZ168" s="7">
        <f>IF(AND(OR( AZ$5&gt;$G168, Timeline!AZ$8&lt;Loans!$E168), Loans!AZ166&lt;&gt;0), 1, 0)</f>
        <v>0</v>
      </c>
      <c r="BA168" s="7">
        <f>IF(AND(OR( BA$5&gt;$G168, Timeline!BA$8&lt;Loans!$E168), Loans!BA166&lt;&gt;0), 1, 0)</f>
        <v>0</v>
      </c>
      <c r="BB168" s="7">
        <f>IF(AND(OR( BB$5&gt;$G168, Timeline!BB$8&lt;Loans!$E168), Loans!BB166&lt;&gt;0), 1, 0)</f>
        <v>0</v>
      </c>
      <c r="BC168" s="7">
        <f>IF(AND(OR( BC$5&gt;$G168, Timeline!BC$8&lt;Loans!$E168), Loans!BC166&lt;&gt;0), 1, 0)</f>
        <v>0</v>
      </c>
      <c r="BD168" s="7">
        <f>IF(AND(OR( BD$5&gt;$G168, Timeline!BD$8&lt;Loans!$E168), Loans!BD166&lt;&gt;0), 1, 0)</f>
        <v>0</v>
      </c>
      <c r="BE168" s="7">
        <f>IF(AND(OR( BE$5&gt;$G168, Timeline!BE$8&lt;Loans!$E168), Loans!BE166&lt;&gt;0), 1, 0)</f>
        <v>0</v>
      </c>
      <c r="BF168" s="7">
        <f>IF(AND(OR( BF$5&gt;$G168, Timeline!BF$8&lt;Loans!$E168), Loans!BF166&lt;&gt;0), 1, 0)</f>
        <v>0</v>
      </c>
      <c r="BG168" s="7">
        <f>IF(AND(OR( BG$5&gt;$G168, Timeline!BG$8&lt;Loans!$E168), Loans!BG166&lt;&gt;0), 1, 0)</f>
        <v>0</v>
      </c>
      <c r="BH168" s="7">
        <f>IF(AND(OR( BH$5&gt;$G168, Timeline!BH$8&lt;Loans!$E168), Loans!BH166&lt;&gt;0), 1, 0)</f>
        <v>0</v>
      </c>
      <c r="BI168" s="7">
        <f>IF(AND(OR( BI$5&gt;$G168, Timeline!BI$8&lt;Loans!$E168), Loans!BI166&lt;&gt;0), 1, 0)</f>
        <v>0</v>
      </c>
      <c r="BJ168" s="7">
        <f>IF(AND(OR( BJ$5&gt;$G168, Timeline!BJ$8&lt;Loans!$E168), Loans!BJ166&lt;&gt;0), 1, 0)</f>
        <v>0</v>
      </c>
      <c r="BK168" s="7">
        <f>IF(AND(OR( BK$5&gt;$G168, Timeline!BK$8&lt;Loans!$E168), Loans!BK166&lt;&gt;0), 1, 0)</f>
        <v>0</v>
      </c>
      <c r="BL168" s="7">
        <f>IF(AND(OR( BL$5&gt;$G168, Timeline!BL$8&lt;Loans!$E168), Loans!BL166&lt;&gt;0), 1, 0)</f>
        <v>0</v>
      </c>
      <c r="BM168" s="7">
        <f>IF(AND(OR( BM$5&gt;$G168, Timeline!BM$8&lt;Loans!$E168), Loans!BM166&lt;&gt;0), 1, 0)</f>
        <v>0</v>
      </c>
      <c r="BN168" s="7">
        <f>IF(AND(OR( BN$5&gt;$G168, Timeline!BN$8&lt;Loans!$E168), Loans!BN166&lt;&gt;0), 1, 0)</f>
        <v>0</v>
      </c>
      <c r="BO168" s="7">
        <f>IF(AND(OR( BO$5&gt;$G168, Timeline!BO$8&lt;Loans!$E168), Loans!BO166&lt;&gt;0), 1, 0)</f>
        <v>0</v>
      </c>
      <c r="BP168" s="7">
        <f>IF(AND(OR( BP$5&gt;$G168, Timeline!BP$8&lt;Loans!$E168), Loans!BP166&lt;&gt;0), 1, 0)</f>
        <v>0</v>
      </c>
      <c r="BQ168" s="7">
        <f>IF(AND(OR( BQ$5&gt;$G168, Timeline!BQ$8&lt;Loans!$E168), Loans!BQ166&lt;&gt;0), 1, 0)</f>
        <v>0</v>
      </c>
      <c r="BR168" s="7">
        <f>IF(AND(OR( BR$5&gt;$G168, Timeline!BR$8&lt;Loans!$E168), Loans!BR166&lt;&gt;0), 1, 0)</f>
        <v>0</v>
      </c>
      <c r="BS168" s="7">
        <f>IF(AND(OR( BS$5&gt;$G168, Timeline!BS$8&lt;Loans!$E168), Loans!BS166&lt;&gt;0), 1, 0)</f>
        <v>0</v>
      </c>
      <c r="BT168" s="7">
        <f>IF(AND(OR( BT$5&gt;$G168, Timeline!BT$8&lt;Loans!$E168), Loans!BT166&lt;&gt;0), 1, 0)</f>
        <v>0</v>
      </c>
      <c r="BU168" s="7">
        <f>IF(AND(OR( BU$5&gt;$G168, Timeline!BU$8&lt;Loans!$E168), Loans!BU166&lt;&gt;0), 1, 0)</f>
        <v>0</v>
      </c>
      <c r="BV168" s="7">
        <f>IF(AND(OR( BV$5&gt;$G168, Timeline!BV$8&lt;Loans!$E168), Loans!BV166&lt;&gt;0), 1, 0)</f>
        <v>0</v>
      </c>
      <c r="BX168" s="7">
        <f>IF(AND(OR( BX$5&gt;$G168, Timeline!BX$8&lt;Loans!$E168), Loans!BX166&lt;&gt;0), 1, 0)</f>
        <v>0</v>
      </c>
      <c r="BY168" s="7">
        <f>IF(AND(OR( BY$5&gt;$G168, Timeline!BY$8&lt;Loans!$E168), Loans!BY166&lt;&gt;0), 1, 0)</f>
        <v>0</v>
      </c>
      <c r="BZ168" s="7">
        <f>IF(AND(OR( BZ$5&gt;$G168, Timeline!BZ$8&lt;Loans!$E168), Loans!BZ166&lt;&gt;0), 1, 0)</f>
        <v>0</v>
      </c>
      <c r="CA168" s="7">
        <f>IF(AND(OR( CA$5&gt;$G168, Timeline!CA$8&lt;Loans!$E168), Loans!CA166&lt;&gt;0), 1, 0)</f>
        <v>0</v>
      </c>
      <c r="CB168" s="7">
        <f>IF(AND(OR( CB$5&gt;$G168, Timeline!CB$8&lt;Loans!$E168), Loans!CB166&lt;&gt;0), 1, 0)</f>
        <v>0</v>
      </c>
      <c r="CC168" s="7">
        <f>IF(AND(OR( CC$5&gt;$G168, Timeline!CC$8&lt;Loans!$E168), Loans!CC166&lt;&gt;0), 1, 0)</f>
        <v>0</v>
      </c>
      <c r="CD168" s="7">
        <f>IF(AND(OR( CD$5&gt;$G168, Timeline!CD$8&lt;Loans!$E168), Loans!CD166&lt;&gt;0), 1, 0)</f>
        <v>0</v>
      </c>
      <c r="CE168" s="7">
        <f>IF(AND(OR( CE$5&gt;$G168, Timeline!CE$8&lt;Loans!$E168), Loans!CE166&lt;&gt;0), 1, 0)</f>
        <v>0</v>
      </c>
      <c r="CF168" s="7">
        <f>IF(AND(OR( CF$5&gt;$G168, Timeline!CF$8&lt;Loans!$E168), Loans!CF166&lt;&gt;0), 1, 0)</f>
        <v>0</v>
      </c>
      <c r="CG168" s="7">
        <f>IF(AND(OR( CG$5&gt;$G168, Timeline!CG$8&lt;Loans!$E168), Loans!CG166&lt;&gt;0), 1, 0)</f>
        <v>0</v>
      </c>
      <c r="CH168" s="7">
        <f>IF(AND(OR( CH$5&gt;$G168, Timeline!CH$8&lt;Loans!$E168), Loans!CH166&lt;&gt;0), 1, 0)</f>
        <v>0</v>
      </c>
      <c r="CI168" s="7">
        <f>IF(AND(OR( CI$5&gt;$G168, Timeline!CI$8&lt;Loans!$E168), Loans!CI166&lt;&gt;0), 1, 0)</f>
        <v>0</v>
      </c>
      <c r="CK168" s="11"/>
      <c r="CM168" s="11"/>
      <c r="CX168" s="7">
        <f>IF(MAX($V168:$CI168)&gt;0, 1, 0)</f>
        <v>0</v>
      </c>
      <c r="DF168" s="11"/>
      <c r="DG168">
        <f t="shared" si="71"/>
        <v>1</v>
      </c>
      <c r="DH168">
        <v>0</v>
      </c>
      <c r="DI168">
        <v>0</v>
      </c>
      <c r="EY168" s="12" t="str">
        <f>IF(C168="", "", CONCATENATE(D151, " ",D168))</f>
        <v/>
      </c>
    </row>
    <row r="169" spans="1:155" ht="6.75" customHeight="1" x14ac:dyDescent="0.35">
      <c r="C169" s="211"/>
      <c r="D169" s="1"/>
      <c r="E169"/>
      <c r="F169"/>
      <c r="BY169" s="6"/>
      <c r="CK169" s="35"/>
      <c r="CM169" s="35"/>
      <c r="DF169" s="35"/>
      <c r="DG169">
        <f t="shared" si="71"/>
        <v>0</v>
      </c>
      <c r="DH169">
        <v>0</v>
      </c>
      <c r="DI169">
        <v>0</v>
      </c>
      <c r="EY169" s="10" t="str">
        <f>IF($C169="","",$D169)</f>
        <v/>
      </c>
    </row>
    <row r="170" spans="1:155" x14ac:dyDescent="0.35">
      <c r="A170" s="53"/>
      <c r="C170" s="211"/>
      <c r="D170" s="53" t="s">
        <v>1130</v>
      </c>
      <c r="E170" s="53"/>
      <c r="F170" s="53"/>
      <c r="G170" s="53"/>
      <c r="H170" s="53"/>
      <c r="I170" s="53"/>
      <c r="J170" s="53"/>
      <c r="M170" s="53"/>
      <c r="N170" s="53"/>
      <c r="O170" s="53"/>
      <c r="P170" s="53"/>
      <c r="Q170" s="53"/>
      <c r="R170" s="53"/>
      <c r="CK170" s="11"/>
      <c r="CM170" s="11"/>
      <c r="DF170" s="11"/>
      <c r="DG170">
        <f t="shared" si="71"/>
        <v>0</v>
      </c>
      <c r="DH170">
        <v>0</v>
      </c>
      <c r="DI170">
        <v>0</v>
      </c>
      <c r="EY170" s="10" t="str">
        <f>IF($C170="","",$D170)</f>
        <v/>
      </c>
    </row>
    <row r="171" spans="1:155" x14ac:dyDescent="0.35">
      <c r="C171" s="211" t="s">
        <v>1131</v>
      </c>
      <c r="D171" t="s">
        <v>1073</v>
      </c>
      <c r="H171" s="9" t="s">
        <v>1074</v>
      </c>
      <c r="I171" s="40" t="s">
        <v>317</v>
      </c>
      <c r="V171" s="109"/>
      <c r="W171" s="133">
        <f>V175</f>
        <v>0</v>
      </c>
      <c r="X171" s="133">
        <f>W175</f>
        <v>0</v>
      </c>
      <c r="Y171" s="10">
        <f>X175</f>
        <v>0</v>
      </c>
      <c r="AA171" s="12">
        <f>W171</f>
        <v>0</v>
      </c>
      <c r="AB171" s="10">
        <f t="shared" ref="AB171:BV171" si="111">AA175</f>
        <v>0</v>
      </c>
      <c r="AC171" s="10">
        <f t="shared" si="111"/>
        <v>0</v>
      </c>
      <c r="AD171" s="10">
        <f t="shared" si="111"/>
        <v>0</v>
      </c>
      <c r="AE171" s="10">
        <f t="shared" si="111"/>
        <v>0</v>
      </c>
      <c r="AF171" s="10">
        <f t="shared" si="111"/>
        <v>0</v>
      </c>
      <c r="AG171" s="10">
        <f t="shared" si="111"/>
        <v>0</v>
      </c>
      <c r="AH171" s="10">
        <f t="shared" si="111"/>
        <v>0</v>
      </c>
      <c r="AI171" s="10">
        <f t="shared" si="111"/>
        <v>0</v>
      </c>
      <c r="AJ171" s="10">
        <f t="shared" si="111"/>
        <v>0</v>
      </c>
      <c r="AK171" s="10">
        <f t="shared" si="111"/>
        <v>0</v>
      </c>
      <c r="AL171" s="10">
        <f t="shared" si="111"/>
        <v>0</v>
      </c>
      <c r="AM171" s="10">
        <f t="shared" si="111"/>
        <v>0</v>
      </c>
      <c r="AN171" s="10">
        <f t="shared" si="111"/>
        <v>0</v>
      </c>
      <c r="AO171" s="10">
        <f t="shared" si="111"/>
        <v>0</v>
      </c>
      <c r="AP171" s="10">
        <f t="shared" si="111"/>
        <v>0</v>
      </c>
      <c r="AQ171" s="10">
        <f t="shared" si="111"/>
        <v>0</v>
      </c>
      <c r="AR171" s="10">
        <f t="shared" si="111"/>
        <v>0</v>
      </c>
      <c r="AS171" s="10">
        <f t="shared" si="111"/>
        <v>0</v>
      </c>
      <c r="AT171" s="10">
        <f t="shared" si="111"/>
        <v>0</v>
      </c>
      <c r="AU171" s="10">
        <f t="shared" si="111"/>
        <v>0</v>
      </c>
      <c r="AV171" s="10">
        <f t="shared" si="111"/>
        <v>0</v>
      </c>
      <c r="AW171" s="10">
        <f t="shared" si="111"/>
        <v>0</v>
      </c>
      <c r="AX171" s="10">
        <f t="shared" si="111"/>
        <v>0</v>
      </c>
      <c r="AY171" s="10">
        <f t="shared" si="111"/>
        <v>0</v>
      </c>
      <c r="AZ171" s="10">
        <f t="shared" si="111"/>
        <v>0</v>
      </c>
      <c r="BA171" s="10">
        <f t="shared" si="111"/>
        <v>0</v>
      </c>
      <c r="BB171" s="10">
        <f t="shared" si="111"/>
        <v>0</v>
      </c>
      <c r="BC171" s="10">
        <f t="shared" si="111"/>
        <v>0</v>
      </c>
      <c r="BD171" s="10">
        <f t="shared" si="111"/>
        <v>0</v>
      </c>
      <c r="BE171" s="10">
        <f t="shared" si="111"/>
        <v>0</v>
      </c>
      <c r="BF171" s="10">
        <f t="shared" si="111"/>
        <v>0</v>
      </c>
      <c r="BG171" s="10">
        <f t="shared" si="111"/>
        <v>0</v>
      </c>
      <c r="BH171" s="10">
        <f t="shared" si="111"/>
        <v>0</v>
      </c>
      <c r="BI171" s="10">
        <f t="shared" si="111"/>
        <v>0</v>
      </c>
      <c r="BJ171" s="10">
        <f t="shared" si="111"/>
        <v>0</v>
      </c>
      <c r="BK171" s="10">
        <f t="shared" si="111"/>
        <v>0</v>
      </c>
      <c r="BL171" s="10">
        <f t="shared" si="111"/>
        <v>0</v>
      </c>
      <c r="BM171" s="10">
        <f t="shared" si="111"/>
        <v>0</v>
      </c>
      <c r="BN171" s="10">
        <f t="shared" si="111"/>
        <v>0</v>
      </c>
      <c r="BO171" s="10">
        <f t="shared" si="111"/>
        <v>0</v>
      </c>
      <c r="BP171" s="10">
        <f t="shared" si="111"/>
        <v>0</v>
      </c>
      <c r="BQ171" s="10">
        <f t="shared" si="111"/>
        <v>0</v>
      </c>
      <c r="BR171" s="10">
        <f t="shared" si="111"/>
        <v>0</v>
      </c>
      <c r="BS171" s="10">
        <f t="shared" si="111"/>
        <v>0</v>
      </c>
      <c r="BT171" s="10">
        <f t="shared" si="111"/>
        <v>0</v>
      </c>
      <c r="BU171" s="10">
        <f t="shared" si="111"/>
        <v>0</v>
      </c>
      <c r="BV171" s="10">
        <f t="shared" si="111"/>
        <v>0</v>
      </c>
      <c r="BX171" s="12">
        <f t="shared" ref="BX171:CA175" si="112">V171</f>
        <v>0</v>
      </c>
      <c r="BY171" s="12">
        <f t="shared" si="112"/>
        <v>0</v>
      </c>
      <c r="BZ171" s="12">
        <f t="shared" si="112"/>
        <v>0</v>
      </c>
      <c r="CA171" s="12">
        <f t="shared" si="112"/>
        <v>0</v>
      </c>
      <c r="CB171" s="10">
        <f t="shared" ref="CB171:CI171" si="113">CA175</f>
        <v>0</v>
      </c>
      <c r="CC171" s="10">
        <f t="shared" si="113"/>
        <v>0</v>
      </c>
      <c r="CD171" s="10">
        <f t="shared" si="113"/>
        <v>0</v>
      </c>
      <c r="CE171" s="10">
        <f t="shared" si="113"/>
        <v>0</v>
      </c>
      <c r="CF171" s="10">
        <f t="shared" si="113"/>
        <v>0</v>
      </c>
      <c r="CG171" s="10">
        <f t="shared" si="113"/>
        <v>0</v>
      </c>
      <c r="CH171" s="10">
        <f t="shared" si="113"/>
        <v>0</v>
      </c>
      <c r="CI171" s="10">
        <f t="shared" si="113"/>
        <v>0</v>
      </c>
      <c r="CK171" s="11"/>
      <c r="CM171" s="11"/>
      <c r="CY171" s="7" cm="1">
        <f t="array" ref="CY171">SUMPRODUCT(--NOT(ISNUMBER(V171:CI171)),--NOT(ISBLANK(V171:CI171)))</f>
        <v>0</v>
      </c>
      <c r="DF171" s="11"/>
      <c r="DG171">
        <f t="shared" si="71"/>
        <v>0</v>
      </c>
      <c r="DH171">
        <v>1</v>
      </c>
      <c r="DI171">
        <v>0</v>
      </c>
      <c r="EY171" s="12" t="str">
        <f>IF(C171="", "", CONCATENATE(D170, " ",D171))</f>
        <v>Loan 7 Opening Loan Balance</v>
      </c>
    </row>
    <row r="172" spans="1:155" s="5" customFormat="1" x14ac:dyDescent="0.35">
      <c r="A172" s="220" cm="1">
        <f t="array" aca="1" ref="A172" ca="1">HYPERLINK(CONCATENATE("#",CELL("address",IF(MAX($CM172:$DF172)=0,A172,INDEX($CM172:$DF172,MATCH(1,$CM172:$DF172,0))))),MAX($CM172:$DF172))</f>
        <v>0</v>
      </c>
      <c r="B172"/>
      <c r="C172" s="211" t="s">
        <v>1132</v>
      </c>
      <c r="D172" t="s">
        <v>1076</v>
      </c>
      <c r="E172" s="1"/>
      <c r="F172" s="1"/>
      <c r="G172"/>
      <c r="H172" s="9" t="s">
        <v>1074</v>
      </c>
      <c r="I172" s="40" t="s">
        <v>665</v>
      </c>
      <c r="J172"/>
      <c r="K172"/>
      <c r="L172"/>
      <c r="M172"/>
      <c r="N172"/>
      <c r="O172"/>
      <c r="P172"/>
      <c r="Q172"/>
      <c r="R172"/>
      <c r="S172"/>
      <c r="T172"/>
      <c r="U172"/>
      <c r="V172" s="109"/>
      <c r="W172" s="133">
        <f t="shared" ref="W172:Y174" si="114" xml:space="preserve"> SUMIFS($AA172:$BV172, $AA$3:$BV$3, W$3)</f>
        <v>0</v>
      </c>
      <c r="X172" s="133">
        <f t="shared" si="114"/>
        <v>0</v>
      </c>
      <c r="Y172" s="133">
        <f t="shared" si="114"/>
        <v>0</v>
      </c>
      <c r="Z172"/>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c r="BX172" s="12">
        <f t="shared" si="112"/>
        <v>0</v>
      </c>
      <c r="BY172" s="12">
        <f t="shared" si="112"/>
        <v>0</v>
      </c>
      <c r="BZ172" s="12">
        <f t="shared" si="112"/>
        <v>0</v>
      </c>
      <c r="CA172" s="12">
        <f t="shared" si="112"/>
        <v>0</v>
      </c>
      <c r="CB172" s="133">
        <f xml:space="preserve"> SUMIFS($AA172:$BV172, $AA$3:$BV$3, CB$3)</f>
        <v>0</v>
      </c>
      <c r="CC172" s="109"/>
      <c r="CD172" s="109"/>
      <c r="CE172" s="109"/>
      <c r="CF172" s="109"/>
      <c r="CG172" s="109"/>
      <c r="CH172" s="109"/>
      <c r="CI172" s="109"/>
      <c r="CJ172"/>
      <c r="CK172" s="11"/>
      <c r="CL172" s="241">
        <f>IF(MIN($V172:$CI172)&lt;0, 1, 0)</f>
        <v>0</v>
      </c>
      <c r="CM172" s="11"/>
      <c r="CN172"/>
      <c r="CO172"/>
      <c r="CP172"/>
      <c r="CQ172"/>
      <c r="CR172"/>
      <c r="CS172"/>
      <c r="CT172"/>
      <c r="CU172"/>
      <c r="CV172"/>
      <c r="CW172"/>
      <c r="CX172"/>
      <c r="CY172" s="7" cm="1">
        <f t="array" ref="CY172">SUMPRODUCT(--NOT(ISNUMBER(V172:CI172)),--NOT(ISBLANK(V172:CI172)))</f>
        <v>0</v>
      </c>
      <c r="CZ172" s="7">
        <f t="shared" ref="CZ172:DB174" si="115">IF(ROUND(W172-SUMIFS($AA172:$BV172, $AA$3:$BV$3, W$3), rounding)=0, 0, 1)</f>
        <v>0</v>
      </c>
      <c r="DA172" s="7">
        <f t="shared" si="115"/>
        <v>0</v>
      </c>
      <c r="DB172" s="7">
        <f t="shared" si="115"/>
        <v>0</v>
      </c>
      <c r="DC172" s="7">
        <f>IF(ROUND(CB172-SUMIFS($AA172:$BV172, $AA$3:$BV$3, CB$3), rounding)=0, 0, 1)</f>
        <v>0</v>
      </c>
      <c r="DD172" s="7">
        <f>IF(ROUND(V172-BX172, rounding)=0, 0, 1)*'BS Forecasts'!$V$10</f>
        <v>0</v>
      </c>
      <c r="DE172"/>
      <c r="DF172" s="11"/>
      <c r="DG172">
        <f t="shared" si="71"/>
        <v>0</v>
      </c>
      <c r="DH172">
        <v>1</v>
      </c>
      <c r="DI172">
        <v>1</v>
      </c>
      <c r="EY172" s="12" t="str">
        <f>IF(C172="", "", CONCATENATE(D170, " ",D172))</f>
        <v>Loan 7 Drawdowns</v>
      </c>
    </row>
    <row r="173" spans="1:155" x14ac:dyDescent="0.35">
      <c r="A173" s="220" cm="1">
        <f t="array" aca="1" ref="A173" ca="1">HYPERLINK(CONCATENATE("#",CELL("address",IF(MAX($CM173:$DF173)=0,A173,INDEX($CM173:$DF173,MATCH(1,$CM173:$DF173,0))))),MAX($CM173:$DF173))</f>
        <v>0</v>
      </c>
      <c r="C173" s="211" t="s">
        <v>1133</v>
      </c>
      <c r="D173" t="s">
        <v>1078</v>
      </c>
      <c r="H173" s="9" t="s">
        <v>1074</v>
      </c>
      <c r="I173" s="40" t="s">
        <v>1079</v>
      </c>
      <c r="V173" s="109"/>
      <c r="W173" s="133">
        <f t="shared" si="114"/>
        <v>0</v>
      </c>
      <c r="X173" s="133">
        <f t="shared" si="114"/>
        <v>0</v>
      </c>
      <c r="Y173" s="133">
        <f t="shared" si="114"/>
        <v>0</v>
      </c>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X173" s="12">
        <f t="shared" si="112"/>
        <v>0</v>
      </c>
      <c r="BY173" s="12">
        <f t="shared" si="112"/>
        <v>0</v>
      </c>
      <c r="BZ173" s="12">
        <f t="shared" si="112"/>
        <v>0</v>
      </c>
      <c r="CA173" s="12">
        <f t="shared" si="112"/>
        <v>0</v>
      </c>
      <c r="CB173" s="133">
        <f xml:space="preserve"> SUMIFS($AA173:$BV173, $AA$3:$BV$3, CB$3)</f>
        <v>0</v>
      </c>
      <c r="CC173" s="109"/>
      <c r="CD173" s="109"/>
      <c r="CE173" s="109"/>
      <c r="CF173" s="109"/>
      <c r="CG173" s="109"/>
      <c r="CH173" s="109"/>
      <c r="CI173" s="109"/>
      <c r="CK173" s="11"/>
      <c r="CL173" s="241">
        <f>IF(MAX($V173:$CI173)&gt;0, 1, 0)</f>
        <v>0</v>
      </c>
      <c r="CM173" s="11"/>
      <c r="CY173" s="7" cm="1">
        <f t="array" ref="CY173">SUMPRODUCT(--NOT(ISNUMBER(V173:CI173)),--NOT(ISBLANK(V173:CI173)))</f>
        <v>0</v>
      </c>
      <c r="CZ173" s="7">
        <f t="shared" si="115"/>
        <v>0</v>
      </c>
      <c r="DA173" s="7">
        <f t="shared" si="115"/>
        <v>0</v>
      </c>
      <c r="DB173" s="7">
        <f t="shared" si="115"/>
        <v>0</v>
      </c>
      <c r="DC173" s="7">
        <f>IF(ROUND(CB173-SUMIFS($AA173:$BV173, $AA$3:$BV$3, CB$3), rounding)=0, 0, 1)</f>
        <v>0</v>
      </c>
      <c r="DD173" s="7">
        <f>IF(ROUND(V173-BX173, rounding)=0, 0, 1)*'BS Forecasts'!$V$10</f>
        <v>0</v>
      </c>
      <c r="DF173" s="11"/>
      <c r="DG173">
        <f t="shared" si="71"/>
        <v>0</v>
      </c>
      <c r="DH173">
        <v>1</v>
      </c>
      <c r="DI173">
        <v>1</v>
      </c>
      <c r="EY173" s="12" t="str">
        <f>IF(C173="", "", CONCATENATE(D170, " ",D173))</f>
        <v>Loan 7 Loan Capital Repayment (as per loan agreement)</v>
      </c>
    </row>
    <row r="174" spans="1:155" x14ac:dyDescent="0.35">
      <c r="A174" s="220" cm="1">
        <f t="array" aca="1" ref="A174" ca="1">HYPERLINK(CONCATENATE("#",CELL("address",IF(MAX($CM174:$DF174)=0,A174,INDEX($CM174:$DF174,MATCH(1,$CM174:$DF174,0))))),MAX($CM174:$DF174))</f>
        <v>0</v>
      </c>
      <c r="C174" s="211" t="s">
        <v>1134</v>
      </c>
      <c r="D174" t="s">
        <v>1081</v>
      </c>
      <c r="H174" s="9" t="s">
        <v>1074</v>
      </c>
      <c r="I174" s="40" t="s">
        <v>1079</v>
      </c>
      <c r="V174" s="109"/>
      <c r="W174" s="133">
        <f t="shared" si="114"/>
        <v>0</v>
      </c>
      <c r="X174" s="133">
        <f t="shared" si="114"/>
        <v>0</v>
      </c>
      <c r="Y174" s="133">
        <f t="shared" si="114"/>
        <v>0</v>
      </c>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X174" s="12">
        <f t="shared" si="112"/>
        <v>0</v>
      </c>
      <c r="BY174" s="12">
        <f t="shared" si="112"/>
        <v>0</v>
      </c>
      <c r="BZ174" s="12">
        <f t="shared" si="112"/>
        <v>0</v>
      </c>
      <c r="CA174" s="12">
        <f t="shared" si="112"/>
        <v>0</v>
      </c>
      <c r="CB174" s="133">
        <f xml:space="preserve"> SUMIFS($AA174:$BV174, $AA$3:$BV$3, CB$3)</f>
        <v>0</v>
      </c>
      <c r="CC174" s="109"/>
      <c r="CD174" s="109"/>
      <c r="CE174" s="109"/>
      <c r="CF174" s="109"/>
      <c r="CG174" s="109"/>
      <c r="CH174" s="109"/>
      <c r="CI174" s="109"/>
      <c r="CK174" s="11"/>
      <c r="CL174" s="241">
        <f>IF(MAX($V174:$CI174)&gt;0, 1, 0)</f>
        <v>0</v>
      </c>
      <c r="CM174" s="11"/>
      <c r="CY174" s="7" cm="1">
        <f t="array" ref="CY174">SUMPRODUCT(--NOT(ISNUMBER(V174:CI174)),--NOT(ISBLANK(V174:CI174)))</f>
        <v>0</v>
      </c>
      <c r="CZ174" s="7">
        <f t="shared" si="115"/>
        <v>0</v>
      </c>
      <c r="DA174" s="7">
        <f t="shared" si="115"/>
        <v>0</v>
      </c>
      <c r="DB174" s="7">
        <f t="shared" si="115"/>
        <v>0</v>
      </c>
      <c r="DC174" s="7">
        <f>IF(ROUND(CB174-SUMIFS($AA174:$BV174, $AA$3:$BV$3, CB$3), rounding)=0, 0, 1)</f>
        <v>0</v>
      </c>
      <c r="DD174" s="7">
        <f>IF(ROUND(V174-BX174, rounding)=0, 0, 1)*'BS Forecasts'!$V$10</f>
        <v>0</v>
      </c>
      <c r="DF174" s="11"/>
      <c r="DG174">
        <f t="shared" si="71"/>
        <v>0</v>
      </c>
      <c r="DH174">
        <v>1</v>
      </c>
      <c r="DI174">
        <v>1</v>
      </c>
      <c r="EY174" s="12" t="str">
        <f>IF(C174="", "", CONCATENATE(D170, " ",D174))</f>
        <v xml:space="preserve">Loan 7 Early Repayment </v>
      </c>
    </row>
    <row r="175" spans="1:155" x14ac:dyDescent="0.35">
      <c r="C175" s="211" t="s">
        <v>1135</v>
      </c>
      <c r="D175" t="s">
        <v>1083</v>
      </c>
      <c r="H175" s="9" t="s">
        <v>1074</v>
      </c>
      <c r="I175" s="40" t="s">
        <v>317</v>
      </c>
      <c r="V175" s="12">
        <f>$H$19</f>
        <v>0</v>
      </c>
      <c r="W175" s="10">
        <f>SUM(W171:W174)</f>
        <v>0</v>
      </c>
      <c r="X175" s="10">
        <f>SUM(X171:X174)</f>
        <v>0</v>
      </c>
      <c r="Y175" s="10">
        <f>SUM(Y171:Y174)</f>
        <v>0</v>
      </c>
      <c r="AA175" s="10">
        <f t="shared" ref="AA175:BV175" si="116">SUM(AA171:AA174)</f>
        <v>0</v>
      </c>
      <c r="AB175" s="10">
        <f t="shared" si="116"/>
        <v>0</v>
      </c>
      <c r="AC175" s="10">
        <f t="shared" si="116"/>
        <v>0</v>
      </c>
      <c r="AD175" s="10">
        <f t="shared" si="116"/>
        <v>0</v>
      </c>
      <c r="AE175" s="10">
        <f t="shared" si="116"/>
        <v>0</v>
      </c>
      <c r="AF175" s="10">
        <f t="shared" si="116"/>
        <v>0</v>
      </c>
      <c r="AG175" s="10">
        <f t="shared" si="116"/>
        <v>0</v>
      </c>
      <c r="AH175" s="10">
        <f t="shared" si="116"/>
        <v>0</v>
      </c>
      <c r="AI175" s="10">
        <f t="shared" si="116"/>
        <v>0</v>
      </c>
      <c r="AJ175" s="10">
        <f t="shared" si="116"/>
        <v>0</v>
      </c>
      <c r="AK175" s="10">
        <f t="shared" si="116"/>
        <v>0</v>
      </c>
      <c r="AL175" s="10">
        <f t="shared" si="116"/>
        <v>0</v>
      </c>
      <c r="AM175" s="10">
        <f t="shared" si="116"/>
        <v>0</v>
      </c>
      <c r="AN175" s="10">
        <f t="shared" si="116"/>
        <v>0</v>
      </c>
      <c r="AO175" s="10">
        <f t="shared" si="116"/>
        <v>0</v>
      </c>
      <c r="AP175" s="10">
        <f t="shared" si="116"/>
        <v>0</v>
      </c>
      <c r="AQ175" s="10">
        <f t="shared" si="116"/>
        <v>0</v>
      </c>
      <c r="AR175" s="10">
        <f t="shared" si="116"/>
        <v>0</v>
      </c>
      <c r="AS175" s="10">
        <f t="shared" si="116"/>
        <v>0</v>
      </c>
      <c r="AT175" s="10">
        <f t="shared" si="116"/>
        <v>0</v>
      </c>
      <c r="AU175" s="10">
        <f t="shared" si="116"/>
        <v>0</v>
      </c>
      <c r="AV175" s="10">
        <f t="shared" si="116"/>
        <v>0</v>
      </c>
      <c r="AW175" s="10">
        <f t="shared" si="116"/>
        <v>0</v>
      </c>
      <c r="AX175" s="10">
        <f t="shared" si="116"/>
        <v>0</v>
      </c>
      <c r="AY175" s="10">
        <f t="shared" si="116"/>
        <v>0</v>
      </c>
      <c r="AZ175" s="10">
        <f t="shared" si="116"/>
        <v>0</v>
      </c>
      <c r="BA175" s="10">
        <f t="shared" si="116"/>
        <v>0</v>
      </c>
      <c r="BB175" s="10">
        <f t="shared" si="116"/>
        <v>0</v>
      </c>
      <c r="BC175" s="10">
        <f t="shared" si="116"/>
        <v>0</v>
      </c>
      <c r="BD175" s="10">
        <f t="shared" si="116"/>
        <v>0</v>
      </c>
      <c r="BE175" s="10">
        <f t="shared" si="116"/>
        <v>0</v>
      </c>
      <c r="BF175" s="10">
        <f t="shared" si="116"/>
        <v>0</v>
      </c>
      <c r="BG175" s="10">
        <f t="shared" si="116"/>
        <v>0</v>
      </c>
      <c r="BH175" s="10">
        <f t="shared" si="116"/>
        <v>0</v>
      </c>
      <c r="BI175" s="10">
        <f t="shared" si="116"/>
        <v>0</v>
      </c>
      <c r="BJ175" s="10">
        <f t="shared" si="116"/>
        <v>0</v>
      </c>
      <c r="BK175" s="10">
        <f t="shared" si="116"/>
        <v>0</v>
      </c>
      <c r="BL175" s="10">
        <f t="shared" si="116"/>
        <v>0</v>
      </c>
      <c r="BM175" s="10">
        <f t="shared" si="116"/>
        <v>0</v>
      </c>
      <c r="BN175" s="10">
        <f t="shared" si="116"/>
        <v>0</v>
      </c>
      <c r="BO175" s="10">
        <f t="shared" si="116"/>
        <v>0</v>
      </c>
      <c r="BP175" s="10">
        <f t="shared" si="116"/>
        <v>0</v>
      </c>
      <c r="BQ175" s="10">
        <f t="shared" si="116"/>
        <v>0</v>
      </c>
      <c r="BR175" s="10">
        <f t="shared" si="116"/>
        <v>0</v>
      </c>
      <c r="BS175" s="10">
        <f t="shared" si="116"/>
        <v>0</v>
      </c>
      <c r="BT175" s="10">
        <f t="shared" si="116"/>
        <v>0</v>
      </c>
      <c r="BU175" s="10">
        <f t="shared" si="116"/>
        <v>0</v>
      </c>
      <c r="BV175" s="10">
        <f t="shared" si="116"/>
        <v>0</v>
      </c>
      <c r="BX175" s="12">
        <f t="shared" si="112"/>
        <v>0</v>
      </c>
      <c r="BY175" s="12">
        <f t="shared" si="112"/>
        <v>0</v>
      </c>
      <c r="BZ175" s="12">
        <f t="shared" si="112"/>
        <v>0</v>
      </c>
      <c r="CA175" s="12">
        <f t="shared" si="112"/>
        <v>0</v>
      </c>
      <c r="CB175" s="10">
        <f t="shared" ref="CB175:CI175" si="117">SUM(CB171:CB174)</f>
        <v>0</v>
      </c>
      <c r="CC175" s="10">
        <f t="shared" si="117"/>
        <v>0</v>
      </c>
      <c r="CD175" s="10">
        <f t="shared" si="117"/>
        <v>0</v>
      </c>
      <c r="CE175" s="10">
        <f t="shared" si="117"/>
        <v>0</v>
      </c>
      <c r="CF175" s="10">
        <f t="shared" si="117"/>
        <v>0</v>
      </c>
      <c r="CG175" s="10">
        <f t="shared" si="117"/>
        <v>0</v>
      </c>
      <c r="CH175" s="10">
        <f t="shared" si="117"/>
        <v>0</v>
      </c>
      <c r="CI175" s="10">
        <f t="shared" si="117"/>
        <v>0</v>
      </c>
      <c r="CK175" s="11"/>
      <c r="CM175" s="11"/>
      <c r="DF175" s="11"/>
      <c r="DG175">
        <f t="shared" si="71"/>
        <v>0</v>
      </c>
      <c r="DH175">
        <v>0</v>
      </c>
      <c r="DI175">
        <v>0</v>
      </c>
      <c r="EY175" s="12" t="str">
        <f>IF(C175="", "", CONCATENATE(D170, " ",D175))</f>
        <v>Loan 7 Closing Loan Balance</v>
      </c>
    </row>
    <row r="176" spans="1:155" ht="6.75" customHeight="1" x14ac:dyDescent="0.35">
      <c r="C176" s="211"/>
      <c r="D176" s="1"/>
      <c r="E176"/>
      <c r="F176"/>
      <c r="BY176" s="6"/>
      <c r="CK176" s="35"/>
      <c r="CM176" s="35"/>
      <c r="DF176" s="35"/>
      <c r="DG176">
        <f t="shared" si="71"/>
        <v>0</v>
      </c>
      <c r="DH176">
        <v>0</v>
      </c>
      <c r="DI176">
        <v>0</v>
      </c>
      <c r="EY176" s="12" t="str">
        <f>IF(C176="", "", CONCATENATE(D170, " ",D176))</f>
        <v/>
      </c>
    </row>
    <row r="177" spans="1:155" x14ac:dyDescent="0.35">
      <c r="A177" s="220" cm="1">
        <f t="array" aca="1" ref="A177" ca="1">HYPERLINK(CONCATENATE("#",CELL("address",IF(MAX($CM177:$DF177)=0,A177,INDEX($CM177:$DF177,MATCH(1,$CM177:$DF177,0))))),MAX($CM177:$DF177))</f>
        <v>0</v>
      </c>
      <c r="C177" s="211"/>
      <c r="D177" t="s">
        <v>1084</v>
      </c>
      <c r="E177" s="118" t="s">
        <v>1085</v>
      </c>
      <c r="F177" s="118"/>
      <c r="G177" s="10">
        <f>$G$19</f>
        <v>0</v>
      </c>
      <c r="V177" s="7">
        <f>IF(OR(V175&gt;$G177, V175&lt;0), 1, 0)</f>
        <v>0</v>
      </c>
      <c r="W177" s="7">
        <f>IF(OR(W175&gt;$G177, W175&lt;0), 1, 0)</f>
        <v>0</v>
      </c>
      <c r="X177" s="7">
        <f>IF(OR(X175&gt;$G177, X175&lt;0), 1, 0)</f>
        <v>0</v>
      </c>
      <c r="Y177" s="7">
        <f>IF(OR(Y175&gt;$G177, Y175&lt;0), 1, 0)</f>
        <v>0</v>
      </c>
      <c r="AA177" s="7">
        <f t="shared" ref="AA177:BV177" si="118">IF(OR(AA175&gt;$G177, AA175&lt;0), 1, 0)</f>
        <v>0</v>
      </c>
      <c r="AB177" s="7">
        <f t="shared" si="118"/>
        <v>0</v>
      </c>
      <c r="AC177" s="7">
        <f t="shared" si="118"/>
        <v>0</v>
      </c>
      <c r="AD177" s="7">
        <f t="shared" si="118"/>
        <v>0</v>
      </c>
      <c r="AE177" s="7">
        <f t="shared" si="118"/>
        <v>0</v>
      </c>
      <c r="AF177" s="7">
        <f t="shared" si="118"/>
        <v>0</v>
      </c>
      <c r="AG177" s="7">
        <f t="shared" si="118"/>
        <v>0</v>
      </c>
      <c r="AH177" s="7">
        <f t="shared" si="118"/>
        <v>0</v>
      </c>
      <c r="AI177" s="7">
        <f t="shared" si="118"/>
        <v>0</v>
      </c>
      <c r="AJ177" s="7">
        <f t="shared" si="118"/>
        <v>0</v>
      </c>
      <c r="AK177" s="7">
        <f t="shared" si="118"/>
        <v>0</v>
      </c>
      <c r="AL177" s="7">
        <f t="shared" si="118"/>
        <v>0</v>
      </c>
      <c r="AM177" s="7">
        <f t="shared" si="118"/>
        <v>0</v>
      </c>
      <c r="AN177" s="7">
        <f t="shared" si="118"/>
        <v>0</v>
      </c>
      <c r="AO177" s="7">
        <f t="shared" si="118"/>
        <v>0</v>
      </c>
      <c r="AP177" s="7">
        <f t="shared" si="118"/>
        <v>0</v>
      </c>
      <c r="AQ177" s="7">
        <f t="shared" si="118"/>
        <v>0</v>
      </c>
      <c r="AR177" s="7">
        <f t="shared" si="118"/>
        <v>0</v>
      </c>
      <c r="AS177" s="7">
        <f t="shared" si="118"/>
        <v>0</v>
      </c>
      <c r="AT177" s="7">
        <f t="shared" si="118"/>
        <v>0</v>
      </c>
      <c r="AU177" s="7">
        <f t="shared" si="118"/>
        <v>0</v>
      </c>
      <c r="AV177" s="7">
        <f t="shared" si="118"/>
        <v>0</v>
      </c>
      <c r="AW177" s="7">
        <f t="shared" si="118"/>
        <v>0</v>
      </c>
      <c r="AX177" s="7">
        <f t="shared" si="118"/>
        <v>0</v>
      </c>
      <c r="AY177" s="7">
        <f t="shared" si="118"/>
        <v>0</v>
      </c>
      <c r="AZ177" s="7">
        <f t="shared" si="118"/>
        <v>0</v>
      </c>
      <c r="BA177" s="7">
        <f t="shared" si="118"/>
        <v>0</v>
      </c>
      <c r="BB177" s="7">
        <f t="shared" si="118"/>
        <v>0</v>
      </c>
      <c r="BC177" s="7">
        <f t="shared" si="118"/>
        <v>0</v>
      </c>
      <c r="BD177" s="7">
        <f t="shared" si="118"/>
        <v>0</v>
      </c>
      <c r="BE177" s="7">
        <f t="shared" si="118"/>
        <v>0</v>
      </c>
      <c r="BF177" s="7">
        <f t="shared" si="118"/>
        <v>0</v>
      </c>
      <c r="BG177" s="7">
        <f t="shared" si="118"/>
        <v>0</v>
      </c>
      <c r="BH177" s="7">
        <f t="shared" si="118"/>
        <v>0</v>
      </c>
      <c r="BI177" s="7">
        <f t="shared" si="118"/>
        <v>0</v>
      </c>
      <c r="BJ177" s="7">
        <f t="shared" si="118"/>
        <v>0</v>
      </c>
      <c r="BK177" s="7">
        <f t="shared" si="118"/>
        <v>0</v>
      </c>
      <c r="BL177" s="7">
        <f t="shared" si="118"/>
        <v>0</v>
      </c>
      <c r="BM177" s="7">
        <f t="shared" si="118"/>
        <v>0</v>
      </c>
      <c r="BN177" s="7">
        <f t="shared" si="118"/>
        <v>0</v>
      </c>
      <c r="BO177" s="7">
        <f t="shared" si="118"/>
        <v>0</v>
      </c>
      <c r="BP177" s="7">
        <f t="shared" si="118"/>
        <v>0</v>
      </c>
      <c r="BQ177" s="7">
        <f t="shared" si="118"/>
        <v>0</v>
      </c>
      <c r="BR177" s="7">
        <f t="shared" si="118"/>
        <v>0</v>
      </c>
      <c r="BS177" s="7">
        <f t="shared" si="118"/>
        <v>0</v>
      </c>
      <c r="BT177" s="7">
        <f t="shared" si="118"/>
        <v>0</v>
      </c>
      <c r="BU177" s="7">
        <f t="shared" si="118"/>
        <v>0</v>
      </c>
      <c r="BV177" s="7">
        <f t="shared" si="118"/>
        <v>0</v>
      </c>
      <c r="BX177" s="7">
        <f t="shared" ref="BX177:CI177" si="119">IF(OR(BX175&gt;$G177, BX175&lt;0), 1, 0)</f>
        <v>0</v>
      </c>
      <c r="BY177" s="7">
        <f t="shared" si="119"/>
        <v>0</v>
      </c>
      <c r="BZ177" s="7">
        <f t="shared" si="119"/>
        <v>0</v>
      </c>
      <c r="CA177" s="7">
        <f t="shared" si="119"/>
        <v>0</v>
      </c>
      <c r="CB177" s="7">
        <f t="shared" si="119"/>
        <v>0</v>
      </c>
      <c r="CC177" s="7">
        <f t="shared" si="119"/>
        <v>0</v>
      </c>
      <c r="CD177" s="7">
        <f t="shared" si="119"/>
        <v>0</v>
      </c>
      <c r="CE177" s="7">
        <f t="shared" si="119"/>
        <v>0</v>
      </c>
      <c r="CF177" s="7">
        <f t="shared" si="119"/>
        <v>0</v>
      </c>
      <c r="CG177" s="7">
        <f t="shared" si="119"/>
        <v>0</v>
      </c>
      <c r="CH177" s="7">
        <f t="shared" si="119"/>
        <v>0</v>
      </c>
      <c r="CI177" s="7">
        <f t="shared" si="119"/>
        <v>0</v>
      </c>
      <c r="CK177" s="11"/>
      <c r="CM177" s="11"/>
      <c r="CX177" s="7">
        <f>IF(MAX(V177:CI177)&gt;0, 1, 0)</f>
        <v>0</v>
      </c>
      <c r="DF177" s="11"/>
      <c r="DG177">
        <f t="shared" si="71"/>
        <v>1</v>
      </c>
      <c r="DH177">
        <v>0</v>
      </c>
      <c r="DI177">
        <v>0</v>
      </c>
      <c r="EY177" s="12" t="str">
        <f>IF(C177="", "", CONCATENATE(D170, " ",D177))</f>
        <v/>
      </c>
    </row>
    <row r="178" spans="1:155" x14ac:dyDescent="0.35">
      <c r="A178" s="220" cm="1">
        <f t="array" aca="1" ref="A178" ca="1">HYPERLINK(CONCATENATE("#",CELL("address",IF(MAX($CM178:$DF178)=0,A178,INDEX($CM178:$DF178,MATCH(1,$CM178:$DF178,0))))),MAX($CM178:$DF178))</f>
        <v>0</v>
      </c>
      <c r="C178" s="211"/>
      <c r="D178" t="s">
        <v>1086</v>
      </c>
      <c r="E178" s="118" t="s">
        <v>1087</v>
      </c>
      <c r="F178" s="118"/>
      <c r="G178" s="117" t="str">
        <f>IF($K$19="", "", $K$19)</f>
        <v/>
      </c>
      <c r="V178" s="7">
        <f>IF(AND(V$5&gt;=$G178,SUM(V175:$Y175)&lt;&gt;0),1,0)</f>
        <v>0</v>
      </c>
      <c r="W178" s="7">
        <f>IF(AND(W$5&gt;=$G178,SUM(W175:$Y175)&lt;&gt;0),1,0)</f>
        <v>0</v>
      </c>
      <c r="X178" s="7">
        <f>IF(AND(X$5&gt;=$G178,SUM(X175:$Y175)&lt;&gt;0),1,0)</f>
        <v>0</v>
      </c>
      <c r="Y178" s="7">
        <f>IF(AND(Y$5&gt;=$G178,SUM(Y175:$Y175)&lt;&gt;0),1,0)</f>
        <v>0</v>
      </c>
      <c r="AA178" s="7">
        <f>IF(AND(AA$5&gt;=$G178,SUM(AA175:$BV175)&lt;&gt;0),1,0)</f>
        <v>0</v>
      </c>
      <c r="AB178" s="7">
        <f>IF(AND(AB$5&gt;=$G178,SUM(AB175:$BV175)&lt;&gt;0),1,0)</f>
        <v>0</v>
      </c>
      <c r="AC178" s="7">
        <f>IF(AND(AC$5&gt;=$G178,SUM(AC175:$BV175)&lt;&gt;0),1,0)</f>
        <v>0</v>
      </c>
      <c r="AD178" s="7">
        <f>IF(AND(AD$5&gt;=$G178,SUM(AD175:$BV175)&lt;&gt;0),1,0)</f>
        <v>0</v>
      </c>
      <c r="AE178" s="7">
        <f>IF(AND(AE$5&gt;=$G178,SUM(AE175:$BV175)&lt;&gt;0),1,0)</f>
        <v>0</v>
      </c>
      <c r="AF178" s="7">
        <f>IF(AND(AF$5&gt;=$G178,SUM(AF175:$BV175)&lt;&gt;0),1,0)</f>
        <v>0</v>
      </c>
      <c r="AG178" s="7">
        <f>IF(AND(AG$5&gt;=$G178,SUM(AG175:$BV175)&lt;&gt;0),1,0)</f>
        <v>0</v>
      </c>
      <c r="AH178" s="7">
        <f>IF(AND(AH$5&gt;=$G178,SUM(AH175:$BV175)&lt;&gt;0),1,0)</f>
        <v>0</v>
      </c>
      <c r="AI178" s="7">
        <f>IF(AND(AI$5&gt;=$G178,SUM(AI175:$BV175)&lt;&gt;0),1,0)</f>
        <v>0</v>
      </c>
      <c r="AJ178" s="7">
        <f>IF(AND(AJ$5&gt;=$G178,SUM(AJ175:$BV175)&lt;&gt;0),1,0)</f>
        <v>0</v>
      </c>
      <c r="AK178" s="7">
        <f>IF(AND(AK$5&gt;=$G178,SUM(AK175:$BV175)&lt;&gt;0),1,0)</f>
        <v>0</v>
      </c>
      <c r="AL178" s="7">
        <f>IF(AND(AL$5&gt;=$G178,SUM(AL175:$BV175)&lt;&gt;0),1,0)</f>
        <v>0</v>
      </c>
      <c r="AM178" s="7">
        <f>IF(AND(AM$5&gt;=$G178,SUM(AM175:$BV175)&lt;&gt;0),1,0)</f>
        <v>0</v>
      </c>
      <c r="AN178" s="7">
        <f>IF(AND(AN$5&gt;=$G178,SUM(AN175:$BV175)&lt;&gt;0),1,0)</f>
        <v>0</v>
      </c>
      <c r="AO178" s="7">
        <f>IF(AND(AO$5&gt;=$G178,SUM(AO175:$BV175)&lt;&gt;0),1,0)</f>
        <v>0</v>
      </c>
      <c r="AP178" s="7">
        <f>IF(AND(AP$5&gt;=$G178,SUM(AP175:$BV175)&lt;&gt;0),1,0)</f>
        <v>0</v>
      </c>
      <c r="AQ178" s="7">
        <f>IF(AND(AQ$5&gt;=$G178,SUM(AQ175:$BV175)&lt;&gt;0),1,0)</f>
        <v>0</v>
      </c>
      <c r="AR178" s="7">
        <f>IF(AND(AR$5&gt;=$G178,SUM(AR175:$BV175)&lt;&gt;0),1,0)</f>
        <v>0</v>
      </c>
      <c r="AS178" s="7">
        <f>IF(AND(AS$5&gt;=$G178,SUM(AS175:$BV175)&lt;&gt;0),1,0)</f>
        <v>0</v>
      </c>
      <c r="AT178" s="7">
        <f>IF(AND(AT$5&gt;=$G178,SUM(AT175:$BV175)&lt;&gt;0),1,0)</f>
        <v>0</v>
      </c>
      <c r="AU178" s="7">
        <f>IF(AND(AU$5&gt;=$G178,SUM(AU175:$BV175)&lt;&gt;0),1,0)</f>
        <v>0</v>
      </c>
      <c r="AV178" s="7">
        <f>IF(AND(AV$5&gt;=$G178,SUM(AV175:$BV175)&lt;&gt;0),1,0)</f>
        <v>0</v>
      </c>
      <c r="AW178" s="7">
        <f>IF(AND(AW$5&gt;=$G178,SUM(AW175:$BV175)&lt;&gt;0),1,0)</f>
        <v>0</v>
      </c>
      <c r="AX178" s="7">
        <f>IF(AND(AX$5&gt;=$G178,SUM(AX175:$BV175)&lt;&gt;0),1,0)</f>
        <v>0</v>
      </c>
      <c r="AY178" s="7">
        <f>IF(AND(AY$5&gt;=$G178,SUM(AY175:$BV175)&lt;&gt;0),1,0)</f>
        <v>0</v>
      </c>
      <c r="AZ178" s="7">
        <f>IF(AND(AZ$5&gt;=$G178,SUM(AZ175:$BV175)&lt;&gt;0),1,0)</f>
        <v>0</v>
      </c>
      <c r="BA178" s="7">
        <f>IF(AND(BA$5&gt;=$G178,SUM(BA175:$BV175)&lt;&gt;0),1,0)</f>
        <v>0</v>
      </c>
      <c r="BB178" s="7">
        <f>IF(AND(BB$5&gt;=$G178,SUM(BB175:$BV175)&lt;&gt;0),1,0)</f>
        <v>0</v>
      </c>
      <c r="BC178" s="7">
        <f>IF(AND(BC$5&gt;=$G178,SUM(BC175:$BV175)&lt;&gt;0),1,0)</f>
        <v>0</v>
      </c>
      <c r="BD178" s="7">
        <f>IF(AND(BD$5&gt;=$G178,SUM(BD175:$BV175)&lt;&gt;0),1,0)</f>
        <v>0</v>
      </c>
      <c r="BE178" s="7">
        <f>IF(AND(BE$5&gt;=$G178,SUM(BE175:$BV175)&lt;&gt;0),1,0)</f>
        <v>0</v>
      </c>
      <c r="BF178" s="7">
        <f>IF(AND(BF$5&gt;=$G178,SUM(BF175:$BV175)&lt;&gt;0),1,0)</f>
        <v>0</v>
      </c>
      <c r="BG178" s="7">
        <f>IF(AND(BG$5&gt;=$G178,SUM(BG175:$BV175)&lt;&gt;0),1,0)</f>
        <v>0</v>
      </c>
      <c r="BH178" s="7">
        <f>IF(AND(BH$5&gt;=$G178,SUM(BH175:$BV175)&lt;&gt;0),1,0)</f>
        <v>0</v>
      </c>
      <c r="BI178" s="7">
        <f>IF(AND(BI$5&gt;=$G178,SUM(BI175:$BV175)&lt;&gt;0),1,0)</f>
        <v>0</v>
      </c>
      <c r="BJ178" s="7">
        <f>IF(AND(BJ$5&gt;=$G178,SUM(BJ175:$BV175)&lt;&gt;0),1,0)</f>
        <v>0</v>
      </c>
      <c r="BK178" s="7">
        <f>IF(AND(BK$5&gt;=$G178,SUM(BK175:$BV175)&lt;&gt;0),1,0)</f>
        <v>0</v>
      </c>
      <c r="BL178" s="7">
        <f>IF(AND(BL$5&gt;=$G178,SUM(BL175:$BV175)&lt;&gt;0),1,0)</f>
        <v>0</v>
      </c>
      <c r="BM178" s="7">
        <f>IF(AND(BM$5&gt;=$G178,SUM(BM175:$BV175)&lt;&gt;0),1,0)</f>
        <v>0</v>
      </c>
      <c r="BN178" s="7">
        <f>IF(AND(BN$5&gt;=$G178,SUM(BN175:$BV175)&lt;&gt;0),1,0)</f>
        <v>0</v>
      </c>
      <c r="BO178" s="7">
        <f>IF(AND(BO$5&gt;=$G178,SUM(BO175:$BV175)&lt;&gt;0),1,0)</f>
        <v>0</v>
      </c>
      <c r="BP178" s="7">
        <f>IF(AND(BP$5&gt;=$G178,SUM(BP175:$BV175)&lt;&gt;0),1,0)</f>
        <v>0</v>
      </c>
      <c r="BQ178" s="7">
        <f>IF(AND(BQ$5&gt;=$G178,SUM(BQ175:$BV175)&lt;&gt;0),1,0)</f>
        <v>0</v>
      </c>
      <c r="BR178" s="7">
        <f>IF(AND(BR$5&gt;=$G178,SUM(BR175:$BV175)&lt;&gt;0),1,0)</f>
        <v>0</v>
      </c>
      <c r="BS178" s="7">
        <f>IF(AND(BS$5&gt;=$G178,SUM(BS175:$BV175)&lt;&gt;0),1,0)</f>
        <v>0</v>
      </c>
      <c r="BT178" s="7">
        <f>IF(AND(BT$5&gt;=$G178,SUM(BT175:$BV175)&lt;&gt;0),1,0)</f>
        <v>0</v>
      </c>
      <c r="BU178" s="7">
        <f>IF(AND(BU$5&gt;=$G178,SUM(BU175:$BV175)&lt;&gt;0),1,0)</f>
        <v>0</v>
      </c>
      <c r="BV178" s="7">
        <f>IF(AND(BV$5&gt;=$G178,SUM(BV175:$BV175)&lt;&gt;0),1,0)</f>
        <v>0</v>
      </c>
      <c r="BX178" s="7">
        <f>IF(AND(BX$5&gt;=$G178,SUM(BX175:$CI175)&lt;&gt;0),1,0)*BX$1159</f>
        <v>0</v>
      </c>
      <c r="BY178" s="7">
        <f>IF(AND(BY$5&gt;=$G178,SUM(BY175:$CI175)&lt;&gt;0),1,0)*BY$1159</f>
        <v>0</v>
      </c>
      <c r="BZ178" s="7">
        <f>IF(AND(BZ$5&gt;=$G178,SUM(BZ175:$CI175)&lt;&gt;0),1,0)*BZ$1159</f>
        <v>0</v>
      </c>
      <c r="CA178" s="7">
        <f>IF(AND(CA$5&gt;=$G178,SUM(CA175:$CI175)&lt;&gt;0),1,0)*CA$1159</f>
        <v>0</v>
      </c>
      <c r="CB178" s="7">
        <f>IF(AND(CB$5&gt;=$G178,SUM(CB175:$CI175)&lt;&gt;0),1,0)*CB$1159</f>
        <v>0</v>
      </c>
      <c r="CC178" s="7">
        <f>IF(AND(CC$5&gt;=$G178,SUM(CC175:$CI175)&lt;&gt;0),1,0)*CC$1159</f>
        <v>0</v>
      </c>
      <c r="CD178" s="7">
        <f>IF(AND(CD$5&gt;=$G178,SUM(CD175:$CI175)&lt;&gt;0),1,0)*CD$1159</f>
        <v>0</v>
      </c>
      <c r="CE178" s="7">
        <f>IF(AND(CE$5&gt;=$G178,SUM(CE175:$CI175)&lt;&gt;0),1,0)*CE$1159</f>
        <v>0</v>
      </c>
      <c r="CF178" s="7">
        <f>IF(AND(CF$5&gt;=$G178,SUM(CF175:$CI175)&lt;&gt;0),1,0)*CF$1159</f>
        <v>0</v>
      </c>
      <c r="CG178" s="7">
        <f>IF(AND(CG$5&gt;=$G178,SUM(CG175:$CI175)&lt;&gt;0),1,0)*CG$1159</f>
        <v>0</v>
      </c>
      <c r="CH178" s="7">
        <f>IF(AND(CH$5&gt;=$G178,SUM(CH175:$CI175)&lt;&gt;0),1,0)*CH$1159</f>
        <v>0</v>
      </c>
      <c r="CI178" s="7">
        <f>IF(AND(CI$5&gt;=$G178,SUM(CI175:$CI175)&lt;&gt;0),1,0)*CI$1159</f>
        <v>0</v>
      </c>
      <c r="CK178" s="11"/>
      <c r="CM178" s="11"/>
      <c r="CX178" s="7">
        <f>IF(MAX($V178:$CI178)&gt;0, 1, 0)</f>
        <v>0</v>
      </c>
      <c r="DF178" s="11"/>
      <c r="DG178">
        <f t="shared" si="71"/>
        <v>1</v>
      </c>
      <c r="DH178">
        <v>0</v>
      </c>
      <c r="DI178">
        <v>0</v>
      </c>
      <c r="EY178" s="12" t="str">
        <f>IF(C178="", "", CONCATENATE(D170, " ",D178))</f>
        <v/>
      </c>
    </row>
    <row r="179" spans="1:155" ht="6.75" customHeight="1" x14ac:dyDescent="0.35">
      <c r="C179" s="211"/>
      <c r="D179" s="1"/>
      <c r="E179"/>
      <c r="F179"/>
      <c r="BY179" s="6"/>
      <c r="CK179" s="35"/>
      <c r="CM179" s="35"/>
      <c r="DF179" s="35"/>
      <c r="DG179">
        <f t="shared" si="71"/>
        <v>0</v>
      </c>
      <c r="DH179">
        <v>0</v>
      </c>
      <c r="DI179">
        <v>0</v>
      </c>
      <c r="EY179" s="12" t="str">
        <f>IF(C179="", "", CONCATENATE(D170, " ",D179))</f>
        <v/>
      </c>
    </row>
    <row r="180" spans="1:155" x14ac:dyDescent="0.35">
      <c r="C180" s="211"/>
      <c r="D180" t="s">
        <v>1088</v>
      </c>
      <c r="H180" s="9" t="s">
        <v>1074</v>
      </c>
      <c r="I180" s="40" t="s">
        <v>317</v>
      </c>
      <c r="V180" s="109"/>
      <c r="W180" s="133">
        <f>V183</f>
        <v>0</v>
      </c>
      <c r="X180" s="133">
        <f>W183</f>
        <v>0</v>
      </c>
      <c r="Y180" s="10">
        <f>X183</f>
        <v>0</v>
      </c>
      <c r="AA180" s="12">
        <f>W180</f>
        <v>0</v>
      </c>
      <c r="AB180" s="10">
        <f t="shared" ref="AB180:BV180" si="120">AA183</f>
        <v>0</v>
      </c>
      <c r="AC180" s="10">
        <f t="shared" si="120"/>
        <v>0</v>
      </c>
      <c r="AD180" s="10">
        <f t="shared" si="120"/>
        <v>0</v>
      </c>
      <c r="AE180" s="10">
        <f t="shared" si="120"/>
        <v>0</v>
      </c>
      <c r="AF180" s="10">
        <f t="shared" si="120"/>
        <v>0</v>
      </c>
      <c r="AG180" s="10">
        <f t="shared" si="120"/>
        <v>0</v>
      </c>
      <c r="AH180" s="10">
        <f t="shared" si="120"/>
        <v>0</v>
      </c>
      <c r="AI180" s="10">
        <f t="shared" si="120"/>
        <v>0</v>
      </c>
      <c r="AJ180" s="10">
        <f t="shared" si="120"/>
        <v>0</v>
      </c>
      <c r="AK180" s="10">
        <f t="shared" si="120"/>
        <v>0</v>
      </c>
      <c r="AL180" s="10">
        <f t="shared" si="120"/>
        <v>0</v>
      </c>
      <c r="AM180" s="10">
        <f t="shared" si="120"/>
        <v>0</v>
      </c>
      <c r="AN180" s="10">
        <f t="shared" si="120"/>
        <v>0</v>
      </c>
      <c r="AO180" s="10">
        <f t="shared" si="120"/>
        <v>0</v>
      </c>
      <c r="AP180" s="10">
        <f t="shared" si="120"/>
        <v>0</v>
      </c>
      <c r="AQ180" s="10">
        <f t="shared" si="120"/>
        <v>0</v>
      </c>
      <c r="AR180" s="10">
        <f t="shared" si="120"/>
        <v>0</v>
      </c>
      <c r="AS180" s="10">
        <f t="shared" si="120"/>
        <v>0</v>
      </c>
      <c r="AT180" s="10">
        <f t="shared" si="120"/>
        <v>0</v>
      </c>
      <c r="AU180" s="10">
        <f t="shared" si="120"/>
        <v>0</v>
      </c>
      <c r="AV180" s="10">
        <f t="shared" si="120"/>
        <v>0</v>
      </c>
      <c r="AW180" s="10">
        <f t="shared" si="120"/>
        <v>0</v>
      </c>
      <c r="AX180" s="10">
        <f t="shared" si="120"/>
        <v>0</v>
      </c>
      <c r="AY180" s="10">
        <f t="shared" si="120"/>
        <v>0</v>
      </c>
      <c r="AZ180" s="10">
        <f t="shared" si="120"/>
        <v>0</v>
      </c>
      <c r="BA180" s="10">
        <f t="shared" si="120"/>
        <v>0</v>
      </c>
      <c r="BB180" s="10">
        <f t="shared" si="120"/>
        <v>0</v>
      </c>
      <c r="BC180" s="10">
        <f t="shared" si="120"/>
        <v>0</v>
      </c>
      <c r="BD180" s="10">
        <f t="shared" si="120"/>
        <v>0</v>
      </c>
      <c r="BE180" s="10">
        <f t="shared" si="120"/>
        <v>0</v>
      </c>
      <c r="BF180" s="10">
        <f t="shared" si="120"/>
        <v>0</v>
      </c>
      <c r="BG180" s="10">
        <f t="shared" si="120"/>
        <v>0</v>
      </c>
      <c r="BH180" s="10">
        <f t="shared" si="120"/>
        <v>0</v>
      </c>
      <c r="BI180" s="10">
        <f t="shared" si="120"/>
        <v>0</v>
      </c>
      <c r="BJ180" s="10">
        <f t="shared" si="120"/>
        <v>0</v>
      </c>
      <c r="BK180" s="10">
        <f t="shared" si="120"/>
        <v>0</v>
      </c>
      <c r="BL180" s="10">
        <f t="shared" si="120"/>
        <v>0</v>
      </c>
      <c r="BM180" s="10">
        <f t="shared" si="120"/>
        <v>0</v>
      </c>
      <c r="BN180" s="10">
        <f t="shared" si="120"/>
        <v>0</v>
      </c>
      <c r="BO180" s="10">
        <f t="shared" si="120"/>
        <v>0</v>
      </c>
      <c r="BP180" s="10">
        <f t="shared" si="120"/>
        <v>0</v>
      </c>
      <c r="BQ180" s="10">
        <f t="shared" si="120"/>
        <v>0</v>
      </c>
      <c r="BR180" s="10">
        <f t="shared" si="120"/>
        <v>0</v>
      </c>
      <c r="BS180" s="10">
        <f t="shared" si="120"/>
        <v>0</v>
      </c>
      <c r="BT180" s="10">
        <f t="shared" si="120"/>
        <v>0</v>
      </c>
      <c r="BU180" s="10">
        <f t="shared" si="120"/>
        <v>0</v>
      </c>
      <c r="BV180" s="10">
        <f t="shared" si="120"/>
        <v>0</v>
      </c>
      <c r="BX180" s="12">
        <f t="shared" ref="BX180:CA183" si="121">V180</f>
        <v>0</v>
      </c>
      <c r="BY180" s="12">
        <f t="shared" si="121"/>
        <v>0</v>
      </c>
      <c r="BZ180" s="12">
        <f t="shared" si="121"/>
        <v>0</v>
      </c>
      <c r="CA180" s="12">
        <f t="shared" si="121"/>
        <v>0</v>
      </c>
      <c r="CB180" s="10">
        <f t="shared" ref="CB180:CI180" si="122">CA183</f>
        <v>0</v>
      </c>
      <c r="CC180" s="10">
        <f t="shared" si="122"/>
        <v>0</v>
      </c>
      <c r="CD180" s="10">
        <f t="shared" si="122"/>
        <v>0</v>
      </c>
      <c r="CE180" s="10">
        <f t="shared" si="122"/>
        <v>0</v>
      </c>
      <c r="CF180" s="10">
        <f t="shared" si="122"/>
        <v>0</v>
      </c>
      <c r="CG180" s="10">
        <f t="shared" si="122"/>
        <v>0</v>
      </c>
      <c r="CH180" s="10">
        <f t="shared" si="122"/>
        <v>0</v>
      </c>
      <c r="CI180" s="10">
        <f t="shared" si="122"/>
        <v>0</v>
      </c>
      <c r="CK180" s="11"/>
      <c r="CM180" s="11"/>
      <c r="CY180" s="7" cm="1">
        <f t="array" ref="CY180">SUMPRODUCT(--NOT(ISNUMBER(V180:CI180)),--NOT(ISBLANK(V180:CI180)))</f>
        <v>0</v>
      </c>
      <c r="DF180" s="11"/>
      <c r="DG180">
        <f t="shared" si="71"/>
        <v>0</v>
      </c>
      <c r="DH180">
        <v>1</v>
      </c>
      <c r="DI180">
        <v>0</v>
      </c>
      <c r="EY180" s="12" t="str">
        <f>IF(C180="", "", CONCATENATE(D170, " ",D180))</f>
        <v/>
      </c>
    </row>
    <row r="181" spans="1:155" s="5" customFormat="1" x14ac:dyDescent="0.35">
      <c r="A181" s="220" cm="1">
        <f t="array" aca="1" ref="A181" ca="1">HYPERLINK(CONCATENATE("#",CELL("address",IF(MAX($CM181:$DF181)=0,A181,INDEX($CM181:$DF181,MATCH(1,$CM181:$DF181,0))))),MAX($CM181:$DF181))</f>
        <v>0</v>
      </c>
      <c r="B181" s="85" t="s">
        <v>122</v>
      </c>
      <c r="C181" s="211"/>
      <c r="D181" t="s">
        <v>1089</v>
      </c>
      <c r="E181" s="1"/>
      <c r="F181" s="1"/>
      <c r="G181"/>
      <c r="H181" s="9" t="s">
        <v>1074</v>
      </c>
      <c r="I181" s="40" t="s">
        <v>665</v>
      </c>
      <c r="J181"/>
      <c r="K181"/>
      <c r="L181"/>
      <c r="M181"/>
      <c r="N181"/>
      <c r="O181"/>
      <c r="P181"/>
      <c r="Q181"/>
      <c r="R181"/>
      <c r="S181"/>
      <c r="T181"/>
      <c r="U181"/>
      <c r="V181" s="109"/>
      <c r="W181" s="133">
        <f t="shared" ref="W181:Y182" si="123" xml:space="preserve"> SUMIFS($AA181:$BV181, $AA$3:$BV$3, W$3)</f>
        <v>0</v>
      </c>
      <c r="X181" s="133">
        <f t="shared" si="123"/>
        <v>0</v>
      </c>
      <c r="Y181" s="133">
        <f t="shared" si="123"/>
        <v>0</v>
      </c>
      <c r="Z181"/>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c r="BX181" s="12">
        <f t="shared" si="121"/>
        <v>0</v>
      </c>
      <c r="BY181" s="12">
        <f t="shared" si="121"/>
        <v>0</v>
      </c>
      <c r="BZ181" s="12">
        <f t="shared" si="121"/>
        <v>0</v>
      </c>
      <c r="CA181" s="12">
        <f t="shared" si="121"/>
        <v>0</v>
      </c>
      <c r="CB181" s="133">
        <f xml:space="preserve"> SUMIFS($AA181:$BV181, $AA$3:$BV$3, CB$3)</f>
        <v>0</v>
      </c>
      <c r="CC181" s="109"/>
      <c r="CD181" s="109"/>
      <c r="CE181" s="109"/>
      <c r="CF181" s="109"/>
      <c r="CG181" s="109"/>
      <c r="CH181" s="109"/>
      <c r="CI181" s="109"/>
      <c r="CJ181"/>
      <c r="CK181" s="11"/>
      <c r="CL181" s="241">
        <f>IF(MIN($V181:$CI181)&lt;0, 1, 0)</f>
        <v>0</v>
      </c>
      <c r="CM181" s="11"/>
      <c r="CN181"/>
      <c r="CO181"/>
      <c r="CP181"/>
      <c r="CQ181"/>
      <c r="CR181"/>
      <c r="CS181"/>
      <c r="CT181"/>
      <c r="CU181"/>
      <c r="CV181"/>
      <c r="CW181"/>
      <c r="CX181"/>
      <c r="CY181" s="7" cm="1">
        <f t="array" ref="CY181">SUMPRODUCT(--NOT(ISNUMBER(V181:CI181)),--NOT(ISBLANK(V181:CI181)))</f>
        <v>0</v>
      </c>
      <c r="CZ181" s="7">
        <f t="shared" ref="CZ181:DB182" si="124">IF(ROUND(W181-SUMIFS($AA181:$BV181, $AA$3:$BV$3, W$3), rounding)=0, 0, 1)</f>
        <v>0</v>
      </c>
      <c r="DA181" s="7">
        <f t="shared" si="124"/>
        <v>0</v>
      </c>
      <c r="DB181" s="7">
        <f t="shared" si="124"/>
        <v>0</v>
      </c>
      <c r="DC181" s="7">
        <f>IF(ROUND(CB181-SUMIFS($AA181:$BV181, $AA$3:$BV$3, CB$3), rounding)=0, 0, 1)</f>
        <v>0</v>
      </c>
      <c r="DD181" s="7">
        <f>IF(ROUND(V181-BX181, rounding)=0, 0, 1)*'BS Forecasts'!$V$10</f>
        <v>0</v>
      </c>
      <c r="DE181"/>
      <c r="DF181" s="11"/>
      <c r="DG181">
        <f t="shared" si="71"/>
        <v>0</v>
      </c>
      <c r="DH181">
        <v>1</v>
      </c>
      <c r="DI181">
        <v>1</v>
      </c>
      <c r="EY181" s="12" t="str">
        <f>IF(C181="", "", CONCATENATE(D170, " ",D181))</f>
        <v/>
      </c>
    </row>
    <row r="182" spans="1:155" x14ac:dyDescent="0.35">
      <c r="A182" s="220" cm="1">
        <f t="array" aca="1" ref="A182" ca="1">HYPERLINK(CONCATENATE("#",CELL("address",IF(MAX($CM182:$DF182)=0,A182,INDEX($CM182:$DF182,MATCH(1,$CM182:$DF182,0))))),MAX($CM182:$DF182))</f>
        <v>0</v>
      </c>
      <c r="B182" s="85" t="s">
        <v>122</v>
      </c>
      <c r="C182" s="211"/>
      <c r="D182" t="s">
        <v>1090</v>
      </c>
      <c r="H182" s="9" t="s">
        <v>1074</v>
      </c>
      <c r="I182" s="40" t="s">
        <v>1079</v>
      </c>
      <c r="V182" s="109"/>
      <c r="W182" s="133">
        <f t="shared" si="123"/>
        <v>0</v>
      </c>
      <c r="X182" s="133">
        <f t="shared" si="123"/>
        <v>0</v>
      </c>
      <c r="Y182" s="133">
        <f t="shared" si="123"/>
        <v>0</v>
      </c>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X182" s="12">
        <f t="shared" si="121"/>
        <v>0</v>
      </c>
      <c r="BY182" s="12">
        <f t="shared" si="121"/>
        <v>0</v>
      </c>
      <c r="BZ182" s="12">
        <f t="shared" si="121"/>
        <v>0</v>
      </c>
      <c r="CA182" s="12">
        <f t="shared" si="121"/>
        <v>0</v>
      </c>
      <c r="CB182" s="133">
        <f xml:space="preserve"> SUMIFS($AA182:$BV182, $AA$3:$BV$3, CB$3)</f>
        <v>0</v>
      </c>
      <c r="CC182" s="109"/>
      <c r="CD182" s="109"/>
      <c r="CE182" s="109"/>
      <c r="CF182" s="109"/>
      <c r="CG182" s="109"/>
      <c r="CH182" s="109"/>
      <c r="CI182" s="109"/>
      <c r="CK182" s="11"/>
      <c r="CL182" s="241">
        <f>IF(MAX($V182:$CI182)&gt;0, 1, 0)</f>
        <v>0</v>
      </c>
      <c r="CM182" s="11"/>
      <c r="CY182" s="7" cm="1">
        <f t="array" ref="CY182">SUMPRODUCT(--NOT(ISNUMBER(V182:CI182)),--NOT(ISBLANK(V182:CI182)))</f>
        <v>0</v>
      </c>
      <c r="CZ182" s="7">
        <f t="shared" si="124"/>
        <v>0</v>
      </c>
      <c r="DA182" s="7">
        <f t="shared" si="124"/>
        <v>0</v>
      </c>
      <c r="DB182" s="7">
        <f t="shared" si="124"/>
        <v>0</v>
      </c>
      <c r="DC182" s="7">
        <f>IF(ROUND(CB182-SUMIFS($AA182:$BV182, $AA$3:$BV$3, CB$3), rounding)=0, 0, 1)</f>
        <v>0</v>
      </c>
      <c r="DD182" s="7">
        <f>IF(ROUND(V182-BX182, rounding)=0, 0, 1)*'BS Forecasts'!$V$10</f>
        <v>0</v>
      </c>
      <c r="DF182" s="11"/>
      <c r="DG182">
        <f t="shared" si="71"/>
        <v>0</v>
      </c>
      <c r="DH182">
        <v>1</v>
      </c>
      <c r="DI182">
        <v>1</v>
      </c>
      <c r="EY182" s="12" t="str">
        <f>IF(C182="", "", CONCATENATE(D170, " ",D182))</f>
        <v/>
      </c>
    </row>
    <row r="183" spans="1:155" x14ac:dyDescent="0.35">
      <c r="C183" s="211"/>
      <c r="D183" t="s">
        <v>1091</v>
      </c>
      <c r="H183" s="9" t="s">
        <v>1074</v>
      </c>
      <c r="I183" s="40" t="s">
        <v>317</v>
      </c>
      <c r="V183" s="12">
        <f>$I$19</f>
        <v>0</v>
      </c>
      <c r="W183" s="10">
        <f>SUM(W180:W182)</f>
        <v>0</v>
      </c>
      <c r="X183" s="10">
        <f>SUM(X180:X182)</f>
        <v>0</v>
      </c>
      <c r="Y183" s="10">
        <f>SUM(Y180:Y182)</f>
        <v>0</v>
      </c>
      <c r="AA183" s="10">
        <f t="shared" ref="AA183:BV183" si="125">SUM(AA180:AA182)</f>
        <v>0</v>
      </c>
      <c r="AB183" s="10">
        <f t="shared" si="125"/>
        <v>0</v>
      </c>
      <c r="AC183" s="10">
        <f t="shared" si="125"/>
        <v>0</v>
      </c>
      <c r="AD183" s="10">
        <f t="shared" si="125"/>
        <v>0</v>
      </c>
      <c r="AE183" s="10">
        <f t="shared" si="125"/>
        <v>0</v>
      </c>
      <c r="AF183" s="10">
        <f t="shared" si="125"/>
        <v>0</v>
      </c>
      <c r="AG183" s="10">
        <f t="shared" si="125"/>
        <v>0</v>
      </c>
      <c r="AH183" s="10">
        <f t="shared" si="125"/>
        <v>0</v>
      </c>
      <c r="AI183" s="10">
        <f t="shared" si="125"/>
        <v>0</v>
      </c>
      <c r="AJ183" s="10">
        <f t="shared" si="125"/>
        <v>0</v>
      </c>
      <c r="AK183" s="10">
        <f t="shared" si="125"/>
        <v>0</v>
      </c>
      <c r="AL183" s="10">
        <f t="shared" si="125"/>
        <v>0</v>
      </c>
      <c r="AM183" s="10">
        <f t="shared" si="125"/>
        <v>0</v>
      </c>
      <c r="AN183" s="10">
        <f t="shared" si="125"/>
        <v>0</v>
      </c>
      <c r="AO183" s="10">
        <f t="shared" si="125"/>
        <v>0</v>
      </c>
      <c r="AP183" s="10">
        <f t="shared" si="125"/>
        <v>0</v>
      </c>
      <c r="AQ183" s="10">
        <f t="shared" si="125"/>
        <v>0</v>
      </c>
      <c r="AR183" s="10">
        <f t="shared" si="125"/>
        <v>0</v>
      </c>
      <c r="AS183" s="10">
        <f t="shared" si="125"/>
        <v>0</v>
      </c>
      <c r="AT183" s="10">
        <f t="shared" si="125"/>
        <v>0</v>
      </c>
      <c r="AU183" s="10">
        <f t="shared" si="125"/>
        <v>0</v>
      </c>
      <c r="AV183" s="10">
        <f t="shared" si="125"/>
        <v>0</v>
      </c>
      <c r="AW183" s="10">
        <f t="shared" si="125"/>
        <v>0</v>
      </c>
      <c r="AX183" s="10">
        <f t="shared" si="125"/>
        <v>0</v>
      </c>
      <c r="AY183" s="10">
        <f t="shared" si="125"/>
        <v>0</v>
      </c>
      <c r="AZ183" s="10">
        <f t="shared" si="125"/>
        <v>0</v>
      </c>
      <c r="BA183" s="10">
        <f t="shared" si="125"/>
        <v>0</v>
      </c>
      <c r="BB183" s="10">
        <f t="shared" si="125"/>
        <v>0</v>
      </c>
      <c r="BC183" s="10">
        <f t="shared" si="125"/>
        <v>0</v>
      </c>
      <c r="BD183" s="10">
        <f t="shared" si="125"/>
        <v>0</v>
      </c>
      <c r="BE183" s="10">
        <f t="shared" si="125"/>
        <v>0</v>
      </c>
      <c r="BF183" s="10">
        <f t="shared" si="125"/>
        <v>0</v>
      </c>
      <c r="BG183" s="10">
        <f t="shared" si="125"/>
        <v>0</v>
      </c>
      <c r="BH183" s="10">
        <f t="shared" si="125"/>
        <v>0</v>
      </c>
      <c r="BI183" s="10">
        <f t="shared" si="125"/>
        <v>0</v>
      </c>
      <c r="BJ183" s="10">
        <f t="shared" si="125"/>
        <v>0</v>
      </c>
      <c r="BK183" s="10">
        <f t="shared" si="125"/>
        <v>0</v>
      </c>
      <c r="BL183" s="10">
        <f t="shared" si="125"/>
        <v>0</v>
      </c>
      <c r="BM183" s="10">
        <f t="shared" si="125"/>
        <v>0</v>
      </c>
      <c r="BN183" s="10">
        <f t="shared" si="125"/>
        <v>0</v>
      </c>
      <c r="BO183" s="10">
        <f t="shared" si="125"/>
        <v>0</v>
      </c>
      <c r="BP183" s="10">
        <f t="shared" si="125"/>
        <v>0</v>
      </c>
      <c r="BQ183" s="10">
        <f t="shared" si="125"/>
        <v>0</v>
      </c>
      <c r="BR183" s="10">
        <f t="shared" si="125"/>
        <v>0</v>
      </c>
      <c r="BS183" s="10">
        <f t="shared" si="125"/>
        <v>0</v>
      </c>
      <c r="BT183" s="10">
        <f t="shared" si="125"/>
        <v>0</v>
      </c>
      <c r="BU183" s="10">
        <f t="shared" si="125"/>
        <v>0</v>
      </c>
      <c r="BV183" s="10">
        <f t="shared" si="125"/>
        <v>0</v>
      </c>
      <c r="BX183" s="12">
        <f t="shared" si="121"/>
        <v>0</v>
      </c>
      <c r="BY183" s="12">
        <f t="shared" si="121"/>
        <v>0</v>
      </c>
      <c r="BZ183" s="12">
        <f t="shared" si="121"/>
        <v>0</v>
      </c>
      <c r="CA183" s="12">
        <f t="shared" si="121"/>
        <v>0</v>
      </c>
      <c r="CB183" s="10">
        <f t="shared" ref="CB183:CI183" si="126">SUM(CB180:CB182)</f>
        <v>0</v>
      </c>
      <c r="CC183" s="10">
        <f t="shared" si="126"/>
        <v>0</v>
      </c>
      <c r="CD183" s="10">
        <f t="shared" si="126"/>
        <v>0</v>
      </c>
      <c r="CE183" s="10">
        <f t="shared" si="126"/>
        <v>0</v>
      </c>
      <c r="CF183" s="10">
        <f t="shared" si="126"/>
        <v>0</v>
      </c>
      <c r="CG183" s="10">
        <f t="shared" si="126"/>
        <v>0</v>
      </c>
      <c r="CH183" s="10">
        <f t="shared" si="126"/>
        <v>0</v>
      </c>
      <c r="CI183" s="10">
        <f t="shared" si="126"/>
        <v>0</v>
      </c>
      <c r="CK183" s="11"/>
      <c r="CM183" s="11"/>
      <c r="DF183" s="11"/>
      <c r="DG183">
        <f t="shared" si="71"/>
        <v>0</v>
      </c>
      <c r="DH183">
        <v>0</v>
      </c>
      <c r="DI183">
        <v>0</v>
      </c>
      <c r="EY183" s="12" t="str">
        <f>IF(C183="", "", CONCATENATE(D170, " ",D183))</f>
        <v/>
      </c>
    </row>
    <row r="184" spans="1:155" ht="6.75" customHeight="1" x14ac:dyDescent="0.35">
      <c r="C184" s="211"/>
      <c r="D184" s="1"/>
      <c r="E184"/>
      <c r="F184"/>
      <c r="BY184" s="6"/>
      <c r="CK184" s="35"/>
      <c r="CM184" s="35"/>
      <c r="DF184" s="35"/>
      <c r="DG184">
        <f t="shared" si="71"/>
        <v>0</v>
      </c>
      <c r="DH184">
        <v>0</v>
      </c>
      <c r="DI184">
        <v>0</v>
      </c>
      <c r="EY184" s="12" t="str">
        <f>IF(C184="", "", CONCATENATE(D170, " ",D184))</f>
        <v/>
      </c>
    </row>
    <row r="185" spans="1:155" s="5" customFormat="1" x14ac:dyDescent="0.35">
      <c r="A185" s="220" cm="1">
        <f t="array" aca="1" ref="A185" ca="1">HYPERLINK(CONCATENATE("#",CELL("address",IF(MAX($CM185:$DF185)=0,A185,INDEX($CM185:$DF185,MATCH(1,$CM185:$DF185,0))))),MAX($CM185:$DF185))</f>
        <v>0</v>
      </c>
      <c r="B185"/>
      <c r="C185" s="211" t="s">
        <v>1136</v>
      </c>
      <c r="D185" t="s">
        <v>1093</v>
      </c>
      <c r="E185" s="1"/>
      <c r="F185" s="1"/>
      <c r="G185"/>
      <c r="H185" s="9" t="s">
        <v>1074</v>
      </c>
      <c r="I185" s="40" t="s">
        <v>665</v>
      </c>
      <c r="J185"/>
      <c r="K185"/>
      <c r="L185"/>
      <c r="M185"/>
      <c r="N185"/>
      <c r="O185"/>
      <c r="P185"/>
      <c r="Q185"/>
      <c r="R185"/>
      <c r="S185"/>
      <c r="T185"/>
      <c r="U185"/>
      <c r="V185" s="109"/>
      <c r="W185" s="133">
        <f xml:space="preserve"> SUMIFS($AA185:$BV185, $AA$3:$BV$3, W$3)</f>
        <v>0</v>
      </c>
      <c r="X185" s="133">
        <f xml:space="preserve"> SUMIFS($AA185:$BV185, $AA$3:$BV$3, X$3)</f>
        <v>0</v>
      </c>
      <c r="Y185" s="133">
        <f xml:space="preserve"> SUMIFS($AA185:$BV185, $AA$3:$BV$3, Y$3)</f>
        <v>0</v>
      </c>
      <c r="Z185"/>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c r="BX185" s="12">
        <f>V185</f>
        <v>0</v>
      </c>
      <c r="BY185" s="12">
        <f>W185</f>
        <v>0</v>
      </c>
      <c r="BZ185" s="12">
        <f>X185</f>
        <v>0</v>
      </c>
      <c r="CA185" s="12">
        <f>Y185</f>
        <v>0</v>
      </c>
      <c r="CB185" s="133">
        <f xml:space="preserve"> SUMIFS($AA185:$BV185, $AA$3:$BV$3, CB$3)</f>
        <v>0</v>
      </c>
      <c r="CC185" s="109"/>
      <c r="CD185" s="109"/>
      <c r="CE185" s="109"/>
      <c r="CF185" s="109"/>
      <c r="CG185" s="109"/>
      <c r="CH185" s="109"/>
      <c r="CI185" s="109"/>
      <c r="CJ185"/>
      <c r="CK185" s="11"/>
      <c r="CL185" s="241">
        <f>IF(MIN($V185:$CI185)&lt;0, 1, 0)</f>
        <v>0</v>
      </c>
      <c r="CM185" s="11"/>
      <c r="CN185"/>
      <c r="CO185"/>
      <c r="CP185"/>
      <c r="CQ185"/>
      <c r="CR185"/>
      <c r="CS185"/>
      <c r="CT185"/>
      <c r="CU185"/>
      <c r="CV185"/>
      <c r="CW185"/>
      <c r="CX185"/>
      <c r="CY185" s="7" cm="1">
        <f t="array" ref="CY185">SUMPRODUCT(--NOT(ISNUMBER(V185:CI185)),--NOT(ISBLANK(V185:CI185)))</f>
        <v>0</v>
      </c>
      <c r="CZ185" s="7">
        <f>IF(ROUND(W185-SUMIFS($AA185:$BV185, $AA$3:$BV$3, W$3), rounding)=0, 0, 1)</f>
        <v>0</v>
      </c>
      <c r="DA185" s="7">
        <f>IF(ROUND(X185-SUMIFS($AA185:$BV185, $AA$3:$BV$3, X$3), rounding)=0, 0, 1)</f>
        <v>0</v>
      </c>
      <c r="DB185" s="7">
        <f>IF(ROUND(Y185-SUMIFS($AA185:$BV185, $AA$3:$BV$3, Y$3), rounding)=0, 0, 1)</f>
        <v>0</v>
      </c>
      <c r="DC185" s="7">
        <f>IF(ROUND(CB185-SUMIFS($AA185:$BV185, $AA$3:$BV$3, CB$3), rounding)=0, 0, 1)</f>
        <v>0</v>
      </c>
      <c r="DD185" s="7">
        <f>IF(ROUND(V185-BX185, rounding)=0, 0, 1)*'BS Forecasts'!$V$10</f>
        <v>0</v>
      </c>
      <c r="DE185"/>
      <c r="DF185" s="11"/>
      <c r="DG185">
        <f t="shared" ref="DG185:DG248" si="127">IF(IFERROR(FIND("check", D185), 0)=0, 0, 1)</f>
        <v>0</v>
      </c>
      <c r="DH185">
        <v>1</v>
      </c>
      <c r="DI185">
        <v>1</v>
      </c>
      <c r="EY185" s="12" t="str">
        <f>IF(C185="", "", CONCATENATE(D170, " ",D185))</f>
        <v>Loan 7 Early Repayment Fee</v>
      </c>
    </row>
    <row r="186" spans="1:155" ht="6.75" customHeight="1" x14ac:dyDescent="0.35">
      <c r="C186" s="211"/>
      <c r="D186" s="1"/>
      <c r="E186"/>
      <c r="F186"/>
      <c r="BY186" s="6"/>
      <c r="CK186" s="35"/>
      <c r="CM186" s="35"/>
      <c r="DF186" s="35"/>
      <c r="DG186">
        <f t="shared" si="127"/>
        <v>0</v>
      </c>
      <c r="DH186">
        <v>0</v>
      </c>
      <c r="DI186">
        <v>0</v>
      </c>
      <c r="EY186" s="12" t="str">
        <f>IF(C186="", "", CONCATENATE(D170, " ",D186))</f>
        <v/>
      </c>
    </row>
    <row r="187" spans="1:155" x14ac:dyDescent="0.35">
      <c r="A187" s="220" cm="1">
        <f t="array" aca="1" ref="A187" ca="1">HYPERLINK(CONCATENATE("#",CELL("address",IF(MAX($CM187:$DF187)=0,A187,INDEX($CM187:$DF187,MATCH(1,$CM187:$DF187,0))))),MAX($CM187:$DF187))</f>
        <v>0</v>
      </c>
      <c r="B187" s="85" t="s">
        <v>122</v>
      </c>
      <c r="D187" t="s">
        <v>1094</v>
      </c>
      <c r="E187" s="140" t="str">
        <f>IF(J$19="", "", J$19)</f>
        <v/>
      </c>
      <c r="F187" s="140"/>
      <c r="G187" s="140" t="str">
        <f>IF(K$19="", "", K$19)</f>
        <v/>
      </c>
      <c r="V187" s="7">
        <f>IF(AND(OR( V$5&gt;$G187, Timeline!V$8&lt;Loans!$E187), Loans!V185&lt;&gt;0), 1, 0)</f>
        <v>0</v>
      </c>
      <c r="W187" s="7">
        <f>IF(AND(OR( W$5&gt;$G187, Timeline!W$8&lt;Loans!$E187), Loans!W185&lt;&gt;0), 1, 0)</f>
        <v>0</v>
      </c>
      <c r="X187" s="7">
        <f>IF(AND(OR( X$5&gt;$G187, Timeline!X$8&lt;Loans!$E187), Loans!X185&lt;&gt;0), 1, 0)</f>
        <v>0</v>
      </c>
      <c r="Y187" s="7">
        <f>IF(AND(OR( Y$5&gt;$G187, Timeline!Y$8&lt;Loans!$E187), Loans!Y185&lt;&gt;0), 1, 0)</f>
        <v>0</v>
      </c>
      <c r="AA187" s="7">
        <f>IF(AND(OR( AA$5&gt;$G187, Timeline!AA$8&lt;Loans!$E187), Loans!AA185&lt;&gt;0), 1, 0)</f>
        <v>0</v>
      </c>
      <c r="AB187" s="7">
        <f>IF(AND(OR( AB$5&gt;$G187, Timeline!AB$8&lt;Loans!$E187), Loans!AB185&lt;&gt;0), 1, 0)</f>
        <v>0</v>
      </c>
      <c r="AC187" s="7">
        <f>IF(AND(OR( AC$5&gt;$G187, Timeline!AC$8&lt;Loans!$E187), Loans!AC185&lt;&gt;0), 1, 0)</f>
        <v>0</v>
      </c>
      <c r="AD187" s="7">
        <f>IF(AND(OR( AD$5&gt;$G187, Timeline!AD$8&lt;Loans!$E187), Loans!AD185&lt;&gt;0), 1, 0)</f>
        <v>0</v>
      </c>
      <c r="AE187" s="7">
        <f>IF(AND(OR( AE$5&gt;$G187, Timeline!AE$8&lt;Loans!$E187), Loans!AE185&lt;&gt;0), 1, 0)</f>
        <v>0</v>
      </c>
      <c r="AF187" s="7">
        <f>IF(AND(OR( AF$5&gt;$G187, Timeline!AF$8&lt;Loans!$E187), Loans!AF185&lt;&gt;0), 1, 0)</f>
        <v>0</v>
      </c>
      <c r="AG187" s="7">
        <f>IF(AND(OR( AG$5&gt;$G187, Timeline!AG$8&lt;Loans!$E187), Loans!AG185&lt;&gt;0), 1, 0)</f>
        <v>0</v>
      </c>
      <c r="AH187" s="7">
        <f>IF(AND(OR( AH$5&gt;$G187, Timeline!AH$8&lt;Loans!$E187), Loans!AH185&lt;&gt;0), 1, 0)</f>
        <v>0</v>
      </c>
      <c r="AI187" s="7">
        <f>IF(AND(OR( AI$5&gt;$G187, Timeline!AI$8&lt;Loans!$E187), Loans!AI185&lt;&gt;0), 1, 0)</f>
        <v>0</v>
      </c>
      <c r="AJ187" s="7">
        <f>IF(AND(OR( AJ$5&gt;$G187, Timeline!AJ$8&lt;Loans!$E187), Loans!AJ185&lt;&gt;0), 1, 0)</f>
        <v>0</v>
      </c>
      <c r="AK187" s="7">
        <f>IF(AND(OR( AK$5&gt;$G187, Timeline!AK$8&lt;Loans!$E187), Loans!AK185&lt;&gt;0), 1, 0)</f>
        <v>0</v>
      </c>
      <c r="AL187" s="7">
        <f>IF(AND(OR( AL$5&gt;$G187, Timeline!AL$8&lt;Loans!$E187), Loans!AL185&lt;&gt;0), 1, 0)</f>
        <v>0</v>
      </c>
      <c r="AM187" s="7">
        <f>IF(AND(OR( AM$5&gt;$G187, Timeline!AM$8&lt;Loans!$E187), Loans!AM185&lt;&gt;0), 1, 0)</f>
        <v>0</v>
      </c>
      <c r="AN187" s="7">
        <f>IF(AND(OR( AN$5&gt;$G187, Timeline!AN$8&lt;Loans!$E187), Loans!AN185&lt;&gt;0), 1, 0)</f>
        <v>0</v>
      </c>
      <c r="AO187" s="7">
        <f>IF(AND(OR( AO$5&gt;$G187, Timeline!AO$8&lt;Loans!$E187), Loans!AO185&lt;&gt;0), 1, 0)</f>
        <v>0</v>
      </c>
      <c r="AP187" s="7">
        <f>IF(AND(OR( AP$5&gt;$G187, Timeline!AP$8&lt;Loans!$E187), Loans!AP185&lt;&gt;0), 1, 0)</f>
        <v>0</v>
      </c>
      <c r="AQ187" s="7">
        <f>IF(AND(OR( AQ$5&gt;$G187, Timeline!AQ$8&lt;Loans!$E187), Loans!AQ185&lt;&gt;0), 1, 0)</f>
        <v>0</v>
      </c>
      <c r="AR187" s="7">
        <f>IF(AND(OR( AR$5&gt;$G187, Timeline!AR$8&lt;Loans!$E187), Loans!AR185&lt;&gt;0), 1, 0)</f>
        <v>0</v>
      </c>
      <c r="AS187" s="7">
        <f>IF(AND(OR( AS$5&gt;$G187, Timeline!AS$8&lt;Loans!$E187), Loans!AS185&lt;&gt;0), 1, 0)</f>
        <v>0</v>
      </c>
      <c r="AT187" s="7">
        <f>IF(AND(OR( AT$5&gt;$G187, Timeline!AT$8&lt;Loans!$E187), Loans!AT185&lt;&gt;0), 1, 0)</f>
        <v>0</v>
      </c>
      <c r="AU187" s="7">
        <f>IF(AND(OR( AU$5&gt;$G187, Timeline!AU$8&lt;Loans!$E187), Loans!AU185&lt;&gt;0), 1, 0)</f>
        <v>0</v>
      </c>
      <c r="AV187" s="7">
        <f>IF(AND(OR( AV$5&gt;$G187, Timeline!AV$8&lt;Loans!$E187), Loans!AV185&lt;&gt;0), 1, 0)</f>
        <v>0</v>
      </c>
      <c r="AW187" s="7">
        <f>IF(AND(OR( AW$5&gt;$G187, Timeline!AW$8&lt;Loans!$E187), Loans!AW185&lt;&gt;0), 1, 0)</f>
        <v>0</v>
      </c>
      <c r="AX187" s="7">
        <f>IF(AND(OR( AX$5&gt;$G187, Timeline!AX$8&lt;Loans!$E187), Loans!AX185&lt;&gt;0), 1, 0)</f>
        <v>0</v>
      </c>
      <c r="AY187" s="7">
        <f>IF(AND(OR( AY$5&gt;$G187, Timeline!AY$8&lt;Loans!$E187), Loans!AY185&lt;&gt;0), 1, 0)</f>
        <v>0</v>
      </c>
      <c r="AZ187" s="7">
        <f>IF(AND(OR( AZ$5&gt;$G187, Timeline!AZ$8&lt;Loans!$E187), Loans!AZ185&lt;&gt;0), 1, 0)</f>
        <v>0</v>
      </c>
      <c r="BA187" s="7">
        <f>IF(AND(OR( BA$5&gt;$G187, Timeline!BA$8&lt;Loans!$E187), Loans!BA185&lt;&gt;0), 1, 0)</f>
        <v>0</v>
      </c>
      <c r="BB187" s="7">
        <f>IF(AND(OR( BB$5&gt;$G187, Timeline!BB$8&lt;Loans!$E187), Loans!BB185&lt;&gt;0), 1, 0)</f>
        <v>0</v>
      </c>
      <c r="BC187" s="7">
        <f>IF(AND(OR( BC$5&gt;$G187, Timeline!BC$8&lt;Loans!$E187), Loans!BC185&lt;&gt;0), 1, 0)</f>
        <v>0</v>
      </c>
      <c r="BD187" s="7">
        <f>IF(AND(OR( BD$5&gt;$G187, Timeline!BD$8&lt;Loans!$E187), Loans!BD185&lt;&gt;0), 1, 0)</f>
        <v>0</v>
      </c>
      <c r="BE187" s="7">
        <f>IF(AND(OR( BE$5&gt;$G187, Timeline!BE$8&lt;Loans!$E187), Loans!BE185&lt;&gt;0), 1, 0)</f>
        <v>0</v>
      </c>
      <c r="BF187" s="7">
        <f>IF(AND(OR( BF$5&gt;$G187, Timeline!BF$8&lt;Loans!$E187), Loans!BF185&lt;&gt;0), 1, 0)</f>
        <v>0</v>
      </c>
      <c r="BG187" s="7">
        <f>IF(AND(OR( BG$5&gt;$G187, Timeline!BG$8&lt;Loans!$E187), Loans!BG185&lt;&gt;0), 1, 0)</f>
        <v>0</v>
      </c>
      <c r="BH187" s="7">
        <f>IF(AND(OR( BH$5&gt;$G187, Timeline!BH$8&lt;Loans!$E187), Loans!BH185&lt;&gt;0), 1, 0)</f>
        <v>0</v>
      </c>
      <c r="BI187" s="7">
        <f>IF(AND(OR( BI$5&gt;$G187, Timeline!BI$8&lt;Loans!$E187), Loans!BI185&lt;&gt;0), 1, 0)</f>
        <v>0</v>
      </c>
      <c r="BJ187" s="7">
        <f>IF(AND(OR( BJ$5&gt;$G187, Timeline!BJ$8&lt;Loans!$E187), Loans!BJ185&lt;&gt;0), 1, 0)</f>
        <v>0</v>
      </c>
      <c r="BK187" s="7">
        <f>IF(AND(OR( BK$5&gt;$G187, Timeline!BK$8&lt;Loans!$E187), Loans!BK185&lt;&gt;0), 1, 0)</f>
        <v>0</v>
      </c>
      <c r="BL187" s="7">
        <f>IF(AND(OR( BL$5&gt;$G187, Timeline!BL$8&lt;Loans!$E187), Loans!BL185&lt;&gt;0), 1, 0)</f>
        <v>0</v>
      </c>
      <c r="BM187" s="7">
        <f>IF(AND(OR( BM$5&gt;$G187, Timeline!BM$8&lt;Loans!$E187), Loans!BM185&lt;&gt;0), 1, 0)</f>
        <v>0</v>
      </c>
      <c r="BN187" s="7">
        <f>IF(AND(OR( BN$5&gt;$G187, Timeline!BN$8&lt;Loans!$E187), Loans!BN185&lt;&gt;0), 1, 0)</f>
        <v>0</v>
      </c>
      <c r="BO187" s="7">
        <f>IF(AND(OR( BO$5&gt;$G187, Timeline!BO$8&lt;Loans!$E187), Loans!BO185&lt;&gt;0), 1, 0)</f>
        <v>0</v>
      </c>
      <c r="BP187" s="7">
        <f>IF(AND(OR( BP$5&gt;$G187, Timeline!BP$8&lt;Loans!$E187), Loans!BP185&lt;&gt;0), 1, 0)</f>
        <v>0</v>
      </c>
      <c r="BQ187" s="7">
        <f>IF(AND(OR( BQ$5&gt;$G187, Timeline!BQ$8&lt;Loans!$E187), Loans!BQ185&lt;&gt;0), 1, 0)</f>
        <v>0</v>
      </c>
      <c r="BR187" s="7">
        <f>IF(AND(OR( BR$5&gt;$G187, Timeline!BR$8&lt;Loans!$E187), Loans!BR185&lt;&gt;0), 1, 0)</f>
        <v>0</v>
      </c>
      <c r="BS187" s="7">
        <f>IF(AND(OR( BS$5&gt;$G187, Timeline!BS$8&lt;Loans!$E187), Loans!BS185&lt;&gt;0), 1, 0)</f>
        <v>0</v>
      </c>
      <c r="BT187" s="7">
        <f>IF(AND(OR( BT$5&gt;$G187, Timeline!BT$8&lt;Loans!$E187), Loans!BT185&lt;&gt;0), 1, 0)</f>
        <v>0</v>
      </c>
      <c r="BU187" s="7">
        <f>IF(AND(OR( BU$5&gt;$G187, Timeline!BU$8&lt;Loans!$E187), Loans!BU185&lt;&gt;0), 1, 0)</f>
        <v>0</v>
      </c>
      <c r="BV187" s="7">
        <f>IF(AND(OR( BV$5&gt;$G187, Timeline!BV$8&lt;Loans!$E187), Loans!BV185&lt;&gt;0), 1, 0)</f>
        <v>0</v>
      </c>
      <c r="BX187" s="7">
        <f>IF(AND(OR( BX$5&gt;$G187, Timeline!BX$8&lt;Loans!$E187), Loans!BX185&lt;&gt;0), 1, 0)</f>
        <v>0</v>
      </c>
      <c r="BY187" s="7">
        <f>IF(AND(OR( BY$5&gt;$G187, Timeline!BY$8&lt;Loans!$E187), Loans!BY185&lt;&gt;0), 1, 0)</f>
        <v>0</v>
      </c>
      <c r="BZ187" s="7">
        <f>IF(AND(OR( BZ$5&gt;$G187, Timeline!BZ$8&lt;Loans!$E187), Loans!BZ185&lt;&gt;0), 1, 0)</f>
        <v>0</v>
      </c>
      <c r="CA187" s="7">
        <f>IF(AND(OR( CA$5&gt;$G187, Timeline!CA$8&lt;Loans!$E187), Loans!CA185&lt;&gt;0), 1, 0)</f>
        <v>0</v>
      </c>
      <c r="CB187" s="7">
        <f>IF(AND(OR( CB$5&gt;$G187, Timeline!CB$8&lt;Loans!$E187), Loans!CB185&lt;&gt;0), 1, 0)</f>
        <v>0</v>
      </c>
      <c r="CC187" s="7">
        <f>IF(AND(OR( CC$5&gt;$G187, Timeline!CC$8&lt;Loans!$E187), Loans!CC185&lt;&gt;0), 1, 0)</f>
        <v>0</v>
      </c>
      <c r="CD187" s="7">
        <f>IF(AND(OR( CD$5&gt;$G187, Timeline!CD$8&lt;Loans!$E187), Loans!CD185&lt;&gt;0), 1, 0)</f>
        <v>0</v>
      </c>
      <c r="CE187" s="7">
        <f>IF(AND(OR( CE$5&gt;$G187, Timeline!CE$8&lt;Loans!$E187), Loans!CE185&lt;&gt;0), 1, 0)</f>
        <v>0</v>
      </c>
      <c r="CF187" s="7">
        <f>IF(AND(OR( CF$5&gt;$G187, Timeline!CF$8&lt;Loans!$E187), Loans!CF185&lt;&gt;0), 1, 0)</f>
        <v>0</v>
      </c>
      <c r="CG187" s="7">
        <f>IF(AND(OR( CG$5&gt;$G187, Timeline!CG$8&lt;Loans!$E187), Loans!CG185&lt;&gt;0), 1, 0)</f>
        <v>0</v>
      </c>
      <c r="CH187" s="7">
        <f>IF(AND(OR( CH$5&gt;$G187, Timeline!CH$8&lt;Loans!$E187), Loans!CH185&lt;&gt;0), 1, 0)</f>
        <v>0</v>
      </c>
      <c r="CI187" s="7">
        <f>IF(AND(OR( CI$5&gt;$G187, Timeline!CI$8&lt;Loans!$E187), Loans!CI185&lt;&gt;0), 1, 0)</f>
        <v>0</v>
      </c>
      <c r="CK187" s="11"/>
      <c r="CM187" s="11"/>
      <c r="CX187" s="7">
        <f>IF(MAX($V187:$CI187)&gt;0, 1, 0)</f>
        <v>0</v>
      </c>
      <c r="DF187" s="11"/>
      <c r="DG187">
        <f t="shared" si="127"/>
        <v>1</v>
      </c>
      <c r="DH187">
        <v>0</v>
      </c>
      <c r="DI187">
        <v>0</v>
      </c>
      <c r="EY187" s="12" t="str">
        <f>IF(C187="", "", CONCATENATE(D170, " ",D187))</f>
        <v/>
      </c>
    </row>
    <row r="188" spans="1:155" ht="6.75" customHeight="1" x14ac:dyDescent="0.35">
      <c r="C188" s="211"/>
      <c r="D188" s="1"/>
      <c r="E188"/>
      <c r="F188"/>
      <c r="BY188" s="6"/>
      <c r="CK188" s="35"/>
      <c r="CM188" s="35"/>
      <c r="DF188" s="35"/>
      <c r="DG188">
        <f t="shared" si="127"/>
        <v>0</v>
      </c>
      <c r="DH188">
        <v>0</v>
      </c>
      <c r="DI188">
        <v>0</v>
      </c>
      <c r="EY188" s="10" t="str">
        <f>IF($C188="","",$D188)</f>
        <v/>
      </c>
    </row>
    <row r="189" spans="1:155" x14ac:dyDescent="0.35">
      <c r="A189" s="53"/>
      <c r="C189" s="211"/>
      <c r="D189" s="53" t="s">
        <v>1137</v>
      </c>
      <c r="E189" s="53"/>
      <c r="F189" s="53"/>
      <c r="G189" s="53"/>
      <c r="H189" s="53"/>
      <c r="I189" s="53"/>
      <c r="J189" s="53"/>
      <c r="M189" s="53"/>
      <c r="N189" s="53"/>
      <c r="O189" s="53"/>
      <c r="P189" s="53"/>
      <c r="Q189" s="53"/>
      <c r="R189" s="53"/>
      <c r="CK189" s="11"/>
      <c r="CM189" s="11"/>
      <c r="DF189" s="11"/>
      <c r="DG189">
        <f t="shared" si="127"/>
        <v>0</v>
      </c>
      <c r="DH189">
        <v>0</v>
      </c>
      <c r="DI189">
        <v>0</v>
      </c>
      <c r="EY189" s="10" t="str">
        <f>IF($C189="","",$D189)</f>
        <v/>
      </c>
    </row>
    <row r="190" spans="1:155" x14ac:dyDescent="0.35">
      <c r="C190" s="211" t="s">
        <v>1138</v>
      </c>
      <c r="D190" t="s">
        <v>1073</v>
      </c>
      <c r="H190" s="9" t="s">
        <v>1074</v>
      </c>
      <c r="I190" s="40" t="s">
        <v>317</v>
      </c>
      <c r="V190" s="109"/>
      <c r="W190" s="133">
        <f>V194</f>
        <v>0</v>
      </c>
      <c r="X190" s="133">
        <f>W194</f>
        <v>0</v>
      </c>
      <c r="Y190" s="10">
        <f>X194</f>
        <v>0</v>
      </c>
      <c r="AA190" s="12">
        <f>W190</f>
        <v>0</v>
      </c>
      <c r="AB190" s="10">
        <f t="shared" ref="AB190:BV190" si="128">AA194</f>
        <v>0</v>
      </c>
      <c r="AC190" s="10">
        <f t="shared" si="128"/>
        <v>0</v>
      </c>
      <c r="AD190" s="10">
        <f t="shared" si="128"/>
        <v>0</v>
      </c>
      <c r="AE190" s="10">
        <f t="shared" si="128"/>
        <v>0</v>
      </c>
      <c r="AF190" s="10">
        <f t="shared" si="128"/>
        <v>0</v>
      </c>
      <c r="AG190" s="10">
        <f t="shared" si="128"/>
        <v>0</v>
      </c>
      <c r="AH190" s="10">
        <f t="shared" si="128"/>
        <v>0</v>
      </c>
      <c r="AI190" s="10">
        <f t="shared" si="128"/>
        <v>0</v>
      </c>
      <c r="AJ190" s="10">
        <f t="shared" si="128"/>
        <v>0</v>
      </c>
      <c r="AK190" s="10">
        <f t="shared" si="128"/>
        <v>0</v>
      </c>
      <c r="AL190" s="10">
        <f t="shared" si="128"/>
        <v>0</v>
      </c>
      <c r="AM190" s="10">
        <f t="shared" si="128"/>
        <v>0</v>
      </c>
      <c r="AN190" s="10">
        <f t="shared" si="128"/>
        <v>0</v>
      </c>
      <c r="AO190" s="10">
        <f t="shared" si="128"/>
        <v>0</v>
      </c>
      <c r="AP190" s="10">
        <f t="shared" si="128"/>
        <v>0</v>
      </c>
      <c r="AQ190" s="10">
        <f t="shared" si="128"/>
        <v>0</v>
      </c>
      <c r="AR190" s="10">
        <f t="shared" si="128"/>
        <v>0</v>
      </c>
      <c r="AS190" s="10">
        <f t="shared" si="128"/>
        <v>0</v>
      </c>
      <c r="AT190" s="10">
        <f t="shared" si="128"/>
        <v>0</v>
      </c>
      <c r="AU190" s="10">
        <f t="shared" si="128"/>
        <v>0</v>
      </c>
      <c r="AV190" s="10">
        <f t="shared" si="128"/>
        <v>0</v>
      </c>
      <c r="AW190" s="10">
        <f t="shared" si="128"/>
        <v>0</v>
      </c>
      <c r="AX190" s="10">
        <f t="shared" si="128"/>
        <v>0</v>
      </c>
      <c r="AY190" s="10">
        <f t="shared" si="128"/>
        <v>0</v>
      </c>
      <c r="AZ190" s="10">
        <f t="shared" si="128"/>
        <v>0</v>
      </c>
      <c r="BA190" s="10">
        <f t="shared" si="128"/>
        <v>0</v>
      </c>
      <c r="BB190" s="10">
        <f t="shared" si="128"/>
        <v>0</v>
      </c>
      <c r="BC190" s="10">
        <f t="shared" si="128"/>
        <v>0</v>
      </c>
      <c r="BD190" s="10">
        <f t="shared" si="128"/>
        <v>0</v>
      </c>
      <c r="BE190" s="10">
        <f t="shared" si="128"/>
        <v>0</v>
      </c>
      <c r="BF190" s="10">
        <f t="shared" si="128"/>
        <v>0</v>
      </c>
      <c r="BG190" s="10">
        <f t="shared" si="128"/>
        <v>0</v>
      </c>
      <c r="BH190" s="10">
        <f t="shared" si="128"/>
        <v>0</v>
      </c>
      <c r="BI190" s="10">
        <f t="shared" si="128"/>
        <v>0</v>
      </c>
      <c r="BJ190" s="10">
        <f t="shared" si="128"/>
        <v>0</v>
      </c>
      <c r="BK190" s="10">
        <f t="shared" si="128"/>
        <v>0</v>
      </c>
      <c r="BL190" s="10">
        <f t="shared" si="128"/>
        <v>0</v>
      </c>
      <c r="BM190" s="10">
        <f t="shared" si="128"/>
        <v>0</v>
      </c>
      <c r="BN190" s="10">
        <f t="shared" si="128"/>
        <v>0</v>
      </c>
      <c r="BO190" s="10">
        <f t="shared" si="128"/>
        <v>0</v>
      </c>
      <c r="BP190" s="10">
        <f t="shared" si="128"/>
        <v>0</v>
      </c>
      <c r="BQ190" s="10">
        <f t="shared" si="128"/>
        <v>0</v>
      </c>
      <c r="BR190" s="10">
        <f t="shared" si="128"/>
        <v>0</v>
      </c>
      <c r="BS190" s="10">
        <f t="shared" si="128"/>
        <v>0</v>
      </c>
      <c r="BT190" s="10">
        <f t="shared" si="128"/>
        <v>0</v>
      </c>
      <c r="BU190" s="10">
        <f t="shared" si="128"/>
        <v>0</v>
      </c>
      <c r="BV190" s="10">
        <f t="shared" si="128"/>
        <v>0</v>
      </c>
      <c r="BX190" s="12">
        <f t="shared" ref="BX190:CA194" si="129">V190</f>
        <v>0</v>
      </c>
      <c r="BY190" s="12">
        <f t="shared" si="129"/>
        <v>0</v>
      </c>
      <c r="BZ190" s="12">
        <f t="shared" si="129"/>
        <v>0</v>
      </c>
      <c r="CA190" s="12">
        <f t="shared" si="129"/>
        <v>0</v>
      </c>
      <c r="CB190" s="10">
        <f t="shared" ref="CB190:CI190" si="130">CA194</f>
        <v>0</v>
      </c>
      <c r="CC190" s="10">
        <f t="shared" si="130"/>
        <v>0</v>
      </c>
      <c r="CD190" s="10">
        <f t="shared" si="130"/>
        <v>0</v>
      </c>
      <c r="CE190" s="10">
        <f t="shared" si="130"/>
        <v>0</v>
      </c>
      <c r="CF190" s="10">
        <f t="shared" si="130"/>
        <v>0</v>
      </c>
      <c r="CG190" s="10">
        <f t="shared" si="130"/>
        <v>0</v>
      </c>
      <c r="CH190" s="10">
        <f t="shared" si="130"/>
        <v>0</v>
      </c>
      <c r="CI190" s="10">
        <f t="shared" si="130"/>
        <v>0</v>
      </c>
      <c r="CK190" s="11"/>
      <c r="CM190" s="11"/>
      <c r="CY190" s="7" cm="1">
        <f t="array" ref="CY190">SUMPRODUCT(--NOT(ISNUMBER(V190:CI190)),--NOT(ISBLANK(V190:CI190)))</f>
        <v>0</v>
      </c>
      <c r="DF190" s="11"/>
      <c r="DG190">
        <f t="shared" si="127"/>
        <v>0</v>
      </c>
      <c r="DH190">
        <v>1</v>
      </c>
      <c r="DI190">
        <v>0</v>
      </c>
      <c r="EY190" s="12" t="str">
        <f>IF(C190="", "", CONCATENATE(D189, " ",D190))</f>
        <v>Loan 8 Opening Loan Balance</v>
      </c>
    </row>
    <row r="191" spans="1:155" s="5" customFormat="1" x14ac:dyDescent="0.35">
      <c r="A191" s="220" cm="1">
        <f t="array" aca="1" ref="A191" ca="1">HYPERLINK(CONCATENATE("#",CELL("address",IF(MAX($CM191:$DF191)=0,A191,INDEX($CM191:$DF191,MATCH(1,$CM191:$DF191,0))))),MAX($CM191:$DF191))</f>
        <v>0</v>
      </c>
      <c r="B191"/>
      <c r="C191" s="211" t="s">
        <v>1139</v>
      </c>
      <c r="D191" t="s">
        <v>1076</v>
      </c>
      <c r="E191" s="1"/>
      <c r="F191" s="1"/>
      <c r="G191"/>
      <c r="H191" s="9" t="s">
        <v>1074</v>
      </c>
      <c r="I191" s="40" t="s">
        <v>665</v>
      </c>
      <c r="J191"/>
      <c r="K191"/>
      <c r="L191"/>
      <c r="M191"/>
      <c r="N191"/>
      <c r="O191"/>
      <c r="P191"/>
      <c r="Q191"/>
      <c r="R191"/>
      <c r="S191"/>
      <c r="T191"/>
      <c r="U191"/>
      <c r="V191" s="109"/>
      <c r="W191" s="133">
        <f t="shared" ref="W191:Y193" si="131" xml:space="preserve"> SUMIFS($AA191:$BV191, $AA$3:$BV$3, W$3)</f>
        <v>0</v>
      </c>
      <c r="X191" s="133">
        <f t="shared" si="131"/>
        <v>0</v>
      </c>
      <c r="Y191" s="133">
        <f t="shared" si="131"/>
        <v>0</v>
      </c>
      <c r="Z191"/>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c r="BX191" s="12">
        <f t="shared" si="129"/>
        <v>0</v>
      </c>
      <c r="BY191" s="12">
        <f t="shared" si="129"/>
        <v>0</v>
      </c>
      <c r="BZ191" s="12">
        <f t="shared" si="129"/>
        <v>0</v>
      </c>
      <c r="CA191" s="12">
        <f t="shared" si="129"/>
        <v>0</v>
      </c>
      <c r="CB191" s="133">
        <f xml:space="preserve"> SUMIFS($AA191:$BV191, $AA$3:$BV$3, CB$3)</f>
        <v>0</v>
      </c>
      <c r="CC191" s="109"/>
      <c r="CD191" s="109"/>
      <c r="CE191" s="109"/>
      <c r="CF191" s="109"/>
      <c r="CG191" s="109"/>
      <c r="CH191" s="109"/>
      <c r="CI191" s="109"/>
      <c r="CJ191"/>
      <c r="CK191" s="11"/>
      <c r="CL191" s="241">
        <f>IF(MIN($V191:$CI191)&lt;0, 1, 0)</f>
        <v>0</v>
      </c>
      <c r="CM191" s="11"/>
      <c r="CN191"/>
      <c r="CO191"/>
      <c r="CP191"/>
      <c r="CQ191"/>
      <c r="CR191"/>
      <c r="CS191"/>
      <c r="CT191"/>
      <c r="CU191"/>
      <c r="CV191"/>
      <c r="CW191"/>
      <c r="CX191"/>
      <c r="CY191" s="7" cm="1">
        <f t="array" ref="CY191">SUMPRODUCT(--NOT(ISNUMBER(V191:CI191)),--NOT(ISBLANK(V191:CI191)))</f>
        <v>0</v>
      </c>
      <c r="CZ191" s="7">
        <f t="shared" ref="CZ191:DB193" si="132">IF(ROUND(W191-SUMIFS($AA191:$BV191, $AA$3:$BV$3, W$3), rounding)=0, 0, 1)</f>
        <v>0</v>
      </c>
      <c r="DA191" s="7">
        <f t="shared" si="132"/>
        <v>0</v>
      </c>
      <c r="DB191" s="7">
        <f t="shared" si="132"/>
        <v>0</v>
      </c>
      <c r="DC191" s="7">
        <f>IF(ROUND(CB191-SUMIFS($AA191:$BV191, $AA$3:$BV$3, CB$3), rounding)=0, 0, 1)</f>
        <v>0</v>
      </c>
      <c r="DD191" s="7">
        <f>IF(ROUND(V191-BX191, rounding)=0, 0, 1)*'BS Forecasts'!$V$10</f>
        <v>0</v>
      </c>
      <c r="DE191"/>
      <c r="DF191" s="11"/>
      <c r="DG191">
        <f t="shared" si="127"/>
        <v>0</v>
      </c>
      <c r="DH191">
        <v>1</v>
      </c>
      <c r="DI191">
        <v>1</v>
      </c>
      <c r="EY191" s="12" t="str">
        <f>IF(C191="", "", CONCATENATE(D189, " ",D191))</f>
        <v>Loan 8 Drawdowns</v>
      </c>
    </row>
    <row r="192" spans="1:155" x14ac:dyDescent="0.35">
      <c r="A192" s="220" cm="1">
        <f t="array" aca="1" ref="A192" ca="1">HYPERLINK(CONCATENATE("#",CELL("address",IF(MAX($CM192:$DF192)=0,A192,INDEX($CM192:$DF192,MATCH(1,$CM192:$DF192,0))))),MAX($CM192:$DF192))</f>
        <v>0</v>
      </c>
      <c r="C192" s="211" t="s">
        <v>1140</v>
      </c>
      <c r="D192" t="s">
        <v>1078</v>
      </c>
      <c r="H192" s="9" t="s">
        <v>1074</v>
      </c>
      <c r="I192" s="40" t="s">
        <v>1079</v>
      </c>
      <c r="V192" s="109"/>
      <c r="W192" s="133">
        <f t="shared" si="131"/>
        <v>0</v>
      </c>
      <c r="X192" s="133">
        <f t="shared" si="131"/>
        <v>0</v>
      </c>
      <c r="Y192" s="133">
        <f t="shared" si="131"/>
        <v>0</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X192" s="12">
        <f t="shared" si="129"/>
        <v>0</v>
      </c>
      <c r="BY192" s="12">
        <f t="shared" si="129"/>
        <v>0</v>
      </c>
      <c r="BZ192" s="12">
        <f t="shared" si="129"/>
        <v>0</v>
      </c>
      <c r="CA192" s="12">
        <f t="shared" si="129"/>
        <v>0</v>
      </c>
      <c r="CB192" s="133">
        <f xml:space="preserve"> SUMIFS($AA192:$BV192, $AA$3:$BV$3, CB$3)</f>
        <v>0</v>
      </c>
      <c r="CC192" s="109"/>
      <c r="CD192" s="109"/>
      <c r="CE192" s="109"/>
      <c r="CF192" s="109"/>
      <c r="CG192" s="109"/>
      <c r="CH192" s="109"/>
      <c r="CI192" s="109"/>
      <c r="CK192" s="11"/>
      <c r="CL192" s="241">
        <f>IF(MAX($V192:$CI192)&gt;0, 1, 0)</f>
        <v>0</v>
      </c>
      <c r="CM192" s="11"/>
      <c r="CY192" s="7" cm="1">
        <f t="array" ref="CY192">SUMPRODUCT(--NOT(ISNUMBER(V192:CI192)),--NOT(ISBLANK(V192:CI192)))</f>
        <v>0</v>
      </c>
      <c r="CZ192" s="7">
        <f t="shared" si="132"/>
        <v>0</v>
      </c>
      <c r="DA192" s="7">
        <f t="shared" si="132"/>
        <v>0</v>
      </c>
      <c r="DB192" s="7">
        <f t="shared" si="132"/>
        <v>0</v>
      </c>
      <c r="DC192" s="7">
        <f>IF(ROUND(CB192-SUMIFS($AA192:$BV192, $AA$3:$BV$3, CB$3), rounding)=0, 0, 1)</f>
        <v>0</v>
      </c>
      <c r="DD192" s="7">
        <f>IF(ROUND(V192-BX192, rounding)=0, 0, 1)*'BS Forecasts'!$V$10</f>
        <v>0</v>
      </c>
      <c r="DF192" s="11"/>
      <c r="DG192">
        <f t="shared" si="127"/>
        <v>0</v>
      </c>
      <c r="DH192">
        <v>1</v>
      </c>
      <c r="DI192">
        <v>1</v>
      </c>
      <c r="EY192" s="12" t="str">
        <f>IF(C192="", "", CONCATENATE(D189, " ",D192))</f>
        <v>Loan 8 Loan Capital Repayment (as per loan agreement)</v>
      </c>
    </row>
    <row r="193" spans="1:155" x14ac:dyDescent="0.35">
      <c r="A193" s="220" cm="1">
        <f t="array" aca="1" ref="A193" ca="1">HYPERLINK(CONCATENATE("#",CELL("address",IF(MAX($CM193:$DF193)=0,A193,INDEX($CM193:$DF193,MATCH(1,$CM193:$DF193,0))))),MAX($CM193:$DF193))</f>
        <v>0</v>
      </c>
      <c r="C193" s="211" t="s">
        <v>1141</v>
      </c>
      <c r="D193" t="s">
        <v>1081</v>
      </c>
      <c r="H193" s="9" t="s">
        <v>1074</v>
      </c>
      <c r="I193" s="40" t="s">
        <v>1079</v>
      </c>
      <c r="V193" s="109"/>
      <c r="W193" s="133">
        <f t="shared" si="131"/>
        <v>0</v>
      </c>
      <c r="X193" s="133">
        <f t="shared" si="131"/>
        <v>0</v>
      </c>
      <c r="Y193" s="133">
        <f t="shared" si="131"/>
        <v>0</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X193" s="12">
        <f t="shared" si="129"/>
        <v>0</v>
      </c>
      <c r="BY193" s="12">
        <f t="shared" si="129"/>
        <v>0</v>
      </c>
      <c r="BZ193" s="12">
        <f t="shared" si="129"/>
        <v>0</v>
      </c>
      <c r="CA193" s="12">
        <f t="shared" si="129"/>
        <v>0</v>
      </c>
      <c r="CB193" s="133">
        <f xml:space="preserve"> SUMIFS($AA193:$BV193, $AA$3:$BV$3, CB$3)</f>
        <v>0</v>
      </c>
      <c r="CC193" s="109"/>
      <c r="CD193" s="109"/>
      <c r="CE193" s="109"/>
      <c r="CF193" s="109"/>
      <c r="CG193" s="109"/>
      <c r="CH193" s="109"/>
      <c r="CI193" s="109"/>
      <c r="CK193" s="11"/>
      <c r="CL193" s="241">
        <f>IF(MAX($V193:$CI193)&gt;0, 1, 0)</f>
        <v>0</v>
      </c>
      <c r="CM193" s="11"/>
      <c r="CY193" s="7" cm="1">
        <f t="array" ref="CY193">SUMPRODUCT(--NOT(ISNUMBER(V193:CI193)),--NOT(ISBLANK(V193:CI193)))</f>
        <v>0</v>
      </c>
      <c r="CZ193" s="7">
        <f t="shared" si="132"/>
        <v>0</v>
      </c>
      <c r="DA193" s="7">
        <f t="shared" si="132"/>
        <v>0</v>
      </c>
      <c r="DB193" s="7">
        <f t="shared" si="132"/>
        <v>0</v>
      </c>
      <c r="DC193" s="7">
        <f>IF(ROUND(CB193-SUMIFS($AA193:$BV193, $AA$3:$BV$3, CB$3), rounding)=0, 0, 1)</f>
        <v>0</v>
      </c>
      <c r="DD193" s="7">
        <f>IF(ROUND(V193-BX193, rounding)=0, 0, 1)*'BS Forecasts'!$V$10</f>
        <v>0</v>
      </c>
      <c r="DF193" s="11"/>
      <c r="DG193">
        <f t="shared" si="127"/>
        <v>0</v>
      </c>
      <c r="DH193">
        <v>1</v>
      </c>
      <c r="DI193">
        <v>1</v>
      </c>
      <c r="EY193" s="12" t="str">
        <f>IF(C193="", "", CONCATENATE(D189, " ",D193))</f>
        <v xml:space="preserve">Loan 8 Early Repayment </v>
      </c>
    </row>
    <row r="194" spans="1:155" x14ac:dyDescent="0.35">
      <c r="C194" s="211" t="s">
        <v>1142</v>
      </c>
      <c r="D194" t="s">
        <v>1083</v>
      </c>
      <c r="H194" s="9" t="s">
        <v>1074</v>
      </c>
      <c r="I194" s="40" t="s">
        <v>317</v>
      </c>
      <c r="V194" s="12">
        <f>$H$20</f>
        <v>0</v>
      </c>
      <c r="W194" s="10">
        <f>SUM(W190:W193)</f>
        <v>0</v>
      </c>
      <c r="X194" s="10">
        <f>SUM(X190:X193)</f>
        <v>0</v>
      </c>
      <c r="Y194" s="10">
        <f>SUM(Y190:Y193)</f>
        <v>0</v>
      </c>
      <c r="AA194" s="10">
        <f t="shared" ref="AA194:BV194" si="133">SUM(AA190:AA193)</f>
        <v>0</v>
      </c>
      <c r="AB194" s="10">
        <f t="shared" si="133"/>
        <v>0</v>
      </c>
      <c r="AC194" s="10">
        <f t="shared" si="133"/>
        <v>0</v>
      </c>
      <c r="AD194" s="10">
        <f t="shared" si="133"/>
        <v>0</v>
      </c>
      <c r="AE194" s="10">
        <f t="shared" si="133"/>
        <v>0</v>
      </c>
      <c r="AF194" s="10">
        <f t="shared" si="133"/>
        <v>0</v>
      </c>
      <c r="AG194" s="10">
        <f t="shared" si="133"/>
        <v>0</v>
      </c>
      <c r="AH194" s="10">
        <f t="shared" si="133"/>
        <v>0</v>
      </c>
      <c r="AI194" s="10">
        <f t="shared" si="133"/>
        <v>0</v>
      </c>
      <c r="AJ194" s="10">
        <f t="shared" si="133"/>
        <v>0</v>
      </c>
      <c r="AK194" s="10">
        <f t="shared" si="133"/>
        <v>0</v>
      </c>
      <c r="AL194" s="10">
        <f t="shared" si="133"/>
        <v>0</v>
      </c>
      <c r="AM194" s="10">
        <f t="shared" si="133"/>
        <v>0</v>
      </c>
      <c r="AN194" s="10">
        <f t="shared" si="133"/>
        <v>0</v>
      </c>
      <c r="AO194" s="10">
        <f t="shared" si="133"/>
        <v>0</v>
      </c>
      <c r="AP194" s="10">
        <f t="shared" si="133"/>
        <v>0</v>
      </c>
      <c r="AQ194" s="10">
        <f t="shared" si="133"/>
        <v>0</v>
      </c>
      <c r="AR194" s="10">
        <f t="shared" si="133"/>
        <v>0</v>
      </c>
      <c r="AS194" s="10">
        <f t="shared" si="133"/>
        <v>0</v>
      </c>
      <c r="AT194" s="10">
        <f t="shared" si="133"/>
        <v>0</v>
      </c>
      <c r="AU194" s="10">
        <f t="shared" si="133"/>
        <v>0</v>
      </c>
      <c r="AV194" s="10">
        <f t="shared" si="133"/>
        <v>0</v>
      </c>
      <c r="AW194" s="10">
        <f t="shared" si="133"/>
        <v>0</v>
      </c>
      <c r="AX194" s="10">
        <f t="shared" si="133"/>
        <v>0</v>
      </c>
      <c r="AY194" s="10">
        <f t="shared" si="133"/>
        <v>0</v>
      </c>
      <c r="AZ194" s="10">
        <f t="shared" si="133"/>
        <v>0</v>
      </c>
      <c r="BA194" s="10">
        <f t="shared" si="133"/>
        <v>0</v>
      </c>
      <c r="BB194" s="10">
        <f t="shared" si="133"/>
        <v>0</v>
      </c>
      <c r="BC194" s="10">
        <f t="shared" si="133"/>
        <v>0</v>
      </c>
      <c r="BD194" s="10">
        <f t="shared" si="133"/>
        <v>0</v>
      </c>
      <c r="BE194" s="10">
        <f t="shared" si="133"/>
        <v>0</v>
      </c>
      <c r="BF194" s="10">
        <f t="shared" si="133"/>
        <v>0</v>
      </c>
      <c r="BG194" s="10">
        <f t="shared" si="133"/>
        <v>0</v>
      </c>
      <c r="BH194" s="10">
        <f t="shared" si="133"/>
        <v>0</v>
      </c>
      <c r="BI194" s="10">
        <f t="shared" si="133"/>
        <v>0</v>
      </c>
      <c r="BJ194" s="10">
        <f t="shared" si="133"/>
        <v>0</v>
      </c>
      <c r="BK194" s="10">
        <f t="shared" si="133"/>
        <v>0</v>
      </c>
      <c r="BL194" s="10">
        <f t="shared" si="133"/>
        <v>0</v>
      </c>
      <c r="BM194" s="10">
        <f t="shared" si="133"/>
        <v>0</v>
      </c>
      <c r="BN194" s="10">
        <f t="shared" si="133"/>
        <v>0</v>
      </c>
      <c r="BO194" s="10">
        <f t="shared" si="133"/>
        <v>0</v>
      </c>
      <c r="BP194" s="10">
        <f t="shared" si="133"/>
        <v>0</v>
      </c>
      <c r="BQ194" s="10">
        <f t="shared" si="133"/>
        <v>0</v>
      </c>
      <c r="BR194" s="10">
        <f t="shared" si="133"/>
        <v>0</v>
      </c>
      <c r="BS194" s="10">
        <f t="shared" si="133"/>
        <v>0</v>
      </c>
      <c r="BT194" s="10">
        <f t="shared" si="133"/>
        <v>0</v>
      </c>
      <c r="BU194" s="10">
        <f t="shared" si="133"/>
        <v>0</v>
      </c>
      <c r="BV194" s="10">
        <f t="shared" si="133"/>
        <v>0</v>
      </c>
      <c r="BX194" s="12">
        <f t="shared" si="129"/>
        <v>0</v>
      </c>
      <c r="BY194" s="12">
        <f t="shared" si="129"/>
        <v>0</v>
      </c>
      <c r="BZ194" s="12">
        <f t="shared" si="129"/>
        <v>0</v>
      </c>
      <c r="CA194" s="12">
        <f t="shared" si="129"/>
        <v>0</v>
      </c>
      <c r="CB194" s="10">
        <f t="shared" ref="CB194:CI194" si="134">SUM(CB190:CB193)</f>
        <v>0</v>
      </c>
      <c r="CC194" s="10">
        <f t="shared" si="134"/>
        <v>0</v>
      </c>
      <c r="CD194" s="10">
        <f t="shared" si="134"/>
        <v>0</v>
      </c>
      <c r="CE194" s="10">
        <f t="shared" si="134"/>
        <v>0</v>
      </c>
      <c r="CF194" s="10">
        <f t="shared" si="134"/>
        <v>0</v>
      </c>
      <c r="CG194" s="10">
        <f t="shared" si="134"/>
        <v>0</v>
      </c>
      <c r="CH194" s="10">
        <f t="shared" si="134"/>
        <v>0</v>
      </c>
      <c r="CI194" s="10">
        <f t="shared" si="134"/>
        <v>0</v>
      </c>
      <c r="CK194" s="11"/>
      <c r="CM194" s="11"/>
      <c r="DF194" s="11"/>
      <c r="DG194">
        <f t="shared" si="127"/>
        <v>0</v>
      </c>
      <c r="DH194">
        <v>0</v>
      </c>
      <c r="DI194">
        <v>0</v>
      </c>
      <c r="EY194" s="12" t="str">
        <f>IF(C194="", "", CONCATENATE(D189, " ",D194))</f>
        <v>Loan 8 Closing Loan Balance</v>
      </c>
    </row>
    <row r="195" spans="1:155" ht="6.75" customHeight="1" x14ac:dyDescent="0.35">
      <c r="C195" s="211"/>
      <c r="D195" s="1"/>
      <c r="E195"/>
      <c r="F195"/>
      <c r="BY195" s="6"/>
      <c r="CK195" s="35"/>
      <c r="CM195" s="35"/>
      <c r="DF195" s="35"/>
      <c r="DG195">
        <f t="shared" si="127"/>
        <v>0</v>
      </c>
      <c r="DH195">
        <v>0</v>
      </c>
      <c r="DI195">
        <v>0</v>
      </c>
      <c r="EY195" s="12" t="str">
        <f>IF(C195="", "", CONCATENATE(D189, " ",D195))</f>
        <v/>
      </c>
    </row>
    <row r="196" spans="1:155" x14ac:dyDescent="0.35">
      <c r="A196" s="220" cm="1">
        <f t="array" aca="1" ref="A196" ca="1">HYPERLINK(CONCATENATE("#",CELL("address",IF(MAX($CM196:$DF196)=0,A196,INDEX($CM196:$DF196,MATCH(1,$CM196:$DF196,0))))),MAX($CM196:$DF196))</f>
        <v>0</v>
      </c>
      <c r="C196" s="211"/>
      <c r="D196" t="s">
        <v>1084</v>
      </c>
      <c r="E196" s="118" t="s">
        <v>1085</v>
      </c>
      <c r="F196" s="118"/>
      <c r="G196" s="10">
        <f>$G$20</f>
        <v>0</v>
      </c>
      <c r="V196" s="7">
        <f>IF(OR(V194&gt;$G196, V194&lt;0), 1, 0)</f>
        <v>0</v>
      </c>
      <c r="W196" s="7">
        <f>IF(OR(W194&gt;$G196, W194&lt;0), 1, 0)</f>
        <v>0</v>
      </c>
      <c r="X196" s="7">
        <f>IF(OR(X194&gt;$G196, X194&lt;0), 1, 0)</f>
        <v>0</v>
      </c>
      <c r="Y196" s="7">
        <f>IF(OR(Y194&gt;$G196, Y194&lt;0), 1, 0)</f>
        <v>0</v>
      </c>
      <c r="AA196" s="7">
        <f t="shared" ref="AA196:BV196" si="135">IF(OR(AA194&gt;$G196, AA194&lt;0), 1, 0)</f>
        <v>0</v>
      </c>
      <c r="AB196" s="7">
        <f t="shared" si="135"/>
        <v>0</v>
      </c>
      <c r="AC196" s="7">
        <f t="shared" si="135"/>
        <v>0</v>
      </c>
      <c r="AD196" s="7">
        <f t="shared" si="135"/>
        <v>0</v>
      </c>
      <c r="AE196" s="7">
        <f t="shared" si="135"/>
        <v>0</v>
      </c>
      <c r="AF196" s="7">
        <f t="shared" si="135"/>
        <v>0</v>
      </c>
      <c r="AG196" s="7">
        <f t="shared" si="135"/>
        <v>0</v>
      </c>
      <c r="AH196" s="7">
        <f t="shared" si="135"/>
        <v>0</v>
      </c>
      <c r="AI196" s="7">
        <f t="shared" si="135"/>
        <v>0</v>
      </c>
      <c r="AJ196" s="7">
        <f t="shared" si="135"/>
        <v>0</v>
      </c>
      <c r="AK196" s="7">
        <f t="shared" si="135"/>
        <v>0</v>
      </c>
      <c r="AL196" s="7">
        <f t="shared" si="135"/>
        <v>0</v>
      </c>
      <c r="AM196" s="7">
        <f t="shared" si="135"/>
        <v>0</v>
      </c>
      <c r="AN196" s="7">
        <f t="shared" si="135"/>
        <v>0</v>
      </c>
      <c r="AO196" s="7">
        <f t="shared" si="135"/>
        <v>0</v>
      </c>
      <c r="AP196" s="7">
        <f t="shared" si="135"/>
        <v>0</v>
      </c>
      <c r="AQ196" s="7">
        <f t="shared" si="135"/>
        <v>0</v>
      </c>
      <c r="AR196" s="7">
        <f t="shared" si="135"/>
        <v>0</v>
      </c>
      <c r="AS196" s="7">
        <f t="shared" si="135"/>
        <v>0</v>
      </c>
      <c r="AT196" s="7">
        <f t="shared" si="135"/>
        <v>0</v>
      </c>
      <c r="AU196" s="7">
        <f t="shared" si="135"/>
        <v>0</v>
      </c>
      <c r="AV196" s="7">
        <f t="shared" si="135"/>
        <v>0</v>
      </c>
      <c r="AW196" s="7">
        <f t="shared" si="135"/>
        <v>0</v>
      </c>
      <c r="AX196" s="7">
        <f t="shared" si="135"/>
        <v>0</v>
      </c>
      <c r="AY196" s="7">
        <f t="shared" si="135"/>
        <v>0</v>
      </c>
      <c r="AZ196" s="7">
        <f t="shared" si="135"/>
        <v>0</v>
      </c>
      <c r="BA196" s="7">
        <f t="shared" si="135"/>
        <v>0</v>
      </c>
      <c r="BB196" s="7">
        <f t="shared" si="135"/>
        <v>0</v>
      </c>
      <c r="BC196" s="7">
        <f t="shared" si="135"/>
        <v>0</v>
      </c>
      <c r="BD196" s="7">
        <f t="shared" si="135"/>
        <v>0</v>
      </c>
      <c r="BE196" s="7">
        <f t="shared" si="135"/>
        <v>0</v>
      </c>
      <c r="BF196" s="7">
        <f t="shared" si="135"/>
        <v>0</v>
      </c>
      <c r="BG196" s="7">
        <f t="shared" si="135"/>
        <v>0</v>
      </c>
      <c r="BH196" s="7">
        <f t="shared" si="135"/>
        <v>0</v>
      </c>
      <c r="BI196" s="7">
        <f t="shared" si="135"/>
        <v>0</v>
      </c>
      <c r="BJ196" s="7">
        <f t="shared" si="135"/>
        <v>0</v>
      </c>
      <c r="BK196" s="7">
        <f t="shared" si="135"/>
        <v>0</v>
      </c>
      <c r="BL196" s="7">
        <f t="shared" si="135"/>
        <v>0</v>
      </c>
      <c r="BM196" s="7">
        <f t="shared" si="135"/>
        <v>0</v>
      </c>
      <c r="BN196" s="7">
        <f t="shared" si="135"/>
        <v>0</v>
      </c>
      <c r="BO196" s="7">
        <f t="shared" si="135"/>
        <v>0</v>
      </c>
      <c r="BP196" s="7">
        <f t="shared" si="135"/>
        <v>0</v>
      </c>
      <c r="BQ196" s="7">
        <f t="shared" si="135"/>
        <v>0</v>
      </c>
      <c r="BR196" s="7">
        <f t="shared" si="135"/>
        <v>0</v>
      </c>
      <c r="BS196" s="7">
        <f t="shared" si="135"/>
        <v>0</v>
      </c>
      <c r="BT196" s="7">
        <f t="shared" si="135"/>
        <v>0</v>
      </c>
      <c r="BU196" s="7">
        <f t="shared" si="135"/>
        <v>0</v>
      </c>
      <c r="BV196" s="7">
        <f t="shared" si="135"/>
        <v>0</v>
      </c>
      <c r="BX196" s="7">
        <f t="shared" ref="BX196:CI196" si="136">IF(OR(BX194&gt;$G196, BX194&lt;0), 1, 0)</f>
        <v>0</v>
      </c>
      <c r="BY196" s="7">
        <f t="shared" si="136"/>
        <v>0</v>
      </c>
      <c r="BZ196" s="7">
        <f t="shared" si="136"/>
        <v>0</v>
      </c>
      <c r="CA196" s="7">
        <f t="shared" si="136"/>
        <v>0</v>
      </c>
      <c r="CB196" s="7">
        <f t="shared" si="136"/>
        <v>0</v>
      </c>
      <c r="CC196" s="7">
        <f t="shared" si="136"/>
        <v>0</v>
      </c>
      <c r="CD196" s="7">
        <f t="shared" si="136"/>
        <v>0</v>
      </c>
      <c r="CE196" s="7">
        <f t="shared" si="136"/>
        <v>0</v>
      </c>
      <c r="CF196" s="7">
        <f t="shared" si="136"/>
        <v>0</v>
      </c>
      <c r="CG196" s="7">
        <f t="shared" si="136"/>
        <v>0</v>
      </c>
      <c r="CH196" s="7">
        <f t="shared" si="136"/>
        <v>0</v>
      </c>
      <c r="CI196" s="7">
        <f t="shared" si="136"/>
        <v>0</v>
      </c>
      <c r="CK196" s="11"/>
      <c r="CM196" s="11"/>
      <c r="CX196" s="7">
        <f>IF(MAX(V196:CI196)&gt;0, 1, 0)</f>
        <v>0</v>
      </c>
      <c r="DF196" s="11"/>
      <c r="DG196">
        <f t="shared" si="127"/>
        <v>1</v>
      </c>
      <c r="DH196">
        <v>0</v>
      </c>
      <c r="DI196">
        <v>0</v>
      </c>
      <c r="EY196" s="12" t="str">
        <f>IF(C196="", "", CONCATENATE(D189, " ",D196))</f>
        <v/>
      </c>
    </row>
    <row r="197" spans="1:155" x14ac:dyDescent="0.35">
      <c r="A197" s="220" cm="1">
        <f t="array" aca="1" ref="A197" ca="1">HYPERLINK(CONCATENATE("#",CELL("address",IF(MAX($CM197:$DF197)=0,A197,INDEX($CM197:$DF197,MATCH(1,$CM197:$DF197,0))))),MAX($CM197:$DF197))</f>
        <v>0</v>
      </c>
      <c r="C197" s="211"/>
      <c r="D197" t="s">
        <v>1086</v>
      </c>
      <c r="E197" s="118" t="s">
        <v>1087</v>
      </c>
      <c r="F197" s="118"/>
      <c r="G197" s="117" t="str">
        <f>IF($K$20="", "", $K$20)</f>
        <v/>
      </c>
      <c r="V197" s="7">
        <f>IF(AND(V$5&gt;=$G197,SUM(V194:$Y194)&lt;&gt;0),1,0)</f>
        <v>0</v>
      </c>
      <c r="W197" s="7">
        <f>IF(AND(W$5&gt;=$G197,SUM(W194:$Y194)&lt;&gt;0),1,0)</f>
        <v>0</v>
      </c>
      <c r="X197" s="7">
        <f>IF(AND(X$5&gt;=$G197,SUM(X194:$Y194)&lt;&gt;0),1,0)</f>
        <v>0</v>
      </c>
      <c r="Y197" s="7">
        <f>IF(AND(Y$5&gt;=$G197,SUM(Y194:$Y194)&lt;&gt;0),1,0)</f>
        <v>0</v>
      </c>
      <c r="AA197" s="7">
        <f>IF(AND(AA$5&gt;=$G197,SUM(AA194:$BV194)&lt;&gt;0),1,0)</f>
        <v>0</v>
      </c>
      <c r="AB197" s="7">
        <f>IF(AND(AB$5&gt;=$G197,SUM(AB194:$BV194)&lt;&gt;0),1,0)</f>
        <v>0</v>
      </c>
      <c r="AC197" s="7">
        <f>IF(AND(AC$5&gt;=$G197,SUM(AC194:$BV194)&lt;&gt;0),1,0)</f>
        <v>0</v>
      </c>
      <c r="AD197" s="7">
        <f>IF(AND(AD$5&gt;=$G197,SUM(AD194:$BV194)&lt;&gt;0),1,0)</f>
        <v>0</v>
      </c>
      <c r="AE197" s="7">
        <f>IF(AND(AE$5&gt;=$G197,SUM(AE194:$BV194)&lt;&gt;0),1,0)</f>
        <v>0</v>
      </c>
      <c r="AF197" s="7">
        <f>IF(AND(AF$5&gt;=$G197,SUM(AF194:$BV194)&lt;&gt;0),1,0)</f>
        <v>0</v>
      </c>
      <c r="AG197" s="7">
        <f>IF(AND(AG$5&gt;=$G197,SUM(AG194:$BV194)&lt;&gt;0),1,0)</f>
        <v>0</v>
      </c>
      <c r="AH197" s="7">
        <f>IF(AND(AH$5&gt;=$G197,SUM(AH194:$BV194)&lt;&gt;0),1,0)</f>
        <v>0</v>
      </c>
      <c r="AI197" s="7">
        <f>IF(AND(AI$5&gt;=$G197,SUM(AI194:$BV194)&lt;&gt;0),1,0)</f>
        <v>0</v>
      </c>
      <c r="AJ197" s="7">
        <f>IF(AND(AJ$5&gt;=$G197,SUM(AJ194:$BV194)&lt;&gt;0),1,0)</f>
        <v>0</v>
      </c>
      <c r="AK197" s="7">
        <f>IF(AND(AK$5&gt;=$G197,SUM(AK194:$BV194)&lt;&gt;0),1,0)</f>
        <v>0</v>
      </c>
      <c r="AL197" s="7">
        <f>IF(AND(AL$5&gt;=$G197,SUM(AL194:$BV194)&lt;&gt;0),1,0)</f>
        <v>0</v>
      </c>
      <c r="AM197" s="7">
        <f>IF(AND(AM$5&gt;=$G197,SUM(AM194:$BV194)&lt;&gt;0),1,0)</f>
        <v>0</v>
      </c>
      <c r="AN197" s="7">
        <f>IF(AND(AN$5&gt;=$G197,SUM(AN194:$BV194)&lt;&gt;0),1,0)</f>
        <v>0</v>
      </c>
      <c r="AO197" s="7">
        <f>IF(AND(AO$5&gt;=$G197,SUM(AO194:$BV194)&lt;&gt;0),1,0)</f>
        <v>0</v>
      </c>
      <c r="AP197" s="7">
        <f>IF(AND(AP$5&gt;=$G197,SUM(AP194:$BV194)&lt;&gt;0),1,0)</f>
        <v>0</v>
      </c>
      <c r="AQ197" s="7">
        <f>IF(AND(AQ$5&gt;=$G197,SUM(AQ194:$BV194)&lt;&gt;0),1,0)</f>
        <v>0</v>
      </c>
      <c r="AR197" s="7">
        <f>IF(AND(AR$5&gt;=$G197,SUM(AR194:$BV194)&lt;&gt;0),1,0)</f>
        <v>0</v>
      </c>
      <c r="AS197" s="7">
        <f>IF(AND(AS$5&gt;=$G197,SUM(AS194:$BV194)&lt;&gt;0),1,0)</f>
        <v>0</v>
      </c>
      <c r="AT197" s="7">
        <f>IF(AND(AT$5&gt;=$G197,SUM(AT194:$BV194)&lt;&gt;0),1,0)</f>
        <v>0</v>
      </c>
      <c r="AU197" s="7">
        <f>IF(AND(AU$5&gt;=$G197,SUM(AU194:$BV194)&lt;&gt;0),1,0)</f>
        <v>0</v>
      </c>
      <c r="AV197" s="7">
        <f>IF(AND(AV$5&gt;=$G197,SUM(AV194:$BV194)&lt;&gt;0),1,0)</f>
        <v>0</v>
      </c>
      <c r="AW197" s="7">
        <f>IF(AND(AW$5&gt;=$G197,SUM(AW194:$BV194)&lt;&gt;0),1,0)</f>
        <v>0</v>
      </c>
      <c r="AX197" s="7">
        <f>IF(AND(AX$5&gt;=$G197,SUM(AX194:$BV194)&lt;&gt;0),1,0)</f>
        <v>0</v>
      </c>
      <c r="AY197" s="7">
        <f>IF(AND(AY$5&gt;=$G197,SUM(AY194:$BV194)&lt;&gt;0),1,0)</f>
        <v>0</v>
      </c>
      <c r="AZ197" s="7">
        <f>IF(AND(AZ$5&gt;=$G197,SUM(AZ194:$BV194)&lt;&gt;0),1,0)</f>
        <v>0</v>
      </c>
      <c r="BA197" s="7">
        <f>IF(AND(BA$5&gt;=$G197,SUM(BA194:$BV194)&lt;&gt;0),1,0)</f>
        <v>0</v>
      </c>
      <c r="BB197" s="7">
        <f>IF(AND(BB$5&gt;=$G197,SUM(BB194:$BV194)&lt;&gt;0),1,0)</f>
        <v>0</v>
      </c>
      <c r="BC197" s="7">
        <f>IF(AND(BC$5&gt;=$G197,SUM(BC194:$BV194)&lt;&gt;0),1,0)</f>
        <v>0</v>
      </c>
      <c r="BD197" s="7">
        <f>IF(AND(BD$5&gt;=$G197,SUM(BD194:$BV194)&lt;&gt;0),1,0)</f>
        <v>0</v>
      </c>
      <c r="BE197" s="7">
        <f>IF(AND(BE$5&gt;=$G197,SUM(BE194:$BV194)&lt;&gt;0),1,0)</f>
        <v>0</v>
      </c>
      <c r="BF197" s="7">
        <f>IF(AND(BF$5&gt;=$G197,SUM(BF194:$BV194)&lt;&gt;0),1,0)</f>
        <v>0</v>
      </c>
      <c r="BG197" s="7">
        <f>IF(AND(BG$5&gt;=$G197,SUM(BG194:$BV194)&lt;&gt;0),1,0)</f>
        <v>0</v>
      </c>
      <c r="BH197" s="7">
        <f>IF(AND(BH$5&gt;=$G197,SUM(BH194:$BV194)&lt;&gt;0),1,0)</f>
        <v>0</v>
      </c>
      <c r="BI197" s="7">
        <f>IF(AND(BI$5&gt;=$G197,SUM(BI194:$BV194)&lt;&gt;0),1,0)</f>
        <v>0</v>
      </c>
      <c r="BJ197" s="7">
        <f>IF(AND(BJ$5&gt;=$G197,SUM(BJ194:$BV194)&lt;&gt;0),1,0)</f>
        <v>0</v>
      </c>
      <c r="BK197" s="7">
        <f>IF(AND(BK$5&gt;=$G197,SUM(BK194:$BV194)&lt;&gt;0),1,0)</f>
        <v>0</v>
      </c>
      <c r="BL197" s="7">
        <f>IF(AND(BL$5&gt;=$G197,SUM(BL194:$BV194)&lt;&gt;0),1,0)</f>
        <v>0</v>
      </c>
      <c r="BM197" s="7">
        <f>IF(AND(BM$5&gt;=$G197,SUM(BM194:$BV194)&lt;&gt;0),1,0)</f>
        <v>0</v>
      </c>
      <c r="BN197" s="7">
        <f>IF(AND(BN$5&gt;=$G197,SUM(BN194:$BV194)&lt;&gt;0),1,0)</f>
        <v>0</v>
      </c>
      <c r="BO197" s="7">
        <f>IF(AND(BO$5&gt;=$G197,SUM(BO194:$BV194)&lt;&gt;0),1,0)</f>
        <v>0</v>
      </c>
      <c r="BP197" s="7">
        <f>IF(AND(BP$5&gt;=$G197,SUM(BP194:$BV194)&lt;&gt;0),1,0)</f>
        <v>0</v>
      </c>
      <c r="BQ197" s="7">
        <f>IF(AND(BQ$5&gt;=$G197,SUM(BQ194:$BV194)&lt;&gt;0),1,0)</f>
        <v>0</v>
      </c>
      <c r="BR197" s="7">
        <f>IF(AND(BR$5&gt;=$G197,SUM(BR194:$BV194)&lt;&gt;0),1,0)</f>
        <v>0</v>
      </c>
      <c r="BS197" s="7">
        <f>IF(AND(BS$5&gt;=$G197,SUM(BS194:$BV194)&lt;&gt;0),1,0)</f>
        <v>0</v>
      </c>
      <c r="BT197" s="7">
        <f>IF(AND(BT$5&gt;=$G197,SUM(BT194:$BV194)&lt;&gt;0),1,0)</f>
        <v>0</v>
      </c>
      <c r="BU197" s="7">
        <f>IF(AND(BU$5&gt;=$G197,SUM(BU194:$BV194)&lt;&gt;0),1,0)</f>
        <v>0</v>
      </c>
      <c r="BV197" s="7">
        <f>IF(AND(BV$5&gt;=$G197,SUM(BV194:$BV194)&lt;&gt;0),1,0)</f>
        <v>0</v>
      </c>
      <c r="BX197" s="7">
        <f>IF(AND(BX$5&gt;=$G197,SUM(BX194:$CI194)&lt;&gt;0),1,0)*BX$1159</f>
        <v>0</v>
      </c>
      <c r="BY197" s="7">
        <f>IF(AND(BY$5&gt;=$G197,SUM(BY194:$CI194)&lt;&gt;0),1,0)*BY$1159</f>
        <v>0</v>
      </c>
      <c r="BZ197" s="7">
        <f>IF(AND(BZ$5&gt;=$G197,SUM(BZ194:$CI194)&lt;&gt;0),1,0)*BZ$1159</f>
        <v>0</v>
      </c>
      <c r="CA197" s="7">
        <f>IF(AND(CA$5&gt;=$G197,SUM(CA194:$CI194)&lt;&gt;0),1,0)*CA$1159</f>
        <v>0</v>
      </c>
      <c r="CB197" s="7">
        <f>IF(AND(CB$5&gt;=$G197,SUM(CB194:$CI194)&lt;&gt;0),1,0)*CB$1159</f>
        <v>0</v>
      </c>
      <c r="CC197" s="7">
        <f>IF(AND(CC$5&gt;=$G197,SUM(CC194:$CI194)&lt;&gt;0),1,0)*CC$1159</f>
        <v>0</v>
      </c>
      <c r="CD197" s="7">
        <f>IF(AND(CD$5&gt;=$G197,SUM(CD194:$CI194)&lt;&gt;0),1,0)*CD$1159</f>
        <v>0</v>
      </c>
      <c r="CE197" s="7">
        <f>IF(AND(CE$5&gt;=$G197,SUM(CE194:$CI194)&lt;&gt;0),1,0)*CE$1159</f>
        <v>0</v>
      </c>
      <c r="CF197" s="7">
        <f>IF(AND(CF$5&gt;=$G197,SUM(CF194:$CI194)&lt;&gt;0),1,0)*CF$1159</f>
        <v>0</v>
      </c>
      <c r="CG197" s="7">
        <f>IF(AND(CG$5&gt;=$G197,SUM(CG194:$CI194)&lt;&gt;0),1,0)*CG$1159</f>
        <v>0</v>
      </c>
      <c r="CH197" s="7">
        <f>IF(AND(CH$5&gt;=$G197,SUM(CH194:$CI194)&lt;&gt;0),1,0)*CH$1159</f>
        <v>0</v>
      </c>
      <c r="CI197" s="7">
        <f>IF(AND(CI$5&gt;=$G197,SUM(CI194:$CI194)&lt;&gt;0),1,0)*CI$1159</f>
        <v>0</v>
      </c>
      <c r="CK197" s="11"/>
      <c r="CM197" s="11"/>
      <c r="CX197" s="7">
        <f>IF(MAX($V197:$CI197)&gt;0, 1, 0)</f>
        <v>0</v>
      </c>
      <c r="DF197" s="11"/>
      <c r="DG197">
        <f t="shared" si="127"/>
        <v>1</v>
      </c>
      <c r="DH197">
        <v>0</v>
      </c>
      <c r="DI197">
        <v>0</v>
      </c>
      <c r="EY197" s="12" t="str">
        <f>IF(C197="", "", CONCATENATE(D189, " ",D197))</f>
        <v/>
      </c>
    </row>
    <row r="198" spans="1:155" ht="6.75" customHeight="1" x14ac:dyDescent="0.35">
      <c r="C198" s="211"/>
      <c r="D198" s="1"/>
      <c r="E198"/>
      <c r="F198"/>
      <c r="BY198" s="6"/>
      <c r="CK198" s="35"/>
      <c r="CM198" s="35"/>
      <c r="DF198" s="35"/>
      <c r="DG198">
        <f t="shared" si="127"/>
        <v>0</v>
      </c>
      <c r="DH198">
        <v>0</v>
      </c>
      <c r="DI198">
        <v>0</v>
      </c>
      <c r="EY198" s="12" t="str">
        <f>IF(C198="", "", CONCATENATE(D189, " ",D198))</f>
        <v/>
      </c>
    </row>
    <row r="199" spans="1:155" x14ac:dyDescent="0.35">
      <c r="C199" s="211"/>
      <c r="D199" t="s">
        <v>1088</v>
      </c>
      <c r="H199" s="9" t="s">
        <v>1074</v>
      </c>
      <c r="I199" s="40" t="s">
        <v>317</v>
      </c>
      <c r="V199" s="109"/>
      <c r="W199" s="133">
        <f>V202</f>
        <v>0</v>
      </c>
      <c r="X199" s="133">
        <f>W202</f>
        <v>0</v>
      </c>
      <c r="Y199" s="10">
        <f>X202</f>
        <v>0</v>
      </c>
      <c r="AA199" s="12">
        <f>W199</f>
        <v>0</v>
      </c>
      <c r="AB199" s="10">
        <f t="shared" ref="AB199:BV199" si="137">AA202</f>
        <v>0</v>
      </c>
      <c r="AC199" s="10">
        <f t="shared" si="137"/>
        <v>0</v>
      </c>
      <c r="AD199" s="10">
        <f t="shared" si="137"/>
        <v>0</v>
      </c>
      <c r="AE199" s="10">
        <f t="shared" si="137"/>
        <v>0</v>
      </c>
      <c r="AF199" s="10">
        <f t="shared" si="137"/>
        <v>0</v>
      </c>
      <c r="AG199" s="10">
        <f t="shared" si="137"/>
        <v>0</v>
      </c>
      <c r="AH199" s="10">
        <f t="shared" si="137"/>
        <v>0</v>
      </c>
      <c r="AI199" s="10">
        <f t="shared" si="137"/>
        <v>0</v>
      </c>
      <c r="AJ199" s="10">
        <f t="shared" si="137"/>
        <v>0</v>
      </c>
      <c r="AK199" s="10">
        <f t="shared" si="137"/>
        <v>0</v>
      </c>
      <c r="AL199" s="10">
        <f t="shared" si="137"/>
        <v>0</v>
      </c>
      <c r="AM199" s="10">
        <f t="shared" si="137"/>
        <v>0</v>
      </c>
      <c r="AN199" s="10">
        <f t="shared" si="137"/>
        <v>0</v>
      </c>
      <c r="AO199" s="10">
        <f t="shared" si="137"/>
        <v>0</v>
      </c>
      <c r="AP199" s="10">
        <f t="shared" si="137"/>
        <v>0</v>
      </c>
      <c r="AQ199" s="10">
        <f t="shared" si="137"/>
        <v>0</v>
      </c>
      <c r="AR199" s="10">
        <f t="shared" si="137"/>
        <v>0</v>
      </c>
      <c r="AS199" s="10">
        <f t="shared" si="137"/>
        <v>0</v>
      </c>
      <c r="AT199" s="10">
        <f t="shared" si="137"/>
        <v>0</v>
      </c>
      <c r="AU199" s="10">
        <f t="shared" si="137"/>
        <v>0</v>
      </c>
      <c r="AV199" s="10">
        <f t="shared" si="137"/>
        <v>0</v>
      </c>
      <c r="AW199" s="10">
        <f t="shared" si="137"/>
        <v>0</v>
      </c>
      <c r="AX199" s="10">
        <f t="shared" si="137"/>
        <v>0</v>
      </c>
      <c r="AY199" s="10">
        <f t="shared" si="137"/>
        <v>0</v>
      </c>
      <c r="AZ199" s="10">
        <f t="shared" si="137"/>
        <v>0</v>
      </c>
      <c r="BA199" s="10">
        <f t="shared" si="137"/>
        <v>0</v>
      </c>
      <c r="BB199" s="10">
        <f t="shared" si="137"/>
        <v>0</v>
      </c>
      <c r="BC199" s="10">
        <f t="shared" si="137"/>
        <v>0</v>
      </c>
      <c r="BD199" s="10">
        <f t="shared" si="137"/>
        <v>0</v>
      </c>
      <c r="BE199" s="10">
        <f t="shared" si="137"/>
        <v>0</v>
      </c>
      <c r="BF199" s="10">
        <f t="shared" si="137"/>
        <v>0</v>
      </c>
      <c r="BG199" s="10">
        <f t="shared" si="137"/>
        <v>0</v>
      </c>
      <c r="BH199" s="10">
        <f t="shared" si="137"/>
        <v>0</v>
      </c>
      <c r="BI199" s="10">
        <f t="shared" si="137"/>
        <v>0</v>
      </c>
      <c r="BJ199" s="10">
        <f t="shared" si="137"/>
        <v>0</v>
      </c>
      <c r="BK199" s="10">
        <f t="shared" si="137"/>
        <v>0</v>
      </c>
      <c r="BL199" s="10">
        <f t="shared" si="137"/>
        <v>0</v>
      </c>
      <c r="BM199" s="10">
        <f t="shared" si="137"/>
        <v>0</v>
      </c>
      <c r="BN199" s="10">
        <f t="shared" si="137"/>
        <v>0</v>
      </c>
      <c r="BO199" s="10">
        <f t="shared" si="137"/>
        <v>0</v>
      </c>
      <c r="BP199" s="10">
        <f t="shared" si="137"/>
        <v>0</v>
      </c>
      <c r="BQ199" s="10">
        <f t="shared" si="137"/>
        <v>0</v>
      </c>
      <c r="BR199" s="10">
        <f t="shared" si="137"/>
        <v>0</v>
      </c>
      <c r="BS199" s="10">
        <f t="shared" si="137"/>
        <v>0</v>
      </c>
      <c r="BT199" s="10">
        <f t="shared" si="137"/>
        <v>0</v>
      </c>
      <c r="BU199" s="10">
        <f t="shared" si="137"/>
        <v>0</v>
      </c>
      <c r="BV199" s="10">
        <f t="shared" si="137"/>
        <v>0</v>
      </c>
      <c r="BX199" s="12">
        <f t="shared" ref="BX199:CA202" si="138">V199</f>
        <v>0</v>
      </c>
      <c r="BY199" s="12">
        <f t="shared" si="138"/>
        <v>0</v>
      </c>
      <c r="BZ199" s="12">
        <f t="shared" si="138"/>
        <v>0</v>
      </c>
      <c r="CA199" s="12">
        <f t="shared" si="138"/>
        <v>0</v>
      </c>
      <c r="CB199" s="10">
        <f t="shared" ref="CB199:CI199" si="139">CA202</f>
        <v>0</v>
      </c>
      <c r="CC199" s="10">
        <f t="shared" si="139"/>
        <v>0</v>
      </c>
      <c r="CD199" s="10">
        <f t="shared" si="139"/>
        <v>0</v>
      </c>
      <c r="CE199" s="10">
        <f t="shared" si="139"/>
        <v>0</v>
      </c>
      <c r="CF199" s="10">
        <f t="shared" si="139"/>
        <v>0</v>
      </c>
      <c r="CG199" s="10">
        <f t="shared" si="139"/>
        <v>0</v>
      </c>
      <c r="CH199" s="10">
        <f t="shared" si="139"/>
        <v>0</v>
      </c>
      <c r="CI199" s="10">
        <f t="shared" si="139"/>
        <v>0</v>
      </c>
      <c r="CK199" s="11"/>
      <c r="CM199" s="11"/>
      <c r="CY199" s="7" cm="1">
        <f t="array" ref="CY199">SUMPRODUCT(--NOT(ISNUMBER(V199:CI199)),--NOT(ISBLANK(V199:CI199)))</f>
        <v>0</v>
      </c>
      <c r="DF199" s="11"/>
      <c r="DG199">
        <f t="shared" si="127"/>
        <v>0</v>
      </c>
      <c r="DH199">
        <v>1</v>
      </c>
      <c r="DI199">
        <v>0</v>
      </c>
      <c r="EY199" s="12" t="str">
        <f>IF(C199="", "", CONCATENATE(D189, " ",D199))</f>
        <v/>
      </c>
    </row>
    <row r="200" spans="1:155" s="5" customFormat="1" x14ac:dyDescent="0.35">
      <c r="A200" s="220" cm="1">
        <f t="array" aca="1" ref="A200" ca="1">HYPERLINK(CONCATENATE("#",CELL("address",IF(MAX($CM200:$DF200)=0,A200,INDEX($CM200:$DF200,MATCH(1,$CM200:$DF200,0))))),MAX($CM200:$DF200))</f>
        <v>0</v>
      </c>
      <c r="B200" s="85" t="s">
        <v>122</v>
      </c>
      <c r="C200" s="211"/>
      <c r="D200" t="s">
        <v>1089</v>
      </c>
      <c r="E200" s="1"/>
      <c r="F200" s="1"/>
      <c r="G200"/>
      <c r="H200" s="9" t="s">
        <v>1074</v>
      </c>
      <c r="I200" s="40" t="s">
        <v>665</v>
      </c>
      <c r="J200"/>
      <c r="K200"/>
      <c r="L200"/>
      <c r="M200"/>
      <c r="N200"/>
      <c r="O200"/>
      <c r="P200"/>
      <c r="Q200"/>
      <c r="R200"/>
      <c r="S200"/>
      <c r="T200"/>
      <c r="U200"/>
      <c r="V200" s="109"/>
      <c r="W200" s="133">
        <f t="shared" ref="W200:Y201" si="140" xml:space="preserve"> SUMIFS($AA200:$BV200, $AA$3:$BV$3, W$3)</f>
        <v>0</v>
      </c>
      <c r="X200" s="133">
        <f t="shared" si="140"/>
        <v>0</v>
      </c>
      <c r="Y200" s="133">
        <f t="shared" si="140"/>
        <v>0</v>
      </c>
      <c r="Z200"/>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c r="BX200" s="12">
        <f t="shared" si="138"/>
        <v>0</v>
      </c>
      <c r="BY200" s="12">
        <f t="shared" si="138"/>
        <v>0</v>
      </c>
      <c r="BZ200" s="12">
        <f t="shared" si="138"/>
        <v>0</v>
      </c>
      <c r="CA200" s="12">
        <f t="shared" si="138"/>
        <v>0</v>
      </c>
      <c r="CB200" s="133">
        <f xml:space="preserve"> SUMIFS($AA200:$BV200, $AA$3:$BV$3, CB$3)</f>
        <v>0</v>
      </c>
      <c r="CC200" s="109"/>
      <c r="CD200" s="109"/>
      <c r="CE200" s="109"/>
      <c r="CF200" s="109"/>
      <c r="CG200" s="109"/>
      <c r="CH200" s="109"/>
      <c r="CI200" s="109"/>
      <c r="CJ200"/>
      <c r="CK200" s="11"/>
      <c r="CL200" s="241">
        <f>IF(MIN($V200:$CI200)&lt;0, 1, 0)</f>
        <v>0</v>
      </c>
      <c r="CM200" s="11"/>
      <c r="CN200"/>
      <c r="CO200"/>
      <c r="CP200"/>
      <c r="CQ200"/>
      <c r="CR200"/>
      <c r="CS200"/>
      <c r="CT200"/>
      <c r="CU200"/>
      <c r="CV200"/>
      <c r="CW200"/>
      <c r="CX200"/>
      <c r="CY200" s="7" cm="1">
        <f t="array" ref="CY200">SUMPRODUCT(--NOT(ISNUMBER(V200:CI200)),--NOT(ISBLANK(V200:CI200)))</f>
        <v>0</v>
      </c>
      <c r="CZ200" s="7">
        <f t="shared" ref="CZ200:DB201" si="141">IF(ROUND(W200-SUMIFS($AA200:$BV200, $AA$3:$BV$3, W$3), rounding)=0, 0, 1)</f>
        <v>0</v>
      </c>
      <c r="DA200" s="7">
        <f t="shared" si="141"/>
        <v>0</v>
      </c>
      <c r="DB200" s="7">
        <f t="shared" si="141"/>
        <v>0</v>
      </c>
      <c r="DC200" s="7">
        <f>IF(ROUND(CB200-SUMIFS($AA200:$BV200, $AA$3:$BV$3, CB$3), rounding)=0, 0, 1)</f>
        <v>0</v>
      </c>
      <c r="DD200" s="7">
        <f>IF(ROUND(V200-BX200, rounding)=0, 0, 1)*'BS Forecasts'!$V$10</f>
        <v>0</v>
      </c>
      <c r="DE200"/>
      <c r="DF200" s="11"/>
      <c r="DG200">
        <f t="shared" si="127"/>
        <v>0</v>
      </c>
      <c r="DH200">
        <v>1</v>
      </c>
      <c r="DI200">
        <v>1</v>
      </c>
      <c r="EY200" s="12" t="str">
        <f>IF(C200="", "", CONCATENATE(D189, " ",D200))</f>
        <v/>
      </c>
    </row>
    <row r="201" spans="1:155" x14ac:dyDescent="0.35">
      <c r="A201" s="220" cm="1">
        <f t="array" aca="1" ref="A201" ca="1">HYPERLINK(CONCATENATE("#",CELL("address",IF(MAX($CM201:$DF201)=0,A201,INDEX($CM201:$DF201,MATCH(1,$CM201:$DF201,0))))),MAX($CM201:$DF201))</f>
        <v>0</v>
      </c>
      <c r="B201" s="85" t="s">
        <v>122</v>
      </c>
      <c r="C201" s="211"/>
      <c r="D201" t="s">
        <v>1090</v>
      </c>
      <c r="H201" s="9" t="s">
        <v>1074</v>
      </c>
      <c r="I201" s="40" t="s">
        <v>1079</v>
      </c>
      <c r="V201" s="109"/>
      <c r="W201" s="133">
        <f t="shared" si="140"/>
        <v>0</v>
      </c>
      <c r="X201" s="133">
        <f t="shared" si="140"/>
        <v>0</v>
      </c>
      <c r="Y201" s="133">
        <f t="shared" si="140"/>
        <v>0</v>
      </c>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X201" s="12">
        <f t="shared" si="138"/>
        <v>0</v>
      </c>
      <c r="BY201" s="12">
        <f t="shared" si="138"/>
        <v>0</v>
      </c>
      <c r="BZ201" s="12">
        <f t="shared" si="138"/>
        <v>0</v>
      </c>
      <c r="CA201" s="12">
        <f t="shared" si="138"/>
        <v>0</v>
      </c>
      <c r="CB201" s="133">
        <f xml:space="preserve"> SUMIFS($AA201:$BV201, $AA$3:$BV$3, CB$3)</f>
        <v>0</v>
      </c>
      <c r="CC201" s="109"/>
      <c r="CD201" s="109"/>
      <c r="CE201" s="109"/>
      <c r="CF201" s="109"/>
      <c r="CG201" s="109"/>
      <c r="CH201" s="109"/>
      <c r="CI201" s="109"/>
      <c r="CK201" s="11"/>
      <c r="CL201" s="241">
        <f>IF(MAX($V201:$CI201)&gt;0, 1, 0)</f>
        <v>0</v>
      </c>
      <c r="CM201" s="11"/>
      <c r="CY201" s="7" cm="1">
        <f t="array" ref="CY201">SUMPRODUCT(--NOT(ISNUMBER(V201:CI201)),--NOT(ISBLANK(V201:CI201)))</f>
        <v>0</v>
      </c>
      <c r="CZ201" s="7">
        <f t="shared" si="141"/>
        <v>0</v>
      </c>
      <c r="DA201" s="7">
        <f t="shared" si="141"/>
        <v>0</v>
      </c>
      <c r="DB201" s="7">
        <f t="shared" si="141"/>
        <v>0</v>
      </c>
      <c r="DC201" s="7">
        <f>IF(ROUND(CB201-SUMIFS($AA201:$BV201, $AA$3:$BV$3, CB$3), rounding)=0, 0, 1)</f>
        <v>0</v>
      </c>
      <c r="DD201" s="7">
        <f>IF(ROUND(V201-BX201, rounding)=0, 0, 1)*'BS Forecasts'!$V$10</f>
        <v>0</v>
      </c>
      <c r="DF201" s="11"/>
      <c r="DG201">
        <f t="shared" si="127"/>
        <v>0</v>
      </c>
      <c r="DH201">
        <v>1</v>
      </c>
      <c r="DI201">
        <v>1</v>
      </c>
      <c r="EY201" s="12" t="str">
        <f>IF(C201="", "", CONCATENATE(D189, " ",D201))</f>
        <v/>
      </c>
    </row>
    <row r="202" spans="1:155" x14ac:dyDescent="0.35">
      <c r="C202" s="211"/>
      <c r="D202" t="s">
        <v>1091</v>
      </c>
      <c r="H202" s="9" t="s">
        <v>1074</v>
      </c>
      <c r="I202" s="40" t="s">
        <v>317</v>
      </c>
      <c r="V202" s="12">
        <f>$I$20</f>
        <v>0</v>
      </c>
      <c r="W202" s="10">
        <f>SUM(W199:W201)</f>
        <v>0</v>
      </c>
      <c r="X202" s="10">
        <f>SUM(X199:X201)</f>
        <v>0</v>
      </c>
      <c r="Y202" s="10">
        <f>SUM(Y199:Y201)</f>
        <v>0</v>
      </c>
      <c r="AA202" s="10">
        <f t="shared" ref="AA202:BV202" si="142">SUM(AA199:AA201)</f>
        <v>0</v>
      </c>
      <c r="AB202" s="10">
        <f t="shared" si="142"/>
        <v>0</v>
      </c>
      <c r="AC202" s="10">
        <f t="shared" si="142"/>
        <v>0</v>
      </c>
      <c r="AD202" s="10">
        <f t="shared" si="142"/>
        <v>0</v>
      </c>
      <c r="AE202" s="10">
        <f t="shared" si="142"/>
        <v>0</v>
      </c>
      <c r="AF202" s="10">
        <f t="shared" si="142"/>
        <v>0</v>
      </c>
      <c r="AG202" s="10">
        <f t="shared" si="142"/>
        <v>0</v>
      </c>
      <c r="AH202" s="10">
        <f t="shared" si="142"/>
        <v>0</v>
      </c>
      <c r="AI202" s="10">
        <f t="shared" si="142"/>
        <v>0</v>
      </c>
      <c r="AJ202" s="10">
        <f t="shared" si="142"/>
        <v>0</v>
      </c>
      <c r="AK202" s="10">
        <f t="shared" si="142"/>
        <v>0</v>
      </c>
      <c r="AL202" s="10">
        <f t="shared" si="142"/>
        <v>0</v>
      </c>
      <c r="AM202" s="10">
        <f t="shared" si="142"/>
        <v>0</v>
      </c>
      <c r="AN202" s="10">
        <f t="shared" si="142"/>
        <v>0</v>
      </c>
      <c r="AO202" s="10">
        <f t="shared" si="142"/>
        <v>0</v>
      </c>
      <c r="AP202" s="10">
        <f t="shared" si="142"/>
        <v>0</v>
      </c>
      <c r="AQ202" s="10">
        <f t="shared" si="142"/>
        <v>0</v>
      </c>
      <c r="AR202" s="10">
        <f t="shared" si="142"/>
        <v>0</v>
      </c>
      <c r="AS202" s="10">
        <f t="shared" si="142"/>
        <v>0</v>
      </c>
      <c r="AT202" s="10">
        <f t="shared" si="142"/>
        <v>0</v>
      </c>
      <c r="AU202" s="10">
        <f t="shared" si="142"/>
        <v>0</v>
      </c>
      <c r="AV202" s="10">
        <f t="shared" si="142"/>
        <v>0</v>
      </c>
      <c r="AW202" s="10">
        <f t="shared" si="142"/>
        <v>0</v>
      </c>
      <c r="AX202" s="10">
        <f t="shared" si="142"/>
        <v>0</v>
      </c>
      <c r="AY202" s="10">
        <f t="shared" si="142"/>
        <v>0</v>
      </c>
      <c r="AZ202" s="10">
        <f t="shared" si="142"/>
        <v>0</v>
      </c>
      <c r="BA202" s="10">
        <f t="shared" si="142"/>
        <v>0</v>
      </c>
      <c r="BB202" s="10">
        <f t="shared" si="142"/>
        <v>0</v>
      </c>
      <c r="BC202" s="10">
        <f t="shared" si="142"/>
        <v>0</v>
      </c>
      <c r="BD202" s="10">
        <f t="shared" si="142"/>
        <v>0</v>
      </c>
      <c r="BE202" s="10">
        <f t="shared" si="142"/>
        <v>0</v>
      </c>
      <c r="BF202" s="10">
        <f t="shared" si="142"/>
        <v>0</v>
      </c>
      <c r="BG202" s="10">
        <f t="shared" si="142"/>
        <v>0</v>
      </c>
      <c r="BH202" s="10">
        <f t="shared" si="142"/>
        <v>0</v>
      </c>
      <c r="BI202" s="10">
        <f t="shared" si="142"/>
        <v>0</v>
      </c>
      <c r="BJ202" s="10">
        <f t="shared" si="142"/>
        <v>0</v>
      </c>
      <c r="BK202" s="10">
        <f t="shared" si="142"/>
        <v>0</v>
      </c>
      <c r="BL202" s="10">
        <f t="shared" si="142"/>
        <v>0</v>
      </c>
      <c r="BM202" s="10">
        <f t="shared" si="142"/>
        <v>0</v>
      </c>
      <c r="BN202" s="10">
        <f t="shared" si="142"/>
        <v>0</v>
      </c>
      <c r="BO202" s="10">
        <f t="shared" si="142"/>
        <v>0</v>
      </c>
      <c r="BP202" s="10">
        <f t="shared" si="142"/>
        <v>0</v>
      </c>
      <c r="BQ202" s="10">
        <f t="shared" si="142"/>
        <v>0</v>
      </c>
      <c r="BR202" s="10">
        <f t="shared" si="142"/>
        <v>0</v>
      </c>
      <c r="BS202" s="10">
        <f t="shared" si="142"/>
        <v>0</v>
      </c>
      <c r="BT202" s="10">
        <f t="shared" si="142"/>
        <v>0</v>
      </c>
      <c r="BU202" s="10">
        <f t="shared" si="142"/>
        <v>0</v>
      </c>
      <c r="BV202" s="10">
        <f t="shared" si="142"/>
        <v>0</v>
      </c>
      <c r="BX202" s="12">
        <f t="shared" si="138"/>
        <v>0</v>
      </c>
      <c r="BY202" s="12">
        <f t="shared" si="138"/>
        <v>0</v>
      </c>
      <c r="BZ202" s="12">
        <f t="shared" si="138"/>
        <v>0</v>
      </c>
      <c r="CA202" s="12">
        <f t="shared" si="138"/>
        <v>0</v>
      </c>
      <c r="CB202" s="10">
        <f t="shared" ref="CB202:CI202" si="143">SUM(CB199:CB201)</f>
        <v>0</v>
      </c>
      <c r="CC202" s="10">
        <f t="shared" si="143"/>
        <v>0</v>
      </c>
      <c r="CD202" s="10">
        <f t="shared" si="143"/>
        <v>0</v>
      </c>
      <c r="CE202" s="10">
        <f t="shared" si="143"/>
        <v>0</v>
      </c>
      <c r="CF202" s="10">
        <f t="shared" si="143"/>
        <v>0</v>
      </c>
      <c r="CG202" s="10">
        <f t="shared" si="143"/>
        <v>0</v>
      </c>
      <c r="CH202" s="10">
        <f t="shared" si="143"/>
        <v>0</v>
      </c>
      <c r="CI202" s="10">
        <f t="shared" si="143"/>
        <v>0</v>
      </c>
      <c r="CK202" s="11"/>
      <c r="CM202" s="11"/>
      <c r="DF202" s="11"/>
      <c r="DG202">
        <f t="shared" si="127"/>
        <v>0</v>
      </c>
      <c r="DH202">
        <v>0</v>
      </c>
      <c r="DI202">
        <v>0</v>
      </c>
      <c r="EY202" s="12" t="str">
        <f>IF(C202="", "", CONCATENATE(D189, " ",D202))</f>
        <v/>
      </c>
    </row>
    <row r="203" spans="1:155" ht="6.75" customHeight="1" x14ac:dyDescent="0.35">
      <c r="C203" s="211"/>
      <c r="D203" s="1"/>
      <c r="E203"/>
      <c r="F203"/>
      <c r="BY203" s="6"/>
      <c r="CK203" s="35"/>
      <c r="CM203" s="35"/>
      <c r="DF203" s="35"/>
      <c r="DG203">
        <f t="shared" si="127"/>
        <v>0</v>
      </c>
      <c r="DH203">
        <v>0</v>
      </c>
      <c r="DI203">
        <v>0</v>
      </c>
      <c r="EY203" s="12" t="str">
        <f>IF(C203="", "", CONCATENATE(D189, " ",D203))</f>
        <v/>
      </c>
    </row>
    <row r="204" spans="1:155" s="5" customFormat="1" x14ac:dyDescent="0.35">
      <c r="A204" s="220" cm="1">
        <f t="array" aca="1" ref="A204" ca="1">HYPERLINK(CONCATENATE("#",CELL("address",IF(MAX($CM204:$DF204)=0,A204,INDEX($CM204:$DF204,MATCH(1,$CM204:$DF204,0))))),MAX($CM204:$DF204))</f>
        <v>0</v>
      </c>
      <c r="B204"/>
      <c r="C204" s="211" t="s">
        <v>1143</v>
      </c>
      <c r="D204" t="s">
        <v>1093</v>
      </c>
      <c r="E204" s="1"/>
      <c r="F204" s="1"/>
      <c r="G204"/>
      <c r="H204" s="9" t="s">
        <v>1074</v>
      </c>
      <c r="I204" s="40" t="s">
        <v>665</v>
      </c>
      <c r="J204"/>
      <c r="K204"/>
      <c r="L204"/>
      <c r="M204"/>
      <c r="N204"/>
      <c r="O204"/>
      <c r="P204"/>
      <c r="Q204"/>
      <c r="R204"/>
      <c r="S204"/>
      <c r="T204"/>
      <c r="U204"/>
      <c r="V204" s="109"/>
      <c r="W204" s="133">
        <f xml:space="preserve"> SUMIFS($AA204:$BV204, $AA$3:$BV$3, W$3)</f>
        <v>0</v>
      </c>
      <c r="X204" s="133">
        <f xml:space="preserve"> SUMIFS($AA204:$BV204, $AA$3:$BV$3, X$3)</f>
        <v>0</v>
      </c>
      <c r="Y204" s="133">
        <f xml:space="preserve"> SUMIFS($AA204:$BV204, $AA$3:$BV$3, Y$3)</f>
        <v>0</v>
      </c>
      <c r="Z20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c r="BX204" s="12">
        <f>V204</f>
        <v>0</v>
      </c>
      <c r="BY204" s="12">
        <f>W204</f>
        <v>0</v>
      </c>
      <c r="BZ204" s="12">
        <f>X204</f>
        <v>0</v>
      </c>
      <c r="CA204" s="12">
        <f>Y204</f>
        <v>0</v>
      </c>
      <c r="CB204" s="133">
        <f xml:space="preserve"> SUMIFS($AA204:$BV204, $AA$3:$BV$3, CB$3)</f>
        <v>0</v>
      </c>
      <c r="CC204" s="109"/>
      <c r="CD204" s="109"/>
      <c r="CE204" s="109"/>
      <c r="CF204" s="109"/>
      <c r="CG204" s="109"/>
      <c r="CH204" s="109"/>
      <c r="CI204" s="109"/>
      <c r="CJ204"/>
      <c r="CK204" s="11"/>
      <c r="CL204" s="241">
        <f>IF(MIN($V204:$CI204)&lt;0, 1, 0)</f>
        <v>0</v>
      </c>
      <c r="CM204" s="11"/>
      <c r="CN204"/>
      <c r="CO204"/>
      <c r="CP204"/>
      <c r="CQ204"/>
      <c r="CR204"/>
      <c r="CS204"/>
      <c r="CT204"/>
      <c r="CU204"/>
      <c r="CV204"/>
      <c r="CW204"/>
      <c r="CX204"/>
      <c r="CY204" s="7" cm="1">
        <f t="array" ref="CY204">SUMPRODUCT(--NOT(ISNUMBER(V204:CI204)),--NOT(ISBLANK(V204:CI204)))</f>
        <v>0</v>
      </c>
      <c r="CZ204" s="7">
        <f>IF(ROUND(W204-SUMIFS($AA204:$BV204, $AA$3:$BV$3, W$3), rounding)=0, 0, 1)</f>
        <v>0</v>
      </c>
      <c r="DA204" s="7">
        <f>IF(ROUND(X204-SUMIFS($AA204:$BV204, $AA$3:$BV$3, X$3), rounding)=0, 0, 1)</f>
        <v>0</v>
      </c>
      <c r="DB204" s="7">
        <f>IF(ROUND(Y204-SUMIFS($AA204:$BV204, $AA$3:$BV$3, Y$3), rounding)=0, 0, 1)</f>
        <v>0</v>
      </c>
      <c r="DC204" s="7">
        <f>IF(ROUND(CB204-SUMIFS($AA204:$BV204, $AA$3:$BV$3, CB$3), rounding)=0, 0, 1)</f>
        <v>0</v>
      </c>
      <c r="DD204" s="7">
        <f>IF(ROUND(V204-BX204, rounding)=0, 0, 1)*'BS Forecasts'!$V$10</f>
        <v>0</v>
      </c>
      <c r="DE204"/>
      <c r="DF204" s="11"/>
      <c r="DG204">
        <f t="shared" si="127"/>
        <v>0</v>
      </c>
      <c r="DH204">
        <v>1</v>
      </c>
      <c r="DI204">
        <v>1</v>
      </c>
      <c r="EY204" s="12" t="str">
        <f>IF(C204="", "", CONCATENATE(D189, " ",D204))</f>
        <v>Loan 8 Early Repayment Fee</v>
      </c>
    </row>
    <row r="205" spans="1:155" ht="6.75" customHeight="1" x14ac:dyDescent="0.35">
      <c r="C205" s="211"/>
      <c r="D205" s="1"/>
      <c r="E205"/>
      <c r="F205"/>
      <c r="BY205" s="6"/>
      <c r="CK205" s="35"/>
      <c r="CM205" s="35"/>
      <c r="DF205" s="35"/>
      <c r="DG205">
        <f t="shared" si="127"/>
        <v>0</v>
      </c>
      <c r="DH205">
        <v>0</v>
      </c>
      <c r="DI205">
        <v>0</v>
      </c>
      <c r="EY205" s="12" t="str">
        <f>IF(C205="", "", CONCATENATE(D189, " ",D205))</f>
        <v/>
      </c>
    </row>
    <row r="206" spans="1:155" x14ac:dyDescent="0.35">
      <c r="A206" s="220" cm="1">
        <f t="array" aca="1" ref="A206" ca="1">HYPERLINK(CONCATENATE("#",CELL("address",IF(MAX($CM206:$DF206)=0,A206,INDEX($CM206:$DF206,MATCH(1,$CM206:$DF206,0))))),MAX($CM206:$DF206))</f>
        <v>0</v>
      </c>
      <c r="B206" s="85" t="s">
        <v>122</v>
      </c>
      <c r="D206" t="s">
        <v>1094</v>
      </c>
      <c r="E206" s="140" t="str">
        <f>IF(J$20="", "", J$20)</f>
        <v/>
      </c>
      <c r="F206" s="140"/>
      <c r="G206" s="140" t="str">
        <f>IF(K$20="", "", K$20)</f>
        <v/>
      </c>
      <c r="V206" s="7">
        <f>IF(AND(OR( V$5&gt;$G206, Timeline!V$8&lt;Loans!$E206), Loans!V204&lt;&gt;0), 1, 0)</f>
        <v>0</v>
      </c>
      <c r="W206" s="7">
        <f>IF(AND(OR( W$5&gt;$G206, Timeline!W$8&lt;Loans!$E206), Loans!W204&lt;&gt;0), 1, 0)</f>
        <v>0</v>
      </c>
      <c r="X206" s="7">
        <f>IF(AND(OR( X$5&gt;$G206, Timeline!X$8&lt;Loans!$E206), Loans!X204&lt;&gt;0), 1, 0)</f>
        <v>0</v>
      </c>
      <c r="Y206" s="7">
        <f>IF(AND(OR( Y$5&gt;$G206, Timeline!Y$8&lt;Loans!$E206), Loans!Y204&lt;&gt;0), 1, 0)</f>
        <v>0</v>
      </c>
      <c r="AA206" s="7">
        <f>IF(AND(OR( AA$5&gt;$G206, Timeline!AA$8&lt;Loans!$E206), Loans!AA204&lt;&gt;0), 1, 0)</f>
        <v>0</v>
      </c>
      <c r="AB206" s="7">
        <f>IF(AND(OR( AB$5&gt;$G206, Timeline!AB$8&lt;Loans!$E206), Loans!AB204&lt;&gt;0), 1, 0)</f>
        <v>0</v>
      </c>
      <c r="AC206" s="7">
        <f>IF(AND(OR( AC$5&gt;$G206, Timeline!AC$8&lt;Loans!$E206), Loans!AC204&lt;&gt;0), 1, 0)</f>
        <v>0</v>
      </c>
      <c r="AD206" s="7">
        <f>IF(AND(OR( AD$5&gt;$G206, Timeline!AD$8&lt;Loans!$E206), Loans!AD204&lt;&gt;0), 1, 0)</f>
        <v>0</v>
      </c>
      <c r="AE206" s="7">
        <f>IF(AND(OR( AE$5&gt;$G206, Timeline!AE$8&lt;Loans!$E206), Loans!AE204&lt;&gt;0), 1, 0)</f>
        <v>0</v>
      </c>
      <c r="AF206" s="7">
        <f>IF(AND(OR( AF$5&gt;$G206, Timeline!AF$8&lt;Loans!$E206), Loans!AF204&lt;&gt;0), 1, 0)</f>
        <v>0</v>
      </c>
      <c r="AG206" s="7">
        <f>IF(AND(OR( AG$5&gt;$G206, Timeline!AG$8&lt;Loans!$E206), Loans!AG204&lt;&gt;0), 1, 0)</f>
        <v>0</v>
      </c>
      <c r="AH206" s="7">
        <f>IF(AND(OR( AH$5&gt;$G206, Timeline!AH$8&lt;Loans!$E206), Loans!AH204&lt;&gt;0), 1, 0)</f>
        <v>0</v>
      </c>
      <c r="AI206" s="7">
        <f>IF(AND(OR( AI$5&gt;$G206, Timeline!AI$8&lt;Loans!$E206), Loans!AI204&lt;&gt;0), 1, 0)</f>
        <v>0</v>
      </c>
      <c r="AJ206" s="7">
        <f>IF(AND(OR( AJ$5&gt;$G206, Timeline!AJ$8&lt;Loans!$E206), Loans!AJ204&lt;&gt;0), 1, 0)</f>
        <v>0</v>
      </c>
      <c r="AK206" s="7">
        <f>IF(AND(OR( AK$5&gt;$G206, Timeline!AK$8&lt;Loans!$E206), Loans!AK204&lt;&gt;0), 1, 0)</f>
        <v>0</v>
      </c>
      <c r="AL206" s="7">
        <f>IF(AND(OR( AL$5&gt;$G206, Timeline!AL$8&lt;Loans!$E206), Loans!AL204&lt;&gt;0), 1, 0)</f>
        <v>0</v>
      </c>
      <c r="AM206" s="7">
        <f>IF(AND(OR( AM$5&gt;$G206, Timeline!AM$8&lt;Loans!$E206), Loans!AM204&lt;&gt;0), 1, 0)</f>
        <v>0</v>
      </c>
      <c r="AN206" s="7">
        <f>IF(AND(OR( AN$5&gt;$G206, Timeline!AN$8&lt;Loans!$E206), Loans!AN204&lt;&gt;0), 1, 0)</f>
        <v>0</v>
      </c>
      <c r="AO206" s="7">
        <f>IF(AND(OR( AO$5&gt;$G206, Timeline!AO$8&lt;Loans!$E206), Loans!AO204&lt;&gt;0), 1, 0)</f>
        <v>0</v>
      </c>
      <c r="AP206" s="7">
        <f>IF(AND(OR( AP$5&gt;$G206, Timeline!AP$8&lt;Loans!$E206), Loans!AP204&lt;&gt;0), 1, 0)</f>
        <v>0</v>
      </c>
      <c r="AQ206" s="7">
        <f>IF(AND(OR( AQ$5&gt;$G206, Timeline!AQ$8&lt;Loans!$E206), Loans!AQ204&lt;&gt;0), 1, 0)</f>
        <v>0</v>
      </c>
      <c r="AR206" s="7">
        <f>IF(AND(OR( AR$5&gt;$G206, Timeline!AR$8&lt;Loans!$E206), Loans!AR204&lt;&gt;0), 1, 0)</f>
        <v>0</v>
      </c>
      <c r="AS206" s="7">
        <f>IF(AND(OR( AS$5&gt;$G206, Timeline!AS$8&lt;Loans!$E206), Loans!AS204&lt;&gt;0), 1, 0)</f>
        <v>0</v>
      </c>
      <c r="AT206" s="7">
        <f>IF(AND(OR( AT$5&gt;$G206, Timeline!AT$8&lt;Loans!$E206), Loans!AT204&lt;&gt;0), 1, 0)</f>
        <v>0</v>
      </c>
      <c r="AU206" s="7">
        <f>IF(AND(OR( AU$5&gt;$G206, Timeline!AU$8&lt;Loans!$E206), Loans!AU204&lt;&gt;0), 1, 0)</f>
        <v>0</v>
      </c>
      <c r="AV206" s="7">
        <f>IF(AND(OR( AV$5&gt;$G206, Timeline!AV$8&lt;Loans!$E206), Loans!AV204&lt;&gt;0), 1, 0)</f>
        <v>0</v>
      </c>
      <c r="AW206" s="7">
        <f>IF(AND(OR( AW$5&gt;$G206, Timeline!AW$8&lt;Loans!$E206), Loans!AW204&lt;&gt;0), 1, 0)</f>
        <v>0</v>
      </c>
      <c r="AX206" s="7">
        <f>IF(AND(OR( AX$5&gt;$G206, Timeline!AX$8&lt;Loans!$E206), Loans!AX204&lt;&gt;0), 1, 0)</f>
        <v>0</v>
      </c>
      <c r="AY206" s="7">
        <f>IF(AND(OR( AY$5&gt;$G206, Timeline!AY$8&lt;Loans!$E206), Loans!AY204&lt;&gt;0), 1, 0)</f>
        <v>0</v>
      </c>
      <c r="AZ206" s="7">
        <f>IF(AND(OR( AZ$5&gt;$G206, Timeline!AZ$8&lt;Loans!$E206), Loans!AZ204&lt;&gt;0), 1, 0)</f>
        <v>0</v>
      </c>
      <c r="BA206" s="7">
        <f>IF(AND(OR( BA$5&gt;$G206, Timeline!BA$8&lt;Loans!$E206), Loans!BA204&lt;&gt;0), 1, 0)</f>
        <v>0</v>
      </c>
      <c r="BB206" s="7">
        <f>IF(AND(OR( BB$5&gt;$G206, Timeline!BB$8&lt;Loans!$E206), Loans!BB204&lt;&gt;0), 1, 0)</f>
        <v>0</v>
      </c>
      <c r="BC206" s="7">
        <f>IF(AND(OR( BC$5&gt;$G206, Timeline!BC$8&lt;Loans!$E206), Loans!BC204&lt;&gt;0), 1, 0)</f>
        <v>0</v>
      </c>
      <c r="BD206" s="7">
        <f>IF(AND(OR( BD$5&gt;$G206, Timeline!BD$8&lt;Loans!$E206), Loans!BD204&lt;&gt;0), 1, 0)</f>
        <v>0</v>
      </c>
      <c r="BE206" s="7">
        <f>IF(AND(OR( BE$5&gt;$G206, Timeline!BE$8&lt;Loans!$E206), Loans!BE204&lt;&gt;0), 1, 0)</f>
        <v>0</v>
      </c>
      <c r="BF206" s="7">
        <f>IF(AND(OR( BF$5&gt;$G206, Timeline!BF$8&lt;Loans!$E206), Loans!BF204&lt;&gt;0), 1, 0)</f>
        <v>0</v>
      </c>
      <c r="BG206" s="7">
        <f>IF(AND(OR( BG$5&gt;$G206, Timeline!BG$8&lt;Loans!$E206), Loans!BG204&lt;&gt;0), 1, 0)</f>
        <v>0</v>
      </c>
      <c r="BH206" s="7">
        <f>IF(AND(OR( BH$5&gt;$G206, Timeline!BH$8&lt;Loans!$E206), Loans!BH204&lt;&gt;0), 1, 0)</f>
        <v>0</v>
      </c>
      <c r="BI206" s="7">
        <f>IF(AND(OR( BI$5&gt;$G206, Timeline!BI$8&lt;Loans!$E206), Loans!BI204&lt;&gt;0), 1, 0)</f>
        <v>0</v>
      </c>
      <c r="BJ206" s="7">
        <f>IF(AND(OR( BJ$5&gt;$G206, Timeline!BJ$8&lt;Loans!$E206), Loans!BJ204&lt;&gt;0), 1, 0)</f>
        <v>0</v>
      </c>
      <c r="BK206" s="7">
        <f>IF(AND(OR( BK$5&gt;$G206, Timeline!BK$8&lt;Loans!$E206), Loans!BK204&lt;&gt;0), 1, 0)</f>
        <v>0</v>
      </c>
      <c r="BL206" s="7">
        <f>IF(AND(OR( BL$5&gt;$G206, Timeline!BL$8&lt;Loans!$E206), Loans!BL204&lt;&gt;0), 1, 0)</f>
        <v>0</v>
      </c>
      <c r="BM206" s="7">
        <f>IF(AND(OR( BM$5&gt;$G206, Timeline!BM$8&lt;Loans!$E206), Loans!BM204&lt;&gt;0), 1, 0)</f>
        <v>0</v>
      </c>
      <c r="BN206" s="7">
        <f>IF(AND(OR( BN$5&gt;$G206, Timeline!BN$8&lt;Loans!$E206), Loans!BN204&lt;&gt;0), 1, 0)</f>
        <v>0</v>
      </c>
      <c r="BO206" s="7">
        <f>IF(AND(OR( BO$5&gt;$G206, Timeline!BO$8&lt;Loans!$E206), Loans!BO204&lt;&gt;0), 1, 0)</f>
        <v>0</v>
      </c>
      <c r="BP206" s="7">
        <f>IF(AND(OR( BP$5&gt;$G206, Timeline!BP$8&lt;Loans!$E206), Loans!BP204&lt;&gt;0), 1, 0)</f>
        <v>0</v>
      </c>
      <c r="BQ206" s="7">
        <f>IF(AND(OR( BQ$5&gt;$G206, Timeline!BQ$8&lt;Loans!$E206), Loans!BQ204&lt;&gt;0), 1, 0)</f>
        <v>0</v>
      </c>
      <c r="BR206" s="7">
        <f>IF(AND(OR( BR$5&gt;$G206, Timeline!BR$8&lt;Loans!$E206), Loans!BR204&lt;&gt;0), 1, 0)</f>
        <v>0</v>
      </c>
      <c r="BS206" s="7">
        <f>IF(AND(OR( BS$5&gt;$G206, Timeline!BS$8&lt;Loans!$E206), Loans!BS204&lt;&gt;0), 1, 0)</f>
        <v>0</v>
      </c>
      <c r="BT206" s="7">
        <f>IF(AND(OR( BT$5&gt;$G206, Timeline!BT$8&lt;Loans!$E206), Loans!BT204&lt;&gt;0), 1, 0)</f>
        <v>0</v>
      </c>
      <c r="BU206" s="7">
        <f>IF(AND(OR( BU$5&gt;$G206, Timeline!BU$8&lt;Loans!$E206), Loans!BU204&lt;&gt;0), 1, 0)</f>
        <v>0</v>
      </c>
      <c r="BV206" s="7">
        <f>IF(AND(OR( BV$5&gt;$G206, Timeline!BV$8&lt;Loans!$E206), Loans!BV204&lt;&gt;0), 1, 0)</f>
        <v>0</v>
      </c>
      <c r="BX206" s="7">
        <f>IF(AND(OR( BX$5&gt;$G206, Timeline!BX$8&lt;Loans!$E206), Loans!BX204&lt;&gt;0), 1, 0)</f>
        <v>0</v>
      </c>
      <c r="BY206" s="7">
        <f>IF(AND(OR( BY$5&gt;$G206, Timeline!BY$8&lt;Loans!$E206), Loans!BY204&lt;&gt;0), 1, 0)</f>
        <v>0</v>
      </c>
      <c r="BZ206" s="7">
        <f>IF(AND(OR( BZ$5&gt;$G206, Timeline!BZ$8&lt;Loans!$E206), Loans!BZ204&lt;&gt;0), 1, 0)</f>
        <v>0</v>
      </c>
      <c r="CA206" s="7">
        <f>IF(AND(OR( CA$5&gt;$G206, Timeline!CA$8&lt;Loans!$E206), Loans!CA204&lt;&gt;0), 1, 0)</f>
        <v>0</v>
      </c>
      <c r="CB206" s="7">
        <f>IF(AND(OR( CB$5&gt;$G206, Timeline!CB$8&lt;Loans!$E206), Loans!CB204&lt;&gt;0), 1, 0)</f>
        <v>0</v>
      </c>
      <c r="CC206" s="7">
        <f>IF(AND(OR( CC$5&gt;$G206, Timeline!CC$8&lt;Loans!$E206), Loans!CC204&lt;&gt;0), 1, 0)</f>
        <v>0</v>
      </c>
      <c r="CD206" s="7">
        <f>IF(AND(OR( CD$5&gt;$G206, Timeline!CD$8&lt;Loans!$E206), Loans!CD204&lt;&gt;0), 1, 0)</f>
        <v>0</v>
      </c>
      <c r="CE206" s="7">
        <f>IF(AND(OR( CE$5&gt;$G206, Timeline!CE$8&lt;Loans!$E206), Loans!CE204&lt;&gt;0), 1, 0)</f>
        <v>0</v>
      </c>
      <c r="CF206" s="7">
        <f>IF(AND(OR( CF$5&gt;$G206, Timeline!CF$8&lt;Loans!$E206), Loans!CF204&lt;&gt;0), 1, 0)</f>
        <v>0</v>
      </c>
      <c r="CG206" s="7">
        <f>IF(AND(OR( CG$5&gt;$G206, Timeline!CG$8&lt;Loans!$E206), Loans!CG204&lt;&gt;0), 1, 0)</f>
        <v>0</v>
      </c>
      <c r="CH206" s="7">
        <f>IF(AND(OR( CH$5&gt;$G206, Timeline!CH$8&lt;Loans!$E206), Loans!CH204&lt;&gt;0), 1, 0)</f>
        <v>0</v>
      </c>
      <c r="CI206" s="7">
        <f>IF(AND(OR( CI$5&gt;$G206, Timeline!CI$8&lt;Loans!$E206), Loans!CI204&lt;&gt;0), 1, 0)</f>
        <v>0</v>
      </c>
      <c r="CK206" s="11"/>
      <c r="CM206" s="11"/>
      <c r="CX206" s="7">
        <f>IF(MAX($V206:$CI206)&gt;0, 1, 0)</f>
        <v>0</v>
      </c>
      <c r="DF206" s="11"/>
      <c r="DG206">
        <f t="shared" si="127"/>
        <v>1</v>
      </c>
      <c r="DH206">
        <v>0</v>
      </c>
      <c r="DI206">
        <v>0</v>
      </c>
      <c r="EY206" s="12" t="str">
        <f>IF(C206="", "", CONCATENATE(D189, " ",D206))</f>
        <v/>
      </c>
    </row>
    <row r="207" spans="1:155" ht="6.75" customHeight="1" x14ac:dyDescent="0.35">
      <c r="C207" s="211"/>
      <c r="D207" s="1"/>
      <c r="E207"/>
      <c r="F207"/>
      <c r="BY207" s="6"/>
      <c r="CK207" s="35"/>
      <c r="CM207" s="35"/>
      <c r="DF207" s="35"/>
      <c r="DG207">
        <f t="shared" si="127"/>
        <v>0</v>
      </c>
      <c r="DH207">
        <v>0</v>
      </c>
      <c r="DI207">
        <v>0</v>
      </c>
      <c r="EY207" s="10" t="str">
        <f>IF($C207="","",$D207)</f>
        <v/>
      </c>
    </row>
    <row r="208" spans="1:155" x14ac:dyDescent="0.35">
      <c r="A208" s="53"/>
      <c r="C208" s="211"/>
      <c r="D208" s="53" t="s">
        <v>1144</v>
      </c>
      <c r="E208" s="53"/>
      <c r="F208" s="53"/>
      <c r="G208" s="53"/>
      <c r="H208" s="53"/>
      <c r="I208" s="53"/>
      <c r="J208" s="53"/>
      <c r="M208" s="53"/>
      <c r="N208" s="53"/>
      <c r="O208" s="53"/>
      <c r="P208" s="53"/>
      <c r="Q208" s="53"/>
      <c r="R208" s="53"/>
      <c r="CK208" s="11"/>
      <c r="CM208" s="11"/>
      <c r="DF208" s="11"/>
      <c r="DG208">
        <f t="shared" si="127"/>
        <v>0</v>
      </c>
      <c r="DH208">
        <v>0</v>
      </c>
      <c r="DI208">
        <v>0</v>
      </c>
      <c r="EY208" s="10" t="str">
        <f>IF($C208="","",$D208)</f>
        <v/>
      </c>
    </row>
    <row r="209" spans="1:155" x14ac:dyDescent="0.35">
      <c r="C209" s="211" t="s">
        <v>1145</v>
      </c>
      <c r="D209" t="s">
        <v>1073</v>
      </c>
      <c r="H209" s="9" t="s">
        <v>1074</v>
      </c>
      <c r="I209" s="40" t="s">
        <v>317</v>
      </c>
      <c r="V209" s="109"/>
      <c r="W209" s="133">
        <f>V213</f>
        <v>0</v>
      </c>
      <c r="X209" s="133">
        <f>W213</f>
        <v>0</v>
      </c>
      <c r="Y209" s="10">
        <f>X213</f>
        <v>0</v>
      </c>
      <c r="AA209" s="12">
        <f>W209</f>
        <v>0</v>
      </c>
      <c r="AB209" s="10">
        <f t="shared" ref="AB209:BV209" si="144">AA213</f>
        <v>0</v>
      </c>
      <c r="AC209" s="10">
        <f t="shared" si="144"/>
        <v>0</v>
      </c>
      <c r="AD209" s="10">
        <f t="shared" si="144"/>
        <v>0</v>
      </c>
      <c r="AE209" s="10">
        <f t="shared" si="144"/>
        <v>0</v>
      </c>
      <c r="AF209" s="10">
        <f t="shared" si="144"/>
        <v>0</v>
      </c>
      <c r="AG209" s="10">
        <f t="shared" si="144"/>
        <v>0</v>
      </c>
      <c r="AH209" s="10">
        <f t="shared" si="144"/>
        <v>0</v>
      </c>
      <c r="AI209" s="10">
        <f t="shared" si="144"/>
        <v>0</v>
      </c>
      <c r="AJ209" s="10">
        <f t="shared" si="144"/>
        <v>0</v>
      </c>
      <c r="AK209" s="10">
        <f t="shared" si="144"/>
        <v>0</v>
      </c>
      <c r="AL209" s="10">
        <f t="shared" si="144"/>
        <v>0</v>
      </c>
      <c r="AM209" s="10">
        <f t="shared" si="144"/>
        <v>0</v>
      </c>
      <c r="AN209" s="10">
        <f t="shared" si="144"/>
        <v>0</v>
      </c>
      <c r="AO209" s="10">
        <f t="shared" si="144"/>
        <v>0</v>
      </c>
      <c r="AP209" s="10">
        <f t="shared" si="144"/>
        <v>0</v>
      </c>
      <c r="AQ209" s="10">
        <f t="shared" si="144"/>
        <v>0</v>
      </c>
      <c r="AR209" s="10">
        <f t="shared" si="144"/>
        <v>0</v>
      </c>
      <c r="AS209" s="10">
        <f t="shared" si="144"/>
        <v>0</v>
      </c>
      <c r="AT209" s="10">
        <f t="shared" si="144"/>
        <v>0</v>
      </c>
      <c r="AU209" s="10">
        <f t="shared" si="144"/>
        <v>0</v>
      </c>
      <c r="AV209" s="10">
        <f t="shared" si="144"/>
        <v>0</v>
      </c>
      <c r="AW209" s="10">
        <f t="shared" si="144"/>
        <v>0</v>
      </c>
      <c r="AX209" s="10">
        <f t="shared" si="144"/>
        <v>0</v>
      </c>
      <c r="AY209" s="10">
        <f t="shared" si="144"/>
        <v>0</v>
      </c>
      <c r="AZ209" s="10">
        <f t="shared" si="144"/>
        <v>0</v>
      </c>
      <c r="BA209" s="10">
        <f t="shared" si="144"/>
        <v>0</v>
      </c>
      <c r="BB209" s="10">
        <f t="shared" si="144"/>
        <v>0</v>
      </c>
      <c r="BC209" s="10">
        <f t="shared" si="144"/>
        <v>0</v>
      </c>
      <c r="BD209" s="10">
        <f t="shared" si="144"/>
        <v>0</v>
      </c>
      <c r="BE209" s="10">
        <f t="shared" si="144"/>
        <v>0</v>
      </c>
      <c r="BF209" s="10">
        <f t="shared" si="144"/>
        <v>0</v>
      </c>
      <c r="BG209" s="10">
        <f t="shared" si="144"/>
        <v>0</v>
      </c>
      <c r="BH209" s="10">
        <f t="shared" si="144"/>
        <v>0</v>
      </c>
      <c r="BI209" s="10">
        <f t="shared" si="144"/>
        <v>0</v>
      </c>
      <c r="BJ209" s="10">
        <f t="shared" si="144"/>
        <v>0</v>
      </c>
      <c r="BK209" s="10">
        <f t="shared" si="144"/>
        <v>0</v>
      </c>
      <c r="BL209" s="10">
        <f t="shared" si="144"/>
        <v>0</v>
      </c>
      <c r="BM209" s="10">
        <f t="shared" si="144"/>
        <v>0</v>
      </c>
      <c r="BN209" s="10">
        <f t="shared" si="144"/>
        <v>0</v>
      </c>
      <c r="BO209" s="10">
        <f t="shared" si="144"/>
        <v>0</v>
      </c>
      <c r="BP209" s="10">
        <f t="shared" si="144"/>
        <v>0</v>
      </c>
      <c r="BQ209" s="10">
        <f t="shared" si="144"/>
        <v>0</v>
      </c>
      <c r="BR209" s="10">
        <f t="shared" si="144"/>
        <v>0</v>
      </c>
      <c r="BS209" s="10">
        <f t="shared" si="144"/>
        <v>0</v>
      </c>
      <c r="BT209" s="10">
        <f t="shared" si="144"/>
        <v>0</v>
      </c>
      <c r="BU209" s="10">
        <f t="shared" si="144"/>
        <v>0</v>
      </c>
      <c r="BV209" s="10">
        <f t="shared" si="144"/>
        <v>0</v>
      </c>
      <c r="BX209" s="12">
        <f t="shared" ref="BX209:CA213" si="145">V209</f>
        <v>0</v>
      </c>
      <c r="BY209" s="12">
        <f t="shared" si="145"/>
        <v>0</v>
      </c>
      <c r="BZ209" s="12">
        <f t="shared" si="145"/>
        <v>0</v>
      </c>
      <c r="CA209" s="12">
        <f t="shared" si="145"/>
        <v>0</v>
      </c>
      <c r="CB209" s="10">
        <f t="shared" ref="CB209:CI209" si="146">CA213</f>
        <v>0</v>
      </c>
      <c r="CC209" s="10">
        <f t="shared" si="146"/>
        <v>0</v>
      </c>
      <c r="CD209" s="10">
        <f t="shared" si="146"/>
        <v>0</v>
      </c>
      <c r="CE209" s="10">
        <f t="shared" si="146"/>
        <v>0</v>
      </c>
      <c r="CF209" s="10">
        <f t="shared" si="146"/>
        <v>0</v>
      </c>
      <c r="CG209" s="10">
        <f t="shared" si="146"/>
        <v>0</v>
      </c>
      <c r="CH209" s="10">
        <f t="shared" si="146"/>
        <v>0</v>
      </c>
      <c r="CI209" s="10">
        <f t="shared" si="146"/>
        <v>0</v>
      </c>
      <c r="CK209" s="11"/>
      <c r="CM209" s="11"/>
      <c r="CY209" s="7" cm="1">
        <f t="array" ref="CY209">SUMPRODUCT(--NOT(ISNUMBER(V209:CI209)),--NOT(ISBLANK(V209:CI209)))</f>
        <v>0</v>
      </c>
      <c r="DF209" s="11"/>
      <c r="DG209">
        <f t="shared" si="127"/>
        <v>0</v>
      </c>
      <c r="DH209">
        <v>1</v>
      </c>
      <c r="DI209">
        <v>0</v>
      </c>
      <c r="EY209" s="12" t="str">
        <f>IF(C209="", "", CONCATENATE(D208, " ",D209))</f>
        <v>Loan 9 Opening Loan Balance</v>
      </c>
    </row>
    <row r="210" spans="1:155" s="5" customFormat="1" x14ac:dyDescent="0.35">
      <c r="A210" s="220" cm="1">
        <f t="array" aca="1" ref="A210" ca="1">HYPERLINK(CONCATENATE("#",CELL("address",IF(MAX($CM210:$DF210)=0,A210,INDEX($CM210:$DF210,MATCH(1,$CM210:$DF210,0))))),MAX($CM210:$DF210))</f>
        <v>0</v>
      </c>
      <c r="B210"/>
      <c r="C210" s="211" t="s">
        <v>1146</v>
      </c>
      <c r="D210" t="s">
        <v>1076</v>
      </c>
      <c r="E210" s="1"/>
      <c r="F210" s="1"/>
      <c r="G210"/>
      <c r="H210" s="9" t="s">
        <v>1074</v>
      </c>
      <c r="I210" s="40" t="s">
        <v>665</v>
      </c>
      <c r="J210"/>
      <c r="K210"/>
      <c r="L210"/>
      <c r="M210"/>
      <c r="N210"/>
      <c r="O210"/>
      <c r="P210"/>
      <c r="Q210"/>
      <c r="R210"/>
      <c r="S210"/>
      <c r="T210"/>
      <c r="U210"/>
      <c r="V210" s="109"/>
      <c r="W210" s="133">
        <f t="shared" ref="W210:Y212" si="147" xml:space="preserve"> SUMIFS($AA210:$BV210, $AA$3:$BV$3, W$3)</f>
        <v>0</v>
      </c>
      <c r="X210" s="133">
        <f t="shared" si="147"/>
        <v>0</v>
      </c>
      <c r="Y210" s="133">
        <f t="shared" si="147"/>
        <v>0</v>
      </c>
      <c r="Z210"/>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c r="BX210" s="12">
        <f t="shared" si="145"/>
        <v>0</v>
      </c>
      <c r="BY210" s="12">
        <f t="shared" si="145"/>
        <v>0</v>
      </c>
      <c r="BZ210" s="12">
        <f t="shared" si="145"/>
        <v>0</v>
      </c>
      <c r="CA210" s="12">
        <f t="shared" si="145"/>
        <v>0</v>
      </c>
      <c r="CB210" s="133">
        <f xml:space="preserve"> SUMIFS($AA210:$BV210, $AA$3:$BV$3, CB$3)</f>
        <v>0</v>
      </c>
      <c r="CC210" s="109"/>
      <c r="CD210" s="109"/>
      <c r="CE210" s="109"/>
      <c r="CF210" s="109"/>
      <c r="CG210" s="109"/>
      <c r="CH210" s="109"/>
      <c r="CI210" s="109"/>
      <c r="CJ210"/>
      <c r="CK210" s="11"/>
      <c r="CL210" s="241">
        <f>IF(MIN($V210:$CI210)&lt;0, 1, 0)</f>
        <v>0</v>
      </c>
      <c r="CM210" s="11"/>
      <c r="CN210"/>
      <c r="CO210"/>
      <c r="CP210"/>
      <c r="CQ210"/>
      <c r="CR210"/>
      <c r="CS210"/>
      <c r="CT210"/>
      <c r="CU210"/>
      <c r="CV210"/>
      <c r="CW210"/>
      <c r="CX210"/>
      <c r="CY210" s="7" cm="1">
        <f t="array" ref="CY210">SUMPRODUCT(--NOT(ISNUMBER(V210:CI210)),--NOT(ISBLANK(V210:CI210)))</f>
        <v>0</v>
      </c>
      <c r="CZ210" s="7">
        <f t="shared" ref="CZ210:DB212" si="148">IF(ROUND(W210-SUMIFS($AA210:$BV210, $AA$3:$BV$3, W$3), rounding)=0, 0, 1)</f>
        <v>0</v>
      </c>
      <c r="DA210" s="7">
        <f t="shared" si="148"/>
        <v>0</v>
      </c>
      <c r="DB210" s="7">
        <f t="shared" si="148"/>
        <v>0</v>
      </c>
      <c r="DC210" s="7">
        <f>IF(ROUND(CB210-SUMIFS($AA210:$BV210, $AA$3:$BV$3, CB$3), rounding)=0, 0, 1)</f>
        <v>0</v>
      </c>
      <c r="DD210" s="7">
        <f>IF(ROUND(V210-BX210, rounding)=0, 0, 1)*'BS Forecasts'!$V$10</f>
        <v>0</v>
      </c>
      <c r="DE210"/>
      <c r="DF210" s="11"/>
      <c r="DG210">
        <f t="shared" si="127"/>
        <v>0</v>
      </c>
      <c r="DH210">
        <v>1</v>
      </c>
      <c r="DI210">
        <v>1</v>
      </c>
      <c r="EY210" s="12" t="str">
        <f>IF(C210="", "", CONCATENATE(D208, " ",D210))</f>
        <v>Loan 9 Drawdowns</v>
      </c>
    </row>
    <row r="211" spans="1:155" x14ac:dyDescent="0.35">
      <c r="A211" s="220" cm="1">
        <f t="array" aca="1" ref="A211" ca="1">HYPERLINK(CONCATENATE("#",CELL("address",IF(MAX($CM211:$DF211)=0,A211,INDEX($CM211:$DF211,MATCH(1,$CM211:$DF211,0))))),MAX($CM211:$DF211))</f>
        <v>0</v>
      </c>
      <c r="C211" s="211" t="s">
        <v>1147</v>
      </c>
      <c r="D211" t="s">
        <v>1078</v>
      </c>
      <c r="H211" s="9" t="s">
        <v>1074</v>
      </c>
      <c r="I211" s="40" t="s">
        <v>1079</v>
      </c>
      <c r="V211" s="109"/>
      <c r="W211" s="133">
        <f t="shared" si="147"/>
        <v>0</v>
      </c>
      <c r="X211" s="133">
        <f t="shared" si="147"/>
        <v>0</v>
      </c>
      <c r="Y211" s="133">
        <f t="shared" si="147"/>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X211" s="12">
        <f t="shared" si="145"/>
        <v>0</v>
      </c>
      <c r="BY211" s="12">
        <f t="shared" si="145"/>
        <v>0</v>
      </c>
      <c r="BZ211" s="12">
        <f t="shared" si="145"/>
        <v>0</v>
      </c>
      <c r="CA211" s="12">
        <f t="shared" si="145"/>
        <v>0</v>
      </c>
      <c r="CB211" s="133">
        <f xml:space="preserve"> SUMIFS($AA211:$BV211, $AA$3:$BV$3, CB$3)</f>
        <v>0</v>
      </c>
      <c r="CC211" s="109"/>
      <c r="CD211" s="109"/>
      <c r="CE211" s="109"/>
      <c r="CF211" s="109"/>
      <c r="CG211" s="109"/>
      <c r="CH211" s="109"/>
      <c r="CI211" s="109"/>
      <c r="CK211" s="11"/>
      <c r="CL211" s="241">
        <f>IF(MAX($V211:$CI211)&gt;0, 1, 0)</f>
        <v>0</v>
      </c>
      <c r="CM211" s="11"/>
      <c r="CY211" s="7" cm="1">
        <f t="array" ref="CY211">SUMPRODUCT(--NOT(ISNUMBER(V211:CI211)),--NOT(ISBLANK(V211:CI211)))</f>
        <v>0</v>
      </c>
      <c r="CZ211" s="7">
        <f t="shared" si="148"/>
        <v>0</v>
      </c>
      <c r="DA211" s="7">
        <f t="shared" si="148"/>
        <v>0</v>
      </c>
      <c r="DB211" s="7">
        <f t="shared" si="148"/>
        <v>0</v>
      </c>
      <c r="DC211" s="7">
        <f>IF(ROUND(CB211-SUMIFS($AA211:$BV211, $AA$3:$BV$3, CB$3), rounding)=0, 0, 1)</f>
        <v>0</v>
      </c>
      <c r="DD211" s="7">
        <f>IF(ROUND(V211-BX211, rounding)=0, 0, 1)*'BS Forecasts'!$V$10</f>
        <v>0</v>
      </c>
      <c r="DF211" s="11"/>
      <c r="DG211">
        <f t="shared" si="127"/>
        <v>0</v>
      </c>
      <c r="DH211">
        <v>1</v>
      </c>
      <c r="DI211">
        <v>1</v>
      </c>
      <c r="EY211" s="12" t="str">
        <f>IF(C211="", "", CONCATENATE(D208, " ",D211))</f>
        <v>Loan 9 Loan Capital Repayment (as per loan agreement)</v>
      </c>
    </row>
    <row r="212" spans="1:155" x14ac:dyDescent="0.35">
      <c r="A212" s="220" cm="1">
        <f t="array" aca="1" ref="A212" ca="1">HYPERLINK(CONCATENATE("#",CELL("address",IF(MAX($CM212:$DF212)=0,A212,INDEX($CM212:$DF212,MATCH(1,$CM212:$DF212,0))))),MAX($CM212:$DF212))</f>
        <v>0</v>
      </c>
      <c r="C212" s="211" t="s">
        <v>1148</v>
      </c>
      <c r="D212" t="s">
        <v>1081</v>
      </c>
      <c r="H212" s="9" t="s">
        <v>1074</v>
      </c>
      <c r="I212" s="40" t="s">
        <v>1079</v>
      </c>
      <c r="V212" s="109"/>
      <c r="W212" s="133">
        <f t="shared" si="147"/>
        <v>0</v>
      </c>
      <c r="X212" s="133">
        <f t="shared" si="147"/>
        <v>0</v>
      </c>
      <c r="Y212" s="133">
        <f t="shared" si="147"/>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X212" s="12">
        <f t="shared" si="145"/>
        <v>0</v>
      </c>
      <c r="BY212" s="12">
        <f t="shared" si="145"/>
        <v>0</v>
      </c>
      <c r="BZ212" s="12">
        <f t="shared" si="145"/>
        <v>0</v>
      </c>
      <c r="CA212" s="12">
        <f t="shared" si="145"/>
        <v>0</v>
      </c>
      <c r="CB212" s="133">
        <f xml:space="preserve"> SUMIFS($AA212:$BV212, $AA$3:$BV$3, CB$3)</f>
        <v>0</v>
      </c>
      <c r="CC212" s="109"/>
      <c r="CD212" s="109"/>
      <c r="CE212" s="109"/>
      <c r="CF212" s="109"/>
      <c r="CG212" s="109"/>
      <c r="CH212" s="109"/>
      <c r="CI212" s="109"/>
      <c r="CK212" s="11"/>
      <c r="CL212" s="241">
        <f>IF(MAX($V212:$CI212)&gt;0, 1, 0)</f>
        <v>0</v>
      </c>
      <c r="CM212" s="11"/>
      <c r="CY212" s="7" cm="1">
        <f t="array" ref="CY212">SUMPRODUCT(--NOT(ISNUMBER(V212:CI212)),--NOT(ISBLANK(V212:CI212)))</f>
        <v>0</v>
      </c>
      <c r="CZ212" s="7">
        <f t="shared" si="148"/>
        <v>0</v>
      </c>
      <c r="DA212" s="7">
        <f t="shared" si="148"/>
        <v>0</v>
      </c>
      <c r="DB212" s="7">
        <f t="shared" si="148"/>
        <v>0</v>
      </c>
      <c r="DC212" s="7">
        <f>IF(ROUND(CB212-SUMIFS($AA212:$BV212, $AA$3:$BV$3, CB$3), rounding)=0, 0, 1)</f>
        <v>0</v>
      </c>
      <c r="DD212" s="7">
        <f>IF(ROUND(V212-BX212, rounding)=0, 0, 1)*'BS Forecasts'!$V$10</f>
        <v>0</v>
      </c>
      <c r="DF212" s="11"/>
      <c r="DG212">
        <f t="shared" si="127"/>
        <v>0</v>
      </c>
      <c r="DH212">
        <v>1</v>
      </c>
      <c r="DI212">
        <v>1</v>
      </c>
      <c r="EY212" s="12" t="str">
        <f>IF(C212="", "", CONCATENATE(D208, " ",D212))</f>
        <v xml:space="preserve">Loan 9 Early Repayment </v>
      </c>
    </row>
    <row r="213" spans="1:155" x14ac:dyDescent="0.35">
      <c r="C213" s="211" t="s">
        <v>1149</v>
      </c>
      <c r="D213" t="s">
        <v>1083</v>
      </c>
      <c r="H213" s="9" t="s">
        <v>1074</v>
      </c>
      <c r="I213" s="40" t="s">
        <v>317</v>
      </c>
      <c r="V213" s="12">
        <f>$H$21</f>
        <v>0</v>
      </c>
      <c r="W213" s="10">
        <f>SUM(W209:W212)</f>
        <v>0</v>
      </c>
      <c r="X213" s="10">
        <f>SUM(X209:X212)</f>
        <v>0</v>
      </c>
      <c r="Y213" s="10">
        <f>SUM(Y209:Y212)</f>
        <v>0</v>
      </c>
      <c r="AA213" s="10">
        <f t="shared" ref="AA213:BV213" si="149">SUM(AA209:AA212)</f>
        <v>0</v>
      </c>
      <c r="AB213" s="10">
        <f t="shared" si="149"/>
        <v>0</v>
      </c>
      <c r="AC213" s="10">
        <f t="shared" si="149"/>
        <v>0</v>
      </c>
      <c r="AD213" s="10">
        <f t="shared" si="149"/>
        <v>0</v>
      </c>
      <c r="AE213" s="10">
        <f t="shared" si="149"/>
        <v>0</v>
      </c>
      <c r="AF213" s="10">
        <f t="shared" si="149"/>
        <v>0</v>
      </c>
      <c r="AG213" s="10">
        <f t="shared" si="149"/>
        <v>0</v>
      </c>
      <c r="AH213" s="10">
        <f t="shared" si="149"/>
        <v>0</v>
      </c>
      <c r="AI213" s="10">
        <f t="shared" si="149"/>
        <v>0</v>
      </c>
      <c r="AJ213" s="10">
        <f t="shared" si="149"/>
        <v>0</v>
      </c>
      <c r="AK213" s="10">
        <f t="shared" si="149"/>
        <v>0</v>
      </c>
      <c r="AL213" s="10">
        <f t="shared" si="149"/>
        <v>0</v>
      </c>
      <c r="AM213" s="10">
        <f t="shared" si="149"/>
        <v>0</v>
      </c>
      <c r="AN213" s="10">
        <f t="shared" si="149"/>
        <v>0</v>
      </c>
      <c r="AO213" s="10">
        <f t="shared" si="149"/>
        <v>0</v>
      </c>
      <c r="AP213" s="10">
        <f t="shared" si="149"/>
        <v>0</v>
      </c>
      <c r="AQ213" s="10">
        <f t="shared" si="149"/>
        <v>0</v>
      </c>
      <c r="AR213" s="10">
        <f t="shared" si="149"/>
        <v>0</v>
      </c>
      <c r="AS213" s="10">
        <f t="shared" si="149"/>
        <v>0</v>
      </c>
      <c r="AT213" s="10">
        <f t="shared" si="149"/>
        <v>0</v>
      </c>
      <c r="AU213" s="10">
        <f t="shared" si="149"/>
        <v>0</v>
      </c>
      <c r="AV213" s="10">
        <f t="shared" si="149"/>
        <v>0</v>
      </c>
      <c r="AW213" s="10">
        <f t="shared" si="149"/>
        <v>0</v>
      </c>
      <c r="AX213" s="10">
        <f t="shared" si="149"/>
        <v>0</v>
      </c>
      <c r="AY213" s="10">
        <f t="shared" si="149"/>
        <v>0</v>
      </c>
      <c r="AZ213" s="10">
        <f t="shared" si="149"/>
        <v>0</v>
      </c>
      <c r="BA213" s="10">
        <f t="shared" si="149"/>
        <v>0</v>
      </c>
      <c r="BB213" s="10">
        <f t="shared" si="149"/>
        <v>0</v>
      </c>
      <c r="BC213" s="10">
        <f t="shared" si="149"/>
        <v>0</v>
      </c>
      <c r="BD213" s="10">
        <f t="shared" si="149"/>
        <v>0</v>
      </c>
      <c r="BE213" s="10">
        <f t="shared" si="149"/>
        <v>0</v>
      </c>
      <c r="BF213" s="10">
        <f t="shared" si="149"/>
        <v>0</v>
      </c>
      <c r="BG213" s="10">
        <f t="shared" si="149"/>
        <v>0</v>
      </c>
      <c r="BH213" s="10">
        <f t="shared" si="149"/>
        <v>0</v>
      </c>
      <c r="BI213" s="10">
        <f t="shared" si="149"/>
        <v>0</v>
      </c>
      <c r="BJ213" s="10">
        <f t="shared" si="149"/>
        <v>0</v>
      </c>
      <c r="BK213" s="10">
        <f t="shared" si="149"/>
        <v>0</v>
      </c>
      <c r="BL213" s="10">
        <f t="shared" si="149"/>
        <v>0</v>
      </c>
      <c r="BM213" s="10">
        <f t="shared" si="149"/>
        <v>0</v>
      </c>
      <c r="BN213" s="10">
        <f t="shared" si="149"/>
        <v>0</v>
      </c>
      <c r="BO213" s="10">
        <f t="shared" si="149"/>
        <v>0</v>
      </c>
      <c r="BP213" s="10">
        <f t="shared" si="149"/>
        <v>0</v>
      </c>
      <c r="BQ213" s="10">
        <f t="shared" si="149"/>
        <v>0</v>
      </c>
      <c r="BR213" s="10">
        <f t="shared" si="149"/>
        <v>0</v>
      </c>
      <c r="BS213" s="10">
        <f t="shared" si="149"/>
        <v>0</v>
      </c>
      <c r="BT213" s="10">
        <f t="shared" si="149"/>
        <v>0</v>
      </c>
      <c r="BU213" s="10">
        <f t="shared" si="149"/>
        <v>0</v>
      </c>
      <c r="BV213" s="10">
        <f t="shared" si="149"/>
        <v>0</v>
      </c>
      <c r="BX213" s="12">
        <f t="shared" si="145"/>
        <v>0</v>
      </c>
      <c r="BY213" s="12">
        <f t="shared" si="145"/>
        <v>0</v>
      </c>
      <c r="BZ213" s="12">
        <f t="shared" si="145"/>
        <v>0</v>
      </c>
      <c r="CA213" s="12">
        <f t="shared" si="145"/>
        <v>0</v>
      </c>
      <c r="CB213" s="10">
        <f t="shared" ref="CB213:CI213" si="150">SUM(CB209:CB212)</f>
        <v>0</v>
      </c>
      <c r="CC213" s="10">
        <f t="shared" si="150"/>
        <v>0</v>
      </c>
      <c r="CD213" s="10">
        <f t="shared" si="150"/>
        <v>0</v>
      </c>
      <c r="CE213" s="10">
        <f t="shared" si="150"/>
        <v>0</v>
      </c>
      <c r="CF213" s="10">
        <f t="shared" si="150"/>
        <v>0</v>
      </c>
      <c r="CG213" s="10">
        <f t="shared" si="150"/>
        <v>0</v>
      </c>
      <c r="CH213" s="10">
        <f t="shared" si="150"/>
        <v>0</v>
      </c>
      <c r="CI213" s="10">
        <f t="shared" si="150"/>
        <v>0</v>
      </c>
      <c r="CK213" s="11"/>
      <c r="CM213" s="11"/>
      <c r="DF213" s="11"/>
      <c r="DG213">
        <f t="shared" si="127"/>
        <v>0</v>
      </c>
      <c r="DH213">
        <v>0</v>
      </c>
      <c r="DI213">
        <v>0</v>
      </c>
      <c r="EY213" s="12" t="str">
        <f>IF(C213="", "", CONCATENATE(D208, " ",D213))</f>
        <v>Loan 9 Closing Loan Balance</v>
      </c>
    </row>
    <row r="214" spans="1:155" ht="6.75" customHeight="1" x14ac:dyDescent="0.35">
      <c r="C214" s="211"/>
      <c r="D214" s="1"/>
      <c r="E214"/>
      <c r="F214"/>
      <c r="BY214" s="6"/>
      <c r="CK214" s="35"/>
      <c r="CM214" s="35"/>
      <c r="DF214" s="35"/>
      <c r="DG214">
        <f t="shared" si="127"/>
        <v>0</v>
      </c>
      <c r="DH214">
        <v>0</v>
      </c>
      <c r="DI214">
        <v>0</v>
      </c>
      <c r="EY214" s="12" t="str">
        <f>IF(C214="", "", CONCATENATE(D208, " ",D214))</f>
        <v/>
      </c>
    </row>
    <row r="215" spans="1:155" x14ac:dyDescent="0.35">
      <c r="A215" s="220" cm="1">
        <f t="array" aca="1" ref="A215" ca="1">HYPERLINK(CONCATENATE("#",CELL("address",IF(MAX($CM215:$DF215)=0,A215,INDEX($CM215:$DF215,MATCH(1,$CM215:$DF215,0))))),MAX($CM215:$DF215))</f>
        <v>0</v>
      </c>
      <c r="C215" s="211"/>
      <c r="D215" t="s">
        <v>1084</v>
      </c>
      <c r="E215" s="118" t="s">
        <v>1085</v>
      </c>
      <c r="F215" s="118"/>
      <c r="G215" s="10">
        <f>$G$21</f>
        <v>0</v>
      </c>
      <c r="V215" s="7">
        <f>IF(OR(V213&gt;$G215, V213&lt;0), 1, 0)</f>
        <v>0</v>
      </c>
      <c r="W215" s="7">
        <f>IF(OR(W213&gt;$G215, W213&lt;0), 1, 0)</f>
        <v>0</v>
      </c>
      <c r="X215" s="7">
        <f>IF(OR(X213&gt;$G215, X213&lt;0), 1, 0)</f>
        <v>0</v>
      </c>
      <c r="Y215" s="7">
        <f>IF(OR(Y213&gt;$G215, Y213&lt;0), 1, 0)</f>
        <v>0</v>
      </c>
      <c r="AA215" s="7">
        <f t="shared" ref="AA215:BV215" si="151">IF(OR(AA213&gt;$G215, AA213&lt;0), 1, 0)</f>
        <v>0</v>
      </c>
      <c r="AB215" s="7">
        <f t="shared" si="151"/>
        <v>0</v>
      </c>
      <c r="AC215" s="7">
        <f t="shared" si="151"/>
        <v>0</v>
      </c>
      <c r="AD215" s="7">
        <f t="shared" si="151"/>
        <v>0</v>
      </c>
      <c r="AE215" s="7">
        <f t="shared" si="151"/>
        <v>0</v>
      </c>
      <c r="AF215" s="7">
        <f t="shared" si="151"/>
        <v>0</v>
      </c>
      <c r="AG215" s="7">
        <f t="shared" si="151"/>
        <v>0</v>
      </c>
      <c r="AH215" s="7">
        <f t="shared" si="151"/>
        <v>0</v>
      </c>
      <c r="AI215" s="7">
        <f t="shared" si="151"/>
        <v>0</v>
      </c>
      <c r="AJ215" s="7">
        <f t="shared" si="151"/>
        <v>0</v>
      </c>
      <c r="AK215" s="7">
        <f t="shared" si="151"/>
        <v>0</v>
      </c>
      <c r="AL215" s="7">
        <f t="shared" si="151"/>
        <v>0</v>
      </c>
      <c r="AM215" s="7">
        <f t="shared" si="151"/>
        <v>0</v>
      </c>
      <c r="AN215" s="7">
        <f t="shared" si="151"/>
        <v>0</v>
      </c>
      <c r="AO215" s="7">
        <f t="shared" si="151"/>
        <v>0</v>
      </c>
      <c r="AP215" s="7">
        <f t="shared" si="151"/>
        <v>0</v>
      </c>
      <c r="AQ215" s="7">
        <f t="shared" si="151"/>
        <v>0</v>
      </c>
      <c r="AR215" s="7">
        <f t="shared" si="151"/>
        <v>0</v>
      </c>
      <c r="AS215" s="7">
        <f t="shared" si="151"/>
        <v>0</v>
      </c>
      <c r="AT215" s="7">
        <f t="shared" si="151"/>
        <v>0</v>
      </c>
      <c r="AU215" s="7">
        <f t="shared" si="151"/>
        <v>0</v>
      </c>
      <c r="AV215" s="7">
        <f t="shared" si="151"/>
        <v>0</v>
      </c>
      <c r="AW215" s="7">
        <f t="shared" si="151"/>
        <v>0</v>
      </c>
      <c r="AX215" s="7">
        <f t="shared" si="151"/>
        <v>0</v>
      </c>
      <c r="AY215" s="7">
        <f t="shared" si="151"/>
        <v>0</v>
      </c>
      <c r="AZ215" s="7">
        <f t="shared" si="151"/>
        <v>0</v>
      </c>
      <c r="BA215" s="7">
        <f t="shared" si="151"/>
        <v>0</v>
      </c>
      <c r="BB215" s="7">
        <f t="shared" si="151"/>
        <v>0</v>
      </c>
      <c r="BC215" s="7">
        <f t="shared" si="151"/>
        <v>0</v>
      </c>
      <c r="BD215" s="7">
        <f t="shared" si="151"/>
        <v>0</v>
      </c>
      <c r="BE215" s="7">
        <f t="shared" si="151"/>
        <v>0</v>
      </c>
      <c r="BF215" s="7">
        <f t="shared" si="151"/>
        <v>0</v>
      </c>
      <c r="BG215" s="7">
        <f t="shared" si="151"/>
        <v>0</v>
      </c>
      <c r="BH215" s="7">
        <f t="shared" si="151"/>
        <v>0</v>
      </c>
      <c r="BI215" s="7">
        <f t="shared" si="151"/>
        <v>0</v>
      </c>
      <c r="BJ215" s="7">
        <f t="shared" si="151"/>
        <v>0</v>
      </c>
      <c r="BK215" s="7">
        <f t="shared" si="151"/>
        <v>0</v>
      </c>
      <c r="BL215" s="7">
        <f t="shared" si="151"/>
        <v>0</v>
      </c>
      <c r="BM215" s="7">
        <f t="shared" si="151"/>
        <v>0</v>
      </c>
      <c r="BN215" s="7">
        <f t="shared" si="151"/>
        <v>0</v>
      </c>
      <c r="BO215" s="7">
        <f t="shared" si="151"/>
        <v>0</v>
      </c>
      <c r="BP215" s="7">
        <f t="shared" si="151"/>
        <v>0</v>
      </c>
      <c r="BQ215" s="7">
        <f t="shared" si="151"/>
        <v>0</v>
      </c>
      <c r="BR215" s="7">
        <f t="shared" si="151"/>
        <v>0</v>
      </c>
      <c r="BS215" s="7">
        <f t="shared" si="151"/>
        <v>0</v>
      </c>
      <c r="BT215" s="7">
        <f t="shared" si="151"/>
        <v>0</v>
      </c>
      <c r="BU215" s="7">
        <f t="shared" si="151"/>
        <v>0</v>
      </c>
      <c r="BV215" s="7">
        <f t="shared" si="151"/>
        <v>0</v>
      </c>
      <c r="BX215" s="7">
        <f t="shared" ref="BX215:CI215" si="152">IF(OR(BX213&gt;$G215, BX213&lt;0), 1, 0)</f>
        <v>0</v>
      </c>
      <c r="BY215" s="7">
        <f t="shared" si="152"/>
        <v>0</v>
      </c>
      <c r="BZ215" s="7">
        <f t="shared" si="152"/>
        <v>0</v>
      </c>
      <c r="CA215" s="7">
        <f t="shared" si="152"/>
        <v>0</v>
      </c>
      <c r="CB215" s="7">
        <f t="shared" si="152"/>
        <v>0</v>
      </c>
      <c r="CC215" s="7">
        <f t="shared" si="152"/>
        <v>0</v>
      </c>
      <c r="CD215" s="7">
        <f t="shared" si="152"/>
        <v>0</v>
      </c>
      <c r="CE215" s="7">
        <f t="shared" si="152"/>
        <v>0</v>
      </c>
      <c r="CF215" s="7">
        <f t="shared" si="152"/>
        <v>0</v>
      </c>
      <c r="CG215" s="7">
        <f t="shared" si="152"/>
        <v>0</v>
      </c>
      <c r="CH215" s="7">
        <f t="shared" si="152"/>
        <v>0</v>
      </c>
      <c r="CI215" s="7">
        <f t="shared" si="152"/>
        <v>0</v>
      </c>
      <c r="CK215" s="11"/>
      <c r="CM215" s="11"/>
      <c r="CX215" s="7">
        <f>IF(MAX(V215:CI215)&gt;0, 1, 0)</f>
        <v>0</v>
      </c>
      <c r="DF215" s="11"/>
      <c r="DG215">
        <f t="shared" si="127"/>
        <v>1</v>
      </c>
      <c r="DH215">
        <v>0</v>
      </c>
      <c r="DI215">
        <v>0</v>
      </c>
      <c r="EY215" s="12" t="str">
        <f>IF(C215="", "", CONCATENATE(D208, " ",D215))</f>
        <v/>
      </c>
    </row>
    <row r="216" spans="1:155" x14ac:dyDescent="0.35">
      <c r="A216" s="220" cm="1">
        <f t="array" aca="1" ref="A216" ca="1">HYPERLINK(CONCATENATE("#",CELL("address",IF(MAX($CM216:$DF216)=0,A216,INDEX($CM216:$DF216,MATCH(1,$CM216:$DF216,0))))),MAX($CM216:$DF216))</f>
        <v>0</v>
      </c>
      <c r="C216" s="211"/>
      <c r="D216" t="s">
        <v>1086</v>
      </c>
      <c r="E216" s="118" t="s">
        <v>1087</v>
      </c>
      <c r="F216" s="118"/>
      <c r="G216" s="117" t="str">
        <f>IF($K$21="", "", $K$21)</f>
        <v/>
      </c>
      <c r="V216" s="7">
        <f>IF(AND(V$5&gt;=$G216,SUM(V213:$Y213)&lt;&gt;0),1,0)</f>
        <v>0</v>
      </c>
      <c r="W216" s="7">
        <f>IF(AND(W$5&gt;=$G216,SUM(W213:$Y213)&lt;&gt;0),1,0)</f>
        <v>0</v>
      </c>
      <c r="X216" s="7">
        <f>IF(AND(X$5&gt;=$G216,SUM(X213:$Y213)&lt;&gt;0),1,0)</f>
        <v>0</v>
      </c>
      <c r="Y216" s="7">
        <f>IF(AND(Y$5&gt;=$G216,SUM(Y213:$Y213)&lt;&gt;0),1,0)</f>
        <v>0</v>
      </c>
      <c r="AA216" s="7">
        <f>IF(AND(AA$5&gt;=$G216,SUM(AA213:$BV213)&lt;&gt;0),1,0)</f>
        <v>0</v>
      </c>
      <c r="AB216" s="7">
        <f>IF(AND(AB$5&gt;=$G216,SUM(AB213:$BV213)&lt;&gt;0),1,0)</f>
        <v>0</v>
      </c>
      <c r="AC216" s="7">
        <f>IF(AND(AC$5&gt;=$G216,SUM(AC213:$BV213)&lt;&gt;0),1,0)</f>
        <v>0</v>
      </c>
      <c r="AD216" s="7">
        <f>IF(AND(AD$5&gt;=$G216,SUM(AD213:$BV213)&lt;&gt;0),1,0)</f>
        <v>0</v>
      </c>
      <c r="AE216" s="7">
        <f>IF(AND(AE$5&gt;=$G216,SUM(AE213:$BV213)&lt;&gt;0),1,0)</f>
        <v>0</v>
      </c>
      <c r="AF216" s="7">
        <f>IF(AND(AF$5&gt;=$G216,SUM(AF213:$BV213)&lt;&gt;0),1,0)</f>
        <v>0</v>
      </c>
      <c r="AG216" s="7">
        <f>IF(AND(AG$5&gt;=$G216,SUM(AG213:$BV213)&lt;&gt;0),1,0)</f>
        <v>0</v>
      </c>
      <c r="AH216" s="7">
        <f>IF(AND(AH$5&gt;=$G216,SUM(AH213:$BV213)&lt;&gt;0),1,0)</f>
        <v>0</v>
      </c>
      <c r="AI216" s="7">
        <f>IF(AND(AI$5&gt;=$G216,SUM(AI213:$BV213)&lt;&gt;0),1,0)</f>
        <v>0</v>
      </c>
      <c r="AJ216" s="7">
        <f>IF(AND(AJ$5&gt;=$G216,SUM(AJ213:$BV213)&lt;&gt;0),1,0)</f>
        <v>0</v>
      </c>
      <c r="AK216" s="7">
        <f>IF(AND(AK$5&gt;=$G216,SUM(AK213:$BV213)&lt;&gt;0),1,0)</f>
        <v>0</v>
      </c>
      <c r="AL216" s="7">
        <f>IF(AND(AL$5&gt;=$G216,SUM(AL213:$BV213)&lt;&gt;0),1,0)</f>
        <v>0</v>
      </c>
      <c r="AM216" s="7">
        <f>IF(AND(AM$5&gt;=$G216,SUM(AM213:$BV213)&lt;&gt;0),1,0)</f>
        <v>0</v>
      </c>
      <c r="AN216" s="7">
        <f>IF(AND(AN$5&gt;=$G216,SUM(AN213:$BV213)&lt;&gt;0),1,0)</f>
        <v>0</v>
      </c>
      <c r="AO216" s="7">
        <f>IF(AND(AO$5&gt;=$G216,SUM(AO213:$BV213)&lt;&gt;0),1,0)</f>
        <v>0</v>
      </c>
      <c r="AP216" s="7">
        <f>IF(AND(AP$5&gt;=$G216,SUM(AP213:$BV213)&lt;&gt;0),1,0)</f>
        <v>0</v>
      </c>
      <c r="AQ216" s="7">
        <f>IF(AND(AQ$5&gt;=$G216,SUM(AQ213:$BV213)&lt;&gt;0),1,0)</f>
        <v>0</v>
      </c>
      <c r="AR216" s="7">
        <f>IF(AND(AR$5&gt;=$G216,SUM(AR213:$BV213)&lt;&gt;0),1,0)</f>
        <v>0</v>
      </c>
      <c r="AS216" s="7">
        <f>IF(AND(AS$5&gt;=$G216,SUM(AS213:$BV213)&lt;&gt;0),1,0)</f>
        <v>0</v>
      </c>
      <c r="AT216" s="7">
        <f>IF(AND(AT$5&gt;=$G216,SUM(AT213:$BV213)&lt;&gt;0),1,0)</f>
        <v>0</v>
      </c>
      <c r="AU216" s="7">
        <f>IF(AND(AU$5&gt;=$G216,SUM(AU213:$BV213)&lt;&gt;0),1,0)</f>
        <v>0</v>
      </c>
      <c r="AV216" s="7">
        <f>IF(AND(AV$5&gt;=$G216,SUM(AV213:$BV213)&lt;&gt;0),1,0)</f>
        <v>0</v>
      </c>
      <c r="AW216" s="7">
        <f>IF(AND(AW$5&gt;=$G216,SUM(AW213:$BV213)&lt;&gt;0),1,0)</f>
        <v>0</v>
      </c>
      <c r="AX216" s="7">
        <f>IF(AND(AX$5&gt;=$G216,SUM(AX213:$BV213)&lt;&gt;0),1,0)</f>
        <v>0</v>
      </c>
      <c r="AY216" s="7">
        <f>IF(AND(AY$5&gt;=$G216,SUM(AY213:$BV213)&lt;&gt;0),1,0)</f>
        <v>0</v>
      </c>
      <c r="AZ216" s="7">
        <f>IF(AND(AZ$5&gt;=$G216,SUM(AZ213:$BV213)&lt;&gt;0),1,0)</f>
        <v>0</v>
      </c>
      <c r="BA216" s="7">
        <f>IF(AND(BA$5&gt;=$G216,SUM(BA213:$BV213)&lt;&gt;0),1,0)</f>
        <v>0</v>
      </c>
      <c r="BB216" s="7">
        <f>IF(AND(BB$5&gt;=$G216,SUM(BB213:$BV213)&lt;&gt;0),1,0)</f>
        <v>0</v>
      </c>
      <c r="BC216" s="7">
        <f>IF(AND(BC$5&gt;=$G216,SUM(BC213:$BV213)&lt;&gt;0),1,0)</f>
        <v>0</v>
      </c>
      <c r="BD216" s="7">
        <f>IF(AND(BD$5&gt;=$G216,SUM(BD213:$BV213)&lt;&gt;0),1,0)</f>
        <v>0</v>
      </c>
      <c r="BE216" s="7">
        <f>IF(AND(BE$5&gt;=$G216,SUM(BE213:$BV213)&lt;&gt;0),1,0)</f>
        <v>0</v>
      </c>
      <c r="BF216" s="7">
        <f>IF(AND(BF$5&gt;=$G216,SUM(BF213:$BV213)&lt;&gt;0),1,0)</f>
        <v>0</v>
      </c>
      <c r="BG216" s="7">
        <f>IF(AND(BG$5&gt;=$G216,SUM(BG213:$BV213)&lt;&gt;0),1,0)</f>
        <v>0</v>
      </c>
      <c r="BH216" s="7">
        <f>IF(AND(BH$5&gt;=$G216,SUM(BH213:$BV213)&lt;&gt;0),1,0)</f>
        <v>0</v>
      </c>
      <c r="BI216" s="7">
        <f>IF(AND(BI$5&gt;=$G216,SUM(BI213:$BV213)&lt;&gt;0),1,0)</f>
        <v>0</v>
      </c>
      <c r="BJ216" s="7">
        <f>IF(AND(BJ$5&gt;=$G216,SUM(BJ213:$BV213)&lt;&gt;0),1,0)</f>
        <v>0</v>
      </c>
      <c r="BK216" s="7">
        <f>IF(AND(BK$5&gt;=$G216,SUM(BK213:$BV213)&lt;&gt;0),1,0)</f>
        <v>0</v>
      </c>
      <c r="BL216" s="7">
        <f>IF(AND(BL$5&gt;=$G216,SUM(BL213:$BV213)&lt;&gt;0),1,0)</f>
        <v>0</v>
      </c>
      <c r="BM216" s="7">
        <f>IF(AND(BM$5&gt;=$G216,SUM(BM213:$BV213)&lt;&gt;0),1,0)</f>
        <v>0</v>
      </c>
      <c r="BN216" s="7">
        <f>IF(AND(BN$5&gt;=$G216,SUM(BN213:$BV213)&lt;&gt;0),1,0)</f>
        <v>0</v>
      </c>
      <c r="BO216" s="7">
        <f>IF(AND(BO$5&gt;=$G216,SUM(BO213:$BV213)&lt;&gt;0),1,0)</f>
        <v>0</v>
      </c>
      <c r="BP216" s="7">
        <f>IF(AND(BP$5&gt;=$G216,SUM(BP213:$BV213)&lt;&gt;0),1,0)</f>
        <v>0</v>
      </c>
      <c r="BQ216" s="7">
        <f>IF(AND(BQ$5&gt;=$G216,SUM(BQ213:$BV213)&lt;&gt;0),1,0)</f>
        <v>0</v>
      </c>
      <c r="BR216" s="7">
        <f>IF(AND(BR$5&gt;=$G216,SUM(BR213:$BV213)&lt;&gt;0),1,0)</f>
        <v>0</v>
      </c>
      <c r="BS216" s="7">
        <f>IF(AND(BS$5&gt;=$G216,SUM(BS213:$BV213)&lt;&gt;0),1,0)</f>
        <v>0</v>
      </c>
      <c r="BT216" s="7">
        <f>IF(AND(BT$5&gt;=$G216,SUM(BT213:$BV213)&lt;&gt;0),1,0)</f>
        <v>0</v>
      </c>
      <c r="BU216" s="7">
        <f>IF(AND(BU$5&gt;=$G216,SUM(BU213:$BV213)&lt;&gt;0),1,0)</f>
        <v>0</v>
      </c>
      <c r="BV216" s="7">
        <f>IF(AND(BV$5&gt;=$G216,SUM(BV213:$BV213)&lt;&gt;0),1,0)</f>
        <v>0</v>
      </c>
      <c r="BX216" s="7">
        <f>IF(AND(BX$5&gt;=$G216,SUM(BX213:$CI213)&lt;&gt;0),1,0)*BX$1159</f>
        <v>0</v>
      </c>
      <c r="BY216" s="7">
        <f>IF(AND(BY$5&gt;=$G216,SUM(BY213:$CI213)&lt;&gt;0),1,0)*BY$1159</f>
        <v>0</v>
      </c>
      <c r="BZ216" s="7">
        <f>IF(AND(BZ$5&gt;=$G216,SUM(BZ213:$CI213)&lt;&gt;0),1,0)*BZ$1159</f>
        <v>0</v>
      </c>
      <c r="CA216" s="7">
        <f>IF(AND(CA$5&gt;=$G216,SUM(CA213:$CI213)&lt;&gt;0),1,0)*CA$1159</f>
        <v>0</v>
      </c>
      <c r="CB216" s="7">
        <f>IF(AND(CB$5&gt;=$G216,SUM(CB213:$CI213)&lt;&gt;0),1,0)*CB$1159</f>
        <v>0</v>
      </c>
      <c r="CC216" s="7">
        <f>IF(AND(CC$5&gt;=$G216,SUM(CC213:$CI213)&lt;&gt;0),1,0)*CC$1159</f>
        <v>0</v>
      </c>
      <c r="CD216" s="7">
        <f>IF(AND(CD$5&gt;=$G216,SUM(CD213:$CI213)&lt;&gt;0),1,0)*CD$1159</f>
        <v>0</v>
      </c>
      <c r="CE216" s="7">
        <f>IF(AND(CE$5&gt;=$G216,SUM(CE213:$CI213)&lt;&gt;0),1,0)*CE$1159</f>
        <v>0</v>
      </c>
      <c r="CF216" s="7">
        <f>IF(AND(CF$5&gt;=$G216,SUM(CF213:$CI213)&lt;&gt;0),1,0)*CF$1159</f>
        <v>0</v>
      </c>
      <c r="CG216" s="7">
        <f>IF(AND(CG$5&gt;=$G216,SUM(CG213:$CI213)&lt;&gt;0),1,0)*CG$1159</f>
        <v>0</v>
      </c>
      <c r="CH216" s="7">
        <f>IF(AND(CH$5&gt;=$G216,SUM(CH213:$CI213)&lt;&gt;0),1,0)*CH$1159</f>
        <v>0</v>
      </c>
      <c r="CI216" s="7">
        <f>IF(AND(CI$5&gt;=$G216,SUM(CI213:$CI213)&lt;&gt;0),1,0)*CI$1159</f>
        <v>0</v>
      </c>
      <c r="CK216" s="11"/>
      <c r="CM216" s="11"/>
      <c r="CX216" s="7">
        <f>IF(MAX($V216:$CI216)&gt;0, 1, 0)</f>
        <v>0</v>
      </c>
      <c r="DF216" s="11"/>
      <c r="DG216">
        <f t="shared" si="127"/>
        <v>1</v>
      </c>
      <c r="DH216">
        <v>0</v>
      </c>
      <c r="DI216">
        <v>0</v>
      </c>
      <c r="EY216" s="12" t="str">
        <f>IF(C216="", "", CONCATENATE(D208, " ",D216))</f>
        <v/>
      </c>
    </row>
    <row r="217" spans="1:155" ht="6.75" customHeight="1" x14ac:dyDescent="0.35">
      <c r="C217" s="211"/>
      <c r="D217" s="1"/>
      <c r="E217"/>
      <c r="F217"/>
      <c r="BY217" s="6"/>
      <c r="CK217" s="35"/>
      <c r="CM217" s="35"/>
      <c r="DF217" s="35"/>
      <c r="DG217">
        <f t="shared" si="127"/>
        <v>0</v>
      </c>
      <c r="DH217">
        <v>0</v>
      </c>
      <c r="DI217">
        <v>0</v>
      </c>
      <c r="EY217" s="12" t="str">
        <f>IF(C217="", "", CONCATENATE(D208, " ",D217))</f>
        <v/>
      </c>
    </row>
    <row r="218" spans="1:155" x14ac:dyDescent="0.35">
      <c r="C218" s="211"/>
      <c r="D218" t="s">
        <v>1088</v>
      </c>
      <c r="H218" s="9" t="s">
        <v>1074</v>
      </c>
      <c r="I218" s="40" t="s">
        <v>317</v>
      </c>
      <c r="V218" s="109"/>
      <c r="W218" s="133">
        <f>V221</f>
        <v>0</v>
      </c>
      <c r="X218" s="133">
        <f>W221</f>
        <v>0</v>
      </c>
      <c r="Y218" s="10">
        <f>X221</f>
        <v>0</v>
      </c>
      <c r="AA218" s="12">
        <f>W218</f>
        <v>0</v>
      </c>
      <c r="AB218" s="10">
        <f t="shared" ref="AB218:BV218" si="153">AA221</f>
        <v>0</v>
      </c>
      <c r="AC218" s="10">
        <f t="shared" si="153"/>
        <v>0</v>
      </c>
      <c r="AD218" s="10">
        <f t="shared" si="153"/>
        <v>0</v>
      </c>
      <c r="AE218" s="10">
        <f t="shared" si="153"/>
        <v>0</v>
      </c>
      <c r="AF218" s="10">
        <f t="shared" si="153"/>
        <v>0</v>
      </c>
      <c r="AG218" s="10">
        <f t="shared" si="153"/>
        <v>0</v>
      </c>
      <c r="AH218" s="10">
        <f t="shared" si="153"/>
        <v>0</v>
      </c>
      <c r="AI218" s="10">
        <f t="shared" si="153"/>
        <v>0</v>
      </c>
      <c r="AJ218" s="10">
        <f t="shared" si="153"/>
        <v>0</v>
      </c>
      <c r="AK218" s="10">
        <f t="shared" si="153"/>
        <v>0</v>
      </c>
      <c r="AL218" s="10">
        <f t="shared" si="153"/>
        <v>0</v>
      </c>
      <c r="AM218" s="10">
        <f t="shared" si="153"/>
        <v>0</v>
      </c>
      <c r="AN218" s="10">
        <f t="shared" si="153"/>
        <v>0</v>
      </c>
      <c r="AO218" s="10">
        <f t="shared" si="153"/>
        <v>0</v>
      </c>
      <c r="AP218" s="10">
        <f t="shared" si="153"/>
        <v>0</v>
      </c>
      <c r="AQ218" s="10">
        <f t="shared" si="153"/>
        <v>0</v>
      </c>
      <c r="AR218" s="10">
        <f t="shared" si="153"/>
        <v>0</v>
      </c>
      <c r="AS218" s="10">
        <f t="shared" si="153"/>
        <v>0</v>
      </c>
      <c r="AT218" s="10">
        <f t="shared" si="153"/>
        <v>0</v>
      </c>
      <c r="AU218" s="10">
        <f t="shared" si="153"/>
        <v>0</v>
      </c>
      <c r="AV218" s="10">
        <f t="shared" si="153"/>
        <v>0</v>
      </c>
      <c r="AW218" s="10">
        <f t="shared" si="153"/>
        <v>0</v>
      </c>
      <c r="AX218" s="10">
        <f t="shared" si="153"/>
        <v>0</v>
      </c>
      <c r="AY218" s="10">
        <f t="shared" si="153"/>
        <v>0</v>
      </c>
      <c r="AZ218" s="10">
        <f t="shared" si="153"/>
        <v>0</v>
      </c>
      <c r="BA218" s="10">
        <f t="shared" si="153"/>
        <v>0</v>
      </c>
      <c r="BB218" s="10">
        <f t="shared" si="153"/>
        <v>0</v>
      </c>
      <c r="BC218" s="10">
        <f t="shared" si="153"/>
        <v>0</v>
      </c>
      <c r="BD218" s="10">
        <f t="shared" si="153"/>
        <v>0</v>
      </c>
      <c r="BE218" s="10">
        <f t="shared" si="153"/>
        <v>0</v>
      </c>
      <c r="BF218" s="10">
        <f t="shared" si="153"/>
        <v>0</v>
      </c>
      <c r="BG218" s="10">
        <f t="shared" si="153"/>
        <v>0</v>
      </c>
      <c r="BH218" s="10">
        <f t="shared" si="153"/>
        <v>0</v>
      </c>
      <c r="BI218" s="10">
        <f t="shared" si="153"/>
        <v>0</v>
      </c>
      <c r="BJ218" s="10">
        <f t="shared" si="153"/>
        <v>0</v>
      </c>
      <c r="BK218" s="10">
        <f t="shared" si="153"/>
        <v>0</v>
      </c>
      <c r="BL218" s="10">
        <f t="shared" si="153"/>
        <v>0</v>
      </c>
      <c r="BM218" s="10">
        <f t="shared" si="153"/>
        <v>0</v>
      </c>
      <c r="BN218" s="10">
        <f t="shared" si="153"/>
        <v>0</v>
      </c>
      <c r="BO218" s="10">
        <f t="shared" si="153"/>
        <v>0</v>
      </c>
      <c r="BP218" s="10">
        <f t="shared" si="153"/>
        <v>0</v>
      </c>
      <c r="BQ218" s="10">
        <f t="shared" si="153"/>
        <v>0</v>
      </c>
      <c r="BR218" s="10">
        <f t="shared" si="153"/>
        <v>0</v>
      </c>
      <c r="BS218" s="10">
        <f t="shared" si="153"/>
        <v>0</v>
      </c>
      <c r="BT218" s="10">
        <f t="shared" si="153"/>
        <v>0</v>
      </c>
      <c r="BU218" s="10">
        <f t="shared" si="153"/>
        <v>0</v>
      </c>
      <c r="BV218" s="10">
        <f t="shared" si="153"/>
        <v>0</v>
      </c>
      <c r="BX218" s="12">
        <f t="shared" ref="BX218:CA221" si="154">V218</f>
        <v>0</v>
      </c>
      <c r="BY218" s="12">
        <f t="shared" si="154"/>
        <v>0</v>
      </c>
      <c r="BZ218" s="12">
        <f t="shared" si="154"/>
        <v>0</v>
      </c>
      <c r="CA218" s="12">
        <f t="shared" si="154"/>
        <v>0</v>
      </c>
      <c r="CB218" s="10">
        <f t="shared" ref="CB218:CI218" si="155">CA221</f>
        <v>0</v>
      </c>
      <c r="CC218" s="10">
        <f t="shared" si="155"/>
        <v>0</v>
      </c>
      <c r="CD218" s="10">
        <f t="shared" si="155"/>
        <v>0</v>
      </c>
      <c r="CE218" s="10">
        <f t="shared" si="155"/>
        <v>0</v>
      </c>
      <c r="CF218" s="10">
        <f t="shared" si="155"/>
        <v>0</v>
      </c>
      <c r="CG218" s="10">
        <f t="shared" si="155"/>
        <v>0</v>
      </c>
      <c r="CH218" s="10">
        <f t="shared" si="155"/>
        <v>0</v>
      </c>
      <c r="CI218" s="10">
        <f t="shared" si="155"/>
        <v>0</v>
      </c>
      <c r="CK218" s="11"/>
      <c r="CM218" s="11"/>
      <c r="CY218" s="7" cm="1">
        <f t="array" ref="CY218">SUMPRODUCT(--NOT(ISNUMBER(V218:CI218)),--NOT(ISBLANK(V218:CI218)))</f>
        <v>0</v>
      </c>
      <c r="DF218" s="11"/>
      <c r="DG218">
        <f t="shared" si="127"/>
        <v>0</v>
      </c>
      <c r="DH218">
        <v>1</v>
      </c>
      <c r="DI218">
        <v>0</v>
      </c>
      <c r="EY218" s="12" t="str">
        <f>IF(C218="", "", CONCATENATE(D208, " ",D218))</f>
        <v/>
      </c>
    </row>
    <row r="219" spans="1:155" s="5" customFormat="1" x14ac:dyDescent="0.35">
      <c r="A219" s="220" cm="1">
        <f t="array" aca="1" ref="A219" ca="1">HYPERLINK(CONCATENATE("#",CELL("address",IF(MAX($CM219:$DF219)=0,A219,INDEX($CM219:$DF219,MATCH(1,$CM219:$DF219,0))))),MAX($CM219:$DF219))</f>
        <v>0</v>
      </c>
      <c r="B219" s="85" t="s">
        <v>122</v>
      </c>
      <c r="C219" s="211"/>
      <c r="D219" t="s">
        <v>1089</v>
      </c>
      <c r="E219" s="1"/>
      <c r="F219" s="1"/>
      <c r="G219"/>
      <c r="H219" s="9" t="s">
        <v>1074</v>
      </c>
      <c r="I219" s="40" t="s">
        <v>665</v>
      </c>
      <c r="J219"/>
      <c r="K219"/>
      <c r="L219"/>
      <c r="M219"/>
      <c r="N219"/>
      <c r="O219"/>
      <c r="P219"/>
      <c r="Q219"/>
      <c r="R219"/>
      <c r="S219"/>
      <c r="T219"/>
      <c r="U219"/>
      <c r="V219" s="109"/>
      <c r="W219" s="133">
        <f t="shared" ref="W219:Y220" si="156" xml:space="preserve"> SUMIFS($AA219:$BV219, $AA$3:$BV$3, W$3)</f>
        <v>0</v>
      </c>
      <c r="X219" s="133">
        <f t="shared" si="156"/>
        <v>0</v>
      </c>
      <c r="Y219" s="133">
        <f t="shared" si="156"/>
        <v>0</v>
      </c>
      <c r="Z219"/>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c r="BX219" s="12">
        <f t="shared" si="154"/>
        <v>0</v>
      </c>
      <c r="BY219" s="12">
        <f t="shared" si="154"/>
        <v>0</v>
      </c>
      <c r="BZ219" s="12">
        <f t="shared" si="154"/>
        <v>0</v>
      </c>
      <c r="CA219" s="12">
        <f t="shared" si="154"/>
        <v>0</v>
      </c>
      <c r="CB219" s="133">
        <f xml:space="preserve"> SUMIFS($AA219:$BV219, $AA$3:$BV$3, CB$3)</f>
        <v>0</v>
      </c>
      <c r="CC219" s="109"/>
      <c r="CD219" s="109"/>
      <c r="CE219" s="109"/>
      <c r="CF219" s="109"/>
      <c r="CG219" s="109"/>
      <c r="CH219" s="109"/>
      <c r="CI219" s="109"/>
      <c r="CJ219"/>
      <c r="CK219" s="11"/>
      <c r="CL219" s="241">
        <f>IF(MIN($V219:$CI219)&lt;0, 1, 0)</f>
        <v>0</v>
      </c>
      <c r="CM219" s="11"/>
      <c r="CN219"/>
      <c r="CO219"/>
      <c r="CP219"/>
      <c r="CQ219"/>
      <c r="CR219"/>
      <c r="CS219"/>
      <c r="CT219"/>
      <c r="CU219"/>
      <c r="CV219"/>
      <c r="CW219"/>
      <c r="CX219"/>
      <c r="CY219" s="7" cm="1">
        <f t="array" ref="CY219">SUMPRODUCT(--NOT(ISNUMBER(V219:CI219)),--NOT(ISBLANK(V219:CI219)))</f>
        <v>0</v>
      </c>
      <c r="CZ219" s="7">
        <f t="shared" ref="CZ219:DB220" si="157">IF(ROUND(W219-SUMIFS($AA219:$BV219, $AA$3:$BV$3, W$3), rounding)=0, 0, 1)</f>
        <v>0</v>
      </c>
      <c r="DA219" s="7">
        <f t="shared" si="157"/>
        <v>0</v>
      </c>
      <c r="DB219" s="7">
        <f t="shared" si="157"/>
        <v>0</v>
      </c>
      <c r="DC219" s="7">
        <f>IF(ROUND(CB219-SUMIFS($AA219:$BV219, $AA$3:$BV$3, CB$3), rounding)=0, 0, 1)</f>
        <v>0</v>
      </c>
      <c r="DD219" s="7">
        <f>IF(ROUND(V219-BX219, rounding)=0, 0, 1)*'BS Forecasts'!$V$10</f>
        <v>0</v>
      </c>
      <c r="DE219"/>
      <c r="DF219" s="11"/>
      <c r="DG219">
        <f t="shared" si="127"/>
        <v>0</v>
      </c>
      <c r="DH219">
        <v>1</v>
      </c>
      <c r="DI219">
        <v>1</v>
      </c>
      <c r="EY219" s="12" t="str">
        <f>IF(C219="", "", CONCATENATE(D208, " ",D219))</f>
        <v/>
      </c>
    </row>
    <row r="220" spans="1:155" x14ac:dyDescent="0.35">
      <c r="A220" s="220" cm="1">
        <f t="array" aca="1" ref="A220" ca="1">HYPERLINK(CONCATENATE("#",CELL("address",IF(MAX($CM220:$DF220)=0,A220,INDEX($CM220:$DF220,MATCH(1,$CM220:$DF220,0))))),MAX($CM220:$DF220))</f>
        <v>0</v>
      </c>
      <c r="B220" s="85" t="s">
        <v>122</v>
      </c>
      <c r="C220" s="211"/>
      <c r="D220" t="s">
        <v>1090</v>
      </c>
      <c r="H220" s="9" t="s">
        <v>1074</v>
      </c>
      <c r="I220" s="40" t="s">
        <v>1079</v>
      </c>
      <c r="V220" s="109"/>
      <c r="W220" s="133">
        <f t="shared" si="156"/>
        <v>0</v>
      </c>
      <c r="X220" s="133">
        <f t="shared" si="156"/>
        <v>0</v>
      </c>
      <c r="Y220" s="133">
        <f t="shared" si="156"/>
        <v>0</v>
      </c>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X220" s="12">
        <f t="shared" si="154"/>
        <v>0</v>
      </c>
      <c r="BY220" s="12">
        <f t="shared" si="154"/>
        <v>0</v>
      </c>
      <c r="BZ220" s="12">
        <f t="shared" si="154"/>
        <v>0</v>
      </c>
      <c r="CA220" s="12">
        <f t="shared" si="154"/>
        <v>0</v>
      </c>
      <c r="CB220" s="133">
        <f xml:space="preserve"> SUMIFS($AA220:$BV220, $AA$3:$BV$3, CB$3)</f>
        <v>0</v>
      </c>
      <c r="CC220" s="109"/>
      <c r="CD220" s="109"/>
      <c r="CE220" s="109"/>
      <c r="CF220" s="109"/>
      <c r="CG220" s="109"/>
      <c r="CH220" s="109"/>
      <c r="CI220" s="109"/>
      <c r="CK220" s="11"/>
      <c r="CL220" s="241">
        <f>IF(MAX($V220:$CI220)&gt;0, 1, 0)</f>
        <v>0</v>
      </c>
      <c r="CM220" s="11"/>
      <c r="CY220" s="7" cm="1">
        <f t="array" ref="CY220">SUMPRODUCT(--NOT(ISNUMBER(V220:CI220)),--NOT(ISBLANK(V220:CI220)))</f>
        <v>0</v>
      </c>
      <c r="CZ220" s="7">
        <f t="shared" si="157"/>
        <v>0</v>
      </c>
      <c r="DA220" s="7">
        <f t="shared" si="157"/>
        <v>0</v>
      </c>
      <c r="DB220" s="7">
        <f t="shared" si="157"/>
        <v>0</v>
      </c>
      <c r="DC220" s="7">
        <f>IF(ROUND(CB220-SUMIFS($AA220:$BV220, $AA$3:$BV$3, CB$3), rounding)=0, 0, 1)</f>
        <v>0</v>
      </c>
      <c r="DD220" s="7">
        <f>IF(ROUND(V220-BX220, rounding)=0, 0, 1)*'BS Forecasts'!$V$10</f>
        <v>0</v>
      </c>
      <c r="DF220" s="11"/>
      <c r="DG220">
        <f t="shared" si="127"/>
        <v>0</v>
      </c>
      <c r="DH220">
        <v>1</v>
      </c>
      <c r="DI220">
        <v>1</v>
      </c>
      <c r="EY220" s="12" t="str">
        <f>IF(C220="", "", CONCATENATE(D208, " ",D220))</f>
        <v/>
      </c>
    </row>
    <row r="221" spans="1:155" x14ac:dyDescent="0.35">
      <c r="C221" s="211"/>
      <c r="D221" t="s">
        <v>1091</v>
      </c>
      <c r="H221" s="9" t="s">
        <v>1074</v>
      </c>
      <c r="I221" s="40" t="s">
        <v>317</v>
      </c>
      <c r="V221" s="12">
        <f>$I$21</f>
        <v>0</v>
      </c>
      <c r="W221" s="10">
        <f>SUM(W218:W220)</f>
        <v>0</v>
      </c>
      <c r="X221" s="10">
        <f>SUM(X218:X220)</f>
        <v>0</v>
      </c>
      <c r="Y221" s="10">
        <f>SUM(Y218:Y220)</f>
        <v>0</v>
      </c>
      <c r="AA221" s="10">
        <f t="shared" ref="AA221:BV221" si="158">SUM(AA218:AA220)</f>
        <v>0</v>
      </c>
      <c r="AB221" s="10">
        <f t="shared" si="158"/>
        <v>0</v>
      </c>
      <c r="AC221" s="10">
        <f t="shared" si="158"/>
        <v>0</v>
      </c>
      <c r="AD221" s="10">
        <f t="shared" si="158"/>
        <v>0</v>
      </c>
      <c r="AE221" s="10">
        <f t="shared" si="158"/>
        <v>0</v>
      </c>
      <c r="AF221" s="10">
        <f t="shared" si="158"/>
        <v>0</v>
      </c>
      <c r="AG221" s="10">
        <f t="shared" si="158"/>
        <v>0</v>
      </c>
      <c r="AH221" s="10">
        <f t="shared" si="158"/>
        <v>0</v>
      </c>
      <c r="AI221" s="10">
        <f t="shared" si="158"/>
        <v>0</v>
      </c>
      <c r="AJ221" s="10">
        <f t="shared" si="158"/>
        <v>0</v>
      </c>
      <c r="AK221" s="10">
        <f t="shared" si="158"/>
        <v>0</v>
      </c>
      <c r="AL221" s="10">
        <f t="shared" si="158"/>
        <v>0</v>
      </c>
      <c r="AM221" s="10">
        <f t="shared" si="158"/>
        <v>0</v>
      </c>
      <c r="AN221" s="10">
        <f t="shared" si="158"/>
        <v>0</v>
      </c>
      <c r="AO221" s="10">
        <f t="shared" si="158"/>
        <v>0</v>
      </c>
      <c r="AP221" s="10">
        <f t="shared" si="158"/>
        <v>0</v>
      </c>
      <c r="AQ221" s="10">
        <f t="shared" si="158"/>
        <v>0</v>
      </c>
      <c r="AR221" s="10">
        <f t="shared" si="158"/>
        <v>0</v>
      </c>
      <c r="AS221" s="10">
        <f t="shared" si="158"/>
        <v>0</v>
      </c>
      <c r="AT221" s="10">
        <f t="shared" si="158"/>
        <v>0</v>
      </c>
      <c r="AU221" s="10">
        <f t="shared" si="158"/>
        <v>0</v>
      </c>
      <c r="AV221" s="10">
        <f t="shared" si="158"/>
        <v>0</v>
      </c>
      <c r="AW221" s="10">
        <f t="shared" si="158"/>
        <v>0</v>
      </c>
      <c r="AX221" s="10">
        <f t="shared" si="158"/>
        <v>0</v>
      </c>
      <c r="AY221" s="10">
        <f t="shared" si="158"/>
        <v>0</v>
      </c>
      <c r="AZ221" s="10">
        <f t="shared" si="158"/>
        <v>0</v>
      </c>
      <c r="BA221" s="10">
        <f t="shared" si="158"/>
        <v>0</v>
      </c>
      <c r="BB221" s="10">
        <f t="shared" si="158"/>
        <v>0</v>
      </c>
      <c r="BC221" s="10">
        <f t="shared" si="158"/>
        <v>0</v>
      </c>
      <c r="BD221" s="10">
        <f t="shared" si="158"/>
        <v>0</v>
      </c>
      <c r="BE221" s="10">
        <f t="shared" si="158"/>
        <v>0</v>
      </c>
      <c r="BF221" s="10">
        <f t="shared" si="158"/>
        <v>0</v>
      </c>
      <c r="BG221" s="10">
        <f t="shared" si="158"/>
        <v>0</v>
      </c>
      <c r="BH221" s="10">
        <f t="shared" si="158"/>
        <v>0</v>
      </c>
      <c r="BI221" s="10">
        <f t="shared" si="158"/>
        <v>0</v>
      </c>
      <c r="BJ221" s="10">
        <f t="shared" si="158"/>
        <v>0</v>
      </c>
      <c r="BK221" s="10">
        <f t="shared" si="158"/>
        <v>0</v>
      </c>
      <c r="BL221" s="10">
        <f t="shared" si="158"/>
        <v>0</v>
      </c>
      <c r="BM221" s="10">
        <f t="shared" si="158"/>
        <v>0</v>
      </c>
      <c r="BN221" s="10">
        <f t="shared" si="158"/>
        <v>0</v>
      </c>
      <c r="BO221" s="10">
        <f t="shared" si="158"/>
        <v>0</v>
      </c>
      <c r="BP221" s="10">
        <f t="shared" si="158"/>
        <v>0</v>
      </c>
      <c r="BQ221" s="10">
        <f t="shared" si="158"/>
        <v>0</v>
      </c>
      <c r="BR221" s="10">
        <f t="shared" si="158"/>
        <v>0</v>
      </c>
      <c r="BS221" s="10">
        <f t="shared" si="158"/>
        <v>0</v>
      </c>
      <c r="BT221" s="10">
        <f t="shared" si="158"/>
        <v>0</v>
      </c>
      <c r="BU221" s="10">
        <f t="shared" si="158"/>
        <v>0</v>
      </c>
      <c r="BV221" s="10">
        <f t="shared" si="158"/>
        <v>0</v>
      </c>
      <c r="BX221" s="12">
        <f t="shared" si="154"/>
        <v>0</v>
      </c>
      <c r="BY221" s="12">
        <f t="shared" si="154"/>
        <v>0</v>
      </c>
      <c r="BZ221" s="12">
        <f t="shared" si="154"/>
        <v>0</v>
      </c>
      <c r="CA221" s="12">
        <f t="shared" si="154"/>
        <v>0</v>
      </c>
      <c r="CB221" s="10">
        <f t="shared" ref="CB221:CI221" si="159">SUM(CB218:CB220)</f>
        <v>0</v>
      </c>
      <c r="CC221" s="10">
        <f t="shared" si="159"/>
        <v>0</v>
      </c>
      <c r="CD221" s="10">
        <f t="shared" si="159"/>
        <v>0</v>
      </c>
      <c r="CE221" s="10">
        <f t="shared" si="159"/>
        <v>0</v>
      </c>
      <c r="CF221" s="10">
        <f t="shared" si="159"/>
        <v>0</v>
      </c>
      <c r="CG221" s="10">
        <f t="shared" si="159"/>
        <v>0</v>
      </c>
      <c r="CH221" s="10">
        <f t="shared" si="159"/>
        <v>0</v>
      </c>
      <c r="CI221" s="10">
        <f t="shared" si="159"/>
        <v>0</v>
      </c>
      <c r="CK221" s="11"/>
      <c r="CM221" s="11"/>
      <c r="DF221" s="11"/>
      <c r="DG221">
        <f t="shared" si="127"/>
        <v>0</v>
      </c>
      <c r="DH221">
        <v>0</v>
      </c>
      <c r="DI221">
        <v>0</v>
      </c>
      <c r="EY221" s="12" t="str">
        <f>IF(C221="", "", CONCATENATE(D208, " ",D221))</f>
        <v/>
      </c>
    </row>
    <row r="222" spans="1:155" ht="6.75" customHeight="1" x14ac:dyDescent="0.35">
      <c r="C222" s="211"/>
      <c r="D222" s="1"/>
      <c r="E222"/>
      <c r="F222"/>
      <c r="BY222" s="6"/>
      <c r="CK222" s="35"/>
      <c r="CM222" s="35"/>
      <c r="DF222" s="35"/>
      <c r="DG222">
        <f t="shared" si="127"/>
        <v>0</v>
      </c>
      <c r="DH222">
        <v>0</v>
      </c>
      <c r="DI222">
        <v>0</v>
      </c>
      <c r="EY222" s="12" t="str">
        <f>IF(C222="", "", CONCATENATE(D208, " ",D222))</f>
        <v/>
      </c>
    </row>
    <row r="223" spans="1:155" s="5" customFormat="1" x14ac:dyDescent="0.35">
      <c r="A223" s="220" cm="1">
        <f t="array" aca="1" ref="A223" ca="1">HYPERLINK(CONCATENATE("#",CELL("address",IF(MAX($CM223:$DF223)=0,A223,INDEX($CM223:$DF223,MATCH(1,$CM223:$DF223,0))))),MAX($CM223:$DF223))</f>
        <v>0</v>
      </c>
      <c r="B223"/>
      <c r="C223" s="211" t="s">
        <v>1150</v>
      </c>
      <c r="D223" t="s">
        <v>1093</v>
      </c>
      <c r="E223" s="1"/>
      <c r="F223" s="1"/>
      <c r="G223"/>
      <c r="H223" s="9" t="s">
        <v>1074</v>
      </c>
      <c r="I223" s="40" t="s">
        <v>665</v>
      </c>
      <c r="J223"/>
      <c r="K223"/>
      <c r="L223"/>
      <c r="M223"/>
      <c r="N223"/>
      <c r="O223"/>
      <c r="P223"/>
      <c r="Q223"/>
      <c r="R223"/>
      <c r="S223"/>
      <c r="T223"/>
      <c r="U223"/>
      <c r="V223" s="109"/>
      <c r="W223" s="133">
        <f xml:space="preserve"> SUMIFS($AA223:$BV223, $AA$3:$BV$3, W$3)</f>
        <v>0</v>
      </c>
      <c r="X223" s="133">
        <f xml:space="preserve"> SUMIFS($AA223:$BV223, $AA$3:$BV$3, X$3)</f>
        <v>0</v>
      </c>
      <c r="Y223" s="133">
        <f xml:space="preserve"> SUMIFS($AA223:$BV223, $AA$3:$BV$3, Y$3)</f>
        <v>0</v>
      </c>
      <c r="Z223"/>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c r="BX223" s="12">
        <f>V223</f>
        <v>0</v>
      </c>
      <c r="BY223" s="12">
        <f>W223</f>
        <v>0</v>
      </c>
      <c r="BZ223" s="12">
        <f>X223</f>
        <v>0</v>
      </c>
      <c r="CA223" s="12">
        <f>Y223</f>
        <v>0</v>
      </c>
      <c r="CB223" s="133">
        <f xml:space="preserve"> SUMIFS($AA223:$BV223, $AA$3:$BV$3, CB$3)</f>
        <v>0</v>
      </c>
      <c r="CC223" s="109"/>
      <c r="CD223" s="109"/>
      <c r="CE223" s="109"/>
      <c r="CF223" s="109"/>
      <c r="CG223" s="109"/>
      <c r="CH223" s="109"/>
      <c r="CI223" s="109"/>
      <c r="CJ223"/>
      <c r="CK223" s="11"/>
      <c r="CL223" s="241">
        <f>IF(MIN($V223:$CI223)&lt;0, 1, 0)</f>
        <v>0</v>
      </c>
      <c r="CM223" s="11"/>
      <c r="CN223"/>
      <c r="CO223"/>
      <c r="CP223"/>
      <c r="CQ223"/>
      <c r="CR223"/>
      <c r="CS223"/>
      <c r="CT223"/>
      <c r="CU223"/>
      <c r="CV223"/>
      <c r="CW223"/>
      <c r="CX223"/>
      <c r="CY223" s="7" cm="1">
        <f t="array" ref="CY223">SUMPRODUCT(--NOT(ISNUMBER(V223:CI223)),--NOT(ISBLANK(V223:CI223)))</f>
        <v>0</v>
      </c>
      <c r="CZ223" s="7">
        <f>IF(ROUND(W223-SUMIFS($AA223:$BV223, $AA$3:$BV$3, W$3), rounding)=0, 0, 1)</f>
        <v>0</v>
      </c>
      <c r="DA223" s="7">
        <f>IF(ROUND(X223-SUMIFS($AA223:$BV223, $AA$3:$BV$3, X$3), rounding)=0, 0, 1)</f>
        <v>0</v>
      </c>
      <c r="DB223" s="7">
        <f>IF(ROUND(Y223-SUMIFS($AA223:$BV223, $AA$3:$BV$3, Y$3), rounding)=0, 0, 1)</f>
        <v>0</v>
      </c>
      <c r="DC223" s="7">
        <f>IF(ROUND(CB223-SUMIFS($AA223:$BV223, $AA$3:$BV$3, CB$3), rounding)=0, 0, 1)</f>
        <v>0</v>
      </c>
      <c r="DD223" s="7">
        <f>IF(ROUND(V223-BX223, rounding)=0, 0, 1)*'BS Forecasts'!$V$10</f>
        <v>0</v>
      </c>
      <c r="DE223"/>
      <c r="DF223" s="11"/>
      <c r="DG223">
        <f t="shared" si="127"/>
        <v>0</v>
      </c>
      <c r="DH223">
        <v>1</v>
      </c>
      <c r="DI223">
        <v>1</v>
      </c>
      <c r="EY223" s="12" t="str">
        <f>IF(C223="", "", CONCATENATE(D208, " ",D223))</f>
        <v>Loan 9 Early Repayment Fee</v>
      </c>
    </row>
    <row r="224" spans="1:155" ht="6.75" customHeight="1" x14ac:dyDescent="0.35">
      <c r="C224" s="211"/>
      <c r="D224" s="1"/>
      <c r="E224"/>
      <c r="F224"/>
      <c r="BY224" s="6"/>
      <c r="CK224" s="35"/>
      <c r="CM224" s="35"/>
      <c r="DF224" s="35"/>
      <c r="DG224">
        <f t="shared" si="127"/>
        <v>0</v>
      </c>
      <c r="DH224">
        <v>0</v>
      </c>
      <c r="DI224">
        <v>0</v>
      </c>
      <c r="EY224" s="12" t="str">
        <f>IF(C224="", "", CONCATENATE(D208, " ",D224))</f>
        <v/>
      </c>
    </row>
    <row r="225" spans="1:155" x14ac:dyDescent="0.35">
      <c r="A225" s="220" cm="1">
        <f t="array" aca="1" ref="A225" ca="1">HYPERLINK(CONCATENATE("#",CELL("address",IF(MAX($CM225:$DF225)=0,A225,INDEX($CM225:$DF225,MATCH(1,$CM225:$DF225,0))))),MAX($CM225:$DF225))</f>
        <v>0</v>
      </c>
      <c r="B225" s="85" t="s">
        <v>122</v>
      </c>
      <c r="D225" t="s">
        <v>1094</v>
      </c>
      <c r="E225" s="140" t="str">
        <f>IF(J$21="", "", J$21)</f>
        <v/>
      </c>
      <c r="F225" s="140"/>
      <c r="G225" s="140" t="str">
        <f>IF(K$21="", "", K$21)</f>
        <v/>
      </c>
      <c r="V225" s="7">
        <f>IF(AND(OR( V$5&gt;$G225, Timeline!V$8&lt;Loans!$E225), Loans!V223&lt;&gt;0), 1, 0)</f>
        <v>0</v>
      </c>
      <c r="W225" s="7">
        <f>IF(AND(OR( W$5&gt;$G225, Timeline!W$8&lt;Loans!$E225), Loans!W223&lt;&gt;0), 1, 0)</f>
        <v>0</v>
      </c>
      <c r="X225" s="7">
        <f>IF(AND(OR( X$5&gt;$G225, Timeline!X$8&lt;Loans!$E225), Loans!X223&lt;&gt;0), 1, 0)</f>
        <v>0</v>
      </c>
      <c r="Y225" s="7">
        <f>IF(AND(OR( Y$5&gt;$G225, Timeline!Y$8&lt;Loans!$E225), Loans!Y223&lt;&gt;0), 1, 0)</f>
        <v>0</v>
      </c>
      <c r="AA225" s="7">
        <f>IF(AND(OR( AA$5&gt;$G225, Timeline!AA$8&lt;Loans!$E225), Loans!AA223&lt;&gt;0), 1, 0)</f>
        <v>0</v>
      </c>
      <c r="AB225" s="7">
        <f>IF(AND(OR( AB$5&gt;$G225, Timeline!AB$8&lt;Loans!$E225), Loans!AB223&lt;&gt;0), 1, 0)</f>
        <v>0</v>
      </c>
      <c r="AC225" s="7">
        <f>IF(AND(OR( AC$5&gt;$G225, Timeline!AC$8&lt;Loans!$E225), Loans!AC223&lt;&gt;0), 1, 0)</f>
        <v>0</v>
      </c>
      <c r="AD225" s="7">
        <f>IF(AND(OR( AD$5&gt;$G225, Timeline!AD$8&lt;Loans!$E225), Loans!AD223&lt;&gt;0), 1, 0)</f>
        <v>0</v>
      </c>
      <c r="AE225" s="7">
        <f>IF(AND(OR( AE$5&gt;$G225, Timeline!AE$8&lt;Loans!$E225), Loans!AE223&lt;&gt;0), 1, 0)</f>
        <v>0</v>
      </c>
      <c r="AF225" s="7">
        <f>IF(AND(OR( AF$5&gt;$G225, Timeline!AF$8&lt;Loans!$E225), Loans!AF223&lt;&gt;0), 1, 0)</f>
        <v>0</v>
      </c>
      <c r="AG225" s="7">
        <f>IF(AND(OR( AG$5&gt;$G225, Timeline!AG$8&lt;Loans!$E225), Loans!AG223&lt;&gt;0), 1, 0)</f>
        <v>0</v>
      </c>
      <c r="AH225" s="7">
        <f>IF(AND(OR( AH$5&gt;$G225, Timeline!AH$8&lt;Loans!$E225), Loans!AH223&lt;&gt;0), 1, 0)</f>
        <v>0</v>
      </c>
      <c r="AI225" s="7">
        <f>IF(AND(OR( AI$5&gt;$G225, Timeline!AI$8&lt;Loans!$E225), Loans!AI223&lt;&gt;0), 1, 0)</f>
        <v>0</v>
      </c>
      <c r="AJ225" s="7">
        <f>IF(AND(OR( AJ$5&gt;$G225, Timeline!AJ$8&lt;Loans!$E225), Loans!AJ223&lt;&gt;0), 1, 0)</f>
        <v>0</v>
      </c>
      <c r="AK225" s="7">
        <f>IF(AND(OR( AK$5&gt;$G225, Timeline!AK$8&lt;Loans!$E225), Loans!AK223&lt;&gt;0), 1, 0)</f>
        <v>0</v>
      </c>
      <c r="AL225" s="7">
        <f>IF(AND(OR( AL$5&gt;$G225, Timeline!AL$8&lt;Loans!$E225), Loans!AL223&lt;&gt;0), 1, 0)</f>
        <v>0</v>
      </c>
      <c r="AM225" s="7">
        <f>IF(AND(OR( AM$5&gt;$G225, Timeline!AM$8&lt;Loans!$E225), Loans!AM223&lt;&gt;0), 1, 0)</f>
        <v>0</v>
      </c>
      <c r="AN225" s="7">
        <f>IF(AND(OR( AN$5&gt;$G225, Timeline!AN$8&lt;Loans!$E225), Loans!AN223&lt;&gt;0), 1, 0)</f>
        <v>0</v>
      </c>
      <c r="AO225" s="7">
        <f>IF(AND(OR( AO$5&gt;$G225, Timeline!AO$8&lt;Loans!$E225), Loans!AO223&lt;&gt;0), 1, 0)</f>
        <v>0</v>
      </c>
      <c r="AP225" s="7">
        <f>IF(AND(OR( AP$5&gt;$G225, Timeline!AP$8&lt;Loans!$E225), Loans!AP223&lt;&gt;0), 1, 0)</f>
        <v>0</v>
      </c>
      <c r="AQ225" s="7">
        <f>IF(AND(OR( AQ$5&gt;$G225, Timeline!AQ$8&lt;Loans!$E225), Loans!AQ223&lt;&gt;0), 1, 0)</f>
        <v>0</v>
      </c>
      <c r="AR225" s="7">
        <f>IF(AND(OR( AR$5&gt;$G225, Timeline!AR$8&lt;Loans!$E225), Loans!AR223&lt;&gt;0), 1, 0)</f>
        <v>0</v>
      </c>
      <c r="AS225" s="7">
        <f>IF(AND(OR( AS$5&gt;$G225, Timeline!AS$8&lt;Loans!$E225), Loans!AS223&lt;&gt;0), 1, 0)</f>
        <v>0</v>
      </c>
      <c r="AT225" s="7">
        <f>IF(AND(OR( AT$5&gt;$G225, Timeline!AT$8&lt;Loans!$E225), Loans!AT223&lt;&gt;0), 1, 0)</f>
        <v>0</v>
      </c>
      <c r="AU225" s="7">
        <f>IF(AND(OR( AU$5&gt;$G225, Timeline!AU$8&lt;Loans!$E225), Loans!AU223&lt;&gt;0), 1, 0)</f>
        <v>0</v>
      </c>
      <c r="AV225" s="7">
        <f>IF(AND(OR( AV$5&gt;$G225, Timeline!AV$8&lt;Loans!$E225), Loans!AV223&lt;&gt;0), 1, 0)</f>
        <v>0</v>
      </c>
      <c r="AW225" s="7">
        <f>IF(AND(OR( AW$5&gt;$G225, Timeline!AW$8&lt;Loans!$E225), Loans!AW223&lt;&gt;0), 1, 0)</f>
        <v>0</v>
      </c>
      <c r="AX225" s="7">
        <f>IF(AND(OR( AX$5&gt;$G225, Timeline!AX$8&lt;Loans!$E225), Loans!AX223&lt;&gt;0), 1, 0)</f>
        <v>0</v>
      </c>
      <c r="AY225" s="7">
        <f>IF(AND(OR( AY$5&gt;$G225, Timeline!AY$8&lt;Loans!$E225), Loans!AY223&lt;&gt;0), 1, 0)</f>
        <v>0</v>
      </c>
      <c r="AZ225" s="7">
        <f>IF(AND(OR( AZ$5&gt;$G225, Timeline!AZ$8&lt;Loans!$E225), Loans!AZ223&lt;&gt;0), 1, 0)</f>
        <v>0</v>
      </c>
      <c r="BA225" s="7">
        <f>IF(AND(OR( BA$5&gt;$G225, Timeline!BA$8&lt;Loans!$E225), Loans!BA223&lt;&gt;0), 1, 0)</f>
        <v>0</v>
      </c>
      <c r="BB225" s="7">
        <f>IF(AND(OR( BB$5&gt;$G225, Timeline!BB$8&lt;Loans!$E225), Loans!BB223&lt;&gt;0), 1, 0)</f>
        <v>0</v>
      </c>
      <c r="BC225" s="7">
        <f>IF(AND(OR( BC$5&gt;$G225, Timeline!BC$8&lt;Loans!$E225), Loans!BC223&lt;&gt;0), 1, 0)</f>
        <v>0</v>
      </c>
      <c r="BD225" s="7">
        <f>IF(AND(OR( BD$5&gt;$G225, Timeline!BD$8&lt;Loans!$E225), Loans!BD223&lt;&gt;0), 1, 0)</f>
        <v>0</v>
      </c>
      <c r="BE225" s="7">
        <f>IF(AND(OR( BE$5&gt;$G225, Timeline!BE$8&lt;Loans!$E225), Loans!BE223&lt;&gt;0), 1, 0)</f>
        <v>0</v>
      </c>
      <c r="BF225" s="7">
        <f>IF(AND(OR( BF$5&gt;$G225, Timeline!BF$8&lt;Loans!$E225), Loans!BF223&lt;&gt;0), 1, 0)</f>
        <v>0</v>
      </c>
      <c r="BG225" s="7">
        <f>IF(AND(OR( BG$5&gt;$G225, Timeline!BG$8&lt;Loans!$E225), Loans!BG223&lt;&gt;0), 1, 0)</f>
        <v>0</v>
      </c>
      <c r="BH225" s="7">
        <f>IF(AND(OR( BH$5&gt;$G225, Timeline!BH$8&lt;Loans!$E225), Loans!BH223&lt;&gt;0), 1, 0)</f>
        <v>0</v>
      </c>
      <c r="BI225" s="7">
        <f>IF(AND(OR( BI$5&gt;$G225, Timeline!BI$8&lt;Loans!$E225), Loans!BI223&lt;&gt;0), 1, 0)</f>
        <v>0</v>
      </c>
      <c r="BJ225" s="7">
        <f>IF(AND(OR( BJ$5&gt;$G225, Timeline!BJ$8&lt;Loans!$E225), Loans!BJ223&lt;&gt;0), 1, 0)</f>
        <v>0</v>
      </c>
      <c r="BK225" s="7">
        <f>IF(AND(OR( BK$5&gt;$G225, Timeline!BK$8&lt;Loans!$E225), Loans!BK223&lt;&gt;0), 1, 0)</f>
        <v>0</v>
      </c>
      <c r="BL225" s="7">
        <f>IF(AND(OR( BL$5&gt;$G225, Timeline!BL$8&lt;Loans!$E225), Loans!BL223&lt;&gt;0), 1, 0)</f>
        <v>0</v>
      </c>
      <c r="BM225" s="7">
        <f>IF(AND(OR( BM$5&gt;$G225, Timeline!BM$8&lt;Loans!$E225), Loans!BM223&lt;&gt;0), 1, 0)</f>
        <v>0</v>
      </c>
      <c r="BN225" s="7">
        <f>IF(AND(OR( BN$5&gt;$G225, Timeline!BN$8&lt;Loans!$E225), Loans!BN223&lt;&gt;0), 1, 0)</f>
        <v>0</v>
      </c>
      <c r="BO225" s="7">
        <f>IF(AND(OR( BO$5&gt;$G225, Timeline!BO$8&lt;Loans!$E225), Loans!BO223&lt;&gt;0), 1, 0)</f>
        <v>0</v>
      </c>
      <c r="BP225" s="7">
        <f>IF(AND(OR( BP$5&gt;$G225, Timeline!BP$8&lt;Loans!$E225), Loans!BP223&lt;&gt;0), 1, 0)</f>
        <v>0</v>
      </c>
      <c r="BQ225" s="7">
        <f>IF(AND(OR( BQ$5&gt;$G225, Timeline!BQ$8&lt;Loans!$E225), Loans!BQ223&lt;&gt;0), 1, 0)</f>
        <v>0</v>
      </c>
      <c r="BR225" s="7">
        <f>IF(AND(OR( BR$5&gt;$G225, Timeline!BR$8&lt;Loans!$E225), Loans!BR223&lt;&gt;0), 1, 0)</f>
        <v>0</v>
      </c>
      <c r="BS225" s="7">
        <f>IF(AND(OR( BS$5&gt;$G225, Timeline!BS$8&lt;Loans!$E225), Loans!BS223&lt;&gt;0), 1, 0)</f>
        <v>0</v>
      </c>
      <c r="BT225" s="7">
        <f>IF(AND(OR( BT$5&gt;$G225, Timeline!BT$8&lt;Loans!$E225), Loans!BT223&lt;&gt;0), 1, 0)</f>
        <v>0</v>
      </c>
      <c r="BU225" s="7">
        <f>IF(AND(OR( BU$5&gt;$G225, Timeline!BU$8&lt;Loans!$E225), Loans!BU223&lt;&gt;0), 1, 0)</f>
        <v>0</v>
      </c>
      <c r="BV225" s="7">
        <f>IF(AND(OR( BV$5&gt;$G225, Timeline!BV$8&lt;Loans!$E225), Loans!BV223&lt;&gt;0), 1, 0)</f>
        <v>0</v>
      </c>
      <c r="BX225" s="7">
        <f>IF(AND(OR( BX$5&gt;$G225, Timeline!BX$8&lt;Loans!$E225), Loans!BX223&lt;&gt;0), 1, 0)</f>
        <v>0</v>
      </c>
      <c r="BY225" s="7">
        <f>IF(AND(OR( BY$5&gt;$G225, Timeline!BY$8&lt;Loans!$E225), Loans!BY223&lt;&gt;0), 1, 0)</f>
        <v>0</v>
      </c>
      <c r="BZ225" s="7">
        <f>IF(AND(OR( BZ$5&gt;$G225, Timeline!BZ$8&lt;Loans!$E225), Loans!BZ223&lt;&gt;0), 1, 0)</f>
        <v>0</v>
      </c>
      <c r="CA225" s="7">
        <f>IF(AND(OR( CA$5&gt;$G225, Timeline!CA$8&lt;Loans!$E225), Loans!CA223&lt;&gt;0), 1, 0)</f>
        <v>0</v>
      </c>
      <c r="CB225" s="7">
        <f>IF(AND(OR( CB$5&gt;$G225, Timeline!CB$8&lt;Loans!$E225), Loans!CB223&lt;&gt;0), 1, 0)</f>
        <v>0</v>
      </c>
      <c r="CC225" s="7">
        <f>IF(AND(OR( CC$5&gt;$G225, Timeline!CC$8&lt;Loans!$E225), Loans!CC223&lt;&gt;0), 1, 0)</f>
        <v>0</v>
      </c>
      <c r="CD225" s="7">
        <f>IF(AND(OR( CD$5&gt;$G225, Timeline!CD$8&lt;Loans!$E225), Loans!CD223&lt;&gt;0), 1, 0)</f>
        <v>0</v>
      </c>
      <c r="CE225" s="7">
        <f>IF(AND(OR( CE$5&gt;$G225, Timeline!CE$8&lt;Loans!$E225), Loans!CE223&lt;&gt;0), 1, 0)</f>
        <v>0</v>
      </c>
      <c r="CF225" s="7">
        <f>IF(AND(OR( CF$5&gt;$G225, Timeline!CF$8&lt;Loans!$E225), Loans!CF223&lt;&gt;0), 1, 0)</f>
        <v>0</v>
      </c>
      <c r="CG225" s="7">
        <f>IF(AND(OR( CG$5&gt;$G225, Timeline!CG$8&lt;Loans!$E225), Loans!CG223&lt;&gt;0), 1, 0)</f>
        <v>0</v>
      </c>
      <c r="CH225" s="7">
        <f>IF(AND(OR( CH$5&gt;$G225, Timeline!CH$8&lt;Loans!$E225), Loans!CH223&lt;&gt;0), 1, 0)</f>
        <v>0</v>
      </c>
      <c r="CI225" s="7">
        <f>IF(AND(OR( CI$5&gt;$G225, Timeline!CI$8&lt;Loans!$E225), Loans!CI223&lt;&gt;0), 1, 0)</f>
        <v>0</v>
      </c>
      <c r="CK225" s="11"/>
      <c r="CM225" s="11"/>
      <c r="CX225" s="7">
        <f>IF(MAX($V225:$CI225)&gt;0, 1, 0)</f>
        <v>0</v>
      </c>
      <c r="DF225" s="11"/>
      <c r="DG225">
        <f t="shared" si="127"/>
        <v>1</v>
      </c>
      <c r="DH225">
        <v>0</v>
      </c>
      <c r="DI225">
        <v>0</v>
      </c>
      <c r="EY225" s="12" t="str">
        <f>IF(C225="", "", CONCATENATE(D208, " ",D225))</f>
        <v/>
      </c>
    </row>
    <row r="226" spans="1:155" ht="6.75" customHeight="1" x14ac:dyDescent="0.35">
      <c r="C226" s="211"/>
      <c r="D226" s="1"/>
      <c r="E226"/>
      <c r="F226"/>
      <c r="BY226" s="6"/>
      <c r="CK226" s="35"/>
      <c r="CM226" s="35"/>
      <c r="DF226" s="35"/>
      <c r="DG226">
        <f t="shared" si="127"/>
        <v>0</v>
      </c>
      <c r="DH226">
        <v>0</v>
      </c>
      <c r="DI226">
        <v>0</v>
      </c>
      <c r="EY226" s="10" t="str">
        <f>IF($C226="","",$D226)</f>
        <v/>
      </c>
    </row>
    <row r="227" spans="1:155" x14ac:dyDescent="0.35">
      <c r="A227" s="53"/>
      <c r="C227" s="211"/>
      <c r="D227" s="53" t="s">
        <v>1151</v>
      </c>
      <c r="E227" s="53"/>
      <c r="F227" s="53"/>
      <c r="G227" s="53"/>
      <c r="H227" s="53"/>
      <c r="I227" s="53"/>
      <c r="J227" s="53"/>
      <c r="M227" s="53"/>
      <c r="N227" s="53"/>
      <c r="O227" s="53"/>
      <c r="P227" s="53"/>
      <c r="Q227" s="53"/>
      <c r="R227" s="53"/>
      <c r="CK227" s="11"/>
      <c r="CM227" s="11"/>
      <c r="DF227" s="11"/>
      <c r="DG227">
        <f t="shared" si="127"/>
        <v>0</v>
      </c>
      <c r="DH227">
        <v>0</v>
      </c>
      <c r="DI227">
        <v>0</v>
      </c>
      <c r="EY227" s="10" t="str">
        <f>IF($C227="","",$D227)</f>
        <v/>
      </c>
    </row>
    <row r="228" spans="1:155" x14ac:dyDescent="0.35">
      <c r="C228" s="211" t="s">
        <v>1152</v>
      </c>
      <c r="D228" t="s">
        <v>1073</v>
      </c>
      <c r="H228" s="9" t="s">
        <v>1074</v>
      </c>
      <c r="I228" s="40" t="s">
        <v>317</v>
      </c>
      <c r="V228" s="109"/>
      <c r="W228" s="133">
        <f>V232</f>
        <v>0</v>
      </c>
      <c r="X228" s="133">
        <f>W232</f>
        <v>0</v>
      </c>
      <c r="Y228" s="10">
        <f>X232</f>
        <v>0</v>
      </c>
      <c r="AA228" s="12">
        <f>W228</f>
        <v>0</v>
      </c>
      <c r="AB228" s="10">
        <f t="shared" ref="AB228:BV228" si="160">AA232</f>
        <v>0</v>
      </c>
      <c r="AC228" s="10">
        <f t="shared" si="160"/>
        <v>0</v>
      </c>
      <c r="AD228" s="10">
        <f t="shared" si="160"/>
        <v>0</v>
      </c>
      <c r="AE228" s="10">
        <f t="shared" si="160"/>
        <v>0</v>
      </c>
      <c r="AF228" s="10">
        <f t="shared" si="160"/>
        <v>0</v>
      </c>
      <c r="AG228" s="10">
        <f t="shared" si="160"/>
        <v>0</v>
      </c>
      <c r="AH228" s="10">
        <f t="shared" si="160"/>
        <v>0</v>
      </c>
      <c r="AI228" s="10">
        <f t="shared" si="160"/>
        <v>0</v>
      </c>
      <c r="AJ228" s="10">
        <f t="shared" si="160"/>
        <v>0</v>
      </c>
      <c r="AK228" s="10">
        <f t="shared" si="160"/>
        <v>0</v>
      </c>
      <c r="AL228" s="10">
        <f t="shared" si="160"/>
        <v>0</v>
      </c>
      <c r="AM228" s="10">
        <f t="shared" si="160"/>
        <v>0</v>
      </c>
      <c r="AN228" s="10">
        <f t="shared" si="160"/>
        <v>0</v>
      </c>
      <c r="AO228" s="10">
        <f t="shared" si="160"/>
        <v>0</v>
      </c>
      <c r="AP228" s="10">
        <f t="shared" si="160"/>
        <v>0</v>
      </c>
      <c r="AQ228" s="10">
        <f t="shared" si="160"/>
        <v>0</v>
      </c>
      <c r="AR228" s="10">
        <f t="shared" si="160"/>
        <v>0</v>
      </c>
      <c r="AS228" s="10">
        <f t="shared" si="160"/>
        <v>0</v>
      </c>
      <c r="AT228" s="10">
        <f t="shared" si="160"/>
        <v>0</v>
      </c>
      <c r="AU228" s="10">
        <f t="shared" si="160"/>
        <v>0</v>
      </c>
      <c r="AV228" s="10">
        <f t="shared" si="160"/>
        <v>0</v>
      </c>
      <c r="AW228" s="10">
        <f t="shared" si="160"/>
        <v>0</v>
      </c>
      <c r="AX228" s="10">
        <f t="shared" si="160"/>
        <v>0</v>
      </c>
      <c r="AY228" s="10">
        <f t="shared" si="160"/>
        <v>0</v>
      </c>
      <c r="AZ228" s="10">
        <f t="shared" si="160"/>
        <v>0</v>
      </c>
      <c r="BA228" s="10">
        <f t="shared" si="160"/>
        <v>0</v>
      </c>
      <c r="BB228" s="10">
        <f t="shared" si="160"/>
        <v>0</v>
      </c>
      <c r="BC228" s="10">
        <f t="shared" si="160"/>
        <v>0</v>
      </c>
      <c r="BD228" s="10">
        <f t="shared" si="160"/>
        <v>0</v>
      </c>
      <c r="BE228" s="10">
        <f t="shared" si="160"/>
        <v>0</v>
      </c>
      <c r="BF228" s="10">
        <f t="shared" si="160"/>
        <v>0</v>
      </c>
      <c r="BG228" s="10">
        <f t="shared" si="160"/>
        <v>0</v>
      </c>
      <c r="BH228" s="10">
        <f t="shared" si="160"/>
        <v>0</v>
      </c>
      <c r="BI228" s="10">
        <f t="shared" si="160"/>
        <v>0</v>
      </c>
      <c r="BJ228" s="10">
        <f t="shared" si="160"/>
        <v>0</v>
      </c>
      <c r="BK228" s="10">
        <f t="shared" si="160"/>
        <v>0</v>
      </c>
      <c r="BL228" s="10">
        <f t="shared" si="160"/>
        <v>0</v>
      </c>
      <c r="BM228" s="10">
        <f t="shared" si="160"/>
        <v>0</v>
      </c>
      <c r="BN228" s="10">
        <f t="shared" si="160"/>
        <v>0</v>
      </c>
      <c r="BO228" s="10">
        <f t="shared" si="160"/>
        <v>0</v>
      </c>
      <c r="BP228" s="10">
        <f t="shared" si="160"/>
        <v>0</v>
      </c>
      <c r="BQ228" s="10">
        <f t="shared" si="160"/>
        <v>0</v>
      </c>
      <c r="BR228" s="10">
        <f t="shared" si="160"/>
        <v>0</v>
      </c>
      <c r="BS228" s="10">
        <f t="shared" si="160"/>
        <v>0</v>
      </c>
      <c r="BT228" s="10">
        <f t="shared" si="160"/>
        <v>0</v>
      </c>
      <c r="BU228" s="10">
        <f t="shared" si="160"/>
        <v>0</v>
      </c>
      <c r="BV228" s="10">
        <f t="shared" si="160"/>
        <v>0</v>
      </c>
      <c r="BX228" s="12">
        <f t="shared" ref="BX228:CA232" si="161">V228</f>
        <v>0</v>
      </c>
      <c r="BY228" s="12">
        <f t="shared" si="161"/>
        <v>0</v>
      </c>
      <c r="BZ228" s="12">
        <f t="shared" si="161"/>
        <v>0</v>
      </c>
      <c r="CA228" s="12">
        <f t="shared" si="161"/>
        <v>0</v>
      </c>
      <c r="CB228" s="10">
        <f t="shared" ref="CB228:CI228" si="162">CA232</f>
        <v>0</v>
      </c>
      <c r="CC228" s="10">
        <f t="shared" si="162"/>
        <v>0</v>
      </c>
      <c r="CD228" s="10">
        <f t="shared" si="162"/>
        <v>0</v>
      </c>
      <c r="CE228" s="10">
        <f t="shared" si="162"/>
        <v>0</v>
      </c>
      <c r="CF228" s="10">
        <f t="shared" si="162"/>
        <v>0</v>
      </c>
      <c r="CG228" s="10">
        <f t="shared" si="162"/>
        <v>0</v>
      </c>
      <c r="CH228" s="10">
        <f t="shared" si="162"/>
        <v>0</v>
      </c>
      <c r="CI228" s="10">
        <f t="shared" si="162"/>
        <v>0</v>
      </c>
      <c r="CK228" s="11"/>
      <c r="CM228" s="11"/>
      <c r="CY228" s="7" cm="1">
        <f t="array" ref="CY228">SUMPRODUCT(--NOT(ISNUMBER(V228:CI228)),--NOT(ISBLANK(V228:CI228)))</f>
        <v>0</v>
      </c>
      <c r="DF228" s="11"/>
      <c r="DG228">
        <f t="shared" si="127"/>
        <v>0</v>
      </c>
      <c r="DH228">
        <v>1</v>
      </c>
      <c r="DI228">
        <v>0</v>
      </c>
      <c r="EY228" s="12" t="str">
        <f>IF(C228="", "", CONCATENATE(D227, " ",D228))</f>
        <v>Loan 10 Opening Loan Balance</v>
      </c>
    </row>
    <row r="229" spans="1:155" s="5" customFormat="1" x14ac:dyDescent="0.35">
      <c r="A229" s="220" cm="1">
        <f t="array" aca="1" ref="A229" ca="1">HYPERLINK(CONCATENATE("#",CELL("address",IF(MAX($CM229:$DF229)=0,A229,INDEX($CM229:$DF229,MATCH(1,$CM229:$DF229,0))))),MAX($CM229:$DF229))</f>
        <v>0</v>
      </c>
      <c r="B229"/>
      <c r="C229" s="211" t="s">
        <v>1153</v>
      </c>
      <c r="D229" t="s">
        <v>1076</v>
      </c>
      <c r="E229" s="1"/>
      <c r="F229" s="1"/>
      <c r="G229"/>
      <c r="H229" s="9" t="s">
        <v>1074</v>
      </c>
      <c r="I229" s="40" t="s">
        <v>665</v>
      </c>
      <c r="J229"/>
      <c r="K229"/>
      <c r="L229"/>
      <c r="M229"/>
      <c r="N229"/>
      <c r="O229"/>
      <c r="P229"/>
      <c r="Q229"/>
      <c r="R229"/>
      <c r="S229"/>
      <c r="T229"/>
      <c r="U229"/>
      <c r="V229" s="109"/>
      <c r="W229" s="133">
        <f t="shared" ref="W229:Y231" si="163" xml:space="preserve"> SUMIFS($AA229:$BV229, $AA$3:$BV$3, W$3)</f>
        <v>0</v>
      </c>
      <c r="X229" s="133">
        <f t="shared" si="163"/>
        <v>0</v>
      </c>
      <c r="Y229" s="133">
        <f t="shared" si="163"/>
        <v>0</v>
      </c>
      <c r="Z229"/>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c r="BX229" s="12">
        <f t="shared" si="161"/>
        <v>0</v>
      </c>
      <c r="BY229" s="12">
        <f t="shared" si="161"/>
        <v>0</v>
      </c>
      <c r="BZ229" s="12">
        <f t="shared" si="161"/>
        <v>0</v>
      </c>
      <c r="CA229" s="12">
        <f t="shared" si="161"/>
        <v>0</v>
      </c>
      <c r="CB229" s="133">
        <f xml:space="preserve"> SUMIFS($AA229:$BV229, $AA$3:$BV$3, CB$3)</f>
        <v>0</v>
      </c>
      <c r="CC229" s="109"/>
      <c r="CD229" s="109"/>
      <c r="CE229" s="109"/>
      <c r="CF229" s="109"/>
      <c r="CG229" s="109"/>
      <c r="CH229" s="109"/>
      <c r="CI229" s="109"/>
      <c r="CJ229"/>
      <c r="CK229" s="11"/>
      <c r="CL229" s="241">
        <f>IF(MIN($V229:$CI229)&lt;0, 1, 0)</f>
        <v>0</v>
      </c>
      <c r="CM229" s="11"/>
      <c r="CN229"/>
      <c r="CO229"/>
      <c r="CP229"/>
      <c r="CQ229"/>
      <c r="CR229"/>
      <c r="CS229"/>
      <c r="CT229"/>
      <c r="CU229"/>
      <c r="CV229"/>
      <c r="CW229"/>
      <c r="CX229"/>
      <c r="CY229" s="7" cm="1">
        <f t="array" ref="CY229">SUMPRODUCT(--NOT(ISNUMBER(V229:CI229)),--NOT(ISBLANK(V229:CI229)))</f>
        <v>0</v>
      </c>
      <c r="CZ229" s="7">
        <f t="shared" ref="CZ229:DB231" si="164">IF(ROUND(W229-SUMIFS($AA229:$BV229, $AA$3:$BV$3, W$3), rounding)=0, 0, 1)</f>
        <v>0</v>
      </c>
      <c r="DA229" s="7">
        <f t="shared" si="164"/>
        <v>0</v>
      </c>
      <c r="DB229" s="7">
        <f t="shared" si="164"/>
        <v>0</v>
      </c>
      <c r="DC229" s="7">
        <f>IF(ROUND(CB229-SUMIFS($AA229:$BV229, $AA$3:$BV$3, CB$3), rounding)=0, 0, 1)</f>
        <v>0</v>
      </c>
      <c r="DD229" s="7">
        <f>IF(ROUND(V229-BX229, rounding)=0, 0, 1)*'BS Forecasts'!$V$10</f>
        <v>0</v>
      </c>
      <c r="DE229"/>
      <c r="DF229" s="11"/>
      <c r="DG229">
        <f t="shared" si="127"/>
        <v>0</v>
      </c>
      <c r="DH229">
        <v>1</v>
      </c>
      <c r="DI229">
        <v>1</v>
      </c>
      <c r="EY229" s="12" t="str">
        <f>IF(C229="", "", CONCATENATE(D227, " ",D229))</f>
        <v>Loan 10 Drawdowns</v>
      </c>
    </row>
    <row r="230" spans="1:155" x14ac:dyDescent="0.35">
      <c r="A230" s="220" cm="1">
        <f t="array" aca="1" ref="A230" ca="1">HYPERLINK(CONCATENATE("#",CELL("address",IF(MAX($CM230:$DF230)=0,A230,INDEX($CM230:$DF230,MATCH(1,$CM230:$DF230,0))))),MAX($CM230:$DF230))</f>
        <v>0</v>
      </c>
      <c r="C230" s="211" t="s">
        <v>1154</v>
      </c>
      <c r="D230" t="s">
        <v>1078</v>
      </c>
      <c r="H230" s="9" t="s">
        <v>1074</v>
      </c>
      <c r="I230" s="40" t="s">
        <v>1079</v>
      </c>
      <c r="V230" s="109"/>
      <c r="W230" s="133">
        <f t="shared" si="163"/>
        <v>0</v>
      </c>
      <c r="X230" s="133">
        <f t="shared" si="163"/>
        <v>0</v>
      </c>
      <c r="Y230" s="133">
        <f t="shared" si="163"/>
        <v>0</v>
      </c>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X230" s="12">
        <f t="shared" si="161"/>
        <v>0</v>
      </c>
      <c r="BY230" s="12">
        <f t="shared" si="161"/>
        <v>0</v>
      </c>
      <c r="BZ230" s="12">
        <f t="shared" si="161"/>
        <v>0</v>
      </c>
      <c r="CA230" s="12">
        <f t="shared" si="161"/>
        <v>0</v>
      </c>
      <c r="CB230" s="133">
        <f xml:space="preserve"> SUMIFS($AA230:$BV230, $AA$3:$BV$3, CB$3)</f>
        <v>0</v>
      </c>
      <c r="CC230" s="109"/>
      <c r="CD230" s="109"/>
      <c r="CE230" s="109"/>
      <c r="CF230" s="109"/>
      <c r="CG230" s="109"/>
      <c r="CH230" s="109"/>
      <c r="CI230" s="109"/>
      <c r="CK230" s="11"/>
      <c r="CL230" s="241">
        <f>IF(MAX($V230:$CI230)&gt;0, 1, 0)</f>
        <v>0</v>
      </c>
      <c r="CM230" s="11"/>
      <c r="CY230" s="7" cm="1">
        <f t="array" ref="CY230">SUMPRODUCT(--NOT(ISNUMBER(V230:CI230)),--NOT(ISBLANK(V230:CI230)))</f>
        <v>0</v>
      </c>
      <c r="CZ230" s="7">
        <f t="shared" si="164"/>
        <v>0</v>
      </c>
      <c r="DA230" s="7">
        <f t="shared" si="164"/>
        <v>0</v>
      </c>
      <c r="DB230" s="7">
        <f t="shared" si="164"/>
        <v>0</v>
      </c>
      <c r="DC230" s="7">
        <f>IF(ROUND(CB230-SUMIFS($AA230:$BV230, $AA$3:$BV$3, CB$3), rounding)=0, 0, 1)</f>
        <v>0</v>
      </c>
      <c r="DD230" s="7">
        <f>IF(ROUND(V230-BX230, rounding)=0, 0, 1)*'BS Forecasts'!$V$10</f>
        <v>0</v>
      </c>
      <c r="DF230" s="11"/>
      <c r="DG230">
        <f t="shared" si="127"/>
        <v>0</v>
      </c>
      <c r="DH230">
        <v>1</v>
      </c>
      <c r="DI230">
        <v>1</v>
      </c>
      <c r="EY230" s="12" t="str">
        <f>IF(C230="", "", CONCATENATE(D227, " ",D230))</f>
        <v>Loan 10 Loan Capital Repayment (as per loan agreement)</v>
      </c>
    </row>
    <row r="231" spans="1:155" x14ac:dyDescent="0.35">
      <c r="A231" s="220" cm="1">
        <f t="array" aca="1" ref="A231" ca="1">HYPERLINK(CONCATENATE("#",CELL("address",IF(MAX($CM231:$DF231)=0,A231,INDEX($CM231:$DF231,MATCH(1,$CM231:$DF231,0))))),MAX($CM231:$DF231))</f>
        <v>0</v>
      </c>
      <c r="C231" s="211" t="s">
        <v>1155</v>
      </c>
      <c r="D231" t="s">
        <v>1081</v>
      </c>
      <c r="H231" s="9" t="s">
        <v>1074</v>
      </c>
      <c r="I231" s="40" t="s">
        <v>1079</v>
      </c>
      <c r="V231" s="109"/>
      <c r="W231" s="133">
        <f t="shared" si="163"/>
        <v>0</v>
      </c>
      <c r="X231" s="133">
        <f t="shared" si="163"/>
        <v>0</v>
      </c>
      <c r="Y231" s="133">
        <f t="shared" si="163"/>
        <v>0</v>
      </c>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X231" s="12">
        <f t="shared" si="161"/>
        <v>0</v>
      </c>
      <c r="BY231" s="12">
        <f t="shared" si="161"/>
        <v>0</v>
      </c>
      <c r="BZ231" s="12">
        <f t="shared" si="161"/>
        <v>0</v>
      </c>
      <c r="CA231" s="12">
        <f t="shared" si="161"/>
        <v>0</v>
      </c>
      <c r="CB231" s="133">
        <f xml:space="preserve"> SUMIFS($AA231:$BV231, $AA$3:$BV$3, CB$3)</f>
        <v>0</v>
      </c>
      <c r="CC231" s="109"/>
      <c r="CD231" s="109"/>
      <c r="CE231" s="109"/>
      <c r="CF231" s="109"/>
      <c r="CG231" s="109"/>
      <c r="CH231" s="109"/>
      <c r="CI231" s="109"/>
      <c r="CK231" s="11"/>
      <c r="CL231" s="241">
        <f>IF(MAX($V231:$CI231)&gt;0, 1, 0)</f>
        <v>0</v>
      </c>
      <c r="CM231" s="11"/>
      <c r="CY231" s="7" cm="1">
        <f t="array" ref="CY231">SUMPRODUCT(--NOT(ISNUMBER(V231:CI231)),--NOT(ISBLANK(V231:CI231)))</f>
        <v>0</v>
      </c>
      <c r="CZ231" s="7">
        <f t="shared" si="164"/>
        <v>0</v>
      </c>
      <c r="DA231" s="7">
        <f t="shared" si="164"/>
        <v>0</v>
      </c>
      <c r="DB231" s="7">
        <f t="shared" si="164"/>
        <v>0</v>
      </c>
      <c r="DC231" s="7">
        <f>IF(ROUND(CB231-SUMIFS($AA231:$BV231, $AA$3:$BV$3, CB$3), rounding)=0, 0, 1)</f>
        <v>0</v>
      </c>
      <c r="DD231" s="7">
        <f>IF(ROUND(V231-BX231, rounding)=0, 0, 1)*'BS Forecasts'!$V$10</f>
        <v>0</v>
      </c>
      <c r="DF231" s="11"/>
      <c r="DG231">
        <f t="shared" si="127"/>
        <v>0</v>
      </c>
      <c r="DH231">
        <v>1</v>
      </c>
      <c r="DI231">
        <v>1</v>
      </c>
      <c r="EY231" s="12" t="str">
        <f>IF(C231="", "", CONCATENATE(D227, " ",D231))</f>
        <v xml:space="preserve">Loan 10 Early Repayment </v>
      </c>
    </row>
    <row r="232" spans="1:155" x14ac:dyDescent="0.35">
      <c r="C232" s="211" t="s">
        <v>1156</v>
      </c>
      <c r="D232" t="s">
        <v>1083</v>
      </c>
      <c r="H232" s="9" t="s">
        <v>1074</v>
      </c>
      <c r="I232" s="40" t="s">
        <v>317</v>
      </c>
      <c r="V232" s="12">
        <f>$H$22</f>
        <v>0</v>
      </c>
      <c r="W232" s="10">
        <f>SUM(W228:W231)</f>
        <v>0</v>
      </c>
      <c r="X232" s="10">
        <f>SUM(X228:X231)</f>
        <v>0</v>
      </c>
      <c r="Y232" s="10">
        <f>SUM(Y228:Y231)</f>
        <v>0</v>
      </c>
      <c r="AA232" s="10">
        <f t="shared" ref="AA232:BV232" si="165">SUM(AA228:AA231)</f>
        <v>0</v>
      </c>
      <c r="AB232" s="10">
        <f t="shared" si="165"/>
        <v>0</v>
      </c>
      <c r="AC232" s="10">
        <f t="shared" si="165"/>
        <v>0</v>
      </c>
      <c r="AD232" s="10">
        <f t="shared" si="165"/>
        <v>0</v>
      </c>
      <c r="AE232" s="10">
        <f t="shared" si="165"/>
        <v>0</v>
      </c>
      <c r="AF232" s="10">
        <f t="shared" si="165"/>
        <v>0</v>
      </c>
      <c r="AG232" s="10">
        <f t="shared" si="165"/>
        <v>0</v>
      </c>
      <c r="AH232" s="10">
        <f t="shared" si="165"/>
        <v>0</v>
      </c>
      <c r="AI232" s="10">
        <f t="shared" si="165"/>
        <v>0</v>
      </c>
      <c r="AJ232" s="10">
        <f t="shared" si="165"/>
        <v>0</v>
      </c>
      <c r="AK232" s="10">
        <f t="shared" si="165"/>
        <v>0</v>
      </c>
      <c r="AL232" s="10">
        <f t="shared" si="165"/>
        <v>0</v>
      </c>
      <c r="AM232" s="10">
        <f t="shared" si="165"/>
        <v>0</v>
      </c>
      <c r="AN232" s="10">
        <f t="shared" si="165"/>
        <v>0</v>
      </c>
      <c r="AO232" s="10">
        <f t="shared" si="165"/>
        <v>0</v>
      </c>
      <c r="AP232" s="10">
        <f t="shared" si="165"/>
        <v>0</v>
      </c>
      <c r="AQ232" s="10">
        <f t="shared" si="165"/>
        <v>0</v>
      </c>
      <c r="AR232" s="10">
        <f t="shared" si="165"/>
        <v>0</v>
      </c>
      <c r="AS232" s="10">
        <f t="shared" si="165"/>
        <v>0</v>
      </c>
      <c r="AT232" s="10">
        <f t="shared" si="165"/>
        <v>0</v>
      </c>
      <c r="AU232" s="10">
        <f t="shared" si="165"/>
        <v>0</v>
      </c>
      <c r="AV232" s="10">
        <f t="shared" si="165"/>
        <v>0</v>
      </c>
      <c r="AW232" s="10">
        <f t="shared" si="165"/>
        <v>0</v>
      </c>
      <c r="AX232" s="10">
        <f t="shared" si="165"/>
        <v>0</v>
      </c>
      <c r="AY232" s="10">
        <f t="shared" si="165"/>
        <v>0</v>
      </c>
      <c r="AZ232" s="10">
        <f t="shared" si="165"/>
        <v>0</v>
      </c>
      <c r="BA232" s="10">
        <f t="shared" si="165"/>
        <v>0</v>
      </c>
      <c r="BB232" s="10">
        <f t="shared" si="165"/>
        <v>0</v>
      </c>
      <c r="BC232" s="10">
        <f t="shared" si="165"/>
        <v>0</v>
      </c>
      <c r="BD232" s="10">
        <f t="shared" si="165"/>
        <v>0</v>
      </c>
      <c r="BE232" s="10">
        <f t="shared" si="165"/>
        <v>0</v>
      </c>
      <c r="BF232" s="10">
        <f t="shared" si="165"/>
        <v>0</v>
      </c>
      <c r="BG232" s="10">
        <f t="shared" si="165"/>
        <v>0</v>
      </c>
      <c r="BH232" s="10">
        <f t="shared" si="165"/>
        <v>0</v>
      </c>
      <c r="BI232" s="10">
        <f t="shared" si="165"/>
        <v>0</v>
      </c>
      <c r="BJ232" s="10">
        <f t="shared" si="165"/>
        <v>0</v>
      </c>
      <c r="BK232" s="10">
        <f t="shared" si="165"/>
        <v>0</v>
      </c>
      <c r="BL232" s="10">
        <f t="shared" si="165"/>
        <v>0</v>
      </c>
      <c r="BM232" s="10">
        <f t="shared" si="165"/>
        <v>0</v>
      </c>
      <c r="BN232" s="10">
        <f t="shared" si="165"/>
        <v>0</v>
      </c>
      <c r="BO232" s="10">
        <f t="shared" si="165"/>
        <v>0</v>
      </c>
      <c r="BP232" s="10">
        <f t="shared" si="165"/>
        <v>0</v>
      </c>
      <c r="BQ232" s="10">
        <f t="shared" si="165"/>
        <v>0</v>
      </c>
      <c r="BR232" s="10">
        <f t="shared" si="165"/>
        <v>0</v>
      </c>
      <c r="BS232" s="10">
        <f t="shared" si="165"/>
        <v>0</v>
      </c>
      <c r="BT232" s="10">
        <f t="shared" si="165"/>
        <v>0</v>
      </c>
      <c r="BU232" s="10">
        <f t="shared" si="165"/>
        <v>0</v>
      </c>
      <c r="BV232" s="10">
        <f t="shared" si="165"/>
        <v>0</v>
      </c>
      <c r="BX232" s="12">
        <f t="shared" si="161"/>
        <v>0</v>
      </c>
      <c r="BY232" s="12">
        <f t="shared" si="161"/>
        <v>0</v>
      </c>
      <c r="BZ232" s="12">
        <f t="shared" si="161"/>
        <v>0</v>
      </c>
      <c r="CA232" s="12">
        <f t="shared" si="161"/>
        <v>0</v>
      </c>
      <c r="CB232" s="10">
        <f t="shared" ref="CB232:CI232" si="166">SUM(CB228:CB231)</f>
        <v>0</v>
      </c>
      <c r="CC232" s="10">
        <f t="shared" si="166"/>
        <v>0</v>
      </c>
      <c r="CD232" s="10">
        <f t="shared" si="166"/>
        <v>0</v>
      </c>
      <c r="CE232" s="10">
        <f t="shared" si="166"/>
        <v>0</v>
      </c>
      <c r="CF232" s="10">
        <f t="shared" si="166"/>
        <v>0</v>
      </c>
      <c r="CG232" s="10">
        <f t="shared" si="166"/>
        <v>0</v>
      </c>
      <c r="CH232" s="10">
        <f t="shared" si="166"/>
        <v>0</v>
      </c>
      <c r="CI232" s="10">
        <f t="shared" si="166"/>
        <v>0</v>
      </c>
      <c r="CK232" s="11"/>
      <c r="CM232" s="11"/>
      <c r="DF232" s="11"/>
      <c r="DG232">
        <f t="shared" si="127"/>
        <v>0</v>
      </c>
      <c r="DH232">
        <v>0</v>
      </c>
      <c r="DI232">
        <v>0</v>
      </c>
      <c r="EY232" s="12" t="str">
        <f>IF(C232="", "", CONCATENATE(D227, " ",D232))</f>
        <v>Loan 10 Closing Loan Balance</v>
      </c>
    </row>
    <row r="233" spans="1:155" ht="6.75" customHeight="1" x14ac:dyDescent="0.35">
      <c r="C233" s="211"/>
      <c r="D233" s="1"/>
      <c r="E233"/>
      <c r="F233"/>
      <c r="BY233" s="6"/>
      <c r="CK233" s="35"/>
      <c r="CM233" s="35"/>
      <c r="DF233" s="35"/>
      <c r="DG233">
        <f t="shared" si="127"/>
        <v>0</v>
      </c>
      <c r="DH233">
        <v>0</v>
      </c>
      <c r="DI233">
        <v>0</v>
      </c>
      <c r="EY233" s="12" t="str">
        <f>IF(C233="", "", CONCATENATE(D227, " ",D233))</f>
        <v/>
      </c>
    </row>
    <row r="234" spans="1:155" x14ac:dyDescent="0.35">
      <c r="A234" s="220" cm="1">
        <f t="array" aca="1" ref="A234" ca="1">HYPERLINK(CONCATENATE("#",CELL("address",IF(MAX($CM234:$DF234)=0,A234,INDEX($CM234:$DF234,MATCH(1,$CM234:$DF234,0))))),MAX($CM234:$DF234))</f>
        <v>0</v>
      </c>
      <c r="C234" s="211"/>
      <c r="D234" t="s">
        <v>1084</v>
      </c>
      <c r="E234" s="118" t="s">
        <v>1085</v>
      </c>
      <c r="F234" s="118"/>
      <c r="G234" s="10">
        <f>$G$22</f>
        <v>0</v>
      </c>
      <c r="V234" s="7">
        <f>IF(OR(V232&gt;$G234, V232&lt;0), 1, 0)</f>
        <v>0</v>
      </c>
      <c r="W234" s="7">
        <f>IF(OR(W232&gt;$G234, W232&lt;0), 1, 0)</f>
        <v>0</v>
      </c>
      <c r="X234" s="7">
        <f>IF(OR(X232&gt;$G234, X232&lt;0), 1, 0)</f>
        <v>0</v>
      </c>
      <c r="Y234" s="7">
        <f>IF(OR(Y232&gt;$G234, Y232&lt;0), 1, 0)</f>
        <v>0</v>
      </c>
      <c r="AA234" s="7">
        <f t="shared" ref="AA234:BV234" si="167">IF(OR(AA232&gt;$G234, AA232&lt;0), 1, 0)</f>
        <v>0</v>
      </c>
      <c r="AB234" s="7">
        <f t="shared" si="167"/>
        <v>0</v>
      </c>
      <c r="AC234" s="7">
        <f t="shared" si="167"/>
        <v>0</v>
      </c>
      <c r="AD234" s="7">
        <f t="shared" si="167"/>
        <v>0</v>
      </c>
      <c r="AE234" s="7">
        <f t="shared" si="167"/>
        <v>0</v>
      </c>
      <c r="AF234" s="7">
        <f t="shared" si="167"/>
        <v>0</v>
      </c>
      <c r="AG234" s="7">
        <f t="shared" si="167"/>
        <v>0</v>
      </c>
      <c r="AH234" s="7">
        <f t="shared" si="167"/>
        <v>0</v>
      </c>
      <c r="AI234" s="7">
        <f t="shared" si="167"/>
        <v>0</v>
      </c>
      <c r="AJ234" s="7">
        <f t="shared" si="167"/>
        <v>0</v>
      </c>
      <c r="AK234" s="7">
        <f t="shared" si="167"/>
        <v>0</v>
      </c>
      <c r="AL234" s="7">
        <f t="shared" si="167"/>
        <v>0</v>
      </c>
      <c r="AM234" s="7">
        <f t="shared" si="167"/>
        <v>0</v>
      </c>
      <c r="AN234" s="7">
        <f t="shared" si="167"/>
        <v>0</v>
      </c>
      <c r="AO234" s="7">
        <f t="shared" si="167"/>
        <v>0</v>
      </c>
      <c r="AP234" s="7">
        <f t="shared" si="167"/>
        <v>0</v>
      </c>
      <c r="AQ234" s="7">
        <f t="shared" si="167"/>
        <v>0</v>
      </c>
      <c r="AR234" s="7">
        <f t="shared" si="167"/>
        <v>0</v>
      </c>
      <c r="AS234" s="7">
        <f t="shared" si="167"/>
        <v>0</v>
      </c>
      <c r="AT234" s="7">
        <f t="shared" si="167"/>
        <v>0</v>
      </c>
      <c r="AU234" s="7">
        <f t="shared" si="167"/>
        <v>0</v>
      </c>
      <c r="AV234" s="7">
        <f t="shared" si="167"/>
        <v>0</v>
      </c>
      <c r="AW234" s="7">
        <f t="shared" si="167"/>
        <v>0</v>
      </c>
      <c r="AX234" s="7">
        <f t="shared" si="167"/>
        <v>0</v>
      </c>
      <c r="AY234" s="7">
        <f t="shared" si="167"/>
        <v>0</v>
      </c>
      <c r="AZ234" s="7">
        <f t="shared" si="167"/>
        <v>0</v>
      </c>
      <c r="BA234" s="7">
        <f t="shared" si="167"/>
        <v>0</v>
      </c>
      <c r="BB234" s="7">
        <f t="shared" si="167"/>
        <v>0</v>
      </c>
      <c r="BC234" s="7">
        <f t="shared" si="167"/>
        <v>0</v>
      </c>
      <c r="BD234" s="7">
        <f t="shared" si="167"/>
        <v>0</v>
      </c>
      <c r="BE234" s="7">
        <f t="shared" si="167"/>
        <v>0</v>
      </c>
      <c r="BF234" s="7">
        <f t="shared" si="167"/>
        <v>0</v>
      </c>
      <c r="BG234" s="7">
        <f t="shared" si="167"/>
        <v>0</v>
      </c>
      <c r="BH234" s="7">
        <f t="shared" si="167"/>
        <v>0</v>
      </c>
      <c r="BI234" s="7">
        <f t="shared" si="167"/>
        <v>0</v>
      </c>
      <c r="BJ234" s="7">
        <f t="shared" si="167"/>
        <v>0</v>
      </c>
      <c r="BK234" s="7">
        <f t="shared" si="167"/>
        <v>0</v>
      </c>
      <c r="BL234" s="7">
        <f t="shared" si="167"/>
        <v>0</v>
      </c>
      <c r="BM234" s="7">
        <f t="shared" si="167"/>
        <v>0</v>
      </c>
      <c r="BN234" s="7">
        <f t="shared" si="167"/>
        <v>0</v>
      </c>
      <c r="BO234" s="7">
        <f t="shared" si="167"/>
        <v>0</v>
      </c>
      <c r="BP234" s="7">
        <f t="shared" si="167"/>
        <v>0</v>
      </c>
      <c r="BQ234" s="7">
        <f t="shared" si="167"/>
        <v>0</v>
      </c>
      <c r="BR234" s="7">
        <f t="shared" si="167"/>
        <v>0</v>
      </c>
      <c r="BS234" s="7">
        <f t="shared" si="167"/>
        <v>0</v>
      </c>
      <c r="BT234" s="7">
        <f t="shared" si="167"/>
        <v>0</v>
      </c>
      <c r="BU234" s="7">
        <f t="shared" si="167"/>
        <v>0</v>
      </c>
      <c r="BV234" s="7">
        <f t="shared" si="167"/>
        <v>0</v>
      </c>
      <c r="BX234" s="7">
        <f t="shared" ref="BX234:CI234" si="168">IF(OR(BX232&gt;$G234, BX232&lt;0), 1, 0)</f>
        <v>0</v>
      </c>
      <c r="BY234" s="7">
        <f t="shared" si="168"/>
        <v>0</v>
      </c>
      <c r="BZ234" s="7">
        <f t="shared" si="168"/>
        <v>0</v>
      </c>
      <c r="CA234" s="7">
        <f t="shared" si="168"/>
        <v>0</v>
      </c>
      <c r="CB234" s="7">
        <f t="shared" si="168"/>
        <v>0</v>
      </c>
      <c r="CC234" s="7">
        <f t="shared" si="168"/>
        <v>0</v>
      </c>
      <c r="CD234" s="7">
        <f t="shared" si="168"/>
        <v>0</v>
      </c>
      <c r="CE234" s="7">
        <f t="shared" si="168"/>
        <v>0</v>
      </c>
      <c r="CF234" s="7">
        <f t="shared" si="168"/>
        <v>0</v>
      </c>
      <c r="CG234" s="7">
        <f t="shared" si="168"/>
        <v>0</v>
      </c>
      <c r="CH234" s="7">
        <f t="shared" si="168"/>
        <v>0</v>
      </c>
      <c r="CI234" s="7">
        <f t="shared" si="168"/>
        <v>0</v>
      </c>
      <c r="CK234" s="11"/>
      <c r="CM234" s="11"/>
      <c r="CX234" s="7">
        <f>IF(MAX(V234:CI234)&gt;0, 1, 0)</f>
        <v>0</v>
      </c>
      <c r="DF234" s="11"/>
      <c r="DG234">
        <f t="shared" si="127"/>
        <v>1</v>
      </c>
      <c r="DH234">
        <v>0</v>
      </c>
      <c r="DI234">
        <v>0</v>
      </c>
      <c r="EY234" s="12" t="str">
        <f>IF(C234="", "", CONCATENATE(D227, " ",D234))</f>
        <v/>
      </c>
    </row>
    <row r="235" spans="1:155" x14ac:dyDescent="0.35">
      <c r="A235" s="220" cm="1">
        <f t="array" aca="1" ref="A235" ca="1">HYPERLINK(CONCATENATE("#",CELL("address",IF(MAX($CM235:$DF235)=0,A235,INDEX($CM235:$DF235,MATCH(1,$CM235:$DF235,0))))),MAX($CM235:$DF235))</f>
        <v>0</v>
      </c>
      <c r="C235" s="211"/>
      <c r="D235" t="s">
        <v>1086</v>
      </c>
      <c r="E235" s="118" t="s">
        <v>1087</v>
      </c>
      <c r="F235" s="118"/>
      <c r="G235" s="117" t="str">
        <f>IF($K$22="", "", $K$22)</f>
        <v/>
      </c>
      <c r="V235" s="7">
        <f>IF(AND(V$5&gt;=$G235,SUM(V232:$Y232)&lt;&gt;0),1,0)</f>
        <v>0</v>
      </c>
      <c r="W235" s="7">
        <f>IF(AND(W$5&gt;=$G235,SUM(W232:$Y232)&lt;&gt;0),1,0)</f>
        <v>0</v>
      </c>
      <c r="X235" s="7">
        <f>IF(AND(X$5&gt;=$G235,SUM(X232:$Y232)&lt;&gt;0),1,0)</f>
        <v>0</v>
      </c>
      <c r="Y235" s="7">
        <f>IF(AND(Y$5&gt;=$G235,SUM(Y232:$Y232)&lt;&gt;0),1,0)</f>
        <v>0</v>
      </c>
      <c r="AA235" s="7">
        <f>IF(AND(AA$5&gt;=$G235,SUM(AA232:$BV232)&lt;&gt;0),1,0)</f>
        <v>0</v>
      </c>
      <c r="AB235" s="7">
        <f>IF(AND(AB$5&gt;=$G235,SUM(AB232:$BV232)&lt;&gt;0),1,0)</f>
        <v>0</v>
      </c>
      <c r="AC235" s="7">
        <f>IF(AND(AC$5&gt;=$G235,SUM(AC232:$BV232)&lt;&gt;0),1,0)</f>
        <v>0</v>
      </c>
      <c r="AD235" s="7">
        <f>IF(AND(AD$5&gt;=$G235,SUM(AD232:$BV232)&lt;&gt;0),1,0)</f>
        <v>0</v>
      </c>
      <c r="AE235" s="7">
        <f>IF(AND(AE$5&gt;=$G235,SUM(AE232:$BV232)&lt;&gt;0),1,0)</f>
        <v>0</v>
      </c>
      <c r="AF235" s="7">
        <f>IF(AND(AF$5&gt;=$G235,SUM(AF232:$BV232)&lt;&gt;0),1,0)</f>
        <v>0</v>
      </c>
      <c r="AG235" s="7">
        <f>IF(AND(AG$5&gt;=$G235,SUM(AG232:$BV232)&lt;&gt;0),1,0)</f>
        <v>0</v>
      </c>
      <c r="AH235" s="7">
        <f>IF(AND(AH$5&gt;=$G235,SUM(AH232:$BV232)&lt;&gt;0),1,0)</f>
        <v>0</v>
      </c>
      <c r="AI235" s="7">
        <f>IF(AND(AI$5&gt;=$G235,SUM(AI232:$BV232)&lt;&gt;0),1,0)</f>
        <v>0</v>
      </c>
      <c r="AJ235" s="7">
        <f>IF(AND(AJ$5&gt;=$G235,SUM(AJ232:$BV232)&lt;&gt;0),1,0)</f>
        <v>0</v>
      </c>
      <c r="AK235" s="7">
        <f>IF(AND(AK$5&gt;=$G235,SUM(AK232:$BV232)&lt;&gt;0),1,0)</f>
        <v>0</v>
      </c>
      <c r="AL235" s="7">
        <f>IF(AND(AL$5&gt;=$G235,SUM(AL232:$BV232)&lt;&gt;0),1,0)</f>
        <v>0</v>
      </c>
      <c r="AM235" s="7">
        <f>IF(AND(AM$5&gt;=$G235,SUM(AM232:$BV232)&lt;&gt;0),1,0)</f>
        <v>0</v>
      </c>
      <c r="AN235" s="7">
        <f>IF(AND(AN$5&gt;=$G235,SUM(AN232:$BV232)&lt;&gt;0),1,0)</f>
        <v>0</v>
      </c>
      <c r="AO235" s="7">
        <f>IF(AND(AO$5&gt;=$G235,SUM(AO232:$BV232)&lt;&gt;0),1,0)</f>
        <v>0</v>
      </c>
      <c r="AP235" s="7">
        <f>IF(AND(AP$5&gt;=$G235,SUM(AP232:$BV232)&lt;&gt;0),1,0)</f>
        <v>0</v>
      </c>
      <c r="AQ235" s="7">
        <f>IF(AND(AQ$5&gt;=$G235,SUM(AQ232:$BV232)&lt;&gt;0),1,0)</f>
        <v>0</v>
      </c>
      <c r="AR235" s="7">
        <f>IF(AND(AR$5&gt;=$G235,SUM(AR232:$BV232)&lt;&gt;0),1,0)</f>
        <v>0</v>
      </c>
      <c r="AS235" s="7">
        <f>IF(AND(AS$5&gt;=$G235,SUM(AS232:$BV232)&lt;&gt;0),1,0)</f>
        <v>0</v>
      </c>
      <c r="AT235" s="7">
        <f>IF(AND(AT$5&gt;=$G235,SUM(AT232:$BV232)&lt;&gt;0),1,0)</f>
        <v>0</v>
      </c>
      <c r="AU235" s="7">
        <f>IF(AND(AU$5&gt;=$G235,SUM(AU232:$BV232)&lt;&gt;0),1,0)</f>
        <v>0</v>
      </c>
      <c r="AV235" s="7">
        <f>IF(AND(AV$5&gt;=$G235,SUM(AV232:$BV232)&lt;&gt;0),1,0)</f>
        <v>0</v>
      </c>
      <c r="AW235" s="7">
        <f>IF(AND(AW$5&gt;=$G235,SUM(AW232:$BV232)&lt;&gt;0),1,0)</f>
        <v>0</v>
      </c>
      <c r="AX235" s="7">
        <f>IF(AND(AX$5&gt;=$G235,SUM(AX232:$BV232)&lt;&gt;0),1,0)</f>
        <v>0</v>
      </c>
      <c r="AY235" s="7">
        <f>IF(AND(AY$5&gt;=$G235,SUM(AY232:$BV232)&lt;&gt;0),1,0)</f>
        <v>0</v>
      </c>
      <c r="AZ235" s="7">
        <f>IF(AND(AZ$5&gt;=$G235,SUM(AZ232:$BV232)&lt;&gt;0),1,0)</f>
        <v>0</v>
      </c>
      <c r="BA235" s="7">
        <f>IF(AND(BA$5&gt;=$G235,SUM(BA232:$BV232)&lt;&gt;0),1,0)</f>
        <v>0</v>
      </c>
      <c r="BB235" s="7">
        <f>IF(AND(BB$5&gt;=$G235,SUM(BB232:$BV232)&lt;&gt;0),1,0)</f>
        <v>0</v>
      </c>
      <c r="BC235" s="7">
        <f>IF(AND(BC$5&gt;=$G235,SUM(BC232:$BV232)&lt;&gt;0),1,0)</f>
        <v>0</v>
      </c>
      <c r="BD235" s="7">
        <f>IF(AND(BD$5&gt;=$G235,SUM(BD232:$BV232)&lt;&gt;0),1,0)</f>
        <v>0</v>
      </c>
      <c r="BE235" s="7">
        <f>IF(AND(BE$5&gt;=$G235,SUM(BE232:$BV232)&lt;&gt;0),1,0)</f>
        <v>0</v>
      </c>
      <c r="BF235" s="7">
        <f>IF(AND(BF$5&gt;=$G235,SUM(BF232:$BV232)&lt;&gt;0),1,0)</f>
        <v>0</v>
      </c>
      <c r="BG235" s="7">
        <f>IF(AND(BG$5&gt;=$G235,SUM(BG232:$BV232)&lt;&gt;0),1,0)</f>
        <v>0</v>
      </c>
      <c r="BH235" s="7">
        <f>IF(AND(BH$5&gt;=$G235,SUM(BH232:$BV232)&lt;&gt;0),1,0)</f>
        <v>0</v>
      </c>
      <c r="BI235" s="7">
        <f>IF(AND(BI$5&gt;=$G235,SUM(BI232:$BV232)&lt;&gt;0),1,0)</f>
        <v>0</v>
      </c>
      <c r="BJ235" s="7">
        <f>IF(AND(BJ$5&gt;=$G235,SUM(BJ232:$BV232)&lt;&gt;0),1,0)</f>
        <v>0</v>
      </c>
      <c r="BK235" s="7">
        <f>IF(AND(BK$5&gt;=$G235,SUM(BK232:$BV232)&lt;&gt;0),1,0)</f>
        <v>0</v>
      </c>
      <c r="BL235" s="7">
        <f>IF(AND(BL$5&gt;=$G235,SUM(BL232:$BV232)&lt;&gt;0),1,0)</f>
        <v>0</v>
      </c>
      <c r="BM235" s="7">
        <f>IF(AND(BM$5&gt;=$G235,SUM(BM232:$BV232)&lt;&gt;0),1,0)</f>
        <v>0</v>
      </c>
      <c r="BN235" s="7">
        <f>IF(AND(BN$5&gt;=$G235,SUM(BN232:$BV232)&lt;&gt;0),1,0)</f>
        <v>0</v>
      </c>
      <c r="BO235" s="7">
        <f>IF(AND(BO$5&gt;=$G235,SUM(BO232:$BV232)&lt;&gt;0),1,0)</f>
        <v>0</v>
      </c>
      <c r="BP235" s="7">
        <f>IF(AND(BP$5&gt;=$G235,SUM(BP232:$BV232)&lt;&gt;0),1,0)</f>
        <v>0</v>
      </c>
      <c r="BQ235" s="7">
        <f>IF(AND(BQ$5&gt;=$G235,SUM(BQ232:$BV232)&lt;&gt;0),1,0)</f>
        <v>0</v>
      </c>
      <c r="BR235" s="7">
        <f>IF(AND(BR$5&gt;=$G235,SUM(BR232:$BV232)&lt;&gt;0),1,0)</f>
        <v>0</v>
      </c>
      <c r="BS235" s="7">
        <f>IF(AND(BS$5&gt;=$G235,SUM(BS232:$BV232)&lt;&gt;0),1,0)</f>
        <v>0</v>
      </c>
      <c r="BT235" s="7">
        <f>IF(AND(BT$5&gt;=$G235,SUM(BT232:$BV232)&lt;&gt;0),1,0)</f>
        <v>0</v>
      </c>
      <c r="BU235" s="7">
        <f>IF(AND(BU$5&gt;=$G235,SUM(BU232:$BV232)&lt;&gt;0),1,0)</f>
        <v>0</v>
      </c>
      <c r="BV235" s="7">
        <f>IF(AND(BV$5&gt;=$G235,SUM(BV232:$BV232)&lt;&gt;0),1,0)</f>
        <v>0</v>
      </c>
      <c r="BX235" s="7">
        <f>IF(AND(BX$5&gt;=$G235,SUM(BX232:$CI232)&lt;&gt;0),1,0)*BX$1159</f>
        <v>0</v>
      </c>
      <c r="BY235" s="7">
        <f>IF(AND(BY$5&gt;=$G235,SUM(BY232:$CI232)&lt;&gt;0),1,0)*BY$1159</f>
        <v>0</v>
      </c>
      <c r="BZ235" s="7">
        <f>IF(AND(BZ$5&gt;=$G235,SUM(BZ232:$CI232)&lt;&gt;0),1,0)*BZ$1159</f>
        <v>0</v>
      </c>
      <c r="CA235" s="7">
        <f>IF(AND(CA$5&gt;=$G235,SUM(CA232:$CI232)&lt;&gt;0),1,0)*CA$1159</f>
        <v>0</v>
      </c>
      <c r="CB235" s="7">
        <f>IF(AND(CB$5&gt;=$G235,SUM(CB232:$CI232)&lt;&gt;0),1,0)*CB$1159</f>
        <v>0</v>
      </c>
      <c r="CC235" s="7">
        <f>IF(AND(CC$5&gt;=$G235,SUM(CC232:$CI232)&lt;&gt;0),1,0)*CC$1159</f>
        <v>0</v>
      </c>
      <c r="CD235" s="7">
        <f>IF(AND(CD$5&gt;=$G235,SUM(CD232:$CI232)&lt;&gt;0),1,0)*CD$1159</f>
        <v>0</v>
      </c>
      <c r="CE235" s="7">
        <f>IF(AND(CE$5&gt;=$G235,SUM(CE232:$CI232)&lt;&gt;0),1,0)*CE$1159</f>
        <v>0</v>
      </c>
      <c r="CF235" s="7">
        <f>IF(AND(CF$5&gt;=$G235,SUM(CF232:$CI232)&lt;&gt;0),1,0)*CF$1159</f>
        <v>0</v>
      </c>
      <c r="CG235" s="7">
        <f>IF(AND(CG$5&gt;=$G235,SUM(CG232:$CI232)&lt;&gt;0),1,0)*CG$1159</f>
        <v>0</v>
      </c>
      <c r="CH235" s="7">
        <f>IF(AND(CH$5&gt;=$G235,SUM(CH232:$CI232)&lt;&gt;0),1,0)*CH$1159</f>
        <v>0</v>
      </c>
      <c r="CI235" s="7">
        <f>IF(AND(CI$5&gt;=$G235,SUM(CI232:$CI232)&lt;&gt;0),1,0)*CI$1159</f>
        <v>0</v>
      </c>
      <c r="CK235" s="11"/>
      <c r="CM235" s="11"/>
      <c r="CX235" s="7">
        <f>IF(MAX($V235:$CI235)&gt;0, 1, 0)</f>
        <v>0</v>
      </c>
      <c r="DF235" s="11"/>
      <c r="DG235">
        <f t="shared" si="127"/>
        <v>1</v>
      </c>
      <c r="DH235">
        <v>0</v>
      </c>
      <c r="DI235">
        <v>0</v>
      </c>
      <c r="EY235" s="12" t="str">
        <f>IF(C235="", "", CONCATENATE(D227, " ",D235))</f>
        <v/>
      </c>
    </row>
    <row r="236" spans="1:155" ht="6.75" customHeight="1" x14ac:dyDescent="0.35">
      <c r="C236" s="211"/>
      <c r="D236" s="1"/>
      <c r="E236"/>
      <c r="F236"/>
      <c r="BY236" s="6"/>
      <c r="CK236" s="35"/>
      <c r="CM236" s="35"/>
      <c r="DF236" s="35"/>
      <c r="DG236">
        <f t="shared" si="127"/>
        <v>0</v>
      </c>
      <c r="DH236">
        <v>0</v>
      </c>
      <c r="DI236">
        <v>0</v>
      </c>
      <c r="EY236" s="12" t="str">
        <f>IF(C236="", "", CONCATENATE(D227, " ",D236))</f>
        <v/>
      </c>
    </row>
    <row r="237" spans="1:155" x14ac:dyDescent="0.35">
      <c r="C237" s="211"/>
      <c r="D237" t="s">
        <v>1088</v>
      </c>
      <c r="H237" s="9" t="s">
        <v>1074</v>
      </c>
      <c r="I237" s="40" t="s">
        <v>317</v>
      </c>
      <c r="V237" s="109"/>
      <c r="W237" s="133">
        <f>V240</f>
        <v>0</v>
      </c>
      <c r="X237" s="133">
        <f>W240</f>
        <v>0</v>
      </c>
      <c r="Y237" s="10">
        <f>X240</f>
        <v>0</v>
      </c>
      <c r="AA237" s="12">
        <f>W237</f>
        <v>0</v>
      </c>
      <c r="AB237" s="10">
        <f t="shared" ref="AB237:BV237" si="169">AA240</f>
        <v>0</v>
      </c>
      <c r="AC237" s="10">
        <f t="shared" si="169"/>
        <v>0</v>
      </c>
      <c r="AD237" s="10">
        <f t="shared" si="169"/>
        <v>0</v>
      </c>
      <c r="AE237" s="10">
        <f t="shared" si="169"/>
        <v>0</v>
      </c>
      <c r="AF237" s="10">
        <f t="shared" si="169"/>
        <v>0</v>
      </c>
      <c r="AG237" s="10">
        <f t="shared" si="169"/>
        <v>0</v>
      </c>
      <c r="AH237" s="10">
        <f t="shared" si="169"/>
        <v>0</v>
      </c>
      <c r="AI237" s="10">
        <f t="shared" si="169"/>
        <v>0</v>
      </c>
      <c r="AJ237" s="10">
        <f t="shared" si="169"/>
        <v>0</v>
      </c>
      <c r="AK237" s="10">
        <f t="shared" si="169"/>
        <v>0</v>
      </c>
      <c r="AL237" s="10">
        <f t="shared" si="169"/>
        <v>0</v>
      </c>
      <c r="AM237" s="10">
        <f t="shared" si="169"/>
        <v>0</v>
      </c>
      <c r="AN237" s="10">
        <f t="shared" si="169"/>
        <v>0</v>
      </c>
      <c r="AO237" s="10">
        <f t="shared" si="169"/>
        <v>0</v>
      </c>
      <c r="AP237" s="10">
        <f t="shared" si="169"/>
        <v>0</v>
      </c>
      <c r="AQ237" s="10">
        <f t="shared" si="169"/>
        <v>0</v>
      </c>
      <c r="AR237" s="10">
        <f t="shared" si="169"/>
        <v>0</v>
      </c>
      <c r="AS237" s="10">
        <f t="shared" si="169"/>
        <v>0</v>
      </c>
      <c r="AT237" s="10">
        <f t="shared" si="169"/>
        <v>0</v>
      </c>
      <c r="AU237" s="10">
        <f t="shared" si="169"/>
        <v>0</v>
      </c>
      <c r="AV237" s="10">
        <f t="shared" si="169"/>
        <v>0</v>
      </c>
      <c r="AW237" s="10">
        <f t="shared" si="169"/>
        <v>0</v>
      </c>
      <c r="AX237" s="10">
        <f t="shared" si="169"/>
        <v>0</v>
      </c>
      <c r="AY237" s="10">
        <f t="shared" si="169"/>
        <v>0</v>
      </c>
      <c r="AZ237" s="10">
        <f t="shared" si="169"/>
        <v>0</v>
      </c>
      <c r="BA237" s="10">
        <f t="shared" si="169"/>
        <v>0</v>
      </c>
      <c r="BB237" s="10">
        <f t="shared" si="169"/>
        <v>0</v>
      </c>
      <c r="BC237" s="10">
        <f t="shared" si="169"/>
        <v>0</v>
      </c>
      <c r="BD237" s="10">
        <f t="shared" si="169"/>
        <v>0</v>
      </c>
      <c r="BE237" s="10">
        <f t="shared" si="169"/>
        <v>0</v>
      </c>
      <c r="BF237" s="10">
        <f t="shared" si="169"/>
        <v>0</v>
      </c>
      <c r="BG237" s="10">
        <f t="shared" si="169"/>
        <v>0</v>
      </c>
      <c r="BH237" s="10">
        <f t="shared" si="169"/>
        <v>0</v>
      </c>
      <c r="BI237" s="10">
        <f t="shared" si="169"/>
        <v>0</v>
      </c>
      <c r="BJ237" s="10">
        <f t="shared" si="169"/>
        <v>0</v>
      </c>
      <c r="BK237" s="10">
        <f t="shared" si="169"/>
        <v>0</v>
      </c>
      <c r="BL237" s="10">
        <f t="shared" si="169"/>
        <v>0</v>
      </c>
      <c r="BM237" s="10">
        <f t="shared" si="169"/>
        <v>0</v>
      </c>
      <c r="BN237" s="10">
        <f t="shared" si="169"/>
        <v>0</v>
      </c>
      <c r="BO237" s="10">
        <f t="shared" si="169"/>
        <v>0</v>
      </c>
      <c r="BP237" s="10">
        <f t="shared" si="169"/>
        <v>0</v>
      </c>
      <c r="BQ237" s="10">
        <f t="shared" si="169"/>
        <v>0</v>
      </c>
      <c r="BR237" s="10">
        <f t="shared" si="169"/>
        <v>0</v>
      </c>
      <c r="BS237" s="10">
        <f t="shared" si="169"/>
        <v>0</v>
      </c>
      <c r="BT237" s="10">
        <f t="shared" si="169"/>
        <v>0</v>
      </c>
      <c r="BU237" s="10">
        <f t="shared" si="169"/>
        <v>0</v>
      </c>
      <c r="BV237" s="10">
        <f t="shared" si="169"/>
        <v>0</v>
      </c>
      <c r="BX237" s="12">
        <f t="shared" ref="BX237:CA240" si="170">V237</f>
        <v>0</v>
      </c>
      <c r="BY237" s="12">
        <f t="shared" si="170"/>
        <v>0</v>
      </c>
      <c r="BZ237" s="12">
        <f t="shared" si="170"/>
        <v>0</v>
      </c>
      <c r="CA237" s="12">
        <f t="shared" si="170"/>
        <v>0</v>
      </c>
      <c r="CB237" s="10">
        <f t="shared" ref="CB237:CI237" si="171">CA240</f>
        <v>0</v>
      </c>
      <c r="CC237" s="10">
        <f t="shared" si="171"/>
        <v>0</v>
      </c>
      <c r="CD237" s="10">
        <f t="shared" si="171"/>
        <v>0</v>
      </c>
      <c r="CE237" s="10">
        <f t="shared" si="171"/>
        <v>0</v>
      </c>
      <c r="CF237" s="10">
        <f t="shared" si="171"/>
        <v>0</v>
      </c>
      <c r="CG237" s="10">
        <f t="shared" si="171"/>
        <v>0</v>
      </c>
      <c r="CH237" s="10">
        <f t="shared" si="171"/>
        <v>0</v>
      </c>
      <c r="CI237" s="10">
        <f t="shared" si="171"/>
        <v>0</v>
      </c>
      <c r="CK237" s="11"/>
      <c r="CM237" s="11"/>
      <c r="CY237" s="7" cm="1">
        <f t="array" ref="CY237">SUMPRODUCT(--NOT(ISNUMBER(V237:CI237)),--NOT(ISBLANK(V237:CI237)))</f>
        <v>0</v>
      </c>
      <c r="DF237" s="11"/>
      <c r="DG237">
        <f t="shared" si="127"/>
        <v>0</v>
      </c>
      <c r="DH237">
        <v>1</v>
      </c>
      <c r="DI237">
        <v>0</v>
      </c>
      <c r="EY237" s="12" t="str">
        <f>IF(C237="", "", CONCATENATE(D227, " ",D237))</f>
        <v/>
      </c>
    </row>
    <row r="238" spans="1:155" s="5" customFormat="1" x14ac:dyDescent="0.35">
      <c r="A238" s="220" cm="1">
        <f t="array" aca="1" ref="A238" ca="1">HYPERLINK(CONCATENATE("#",CELL("address",IF(MAX($CM238:$DF238)=0,A238,INDEX($CM238:$DF238,MATCH(1,$CM238:$DF238,0))))),MAX($CM238:$DF238))</f>
        <v>0</v>
      </c>
      <c r="B238" s="85" t="s">
        <v>122</v>
      </c>
      <c r="C238" s="211"/>
      <c r="D238" t="s">
        <v>1089</v>
      </c>
      <c r="E238" s="1"/>
      <c r="F238" s="1"/>
      <c r="G238"/>
      <c r="H238" s="9" t="s">
        <v>1074</v>
      </c>
      <c r="I238" s="40" t="s">
        <v>665</v>
      </c>
      <c r="J238"/>
      <c r="K238"/>
      <c r="L238"/>
      <c r="M238"/>
      <c r="N238"/>
      <c r="O238"/>
      <c r="P238"/>
      <c r="Q238"/>
      <c r="R238"/>
      <c r="S238"/>
      <c r="T238"/>
      <c r="U238"/>
      <c r="V238" s="109"/>
      <c r="W238" s="133">
        <f t="shared" ref="W238:Y239" si="172" xml:space="preserve"> SUMIFS($AA238:$BV238, $AA$3:$BV$3, W$3)</f>
        <v>0</v>
      </c>
      <c r="X238" s="133">
        <f t="shared" si="172"/>
        <v>0</v>
      </c>
      <c r="Y238" s="133">
        <f t="shared" si="172"/>
        <v>0</v>
      </c>
      <c r="Z238"/>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c r="BX238" s="12">
        <f t="shared" si="170"/>
        <v>0</v>
      </c>
      <c r="BY238" s="12">
        <f t="shared" si="170"/>
        <v>0</v>
      </c>
      <c r="BZ238" s="12">
        <f t="shared" si="170"/>
        <v>0</v>
      </c>
      <c r="CA238" s="12">
        <f t="shared" si="170"/>
        <v>0</v>
      </c>
      <c r="CB238" s="133">
        <f xml:space="preserve"> SUMIFS($AA238:$BV238, $AA$3:$BV$3, CB$3)</f>
        <v>0</v>
      </c>
      <c r="CC238" s="109"/>
      <c r="CD238" s="109"/>
      <c r="CE238" s="109"/>
      <c r="CF238" s="109"/>
      <c r="CG238" s="109"/>
      <c r="CH238" s="109"/>
      <c r="CI238" s="109"/>
      <c r="CJ238"/>
      <c r="CK238" s="11"/>
      <c r="CL238" s="241">
        <f>IF(MIN($V238:$CI238)&lt;0, 1, 0)</f>
        <v>0</v>
      </c>
      <c r="CM238" s="11"/>
      <c r="CN238"/>
      <c r="CO238"/>
      <c r="CP238"/>
      <c r="CQ238"/>
      <c r="CR238"/>
      <c r="CS238"/>
      <c r="CT238"/>
      <c r="CU238"/>
      <c r="CV238"/>
      <c r="CW238"/>
      <c r="CX238"/>
      <c r="CY238" s="7" cm="1">
        <f t="array" ref="CY238">SUMPRODUCT(--NOT(ISNUMBER(V238:CI238)),--NOT(ISBLANK(V238:CI238)))</f>
        <v>0</v>
      </c>
      <c r="CZ238" s="7">
        <f t="shared" ref="CZ238:DB239" si="173">IF(ROUND(W238-SUMIFS($AA238:$BV238, $AA$3:$BV$3, W$3), rounding)=0, 0, 1)</f>
        <v>0</v>
      </c>
      <c r="DA238" s="7">
        <f t="shared" si="173"/>
        <v>0</v>
      </c>
      <c r="DB238" s="7">
        <f t="shared" si="173"/>
        <v>0</v>
      </c>
      <c r="DC238" s="7">
        <f>IF(ROUND(CB238-SUMIFS($AA238:$BV238, $AA$3:$BV$3, CB$3), rounding)=0, 0, 1)</f>
        <v>0</v>
      </c>
      <c r="DD238" s="7">
        <f>IF(ROUND(V238-BX238, rounding)=0, 0, 1)*'BS Forecasts'!$V$10</f>
        <v>0</v>
      </c>
      <c r="DE238"/>
      <c r="DF238" s="11"/>
      <c r="DG238">
        <f t="shared" si="127"/>
        <v>0</v>
      </c>
      <c r="DH238">
        <v>1</v>
      </c>
      <c r="DI238">
        <v>1</v>
      </c>
      <c r="EY238" s="12" t="str">
        <f>IF(C238="", "", CONCATENATE(D227, " ",D238))</f>
        <v/>
      </c>
    </row>
    <row r="239" spans="1:155" x14ac:dyDescent="0.35">
      <c r="A239" s="220" cm="1">
        <f t="array" aca="1" ref="A239" ca="1">HYPERLINK(CONCATENATE("#",CELL("address",IF(MAX($CM239:$DF239)=0,A239,INDEX($CM239:$DF239,MATCH(1,$CM239:$DF239,0))))),MAX($CM239:$DF239))</f>
        <v>0</v>
      </c>
      <c r="B239" s="85" t="s">
        <v>122</v>
      </c>
      <c r="C239" s="211"/>
      <c r="D239" t="s">
        <v>1090</v>
      </c>
      <c r="H239" s="9" t="s">
        <v>1074</v>
      </c>
      <c r="I239" s="40" t="s">
        <v>1079</v>
      </c>
      <c r="V239" s="109"/>
      <c r="W239" s="133">
        <f t="shared" si="172"/>
        <v>0</v>
      </c>
      <c r="X239" s="133">
        <f t="shared" si="172"/>
        <v>0</v>
      </c>
      <c r="Y239" s="133">
        <f t="shared" si="172"/>
        <v>0</v>
      </c>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X239" s="12">
        <f t="shared" si="170"/>
        <v>0</v>
      </c>
      <c r="BY239" s="12">
        <f t="shared" si="170"/>
        <v>0</v>
      </c>
      <c r="BZ239" s="12">
        <f t="shared" si="170"/>
        <v>0</v>
      </c>
      <c r="CA239" s="12">
        <f t="shared" si="170"/>
        <v>0</v>
      </c>
      <c r="CB239" s="133">
        <f xml:space="preserve"> SUMIFS($AA239:$BV239, $AA$3:$BV$3, CB$3)</f>
        <v>0</v>
      </c>
      <c r="CC239" s="109"/>
      <c r="CD239" s="109"/>
      <c r="CE239" s="109"/>
      <c r="CF239" s="109"/>
      <c r="CG239" s="109"/>
      <c r="CH239" s="109"/>
      <c r="CI239" s="109"/>
      <c r="CK239" s="11"/>
      <c r="CL239" s="241">
        <f>IF(MAX($V239:$CI239)&gt;0, 1, 0)</f>
        <v>0</v>
      </c>
      <c r="CM239" s="11"/>
      <c r="CY239" s="7" cm="1">
        <f t="array" ref="CY239">SUMPRODUCT(--NOT(ISNUMBER(V239:CI239)),--NOT(ISBLANK(V239:CI239)))</f>
        <v>0</v>
      </c>
      <c r="CZ239" s="7">
        <f t="shared" si="173"/>
        <v>0</v>
      </c>
      <c r="DA239" s="7">
        <f t="shared" si="173"/>
        <v>0</v>
      </c>
      <c r="DB239" s="7">
        <f t="shared" si="173"/>
        <v>0</v>
      </c>
      <c r="DC239" s="7">
        <f>IF(ROUND(CB239-SUMIFS($AA239:$BV239, $AA$3:$BV$3, CB$3), rounding)=0, 0, 1)</f>
        <v>0</v>
      </c>
      <c r="DD239" s="7">
        <f>IF(ROUND(V239-BX239, rounding)=0, 0, 1)*'BS Forecasts'!$V$10</f>
        <v>0</v>
      </c>
      <c r="DF239" s="11"/>
      <c r="DG239">
        <f t="shared" si="127"/>
        <v>0</v>
      </c>
      <c r="DH239">
        <v>1</v>
      </c>
      <c r="DI239">
        <v>1</v>
      </c>
      <c r="EY239" s="12" t="str">
        <f>IF(C239="", "", CONCATENATE(D227, " ",D239))</f>
        <v/>
      </c>
    </row>
    <row r="240" spans="1:155" x14ac:dyDescent="0.35">
      <c r="C240" s="211"/>
      <c r="D240" t="s">
        <v>1091</v>
      </c>
      <c r="H240" s="9" t="s">
        <v>1074</v>
      </c>
      <c r="I240" s="40" t="s">
        <v>317</v>
      </c>
      <c r="V240" s="12">
        <f>$I$22</f>
        <v>0</v>
      </c>
      <c r="W240" s="10">
        <f>SUM(W237:W239)</f>
        <v>0</v>
      </c>
      <c r="X240" s="10">
        <f>SUM(X237:X239)</f>
        <v>0</v>
      </c>
      <c r="Y240" s="10">
        <f>SUM(Y237:Y239)</f>
        <v>0</v>
      </c>
      <c r="AA240" s="10">
        <f t="shared" ref="AA240:BV240" si="174">SUM(AA237:AA239)</f>
        <v>0</v>
      </c>
      <c r="AB240" s="10">
        <f t="shared" si="174"/>
        <v>0</v>
      </c>
      <c r="AC240" s="10">
        <f t="shared" si="174"/>
        <v>0</v>
      </c>
      <c r="AD240" s="10">
        <f t="shared" si="174"/>
        <v>0</v>
      </c>
      <c r="AE240" s="10">
        <f t="shared" si="174"/>
        <v>0</v>
      </c>
      <c r="AF240" s="10">
        <f t="shared" si="174"/>
        <v>0</v>
      </c>
      <c r="AG240" s="10">
        <f t="shared" si="174"/>
        <v>0</v>
      </c>
      <c r="AH240" s="10">
        <f t="shared" si="174"/>
        <v>0</v>
      </c>
      <c r="AI240" s="10">
        <f t="shared" si="174"/>
        <v>0</v>
      </c>
      <c r="AJ240" s="10">
        <f t="shared" si="174"/>
        <v>0</v>
      </c>
      <c r="AK240" s="10">
        <f t="shared" si="174"/>
        <v>0</v>
      </c>
      <c r="AL240" s="10">
        <f t="shared" si="174"/>
        <v>0</v>
      </c>
      <c r="AM240" s="10">
        <f t="shared" si="174"/>
        <v>0</v>
      </c>
      <c r="AN240" s="10">
        <f t="shared" si="174"/>
        <v>0</v>
      </c>
      <c r="AO240" s="10">
        <f t="shared" si="174"/>
        <v>0</v>
      </c>
      <c r="AP240" s="10">
        <f t="shared" si="174"/>
        <v>0</v>
      </c>
      <c r="AQ240" s="10">
        <f t="shared" si="174"/>
        <v>0</v>
      </c>
      <c r="AR240" s="10">
        <f t="shared" si="174"/>
        <v>0</v>
      </c>
      <c r="AS240" s="10">
        <f t="shared" si="174"/>
        <v>0</v>
      </c>
      <c r="AT240" s="10">
        <f t="shared" si="174"/>
        <v>0</v>
      </c>
      <c r="AU240" s="10">
        <f t="shared" si="174"/>
        <v>0</v>
      </c>
      <c r="AV240" s="10">
        <f t="shared" si="174"/>
        <v>0</v>
      </c>
      <c r="AW240" s="10">
        <f t="shared" si="174"/>
        <v>0</v>
      </c>
      <c r="AX240" s="10">
        <f t="shared" si="174"/>
        <v>0</v>
      </c>
      <c r="AY240" s="10">
        <f t="shared" si="174"/>
        <v>0</v>
      </c>
      <c r="AZ240" s="10">
        <f t="shared" si="174"/>
        <v>0</v>
      </c>
      <c r="BA240" s="10">
        <f t="shared" si="174"/>
        <v>0</v>
      </c>
      <c r="BB240" s="10">
        <f t="shared" si="174"/>
        <v>0</v>
      </c>
      <c r="BC240" s="10">
        <f t="shared" si="174"/>
        <v>0</v>
      </c>
      <c r="BD240" s="10">
        <f t="shared" si="174"/>
        <v>0</v>
      </c>
      <c r="BE240" s="10">
        <f t="shared" si="174"/>
        <v>0</v>
      </c>
      <c r="BF240" s="10">
        <f t="shared" si="174"/>
        <v>0</v>
      </c>
      <c r="BG240" s="10">
        <f t="shared" si="174"/>
        <v>0</v>
      </c>
      <c r="BH240" s="10">
        <f t="shared" si="174"/>
        <v>0</v>
      </c>
      <c r="BI240" s="10">
        <f t="shared" si="174"/>
        <v>0</v>
      </c>
      <c r="BJ240" s="10">
        <f t="shared" si="174"/>
        <v>0</v>
      </c>
      <c r="BK240" s="10">
        <f t="shared" si="174"/>
        <v>0</v>
      </c>
      <c r="BL240" s="10">
        <f t="shared" si="174"/>
        <v>0</v>
      </c>
      <c r="BM240" s="10">
        <f t="shared" si="174"/>
        <v>0</v>
      </c>
      <c r="BN240" s="10">
        <f t="shared" si="174"/>
        <v>0</v>
      </c>
      <c r="BO240" s="10">
        <f t="shared" si="174"/>
        <v>0</v>
      </c>
      <c r="BP240" s="10">
        <f t="shared" si="174"/>
        <v>0</v>
      </c>
      <c r="BQ240" s="10">
        <f t="shared" si="174"/>
        <v>0</v>
      </c>
      <c r="BR240" s="10">
        <f t="shared" si="174"/>
        <v>0</v>
      </c>
      <c r="BS240" s="10">
        <f t="shared" si="174"/>
        <v>0</v>
      </c>
      <c r="BT240" s="10">
        <f t="shared" si="174"/>
        <v>0</v>
      </c>
      <c r="BU240" s="10">
        <f t="shared" si="174"/>
        <v>0</v>
      </c>
      <c r="BV240" s="10">
        <f t="shared" si="174"/>
        <v>0</v>
      </c>
      <c r="BX240" s="12">
        <f t="shared" si="170"/>
        <v>0</v>
      </c>
      <c r="BY240" s="12">
        <f t="shared" si="170"/>
        <v>0</v>
      </c>
      <c r="BZ240" s="12">
        <f t="shared" si="170"/>
        <v>0</v>
      </c>
      <c r="CA240" s="12">
        <f t="shared" si="170"/>
        <v>0</v>
      </c>
      <c r="CB240" s="10">
        <f t="shared" ref="CB240:CI240" si="175">SUM(CB237:CB239)</f>
        <v>0</v>
      </c>
      <c r="CC240" s="10">
        <f t="shared" si="175"/>
        <v>0</v>
      </c>
      <c r="CD240" s="10">
        <f t="shared" si="175"/>
        <v>0</v>
      </c>
      <c r="CE240" s="10">
        <f t="shared" si="175"/>
        <v>0</v>
      </c>
      <c r="CF240" s="10">
        <f t="shared" si="175"/>
        <v>0</v>
      </c>
      <c r="CG240" s="10">
        <f t="shared" si="175"/>
        <v>0</v>
      </c>
      <c r="CH240" s="10">
        <f t="shared" si="175"/>
        <v>0</v>
      </c>
      <c r="CI240" s="10">
        <f t="shared" si="175"/>
        <v>0</v>
      </c>
      <c r="CK240" s="11"/>
      <c r="CM240" s="11"/>
      <c r="DF240" s="11"/>
      <c r="DG240">
        <f t="shared" si="127"/>
        <v>0</v>
      </c>
      <c r="DH240">
        <v>0</v>
      </c>
      <c r="DI240">
        <v>0</v>
      </c>
      <c r="EY240" s="12" t="str">
        <f>IF(C240="", "", CONCATENATE(D227, " ",D240))</f>
        <v/>
      </c>
    </row>
    <row r="241" spans="1:155" ht="6.75" customHeight="1" x14ac:dyDescent="0.35">
      <c r="C241" s="211"/>
      <c r="D241" s="1"/>
      <c r="E241"/>
      <c r="F241"/>
      <c r="BY241" s="6"/>
      <c r="CK241" s="35"/>
      <c r="CM241" s="35"/>
      <c r="DF241" s="35"/>
      <c r="DG241">
        <f t="shared" si="127"/>
        <v>0</v>
      </c>
      <c r="DH241">
        <v>0</v>
      </c>
      <c r="DI241">
        <v>0</v>
      </c>
      <c r="EY241" s="12" t="str">
        <f>IF(C241="", "", CONCATENATE(D227, " ",D241))</f>
        <v/>
      </c>
    </row>
    <row r="242" spans="1:155" s="5" customFormat="1" x14ac:dyDescent="0.35">
      <c r="A242" s="220" cm="1">
        <f t="array" aca="1" ref="A242" ca="1">HYPERLINK(CONCATENATE("#",CELL("address",IF(MAX($CM242:$DF242)=0,A242,INDEX($CM242:$DF242,MATCH(1,$CM242:$DF242,0))))),MAX($CM242:$DF242))</f>
        <v>0</v>
      </c>
      <c r="B242"/>
      <c r="C242" s="211" t="s">
        <v>1157</v>
      </c>
      <c r="D242" t="s">
        <v>1093</v>
      </c>
      <c r="E242" s="1"/>
      <c r="F242" s="1"/>
      <c r="G242"/>
      <c r="H242" s="9" t="s">
        <v>1074</v>
      </c>
      <c r="I242" s="40" t="s">
        <v>665</v>
      </c>
      <c r="J242"/>
      <c r="K242"/>
      <c r="L242"/>
      <c r="M242"/>
      <c r="N242"/>
      <c r="O242"/>
      <c r="P242"/>
      <c r="Q242"/>
      <c r="R242"/>
      <c r="S242"/>
      <c r="T242"/>
      <c r="U242"/>
      <c r="V242" s="109"/>
      <c r="W242" s="133">
        <f xml:space="preserve"> SUMIFS($AA242:$BV242, $AA$3:$BV$3, W$3)</f>
        <v>0</v>
      </c>
      <c r="X242" s="133">
        <f xml:space="preserve"> SUMIFS($AA242:$BV242, $AA$3:$BV$3, X$3)</f>
        <v>0</v>
      </c>
      <c r="Y242" s="133">
        <f xml:space="preserve"> SUMIFS($AA242:$BV242, $AA$3:$BV$3, Y$3)</f>
        <v>0</v>
      </c>
      <c r="Z242"/>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c r="BX242" s="12">
        <f>V242</f>
        <v>0</v>
      </c>
      <c r="BY242" s="12">
        <f>W242</f>
        <v>0</v>
      </c>
      <c r="BZ242" s="12">
        <f>X242</f>
        <v>0</v>
      </c>
      <c r="CA242" s="12">
        <f>Y242</f>
        <v>0</v>
      </c>
      <c r="CB242" s="133">
        <f xml:space="preserve"> SUMIFS($AA242:$BV242, $AA$3:$BV$3, CB$3)</f>
        <v>0</v>
      </c>
      <c r="CC242" s="109"/>
      <c r="CD242" s="109"/>
      <c r="CE242" s="109"/>
      <c r="CF242" s="109"/>
      <c r="CG242" s="109"/>
      <c r="CH242" s="109"/>
      <c r="CI242" s="109"/>
      <c r="CJ242"/>
      <c r="CK242" s="11"/>
      <c r="CL242" s="241">
        <f>IF(MIN($V242:$CI242)&lt;0, 1, 0)</f>
        <v>0</v>
      </c>
      <c r="CM242" s="11"/>
      <c r="CN242"/>
      <c r="CO242"/>
      <c r="CP242"/>
      <c r="CQ242"/>
      <c r="CR242"/>
      <c r="CS242"/>
      <c r="CT242"/>
      <c r="CU242"/>
      <c r="CV242"/>
      <c r="CW242"/>
      <c r="CX242"/>
      <c r="CY242" s="7" cm="1">
        <f t="array" ref="CY242">SUMPRODUCT(--NOT(ISNUMBER(V242:CI242)),--NOT(ISBLANK(V242:CI242)))</f>
        <v>0</v>
      </c>
      <c r="CZ242" s="7">
        <f>IF(ROUND(W242-SUMIFS($AA242:$BV242, $AA$3:$BV$3, W$3), rounding)=0, 0, 1)</f>
        <v>0</v>
      </c>
      <c r="DA242" s="7">
        <f>IF(ROUND(X242-SUMIFS($AA242:$BV242, $AA$3:$BV$3, X$3), rounding)=0, 0, 1)</f>
        <v>0</v>
      </c>
      <c r="DB242" s="7">
        <f>IF(ROUND(Y242-SUMIFS($AA242:$BV242, $AA$3:$BV$3, Y$3), rounding)=0, 0, 1)</f>
        <v>0</v>
      </c>
      <c r="DC242" s="7">
        <f>IF(ROUND(CB242-SUMIFS($AA242:$BV242, $AA$3:$BV$3, CB$3), rounding)=0, 0, 1)</f>
        <v>0</v>
      </c>
      <c r="DD242" s="7">
        <f>IF(ROUND(V242-BX242, rounding)=0, 0, 1)*'BS Forecasts'!$V$10</f>
        <v>0</v>
      </c>
      <c r="DE242"/>
      <c r="DF242" s="11"/>
      <c r="DG242">
        <f t="shared" si="127"/>
        <v>0</v>
      </c>
      <c r="DH242">
        <v>1</v>
      </c>
      <c r="DI242">
        <v>1</v>
      </c>
      <c r="EY242" s="12" t="str">
        <f>IF(C242="", "", CONCATENATE(D227, " ",D242))</f>
        <v>Loan 10 Early Repayment Fee</v>
      </c>
    </row>
    <row r="243" spans="1:155" ht="6.75" customHeight="1" x14ac:dyDescent="0.35">
      <c r="C243" s="211"/>
      <c r="D243" s="1"/>
      <c r="E243"/>
      <c r="F243"/>
      <c r="BY243" s="6"/>
      <c r="CK243" s="35"/>
      <c r="CM243" s="35"/>
      <c r="DF243" s="35"/>
      <c r="DG243">
        <f t="shared" si="127"/>
        <v>0</v>
      </c>
      <c r="DH243">
        <v>0</v>
      </c>
      <c r="DI243">
        <v>0</v>
      </c>
      <c r="EY243" s="12" t="str">
        <f>IF(C243="", "", CONCATENATE(D227, " ",D243))</f>
        <v/>
      </c>
    </row>
    <row r="244" spans="1:155" x14ac:dyDescent="0.35">
      <c r="A244" s="220" cm="1">
        <f t="array" aca="1" ref="A244" ca="1">HYPERLINK(CONCATENATE("#",CELL("address",IF(MAX($CM244:$DF244)=0,A244,INDEX($CM244:$DF244,MATCH(1,$CM244:$DF244,0))))),MAX($CM244:$DF244))</f>
        <v>0</v>
      </c>
      <c r="B244" s="85" t="s">
        <v>122</v>
      </c>
      <c r="D244" t="s">
        <v>1094</v>
      </c>
      <c r="E244" s="140" t="str">
        <f>IF(J$22="", "", J$22)</f>
        <v/>
      </c>
      <c r="F244" s="140"/>
      <c r="G244" s="140" t="str">
        <f>IF(K$22="", "", K$22)</f>
        <v/>
      </c>
      <c r="V244" s="7">
        <f>IF(AND(OR( V$5&gt;$G244, Timeline!V$8&lt;Loans!$E244), Loans!V242&lt;&gt;0), 1, 0)</f>
        <v>0</v>
      </c>
      <c r="W244" s="7">
        <f>IF(AND(OR( W$5&gt;$G244, Timeline!W$8&lt;Loans!$E244), Loans!W242&lt;&gt;0), 1, 0)</f>
        <v>0</v>
      </c>
      <c r="X244" s="7">
        <f>IF(AND(OR( X$5&gt;$G244, Timeline!X$8&lt;Loans!$E244), Loans!X242&lt;&gt;0), 1, 0)</f>
        <v>0</v>
      </c>
      <c r="Y244" s="7">
        <f>IF(AND(OR( Y$5&gt;$G244, Timeline!Y$8&lt;Loans!$E244), Loans!Y242&lt;&gt;0), 1, 0)</f>
        <v>0</v>
      </c>
      <c r="AA244" s="7">
        <f>IF(AND(OR( AA$5&gt;$G244, Timeline!AA$8&lt;Loans!$E244), Loans!AA242&lt;&gt;0), 1, 0)</f>
        <v>0</v>
      </c>
      <c r="AB244" s="7">
        <f>IF(AND(OR( AB$5&gt;$G244, Timeline!AB$8&lt;Loans!$E244), Loans!AB242&lt;&gt;0), 1, 0)</f>
        <v>0</v>
      </c>
      <c r="AC244" s="7">
        <f>IF(AND(OR( AC$5&gt;$G244, Timeline!AC$8&lt;Loans!$E244), Loans!AC242&lt;&gt;0), 1, 0)</f>
        <v>0</v>
      </c>
      <c r="AD244" s="7">
        <f>IF(AND(OR( AD$5&gt;$G244, Timeline!AD$8&lt;Loans!$E244), Loans!AD242&lt;&gt;0), 1, 0)</f>
        <v>0</v>
      </c>
      <c r="AE244" s="7">
        <f>IF(AND(OR( AE$5&gt;$G244, Timeline!AE$8&lt;Loans!$E244), Loans!AE242&lt;&gt;0), 1, 0)</f>
        <v>0</v>
      </c>
      <c r="AF244" s="7">
        <f>IF(AND(OR( AF$5&gt;$G244, Timeline!AF$8&lt;Loans!$E244), Loans!AF242&lt;&gt;0), 1, 0)</f>
        <v>0</v>
      </c>
      <c r="AG244" s="7">
        <f>IF(AND(OR( AG$5&gt;$G244, Timeline!AG$8&lt;Loans!$E244), Loans!AG242&lt;&gt;0), 1, 0)</f>
        <v>0</v>
      </c>
      <c r="AH244" s="7">
        <f>IF(AND(OR( AH$5&gt;$G244, Timeline!AH$8&lt;Loans!$E244), Loans!AH242&lt;&gt;0), 1, 0)</f>
        <v>0</v>
      </c>
      <c r="AI244" s="7">
        <f>IF(AND(OR( AI$5&gt;$G244, Timeline!AI$8&lt;Loans!$E244), Loans!AI242&lt;&gt;0), 1, 0)</f>
        <v>0</v>
      </c>
      <c r="AJ244" s="7">
        <f>IF(AND(OR( AJ$5&gt;$G244, Timeline!AJ$8&lt;Loans!$E244), Loans!AJ242&lt;&gt;0), 1, 0)</f>
        <v>0</v>
      </c>
      <c r="AK244" s="7">
        <f>IF(AND(OR( AK$5&gt;$G244, Timeline!AK$8&lt;Loans!$E244), Loans!AK242&lt;&gt;0), 1, 0)</f>
        <v>0</v>
      </c>
      <c r="AL244" s="7">
        <f>IF(AND(OR( AL$5&gt;$G244, Timeline!AL$8&lt;Loans!$E244), Loans!AL242&lt;&gt;0), 1, 0)</f>
        <v>0</v>
      </c>
      <c r="AM244" s="7">
        <f>IF(AND(OR( AM$5&gt;$G244, Timeline!AM$8&lt;Loans!$E244), Loans!AM242&lt;&gt;0), 1, 0)</f>
        <v>0</v>
      </c>
      <c r="AN244" s="7">
        <f>IF(AND(OR( AN$5&gt;$G244, Timeline!AN$8&lt;Loans!$E244), Loans!AN242&lt;&gt;0), 1, 0)</f>
        <v>0</v>
      </c>
      <c r="AO244" s="7">
        <f>IF(AND(OR( AO$5&gt;$G244, Timeline!AO$8&lt;Loans!$E244), Loans!AO242&lt;&gt;0), 1, 0)</f>
        <v>0</v>
      </c>
      <c r="AP244" s="7">
        <f>IF(AND(OR( AP$5&gt;$G244, Timeline!AP$8&lt;Loans!$E244), Loans!AP242&lt;&gt;0), 1, 0)</f>
        <v>0</v>
      </c>
      <c r="AQ244" s="7">
        <f>IF(AND(OR( AQ$5&gt;$G244, Timeline!AQ$8&lt;Loans!$E244), Loans!AQ242&lt;&gt;0), 1, 0)</f>
        <v>0</v>
      </c>
      <c r="AR244" s="7">
        <f>IF(AND(OR( AR$5&gt;$G244, Timeline!AR$8&lt;Loans!$E244), Loans!AR242&lt;&gt;0), 1, 0)</f>
        <v>0</v>
      </c>
      <c r="AS244" s="7">
        <f>IF(AND(OR( AS$5&gt;$G244, Timeline!AS$8&lt;Loans!$E244), Loans!AS242&lt;&gt;0), 1, 0)</f>
        <v>0</v>
      </c>
      <c r="AT244" s="7">
        <f>IF(AND(OR( AT$5&gt;$G244, Timeline!AT$8&lt;Loans!$E244), Loans!AT242&lt;&gt;0), 1, 0)</f>
        <v>0</v>
      </c>
      <c r="AU244" s="7">
        <f>IF(AND(OR( AU$5&gt;$G244, Timeline!AU$8&lt;Loans!$E244), Loans!AU242&lt;&gt;0), 1, 0)</f>
        <v>0</v>
      </c>
      <c r="AV244" s="7">
        <f>IF(AND(OR( AV$5&gt;$G244, Timeline!AV$8&lt;Loans!$E244), Loans!AV242&lt;&gt;0), 1, 0)</f>
        <v>0</v>
      </c>
      <c r="AW244" s="7">
        <f>IF(AND(OR( AW$5&gt;$G244, Timeline!AW$8&lt;Loans!$E244), Loans!AW242&lt;&gt;0), 1, 0)</f>
        <v>0</v>
      </c>
      <c r="AX244" s="7">
        <f>IF(AND(OR( AX$5&gt;$G244, Timeline!AX$8&lt;Loans!$E244), Loans!AX242&lt;&gt;0), 1, 0)</f>
        <v>0</v>
      </c>
      <c r="AY244" s="7">
        <f>IF(AND(OR( AY$5&gt;$G244, Timeline!AY$8&lt;Loans!$E244), Loans!AY242&lt;&gt;0), 1, 0)</f>
        <v>0</v>
      </c>
      <c r="AZ244" s="7">
        <f>IF(AND(OR( AZ$5&gt;$G244, Timeline!AZ$8&lt;Loans!$E244), Loans!AZ242&lt;&gt;0), 1, 0)</f>
        <v>0</v>
      </c>
      <c r="BA244" s="7">
        <f>IF(AND(OR( BA$5&gt;$G244, Timeline!BA$8&lt;Loans!$E244), Loans!BA242&lt;&gt;0), 1, 0)</f>
        <v>0</v>
      </c>
      <c r="BB244" s="7">
        <f>IF(AND(OR( BB$5&gt;$G244, Timeline!BB$8&lt;Loans!$E244), Loans!BB242&lt;&gt;0), 1, 0)</f>
        <v>0</v>
      </c>
      <c r="BC244" s="7">
        <f>IF(AND(OR( BC$5&gt;$G244, Timeline!BC$8&lt;Loans!$E244), Loans!BC242&lt;&gt;0), 1, 0)</f>
        <v>0</v>
      </c>
      <c r="BD244" s="7">
        <f>IF(AND(OR( BD$5&gt;$G244, Timeline!BD$8&lt;Loans!$E244), Loans!BD242&lt;&gt;0), 1, 0)</f>
        <v>0</v>
      </c>
      <c r="BE244" s="7">
        <f>IF(AND(OR( BE$5&gt;$G244, Timeline!BE$8&lt;Loans!$E244), Loans!BE242&lt;&gt;0), 1, 0)</f>
        <v>0</v>
      </c>
      <c r="BF244" s="7">
        <f>IF(AND(OR( BF$5&gt;$G244, Timeline!BF$8&lt;Loans!$E244), Loans!BF242&lt;&gt;0), 1, 0)</f>
        <v>0</v>
      </c>
      <c r="BG244" s="7">
        <f>IF(AND(OR( BG$5&gt;$G244, Timeline!BG$8&lt;Loans!$E244), Loans!BG242&lt;&gt;0), 1, 0)</f>
        <v>0</v>
      </c>
      <c r="BH244" s="7">
        <f>IF(AND(OR( BH$5&gt;$G244, Timeline!BH$8&lt;Loans!$E244), Loans!BH242&lt;&gt;0), 1, 0)</f>
        <v>0</v>
      </c>
      <c r="BI244" s="7">
        <f>IF(AND(OR( BI$5&gt;$G244, Timeline!BI$8&lt;Loans!$E244), Loans!BI242&lt;&gt;0), 1, 0)</f>
        <v>0</v>
      </c>
      <c r="BJ244" s="7">
        <f>IF(AND(OR( BJ$5&gt;$G244, Timeline!BJ$8&lt;Loans!$E244), Loans!BJ242&lt;&gt;0), 1, 0)</f>
        <v>0</v>
      </c>
      <c r="BK244" s="7">
        <f>IF(AND(OR( BK$5&gt;$G244, Timeline!BK$8&lt;Loans!$E244), Loans!BK242&lt;&gt;0), 1, 0)</f>
        <v>0</v>
      </c>
      <c r="BL244" s="7">
        <f>IF(AND(OR( BL$5&gt;$G244, Timeline!BL$8&lt;Loans!$E244), Loans!BL242&lt;&gt;0), 1, 0)</f>
        <v>0</v>
      </c>
      <c r="BM244" s="7">
        <f>IF(AND(OR( BM$5&gt;$G244, Timeline!BM$8&lt;Loans!$E244), Loans!BM242&lt;&gt;0), 1, 0)</f>
        <v>0</v>
      </c>
      <c r="BN244" s="7">
        <f>IF(AND(OR( BN$5&gt;$G244, Timeline!BN$8&lt;Loans!$E244), Loans!BN242&lt;&gt;0), 1, 0)</f>
        <v>0</v>
      </c>
      <c r="BO244" s="7">
        <f>IF(AND(OR( BO$5&gt;$G244, Timeline!BO$8&lt;Loans!$E244), Loans!BO242&lt;&gt;0), 1, 0)</f>
        <v>0</v>
      </c>
      <c r="BP244" s="7">
        <f>IF(AND(OR( BP$5&gt;$G244, Timeline!BP$8&lt;Loans!$E244), Loans!BP242&lt;&gt;0), 1, 0)</f>
        <v>0</v>
      </c>
      <c r="BQ244" s="7">
        <f>IF(AND(OR( BQ$5&gt;$G244, Timeline!BQ$8&lt;Loans!$E244), Loans!BQ242&lt;&gt;0), 1, 0)</f>
        <v>0</v>
      </c>
      <c r="BR244" s="7">
        <f>IF(AND(OR( BR$5&gt;$G244, Timeline!BR$8&lt;Loans!$E244), Loans!BR242&lt;&gt;0), 1, 0)</f>
        <v>0</v>
      </c>
      <c r="BS244" s="7">
        <f>IF(AND(OR( BS$5&gt;$G244, Timeline!BS$8&lt;Loans!$E244), Loans!BS242&lt;&gt;0), 1, 0)</f>
        <v>0</v>
      </c>
      <c r="BT244" s="7">
        <f>IF(AND(OR( BT$5&gt;$G244, Timeline!BT$8&lt;Loans!$E244), Loans!BT242&lt;&gt;0), 1, 0)</f>
        <v>0</v>
      </c>
      <c r="BU244" s="7">
        <f>IF(AND(OR( BU$5&gt;$G244, Timeline!BU$8&lt;Loans!$E244), Loans!BU242&lt;&gt;0), 1, 0)</f>
        <v>0</v>
      </c>
      <c r="BV244" s="7">
        <f>IF(AND(OR( BV$5&gt;$G244, Timeline!BV$8&lt;Loans!$E244), Loans!BV242&lt;&gt;0), 1, 0)</f>
        <v>0</v>
      </c>
      <c r="BX244" s="7">
        <f>IF(AND(OR( BX$5&gt;$G244, Timeline!BX$8&lt;Loans!$E244), Loans!BX242&lt;&gt;0), 1, 0)</f>
        <v>0</v>
      </c>
      <c r="BY244" s="7">
        <f>IF(AND(OR( BY$5&gt;$G244, Timeline!BY$8&lt;Loans!$E244), Loans!BY242&lt;&gt;0), 1, 0)</f>
        <v>0</v>
      </c>
      <c r="BZ244" s="7">
        <f>IF(AND(OR( BZ$5&gt;$G244, Timeline!BZ$8&lt;Loans!$E244), Loans!BZ242&lt;&gt;0), 1, 0)</f>
        <v>0</v>
      </c>
      <c r="CA244" s="7">
        <f>IF(AND(OR( CA$5&gt;$G244, Timeline!CA$8&lt;Loans!$E244), Loans!CA242&lt;&gt;0), 1, 0)</f>
        <v>0</v>
      </c>
      <c r="CB244" s="7">
        <f>IF(AND(OR( CB$5&gt;$G244, Timeline!CB$8&lt;Loans!$E244), Loans!CB242&lt;&gt;0), 1, 0)</f>
        <v>0</v>
      </c>
      <c r="CC244" s="7">
        <f>IF(AND(OR( CC$5&gt;$G244, Timeline!CC$8&lt;Loans!$E244), Loans!CC242&lt;&gt;0), 1, 0)</f>
        <v>0</v>
      </c>
      <c r="CD244" s="7">
        <f>IF(AND(OR( CD$5&gt;$G244, Timeline!CD$8&lt;Loans!$E244), Loans!CD242&lt;&gt;0), 1, 0)</f>
        <v>0</v>
      </c>
      <c r="CE244" s="7">
        <f>IF(AND(OR( CE$5&gt;$G244, Timeline!CE$8&lt;Loans!$E244), Loans!CE242&lt;&gt;0), 1, 0)</f>
        <v>0</v>
      </c>
      <c r="CF244" s="7">
        <f>IF(AND(OR( CF$5&gt;$G244, Timeline!CF$8&lt;Loans!$E244), Loans!CF242&lt;&gt;0), 1, 0)</f>
        <v>0</v>
      </c>
      <c r="CG244" s="7">
        <f>IF(AND(OR( CG$5&gt;$G244, Timeline!CG$8&lt;Loans!$E244), Loans!CG242&lt;&gt;0), 1, 0)</f>
        <v>0</v>
      </c>
      <c r="CH244" s="7">
        <f>IF(AND(OR( CH$5&gt;$G244, Timeline!CH$8&lt;Loans!$E244), Loans!CH242&lt;&gt;0), 1, 0)</f>
        <v>0</v>
      </c>
      <c r="CI244" s="7">
        <f>IF(AND(OR( CI$5&gt;$G244, Timeline!CI$8&lt;Loans!$E244), Loans!CI242&lt;&gt;0), 1, 0)</f>
        <v>0</v>
      </c>
      <c r="CK244" s="11"/>
      <c r="CM244" s="11"/>
      <c r="CX244" s="7">
        <f>IF(MAX($V244:$CI244)&gt;0, 1, 0)</f>
        <v>0</v>
      </c>
      <c r="DF244" s="11"/>
      <c r="DG244">
        <f t="shared" si="127"/>
        <v>1</v>
      </c>
      <c r="DH244">
        <v>0</v>
      </c>
      <c r="DI244">
        <v>0</v>
      </c>
      <c r="EY244" s="12" t="str">
        <f>IF(C244="", "", CONCATENATE(D227, " ",D244))</f>
        <v/>
      </c>
    </row>
    <row r="245" spans="1:155" ht="6.75" customHeight="1" x14ac:dyDescent="0.35">
      <c r="C245" s="211"/>
      <c r="D245" s="1"/>
      <c r="E245"/>
      <c r="F245"/>
      <c r="BY245" s="6"/>
      <c r="CK245" s="35"/>
      <c r="CM245" s="35"/>
      <c r="DF245" s="35"/>
      <c r="DG245">
        <f t="shared" si="127"/>
        <v>0</v>
      </c>
      <c r="DH245">
        <v>0</v>
      </c>
      <c r="DI245">
        <v>0</v>
      </c>
      <c r="EY245" s="10" t="str">
        <f>IF($C245="","",$D245)</f>
        <v/>
      </c>
    </row>
    <row r="246" spans="1:155" x14ac:dyDescent="0.35">
      <c r="A246" s="53"/>
      <c r="C246" s="211"/>
      <c r="D246" s="53" t="s">
        <v>1158</v>
      </c>
      <c r="E246" s="53"/>
      <c r="F246" s="53"/>
      <c r="G246" s="53"/>
      <c r="H246" s="53"/>
      <c r="I246" s="53"/>
      <c r="J246" s="53"/>
      <c r="M246" s="53"/>
      <c r="N246" s="53"/>
      <c r="O246" s="53"/>
      <c r="P246" s="53"/>
      <c r="Q246" s="53"/>
      <c r="R246" s="53"/>
      <c r="CK246" s="11"/>
      <c r="CM246" s="11"/>
      <c r="DF246" s="11"/>
      <c r="DG246">
        <f t="shared" si="127"/>
        <v>0</v>
      </c>
      <c r="DH246">
        <v>0</v>
      </c>
      <c r="DI246">
        <v>0</v>
      </c>
      <c r="EY246" s="10" t="str">
        <f>IF($C246="","",$D246)</f>
        <v/>
      </c>
    </row>
    <row r="247" spans="1:155" x14ac:dyDescent="0.35">
      <c r="C247" s="211" t="s">
        <v>1159</v>
      </c>
      <c r="D247" t="s">
        <v>1073</v>
      </c>
      <c r="H247" s="9" t="s">
        <v>1074</v>
      </c>
      <c r="I247" s="40" t="s">
        <v>317</v>
      </c>
      <c r="V247" s="109"/>
      <c r="W247" s="133">
        <f>V251</f>
        <v>0</v>
      </c>
      <c r="X247" s="133">
        <f>W251</f>
        <v>0</v>
      </c>
      <c r="Y247" s="10">
        <f>X251</f>
        <v>0</v>
      </c>
      <c r="AA247" s="12">
        <f>W247</f>
        <v>0</v>
      </c>
      <c r="AB247" s="10">
        <f t="shared" ref="AB247:BV247" si="176">AA251</f>
        <v>0</v>
      </c>
      <c r="AC247" s="10">
        <f t="shared" si="176"/>
        <v>0</v>
      </c>
      <c r="AD247" s="10">
        <f t="shared" si="176"/>
        <v>0</v>
      </c>
      <c r="AE247" s="10">
        <f t="shared" si="176"/>
        <v>0</v>
      </c>
      <c r="AF247" s="10">
        <f t="shared" si="176"/>
        <v>0</v>
      </c>
      <c r="AG247" s="10">
        <f t="shared" si="176"/>
        <v>0</v>
      </c>
      <c r="AH247" s="10">
        <f t="shared" si="176"/>
        <v>0</v>
      </c>
      <c r="AI247" s="10">
        <f t="shared" si="176"/>
        <v>0</v>
      </c>
      <c r="AJ247" s="10">
        <f t="shared" si="176"/>
        <v>0</v>
      </c>
      <c r="AK247" s="10">
        <f t="shared" si="176"/>
        <v>0</v>
      </c>
      <c r="AL247" s="10">
        <f t="shared" si="176"/>
        <v>0</v>
      </c>
      <c r="AM247" s="10">
        <f t="shared" si="176"/>
        <v>0</v>
      </c>
      <c r="AN247" s="10">
        <f t="shared" si="176"/>
        <v>0</v>
      </c>
      <c r="AO247" s="10">
        <f t="shared" si="176"/>
        <v>0</v>
      </c>
      <c r="AP247" s="10">
        <f t="shared" si="176"/>
        <v>0</v>
      </c>
      <c r="AQ247" s="10">
        <f t="shared" si="176"/>
        <v>0</v>
      </c>
      <c r="AR247" s="10">
        <f t="shared" si="176"/>
        <v>0</v>
      </c>
      <c r="AS247" s="10">
        <f t="shared" si="176"/>
        <v>0</v>
      </c>
      <c r="AT247" s="10">
        <f t="shared" si="176"/>
        <v>0</v>
      </c>
      <c r="AU247" s="10">
        <f t="shared" si="176"/>
        <v>0</v>
      </c>
      <c r="AV247" s="10">
        <f t="shared" si="176"/>
        <v>0</v>
      </c>
      <c r="AW247" s="10">
        <f t="shared" si="176"/>
        <v>0</v>
      </c>
      <c r="AX247" s="10">
        <f t="shared" si="176"/>
        <v>0</v>
      </c>
      <c r="AY247" s="10">
        <f t="shared" si="176"/>
        <v>0</v>
      </c>
      <c r="AZ247" s="10">
        <f t="shared" si="176"/>
        <v>0</v>
      </c>
      <c r="BA247" s="10">
        <f t="shared" si="176"/>
        <v>0</v>
      </c>
      <c r="BB247" s="10">
        <f t="shared" si="176"/>
        <v>0</v>
      </c>
      <c r="BC247" s="10">
        <f t="shared" si="176"/>
        <v>0</v>
      </c>
      <c r="BD247" s="10">
        <f t="shared" si="176"/>
        <v>0</v>
      </c>
      <c r="BE247" s="10">
        <f t="shared" si="176"/>
        <v>0</v>
      </c>
      <c r="BF247" s="10">
        <f t="shared" si="176"/>
        <v>0</v>
      </c>
      <c r="BG247" s="10">
        <f t="shared" si="176"/>
        <v>0</v>
      </c>
      <c r="BH247" s="10">
        <f t="shared" si="176"/>
        <v>0</v>
      </c>
      <c r="BI247" s="10">
        <f t="shared" si="176"/>
        <v>0</v>
      </c>
      <c r="BJ247" s="10">
        <f t="shared" si="176"/>
        <v>0</v>
      </c>
      <c r="BK247" s="10">
        <f t="shared" si="176"/>
        <v>0</v>
      </c>
      <c r="BL247" s="10">
        <f t="shared" si="176"/>
        <v>0</v>
      </c>
      <c r="BM247" s="10">
        <f t="shared" si="176"/>
        <v>0</v>
      </c>
      <c r="BN247" s="10">
        <f t="shared" si="176"/>
        <v>0</v>
      </c>
      <c r="BO247" s="10">
        <f t="shared" si="176"/>
        <v>0</v>
      </c>
      <c r="BP247" s="10">
        <f t="shared" si="176"/>
        <v>0</v>
      </c>
      <c r="BQ247" s="10">
        <f t="shared" si="176"/>
        <v>0</v>
      </c>
      <c r="BR247" s="10">
        <f t="shared" si="176"/>
        <v>0</v>
      </c>
      <c r="BS247" s="10">
        <f t="shared" si="176"/>
        <v>0</v>
      </c>
      <c r="BT247" s="10">
        <f t="shared" si="176"/>
        <v>0</v>
      </c>
      <c r="BU247" s="10">
        <f t="shared" si="176"/>
        <v>0</v>
      </c>
      <c r="BV247" s="10">
        <f t="shared" si="176"/>
        <v>0</v>
      </c>
      <c r="BX247" s="12">
        <f t="shared" ref="BX247:CA251" si="177">V247</f>
        <v>0</v>
      </c>
      <c r="BY247" s="12">
        <f t="shared" si="177"/>
        <v>0</v>
      </c>
      <c r="BZ247" s="12">
        <f t="shared" si="177"/>
        <v>0</v>
      </c>
      <c r="CA247" s="12">
        <f t="shared" si="177"/>
        <v>0</v>
      </c>
      <c r="CB247" s="10">
        <f t="shared" ref="CB247:CI247" si="178">CA251</f>
        <v>0</v>
      </c>
      <c r="CC247" s="10">
        <f t="shared" si="178"/>
        <v>0</v>
      </c>
      <c r="CD247" s="10">
        <f t="shared" si="178"/>
        <v>0</v>
      </c>
      <c r="CE247" s="10">
        <f t="shared" si="178"/>
        <v>0</v>
      </c>
      <c r="CF247" s="10">
        <f t="shared" si="178"/>
        <v>0</v>
      </c>
      <c r="CG247" s="10">
        <f t="shared" si="178"/>
        <v>0</v>
      </c>
      <c r="CH247" s="10">
        <f t="shared" si="178"/>
        <v>0</v>
      </c>
      <c r="CI247" s="10">
        <f t="shared" si="178"/>
        <v>0</v>
      </c>
      <c r="CK247" s="11"/>
      <c r="CM247" s="11"/>
      <c r="CY247" s="7" cm="1">
        <f t="array" ref="CY247">SUMPRODUCT(--NOT(ISNUMBER(V247:CI247)),--NOT(ISBLANK(V247:CI247)))</f>
        <v>0</v>
      </c>
      <c r="DF247" s="11"/>
      <c r="DG247">
        <f t="shared" si="127"/>
        <v>0</v>
      </c>
      <c r="DH247">
        <v>1</v>
      </c>
      <c r="DI247">
        <v>0</v>
      </c>
      <c r="EY247" s="12" t="str">
        <f>IF(C247="", "", CONCATENATE(D246, " ",D247))</f>
        <v>Loan 11 Opening Loan Balance</v>
      </c>
    </row>
    <row r="248" spans="1:155" s="5" customFormat="1" x14ac:dyDescent="0.35">
      <c r="A248" s="220" cm="1">
        <f t="array" aca="1" ref="A248" ca="1">HYPERLINK(CONCATENATE("#",CELL("address",IF(MAX($CM248:$DF248)=0,A248,INDEX($CM248:$DF248,MATCH(1,$CM248:$DF248,0))))),MAX($CM248:$DF248))</f>
        <v>0</v>
      </c>
      <c r="B248"/>
      <c r="C248" s="211" t="s">
        <v>1160</v>
      </c>
      <c r="D248" t="s">
        <v>1076</v>
      </c>
      <c r="E248" s="1"/>
      <c r="F248" s="1"/>
      <c r="G248"/>
      <c r="H248" s="9" t="s">
        <v>1074</v>
      </c>
      <c r="I248" s="40" t="s">
        <v>665</v>
      </c>
      <c r="J248"/>
      <c r="K248"/>
      <c r="L248"/>
      <c r="M248"/>
      <c r="N248"/>
      <c r="O248"/>
      <c r="P248"/>
      <c r="Q248"/>
      <c r="R248"/>
      <c r="S248"/>
      <c r="T248"/>
      <c r="U248"/>
      <c r="V248" s="109"/>
      <c r="W248" s="133">
        <f t="shared" ref="W248:Y250" si="179" xml:space="preserve"> SUMIFS($AA248:$BV248, $AA$3:$BV$3, W$3)</f>
        <v>0</v>
      </c>
      <c r="X248" s="133">
        <f t="shared" si="179"/>
        <v>0</v>
      </c>
      <c r="Y248" s="133">
        <f t="shared" si="179"/>
        <v>0</v>
      </c>
      <c r="Z248"/>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c r="BX248" s="12">
        <f t="shared" si="177"/>
        <v>0</v>
      </c>
      <c r="BY248" s="12">
        <f t="shared" si="177"/>
        <v>0</v>
      </c>
      <c r="BZ248" s="12">
        <f t="shared" si="177"/>
        <v>0</v>
      </c>
      <c r="CA248" s="12">
        <f t="shared" si="177"/>
        <v>0</v>
      </c>
      <c r="CB248" s="133">
        <f xml:space="preserve"> SUMIFS($AA248:$BV248, $AA$3:$BV$3, CB$3)</f>
        <v>0</v>
      </c>
      <c r="CC248" s="109"/>
      <c r="CD248" s="109"/>
      <c r="CE248" s="109"/>
      <c r="CF248" s="109"/>
      <c r="CG248" s="109"/>
      <c r="CH248" s="109"/>
      <c r="CI248" s="109"/>
      <c r="CJ248"/>
      <c r="CK248" s="11"/>
      <c r="CL248" s="241">
        <f>IF(MIN($V248:$CI248)&lt;0, 1, 0)</f>
        <v>0</v>
      </c>
      <c r="CM248" s="11"/>
      <c r="CN248"/>
      <c r="CO248"/>
      <c r="CP248"/>
      <c r="CQ248"/>
      <c r="CR248"/>
      <c r="CS248"/>
      <c r="CT248"/>
      <c r="CU248"/>
      <c r="CV248"/>
      <c r="CW248"/>
      <c r="CX248"/>
      <c r="CY248" s="7" cm="1">
        <f t="array" ref="CY248">SUMPRODUCT(--NOT(ISNUMBER(V248:CI248)),--NOT(ISBLANK(V248:CI248)))</f>
        <v>0</v>
      </c>
      <c r="CZ248" s="7">
        <f t="shared" ref="CZ248:DB250" si="180">IF(ROUND(W248-SUMIFS($AA248:$BV248, $AA$3:$BV$3, W$3), rounding)=0, 0, 1)</f>
        <v>0</v>
      </c>
      <c r="DA248" s="7">
        <f t="shared" si="180"/>
        <v>0</v>
      </c>
      <c r="DB248" s="7">
        <f t="shared" si="180"/>
        <v>0</v>
      </c>
      <c r="DC248" s="7">
        <f>IF(ROUND(CB248-SUMIFS($AA248:$BV248, $AA$3:$BV$3, CB$3), rounding)=0, 0, 1)</f>
        <v>0</v>
      </c>
      <c r="DD248" s="7">
        <f>IF(ROUND(V248-BX248, rounding)=0, 0, 1)*'BS Forecasts'!$V$10</f>
        <v>0</v>
      </c>
      <c r="DE248"/>
      <c r="DF248" s="11"/>
      <c r="DG248">
        <f t="shared" si="127"/>
        <v>0</v>
      </c>
      <c r="DH248">
        <v>1</v>
      </c>
      <c r="DI248">
        <v>1</v>
      </c>
      <c r="EY248" s="12" t="str">
        <f>IF(C248="", "", CONCATENATE(D246, " ",D248))</f>
        <v>Loan 11 Drawdowns</v>
      </c>
    </row>
    <row r="249" spans="1:155" x14ac:dyDescent="0.35">
      <c r="A249" s="220" cm="1">
        <f t="array" aca="1" ref="A249" ca="1">HYPERLINK(CONCATENATE("#",CELL("address",IF(MAX($CM249:$DF249)=0,A249,INDEX($CM249:$DF249,MATCH(1,$CM249:$DF249,0))))),MAX($CM249:$DF249))</f>
        <v>0</v>
      </c>
      <c r="C249" s="211" t="s">
        <v>1161</v>
      </c>
      <c r="D249" t="s">
        <v>1078</v>
      </c>
      <c r="H249" s="9" t="s">
        <v>1074</v>
      </c>
      <c r="I249" s="40" t="s">
        <v>1079</v>
      </c>
      <c r="V249" s="109"/>
      <c r="W249" s="133">
        <f t="shared" si="179"/>
        <v>0</v>
      </c>
      <c r="X249" s="133">
        <f t="shared" si="179"/>
        <v>0</v>
      </c>
      <c r="Y249" s="133">
        <f t="shared" si="179"/>
        <v>0</v>
      </c>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X249" s="12">
        <f t="shared" si="177"/>
        <v>0</v>
      </c>
      <c r="BY249" s="12">
        <f t="shared" si="177"/>
        <v>0</v>
      </c>
      <c r="BZ249" s="12">
        <f t="shared" si="177"/>
        <v>0</v>
      </c>
      <c r="CA249" s="12">
        <f t="shared" si="177"/>
        <v>0</v>
      </c>
      <c r="CB249" s="133">
        <f xml:space="preserve"> SUMIFS($AA249:$BV249, $AA$3:$BV$3, CB$3)</f>
        <v>0</v>
      </c>
      <c r="CC249" s="109"/>
      <c r="CD249" s="109"/>
      <c r="CE249" s="109"/>
      <c r="CF249" s="109"/>
      <c r="CG249" s="109"/>
      <c r="CH249" s="109"/>
      <c r="CI249" s="109"/>
      <c r="CK249" s="11"/>
      <c r="CL249" s="241">
        <f>IF(MAX($V249:$CI249)&gt;0, 1, 0)</f>
        <v>0</v>
      </c>
      <c r="CM249" s="11"/>
      <c r="CY249" s="7" cm="1">
        <f t="array" ref="CY249">SUMPRODUCT(--NOT(ISNUMBER(V249:CI249)),--NOT(ISBLANK(V249:CI249)))</f>
        <v>0</v>
      </c>
      <c r="CZ249" s="7">
        <f t="shared" si="180"/>
        <v>0</v>
      </c>
      <c r="DA249" s="7">
        <f t="shared" si="180"/>
        <v>0</v>
      </c>
      <c r="DB249" s="7">
        <f t="shared" si="180"/>
        <v>0</v>
      </c>
      <c r="DC249" s="7">
        <f>IF(ROUND(CB249-SUMIFS($AA249:$BV249, $AA$3:$BV$3, CB$3), rounding)=0, 0, 1)</f>
        <v>0</v>
      </c>
      <c r="DD249" s="7">
        <f>IF(ROUND(V249-BX249, rounding)=0, 0, 1)*'BS Forecasts'!$V$10</f>
        <v>0</v>
      </c>
      <c r="DF249" s="11"/>
      <c r="DG249">
        <f t="shared" ref="DG249:DG312" si="181">IF(IFERROR(FIND("check", D249), 0)=0, 0, 1)</f>
        <v>0</v>
      </c>
      <c r="DH249">
        <v>1</v>
      </c>
      <c r="DI249">
        <v>1</v>
      </c>
      <c r="EY249" s="12" t="str">
        <f>IF(C249="", "", CONCATENATE(D246, " ",D249))</f>
        <v>Loan 11 Loan Capital Repayment (as per loan agreement)</v>
      </c>
    </row>
    <row r="250" spans="1:155" x14ac:dyDescent="0.35">
      <c r="A250" s="220" cm="1">
        <f t="array" aca="1" ref="A250" ca="1">HYPERLINK(CONCATENATE("#",CELL("address",IF(MAX($CM250:$DF250)=0,A250,INDEX($CM250:$DF250,MATCH(1,$CM250:$DF250,0))))),MAX($CM250:$DF250))</f>
        <v>0</v>
      </c>
      <c r="C250" s="211" t="s">
        <v>1162</v>
      </c>
      <c r="D250" t="s">
        <v>1081</v>
      </c>
      <c r="H250" s="9" t="s">
        <v>1074</v>
      </c>
      <c r="I250" s="40" t="s">
        <v>1079</v>
      </c>
      <c r="V250" s="109"/>
      <c r="W250" s="133">
        <f t="shared" si="179"/>
        <v>0</v>
      </c>
      <c r="X250" s="133">
        <f t="shared" si="179"/>
        <v>0</v>
      </c>
      <c r="Y250" s="133">
        <f t="shared" si="179"/>
        <v>0</v>
      </c>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X250" s="12">
        <f t="shared" si="177"/>
        <v>0</v>
      </c>
      <c r="BY250" s="12">
        <f t="shared" si="177"/>
        <v>0</v>
      </c>
      <c r="BZ250" s="12">
        <f t="shared" si="177"/>
        <v>0</v>
      </c>
      <c r="CA250" s="12">
        <f t="shared" si="177"/>
        <v>0</v>
      </c>
      <c r="CB250" s="133">
        <f xml:space="preserve"> SUMIFS($AA250:$BV250, $AA$3:$BV$3, CB$3)</f>
        <v>0</v>
      </c>
      <c r="CC250" s="109"/>
      <c r="CD250" s="109"/>
      <c r="CE250" s="109"/>
      <c r="CF250" s="109"/>
      <c r="CG250" s="109"/>
      <c r="CH250" s="109"/>
      <c r="CI250" s="109"/>
      <c r="CK250" s="11"/>
      <c r="CL250" s="241">
        <f>IF(MAX($V250:$CI250)&gt;0, 1, 0)</f>
        <v>0</v>
      </c>
      <c r="CM250" s="11"/>
      <c r="CY250" s="7" cm="1">
        <f t="array" ref="CY250">SUMPRODUCT(--NOT(ISNUMBER(V250:CI250)),--NOT(ISBLANK(V250:CI250)))</f>
        <v>0</v>
      </c>
      <c r="CZ250" s="7">
        <f t="shared" si="180"/>
        <v>0</v>
      </c>
      <c r="DA250" s="7">
        <f t="shared" si="180"/>
        <v>0</v>
      </c>
      <c r="DB250" s="7">
        <f t="shared" si="180"/>
        <v>0</v>
      </c>
      <c r="DC250" s="7">
        <f>IF(ROUND(CB250-SUMIFS($AA250:$BV250, $AA$3:$BV$3, CB$3), rounding)=0, 0, 1)</f>
        <v>0</v>
      </c>
      <c r="DD250" s="7">
        <f>IF(ROUND(V250-BX250, rounding)=0, 0, 1)*'BS Forecasts'!$V$10</f>
        <v>0</v>
      </c>
      <c r="DF250" s="11"/>
      <c r="DG250">
        <f t="shared" si="181"/>
        <v>0</v>
      </c>
      <c r="DH250">
        <v>1</v>
      </c>
      <c r="DI250">
        <v>1</v>
      </c>
      <c r="EY250" s="12" t="str">
        <f>IF(C250="", "", CONCATENATE(D246, " ",D250))</f>
        <v xml:space="preserve">Loan 11 Early Repayment </v>
      </c>
    </row>
    <row r="251" spans="1:155" x14ac:dyDescent="0.35">
      <c r="C251" s="211" t="s">
        <v>1163</v>
      </c>
      <c r="D251" t="s">
        <v>1083</v>
      </c>
      <c r="H251" s="9" t="s">
        <v>1074</v>
      </c>
      <c r="I251" s="40" t="s">
        <v>317</v>
      </c>
      <c r="V251" s="12">
        <f>$H$23</f>
        <v>0</v>
      </c>
      <c r="W251" s="10">
        <f>SUM(W247:W250)</f>
        <v>0</v>
      </c>
      <c r="X251" s="10">
        <f>SUM(X247:X250)</f>
        <v>0</v>
      </c>
      <c r="Y251" s="10">
        <f>SUM(Y247:Y250)</f>
        <v>0</v>
      </c>
      <c r="AA251" s="10">
        <f t="shared" ref="AA251:BV251" si="182">SUM(AA247:AA250)</f>
        <v>0</v>
      </c>
      <c r="AB251" s="10">
        <f t="shared" si="182"/>
        <v>0</v>
      </c>
      <c r="AC251" s="10">
        <f t="shared" si="182"/>
        <v>0</v>
      </c>
      <c r="AD251" s="10">
        <f t="shared" si="182"/>
        <v>0</v>
      </c>
      <c r="AE251" s="10">
        <f t="shared" si="182"/>
        <v>0</v>
      </c>
      <c r="AF251" s="10">
        <f t="shared" si="182"/>
        <v>0</v>
      </c>
      <c r="AG251" s="10">
        <f t="shared" si="182"/>
        <v>0</v>
      </c>
      <c r="AH251" s="10">
        <f t="shared" si="182"/>
        <v>0</v>
      </c>
      <c r="AI251" s="10">
        <f t="shared" si="182"/>
        <v>0</v>
      </c>
      <c r="AJ251" s="10">
        <f t="shared" si="182"/>
        <v>0</v>
      </c>
      <c r="AK251" s="10">
        <f t="shared" si="182"/>
        <v>0</v>
      </c>
      <c r="AL251" s="10">
        <f t="shared" si="182"/>
        <v>0</v>
      </c>
      <c r="AM251" s="10">
        <f t="shared" si="182"/>
        <v>0</v>
      </c>
      <c r="AN251" s="10">
        <f t="shared" si="182"/>
        <v>0</v>
      </c>
      <c r="AO251" s="10">
        <f t="shared" si="182"/>
        <v>0</v>
      </c>
      <c r="AP251" s="10">
        <f t="shared" si="182"/>
        <v>0</v>
      </c>
      <c r="AQ251" s="10">
        <f t="shared" si="182"/>
        <v>0</v>
      </c>
      <c r="AR251" s="10">
        <f t="shared" si="182"/>
        <v>0</v>
      </c>
      <c r="AS251" s="10">
        <f t="shared" si="182"/>
        <v>0</v>
      </c>
      <c r="AT251" s="10">
        <f t="shared" si="182"/>
        <v>0</v>
      </c>
      <c r="AU251" s="10">
        <f t="shared" si="182"/>
        <v>0</v>
      </c>
      <c r="AV251" s="10">
        <f t="shared" si="182"/>
        <v>0</v>
      </c>
      <c r="AW251" s="10">
        <f t="shared" si="182"/>
        <v>0</v>
      </c>
      <c r="AX251" s="10">
        <f t="shared" si="182"/>
        <v>0</v>
      </c>
      <c r="AY251" s="10">
        <f t="shared" si="182"/>
        <v>0</v>
      </c>
      <c r="AZ251" s="10">
        <f t="shared" si="182"/>
        <v>0</v>
      </c>
      <c r="BA251" s="10">
        <f t="shared" si="182"/>
        <v>0</v>
      </c>
      <c r="BB251" s="10">
        <f t="shared" si="182"/>
        <v>0</v>
      </c>
      <c r="BC251" s="10">
        <f t="shared" si="182"/>
        <v>0</v>
      </c>
      <c r="BD251" s="10">
        <f t="shared" si="182"/>
        <v>0</v>
      </c>
      <c r="BE251" s="10">
        <f t="shared" si="182"/>
        <v>0</v>
      </c>
      <c r="BF251" s="10">
        <f t="shared" si="182"/>
        <v>0</v>
      </c>
      <c r="BG251" s="10">
        <f t="shared" si="182"/>
        <v>0</v>
      </c>
      <c r="BH251" s="10">
        <f t="shared" si="182"/>
        <v>0</v>
      </c>
      <c r="BI251" s="10">
        <f t="shared" si="182"/>
        <v>0</v>
      </c>
      <c r="BJ251" s="10">
        <f t="shared" si="182"/>
        <v>0</v>
      </c>
      <c r="BK251" s="10">
        <f t="shared" si="182"/>
        <v>0</v>
      </c>
      <c r="BL251" s="10">
        <f t="shared" si="182"/>
        <v>0</v>
      </c>
      <c r="BM251" s="10">
        <f t="shared" si="182"/>
        <v>0</v>
      </c>
      <c r="BN251" s="10">
        <f t="shared" si="182"/>
        <v>0</v>
      </c>
      <c r="BO251" s="10">
        <f t="shared" si="182"/>
        <v>0</v>
      </c>
      <c r="BP251" s="10">
        <f t="shared" si="182"/>
        <v>0</v>
      </c>
      <c r="BQ251" s="10">
        <f t="shared" si="182"/>
        <v>0</v>
      </c>
      <c r="BR251" s="10">
        <f t="shared" si="182"/>
        <v>0</v>
      </c>
      <c r="BS251" s="10">
        <f t="shared" si="182"/>
        <v>0</v>
      </c>
      <c r="BT251" s="10">
        <f t="shared" si="182"/>
        <v>0</v>
      </c>
      <c r="BU251" s="10">
        <f t="shared" si="182"/>
        <v>0</v>
      </c>
      <c r="BV251" s="10">
        <f t="shared" si="182"/>
        <v>0</v>
      </c>
      <c r="BX251" s="12">
        <f t="shared" si="177"/>
        <v>0</v>
      </c>
      <c r="BY251" s="12">
        <f t="shared" si="177"/>
        <v>0</v>
      </c>
      <c r="BZ251" s="12">
        <f t="shared" si="177"/>
        <v>0</v>
      </c>
      <c r="CA251" s="12">
        <f t="shared" si="177"/>
        <v>0</v>
      </c>
      <c r="CB251" s="10">
        <f t="shared" ref="CB251:CI251" si="183">SUM(CB247:CB250)</f>
        <v>0</v>
      </c>
      <c r="CC251" s="10">
        <f t="shared" si="183"/>
        <v>0</v>
      </c>
      <c r="CD251" s="10">
        <f t="shared" si="183"/>
        <v>0</v>
      </c>
      <c r="CE251" s="10">
        <f t="shared" si="183"/>
        <v>0</v>
      </c>
      <c r="CF251" s="10">
        <f t="shared" si="183"/>
        <v>0</v>
      </c>
      <c r="CG251" s="10">
        <f t="shared" si="183"/>
        <v>0</v>
      </c>
      <c r="CH251" s="10">
        <f t="shared" si="183"/>
        <v>0</v>
      </c>
      <c r="CI251" s="10">
        <f t="shared" si="183"/>
        <v>0</v>
      </c>
      <c r="CK251" s="11"/>
      <c r="CM251" s="11"/>
      <c r="DF251" s="11"/>
      <c r="DG251">
        <f t="shared" si="181"/>
        <v>0</v>
      </c>
      <c r="DH251">
        <v>0</v>
      </c>
      <c r="DI251">
        <v>0</v>
      </c>
      <c r="EY251" s="12" t="str">
        <f>IF(C251="", "", CONCATENATE(D246, " ",D251))</f>
        <v>Loan 11 Closing Loan Balance</v>
      </c>
    </row>
    <row r="252" spans="1:155" ht="6.75" customHeight="1" x14ac:dyDescent="0.35">
      <c r="C252" s="211"/>
      <c r="D252" s="1"/>
      <c r="E252"/>
      <c r="F252"/>
      <c r="BY252" s="6"/>
      <c r="CK252" s="35"/>
      <c r="CM252" s="35"/>
      <c r="DF252" s="35"/>
      <c r="DG252">
        <f t="shared" si="181"/>
        <v>0</v>
      </c>
      <c r="DH252">
        <v>0</v>
      </c>
      <c r="DI252">
        <v>0</v>
      </c>
      <c r="EY252" s="12" t="str">
        <f>IF(C252="", "", CONCATENATE(D246, " ",D252))</f>
        <v/>
      </c>
    </row>
    <row r="253" spans="1:155" x14ac:dyDescent="0.35">
      <c r="A253" s="220" cm="1">
        <f t="array" aca="1" ref="A253" ca="1">HYPERLINK(CONCATENATE("#",CELL("address",IF(MAX($CM253:$DF253)=0,A253,INDEX($CM253:$DF253,MATCH(1,$CM253:$DF253,0))))),MAX($CM253:$DF253))</f>
        <v>0</v>
      </c>
      <c r="C253" s="211"/>
      <c r="D253" t="s">
        <v>1084</v>
      </c>
      <c r="E253" s="118" t="s">
        <v>1085</v>
      </c>
      <c r="F253" s="118"/>
      <c r="G253" s="10">
        <f>$G$23</f>
        <v>0</v>
      </c>
      <c r="V253" s="7">
        <f>IF(OR(V251&gt;$G253, V251&lt;0), 1, 0)</f>
        <v>0</v>
      </c>
      <c r="W253" s="7">
        <f>IF(OR(W251&gt;$G253, W251&lt;0), 1, 0)</f>
        <v>0</v>
      </c>
      <c r="X253" s="7">
        <f>IF(OR(X251&gt;$G253, X251&lt;0), 1, 0)</f>
        <v>0</v>
      </c>
      <c r="Y253" s="7">
        <f>IF(OR(Y251&gt;$G253, Y251&lt;0), 1, 0)</f>
        <v>0</v>
      </c>
      <c r="AA253" s="7">
        <f t="shared" ref="AA253:BV253" si="184">IF(OR(AA251&gt;$G253, AA251&lt;0), 1, 0)</f>
        <v>0</v>
      </c>
      <c r="AB253" s="7">
        <f t="shared" si="184"/>
        <v>0</v>
      </c>
      <c r="AC253" s="7">
        <f t="shared" si="184"/>
        <v>0</v>
      </c>
      <c r="AD253" s="7">
        <f t="shared" si="184"/>
        <v>0</v>
      </c>
      <c r="AE253" s="7">
        <f t="shared" si="184"/>
        <v>0</v>
      </c>
      <c r="AF253" s="7">
        <f t="shared" si="184"/>
        <v>0</v>
      </c>
      <c r="AG253" s="7">
        <f t="shared" si="184"/>
        <v>0</v>
      </c>
      <c r="AH253" s="7">
        <f t="shared" si="184"/>
        <v>0</v>
      </c>
      <c r="AI253" s="7">
        <f t="shared" si="184"/>
        <v>0</v>
      </c>
      <c r="AJ253" s="7">
        <f t="shared" si="184"/>
        <v>0</v>
      </c>
      <c r="AK253" s="7">
        <f t="shared" si="184"/>
        <v>0</v>
      </c>
      <c r="AL253" s="7">
        <f t="shared" si="184"/>
        <v>0</v>
      </c>
      <c r="AM253" s="7">
        <f t="shared" si="184"/>
        <v>0</v>
      </c>
      <c r="AN253" s="7">
        <f t="shared" si="184"/>
        <v>0</v>
      </c>
      <c r="AO253" s="7">
        <f t="shared" si="184"/>
        <v>0</v>
      </c>
      <c r="AP253" s="7">
        <f t="shared" si="184"/>
        <v>0</v>
      </c>
      <c r="AQ253" s="7">
        <f t="shared" si="184"/>
        <v>0</v>
      </c>
      <c r="AR253" s="7">
        <f t="shared" si="184"/>
        <v>0</v>
      </c>
      <c r="AS253" s="7">
        <f t="shared" si="184"/>
        <v>0</v>
      </c>
      <c r="AT253" s="7">
        <f t="shared" si="184"/>
        <v>0</v>
      </c>
      <c r="AU253" s="7">
        <f t="shared" si="184"/>
        <v>0</v>
      </c>
      <c r="AV253" s="7">
        <f t="shared" si="184"/>
        <v>0</v>
      </c>
      <c r="AW253" s="7">
        <f t="shared" si="184"/>
        <v>0</v>
      </c>
      <c r="AX253" s="7">
        <f t="shared" si="184"/>
        <v>0</v>
      </c>
      <c r="AY253" s="7">
        <f t="shared" si="184"/>
        <v>0</v>
      </c>
      <c r="AZ253" s="7">
        <f t="shared" si="184"/>
        <v>0</v>
      </c>
      <c r="BA253" s="7">
        <f t="shared" si="184"/>
        <v>0</v>
      </c>
      <c r="BB253" s="7">
        <f t="shared" si="184"/>
        <v>0</v>
      </c>
      <c r="BC253" s="7">
        <f t="shared" si="184"/>
        <v>0</v>
      </c>
      <c r="BD253" s="7">
        <f t="shared" si="184"/>
        <v>0</v>
      </c>
      <c r="BE253" s="7">
        <f t="shared" si="184"/>
        <v>0</v>
      </c>
      <c r="BF253" s="7">
        <f t="shared" si="184"/>
        <v>0</v>
      </c>
      <c r="BG253" s="7">
        <f t="shared" si="184"/>
        <v>0</v>
      </c>
      <c r="BH253" s="7">
        <f t="shared" si="184"/>
        <v>0</v>
      </c>
      <c r="BI253" s="7">
        <f t="shared" si="184"/>
        <v>0</v>
      </c>
      <c r="BJ253" s="7">
        <f t="shared" si="184"/>
        <v>0</v>
      </c>
      <c r="BK253" s="7">
        <f t="shared" si="184"/>
        <v>0</v>
      </c>
      <c r="BL253" s="7">
        <f t="shared" si="184"/>
        <v>0</v>
      </c>
      <c r="BM253" s="7">
        <f t="shared" si="184"/>
        <v>0</v>
      </c>
      <c r="BN253" s="7">
        <f t="shared" si="184"/>
        <v>0</v>
      </c>
      <c r="BO253" s="7">
        <f t="shared" si="184"/>
        <v>0</v>
      </c>
      <c r="BP253" s="7">
        <f t="shared" si="184"/>
        <v>0</v>
      </c>
      <c r="BQ253" s="7">
        <f t="shared" si="184"/>
        <v>0</v>
      </c>
      <c r="BR253" s="7">
        <f t="shared" si="184"/>
        <v>0</v>
      </c>
      <c r="BS253" s="7">
        <f t="shared" si="184"/>
        <v>0</v>
      </c>
      <c r="BT253" s="7">
        <f t="shared" si="184"/>
        <v>0</v>
      </c>
      <c r="BU253" s="7">
        <f t="shared" si="184"/>
        <v>0</v>
      </c>
      <c r="BV253" s="7">
        <f t="shared" si="184"/>
        <v>0</v>
      </c>
      <c r="BX253" s="7">
        <f t="shared" ref="BX253:CI253" si="185">IF(OR(BX251&gt;$G253, BX251&lt;0), 1, 0)</f>
        <v>0</v>
      </c>
      <c r="BY253" s="7">
        <f t="shared" si="185"/>
        <v>0</v>
      </c>
      <c r="BZ253" s="7">
        <f t="shared" si="185"/>
        <v>0</v>
      </c>
      <c r="CA253" s="7">
        <f t="shared" si="185"/>
        <v>0</v>
      </c>
      <c r="CB253" s="7">
        <f t="shared" si="185"/>
        <v>0</v>
      </c>
      <c r="CC253" s="7">
        <f t="shared" si="185"/>
        <v>0</v>
      </c>
      <c r="CD253" s="7">
        <f t="shared" si="185"/>
        <v>0</v>
      </c>
      <c r="CE253" s="7">
        <f t="shared" si="185"/>
        <v>0</v>
      </c>
      <c r="CF253" s="7">
        <f t="shared" si="185"/>
        <v>0</v>
      </c>
      <c r="CG253" s="7">
        <f t="shared" si="185"/>
        <v>0</v>
      </c>
      <c r="CH253" s="7">
        <f t="shared" si="185"/>
        <v>0</v>
      </c>
      <c r="CI253" s="7">
        <f t="shared" si="185"/>
        <v>0</v>
      </c>
      <c r="CK253" s="11"/>
      <c r="CM253" s="11"/>
      <c r="CX253" s="7">
        <f>IF(MAX(V253:CI253)&gt;0, 1, 0)</f>
        <v>0</v>
      </c>
      <c r="DF253" s="11"/>
      <c r="DG253">
        <f t="shared" si="181"/>
        <v>1</v>
      </c>
      <c r="DH253">
        <v>0</v>
      </c>
      <c r="DI253">
        <v>0</v>
      </c>
      <c r="EY253" s="12" t="str">
        <f>IF(C253="", "", CONCATENATE(D246, " ",D253))</f>
        <v/>
      </c>
    </row>
    <row r="254" spans="1:155" x14ac:dyDescent="0.35">
      <c r="A254" s="220" cm="1">
        <f t="array" aca="1" ref="A254" ca="1">HYPERLINK(CONCATENATE("#",CELL("address",IF(MAX($CM254:$DF254)=0,A254,INDEX($CM254:$DF254,MATCH(1,$CM254:$DF254,0))))),MAX($CM254:$DF254))</f>
        <v>0</v>
      </c>
      <c r="C254" s="211"/>
      <c r="D254" t="s">
        <v>1086</v>
      </c>
      <c r="E254" s="118" t="s">
        <v>1087</v>
      </c>
      <c r="F254" s="118"/>
      <c r="G254" s="117" t="str">
        <f>IF($K$23="", "", $K$23)</f>
        <v/>
      </c>
      <c r="V254" s="7">
        <f>IF(AND(V$5&gt;=$G254,SUM(V251:$Y251)&lt;&gt;0),1,0)</f>
        <v>0</v>
      </c>
      <c r="W254" s="7">
        <f>IF(AND(W$5&gt;=$G254,SUM(W251:$Y251)&lt;&gt;0),1,0)</f>
        <v>0</v>
      </c>
      <c r="X254" s="7">
        <f>IF(AND(X$5&gt;=$G254,SUM(X251:$Y251)&lt;&gt;0),1,0)</f>
        <v>0</v>
      </c>
      <c r="Y254" s="7">
        <f>IF(AND(Y$5&gt;=$G254,SUM(Y251:$Y251)&lt;&gt;0),1,0)</f>
        <v>0</v>
      </c>
      <c r="AA254" s="7">
        <f>IF(AND(AA$5&gt;=$G254,SUM(AA251:$BV251)&lt;&gt;0),1,0)</f>
        <v>0</v>
      </c>
      <c r="AB254" s="7">
        <f>IF(AND(AB$5&gt;=$G254,SUM(AB251:$BV251)&lt;&gt;0),1,0)</f>
        <v>0</v>
      </c>
      <c r="AC254" s="7">
        <f>IF(AND(AC$5&gt;=$G254,SUM(AC251:$BV251)&lt;&gt;0),1,0)</f>
        <v>0</v>
      </c>
      <c r="AD254" s="7">
        <f>IF(AND(AD$5&gt;=$G254,SUM(AD251:$BV251)&lt;&gt;0),1,0)</f>
        <v>0</v>
      </c>
      <c r="AE254" s="7">
        <f>IF(AND(AE$5&gt;=$G254,SUM(AE251:$BV251)&lt;&gt;0),1,0)</f>
        <v>0</v>
      </c>
      <c r="AF254" s="7">
        <f>IF(AND(AF$5&gt;=$G254,SUM(AF251:$BV251)&lt;&gt;0),1,0)</f>
        <v>0</v>
      </c>
      <c r="AG254" s="7">
        <f>IF(AND(AG$5&gt;=$G254,SUM(AG251:$BV251)&lt;&gt;0),1,0)</f>
        <v>0</v>
      </c>
      <c r="AH254" s="7">
        <f>IF(AND(AH$5&gt;=$G254,SUM(AH251:$BV251)&lt;&gt;0),1,0)</f>
        <v>0</v>
      </c>
      <c r="AI254" s="7">
        <f>IF(AND(AI$5&gt;=$G254,SUM(AI251:$BV251)&lt;&gt;0),1,0)</f>
        <v>0</v>
      </c>
      <c r="AJ254" s="7">
        <f>IF(AND(AJ$5&gt;=$G254,SUM(AJ251:$BV251)&lt;&gt;0),1,0)</f>
        <v>0</v>
      </c>
      <c r="AK254" s="7">
        <f>IF(AND(AK$5&gt;=$G254,SUM(AK251:$BV251)&lt;&gt;0),1,0)</f>
        <v>0</v>
      </c>
      <c r="AL254" s="7">
        <f>IF(AND(AL$5&gt;=$G254,SUM(AL251:$BV251)&lt;&gt;0),1,0)</f>
        <v>0</v>
      </c>
      <c r="AM254" s="7">
        <f>IF(AND(AM$5&gt;=$G254,SUM(AM251:$BV251)&lt;&gt;0),1,0)</f>
        <v>0</v>
      </c>
      <c r="AN254" s="7">
        <f>IF(AND(AN$5&gt;=$G254,SUM(AN251:$BV251)&lt;&gt;0),1,0)</f>
        <v>0</v>
      </c>
      <c r="AO254" s="7">
        <f>IF(AND(AO$5&gt;=$G254,SUM(AO251:$BV251)&lt;&gt;0),1,0)</f>
        <v>0</v>
      </c>
      <c r="AP254" s="7">
        <f>IF(AND(AP$5&gt;=$G254,SUM(AP251:$BV251)&lt;&gt;0),1,0)</f>
        <v>0</v>
      </c>
      <c r="AQ254" s="7">
        <f>IF(AND(AQ$5&gt;=$G254,SUM(AQ251:$BV251)&lt;&gt;0),1,0)</f>
        <v>0</v>
      </c>
      <c r="AR254" s="7">
        <f>IF(AND(AR$5&gt;=$G254,SUM(AR251:$BV251)&lt;&gt;0),1,0)</f>
        <v>0</v>
      </c>
      <c r="AS254" s="7">
        <f>IF(AND(AS$5&gt;=$G254,SUM(AS251:$BV251)&lt;&gt;0),1,0)</f>
        <v>0</v>
      </c>
      <c r="AT254" s="7">
        <f>IF(AND(AT$5&gt;=$G254,SUM(AT251:$BV251)&lt;&gt;0),1,0)</f>
        <v>0</v>
      </c>
      <c r="AU254" s="7">
        <f>IF(AND(AU$5&gt;=$G254,SUM(AU251:$BV251)&lt;&gt;0),1,0)</f>
        <v>0</v>
      </c>
      <c r="AV254" s="7">
        <f>IF(AND(AV$5&gt;=$G254,SUM(AV251:$BV251)&lt;&gt;0),1,0)</f>
        <v>0</v>
      </c>
      <c r="AW254" s="7">
        <f>IF(AND(AW$5&gt;=$G254,SUM(AW251:$BV251)&lt;&gt;0),1,0)</f>
        <v>0</v>
      </c>
      <c r="AX254" s="7">
        <f>IF(AND(AX$5&gt;=$G254,SUM(AX251:$BV251)&lt;&gt;0),1,0)</f>
        <v>0</v>
      </c>
      <c r="AY254" s="7">
        <f>IF(AND(AY$5&gt;=$G254,SUM(AY251:$BV251)&lt;&gt;0),1,0)</f>
        <v>0</v>
      </c>
      <c r="AZ254" s="7">
        <f>IF(AND(AZ$5&gt;=$G254,SUM(AZ251:$BV251)&lt;&gt;0),1,0)</f>
        <v>0</v>
      </c>
      <c r="BA254" s="7">
        <f>IF(AND(BA$5&gt;=$G254,SUM(BA251:$BV251)&lt;&gt;0),1,0)</f>
        <v>0</v>
      </c>
      <c r="BB254" s="7">
        <f>IF(AND(BB$5&gt;=$G254,SUM(BB251:$BV251)&lt;&gt;0),1,0)</f>
        <v>0</v>
      </c>
      <c r="BC254" s="7">
        <f>IF(AND(BC$5&gt;=$G254,SUM(BC251:$BV251)&lt;&gt;0),1,0)</f>
        <v>0</v>
      </c>
      <c r="BD254" s="7">
        <f>IF(AND(BD$5&gt;=$G254,SUM(BD251:$BV251)&lt;&gt;0),1,0)</f>
        <v>0</v>
      </c>
      <c r="BE254" s="7">
        <f>IF(AND(BE$5&gt;=$G254,SUM(BE251:$BV251)&lt;&gt;0),1,0)</f>
        <v>0</v>
      </c>
      <c r="BF254" s="7">
        <f>IF(AND(BF$5&gt;=$G254,SUM(BF251:$BV251)&lt;&gt;0),1,0)</f>
        <v>0</v>
      </c>
      <c r="BG254" s="7">
        <f>IF(AND(BG$5&gt;=$G254,SUM(BG251:$BV251)&lt;&gt;0),1,0)</f>
        <v>0</v>
      </c>
      <c r="BH254" s="7">
        <f>IF(AND(BH$5&gt;=$G254,SUM(BH251:$BV251)&lt;&gt;0),1,0)</f>
        <v>0</v>
      </c>
      <c r="BI254" s="7">
        <f>IF(AND(BI$5&gt;=$G254,SUM(BI251:$BV251)&lt;&gt;0),1,0)</f>
        <v>0</v>
      </c>
      <c r="BJ254" s="7">
        <f>IF(AND(BJ$5&gt;=$G254,SUM(BJ251:$BV251)&lt;&gt;0),1,0)</f>
        <v>0</v>
      </c>
      <c r="BK254" s="7">
        <f>IF(AND(BK$5&gt;=$G254,SUM(BK251:$BV251)&lt;&gt;0),1,0)</f>
        <v>0</v>
      </c>
      <c r="BL254" s="7">
        <f>IF(AND(BL$5&gt;=$G254,SUM(BL251:$BV251)&lt;&gt;0),1,0)</f>
        <v>0</v>
      </c>
      <c r="BM254" s="7">
        <f>IF(AND(BM$5&gt;=$G254,SUM(BM251:$BV251)&lt;&gt;0),1,0)</f>
        <v>0</v>
      </c>
      <c r="BN254" s="7">
        <f>IF(AND(BN$5&gt;=$G254,SUM(BN251:$BV251)&lt;&gt;0),1,0)</f>
        <v>0</v>
      </c>
      <c r="BO254" s="7">
        <f>IF(AND(BO$5&gt;=$G254,SUM(BO251:$BV251)&lt;&gt;0),1,0)</f>
        <v>0</v>
      </c>
      <c r="BP254" s="7">
        <f>IF(AND(BP$5&gt;=$G254,SUM(BP251:$BV251)&lt;&gt;0),1,0)</f>
        <v>0</v>
      </c>
      <c r="BQ254" s="7">
        <f>IF(AND(BQ$5&gt;=$G254,SUM(BQ251:$BV251)&lt;&gt;0),1,0)</f>
        <v>0</v>
      </c>
      <c r="BR254" s="7">
        <f>IF(AND(BR$5&gt;=$G254,SUM(BR251:$BV251)&lt;&gt;0),1,0)</f>
        <v>0</v>
      </c>
      <c r="BS254" s="7">
        <f>IF(AND(BS$5&gt;=$G254,SUM(BS251:$BV251)&lt;&gt;0),1,0)</f>
        <v>0</v>
      </c>
      <c r="BT254" s="7">
        <f>IF(AND(BT$5&gt;=$G254,SUM(BT251:$BV251)&lt;&gt;0),1,0)</f>
        <v>0</v>
      </c>
      <c r="BU254" s="7">
        <f>IF(AND(BU$5&gt;=$G254,SUM(BU251:$BV251)&lt;&gt;0),1,0)</f>
        <v>0</v>
      </c>
      <c r="BV254" s="7">
        <f>IF(AND(BV$5&gt;=$G254,SUM(BV251:$BV251)&lt;&gt;0),1,0)</f>
        <v>0</v>
      </c>
      <c r="BX254" s="7">
        <f>IF(AND(BX$5&gt;=$G254,SUM(BX251:$CI251)&lt;&gt;0),1,0)*BX$1159</f>
        <v>0</v>
      </c>
      <c r="BY254" s="7">
        <f>IF(AND(BY$5&gt;=$G254,SUM(BY251:$CI251)&lt;&gt;0),1,0)*BY$1159</f>
        <v>0</v>
      </c>
      <c r="BZ254" s="7">
        <f>IF(AND(BZ$5&gt;=$G254,SUM(BZ251:$CI251)&lt;&gt;0),1,0)*BZ$1159</f>
        <v>0</v>
      </c>
      <c r="CA254" s="7">
        <f>IF(AND(CA$5&gt;=$G254,SUM(CA251:$CI251)&lt;&gt;0),1,0)*CA$1159</f>
        <v>0</v>
      </c>
      <c r="CB254" s="7">
        <f>IF(AND(CB$5&gt;=$G254,SUM(CB251:$CI251)&lt;&gt;0),1,0)*CB$1159</f>
        <v>0</v>
      </c>
      <c r="CC254" s="7">
        <f>IF(AND(CC$5&gt;=$G254,SUM(CC251:$CI251)&lt;&gt;0),1,0)*CC$1159</f>
        <v>0</v>
      </c>
      <c r="CD254" s="7">
        <f>IF(AND(CD$5&gt;=$G254,SUM(CD251:$CI251)&lt;&gt;0),1,0)*CD$1159</f>
        <v>0</v>
      </c>
      <c r="CE254" s="7">
        <f>IF(AND(CE$5&gt;=$G254,SUM(CE251:$CI251)&lt;&gt;0),1,0)*CE$1159</f>
        <v>0</v>
      </c>
      <c r="CF254" s="7">
        <f>IF(AND(CF$5&gt;=$G254,SUM(CF251:$CI251)&lt;&gt;0),1,0)*CF$1159</f>
        <v>0</v>
      </c>
      <c r="CG254" s="7">
        <f>IF(AND(CG$5&gt;=$G254,SUM(CG251:$CI251)&lt;&gt;0),1,0)*CG$1159</f>
        <v>0</v>
      </c>
      <c r="CH254" s="7">
        <f>IF(AND(CH$5&gt;=$G254,SUM(CH251:$CI251)&lt;&gt;0),1,0)*CH$1159</f>
        <v>0</v>
      </c>
      <c r="CI254" s="7">
        <f>IF(AND(CI$5&gt;=$G254,SUM(CI251:$CI251)&lt;&gt;0),1,0)*CI$1159</f>
        <v>0</v>
      </c>
      <c r="CK254" s="11"/>
      <c r="CM254" s="11"/>
      <c r="CX254" s="7">
        <f>IF(MAX($V254:$CI254)&gt;0, 1, 0)</f>
        <v>0</v>
      </c>
      <c r="DF254" s="11"/>
      <c r="DG254">
        <f t="shared" si="181"/>
        <v>1</v>
      </c>
      <c r="DH254">
        <v>0</v>
      </c>
      <c r="DI254">
        <v>0</v>
      </c>
      <c r="EY254" s="12" t="str">
        <f>IF(C254="", "", CONCATENATE(D246, " ",D254))</f>
        <v/>
      </c>
    </row>
    <row r="255" spans="1:155" ht="6.75" customHeight="1" x14ac:dyDescent="0.35">
      <c r="C255" s="211"/>
      <c r="D255" s="1"/>
      <c r="E255"/>
      <c r="F255"/>
      <c r="BY255" s="6"/>
      <c r="CK255" s="35"/>
      <c r="CM255" s="35"/>
      <c r="DF255" s="35"/>
      <c r="DG255">
        <f t="shared" si="181"/>
        <v>0</v>
      </c>
      <c r="DH255">
        <v>0</v>
      </c>
      <c r="DI255">
        <v>0</v>
      </c>
      <c r="EY255" s="12" t="str">
        <f>IF(C255="", "", CONCATENATE(D246, " ",D255))</f>
        <v/>
      </c>
    </row>
    <row r="256" spans="1:155" x14ac:dyDescent="0.35">
      <c r="C256" s="211"/>
      <c r="D256" t="s">
        <v>1088</v>
      </c>
      <c r="H256" s="9" t="s">
        <v>1074</v>
      </c>
      <c r="I256" s="40" t="s">
        <v>317</v>
      </c>
      <c r="V256" s="109"/>
      <c r="W256" s="133">
        <f>V259</f>
        <v>0</v>
      </c>
      <c r="X256" s="133">
        <f>W259</f>
        <v>0</v>
      </c>
      <c r="Y256" s="10">
        <f>X259</f>
        <v>0</v>
      </c>
      <c r="AA256" s="12">
        <f>W256</f>
        <v>0</v>
      </c>
      <c r="AB256" s="10">
        <f t="shared" ref="AB256:BV256" si="186">AA259</f>
        <v>0</v>
      </c>
      <c r="AC256" s="10">
        <f t="shared" si="186"/>
        <v>0</v>
      </c>
      <c r="AD256" s="10">
        <f t="shared" si="186"/>
        <v>0</v>
      </c>
      <c r="AE256" s="10">
        <f t="shared" si="186"/>
        <v>0</v>
      </c>
      <c r="AF256" s="10">
        <f t="shared" si="186"/>
        <v>0</v>
      </c>
      <c r="AG256" s="10">
        <f t="shared" si="186"/>
        <v>0</v>
      </c>
      <c r="AH256" s="10">
        <f t="shared" si="186"/>
        <v>0</v>
      </c>
      <c r="AI256" s="10">
        <f t="shared" si="186"/>
        <v>0</v>
      </c>
      <c r="AJ256" s="10">
        <f t="shared" si="186"/>
        <v>0</v>
      </c>
      <c r="AK256" s="10">
        <f t="shared" si="186"/>
        <v>0</v>
      </c>
      <c r="AL256" s="10">
        <f t="shared" si="186"/>
        <v>0</v>
      </c>
      <c r="AM256" s="10">
        <f t="shared" si="186"/>
        <v>0</v>
      </c>
      <c r="AN256" s="10">
        <f t="shared" si="186"/>
        <v>0</v>
      </c>
      <c r="AO256" s="10">
        <f t="shared" si="186"/>
        <v>0</v>
      </c>
      <c r="AP256" s="10">
        <f t="shared" si="186"/>
        <v>0</v>
      </c>
      <c r="AQ256" s="10">
        <f t="shared" si="186"/>
        <v>0</v>
      </c>
      <c r="AR256" s="10">
        <f t="shared" si="186"/>
        <v>0</v>
      </c>
      <c r="AS256" s="10">
        <f t="shared" si="186"/>
        <v>0</v>
      </c>
      <c r="AT256" s="10">
        <f t="shared" si="186"/>
        <v>0</v>
      </c>
      <c r="AU256" s="10">
        <f t="shared" si="186"/>
        <v>0</v>
      </c>
      <c r="AV256" s="10">
        <f t="shared" si="186"/>
        <v>0</v>
      </c>
      <c r="AW256" s="10">
        <f t="shared" si="186"/>
        <v>0</v>
      </c>
      <c r="AX256" s="10">
        <f t="shared" si="186"/>
        <v>0</v>
      </c>
      <c r="AY256" s="10">
        <f t="shared" si="186"/>
        <v>0</v>
      </c>
      <c r="AZ256" s="10">
        <f t="shared" si="186"/>
        <v>0</v>
      </c>
      <c r="BA256" s="10">
        <f t="shared" si="186"/>
        <v>0</v>
      </c>
      <c r="BB256" s="10">
        <f t="shared" si="186"/>
        <v>0</v>
      </c>
      <c r="BC256" s="10">
        <f t="shared" si="186"/>
        <v>0</v>
      </c>
      <c r="BD256" s="10">
        <f t="shared" si="186"/>
        <v>0</v>
      </c>
      <c r="BE256" s="10">
        <f t="shared" si="186"/>
        <v>0</v>
      </c>
      <c r="BF256" s="10">
        <f t="shared" si="186"/>
        <v>0</v>
      </c>
      <c r="BG256" s="10">
        <f t="shared" si="186"/>
        <v>0</v>
      </c>
      <c r="BH256" s="10">
        <f t="shared" si="186"/>
        <v>0</v>
      </c>
      <c r="BI256" s="10">
        <f t="shared" si="186"/>
        <v>0</v>
      </c>
      <c r="BJ256" s="10">
        <f t="shared" si="186"/>
        <v>0</v>
      </c>
      <c r="BK256" s="10">
        <f t="shared" si="186"/>
        <v>0</v>
      </c>
      <c r="BL256" s="10">
        <f t="shared" si="186"/>
        <v>0</v>
      </c>
      <c r="BM256" s="10">
        <f t="shared" si="186"/>
        <v>0</v>
      </c>
      <c r="BN256" s="10">
        <f t="shared" si="186"/>
        <v>0</v>
      </c>
      <c r="BO256" s="10">
        <f t="shared" si="186"/>
        <v>0</v>
      </c>
      <c r="BP256" s="10">
        <f t="shared" si="186"/>
        <v>0</v>
      </c>
      <c r="BQ256" s="10">
        <f t="shared" si="186"/>
        <v>0</v>
      </c>
      <c r="BR256" s="10">
        <f t="shared" si="186"/>
        <v>0</v>
      </c>
      <c r="BS256" s="10">
        <f t="shared" si="186"/>
        <v>0</v>
      </c>
      <c r="BT256" s="10">
        <f t="shared" si="186"/>
        <v>0</v>
      </c>
      <c r="BU256" s="10">
        <f t="shared" si="186"/>
        <v>0</v>
      </c>
      <c r="BV256" s="10">
        <f t="shared" si="186"/>
        <v>0</v>
      </c>
      <c r="BX256" s="12">
        <f t="shared" ref="BX256:CA259" si="187">V256</f>
        <v>0</v>
      </c>
      <c r="BY256" s="12">
        <f t="shared" si="187"/>
        <v>0</v>
      </c>
      <c r="BZ256" s="12">
        <f t="shared" si="187"/>
        <v>0</v>
      </c>
      <c r="CA256" s="12">
        <f t="shared" si="187"/>
        <v>0</v>
      </c>
      <c r="CB256" s="10">
        <f t="shared" ref="CB256:CI256" si="188">CA259</f>
        <v>0</v>
      </c>
      <c r="CC256" s="10">
        <f t="shared" si="188"/>
        <v>0</v>
      </c>
      <c r="CD256" s="10">
        <f t="shared" si="188"/>
        <v>0</v>
      </c>
      <c r="CE256" s="10">
        <f t="shared" si="188"/>
        <v>0</v>
      </c>
      <c r="CF256" s="10">
        <f t="shared" si="188"/>
        <v>0</v>
      </c>
      <c r="CG256" s="10">
        <f t="shared" si="188"/>
        <v>0</v>
      </c>
      <c r="CH256" s="10">
        <f t="shared" si="188"/>
        <v>0</v>
      </c>
      <c r="CI256" s="10">
        <f t="shared" si="188"/>
        <v>0</v>
      </c>
      <c r="CK256" s="11"/>
      <c r="CM256" s="11"/>
      <c r="CY256" s="7" cm="1">
        <f t="array" ref="CY256">SUMPRODUCT(--NOT(ISNUMBER(V256:CI256)),--NOT(ISBLANK(V256:CI256)))</f>
        <v>0</v>
      </c>
      <c r="DF256" s="11"/>
      <c r="DG256">
        <f t="shared" si="181"/>
        <v>0</v>
      </c>
      <c r="DH256">
        <v>1</v>
      </c>
      <c r="DI256">
        <v>0</v>
      </c>
      <c r="EY256" s="12" t="str">
        <f>IF(C256="", "", CONCATENATE(D246, " ",D256))</f>
        <v/>
      </c>
    </row>
    <row r="257" spans="1:155" s="5" customFormat="1" x14ac:dyDescent="0.35">
      <c r="A257" s="220" cm="1">
        <f t="array" aca="1" ref="A257" ca="1">HYPERLINK(CONCATENATE("#",CELL("address",IF(MAX($CM257:$DF257)=0,A257,INDEX($CM257:$DF257,MATCH(1,$CM257:$DF257,0))))),MAX($CM257:$DF257))</f>
        <v>0</v>
      </c>
      <c r="B257" s="85" t="s">
        <v>122</v>
      </c>
      <c r="C257" s="211"/>
      <c r="D257" t="s">
        <v>1089</v>
      </c>
      <c r="E257" s="1"/>
      <c r="F257" s="1"/>
      <c r="G257"/>
      <c r="H257" s="9" t="s">
        <v>1074</v>
      </c>
      <c r="I257" s="40" t="s">
        <v>665</v>
      </c>
      <c r="J257"/>
      <c r="K257"/>
      <c r="L257"/>
      <c r="M257"/>
      <c r="N257"/>
      <c r="O257"/>
      <c r="P257"/>
      <c r="Q257"/>
      <c r="R257"/>
      <c r="S257"/>
      <c r="T257"/>
      <c r="U257"/>
      <c r="V257" s="109"/>
      <c r="W257" s="133">
        <f t="shared" ref="W257:Y258" si="189" xml:space="preserve"> SUMIFS($AA257:$BV257, $AA$3:$BV$3, W$3)</f>
        <v>0</v>
      </c>
      <c r="X257" s="133">
        <f t="shared" si="189"/>
        <v>0</v>
      </c>
      <c r="Y257" s="133">
        <f t="shared" si="189"/>
        <v>0</v>
      </c>
      <c r="Z257"/>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c r="BX257" s="12">
        <f t="shared" si="187"/>
        <v>0</v>
      </c>
      <c r="BY257" s="12">
        <f t="shared" si="187"/>
        <v>0</v>
      </c>
      <c r="BZ257" s="12">
        <f t="shared" si="187"/>
        <v>0</v>
      </c>
      <c r="CA257" s="12">
        <f t="shared" si="187"/>
        <v>0</v>
      </c>
      <c r="CB257" s="133">
        <f xml:space="preserve"> SUMIFS($AA257:$BV257, $AA$3:$BV$3, CB$3)</f>
        <v>0</v>
      </c>
      <c r="CC257" s="109"/>
      <c r="CD257" s="109"/>
      <c r="CE257" s="109"/>
      <c r="CF257" s="109"/>
      <c r="CG257" s="109"/>
      <c r="CH257" s="109"/>
      <c r="CI257" s="109"/>
      <c r="CJ257"/>
      <c r="CK257" s="11"/>
      <c r="CL257" s="241">
        <f>IF(MIN($V257:$CI257)&lt;0, 1, 0)</f>
        <v>0</v>
      </c>
      <c r="CM257" s="11"/>
      <c r="CN257"/>
      <c r="CO257"/>
      <c r="CP257"/>
      <c r="CQ257"/>
      <c r="CR257"/>
      <c r="CS257"/>
      <c r="CT257"/>
      <c r="CU257"/>
      <c r="CV257"/>
      <c r="CW257"/>
      <c r="CX257"/>
      <c r="CY257" s="7" cm="1">
        <f t="array" ref="CY257">SUMPRODUCT(--NOT(ISNUMBER(V257:CI257)),--NOT(ISBLANK(V257:CI257)))</f>
        <v>0</v>
      </c>
      <c r="CZ257" s="7">
        <f t="shared" ref="CZ257:DB258" si="190">IF(ROUND(W257-SUMIFS($AA257:$BV257, $AA$3:$BV$3, W$3), rounding)=0, 0, 1)</f>
        <v>0</v>
      </c>
      <c r="DA257" s="7">
        <f t="shared" si="190"/>
        <v>0</v>
      </c>
      <c r="DB257" s="7">
        <f t="shared" si="190"/>
        <v>0</v>
      </c>
      <c r="DC257" s="7">
        <f>IF(ROUND(CB257-SUMIFS($AA257:$BV257, $AA$3:$BV$3, CB$3), rounding)=0, 0, 1)</f>
        <v>0</v>
      </c>
      <c r="DD257" s="7">
        <f>IF(ROUND(V257-BX257, rounding)=0, 0, 1)*'BS Forecasts'!$V$10</f>
        <v>0</v>
      </c>
      <c r="DE257"/>
      <c r="DF257" s="11"/>
      <c r="DG257">
        <f t="shared" si="181"/>
        <v>0</v>
      </c>
      <c r="DH257">
        <v>1</v>
      </c>
      <c r="DI257">
        <v>1</v>
      </c>
      <c r="EY257" s="12" t="str">
        <f>IF(C257="", "", CONCATENATE(D246, " ",D257))</f>
        <v/>
      </c>
    </row>
    <row r="258" spans="1:155" x14ac:dyDescent="0.35">
      <c r="A258" s="220" cm="1">
        <f t="array" aca="1" ref="A258" ca="1">HYPERLINK(CONCATENATE("#",CELL("address",IF(MAX($CM258:$DF258)=0,A258,INDEX($CM258:$DF258,MATCH(1,$CM258:$DF258,0))))),MAX($CM258:$DF258))</f>
        <v>0</v>
      </c>
      <c r="B258" s="85" t="s">
        <v>122</v>
      </c>
      <c r="C258" s="211"/>
      <c r="D258" t="s">
        <v>1090</v>
      </c>
      <c r="H258" s="9" t="s">
        <v>1074</v>
      </c>
      <c r="I258" s="40" t="s">
        <v>1079</v>
      </c>
      <c r="V258" s="109"/>
      <c r="W258" s="133">
        <f t="shared" si="189"/>
        <v>0</v>
      </c>
      <c r="X258" s="133">
        <f t="shared" si="189"/>
        <v>0</v>
      </c>
      <c r="Y258" s="133">
        <f t="shared" si="189"/>
        <v>0</v>
      </c>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X258" s="12">
        <f t="shared" si="187"/>
        <v>0</v>
      </c>
      <c r="BY258" s="12">
        <f t="shared" si="187"/>
        <v>0</v>
      </c>
      <c r="BZ258" s="12">
        <f t="shared" si="187"/>
        <v>0</v>
      </c>
      <c r="CA258" s="12">
        <f t="shared" si="187"/>
        <v>0</v>
      </c>
      <c r="CB258" s="133">
        <f xml:space="preserve"> SUMIFS($AA258:$BV258, $AA$3:$BV$3, CB$3)</f>
        <v>0</v>
      </c>
      <c r="CC258" s="109"/>
      <c r="CD258" s="109"/>
      <c r="CE258" s="109"/>
      <c r="CF258" s="109"/>
      <c r="CG258" s="109"/>
      <c r="CH258" s="109"/>
      <c r="CI258" s="109"/>
      <c r="CK258" s="11"/>
      <c r="CL258" s="241">
        <f>IF(MAX($V258:$CI258)&gt;0, 1, 0)</f>
        <v>0</v>
      </c>
      <c r="CM258" s="11"/>
      <c r="CY258" s="7" cm="1">
        <f t="array" ref="CY258">SUMPRODUCT(--NOT(ISNUMBER(V258:CI258)),--NOT(ISBLANK(V258:CI258)))</f>
        <v>0</v>
      </c>
      <c r="CZ258" s="7">
        <f t="shared" si="190"/>
        <v>0</v>
      </c>
      <c r="DA258" s="7">
        <f t="shared" si="190"/>
        <v>0</v>
      </c>
      <c r="DB258" s="7">
        <f t="shared" si="190"/>
        <v>0</v>
      </c>
      <c r="DC258" s="7">
        <f>IF(ROUND(CB258-SUMIFS($AA258:$BV258, $AA$3:$BV$3, CB$3), rounding)=0, 0, 1)</f>
        <v>0</v>
      </c>
      <c r="DD258" s="7">
        <f>IF(ROUND(V258-BX258, rounding)=0, 0, 1)*'BS Forecasts'!$V$10</f>
        <v>0</v>
      </c>
      <c r="DF258" s="11"/>
      <c r="DG258">
        <f t="shared" si="181"/>
        <v>0</v>
      </c>
      <c r="DH258">
        <v>1</v>
      </c>
      <c r="DI258">
        <v>1</v>
      </c>
      <c r="EY258" s="12" t="str">
        <f>IF(C258="", "", CONCATENATE(D246, " ",D258))</f>
        <v/>
      </c>
    </row>
    <row r="259" spans="1:155" x14ac:dyDescent="0.35">
      <c r="C259" s="211"/>
      <c r="D259" t="s">
        <v>1091</v>
      </c>
      <c r="H259" s="9" t="s">
        <v>1074</v>
      </c>
      <c r="I259" s="40" t="s">
        <v>317</v>
      </c>
      <c r="V259" s="12">
        <f>$I$23</f>
        <v>0</v>
      </c>
      <c r="W259" s="10">
        <f>SUM(W256:W258)</f>
        <v>0</v>
      </c>
      <c r="X259" s="10">
        <f>SUM(X256:X258)</f>
        <v>0</v>
      </c>
      <c r="Y259" s="10">
        <f>SUM(Y256:Y258)</f>
        <v>0</v>
      </c>
      <c r="AA259" s="10">
        <f t="shared" ref="AA259:BV259" si="191">SUM(AA256:AA258)</f>
        <v>0</v>
      </c>
      <c r="AB259" s="10">
        <f t="shared" si="191"/>
        <v>0</v>
      </c>
      <c r="AC259" s="10">
        <f t="shared" si="191"/>
        <v>0</v>
      </c>
      <c r="AD259" s="10">
        <f t="shared" si="191"/>
        <v>0</v>
      </c>
      <c r="AE259" s="10">
        <f t="shared" si="191"/>
        <v>0</v>
      </c>
      <c r="AF259" s="10">
        <f t="shared" si="191"/>
        <v>0</v>
      </c>
      <c r="AG259" s="10">
        <f t="shared" si="191"/>
        <v>0</v>
      </c>
      <c r="AH259" s="10">
        <f t="shared" si="191"/>
        <v>0</v>
      </c>
      <c r="AI259" s="10">
        <f t="shared" si="191"/>
        <v>0</v>
      </c>
      <c r="AJ259" s="10">
        <f t="shared" si="191"/>
        <v>0</v>
      </c>
      <c r="AK259" s="10">
        <f t="shared" si="191"/>
        <v>0</v>
      </c>
      <c r="AL259" s="10">
        <f t="shared" si="191"/>
        <v>0</v>
      </c>
      <c r="AM259" s="10">
        <f t="shared" si="191"/>
        <v>0</v>
      </c>
      <c r="AN259" s="10">
        <f t="shared" si="191"/>
        <v>0</v>
      </c>
      <c r="AO259" s="10">
        <f t="shared" si="191"/>
        <v>0</v>
      </c>
      <c r="AP259" s="10">
        <f t="shared" si="191"/>
        <v>0</v>
      </c>
      <c r="AQ259" s="10">
        <f t="shared" si="191"/>
        <v>0</v>
      </c>
      <c r="AR259" s="10">
        <f t="shared" si="191"/>
        <v>0</v>
      </c>
      <c r="AS259" s="10">
        <f t="shared" si="191"/>
        <v>0</v>
      </c>
      <c r="AT259" s="10">
        <f t="shared" si="191"/>
        <v>0</v>
      </c>
      <c r="AU259" s="10">
        <f t="shared" si="191"/>
        <v>0</v>
      </c>
      <c r="AV259" s="10">
        <f t="shared" si="191"/>
        <v>0</v>
      </c>
      <c r="AW259" s="10">
        <f t="shared" si="191"/>
        <v>0</v>
      </c>
      <c r="AX259" s="10">
        <f t="shared" si="191"/>
        <v>0</v>
      </c>
      <c r="AY259" s="10">
        <f t="shared" si="191"/>
        <v>0</v>
      </c>
      <c r="AZ259" s="10">
        <f t="shared" si="191"/>
        <v>0</v>
      </c>
      <c r="BA259" s="10">
        <f t="shared" si="191"/>
        <v>0</v>
      </c>
      <c r="BB259" s="10">
        <f t="shared" si="191"/>
        <v>0</v>
      </c>
      <c r="BC259" s="10">
        <f t="shared" si="191"/>
        <v>0</v>
      </c>
      <c r="BD259" s="10">
        <f t="shared" si="191"/>
        <v>0</v>
      </c>
      <c r="BE259" s="10">
        <f t="shared" si="191"/>
        <v>0</v>
      </c>
      <c r="BF259" s="10">
        <f t="shared" si="191"/>
        <v>0</v>
      </c>
      <c r="BG259" s="10">
        <f t="shared" si="191"/>
        <v>0</v>
      </c>
      <c r="BH259" s="10">
        <f t="shared" si="191"/>
        <v>0</v>
      </c>
      <c r="BI259" s="10">
        <f t="shared" si="191"/>
        <v>0</v>
      </c>
      <c r="BJ259" s="10">
        <f t="shared" si="191"/>
        <v>0</v>
      </c>
      <c r="BK259" s="10">
        <f t="shared" si="191"/>
        <v>0</v>
      </c>
      <c r="BL259" s="10">
        <f t="shared" si="191"/>
        <v>0</v>
      </c>
      <c r="BM259" s="10">
        <f t="shared" si="191"/>
        <v>0</v>
      </c>
      <c r="BN259" s="10">
        <f t="shared" si="191"/>
        <v>0</v>
      </c>
      <c r="BO259" s="10">
        <f t="shared" si="191"/>
        <v>0</v>
      </c>
      <c r="BP259" s="10">
        <f t="shared" si="191"/>
        <v>0</v>
      </c>
      <c r="BQ259" s="10">
        <f t="shared" si="191"/>
        <v>0</v>
      </c>
      <c r="BR259" s="10">
        <f t="shared" si="191"/>
        <v>0</v>
      </c>
      <c r="BS259" s="10">
        <f t="shared" si="191"/>
        <v>0</v>
      </c>
      <c r="BT259" s="10">
        <f t="shared" si="191"/>
        <v>0</v>
      </c>
      <c r="BU259" s="10">
        <f t="shared" si="191"/>
        <v>0</v>
      </c>
      <c r="BV259" s="10">
        <f t="shared" si="191"/>
        <v>0</v>
      </c>
      <c r="BX259" s="12">
        <f t="shared" si="187"/>
        <v>0</v>
      </c>
      <c r="BY259" s="12">
        <f t="shared" si="187"/>
        <v>0</v>
      </c>
      <c r="BZ259" s="12">
        <f t="shared" si="187"/>
        <v>0</v>
      </c>
      <c r="CA259" s="12">
        <f t="shared" si="187"/>
        <v>0</v>
      </c>
      <c r="CB259" s="10">
        <f t="shared" ref="CB259:CI259" si="192">SUM(CB256:CB258)</f>
        <v>0</v>
      </c>
      <c r="CC259" s="10">
        <f t="shared" si="192"/>
        <v>0</v>
      </c>
      <c r="CD259" s="10">
        <f t="shared" si="192"/>
        <v>0</v>
      </c>
      <c r="CE259" s="10">
        <f t="shared" si="192"/>
        <v>0</v>
      </c>
      <c r="CF259" s="10">
        <f t="shared" si="192"/>
        <v>0</v>
      </c>
      <c r="CG259" s="10">
        <f t="shared" si="192"/>
        <v>0</v>
      </c>
      <c r="CH259" s="10">
        <f t="shared" si="192"/>
        <v>0</v>
      </c>
      <c r="CI259" s="10">
        <f t="shared" si="192"/>
        <v>0</v>
      </c>
      <c r="CK259" s="11"/>
      <c r="CM259" s="11"/>
      <c r="DF259" s="11"/>
      <c r="DG259">
        <f t="shared" si="181"/>
        <v>0</v>
      </c>
      <c r="DH259">
        <v>0</v>
      </c>
      <c r="DI259">
        <v>0</v>
      </c>
      <c r="EY259" s="12" t="str">
        <f>IF(C259="", "", CONCATENATE(D246, " ",D259))</f>
        <v/>
      </c>
    </row>
    <row r="260" spans="1:155" ht="6.75" customHeight="1" x14ac:dyDescent="0.35">
      <c r="C260" s="211"/>
      <c r="D260" s="1"/>
      <c r="E260"/>
      <c r="F260"/>
      <c r="BY260" s="6"/>
      <c r="CK260" s="35"/>
      <c r="CM260" s="35"/>
      <c r="DF260" s="35"/>
      <c r="DG260">
        <f t="shared" si="181"/>
        <v>0</v>
      </c>
      <c r="DH260">
        <v>0</v>
      </c>
      <c r="DI260">
        <v>0</v>
      </c>
      <c r="EY260" s="12" t="str">
        <f>IF(C260="", "", CONCATENATE(D246, " ",D260))</f>
        <v/>
      </c>
    </row>
    <row r="261" spans="1:155" s="5" customFormat="1" x14ac:dyDescent="0.35">
      <c r="A261" s="220" cm="1">
        <f t="array" aca="1" ref="A261" ca="1">HYPERLINK(CONCATENATE("#",CELL("address",IF(MAX($CM261:$DF261)=0,A261,INDEX($CM261:$DF261,MATCH(1,$CM261:$DF261,0))))),MAX($CM261:$DF261))</f>
        <v>0</v>
      </c>
      <c r="B261"/>
      <c r="C261" s="211" t="s">
        <v>1164</v>
      </c>
      <c r="D261" t="s">
        <v>1093</v>
      </c>
      <c r="E261" s="1"/>
      <c r="F261" s="1"/>
      <c r="G261"/>
      <c r="H261" s="9" t="s">
        <v>1074</v>
      </c>
      <c r="I261" s="40" t="s">
        <v>665</v>
      </c>
      <c r="J261"/>
      <c r="K261"/>
      <c r="L261"/>
      <c r="M261"/>
      <c r="N261"/>
      <c r="O261"/>
      <c r="P261"/>
      <c r="Q261"/>
      <c r="R261"/>
      <c r="S261"/>
      <c r="T261"/>
      <c r="U261"/>
      <c r="V261" s="109"/>
      <c r="W261" s="133">
        <f xml:space="preserve"> SUMIFS($AA261:$BV261, $AA$3:$BV$3, W$3)</f>
        <v>0</v>
      </c>
      <c r="X261" s="133">
        <f xml:space="preserve"> SUMIFS($AA261:$BV261, $AA$3:$BV$3, X$3)</f>
        <v>0</v>
      </c>
      <c r="Y261" s="133">
        <f xml:space="preserve"> SUMIFS($AA261:$BV261, $AA$3:$BV$3, Y$3)</f>
        <v>0</v>
      </c>
      <c r="Z261"/>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c r="BX261" s="12">
        <f>V261</f>
        <v>0</v>
      </c>
      <c r="BY261" s="12">
        <f>W261</f>
        <v>0</v>
      </c>
      <c r="BZ261" s="12">
        <f>X261</f>
        <v>0</v>
      </c>
      <c r="CA261" s="12">
        <f>Y261</f>
        <v>0</v>
      </c>
      <c r="CB261" s="133">
        <f xml:space="preserve"> SUMIFS($AA261:$BV261, $AA$3:$BV$3, CB$3)</f>
        <v>0</v>
      </c>
      <c r="CC261" s="109"/>
      <c r="CD261" s="109"/>
      <c r="CE261" s="109"/>
      <c r="CF261" s="109"/>
      <c r="CG261" s="109"/>
      <c r="CH261" s="109"/>
      <c r="CI261" s="109"/>
      <c r="CJ261"/>
      <c r="CK261" s="11"/>
      <c r="CL261" s="241">
        <f>IF(MIN($V261:$CI261)&lt;0, 1, 0)</f>
        <v>0</v>
      </c>
      <c r="CM261" s="11"/>
      <c r="CN261"/>
      <c r="CO261"/>
      <c r="CP261"/>
      <c r="CQ261"/>
      <c r="CR261"/>
      <c r="CS261"/>
      <c r="CT261"/>
      <c r="CU261"/>
      <c r="CV261"/>
      <c r="CW261"/>
      <c r="CX261"/>
      <c r="CY261" s="7" cm="1">
        <f t="array" ref="CY261">SUMPRODUCT(--NOT(ISNUMBER(V261:CI261)),--NOT(ISBLANK(V261:CI261)))</f>
        <v>0</v>
      </c>
      <c r="CZ261" s="7">
        <f>IF(ROUND(W261-SUMIFS($AA261:$BV261, $AA$3:$BV$3, W$3), rounding)=0, 0, 1)</f>
        <v>0</v>
      </c>
      <c r="DA261" s="7">
        <f>IF(ROUND(X261-SUMIFS($AA261:$BV261, $AA$3:$BV$3, X$3), rounding)=0, 0, 1)</f>
        <v>0</v>
      </c>
      <c r="DB261" s="7">
        <f>IF(ROUND(Y261-SUMIFS($AA261:$BV261, $AA$3:$BV$3, Y$3), rounding)=0, 0, 1)</f>
        <v>0</v>
      </c>
      <c r="DC261" s="7">
        <f>IF(ROUND(CB261-SUMIFS($AA261:$BV261, $AA$3:$BV$3, CB$3), rounding)=0, 0, 1)</f>
        <v>0</v>
      </c>
      <c r="DD261" s="7">
        <f>IF(ROUND(V261-BX261, rounding)=0, 0, 1)*'BS Forecasts'!$V$10</f>
        <v>0</v>
      </c>
      <c r="DE261"/>
      <c r="DF261" s="11"/>
      <c r="DG261">
        <f t="shared" si="181"/>
        <v>0</v>
      </c>
      <c r="DH261">
        <v>1</v>
      </c>
      <c r="DI261">
        <v>1</v>
      </c>
      <c r="EY261" s="12" t="str">
        <f>IF(C261="", "", CONCATENATE(D246, " ",D261))</f>
        <v>Loan 11 Early Repayment Fee</v>
      </c>
    </row>
    <row r="262" spans="1:155" ht="6.75" customHeight="1" x14ac:dyDescent="0.35">
      <c r="C262" s="211"/>
      <c r="D262" s="1"/>
      <c r="E262"/>
      <c r="F262"/>
      <c r="BY262" s="6"/>
      <c r="CK262" s="35"/>
      <c r="CM262" s="35"/>
      <c r="DF262" s="35"/>
      <c r="DG262">
        <f t="shared" si="181"/>
        <v>0</v>
      </c>
      <c r="DH262">
        <v>0</v>
      </c>
      <c r="DI262">
        <v>0</v>
      </c>
      <c r="EY262" s="12" t="str">
        <f>IF(C262="", "", CONCATENATE(D246, " ",D262))</f>
        <v/>
      </c>
    </row>
    <row r="263" spans="1:155" x14ac:dyDescent="0.35">
      <c r="A263" s="220" cm="1">
        <f t="array" aca="1" ref="A263" ca="1">HYPERLINK(CONCATENATE("#",CELL("address",IF(MAX($CM263:$DF263)=0,A263,INDEX($CM263:$DF263,MATCH(1,$CM263:$DF263,0))))),MAX($CM263:$DF263))</f>
        <v>0</v>
      </c>
      <c r="B263" s="85" t="s">
        <v>122</v>
      </c>
      <c r="D263" t="s">
        <v>1094</v>
      </c>
      <c r="E263" s="140" t="str">
        <f>IF(J$23="", "", J$23)</f>
        <v/>
      </c>
      <c r="F263" s="140"/>
      <c r="G263" s="140" t="str">
        <f>IF(K$23="", "", K$23)</f>
        <v/>
      </c>
      <c r="V263" s="7">
        <f>IF(AND(OR( V$5&gt;$G263, Timeline!V$8&lt;Loans!$E263), Loans!V261&lt;&gt;0), 1, 0)</f>
        <v>0</v>
      </c>
      <c r="W263" s="7">
        <f>IF(AND(OR( W$5&gt;$G263, Timeline!W$8&lt;Loans!$E263), Loans!W261&lt;&gt;0), 1, 0)</f>
        <v>0</v>
      </c>
      <c r="X263" s="7">
        <f>IF(AND(OR( X$5&gt;$G263, Timeline!X$8&lt;Loans!$E263), Loans!X261&lt;&gt;0), 1, 0)</f>
        <v>0</v>
      </c>
      <c r="Y263" s="7">
        <f>IF(AND(OR( Y$5&gt;$G263, Timeline!Y$8&lt;Loans!$E263), Loans!Y261&lt;&gt;0), 1, 0)</f>
        <v>0</v>
      </c>
      <c r="AA263" s="7">
        <f>IF(AND(OR( AA$5&gt;$G263, Timeline!AA$8&lt;Loans!$E263), Loans!AA261&lt;&gt;0), 1, 0)</f>
        <v>0</v>
      </c>
      <c r="AB263" s="7">
        <f>IF(AND(OR( AB$5&gt;$G263, Timeline!AB$8&lt;Loans!$E263), Loans!AB261&lt;&gt;0), 1, 0)</f>
        <v>0</v>
      </c>
      <c r="AC263" s="7">
        <f>IF(AND(OR( AC$5&gt;$G263, Timeline!AC$8&lt;Loans!$E263), Loans!AC261&lt;&gt;0), 1, 0)</f>
        <v>0</v>
      </c>
      <c r="AD263" s="7">
        <f>IF(AND(OR( AD$5&gt;$G263, Timeline!AD$8&lt;Loans!$E263), Loans!AD261&lt;&gt;0), 1, 0)</f>
        <v>0</v>
      </c>
      <c r="AE263" s="7">
        <f>IF(AND(OR( AE$5&gt;$G263, Timeline!AE$8&lt;Loans!$E263), Loans!AE261&lt;&gt;0), 1, 0)</f>
        <v>0</v>
      </c>
      <c r="AF263" s="7">
        <f>IF(AND(OR( AF$5&gt;$G263, Timeline!AF$8&lt;Loans!$E263), Loans!AF261&lt;&gt;0), 1, 0)</f>
        <v>0</v>
      </c>
      <c r="AG263" s="7">
        <f>IF(AND(OR( AG$5&gt;$G263, Timeline!AG$8&lt;Loans!$E263), Loans!AG261&lt;&gt;0), 1, 0)</f>
        <v>0</v>
      </c>
      <c r="AH263" s="7">
        <f>IF(AND(OR( AH$5&gt;$G263, Timeline!AH$8&lt;Loans!$E263), Loans!AH261&lt;&gt;0), 1, 0)</f>
        <v>0</v>
      </c>
      <c r="AI263" s="7">
        <f>IF(AND(OR( AI$5&gt;$G263, Timeline!AI$8&lt;Loans!$E263), Loans!AI261&lt;&gt;0), 1, 0)</f>
        <v>0</v>
      </c>
      <c r="AJ263" s="7">
        <f>IF(AND(OR( AJ$5&gt;$G263, Timeline!AJ$8&lt;Loans!$E263), Loans!AJ261&lt;&gt;0), 1, 0)</f>
        <v>0</v>
      </c>
      <c r="AK263" s="7">
        <f>IF(AND(OR( AK$5&gt;$G263, Timeline!AK$8&lt;Loans!$E263), Loans!AK261&lt;&gt;0), 1, 0)</f>
        <v>0</v>
      </c>
      <c r="AL263" s="7">
        <f>IF(AND(OR( AL$5&gt;$G263, Timeline!AL$8&lt;Loans!$E263), Loans!AL261&lt;&gt;0), 1, 0)</f>
        <v>0</v>
      </c>
      <c r="AM263" s="7">
        <f>IF(AND(OR( AM$5&gt;$G263, Timeline!AM$8&lt;Loans!$E263), Loans!AM261&lt;&gt;0), 1, 0)</f>
        <v>0</v>
      </c>
      <c r="AN263" s="7">
        <f>IF(AND(OR( AN$5&gt;$G263, Timeline!AN$8&lt;Loans!$E263), Loans!AN261&lt;&gt;0), 1, 0)</f>
        <v>0</v>
      </c>
      <c r="AO263" s="7">
        <f>IF(AND(OR( AO$5&gt;$G263, Timeline!AO$8&lt;Loans!$E263), Loans!AO261&lt;&gt;0), 1, 0)</f>
        <v>0</v>
      </c>
      <c r="AP263" s="7">
        <f>IF(AND(OR( AP$5&gt;$G263, Timeline!AP$8&lt;Loans!$E263), Loans!AP261&lt;&gt;0), 1, 0)</f>
        <v>0</v>
      </c>
      <c r="AQ263" s="7">
        <f>IF(AND(OR( AQ$5&gt;$G263, Timeline!AQ$8&lt;Loans!$E263), Loans!AQ261&lt;&gt;0), 1, 0)</f>
        <v>0</v>
      </c>
      <c r="AR263" s="7">
        <f>IF(AND(OR( AR$5&gt;$G263, Timeline!AR$8&lt;Loans!$E263), Loans!AR261&lt;&gt;0), 1, 0)</f>
        <v>0</v>
      </c>
      <c r="AS263" s="7">
        <f>IF(AND(OR( AS$5&gt;$G263, Timeline!AS$8&lt;Loans!$E263), Loans!AS261&lt;&gt;0), 1, 0)</f>
        <v>0</v>
      </c>
      <c r="AT263" s="7">
        <f>IF(AND(OR( AT$5&gt;$G263, Timeline!AT$8&lt;Loans!$E263), Loans!AT261&lt;&gt;0), 1, 0)</f>
        <v>0</v>
      </c>
      <c r="AU263" s="7">
        <f>IF(AND(OR( AU$5&gt;$G263, Timeline!AU$8&lt;Loans!$E263), Loans!AU261&lt;&gt;0), 1, 0)</f>
        <v>0</v>
      </c>
      <c r="AV263" s="7">
        <f>IF(AND(OR( AV$5&gt;$G263, Timeline!AV$8&lt;Loans!$E263), Loans!AV261&lt;&gt;0), 1, 0)</f>
        <v>0</v>
      </c>
      <c r="AW263" s="7">
        <f>IF(AND(OR( AW$5&gt;$G263, Timeline!AW$8&lt;Loans!$E263), Loans!AW261&lt;&gt;0), 1, 0)</f>
        <v>0</v>
      </c>
      <c r="AX263" s="7">
        <f>IF(AND(OR( AX$5&gt;$G263, Timeline!AX$8&lt;Loans!$E263), Loans!AX261&lt;&gt;0), 1, 0)</f>
        <v>0</v>
      </c>
      <c r="AY263" s="7">
        <f>IF(AND(OR( AY$5&gt;$G263, Timeline!AY$8&lt;Loans!$E263), Loans!AY261&lt;&gt;0), 1, 0)</f>
        <v>0</v>
      </c>
      <c r="AZ263" s="7">
        <f>IF(AND(OR( AZ$5&gt;$G263, Timeline!AZ$8&lt;Loans!$E263), Loans!AZ261&lt;&gt;0), 1, 0)</f>
        <v>0</v>
      </c>
      <c r="BA263" s="7">
        <f>IF(AND(OR( BA$5&gt;$G263, Timeline!BA$8&lt;Loans!$E263), Loans!BA261&lt;&gt;0), 1, 0)</f>
        <v>0</v>
      </c>
      <c r="BB263" s="7">
        <f>IF(AND(OR( BB$5&gt;$G263, Timeline!BB$8&lt;Loans!$E263), Loans!BB261&lt;&gt;0), 1, 0)</f>
        <v>0</v>
      </c>
      <c r="BC263" s="7">
        <f>IF(AND(OR( BC$5&gt;$G263, Timeline!BC$8&lt;Loans!$E263), Loans!BC261&lt;&gt;0), 1, 0)</f>
        <v>0</v>
      </c>
      <c r="BD263" s="7">
        <f>IF(AND(OR( BD$5&gt;$G263, Timeline!BD$8&lt;Loans!$E263), Loans!BD261&lt;&gt;0), 1, 0)</f>
        <v>0</v>
      </c>
      <c r="BE263" s="7">
        <f>IF(AND(OR( BE$5&gt;$G263, Timeline!BE$8&lt;Loans!$E263), Loans!BE261&lt;&gt;0), 1, 0)</f>
        <v>0</v>
      </c>
      <c r="BF263" s="7">
        <f>IF(AND(OR( BF$5&gt;$G263, Timeline!BF$8&lt;Loans!$E263), Loans!BF261&lt;&gt;0), 1, 0)</f>
        <v>0</v>
      </c>
      <c r="BG263" s="7">
        <f>IF(AND(OR( BG$5&gt;$G263, Timeline!BG$8&lt;Loans!$E263), Loans!BG261&lt;&gt;0), 1, 0)</f>
        <v>0</v>
      </c>
      <c r="BH263" s="7">
        <f>IF(AND(OR( BH$5&gt;$G263, Timeline!BH$8&lt;Loans!$E263), Loans!BH261&lt;&gt;0), 1, 0)</f>
        <v>0</v>
      </c>
      <c r="BI263" s="7">
        <f>IF(AND(OR( BI$5&gt;$G263, Timeline!BI$8&lt;Loans!$E263), Loans!BI261&lt;&gt;0), 1, 0)</f>
        <v>0</v>
      </c>
      <c r="BJ263" s="7">
        <f>IF(AND(OR( BJ$5&gt;$G263, Timeline!BJ$8&lt;Loans!$E263), Loans!BJ261&lt;&gt;0), 1, 0)</f>
        <v>0</v>
      </c>
      <c r="BK263" s="7">
        <f>IF(AND(OR( BK$5&gt;$G263, Timeline!BK$8&lt;Loans!$E263), Loans!BK261&lt;&gt;0), 1, 0)</f>
        <v>0</v>
      </c>
      <c r="BL263" s="7">
        <f>IF(AND(OR( BL$5&gt;$G263, Timeline!BL$8&lt;Loans!$E263), Loans!BL261&lt;&gt;0), 1, 0)</f>
        <v>0</v>
      </c>
      <c r="BM263" s="7">
        <f>IF(AND(OR( BM$5&gt;$G263, Timeline!BM$8&lt;Loans!$E263), Loans!BM261&lt;&gt;0), 1, 0)</f>
        <v>0</v>
      </c>
      <c r="BN263" s="7">
        <f>IF(AND(OR( BN$5&gt;$G263, Timeline!BN$8&lt;Loans!$E263), Loans!BN261&lt;&gt;0), 1, 0)</f>
        <v>0</v>
      </c>
      <c r="BO263" s="7">
        <f>IF(AND(OR( BO$5&gt;$G263, Timeline!BO$8&lt;Loans!$E263), Loans!BO261&lt;&gt;0), 1, 0)</f>
        <v>0</v>
      </c>
      <c r="BP263" s="7">
        <f>IF(AND(OR( BP$5&gt;$G263, Timeline!BP$8&lt;Loans!$E263), Loans!BP261&lt;&gt;0), 1, 0)</f>
        <v>0</v>
      </c>
      <c r="BQ263" s="7">
        <f>IF(AND(OR( BQ$5&gt;$G263, Timeline!BQ$8&lt;Loans!$E263), Loans!BQ261&lt;&gt;0), 1, 0)</f>
        <v>0</v>
      </c>
      <c r="BR263" s="7">
        <f>IF(AND(OR( BR$5&gt;$G263, Timeline!BR$8&lt;Loans!$E263), Loans!BR261&lt;&gt;0), 1, 0)</f>
        <v>0</v>
      </c>
      <c r="BS263" s="7">
        <f>IF(AND(OR( BS$5&gt;$G263, Timeline!BS$8&lt;Loans!$E263), Loans!BS261&lt;&gt;0), 1, 0)</f>
        <v>0</v>
      </c>
      <c r="BT263" s="7">
        <f>IF(AND(OR( BT$5&gt;$G263, Timeline!BT$8&lt;Loans!$E263), Loans!BT261&lt;&gt;0), 1, 0)</f>
        <v>0</v>
      </c>
      <c r="BU263" s="7">
        <f>IF(AND(OR( BU$5&gt;$G263, Timeline!BU$8&lt;Loans!$E263), Loans!BU261&lt;&gt;0), 1, 0)</f>
        <v>0</v>
      </c>
      <c r="BV263" s="7">
        <f>IF(AND(OR( BV$5&gt;$G263, Timeline!BV$8&lt;Loans!$E263), Loans!BV261&lt;&gt;0), 1, 0)</f>
        <v>0</v>
      </c>
      <c r="BX263" s="7">
        <f>IF(AND(OR( BX$5&gt;$G263, Timeline!BX$8&lt;Loans!$E263), Loans!BX261&lt;&gt;0), 1, 0)</f>
        <v>0</v>
      </c>
      <c r="BY263" s="7">
        <f>IF(AND(OR( BY$5&gt;$G263, Timeline!BY$8&lt;Loans!$E263), Loans!BY261&lt;&gt;0), 1, 0)</f>
        <v>0</v>
      </c>
      <c r="BZ263" s="7">
        <f>IF(AND(OR( BZ$5&gt;$G263, Timeline!BZ$8&lt;Loans!$E263), Loans!BZ261&lt;&gt;0), 1, 0)</f>
        <v>0</v>
      </c>
      <c r="CA263" s="7">
        <f>IF(AND(OR( CA$5&gt;$G263, Timeline!CA$8&lt;Loans!$E263), Loans!CA261&lt;&gt;0), 1, 0)</f>
        <v>0</v>
      </c>
      <c r="CB263" s="7">
        <f>IF(AND(OR( CB$5&gt;$G263, Timeline!CB$8&lt;Loans!$E263), Loans!CB261&lt;&gt;0), 1, 0)</f>
        <v>0</v>
      </c>
      <c r="CC263" s="7">
        <f>IF(AND(OR( CC$5&gt;$G263, Timeline!CC$8&lt;Loans!$E263), Loans!CC261&lt;&gt;0), 1, 0)</f>
        <v>0</v>
      </c>
      <c r="CD263" s="7">
        <f>IF(AND(OR( CD$5&gt;$G263, Timeline!CD$8&lt;Loans!$E263), Loans!CD261&lt;&gt;0), 1, 0)</f>
        <v>0</v>
      </c>
      <c r="CE263" s="7">
        <f>IF(AND(OR( CE$5&gt;$G263, Timeline!CE$8&lt;Loans!$E263), Loans!CE261&lt;&gt;0), 1, 0)</f>
        <v>0</v>
      </c>
      <c r="CF263" s="7">
        <f>IF(AND(OR( CF$5&gt;$G263, Timeline!CF$8&lt;Loans!$E263), Loans!CF261&lt;&gt;0), 1, 0)</f>
        <v>0</v>
      </c>
      <c r="CG263" s="7">
        <f>IF(AND(OR( CG$5&gt;$G263, Timeline!CG$8&lt;Loans!$E263), Loans!CG261&lt;&gt;0), 1, 0)</f>
        <v>0</v>
      </c>
      <c r="CH263" s="7">
        <f>IF(AND(OR( CH$5&gt;$G263, Timeline!CH$8&lt;Loans!$E263), Loans!CH261&lt;&gt;0), 1, 0)</f>
        <v>0</v>
      </c>
      <c r="CI263" s="7">
        <f>IF(AND(OR( CI$5&gt;$G263, Timeline!CI$8&lt;Loans!$E263), Loans!CI261&lt;&gt;0), 1, 0)</f>
        <v>0</v>
      </c>
      <c r="CK263" s="11"/>
      <c r="CM263" s="11"/>
      <c r="CX263" s="7">
        <f>IF(MAX($V263:$CI263)&gt;0, 1, 0)</f>
        <v>0</v>
      </c>
      <c r="DF263" s="11"/>
      <c r="DG263">
        <f t="shared" si="181"/>
        <v>1</v>
      </c>
      <c r="DH263">
        <v>0</v>
      </c>
      <c r="DI263">
        <v>0</v>
      </c>
      <c r="EY263" s="12" t="str">
        <f>IF(C263="", "", CONCATENATE(D246, " ",D263))</f>
        <v/>
      </c>
    </row>
    <row r="264" spans="1:155" ht="6.75" customHeight="1" x14ac:dyDescent="0.35">
      <c r="C264" s="211"/>
      <c r="D264" s="1"/>
      <c r="E264"/>
      <c r="F264"/>
      <c r="BY264" s="6"/>
      <c r="CK264" s="35"/>
      <c r="CM264" s="35"/>
      <c r="DF264" s="35"/>
      <c r="DG264">
        <f t="shared" si="181"/>
        <v>0</v>
      </c>
      <c r="DH264">
        <v>0</v>
      </c>
      <c r="DI264">
        <v>0</v>
      </c>
      <c r="EY264" s="10" t="str">
        <f>IF($C264="","",$D264)</f>
        <v/>
      </c>
    </row>
    <row r="265" spans="1:155" x14ac:dyDescent="0.35">
      <c r="A265" s="53"/>
      <c r="C265" s="211"/>
      <c r="D265" s="53" t="s">
        <v>1165</v>
      </c>
      <c r="E265" s="53"/>
      <c r="F265" s="53"/>
      <c r="G265" s="53"/>
      <c r="H265" s="53"/>
      <c r="I265" s="53"/>
      <c r="J265" s="53"/>
      <c r="M265" s="53"/>
      <c r="N265" s="53"/>
      <c r="O265" s="53"/>
      <c r="P265" s="53"/>
      <c r="Q265" s="53"/>
      <c r="R265" s="53"/>
      <c r="CK265" s="11"/>
      <c r="CM265" s="11"/>
      <c r="DF265" s="11"/>
      <c r="DG265">
        <f t="shared" si="181"/>
        <v>0</v>
      </c>
      <c r="DH265">
        <v>0</v>
      </c>
      <c r="DI265">
        <v>0</v>
      </c>
      <c r="EY265" s="10" t="str">
        <f>IF($C265="","",$D265)</f>
        <v/>
      </c>
    </row>
    <row r="266" spans="1:155" x14ac:dyDescent="0.35">
      <c r="C266" s="211" t="s">
        <v>1166</v>
      </c>
      <c r="D266" t="s">
        <v>1073</v>
      </c>
      <c r="H266" s="9" t="s">
        <v>1074</v>
      </c>
      <c r="I266" s="40" t="s">
        <v>317</v>
      </c>
      <c r="V266" s="109"/>
      <c r="W266" s="133">
        <f>V270</f>
        <v>0</v>
      </c>
      <c r="X266" s="133">
        <f>W270</f>
        <v>0</v>
      </c>
      <c r="Y266" s="10">
        <f>X270</f>
        <v>0</v>
      </c>
      <c r="AA266" s="12">
        <f>W266</f>
        <v>0</v>
      </c>
      <c r="AB266" s="10">
        <f t="shared" ref="AB266:BV266" si="193">AA270</f>
        <v>0</v>
      </c>
      <c r="AC266" s="10">
        <f t="shared" si="193"/>
        <v>0</v>
      </c>
      <c r="AD266" s="10">
        <f t="shared" si="193"/>
        <v>0</v>
      </c>
      <c r="AE266" s="10">
        <f t="shared" si="193"/>
        <v>0</v>
      </c>
      <c r="AF266" s="10">
        <f t="shared" si="193"/>
        <v>0</v>
      </c>
      <c r="AG266" s="10">
        <f t="shared" si="193"/>
        <v>0</v>
      </c>
      <c r="AH266" s="10">
        <f t="shared" si="193"/>
        <v>0</v>
      </c>
      <c r="AI266" s="10">
        <f t="shared" si="193"/>
        <v>0</v>
      </c>
      <c r="AJ266" s="10">
        <f t="shared" si="193"/>
        <v>0</v>
      </c>
      <c r="AK266" s="10">
        <f t="shared" si="193"/>
        <v>0</v>
      </c>
      <c r="AL266" s="10">
        <f t="shared" si="193"/>
        <v>0</v>
      </c>
      <c r="AM266" s="10">
        <f t="shared" si="193"/>
        <v>0</v>
      </c>
      <c r="AN266" s="10">
        <f t="shared" si="193"/>
        <v>0</v>
      </c>
      <c r="AO266" s="10">
        <f t="shared" si="193"/>
        <v>0</v>
      </c>
      <c r="AP266" s="10">
        <f t="shared" si="193"/>
        <v>0</v>
      </c>
      <c r="AQ266" s="10">
        <f t="shared" si="193"/>
        <v>0</v>
      </c>
      <c r="AR266" s="10">
        <f t="shared" si="193"/>
        <v>0</v>
      </c>
      <c r="AS266" s="10">
        <f t="shared" si="193"/>
        <v>0</v>
      </c>
      <c r="AT266" s="10">
        <f t="shared" si="193"/>
        <v>0</v>
      </c>
      <c r="AU266" s="10">
        <f t="shared" si="193"/>
        <v>0</v>
      </c>
      <c r="AV266" s="10">
        <f t="shared" si="193"/>
        <v>0</v>
      </c>
      <c r="AW266" s="10">
        <f t="shared" si="193"/>
        <v>0</v>
      </c>
      <c r="AX266" s="10">
        <f t="shared" si="193"/>
        <v>0</v>
      </c>
      <c r="AY266" s="10">
        <f t="shared" si="193"/>
        <v>0</v>
      </c>
      <c r="AZ266" s="10">
        <f t="shared" si="193"/>
        <v>0</v>
      </c>
      <c r="BA266" s="10">
        <f t="shared" si="193"/>
        <v>0</v>
      </c>
      <c r="BB266" s="10">
        <f t="shared" si="193"/>
        <v>0</v>
      </c>
      <c r="BC266" s="10">
        <f t="shared" si="193"/>
        <v>0</v>
      </c>
      <c r="BD266" s="10">
        <f t="shared" si="193"/>
        <v>0</v>
      </c>
      <c r="BE266" s="10">
        <f t="shared" si="193"/>
        <v>0</v>
      </c>
      <c r="BF266" s="10">
        <f t="shared" si="193"/>
        <v>0</v>
      </c>
      <c r="BG266" s="10">
        <f t="shared" si="193"/>
        <v>0</v>
      </c>
      <c r="BH266" s="10">
        <f t="shared" si="193"/>
        <v>0</v>
      </c>
      <c r="BI266" s="10">
        <f t="shared" si="193"/>
        <v>0</v>
      </c>
      <c r="BJ266" s="10">
        <f t="shared" si="193"/>
        <v>0</v>
      </c>
      <c r="BK266" s="10">
        <f t="shared" si="193"/>
        <v>0</v>
      </c>
      <c r="BL266" s="10">
        <f t="shared" si="193"/>
        <v>0</v>
      </c>
      <c r="BM266" s="10">
        <f t="shared" si="193"/>
        <v>0</v>
      </c>
      <c r="BN266" s="10">
        <f t="shared" si="193"/>
        <v>0</v>
      </c>
      <c r="BO266" s="10">
        <f t="shared" si="193"/>
        <v>0</v>
      </c>
      <c r="BP266" s="10">
        <f t="shared" si="193"/>
        <v>0</v>
      </c>
      <c r="BQ266" s="10">
        <f t="shared" si="193"/>
        <v>0</v>
      </c>
      <c r="BR266" s="10">
        <f t="shared" si="193"/>
        <v>0</v>
      </c>
      <c r="BS266" s="10">
        <f t="shared" si="193"/>
        <v>0</v>
      </c>
      <c r="BT266" s="10">
        <f t="shared" si="193"/>
        <v>0</v>
      </c>
      <c r="BU266" s="10">
        <f t="shared" si="193"/>
        <v>0</v>
      </c>
      <c r="BV266" s="10">
        <f t="shared" si="193"/>
        <v>0</v>
      </c>
      <c r="BX266" s="12">
        <f t="shared" ref="BX266:CA270" si="194">V266</f>
        <v>0</v>
      </c>
      <c r="BY266" s="12">
        <f t="shared" si="194"/>
        <v>0</v>
      </c>
      <c r="BZ266" s="12">
        <f t="shared" si="194"/>
        <v>0</v>
      </c>
      <c r="CA266" s="12">
        <f t="shared" si="194"/>
        <v>0</v>
      </c>
      <c r="CB266" s="10">
        <f t="shared" ref="CB266:CI266" si="195">CA270</f>
        <v>0</v>
      </c>
      <c r="CC266" s="10">
        <f t="shared" si="195"/>
        <v>0</v>
      </c>
      <c r="CD266" s="10">
        <f t="shared" si="195"/>
        <v>0</v>
      </c>
      <c r="CE266" s="10">
        <f t="shared" si="195"/>
        <v>0</v>
      </c>
      <c r="CF266" s="10">
        <f t="shared" si="195"/>
        <v>0</v>
      </c>
      <c r="CG266" s="10">
        <f t="shared" si="195"/>
        <v>0</v>
      </c>
      <c r="CH266" s="10">
        <f t="shared" si="195"/>
        <v>0</v>
      </c>
      <c r="CI266" s="10">
        <f t="shared" si="195"/>
        <v>0</v>
      </c>
      <c r="CK266" s="11"/>
      <c r="CM266" s="11"/>
      <c r="CY266" s="7" cm="1">
        <f t="array" ref="CY266">SUMPRODUCT(--NOT(ISNUMBER(V266:CI266)),--NOT(ISBLANK(V266:CI266)))</f>
        <v>0</v>
      </c>
      <c r="DF266" s="11"/>
      <c r="DG266">
        <f t="shared" si="181"/>
        <v>0</v>
      </c>
      <c r="DH266">
        <v>1</v>
      </c>
      <c r="DI266">
        <v>0</v>
      </c>
      <c r="EY266" s="12" t="str">
        <f>IF(C266="", "", CONCATENATE(D265, " ",D266))</f>
        <v>Loan 12 Opening Loan Balance</v>
      </c>
    </row>
    <row r="267" spans="1:155" s="5" customFormat="1" x14ac:dyDescent="0.35">
      <c r="A267" s="220" cm="1">
        <f t="array" aca="1" ref="A267" ca="1">HYPERLINK(CONCATENATE("#",CELL("address",IF(MAX($CM267:$DF267)=0,A267,INDEX($CM267:$DF267,MATCH(1,$CM267:$DF267,0))))),MAX($CM267:$DF267))</f>
        <v>0</v>
      </c>
      <c r="B267"/>
      <c r="C267" s="211" t="s">
        <v>1167</v>
      </c>
      <c r="D267" t="s">
        <v>1076</v>
      </c>
      <c r="E267" s="1"/>
      <c r="F267" s="1"/>
      <c r="G267"/>
      <c r="H267" s="9" t="s">
        <v>1074</v>
      </c>
      <c r="I267" s="40" t="s">
        <v>665</v>
      </c>
      <c r="J267"/>
      <c r="K267"/>
      <c r="L267"/>
      <c r="M267"/>
      <c r="N267"/>
      <c r="O267"/>
      <c r="P267"/>
      <c r="Q267"/>
      <c r="R267"/>
      <c r="S267"/>
      <c r="T267"/>
      <c r="U267"/>
      <c r="V267" s="109"/>
      <c r="W267" s="133">
        <f t="shared" ref="W267:Y269" si="196" xml:space="preserve"> SUMIFS($AA267:$BV267, $AA$3:$BV$3, W$3)</f>
        <v>0</v>
      </c>
      <c r="X267" s="133">
        <f t="shared" si="196"/>
        <v>0</v>
      </c>
      <c r="Y267" s="133">
        <f t="shared" si="196"/>
        <v>0</v>
      </c>
      <c r="Z267"/>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c r="BX267" s="12">
        <f t="shared" si="194"/>
        <v>0</v>
      </c>
      <c r="BY267" s="12">
        <f t="shared" si="194"/>
        <v>0</v>
      </c>
      <c r="BZ267" s="12">
        <f t="shared" si="194"/>
        <v>0</v>
      </c>
      <c r="CA267" s="12">
        <f t="shared" si="194"/>
        <v>0</v>
      </c>
      <c r="CB267" s="133">
        <f xml:space="preserve"> SUMIFS($AA267:$BV267, $AA$3:$BV$3, CB$3)</f>
        <v>0</v>
      </c>
      <c r="CC267" s="109"/>
      <c r="CD267" s="109"/>
      <c r="CE267" s="109"/>
      <c r="CF267" s="109"/>
      <c r="CG267" s="109"/>
      <c r="CH267" s="109"/>
      <c r="CI267" s="109"/>
      <c r="CJ267"/>
      <c r="CK267" s="11"/>
      <c r="CL267" s="241">
        <f>IF(MIN($V267:$CI267)&lt;0, 1, 0)</f>
        <v>0</v>
      </c>
      <c r="CM267" s="11"/>
      <c r="CN267"/>
      <c r="CO267"/>
      <c r="CP267"/>
      <c r="CQ267"/>
      <c r="CR267"/>
      <c r="CS267"/>
      <c r="CT267"/>
      <c r="CU267"/>
      <c r="CV267"/>
      <c r="CW267"/>
      <c r="CX267"/>
      <c r="CY267" s="7" cm="1">
        <f t="array" ref="CY267">SUMPRODUCT(--NOT(ISNUMBER(V267:CI267)),--NOT(ISBLANK(V267:CI267)))</f>
        <v>0</v>
      </c>
      <c r="CZ267" s="7">
        <f t="shared" ref="CZ267:DB269" si="197">IF(ROUND(W267-SUMIFS($AA267:$BV267, $AA$3:$BV$3, W$3), rounding)=0, 0, 1)</f>
        <v>0</v>
      </c>
      <c r="DA267" s="7">
        <f t="shared" si="197"/>
        <v>0</v>
      </c>
      <c r="DB267" s="7">
        <f t="shared" si="197"/>
        <v>0</v>
      </c>
      <c r="DC267" s="7">
        <f>IF(ROUND(CB267-SUMIFS($AA267:$BV267, $AA$3:$BV$3, CB$3), rounding)=0, 0, 1)</f>
        <v>0</v>
      </c>
      <c r="DD267" s="7">
        <f>IF(ROUND(V267-BX267, rounding)=0, 0, 1)*'BS Forecasts'!$V$10</f>
        <v>0</v>
      </c>
      <c r="DE267"/>
      <c r="DF267" s="11"/>
      <c r="DG267">
        <f t="shared" si="181"/>
        <v>0</v>
      </c>
      <c r="DH267">
        <v>1</v>
      </c>
      <c r="DI267">
        <v>1</v>
      </c>
      <c r="EY267" s="12" t="str">
        <f>IF(C267="", "", CONCATENATE(D265, " ",D267))</f>
        <v>Loan 12 Drawdowns</v>
      </c>
    </row>
    <row r="268" spans="1:155" x14ac:dyDescent="0.35">
      <c r="A268" s="220" cm="1">
        <f t="array" aca="1" ref="A268" ca="1">HYPERLINK(CONCATENATE("#",CELL("address",IF(MAX($CM268:$DF268)=0,A268,INDEX($CM268:$DF268,MATCH(1,$CM268:$DF268,0))))),MAX($CM268:$DF268))</f>
        <v>0</v>
      </c>
      <c r="C268" s="211" t="s">
        <v>1168</v>
      </c>
      <c r="D268" t="s">
        <v>1078</v>
      </c>
      <c r="H268" s="9" t="s">
        <v>1074</v>
      </c>
      <c r="I268" s="40" t="s">
        <v>1079</v>
      </c>
      <c r="V268" s="109"/>
      <c r="W268" s="133">
        <f t="shared" si="196"/>
        <v>0</v>
      </c>
      <c r="X268" s="133">
        <f t="shared" si="196"/>
        <v>0</v>
      </c>
      <c r="Y268" s="133">
        <f t="shared" si="196"/>
        <v>0</v>
      </c>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X268" s="12">
        <f t="shared" si="194"/>
        <v>0</v>
      </c>
      <c r="BY268" s="12">
        <f t="shared" si="194"/>
        <v>0</v>
      </c>
      <c r="BZ268" s="12">
        <f t="shared" si="194"/>
        <v>0</v>
      </c>
      <c r="CA268" s="12">
        <f t="shared" si="194"/>
        <v>0</v>
      </c>
      <c r="CB268" s="133">
        <f xml:space="preserve"> SUMIFS($AA268:$BV268, $AA$3:$BV$3, CB$3)</f>
        <v>0</v>
      </c>
      <c r="CC268" s="109"/>
      <c r="CD268" s="109"/>
      <c r="CE268" s="109"/>
      <c r="CF268" s="109"/>
      <c r="CG268" s="109"/>
      <c r="CH268" s="109"/>
      <c r="CI268" s="109"/>
      <c r="CK268" s="11"/>
      <c r="CL268" s="241">
        <f>IF(MAX($V268:$CI268)&gt;0, 1, 0)</f>
        <v>0</v>
      </c>
      <c r="CM268" s="11"/>
      <c r="CY268" s="7" cm="1">
        <f t="array" ref="CY268">SUMPRODUCT(--NOT(ISNUMBER(V268:CI268)),--NOT(ISBLANK(V268:CI268)))</f>
        <v>0</v>
      </c>
      <c r="CZ268" s="7">
        <f t="shared" si="197"/>
        <v>0</v>
      </c>
      <c r="DA268" s="7">
        <f t="shared" si="197"/>
        <v>0</v>
      </c>
      <c r="DB268" s="7">
        <f t="shared" si="197"/>
        <v>0</v>
      </c>
      <c r="DC268" s="7">
        <f>IF(ROUND(CB268-SUMIFS($AA268:$BV268, $AA$3:$BV$3, CB$3), rounding)=0, 0, 1)</f>
        <v>0</v>
      </c>
      <c r="DD268" s="7">
        <f>IF(ROUND(V268-BX268, rounding)=0, 0, 1)*'BS Forecasts'!$V$10</f>
        <v>0</v>
      </c>
      <c r="DF268" s="11"/>
      <c r="DG268">
        <f t="shared" si="181"/>
        <v>0</v>
      </c>
      <c r="DH268">
        <v>1</v>
      </c>
      <c r="DI268">
        <v>1</v>
      </c>
      <c r="EY268" s="12" t="str">
        <f>IF(C268="", "", CONCATENATE(D265, " ",D268))</f>
        <v>Loan 12 Loan Capital Repayment (as per loan agreement)</v>
      </c>
    </row>
    <row r="269" spans="1:155" x14ac:dyDescent="0.35">
      <c r="A269" s="220" cm="1">
        <f t="array" aca="1" ref="A269" ca="1">HYPERLINK(CONCATENATE("#",CELL("address",IF(MAX($CM269:$DF269)=0,A269,INDEX($CM269:$DF269,MATCH(1,$CM269:$DF269,0))))),MAX($CM269:$DF269))</f>
        <v>0</v>
      </c>
      <c r="C269" s="211" t="s">
        <v>1169</v>
      </c>
      <c r="D269" t="s">
        <v>1081</v>
      </c>
      <c r="H269" s="9" t="s">
        <v>1074</v>
      </c>
      <c r="I269" s="40" t="s">
        <v>1079</v>
      </c>
      <c r="V269" s="109"/>
      <c r="W269" s="133">
        <f t="shared" si="196"/>
        <v>0</v>
      </c>
      <c r="X269" s="133">
        <f t="shared" si="196"/>
        <v>0</v>
      </c>
      <c r="Y269" s="133">
        <f t="shared" si="196"/>
        <v>0</v>
      </c>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X269" s="12">
        <f t="shared" si="194"/>
        <v>0</v>
      </c>
      <c r="BY269" s="12">
        <f t="shared" si="194"/>
        <v>0</v>
      </c>
      <c r="BZ269" s="12">
        <f t="shared" si="194"/>
        <v>0</v>
      </c>
      <c r="CA269" s="12">
        <f t="shared" si="194"/>
        <v>0</v>
      </c>
      <c r="CB269" s="133">
        <f xml:space="preserve"> SUMIFS($AA269:$BV269, $AA$3:$BV$3, CB$3)</f>
        <v>0</v>
      </c>
      <c r="CC269" s="109"/>
      <c r="CD269" s="109"/>
      <c r="CE269" s="109"/>
      <c r="CF269" s="109"/>
      <c r="CG269" s="109"/>
      <c r="CH269" s="109"/>
      <c r="CI269" s="109"/>
      <c r="CK269" s="11"/>
      <c r="CL269" s="241">
        <f>IF(MAX($V269:$CI269)&gt;0, 1, 0)</f>
        <v>0</v>
      </c>
      <c r="CM269" s="11"/>
      <c r="CY269" s="7" cm="1">
        <f t="array" ref="CY269">SUMPRODUCT(--NOT(ISNUMBER(V269:CI269)),--NOT(ISBLANK(V269:CI269)))</f>
        <v>0</v>
      </c>
      <c r="CZ269" s="7">
        <f t="shared" si="197"/>
        <v>0</v>
      </c>
      <c r="DA269" s="7">
        <f t="shared" si="197"/>
        <v>0</v>
      </c>
      <c r="DB269" s="7">
        <f t="shared" si="197"/>
        <v>0</v>
      </c>
      <c r="DC269" s="7">
        <f>IF(ROUND(CB269-SUMIFS($AA269:$BV269, $AA$3:$BV$3, CB$3), rounding)=0, 0, 1)</f>
        <v>0</v>
      </c>
      <c r="DD269" s="7">
        <f>IF(ROUND(V269-BX269, rounding)=0, 0, 1)*'BS Forecasts'!$V$10</f>
        <v>0</v>
      </c>
      <c r="DF269" s="11"/>
      <c r="DG269">
        <f t="shared" si="181"/>
        <v>0</v>
      </c>
      <c r="DH269">
        <v>1</v>
      </c>
      <c r="DI269">
        <v>1</v>
      </c>
      <c r="EY269" s="12" t="str">
        <f>IF(C269="", "", CONCATENATE(D265, " ",D269))</f>
        <v xml:space="preserve">Loan 12 Early Repayment </v>
      </c>
    </row>
    <row r="270" spans="1:155" x14ac:dyDescent="0.35">
      <c r="C270" s="211" t="s">
        <v>1170</v>
      </c>
      <c r="D270" t="s">
        <v>1083</v>
      </c>
      <c r="H270" s="9" t="s">
        <v>1074</v>
      </c>
      <c r="I270" s="40" t="s">
        <v>317</v>
      </c>
      <c r="V270" s="12">
        <f>$H$24</f>
        <v>0</v>
      </c>
      <c r="W270" s="10">
        <f>SUM(W266:W269)</f>
        <v>0</v>
      </c>
      <c r="X270" s="10">
        <f>SUM(X266:X269)</f>
        <v>0</v>
      </c>
      <c r="Y270" s="10">
        <f>SUM(Y266:Y269)</f>
        <v>0</v>
      </c>
      <c r="AA270" s="10">
        <f t="shared" ref="AA270:BV270" si="198">SUM(AA266:AA269)</f>
        <v>0</v>
      </c>
      <c r="AB270" s="10">
        <f t="shared" si="198"/>
        <v>0</v>
      </c>
      <c r="AC270" s="10">
        <f t="shared" si="198"/>
        <v>0</v>
      </c>
      <c r="AD270" s="10">
        <f t="shared" si="198"/>
        <v>0</v>
      </c>
      <c r="AE270" s="10">
        <f t="shared" si="198"/>
        <v>0</v>
      </c>
      <c r="AF270" s="10">
        <f t="shared" si="198"/>
        <v>0</v>
      </c>
      <c r="AG270" s="10">
        <f t="shared" si="198"/>
        <v>0</v>
      </c>
      <c r="AH270" s="10">
        <f t="shared" si="198"/>
        <v>0</v>
      </c>
      <c r="AI270" s="10">
        <f t="shared" si="198"/>
        <v>0</v>
      </c>
      <c r="AJ270" s="10">
        <f t="shared" si="198"/>
        <v>0</v>
      </c>
      <c r="AK270" s="10">
        <f t="shared" si="198"/>
        <v>0</v>
      </c>
      <c r="AL270" s="10">
        <f t="shared" si="198"/>
        <v>0</v>
      </c>
      <c r="AM270" s="10">
        <f t="shared" si="198"/>
        <v>0</v>
      </c>
      <c r="AN270" s="10">
        <f t="shared" si="198"/>
        <v>0</v>
      </c>
      <c r="AO270" s="10">
        <f t="shared" si="198"/>
        <v>0</v>
      </c>
      <c r="AP270" s="10">
        <f t="shared" si="198"/>
        <v>0</v>
      </c>
      <c r="AQ270" s="10">
        <f t="shared" si="198"/>
        <v>0</v>
      </c>
      <c r="AR270" s="10">
        <f t="shared" si="198"/>
        <v>0</v>
      </c>
      <c r="AS270" s="10">
        <f t="shared" si="198"/>
        <v>0</v>
      </c>
      <c r="AT270" s="10">
        <f t="shared" si="198"/>
        <v>0</v>
      </c>
      <c r="AU270" s="10">
        <f t="shared" si="198"/>
        <v>0</v>
      </c>
      <c r="AV270" s="10">
        <f t="shared" si="198"/>
        <v>0</v>
      </c>
      <c r="AW270" s="10">
        <f t="shared" si="198"/>
        <v>0</v>
      </c>
      <c r="AX270" s="10">
        <f t="shared" si="198"/>
        <v>0</v>
      </c>
      <c r="AY270" s="10">
        <f t="shared" si="198"/>
        <v>0</v>
      </c>
      <c r="AZ270" s="10">
        <f t="shared" si="198"/>
        <v>0</v>
      </c>
      <c r="BA270" s="10">
        <f t="shared" si="198"/>
        <v>0</v>
      </c>
      <c r="BB270" s="10">
        <f t="shared" si="198"/>
        <v>0</v>
      </c>
      <c r="BC270" s="10">
        <f t="shared" si="198"/>
        <v>0</v>
      </c>
      <c r="BD270" s="10">
        <f t="shared" si="198"/>
        <v>0</v>
      </c>
      <c r="BE270" s="10">
        <f t="shared" si="198"/>
        <v>0</v>
      </c>
      <c r="BF270" s="10">
        <f t="shared" si="198"/>
        <v>0</v>
      </c>
      <c r="BG270" s="10">
        <f t="shared" si="198"/>
        <v>0</v>
      </c>
      <c r="BH270" s="10">
        <f t="shared" si="198"/>
        <v>0</v>
      </c>
      <c r="BI270" s="10">
        <f t="shared" si="198"/>
        <v>0</v>
      </c>
      <c r="BJ270" s="10">
        <f t="shared" si="198"/>
        <v>0</v>
      </c>
      <c r="BK270" s="10">
        <f t="shared" si="198"/>
        <v>0</v>
      </c>
      <c r="BL270" s="10">
        <f t="shared" si="198"/>
        <v>0</v>
      </c>
      <c r="BM270" s="10">
        <f t="shared" si="198"/>
        <v>0</v>
      </c>
      <c r="BN270" s="10">
        <f t="shared" si="198"/>
        <v>0</v>
      </c>
      <c r="BO270" s="10">
        <f t="shared" si="198"/>
        <v>0</v>
      </c>
      <c r="BP270" s="10">
        <f t="shared" si="198"/>
        <v>0</v>
      </c>
      <c r="BQ270" s="10">
        <f t="shared" si="198"/>
        <v>0</v>
      </c>
      <c r="BR270" s="10">
        <f t="shared" si="198"/>
        <v>0</v>
      </c>
      <c r="BS270" s="10">
        <f t="shared" si="198"/>
        <v>0</v>
      </c>
      <c r="BT270" s="10">
        <f t="shared" si="198"/>
        <v>0</v>
      </c>
      <c r="BU270" s="10">
        <f t="shared" si="198"/>
        <v>0</v>
      </c>
      <c r="BV270" s="10">
        <f t="shared" si="198"/>
        <v>0</v>
      </c>
      <c r="BX270" s="12">
        <f t="shared" si="194"/>
        <v>0</v>
      </c>
      <c r="BY270" s="12">
        <f t="shared" si="194"/>
        <v>0</v>
      </c>
      <c r="BZ270" s="12">
        <f t="shared" si="194"/>
        <v>0</v>
      </c>
      <c r="CA270" s="12">
        <f t="shared" si="194"/>
        <v>0</v>
      </c>
      <c r="CB270" s="10">
        <f t="shared" ref="CB270:CI270" si="199">SUM(CB266:CB269)</f>
        <v>0</v>
      </c>
      <c r="CC270" s="10">
        <f t="shared" si="199"/>
        <v>0</v>
      </c>
      <c r="CD270" s="10">
        <f t="shared" si="199"/>
        <v>0</v>
      </c>
      <c r="CE270" s="10">
        <f t="shared" si="199"/>
        <v>0</v>
      </c>
      <c r="CF270" s="10">
        <f t="shared" si="199"/>
        <v>0</v>
      </c>
      <c r="CG270" s="10">
        <f t="shared" si="199"/>
        <v>0</v>
      </c>
      <c r="CH270" s="10">
        <f t="shared" si="199"/>
        <v>0</v>
      </c>
      <c r="CI270" s="10">
        <f t="shared" si="199"/>
        <v>0</v>
      </c>
      <c r="CK270" s="11"/>
      <c r="CM270" s="11"/>
      <c r="DF270" s="11"/>
      <c r="DG270">
        <f t="shared" si="181"/>
        <v>0</v>
      </c>
      <c r="DH270">
        <v>0</v>
      </c>
      <c r="DI270">
        <v>0</v>
      </c>
      <c r="EY270" s="12" t="str">
        <f>IF(C270="", "", CONCATENATE(D265, " ",D270))</f>
        <v>Loan 12 Closing Loan Balance</v>
      </c>
    </row>
    <row r="271" spans="1:155" ht="6.75" customHeight="1" x14ac:dyDescent="0.35">
      <c r="C271" s="211"/>
      <c r="D271" s="1"/>
      <c r="E271"/>
      <c r="F271"/>
      <c r="BY271" s="6"/>
      <c r="CK271" s="35"/>
      <c r="CM271" s="35"/>
      <c r="DF271" s="35"/>
      <c r="DG271">
        <f t="shared" si="181"/>
        <v>0</v>
      </c>
      <c r="DH271">
        <v>0</v>
      </c>
      <c r="DI271">
        <v>0</v>
      </c>
      <c r="EY271" s="12" t="str">
        <f>IF(C271="", "", CONCATENATE(D265, " ",D271))</f>
        <v/>
      </c>
    </row>
    <row r="272" spans="1:155" x14ac:dyDescent="0.35">
      <c r="A272" s="220" cm="1">
        <f t="array" aca="1" ref="A272" ca="1">HYPERLINK(CONCATENATE("#",CELL("address",IF(MAX($CM272:$DF272)=0,A272,INDEX($CM272:$DF272,MATCH(1,$CM272:$DF272,0))))),MAX($CM272:$DF272))</f>
        <v>0</v>
      </c>
      <c r="C272" s="211"/>
      <c r="D272" t="s">
        <v>1084</v>
      </c>
      <c r="E272" s="118" t="s">
        <v>1085</v>
      </c>
      <c r="F272" s="118"/>
      <c r="G272" s="10">
        <f>$G$24</f>
        <v>0</v>
      </c>
      <c r="V272" s="7">
        <f>IF(OR(V270&gt;$G272, V270&lt;0), 1, 0)</f>
        <v>0</v>
      </c>
      <c r="W272" s="7">
        <f>IF(OR(W270&gt;$G272, W270&lt;0), 1, 0)</f>
        <v>0</v>
      </c>
      <c r="X272" s="7">
        <f>IF(OR(X270&gt;$G272, X270&lt;0), 1, 0)</f>
        <v>0</v>
      </c>
      <c r="Y272" s="7">
        <f>IF(OR(Y270&gt;$G272, Y270&lt;0), 1, 0)</f>
        <v>0</v>
      </c>
      <c r="AA272" s="7">
        <f t="shared" ref="AA272:BV272" si="200">IF(OR(AA270&gt;$G272, AA270&lt;0), 1, 0)</f>
        <v>0</v>
      </c>
      <c r="AB272" s="7">
        <f t="shared" si="200"/>
        <v>0</v>
      </c>
      <c r="AC272" s="7">
        <f t="shared" si="200"/>
        <v>0</v>
      </c>
      <c r="AD272" s="7">
        <f t="shared" si="200"/>
        <v>0</v>
      </c>
      <c r="AE272" s="7">
        <f t="shared" si="200"/>
        <v>0</v>
      </c>
      <c r="AF272" s="7">
        <f t="shared" si="200"/>
        <v>0</v>
      </c>
      <c r="AG272" s="7">
        <f t="shared" si="200"/>
        <v>0</v>
      </c>
      <c r="AH272" s="7">
        <f t="shared" si="200"/>
        <v>0</v>
      </c>
      <c r="AI272" s="7">
        <f t="shared" si="200"/>
        <v>0</v>
      </c>
      <c r="AJ272" s="7">
        <f t="shared" si="200"/>
        <v>0</v>
      </c>
      <c r="AK272" s="7">
        <f t="shared" si="200"/>
        <v>0</v>
      </c>
      <c r="AL272" s="7">
        <f t="shared" si="200"/>
        <v>0</v>
      </c>
      <c r="AM272" s="7">
        <f t="shared" si="200"/>
        <v>0</v>
      </c>
      <c r="AN272" s="7">
        <f t="shared" si="200"/>
        <v>0</v>
      </c>
      <c r="AO272" s="7">
        <f t="shared" si="200"/>
        <v>0</v>
      </c>
      <c r="AP272" s="7">
        <f t="shared" si="200"/>
        <v>0</v>
      </c>
      <c r="AQ272" s="7">
        <f t="shared" si="200"/>
        <v>0</v>
      </c>
      <c r="AR272" s="7">
        <f t="shared" si="200"/>
        <v>0</v>
      </c>
      <c r="AS272" s="7">
        <f t="shared" si="200"/>
        <v>0</v>
      </c>
      <c r="AT272" s="7">
        <f t="shared" si="200"/>
        <v>0</v>
      </c>
      <c r="AU272" s="7">
        <f t="shared" si="200"/>
        <v>0</v>
      </c>
      <c r="AV272" s="7">
        <f t="shared" si="200"/>
        <v>0</v>
      </c>
      <c r="AW272" s="7">
        <f t="shared" si="200"/>
        <v>0</v>
      </c>
      <c r="AX272" s="7">
        <f t="shared" si="200"/>
        <v>0</v>
      </c>
      <c r="AY272" s="7">
        <f t="shared" si="200"/>
        <v>0</v>
      </c>
      <c r="AZ272" s="7">
        <f t="shared" si="200"/>
        <v>0</v>
      </c>
      <c r="BA272" s="7">
        <f t="shared" si="200"/>
        <v>0</v>
      </c>
      <c r="BB272" s="7">
        <f t="shared" si="200"/>
        <v>0</v>
      </c>
      <c r="BC272" s="7">
        <f t="shared" si="200"/>
        <v>0</v>
      </c>
      <c r="BD272" s="7">
        <f t="shared" si="200"/>
        <v>0</v>
      </c>
      <c r="BE272" s="7">
        <f t="shared" si="200"/>
        <v>0</v>
      </c>
      <c r="BF272" s="7">
        <f t="shared" si="200"/>
        <v>0</v>
      </c>
      <c r="BG272" s="7">
        <f t="shared" si="200"/>
        <v>0</v>
      </c>
      <c r="BH272" s="7">
        <f t="shared" si="200"/>
        <v>0</v>
      </c>
      <c r="BI272" s="7">
        <f t="shared" si="200"/>
        <v>0</v>
      </c>
      <c r="BJ272" s="7">
        <f t="shared" si="200"/>
        <v>0</v>
      </c>
      <c r="BK272" s="7">
        <f t="shared" si="200"/>
        <v>0</v>
      </c>
      <c r="BL272" s="7">
        <f t="shared" si="200"/>
        <v>0</v>
      </c>
      <c r="BM272" s="7">
        <f t="shared" si="200"/>
        <v>0</v>
      </c>
      <c r="BN272" s="7">
        <f t="shared" si="200"/>
        <v>0</v>
      </c>
      <c r="BO272" s="7">
        <f t="shared" si="200"/>
        <v>0</v>
      </c>
      <c r="BP272" s="7">
        <f t="shared" si="200"/>
        <v>0</v>
      </c>
      <c r="BQ272" s="7">
        <f t="shared" si="200"/>
        <v>0</v>
      </c>
      <c r="BR272" s="7">
        <f t="shared" si="200"/>
        <v>0</v>
      </c>
      <c r="BS272" s="7">
        <f t="shared" si="200"/>
        <v>0</v>
      </c>
      <c r="BT272" s="7">
        <f t="shared" si="200"/>
        <v>0</v>
      </c>
      <c r="BU272" s="7">
        <f t="shared" si="200"/>
        <v>0</v>
      </c>
      <c r="BV272" s="7">
        <f t="shared" si="200"/>
        <v>0</v>
      </c>
      <c r="BX272" s="7">
        <f t="shared" ref="BX272:CI272" si="201">IF(OR(BX270&gt;$G272, BX270&lt;0), 1, 0)</f>
        <v>0</v>
      </c>
      <c r="BY272" s="7">
        <f t="shared" si="201"/>
        <v>0</v>
      </c>
      <c r="BZ272" s="7">
        <f t="shared" si="201"/>
        <v>0</v>
      </c>
      <c r="CA272" s="7">
        <f t="shared" si="201"/>
        <v>0</v>
      </c>
      <c r="CB272" s="7">
        <f t="shared" si="201"/>
        <v>0</v>
      </c>
      <c r="CC272" s="7">
        <f t="shared" si="201"/>
        <v>0</v>
      </c>
      <c r="CD272" s="7">
        <f t="shared" si="201"/>
        <v>0</v>
      </c>
      <c r="CE272" s="7">
        <f t="shared" si="201"/>
        <v>0</v>
      </c>
      <c r="CF272" s="7">
        <f t="shared" si="201"/>
        <v>0</v>
      </c>
      <c r="CG272" s="7">
        <f t="shared" si="201"/>
        <v>0</v>
      </c>
      <c r="CH272" s="7">
        <f t="shared" si="201"/>
        <v>0</v>
      </c>
      <c r="CI272" s="7">
        <f t="shared" si="201"/>
        <v>0</v>
      </c>
      <c r="CK272" s="11"/>
      <c r="CM272" s="11"/>
      <c r="CX272" s="7">
        <f>IF(MAX(V272:CI272)&gt;0, 1, 0)</f>
        <v>0</v>
      </c>
      <c r="DF272" s="11"/>
      <c r="DG272">
        <f t="shared" si="181"/>
        <v>1</v>
      </c>
      <c r="DH272">
        <v>0</v>
      </c>
      <c r="DI272">
        <v>0</v>
      </c>
      <c r="EY272" s="12" t="str">
        <f>IF(C272="", "", CONCATENATE(D265, " ",D272))</f>
        <v/>
      </c>
    </row>
    <row r="273" spans="1:155" x14ac:dyDescent="0.35">
      <c r="A273" s="220" cm="1">
        <f t="array" aca="1" ref="A273" ca="1">HYPERLINK(CONCATENATE("#",CELL("address",IF(MAX($CM273:$DF273)=0,A273,INDEX($CM273:$DF273,MATCH(1,$CM273:$DF273,0))))),MAX($CM273:$DF273))</f>
        <v>0</v>
      </c>
      <c r="C273" s="211"/>
      <c r="D273" t="s">
        <v>1086</v>
      </c>
      <c r="E273" s="118" t="s">
        <v>1087</v>
      </c>
      <c r="F273" s="118"/>
      <c r="G273" s="117" t="str">
        <f>IF($K$24="", "", $K$24)</f>
        <v/>
      </c>
      <c r="V273" s="7">
        <f>IF(AND(V$5&gt;=$G273,SUM(V270:$Y270)&lt;&gt;0),1,0)</f>
        <v>0</v>
      </c>
      <c r="W273" s="7">
        <f>IF(AND(W$5&gt;=$G273,SUM(W270:$Y270)&lt;&gt;0),1,0)</f>
        <v>0</v>
      </c>
      <c r="X273" s="7">
        <f>IF(AND(X$5&gt;=$G273,SUM(X270:$Y270)&lt;&gt;0),1,0)</f>
        <v>0</v>
      </c>
      <c r="Y273" s="7">
        <f>IF(AND(Y$5&gt;=$G273,SUM(Y270:$Y270)&lt;&gt;0),1,0)</f>
        <v>0</v>
      </c>
      <c r="AA273" s="7">
        <f>IF(AND(AA$5&gt;=$G273,SUM(AA270:$BV270)&lt;&gt;0),1,0)</f>
        <v>0</v>
      </c>
      <c r="AB273" s="7">
        <f>IF(AND(AB$5&gt;=$G273,SUM(AB270:$BV270)&lt;&gt;0),1,0)</f>
        <v>0</v>
      </c>
      <c r="AC273" s="7">
        <f>IF(AND(AC$5&gt;=$G273,SUM(AC270:$BV270)&lt;&gt;0),1,0)</f>
        <v>0</v>
      </c>
      <c r="AD273" s="7">
        <f>IF(AND(AD$5&gt;=$G273,SUM(AD270:$BV270)&lt;&gt;0),1,0)</f>
        <v>0</v>
      </c>
      <c r="AE273" s="7">
        <f>IF(AND(AE$5&gt;=$G273,SUM(AE270:$BV270)&lt;&gt;0),1,0)</f>
        <v>0</v>
      </c>
      <c r="AF273" s="7">
        <f>IF(AND(AF$5&gt;=$G273,SUM(AF270:$BV270)&lt;&gt;0),1,0)</f>
        <v>0</v>
      </c>
      <c r="AG273" s="7">
        <f>IF(AND(AG$5&gt;=$G273,SUM(AG270:$BV270)&lt;&gt;0),1,0)</f>
        <v>0</v>
      </c>
      <c r="AH273" s="7">
        <f>IF(AND(AH$5&gt;=$G273,SUM(AH270:$BV270)&lt;&gt;0),1,0)</f>
        <v>0</v>
      </c>
      <c r="AI273" s="7">
        <f>IF(AND(AI$5&gt;=$G273,SUM(AI270:$BV270)&lt;&gt;0),1,0)</f>
        <v>0</v>
      </c>
      <c r="AJ273" s="7">
        <f>IF(AND(AJ$5&gt;=$G273,SUM(AJ270:$BV270)&lt;&gt;0),1,0)</f>
        <v>0</v>
      </c>
      <c r="AK273" s="7">
        <f>IF(AND(AK$5&gt;=$G273,SUM(AK270:$BV270)&lt;&gt;0),1,0)</f>
        <v>0</v>
      </c>
      <c r="AL273" s="7">
        <f>IF(AND(AL$5&gt;=$G273,SUM(AL270:$BV270)&lt;&gt;0),1,0)</f>
        <v>0</v>
      </c>
      <c r="AM273" s="7">
        <f>IF(AND(AM$5&gt;=$G273,SUM(AM270:$BV270)&lt;&gt;0),1,0)</f>
        <v>0</v>
      </c>
      <c r="AN273" s="7">
        <f>IF(AND(AN$5&gt;=$G273,SUM(AN270:$BV270)&lt;&gt;0),1,0)</f>
        <v>0</v>
      </c>
      <c r="AO273" s="7">
        <f>IF(AND(AO$5&gt;=$G273,SUM(AO270:$BV270)&lt;&gt;0),1,0)</f>
        <v>0</v>
      </c>
      <c r="AP273" s="7">
        <f>IF(AND(AP$5&gt;=$G273,SUM(AP270:$BV270)&lt;&gt;0),1,0)</f>
        <v>0</v>
      </c>
      <c r="AQ273" s="7">
        <f>IF(AND(AQ$5&gt;=$G273,SUM(AQ270:$BV270)&lt;&gt;0),1,0)</f>
        <v>0</v>
      </c>
      <c r="AR273" s="7">
        <f>IF(AND(AR$5&gt;=$G273,SUM(AR270:$BV270)&lt;&gt;0),1,0)</f>
        <v>0</v>
      </c>
      <c r="AS273" s="7">
        <f>IF(AND(AS$5&gt;=$G273,SUM(AS270:$BV270)&lt;&gt;0),1,0)</f>
        <v>0</v>
      </c>
      <c r="AT273" s="7">
        <f>IF(AND(AT$5&gt;=$G273,SUM(AT270:$BV270)&lt;&gt;0),1,0)</f>
        <v>0</v>
      </c>
      <c r="AU273" s="7">
        <f>IF(AND(AU$5&gt;=$G273,SUM(AU270:$BV270)&lt;&gt;0),1,0)</f>
        <v>0</v>
      </c>
      <c r="AV273" s="7">
        <f>IF(AND(AV$5&gt;=$G273,SUM(AV270:$BV270)&lt;&gt;0),1,0)</f>
        <v>0</v>
      </c>
      <c r="AW273" s="7">
        <f>IF(AND(AW$5&gt;=$G273,SUM(AW270:$BV270)&lt;&gt;0),1,0)</f>
        <v>0</v>
      </c>
      <c r="AX273" s="7">
        <f>IF(AND(AX$5&gt;=$G273,SUM(AX270:$BV270)&lt;&gt;0),1,0)</f>
        <v>0</v>
      </c>
      <c r="AY273" s="7">
        <f>IF(AND(AY$5&gt;=$G273,SUM(AY270:$BV270)&lt;&gt;0),1,0)</f>
        <v>0</v>
      </c>
      <c r="AZ273" s="7">
        <f>IF(AND(AZ$5&gt;=$G273,SUM(AZ270:$BV270)&lt;&gt;0),1,0)</f>
        <v>0</v>
      </c>
      <c r="BA273" s="7">
        <f>IF(AND(BA$5&gt;=$G273,SUM(BA270:$BV270)&lt;&gt;0),1,0)</f>
        <v>0</v>
      </c>
      <c r="BB273" s="7">
        <f>IF(AND(BB$5&gt;=$G273,SUM(BB270:$BV270)&lt;&gt;0),1,0)</f>
        <v>0</v>
      </c>
      <c r="BC273" s="7">
        <f>IF(AND(BC$5&gt;=$G273,SUM(BC270:$BV270)&lt;&gt;0),1,0)</f>
        <v>0</v>
      </c>
      <c r="BD273" s="7">
        <f>IF(AND(BD$5&gt;=$G273,SUM(BD270:$BV270)&lt;&gt;0),1,0)</f>
        <v>0</v>
      </c>
      <c r="BE273" s="7">
        <f>IF(AND(BE$5&gt;=$G273,SUM(BE270:$BV270)&lt;&gt;0),1,0)</f>
        <v>0</v>
      </c>
      <c r="BF273" s="7">
        <f>IF(AND(BF$5&gt;=$G273,SUM(BF270:$BV270)&lt;&gt;0),1,0)</f>
        <v>0</v>
      </c>
      <c r="BG273" s="7">
        <f>IF(AND(BG$5&gt;=$G273,SUM(BG270:$BV270)&lt;&gt;0),1,0)</f>
        <v>0</v>
      </c>
      <c r="BH273" s="7">
        <f>IF(AND(BH$5&gt;=$G273,SUM(BH270:$BV270)&lt;&gt;0),1,0)</f>
        <v>0</v>
      </c>
      <c r="BI273" s="7">
        <f>IF(AND(BI$5&gt;=$G273,SUM(BI270:$BV270)&lt;&gt;0),1,0)</f>
        <v>0</v>
      </c>
      <c r="BJ273" s="7">
        <f>IF(AND(BJ$5&gt;=$G273,SUM(BJ270:$BV270)&lt;&gt;0),1,0)</f>
        <v>0</v>
      </c>
      <c r="BK273" s="7">
        <f>IF(AND(BK$5&gt;=$G273,SUM(BK270:$BV270)&lt;&gt;0),1,0)</f>
        <v>0</v>
      </c>
      <c r="BL273" s="7">
        <f>IF(AND(BL$5&gt;=$G273,SUM(BL270:$BV270)&lt;&gt;0),1,0)</f>
        <v>0</v>
      </c>
      <c r="BM273" s="7">
        <f>IF(AND(BM$5&gt;=$G273,SUM(BM270:$BV270)&lt;&gt;0),1,0)</f>
        <v>0</v>
      </c>
      <c r="BN273" s="7">
        <f>IF(AND(BN$5&gt;=$G273,SUM(BN270:$BV270)&lt;&gt;0),1,0)</f>
        <v>0</v>
      </c>
      <c r="BO273" s="7">
        <f>IF(AND(BO$5&gt;=$G273,SUM(BO270:$BV270)&lt;&gt;0),1,0)</f>
        <v>0</v>
      </c>
      <c r="BP273" s="7">
        <f>IF(AND(BP$5&gt;=$G273,SUM(BP270:$BV270)&lt;&gt;0),1,0)</f>
        <v>0</v>
      </c>
      <c r="BQ273" s="7">
        <f>IF(AND(BQ$5&gt;=$G273,SUM(BQ270:$BV270)&lt;&gt;0),1,0)</f>
        <v>0</v>
      </c>
      <c r="BR273" s="7">
        <f>IF(AND(BR$5&gt;=$G273,SUM(BR270:$BV270)&lt;&gt;0),1,0)</f>
        <v>0</v>
      </c>
      <c r="BS273" s="7">
        <f>IF(AND(BS$5&gt;=$G273,SUM(BS270:$BV270)&lt;&gt;0),1,0)</f>
        <v>0</v>
      </c>
      <c r="BT273" s="7">
        <f>IF(AND(BT$5&gt;=$G273,SUM(BT270:$BV270)&lt;&gt;0),1,0)</f>
        <v>0</v>
      </c>
      <c r="BU273" s="7">
        <f>IF(AND(BU$5&gt;=$G273,SUM(BU270:$BV270)&lt;&gt;0),1,0)</f>
        <v>0</v>
      </c>
      <c r="BV273" s="7">
        <f>IF(AND(BV$5&gt;=$G273,SUM(BV270:$BV270)&lt;&gt;0),1,0)</f>
        <v>0</v>
      </c>
      <c r="BX273" s="7">
        <f>IF(AND(BX$5&gt;=$G273,SUM(BX270:$CI270)&lt;&gt;0),1,0)*BX$1159</f>
        <v>0</v>
      </c>
      <c r="BY273" s="7">
        <f>IF(AND(BY$5&gt;=$G273,SUM(BY270:$CI270)&lt;&gt;0),1,0)*BY$1159</f>
        <v>0</v>
      </c>
      <c r="BZ273" s="7">
        <f>IF(AND(BZ$5&gt;=$G273,SUM(BZ270:$CI270)&lt;&gt;0),1,0)*BZ$1159</f>
        <v>0</v>
      </c>
      <c r="CA273" s="7">
        <f>IF(AND(CA$5&gt;=$G273,SUM(CA270:$CI270)&lt;&gt;0),1,0)*CA$1159</f>
        <v>0</v>
      </c>
      <c r="CB273" s="7">
        <f>IF(AND(CB$5&gt;=$G273,SUM(CB270:$CI270)&lt;&gt;0),1,0)*CB$1159</f>
        <v>0</v>
      </c>
      <c r="CC273" s="7">
        <f>IF(AND(CC$5&gt;=$G273,SUM(CC270:$CI270)&lt;&gt;0),1,0)*CC$1159</f>
        <v>0</v>
      </c>
      <c r="CD273" s="7">
        <f>IF(AND(CD$5&gt;=$G273,SUM(CD270:$CI270)&lt;&gt;0),1,0)*CD$1159</f>
        <v>0</v>
      </c>
      <c r="CE273" s="7">
        <f>IF(AND(CE$5&gt;=$G273,SUM(CE270:$CI270)&lt;&gt;0),1,0)*CE$1159</f>
        <v>0</v>
      </c>
      <c r="CF273" s="7">
        <f>IF(AND(CF$5&gt;=$G273,SUM(CF270:$CI270)&lt;&gt;0),1,0)*CF$1159</f>
        <v>0</v>
      </c>
      <c r="CG273" s="7">
        <f>IF(AND(CG$5&gt;=$G273,SUM(CG270:$CI270)&lt;&gt;0),1,0)*CG$1159</f>
        <v>0</v>
      </c>
      <c r="CH273" s="7">
        <f>IF(AND(CH$5&gt;=$G273,SUM(CH270:$CI270)&lt;&gt;0),1,0)*CH$1159</f>
        <v>0</v>
      </c>
      <c r="CI273" s="7">
        <f>IF(AND(CI$5&gt;=$G273,SUM(CI270:$CI270)&lt;&gt;0),1,0)*CI$1159</f>
        <v>0</v>
      </c>
      <c r="CK273" s="11"/>
      <c r="CM273" s="11"/>
      <c r="CX273" s="7">
        <f>IF(MAX($V273:$CI273)&gt;0, 1, 0)</f>
        <v>0</v>
      </c>
      <c r="DF273" s="11"/>
      <c r="DG273">
        <f t="shared" si="181"/>
        <v>1</v>
      </c>
      <c r="DH273">
        <v>0</v>
      </c>
      <c r="DI273">
        <v>0</v>
      </c>
      <c r="EY273" s="12" t="str">
        <f>IF(C273="", "", CONCATENATE(D265, " ",D273))</f>
        <v/>
      </c>
    </row>
    <row r="274" spans="1:155" ht="6.75" customHeight="1" x14ac:dyDescent="0.35">
      <c r="C274" s="211"/>
      <c r="D274" s="1"/>
      <c r="E274"/>
      <c r="F274"/>
      <c r="BY274" s="6"/>
      <c r="CK274" s="35"/>
      <c r="CM274" s="35"/>
      <c r="DF274" s="35"/>
      <c r="DG274">
        <f t="shared" si="181"/>
        <v>0</v>
      </c>
      <c r="DH274">
        <v>0</v>
      </c>
      <c r="DI274">
        <v>0</v>
      </c>
      <c r="EY274" s="12" t="str">
        <f>IF(C274="", "", CONCATENATE(D265, " ",D274))</f>
        <v/>
      </c>
    </row>
    <row r="275" spans="1:155" x14ac:dyDescent="0.35">
      <c r="C275" s="211"/>
      <c r="D275" t="s">
        <v>1088</v>
      </c>
      <c r="H275" s="9" t="s">
        <v>1074</v>
      </c>
      <c r="I275" s="40" t="s">
        <v>317</v>
      </c>
      <c r="V275" s="109"/>
      <c r="W275" s="133">
        <f>V278</f>
        <v>0</v>
      </c>
      <c r="X275" s="133">
        <f>W278</f>
        <v>0</v>
      </c>
      <c r="Y275" s="10">
        <f>X278</f>
        <v>0</v>
      </c>
      <c r="AA275" s="12">
        <f>W275</f>
        <v>0</v>
      </c>
      <c r="AB275" s="10">
        <f t="shared" ref="AB275:BV275" si="202">AA278</f>
        <v>0</v>
      </c>
      <c r="AC275" s="10">
        <f t="shared" si="202"/>
        <v>0</v>
      </c>
      <c r="AD275" s="10">
        <f t="shared" si="202"/>
        <v>0</v>
      </c>
      <c r="AE275" s="10">
        <f t="shared" si="202"/>
        <v>0</v>
      </c>
      <c r="AF275" s="10">
        <f t="shared" si="202"/>
        <v>0</v>
      </c>
      <c r="AG275" s="10">
        <f t="shared" si="202"/>
        <v>0</v>
      </c>
      <c r="AH275" s="10">
        <f t="shared" si="202"/>
        <v>0</v>
      </c>
      <c r="AI275" s="10">
        <f t="shared" si="202"/>
        <v>0</v>
      </c>
      <c r="AJ275" s="10">
        <f t="shared" si="202"/>
        <v>0</v>
      </c>
      <c r="AK275" s="10">
        <f t="shared" si="202"/>
        <v>0</v>
      </c>
      <c r="AL275" s="10">
        <f t="shared" si="202"/>
        <v>0</v>
      </c>
      <c r="AM275" s="10">
        <f t="shared" si="202"/>
        <v>0</v>
      </c>
      <c r="AN275" s="10">
        <f t="shared" si="202"/>
        <v>0</v>
      </c>
      <c r="AO275" s="10">
        <f t="shared" si="202"/>
        <v>0</v>
      </c>
      <c r="AP275" s="10">
        <f t="shared" si="202"/>
        <v>0</v>
      </c>
      <c r="AQ275" s="10">
        <f t="shared" si="202"/>
        <v>0</v>
      </c>
      <c r="AR275" s="10">
        <f t="shared" si="202"/>
        <v>0</v>
      </c>
      <c r="AS275" s="10">
        <f t="shared" si="202"/>
        <v>0</v>
      </c>
      <c r="AT275" s="10">
        <f t="shared" si="202"/>
        <v>0</v>
      </c>
      <c r="AU275" s="10">
        <f t="shared" si="202"/>
        <v>0</v>
      </c>
      <c r="AV275" s="10">
        <f t="shared" si="202"/>
        <v>0</v>
      </c>
      <c r="AW275" s="10">
        <f t="shared" si="202"/>
        <v>0</v>
      </c>
      <c r="AX275" s="10">
        <f t="shared" si="202"/>
        <v>0</v>
      </c>
      <c r="AY275" s="10">
        <f t="shared" si="202"/>
        <v>0</v>
      </c>
      <c r="AZ275" s="10">
        <f t="shared" si="202"/>
        <v>0</v>
      </c>
      <c r="BA275" s="10">
        <f t="shared" si="202"/>
        <v>0</v>
      </c>
      <c r="BB275" s="10">
        <f t="shared" si="202"/>
        <v>0</v>
      </c>
      <c r="BC275" s="10">
        <f t="shared" si="202"/>
        <v>0</v>
      </c>
      <c r="BD275" s="10">
        <f t="shared" si="202"/>
        <v>0</v>
      </c>
      <c r="BE275" s="10">
        <f t="shared" si="202"/>
        <v>0</v>
      </c>
      <c r="BF275" s="10">
        <f t="shared" si="202"/>
        <v>0</v>
      </c>
      <c r="BG275" s="10">
        <f t="shared" si="202"/>
        <v>0</v>
      </c>
      <c r="BH275" s="10">
        <f t="shared" si="202"/>
        <v>0</v>
      </c>
      <c r="BI275" s="10">
        <f t="shared" si="202"/>
        <v>0</v>
      </c>
      <c r="BJ275" s="10">
        <f t="shared" si="202"/>
        <v>0</v>
      </c>
      <c r="BK275" s="10">
        <f t="shared" si="202"/>
        <v>0</v>
      </c>
      <c r="BL275" s="10">
        <f t="shared" si="202"/>
        <v>0</v>
      </c>
      <c r="BM275" s="10">
        <f t="shared" si="202"/>
        <v>0</v>
      </c>
      <c r="BN275" s="10">
        <f t="shared" si="202"/>
        <v>0</v>
      </c>
      <c r="BO275" s="10">
        <f t="shared" si="202"/>
        <v>0</v>
      </c>
      <c r="BP275" s="10">
        <f t="shared" si="202"/>
        <v>0</v>
      </c>
      <c r="BQ275" s="10">
        <f t="shared" si="202"/>
        <v>0</v>
      </c>
      <c r="BR275" s="10">
        <f t="shared" si="202"/>
        <v>0</v>
      </c>
      <c r="BS275" s="10">
        <f t="shared" si="202"/>
        <v>0</v>
      </c>
      <c r="BT275" s="10">
        <f t="shared" si="202"/>
        <v>0</v>
      </c>
      <c r="BU275" s="10">
        <f t="shared" si="202"/>
        <v>0</v>
      </c>
      <c r="BV275" s="10">
        <f t="shared" si="202"/>
        <v>0</v>
      </c>
      <c r="BX275" s="12">
        <f t="shared" ref="BX275:CA278" si="203">V275</f>
        <v>0</v>
      </c>
      <c r="BY275" s="12">
        <f t="shared" si="203"/>
        <v>0</v>
      </c>
      <c r="BZ275" s="12">
        <f t="shared" si="203"/>
        <v>0</v>
      </c>
      <c r="CA275" s="12">
        <f t="shared" si="203"/>
        <v>0</v>
      </c>
      <c r="CB275" s="10">
        <f t="shared" ref="CB275:CI275" si="204">CA278</f>
        <v>0</v>
      </c>
      <c r="CC275" s="10">
        <f t="shared" si="204"/>
        <v>0</v>
      </c>
      <c r="CD275" s="10">
        <f t="shared" si="204"/>
        <v>0</v>
      </c>
      <c r="CE275" s="10">
        <f t="shared" si="204"/>
        <v>0</v>
      </c>
      <c r="CF275" s="10">
        <f t="shared" si="204"/>
        <v>0</v>
      </c>
      <c r="CG275" s="10">
        <f t="shared" si="204"/>
        <v>0</v>
      </c>
      <c r="CH275" s="10">
        <f t="shared" si="204"/>
        <v>0</v>
      </c>
      <c r="CI275" s="10">
        <f t="shared" si="204"/>
        <v>0</v>
      </c>
      <c r="CK275" s="11"/>
      <c r="CM275" s="11"/>
      <c r="CY275" s="7" cm="1">
        <f t="array" ref="CY275">SUMPRODUCT(--NOT(ISNUMBER(V275:CI275)),--NOT(ISBLANK(V275:CI275)))</f>
        <v>0</v>
      </c>
      <c r="DF275" s="11"/>
      <c r="DG275">
        <f t="shared" si="181"/>
        <v>0</v>
      </c>
      <c r="DH275">
        <v>1</v>
      </c>
      <c r="DI275">
        <v>0</v>
      </c>
      <c r="EY275" s="12" t="str">
        <f>IF(C275="", "", CONCATENATE(D265, " ",D275))</f>
        <v/>
      </c>
    </row>
    <row r="276" spans="1:155" s="5" customFormat="1" x14ac:dyDescent="0.35">
      <c r="A276" s="220" cm="1">
        <f t="array" aca="1" ref="A276" ca="1">HYPERLINK(CONCATENATE("#",CELL("address",IF(MAX($CM276:$DF276)=0,A276,INDEX($CM276:$DF276,MATCH(1,$CM276:$DF276,0))))),MAX($CM276:$DF276))</f>
        <v>0</v>
      </c>
      <c r="B276" s="85" t="s">
        <v>122</v>
      </c>
      <c r="C276" s="211"/>
      <c r="D276" t="s">
        <v>1089</v>
      </c>
      <c r="E276" s="1"/>
      <c r="F276" s="1"/>
      <c r="G276"/>
      <c r="H276" s="9" t="s">
        <v>1074</v>
      </c>
      <c r="I276" s="40" t="s">
        <v>665</v>
      </c>
      <c r="J276"/>
      <c r="K276"/>
      <c r="L276"/>
      <c r="M276"/>
      <c r="N276"/>
      <c r="O276"/>
      <c r="P276"/>
      <c r="Q276"/>
      <c r="R276"/>
      <c r="S276"/>
      <c r="T276"/>
      <c r="U276"/>
      <c r="V276" s="109"/>
      <c r="W276" s="133">
        <f t="shared" ref="W276:Y277" si="205" xml:space="preserve"> SUMIFS($AA276:$BV276, $AA$3:$BV$3, W$3)</f>
        <v>0</v>
      </c>
      <c r="X276" s="133">
        <f t="shared" si="205"/>
        <v>0</v>
      </c>
      <c r="Y276" s="133">
        <f t="shared" si="205"/>
        <v>0</v>
      </c>
      <c r="Z276"/>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c r="BX276" s="12">
        <f t="shared" si="203"/>
        <v>0</v>
      </c>
      <c r="BY276" s="12">
        <f t="shared" si="203"/>
        <v>0</v>
      </c>
      <c r="BZ276" s="12">
        <f t="shared" si="203"/>
        <v>0</v>
      </c>
      <c r="CA276" s="12">
        <f t="shared" si="203"/>
        <v>0</v>
      </c>
      <c r="CB276" s="133">
        <f xml:space="preserve"> SUMIFS($AA276:$BV276, $AA$3:$BV$3, CB$3)</f>
        <v>0</v>
      </c>
      <c r="CC276" s="109"/>
      <c r="CD276" s="109"/>
      <c r="CE276" s="109"/>
      <c r="CF276" s="109"/>
      <c r="CG276" s="109"/>
      <c r="CH276" s="109"/>
      <c r="CI276" s="109"/>
      <c r="CJ276"/>
      <c r="CK276" s="11"/>
      <c r="CL276" s="241">
        <f>IF(MIN($V276:$CI276)&lt;0, 1, 0)</f>
        <v>0</v>
      </c>
      <c r="CM276" s="11"/>
      <c r="CN276"/>
      <c r="CO276"/>
      <c r="CP276"/>
      <c r="CQ276"/>
      <c r="CR276"/>
      <c r="CS276"/>
      <c r="CT276"/>
      <c r="CU276"/>
      <c r="CV276"/>
      <c r="CW276"/>
      <c r="CX276"/>
      <c r="CY276" s="7" cm="1">
        <f t="array" ref="CY276">SUMPRODUCT(--NOT(ISNUMBER(V276:CI276)),--NOT(ISBLANK(V276:CI276)))</f>
        <v>0</v>
      </c>
      <c r="CZ276" s="7">
        <f t="shared" ref="CZ276:DB277" si="206">IF(ROUND(W276-SUMIFS($AA276:$BV276, $AA$3:$BV$3, W$3), rounding)=0, 0, 1)</f>
        <v>0</v>
      </c>
      <c r="DA276" s="7">
        <f t="shared" si="206"/>
        <v>0</v>
      </c>
      <c r="DB276" s="7">
        <f t="shared" si="206"/>
        <v>0</v>
      </c>
      <c r="DC276" s="7">
        <f>IF(ROUND(CB276-SUMIFS($AA276:$BV276, $AA$3:$BV$3, CB$3), rounding)=0, 0, 1)</f>
        <v>0</v>
      </c>
      <c r="DD276" s="7">
        <f>IF(ROUND(V276-BX276, rounding)=0, 0, 1)*'BS Forecasts'!$V$10</f>
        <v>0</v>
      </c>
      <c r="DE276"/>
      <c r="DF276" s="11"/>
      <c r="DG276">
        <f t="shared" si="181"/>
        <v>0</v>
      </c>
      <c r="DH276">
        <v>1</v>
      </c>
      <c r="DI276">
        <v>1</v>
      </c>
      <c r="EY276" s="12" t="str">
        <f>IF(C276="", "", CONCATENATE(D265, " ",D276))</f>
        <v/>
      </c>
    </row>
    <row r="277" spans="1:155" x14ac:dyDescent="0.35">
      <c r="A277" s="220" cm="1">
        <f t="array" aca="1" ref="A277" ca="1">HYPERLINK(CONCATENATE("#",CELL("address",IF(MAX($CM277:$DF277)=0,A277,INDEX($CM277:$DF277,MATCH(1,$CM277:$DF277,0))))),MAX($CM277:$DF277))</f>
        <v>0</v>
      </c>
      <c r="B277" s="85" t="s">
        <v>122</v>
      </c>
      <c r="C277" s="211"/>
      <c r="D277" t="s">
        <v>1090</v>
      </c>
      <c r="H277" s="9" t="s">
        <v>1074</v>
      </c>
      <c r="I277" s="40" t="s">
        <v>1079</v>
      </c>
      <c r="V277" s="109"/>
      <c r="W277" s="133">
        <f t="shared" si="205"/>
        <v>0</v>
      </c>
      <c r="X277" s="133">
        <f t="shared" si="205"/>
        <v>0</v>
      </c>
      <c r="Y277" s="133">
        <f t="shared" si="205"/>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X277" s="12">
        <f t="shared" si="203"/>
        <v>0</v>
      </c>
      <c r="BY277" s="12">
        <f t="shared" si="203"/>
        <v>0</v>
      </c>
      <c r="BZ277" s="12">
        <f t="shared" si="203"/>
        <v>0</v>
      </c>
      <c r="CA277" s="12">
        <f t="shared" si="203"/>
        <v>0</v>
      </c>
      <c r="CB277" s="133">
        <f xml:space="preserve"> SUMIFS($AA277:$BV277, $AA$3:$BV$3, CB$3)</f>
        <v>0</v>
      </c>
      <c r="CC277" s="109"/>
      <c r="CD277" s="109"/>
      <c r="CE277" s="109"/>
      <c r="CF277" s="109"/>
      <c r="CG277" s="109"/>
      <c r="CH277" s="109"/>
      <c r="CI277" s="109"/>
      <c r="CK277" s="11"/>
      <c r="CL277" s="241">
        <f>IF(MAX($V277:$CI277)&gt;0, 1, 0)</f>
        <v>0</v>
      </c>
      <c r="CM277" s="11"/>
      <c r="CY277" s="7" cm="1">
        <f t="array" ref="CY277">SUMPRODUCT(--NOT(ISNUMBER(V277:CI277)),--NOT(ISBLANK(V277:CI277)))</f>
        <v>0</v>
      </c>
      <c r="CZ277" s="7">
        <f t="shared" si="206"/>
        <v>0</v>
      </c>
      <c r="DA277" s="7">
        <f t="shared" si="206"/>
        <v>0</v>
      </c>
      <c r="DB277" s="7">
        <f t="shared" si="206"/>
        <v>0</v>
      </c>
      <c r="DC277" s="7">
        <f>IF(ROUND(CB277-SUMIFS($AA277:$BV277, $AA$3:$BV$3, CB$3), rounding)=0, 0, 1)</f>
        <v>0</v>
      </c>
      <c r="DD277" s="7">
        <f>IF(ROUND(V277-BX277, rounding)=0, 0, 1)*'BS Forecasts'!$V$10</f>
        <v>0</v>
      </c>
      <c r="DF277" s="11"/>
      <c r="DG277">
        <f t="shared" si="181"/>
        <v>0</v>
      </c>
      <c r="DH277">
        <v>1</v>
      </c>
      <c r="DI277">
        <v>1</v>
      </c>
      <c r="EY277" s="12" t="str">
        <f>IF(C277="", "", CONCATENATE(D265, " ",D277))</f>
        <v/>
      </c>
    </row>
    <row r="278" spans="1:155" x14ac:dyDescent="0.35">
      <c r="C278" s="211"/>
      <c r="D278" t="s">
        <v>1091</v>
      </c>
      <c r="H278" s="9" t="s">
        <v>1074</v>
      </c>
      <c r="I278" s="40" t="s">
        <v>317</v>
      </c>
      <c r="V278" s="12">
        <f>$I$24</f>
        <v>0</v>
      </c>
      <c r="W278" s="10">
        <f>SUM(W275:W277)</f>
        <v>0</v>
      </c>
      <c r="X278" s="10">
        <f>SUM(X275:X277)</f>
        <v>0</v>
      </c>
      <c r="Y278" s="10">
        <f>SUM(Y275:Y277)</f>
        <v>0</v>
      </c>
      <c r="AA278" s="10">
        <f t="shared" ref="AA278:BV278" si="207">SUM(AA275:AA277)</f>
        <v>0</v>
      </c>
      <c r="AB278" s="10">
        <f t="shared" si="207"/>
        <v>0</v>
      </c>
      <c r="AC278" s="10">
        <f t="shared" si="207"/>
        <v>0</v>
      </c>
      <c r="AD278" s="10">
        <f t="shared" si="207"/>
        <v>0</v>
      </c>
      <c r="AE278" s="10">
        <f t="shared" si="207"/>
        <v>0</v>
      </c>
      <c r="AF278" s="10">
        <f t="shared" si="207"/>
        <v>0</v>
      </c>
      <c r="AG278" s="10">
        <f t="shared" si="207"/>
        <v>0</v>
      </c>
      <c r="AH278" s="10">
        <f t="shared" si="207"/>
        <v>0</v>
      </c>
      <c r="AI278" s="10">
        <f t="shared" si="207"/>
        <v>0</v>
      </c>
      <c r="AJ278" s="10">
        <f t="shared" si="207"/>
        <v>0</v>
      </c>
      <c r="AK278" s="10">
        <f t="shared" si="207"/>
        <v>0</v>
      </c>
      <c r="AL278" s="10">
        <f t="shared" si="207"/>
        <v>0</v>
      </c>
      <c r="AM278" s="10">
        <f t="shared" si="207"/>
        <v>0</v>
      </c>
      <c r="AN278" s="10">
        <f t="shared" si="207"/>
        <v>0</v>
      </c>
      <c r="AO278" s="10">
        <f t="shared" si="207"/>
        <v>0</v>
      </c>
      <c r="AP278" s="10">
        <f t="shared" si="207"/>
        <v>0</v>
      </c>
      <c r="AQ278" s="10">
        <f t="shared" si="207"/>
        <v>0</v>
      </c>
      <c r="AR278" s="10">
        <f t="shared" si="207"/>
        <v>0</v>
      </c>
      <c r="AS278" s="10">
        <f t="shared" si="207"/>
        <v>0</v>
      </c>
      <c r="AT278" s="10">
        <f t="shared" si="207"/>
        <v>0</v>
      </c>
      <c r="AU278" s="10">
        <f t="shared" si="207"/>
        <v>0</v>
      </c>
      <c r="AV278" s="10">
        <f t="shared" si="207"/>
        <v>0</v>
      </c>
      <c r="AW278" s="10">
        <f t="shared" si="207"/>
        <v>0</v>
      </c>
      <c r="AX278" s="10">
        <f t="shared" si="207"/>
        <v>0</v>
      </c>
      <c r="AY278" s="10">
        <f t="shared" si="207"/>
        <v>0</v>
      </c>
      <c r="AZ278" s="10">
        <f t="shared" si="207"/>
        <v>0</v>
      </c>
      <c r="BA278" s="10">
        <f t="shared" si="207"/>
        <v>0</v>
      </c>
      <c r="BB278" s="10">
        <f t="shared" si="207"/>
        <v>0</v>
      </c>
      <c r="BC278" s="10">
        <f t="shared" si="207"/>
        <v>0</v>
      </c>
      <c r="BD278" s="10">
        <f t="shared" si="207"/>
        <v>0</v>
      </c>
      <c r="BE278" s="10">
        <f t="shared" si="207"/>
        <v>0</v>
      </c>
      <c r="BF278" s="10">
        <f t="shared" si="207"/>
        <v>0</v>
      </c>
      <c r="BG278" s="10">
        <f t="shared" si="207"/>
        <v>0</v>
      </c>
      <c r="BH278" s="10">
        <f t="shared" si="207"/>
        <v>0</v>
      </c>
      <c r="BI278" s="10">
        <f t="shared" si="207"/>
        <v>0</v>
      </c>
      <c r="BJ278" s="10">
        <f t="shared" si="207"/>
        <v>0</v>
      </c>
      <c r="BK278" s="10">
        <f t="shared" si="207"/>
        <v>0</v>
      </c>
      <c r="BL278" s="10">
        <f t="shared" si="207"/>
        <v>0</v>
      </c>
      <c r="BM278" s="10">
        <f t="shared" si="207"/>
        <v>0</v>
      </c>
      <c r="BN278" s="10">
        <f t="shared" si="207"/>
        <v>0</v>
      </c>
      <c r="BO278" s="10">
        <f t="shared" si="207"/>
        <v>0</v>
      </c>
      <c r="BP278" s="10">
        <f t="shared" si="207"/>
        <v>0</v>
      </c>
      <c r="BQ278" s="10">
        <f t="shared" si="207"/>
        <v>0</v>
      </c>
      <c r="BR278" s="10">
        <f t="shared" si="207"/>
        <v>0</v>
      </c>
      <c r="BS278" s="10">
        <f t="shared" si="207"/>
        <v>0</v>
      </c>
      <c r="BT278" s="10">
        <f t="shared" si="207"/>
        <v>0</v>
      </c>
      <c r="BU278" s="10">
        <f t="shared" si="207"/>
        <v>0</v>
      </c>
      <c r="BV278" s="10">
        <f t="shared" si="207"/>
        <v>0</v>
      </c>
      <c r="BX278" s="12">
        <f t="shared" si="203"/>
        <v>0</v>
      </c>
      <c r="BY278" s="12">
        <f t="shared" si="203"/>
        <v>0</v>
      </c>
      <c r="BZ278" s="12">
        <f t="shared" si="203"/>
        <v>0</v>
      </c>
      <c r="CA278" s="12">
        <f t="shared" si="203"/>
        <v>0</v>
      </c>
      <c r="CB278" s="10">
        <f t="shared" ref="CB278:CI278" si="208">SUM(CB275:CB277)</f>
        <v>0</v>
      </c>
      <c r="CC278" s="10">
        <f t="shared" si="208"/>
        <v>0</v>
      </c>
      <c r="CD278" s="10">
        <f t="shared" si="208"/>
        <v>0</v>
      </c>
      <c r="CE278" s="10">
        <f t="shared" si="208"/>
        <v>0</v>
      </c>
      <c r="CF278" s="10">
        <f t="shared" si="208"/>
        <v>0</v>
      </c>
      <c r="CG278" s="10">
        <f t="shared" si="208"/>
        <v>0</v>
      </c>
      <c r="CH278" s="10">
        <f t="shared" si="208"/>
        <v>0</v>
      </c>
      <c r="CI278" s="10">
        <f t="shared" si="208"/>
        <v>0</v>
      </c>
      <c r="CK278" s="11"/>
      <c r="CM278" s="11"/>
      <c r="DF278" s="11"/>
      <c r="DG278">
        <f t="shared" si="181"/>
        <v>0</v>
      </c>
      <c r="DH278">
        <v>0</v>
      </c>
      <c r="DI278">
        <v>0</v>
      </c>
      <c r="EY278" s="12" t="str">
        <f>IF(C278="", "", CONCATENATE(D265, " ",D278))</f>
        <v/>
      </c>
    </row>
    <row r="279" spans="1:155" ht="6.75" customHeight="1" x14ac:dyDescent="0.35">
      <c r="C279" s="211"/>
      <c r="D279" s="1"/>
      <c r="E279"/>
      <c r="F279"/>
      <c r="BY279" s="6"/>
      <c r="CK279" s="35"/>
      <c r="CM279" s="35"/>
      <c r="DF279" s="35"/>
      <c r="DG279">
        <f t="shared" si="181"/>
        <v>0</v>
      </c>
      <c r="DH279">
        <v>0</v>
      </c>
      <c r="DI279">
        <v>0</v>
      </c>
      <c r="EY279" s="12" t="str">
        <f>IF(C279="", "", CONCATENATE(D265, " ",D279))</f>
        <v/>
      </c>
    </row>
    <row r="280" spans="1:155" s="5" customFormat="1" x14ac:dyDescent="0.35">
      <c r="A280" s="220" cm="1">
        <f t="array" aca="1" ref="A280" ca="1">HYPERLINK(CONCATENATE("#",CELL("address",IF(MAX($CM280:$DF280)=0,A280,INDEX($CM280:$DF280,MATCH(1,$CM280:$DF280,0))))),MAX($CM280:$DF280))</f>
        <v>0</v>
      </c>
      <c r="B280"/>
      <c r="C280" s="211" t="s">
        <v>1171</v>
      </c>
      <c r="D280" t="s">
        <v>1093</v>
      </c>
      <c r="E280" s="1"/>
      <c r="F280" s="1"/>
      <c r="G280"/>
      <c r="H280" s="9" t="s">
        <v>1074</v>
      </c>
      <c r="I280" s="40" t="s">
        <v>665</v>
      </c>
      <c r="J280"/>
      <c r="K280"/>
      <c r="L280"/>
      <c r="M280"/>
      <c r="N280"/>
      <c r="O280"/>
      <c r="P280"/>
      <c r="Q280"/>
      <c r="R280"/>
      <c r="S280"/>
      <c r="T280"/>
      <c r="U280"/>
      <c r="V280" s="109"/>
      <c r="W280" s="133">
        <f xml:space="preserve"> SUMIFS($AA280:$BV280, $AA$3:$BV$3, W$3)</f>
        <v>0</v>
      </c>
      <c r="X280" s="133">
        <f xml:space="preserve"> SUMIFS($AA280:$BV280, $AA$3:$BV$3, X$3)</f>
        <v>0</v>
      </c>
      <c r="Y280" s="133">
        <f xml:space="preserve"> SUMIFS($AA280:$BV280, $AA$3:$BV$3, Y$3)</f>
        <v>0</v>
      </c>
      <c r="Z280"/>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c r="BX280" s="12">
        <f>V280</f>
        <v>0</v>
      </c>
      <c r="BY280" s="12">
        <f>W280</f>
        <v>0</v>
      </c>
      <c r="BZ280" s="12">
        <f>X280</f>
        <v>0</v>
      </c>
      <c r="CA280" s="12">
        <f>Y280</f>
        <v>0</v>
      </c>
      <c r="CB280" s="133">
        <f xml:space="preserve"> SUMIFS($AA280:$BV280, $AA$3:$BV$3, CB$3)</f>
        <v>0</v>
      </c>
      <c r="CC280" s="109"/>
      <c r="CD280" s="109"/>
      <c r="CE280" s="109"/>
      <c r="CF280" s="109"/>
      <c r="CG280" s="109"/>
      <c r="CH280" s="109"/>
      <c r="CI280" s="109"/>
      <c r="CJ280"/>
      <c r="CK280" s="11"/>
      <c r="CL280" s="241">
        <f>IF(MIN($V280:$CI280)&lt;0, 1, 0)</f>
        <v>0</v>
      </c>
      <c r="CM280" s="11"/>
      <c r="CN280"/>
      <c r="CO280"/>
      <c r="CP280"/>
      <c r="CQ280"/>
      <c r="CR280"/>
      <c r="CS280"/>
      <c r="CT280"/>
      <c r="CU280"/>
      <c r="CV280"/>
      <c r="CW280"/>
      <c r="CX280"/>
      <c r="CY280" s="7" cm="1">
        <f t="array" ref="CY280">SUMPRODUCT(--NOT(ISNUMBER(V280:CI280)),--NOT(ISBLANK(V280:CI280)))</f>
        <v>0</v>
      </c>
      <c r="CZ280" s="7">
        <f>IF(ROUND(W280-SUMIFS($AA280:$BV280, $AA$3:$BV$3, W$3), rounding)=0, 0, 1)</f>
        <v>0</v>
      </c>
      <c r="DA280" s="7">
        <f>IF(ROUND(X280-SUMIFS($AA280:$BV280, $AA$3:$BV$3, X$3), rounding)=0, 0, 1)</f>
        <v>0</v>
      </c>
      <c r="DB280" s="7">
        <f>IF(ROUND(Y280-SUMIFS($AA280:$BV280, $AA$3:$BV$3, Y$3), rounding)=0, 0, 1)</f>
        <v>0</v>
      </c>
      <c r="DC280" s="7">
        <f>IF(ROUND(CB280-SUMIFS($AA280:$BV280, $AA$3:$BV$3, CB$3), rounding)=0, 0, 1)</f>
        <v>0</v>
      </c>
      <c r="DD280" s="7">
        <f>IF(ROUND(V280-BX280, rounding)=0, 0, 1)*'BS Forecasts'!$V$10</f>
        <v>0</v>
      </c>
      <c r="DE280"/>
      <c r="DF280" s="11"/>
      <c r="DG280">
        <f t="shared" si="181"/>
        <v>0</v>
      </c>
      <c r="DH280">
        <v>1</v>
      </c>
      <c r="DI280">
        <v>1</v>
      </c>
      <c r="EY280" s="12" t="str">
        <f>IF(C280="", "", CONCATENATE(D265, " ",D280))</f>
        <v>Loan 12 Early Repayment Fee</v>
      </c>
    </row>
    <row r="281" spans="1:155" ht="6.75" customHeight="1" x14ac:dyDescent="0.35">
      <c r="C281" s="211"/>
      <c r="D281" s="1"/>
      <c r="E281"/>
      <c r="F281"/>
      <c r="BY281" s="6"/>
      <c r="CK281" s="35"/>
      <c r="CM281" s="35"/>
      <c r="DF281" s="35"/>
      <c r="DG281">
        <f t="shared" si="181"/>
        <v>0</v>
      </c>
      <c r="DH281">
        <v>0</v>
      </c>
      <c r="DI281">
        <v>0</v>
      </c>
      <c r="EY281" s="12" t="str">
        <f>IF(C281="", "", CONCATENATE(D265, " ",D281))</f>
        <v/>
      </c>
    </row>
    <row r="282" spans="1:155" x14ac:dyDescent="0.35">
      <c r="A282" s="220" cm="1">
        <f t="array" aca="1" ref="A282" ca="1">HYPERLINK(CONCATENATE("#",CELL("address",IF(MAX($CM282:$DF282)=0,A282,INDEX($CM282:$DF282,MATCH(1,$CM282:$DF282,0))))),MAX($CM282:$DF282))</f>
        <v>0</v>
      </c>
      <c r="B282" s="85" t="s">
        <v>122</v>
      </c>
      <c r="D282" t="s">
        <v>1094</v>
      </c>
      <c r="E282" s="140" t="str">
        <f>IF(J$24="", "", J$24)</f>
        <v/>
      </c>
      <c r="F282" s="140"/>
      <c r="G282" s="140" t="str">
        <f>IF(K$24="", "", K$24)</f>
        <v/>
      </c>
      <c r="V282" s="7">
        <f>IF(AND(OR( V$5&gt;$G282, Timeline!V$8&lt;Loans!$E282), Loans!V280&lt;&gt;0), 1, 0)</f>
        <v>0</v>
      </c>
      <c r="W282" s="7">
        <f>IF(AND(OR( W$5&gt;$G282, Timeline!W$8&lt;Loans!$E282), Loans!W280&lt;&gt;0), 1, 0)</f>
        <v>0</v>
      </c>
      <c r="X282" s="7">
        <f>IF(AND(OR( X$5&gt;$G282, Timeline!X$8&lt;Loans!$E282), Loans!X280&lt;&gt;0), 1, 0)</f>
        <v>0</v>
      </c>
      <c r="Y282" s="7">
        <f>IF(AND(OR( Y$5&gt;$G282, Timeline!Y$8&lt;Loans!$E282), Loans!Y280&lt;&gt;0), 1, 0)</f>
        <v>0</v>
      </c>
      <c r="AA282" s="7">
        <f>IF(AND(OR( AA$5&gt;$G282, Timeline!AA$8&lt;Loans!$E282), Loans!AA280&lt;&gt;0), 1, 0)</f>
        <v>0</v>
      </c>
      <c r="AB282" s="7">
        <f>IF(AND(OR( AB$5&gt;$G282, Timeline!AB$8&lt;Loans!$E282), Loans!AB280&lt;&gt;0), 1, 0)</f>
        <v>0</v>
      </c>
      <c r="AC282" s="7">
        <f>IF(AND(OR( AC$5&gt;$G282, Timeline!AC$8&lt;Loans!$E282), Loans!AC280&lt;&gt;0), 1, 0)</f>
        <v>0</v>
      </c>
      <c r="AD282" s="7">
        <f>IF(AND(OR( AD$5&gt;$G282, Timeline!AD$8&lt;Loans!$E282), Loans!AD280&lt;&gt;0), 1, 0)</f>
        <v>0</v>
      </c>
      <c r="AE282" s="7">
        <f>IF(AND(OR( AE$5&gt;$G282, Timeline!AE$8&lt;Loans!$E282), Loans!AE280&lt;&gt;0), 1, 0)</f>
        <v>0</v>
      </c>
      <c r="AF282" s="7">
        <f>IF(AND(OR( AF$5&gt;$G282, Timeline!AF$8&lt;Loans!$E282), Loans!AF280&lt;&gt;0), 1, 0)</f>
        <v>0</v>
      </c>
      <c r="AG282" s="7">
        <f>IF(AND(OR( AG$5&gt;$G282, Timeline!AG$8&lt;Loans!$E282), Loans!AG280&lt;&gt;0), 1, 0)</f>
        <v>0</v>
      </c>
      <c r="AH282" s="7">
        <f>IF(AND(OR( AH$5&gt;$G282, Timeline!AH$8&lt;Loans!$E282), Loans!AH280&lt;&gt;0), 1, 0)</f>
        <v>0</v>
      </c>
      <c r="AI282" s="7">
        <f>IF(AND(OR( AI$5&gt;$G282, Timeline!AI$8&lt;Loans!$E282), Loans!AI280&lt;&gt;0), 1, 0)</f>
        <v>0</v>
      </c>
      <c r="AJ282" s="7">
        <f>IF(AND(OR( AJ$5&gt;$G282, Timeline!AJ$8&lt;Loans!$E282), Loans!AJ280&lt;&gt;0), 1, 0)</f>
        <v>0</v>
      </c>
      <c r="AK282" s="7">
        <f>IF(AND(OR( AK$5&gt;$G282, Timeline!AK$8&lt;Loans!$E282), Loans!AK280&lt;&gt;0), 1, 0)</f>
        <v>0</v>
      </c>
      <c r="AL282" s="7">
        <f>IF(AND(OR( AL$5&gt;$G282, Timeline!AL$8&lt;Loans!$E282), Loans!AL280&lt;&gt;0), 1, 0)</f>
        <v>0</v>
      </c>
      <c r="AM282" s="7">
        <f>IF(AND(OR( AM$5&gt;$G282, Timeline!AM$8&lt;Loans!$E282), Loans!AM280&lt;&gt;0), 1, 0)</f>
        <v>0</v>
      </c>
      <c r="AN282" s="7">
        <f>IF(AND(OR( AN$5&gt;$G282, Timeline!AN$8&lt;Loans!$E282), Loans!AN280&lt;&gt;0), 1, 0)</f>
        <v>0</v>
      </c>
      <c r="AO282" s="7">
        <f>IF(AND(OR( AO$5&gt;$G282, Timeline!AO$8&lt;Loans!$E282), Loans!AO280&lt;&gt;0), 1, 0)</f>
        <v>0</v>
      </c>
      <c r="AP282" s="7">
        <f>IF(AND(OR( AP$5&gt;$G282, Timeline!AP$8&lt;Loans!$E282), Loans!AP280&lt;&gt;0), 1, 0)</f>
        <v>0</v>
      </c>
      <c r="AQ282" s="7">
        <f>IF(AND(OR( AQ$5&gt;$G282, Timeline!AQ$8&lt;Loans!$E282), Loans!AQ280&lt;&gt;0), 1, 0)</f>
        <v>0</v>
      </c>
      <c r="AR282" s="7">
        <f>IF(AND(OR( AR$5&gt;$G282, Timeline!AR$8&lt;Loans!$E282), Loans!AR280&lt;&gt;0), 1, 0)</f>
        <v>0</v>
      </c>
      <c r="AS282" s="7">
        <f>IF(AND(OR( AS$5&gt;$G282, Timeline!AS$8&lt;Loans!$E282), Loans!AS280&lt;&gt;0), 1, 0)</f>
        <v>0</v>
      </c>
      <c r="AT282" s="7">
        <f>IF(AND(OR( AT$5&gt;$G282, Timeline!AT$8&lt;Loans!$E282), Loans!AT280&lt;&gt;0), 1, 0)</f>
        <v>0</v>
      </c>
      <c r="AU282" s="7">
        <f>IF(AND(OR( AU$5&gt;$G282, Timeline!AU$8&lt;Loans!$E282), Loans!AU280&lt;&gt;0), 1, 0)</f>
        <v>0</v>
      </c>
      <c r="AV282" s="7">
        <f>IF(AND(OR( AV$5&gt;$G282, Timeline!AV$8&lt;Loans!$E282), Loans!AV280&lt;&gt;0), 1, 0)</f>
        <v>0</v>
      </c>
      <c r="AW282" s="7">
        <f>IF(AND(OR( AW$5&gt;$G282, Timeline!AW$8&lt;Loans!$E282), Loans!AW280&lt;&gt;0), 1, 0)</f>
        <v>0</v>
      </c>
      <c r="AX282" s="7">
        <f>IF(AND(OR( AX$5&gt;$G282, Timeline!AX$8&lt;Loans!$E282), Loans!AX280&lt;&gt;0), 1, 0)</f>
        <v>0</v>
      </c>
      <c r="AY282" s="7">
        <f>IF(AND(OR( AY$5&gt;$G282, Timeline!AY$8&lt;Loans!$E282), Loans!AY280&lt;&gt;0), 1, 0)</f>
        <v>0</v>
      </c>
      <c r="AZ282" s="7">
        <f>IF(AND(OR( AZ$5&gt;$G282, Timeline!AZ$8&lt;Loans!$E282), Loans!AZ280&lt;&gt;0), 1, 0)</f>
        <v>0</v>
      </c>
      <c r="BA282" s="7">
        <f>IF(AND(OR( BA$5&gt;$G282, Timeline!BA$8&lt;Loans!$E282), Loans!BA280&lt;&gt;0), 1, 0)</f>
        <v>0</v>
      </c>
      <c r="BB282" s="7">
        <f>IF(AND(OR( BB$5&gt;$G282, Timeline!BB$8&lt;Loans!$E282), Loans!BB280&lt;&gt;0), 1, 0)</f>
        <v>0</v>
      </c>
      <c r="BC282" s="7">
        <f>IF(AND(OR( BC$5&gt;$G282, Timeline!BC$8&lt;Loans!$E282), Loans!BC280&lt;&gt;0), 1, 0)</f>
        <v>0</v>
      </c>
      <c r="BD282" s="7">
        <f>IF(AND(OR( BD$5&gt;$G282, Timeline!BD$8&lt;Loans!$E282), Loans!BD280&lt;&gt;0), 1, 0)</f>
        <v>0</v>
      </c>
      <c r="BE282" s="7">
        <f>IF(AND(OR( BE$5&gt;$G282, Timeline!BE$8&lt;Loans!$E282), Loans!BE280&lt;&gt;0), 1, 0)</f>
        <v>0</v>
      </c>
      <c r="BF282" s="7">
        <f>IF(AND(OR( BF$5&gt;$G282, Timeline!BF$8&lt;Loans!$E282), Loans!BF280&lt;&gt;0), 1, 0)</f>
        <v>0</v>
      </c>
      <c r="BG282" s="7">
        <f>IF(AND(OR( BG$5&gt;$G282, Timeline!BG$8&lt;Loans!$E282), Loans!BG280&lt;&gt;0), 1, 0)</f>
        <v>0</v>
      </c>
      <c r="BH282" s="7">
        <f>IF(AND(OR( BH$5&gt;$G282, Timeline!BH$8&lt;Loans!$E282), Loans!BH280&lt;&gt;0), 1, 0)</f>
        <v>0</v>
      </c>
      <c r="BI282" s="7">
        <f>IF(AND(OR( BI$5&gt;$G282, Timeline!BI$8&lt;Loans!$E282), Loans!BI280&lt;&gt;0), 1, 0)</f>
        <v>0</v>
      </c>
      <c r="BJ282" s="7">
        <f>IF(AND(OR( BJ$5&gt;$G282, Timeline!BJ$8&lt;Loans!$E282), Loans!BJ280&lt;&gt;0), 1, 0)</f>
        <v>0</v>
      </c>
      <c r="BK282" s="7">
        <f>IF(AND(OR( BK$5&gt;$G282, Timeline!BK$8&lt;Loans!$E282), Loans!BK280&lt;&gt;0), 1, 0)</f>
        <v>0</v>
      </c>
      <c r="BL282" s="7">
        <f>IF(AND(OR( BL$5&gt;$G282, Timeline!BL$8&lt;Loans!$E282), Loans!BL280&lt;&gt;0), 1, 0)</f>
        <v>0</v>
      </c>
      <c r="BM282" s="7">
        <f>IF(AND(OR( BM$5&gt;$G282, Timeline!BM$8&lt;Loans!$E282), Loans!BM280&lt;&gt;0), 1, 0)</f>
        <v>0</v>
      </c>
      <c r="BN282" s="7">
        <f>IF(AND(OR( BN$5&gt;$G282, Timeline!BN$8&lt;Loans!$E282), Loans!BN280&lt;&gt;0), 1, 0)</f>
        <v>0</v>
      </c>
      <c r="BO282" s="7">
        <f>IF(AND(OR( BO$5&gt;$G282, Timeline!BO$8&lt;Loans!$E282), Loans!BO280&lt;&gt;0), 1, 0)</f>
        <v>0</v>
      </c>
      <c r="BP282" s="7">
        <f>IF(AND(OR( BP$5&gt;$G282, Timeline!BP$8&lt;Loans!$E282), Loans!BP280&lt;&gt;0), 1, 0)</f>
        <v>0</v>
      </c>
      <c r="BQ282" s="7">
        <f>IF(AND(OR( BQ$5&gt;$G282, Timeline!BQ$8&lt;Loans!$E282), Loans!BQ280&lt;&gt;0), 1, 0)</f>
        <v>0</v>
      </c>
      <c r="BR282" s="7">
        <f>IF(AND(OR( BR$5&gt;$G282, Timeline!BR$8&lt;Loans!$E282), Loans!BR280&lt;&gt;0), 1, 0)</f>
        <v>0</v>
      </c>
      <c r="BS282" s="7">
        <f>IF(AND(OR( BS$5&gt;$G282, Timeline!BS$8&lt;Loans!$E282), Loans!BS280&lt;&gt;0), 1, 0)</f>
        <v>0</v>
      </c>
      <c r="BT282" s="7">
        <f>IF(AND(OR( BT$5&gt;$G282, Timeline!BT$8&lt;Loans!$E282), Loans!BT280&lt;&gt;0), 1, 0)</f>
        <v>0</v>
      </c>
      <c r="BU282" s="7">
        <f>IF(AND(OR( BU$5&gt;$G282, Timeline!BU$8&lt;Loans!$E282), Loans!BU280&lt;&gt;0), 1, 0)</f>
        <v>0</v>
      </c>
      <c r="BV282" s="7">
        <f>IF(AND(OR( BV$5&gt;$G282, Timeline!BV$8&lt;Loans!$E282), Loans!BV280&lt;&gt;0), 1, 0)</f>
        <v>0</v>
      </c>
      <c r="BX282" s="7">
        <f>IF(AND(OR( BX$5&gt;$G282, Timeline!BX$8&lt;Loans!$E282), Loans!BX280&lt;&gt;0), 1, 0)</f>
        <v>0</v>
      </c>
      <c r="BY282" s="7">
        <f>IF(AND(OR( BY$5&gt;$G282, Timeline!BY$8&lt;Loans!$E282), Loans!BY280&lt;&gt;0), 1, 0)</f>
        <v>0</v>
      </c>
      <c r="BZ282" s="7">
        <f>IF(AND(OR( BZ$5&gt;$G282, Timeline!BZ$8&lt;Loans!$E282), Loans!BZ280&lt;&gt;0), 1, 0)</f>
        <v>0</v>
      </c>
      <c r="CA282" s="7">
        <f>IF(AND(OR( CA$5&gt;$G282, Timeline!CA$8&lt;Loans!$E282), Loans!CA280&lt;&gt;0), 1, 0)</f>
        <v>0</v>
      </c>
      <c r="CB282" s="7">
        <f>IF(AND(OR( CB$5&gt;$G282, Timeline!CB$8&lt;Loans!$E282), Loans!CB280&lt;&gt;0), 1, 0)</f>
        <v>0</v>
      </c>
      <c r="CC282" s="7">
        <f>IF(AND(OR( CC$5&gt;$G282, Timeline!CC$8&lt;Loans!$E282), Loans!CC280&lt;&gt;0), 1, 0)</f>
        <v>0</v>
      </c>
      <c r="CD282" s="7">
        <f>IF(AND(OR( CD$5&gt;$G282, Timeline!CD$8&lt;Loans!$E282), Loans!CD280&lt;&gt;0), 1, 0)</f>
        <v>0</v>
      </c>
      <c r="CE282" s="7">
        <f>IF(AND(OR( CE$5&gt;$G282, Timeline!CE$8&lt;Loans!$E282), Loans!CE280&lt;&gt;0), 1, 0)</f>
        <v>0</v>
      </c>
      <c r="CF282" s="7">
        <f>IF(AND(OR( CF$5&gt;$G282, Timeline!CF$8&lt;Loans!$E282), Loans!CF280&lt;&gt;0), 1, 0)</f>
        <v>0</v>
      </c>
      <c r="CG282" s="7">
        <f>IF(AND(OR( CG$5&gt;$G282, Timeline!CG$8&lt;Loans!$E282), Loans!CG280&lt;&gt;0), 1, 0)</f>
        <v>0</v>
      </c>
      <c r="CH282" s="7">
        <f>IF(AND(OR( CH$5&gt;$G282, Timeline!CH$8&lt;Loans!$E282), Loans!CH280&lt;&gt;0), 1, 0)</f>
        <v>0</v>
      </c>
      <c r="CI282" s="7">
        <f>IF(AND(OR( CI$5&gt;$G282, Timeline!CI$8&lt;Loans!$E282), Loans!CI280&lt;&gt;0), 1, 0)</f>
        <v>0</v>
      </c>
      <c r="CK282" s="11"/>
      <c r="CM282" s="11"/>
      <c r="CX282" s="7">
        <f>IF(MAX($V282:$CI282)&gt;0, 1, 0)</f>
        <v>0</v>
      </c>
      <c r="DF282" s="11"/>
      <c r="DG282">
        <f t="shared" si="181"/>
        <v>1</v>
      </c>
      <c r="DH282">
        <v>0</v>
      </c>
      <c r="DI282">
        <v>0</v>
      </c>
      <c r="EY282" s="12" t="str">
        <f>IF(C282="", "", CONCATENATE(D265, " ",D282))</f>
        <v/>
      </c>
    </row>
    <row r="283" spans="1:155" ht="6.75" customHeight="1" x14ac:dyDescent="0.35">
      <c r="C283" s="211"/>
      <c r="D283" s="1"/>
      <c r="E283"/>
      <c r="F283"/>
      <c r="BY283" s="6"/>
      <c r="CK283" s="35"/>
      <c r="CM283" s="35"/>
      <c r="DF283" s="35"/>
      <c r="DG283">
        <f t="shared" si="181"/>
        <v>0</v>
      </c>
      <c r="DH283">
        <v>0</v>
      </c>
      <c r="DI283">
        <v>0</v>
      </c>
      <c r="EY283" s="10" t="str">
        <f>IF($C283="","",$D283)</f>
        <v/>
      </c>
    </row>
    <row r="284" spans="1:155" x14ac:dyDescent="0.35">
      <c r="A284" s="53"/>
      <c r="C284" s="211"/>
      <c r="D284" s="53" t="s">
        <v>1172</v>
      </c>
      <c r="E284" s="53"/>
      <c r="F284" s="53"/>
      <c r="G284" s="53"/>
      <c r="H284" s="53"/>
      <c r="I284" s="53"/>
      <c r="J284" s="53"/>
      <c r="M284" s="53"/>
      <c r="N284" s="53"/>
      <c r="O284" s="53"/>
      <c r="P284" s="53"/>
      <c r="Q284" s="53"/>
      <c r="R284" s="53"/>
      <c r="CK284" s="11"/>
      <c r="CM284" s="11"/>
      <c r="DF284" s="11"/>
      <c r="DG284">
        <f t="shared" si="181"/>
        <v>0</v>
      </c>
      <c r="DH284">
        <v>0</v>
      </c>
      <c r="DI284">
        <v>0</v>
      </c>
      <c r="EY284" s="10" t="str">
        <f>IF($C284="","",$D284)</f>
        <v/>
      </c>
    </row>
    <row r="285" spans="1:155" x14ac:dyDescent="0.35">
      <c r="C285" s="211" t="s">
        <v>1173</v>
      </c>
      <c r="D285" t="s">
        <v>1073</v>
      </c>
      <c r="H285" s="9" t="s">
        <v>1074</v>
      </c>
      <c r="I285" s="40" t="s">
        <v>317</v>
      </c>
      <c r="V285" s="109"/>
      <c r="W285" s="133">
        <f>V289</f>
        <v>0</v>
      </c>
      <c r="X285" s="133">
        <f>W289</f>
        <v>0</v>
      </c>
      <c r="Y285" s="10">
        <f>X289</f>
        <v>0</v>
      </c>
      <c r="AA285" s="12">
        <f>W285</f>
        <v>0</v>
      </c>
      <c r="AB285" s="10">
        <f t="shared" ref="AB285:BV285" si="209">AA289</f>
        <v>0</v>
      </c>
      <c r="AC285" s="10">
        <f t="shared" si="209"/>
        <v>0</v>
      </c>
      <c r="AD285" s="10">
        <f t="shared" si="209"/>
        <v>0</v>
      </c>
      <c r="AE285" s="10">
        <f t="shared" si="209"/>
        <v>0</v>
      </c>
      <c r="AF285" s="10">
        <f t="shared" si="209"/>
        <v>0</v>
      </c>
      <c r="AG285" s="10">
        <f t="shared" si="209"/>
        <v>0</v>
      </c>
      <c r="AH285" s="10">
        <f t="shared" si="209"/>
        <v>0</v>
      </c>
      <c r="AI285" s="10">
        <f t="shared" si="209"/>
        <v>0</v>
      </c>
      <c r="AJ285" s="10">
        <f t="shared" si="209"/>
        <v>0</v>
      </c>
      <c r="AK285" s="10">
        <f t="shared" si="209"/>
        <v>0</v>
      </c>
      <c r="AL285" s="10">
        <f t="shared" si="209"/>
        <v>0</v>
      </c>
      <c r="AM285" s="10">
        <f t="shared" si="209"/>
        <v>0</v>
      </c>
      <c r="AN285" s="10">
        <f t="shared" si="209"/>
        <v>0</v>
      </c>
      <c r="AO285" s="10">
        <f t="shared" si="209"/>
        <v>0</v>
      </c>
      <c r="AP285" s="10">
        <f t="shared" si="209"/>
        <v>0</v>
      </c>
      <c r="AQ285" s="10">
        <f t="shared" si="209"/>
        <v>0</v>
      </c>
      <c r="AR285" s="10">
        <f t="shared" si="209"/>
        <v>0</v>
      </c>
      <c r="AS285" s="10">
        <f t="shared" si="209"/>
        <v>0</v>
      </c>
      <c r="AT285" s="10">
        <f t="shared" si="209"/>
        <v>0</v>
      </c>
      <c r="AU285" s="10">
        <f t="shared" si="209"/>
        <v>0</v>
      </c>
      <c r="AV285" s="10">
        <f t="shared" si="209"/>
        <v>0</v>
      </c>
      <c r="AW285" s="10">
        <f t="shared" si="209"/>
        <v>0</v>
      </c>
      <c r="AX285" s="10">
        <f t="shared" si="209"/>
        <v>0</v>
      </c>
      <c r="AY285" s="10">
        <f t="shared" si="209"/>
        <v>0</v>
      </c>
      <c r="AZ285" s="10">
        <f t="shared" si="209"/>
        <v>0</v>
      </c>
      <c r="BA285" s="10">
        <f t="shared" si="209"/>
        <v>0</v>
      </c>
      <c r="BB285" s="10">
        <f t="shared" si="209"/>
        <v>0</v>
      </c>
      <c r="BC285" s="10">
        <f t="shared" si="209"/>
        <v>0</v>
      </c>
      <c r="BD285" s="10">
        <f t="shared" si="209"/>
        <v>0</v>
      </c>
      <c r="BE285" s="10">
        <f t="shared" si="209"/>
        <v>0</v>
      </c>
      <c r="BF285" s="10">
        <f t="shared" si="209"/>
        <v>0</v>
      </c>
      <c r="BG285" s="10">
        <f t="shared" si="209"/>
        <v>0</v>
      </c>
      <c r="BH285" s="10">
        <f t="shared" si="209"/>
        <v>0</v>
      </c>
      <c r="BI285" s="10">
        <f t="shared" si="209"/>
        <v>0</v>
      </c>
      <c r="BJ285" s="10">
        <f t="shared" si="209"/>
        <v>0</v>
      </c>
      <c r="BK285" s="10">
        <f t="shared" si="209"/>
        <v>0</v>
      </c>
      <c r="BL285" s="10">
        <f t="shared" si="209"/>
        <v>0</v>
      </c>
      <c r="BM285" s="10">
        <f t="shared" si="209"/>
        <v>0</v>
      </c>
      <c r="BN285" s="10">
        <f t="shared" si="209"/>
        <v>0</v>
      </c>
      <c r="BO285" s="10">
        <f t="shared" si="209"/>
        <v>0</v>
      </c>
      <c r="BP285" s="10">
        <f t="shared" si="209"/>
        <v>0</v>
      </c>
      <c r="BQ285" s="10">
        <f t="shared" si="209"/>
        <v>0</v>
      </c>
      <c r="BR285" s="10">
        <f t="shared" si="209"/>
        <v>0</v>
      </c>
      <c r="BS285" s="10">
        <f t="shared" si="209"/>
        <v>0</v>
      </c>
      <c r="BT285" s="10">
        <f t="shared" si="209"/>
        <v>0</v>
      </c>
      <c r="BU285" s="10">
        <f t="shared" si="209"/>
        <v>0</v>
      </c>
      <c r="BV285" s="10">
        <f t="shared" si="209"/>
        <v>0</v>
      </c>
      <c r="BX285" s="12">
        <f t="shared" ref="BX285:CA289" si="210">V285</f>
        <v>0</v>
      </c>
      <c r="BY285" s="12">
        <f t="shared" si="210"/>
        <v>0</v>
      </c>
      <c r="BZ285" s="12">
        <f t="shared" si="210"/>
        <v>0</v>
      </c>
      <c r="CA285" s="12">
        <f t="shared" si="210"/>
        <v>0</v>
      </c>
      <c r="CB285" s="10">
        <f t="shared" ref="CB285:CI285" si="211">CA289</f>
        <v>0</v>
      </c>
      <c r="CC285" s="10">
        <f t="shared" si="211"/>
        <v>0</v>
      </c>
      <c r="CD285" s="10">
        <f t="shared" si="211"/>
        <v>0</v>
      </c>
      <c r="CE285" s="10">
        <f t="shared" si="211"/>
        <v>0</v>
      </c>
      <c r="CF285" s="10">
        <f t="shared" si="211"/>
        <v>0</v>
      </c>
      <c r="CG285" s="10">
        <f t="shared" si="211"/>
        <v>0</v>
      </c>
      <c r="CH285" s="10">
        <f t="shared" si="211"/>
        <v>0</v>
      </c>
      <c r="CI285" s="10">
        <f t="shared" si="211"/>
        <v>0</v>
      </c>
      <c r="CK285" s="11"/>
      <c r="CM285" s="11"/>
      <c r="CY285" s="7" cm="1">
        <f t="array" ref="CY285">SUMPRODUCT(--NOT(ISNUMBER(V285:CI285)),--NOT(ISBLANK(V285:CI285)))</f>
        <v>0</v>
      </c>
      <c r="DF285" s="11"/>
      <c r="DG285">
        <f t="shared" si="181"/>
        <v>0</v>
      </c>
      <c r="DH285">
        <v>1</v>
      </c>
      <c r="DI285">
        <v>0</v>
      </c>
      <c r="EY285" s="12" t="str">
        <f>IF(C285="", "", CONCATENATE(D284, " ",D285))</f>
        <v>Loan 13 Opening Loan Balance</v>
      </c>
    </row>
    <row r="286" spans="1:155" s="5" customFormat="1" x14ac:dyDescent="0.35">
      <c r="A286" s="220" cm="1">
        <f t="array" aca="1" ref="A286" ca="1">HYPERLINK(CONCATENATE("#",CELL("address",IF(MAX($CM286:$DF286)=0,A286,INDEX($CM286:$DF286,MATCH(1,$CM286:$DF286,0))))),MAX($CM286:$DF286))</f>
        <v>0</v>
      </c>
      <c r="B286"/>
      <c r="C286" s="211" t="s">
        <v>1174</v>
      </c>
      <c r="D286" t="s">
        <v>1076</v>
      </c>
      <c r="E286" s="1"/>
      <c r="F286" s="1"/>
      <c r="G286"/>
      <c r="H286" s="9" t="s">
        <v>1074</v>
      </c>
      <c r="I286" s="40" t="s">
        <v>665</v>
      </c>
      <c r="J286"/>
      <c r="K286"/>
      <c r="L286"/>
      <c r="M286"/>
      <c r="N286"/>
      <c r="O286"/>
      <c r="P286"/>
      <c r="Q286"/>
      <c r="R286"/>
      <c r="S286"/>
      <c r="T286"/>
      <c r="U286"/>
      <c r="V286" s="109"/>
      <c r="W286" s="133">
        <f t="shared" ref="W286:Y288" si="212" xml:space="preserve"> SUMIFS($AA286:$BV286, $AA$3:$BV$3, W$3)</f>
        <v>0</v>
      </c>
      <c r="X286" s="133">
        <f t="shared" si="212"/>
        <v>0</v>
      </c>
      <c r="Y286" s="133">
        <f t="shared" si="212"/>
        <v>0</v>
      </c>
      <c r="Z286"/>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c r="BX286" s="12">
        <f t="shared" si="210"/>
        <v>0</v>
      </c>
      <c r="BY286" s="12">
        <f t="shared" si="210"/>
        <v>0</v>
      </c>
      <c r="BZ286" s="12">
        <f t="shared" si="210"/>
        <v>0</v>
      </c>
      <c r="CA286" s="12">
        <f t="shared" si="210"/>
        <v>0</v>
      </c>
      <c r="CB286" s="133">
        <f xml:space="preserve"> SUMIFS($AA286:$BV286, $AA$3:$BV$3, CB$3)</f>
        <v>0</v>
      </c>
      <c r="CC286" s="109"/>
      <c r="CD286" s="109"/>
      <c r="CE286" s="109"/>
      <c r="CF286" s="109"/>
      <c r="CG286" s="109"/>
      <c r="CH286" s="109"/>
      <c r="CI286" s="109"/>
      <c r="CJ286"/>
      <c r="CK286" s="11"/>
      <c r="CL286" s="241">
        <f>IF(MIN($V286:$CI286)&lt;0, 1, 0)</f>
        <v>0</v>
      </c>
      <c r="CM286" s="11"/>
      <c r="CN286"/>
      <c r="CO286"/>
      <c r="CP286"/>
      <c r="CQ286"/>
      <c r="CR286"/>
      <c r="CS286"/>
      <c r="CT286"/>
      <c r="CU286"/>
      <c r="CV286"/>
      <c r="CW286"/>
      <c r="CX286"/>
      <c r="CY286" s="7" cm="1">
        <f t="array" ref="CY286">SUMPRODUCT(--NOT(ISNUMBER(V286:CI286)),--NOT(ISBLANK(V286:CI286)))</f>
        <v>0</v>
      </c>
      <c r="CZ286" s="7">
        <f t="shared" ref="CZ286:DB288" si="213">IF(ROUND(W286-SUMIFS($AA286:$BV286, $AA$3:$BV$3, W$3), rounding)=0, 0, 1)</f>
        <v>0</v>
      </c>
      <c r="DA286" s="7">
        <f t="shared" si="213"/>
        <v>0</v>
      </c>
      <c r="DB286" s="7">
        <f t="shared" si="213"/>
        <v>0</v>
      </c>
      <c r="DC286" s="7">
        <f>IF(ROUND(CB286-SUMIFS($AA286:$BV286, $AA$3:$BV$3, CB$3), rounding)=0, 0, 1)</f>
        <v>0</v>
      </c>
      <c r="DD286" s="7">
        <f>IF(ROUND(V286-BX286, rounding)=0, 0, 1)*'BS Forecasts'!$V$10</f>
        <v>0</v>
      </c>
      <c r="DE286"/>
      <c r="DF286" s="11"/>
      <c r="DG286">
        <f t="shared" si="181"/>
        <v>0</v>
      </c>
      <c r="DH286">
        <v>1</v>
      </c>
      <c r="DI286">
        <v>1</v>
      </c>
      <c r="EY286" s="12" t="str">
        <f>IF(C286="", "", CONCATENATE(D284, " ",D286))</f>
        <v>Loan 13 Drawdowns</v>
      </c>
    </row>
    <row r="287" spans="1:155" x14ac:dyDescent="0.35">
      <c r="A287" s="220" cm="1">
        <f t="array" aca="1" ref="A287" ca="1">HYPERLINK(CONCATENATE("#",CELL("address",IF(MAX($CM287:$DF287)=0,A287,INDEX($CM287:$DF287,MATCH(1,$CM287:$DF287,0))))),MAX($CM287:$DF287))</f>
        <v>0</v>
      </c>
      <c r="C287" s="211" t="s">
        <v>1175</v>
      </c>
      <c r="D287" t="s">
        <v>1078</v>
      </c>
      <c r="H287" s="9" t="s">
        <v>1074</v>
      </c>
      <c r="I287" s="40" t="s">
        <v>1079</v>
      </c>
      <c r="V287" s="109"/>
      <c r="W287" s="133">
        <f t="shared" si="212"/>
        <v>0</v>
      </c>
      <c r="X287" s="133">
        <f t="shared" si="212"/>
        <v>0</v>
      </c>
      <c r="Y287" s="133">
        <f t="shared" si="212"/>
        <v>0</v>
      </c>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X287" s="12">
        <f t="shared" si="210"/>
        <v>0</v>
      </c>
      <c r="BY287" s="12">
        <f t="shared" si="210"/>
        <v>0</v>
      </c>
      <c r="BZ287" s="12">
        <f t="shared" si="210"/>
        <v>0</v>
      </c>
      <c r="CA287" s="12">
        <f t="shared" si="210"/>
        <v>0</v>
      </c>
      <c r="CB287" s="133">
        <f xml:space="preserve"> SUMIFS($AA287:$BV287, $AA$3:$BV$3, CB$3)</f>
        <v>0</v>
      </c>
      <c r="CC287" s="109"/>
      <c r="CD287" s="109"/>
      <c r="CE287" s="109"/>
      <c r="CF287" s="109"/>
      <c r="CG287" s="109"/>
      <c r="CH287" s="109"/>
      <c r="CI287" s="109"/>
      <c r="CK287" s="11"/>
      <c r="CL287" s="241">
        <f>IF(MAX($V287:$CI287)&gt;0, 1, 0)</f>
        <v>0</v>
      </c>
      <c r="CM287" s="11"/>
      <c r="CY287" s="7" cm="1">
        <f t="array" ref="CY287">SUMPRODUCT(--NOT(ISNUMBER(V287:CI287)),--NOT(ISBLANK(V287:CI287)))</f>
        <v>0</v>
      </c>
      <c r="CZ287" s="7">
        <f t="shared" si="213"/>
        <v>0</v>
      </c>
      <c r="DA287" s="7">
        <f t="shared" si="213"/>
        <v>0</v>
      </c>
      <c r="DB287" s="7">
        <f t="shared" si="213"/>
        <v>0</v>
      </c>
      <c r="DC287" s="7">
        <f>IF(ROUND(CB287-SUMIFS($AA287:$BV287, $AA$3:$BV$3, CB$3), rounding)=0, 0, 1)</f>
        <v>0</v>
      </c>
      <c r="DD287" s="7">
        <f>IF(ROUND(V287-BX287, rounding)=0, 0, 1)*'BS Forecasts'!$V$10</f>
        <v>0</v>
      </c>
      <c r="DF287" s="11"/>
      <c r="DG287">
        <f t="shared" si="181"/>
        <v>0</v>
      </c>
      <c r="DH287">
        <v>1</v>
      </c>
      <c r="DI287">
        <v>1</v>
      </c>
      <c r="EY287" s="12" t="str">
        <f>IF(C287="", "", CONCATENATE(D284, " ",D287))</f>
        <v>Loan 13 Loan Capital Repayment (as per loan agreement)</v>
      </c>
    </row>
    <row r="288" spans="1:155" x14ac:dyDescent="0.35">
      <c r="A288" s="220" cm="1">
        <f t="array" aca="1" ref="A288" ca="1">HYPERLINK(CONCATENATE("#",CELL("address",IF(MAX($CM288:$DF288)=0,A288,INDEX($CM288:$DF288,MATCH(1,$CM288:$DF288,0))))),MAX($CM288:$DF288))</f>
        <v>0</v>
      </c>
      <c r="C288" s="211" t="s">
        <v>1176</v>
      </c>
      <c r="D288" t="s">
        <v>1081</v>
      </c>
      <c r="H288" s="9" t="s">
        <v>1074</v>
      </c>
      <c r="I288" s="40" t="s">
        <v>1079</v>
      </c>
      <c r="V288" s="109"/>
      <c r="W288" s="133">
        <f t="shared" si="212"/>
        <v>0</v>
      </c>
      <c r="X288" s="133">
        <f t="shared" si="212"/>
        <v>0</v>
      </c>
      <c r="Y288" s="133">
        <f t="shared" si="212"/>
        <v>0</v>
      </c>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X288" s="12">
        <f t="shared" si="210"/>
        <v>0</v>
      </c>
      <c r="BY288" s="12">
        <f t="shared" si="210"/>
        <v>0</v>
      </c>
      <c r="BZ288" s="12">
        <f t="shared" si="210"/>
        <v>0</v>
      </c>
      <c r="CA288" s="12">
        <f t="shared" si="210"/>
        <v>0</v>
      </c>
      <c r="CB288" s="133">
        <f xml:space="preserve"> SUMIFS($AA288:$BV288, $AA$3:$BV$3, CB$3)</f>
        <v>0</v>
      </c>
      <c r="CC288" s="109"/>
      <c r="CD288" s="109"/>
      <c r="CE288" s="109"/>
      <c r="CF288" s="109"/>
      <c r="CG288" s="109"/>
      <c r="CH288" s="109"/>
      <c r="CI288" s="109"/>
      <c r="CK288" s="11"/>
      <c r="CL288" s="241">
        <f>IF(MAX($V288:$CI288)&gt;0, 1, 0)</f>
        <v>0</v>
      </c>
      <c r="CM288" s="11"/>
      <c r="CY288" s="7" cm="1">
        <f t="array" ref="CY288">SUMPRODUCT(--NOT(ISNUMBER(V288:CI288)),--NOT(ISBLANK(V288:CI288)))</f>
        <v>0</v>
      </c>
      <c r="CZ288" s="7">
        <f t="shared" si="213"/>
        <v>0</v>
      </c>
      <c r="DA288" s="7">
        <f t="shared" si="213"/>
        <v>0</v>
      </c>
      <c r="DB288" s="7">
        <f t="shared" si="213"/>
        <v>0</v>
      </c>
      <c r="DC288" s="7">
        <f>IF(ROUND(CB288-SUMIFS($AA288:$BV288, $AA$3:$BV$3, CB$3), rounding)=0, 0, 1)</f>
        <v>0</v>
      </c>
      <c r="DD288" s="7">
        <f>IF(ROUND(V288-BX288, rounding)=0, 0, 1)*'BS Forecasts'!$V$10</f>
        <v>0</v>
      </c>
      <c r="DF288" s="11"/>
      <c r="DG288">
        <f t="shared" si="181"/>
        <v>0</v>
      </c>
      <c r="DH288">
        <v>1</v>
      </c>
      <c r="DI288">
        <v>1</v>
      </c>
      <c r="EY288" s="12" t="str">
        <f>IF(C288="", "", CONCATENATE(D284, " ",D288))</f>
        <v xml:space="preserve">Loan 13 Early Repayment </v>
      </c>
    </row>
    <row r="289" spans="1:155" x14ac:dyDescent="0.35">
      <c r="C289" s="211" t="s">
        <v>1177</v>
      </c>
      <c r="D289" t="s">
        <v>1083</v>
      </c>
      <c r="H289" s="9" t="s">
        <v>1074</v>
      </c>
      <c r="I289" s="40" t="s">
        <v>317</v>
      </c>
      <c r="V289" s="12">
        <f>$H$25</f>
        <v>0</v>
      </c>
      <c r="W289" s="10">
        <f>SUM(W285:W288)</f>
        <v>0</v>
      </c>
      <c r="X289" s="10">
        <f>SUM(X285:X288)</f>
        <v>0</v>
      </c>
      <c r="Y289" s="10">
        <f>SUM(Y285:Y288)</f>
        <v>0</v>
      </c>
      <c r="AA289" s="10">
        <f t="shared" ref="AA289:BV289" si="214">SUM(AA285:AA288)</f>
        <v>0</v>
      </c>
      <c r="AB289" s="10">
        <f t="shared" si="214"/>
        <v>0</v>
      </c>
      <c r="AC289" s="10">
        <f t="shared" si="214"/>
        <v>0</v>
      </c>
      <c r="AD289" s="10">
        <f t="shared" si="214"/>
        <v>0</v>
      </c>
      <c r="AE289" s="10">
        <f t="shared" si="214"/>
        <v>0</v>
      </c>
      <c r="AF289" s="10">
        <f t="shared" si="214"/>
        <v>0</v>
      </c>
      <c r="AG289" s="10">
        <f t="shared" si="214"/>
        <v>0</v>
      </c>
      <c r="AH289" s="10">
        <f t="shared" si="214"/>
        <v>0</v>
      </c>
      <c r="AI289" s="10">
        <f t="shared" si="214"/>
        <v>0</v>
      </c>
      <c r="AJ289" s="10">
        <f t="shared" si="214"/>
        <v>0</v>
      </c>
      <c r="AK289" s="10">
        <f t="shared" si="214"/>
        <v>0</v>
      </c>
      <c r="AL289" s="10">
        <f t="shared" si="214"/>
        <v>0</v>
      </c>
      <c r="AM289" s="10">
        <f t="shared" si="214"/>
        <v>0</v>
      </c>
      <c r="AN289" s="10">
        <f t="shared" si="214"/>
        <v>0</v>
      </c>
      <c r="AO289" s="10">
        <f t="shared" si="214"/>
        <v>0</v>
      </c>
      <c r="AP289" s="10">
        <f t="shared" si="214"/>
        <v>0</v>
      </c>
      <c r="AQ289" s="10">
        <f t="shared" si="214"/>
        <v>0</v>
      </c>
      <c r="AR289" s="10">
        <f t="shared" si="214"/>
        <v>0</v>
      </c>
      <c r="AS289" s="10">
        <f t="shared" si="214"/>
        <v>0</v>
      </c>
      <c r="AT289" s="10">
        <f t="shared" si="214"/>
        <v>0</v>
      </c>
      <c r="AU289" s="10">
        <f t="shared" si="214"/>
        <v>0</v>
      </c>
      <c r="AV289" s="10">
        <f t="shared" si="214"/>
        <v>0</v>
      </c>
      <c r="AW289" s="10">
        <f t="shared" si="214"/>
        <v>0</v>
      </c>
      <c r="AX289" s="10">
        <f t="shared" si="214"/>
        <v>0</v>
      </c>
      <c r="AY289" s="10">
        <f t="shared" si="214"/>
        <v>0</v>
      </c>
      <c r="AZ289" s="10">
        <f t="shared" si="214"/>
        <v>0</v>
      </c>
      <c r="BA289" s="10">
        <f t="shared" si="214"/>
        <v>0</v>
      </c>
      <c r="BB289" s="10">
        <f t="shared" si="214"/>
        <v>0</v>
      </c>
      <c r="BC289" s="10">
        <f t="shared" si="214"/>
        <v>0</v>
      </c>
      <c r="BD289" s="10">
        <f t="shared" si="214"/>
        <v>0</v>
      </c>
      <c r="BE289" s="10">
        <f t="shared" si="214"/>
        <v>0</v>
      </c>
      <c r="BF289" s="10">
        <f t="shared" si="214"/>
        <v>0</v>
      </c>
      <c r="BG289" s="10">
        <f t="shared" si="214"/>
        <v>0</v>
      </c>
      <c r="BH289" s="10">
        <f t="shared" si="214"/>
        <v>0</v>
      </c>
      <c r="BI289" s="10">
        <f t="shared" si="214"/>
        <v>0</v>
      </c>
      <c r="BJ289" s="10">
        <f t="shared" si="214"/>
        <v>0</v>
      </c>
      <c r="BK289" s="10">
        <f t="shared" si="214"/>
        <v>0</v>
      </c>
      <c r="BL289" s="10">
        <f t="shared" si="214"/>
        <v>0</v>
      </c>
      <c r="BM289" s="10">
        <f t="shared" si="214"/>
        <v>0</v>
      </c>
      <c r="BN289" s="10">
        <f t="shared" si="214"/>
        <v>0</v>
      </c>
      <c r="BO289" s="10">
        <f t="shared" si="214"/>
        <v>0</v>
      </c>
      <c r="BP289" s="10">
        <f t="shared" si="214"/>
        <v>0</v>
      </c>
      <c r="BQ289" s="10">
        <f t="shared" si="214"/>
        <v>0</v>
      </c>
      <c r="BR289" s="10">
        <f t="shared" si="214"/>
        <v>0</v>
      </c>
      <c r="BS289" s="10">
        <f t="shared" si="214"/>
        <v>0</v>
      </c>
      <c r="BT289" s="10">
        <f t="shared" si="214"/>
        <v>0</v>
      </c>
      <c r="BU289" s="10">
        <f t="shared" si="214"/>
        <v>0</v>
      </c>
      <c r="BV289" s="10">
        <f t="shared" si="214"/>
        <v>0</v>
      </c>
      <c r="BX289" s="12">
        <f t="shared" si="210"/>
        <v>0</v>
      </c>
      <c r="BY289" s="12">
        <f t="shared" si="210"/>
        <v>0</v>
      </c>
      <c r="BZ289" s="12">
        <f t="shared" si="210"/>
        <v>0</v>
      </c>
      <c r="CA289" s="12">
        <f t="shared" si="210"/>
        <v>0</v>
      </c>
      <c r="CB289" s="10">
        <f t="shared" ref="CB289:CI289" si="215">SUM(CB285:CB288)</f>
        <v>0</v>
      </c>
      <c r="CC289" s="10">
        <f t="shared" si="215"/>
        <v>0</v>
      </c>
      <c r="CD289" s="10">
        <f t="shared" si="215"/>
        <v>0</v>
      </c>
      <c r="CE289" s="10">
        <f t="shared" si="215"/>
        <v>0</v>
      </c>
      <c r="CF289" s="10">
        <f t="shared" si="215"/>
        <v>0</v>
      </c>
      <c r="CG289" s="10">
        <f t="shared" si="215"/>
        <v>0</v>
      </c>
      <c r="CH289" s="10">
        <f t="shared" si="215"/>
        <v>0</v>
      </c>
      <c r="CI289" s="10">
        <f t="shared" si="215"/>
        <v>0</v>
      </c>
      <c r="CK289" s="11"/>
      <c r="CM289" s="11"/>
      <c r="DF289" s="11"/>
      <c r="DG289">
        <f t="shared" si="181"/>
        <v>0</v>
      </c>
      <c r="DH289">
        <v>0</v>
      </c>
      <c r="DI289">
        <v>0</v>
      </c>
      <c r="EY289" s="12" t="str">
        <f>IF(C289="", "", CONCATENATE(D284, " ",D289))</f>
        <v>Loan 13 Closing Loan Balance</v>
      </c>
    </row>
    <row r="290" spans="1:155" ht="6.75" customHeight="1" x14ac:dyDescent="0.35">
      <c r="C290" s="211"/>
      <c r="D290" s="1"/>
      <c r="E290"/>
      <c r="F290"/>
      <c r="BY290" s="6"/>
      <c r="CK290" s="35"/>
      <c r="CM290" s="35"/>
      <c r="DF290" s="35"/>
      <c r="DG290">
        <f t="shared" si="181"/>
        <v>0</v>
      </c>
      <c r="DH290">
        <v>0</v>
      </c>
      <c r="DI290">
        <v>0</v>
      </c>
      <c r="EY290" s="12" t="str">
        <f>IF(C290="", "", CONCATENATE(D284, " ",D290))</f>
        <v/>
      </c>
    </row>
    <row r="291" spans="1:155" x14ac:dyDescent="0.35">
      <c r="A291" s="220" cm="1">
        <f t="array" aca="1" ref="A291" ca="1">HYPERLINK(CONCATENATE("#",CELL("address",IF(MAX($CM291:$DF291)=0,A291,INDEX($CM291:$DF291,MATCH(1,$CM291:$DF291,0))))),MAX($CM291:$DF291))</f>
        <v>0</v>
      </c>
      <c r="C291" s="211"/>
      <c r="D291" t="s">
        <v>1084</v>
      </c>
      <c r="E291" s="118" t="s">
        <v>1085</v>
      </c>
      <c r="F291" s="118"/>
      <c r="G291" s="10">
        <f>$G$25</f>
        <v>0</v>
      </c>
      <c r="V291" s="7">
        <f>IF(OR(V289&gt;$G291, V289&lt;0), 1, 0)</f>
        <v>0</v>
      </c>
      <c r="W291" s="7">
        <f>IF(OR(W289&gt;$G291, W289&lt;0), 1, 0)</f>
        <v>0</v>
      </c>
      <c r="X291" s="7">
        <f>IF(OR(X289&gt;$G291, X289&lt;0), 1, 0)</f>
        <v>0</v>
      </c>
      <c r="Y291" s="7">
        <f>IF(OR(Y289&gt;$G291, Y289&lt;0), 1, 0)</f>
        <v>0</v>
      </c>
      <c r="AA291" s="7">
        <f t="shared" ref="AA291:BV291" si="216">IF(OR(AA289&gt;$G291, AA289&lt;0), 1, 0)</f>
        <v>0</v>
      </c>
      <c r="AB291" s="7">
        <f t="shared" si="216"/>
        <v>0</v>
      </c>
      <c r="AC291" s="7">
        <f t="shared" si="216"/>
        <v>0</v>
      </c>
      <c r="AD291" s="7">
        <f t="shared" si="216"/>
        <v>0</v>
      </c>
      <c r="AE291" s="7">
        <f t="shared" si="216"/>
        <v>0</v>
      </c>
      <c r="AF291" s="7">
        <f t="shared" si="216"/>
        <v>0</v>
      </c>
      <c r="AG291" s="7">
        <f t="shared" si="216"/>
        <v>0</v>
      </c>
      <c r="AH291" s="7">
        <f t="shared" si="216"/>
        <v>0</v>
      </c>
      <c r="AI291" s="7">
        <f t="shared" si="216"/>
        <v>0</v>
      </c>
      <c r="AJ291" s="7">
        <f t="shared" si="216"/>
        <v>0</v>
      </c>
      <c r="AK291" s="7">
        <f t="shared" si="216"/>
        <v>0</v>
      </c>
      <c r="AL291" s="7">
        <f t="shared" si="216"/>
        <v>0</v>
      </c>
      <c r="AM291" s="7">
        <f t="shared" si="216"/>
        <v>0</v>
      </c>
      <c r="AN291" s="7">
        <f t="shared" si="216"/>
        <v>0</v>
      </c>
      <c r="AO291" s="7">
        <f t="shared" si="216"/>
        <v>0</v>
      </c>
      <c r="AP291" s="7">
        <f t="shared" si="216"/>
        <v>0</v>
      </c>
      <c r="AQ291" s="7">
        <f t="shared" si="216"/>
        <v>0</v>
      </c>
      <c r="AR291" s="7">
        <f t="shared" si="216"/>
        <v>0</v>
      </c>
      <c r="AS291" s="7">
        <f t="shared" si="216"/>
        <v>0</v>
      </c>
      <c r="AT291" s="7">
        <f t="shared" si="216"/>
        <v>0</v>
      </c>
      <c r="AU291" s="7">
        <f t="shared" si="216"/>
        <v>0</v>
      </c>
      <c r="AV291" s="7">
        <f t="shared" si="216"/>
        <v>0</v>
      </c>
      <c r="AW291" s="7">
        <f t="shared" si="216"/>
        <v>0</v>
      </c>
      <c r="AX291" s="7">
        <f t="shared" si="216"/>
        <v>0</v>
      </c>
      <c r="AY291" s="7">
        <f t="shared" si="216"/>
        <v>0</v>
      </c>
      <c r="AZ291" s="7">
        <f t="shared" si="216"/>
        <v>0</v>
      </c>
      <c r="BA291" s="7">
        <f t="shared" si="216"/>
        <v>0</v>
      </c>
      <c r="BB291" s="7">
        <f t="shared" si="216"/>
        <v>0</v>
      </c>
      <c r="BC291" s="7">
        <f t="shared" si="216"/>
        <v>0</v>
      </c>
      <c r="BD291" s="7">
        <f t="shared" si="216"/>
        <v>0</v>
      </c>
      <c r="BE291" s="7">
        <f t="shared" si="216"/>
        <v>0</v>
      </c>
      <c r="BF291" s="7">
        <f t="shared" si="216"/>
        <v>0</v>
      </c>
      <c r="BG291" s="7">
        <f t="shared" si="216"/>
        <v>0</v>
      </c>
      <c r="BH291" s="7">
        <f t="shared" si="216"/>
        <v>0</v>
      </c>
      <c r="BI291" s="7">
        <f t="shared" si="216"/>
        <v>0</v>
      </c>
      <c r="BJ291" s="7">
        <f t="shared" si="216"/>
        <v>0</v>
      </c>
      <c r="BK291" s="7">
        <f t="shared" si="216"/>
        <v>0</v>
      </c>
      <c r="BL291" s="7">
        <f t="shared" si="216"/>
        <v>0</v>
      </c>
      <c r="BM291" s="7">
        <f t="shared" si="216"/>
        <v>0</v>
      </c>
      <c r="BN291" s="7">
        <f t="shared" si="216"/>
        <v>0</v>
      </c>
      <c r="BO291" s="7">
        <f t="shared" si="216"/>
        <v>0</v>
      </c>
      <c r="BP291" s="7">
        <f t="shared" si="216"/>
        <v>0</v>
      </c>
      <c r="BQ291" s="7">
        <f t="shared" si="216"/>
        <v>0</v>
      </c>
      <c r="BR291" s="7">
        <f t="shared" si="216"/>
        <v>0</v>
      </c>
      <c r="BS291" s="7">
        <f t="shared" si="216"/>
        <v>0</v>
      </c>
      <c r="BT291" s="7">
        <f t="shared" si="216"/>
        <v>0</v>
      </c>
      <c r="BU291" s="7">
        <f t="shared" si="216"/>
        <v>0</v>
      </c>
      <c r="BV291" s="7">
        <f t="shared" si="216"/>
        <v>0</v>
      </c>
      <c r="BX291" s="7">
        <f t="shared" ref="BX291:CI291" si="217">IF(OR(BX289&gt;$G291, BX289&lt;0), 1, 0)</f>
        <v>0</v>
      </c>
      <c r="BY291" s="7">
        <f t="shared" si="217"/>
        <v>0</v>
      </c>
      <c r="BZ291" s="7">
        <f t="shared" si="217"/>
        <v>0</v>
      </c>
      <c r="CA291" s="7">
        <f t="shared" si="217"/>
        <v>0</v>
      </c>
      <c r="CB291" s="7">
        <f t="shared" si="217"/>
        <v>0</v>
      </c>
      <c r="CC291" s="7">
        <f t="shared" si="217"/>
        <v>0</v>
      </c>
      <c r="CD291" s="7">
        <f t="shared" si="217"/>
        <v>0</v>
      </c>
      <c r="CE291" s="7">
        <f t="shared" si="217"/>
        <v>0</v>
      </c>
      <c r="CF291" s="7">
        <f t="shared" si="217"/>
        <v>0</v>
      </c>
      <c r="CG291" s="7">
        <f t="shared" si="217"/>
        <v>0</v>
      </c>
      <c r="CH291" s="7">
        <f t="shared" si="217"/>
        <v>0</v>
      </c>
      <c r="CI291" s="7">
        <f t="shared" si="217"/>
        <v>0</v>
      </c>
      <c r="CK291" s="11"/>
      <c r="CM291" s="11"/>
      <c r="CX291" s="7">
        <f>IF(MAX(V291:CI291)&gt;0, 1, 0)</f>
        <v>0</v>
      </c>
      <c r="DF291" s="11"/>
      <c r="DG291">
        <f t="shared" si="181"/>
        <v>1</v>
      </c>
      <c r="DH291">
        <v>0</v>
      </c>
      <c r="DI291">
        <v>0</v>
      </c>
      <c r="EY291" s="12" t="str">
        <f>IF(C291="", "", CONCATENATE(D284, " ",D291))</f>
        <v/>
      </c>
    </row>
    <row r="292" spans="1:155" x14ac:dyDescent="0.35">
      <c r="A292" s="220" cm="1">
        <f t="array" aca="1" ref="A292" ca="1">HYPERLINK(CONCATENATE("#",CELL("address",IF(MAX($CM292:$DF292)=0,A292,INDEX($CM292:$DF292,MATCH(1,$CM292:$DF292,0))))),MAX($CM292:$DF292))</f>
        <v>0</v>
      </c>
      <c r="C292" s="211"/>
      <c r="D292" t="s">
        <v>1086</v>
      </c>
      <c r="E292" s="118" t="s">
        <v>1087</v>
      </c>
      <c r="F292" s="118"/>
      <c r="G292" s="117" t="str">
        <f>IF($K$25="", "", $K$25)</f>
        <v/>
      </c>
      <c r="V292" s="7">
        <f>IF(AND(V$5&gt;=$G292,SUM(V289:$Y289)&lt;&gt;0),1,0)</f>
        <v>0</v>
      </c>
      <c r="W292" s="7">
        <f>IF(AND(W$5&gt;=$G292,SUM(W289:$Y289)&lt;&gt;0),1,0)</f>
        <v>0</v>
      </c>
      <c r="X292" s="7">
        <f>IF(AND(X$5&gt;=$G292,SUM(X289:$Y289)&lt;&gt;0),1,0)</f>
        <v>0</v>
      </c>
      <c r="Y292" s="7">
        <f>IF(AND(Y$5&gt;=$G292,SUM(Y289:$Y289)&lt;&gt;0),1,0)</f>
        <v>0</v>
      </c>
      <c r="AA292" s="7">
        <f>IF(AND(AA$5&gt;=$G292,SUM(AA289:$BV289)&lt;&gt;0),1,0)</f>
        <v>0</v>
      </c>
      <c r="AB292" s="7">
        <f>IF(AND(AB$5&gt;=$G292,SUM(AB289:$BV289)&lt;&gt;0),1,0)</f>
        <v>0</v>
      </c>
      <c r="AC292" s="7">
        <f>IF(AND(AC$5&gt;=$G292,SUM(AC289:$BV289)&lt;&gt;0),1,0)</f>
        <v>0</v>
      </c>
      <c r="AD292" s="7">
        <f>IF(AND(AD$5&gt;=$G292,SUM(AD289:$BV289)&lt;&gt;0),1,0)</f>
        <v>0</v>
      </c>
      <c r="AE292" s="7">
        <f>IF(AND(AE$5&gt;=$G292,SUM(AE289:$BV289)&lt;&gt;0),1,0)</f>
        <v>0</v>
      </c>
      <c r="AF292" s="7">
        <f>IF(AND(AF$5&gt;=$G292,SUM(AF289:$BV289)&lt;&gt;0),1,0)</f>
        <v>0</v>
      </c>
      <c r="AG292" s="7">
        <f>IF(AND(AG$5&gt;=$G292,SUM(AG289:$BV289)&lt;&gt;0),1,0)</f>
        <v>0</v>
      </c>
      <c r="AH292" s="7">
        <f>IF(AND(AH$5&gt;=$G292,SUM(AH289:$BV289)&lt;&gt;0),1,0)</f>
        <v>0</v>
      </c>
      <c r="AI292" s="7">
        <f>IF(AND(AI$5&gt;=$G292,SUM(AI289:$BV289)&lt;&gt;0),1,0)</f>
        <v>0</v>
      </c>
      <c r="AJ292" s="7">
        <f>IF(AND(AJ$5&gt;=$G292,SUM(AJ289:$BV289)&lt;&gt;0),1,0)</f>
        <v>0</v>
      </c>
      <c r="AK292" s="7">
        <f>IF(AND(AK$5&gt;=$G292,SUM(AK289:$BV289)&lt;&gt;0),1,0)</f>
        <v>0</v>
      </c>
      <c r="AL292" s="7">
        <f>IF(AND(AL$5&gt;=$G292,SUM(AL289:$BV289)&lt;&gt;0),1,0)</f>
        <v>0</v>
      </c>
      <c r="AM292" s="7">
        <f>IF(AND(AM$5&gt;=$G292,SUM(AM289:$BV289)&lt;&gt;0),1,0)</f>
        <v>0</v>
      </c>
      <c r="AN292" s="7">
        <f>IF(AND(AN$5&gt;=$G292,SUM(AN289:$BV289)&lt;&gt;0),1,0)</f>
        <v>0</v>
      </c>
      <c r="AO292" s="7">
        <f>IF(AND(AO$5&gt;=$G292,SUM(AO289:$BV289)&lt;&gt;0),1,0)</f>
        <v>0</v>
      </c>
      <c r="AP292" s="7">
        <f>IF(AND(AP$5&gt;=$G292,SUM(AP289:$BV289)&lt;&gt;0),1,0)</f>
        <v>0</v>
      </c>
      <c r="AQ292" s="7">
        <f>IF(AND(AQ$5&gt;=$G292,SUM(AQ289:$BV289)&lt;&gt;0),1,0)</f>
        <v>0</v>
      </c>
      <c r="AR292" s="7">
        <f>IF(AND(AR$5&gt;=$G292,SUM(AR289:$BV289)&lt;&gt;0),1,0)</f>
        <v>0</v>
      </c>
      <c r="AS292" s="7">
        <f>IF(AND(AS$5&gt;=$G292,SUM(AS289:$BV289)&lt;&gt;0),1,0)</f>
        <v>0</v>
      </c>
      <c r="AT292" s="7">
        <f>IF(AND(AT$5&gt;=$G292,SUM(AT289:$BV289)&lt;&gt;0),1,0)</f>
        <v>0</v>
      </c>
      <c r="AU292" s="7">
        <f>IF(AND(AU$5&gt;=$G292,SUM(AU289:$BV289)&lt;&gt;0),1,0)</f>
        <v>0</v>
      </c>
      <c r="AV292" s="7">
        <f>IF(AND(AV$5&gt;=$G292,SUM(AV289:$BV289)&lt;&gt;0),1,0)</f>
        <v>0</v>
      </c>
      <c r="AW292" s="7">
        <f>IF(AND(AW$5&gt;=$G292,SUM(AW289:$BV289)&lt;&gt;0),1,0)</f>
        <v>0</v>
      </c>
      <c r="AX292" s="7">
        <f>IF(AND(AX$5&gt;=$G292,SUM(AX289:$BV289)&lt;&gt;0),1,0)</f>
        <v>0</v>
      </c>
      <c r="AY292" s="7">
        <f>IF(AND(AY$5&gt;=$G292,SUM(AY289:$BV289)&lt;&gt;0),1,0)</f>
        <v>0</v>
      </c>
      <c r="AZ292" s="7">
        <f>IF(AND(AZ$5&gt;=$G292,SUM(AZ289:$BV289)&lt;&gt;0),1,0)</f>
        <v>0</v>
      </c>
      <c r="BA292" s="7">
        <f>IF(AND(BA$5&gt;=$G292,SUM(BA289:$BV289)&lt;&gt;0),1,0)</f>
        <v>0</v>
      </c>
      <c r="BB292" s="7">
        <f>IF(AND(BB$5&gt;=$G292,SUM(BB289:$BV289)&lt;&gt;0),1,0)</f>
        <v>0</v>
      </c>
      <c r="BC292" s="7">
        <f>IF(AND(BC$5&gt;=$G292,SUM(BC289:$BV289)&lt;&gt;0),1,0)</f>
        <v>0</v>
      </c>
      <c r="BD292" s="7">
        <f>IF(AND(BD$5&gt;=$G292,SUM(BD289:$BV289)&lt;&gt;0),1,0)</f>
        <v>0</v>
      </c>
      <c r="BE292" s="7">
        <f>IF(AND(BE$5&gt;=$G292,SUM(BE289:$BV289)&lt;&gt;0),1,0)</f>
        <v>0</v>
      </c>
      <c r="BF292" s="7">
        <f>IF(AND(BF$5&gt;=$G292,SUM(BF289:$BV289)&lt;&gt;0),1,0)</f>
        <v>0</v>
      </c>
      <c r="BG292" s="7">
        <f>IF(AND(BG$5&gt;=$G292,SUM(BG289:$BV289)&lt;&gt;0),1,0)</f>
        <v>0</v>
      </c>
      <c r="BH292" s="7">
        <f>IF(AND(BH$5&gt;=$G292,SUM(BH289:$BV289)&lt;&gt;0),1,0)</f>
        <v>0</v>
      </c>
      <c r="BI292" s="7">
        <f>IF(AND(BI$5&gt;=$G292,SUM(BI289:$BV289)&lt;&gt;0),1,0)</f>
        <v>0</v>
      </c>
      <c r="BJ292" s="7">
        <f>IF(AND(BJ$5&gt;=$G292,SUM(BJ289:$BV289)&lt;&gt;0),1,0)</f>
        <v>0</v>
      </c>
      <c r="BK292" s="7">
        <f>IF(AND(BK$5&gt;=$G292,SUM(BK289:$BV289)&lt;&gt;0),1,0)</f>
        <v>0</v>
      </c>
      <c r="BL292" s="7">
        <f>IF(AND(BL$5&gt;=$G292,SUM(BL289:$BV289)&lt;&gt;0),1,0)</f>
        <v>0</v>
      </c>
      <c r="BM292" s="7">
        <f>IF(AND(BM$5&gt;=$G292,SUM(BM289:$BV289)&lt;&gt;0),1,0)</f>
        <v>0</v>
      </c>
      <c r="BN292" s="7">
        <f>IF(AND(BN$5&gt;=$G292,SUM(BN289:$BV289)&lt;&gt;0),1,0)</f>
        <v>0</v>
      </c>
      <c r="BO292" s="7">
        <f>IF(AND(BO$5&gt;=$G292,SUM(BO289:$BV289)&lt;&gt;0),1,0)</f>
        <v>0</v>
      </c>
      <c r="BP292" s="7">
        <f>IF(AND(BP$5&gt;=$G292,SUM(BP289:$BV289)&lt;&gt;0),1,0)</f>
        <v>0</v>
      </c>
      <c r="BQ292" s="7">
        <f>IF(AND(BQ$5&gt;=$G292,SUM(BQ289:$BV289)&lt;&gt;0),1,0)</f>
        <v>0</v>
      </c>
      <c r="BR292" s="7">
        <f>IF(AND(BR$5&gt;=$G292,SUM(BR289:$BV289)&lt;&gt;0),1,0)</f>
        <v>0</v>
      </c>
      <c r="BS292" s="7">
        <f>IF(AND(BS$5&gt;=$G292,SUM(BS289:$BV289)&lt;&gt;0),1,0)</f>
        <v>0</v>
      </c>
      <c r="BT292" s="7">
        <f>IF(AND(BT$5&gt;=$G292,SUM(BT289:$BV289)&lt;&gt;0),1,0)</f>
        <v>0</v>
      </c>
      <c r="BU292" s="7">
        <f>IF(AND(BU$5&gt;=$G292,SUM(BU289:$BV289)&lt;&gt;0),1,0)</f>
        <v>0</v>
      </c>
      <c r="BV292" s="7">
        <f>IF(AND(BV$5&gt;=$G292,SUM(BV289:$BV289)&lt;&gt;0),1,0)</f>
        <v>0</v>
      </c>
      <c r="BX292" s="7">
        <f>IF(AND(BX$5&gt;=$G292,SUM(BX289:$CI289)&lt;&gt;0),1,0)*BX$1159</f>
        <v>0</v>
      </c>
      <c r="BY292" s="7">
        <f>IF(AND(BY$5&gt;=$G292,SUM(BY289:$CI289)&lt;&gt;0),1,0)*BY$1159</f>
        <v>0</v>
      </c>
      <c r="BZ292" s="7">
        <f>IF(AND(BZ$5&gt;=$G292,SUM(BZ289:$CI289)&lt;&gt;0),1,0)*BZ$1159</f>
        <v>0</v>
      </c>
      <c r="CA292" s="7">
        <f>IF(AND(CA$5&gt;=$G292,SUM(CA289:$CI289)&lt;&gt;0),1,0)*CA$1159</f>
        <v>0</v>
      </c>
      <c r="CB292" s="7">
        <f>IF(AND(CB$5&gt;=$G292,SUM(CB289:$CI289)&lt;&gt;0),1,0)*CB$1159</f>
        <v>0</v>
      </c>
      <c r="CC292" s="7">
        <f>IF(AND(CC$5&gt;=$G292,SUM(CC289:$CI289)&lt;&gt;0),1,0)*CC$1159</f>
        <v>0</v>
      </c>
      <c r="CD292" s="7">
        <f>IF(AND(CD$5&gt;=$G292,SUM(CD289:$CI289)&lt;&gt;0),1,0)*CD$1159</f>
        <v>0</v>
      </c>
      <c r="CE292" s="7">
        <f>IF(AND(CE$5&gt;=$G292,SUM(CE289:$CI289)&lt;&gt;0),1,0)*CE$1159</f>
        <v>0</v>
      </c>
      <c r="CF292" s="7">
        <f>IF(AND(CF$5&gt;=$G292,SUM(CF289:$CI289)&lt;&gt;0),1,0)*CF$1159</f>
        <v>0</v>
      </c>
      <c r="CG292" s="7">
        <f>IF(AND(CG$5&gt;=$G292,SUM(CG289:$CI289)&lt;&gt;0),1,0)*CG$1159</f>
        <v>0</v>
      </c>
      <c r="CH292" s="7">
        <f>IF(AND(CH$5&gt;=$G292,SUM(CH289:$CI289)&lt;&gt;0),1,0)*CH$1159</f>
        <v>0</v>
      </c>
      <c r="CI292" s="7">
        <f>IF(AND(CI$5&gt;=$G292,SUM(CI289:$CI289)&lt;&gt;0),1,0)*CI$1159</f>
        <v>0</v>
      </c>
      <c r="CK292" s="11"/>
      <c r="CM292" s="11"/>
      <c r="CX292" s="7">
        <f>IF(MAX($V292:$CI292)&gt;0, 1, 0)</f>
        <v>0</v>
      </c>
      <c r="DF292" s="11"/>
      <c r="DG292">
        <f t="shared" si="181"/>
        <v>1</v>
      </c>
      <c r="DH292">
        <v>0</v>
      </c>
      <c r="DI292">
        <v>0</v>
      </c>
      <c r="EY292" s="12" t="str">
        <f>IF(C292="", "", CONCATENATE(D284, " ",D292))</f>
        <v/>
      </c>
    </row>
    <row r="293" spans="1:155" ht="6.75" customHeight="1" x14ac:dyDescent="0.35">
      <c r="C293" s="211"/>
      <c r="D293" s="1"/>
      <c r="E293"/>
      <c r="F293"/>
      <c r="BY293" s="6"/>
      <c r="CK293" s="35"/>
      <c r="CM293" s="35"/>
      <c r="DF293" s="35"/>
      <c r="DG293">
        <f t="shared" si="181"/>
        <v>0</v>
      </c>
      <c r="DH293">
        <v>0</v>
      </c>
      <c r="DI293">
        <v>0</v>
      </c>
      <c r="EY293" s="12" t="str">
        <f>IF(C293="", "", CONCATENATE(D284, " ",D293))</f>
        <v/>
      </c>
    </row>
    <row r="294" spans="1:155" x14ac:dyDescent="0.35">
      <c r="C294" s="211"/>
      <c r="D294" t="s">
        <v>1088</v>
      </c>
      <c r="H294" s="9" t="s">
        <v>1074</v>
      </c>
      <c r="I294" s="40" t="s">
        <v>317</v>
      </c>
      <c r="V294" s="109"/>
      <c r="W294" s="133">
        <f>V297</f>
        <v>0</v>
      </c>
      <c r="X294" s="133">
        <f>W297</f>
        <v>0</v>
      </c>
      <c r="Y294" s="10">
        <f>X297</f>
        <v>0</v>
      </c>
      <c r="AA294" s="12">
        <f>W294</f>
        <v>0</v>
      </c>
      <c r="AB294" s="10">
        <f t="shared" ref="AB294:BV294" si="218">AA297</f>
        <v>0</v>
      </c>
      <c r="AC294" s="10">
        <f t="shared" si="218"/>
        <v>0</v>
      </c>
      <c r="AD294" s="10">
        <f t="shared" si="218"/>
        <v>0</v>
      </c>
      <c r="AE294" s="10">
        <f t="shared" si="218"/>
        <v>0</v>
      </c>
      <c r="AF294" s="10">
        <f t="shared" si="218"/>
        <v>0</v>
      </c>
      <c r="AG294" s="10">
        <f t="shared" si="218"/>
        <v>0</v>
      </c>
      <c r="AH294" s="10">
        <f t="shared" si="218"/>
        <v>0</v>
      </c>
      <c r="AI294" s="10">
        <f t="shared" si="218"/>
        <v>0</v>
      </c>
      <c r="AJ294" s="10">
        <f t="shared" si="218"/>
        <v>0</v>
      </c>
      <c r="AK294" s="10">
        <f t="shared" si="218"/>
        <v>0</v>
      </c>
      <c r="AL294" s="10">
        <f t="shared" si="218"/>
        <v>0</v>
      </c>
      <c r="AM294" s="10">
        <f t="shared" si="218"/>
        <v>0</v>
      </c>
      <c r="AN294" s="10">
        <f t="shared" si="218"/>
        <v>0</v>
      </c>
      <c r="AO294" s="10">
        <f t="shared" si="218"/>
        <v>0</v>
      </c>
      <c r="AP294" s="10">
        <f t="shared" si="218"/>
        <v>0</v>
      </c>
      <c r="AQ294" s="10">
        <f t="shared" si="218"/>
        <v>0</v>
      </c>
      <c r="AR294" s="10">
        <f t="shared" si="218"/>
        <v>0</v>
      </c>
      <c r="AS294" s="10">
        <f t="shared" si="218"/>
        <v>0</v>
      </c>
      <c r="AT294" s="10">
        <f t="shared" si="218"/>
        <v>0</v>
      </c>
      <c r="AU294" s="10">
        <f t="shared" si="218"/>
        <v>0</v>
      </c>
      <c r="AV294" s="10">
        <f t="shared" si="218"/>
        <v>0</v>
      </c>
      <c r="AW294" s="10">
        <f t="shared" si="218"/>
        <v>0</v>
      </c>
      <c r="AX294" s="10">
        <f t="shared" si="218"/>
        <v>0</v>
      </c>
      <c r="AY294" s="10">
        <f t="shared" si="218"/>
        <v>0</v>
      </c>
      <c r="AZ294" s="10">
        <f t="shared" si="218"/>
        <v>0</v>
      </c>
      <c r="BA294" s="10">
        <f t="shared" si="218"/>
        <v>0</v>
      </c>
      <c r="BB294" s="10">
        <f t="shared" si="218"/>
        <v>0</v>
      </c>
      <c r="BC294" s="10">
        <f t="shared" si="218"/>
        <v>0</v>
      </c>
      <c r="BD294" s="10">
        <f t="shared" si="218"/>
        <v>0</v>
      </c>
      <c r="BE294" s="10">
        <f t="shared" si="218"/>
        <v>0</v>
      </c>
      <c r="BF294" s="10">
        <f t="shared" si="218"/>
        <v>0</v>
      </c>
      <c r="BG294" s="10">
        <f t="shared" si="218"/>
        <v>0</v>
      </c>
      <c r="BH294" s="10">
        <f t="shared" si="218"/>
        <v>0</v>
      </c>
      <c r="BI294" s="10">
        <f t="shared" si="218"/>
        <v>0</v>
      </c>
      <c r="BJ294" s="10">
        <f t="shared" si="218"/>
        <v>0</v>
      </c>
      <c r="BK294" s="10">
        <f t="shared" si="218"/>
        <v>0</v>
      </c>
      <c r="BL294" s="10">
        <f t="shared" si="218"/>
        <v>0</v>
      </c>
      <c r="BM294" s="10">
        <f t="shared" si="218"/>
        <v>0</v>
      </c>
      <c r="BN294" s="10">
        <f t="shared" si="218"/>
        <v>0</v>
      </c>
      <c r="BO294" s="10">
        <f t="shared" si="218"/>
        <v>0</v>
      </c>
      <c r="BP294" s="10">
        <f t="shared" si="218"/>
        <v>0</v>
      </c>
      <c r="BQ294" s="10">
        <f t="shared" si="218"/>
        <v>0</v>
      </c>
      <c r="BR294" s="10">
        <f t="shared" si="218"/>
        <v>0</v>
      </c>
      <c r="BS294" s="10">
        <f t="shared" si="218"/>
        <v>0</v>
      </c>
      <c r="BT294" s="10">
        <f t="shared" si="218"/>
        <v>0</v>
      </c>
      <c r="BU294" s="10">
        <f t="shared" si="218"/>
        <v>0</v>
      </c>
      <c r="BV294" s="10">
        <f t="shared" si="218"/>
        <v>0</v>
      </c>
      <c r="BX294" s="12">
        <f t="shared" ref="BX294:CA297" si="219">V294</f>
        <v>0</v>
      </c>
      <c r="BY294" s="12">
        <f t="shared" si="219"/>
        <v>0</v>
      </c>
      <c r="BZ294" s="12">
        <f t="shared" si="219"/>
        <v>0</v>
      </c>
      <c r="CA294" s="12">
        <f t="shared" si="219"/>
        <v>0</v>
      </c>
      <c r="CB294" s="10">
        <f t="shared" ref="CB294:CI294" si="220">CA297</f>
        <v>0</v>
      </c>
      <c r="CC294" s="10">
        <f t="shared" si="220"/>
        <v>0</v>
      </c>
      <c r="CD294" s="10">
        <f t="shared" si="220"/>
        <v>0</v>
      </c>
      <c r="CE294" s="10">
        <f t="shared" si="220"/>
        <v>0</v>
      </c>
      <c r="CF294" s="10">
        <f t="shared" si="220"/>
        <v>0</v>
      </c>
      <c r="CG294" s="10">
        <f t="shared" si="220"/>
        <v>0</v>
      </c>
      <c r="CH294" s="10">
        <f t="shared" si="220"/>
        <v>0</v>
      </c>
      <c r="CI294" s="10">
        <f t="shared" si="220"/>
        <v>0</v>
      </c>
      <c r="CK294" s="11"/>
      <c r="CM294" s="11"/>
      <c r="CY294" s="7" cm="1">
        <f t="array" ref="CY294">SUMPRODUCT(--NOT(ISNUMBER(V294:CI294)),--NOT(ISBLANK(V294:CI294)))</f>
        <v>0</v>
      </c>
      <c r="DF294" s="11"/>
      <c r="DG294">
        <f t="shared" si="181"/>
        <v>0</v>
      </c>
      <c r="DH294">
        <v>1</v>
      </c>
      <c r="DI294">
        <v>0</v>
      </c>
      <c r="EY294" s="12" t="str">
        <f>IF(C294="", "", CONCATENATE(D284, " ",D294))</f>
        <v/>
      </c>
    </row>
    <row r="295" spans="1:155" s="5" customFormat="1" x14ac:dyDescent="0.35">
      <c r="A295" s="220" cm="1">
        <f t="array" aca="1" ref="A295" ca="1">HYPERLINK(CONCATENATE("#",CELL("address",IF(MAX($CM295:$DF295)=0,A295,INDEX($CM295:$DF295,MATCH(1,$CM295:$DF295,0))))),MAX($CM295:$DF295))</f>
        <v>0</v>
      </c>
      <c r="B295" s="85" t="s">
        <v>122</v>
      </c>
      <c r="C295" s="211"/>
      <c r="D295" t="s">
        <v>1089</v>
      </c>
      <c r="E295" s="1"/>
      <c r="F295" s="1"/>
      <c r="G295"/>
      <c r="H295" s="9" t="s">
        <v>1074</v>
      </c>
      <c r="I295" s="40" t="s">
        <v>665</v>
      </c>
      <c r="J295"/>
      <c r="K295"/>
      <c r="L295"/>
      <c r="M295"/>
      <c r="N295"/>
      <c r="O295"/>
      <c r="P295"/>
      <c r="Q295"/>
      <c r="R295"/>
      <c r="S295"/>
      <c r="T295"/>
      <c r="U295"/>
      <c r="V295" s="109"/>
      <c r="W295" s="133">
        <f t="shared" ref="W295:Y296" si="221" xml:space="preserve"> SUMIFS($AA295:$BV295, $AA$3:$BV$3, W$3)</f>
        <v>0</v>
      </c>
      <c r="X295" s="133">
        <f t="shared" si="221"/>
        <v>0</v>
      </c>
      <c r="Y295" s="133">
        <f t="shared" si="221"/>
        <v>0</v>
      </c>
      <c r="Z295"/>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c r="BX295" s="12">
        <f t="shared" si="219"/>
        <v>0</v>
      </c>
      <c r="BY295" s="12">
        <f t="shared" si="219"/>
        <v>0</v>
      </c>
      <c r="BZ295" s="12">
        <f t="shared" si="219"/>
        <v>0</v>
      </c>
      <c r="CA295" s="12">
        <f t="shared" si="219"/>
        <v>0</v>
      </c>
      <c r="CB295" s="133">
        <f xml:space="preserve"> SUMIFS($AA295:$BV295, $AA$3:$BV$3, CB$3)</f>
        <v>0</v>
      </c>
      <c r="CC295" s="109"/>
      <c r="CD295" s="109"/>
      <c r="CE295" s="109"/>
      <c r="CF295" s="109"/>
      <c r="CG295" s="109"/>
      <c r="CH295" s="109"/>
      <c r="CI295" s="109"/>
      <c r="CJ295"/>
      <c r="CK295" s="11"/>
      <c r="CL295" s="241">
        <f>IF(MIN($V295:$CI295)&lt;0, 1, 0)</f>
        <v>0</v>
      </c>
      <c r="CM295" s="11"/>
      <c r="CN295"/>
      <c r="CO295"/>
      <c r="CP295"/>
      <c r="CQ295"/>
      <c r="CR295"/>
      <c r="CS295"/>
      <c r="CT295"/>
      <c r="CU295"/>
      <c r="CV295"/>
      <c r="CW295"/>
      <c r="CX295"/>
      <c r="CY295" s="7" cm="1">
        <f t="array" ref="CY295">SUMPRODUCT(--NOT(ISNUMBER(V295:CI295)),--NOT(ISBLANK(V295:CI295)))</f>
        <v>0</v>
      </c>
      <c r="CZ295" s="7">
        <f t="shared" ref="CZ295:DB296" si="222">IF(ROUND(W295-SUMIFS($AA295:$BV295, $AA$3:$BV$3, W$3), rounding)=0, 0, 1)</f>
        <v>0</v>
      </c>
      <c r="DA295" s="7">
        <f t="shared" si="222"/>
        <v>0</v>
      </c>
      <c r="DB295" s="7">
        <f t="shared" si="222"/>
        <v>0</v>
      </c>
      <c r="DC295" s="7">
        <f>IF(ROUND(CB295-SUMIFS($AA295:$BV295, $AA$3:$BV$3, CB$3), rounding)=0, 0, 1)</f>
        <v>0</v>
      </c>
      <c r="DD295" s="7">
        <f>IF(ROUND(V295-BX295, rounding)=0, 0, 1)*'BS Forecasts'!$V$10</f>
        <v>0</v>
      </c>
      <c r="DE295"/>
      <c r="DF295" s="11"/>
      <c r="DG295">
        <f t="shared" si="181"/>
        <v>0</v>
      </c>
      <c r="DH295">
        <v>1</v>
      </c>
      <c r="DI295">
        <v>1</v>
      </c>
      <c r="EY295" s="12" t="str">
        <f>IF(C295="", "", CONCATENATE(D284, " ",D295))</f>
        <v/>
      </c>
    </row>
    <row r="296" spans="1:155" x14ac:dyDescent="0.35">
      <c r="A296" s="220" cm="1">
        <f t="array" aca="1" ref="A296" ca="1">HYPERLINK(CONCATENATE("#",CELL("address",IF(MAX($CM296:$DF296)=0,A296,INDEX($CM296:$DF296,MATCH(1,$CM296:$DF296,0))))),MAX($CM296:$DF296))</f>
        <v>0</v>
      </c>
      <c r="B296" s="85" t="s">
        <v>122</v>
      </c>
      <c r="C296" s="211"/>
      <c r="D296" t="s">
        <v>1090</v>
      </c>
      <c r="H296" s="9" t="s">
        <v>1074</v>
      </c>
      <c r="I296" s="40" t="s">
        <v>1079</v>
      </c>
      <c r="V296" s="109"/>
      <c r="W296" s="133">
        <f t="shared" si="221"/>
        <v>0</v>
      </c>
      <c r="X296" s="133">
        <f t="shared" si="221"/>
        <v>0</v>
      </c>
      <c r="Y296" s="133">
        <f t="shared" si="221"/>
        <v>0</v>
      </c>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X296" s="12">
        <f t="shared" si="219"/>
        <v>0</v>
      </c>
      <c r="BY296" s="12">
        <f t="shared" si="219"/>
        <v>0</v>
      </c>
      <c r="BZ296" s="12">
        <f t="shared" si="219"/>
        <v>0</v>
      </c>
      <c r="CA296" s="12">
        <f t="shared" si="219"/>
        <v>0</v>
      </c>
      <c r="CB296" s="133">
        <f xml:space="preserve"> SUMIFS($AA296:$BV296, $AA$3:$BV$3, CB$3)</f>
        <v>0</v>
      </c>
      <c r="CC296" s="109"/>
      <c r="CD296" s="109"/>
      <c r="CE296" s="109"/>
      <c r="CF296" s="109"/>
      <c r="CG296" s="109"/>
      <c r="CH296" s="109"/>
      <c r="CI296" s="109"/>
      <c r="CK296" s="11"/>
      <c r="CL296" s="241">
        <f>IF(MAX($V296:$CI296)&gt;0, 1, 0)</f>
        <v>0</v>
      </c>
      <c r="CM296" s="11"/>
      <c r="CY296" s="7" cm="1">
        <f t="array" ref="CY296">SUMPRODUCT(--NOT(ISNUMBER(V296:CI296)),--NOT(ISBLANK(V296:CI296)))</f>
        <v>0</v>
      </c>
      <c r="CZ296" s="7">
        <f t="shared" si="222"/>
        <v>0</v>
      </c>
      <c r="DA296" s="7">
        <f t="shared" si="222"/>
        <v>0</v>
      </c>
      <c r="DB296" s="7">
        <f t="shared" si="222"/>
        <v>0</v>
      </c>
      <c r="DC296" s="7">
        <f>IF(ROUND(CB296-SUMIFS($AA296:$BV296, $AA$3:$BV$3, CB$3), rounding)=0, 0, 1)</f>
        <v>0</v>
      </c>
      <c r="DD296" s="7">
        <f>IF(ROUND(V296-BX296, rounding)=0, 0, 1)*'BS Forecasts'!$V$10</f>
        <v>0</v>
      </c>
      <c r="DF296" s="11"/>
      <c r="DG296">
        <f t="shared" si="181"/>
        <v>0</v>
      </c>
      <c r="DH296">
        <v>1</v>
      </c>
      <c r="DI296">
        <v>1</v>
      </c>
      <c r="EY296" s="12" t="str">
        <f>IF(C296="", "", CONCATENATE(D284, " ",D296))</f>
        <v/>
      </c>
    </row>
    <row r="297" spans="1:155" x14ac:dyDescent="0.35">
      <c r="C297" s="211"/>
      <c r="D297" t="s">
        <v>1091</v>
      </c>
      <c r="H297" s="9" t="s">
        <v>1074</v>
      </c>
      <c r="I297" s="40" t="s">
        <v>317</v>
      </c>
      <c r="V297" s="12">
        <f>$I$25</f>
        <v>0</v>
      </c>
      <c r="W297" s="10">
        <f>SUM(W294:W296)</f>
        <v>0</v>
      </c>
      <c r="X297" s="10">
        <f>SUM(X294:X296)</f>
        <v>0</v>
      </c>
      <c r="Y297" s="10">
        <f>SUM(Y294:Y296)</f>
        <v>0</v>
      </c>
      <c r="AA297" s="10">
        <f t="shared" ref="AA297:BV297" si="223">SUM(AA294:AA296)</f>
        <v>0</v>
      </c>
      <c r="AB297" s="10">
        <f t="shared" si="223"/>
        <v>0</v>
      </c>
      <c r="AC297" s="10">
        <f t="shared" si="223"/>
        <v>0</v>
      </c>
      <c r="AD297" s="10">
        <f t="shared" si="223"/>
        <v>0</v>
      </c>
      <c r="AE297" s="10">
        <f t="shared" si="223"/>
        <v>0</v>
      </c>
      <c r="AF297" s="10">
        <f t="shared" si="223"/>
        <v>0</v>
      </c>
      <c r="AG297" s="10">
        <f t="shared" si="223"/>
        <v>0</v>
      </c>
      <c r="AH297" s="10">
        <f t="shared" si="223"/>
        <v>0</v>
      </c>
      <c r="AI297" s="10">
        <f t="shared" si="223"/>
        <v>0</v>
      </c>
      <c r="AJ297" s="10">
        <f t="shared" si="223"/>
        <v>0</v>
      </c>
      <c r="AK297" s="10">
        <f t="shared" si="223"/>
        <v>0</v>
      </c>
      <c r="AL297" s="10">
        <f t="shared" si="223"/>
        <v>0</v>
      </c>
      <c r="AM297" s="10">
        <f t="shared" si="223"/>
        <v>0</v>
      </c>
      <c r="AN297" s="10">
        <f t="shared" si="223"/>
        <v>0</v>
      </c>
      <c r="AO297" s="10">
        <f t="shared" si="223"/>
        <v>0</v>
      </c>
      <c r="AP297" s="10">
        <f t="shared" si="223"/>
        <v>0</v>
      </c>
      <c r="AQ297" s="10">
        <f t="shared" si="223"/>
        <v>0</v>
      </c>
      <c r="AR297" s="10">
        <f t="shared" si="223"/>
        <v>0</v>
      </c>
      <c r="AS297" s="10">
        <f t="shared" si="223"/>
        <v>0</v>
      </c>
      <c r="AT297" s="10">
        <f t="shared" si="223"/>
        <v>0</v>
      </c>
      <c r="AU297" s="10">
        <f t="shared" si="223"/>
        <v>0</v>
      </c>
      <c r="AV297" s="10">
        <f t="shared" si="223"/>
        <v>0</v>
      </c>
      <c r="AW297" s="10">
        <f t="shared" si="223"/>
        <v>0</v>
      </c>
      <c r="AX297" s="10">
        <f t="shared" si="223"/>
        <v>0</v>
      </c>
      <c r="AY297" s="10">
        <f t="shared" si="223"/>
        <v>0</v>
      </c>
      <c r="AZ297" s="10">
        <f t="shared" si="223"/>
        <v>0</v>
      </c>
      <c r="BA297" s="10">
        <f t="shared" si="223"/>
        <v>0</v>
      </c>
      <c r="BB297" s="10">
        <f t="shared" si="223"/>
        <v>0</v>
      </c>
      <c r="BC297" s="10">
        <f t="shared" si="223"/>
        <v>0</v>
      </c>
      <c r="BD297" s="10">
        <f t="shared" si="223"/>
        <v>0</v>
      </c>
      <c r="BE297" s="10">
        <f t="shared" si="223"/>
        <v>0</v>
      </c>
      <c r="BF297" s="10">
        <f t="shared" si="223"/>
        <v>0</v>
      </c>
      <c r="BG297" s="10">
        <f t="shared" si="223"/>
        <v>0</v>
      </c>
      <c r="BH297" s="10">
        <f t="shared" si="223"/>
        <v>0</v>
      </c>
      <c r="BI297" s="10">
        <f t="shared" si="223"/>
        <v>0</v>
      </c>
      <c r="BJ297" s="10">
        <f t="shared" si="223"/>
        <v>0</v>
      </c>
      <c r="BK297" s="10">
        <f t="shared" si="223"/>
        <v>0</v>
      </c>
      <c r="BL297" s="10">
        <f t="shared" si="223"/>
        <v>0</v>
      </c>
      <c r="BM297" s="10">
        <f t="shared" si="223"/>
        <v>0</v>
      </c>
      <c r="BN297" s="10">
        <f t="shared" si="223"/>
        <v>0</v>
      </c>
      <c r="BO297" s="10">
        <f t="shared" si="223"/>
        <v>0</v>
      </c>
      <c r="BP297" s="10">
        <f t="shared" si="223"/>
        <v>0</v>
      </c>
      <c r="BQ297" s="10">
        <f t="shared" si="223"/>
        <v>0</v>
      </c>
      <c r="BR297" s="10">
        <f t="shared" si="223"/>
        <v>0</v>
      </c>
      <c r="BS297" s="10">
        <f t="shared" si="223"/>
        <v>0</v>
      </c>
      <c r="BT297" s="10">
        <f t="shared" si="223"/>
        <v>0</v>
      </c>
      <c r="BU297" s="10">
        <f t="shared" si="223"/>
        <v>0</v>
      </c>
      <c r="BV297" s="10">
        <f t="shared" si="223"/>
        <v>0</v>
      </c>
      <c r="BX297" s="12">
        <f t="shared" si="219"/>
        <v>0</v>
      </c>
      <c r="BY297" s="12">
        <f t="shared" si="219"/>
        <v>0</v>
      </c>
      <c r="BZ297" s="12">
        <f t="shared" si="219"/>
        <v>0</v>
      </c>
      <c r="CA297" s="12">
        <f t="shared" si="219"/>
        <v>0</v>
      </c>
      <c r="CB297" s="10">
        <f t="shared" ref="CB297:CI297" si="224">SUM(CB294:CB296)</f>
        <v>0</v>
      </c>
      <c r="CC297" s="10">
        <f t="shared" si="224"/>
        <v>0</v>
      </c>
      <c r="CD297" s="10">
        <f t="shared" si="224"/>
        <v>0</v>
      </c>
      <c r="CE297" s="10">
        <f t="shared" si="224"/>
        <v>0</v>
      </c>
      <c r="CF297" s="10">
        <f t="shared" si="224"/>
        <v>0</v>
      </c>
      <c r="CG297" s="10">
        <f t="shared" si="224"/>
        <v>0</v>
      </c>
      <c r="CH297" s="10">
        <f t="shared" si="224"/>
        <v>0</v>
      </c>
      <c r="CI297" s="10">
        <f t="shared" si="224"/>
        <v>0</v>
      </c>
      <c r="CK297" s="11"/>
      <c r="CM297" s="11"/>
      <c r="DF297" s="11"/>
      <c r="DG297">
        <f t="shared" si="181"/>
        <v>0</v>
      </c>
      <c r="DH297">
        <v>0</v>
      </c>
      <c r="DI297">
        <v>0</v>
      </c>
      <c r="EY297" s="12" t="str">
        <f>IF(C297="", "", CONCATENATE(D284, " ",D297))</f>
        <v/>
      </c>
    </row>
    <row r="298" spans="1:155" ht="6.75" customHeight="1" x14ac:dyDescent="0.35">
      <c r="C298" s="211"/>
      <c r="D298" s="1"/>
      <c r="E298"/>
      <c r="F298"/>
      <c r="BY298" s="6"/>
      <c r="CK298" s="35"/>
      <c r="CM298" s="35"/>
      <c r="DF298" s="35"/>
      <c r="DG298">
        <f t="shared" si="181"/>
        <v>0</v>
      </c>
      <c r="DH298">
        <v>0</v>
      </c>
      <c r="DI298">
        <v>0</v>
      </c>
      <c r="EY298" s="12" t="str">
        <f>IF(C298="", "", CONCATENATE(D284, " ",D298))</f>
        <v/>
      </c>
    </row>
    <row r="299" spans="1:155" s="5" customFormat="1" x14ac:dyDescent="0.35">
      <c r="A299" s="220" cm="1">
        <f t="array" aca="1" ref="A299" ca="1">HYPERLINK(CONCATENATE("#",CELL("address",IF(MAX($CM299:$DF299)=0,A299,INDEX($CM299:$DF299,MATCH(1,$CM299:$DF299,0))))),MAX($CM299:$DF299))</f>
        <v>0</v>
      </c>
      <c r="B299"/>
      <c r="C299" s="211" t="s">
        <v>1178</v>
      </c>
      <c r="D299" t="s">
        <v>1093</v>
      </c>
      <c r="E299" s="1"/>
      <c r="F299" s="1"/>
      <c r="G299"/>
      <c r="H299" s="9" t="s">
        <v>1074</v>
      </c>
      <c r="I299" s="40" t="s">
        <v>665</v>
      </c>
      <c r="J299"/>
      <c r="K299"/>
      <c r="L299"/>
      <c r="M299"/>
      <c r="N299"/>
      <c r="O299"/>
      <c r="P299"/>
      <c r="Q299"/>
      <c r="R299"/>
      <c r="S299"/>
      <c r="T299"/>
      <c r="U299"/>
      <c r="V299" s="109"/>
      <c r="W299" s="133">
        <f xml:space="preserve"> SUMIFS($AA299:$BV299, $AA$3:$BV$3, W$3)</f>
        <v>0</v>
      </c>
      <c r="X299" s="133">
        <f xml:space="preserve"> SUMIFS($AA299:$BV299, $AA$3:$BV$3, X$3)</f>
        <v>0</v>
      </c>
      <c r="Y299" s="133">
        <f xml:space="preserve"> SUMIFS($AA299:$BV299, $AA$3:$BV$3, Y$3)</f>
        <v>0</v>
      </c>
      <c r="Z299"/>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c r="BX299" s="12">
        <f>V299</f>
        <v>0</v>
      </c>
      <c r="BY299" s="12">
        <f>W299</f>
        <v>0</v>
      </c>
      <c r="BZ299" s="12">
        <f>X299</f>
        <v>0</v>
      </c>
      <c r="CA299" s="12">
        <f>Y299</f>
        <v>0</v>
      </c>
      <c r="CB299" s="133">
        <f xml:space="preserve"> SUMIFS($AA299:$BV299, $AA$3:$BV$3, CB$3)</f>
        <v>0</v>
      </c>
      <c r="CC299" s="109"/>
      <c r="CD299" s="109"/>
      <c r="CE299" s="109"/>
      <c r="CF299" s="109"/>
      <c r="CG299" s="109"/>
      <c r="CH299" s="109"/>
      <c r="CI299" s="109"/>
      <c r="CJ299"/>
      <c r="CK299" s="11"/>
      <c r="CL299" s="241">
        <f>IF(MIN($V299:$CI299)&lt;0, 1, 0)</f>
        <v>0</v>
      </c>
      <c r="CM299" s="11"/>
      <c r="CN299"/>
      <c r="CO299"/>
      <c r="CP299"/>
      <c r="CQ299"/>
      <c r="CR299"/>
      <c r="CS299"/>
      <c r="CT299"/>
      <c r="CU299"/>
      <c r="CV299"/>
      <c r="CW299"/>
      <c r="CX299"/>
      <c r="CY299" s="7" cm="1">
        <f t="array" ref="CY299">SUMPRODUCT(--NOT(ISNUMBER(V299:CI299)),--NOT(ISBLANK(V299:CI299)))</f>
        <v>0</v>
      </c>
      <c r="CZ299" s="7">
        <f>IF(ROUND(W299-SUMIFS($AA299:$BV299, $AA$3:$BV$3, W$3), rounding)=0, 0, 1)</f>
        <v>0</v>
      </c>
      <c r="DA299" s="7">
        <f>IF(ROUND(X299-SUMIFS($AA299:$BV299, $AA$3:$BV$3, X$3), rounding)=0, 0, 1)</f>
        <v>0</v>
      </c>
      <c r="DB299" s="7">
        <f>IF(ROUND(Y299-SUMIFS($AA299:$BV299, $AA$3:$BV$3, Y$3), rounding)=0, 0, 1)</f>
        <v>0</v>
      </c>
      <c r="DC299" s="7">
        <f>IF(ROUND(CB299-SUMIFS($AA299:$BV299, $AA$3:$BV$3, CB$3), rounding)=0, 0, 1)</f>
        <v>0</v>
      </c>
      <c r="DD299" s="7">
        <f>IF(ROUND(V299-BX299, rounding)=0, 0, 1)*'BS Forecasts'!$V$10</f>
        <v>0</v>
      </c>
      <c r="DE299"/>
      <c r="DF299" s="11"/>
      <c r="DG299">
        <f t="shared" si="181"/>
        <v>0</v>
      </c>
      <c r="DH299">
        <v>1</v>
      </c>
      <c r="DI299">
        <v>1</v>
      </c>
      <c r="EY299" s="12" t="str">
        <f>IF(C299="", "", CONCATENATE(D284, " ",D299))</f>
        <v>Loan 13 Early Repayment Fee</v>
      </c>
    </row>
    <row r="300" spans="1:155" ht="6.75" customHeight="1" x14ac:dyDescent="0.35">
      <c r="C300" s="211"/>
      <c r="D300" s="1"/>
      <c r="E300"/>
      <c r="F300"/>
      <c r="BY300" s="6"/>
      <c r="CK300" s="35"/>
      <c r="CM300" s="35"/>
      <c r="DF300" s="35"/>
      <c r="DG300">
        <f t="shared" si="181"/>
        <v>0</v>
      </c>
      <c r="DH300">
        <v>0</v>
      </c>
      <c r="DI300">
        <v>0</v>
      </c>
      <c r="EY300" s="12" t="str">
        <f>IF(C300="", "", CONCATENATE(D284, " ",D300))</f>
        <v/>
      </c>
    </row>
    <row r="301" spans="1:155" x14ac:dyDescent="0.35">
      <c r="A301" s="220" cm="1">
        <f t="array" aca="1" ref="A301" ca="1">HYPERLINK(CONCATENATE("#",CELL("address",IF(MAX($CM301:$DF301)=0,A301,INDEX($CM301:$DF301,MATCH(1,$CM301:$DF301,0))))),MAX($CM301:$DF301))</f>
        <v>0</v>
      </c>
      <c r="B301" s="85" t="s">
        <v>122</v>
      </c>
      <c r="D301" t="s">
        <v>1094</v>
      </c>
      <c r="E301" s="140" t="str">
        <f>IF(J$25="", "", J$25)</f>
        <v/>
      </c>
      <c r="F301" s="140"/>
      <c r="G301" s="140" t="str">
        <f>IF(K$25="", "", K$25)</f>
        <v/>
      </c>
      <c r="V301" s="7">
        <f>IF(AND(OR( V$5&gt;$G301, Timeline!V$8&lt;Loans!$E301), Loans!V299&lt;&gt;0), 1, 0)</f>
        <v>0</v>
      </c>
      <c r="W301" s="7">
        <f>IF(AND(OR( W$5&gt;$G301, Timeline!W$8&lt;Loans!$E301), Loans!W299&lt;&gt;0), 1, 0)</f>
        <v>0</v>
      </c>
      <c r="X301" s="7">
        <f>IF(AND(OR( X$5&gt;$G301, Timeline!X$8&lt;Loans!$E301), Loans!X299&lt;&gt;0), 1, 0)</f>
        <v>0</v>
      </c>
      <c r="Y301" s="7">
        <f>IF(AND(OR( Y$5&gt;$G301, Timeline!Y$8&lt;Loans!$E301), Loans!Y299&lt;&gt;0), 1, 0)</f>
        <v>0</v>
      </c>
      <c r="AA301" s="7">
        <f>IF(AND(OR( AA$5&gt;$G301, Timeline!AA$8&lt;Loans!$E301), Loans!AA299&lt;&gt;0), 1, 0)</f>
        <v>0</v>
      </c>
      <c r="AB301" s="7">
        <f>IF(AND(OR( AB$5&gt;$G301, Timeline!AB$8&lt;Loans!$E301), Loans!AB299&lt;&gt;0), 1, 0)</f>
        <v>0</v>
      </c>
      <c r="AC301" s="7">
        <f>IF(AND(OR( AC$5&gt;$G301, Timeline!AC$8&lt;Loans!$E301), Loans!AC299&lt;&gt;0), 1, 0)</f>
        <v>0</v>
      </c>
      <c r="AD301" s="7">
        <f>IF(AND(OR( AD$5&gt;$G301, Timeline!AD$8&lt;Loans!$E301), Loans!AD299&lt;&gt;0), 1, 0)</f>
        <v>0</v>
      </c>
      <c r="AE301" s="7">
        <f>IF(AND(OR( AE$5&gt;$G301, Timeline!AE$8&lt;Loans!$E301), Loans!AE299&lt;&gt;0), 1, 0)</f>
        <v>0</v>
      </c>
      <c r="AF301" s="7">
        <f>IF(AND(OR( AF$5&gt;$G301, Timeline!AF$8&lt;Loans!$E301), Loans!AF299&lt;&gt;0), 1, 0)</f>
        <v>0</v>
      </c>
      <c r="AG301" s="7">
        <f>IF(AND(OR( AG$5&gt;$G301, Timeline!AG$8&lt;Loans!$E301), Loans!AG299&lt;&gt;0), 1, 0)</f>
        <v>0</v>
      </c>
      <c r="AH301" s="7">
        <f>IF(AND(OR( AH$5&gt;$G301, Timeline!AH$8&lt;Loans!$E301), Loans!AH299&lt;&gt;0), 1, 0)</f>
        <v>0</v>
      </c>
      <c r="AI301" s="7">
        <f>IF(AND(OR( AI$5&gt;$G301, Timeline!AI$8&lt;Loans!$E301), Loans!AI299&lt;&gt;0), 1, 0)</f>
        <v>0</v>
      </c>
      <c r="AJ301" s="7">
        <f>IF(AND(OR( AJ$5&gt;$G301, Timeline!AJ$8&lt;Loans!$E301), Loans!AJ299&lt;&gt;0), 1, 0)</f>
        <v>0</v>
      </c>
      <c r="AK301" s="7">
        <f>IF(AND(OR( AK$5&gt;$G301, Timeline!AK$8&lt;Loans!$E301), Loans!AK299&lt;&gt;0), 1, 0)</f>
        <v>0</v>
      </c>
      <c r="AL301" s="7">
        <f>IF(AND(OR( AL$5&gt;$G301, Timeline!AL$8&lt;Loans!$E301), Loans!AL299&lt;&gt;0), 1, 0)</f>
        <v>0</v>
      </c>
      <c r="AM301" s="7">
        <f>IF(AND(OR( AM$5&gt;$G301, Timeline!AM$8&lt;Loans!$E301), Loans!AM299&lt;&gt;0), 1, 0)</f>
        <v>0</v>
      </c>
      <c r="AN301" s="7">
        <f>IF(AND(OR( AN$5&gt;$G301, Timeline!AN$8&lt;Loans!$E301), Loans!AN299&lt;&gt;0), 1, 0)</f>
        <v>0</v>
      </c>
      <c r="AO301" s="7">
        <f>IF(AND(OR( AO$5&gt;$G301, Timeline!AO$8&lt;Loans!$E301), Loans!AO299&lt;&gt;0), 1, 0)</f>
        <v>0</v>
      </c>
      <c r="AP301" s="7">
        <f>IF(AND(OR( AP$5&gt;$G301, Timeline!AP$8&lt;Loans!$E301), Loans!AP299&lt;&gt;0), 1, 0)</f>
        <v>0</v>
      </c>
      <c r="AQ301" s="7">
        <f>IF(AND(OR( AQ$5&gt;$G301, Timeline!AQ$8&lt;Loans!$E301), Loans!AQ299&lt;&gt;0), 1, 0)</f>
        <v>0</v>
      </c>
      <c r="AR301" s="7">
        <f>IF(AND(OR( AR$5&gt;$G301, Timeline!AR$8&lt;Loans!$E301), Loans!AR299&lt;&gt;0), 1, 0)</f>
        <v>0</v>
      </c>
      <c r="AS301" s="7">
        <f>IF(AND(OR( AS$5&gt;$G301, Timeline!AS$8&lt;Loans!$E301), Loans!AS299&lt;&gt;0), 1, 0)</f>
        <v>0</v>
      </c>
      <c r="AT301" s="7">
        <f>IF(AND(OR( AT$5&gt;$G301, Timeline!AT$8&lt;Loans!$E301), Loans!AT299&lt;&gt;0), 1, 0)</f>
        <v>0</v>
      </c>
      <c r="AU301" s="7">
        <f>IF(AND(OR( AU$5&gt;$G301, Timeline!AU$8&lt;Loans!$E301), Loans!AU299&lt;&gt;0), 1, 0)</f>
        <v>0</v>
      </c>
      <c r="AV301" s="7">
        <f>IF(AND(OR( AV$5&gt;$G301, Timeline!AV$8&lt;Loans!$E301), Loans!AV299&lt;&gt;0), 1, 0)</f>
        <v>0</v>
      </c>
      <c r="AW301" s="7">
        <f>IF(AND(OR( AW$5&gt;$G301, Timeline!AW$8&lt;Loans!$E301), Loans!AW299&lt;&gt;0), 1, 0)</f>
        <v>0</v>
      </c>
      <c r="AX301" s="7">
        <f>IF(AND(OR( AX$5&gt;$G301, Timeline!AX$8&lt;Loans!$E301), Loans!AX299&lt;&gt;0), 1, 0)</f>
        <v>0</v>
      </c>
      <c r="AY301" s="7">
        <f>IF(AND(OR( AY$5&gt;$G301, Timeline!AY$8&lt;Loans!$E301), Loans!AY299&lt;&gt;0), 1, 0)</f>
        <v>0</v>
      </c>
      <c r="AZ301" s="7">
        <f>IF(AND(OR( AZ$5&gt;$G301, Timeline!AZ$8&lt;Loans!$E301), Loans!AZ299&lt;&gt;0), 1, 0)</f>
        <v>0</v>
      </c>
      <c r="BA301" s="7">
        <f>IF(AND(OR( BA$5&gt;$G301, Timeline!BA$8&lt;Loans!$E301), Loans!BA299&lt;&gt;0), 1, 0)</f>
        <v>0</v>
      </c>
      <c r="BB301" s="7">
        <f>IF(AND(OR( BB$5&gt;$G301, Timeline!BB$8&lt;Loans!$E301), Loans!BB299&lt;&gt;0), 1, 0)</f>
        <v>0</v>
      </c>
      <c r="BC301" s="7">
        <f>IF(AND(OR( BC$5&gt;$G301, Timeline!BC$8&lt;Loans!$E301), Loans!BC299&lt;&gt;0), 1, 0)</f>
        <v>0</v>
      </c>
      <c r="BD301" s="7">
        <f>IF(AND(OR( BD$5&gt;$G301, Timeline!BD$8&lt;Loans!$E301), Loans!BD299&lt;&gt;0), 1, 0)</f>
        <v>0</v>
      </c>
      <c r="BE301" s="7">
        <f>IF(AND(OR( BE$5&gt;$G301, Timeline!BE$8&lt;Loans!$E301), Loans!BE299&lt;&gt;0), 1, 0)</f>
        <v>0</v>
      </c>
      <c r="BF301" s="7">
        <f>IF(AND(OR( BF$5&gt;$G301, Timeline!BF$8&lt;Loans!$E301), Loans!BF299&lt;&gt;0), 1, 0)</f>
        <v>0</v>
      </c>
      <c r="BG301" s="7">
        <f>IF(AND(OR( BG$5&gt;$G301, Timeline!BG$8&lt;Loans!$E301), Loans!BG299&lt;&gt;0), 1, 0)</f>
        <v>0</v>
      </c>
      <c r="BH301" s="7">
        <f>IF(AND(OR( BH$5&gt;$G301, Timeline!BH$8&lt;Loans!$E301), Loans!BH299&lt;&gt;0), 1, 0)</f>
        <v>0</v>
      </c>
      <c r="BI301" s="7">
        <f>IF(AND(OR( BI$5&gt;$G301, Timeline!BI$8&lt;Loans!$E301), Loans!BI299&lt;&gt;0), 1, 0)</f>
        <v>0</v>
      </c>
      <c r="BJ301" s="7">
        <f>IF(AND(OR( BJ$5&gt;$G301, Timeline!BJ$8&lt;Loans!$E301), Loans!BJ299&lt;&gt;0), 1, 0)</f>
        <v>0</v>
      </c>
      <c r="BK301" s="7">
        <f>IF(AND(OR( BK$5&gt;$G301, Timeline!BK$8&lt;Loans!$E301), Loans!BK299&lt;&gt;0), 1, 0)</f>
        <v>0</v>
      </c>
      <c r="BL301" s="7">
        <f>IF(AND(OR( BL$5&gt;$G301, Timeline!BL$8&lt;Loans!$E301), Loans!BL299&lt;&gt;0), 1, 0)</f>
        <v>0</v>
      </c>
      <c r="BM301" s="7">
        <f>IF(AND(OR( BM$5&gt;$G301, Timeline!BM$8&lt;Loans!$E301), Loans!BM299&lt;&gt;0), 1, 0)</f>
        <v>0</v>
      </c>
      <c r="BN301" s="7">
        <f>IF(AND(OR( BN$5&gt;$G301, Timeline!BN$8&lt;Loans!$E301), Loans!BN299&lt;&gt;0), 1, 0)</f>
        <v>0</v>
      </c>
      <c r="BO301" s="7">
        <f>IF(AND(OR( BO$5&gt;$G301, Timeline!BO$8&lt;Loans!$E301), Loans!BO299&lt;&gt;0), 1, 0)</f>
        <v>0</v>
      </c>
      <c r="BP301" s="7">
        <f>IF(AND(OR( BP$5&gt;$G301, Timeline!BP$8&lt;Loans!$E301), Loans!BP299&lt;&gt;0), 1, 0)</f>
        <v>0</v>
      </c>
      <c r="BQ301" s="7">
        <f>IF(AND(OR( BQ$5&gt;$G301, Timeline!BQ$8&lt;Loans!$E301), Loans!BQ299&lt;&gt;0), 1, 0)</f>
        <v>0</v>
      </c>
      <c r="BR301" s="7">
        <f>IF(AND(OR( BR$5&gt;$G301, Timeline!BR$8&lt;Loans!$E301), Loans!BR299&lt;&gt;0), 1, 0)</f>
        <v>0</v>
      </c>
      <c r="BS301" s="7">
        <f>IF(AND(OR( BS$5&gt;$G301, Timeline!BS$8&lt;Loans!$E301), Loans!BS299&lt;&gt;0), 1, 0)</f>
        <v>0</v>
      </c>
      <c r="BT301" s="7">
        <f>IF(AND(OR( BT$5&gt;$G301, Timeline!BT$8&lt;Loans!$E301), Loans!BT299&lt;&gt;0), 1, 0)</f>
        <v>0</v>
      </c>
      <c r="BU301" s="7">
        <f>IF(AND(OR( BU$5&gt;$G301, Timeline!BU$8&lt;Loans!$E301), Loans!BU299&lt;&gt;0), 1, 0)</f>
        <v>0</v>
      </c>
      <c r="BV301" s="7">
        <f>IF(AND(OR( BV$5&gt;$G301, Timeline!BV$8&lt;Loans!$E301), Loans!BV299&lt;&gt;0), 1, 0)</f>
        <v>0</v>
      </c>
      <c r="BX301" s="7">
        <f>IF(AND(OR( BX$5&gt;$G301, Timeline!BX$8&lt;Loans!$E301), Loans!BX299&lt;&gt;0), 1, 0)</f>
        <v>0</v>
      </c>
      <c r="BY301" s="7">
        <f>IF(AND(OR( BY$5&gt;$G301, Timeline!BY$8&lt;Loans!$E301), Loans!BY299&lt;&gt;0), 1, 0)</f>
        <v>0</v>
      </c>
      <c r="BZ301" s="7">
        <f>IF(AND(OR( BZ$5&gt;$G301, Timeline!BZ$8&lt;Loans!$E301), Loans!BZ299&lt;&gt;0), 1, 0)</f>
        <v>0</v>
      </c>
      <c r="CA301" s="7">
        <f>IF(AND(OR( CA$5&gt;$G301, Timeline!CA$8&lt;Loans!$E301), Loans!CA299&lt;&gt;0), 1, 0)</f>
        <v>0</v>
      </c>
      <c r="CB301" s="7">
        <f>IF(AND(OR( CB$5&gt;$G301, Timeline!CB$8&lt;Loans!$E301), Loans!CB299&lt;&gt;0), 1, 0)</f>
        <v>0</v>
      </c>
      <c r="CC301" s="7">
        <f>IF(AND(OR( CC$5&gt;$G301, Timeline!CC$8&lt;Loans!$E301), Loans!CC299&lt;&gt;0), 1, 0)</f>
        <v>0</v>
      </c>
      <c r="CD301" s="7">
        <f>IF(AND(OR( CD$5&gt;$G301, Timeline!CD$8&lt;Loans!$E301), Loans!CD299&lt;&gt;0), 1, 0)</f>
        <v>0</v>
      </c>
      <c r="CE301" s="7">
        <f>IF(AND(OR( CE$5&gt;$G301, Timeline!CE$8&lt;Loans!$E301), Loans!CE299&lt;&gt;0), 1, 0)</f>
        <v>0</v>
      </c>
      <c r="CF301" s="7">
        <f>IF(AND(OR( CF$5&gt;$G301, Timeline!CF$8&lt;Loans!$E301), Loans!CF299&lt;&gt;0), 1, 0)</f>
        <v>0</v>
      </c>
      <c r="CG301" s="7">
        <f>IF(AND(OR( CG$5&gt;$G301, Timeline!CG$8&lt;Loans!$E301), Loans!CG299&lt;&gt;0), 1, 0)</f>
        <v>0</v>
      </c>
      <c r="CH301" s="7">
        <f>IF(AND(OR( CH$5&gt;$G301, Timeline!CH$8&lt;Loans!$E301), Loans!CH299&lt;&gt;0), 1, 0)</f>
        <v>0</v>
      </c>
      <c r="CI301" s="7">
        <f>IF(AND(OR( CI$5&gt;$G301, Timeline!CI$8&lt;Loans!$E301), Loans!CI299&lt;&gt;0), 1, 0)</f>
        <v>0</v>
      </c>
      <c r="CK301" s="11"/>
      <c r="CM301" s="11"/>
      <c r="CX301" s="7">
        <f>IF(MAX($V301:$CI301)&gt;0, 1, 0)</f>
        <v>0</v>
      </c>
      <c r="DF301" s="11"/>
      <c r="DG301">
        <f t="shared" si="181"/>
        <v>1</v>
      </c>
      <c r="DH301">
        <v>0</v>
      </c>
      <c r="DI301">
        <v>0</v>
      </c>
      <c r="EY301" s="12" t="str">
        <f>IF(C301="", "", CONCATENATE(D284, " ",D301))</f>
        <v/>
      </c>
    </row>
    <row r="302" spans="1:155" ht="6.75" customHeight="1" x14ac:dyDescent="0.35">
      <c r="C302" s="211"/>
      <c r="D302" s="1"/>
      <c r="E302"/>
      <c r="F302"/>
      <c r="BY302" s="6"/>
      <c r="CK302" s="35"/>
      <c r="CM302" s="35"/>
      <c r="DF302" s="35"/>
      <c r="DG302">
        <f t="shared" si="181"/>
        <v>0</v>
      </c>
      <c r="DH302">
        <v>0</v>
      </c>
      <c r="DI302">
        <v>0</v>
      </c>
      <c r="EY302" s="10" t="str">
        <f>IF($C302="","",$D302)</f>
        <v/>
      </c>
    </row>
    <row r="303" spans="1:155" x14ac:dyDescent="0.35">
      <c r="A303" s="53"/>
      <c r="C303" s="211"/>
      <c r="D303" s="53" t="s">
        <v>1179</v>
      </c>
      <c r="E303" s="53"/>
      <c r="F303" s="53"/>
      <c r="G303" s="53"/>
      <c r="H303" s="53"/>
      <c r="I303" s="53"/>
      <c r="J303" s="53"/>
      <c r="M303" s="53"/>
      <c r="N303" s="53"/>
      <c r="O303" s="53"/>
      <c r="P303" s="53"/>
      <c r="Q303" s="53"/>
      <c r="R303" s="53"/>
      <c r="CK303" s="11"/>
      <c r="CM303" s="11"/>
      <c r="DF303" s="11"/>
      <c r="DG303">
        <f t="shared" si="181"/>
        <v>0</v>
      </c>
      <c r="DH303">
        <v>0</v>
      </c>
      <c r="DI303">
        <v>0</v>
      </c>
      <c r="EY303" s="10" t="str">
        <f>IF($C303="","",$D303)</f>
        <v/>
      </c>
    </row>
    <row r="304" spans="1:155" x14ac:dyDescent="0.35">
      <c r="C304" s="211" t="s">
        <v>1180</v>
      </c>
      <c r="D304" t="s">
        <v>1073</v>
      </c>
      <c r="H304" s="9" t="s">
        <v>1074</v>
      </c>
      <c r="I304" s="40" t="s">
        <v>317</v>
      </c>
      <c r="V304" s="109"/>
      <c r="W304" s="133">
        <f>V308</f>
        <v>0</v>
      </c>
      <c r="X304" s="133">
        <f>W308</f>
        <v>0</v>
      </c>
      <c r="Y304" s="10">
        <f>X308</f>
        <v>0</v>
      </c>
      <c r="AA304" s="12">
        <f>W304</f>
        <v>0</v>
      </c>
      <c r="AB304" s="10">
        <f t="shared" ref="AB304:BV304" si="225">AA308</f>
        <v>0</v>
      </c>
      <c r="AC304" s="10">
        <f t="shared" si="225"/>
        <v>0</v>
      </c>
      <c r="AD304" s="10">
        <f t="shared" si="225"/>
        <v>0</v>
      </c>
      <c r="AE304" s="10">
        <f t="shared" si="225"/>
        <v>0</v>
      </c>
      <c r="AF304" s="10">
        <f t="shared" si="225"/>
        <v>0</v>
      </c>
      <c r="AG304" s="10">
        <f t="shared" si="225"/>
        <v>0</v>
      </c>
      <c r="AH304" s="10">
        <f t="shared" si="225"/>
        <v>0</v>
      </c>
      <c r="AI304" s="10">
        <f t="shared" si="225"/>
        <v>0</v>
      </c>
      <c r="AJ304" s="10">
        <f t="shared" si="225"/>
        <v>0</v>
      </c>
      <c r="AK304" s="10">
        <f t="shared" si="225"/>
        <v>0</v>
      </c>
      <c r="AL304" s="10">
        <f t="shared" si="225"/>
        <v>0</v>
      </c>
      <c r="AM304" s="10">
        <f t="shared" si="225"/>
        <v>0</v>
      </c>
      <c r="AN304" s="10">
        <f t="shared" si="225"/>
        <v>0</v>
      </c>
      <c r="AO304" s="10">
        <f t="shared" si="225"/>
        <v>0</v>
      </c>
      <c r="AP304" s="10">
        <f t="shared" si="225"/>
        <v>0</v>
      </c>
      <c r="AQ304" s="10">
        <f t="shared" si="225"/>
        <v>0</v>
      </c>
      <c r="AR304" s="10">
        <f t="shared" si="225"/>
        <v>0</v>
      </c>
      <c r="AS304" s="10">
        <f t="shared" si="225"/>
        <v>0</v>
      </c>
      <c r="AT304" s="10">
        <f t="shared" si="225"/>
        <v>0</v>
      </c>
      <c r="AU304" s="10">
        <f t="shared" si="225"/>
        <v>0</v>
      </c>
      <c r="AV304" s="10">
        <f t="shared" si="225"/>
        <v>0</v>
      </c>
      <c r="AW304" s="10">
        <f t="shared" si="225"/>
        <v>0</v>
      </c>
      <c r="AX304" s="10">
        <f t="shared" si="225"/>
        <v>0</v>
      </c>
      <c r="AY304" s="10">
        <f t="shared" si="225"/>
        <v>0</v>
      </c>
      <c r="AZ304" s="10">
        <f t="shared" si="225"/>
        <v>0</v>
      </c>
      <c r="BA304" s="10">
        <f t="shared" si="225"/>
        <v>0</v>
      </c>
      <c r="BB304" s="10">
        <f t="shared" si="225"/>
        <v>0</v>
      </c>
      <c r="BC304" s="10">
        <f t="shared" si="225"/>
        <v>0</v>
      </c>
      <c r="BD304" s="10">
        <f t="shared" si="225"/>
        <v>0</v>
      </c>
      <c r="BE304" s="10">
        <f t="shared" si="225"/>
        <v>0</v>
      </c>
      <c r="BF304" s="10">
        <f t="shared" si="225"/>
        <v>0</v>
      </c>
      <c r="BG304" s="10">
        <f t="shared" si="225"/>
        <v>0</v>
      </c>
      <c r="BH304" s="10">
        <f t="shared" si="225"/>
        <v>0</v>
      </c>
      <c r="BI304" s="10">
        <f t="shared" si="225"/>
        <v>0</v>
      </c>
      <c r="BJ304" s="10">
        <f t="shared" si="225"/>
        <v>0</v>
      </c>
      <c r="BK304" s="10">
        <f t="shared" si="225"/>
        <v>0</v>
      </c>
      <c r="BL304" s="10">
        <f t="shared" si="225"/>
        <v>0</v>
      </c>
      <c r="BM304" s="10">
        <f t="shared" si="225"/>
        <v>0</v>
      </c>
      <c r="BN304" s="10">
        <f t="shared" si="225"/>
        <v>0</v>
      </c>
      <c r="BO304" s="10">
        <f t="shared" si="225"/>
        <v>0</v>
      </c>
      <c r="BP304" s="10">
        <f t="shared" si="225"/>
        <v>0</v>
      </c>
      <c r="BQ304" s="10">
        <f t="shared" si="225"/>
        <v>0</v>
      </c>
      <c r="BR304" s="10">
        <f t="shared" si="225"/>
        <v>0</v>
      </c>
      <c r="BS304" s="10">
        <f t="shared" si="225"/>
        <v>0</v>
      </c>
      <c r="BT304" s="10">
        <f t="shared" si="225"/>
        <v>0</v>
      </c>
      <c r="BU304" s="10">
        <f t="shared" si="225"/>
        <v>0</v>
      </c>
      <c r="BV304" s="10">
        <f t="shared" si="225"/>
        <v>0</v>
      </c>
      <c r="BX304" s="12">
        <f t="shared" ref="BX304:CA308" si="226">V304</f>
        <v>0</v>
      </c>
      <c r="BY304" s="12">
        <f t="shared" si="226"/>
        <v>0</v>
      </c>
      <c r="BZ304" s="12">
        <f t="shared" si="226"/>
        <v>0</v>
      </c>
      <c r="CA304" s="12">
        <f t="shared" si="226"/>
        <v>0</v>
      </c>
      <c r="CB304" s="10">
        <f t="shared" ref="CB304:CI304" si="227">CA308</f>
        <v>0</v>
      </c>
      <c r="CC304" s="10">
        <f t="shared" si="227"/>
        <v>0</v>
      </c>
      <c r="CD304" s="10">
        <f t="shared" si="227"/>
        <v>0</v>
      </c>
      <c r="CE304" s="10">
        <f t="shared" si="227"/>
        <v>0</v>
      </c>
      <c r="CF304" s="10">
        <f t="shared" si="227"/>
        <v>0</v>
      </c>
      <c r="CG304" s="10">
        <f t="shared" si="227"/>
        <v>0</v>
      </c>
      <c r="CH304" s="10">
        <f t="shared" si="227"/>
        <v>0</v>
      </c>
      <c r="CI304" s="10">
        <f t="shared" si="227"/>
        <v>0</v>
      </c>
      <c r="CK304" s="11"/>
      <c r="CM304" s="11"/>
      <c r="CY304" s="7" cm="1">
        <f t="array" ref="CY304">SUMPRODUCT(--NOT(ISNUMBER(V304:CI304)),--NOT(ISBLANK(V304:CI304)))</f>
        <v>0</v>
      </c>
      <c r="DF304" s="11"/>
      <c r="DG304">
        <f t="shared" si="181"/>
        <v>0</v>
      </c>
      <c r="DH304">
        <v>1</v>
      </c>
      <c r="DI304">
        <v>0</v>
      </c>
      <c r="EY304" s="12" t="str">
        <f>IF(C304="", "", CONCATENATE(D303, " ",D304))</f>
        <v>Loan 14 Opening Loan Balance</v>
      </c>
    </row>
    <row r="305" spans="1:155" s="5" customFormat="1" x14ac:dyDescent="0.35">
      <c r="A305" s="220" cm="1">
        <f t="array" aca="1" ref="A305" ca="1">HYPERLINK(CONCATENATE("#",CELL("address",IF(MAX($CM305:$DF305)=0,A305,INDEX($CM305:$DF305,MATCH(1,$CM305:$DF305,0))))),MAX($CM305:$DF305))</f>
        <v>0</v>
      </c>
      <c r="B305"/>
      <c r="C305" s="211" t="s">
        <v>1181</v>
      </c>
      <c r="D305" t="s">
        <v>1076</v>
      </c>
      <c r="E305" s="1"/>
      <c r="F305" s="1"/>
      <c r="G305"/>
      <c r="H305" s="9" t="s">
        <v>1074</v>
      </c>
      <c r="I305" s="40" t="s">
        <v>665</v>
      </c>
      <c r="J305"/>
      <c r="K305"/>
      <c r="L305"/>
      <c r="M305"/>
      <c r="N305"/>
      <c r="O305"/>
      <c r="P305"/>
      <c r="Q305"/>
      <c r="R305"/>
      <c r="S305"/>
      <c r="T305"/>
      <c r="U305"/>
      <c r="V305" s="109"/>
      <c r="W305" s="133">
        <f t="shared" ref="W305:Y307" si="228" xml:space="preserve"> SUMIFS($AA305:$BV305, $AA$3:$BV$3, W$3)</f>
        <v>0</v>
      </c>
      <c r="X305" s="133">
        <f t="shared" si="228"/>
        <v>0</v>
      </c>
      <c r="Y305" s="133">
        <f t="shared" si="228"/>
        <v>0</v>
      </c>
      <c r="Z305"/>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c r="BX305" s="12">
        <f t="shared" si="226"/>
        <v>0</v>
      </c>
      <c r="BY305" s="12">
        <f t="shared" si="226"/>
        <v>0</v>
      </c>
      <c r="BZ305" s="12">
        <f t="shared" si="226"/>
        <v>0</v>
      </c>
      <c r="CA305" s="12">
        <f t="shared" si="226"/>
        <v>0</v>
      </c>
      <c r="CB305" s="133">
        <f xml:space="preserve"> SUMIFS($AA305:$BV305, $AA$3:$BV$3, CB$3)</f>
        <v>0</v>
      </c>
      <c r="CC305" s="109"/>
      <c r="CD305" s="109"/>
      <c r="CE305" s="109"/>
      <c r="CF305" s="109"/>
      <c r="CG305" s="109"/>
      <c r="CH305" s="109"/>
      <c r="CI305" s="109"/>
      <c r="CJ305"/>
      <c r="CK305" s="11"/>
      <c r="CL305" s="241">
        <f>IF(MIN($V305:$CI305)&lt;0, 1, 0)</f>
        <v>0</v>
      </c>
      <c r="CM305" s="11"/>
      <c r="CN305"/>
      <c r="CO305"/>
      <c r="CP305"/>
      <c r="CQ305"/>
      <c r="CR305"/>
      <c r="CS305"/>
      <c r="CT305"/>
      <c r="CU305"/>
      <c r="CV305"/>
      <c r="CW305"/>
      <c r="CX305"/>
      <c r="CY305" s="7" cm="1">
        <f t="array" ref="CY305">SUMPRODUCT(--NOT(ISNUMBER(V305:CI305)),--NOT(ISBLANK(V305:CI305)))</f>
        <v>0</v>
      </c>
      <c r="CZ305" s="7">
        <f t="shared" ref="CZ305:DB307" si="229">IF(ROUND(W305-SUMIFS($AA305:$BV305, $AA$3:$BV$3, W$3), rounding)=0, 0, 1)</f>
        <v>0</v>
      </c>
      <c r="DA305" s="7">
        <f t="shared" si="229"/>
        <v>0</v>
      </c>
      <c r="DB305" s="7">
        <f t="shared" si="229"/>
        <v>0</v>
      </c>
      <c r="DC305" s="7">
        <f>IF(ROUND(CB305-SUMIFS($AA305:$BV305, $AA$3:$BV$3, CB$3), rounding)=0, 0, 1)</f>
        <v>0</v>
      </c>
      <c r="DD305" s="7">
        <f>IF(ROUND(V305-BX305, rounding)=0, 0, 1)*'BS Forecasts'!$V$10</f>
        <v>0</v>
      </c>
      <c r="DE305"/>
      <c r="DF305" s="11"/>
      <c r="DG305">
        <f t="shared" si="181"/>
        <v>0</v>
      </c>
      <c r="DH305">
        <v>1</v>
      </c>
      <c r="DI305">
        <v>1</v>
      </c>
      <c r="EY305" s="12" t="str">
        <f>IF(C305="", "", CONCATENATE(D303, " ",D305))</f>
        <v>Loan 14 Drawdowns</v>
      </c>
    </row>
    <row r="306" spans="1:155" x14ac:dyDescent="0.35">
      <c r="A306" s="220" cm="1">
        <f t="array" aca="1" ref="A306" ca="1">HYPERLINK(CONCATENATE("#",CELL("address",IF(MAX($CM306:$DF306)=0,A306,INDEX($CM306:$DF306,MATCH(1,$CM306:$DF306,0))))),MAX($CM306:$DF306))</f>
        <v>0</v>
      </c>
      <c r="C306" s="211" t="s">
        <v>1182</v>
      </c>
      <c r="D306" t="s">
        <v>1078</v>
      </c>
      <c r="H306" s="9" t="s">
        <v>1074</v>
      </c>
      <c r="I306" s="40" t="s">
        <v>1079</v>
      </c>
      <c r="V306" s="109"/>
      <c r="W306" s="133">
        <f t="shared" si="228"/>
        <v>0</v>
      </c>
      <c r="X306" s="133">
        <f t="shared" si="228"/>
        <v>0</v>
      </c>
      <c r="Y306" s="133">
        <f t="shared" si="228"/>
        <v>0</v>
      </c>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X306" s="12">
        <f t="shared" si="226"/>
        <v>0</v>
      </c>
      <c r="BY306" s="12">
        <f t="shared" si="226"/>
        <v>0</v>
      </c>
      <c r="BZ306" s="12">
        <f t="shared" si="226"/>
        <v>0</v>
      </c>
      <c r="CA306" s="12">
        <f t="shared" si="226"/>
        <v>0</v>
      </c>
      <c r="CB306" s="133">
        <f xml:space="preserve"> SUMIFS($AA306:$BV306, $AA$3:$BV$3, CB$3)</f>
        <v>0</v>
      </c>
      <c r="CC306" s="109"/>
      <c r="CD306" s="109"/>
      <c r="CE306" s="109"/>
      <c r="CF306" s="109"/>
      <c r="CG306" s="109"/>
      <c r="CH306" s="109"/>
      <c r="CI306" s="109"/>
      <c r="CK306" s="11"/>
      <c r="CL306" s="241">
        <f>IF(MAX($V306:$CI306)&gt;0, 1, 0)</f>
        <v>0</v>
      </c>
      <c r="CM306" s="11"/>
      <c r="CY306" s="7" cm="1">
        <f t="array" ref="CY306">SUMPRODUCT(--NOT(ISNUMBER(V306:CI306)),--NOT(ISBLANK(V306:CI306)))</f>
        <v>0</v>
      </c>
      <c r="CZ306" s="7">
        <f t="shared" si="229"/>
        <v>0</v>
      </c>
      <c r="DA306" s="7">
        <f t="shared" si="229"/>
        <v>0</v>
      </c>
      <c r="DB306" s="7">
        <f t="shared" si="229"/>
        <v>0</v>
      </c>
      <c r="DC306" s="7">
        <f>IF(ROUND(CB306-SUMIFS($AA306:$BV306, $AA$3:$BV$3, CB$3), rounding)=0, 0, 1)</f>
        <v>0</v>
      </c>
      <c r="DD306" s="7">
        <f>IF(ROUND(V306-BX306, rounding)=0, 0, 1)*'BS Forecasts'!$V$10</f>
        <v>0</v>
      </c>
      <c r="DF306" s="11"/>
      <c r="DG306">
        <f t="shared" si="181"/>
        <v>0</v>
      </c>
      <c r="DH306">
        <v>1</v>
      </c>
      <c r="DI306">
        <v>1</v>
      </c>
      <c r="EY306" s="12" t="str">
        <f>IF(C306="", "", CONCATENATE(D303, " ",D306))</f>
        <v>Loan 14 Loan Capital Repayment (as per loan agreement)</v>
      </c>
    </row>
    <row r="307" spans="1:155" x14ac:dyDescent="0.35">
      <c r="A307" s="220" cm="1">
        <f t="array" aca="1" ref="A307" ca="1">HYPERLINK(CONCATENATE("#",CELL("address",IF(MAX($CM307:$DF307)=0,A307,INDEX($CM307:$DF307,MATCH(1,$CM307:$DF307,0))))),MAX($CM307:$DF307))</f>
        <v>0</v>
      </c>
      <c r="C307" s="211" t="s">
        <v>1183</v>
      </c>
      <c r="D307" t="s">
        <v>1081</v>
      </c>
      <c r="H307" s="9" t="s">
        <v>1074</v>
      </c>
      <c r="I307" s="40" t="s">
        <v>1079</v>
      </c>
      <c r="V307" s="109"/>
      <c r="W307" s="133">
        <f t="shared" si="228"/>
        <v>0</v>
      </c>
      <c r="X307" s="133">
        <f t="shared" si="228"/>
        <v>0</v>
      </c>
      <c r="Y307" s="133">
        <f t="shared" si="228"/>
        <v>0</v>
      </c>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X307" s="12">
        <f t="shared" si="226"/>
        <v>0</v>
      </c>
      <c r="BY307" s="12">
        <f t="shared" si="226"/>
        <v>0</v>
      </c>
      <c r="BZ307" s="12">
        <f t="shared" si="226"/>
        <v>0</v>
      </c>
      <c r="CA307" s="12">
        <f t="shared" si="226"/>
        <v>0</v>
      </c>
      <c r="CB307" s="133">
        <f xml:space="preserve"> SUMIFS($AA307:$BV307, $AA$3:$BV$3, CB$3)</f>
        <v>0</v>
      </c>
      <c r="CC307" s="109"/>
      <c r="CD307" s="109"/>
      <c r="CE307" s="109"/>
      <c r="CF307" s="109"/>
      <c r="CG307" s="109"/>
      <c r="CH307" s="109"/>
      <c r="CI307" s="109"/>
      <c r="CK307" s="11"/>
      <c r="CL307" s="241">
        <f>IF(MAX($V307:$CI307)&gt;0, 1, 0)</f>
        <v>0</v>
      </c>
      <c r="CM307" s="11"/>
      <c r="CY307" s="7" cm="1">
        <f t="array" ref="CY307">SUMPRODUCT(--NOT(ISNUMBER(V307:CI307)),--NOT(ISBLANK(V307:CI307)))</f>
        <v>0</v>
      </c>
      <c r="CZ307" s="7">
        <f t="shared" si="229"/>
        <v>0</v>
      </c>
      <c r="DA307" s="7">
        <f t="shared" si="229"/>
        <v>0</v>
      </c>
      <c r="DB307" s="7">
        <f t="shared" si="229"/>
        <v>0</v>
      </c>
      <c r="DC307" s="7">
        <f>IF(ROUND(CB307-SUMIFS($AA307:$BV307, $AA$3:$BV$3, CB$3), rounding)=0, 0, 1)</f>
        <v>0</v>
      </c>
      <c r="DD307" s="7">
        <f>IF(ROUND(V307-BX307, rounding)=0, 0, 1)*'BS Forecasts'!$V$10</f>
        <v>0</v>
      </c>
      <c r="DF307" s="11"/>
      <c r="DG307">
        <f t="shared" si="181"/>
        <v>0</v>
      </c>
      <c r="DH307">
        <v>1</v>
      </c>
      <c r="DI307">
        <v>1</v>
      </c>
      <c r="EY307" s="12" t="str">
        <f>IF(C307="", "", CONCATENATE(D303, " ",D307))</f>
        <v xml:space="preserve">Loan 14 Early Repayment </v>
      </c>
    </row>
    <row r="308" spans="1:155" x14ac:dyDescent="0.35">
      <c r="C308" s="211" t="s">
        <v>1184</v>
      </c>
      <c r="D308" t="s">
        <v>1083</v>
      </c>
      <c r="H308" s="9" t="s">
        <v>1074</v>
      </c>
      <c r="I308" s="40" t="s">
        <v>317</v>
      </c>
      <c r="V308" s="12">
        <f>$H$26</f>
        <v>0</v>
      </c>
      <c r="W308" s="10">
        <f>SUM(W304:W307)</f>
        <v>0</v>
      </c>
      <c r="X308" s="10">
        <f>SUM(X304:X307)</f>
        <v>0</v>
      </c>
      <c r="Y308" s="10">
        <f>SUM(Y304:Y307)</f>
        <v>0</v>
      </c>
      <c r="AA308" s="10">
        <f t="shared" ref="AA308:BV308" si="230">SUM(AA304:AA307)</f>
        <v>0</v>
      </c>
      <c r="AB308" s="10">
        <f t="shared" si="230"/>
        <v>0</v>
      </c>
      <c r="AC308" s="10">
        <f t="shared" si="230"/>
        <v>0</v>
      </c>
      <c r="AD308" s="10">
        <f t="shared" si="230"/>
        <v>0</v>
      </c>
      <c r="AE308" s="10">
        <f t="shared" si="230"/>
        <v>0</v>
      </c>
      <c r="AF308" s="10">
        <f t="shared" si="230"/>
        <v>0</v>
      </c>
      <c r="AG308" s="10">
        <f t="shared" si="230"/>
        <v>0</v>
      </c>
      <c r="AH308" s="10">
        <f t="shared" si="230"/>
        <v>0</v>
      </c>
      <c r="AI308" s="10">
        <f t="shared" si="230"/>
        <v>0</v>
      </c>
      <c r="AJ308" s="10">
        <f t="shared" si="230"/>
        <v>0</v>
      </c>
      <c r="AK308" s="10">
        <f t="shared" si="230"/>
        <v>0</v>
      </c>
      <c r="AL308" s="10">
        <f t="shared" si="230"/>
        <v>0</v>
      </c>
      <c r="AM308" s="10">
        <f t="shared" si="230"/>
        <v>0</v>
      </c>
      <c r="AN308" s="10">
        <f t="shared" si="230"/>
        <v>0</v>
      </c>
      <c r="AO308" s="10">
        <f t="shared" si="230"/>
        <v>0</v>
      </c>
      <c r="AP308" s="10">
        <f t="shared" si="230"/>
        <v>0</v>
      </c>
      <c r="AQ308" s="10">
        <f t="shared" si="230"/>
        <v>0</v>
      </c>
      <c r="AR308" s="10">
        <f t="shared" si="230"/>
        <v>0</v>
      </c>
      <c r="AS308" s="10">
        <f t="shared" si="230"/>
        <v>0</v>
      </c>
      <c r="AT308" s="10">
        <f t="shared" si="230"/>
        <v>0</v>
      </c>
      <c r="AU308" s="10">
        <f t="shared" si="230"/>
        <v>0</v>
      </c>
      <c r="AV308" s="10">
        <f t="shared" si="230"/>
        <v>0</v>
      </c>
      <c r="AW308" s="10">
        <f t="shared" si="230"/>
        <v>0</v>
      </c>
      <c r="AX308" s="10">
        <f t="shared" si="230"/>
        <v>0</v>
      </c>
      <c r="AY308" s="10">
        <f t="shared" si="230"/>
        <v>0</v>
      </c>
      <c r="AZ308" s="10">
        <f t="shared" si="230"/>
        <v>0</v>
      </c>
      <c r="BA308" s="10">
        <f t="shared" si="230"/>
        <v>0</v>
      </c>
      <c r="BB308" s="10">
        <f t="shared" si="230"/>
        <v>0</v>
      </c>
      <c r="BC308" s="10">
        <f t="shared" si="230"/>
        <v>0</v>
      </c>
      <c r="BD308" s="10">
        <f t="shared" si="230"/>
        <v>0</v>
      </c>
      <c r="BE308" s="10">
        <f t="shared" si="230"/>
        <v>0</v>
      </c>
      <c r="BF308" s="10">
        <f t="shared" si="230"/>
        <v>0</v>
      </c>
      <c r="BG308" s="10">
        <f t="shared" si="230"/>
        <v>0</v>
      </c>
      <c r="BH308" s="10">
        <f t="shared" si="230"/>
        <v>0</v>
      </c>
      <c r="BI308" s="10">
        <f t="shared" si="230"/>
        <v>0</v>
      </c>
      <c r="BJ308" s="10">
        <f t="shared" si="230"/>
        <v>0</v>
      </c>
      <c r="BK308" s="10">
        <f t="shared" si="230"/>
        <v>0</v>
      </c>
      <c r="BL308" s="10">
        <f t="shared" si="230"/>
        <v>0</v>
      </c>
      <c r="BM308" s="10">
        <f t="shared" si="230"/>
        <v>0</v>
      </c>
      <c r="BN308" s="10">
        <f t="shared" si="230"/>
        <v>0</v>
      </c>
      <c r="BO308" s="10">
        <f t="shared" si="230"/>
        <v>0</v>
      </c>
      <c r="BP308" s="10">
        <f t="shared" si="230"/>
        <v>0</v>
      </c>
      <c r="BQ308" s="10">
        <f t="shared" si="230"/>
        <v>0</v>
      </c>
      <c r="BR308" s="10">
        <f t="shared" si="230"/>
        <v>0</v>
      </c>
      <c r="BS308" s="10">
        <f t="shared" si="230"/>
        <v>0</v>
      </c>
      <c r="BT308" s="10">
        <f t="shared" si="230"/>
        <v>0</v>
      </c>
      <c r="BU308" s="10">
        <f t="shared" si="230"/>
        <v>0</v>
      </c>
      <c r="BV308" s="10">
        <f t="shared" si="230"/>
        <v>0</v>
      </c>
      <c r="BX308" s="12">
        <f t="shared" si="226"/>
        <v>0</v>
      </c>
      <c r="BY308" s="12">
        <f t="shared" si="226"/>
        <v>0</v>
      </c>
      <c r="BZ308" s="12">
        <f t="shared" si="226"/>
        <v>0</v>
      </c>
      <c r="CA308" s="12">
        <f t="shared" si="226"/>
        <v>0</v>
      </c>
      <c r="CB308" s="10">
        <f t="shared" ref="CB308:CI308" si="231">SUM(CB304:CB307)</f>
        <v>0</v>
      </c>
      <c r="CC308" s="10">
        <f t="shared" si="231"/>
        <v>0</v>
      </c>
      <c r="CD308" s="10">
        <f t="shared" si="231"/>
        <v>0</v>
      </c>
      <c r="CE308" s="10">
        <f t="shared" si="231"/>
        <v>0</v>
      </c>
      <c r="CF308" s="10">
        <f t="shared" si="231"/>
        <v>0</v>
      </c>
      <c r="CG308" s="10">
        <f t="shared" si="231"/>
        <v>0</v>
      </c>
      <c r="CH308" s="10">
        <f t="shared" si="231"/>
        <v>0</v>
      </c>
      <c r="CI308" s="10">
        <f t="shared" si="231"/>
        <v>0</v>
      </c>
      <c r="CK308" s="11"/>
      <c r="CM308" s="11"/>
      <c r="DF308" s="11"/>
      <c r="DG308">
        <f t="shared" si="181"/>
        <v>0</v>
      </c>
      <c r="DH308">
        <v>0</v>
      </c>
      <c r="DI308">
        <v>0</v>
      </c>
      <c r="EY308" s="12" t="str">
        <f>IF(C308="", "", CONCATENATE(D303, " ",D308))</f>
        <v>Loan 14 Closing Loan Balance</v>
      </c>
    </row>
    <row r="309" spans="1:155" ht="6.75" customHeight="1" x14ac:dyDescent="0.35">
      <c r="C309" s="211"/>
      <c r="D309" s="1"/>
      <c r="E309"/>
      <c r="F309"/>
      <c r="BY309" s="6"/>
      <c r="CK309" s="35"/>
      <c r="CM309" s="35"/>
      <c r="DF309" s="35"/>
      <c r="DG309">
        <f t="shared" si="181"/>
        <v>0</v>
      </c>
      <c r="DH309">
        <v>0</v>
      </c>
      <c r="DI309">
        <v>0</v>
      </c>
      <c r="EY309" s="12" t="str">
        <f>IF(C309="", "", CONCATENATE(D303, " ",D309))</f>
        <v/>
      </c>
    </row>
    <row r="310" spans="1:155" x14ac:dyDescent="0.35">
      <c r="A310" s="220" cm="1">
        <f t="array" aca="1" ref="A310" ca="1">HYPERLINK(CONCATENATE("#",CELL("address",IF(MAX($CM310:$DF310)=0,A310,INDEX($CM310:$DF310,MATCH(1,$CM310:$DF310,0))))),MAX($CM310:$DF310))</f>
        <v>0</v>
      </c>
      <c r="C310" s="211"/>
      <c r="D310" t="s">
        <v>1084</v>
      </c>
      <c r="E310" s="118" t="s">
        <v>1085</v>
      </c>
      <c r="F310" s="118"/>
      <c r="G310" s="10">
        <f>$G$26</f>
        <v>0</v>
      </c>
      <c r="V310" s="7">
        <f>IF(OR(V308&gt;$G310, V308&lt;0), 1, 0)</f>
        <v>0</v>
      </c>
      <c r="W310" s="7">
        <f>IF(OR(W308&gt;$G310, W308&lt;0), 1, 0)</f>
        <v>0</v>
      </c>
      <c r="X310" s="7">
        <f>IF(OR(X308&gt;$G310, X308&lt;0), 1, 0)</f>
        <v>0</v>
      </c>
      <c r="Y310" s="7">
        <f>IF(OR(Y308&gt;$G310, Y308&lt;0), 1, 0)</f>
        <v>0</v>
      </c>
      <c r="AA310" s="7">
        <f t="shared" ref="AA310:BV310" si="232">IF(OR(AA308&gt;$G310, AA308&lt;0), 1, 0)</f>
        <v>0</v>
      </c>
      <c r="AB310" s="7">
        <f t="shared" si="232"/>
        <v>0</v>
      </c>
      <c r="AC310" s="7">
        <f t="shared" si="232"/>
        <v>0</v>
      </c>
      <c r="AD310" s="7">
        <f t="shared" si="232"/>
        <v>0</v>
      </c>
      <c r="AE310" s="7">
        <f t="shared" si="232"/>
        <v>0</v>
      </c>
      <c r="AF310" s="7">
        <f t="shared" si="232"/>
        <v>0</v>
      </c>
      <c r="AG310" s="7">
        <f t="shared" si="232"/>
        <v>0</v>
      </c>
      <c r="AH310" s="7">
        <f t="shared" si="232"/>
        <v>0</v>
      </c>
      <c r="AI310" s="7">
        <f t="shared" si="232"/>
        <v>0</v>
      </c>
      <c r="AJ310" s="7">
        <f t="shared" si="232"/>
        <v>0</v>
      </c>
      <c r="AK310" s="7">
        <f t="shared" si="232"/>
        <v>0</v>
      </c>
      <c r="AL310" s="7">
        <f t="shared" si="232"/>
        <v>0</v>
      </c>
      <c r="AM310" s="7">
        <f t="shared" si="232"/>
        <v>0</v>
      </c>
      <c r="AN310" s="7">
        <f t="shared" si="232"/>
        <v>0</v>
      </c>
      <c r="AO310" s="7">
        <f t="shared" si="232"/>
        <v>0</v>
      </c>
      <c r="AP310" s="7">
        <f t="shared" si="232"/>
        <v>0</v>
      </c>
      <c r="AQ310" s="7">
        <f t="shared" si="232"/>
        <v>0</v>
      </c>
      <c r="AR310" s="7">
        <f t="shared" si="232"/>
        <v>0</v>
      </c>
      <c r="AS310" s="7">
        <f t="shared" si="232"/>
        <v>0</v>
      </c>
      <c r="AT310" s="7">
        <f t="shared" si="232"/>
        <v>0</v>
      </c>
      <c r="AU310" s="7">
        <f t="shared" si="232"/>
        <v>0</v>
      </c>
      <c r="AV310" s="7">
        <f t="shared" si="232"/>
        <v>0</v>
      </c>
      <c r="AW310" s="7">
        <f t="shared" si="232"/>
        <v>0</v>
      </c>
      <c r="AX310" s="7">
        <f t="shared" si="232"/>
        <v>0</v>
      </c>
      <c r="AY310" s="7">
        <f t="shared" si="232"/>
        <v>0</v>
      </c>
      <c r="AZ310" s="7">
        <f t="shared" si="232"/>
        <v>0</v>
      </c>
      <c r="BA310" s="7">
        <f t="shared" si="232"/>
        <v>0</v>
      </c>
      <c r="BB310" s="7">
        <f t="shared" si="232"/>
        <v>0</v>
      </c>
      <c r="BC310" s="7">
        <f t="shared" si="232"/>
        <v>0</v>
      </c>
      <c r="BD310" s="7">
        <f t="shared" si="232"/>
        <v>0</v>
      </c>
      <c r="BE310" s="7">
        <f t="shared" si="232"/>
        <v>0</v>
      </c>
      <c r="BF310" s="7">
        <f t="shared" si="232"/>
        <v>0</v>
      </c>
      <c r="BG310" s="7">
        <f t="shared" si="232"/>
        <v>0</v>
      </c>
      <c r="BH310" s="7">
        <f t="shared" si="232"/>
        <v>0</v>
      </c>
      <c r="BI310" s="7">
        <f t="shared" si="232"/>
        <v>0</v>
      </c>
      <c r="BJ310" s="7">
        <f t="shared" si="232"/>
        <v>0</v>
      </c>
      <c r="BK310" s="7">
        <f t="shared" si="232"/>
        <v>0</v>
      </c>
      <c r="BL310" s="7">
        <f t="shared" si="232"/>
        <v>0</v>
      </c>
      <c r="BM310" s="7">
        <f t="shared" si="232"/>
        <v>0</v>
      </c>
      <c r="BN310" s="7">
        <f t="shared" si="232"/>
        <v>0</v>
      </c>
      <c r="BO310" s="7">
        <f t="shared" si="232"/>
        <v>0</v>
      </c>
      <c r="BP310" s="7">
        <f t="shared" si="232"/>
        <v>0</v>
      </c>
      <c r="BQ310" s="7">
        <f t="shared" si="232"/>
        <v>0</v>
      </c>
      <c r="BR310" s="7">
        <f t="shared" si="232"/>
        <v>0</v>
      </c>
      <c r="BS310" s="7">
        <f t="shared" si="232"/>
        <v>0</v>
      </c>
      <c r="BT310" s="7">
        <f t="shared" si="232"/>
        <v>0</v>
      </c>
      <c r="BU310" s="7">
        <f t="shared" si="232"/>
        <v>0</v>
      </c>
      <c r="BV310" s="7">
        <f t="shared" si="232"/>
        <v>0</v>
      </c>
      <c r="BX310" s="7">
        <f t="shared" ref="BX310:CI310" si="233">IF(OR(BX308&gt;$G310, BX308&lt;0), 1, 0)</f>
        <v>0</v>
      </c>
      <c r="BY310" s="7">
        <f t="shared" si="233"/>
        <v>0</v>
      </c>
      <c r="BZ310" s="7">
        <f t="shared" si="233"/>
        <v>0</v>
      </c>
      <c r="CA310" s="7">
        <f t="shared" si="233"/>
        <v>0</v>
      </c>
      <c r="CB310" s="7">
        <f t="shared" si="233"/>
        <v>0</v>
      </c>
      <c r="CC310" s="7">
        <f t="shared" si="233"/>
        <v>0</v>
      </c>
      <c r="CD310" s="7">
        <f t="shared" si="233"/>
        <v>0</v>
      </c>
      <c r="CE310" s="7">
        <f t="shared" si="233"/>
        <v>0</v>
      </c>
      <c r="CF310" s="7">
        <f t="shared" si="233"/>
        <v>0</v>
      </c>
      <c r="CG310" s="7">
        <f t="shared" si="233"/>
        <v>0</v>
      </c>
      <c r="CH310" s="7">
        <f t="shared" si="233"/>
        <v>0</v>
      </c>
      <c r="CI310" s="7">
        <f t="shared" si="233"/>
        <v>0</v>
      </c>
      <c r="CK310" s="11"/>
      <c r="CM310" s="11"/>
      <c r="CX310" s="7">
        <f>IF(MAX(V310:CI310)&gt;0, 1, 0)</f>
        <v>0</v>
      </c>
      <c r="DF310" s="11"/>
      <c r="DG310">
        <f t="shared" si="181"/>
        <v>1</v>
      </c>
      <c r="DH310">
        <v>0</v>
      </c>
      <c r="DI310">
        <v>0</v>
      </c>
      <c r="EY310" s="12" t="str">
        <f>IF(C310="", "", CONCATENATE(D303, " ",D310))</f>
        <v/>
      </c>
    </row>
    <row r="311" spans="1:155" x14ac:dyDescent="0.35">
      <c r="A311" s="220" cm="1">
        <f t="array" aca="1" ref="A311" ca="1">HYPERLINK(CONCATENATE("#",CELL("address",IF(MAX($CM311:$DF311)=0,A311,INDEX($CM311:$DF311,MATCH(1,$CM311:$DF311,0))))),MAX($CM311:$DF311))</f>
        <v>0</v>
      </c>
      <c r="C311" s="211"/>
      <c r="D311" t="s">
        <v>1086</v>
      </c>
      <c r="E311" s="118" t="s">
        <v>1087</v>
      </c>
      <c r="F311" s="118"/>
      <c r="G311" s="117" t="str">
        <f>IF($K$26="", "", $K$26)</f>
        <v/>
      </c>
      <c r="V311" s="7">
        <f>IF(AND(V$5&gt;=$G311,SUM(V308:$Y308)&lt;&gt;0),1,0)</f>
        <v>0</v>
      </c>
      <c r="W311" s="7">
        <f>IF(AND(W$5&gt;=$G311,SUM(W308:$Y308)&lt;&gt;0),1,0)</f>
        <v>0</v>
      </c>
      <c r="X311" s="7">
        <f>IF(AND(X$5&gt;=$G311,SUM(X308:$Y308)&lt;&gt;0),1,0)</f>
        <v>0</v>
      </c>
      <c r="Y311" s="7">
        <f>IF(AND(Y$5&gt;=$G311,SUM(Y308:$Y308)&lt;&gt;0),1,0)</f>
        <v>0</v>
      </c>
      <c r="AA311" s="7">
        <f>IF(AND(AA$5&gt;=$G311,SUM(AA308:$BV308)&lt;&gt;0),1,0)</f>
        <v>0</v>
      </c>
      <c r="AB311" s="7">
        <f>IF(AND(AB$5&gt;=$G311,SUM(AB308:$BV308)&lt;&gt;0),1,0)</f>
        <v>0</v>
      </c>
      <c r="AC311" s="7">
        <f>IF(AND(AC$5&gt;=$G311,SUM(AC308:$BV308)&lt;&gt;0),1,0)</f>
        <v>0</v>
      </c>
      <c r="AD311" s="7">
        <f>IF(AND(AD$5&gt;=$G311,SUM(AD308:$BV308)&lt;&gt;0),1,0)</f>
        <v>0</v>
      </c>
      <c r="AE311" s="7">
        <f>IF(AND(AE$5&gt;=$G311,SUM(AE308:$BV308)&lt;&gt;0),1,0)</f>
        <v>0</v>
      </c>
      <c r="AF311" s="7">
        <f>IF(AND(AF$5&gt;=$G311,SUM(AF308:$BV308)&lt;&gt;0),1,0)</f>
        <v>0</v>
      </c>
      <c r="AG311" s="7">
        <f>IF(AND(AG$5&gt;=$G311,SUM(AG308:$BV308)&lt;&gt;0),1,0)</f>
        <v>0</v>
      </c>
      <c r="AH311" s="7">
        <f>IF(AND(AH$5&gt;=$G311,SUM(AH308:$BV308)&lt;&gt;0),1,0)</f>
        <v>0</v>
      </c>
      <c r="AI311" s="7">
        <f>IF(AND(AI$5&gt;=$G311,SUM(AI308:$BV308)&lt;&gt;0),1,0)</f>
        <v>0</v>
      </c>
      <c r="AJ311" s="7">
        <f>IF(AND(AJ$5&gt;=$G311,SUM(AJ308:$BV308)&lt;&gt;0),1,0)</f>
        <v>0</v>
      </c>
      <c r="AK311" s="7">
        <f>IF(AND(AK$5&gt;=$G311,SUM(AK308:$BV308)&lt;&gt;0),1,0)</f>
        <v>0</v>
      </c>
      <c r="AL311" s="7">
        <f>IF(AND(AL$5&gt;=$G311,SUM(AL308:$BV308)&lt;&gt;0),1,0)</f>
        <v>0</v>
      </c>
      <c r="AM311" s="7">
        <f>IF(AND(AM$5&gt;=$G311,SUM(AM308:$BV308)&lt;&gt;0),1,0)</f>
        <v>0</v>
      </c>
      <c r="AN311" s="7">
        <f>IF(AND(AN$5&gt;=$G311,SUM(AN308:$BV308)&lt;&gt;0),1,0)</f>
        <v>0</v>
      </c>
      <c r="AO311" s="7">
        <f>IF(AND(AO$5&gt;=$G311,SUM(AO308:$BV308)&lt;&gt;0),1,0)</f>
        <v>0</v>
      </c>
      <c r="AP311" s="7">
        <f>IF(AND(AP$5&gt;=$G311,SUM(AP308:$BV308)&lt;&gt;0),1,0)</f>
        <v>0</v>
      </c>
      <c r="AQ311" s="7">
        <f>IF(AND(AQ$5&gt;=$G311,SUM(AQ308:$BV308)&lt;&gt;0),1,0)</f>
        <v>0</v>
      </c>
      <c r="AR311" s="7">
        <f>IF(AND(AR$5&gt;=$G311,SUM(AR308:$BV308)&lt;&gt;0),1,0)</f>
        <v>0</v>
      </c>
      <c r="AS311" s="7">
        <f>IF(AND(AS$5&gt;=$G311,SUM(AS308:$BV308)&lt;&gt;0),1,0)</f>
        <v>0</v>
      </c>
      <c r="AT311" s="7">
        <f>IF(AND(AT$5&gt;=$G311,SUM(AT308:$BV308)&lt;&gt;0),1,0)</f>
        <v>0</v>
      </c>
      <c r="AU311" s="7">
        <f>IF(AND(AU$5&gt;=$G311,SUM(AU308:$BV308)&lt;&gt;0),1,0)</f>
        <v>0</v>
      </c>
      <c r="AV311" s="7">
        <f>IF(AND(AV$5&gt;=$G311,SUM(AV308:$BV308)&lt;&gt;0),1,0)</f>
        <v>0</v>
      </c>
      <c r="AW311" s="7">
        <f>IF(AND(AW$5&gt;=$G311,SUM(AW308:$BV308)&lt;&gt;0),1,0)</f>
        <v>0</v>
      </c>
      <c r="AX311" s="7">
        <f>IF(AND(AX$5&gt;=$G311,SUM(AX308:$BV308)&lt;&gt;0),1,0)</f>
        <v>0</v>
      </c>
      <c r="AY311" s="7">
        <f>IF(AND(AY$5&gt;=$G311,SUM(AY308:$BV308)&lt;&gt;0),1,0)</f>
        <v>0</v>
      </c>
      <c r="AZ311" s="7">
        <f>IF(AND(AZ$5&gt;=$G311,SUM(AZ308:$BV308)&lt;&gt;0),1,0)</f>
        <v>0</v>
      </c>
      <c r="BA311" s="7">
        <f>IF(AND(BA$5&gt;=$G311,SUM(BA308:$BV308)&lt;&gt;0),1,0)</f>
        <v>0</v>
      </c>
      <c r="BB311" s="7">
        <f>IF(AND(BB$5&gt;=$G311,SUM(BB308:$BV308)&lt;&gt;0),1,0)</f>
        <v>0</v>
      </c>
      <c r="BC311" s="7">
        <f>IF(AND(BC$5&gt;=$G311,SUM(BC308:$BV308)&lt;&gt;0),1,0)</f>
        <v>0</v>
      </c>
      <c r="BD311" s="7">
        <f>IF(AND(BD$5&gt;=$G311,SUM(BD308:$BV308)&lt;&gt;0),1,0)</f>
        <v>0</v>
      </c>
      <c r="BE311" s="7">
        <f>IF(AND(BE$5&gt;=$G311,SUM(BE308:$BV308)&lt;&gt;0),1,0)</f>
        <v>0</v>
      </c>
      <c r="BF311" s="7">
        <f>IF(AND(BF$5&gt;=$G311,SUM(BF308:$BV308)&lt;&gt;0),1,0)</f>
        <v>0</v>
      </c>
      <c r="BG311" s="7">
        <f>IF(AND(BG$5&gt;=$G311,SUM(BG308:$BV308)&lt;&gt;0),1,0)</f>
        <v>0</v>
      </c>
      <c r="BH311" s="7">
        <f>IF(AND(BH$5&gt;=$G311,SUM(BH308:$BV308)&lt;&gt;0),1,0)</f>
        <v>0</v>
      </c>
      <c r="BI311" s="7">
        <f>IF(AND(BI$5&gt;=$G311,SUM(BI308:$BV308)&lt;&gt;0),1,0)</f>
        <v>0</v>
      </c>
      <c r="BJ311" s="7">
        <f>IF(AND(BJ$5&gt;=$G311,SUM(BJ308:$BV308)&lt;&gt;0),1,0)</f>
        <v>0</v>
      </c>
      <c r="BK311" s="7">
        <f>IF(AND(BK$5&gt;=$G311,SUM(BK308:$BV308)&lt;&gt;0),1,0)</f>
        <v>0</v>
      </c>
      <c r="BL311" s="7">
        <f>IF(AND(BL$5&gt;=$G311,SUM(BL308:$BV308)&lt;&gt;0),1,0)</f>
        <v>0</v>
      </c>
      <c r="BM311" s="7">
        <f>IF(AND(BM$5&gt;=$G311,SUM(BM308:$BV308)&lt;&gt;0),1,0)</f>
        <v>0</v>
      </c>
      <c r="BN311" s="7">
        <f>IF(AND(BN$5&gt;=$G311,SUM(BN308:$BV308)&lt;&gt;0),1,0)</f>
        <v>0</v>
      </c>
      <c r="BO311" s="7">
        <f>IF(AND(BO$5&gt;=$G311,SUM(BO308:$BV308)&lt;&gt;0),1,0)</f>
        <v>0</v>
      </c>
      <c r="BP311" s="7">
        <f>IF(AND(BP$5&gt;=$G311,SUM(BP308:$BV308)&lt;&gt;0),1,0)</f>
        <v>0</v>
      </c>
      <c r="BQ311" s="7">
        <f>IF(AND(BQ$5&gt;=$G311,SUM(BQ308:$BV308)&lt;&gt;0),1,0)</f>
        <v>0</v>
      </c>
      <c r="BR311" s="7">
        <f>IF(AND(BR$5&gt;=$G311,SUM(BR308:$BV308)&lt;&gt;0),1,0)</f>
        <v>0</v>
      </c>
      <c r="BS311" s="7">
        <f>IF(AND(BS$5&gt;=$G311,SUM(BS308:$BV308)&lt;&gt;0),1,0)</f>
        <v>0</v>
      </c>
      <c r="BT311" s="7">
        <f>IF(AND(BT$5&gt;=$G311,SUM(BT308:$BV308)&lt;&gt;0),1,0)</f>
        <v>0</v>
      </c>
      <c r="BU311" s="7">
        <f>IF(AND(BU$5&gt;=$G311,SUM(BU308:$BV308)&lt;&gt;0),1,0)</f>
        <v>0</v>
      </c>
      <c r="BV311" s="7">
        <f>IF(AND(BV$5&gt;=$G311,SUM(BV308:$BV308)&lt;&gt;0),1,0)</f>
        <v>0</v>
      </c>
      <c r="BX311" s="7">
        <f>IF(AND(BX$5&gt;=$G311,SUM(BX308:$CI308)&lt;&gt;0),1,0)*BX$1159</f>
        <v>0</v>
      </c>
      <c r="BY311" s="7">
        <f>IF(AND(BY$5&gt;=$G311,SUM(BY308:$CI308)&lt;&gt;0),1,0)*BY$1159</f>
        <v>0</v>
      </c>
      <c r="BZ311" s="7">
        <f>IF(AND(BZ$5&gt;=$G311,SUM(BZ308:$CI308)&lt;&gt;0),1,0)*BZ$1159</f>
        <v>0</v>
      </c>
      <c r="CA311" s="7">
        <f>IF(AND(CA$5&gt;=$G311,SUM(CA308:$CI308)&lt;&gt;0),1,0)*CA$1159</f>
        <v>0</v>
      </c>
      <c r="CB311" s="7">
        <f>IF(AND(CB$5&gt;=$G311,SUM(CB308:$CI308)&lt;&gt;0),1,0)*CB$1159</f>
        <v>0</v>
      </c>
      <c r="CC311" s="7">
        <f>IF(AND(CC$5&gt;=$G311,SUM(CC308:$CI308)&lt;&gt;0),1,0)*CC$1159</f>
        <v>0</v>
      </c>
      <c r="CD311" s="7">
        <f>IF(AND(CD$5&gt;=$G311,SUM(CD308:$CI308)&lt;&gt;0),1,0)*CD$1159</f>
        <v>0</v>
      </c>
      <c r="CE311" s="7">
        <f>IF(AND(CE$5&gt;=$G311,SUM(CE308:$CI308)&lt;&gt;0),1,0)*CE$1159</f>
        <v>0</v>
      </c>
      <c r="CF311" s="7">
        <f>IF(AND(CF$5&gt;=$G311,SUM(CF308:$CI308)&lt;&gt;0),1,0)*CF$1159</f>
        <v>0</v>
      </c>
      <c r="CG311" s="7">
        <f>IF(AND(CG$5&gt;=$G311,SUM(CG308:$CI308)&lt;&gt;0),1,0)*CG$1159</f>
        <v>0</v>
      </c>
      <c r="CH311" s="7">
        <f>IF(AND(CH$5&gt;=$G311,SUM(CH308:$CI308)&lt;&gt;0),1,0)*CH$1159</f>
        <v>0</v>
      </c>
      <c r="CI311" s="7">
        <f>IF(AND(CI$5&gt;=$G311,SUM(CI308:$CI308)&lt;&gt;0),1,0)*CI$1159</f>
        <v>0</v>
      </c>
      <c r="CK311" s="11"/>
      <c r="CM311" s="11"/>
      <c r="CX311" s="7">
        <f>IF(MAX($V311:$CI311)&gt;0, 1, 0)</f>
        <v>0</v>
      </c>
      <c r="DF311" s="11"/>
      <c r="DG311">
        <f t="shared" si="181"/>
        <v>1</v>
      </c>
      <c r="DH311">
        <v>0</v>
      </c>
      <c r="DI311">
        <v>0</v>
      </c>
      <c r="EY311" s="12" t="str">
        <f>IF(C311="", "", CONCATENATE(D303, " ",D311))</f>
        <v/>
      </c>
    </row>
    <row r="312" spans="1:155" ht="6.75" customHeight="1" x14ac:dyDescent="0.35">
      <c r="C312" s="211"/>
      <c r="D312" s="1"/>
      <c r="E312"/>
      <c r="F312"/>
      <c r="BY312" s="6"/>
      <c r="CK312" s="35"/>
      <c r="CM312" s="35"/>
      <c r="DF312" s="35"/>
      <c r="DG312">
        <f t="shared" si="181"/>
        <v>0</v>
      </c>
      <c r="DH312">
        <v>0</v>
      </c>
      <c r="DI312">
        <v>0</v>
      </c>
      <c r="EY312" s="12" t="str">
        <f>IF(C312="", "", CONCATENATE(D303, " ",D312))</f>
        <v/>
      </c>
    </row>
    <row r="313" spans="1:155" x14ac:dyDescent="0.35">
      <c r="C313" s="211"/>
      <c r="D313" t="s">
        <v>1088</v>
      </c>
      <c r="H313" s="9" t="s">
        <v>1074</v>
      </c>
      <c r="I313" s="40" t="s">
        <v>317</v>
      </c>
      <c r="V313" s="109"/>
      <c r="W313" s="133">
        <f>V316</f>
        <v>0</v>
      </c>
      <c r="X313" s="133">
        <f>W316</f>
        <v>0</v>
      </c>
      <c r="Y313" s="10">
        <f>X316</f>
        <v>0</v>
      </c>
      <c r="AA313" s="12">
        <f>W313</f>
        <v>0</v>
      </c>
      <c r="AB313" s="10">
        <f t="shared" ref="AB313:BV313" si="234">AA316</f>
        <v>0</v>
      </c>
      <c r="AC313" s="10">
        <f t="shared" si="234"/>
        <v>0</v>
      </c>
      <c r="AD313" s="10">
        <f t="shared" si="234"/>
        <v>0</v>
      </c>
      <c r="AE313" s="10">
        <f t="shared" si="234"/>
        <v>0</v>
      </c>
      <c r="AF313" s="10">
        <f t="shared" si="234"/>
        <v>0</v>
      </c>
      <c r="AG313" s="10">
        <f t="shared" si="234"/>
        <v>0</v>
      </c>
      <c r="AH313" s="10">
        <f t="shared" si="234"/>
        <v>0</v>
      </c>
      <c r="AI313" s="10">
        <f t="shared" si="234"/>
        <v>0</v>
      </c>
      <c r="AJ313" s="10">
        <f t="shared" si="234"/>
        <v>0</v>
      </c>
      <c r="AK313" s="10">
        <f t="shared" si="234"/>
        <v>0</v>
      </c>
      <c r="AL313" s="10">
        <f t="shared" si="234"/>
        <v>0</v>
      </c>
      <c r="AM313" s="10">
        <f t="shared" si="234"/>
        <v>0</v>
      </c>
      <c r="AN313" s="10">
        <f t="shared" si="234"/>
        <v>0</v>
      </c>
      <c r="AO313" s="10">
        <f t="shared" si="234"/>
        <v>0</v>
      </c>
      <c r="AP313" s="10">
        <f t="shared" si="234"/>
        <v>0</v>
      </c>
      <c r="AQ313" s="10">
        <f t="shared" si="234"/>
        <v>0</v>
      </c>
      <c r="AR313" s="10">
        <f t="shared" si="234"/>
        <v>0</v>
      </c>
      <c r="AS313" s="10">
        <f t="shared" si="234"/>
        <v>0</v>
      </c>
      <c r="AT313" s="10">
        <f t="shared" si="234"/>
        <v>0</v>
      </c>
      <c r="AU313" s="10">
        <f t="shared" si="234"/>
        <v>0</v>
      </c>
      <c r="AV313" s="10">
        <f t="shared" si="234"/>
        <v>0</v>
      </c>
      <c r="AW313" s="10">
        <f t="shared" si="234"/>
        <v>0</v>
      </c>
      <c r="AX313" s="10">
        <f t="shared" si="234"/>
        <v>0</v>
      </c>
      <c r="AY313" s="10">
        <f t="shared" si="234"/>
        <v>0</v>
      </c>
      <c r="AZ313" s="10">
        <f t="shared" si="234"/>
        <v>0</v>
      </c>
      <c r="BA313" s="10">
        <f t="shared" si="234"/>
        <v>0</v>
      </c>
      <c r="BB313" s="10">
        <f t="shared" si="234"/>
        <v>0</v>
      </c>
      <c r="BC313" s="10">
        <f t="shared" si="234"/>
        <v>0</v>
      </c>
      <c r="BD313" s="10">
        <f t="shared" si="234"/>
        <v>0</v>
      </c>
      <c r="BE313" s="10">
        <f t="shared" si="234"/>
        <v>0</v>
      </c>
      <c r="BF313" s="10">
        <f t="shared" si="234"/>
        <v>0</v>
      </c>
      <c r="BG313" s="10">
        <f t="shared" si="234"/>
        <v>0</v>
      </c>
      <c r="BH313" s="10">
        <f t="shared" si="234"/>
        <v>0</v>
      </c>
      <c r="BI313" s="10">
        <f t="shared" si="234"/>
        <v>0</v>
      </c>
      <c r="BJ313" s="10">
        <f t="shared" si="234"/>
        <v>0</v>
      </c>
      <c r="BK313" s="10">
        <f t="shared" si="234"/>
        <v>0</v>
      </c>
      <c r="BL313" s="10">
        <f t="shared" si="234"/>
        <v>0</v>
      </c>
      <c r="BM313" s="10">
        <f t="shared" si="234"/>
        <v>0</v>
      </c>
      <c r="BN313" s="10">
        <f t="shared" si="234"/>
        <v>0</v>
      </c>
      <c r="BO313" s="10">
        <f t="shared" si="234"/>
        <v>0</v>
      </c>
      <c r="BP313" s="10">
        <f t="shared" si="234"/>
        <v>0</v>
      </c>
      <c r="BQ313" s="10">
        <f t="shared" si="234"/>
        <v>0</v>
      </c>
      <c r="BR313" s="10">
        <f t="shared" si="234"/>
        <v>0</v>
      </c>
      <c r="BS313" s="10">
        <f t="shared" si="234"/>
        <v>0</v>
      </c>
      <c r="BT313" s="10">
        <f t="shared" si="234"/>
        <v>0</v>
      </c>
      <c r="BU313" s="10">
        <f t="shared" si="234"/>
        <v>0</v>
      </c>
      <c r="BV313" s="10">
        <f t="shared" si="234"/>
        <v>0</v>
      </c>
      <c r="BX313" s="12">
        <f t="shared" ref="BX313:CA316" si="235">V313</f>
        <v>0</v>
      </c>
      <c r="BY313" s="12">
        <f t="shared" si="235"/>
        <v>0</v>
      </c>
      <c r="BZ313" s="12">
        <f t="shared" si="235"/>
        <v>0</v>
      </c>
      <c r="CA313" s="12">
        <f t="shared" si="235"/>
        <v>0</v>
      </c>
      <c r="CB313" s="10">
        <f t="shared" ref="CB313:CI313" si="236">CA316</f>
        <v>0</v>
      </c>
      <c r="CC313" s="10">
        <f t="shared" si="236"/>
        <v>0</v>
      </c>
      <c r="CD313" s="10">
        <f t="shared" si="236"/>
        <v>0</v>
      </c>
      <c r="CE313" s="10">
        <f t="shared" si="236"/>
        <v>0</v>
      </c>
      <c r="CF313" s="10">
        <f t="shared" si="236"/>
        <v>0</v>
      </c>
      <c r="CG313" s="10">
        <f t="shared" si="236"/>
        <v>0</v>
      </c>
      <c r="CH313" s="10">
        <f t="shared" si="236"/>
        <v>0</v>
      </c>
      <c r="CI313" s="10">
        <f t="shared" si="236"/>
        <v>0</v>
      </c>
      <c r="CK313" s="11"/>
      <c r="CM313" s="11"/>
      <c r="CY313" s="7" cm="1">
        <f t="array" ref="CY313">SUMPRODUCT(--NOT(ISNUMBER(V313:CI313)),--NOT(ISBLANK(V313:CI313)))</f>
        <v>0</v>
      </c>
      <c r="DF313" s="11"/>
      <c r="DG313">
        <f t="shared" ref="DG313:DG376" si="237">IF(IFERROR(FIND("check", D313), 0)=0, 0, 1)</f>
        <v>0</v>
      </c>
      <c r="DH313">
        <v>1</v>
      </c>
      <c r="DI313">
        <v>0</v>
      </c>
      <c r="EY313" s="12" t="str">
        <f>IF(C313="", "", CONCATENATE(D303, " ",D313))</f>
        <v/>
      </c>
    </row>
    <row r="314" spans="1:155" s="5" customFormat="1" x14ac:dyDescent="0.35">
      <c r="A314" s="220" cm="1">
        <f t="array" aca="1" ref="A314" ca="1">HYPERLINK(CONCATENATE("#",CELL("address",IF(MAX($CM314:$DF314)=0,A314,INDEX($CM314:$DF314,MATCH(1,$CM314:$DF314,0))))),MAX($CM314:$DF314))</f>
        <v>0</v>
      </c>
      <c r="B314" s="85" t="s">
        <v>122</v>
      </c>
      <c r="C314" s="211"/>
      <c r="D314" t="s">
        <v>1089</v>
      </c>
      <c r="E314" s="1"/>
      <c r="F314" s="1"/>
      <c r="G314"/>
      <c r="H314" s="9" t="s">
        <v>1074</v>
      </c>
      <c r="I314" s="40" t="s">
        <v>665</v>
      </c>
      <c r="J314"/>
      <c r="K314"/>
      <c r="L314"/>
      <c r="M314"/>
      <c r="N314"/>
      <c r="O314"/>
      <c r="P314"/>
      <c r="Q314"/>
      <c r="R314"/>
      <c r="S314"/>
      <c r="T314"/>
      <c r="U314"/>
      <c r="V314" s="109"/>
      <c r="W314" s="133">
        <f t="shared" ref="W314:Y315" si="238" xml:space="preserve"> SUMIFS($AA314:$BV314, $AA$3:$BV$3, W$3)</f>
        <v>0</v>
      </c>
      <c r="X314" s="133">
        <f t="shared" si="238"/>
        <v>0</v>
      </c>
      <c r="Y314" s="133">
        <f t="shared" si="238"/>
        <v>0</v>
      </c>
      <c r="Z3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c r="BX314" s="12">
        <f t="shared" si="235"/>
        <v>0</v>
      </c>
      <c r="BY314" s="12">
        <f t="shared" si="235"/>
        <v>0</v>
      </c>
      <c r="BZ314" s="12">
        <f t="shared" si="235"/>
        <v>0</v>
      </c>
      <c r="CA314" s="12">
        <f t="shared" si="235"/>
        <v>0</v>
      </c>
      <c r="CB314" s="133">
        <f xml:space="preserve"> SUMIFS($AA314:$BV314, $AA$3:$BV$3, CB$3)</f>
        <v>0</v>
      </c>
      <c r="CC314" s="109"/>
      <c r="CD314" s="109"/>
      <c r="CE314" s="109"/>
      <c r="CF314" s="109"/>
      <c r="CG314" s="109"/>
      <c r="CH314" s="109"/>
      <c r="CI314" s="109"/>
      <c r="CJ314"/>
      <c r="CK314" s="11"/>
      <c r="CL314" s="241">
        <f>IF(MIN($V314:$CI314)&lt;0, 1, 0)</f>
        <v>0</v>
      </c>
      <c r="CM314" s="11"/>
      <c r="CN314"/>
      <c r="CO314"/>
      <c r="CP314"/>
      <c r="CQ314"/>
      <c r="CR314"/>
      <c r="CS314"/>
      <c r="CT314"/>
      <c r="CU314"/>
      <c r="CV314"/>
      <c r="CW314"/>
      <c r="CX314"/>
      <c r="CY314" s="7" cm="1">
        <f t="array" ref="CY314">SUMPRODUCT(--NOT(ISNUMBER(V314:CI314)),--NOT(ISBLANK(V314:CI314)))</f>
        <v>0</v>
      </c>
      <c r="CZ314" s="7">
        <f t="shared" ref="CZ314:DB315" si="239">IF(ROUND(W314-SUMIFS($AA314:$BV314, $AA$3:$BV$3, W$3), rounding)=0, 0, 1)</f>
        <v>0</v>
      </c>
      <c r="DA314" s="7">
        <f t="shared" si="239"/>
        <v>0</v>
      </c>
      <c r="DB314" s="7">
        <f t="shared" si="239"/>
        <v>0</v>
      </c>
      <c r="DC314" s="7">
        <f>IF(ROUND(CB314-SUMIFS($AA314:$BV314, $AA$3:$BV$3, CB$3), rounding)=0, 0, 1)</f>
        <v>0</v>
      </c>
      <c r="DD314" s="7">
        <f>IF(ROUND(V314-BX314, rounding)=0, 0, 1)*'BS Forecasts'!$V$10</f>
        <v>0</v>
      </c>
      <c r="DE314"/>
      <c r="DF314" s="11"/>
      <c r="DG314">
        <f t="shared" si="237"/>
        <v>0</v>
      </c>
      <c r="DH314">
        <v>1</v>
      </c>
      <c r="DI314">
        <v>1</v>
      </c>
      <c r="EY314" s="12" t="str">
        <f>IF(C314="", "", CONCATENATE(D303, " ",D314))</f>
        <v/>
      </c>
    </row>
    <row r="315" spans="1:155" x14ac:dyDescent="0.35">
      <c r="A315" s="220" cm="1">
        <f t="array" aca="1" ref="A315" ca="1">HYPERLINK(CONCATENATE("#",CELL("address",IF(MAX($CM315:$DF315)=0,A315,INDEX($CM315:$DF315,MATCH(1,$CM315:$DF315,0))))),MAX($CM315:$DF315))</f>
        <v>0</v>
      </c>
      <c r="B315" s="85" t="s">
        <v>122</v>
      </c>
      <c r="C315" s="211"/>
      <c r="D315" t="s">
        <v>1090</v>
      </c>
      <c r="H315" s="9" t="s">
        <v>1074</v>
      </c>
      <c r="I315" s="40" t="s">
        <v>1079</v>
      </c>
      <c r="V315" s="109"/>
      <c r="W315" s="133">
        <f t="shared" si="238"/>
        <v>0</v>
      </c>
      <c r="X315" s="133">
        <f t="shared" si="238"/>
        <v>0</v>
      </c>
      <c r="Y315" s="133">
        <f t="shared" si="238"/>
        <v>0</v>
      </c>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X315" s="12">
        <f t="shared" si="235"/>
        <v>0</v>
      </c>
      <c r="BY315" s="12">
        <f t="shared" si="235"/>
        <v>0</v>
      </c>
      <c r="BZ315" s="12">
        <f t="shared" si="235"/>
        <v>0</v>
      </c>
      <c r="CA315" s="12">
        <f t="shared" si="235"/>
        <v>0</v>
      </c>
      <c r="CB315" s="133">
        <f xml:space="preserve"> SUMIFS($AA315:$BV315, $AA$3:$BV$3, CB$3)</f>
        <v>0</v>
      </c>
      <c r="CC315" s="109"/>
      <c r="CD315" s="109"/>
      <c r="CE315" s="109"/>
      <c r="CF315" s="109"/>
      <c r="CG315" s="109"/>
      <c r="CH315" s="109"/>
      <c r="CI315" s="109"/>
      <c r="CK315" s="11"/>
      <c r="CL315" s="241">
        <f>IF(MAX($V315:$CI315)&gt;0, 1, 0)</f>
        <v>0</v>
      </c>
      <c r="CM315" s="11"/>
      <c r="CY315" s="7" cm="1">
        <f t="array" ref="CY315">SUMPRODUCT(--NOT(ISNUMBER(V315:CI315)),--NOT(ISBLANK(V315:CI315)))</f>
        <v>0</v>
      </c>
      <c r="CZ315" s="7">
        <f t="shared" si="239"/>
        <v>0</v>
      </c>
      <c r="DA315" s="7">
        <f t="shared" si="239"/>
        <v>0</v>
      </c>
      <c r="DB315" s="7">
        <f t="shared" si="239"/>
        <v>0</v>
      </c>
      <c r="DC315" s="7">
        <f>IF(ROUND(CB315-SUMIFS($AA315:$BV315, $AA$3:$BV$3, CB$3), rounding)=0, 0, 1)</f>
        <v>0</v>
      </c>
      <c r="DD315" s="7">
        <f>IF(ROUND(V315-BX315, rounding)=0, 0, 1)*'BS Forecasts'!$V$10</f>
        <v>0</v>
      </c>
      <c r="DF315" s="11"/>
      <c r="DG315">
        <f t="shared" si="237"/>
        <v>0</v>
      </c>
      <c r="DH315">
        <v>1</v>
      </c>
      <c r="DI315">
        <v>1</v>
      </c>
      <c r="EY315" s="12" t="str">
        <f>IF(C315="", "", CONCATENATE(D303, " ",D315))</f>
        <v/>
      </c>
    </row>
    <row r="316" spans="1:155" x14ac:dyDescent="0.35">
      <c r="C316" s="211"/>
      <c r="D316" t="s">
        <v>1091</v>
      </c>
      <c r="H316" s="9" t="s">
        <v>1074</v>
      </c>
      <c r="I316" s="40" t="s">
        <v>317</v>
      </c>
      <c r="V316" s="12">
        <f>$I$26</f>
        <v>0</v>
      </c>
      <c r="W316" s="10">
        <f>SUM(W313:W315)</f>
        <v>0</v>
      </c>
      <c r="X316" s="10">
        <f>SUM(X313:X315)</f>
        <v>0</v>
      </c>
      <c r="Y316" s="10">
        <f>SUM(Y313:Y315)</f>
        <v>0</v>
      </c>
      <c r="AA316" s="10">
        <f t="shared" ref="AA316:BV316" si="240">SUM(AA313:AA315)</f>
        <v>0</v>
      </c>
      <c r="AB316" s="10">
        <f t="shared" si="240"/>
        <v>0</v>
      </c>
      <c r="AC316" s="10">
        <f t="shared" si="240"/>
        <v>0</v>
      </c>
      <c r="AD316" s="10">
        <f t="shared" si="240"/>
        <v>0</v>
      </c>
      <c r="AE316" s="10">
        <f t="shared" si="240"/>
        <v>0</v>
      </c>
      <c r="AF316" s="10">
        <f t="shared" si="240"/>
        <v>0</v>
      </c>
      <c r="AG316" s="10">
        <f t="shared" si="240"/>
        <v>0</v>
      </c>
      <c r="AH316" s="10">
        <f t="shared" si="240"/>
        <v>0</v>
      </c>
      <c r="AI316" s="10">
        <f t="shared" si="240"/>
        <v>0</v>
      </c>
      <c r="AJ316" s="10">
        <f t="shared" si="240"/>
        <v>0</v>
      </c>
      <c r="AK316" s="10">
        <f t="shared" si="240"/>
        <v>0</v>
      </c>
      <c r="AL316" s="10">
        <f t="shared" si="240"/>
        <v>0</v>
      </c>
      <c r="AM316" s="10">
        <f t="shared" si="240"/>
        <v>0</v>
      </c>
      <c r="AN316" s="10">
        <f t="shared" si="240"/>
        <v>0</v>
      </c>
      <c r="AO316" s="10">
        <f t="shared" si="240"/>
        <v>0</v>
      </c>
      <c r="AP316" s="10">
        <f t="shared" si="240"/>
        <v>0</v>
      </c>
      <c r="AQ316" s="10">
        <f t="shared" si="240"/>
        <v>0</v>
      </c>
      <c r="AR316" s="10">
        <f t="shared" si="240"/>
        <v>0</v>
      </c>
      <c r="AS316" s="10">
        <f t="shared" si="240"/>
        <v>0</v>
      </c>
      <c r="AT316" s="10">
        <f t="shared" si="240"/>
        <v>0</v>
      </c>
      <c r="AU316" s="10">
        <f t="shared" si="240"/>
        <v>0</v>
      </c>
      <c r="AV316" s="10">
        <f t="shared" si="240"/>
        <v>0</v>
      </c>
      <c r="AW316" s="10">
        <f t="shared" si="240"/>
        <v>0</v>
      </c>
      <c r="AX316" s="10">
        <f t="shared" si="240"/>
        <v>0</v>
      </c>
      <c r="AY316" s="10">
        <f t="shared" si="240"/>
        <v>0</v>
      </c>
      <c r="AZ316" s="10">
        <f t="shared" si="240"/>
        <v>0</v>
      </c>
      <c r="BA316" s="10">
        <f t="shared" si="240"/>
        <v>0</v>
      </c>
      <c r="BB316" s="10">
        <f t="shared" si="240"/>
        <v>0</v>
      </c>
      <c r="BC316" s="10">
        <f t="shared" si="240"/>
        <v>0</v>
      </c>
      <c r="BD316" s="10">
        <f t="shared" si="240"/>
        <v>0</v>
      </c>
      <c r="BE316" s="10">
        <f t="shared" si="240"/>
        <v>0</v>
      </c>
      <c r="BF316" s="10">
        <f t="shared" si="240"/>
        <v>0</v>
      </c>
      <c r="BG316" s="10">
        <f t="shared" si="240"/>
        <v>0</v>
      </c>
      <c r="BH316" s="10">
        <f t="shared" si="240"/>
        <v>0</v>
      </c>
      <c r="BI316" s="10">
        <f t="shared" si="240"/>
        <v>0</v>
      </c>
      <c r="BJ316" s="10">
        <f t="shared" si="240"/>
        <v>0</v>
      </c>
      <c r="BK316" s="10">
        <f t="shared" si="240"/>
        <v>0</v>
      </c>
      <c r="BL316" s="10">
        <f t="shared" si="240"/>
        <v>0</v>
      </c>
      <c r="BM316" s="10">
        <f t="shared" si="240"/>
        <v>0</v>
      </c>
      <c r="BN316" s="10">
        <f t="shared" si="240"/>
        <v>0</v>
      </c>
      <c r="BO316" s="10">
        <f t="shared" si="240"/>
        <v>0</v>
      </c>
      <c r="BP316" s="10">
        <f t="shared" si="240"/>
        <v>0</v>
      </c>
      <c r="BQ316" s="10">
        <f t="shared" si="240"/>
        <v>0</v>
      </c>
      <c r="BR316" s="10">
        <f t="shared" si="240"/>
        <v>0</v>
      </c>
      <c r="BS316" s="10">
        <f t="shared" si="240"/>
        <v>0</v>
      </c>
      <c r="BT316" s="10">
        <f t="shared" si="240"/>
        <v>0</v>
      </c>
      <c r="BU316" s="10">
        <f t="shared" si="240"/>
        <v>0</v>
      </c>
      <c r="BV316" s="10">
        <f t="shared" si="240"/>
        <v>0</v>
      </c>
      <c r="BX316" s="12">
        <f t="shared" si="235"/>
        <v>0</v>
      </c>
      <c r="BY316" s="12">
        <f t="shared" si="235"/>
        <v>0</v>
      </c>
      <c r="BZ316" s="12">
        <f t="shared" si="235"/>
        <v>0</v>
      </c>
      <c r="CA316" s="12">
        <f t="shared" si="235"/>
        <v>0</v>
      </c>
      <c r="CB316" s="10">
        <f t="shared" ref="CB316:CI316" si="241">SUM(CB313:CB315)</f>
        <v>0</v>
      </c>
      <c r="CC316" s="10">
        <f t="shared" si="241"/>
        <v>0</v>
      </c>
      <c r="CD316" s="10">
        <f t="shared" si="241"/>
        <v>0</v>
      </c>
      <c r="CE316" s="10">
        <f t="shared" si="241"/>
        <v>0</v>
      </c>
      <c r="CF316" s="10">
        <f t="shared" si="241"/>
        <v>0</v>
      </c>
      <c r="CG316" s="10">
        <f t="shared" si="241"/>
        <v>0</v>
      </c>
      <c r="CH316" s="10">
        <f t="shared" si="241"/>
        <v>0</v>
      </c>
      <c r="CI316" s="10">
        <f t="shared" si="241"/>
        <v>0</v>
      </c>
      <c r="CK316" s="11"/>
      <c r="CM316" s="11"/>
      <c r="DF316" s="11"/>
      <c r="DG316">
        <f t="shared" si="237"/>
        <v>0</v>
      </c>
      <c r="DH316">
        <v>0</v>
      </c>
      <c r="DI316">
        <v>0</v>
      </c>
      <c r="EY316" s="12" t="str">
        <f>IF(C316="", "", CONCATENATE(D303, " ",D316))</f>
        <v/>
      </c>
    </row>
    <row r="317" spans="1:155" ht="6.75" customHeight="1" x14ac:dyDescent="0.35">
      <c r="C317" s="211"/>
      <c r="D317" s="1"/>
      <c r="E317"/>
      <c r="F317"/>
      <c r="BY317" s="6"/>
      <c r="CK317" s="35"/>
      <c r="CM317" s="35"/>
      <c r="DF317" s="35"/>
      <c r="DG317">
        <f t="shared" si="237"/>
        <v>0</v>
      </c>
      <c r="DH317">
        <v>0</v>
      </c>
      <c r="DI317">
        <v>0</v>
      </c>
      <c r="EY317" s="12" t="str">
        <f>IF(C317="", "", CONCATENATE(D303, " ",D317))</f>
        <v/>
      </c>
    </row>
    <row r="318" spans="1:155" s="5" customFormat="1" x14ac:dyDescent="0.35">
      <c r="A318" s="220" cm="1">
        <f t="array" aca="1" ref="A318" ca="1">HYPERLINK(CONCATENATE("#",CELL("address",IF(MAX($CM318:$DF318)=0,A318,INDEX($CM318:$DF318,MATCH(1,$CM318:$DF318,0))))),MAX($CM318:$DF318))</f>
        <v>0</v>
      </c>
      <c r="B318"/>
      <c r="C318" s="211" t="s">
        <v>1185</v>
      </c>
      <c r="D318" t="s">
        <v>1093</v>
      </c>
      <c r="E318" s="1"/>
      <c r="F318" s="1"/>
      <c r="G318"/>
      <c r="H318" s="9" t="s">
        <v>1074</v>
      </c>
      <c r="I318" s="40" t="s">
        <v>665</v>
      </c>
      <c r="J318"/>
      <c r="K318"/>
      <c r="L318"/>
      <c r="M318"/>
      <c r="N318"/>
      <c r="O318"/>
      <c r="P318"/>
      <c r="Q318"/>
      <c r="R318"/>
      <c r="S318"/>
      <c r="T318"/>
      <c r="U318"/>
      <c r="V318" s="109"/>
      <c r="W318" s="133">
        <f xml:space="preserve"> SUMIFS($AA318:$BV318, $AA$3:$BV$3, W$3)</f>
        <v>0</v>
      </c>
      <c r="X318" s="133">
        <f xml:space="preserve"> SUMIFS($AA318:$BV318, $AA$3:$BV$3, X$3)</f>
        <v>0</v>
      </c>
      <c r="Y318" s="133">
        <f xml:space="preserve"> SUMIFS($AA318:$BV318, $AA$3:$BV$3, Y$3)</f>
        <v>0</v>
      </c>
      <c r="Z318"/>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c r="BX318" s="12">
        <f>V318</f>
        <v>0</v>
      </c>
      <c r="BY318" s="12">
        <f>W318</f>
        <v>0</v>
      </c>
      <c r="BZ318" s="12">
        <f>X318</f>
        <v>0</v>
      </c>
      <c r="CA318" s="12">
        <f>Y318</f>
        <v>0</v>
      </c>
      <c r="CB318" s="133">
        <f xml:space="preserve"> SUMIFS($AA318:$BV318, $AA$3:$BV$3, CB$3)</f>
        <v>0</v>
      </c>
      <c r="CC318" s="109"/>
      <c r="CD318" s="109"/>
      <c r="CE318" s="109"/>
      <c r="CF318" s="109"/>
      <c r="CG318" s="109"/>
      <c r="CH318" s="109"/>
      <c r="CI318" s="109"/>
      <c r="CJ318"/>
      <c r="CK318" s="11"/>
      <c r="CL318" s="241">
        <f>IF(MIN($V318:$CI318)&lt;0, 1, 0)</f>
        <v>0</v>
      </c>
      <c r="CM318" s="11"/>
      <c r="CN318"/>
      <c r="CO318"/>
      <c r="CP318"/>
      <c r="CQ318"/>
      <c r="CR318"/>
      <c r="CS318"/>
      <c r="CT318"/>
      <c r="CU318"/>
      <c r="CV318"/>
      <c r="CW318"/>
      <c r="CX318"/>
      <c r="CY318" s="7" cm="1">
        <f t="array" ref="CY318">SUMPRODUCT(--NOT(ISNUMBER(V318:CI318)),--NOT(ISBLANK(V318:CI318)))</f>
        <v>0</v>
      </c>
      <c r="CZ318" s="7">
        <f>IF(ROUND(W318-SUMIFS($AA318:$BV318, $AA$3:$BV$3, W$3), rounding)=0, 0, 1)</f>
        <v>0</v>
      </c>
      <c r="DA318" s="7">
        <f>IF(ROUND(X318-SUMIFS($AA318:$BV318, $AA$3:$BV$3, X$3), rounding)=0, 0, 1)</f>
        <v>0</v>
      </c>
      <c r="DB318" s="7">
        <f>IF(ROUND(Y318-SUMIFS($AA318:$BV318, $AA$3:$BV$3, Y$3), rounding)=0, 0, 1)</f>
        <v>0</v>
      </c>
      <c r="DC318" s="7">
        <f>IF(ROUND(CB318-SUMIFS($AA318:$BV318, $AA$3:$BV$3, CB$3), rounding)=0, 0, 1)</f>
        <v>0</v>
      </c>
      <c r="DD318" s="7">
        <f>IF(ROUND(V318-BX318, rounding)=0, 0, 1)*'BS Forecasts'!$V$10</f>
        <v>0</v>
      </c>
      <c r="DE318"/>
      <c r="DF318" s="11"/>
      <c r="DG318">
        <f t="shared" si="237"/>
        <v>0</v>
      </c>
      <c r="DH318">
        <v>1</v>
      </c>
      <c r="DI318">
        <v>1</v>
      </c>
      <c r="EY318" s="12" t="str">
        <f>IF(C318="", "", CONCATENATE(D303, " ",D318))</f>
        <v>Loan 14 Early Repayment Fee</v>
      </c>
    </row>
    <row r="319" spans="1:155" ht="6.75" customHeight="1" x14ac:dyDescent="0.35">
      <c r="C319" s="211"/>
      <c r="D319" s="1"/>
      <c r="E319"/>
      <c r="F319"/>
      <c r="BY319" s="6"/>
      <c r="CK319" s="35"/>
      <c r="CM319" s="35"/>
      <c r="DF319" s="35"/>
      <c r="DG319">
        <f t="shared" si="237"/>
        <v>0</v>
      </c>
      <c r="DH319">
        <v>0</v>
      </c>
      <c r="DI319">
        <v>0</v>
      </c>
      <c r="EY319" s="12" t="str">
        <f>IF(C319="", "", CONCATENATE(D303, " ",D319))</f>
        <v/>
      </c>
    </row>
    <row r="320" spans="1:155" x14ac:dyDescent="0.35">
      <c r="A320" s="220" cm="1">
        <f t="array" aca="1" ref="A320" ca="1">HYPERLINK(CONCATENATE("#",CELL("address",IF(MAX($CM320:$DF320)=0,A320,INDEX($CM320:$DF320,MATCH(1,$CM320:$DF320,0))))),MAX($CM320:$DF320))</f>
        <v>0</v>
      </c>
      <c r="B320" s="85" t="s">
        <v>122</v>
      </c>
      <c r="D320" t="s">
        <v>1094</v>
      </c>
      <c r="E320" s="140" t="str">
        <f>IF(J$26="", "", J$26)</f>
        <v/>
      </c>
      <c r="F320" s="140"/>
      <c r="G320" s="140" t="str">
        <f>IF(K$26="", "", K$26)</f>
        <v/>
      </c>
      <c r="V320" s="7">
        <f>IF(AND(OR( V$5&gt;$G320, Timeline!V$8&lt;Loans!$E320), Loans!V318&lt;&gt;0), 1, 0)</f>
        <v>0</v>
      </c>
      <c r="W320" s="7">
        <f>IF(AND(OR( W$5&gt;$G320, Timeline!W$8&lt;Loans!$E320), Loans!W318&lt;&gt;0), 1, 0)</f>
        <v>0</v>
      </c>
      <c r="X320" s="7">
        <f>IF(AND(OR( X$5&gt;$G320, Timeline!X$8&lt;Loans!$E320), Loans!X318&lt;&gt;0), 1, 0)</f>
        <v>0</v>
      </c>
      <c r="Y320" s="7">
        <f>IF(AND(OR( Y$5&gt;$G320, Timeline!Y$8&lt;Loans!$E320), Loans!Y318&lt;&gt;0), 1, 0)</f>
        <v>0</v>
      </c>
      <c r="AA320" s="7">
        <f>IF(AND(OR( AA$5&gt;$G320, Timeline!AA$8&lt;Loans!$E320), Loans!AA318&lt;&gt;0), 1, 0)</f>
        <v>0</v>
      </c>
      <c r="AB320" s="7">
        <f>IF(AND(OR( AB$5&gt;$G320, Timeline!AB$8&lt;Loans!$E320), Loans!AB318&lt;&gt;0), 1, 0)</f>
        <v>0</v>
      </c>
      <c r="AC320" s="7">
        <f>IF(AND(OR( AC$5&gt;$G320, Timeline!AC$8&lt;Loans!$E320), Loans!AC318&lt;&gt;0), 1, 0)</f>
        <v>0</v>
      </c>
      <c r="AD320" s="7">
        <f>IF(AND(OR( AD$5&gt;$G320, Timeline!AD$8&lt;Loans!$E320), Loans!AD318&lt;&gt;0), 1, 0)</f>
        <v>0</v>
      </c>
      <c r="AE320" s="7">
        <f>IF(AND(OR( AE$5&gt;$G320, Timeline!AE$8&lt;Loans!$E320), Loans!AE318&lt;&gt;0), 1, 0)</f>
        <v>0</v>
      </c>
      <c r="AF320" s="7">
        <f>IF(AND(OR( AF$5&gt;$G320, Timeline!AF$8&lt;Loans!$E320), Loans!AF318&lt;&gt;0), 1, 0)</f>
        <v>0</v>
      </c>
      <c r="AG320" s="7">
        <f>IF(AND(OR( AG$5&gt;$G320, Timeline!AG$8&lt;Loans!$E320), Loans!AG318&lt;&gt;0), 1, 0)</f>
        <v>0</v>
      </c>
      <c r="AH320" s="7">
        <f>IF(AND(OR( AH$5&gt;$G320, Timeline!AH$8&lt;Loans!$E320), Loans!AH318&lt;&gt;0), 1, 0)</f>
        <v>0</v>
      </c>
      <c r="AI320" s="7">
        <f>IF(AND(OR( AI$5&gt;$G320, Timeline!AI$8&lt;Loans!$E320), Loans!AI318&lt;&gt;0), 1, 0)</f>
        <v>0</v>
      </c>
      <c r="AJ320" s="7">
        <f>IF(AND(OR( AJ$5&gt;$G320, Timeline!AJ$8&lt;Loans!$E320), Loans!AJ318&lt;&gt;0), 1, 0)</f>
        <v>0</v>
      </c>
      <c r="AK320" s="7">
        <f>IF(AND(OR( AK$5&gt;$G320, Timeline!AK$8&lt;Loans!$E320), Loans!AK318&lt;&gt;0), 1, 0)</f>
        <v>0</v>
      </c>
      <c r="AL320" s="7">
        <f>IF(AND(OR( AL$5&gt;$G320, Timeline!AL$8&lt;Loans!$E320), Loans!AL318&lt;&gt;0), 1, 0)</f>
        <v>0</v>
      </c>
      <c r="AM320" s="7">
        <f>IF(AND(OR( AM$5&gt;$G320, Timeline!AM$8&lt;Loans!$E320), Loans!AM318&lt;&gt;0), 1, 0)</f>
        <v>0</v>
      </c>
      <c r="AN320" s="7">
        <f>IF(AND(OR( AN$5&gt;$G320, Timeline!AN$8&lt;Loans!$E320), Loans!AN318&lt;&gt;0), 1, 0)</f>
        <v>0</v>
      </c>
      <c r="AO320" s="7">
        <f>IF(AND(OR( AO$5&gt;$G320, Timeline!AO$8&lt;Loans!$E320), Loans!AO318&lt;&gt;0), 1, 0)</f>
        <v>0</v>
      </c>
      <c r="AP320" s="7">
        <f>IF(AND(OR( AP$5&gt;$G320, Timeline!AP$8&lt;Loans!$E320), Loans!AP318&lt;&gt;0), 1, 0)</f>
        <v>0</v>
      </c>
      <c r="AQ320" s="7">
        <f>IF(AND(OR( AQ$5&gt;$G320, Timeline!AQ$8&lt;Loans!$E320), Loans!AQ318&lt;&gt;0), 1, 0)</f>
        <v>0</v>
      </c>
      <c r="AR320" s="7">
        <f>IF(AND(OR( AR$5&gt;$G320, Timeline!AR$8&lt;Loans!$E320), Loans!AR318&lt;&gt;0), 1, 0)</f>
        <v>0</v>
      </c>
      <c r="AS320" s="7">
        <f>IF(AND(OR( AS$5&gt;$G320, Timeline!AS$8&lt;Loans!$E320), Loans!AS318&lt;&gt;0), 1, 0)</f>
        <v>0</v>
      </c>
      <c r="AT320" s="7">
        <f>IF(AND(OR( AT$5&gt;$G320, Timeline!AT$8&lt;Loans!$E320), Loans!AT318&lt;&gt;0), 1, 0)</f>
        <v>0</v>
      </c>
      <c r="AU320" s="7">
        <f>IF(AND(OR( AU$5&gt;$G320, Timeline!AU$8&lt;Loans!$E320), Loans!AU318&lt;&gt;0), 1, 0)</f>
        <v>0</v>
      </c>
      <c r="AV320" s="7">
        <f>IF(AND(OR( AV$5&gt;$G320, Timeline!AV$8&lt;Loans!$E320), Loans!AV318&lt;&gt;0), 1, 0)</f>
        <v>0</v>
      </c>
      <c r="AW320" s="7">
        <f>IF(AND(OR( AW$5&gt;$G320, Timeline!AW$8&lt;Loans!$E320), Loans!AW318&lt;&gt;0), 1, 0)</f>
        <v>0</v>
      </c>
      <c r="AX320" s="7">
        <f>IF(AND(OR( AX$5&gt;$G320, Timeline!AX$8&lt;Loans!$E320), Loans!AX318&lt;&gt;0), 1, 0)</f>
        <v>0</v>
      </c>
      <c r="AY320" s="7">
        <f>IF(AND(OR( AY$5&gt;$G320, Timeline!AY$8&lt;Loans!$E320), Loans!AY318&lt;&gt;0), 1, 0)</f>
        <v>0</v>
      </c>
      <c r="AZ320" s="7">
        <f>IF(AND(OR( AZ$5&gt;$G320, Timeline!AZ$8&lt;Loans!$E320), Loans!AZ318&lt;&gt;0), 1, 0)</f>
        <v>0</v>
      </c>
      <c r="BA320" s="7">
        <f>IF(AND(OR( BA$5&gt;$G320, Timeline!BA$8&lt;Loans!$E320), Loans!BA318&lt;&gt;0), 1, 0)</f>
        <v>0</v>
      </c>
      <c r="BB320" s="7">
        <f>IF(AND(OR( BB$5&gt;$G320, Timeline!BB$8&lt;Loans!$E320), Loans!BB318&lt;&gt;0), 1, 0)</f>
        <v>0</v>
      </c>
      <c r="BC320" s="7">
        <f>IF(AND(OR( BC$5&gt;$G320, Timeline!BC$8&lt;Loans!$E320), Loans!BC318&lt;&gt;0), 1, 0)</f>
        <v>0</v>
      </c>
      <c r="BD320" s="7">
        <f>IF(AND(OR( BD$5&gt;$G320, Timeline!BD$8&lt;Loans!$E320), Loans!BD318&lt;&gt;0), 1, 0)</f>
        <v>0</v>
      </c>
      <c r="BE320" s="7">
        <f>IF(AND(OR( BE$5&gt;$G320, Timeline!BE$8&lt;Loans!$E320), Loans!BE318&lt;&gt;0), 1, 0)</f>
        <v>0</v>
      </c>
      <c r="BF320" s="7">
        <f>IF(AND(OR( BF$5&gt;$G320, Timeline!BF$8&lt;Loans!$E320), Loans!BF318&lt;&gt;0), 1, 0)</f>
        <v>0</v>
      </c>
      <c r="BG320" s="7">
        <f>IF(AND(OR( BG$5&gt;$G320, Timeline!BG$8&lt;Loans!$E320), Loans!BG318&lt;&gt;0), 1, 0)</f>
        <v>0</v>
      </c>
      <c r="BH320" s="7">
        <f>IF(AND(OR( BH$5&gt;$G320, Timeline!BH$8&lt;Loans!$E320), Loans!BH318&lt;&gt;0), 1, 0)</f>
        <v>0</v>
      </c>
      <c r="BI320" s="7">
        <f>IF(AND(OR( BI$5&gt;$G320, Timeline!BI$8&lt;Loans!$E320), Loans!BI318&lt;&gt;0), 1, 0)</f>
        <v>0</v>
      </c>
      <c r="BJ320" s="7">
        <f>IF(AND(OR( BJ$5&gt;$G320, Timeline!BJ$8&lt;Loans!$E320), Loans!BJ318&lt;&gt;0), 1, 0)</f>
        <v>0</v>
      </c>
      <c r="BK320" s="7">
        <f>IF(AND(OR( BK$5&gt;$G320, Timeline!BK$8&lt;Loans!$E320), Loans!BK318&lt;&gt;0), 1, 0)</f>
        <v>0</v>
      </c>
      <c r="BL320" s="7">
        <f>IF(AND(OR( BL$5&gt;$G320, Timeline!BL$8&lt;Loans!$E320), Loans!BL318&lt;&gt;0), 1, 0)</f>
        <v>0</v>
      </c>
      <c r="BM320" s="7">
        <f>IF(AND(OR( BM$5&gt;$G320, Timeline!BM$8&lt;Loans!$E320), Loans!BM318&lt;&gt;0), 1, 0)</f>
        <v>0</v>
      </c>
      <c r="BN320" s="7">
        <f>IF(AND(OR( BN$5&gt;$G320, Timeline!BN$8&lt;Loans!$E320), Loans!BN318&lt;&gt;0), 1, 0)</f>
        <v>0</v>
      </c>
      <c r="BO320" s="7">
        <f>IF(AND(OR( BO$5&gt;$G320, Timeline!BO$8&lt;Loans!$E320), Loans!BO318&lt;&gt;0), 1, 0)</f>
        <v>0</v>
      </c>
      <c r="BP320" s="7">
        <f>IF(AND(OR( BP$5&gt;$G320, Timeline!BP$8&lt;Loans!$E320), Loans!BP318&lt;&gt;0), 1, 0)</f>
        <v>0</v>
      </c>
      <c r="BQ320" s="7">
        <f>IF(AND(OR( BQ$5&gt;$G320, Timeline!BQ$8&lt;Loans!$E320), Loans!BQ318&lt;&gt;0), 1, 0)</f>
        <v>0</v>
      </c>
      <c r="BR320" s="7">
        <f>IF(AND(OR( BR$5&gt;$G320, Timeline!BR$8&lt;Loans!$E320), Loans!BR318&lt;&gt;0), 1, 0)</f>
        <v>0</v>
      </c>
      <c r="BS320" s="7">
        <f>IF(AND(OR( BS$5&gt;$G320, Timeline!BS$8&lt;Loans!$E320), Loans!BS318&lt;&gt;0), 1, 0)</f>
        <v>0</v>
      </c>
      <c r="BT320" s="7">
        <f>IF(AND(OR( BT$5&gt;$G320, Timeline!BT$8&lt;Loans!$E320), Loans!BT318&lt;&gt;0), 1, 0)</f>
        <v>0</v>
      </c>
      <c r="BU320" s="7">
        <f>IF(AND(OR( BU$5&gt;$G320, Timeline!BU$8&lt;Loans!$E320), Loans!BU318&lt;&gt;0), 1, 0)</f>
        <v>0</v>
      </c>
      <c r="BV320" s="7">
        <f>IF(AND(OR( BV$5&gt;$G320, Timeline!BV$8&lt;Loans!$E320), Loans!BV318&lt;&gt;0), 1, 0)</f>
        <v>0</v>
      </c>
      <c r="BX320" s="7">
        <f>IF(AND(OR( BX$5&gt;$G320, Timeline!BX$8&lt;Loans!$E320), Loans!BX318&lt;&gt;0), 1, 0)</f>
        <v>0</v>
      </c>
      <c r="BY320" s="7">
        <f>IF(AND(OR( BY$5&gt;$G320, Timeline!BY$8&lt;Loans!$E320), Loans!BY318&lt;&gt;0), 1, 0)</f>
        <v>0</v>
      </c>
      <c r="BZ320" s="7">
        <f>IF(AND(OR( BZ$5&gt;$G320, Timeline!BZ$8&lt;Loans!$E320), Loans!BZ318&lt;&gt;0), 1, 0)</f>
        <v>0</v>
      </c>
      <c r="CA320" s="7">
        <f>IF(AND(OR( CA$5&gt;$G320, Timeline!CA$8&lt;Loans!$E320), Loans!CA318&lt;&gt;0), 1, 0)</f>
        <v>0</v>
      </c>
      <c r="CB320" s="7">
        <f>IF(AND(OR( CB$5&gt;$G320, Timeline!CB$8&lt;Loans!$E320), Loans!CB318&lt;&gt;0), 1, 0)</f>
        <v>0</v>
      </c>
      <c r="CC320" s="7">
        <f>IF(AND(OR( CC$5&gt;$G320, Timeline!CC$8&lt;Loans!$E320), Loans!CC318&lt;&gt;0), 1, 0)</f>
        <v>0</v>
      </c>
      <c r="CD320" s="7">
        <f>IF(AND(OR( CD$5&gt;$G320, Timeline!CD$8&lt;Loans!$E320), Loans!CD318&lt;&gt;0), 1, 0)</f>
        <v>0</v>
      </c>
      <c r="CE320" s="7">
        <f>IF(AND(OR( CE$5&gt;$G320, Timeline!CE$8&lt;Loans!$E320), Loans!CE318&lt;&gt;0), 1, 0)</f>
        <v>0</v>
      </c>
      <c r="CF320" s="7">
        <f>IF(AND(OR( CF$5&gt;$G320, Timeline!CF$8&lt;Loans!$E320), Loans!CF318&lt;&gt;0), 1, 0)</f>
        <v>0</v>
      </c>
      <c r="CG320" s="7">
        <f>IF(AND(OR( CG$5&gt;$G320, Timeline!CG$8&lt;Loans!$E320), Loans!CG318&lt;&gt;0), 1, 0)</f>
        <v>0</v>
      </c>
      <c r="CH320" s="7">
        <f>IF(AND(OR( CH$5&gt;$G320, Timeline!CH$8&lt;Loans!$E320), Loans!CH318&lt;&gt;0), 1, 0)</f>
        <v>0</v>
      </c>
      <c r="CI320" s="7">
        <f>IF(AND(OR( CI$5&gt;$G320, Timeline!CI$8&lt;Loans!$E320), Loans!CI318&lt;&gt;0), 1, 0)</f>
        <v>0</v>
      </c>
      <c r="CK320" s="11"/>
      <c r="CM320" s="11"/>
      <c r="CX320" s="7">
        <f>IF(MAX($V320:$CI320)&gt;0, 1, 0)</f>
        <v>0</v>
      </c>
      <c r="DF320" s="11"/>
      <c r="DG320">
        <f t="shared" si="237"/>
        <v>1</v>
      </c>
      <c r="DH320">
        <v>0</v>
      </c>
      <c r="DI320">
        <v>0</v>
      </c>
      <c r="EY320" s="12" t="str">
        <f>IF(C320="", "", CONCATENATE(D303, " ",D320))</f>
        <v/>
      </c>
    </row>
    <row r="321" spans="1:155" ht="6.75" customHeight="1" x14ac:dyDescent="0.35">
      <c r="C321" s="211"/>
      <c r="D321" s="1"/>
      <c r="E321"/>
      <c r="F321"/>
      <c r="BY321" s="6"/>
      <c r="CK321" s="35"/>
      <c r="CM321" s="35"/>
      <c r="DF321" s="35"/>
      <c r="DG321">
        <f t="shared" si="237"/>
        <v>0</v>
      </c>
      <c r="DH321">
        <v>0</v>
      </c>
      <c r="DI321">
        <v>0</v>
      </c>
      <c r="EY321" s="10" t="str">
        <f>IF($C321="","",$D321)</f>
        <v/>
      </c>
    </row>
    <row r="322" spans="1:155" x14ac:dyDescent="0.35">
      <c r="A322" s="53"/>
      <c r="C322" s="211"/>
      <c r="D322" s="53" t="s">
        <v>1186</v>
      </c>
      <c r="E322" s="53"/>
      <c r="F322" s="53"/>
      <c r="G322" s="53"/>
      <c r="H322" s="53"/>
      <c r="I322" s="53"/>
      <c r="J322" s="53"/>
      <c r="M322" s="53"/>
      <c r="N322" s="53"/>
      <c r="O322" s="53"/>
      <c r="P322" s="53"/>
      <c r="Q322" s="53"/>
      <c r="R322" s="53"/>
      <c r="CK322" s="11"/>
      <c r="CM322" s="11"/>
      <c r="DF322" s="11"/>
      <c r="DG322">
        <f t="shared" si="237"/>
        <v>0</v>
      </c>
      <c r="DH322">
        <v>0</v>
      </c>
      <c r="DI322">
        <v>0</v>
      </c>
      <c r="EY322" s="10" t="str">
        <f>IF($C322="","",$D322)</f>
        <v/>
      </c>
    </row>
    <row r="323" spans="1:155" x14ac:dyDescent="0.35">
      <c r="B323" s="85" t="s">
        <v>122</v>
      </c>
      <c r="C323" s="211" t="s">
        <v>1187</v>
      </c>
      <c r="D323" t="s">
        <v>1073</v>
      </c>
      <c r="H323" s="9" t="s">
        <v>1074</v>
      </c>
      <c r="I323" s="40" t="s">
        <v>317</v>
      </c>
      <c r="V323" s="109"/>
      <c r="W323" s="133">
        <f>V327</f>
        <v>0</v>
      </c>
      <c r="X323" s="133">
        <f>W327</f>
        <v>0</v>
      </c>
      <c r="Y323" s="10">
        <f>X327</f>
        <v>0</v>
      </c>
      <c r="AA323" s="12">
        <f>W323</f>
        <v>0</v>
      </c>
      <c r="AB323" s="10">
        <f t="shared" ref="AB323:BV323" si="242">AA327</f>
        <v>0</v>
      </c>
      <c r="AC323" s="10">
        <f t="shared" si="242"/>
        <v>0</v>
      </c>
      <c r="AD323" s="10">
        <f t="shared" si="242"/>
        <v>0</v>
      </c>
      <c r="AE323" s="10">
        <f t="shared" si="242"/>
        <v>0</v>
      </c>
      <c r="AF323" s="10">
        <f t="shared" si="242"/>
        <v>0</v>
      </c>
      <c r="AG323" s="10">
        <f t="shared" si="242"/>
        <v>0</v>
      </c>
      <c r="AH323" s="10">
        <f t="shared" si="242"/>
        <v>0</v>
      </c>
      <c r="AI323" s="10">
        <f t="shared" si="242"/>
        <v>0</v>
      </c>
      <c r="AJ323" s="10">
        <f t="shared" si="242"/>
        <v>0</v>
      </c>
      <c r="AK323" s="10">
        <f t="shared" si="242"/>
        <v>0</v>
      </c>
      <c r="AL323" s="10">
        <f t="shared" si="242"/>
        <v>0</v>
      </c>
      <c r="AM323" s="10">
        <f t="shared" si="242"/>
        <v>0</v>
      </c>
      <c r="AN323" s="10">
        <f t="shared" si="242"/>
        <v>0</v>
      </c>
      <c r="AO323" s="10">
        <f t="shared" si="242"/>
        <v>0</v>
      </c>
      <c r="AP323" s="10">
        <f t="shared" si="242"/>
        <v>0</v>
      </c>
      <c r="AQ323" s="10">
        <f t="shared" si="242"/>
        <v>0</v>
      </c>
      <c r="AR323" s="10">
        <f t="shared" si="242"/>
        <v>0</v>
      </c>
      <c r="AS323" s="10">
        <f t="shared" si="242"/>
        <v>0</v>
      </c>
      <c r="AT323" s="10">
        <f t="shared" si="242"/>
        <v>0</v>
      </c>
      <c r="AU323" s="10">
        <f t="shared" si="242"/>
        <v>0</v>
      </c>
      <c r="AV323" s="10">
        <f t="shared" si="242"/>
        <v>0</v>
      </c>
      <c r="AW323" s="10">
        <f t="shared" si="242"/>
        <v>0</v>
      </c>
      <c r="AX323" s="10">
        <f t="shared" si="242"/>
        <v>0</v>
      </c>
      <c r="AY323" s="10">
        <f t="shared" si="242"/>
        <v>0</v>
      </c>
      <c r="AZ323" s="10">
        <f t="shared" si="242"/>
        <v>0</v>
      </c>
      <c r="BA323" s="10">
        <f t="shared" si="242"/>
        <v>0</v>
      </c>
      <c r="BB323" s="10">
        <f t="shared" si="242"/>
        <v>0</v>
      </c>
      <c r="BC323" s="10">
        <f t="shared" si="242"/>
        <v>0</v>
      </c>
      <c r="BD323" s="10">
        <f t="shared" si="242"/>
        <v>0</v>
      </c>
      <c r="BE323" s="10">
        <f t="shared" si="242"/>
        <v>0</v>
      </c>
      <c r="BF323" s="10">
        <f t="shared" si="242"/>
        <v>0</v>
      </c>
      <c r="BG323" s="10">
        <f t="shared" si="242"/>
        <v>0</v>
      </c>
      <c r="BH323" s="10">
        <f t="shared" si="242"/>
        <v>0</v>
      </c>
      <c r="BI323" s="10">
        <f t="shared" si="242"/>
        <v>0</v>
      </c>
      <c r="BJ323" s="10">
        <f t="shared" si="242"/>
        <v>0</v>
      </c>
      <c r="BK323" s="10">
        <f t="shared" si="242"/>
        <v>0</v>
      </c>
      <c r="BL323" s="10">
        <f t="shared" si="242"/>
        <v>0</v>
      </c>
      <c r="BM323" s="10">
        <f t="shared" si="242"/>
        <v>0</v>
      </c>
      <c r="BN323" s="10">
        <f t="shared" si="242"/>
        <v>0</v>
      </c>
      <c r="BO323" s="10">
        <f t="shared" si="242"/>
        <v>0</v>
      </c>
      <c r="BP323" s="10">
        <f t="shared" si="242"/>
        <v>0</v>
      </c>
      <c r="BQ323" s="10">
        <f t="shared" si="242"/>
        <v>0</v>
      </c>
      <c r="BR323" s="10">
        <f t="shared" si="242"/>
        <v>0</v>
      </c>
      <c r="BS323" s="10">
        <f t="shared" si="242"/>
        <v>0</v>
      </c>
      <c r="BT323" s="10">
        <f t="shared" si="242"/>
        <v>0</v>
      </c>
      <c r="BU323" s="10">
        <f t="shared" si="242"/>
        <v>0</v>
      </c>
      <c r="BV323" s="10">
        <f t="shared" si="242"/>
        <v>0</v>
      </c>
      <c r="BX323" s="12">
        <f t="shared" ref="BX323:CA327" si="243">V323</f>
        <v>0</v>
      </c>
      <c r="BY323" s="12">
        <f t="shared" si="243"/>
        <v>0</v>
      </c>
      <c r="BZ323" s="12">
        <f t="shared" si="243"/>
        <v>0</v>
      </c>
      <c r="CA323" s="12">
        <f t="shared" si="243"/>
        <v>0</v>
      </c>
      <c r="CB323" s="10">
        <f t="shared" ref="CB323:CI323" si="244">CA327</f>
        <v>0</v>
      </c>
      <c r="CC323" s="10">
        <f t="shared" si="244"/>
        <v>0</v>
      </c>
      <c r="CD323" s="10">
        <f t="shared" si="244"/>
        <v>0</v>
      </c>
      <c r="CE323" s="10">
        <f t="shared" si="244"/>
        <v>0</v>
      </c>
      <c r="CF323" s="10">
        <f t="shared" si="244"/>
        <v>0</v>
      </c>
      <c r="CG323" s="10">
        <f t="shared" si="244"/>
        <v>0</v>
      </c>
      <c r="CH323" s="10">
        <f t="shared" si="244"/>
        <v>0</v>
      </c>
      <c r="CI323" s="10">
        <f t="shared" si="244"/>
        <v>0</v>
      </c>
      <c r="CK323" s="11"/>
      <c r="CM323" s="11"/>
      <c r="CY323" s="7" cm="1">
        <f t="array" ref="CY323">SUMPRODUCT(--NOT(ISNUMBER(V323:CI323)),--NOT(ISBLANK(V323:CI323)))</f>
        <v>0</v>
      </c>
      <c r="DF323" s="11"/>
      <c r="DG323">
        <f t="shared" si="237"/>
        <v>0</v>
      </c>
      <c r="DH323">
        <v>1</v>
      </c>
      <c r="DI323">
        <v>0</v>
      </c>
      <c r="EY323" s="12" t="str">
        <f>IF(C323="", "", CONCATENATE(D322, " ",D323))</f>
        <v>Loan 15 Opening Loan Balance</v>
      </c>
    </row>
    <row r="324" spans="1:155" s="5" customFormat="1" x14ac:dyDescent="0.35">
      <c r="A324" s="220" cm="1">
        <f t="array" aca="1" ref="A324" ca="1">HYPERLINK(CONCATENATE("#",CELL("address",IF(MAX($CM324:$DF324)=0,A324,INDEX($CM324:$DF324,MATCH(1,$CM324:$DF324,0))))),MAX($CM324:$DF324))</f>
        <v>0</v>
      </c>
      <c r="B324" s="85" t="s">
        <v>122</v>
      </c>
      <c r="C324" s="211" t="s">
        <v>1188</v>
      </c>
      <c r="D324" t="s">
        <v>1076</v>
      </c>
      <c r="E324" s="1"/>
      <c r="F324" s="1"/>
      <c r="G324"/>
      <c r="H324" s="9" t="s">
        <v>1074</v>
      </c>
      <c r="I324" s="40" t="s">
        <v>665</v>
      </c>
      <c r="J324"/>
      <c r="K324"/>
      <c r="L324"/>
      <c r="M324"/>
      <c r="N324"/>
      <c r="O324"/>
      <c r="P324"/>
      <c r="Q324"/>
      <c r="R324"/>
      <c r="S324"/>
      <c r="T324"/>
      <c r="U324"/>
      <c r="V324" s="109"/>
      <c r="W324" s="133">
        <f t="shared" ref="W324:Y326" si="245" xml:space="preserve"> SUMIFS($AA324:$BV324, $AA$3:$BV$3, W$3)</f>
        <v>0</v>
      </c>
      <c r="X324" s="133">
        <f t="shared" si="245"/>
        <v>0</v>
      </c>
      <c r="Y324" s="133">
        <f t="shared" si="245"/>
        <v>0</v>
      </c>
      <c r="Z32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c r="BX324" s="12">
        <f t="shared" si="243"/>
        <v>0</v>
      </c>
      <c r="BY324" s="12">
        <f t="shared" si="243"/>
        <v>0</v>
      </c>
      <c r="BZ324" s="12">
        <f t="shared" si="243"/>
        <v>0</v>
      </c>
      <c r="CA324" s="12">
        <f t="shared" si="243"/>
        <v>0</v>
      </c>
      <c r="CB324" s="133">
        <f xml:space="preserve"> SUMIFS($AA324:$BV324, $AA$3:$BV$3, CB$3)</f>
        <v>0</v>
      </c>
      <c r="CC324" s="109"/>
      <c r="CD324" s="109"/>
      <c r="CE324" s="109"/>
      <c r="CF324" s="109"/>
      <c r="CG324" s="109"/>
      <c r="CH324" s="109"/>
      <c r="CI324" s="109"/>
      <c r="CJ324"/>
      <c r="CK324" s="11"/>
      <c r="CL324" s="241">
        <f>IF(MIN($V324:$CI324)&lt;0, 1, 0)</f>
        <v>0</v>
      </c>
      <c r="CM324" s="11"/>
      <c r="CN324"/>
      <c r="CO324"/>
      <c r="CP324"/>
      <c r="CQ324"/>
      <c r="CR324"/>
      <c r="CS324"/>
      <c r="CT324"/>
      <c r="CU324"/>
      <c r="CV324"/>
      <c r="CW324"/>
      <c r="CX324"/>
      <c r="CY324" s="7" cm="1">
        <f t="array" ref="CY324">SUMPRODUCT(--NOT(ISNUMBER(V324:CI324)),--NOT(ISBLANK(V324:CI324)))</f>
        <v>0</v>
      </c>
      <c r="CZ324" s="7">
        <f t="shared" ref="CZ324:DB326" si="246">IF(ROUND(W324-SUMIFS($AA324:$BV324, $AA$3:$BV$3, W$3), rounding)=0, 0, 1)</f>
        <v>0</v>
      </c>
      <c r="DA324" s="7">
        <f t="shared" si="246"/>
        <v>0</v>
      </c>
      <c r="DB324" s="7">
        <f t="shared" si="246"/>
        <v>0</v>
      </c>
      <c r="DC324" s="7">
        <f>IF(ROUND(CB324-SUMIFS($AA324:$BV324, $AA$3:$BV$3, CB$3), rounding)=0, 0, 1)</f>
        <v>0</v>
      </c>
      <c r="DD324" s="7">
        <f>IF(ROUND(V324-BX324, rounding)=0, 0, 1)*'BS Forecasts'!$V$10</f>
        <v>0</v>
      </c>
      <c r="DE324"/>
      <c r="DF324" s="11"/>
      <c r="DG324">
        <f t="shared" si="237"/>
        <v>0</v>
      </c>
      <c r="DH324">
        <v>1</v>
      </c>
      <c r="DI324">
        <v>1</v>
      </c>
      <c r="EY324" s="12" t="str">
        <f>IF(C324="", "", CONCATENATE(D322, " ",D324))</f>
        <v>Loan 15 Drawdowns</v>
      </c>
    </row>
    <row r="325" spans="1:155" x14ac:dyDescent="0.35">
      <c r="A325" s="220" cm="1">
        <f t="array" aca="1" ref="A325" ca="1">HYPERLINK(CONCATENATE("#",CELL("address",IF(MAX($CM325:$DF325)=0,A325,INDEX($CM325:$DF325,MATCH(1,$CM325:$DF325,0))))),MAX($CM325:$DF325))</f>
        <v>0</v>
      </c>
      <c r="C325" s="211" t="s">
        <v>1189</v>
      </c>
      <c r="D325" t="s">
        <v>1078</v>
      </c>
      <c r="H325" s="9" t="s">
        <v>1074</v>
      </c>
      <c r="I325" s="40" t="s">
        <v>1079</v>
      </c>
      <c r="V325" s="109"/>
      <c r="W325" s="133">
        <f t="shared" si="245"/>
        <v>0</v>
      </c>
      <c r="X325" s="133">
        <f t="shared" si="245"/>
        <v>0</v>
      </c>
      <c r="Y325" s="133">
        <f t="shared" si="245"/>
        <v>0</v>
      </c>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X325" s="12">
        <f t="shared" si="243"/>
        <v>0</v>
      </c>
      <c r="BY325" s="12">
        <f t="shared" si="243"/>
        <v>0</v>
      </c>
      <c r="BZ325" s="12">
        <f t="shared" si="243"/>
        <v>0</v>
      </c>
      <c r="CA325" s="12">
        <f t="shared" si="243"/>
        <v>0</v>
      </c>
      <c r="CB325" s="133">
        <f xml:space="preserve"> SUMIFS($AA325:$BV325, $AA$3:$BV$3, CB$3)</f>
        <v>0</v>
      </c>
      <c r="CC325" s="109"/>
      <c r="CD325" s="109"/>
      <c r="CE325" s="109"/>
      <c r="CF325" s="109"/>
      <c r="CG325" s="109"/>
      <c r="CH325" s="109"/>
      <c r="CI325" s="109"/>
      <c r="CK325" s="11"/>
      <c r="CL325" s="241">
        <f>IF(MAX($V325:$CI325)&gt;0, 1, 0)</f>
        <v>0</v>
      </c>
      <c r="CM325" s="11"/>
      <c r="CY325" s="7" cm="1">
        <f t="array" ref="CY325">SUMPRODUCT(--NOT(ISNUMBER(V325:CI325)),--NOT(ISBLANK(V325:CI325)))</f>
        <v>0</v>
      </c>
      <c r="CZ325" s="7">
        <f t="shared" si="246"/>
        <v>0</v>
      </c>
      <c r="DA325" s="7">
        <f t="shared" si="246"/>
        <v>0</v>
      </c>
      <c r="DB325" s="7">
        <f t="shared" si="246"/>
        <v>0</v>
      </c>
      <c r="DC325" s="7">
        <f>IF(ROUND(CB325-SUMIFS($AA325:$BV325, $AA$3:$BV$3, CB$3), rounding)=0, 0, 1)</f>
        <v>0</v>
      </c>
      <c r="DD325" s="7">
        <f>IF(ROUND(V325-BX325, rounding)=0, 0, 1)*'BS Forecasts'!$V$10</f>
        <v>0</v>
      </c>
      <c r="DF325" s="11"/>
      <c r="DG325">
        <f t="shared" si="237"/>
        <v>0</v>
      </c>
      <c r="DH325">
        <v>1</v>
      </c>
      <c r="DI325">
        <v>1</v>
      </c>
      <c r="EY325" s="12" t="str">
        <f>IF(C325="", "", CONCATENATE(D322, " ",D325))</f>
        <v>Loan 15 Loan Capital Repayment (as per loan agreement)</v>
      </c>
    </row>
    <row r="326" spans="1:155" x14ac:dyDescent="0.35">
      <c r="A326" s="220" cm="1">
        <f t="array" aca="1" ref="A326" ca="1">HYPERLINK(CONCATENATE("#",CELL("address",IF(MAX($CM326:$DF326)=0,A326,INDEX($CM326:$DF326,MATCH(1,$CM326:$DF326,0))))),MAX($CM326:$DF326))</f>
        <v>0</v>
      </c>
      <c r="C326" s="211" t="s">
        <v>1190</v>
      </c>
      <c r="D326" t="s">
        <v>1081</v>
      </c>
      <c r="H326" s="9" t="s">
        <v>1074</v>
      </c>
      <c r="I326" s="40" t="s">
        <v>1079</v>
      </c>
      <c r="V326" s="109"/>
      <c r="W326" s="133">
        <f t="shared" si="245"/>
        <v>0</v>
      </c>
      <c r="X326" s="133">
        <f t="shared" si="245"/>
        <v>0</v>
      </c>
      <c r="Y326" s="133">
        <f t="shared" si="245"/>
        <v>0</v>
      </c>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X326" s="12">
        <f t="shared" si="243"/>
        <v>0</v>
      </c>
      <c r="BY326" s="12">
        <f t="shared" si="243"/>
        <v>0</v>
      </c>
      <c r="BZ326" s="12">
        <f t="shared" si="243"/>
        <v>0</v>
      </c>
      <c r="CA326" s="12">
        <f t="shared" si="243"/>
        <v>0</v>
      </c>
      <c r="CB326" s="133">
        <f xml:space="preserve"> SUMIFS($AA326:$BV326, $AA$3:$BV$3, CB$3)</f>
        <v>0</v>
      </c>
      <c r="CC326" s="109"/>
      <c r="CD326" s="109"/>
      <c r="CE326" s="109"/>
      <c r="CF326" s="109"/>
      <c r="CG326" s="109"/>
      <c r="CH326" s="109"/>
      <c r="CI326" s="109"/>
      <c r="CK326" s="11"/>
      <c r="CL326" s="241">
        <f>IF(MAX($V326:$CI326)&gt;0, 1, 0)</f>
        <v>0</v>
      </c>
      <c r="CM326" s="11"/>
      <c r="CY326" s="7" cm="1">
        <f t="array" ref="CY326">SUMPRODUCT(--NOT(ISNUMBER(V326:CI326)),--NOT(ISBLANK(V326:CI326)))</f>
        <v>0</v>
      </c>
      <c r="CZ326" s="7">
        <f t="shared" si="246"/>
        <v>0</v>
      </c>
      <c r="DA326" s="7">
        <f t="shared" si="246"/>
        <v>0</v>
      </c>
      <c r="DB326" s="7">
        <f t="shared" si="246"/>
        <v>0</v>
      </c>
      <c r="DC326" s="7">
        <f>IF(ROUND(CB326-SUMIFS($AA326:$BV326, $AA$3:$BV$3, CB$3), rounding)=0, 0, 1)</f>
        <v>0</v>
      </c>
      <c r="DD326" s="7">
        <f>IF(ROUND(V326-BX326, rounding)=0, 0, 1)*'BS Forecasts'!$V$10</f>
        <v>0</v>
      </c>
      <c r="DF326" s="11"/>
      <c r="DG326">
        <f t="shared" si="237"/>
        <v>0</v>
      </c>
      <c r="DH326">
        <v>1</v>
      </c>
      <c r="DI326">
        <v>1</v>
      </c>
      <c r="EY326" s="12" t="str">
        <f>IF(C326="", "", CONCATENATE(D322, " ",D326))</f>
        <v xml:space="preserve">Loan 15 Early Repayment </v>
      </c>
    </row>
    <row r="327" spans="1:155" x14ac:dyDescent="0.35">
      <c r="C327" s="211" t="s">
        <v>1191</v>
      </c>
      <c r="D327" t="s">
        <v>1083</v>
      </c>
      <c r="H327" s="9" t="s">
        <v>1074</v>
      </c>
      <c r="I327" s="40" t="s">
        <v>317</v>
      </c>
      <c r="V327" s="12">
        <f>$H$27</f>
        <v>0</v>
      </c>
      <c r="W327" s="10">
        <f>SUM(W323:W326)</f>
        <v>0</v>
      </c>
      <c r="X327" s="10">
        <f>SUM(X323:X326)</f>
        <v>0</v>
      </c>
      <c r="Y327" s="10">
        <f>SUM(Y323:Y326)</f>
        <v>0</v>
      </c>
      <c r="AA327" s="10">
        <f t="shared" ref="AA327:BV327" si="247">SUM(AA323:AA326)</f>
        <v>0</v>
      </c>
      <c r="AB327" s="10">
        <f t="shared" si="247"/>
        <v>0</v>
      </c>
      <c r="AC327" s="10">
        <f t="shared" si="247"/>
        <v>0</v>
      </c>
      <c r="AD327" s="10">
        <f t="shared" si="247"/>
        <v>0</v>
      </c>
      <c r="AE327" s="10">
        <f t="shared" si="247"/>
        <v>0</v>
      </c>
      <c r="AF327" s="10">
        <f t="shared" si="247"/>
        <v>0</v>
      </c>
      <c r="AG327" s="10">
        <f t="shared" si="247"/>
        <v>0</v>
      </c>
      <c r="AH327" s="10">
        <f t="shared" si="247"/>
        <v>0</v>
      </c>
      <c r="AI327" s="10">
        <f t="shared" si="247"/>
        <v>0</v>
      </c>
      <c r="AJ327" s="10">
        <f t="shared" si="247"/>
        <v>0</v>
      </c>
      <c r="AK327" s="10">
        <f t="shared" si="247"/>
        <v>0</v>
      </c>
      <c r="AL327" s="10">
        <f t="shared" si="247"/>
        <v>0</v>
      </c>
      <c r="AM327" s="10">
        <f t="shared" si="247"/>
        <v>0</v>
      </c>
      <c r="AN327" s="10">
        <f t="shared" si="247"/>
        <v>0</v>
      </c>
      <c r="AO327" s="10">
        <f t="shared" si="247"/>
        <v>0</v>
      </c>
      <c r="AP327" s="10">
        <f t="shared" si="247"/>
        <v>0</v>
      </c>
      <c r="AQ327" s="10">
        <f t="shared" si="247"/>
        <v>0</v>
      </c>
      <c r="AR327" s="10">
        <f t="shared" si="247"/>
        <v>0</v>
      </c>
      <c r="AS327" s="10">
        <f t="shared" si="247"/>
        <v>0</v>
      </c>
      <c r="AT327" s="10">
        <f t="shared" si="247"/>
        <v>0</v>
      </c>
      <c r="AU327" s="10">
        <f t="shared" si="247"/>
        <v>0</v>
      </c>
      <c r="AV327" s="10">
        <f t="shared" si="247"/>
        <v>0</v>
      </c>
      <c r="AW327" s="10">
        <f t="shared" si="247"/>
        <v>0</v>
      </c>
      <c r="AX327" s="10">
        <f t="shared" si="247"/>
        <v>0</v>
      </c>
      <c r="AY327" s="10">
        <f t="shared" si="247"/>
        <v>0</v>
      </c>
      <c r="AZ327" s="10">
        <f t="shared" si="247"/>
        <v>0</v>
      </c>
      <c r="BA327" s="10">
        <f t="shared" si="247"/>
        <v>0</v>
      </c>
      <c r="BB327" s="10">
        <f t="shared" si="247"/>
        <v>0</v>
      </c>
      <c r="BC327" s="10">
        <f t="shared" si="247"/>
        <v>0</v>
      </c>
      <c r="BD327" s="10">
        <f t="shared" si="247"/>
        <v>0</v>
      </c>
      <c r="BE327" s="10">
        <f t="shared" si="247"/>
        <v>0</v>
      </c>
      <c r="BF327" s="10">
        <f t="shared" si="247"/>
        <v>0</v>
      </c>
      <c r="BG327" s="10">
        <f t="shared" si="247"/>
        <v>0</v>
      </c>
      <c r="BH327" s="10">
        <f t="shared" si="247"/>
        <v>0</v>
      </c>
      <c r="BI327" s="10">
        <f t="shared" si="247"/>
        <v>0</v>
      </c>
      <c r="BJ327" s="10">
        <f t="shared" si="247"/>
        <v>0</v>
      </c>
      <c r="BK327" s="10">
        <f t="shared" si="247"/>
        <v>0</v>
      </c>
      <c r="BL327" s="10">
        <f t="shared" si="247"/>
        <v>0</v>
      </c>
      <c r="BM327" s="10">
        <f t="shared" si="247"/>
        <v>0</v>
      </c>
      <c r="BN327" s="10">
        <f t="shared" si="247"/>
        <v>0</v>
      </c>
      <c r="BO327" s="10">
        <f t="shared" si="247"/>
        <v>0</v>
      </c>
      <c r="BP327" s="10">
        <f t="shared" si="247"/>
        <v>0</v>
      </c>
      <c r="BQ327" s="10">
        <f t="shared" si="247"/>
        <v>0</v>
      </c>
      <c r="BR327" s="10">
        <f t="shared" si="247"/>
        <v>0</v>
      </c>
      <c r="BS327" s="10">
        <f t="shared" si="247"/>
        <v>0</v>
      </c>
      <c r="BT327" s="10">
        <f t="shared" si="247"/>
        <v>0</v>
      </c>
      <c r="BU327" s="10">
        <f t="shared" si="247"/>
        <v>0</v>
      </c>
      <c r="BV327" s="10">
        <f t="shared" si="247"/>
        <v>0</v>
      </c>
      <c r="BX327" s="12">
        <f t="shared" si="243"/>
        <v>0</v>
      </c>
      <c r="BY327" s="12">
        <f t="shared" si="243"/>
        <v>0</v>
      </c>
      <c r="BZ327" s="12">
        <f t="shared" si="243"/>
        <v>0</v>
      </c>
      <c r="CA327" s="12">
        <f t="shared" si="243"/>
        <v>0</v>
      </c>
      <c r="CB327" s="10">
        <f t="shared" ref="CB327:CI327" si="248">SUM(CB323:CB326)</f>
        <v>0</v>
      </c>
      <c r="CC327" s="10">
        <f t="shared" si="248"/>
        <v>0</v>
      </c>
      <c r="CD327" s="10">
        <f t="shared" si="248"/>
        <v>0</v>
      </c>
      <c r="CE327" s="10">
        <f t="shared" si="248"/>
        <v>0</v>
      </c>
      <c r="CF327" s="10">
        <f t="shared" si="248"/>
        <v>0</v>
      </c>
      <c r="CG327" s="10">
        <f t="shared" si="248"/>
        <v>0</v>
      </c>
      <c r="CH327" s="10">
        <f t="shared" si="248"/>
        <v>0</v>
      </c>
      <c r="CI327" s="10">
        <f t="shared" si="248"/>
        <v>0</v>
      </c>
      <c r="CK327" s="11"/>
      <c r="CM327" s="11"/>
      <c r="DF327" s="11"/>
      <c r="DG327">
        <f t="shared" si="237"/>
        <v>0</v>
      </c>
      <c r="DH327">
        <v>0</v>
      </c>
      <c r="DI327">
        <v>0</v>
      </c>
      <c r="EY327" s="12" t="str">
        <f>IF(C327="", "", CONCATENATE(D322, " ",D327))</f>
        <v>Loan 15 Closing Loan Balance</v>
      </c>
    </row>
    <row r="328" spans="1:155" ht="6.75" customHeight="1" x14ac:dyDescent="0.35">
      <c r="C328" s="211"/>
      <c r="D328" s="1"/>
      <c r="E328"/>
      <c r="F328"/>
      <c r="BY328" s="6"/>
      <c r="CK328" s="35"/>
      <c r="CM328" s="35"/>
      <c r="DF328" s="35"/>
      <c r="DG328">
        <f t="shared" si="237"/>
        <v>0</v>
      </c>
      <c r="DH328">
        <v>0</v>
      </c>
      <c r="DI328">
        <v>0</v>
      </c>
      <c r="EY328" s="12" t="str">
        <f>IF(C328="", "", CONCATENATE(D322, " ",D328))</f>
        <v/>
      </c>
    </row>
    <row r="329" spans="1:155" x14ac:dyDescent="0.35">
      <c r="A329" s="220" cm="1">
        <f t="array" aca="1" ref="A329" ca="1">HYPERLINK(CONCATENATE("#",CELL("address",IF(MAX($CM329:$DF329)=0,A329,INDEX($CM329:$DF329,MATCH(1,$CM329:$DF329,0))))),MAX($CM329:$DF329))</f>
        <v>0</v>
      </c>
      <c r="C329" s="211"/>
      <c r="D329" t="s">
        <v>1084</v>
      </c>
      <c r="E329" s="118" t="s">
        <v>1085</v>
      </c>
      <c r="F329" s="118"/>
      <c r="G329" s="10">
        <f>$G$27</f>
        <v>0</v>
      </c>
      <c r="V329" s="7">
        <f>IF(OR(V327&gt;$G329, V327&lt;0), 1, 0)</f>
        <v>0</v>
      </c>
      <c r="W329" s="7">
        <f>IF(OR(W327&gt;$G329, W327&lt;0), 1, 0)</f>
        <v>0</v>
      </c>
      <c r="X329" s="7">
        <f>IF(OR(X327&gt;$G329, X327&lt;0), 1, 0)</f>
        <v>0</v>
      </c>
      <c r="Y329" s="7">
        <f>IF(OR(Y327&gt;$G329, Y327&lt;0), 1, 0)</f>
        <v>0</v>
      </c>
      <c r="AA329" s="7">
        <f t="shared" ref="AA329:BV329" si="249">IF(OR(AA327&gt;$G329, AA327&lt;0), 1, 0)</f>
        <v>0</v>
      </c>
      <c r="AB329" s="7">
        <f t="shared" si="249"/>
        <v>0</v>
      </c>
      <c r="AC329" s="7">
        <f t="shared" si="249"/>
        <v>0</v>
      </c>
      <c r="AD329" s="7">
        <f t="shared" si="249"/>
        <v>0</v>
      </c>
      <c r="AE329" s="7">
        <f t="shared" si="249"/>
        <v>0</v>
      </c>
      <c r="AF329" s="7">
        <f t="shared" si="249"/>
        <v>0</v>
      </c>
      <c r="AG329" s="7">
        <f t="shared" si="249"/>
        <v>0</v>
      </c>
      <c r="AH329" s="7">
        <f t="shared" si="249"/>
        <v>0</v>
      </c>
      <c r="AI329" s="7">
        <f t="shared" si="249"/>
        <v>0</v>
      </c>
      <c r="AJ329" s="7">
        <f t="shared" si="249"/>
        <v>0</v>
      </c>
      <c r="AK329" s="7">
        <f t="shared" si="249"/>
        <v>0</v>
      </c>
      <c r="AL329" s="7">
        <f t="shared" si="249"/>
        <v>0</v>
      </c>
      <c r="AM329" s="7">
        <f t="shared" si="249"/>
        <v>0</v>
      </c>
      <c r="AN329" s="7">
        <f t="shared" si="249"/>
        <v>0</v>
      </c>
      <c r="AO329" s="7">
        <f t="shared" si="249"/>
        <v>0</v>
      </c>
      <c r="AP329" s="7">
        <f t="shared" si="249"/>
        <v>0</v>
      </c>
      <c r="AQ329" s="7">
        <f t="shared" si="249"/>
        <v>0</v>
      </c>
      <c r="AR329" s="7">
        <f t="shared" si="249"/>
        <v>0</v>
      </c>
      <c r="AS329" s="7">
        <f t="shared" si="249"/>
        <v>0</v>
      </c>
      <c r="AT329" s="7">
        <f t="shared" si="249"/>
        <v>0</v>
      </c>
      <c r="AU329" s="7">
        <f t="shared" si="249"/>
        <v>0</v>
      </c>
      <c r="AV329" s="7">
        <f t="shared" si="249"/>
        <v>0</v>
      </c>
      <c r="AW329" s="7">
        <f t="shared" si="249"/>
        <v>0</v>
      </c>
      <c r="AX329" s="7">
        <f t="shared" si="249"/>
        <v>0</v>
      </c>
      <c r="AY329" s="7">
        <f t="shared" si="249"/>
        <v>0</v>
      </c>
      <c r="AZ329" s="7">
        <f t="shared" si="249"/>
        <v>0</v>
      </c>
      <c r="BA329" s="7">
        <f t="shared" si="249"/>
        <v>0</v>
      </c>
      <c r="BB329" s="7">
        <f t="shared" si="249"/>
        <v>0</v>
      </c>
      <c r="BC329" s="7">
        <f t="shared" si="249"/>
        <v>0</v>
      </c>
      <c r="BD329" s="7">
        <f t="shared" si="249"/>
        <v>0</v>
      </c>
      <c r="BE329" s="7">
        <f t="shared" si="249"/>
        <v>0</v>
      </c>
      <c r="BF329" s="7">
        <f t="shared" si="249"/>
        <v>0</v>
      </c>
      <c r="BG329" s="7">
        <f t="shared" si="249"/>
        <v>0</v>
      </c>
      <c r="BH329" s="7">
        <f t="shared" si="249"/>
        <v>0</v>
      </c>
      <c r="BI329" s="7">
        <f t="shared" si="249"/>
        <v>0</v>
      </c>
      <c r="BJ329" s="7">
        <f t="shared" si="249"/>
        <v>0</v>
      </c>
      <c r="BK329" s="7">
        <f t="shared" si="249"/>
        <v>0</v>
      </c>
      <c r="BL329" s="7">
        <f t="shared" si="249"/>
        <v>0</v>
      </c>
      <c r="BM329" s="7">
        <f t="shared" si="249"/>
        <v>0</v>
      </c>
      <c r="BN329" s="7">
        <f t="shared" si="249"/>
        <v>0</v>
      </c>
      <c r="BO329" s="7">
        <f t="shared" si="249"/>
        <v>0</v>
      </c>
      <c r="BP329" s="7">
        <f t="shared" si="249"/>
        <v>0</v>
      </c>
      <c r="BQ329" s="7">
        <f t="shared" si="249"/>
        <v>0</v>
      </c>
      <c r="BR329" s="7">
        <f t="shared" si="249"/>
        <v>0</v>
      </c>
      <c r="BS329" s="7">
        <f t="shared" si="249"/>
        <v>0</v>
      </c>
      <c r="BT329" s="7">
        <f t="shared" si="249"/>
        <v>0</v>
      </c>
      <c r="BU329" s="7">
        <f t="shared" si="249"/>
        <v>0</v>
      </c>
      <c r="BV329" s="7">
        <f t="shared" si="249"/>
        <v>0</v>
      </c>
      <c r="BX329" s="7">
        <f t="shared" ref="BX329:CI329" si="250">IF(OR(BX327&gt;$G329, BX327&lt;0), 1, 0)</f>
        <v>0</v>
      </c>
      <c r="BY329" s="7">
        <f t="shared" si="250"/>
        <v>0</v>
      </c>
      <c r="BZ329" s="7">
        <f t="shared" si="250"/>
        <v>0</v>
      </c>
      <c r="CA329" s="7">
        <f t="shared" si="250"/>
        <v>0</v>
      </c>
      <c r="CB329" s="7">
        <f t="shared" si="250"/>
        <v>0</v>
      </c>
      <c r="CC329" s="7">
        <f t="shared" si="250"/>
        <v>0</v>
      </c>
      <c r="CD329" s="7">
        <f t="shared" si="250"/>
        <v>0</v>
      </c>
      <c r="CE329" s="7">
        <f t="shared" si="250"/>
        <v>0</v>
      </c>
      <c r="CF329" s="7">
        <f t="shared" si="250"/>
        <v>0</v>
      </c>
      <c r="CG329" s="7">
        <f t="shared" si="250"/>
        <v>0</v>
      </c>
      <c r="CH329" s="7">
        <f t="shared" si="250"/>
        <v>0</v>
      </c>
      <c r="CI329" s="7">
        <f t="shared" si="250"/>
        <v>0</v>
      </c>
      <c r="CK329" s="11"/>
      <c r="CM329" s="11"/>
      <c r="CX329" s="7">
        <f>IF(MAX(V329:CI329)&gt;0, 1, 0)</f>
        <v>0</v>
      </c>
      <c r="DF329" s="11"/>
      <c r="DG329">
        <f t="shared" si="237"/>
        <v>1</v>
      </c>
      <c r="DH329">
        <v>0</v>
      </c>
      <c r="DI329">
        <v>0</v>
      </c>
      <c r="EY329" s="12" t="str">
        <f>IF(C329="", "", CONCATENATE(D322, " ",D329))</f>
        <v/>
      </c>
    </row>
    <row r="330" spans="1:155" x14ac:dyDescent="0.35">
      <c r="A330" s="220" cm="1">
        <f t="array" aca="1" ref="A330" ca="1">HYPERLINK(CONCATENATE("#",CELL("address",IF(MAX($CM330:$DF330)=0,A330,INDEX($CM330:$DF330,MATCH(1,$CM330:$DF330,0))))),MAX($CM330:$DF330))</f>
        <v>0</v>
      </c>
      <c r="C330" s="211"/>
      <c r="D330" t="s">
        <v>1086</v>
      </c>
      <c r="E330" s="118" t="s">
        <v>1087</v>
      </c>
      <c r="F330" s="118"/>
      <c r="G330" s="117" t="str">
        <f>IF($K$27="", "", $K$27)</f>
        <v/>
      </c>
      <c r="V330" s="7">
        <f>IF(AND(V$5&gt;=$G330,SUM(V327:$Y327)&lt;&gt;0),1,0)</f>
        <v>0</v>
      </c>
      <c r="W330" s="7">
        <f>IF(AND(W$5&gt;=$G330,SUM(W327:$Y327)&lt;&gt;0),1,0)</f>
        <v>0</v>
      </c>
      <c r="X330" s="7">
        <f>IF(AND(X$5&gt;=$G330,SUM(X327:$Y327)&lt;&gt;0),1,0)</f>
        <v>0</v>
      </c>
      <c r="Y330" s="7">
        <f>IF(AND(Y$5&gt;=$G330,SUM(Y327:$Y327)&lt;&gt;0),1,0)</f>
        <v>0</v>
      </c>
      <c r="AA330" s="7">
        <f>IF(AND(AA$5&gt;=$G330,SUM(AA327:$BV327)&lt;&gt;0),1,0)</f>
        <v>0</v>
      </c>
      <c r="AB330" s="7">
        <f>IF(AND(AB$5&gt;=$G330,SUM(AB327:$BV327)&lt;&gt;0),1,0)</f>
        <v>0</v>
      </c>
      <c r="AC330" s="7">
        <f>IF(AND(AC$5&gt;=$G330,SUM(AC327:$BV327)&lt;&gt;0),1,0)</f>
        <v>0</v>
      </c>
      <c r="AD330" s="7">
        <f>IF(AND(AD$5&gt;=$G330,SUM(AD327:$BV327)&lt;&gt;0),1,0)</f>
        <v>0</v>
      </c>
      <c r="AE330" s="7">
        <f>IF(AND(AE$5&gt;=$G330,SUM(AE327:$BV327)&lt;&gt;0),1,0)</f>
        <v>0</v>
      </c>
      <c r="AF330" s="7">
        <f>IF(AND(AF$5&gt;=$G330,SUM(AF327:$BV327)&lt;&gt;0),1,0)</f>
        <v>0</v>
      </c>
      <c r="AG330" s="7">
        <f>IF(AND(AG$5&gt;=$G330,SUM(AG327:$BV327)&lt;&gt;0),1,0)</f>
        <v>0</v>
      </c>
      <c r="AH330" s="7">
        <f>IF(AND(AH$5&gt;=$G330,SUM(AH327:$BV327)&lt;&gt;0),1,0)</f>
        <v>0</v>
      </c>
      <c r="AI330" s="7">
        <f>IF(AND(AI$5&gt;=$G330,SUM(AI327:$BV327)&lt;&gt;0),1,0)</f>
        <v>0</v>
      </c>
      <c r="AJ330" s="7">
        <f>IF(AND(AJ$5&gt;=$G330,SUM(AJ327:$BV327)&lt;&gt;0),1,0)</f>
        <v>0</v>
      </c>
      <c r="AK330" s="7">
        <f>IF(AND(AK$5&gt;=$G330,SUM(AK327:$BV327)&lt;&gt;0),1,0)</f>
        <v>0</v>
      </c>
      <c r="AL330" s="7">
        <f>IF(AND(AL$5&gt;=$G330,SUM(AL327:$BV327)&lt;&gt;0),1,0)</f>
        <v>0</v>
      </c>
      <c r="AM330" s="7">
        <f>IF(AND(AM$5&gt;=$G330,SUM(AM327:$BV327)&lt;&gt;0),1,0)</f>
        <v>0</v>
      </c>
      <c r="AN330" s="7">
        <f>IF(AND(AN$5&gt;=$G330,SUM(AN327:$BV327)&lt;&gt;0),1,0)</f>
        <v>0</v>
      </c>
      <c r="AO330" s="7">
        <f>IF(AND(AO$5&gt;=$G330,SUM(AO327:$BV327)&lt;&gt;0),1,0)</f>
        <v>0</v>
      </c>
      <c r="AP330" s="7">
        <f>IF(AND(AP$5&gt;=$G330,SUM(AP327:$BV327)&lt;&gt;0),1,0)</f>
        <v>0</v>
      </c>
      <c r="AQ330" s="7">
        <f>IF(AND(AQ$5&gt;=$G330,SUM(AQ327:$BV327)&lt;&gt;0),1,0)</f>
        <v>0</v>
      </c>
      <c r="AR330" s="7">
        <f>IF(AND(AR$5&gt;=$G330,SUM(AR327:$BV327)&lt;&gt;0),1,0)</f>
        <v>0</v>
      </c>
      <c r="AS330" s="7">
        <f>IF(AND(AS$5&gt;=$G330,SUM(AS327:$BV327)&lt;&gt;0),1,0)</f>
        <v>0</v>
      </c>
      <c r="AT330" s="7">
        <f>IF(AND(AT$5&gt;=$G330,SUM(AT327:$BV327)&lt;&gt;0),1,0)</f>
        <v>0</v>
      </c>
      <c r="AU330" s="7">
        <f>IF(AND(AU$5&gt;=$G330,SUM(AU327:$BV327)&lt;&gt;0),1,0)</f>
        <v>0</v>
      </c>
      <c r="AV330" s="7">
        <f>IF(AND(AV$5&gt;=$G330,SUM(AV327:$BV327)&lt;&gt;0),1,0)</f>
        <v>0</v>
      </c>
      <c r="AW330" s="7">
        <f>IF(AND(AW$5&gt;=$G330,SUM(AW327:$BV327)&lt;&gt;0),1,0)</f>
        <v>0</v>
      </c>
      <c r="AX330" s="7">
        <f>IF(AND(AX$5&gt;=$G330,SUM(AX327:$BV327)&lt;&gt;0),1,0)</f>
        <v>0</v>
      </c>
      <c r="AY330" s="7">
        <f>IF(AND(AY$5&gt;=$G330,SUM(AY327:$BV327)&lt;&gt;0),1,0)</f>
        <v>0</v>
      </c>
      <c r="AZ330" s="7">
        <f>IF(AND(AZ$5&gt;=$G330,SUM(AZ327:$BV327)&lt;&gt;0),1,0)</f>
        <v>0</v>
      </c>
      <c r="BA330" s="7">
        <f>IF(AND(BA$5&gt;=$G330,SUM(BA327:$BV327)&lt;&gt;0),1,0)</f>
        <v>0</v>
      </c>
      <c r="BB330" s="7">
        <f>IF(AND(BB$5&gt;=$G330,SUM(BB327:$BV327)&lt;&gt;0),1,0)</f>
        <v>0</v>
      </c>
      <c r="BC330" s="7">
        <f>IF(AND(BC$5&gt;=$G330,SUM(BC327:$BV327)&lt;&gt;0),1,0)</f>
        <v>0</v>
      </c>
      <c r="BD330" s="7">
        <f>IF(AND(BD$5&gt;=$G330,SUM(BD327:$BV327)&lt;&gt;0),1,0)</f>
        <v>0</v>
      </c>
      <c r="BE330" s="7">
        <f>IF(AND(BE$5&gt;=$G330,SUM(BE327:$BV327)&lt;&gt;0),1,0)</f>
        <v>0</v>
      </c>
      <c r="BF330" s="7">
        <f>IF(AND(BF$5&gt;=$G330,SUM(BF327:$BV327)&lt;&gt;0),1,0)</f>
        <v>0</v>
      </c>
      <c r="BG330" s="7">
        <f>IF(AND(BG$5&gt;=$G330,SUM(BG327:$BV327)&lt;&gt;0),1,0)</f>
        <v>0</v>
      </c>
      <c r="BH330" s="7">
        <f>IF(AND(BH$5&gt;=$G330,SUM(BH327:$BV327)&lt;&gt;0),1,0)</f>
        <v>0</v>
      </c>
      <c r="BI330" s="7">
        <f>IF(AND(BI$5&gt;=$G330,SUM(BI327:$BV327)&lt;&gt;0),1,0)</f>
        <v>0</v>
      </c>
      <c r="BJ330" s="7">
        <f>IF(AND(BJ$5&gt;=$G330,SUM(BJ327:$BV327)&lt;&gt;0),1,0)</f>
        <v>0</v>
      </c>
      <c r="BK330" s="7">
        <f>IF(AND(BK$5&gt;=$G330,SUM(BK327:$BV327)&lt;&gt;0),1,0)</f>
        <v>0</v>
      </c>
      <c r="BL330" s="7">
        <f>IF(AND(BL$5&gt;=$G330,SUM(BL327:$BV327)&lt;&gt;0),1,0)</f>
        <v>0</v>
      </c>
      <c r="BM330" s="7">
        <f>IF(AND(BM$5&gt;=$G330,SUM(BM327:$BV327)&lt;&gt;0),1,0)</f>
        <v>0</v>
      </c>
      <c r="BN330" s="7">
        <f>IF(AND(BN$5&gt;=$G330,SUM(BN327:$BV327)&lt;&gt;0),1,0)</f>
        <v>0</v>
      </c>
      <c r="BO330" s="7">
        <f>IF(AND(BO$5&gt;=$G330,SUM(BO327:$BV327)&lt;&gt;0),1,0)</f>
        <v>0</v>
      </c>
      <c r="BP330" s="7">
        <f>IF(AND(BP$5&gt;=$G330,SUM(BP327:$BV327)&lt;&gt;0),1,0)</f>
        <v>0</v>
      </c>
      <c r="BQ330" s="7">
        <f>IF(AND(BQ$5&gt;=$G330,SUM(BQ327:$BV327)&lt;&gt;0),1,0)</f>
        <v>0</v>
      </c>
      <c r="BR330" s="7">
        <f>IF(AND(BR$5&gt;=$G330,SUM(BR327:$BV327)&lt;&gt;0),1,0)</f>
        <v>0</v>
      </c>
      <c r="BS330" s="7">
        <f>IF(AND(BS$5&gt;=$G330,SUM(BS327:$BV327)&lt;&gt;0),1,0)</f>
        <v>0</v>
      </c>
      <c r="BT330" s="7">
        <f>IF(AND(BT$5&gt;=$G330,SUM(BT327:$BV327)&lt;&gt;0),1,0)</f>
        <v>0</v>
      </c>
      <c r="BU330" s="7">
        <f>IF(AND(BU$5&gt;=$G330,SUM(BU327:$BV327)&lt;&gt;0),1,0)</f>
        <v>0</v>
      </c>
      <c r="BV330" s="7">
        <f>IF(AND(BV$5&gt;=$G330,SUM(BV327:$BV327)&lt;&gt;0),1,0)</f>
        <v>0</v>
      </c>
      <c r="BX330" s="7">
        <f>IF(AND(BX$5&gt;=$G330,SUM(BX327:$CI327)&lt;&gt;0),1,0)*BX$1159</f>
        <v>0</v>
      </c>
      <c r="BY330" s="7">
        <f>IF(AND(BY$5&gt;=$G330,SUM(BY327:$CI327)&lt;&gt;0),1,0)*BY$1159</f>
        <v>0</v>
      </c>
      <c r="BZ330" s="7">
        <f>IF(AND(BZ$5&gt;=$G330,SUM(BZ327:$CI327)&lt;&gt;0),1,0)*BZ$1159</f>
        <v>0</v>
      </c>
      <c r="CA330" s="7">
        <f>IF(AND(CA$5&gt;=$G330,SUM(CA327:$CI327)&lt;&gt;0),1,0)*CA$1159</f>
        <v>0</v>
      </c>
      <c r="CB330" s="7">
        <f>IF(AND(CB$5&gt;=$G330,SUM(CB327:$CI327)&lt;&gt;0),1,0)*CB$1159</f>
        <v>0</v>
      </c>
      <c r="CC330" s="7">
        <f>IF(AND(CC$5&gt;=$G330,SUM(CC327:$CI327)&lt;&gt;0),1,0)*CC$1159</f>
        <v>0</v>
      </c>
      <c r="CD330" s="7">
        <f>IF(AND(CD$5&gt;=$G330,SUM(CD327:$CI327)&lt;&gt;0),1,0)*CD$1159</f>
        <v>0</v>
      </c>
      <c r="CE330" s="7">
        <f>IF(AND(CE$5&gt;=$G330,SUM(CE327:$CI327)&lt;&gt;0),1,0)*CE$1159</f>
        <v>0</v>
      </c>
      <c r="CF330" s="7">
        <f>IF(AND(CF$5&gt;=$G330,SUM(CF327:$CI327)&lt;&gt;0),1,0)*CF$1159</f>
        <v>0</v>
      </c>
      <c r="CG330" s="7">
        <f>IF(AND(CG$5&gt;=$G330,SUM(CG327:$CI327)&lt;&gt;0),1,0)*CG$1159</f>
        <v>0</v>
      </c>
      <c r="CH330" s="7">
        <f>IF(AND(CH$5&gt;=$G330,SUM(CH327:$CI327)&lt;&gt;0),1,0)*CH$1159</f>
        <v>0</v>
      </c>
      <c r="CI330" s="7">
        <f>IF(AND(CI$5&gt;=$G330,SUM(CI327:$CI327)&lt;&gt;0),1,0)*CI$1159</f>
        <v>0</v>
      </c>
      <c r="CK330" s="11"/>
      <c r="CM330" s="11"/>
      <c r="CX330" s="7">
        <f>IF(MAX($V330:$CI330)&gt;0, 1, 0)</f>
        <v>0</v>
      </c>
      <c r="DF330" s="11"/>
      <c r="DG330">
        <f t="shared" si="237"/>
        <v>1</v>
      </c>
      <c r="DH330">
        <v>0</v>
      </c>
      <c r="DI330">
        <v>0</v>
      </c>
      <c r="EY330" s="12" t="str">
        <f>IF(C330="", "", CONCATENATE(D322, " ",D330))</f>
        <v/>
      </c>
    </row>
    <row r="331" spans="1:155" ht="6.75" customHeight="1" x14ac:dyDescent="0.35">
      <c r="C331" s="211"/>
      <c r="D331" s="1"/>
      <c r="E331"/>
      <c r="F331"/>
      <c r="BY331" s="6"/>
      <c r="CK331" s="35"/>
      <c r="CM331" s="35"/>
      <c r="DF331" s="35"/>
      <c r="DG331">
        <f t="shared" si="237"/>
        <v>0</v>
      </c>
      <c r="DH331">
        <v>0</v>
      </c>
      <c r="DI331">
        <v>0</v>
      </c>
      <c r="EY331" s="12" t="str">
        <f>IF(C331="", "", CONCATENATE(D322, " ",D331))</f>
        <v/>
      </c>
    </row>
    <row r="332" spans="1:155" x14ac:dyDescent="0.35">
      <c r="C332" s="211"/>
      <c r="D332" t="s">
        <v>1088</v>
      </c>
      <c r="H332" s="9" t="s">
        <v>1074</v>
      </c>
      <c r="I332" s="40" t="s">
        <v>317</v>
      </c>
      <c r="V332" s="109"/>
      <c r="W332" s="133">
        <f>V335</f>
        <v>0</v>
      </c>
      <c r="X332" s="133">
        <f>W335</f>
        <v>0</v>
      </c>
      <c r="Y332" s="10">
        <f>X335</f>
        <v>0</v>
      </c>
      <c r="AA332" s="12">
        <f>W332</f>
        <v>0</v>
      </c>
      <c r="AB332" s="10">
        <f t="shared" ref="AB332:BV332" si="251">AA335</f>
        <v>0</v>
      </c>
      <c r="AC332" s="10">
        <f t="shared" si="251"/>
        <v>0</v>
      </c>
      <c r="AD332" s="10">
        <f t="shared" si="251"/>
        <v>0</v>
      </c>
      <c r="AE332" s="10">
        <f t="shared" si="251"/>
        <v>0</v>
      </c>
      <c r="AF332" s="10">
        <f t="shared" si="251"/>
        <v>0</v>
      </c>
      <c r="AG332" s="10">
        <f t="shared" si="251"/>
        <v>0</v>
      </c>
      <c r="AH332" s="10">
        <f t="shared" si="251"/>
        <v>0</v>
      </c>
      <c r="AI332" s="10">
        <f t="shared" si="251"/>
        <v>0</v>
      </c>
      <c r="AJ332" s="10">
        <f t="shared" si="251"/>
        <v>0</v>
      </c>
      <c r="AK332" s="10">
        <f t="shared" si="251"/>
        <v>0</v>
      </c>
      <c r="AL332" s="10">
        <f t="shared" si="251"/>
        <v>0</v>
      </c>
      <c r="AM332" s="10">
        <f t="shared" si="251"/>
        <v>0</v>
      </c>
      <c r="AN332" s="10">
        <f t="shared" si="251"/>
        <v>0</v>
      </c>
      <c r="AO332" s="10">
        <f t="shared" si="251"/>
        <v>0</v>
      </c>
      <c r="AP332" s="10">
        <f t="shared" si="251"/>
        <v>0</v>
      </c>
      <c r="AQ332" s="10">
        <f t="shared" si="251"/>
        <v>0</v>
      </c>
      <c r="AR332" s="10">
        <f t="shared" si="251"/>
        <v>0</v>
      </c>
      <c r="AS332" s="10">
        <f t="shared" si="251"/>
        <v>0</v>
      </c>
      <c r="AT332" s="10">
        <f t="shared" si="251"/>
        <v>0</v>
      </c>
      <c r="AU332" s="10">
        <f t="shared" si="251"/>
        <v>0</v>
      </c>
      <c r="AV332" s="10">
        <f t="shared" si="251"/>
        <v>0</v>
      </c>
      <c r="AW332" s="10">
        <f t="shared" si="251"/>
        <v>0</v>
      </c>
      <c r="AX332" s="10">
        <f t="shared" si="251"/>
        <v>0</v>
      </c>
      <c r="AY332" s="10">
        <f t="shared" si="251"/>
        <v>0</v>
      </c>
      <c r="AZ332" s="10">
        <f t="shared" si="251"/>
        <v>0</v>
      </c>
      <c r="BA332" s="10">
        <f t="shared" si="251"/>
        <v>0</v>
      </c>
      <c r="BB332" s="10">
        <f t="shared" si="251"/>
        <v>0</v>
      </c>
      <c r="BC332" s="10">
        <f t="shared" si="251"/>
        <v>0</v>
      </c>
      <c r="BD332" s="10">
        <f t="shared" si="251"/>
        <v>0</v>
      </c>
      <c r="BE332" s="10">
        <f t="shared" si="251"/>
        <v>0</v>
      </c>
      <c r="BF332" s="10">
        <f t="shared" si="251"/>
        <v>0</v>
      </c>
      <c r="BG332" s="10">
        <f t="shared" si="251"/>
        <v>0</v>
      </c>
      <c r="BH332" s="10">
        <f t="shared" si="251"/>
        <v>0</v>
      </c>
      <c r="BI332" s="10">
        <f t="shared" si="251"/>
        <v>0</v>
      </c>
      <c r="BJ332" s="10">
        <f t="shared" si="251"/>
        <v>0</v>
      </c>
      <c r="BK332" s="10">
        <f t="shared" si="251"/>
        <v>0</v>
      </c>
      <c r="BL332" s="10">
        <f t="shared" si="251"/>
        <v>0</v>
      </c>
      <c r="BM332" s="10">
        <f t="shared" si="251"/>
        <v>0</v>
      </c>
      <c r="BN332" s="10">
        <f t="shared" si="251"/>
        <v>0</v>
      </c>
      <c r="BO332" s="10">
        <f t="shared" si="251"/>
        <v>0</v>
      </c>
      <c r="BP332" s="10">
        <f t="shared" si="251"/>
        <v>0</v>
      </c>
      <c r="BQ332" s="10">
        <f t="shared" si="251"/>
        <v>0</v>
      </c>
      <c r="BR332" s="10">
        <f t="shared" si="251"/>
        <v>0</v>
      </c>
      <c r="BS332" s="10">
        <f t="shared" si="251"/>
        <v>0</v>
      </c>
      <c r="BT332" s="10">
        <f t="shared" si="251"/>
        <v>0</v>
      </c>
      <c r="BU332" s="10">
        <f t="shared" si="251"/>
        <v>0</v>
      </c>
      <c r="BV332" s="10">
        <f t="shared" si="251"/>
        <v>0</v>
      </c>
      <c r="BX332" s="12">
        <f t="shared" ref="BX332:CA335" si="252">V332</f>
        <v>0</v>
      </c>
      <c r="BY332" s="12">
        <f t="shared" si="252"/>
        <v>0</v>
      </c>
      <c r="BZ332" s="12">
        <f t="shared" si="252"/>
        <v>0</v>
      </c>
      <c r="CA332" s="12">
        <f t="shared" si="252"/>
        <v>0</v>
      </c>
      <c r="CB332" s="10">
        <f t="shared" ref="CB332:CI332" si="253">CA335</f>
        <v>0</v>
      </c>
      <c r="CC332" s="10">
        <f t="shared" si="253"/>
        <v>0</v>
      </c>
      <c r="CD332" s="10">
        <f t="shared" si="253"/>
        <v>0</v>
      </c>
      <c r="CE332" s="10">
        <f t="shared" si="253"/>
        <v>0</v>
      </c>
      <c r="CF332" s="10">
        <f t="shared" si="253"/>
        <v>0</v>
      </c>
      <c r="CG332" s="10">
        <f t="shared" si="253"/>
        <v>0</v>
      </c>
      <c r="CH332" s="10">
        <f t="shared" si="253"/>
        <v>0</v>
      </c>
      <c r="CI332" s="10">
        <f t="shared" si="253"/>
        <v>0</v>
      </c>
      <c r="CK332" s="11"/>
      <c r="CM332" s="11"/>
      <c r="CY332" s="7" cm="1">
        <f t="array" ref="CY332">SUMPRODUCT(--NOT(ISNUMBER(V332:CI332)),--NOT(ISBLANK(V332:CI332)))</f>
        <v>0</v>
      </c>
      <c r="DF332" s="11"/>
      <c r="DG332">
        <f t="shared" si="237"/>
        <v>0</v>
      </c>
      <c r="DH332">
        <v>1</v>
      </c>
      <c r="DI332">
        <v>0</v>
      </c>
      <c r="EY332" s="12" t="str">
        <f>IF(C332="", "", CONCATENATE(D322, " ",D332))</f>
        <v/>
      </c>
    </row>
    <row r="333" spans="1:155" s="5" customFormat="1" x14ac:dyDescent="0.35">
      <c r="A333" s="220" cm="1">
        <f t="array" aca="1" ref="A333" ca="1">HYPERLINK(CONCATENATE("#",CELL("address",IF(MAX($CM333:$DF333)=0,A333,INDEX($CM333:$DF333,MATCH(1,$CM333:$DF333,0))))),MAX($CM333:$DF333))</f>
        <v>0</v>
      </c>
      <c r="B333" s="85" t="s">
        <v>122</v>
      </c>
      <c r="C333" s="211"/>
      <c r="D333" t="s">
        <v>1089</v>
      </c>
      <c r="E333" s="1"/>
      <c r="F333" s="1"/>
      <c r="G333"/>
      <c r="H333" s="9" t="s">
        <v>1074</v>
      </c>
      <c r="I333" s="40" t="s">
        <v>665</v>
      </c>
      <c r="J333"/>
      <c r="K333"/>
      <c r="L333"/>
      <c r="M333"/>
      <c r="N333"/>
      <c r="O333"/>
      <c r="P333"/>
      <c r="Q333"/>
      <c r="R333"/>
      <c r="S333"/>
      <c r="T333"/>
      <c r="U333"/>
      <c r="V333" s="109"/>
      <c r="W333" s="133">
        <f t="shared" ref="W333:Y334" si="254" xml:space="preserve"> SUMIFS($AA333:$BV333, $AA$3:$BV$3, W$3)</f>
        <v>0</v>
      </c>
      <c r="X333" s="133">
        <f t="shared" si="254"/>
        <v>0</v>
      </c>
      <c r="Y333" s="133">
        <f t="shared" si="254"/>
        <v>0</v>
      </c>
      <c r="Z333"/>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c r="BX333" s="12">
        <f t="shared" si="252"/>
        <v>0</v>
      </c>
      <c r="BY333" s="12">
        <f t="shared" si="252"/>
        <v>0</v>
      </c>
      <c r="BZ333" s="12">
        <f t="shared" si="252"/>
        <v>0</v>
      </c>
      <c r="CA333" s="12">
        <f t="shared" si="252"/>
        <v>0</v>
      </c>
      <c r="CB333" s="133">
        <f xml:space="preserve"> SUMIFS($AA333:$BV333, $AA$3:$BV$3, CB$3)</f>
        <v>0</v>
      </c>
      <c r="CC333" s="109"/>
      <c r="CD333" s="109"/>
      <c r="CE333" s="109"/>
      <c r="CF333" s="109"/>
      <c r="CG333" s="109"/>
      <c r="CH333" s="109"/>
      <c r="CI333" s="109"/>
      <c r="CJ333"/>
      <c r="CK333" s="11"/>
      <c r="CL333" s="241">
        <f>IF(MIN($V333:$CI333)&lt;0, 1, 0)</f>
        <v>0</v>
      </c>
      <c r="CM333" s="11"/>
      <c r="CN333"/>
      <c r="CO333"/>
      <c r="CP333"/>
      <c r="CQ333"/>
      <c r="CR333"/>
      <c r="CS333"/>
      <c r="CT333"/>
      <c r="CU333"/>
      <c r="CV333"/>
      <c r="CW333"/>
      <c r="CX333"/>
      <c r="CY333" s="7" cm="1">
        <f t="array" ref="CY333">SUMPRODUCT(--NOT(ISNUMBER(V333:CI333)),--NOT(ISBLANK(V333:CI333)))</f>
        <v>0</v>
      </c>
      <c r="CZ333" s="7">
        <f t="shared" ref="CZ333:DB334" si="255">IF(ROUND(W333-SUMIFS($AA333:$BV333, $AA$3:$BV$3, W$3), rounding)=0, 0, 1)</f>
        <v>0</v>
      </c>
      <c r="DA333" s="7">
        <f t="shared" si="255"/>
        <v>0</v>
      </c>
      <c r="DB333" s="7">
        <f t="shared" si="255"/>
        <v>0</v>
      </c>
      <c r="DC333" s="7">
        <f>IF(ROUND(CB333-SUMIFS($AA333:$BV333, $AA$3:$BV$3, CB$3), rounding)=0, 0, 1)</f>
        <v>0</v>
      </c>
      <c r="DD333" s="7">
        <f>IF(ROUND(V333-BX333, rounding)=0, 0, 1)*'BS Forecasts'!$V$10</f>
        <v>0</v>
      </c>
      <c r="DE333"/>
      <c r="DF333" s="11"/>
      <c r="DG333">
        <f t="shared" si="237"/>
        <v>0</v>
      </c>
      <c r="DH333">
        <v>1</v>
      </c>
      <c r="DI333">
        <v>1</v>
      </c>
      <c r="EY333" s="12" t="str">
        <f>IF(C333="", "", CONCATENATE(D322, " ",D333))</f>
        <v/>
      </c>
    </row>
    <row r="334" spans="1:155" x14ac:dyDescent="0.35">
      <c r="A334" s="220" cm="1">
        <f t="array" aca="1" ref="A334" ca="1">HYPERLINK(CONCATENATE("#",CELL("address",IF(MAX($CM334:$DF334)=0,A334,INDEX($CM334:$DF334,MATCH(1,$CM334:$DF334,0))))),MAX($CM334:$DF334))</f>
        <v>0</v>
      </c>
      <c r="B334" s="85" t="s">
        <v>122</v>
      </c>
      <c r="C334" s="211"/>
      <c r="D334" t="s">
        <v>1090</v>
      </c>
      <c r="H334" s="9" t="s">
        <v>1074</v>
      </c>
      <c r="I334" s="40" t="s">
        <v>1079</v>
      </c>
      <c r="V334" s="109"/>
      <c r="W334" s="133">
        <f t="shared" si="254"/>
        <v>0</v>
      </c>
      <c r="X334" s="133">
        <f t="shared" si="254"/>
        <v>0</v>
      </c>
      <c r="Y334" s="133">
        <f t="shared" si="254"/>
        <v>0</v>
      </c>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X334" s="12">
        <f t="shared" si="252"/>
        <v>0</v>
      </c>
      <c r="BY334" s="12">
        <f t="shared" si="252"/>
        <v>0</v>
      </c>
      <c r="BZ334" s="12">
        <f t="shared" si="252"/>
        <v>0</v>
      </c>
      <c r="CA334" s="12">
        <f t="shared" si="252"/>
        <v>0</v>
      </c>
      <c r="CB334" s="133">
        <f xml:space="preserve"> SUMIFS($AA334:$BV334, $AA$3:$BV$3, CB$3)</f>
        <v>0</v>
      </c>
      <c r="CC334" s="109"/>
      <c r="CD334" s="109"/>
      <c r="CE334" s="109"/>
      <c r="CF334" s="109"/>
      <c r="CG334" s="109"/>
      <c r="CH334" s="109"/>
      <c r="CI334" s="109"/>
      <c r="CK334" s="11"/>
      <c r="CL334" s="241">
        <f>IF(MAX($V334:$CI334)&gt;0, 1, 0)</f>
        <v>0</v>
      </c>
      <c r="CM334" s="11"/>
      <c r="CY334" s="7" cm="1">
        <f t="array" ref="CY334">SUMPRODUCT(--NOT(ISNUMBER(V334:CI334)),--NOT(ISBLANK(V334:CI334)))</f>
        <v>0</v>
      </c>
      <c r="CZ334" s="7">
        <f t="shared" si="255"/>
        <v>0</v>
      </c>
      <c r="DA334" s="7">
        <f t="shared" si="255"/>
        <v>0</v>
      </c>
      <c r="DB334" s="7">
        <f t="shared" si="255"/>
        <v>0</v>
      </c>
      <c r="DC334" s="7">
        <f>IF(ROUND(CB334-SUMIFS($AA334:$BV334, $AA$3:$BV$3, CB$3), rounding)=0, 0, 1)</f>
        <v>0</v>
      </c>
      <c r="DD334" s="7">
        <f>IF(ROUND(V334-BX334, rounding)=0, 0, 1)*'BS Forecasts'!$V$10</f>
        <v>0</v>
      </c>
      <c r="DF334" s="11"/>
      <c r="DG334">
        <f t="shared" si="237"/>
        <v>0</v>
      </c>
      <c r="DH334">
        <v>1</v>
      </c>
      <c r="DI334">
        <v>1</v>
      </c>
      <c r="EY334" s="12" t="str">
        <f>IF(C334="", "", CONCATENATE(D322, " ",D334))</f>
        <v/>
      </c>
    </row>
    <row r="335" spans="1:155" x14ac:dyDescent="0.35">
      <c r="C335" s="211"/>
      <c r="D335" t="s">
        <v>1091</v>
      </c>
      <c r="H335" s="9" t="s">
        <v>1074</v>
      </c>
      <c r="I335" s="40" t="s">
        <v>317</v>
      </c>
      <c r="V335" s="12">
        <f>$I$27</f>
        <v>0</v>
      </c>
      <c r="W335" s="10">
        <f>SUM(W332:W334)</f>
        <v>0</v>
      </c>
      <c r="X335" s="10">
        <f>SUM(X332:X334)</f>
        <v>0</v>
      </c>
      <c r="Y335" s="10">
        <f>SUM(Y332:Y334)</f>
        <v>0</v>
      </c>
      <c r="AA335" s="10">
        <f t="shared" ref="AA335:BV335" si="256">SUM(AA332:AA334)</f>
        <v>0</v>
      </c>
      <c r="AB335" s="10">
        <f t="shared" si="256"/>
        <v>0</v>
      </c>
      <c r="AC335" s="10">
        <f t="shared" si="256"/>
        <v>0</v>
      </c>
      <c r="AD335" s="10">
        <f t="shared" si="256"/>
        <v>0</v>
      </c>
      <c r="AE335" s="10">
        <f t="shared" si="256"/>
        <v>0</v>
      </c>
      <c r="AF335" s="10">
        <f t="shared" si="256"/>
        <v>0</v>
      </c>
      <c r="AG335" s="10">
        <f t="shared" si="256"/>
        <v>0</v>
      </c>
      <c r="AH335" s="10">
        <f t="shared" si="256"/>
        <v>0</v>
      </c>
      <c r="AI335" s="10">
        <f t="shared" si="256"/>
        <v>0</v>
      </c>
      <c r="AJ335" s="10">
        <f t="shared" si="256"/>
        <v>0</v>
      </c>
      <c r="AK335" s="10">
        <f t="shared" si="256"/>
        <v>0</v>
      </c>
      <c r="AL335" s="10">
        <f t="shared" si="256"/>
        <v>0</v>
      </c>
      <c r="AM335" s="10">
        <f t="shared" si="256"/>
        <v>0</v>
      </c>
      <c r="AN335" s="10">
        <f t="shared" si="256"/>
        <v>0</v>
      </c>
      <c r="AO335" s="10">
        <f t="shared" si="256"/>
        <v>0</v>
      </c>
      <c r="AP335" s="10">
        <f t="shared" si="256"/>
        <v>0</v>
      </c>
      <c r="AQ335" s="10">
        <f t="shared" si="256"/>
        <v>0</v>
      </c>
      <c r="AR335" s="10">
        <f t="shared" si="256"/>
        <v>0</v>
      </c>
      <c r="AS335" s="10">
        <f t="shared" si="256"/>
        <v>0</v>
      </c>
      <c r="AT335" s="10">
        <f t="shared" si="256"/>
        <v>0</v>
      </c>
      <c r="AU335" s="10">
        <f t="shared" si="256"/>
        <v>0</v>
      </c>
      <c r="AV335" s="10">
        <f t="shared" si="256"/>
        <v>0</v>
      </c>
      <c r="AW335" s="10">
        <f t="shared" si="256"/>
        <v>0</v>
      </c>
      <c r="AX335" s="10">
        <f t="shared" si="256"/>
        <v>0</v>
      </c>
      <c r="AY335" s="10">
        <f t="shared" si="256"/>
        <v>0</v>
      </c>
      <c r="AZ335" s="10">
        <f t="shared" si="256"/>
        <v>0</v>
      </c>
      <c r="BA335" s="10">
        <f t="shared" si="256"/>
        <v>0</v>
      </c>
      <c r="BB335" s="10">
        <f t="shared" si="256"/>
        <v>0</v>
      </c>
      <c r="BC335" s="10">
        <f t="shared" si="256"/>
        <v>0</v>
      </c>
      <c r="BD335" s="10">
        <f t="shared" si="256"/>
        <v>0</v>
      </c>
      <c r="BE335" s="10">
        <f t="shared" si="256"/>
        <v>0</v>
      </c>
      <c r="BF335" s="10">
        <f t="shared" si="256"/>
        <v>0</v>
      </c>
      <c r="BG335" s="10">
        <f t="shared" si="256"/>
        <v>0</v>
      </c>
      <c r="BH335" s="10">
        <f t="shared" si="256"/>
        <v>0</v>
      </c>
      <c r="BI335" s="10">
        <f t="shared" si="256"/>
        <v>0</v>
      </c>
      <c r="BJ335" s="10">
        <f t="shared" si="256"/>
        <v>0</v>
      </c>
      <c r="BK335" s="10">
        <f t="shared" si="256"/>
        <v>0</v>
      </c>
      <c r="BL335" s="10">
        <f t="shared" si="256"/>
        <v>0</v>
      </c>
      <c r="BM335" s="10">
        <f t="shared" si="256"/>
        <v>0</v>
      </c>
      <c r="BN335" s="10">
        <f t="shared" si="256"/>
        <v>0</v>
      </c>
      <c r="BO335" s="10">
        <f t="shared" si="256"/>
        <v>0</v>
      </c>
      <c r="BP335" s="10">
        <f t="shared" si="256"/>
        <v>0</v>
      </c>
      <c r="BQ335" s="10">
        <f t="shared" si="256"/>
        <v>0</v>
      </c>
      <c r="BR335" s="10">
        <f t="shared" si="256"/>
        <v>0</v>
      </c>
      <c r="BS335" s="10">
        <f t="shared" si="256"/>
        <v>0</v>
      </c>
      <c r="BT335" s="10">
        <f t="shared" si="256"/>
        <v>0</v>
      </c>
      <c r="BU335" s="10">
        <f t="shared" si="256"/>
        <v>0</v>
      </c>
      <c r="BV335" s="10">
        <f t="shared" si="256"/>
        <v>0</v>
      </c>
      <c r="BX335" s="12">
        <f t="shared" si="252"/>
        <v>0</v>
      </c>
      <c r="BY335" s="12">
        <f t="shared" si="252"/>
        <v>0</v>
      </c>
      <c r="BZ335" s="12">
        <f t="shared" si="252"/>
        <v>0</v>
      </c>
      <c r="CA335" s="12">
        <f t="shared" si="252"/>
        <v>0</v>
      </c>
      <c r="CB335" s="10">
        <f t="shared" ref="CB335:CI335" si="257">SUM(CB332:CB334)</f>
        <v>0</v>
      </c>
      <c r="CC335" s="10">
        <f t="shared" si="257"/>
        <v>0</v>
      </c>
      <c r="CD335" s="10">
        <f t="shared" si="257"/>
        <v>0</v>
      </c>
      <c r="CE335" s="10">
        <f t="shared" si="257"/>
        <v>0</v>
      </c>
      <c r="CF335" s="10">
        <f t="shared" si="257"/>
        <v>0</v>
      </c>
      <c r="CG335" s="10">
        <f t="shared" si="257"/>
        <v>0</v>
      </c>
      <c r="CH335" s="10">
        <f t="shared" si="257"/>
        <v>0</v>
      </c>
      <c r="CI335" s="10">
        <f t="shared" si="257"/>
        <v>0</v>
      </c>
      <c r="CK335" s="11"/>
      <c r="CM335" s="11"/>
      <c r="DF335" s="11"/>
      <c r="DG335">
        <f t="shared" si="237"/>
        <v>0</v>
      </c>
      <c r="DH335">
        <v>0</v>
      </c>
      <c r="DI335">
        <v>0</v>
      </c>
      <c r="EY335" s="12" t="str">
        <f>IF(C335="", "", CONCATENATE(D322, " ",D335))</f>
        <v/>
      </c>
    </row>
    <row r="336" spans="1:155" ht="6.75" customHeight="1" x14ac:dyDescent="0.35">
      <c r="C336" s="211"/>
      <c r="D336" s="1"/>
      <c r="E336"/>
      <c r="F336"/>
      <c r="BY336" s="6"/>
      <c r="CK336" s="35"/>
      <c r="CM336" s="35"/>
      <c r="DF336" s="35"/>
      <c r="DG336">
        <f t="shared" si="237"/>
        <v>0</v>
      </c>
      <c r="DH336">
        <v>0</v>
      </c>
      <c r="DI336">
        <v>0</v>
      </c>
      <c r="EY336" s="12" t="str">
        <f>IF(C336="", "", CONCATENATE(D322, " ",D336))</f>
        <v/>
      </c>
    </row>
    <row r="337" spans="1:155" s="5" customFormat="1" x14ac:dyDescent="0.35">
      <c r="A337" s="220" cm="1">
        <f t="array" aca="1" ref="A337" ca="1">HYPERLINK(CONCATENATE("#",CELL("address",IF(MAX($CM337:$DF337)=0,A337,INDEX($CM337:$DF337,MATCH(1,$CM337:$DF337,0))))),MAX($CM337:$DF337))</f>
        <v>0</v>
      </c>
      <c r="B337"/>
      <c r="C337" s="211" t="s">
        <v>1192</v>
      </c>
      <c r="D337" t="s">
        <v>1093</v>
      </c>
      <c r="E337" s="1"/>
      <c r="F337" s="1"/>
      <c r="G337"/>
      <c r="H337" s="9" t="s">
        <v>1074</v>
      </c>
      <c r="I337" s="40" t="s">
        <v>665</v>
      </c>
      <c r="J337"/>
      <c r="K337"/>
      <c r="L337"/>
      <c r="M337"/>
      <c r="N337"/>
      <c r="O337"/>
      <c r="P337"/>
      <c r="Q337"/>
      <c r="R337"/>
      <c r="S337"/>
      <c r="T337"/>
      <c r="U337"/>
      <c r="V337" s="109"/>
      <c r="W337" s="133">
        <f xml:space="preserve"> SUMIFS($AA337:$BV337, $AA$3:$BV$3, W$3)</f>
        <v>0</v>
      </c>
      <c r="X337" s="133">
        <f xml:space="preserve"> SUMIFS($AA337:$BV337, $AA$3:$BV$3, X$3)</f>
        <v>0</v>
      </c>
      <c r="Y337" s="133">
        <f xml:space="preserve"> SUMIFS($AA337:$BV337, $AA$3:$BV$3, Y$3)</f>
        <v>0</v>
      </c>
      <c r="Z337"/>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c r="BX337" s="12">
        <f>V337</f>
        <v>0</v>
      </c>
      <c r="BY337" s="12">
        <f>W337</f>
        <v>0</v>
      </c>
      <c r="BZ337" s="12">
        <f>X337</f>
        <v>0</v>
      </c>
      <c r="CA337" s="12">
        <f>Y337</f>
        <v>0</v>
      </c>
      <c r="CB337" s="133">
        <f xml:space="preserve"> SUMIFS($AA337:$BV337, $AA$3:$BV$3, CB$3)</f>
        <v>0</v>
      </c>
      <c r="CC337" s="109"/>
      <c r="CD337" s="109"/>
      <c r="CE337" s="109"/>
      <c r="CF337" s="109"/>
      <c r="CG337" s="109"/>
      <c r="CH337" s="109"/>
      <c r="CI337" s="109"/>
      <c r="CJ337"/>
      <c r="CK337" s="11"/>
      <c r="CL337" s="241">
        <f>IF(MIN($V337:$CI337)&lt;0, 1, 0)</f>
        <v>0</v>
      </c>
      <c r="CM337" s="11"/>
      <c r="CN337"/>
      <c r="CO337"/>
      <c r="CP337"/>
      <c r="CQ337"/>
      <c r="CR337"/>
      <c r="CS337"/>
      <c r="CT337"/>
      <c r="CU337"/>
      <c r="CV337"/>
      <c r="CW337"/>
      <c r="CX337"/>
      <c r="CY337" s="7" cm="1">
        <f t="array" ref="CY337">SUMPRODUCT(--NOT(ISNUMBER(V337:CI337)),--NOT(ISBLANK(V337:CI337)))</f>
        <v>0</v>
      </c>
      <c r="CZ337" s="7">
        <f>IF(ROUND(W337-SUMIFS($AA337:$BV337, $AA$3:$BV$3, W$3), rounding)=0, 0, 1)</f>
        <v>0</v>
      </c>
      <c r="DA337" s="7">
        <f>IF(ROUND(X337-SUMIFS($AA337:$BV337, $AA$3:$BV$3, X$3), rounding)=0, 0, 1)</f>
        <v>0</v>
      </c>
      <c r="DB337" s="7">
        <f>IF(ROUND(Y337-SUMIFS($AA337:$BV337, $AA$3:$BV$3, Y$3), rounding)=0, 0, 1)</f>
        <v>0</v>
      </c>
      <c r="DC337" s="7">
        <f>IF(ROUND(CB337-SUMIFS($AA337:$BV337, $AA$3:$BV$3, CB$3), rounding)=0, 0, 1)</f>
        <v>0</v>
      </c>
      <c r="DD337" s="7">
        <f>IF(ROUND(V337-BX337, rounding)=0, 0, 1)*'BS Forecasts'!$V$10</f>
        <v>0</v>
      </c>
      <c r="DE337"/>
      <c r="DF337" s="11"/>
      <c r="DG337">
        <f t="shared" si="237"/>
        <v>0</v>
      </c>
      <c r="DH337">
        <v>1</v>
      </c>
      <c r="DI337">
        <v>1</v>
      </c>
      <c r="EY337" s="12" t="str">
        <f>IF(C337="", "", CONCATENATE(D322, " ",D337))</f>
        <v>Loan 15 Early Repayment Fee</v>
      </c>
    </row>
    <row r="338" spans="1:155" ht="6.75" customHeight="1" x14ac:dyDescent="0.35">
      <c r="C338" s="211"/>
      <c r="D338" s="1"/>
      <c r="E338"/>
      <c r="F338"/>
      <c r="BY338" s="6"/>
      <c r="CK338" s="35"/>
      <c r="CM338" s="35"/>
      <c r="DF338" s="35"/>
      <c r="DG338">
        <f t="shared" si="237"/>
        <v>0</v>
      </c>
      <c r="DH338">
        <v>0</v>
      </c>
      <c r="DI338">
        <v>0</v>
      </c>
      <c r="EY338" s="12" t="str">
        <f>IF(C338="", "", CONCATENATE(D322, " ",D338))</f>
        <v/>
      </c>
    </row>
    <row r="339" spans="1:155" x14ac:dyDescent="0.35">
      <c r="A339" s="220" cm="1">
        <f t="array" aca="1" ref="A339" ca="1">HYPERLINK(CONCATENATE("#",CELL("address",IF(MAX($CM339:$DF339)=0,A339,INDEX($CM339:$DF339,MATCH(1,$CM339:$DF339,0))))),MAX($CM339:$DF339))</f>
        <v>0</v>
      </c>
      <c r="B339" s="85" t="s">
        <v>122</v>
      </c>
      <c r="D339" t="s">
        <v>1094</v>
      </c>
      <c r="E339" s="140" t="str">
        <f>IF(J$27="", "", J$27)</f>
        <v/>
      </c>
      <c r="F339" s="140"/>
      <c r="G339" s="140" t="str">
        <f>IF(K$27="", "", K$27)</f>
        <v/>
      </c>
      <c r="V339" s="7">
        <f>IF(AND(OR( V$5&gt;$G339, Timeline!V$8&lt;Loans!$E339), Loans!V337&lt;&gt;0), 1, 0)</f>
        <v>0</v>
      </c>
      <c r="W339" s="7">
        <f>IF(AND(OR( W$5&gt;$G339, Timeline!W$8&lt;Loans!$E339), Loans!W337&lt;&gt;0), 1, 0)</f>
        <v>0</v>
      </c>
      <c r="X339" s="7">
        <f>IF(AND(OR( X$5&gt;$G339, Timeline!X$8&lt;Loans!$E339), Loans!X337&lt;&gt;0), 1, 0)</f>
        <v>0</v>
      </c>
      <c r="Y339" s="7">
        <f>IF(AND(OR( Y$5&gt;$G339, Timeline!Y$8&lt;Loans!$E339), Loans!Y337&lt;&gt;0), 1, 0)</f>
        <v>0</v>
      </c>
      <c r="AA339" s="7">
        <f>IF(AND(OR( AA$5&gt;$G339, Timeline!AA$8&lt;Loans!$E339), Loans!AA337&lt;&gt;0), 1, 0)</f>
        <v>0</v>
      </c>
      <c r="AB339" s="7">
        <f>IF(AND(OR( AB$5&gt;$G339, Timeline!AB$8&lt;Loans!$E339), Loans!AB337&lt;&gt;0), 1, 0)</f>
        <v>0</v>
      </c>
      <c r="AC339" s="7">
        <f>IF(AND(OR( AC$5&gt;$G339, Timeline!AC$8&lt;Loans!$E339), Loans!AC337&lt;&gt;0), 1, 0)</f>
        <v>0</v>
      </c>
      <c r="AD339" s="7">
        <f>IF(AND(OR( AD$5&gt;$G339, Timeline!AD$8&lt;Loans!$E339), Loans!AD337&lt;&gt;0), 1, 0)</f>
        <v>0</v>
      </c>
      <c r="AE339" s="7">
        <f>IF(AND(OR( AE$5&gt;$G339, Timeline!AE$8&lt;Loans!$E339), Loans!AE337&lt;&gt;0), 1, 0)</f>
        <v>0</v>
      </c>
      <c r="AF339" s="7">
        <f>IF(AND(OR( AF$5&gt;$G339, Timeline!AF$8&lt;Loans!$E339), Loans!AF337&lt;&gt;0), 1, 0)</f>
        <v>0</v>
      </c>
      <c r="AG339" s="7">
        <f>IF(AND(OR( AG$5&gt;$G339, Timeline!AG$8&lt;Loans!$E339), Loans!AG337&lt;&gt;0), 1, 0)</f>
        <v>0</v>
      </c>
      <c r="AH339" s="7">
        <f>IF(AND(OR( AH$5&gt;$G339, Timeline!AH$8&lt;Loans!$E339), Loans!AH337&lt;&gt;0), 1, 0)</f>
        <v>0</v>
      </c>
      <c r="AI339" s="7">
        <f>IF(AND(OR( AI$5&gt;$G339, Timeline!AI$8&lt;Loans!$E339), Loans!AI337&lt;&gt;0), 1, 0)</f>
        <v>0</v>
      </c>
      <c r="AJ339" s="7">
        <f>IF(AND(OR( AJ$5&gt;$G339, Timeline!AJ$8&lt;Loans!$E339), Loans!AJ337&lt;&gt;0), 1, 0)</f>
        <v>0</v>
      </c>
      <c r="AK339" s="7">
        <f>IF(AND(OR( AK$5&gt;$G339, Timeline!AK$8&lt;Loans!$E339), Loans!AK337&lt;&gt;0), 1, 0)</f>
        <v>0</v>
      </c>
      <c r="AL339" s="7">
        <f>IF(AND(OR( AL$5&gt;$G339, Timeline!AL$8&lt;Loans!$E339), Loans!AL337&lt;&gt;0), 1, 0)</f>
        <v>0</v>
      </c>
      <c r="AM339" s="7">
        <f>IF(AND(OR( AM$5&gt;$G339, Timeline!AM$8&lt;Loans!$E339), Loans!AM337&lt;&gt;0), 1, 0)</f>
        <v>0</v>
      </c>
      <c r="AN339" s="7">
        <f>IF(AND(OR( AN$5&gt;$G339, Timeline!AN$8&lt;Loans!$E339), Loans!AN337&lt;&gt;0), 1, 0)</f>
        <v>0</v>
      </c>
      <c r="AO339" s="7">
        <f>IF(AND(OR( AO$5&gt;$G339, Timeline!AO$8&lt;Loans!$E339), Loans!AO337&lt;&gt;0), 1, 0)</f>
        <v>0</v>
      </c>
      <c r="AP339" s="7">
        <f>IF(AND(OR( AP$5&gt;$G339, Timeline!AP$8&lt;Loans!$E339), Loans!AP337&lt;&gt;0), 1, 0)</f>
        <v>0</v>
      </c>
      <c r="AQ339" s="7">
        <f>IF(AND(OR( AQ$5&gt;$G339, Timeline!AQ$8&lt;Loans!$E339), Loans!AQ337&lt;&gt;0), 1, 0)</f>
        <v>0</v>
      </c>
      <c r="AR339" s="7">
        <f>IF(AND(OR( AR$5&gt;$G339, Timeline!AR$8&lt;Loans!$E339), Loans!AR337&lt;&gt;0), 1, 0)</f>
        <v>0</v>
      </c>
      <c r="AS339" s="7">
        <f>IF(AND(OR( AS$5&gt;$G339, Timeline!AS$8&lt;Loans!$E339), Loans!AS337&lt;&gt;0), 1, 0)</f>
        <v>0</v>
      </c>
      <c r="AT339" s="7">
        <f>IF(AND(OR( AT$5&gt;$G339, Timeline!AT$8&lt;Loans!$E339), Loans!AT337&lt;&gt;0), 1, 0)</f>
        <v>0</v>
      </c>
      <c r="AU339" s="7">
        <f>IF(AND(OR( AU$5&gt;$G339, Timeline!AU$8&lt;Loans!$E339), Loans!AU337&lt;&gt;0), 1, 0)</f>
        <v>0</v>
      </c>
      <c r="AV339" s="7">
        <f>IF(AND(OR( AV$5&gt;$G339, Timeline!AV$8&lt;Loans!$E339), Loans!AV337&lt;&gt;0), 1, 0)</f>
        <v>0</v>
      </c>
      <c r="AW339" s="7">
        <f>IF(AND(OR( AW$5&gt;$G339, Timeline!AW$8&lt;Loans!$E339), Loans!AW337&lt;&gt;0), 1, 0)</f>
        <v>0</v>
      </c>
      <c r="AX339" s="7">
        <f>IF(AND(OR( AX$5&gt;$G339, Timeline!AX$8&lt;Loans!$E339), Loans!AX337&lt;&gt;0), 1, 0)</f>
        <v>0</v>
      </c>
      <c r="AY339" s="7">
        <f>IF(AND(OR( AY$5&gt;$G339, Timeline!AY$8&lt;Loans!$E339), Loans!AY337&lt;&gt;0), 1, 0)</f>
        <v>0</v>
      </c>
      <c r="AZ339" s="7">
        <f>IF(AND(OR( AZ$5&gt;$G339, Timeline!AZ$8&lt;Loans!$E339), Loans!AZ337&lt;&gt;0), 1, 0)</f>
        <v>0</v>
      </c>
      <c r="BA339" s="7">
        <f>IF(AND(OR( BA$5&gt;$G339, Timeline!BA$8&lt;Loans!$E339), Loans!BA337&lt;&gt;0), 1, 0)</f>
        <v>0</v>
      </c>
      <c r="BB339" s="7">
        <f>IF(AND(OR( BB$5&gt;$G339, Timeline!BB$8&lt;Loans!$E339), Loans!BB337&lt;&gt;0), 1, 0)</f>
        <v>0</v>
      </c>
      <c r="BC339" s="7">
        <f>IF(AND(OR( BC$5&gt;$G339, Timeline!BC$8&lt;Loans!$E339), Loans!BC337&lt;&gt;0), 1, 0)</f>
        <v>0</v>
      </c>
      <c r="BD339" s="7">
        <f>IF(AND(OR( BD$5&gt;$G339, Timeline!BD$8&lt;Loans!$E339), Loans!BD337&lt;&gt;0), 1, 0)</f>
        <v>0</v>
      </c>
      <c r="BE339" s="7">
        <f>IF(AND(OR( BE$5&gt;$G339, Timeline!BE$8&lt;Loans!$E339), Loans!BE337&lt;&gt;0), 1, 0)</f>
        <v>0</v>
      </c>
      <c r="BF339" s="7">
        <f>IF(AND(OR( BF$5&gt;$G339, Timeline!BF$8&lt;Loans!$E339), Loans!BF337&lt;&gt;0), 1, 0)</f>
        <v>0</v>
      </c>
      <c r="BG339" s="7">
        <f>IF(AND(OR( BG$5&gt;$G339, Timeline!BG$8&lt;Loans!$E339), Loans!BG337&lt;&gt;0), 1, 0)</f>
        <v>0</v>
      </c>
      <c r="BH339" s="7">
        <f>IF(AND(OR( BH$5&gt;$G339, Timeline!BH$8&lt;Loans!$E339), Loans!BH337&lt;&gt;0), 1, 0)</f>
        <v>0</v>
      </c>
      <c r="BI339" s="7">
        <f>IF(AND(OR( BI$5&gt;$G339, Timeline!BI$8&lt;Loans!$E339), Loans!BI337&lt;&gt;0), 1, 0)</f>
        <v>0</v>
      </c>
      <c r="BJ339" s="7">
        <f>IF(AND(OR( BJ$5&gt;$G339, Timeline!BJ$8&lt;Loans!$E339), Loans!BJ337&lt;&gt;0), 1, 0)</f>
        <v>0</v>
      </c>
      <c r="BK339" s="7">
        <f>IF(AND(OR( BK$5&gt;$G339, Timeline!BK$8&lt;Loans!$E339), Loans!BK337&lt;&gt;0), 1, 0)</f>
        <v>0</v>
      </c>
      <c r="BL339" s="7">
        <f>IF(AND(OR( BL$5&gt;$G339, Timeline!BL$8&lt;Loans!$E339), Loans!BL337&lt;&gt;0), 1, 0)</f>
        <v>0</v>
      </c>
      <c r="BM339" s="7">
        <f>IF(AND(OR( BM$5&gt;$G339, Timeline!BM$8&lt;Loans!$E339), Loans!BM337&lt;&gt;0), 1, 0)</f>
        <v>0</v>
      </c>
      <c r="BN339" s="7">
        <f>IF(AND(OR( BN$5&gt;$G339, Timeline!BN$8&lt;Loans!$E339), Loans!BN337&lt;&gt;0), 1, 0)</f>
        <v>0</v>
      </c>
      <c r="BO339" s="7">
        <f>IF(AND(OR( BO$5&gt;$G339, Timeline!BO$8&lt;Loans!$E339), Loans!BO337&lt;&gt;0), 1, 0)</f>
        <v>0</v>
      </c>
      <c r="BP339" s="7">
        <f>IF(AND(OR( BP$5&gt;$G339, Timeline!BP$8&lt;Loans!$E339), Loans!BP337&lt;&gt;0), 1, 0)</f>
        <v>0</v>
      </c>
      <c r="BQ339" s="7">
        <f>IF(AND(OR( BQ$5&gt;$G339, Timeline!BQ$8&lt;Loans!$E339), Loans!BQ337&lt;&gt;0), 1, 0)</f>
        <v>0</v>
      </c>
      <c r="BR339" s="7">
        <f>IF(AND(OR( BR$5&gt;$G339, Timeline!BR$8&lt;Loans!$E339), Loans!BR337&lt;&gt;0), 1, 0)</f>
        <v>0</v>
      </c>
      <c r="BS339" s="7">
        <f>IF(AND(OR( BS$5&gt;$G339, Timeline!BS$8&lt;Loans!$E339), Loans!BS337&lt;&gt;0), 1, 0)</f>
        <v>0</v>
      </c>
      <c r="BT339" s="7">
        <f>IF(AND(OR( BT$5&gt;$G339, Timeline!BT$8&lt;Loans!$E339), Loans!BT337&lt;&gt;0), 1, 0)</f>
        <v>0</v>
      </c>
      <c r="BU339" s="7">
        <f>IF(AND(OR( BU$5&gt;$G339, Timeline!BU$8&lt;Loans!$E339), Loans!BU337&lt;&gt;0), 1, 0)</f>
        <v>0</v>
      </c>
      <c r="BV339" s="7">
        <f>IF(AND(OR( BV$5&gt;$G339, Timeline!BV$8&lt;Loans!$E339), Loans!BV337&lt;&gt;0), 1, 0)</f>
        <v>0</v>
      </c>
      <c r="BX339" s="7">
        <f>IF(AND(OR( BX$5&gt;$G339, Timeline!BX$8&lt;Loans!$E339), Loans!BX337&lt;&gt;0), 1, 0)</f>
        <v>0</v>
      </c>
      <c r="BY339" s="7">
        <f>IF(AND(OR( BY$5&gt;$G339, Timeline!BY$8&lt;Loans!$E339), Loans!BY337&lt;&gt;0), 1, 0)</f>
        <v>0</v>
      </c>
      <c r="BZ339" s="7">
        <f>IF(AND(OR( BZ$5&gt;$G339, Timeline!BZ$8&lt;Loans!$E339), Loans!BZ337&lt;&gt;0), 1, 0)</f>
        <v>0</v>
      </c>
      <c r="CA339" s="7">
        <f>IF(AND(OR( CA$5&gt;$G339, Timeline!CA$8&lt;Loans!$E339), Loans!CA337&lt;&gt;0), 1, 0)</f>
        <v>0</v>
      </c>
      <c r="CB339" s="7">
        <f>IF(AND(OR( CB$5&gt;$G339, Timeline!CB$8&lt;Loans!$E339), Loans!CB337&lt;&gt;0), 1, 0)</f>
        <v>0</v>
      </c>
      <c r="CC339" s="7">
        <f>IF(AND(OR( CC$5&gt;$G339, Timeline!CC$8&lt;Loans!$E339), Loans!CC337&lt;&gt;0), 1, 0)</f>
        <v>0</v>
      </c>
      <c r="CD339" s="7">
        <f>IF(AND(OR( CD$5&gt;$G339, Timeline!CD$8&lt;Loans!$E339), Loans!CD337&lt;&gt;0), 1, 0)</f>
        <v>0</v>
      </c>
      <c r="CE339" s="7">
        <f>IF(AND(OR( CE$5&gt;$G339, Timeline!CE$8&lt;Loans!$E339), Loans!CE337&lt;&gt;0), 1, 0)</f>
        <v>0</v>
      </c>
      <c r="CF339" s="7">
        <f>IF(AND(OR( CF$5&gt;$G339, Timeline!CF$8&lt;Loans!$E339), Loans!CF337&lt;&gt;0), 1, 0)</f>
        <v>0</v>
      </c>
      <c r="CG339" s="7">
        <f>IF(AND(OR( CG$5&gt;$G339, Timeline!CG$8&lt;Loans!$E339), Loans!CG337&lt;&gt;0), 1, 0)</f>
        <v>0</v>
      </c>
      <c r="CH339" s="7">
        <f>IF(AND(OR( CH$5&gt;$G339, Timeline!CH$8&lt;Loans!$E339), Loans!CH337&lt;&gt;0), 1, 0)</f>
        <v>0</v>
      </c>
      <c r="CI339" s="7">
        <f>IF(AND(OR( CI$5&gt;$G339, Timeline!CI$8&lt;Loans!$E339), Loans!CI337&lt;&gt;0), 1, 0)</f>
        <v>0</v>
      </c>
      <c r="CK339" s="11"/>
      <c r="CM339" s="11"/>
      <c r="CX339" s="7">
        <f>IF(MAX($V339:$CI339)&gt;0, 1, 0)</f>
        <v>0</v>
      </c>
      <c r="DF339" s="11"/>
      <c r="DG339">
        <f t="shared" si="237"/>
        <v>1</v>
      </c>
      <c r="DH339">
        <v>0</v>
      </c>
      <c r="DI339">
        <v>0</v>
      </c>
      <c r="EY339" s="12" t="str">
        <f>IF(C339="", "", CONCATENATE(D322, " ",D339))</f>
        <v/>
      </c>
    </row>
    <row r="340" spans="1:155" ht="6.75" customHeight="1" x14ac:dyDescent="0.35">
      <c r="C340" s="211"/>
      <c r="D340" s="1"/>
      <c r="E340"/>
      <c r="F340"/>
      <c r="BY340" s="6"/>
      <c r="CK340" s="35"/>
      <c r="CM340" s="35"/>
      <c r="DF340" s="35"/>
      <c r="DG340">
        <f t="shared" si="237"/>
        <v>0</v>
      </c>
      <c r="DH340">
        <v>0</v>
      </c>
      <c r="DI340">
        <v>0</v>
      </c>
      <c r="EY340" s="10" t="str">
        <f>IF($C340="","",$D340)</f>
        <v/>
      </c>
    </row>
    <row r="341" spans="1:155" x14ac:dyDescent="0.35">
      <c r="A341" s="53"/>
      <c r="C341" s="211"/>
      <c r="D341" s="53" t="s">
        <v>1193</v>
      </c>
      <c r="E341" s="53"/>
      <c r="F341" s="53"/>
      <c r="G341" s="53"/>
      <c r="H341" s="53"/>
      <c r="I341" s="53"/>
      <c r="J341" s="53"/>
      <c r="M341" s="53"/>
      <c r="N341" s="53"/>
      <c r="O341" s="53"/>
      <c r="P341" s="53"/>
      <c r="Q341" s="53"/>
      <c r="R341" s="53"/>
      <c r="CK341" s="11"/>
      <c r="CM341" s="11"/>
      <c r="DF341" s="11"/>
      <c r="DG341">
        <f t="shared" si="237"/>
        <v>0</v>
      </c>
      <c r="DH341">
        <v>0</v>
      </c>
      <c r="DI341">
        <v>0</v>
      </c>
      <c r="EY341" s="10" t="str">
        <f>IF($C341="","",$D341)</f>
        <v/>
      </c>
    </row>
    <row r="342" spans="1:155" x14ac:dyDescent="0.35">
      <c r="C342" s="211" t="s">
        <v>1194</v>
      </c>
      <c r="D342" t="s">
        <v>1073</v>
      </c>
      <c r="H342" s="9" t="s">
        <v>1074</v>
      </c>
      <c r="I342" s="40" t="s">
        <v>317</v>
      </c>
      <c r="V342" s="109"/>
      <c r="W342" s="133">
        <f>V346</f>
        <v>0</v>
      </c>
      <c r="X342" s="133">
        <f>W346</f>
        <v>0</v>
      </c>
      <c r="Y342" s="10">
        <f>X346</f>
        <v>0</v>
      </c>
      <c r="AA342" s="12">
        <f>W342</f>
        <v>0</v>
      </c>
      <c r="AB342" s="10">
        <f t="shared" ref="AB342:BV342" si="258">AA346</f>
        <v>0</v>
      </c>
      <c r="AC342" s="10">
        <f t="shared" si="258"/>
        <v>0</v>
      </c>
      <c r="AD342" s="10">
        <f t="shared" si="258"/>
        <v>0</v>
      </c>
      <c r="AE342" s="10">
        <f t="shared" si="258"/>
        <v>0</v>
      </c>
      <c r="AF342" s="10">
        <f t="shared" si="258"/>
        <v>0</v>
      </c>
      <c r="AG342" s="10">
        <f t="shared" si="258"/>
        <v>0</v>
      </c>
      <c r="AH342" s="10">
        <f t="shared" si="258"/>
        <v>0</v>
      </c>
      <c r="AI342" s="10">
        <f t="shared" si="258"/>
        <v>0</v>
      </c>
      <c r="AJ342" s="10">
        <f t="shared" si="258"/>
        <v>0</v>
      </c>
      <c r="AK342" s="10">
        <f t="shared" si="258"/>
        <v>0</v>
      </c>
      <c r="AL342" s="10">
        <f t="shared" si="258"/>
        <v>0</v>
      </c>
      <c r="AM342" s="10">
        <f t="shared" si="258"/>
        <v>0</v>
      </c>
      <c r="AN342" s="10">
        <f t="shared" si="258"/>
        <v>0</v>
      </c>
      <c r="AO342" s="10">
        <f t="shared" si="258"/>
        <v>0</v>
      </c>
      <c r="AP342" s="10">
        <f t="shared" si="258"/>
        <v>0</v>
      </c>
      <c r="AQ342" s="10">
        <f t="shared" si="258"/>
        <v>0</v>
      </c>
      <c r="AR342" s="10">
        <f t="shared" si="258"/>
        <v>0</v>
      </c>
      <c r="AS342" s="10">
        <f t="shared" si="258"/>
        <v>0</v>
      </c>
      <c r="AT342" s="10">
        <f t="shared" si="258"/>
        <v>0</v>
      </c>
      <c r="AU342" s="10">
        <f t="shared" si="258"/>
        <v>0</v>
      </c>
      <c r="AV342" s="10">
        <f t="shared" si="258"/>
        <v>0</v>
      </c>
      <c r="AW342" s="10">
        <f t="shared" si="258"/>
        <v>0</v>
      </c>
      <c r="AX342" s="10">
        <f t="shared" si="258"/>
        <v>0</v>
      </c>
      <c r="AY342" s="10">
        <f t="shared" si="258"/>
        <v>0</v>
      </c>
      <c r="AZ342" s="10">
        <f t="shared" si="258"/>
        <v>0</v>
      </c>
      <c r="BA342" s="10">
        <f t="shared" si="258"/>
        <v>0</v>
      </c>
      <c r="BB342" s="10">
        <f t="shared" si="258"/>
        <v>0</v>
      </c>
      <c r="BC342" s="10">
        <f t="shared" si="258"/>
        <v>0</v>
      </c>
      <c r="BD342" s="10">
        <f t="shared" si="258"/>
        <v>0</v>
      </c>
      <c r="BE342" s="10">
        <f t="shared" si="258"/>
        <v>0</v>
      </c>
      <c r="BF342" s="10">
        <f t="shared" si="258"/>
        <v>0</v>
      </c>
      <c r="BG342" s="10">
        <f t="shared" si="258"/>
        <v>0</v>
      </c>
      <c r="BH342" s="10">
        <f t="shared" si="258"/>
        <v>0</v>
      </c>
      <c r="BI342" s="10">
        <f t="shared" si="258"/>
        <v>0</v>
      </c>
      <c r="BJ342" s="10">
        <f t="shared" si="258"/>
        <v>0</v>
      </c>
      <c r="BK342" s="10">
        <f t="shared" si="258"/>
        <v>0</v>
      </c>
      <c r="BL342" s="10">
        <f t="shared" si="258"/>
        <v>0</v>
      </c>
      <c r="BM342" s="10">
        <f t="shared" si="258"/>
        <v>0</v>
      </c>
      <c r="BN342" s="10">
        <f t="shared" si="258"/>
        <v>0</v>
      </c>
      <c r="BO342" s="10">
        <f t="shared" si="258"/>
        <v>0</v>
      </c>
      <c r="BP342" s="10">
        <f t="shared" si="258"/>
        <v>0</v>
      </c>
      <c r="BQ342" s="10">
        <f t="shared" si="258"/>
        <v>0</v>
      </c>
      <c r="BR342" s="10">
        <f t="shared" si="258"/>
        <v>0</v>
      </c>
      <c r="BS342" s="10">
        <f t="shared" si="258"/>
        <v>0</v>
      </c>
      <c r="BT342" s="10">
        <f t="shared" si="258"/>
        <v>0</v>
      </c>
      <c r="BU342" s="10">
        <f t="shared" si="258"/>
        <v>0</v>
      </c>
      <c r="BV342" s="10">
        <f t="shared" si="258"/>
        <v>0</v>
      </c>
      <c r="BX342" s="12">
        <f t="shared" ref="BX342:CA346" si="259">V342</f>
        <v>0</v>
      </c>
      <c r="BY342" s="12">
        <f t="shared" si="259"/>
        <v>0</v>
      </c>
      <c r="BZ342" s="12">
        <f t="shared" si="259"/>
        <v>0</v>
      </c>
      <c r="CA342" s="12">
        <f t="shared" si="259"/>
        <v>0</v>
      </c>
      <c r="CB342" s="10">
        <f t="shared" ref="CB342:CI342" si="260">CA346</f>
        <v>0</v>
      </c>
      <c r="CC342" s="10">
        <f t="shared" si="260"/>
        <v>0</v>
      </c>
      <c r="CD342" s="10">
        <f t="shared" si="260"/>
        <v>0</v>
      </c>
      <c r="CE342" s="10">
        <f t="shared" si="260"/>
        <v>0</v>
      </c>
      <c r="CF342" s="10">
        <f t="shared" si="260"/>
        <v>0</v>
      </c>
      <c r="CG342" s="10">
        <f t="shared" si="260"/>
        <v>0</v>
      </c>
      <c r="CH342" s="10">
        <f t="shared" si="260"/>
        <v>0</v>
      </c>
      <c r="CI342" s="10">
        <f t="shared" si="260"/>
        <v>0</v>
      </c>
      <c r="CK342" s="11"/>
      <c r="CM342" s="11"/>
      <c r="CY342" s="7" cm="1">
        <f t="array" ref="CY342">SUMPRODUCT(--NOT(ISNUMBER(V342:CI342)),--NOT(ISBLANK(V342:CI342)))</f>
        <v>0</v>
      </c>
      <c r="DF342" s="11"/>
      <c r="DG342">
        <f t="shared" si="237"/>
        <v>0</v>
      </c>
      <c r="DH342">
        <v>1</v>
      </c>
      <c r="DI342">
        <v>0</v>
      </c>
      <c r="EY342" s="12" t="str">
        <f>IF(C342="", "", CONCATENATE(D341, " ",D342))</f>
        <v>Loan 16 Opening Loan Balance</v>
      </c>
    </row>
    <row r="343" spans="1:155" s="5" customFormat="1" x14ac:dyDescent="0.35">
      <c r="A343" s="220" cm="1">
        <f t="array" aca="1" ref="A343" ca="1">HYPERLINK(CONCATENATE("#",CELL("address",IF(MAX($CM343:$DF343)=0,A343,INDEX($CM343:$DF343,MATCH(1,$CM343:$DF343,0))))),MAX($CM343:$DF343))</f>
        <v>0</v>
      </c>
      <c r="B343"/>
      <c r="C343" s="211" t="s">
        <v>1195</v>
      </c>
      <c r="D343" t="s">
        <v>1076</v>
      </c>
      <c r="E343" s="1"/>
      <c r="F343" s="1"/>
      <c r="G343"/>
      <c r="H343" s="9" t="s">
        <v>1074</v>
      </c>
      <c r="I343" s="40" t="s">
        <v>665</v>
      </c>
      <c r="J343"/>
      <c r="K343"/>
      <c r="L343"/>
      <c r="M343"/>
      <c r="N343"/>
      <c r="O343"/>
      <c r="P343"/>
      <c r="Q343"/>
      <c r="R343"/>
      <c r="S343"/>
      <c r="T343"/>
      <c r="U343"/>
      <c r="V343" s="109"/>
      <c r="W343" s="133">
        <f t="shared" ref="W343:Y345" si="261" xml:space="preserve"> SUMIFS($AA343:$BV343, $AA$3:$BV$3, W$3)</f>
        <v>0</v>
      </c>
      <c r="X343" s="133">
        <f t="shared" si="261"/>
        <v>0</v>
      </c>
      <c r="Y343" s="133">
        <f t="shared" si="261"/>
        <v>0</v>
      </c>
      <c r="Z343"/>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c r="BX343" s="12">
        <f t="shared" si="259"/>
        <v>0</v>
      </c>
      <c r="BY343" s="12">
        <f t="shared" si="259"/>
        <v>0</v>
      </c>
      <c r="BZ343" s="12">
        <f t="shared" si="259"/>
        <v>0</v>
      </c>
      <c r="CA343" s="12">
        <f t="shared" si="259"/>
        <v>0</v>
      </c>
      <c r="CB343" s="133">
        <f xml:space="preserve"> SUMIFS($AA343:$BV343, $AA$3:$BV$3, CB$3)</f>
        <v>0</v>
      </c>
      <c r="CC343" s="109"/>
      <c r="CD343" s="109"/>
      <c r="CE343" s="109"/>
      <c r="CF343" s="109"/>
      <c r="CG343" s="109"/>
      <c r="CH343" s="109"/>
      <c r="CI343" s="109"/>
      <c r="CJ343"/>
      <c r="CK343" s="11"/>
      <c r="CL343" s="241">
        <f>IF(MIN($V343:$CI343)&lt;0, 1, 0)</f>
        <v>0</v>
      </c>
      <c r="CM343" s="11"/>
      <c r="CN343"/>
      <c r="CO343"/>
      <c r="CP343"/>
      <c r="CQ343"/>
      <c r="CR343"/>
      <c r="CS343"/>
      <c r="CT343"/>
      <c r="CU343"/>
      <c r="CV343"/>
      <c r="CW343"/>
      <c r="CX343"/>
      <c r="CY343" s="7" cm="1">
        <f t="array" ref="CY343">SUMPRODUCT(--NOT(ISNUMBER(V343:CI343)),--NOT(ISBLANK(V343:CI343)))</f>
        <v>0</v>
      </c>
      <c r="CZ343" s="7">
        <f t="shared" ref="CZ343:DB345" si="262">IF(ROUND(W343-SUMIFS($AA343:$BV343, $AA$3:$BV$3, W$3), rounding)=0, 0, 1)</f>
        <v>0</v>
      </c>
      <c r="DA343" s="7">
        <f t="shared" si="262"/>
        <v>0</v>
      </c>
      <c r="DB343" s="7">
        <f t="shared" si="262"/>
        <v>0</v>
      </c>
      <c r="DC343" s="7">
        <f>IF(ROUND(CB343-SUMIFS($AA343:$BV343, $AA$3:$BV$3, CB$3), rounding)=0, 0, 1)</f>
        <v>0</v>
      </c>
      <c r="DD343" s="7">
        <f>IF(ROUND(V343-BX343, rounding)=0, 0, 1)*'BS Forecasts'!$V$10</f>
        <v>0</v>
      </c>
      <c r="DE343"/>
      <c r="DF343" s="11"/>
      <c r="DG343">
        <f t="shared" si="237"/>
        <v>0</v>
      </c>
      <c r="DH343">
        <v>1</v>
      </c>
      <c r="DI343">
        <v>1</v>
      </c>
      <c r="EY343" s="12" t="str">
        <f>IF(C343="", "", CONCATENATE(D341, " ",D343))</f>
        <v>Loan 16 Drawdowns</v>
      </c>
    </row>
    <row r="344" spans="1:155" x14ac:dyDescent="0.35">
      <c r="A344" s="220" cm="1">
        <f t="array" aca="1" ref="A344" ca="1">HYPERLINK(CONCATENATE("#",CELL("address",IF(MAX($CM344:$DF344)=0,A344,INDEX($CM344:$DF344,MATCH(1,$CM344:$DF344,0))))),MAX($CM344:$DF344))</f>
        <v>0</v>
      </c>
      <c r="C344" s="211" t="s">
        <v>1196</v>
      </c>
      <c r="D344" t="s">
        <v>1078</v>
      </c>
      <c r="H344" s="9" t="s">
        <v>1074</v>
      </c>
      <c r="I344" s="40" t="s">
        <v>1079</v>
      </c>
      <c r="V344" s="109"/>
      <c r="W344" s="133">
        <f t="shared" si="261"/>
        <v>0</v>
      </c>
      <c r="X344" s="133">
        <f t="shared" si="261"/>
        <v>0</v>
      </c>
      <c r="Y344" s="133">
        <f t="shared" si="261"/>
        <v>0</v>
      </c>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X344" s="12">
        <f t="shared" si="259"/>
        <v>0</v>
      </c>
      <c r="BY344" s="12">
        <f t="shared" si="259"/>
        <v>0</v>
      </c>
      <c r="BZ344" s="12">
        <f t="shared" si="259"/>
        <v>0</v>
      </c>
      <c r="CA344" s="12">
        <f t="shared" si="259"/>
        <v>0</v>
      </c>
      <c r="CB344" s="133">
        <f xml:space="preserve"> SUMIFS($AA344:$BV344, $AA$3:$BV$3, CB$3)</f>
        <v>0</v>
      </c>
      <c r="CC344" s="109"/>
      <c r="CD344" s="109"/>
      <c r="CE344" s="109"/>
      <c r="CF344" s="109"/>
      <c r="CG344" s="109"/>
      <c r="CH344" s="109"/>
      <c r="CI344" s="109"/>
      <c r="CK344" s="11"/>
      <c r="CL344" s="241">
        <f>IF(MAX($V344:$CI344)&gt;0, 1, 0)</f>
        <v>0</v>
      </c>
      <c r="CM344" s="11"/>
      <c r="CY344" s="7" cm="1">
        <f t="array" ref="CY344">SUMPRODUCT(--NOT(ISNUMBER(V344:CI344)),--NOT(ISBLANK(V344:CI344)))</f>
        <v>0</v>
      </c>
      <c r="CZ344" s="7">
        <f t="shared" si="262"/>
        <v>0</v>
      </c>
      <c r="DA344" s="7">
        <f t="shared" si="262"/>
        <v>0</v>
      </c>
      <c r="DB344" s="7">
        <f t="shared" si="262"/>
        <v>0</v>
      </c>
      <c r="DC344" s="7">
        <f>IF(ROUND(CB344-SUMIFS($AA344:$BV344, $AA$3:$BV$3, CB$3), rounding)=0, 0, 1)</f>
        <v>0</v>
      </c>
      <c r="DD344" s="7">
        <f>IF(ROUND(V344-BX344, rounding)=0, 0, 1)*'BS Forecasts'!$V$10</f>
        <v>0</v>
      </c>
      <c r="DF344" s="11"/>
      <c r="DG344">
        <f t="shared" si="237"/>
        <v>0</v>
      </c>
      <c r="DH344">
        <v>1</v>
      </c>
      <c r="DI344">
        <v>1</v>
      </c>
      <c r="EY344" s="12" t="str">
        <f>IF(C344="", "", CONCATENATE(D341, " ",D344))</f>
        <v>Loan 16 Loan Capital Repayment (as per loan agreement)</v>
      </c>
    </row>
    <row r="345" spans="1:155" x14ac:dyDescent="0.35">
      <c r="A345" s="220" cm="1">
        <f t="array" aca="1" ref="A345" ca="1">HYPERLINK(CONCATENATE("#",CELL("address",IF(MAX($CM345:$DF345)=0,A345,INDEX($CM345:$DF345,MATCH(1,$CM345:$DF345,0))))),MAX($CM345:$DF345))</f>
        <v>0</v>
      </c>
      <c r="C345" s="211" t="s">
        <v>1197</v>
      </c>
      <c r="D345" t="s">
        <v>1081</v>
      </c>
      <c r="H345" s="9" t="s">
        <v>1074</v>
      </c>
      <c r="I345" s="40" t="s">
        <v>1079</v>
      </c>
      <c r="V345" s="109"/>
      <c r="W345" s="133">
        <f t="shared" si="261"/>
        <v>0</v>
      </c>
      <c r="X345" s="133">
        <f t="shared" si="261"/>
        <v>0</v>
      </c>
      <c r="Y345" s="133">
        <f t="shared" si="261"/>
        <v>0</v>
      </c>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X345" s="12">
        <f t="shared" si="259"/>
        <v>0</v>
      </c>
      <c r="BY345" s="12">
        <f t="shared" si="259"/>
        <v>0</v>
      </c>
      <c r="BZ345" s="12">
        <f t="shared" si="259"/>
        <v>0</v>
      </c>
      <c r="CA345" s="12">
        <f t="shared" si="259"/>
        <v>0</v>
      </c>
      <c r="CB345" s="133">
        <f xml:space="preserve"> SUMIFS($AA345:$BV345, $AA$3:$BV$3, CB$3)</f>
        <v>0</v>
      </c>
      <c r="CC345" s="109"/>
      <c r="CD345" s="109"/>
      <c r="CE345" s="109"/>
      <c r="CF345" s="109"/>
      <c r="CG345" s="109"/>
      <c r="CH345" s="109"/>
      <c r="CI345" s="109"/>
      <c r="CK345" s="11"/>
      <c r="CL345" s="241">
        <f>IF(MAX($V345:$CI345)&gt;0, 1, 0)</f>
        <v>0</v>
      </c>
      <c r="CM345" s="11"/>
      <c r="CY345" s="7" cm="1">
        <f t="array" ref="CY345">SUMPRODUCT(--NOT(ISNUMBER(V345:CI345)),--NOT(ISBLANK(V345:CI345)))</f>
        <v>0</v>
      </c>
      <c r="CZ345" s="7">
        <f t="shared" si="262"/>
        <v>0</v>
      </c>
      <c r="DA345" s="7">
        <f t="shared" si="262"/>
        <v>0</v>
      </c>
      <c r="DB345" s="7">
        <f t="shared" si="262"/>
        <v>0</v>
      </c>
      <c r="DC345" s="7">
        <f>IF(ROUND(CB345-SUMIFS($AA345:$BV345, $AA$3:$BV$3, CB$3), rounding)=0, 0, 1)</f>
        <v>0</v>
      </c>
      <c r="DD345" s="7">
        <f>IF(ROUND(V345-BX345, rounding)=0, 0, 1)*'BS Forecasts'!$V$10</f>
        <v>0</v>
      </c>
      <c r="DF345" s="11"/>
      <c r="DG345">
        <f t="shared" si="237"/>
        <v>0</v>
      </c>
      <c r="DH345">
        <v>1</v>
      </c>
      <c r="DI345">
        <v>1</v>
      </c>
      <c r="EY345" s="12" t="str">
        <f>IF(C345="", "", CONCATENATE(D341, " ",D345))</f>
        <v xml:space="preserve">Loan 16 Early Repayment </v>
      </c>
    </row>
    <row r="346" spans="1:155" x14ac:dyDescent="0.35">
      <c r="C346" s="211" t="s">
        <v>1198</v>
      </c>
      <c r="D346" t="s">
        <v>1083</v>
      </c>
      <c r="H346" s="9" t="s">
        <v>1074</v>
      </c>
      <c r="I346" s="40" t="s">
        <v>317</v>
      </c>
      <c r="V346" s="12">
        <f>$H$28</f>
        <v>0</v>
      </c>
      <c r="W346" s="10">
        <f>SUM(W342:W345)</f>
        <v>0</v>
      </c>
      <c r="X346" s="10">
        <f>SUM(X342:X345)</f>
        <v>0</v>
      </c>
      <c r="Y346" s="10">
        <f>SUM(Y342:Y345)</f>
        <v>0</v>
      </c>
      <c r="AA346" s="10">
        <f t="shared" ref="AA346:BV346" si="263">SUM(AA342:AA345)</f>
        <v>0</v>
      </c>
      <c r="AB346" s="10">
        <f t="shared" si="263"/>
        <v>0</v>
      </c>
      <c r="AC346" s="10">
        <f t="shared" si="263"/>
        <v>0</v>
      </c>
      <c r="AD346" s="10">
        <f t="shared" si="263"/>
        <v>0</v>
      </c>
      <c r="AE346" s="10">
        <f t="shared" si="263"/>
        <v>0</v>
      </c>
      <c r="AF346" s="10">
        <f t="shared" si="263"/>
        <v>0</v>
      </c>
      <c r="AG346" s="10">
        <f t="shared" si="263"/>
        <v>0</v>
      </c>
      <c r="AH346" s="10">
        <f t="shared" si="263"/>
        <v>0</v>
      </c>
      <c r="AI346" s="10">
        <f t="shared" si="263"/>
        <v>0</v>
      </c>
      <c r="AJ346" s="10">
        <f t="shared" si="263"/>
        <v>0</v>
      </c>
      <c r="AK346" s="10">
        <f t="shared" si="263"/>
        <v>0</v>
      </c>
      <c r="AL346" s="10">
        <f t="shared" si="263"/>
        <v>0</v>
      </c>
      <c r="AM346" s="10">
        <f t="shared" si="263"/>
        <v>0</v>
      </c>
      <c r="AN346" s="10">
        <f t="shared" si="263"/>
        <v>0</v>
      </c>
      <c r="AO346" s="10">
        <f t="shared" si="263"/>
        <v>0</v>
      </c>
      <c r="AP346" s="10">
        <f t="shared" si="263"/>
        <v>0</v>
      </c>
      <c r="AQ346" s="10">
        <f t="shared" si="263"/>
        <v>0</v>
      </c>
      <c r="AR346" s="10">
        <f t="shared" si="263"/>
        <v>0</v>
      </c>
      <c r="AS346" s="10">
        <f t="shared" si="263"/>
        <v>0</v>
      </c>
      <c r="AT346" s="10">
        <f t="shared" si="263"/>
        <v>0</v>
      </c>
      <c r="AU346" s="10">
        <f t="shared" si="263"/>
        <v>0</v>
      </c>
      <c r="AV346" s="10">
        <f t="shared" si="263"/>
        <v>0</v>
      </c>
      <c r="AW346" s="10">
        <f t="shared" si="263"/>
        <v>0</v>
      </c>
      <c r="AX346" s="10">
        <f t="shared" si="263"/>
        <v>0</v>
      </c>
      <c r="AY346" s="10">
        <f t="shared" si="263"/>
        <v>0</v>
      </c>
      <c r="AZ346" s="10">
        <f t="shared" si="263"/>
        <v>0</v>
      </c>
      <c r="BA346" s="10">
        <f t="shared" si="263"/>
        <v>0</v>
      </c>
      <c r="BB346" s="10">
        <f t="shared" si="263"/>
        <v>0</v>
      </c>
      <c r="BC346" s="10">
        <f t="shared" si="263"/>
        <v>0</v>
      </c>
      <c r="BD346" s="10">
        <f t="shared" si="263"/>
        <v>0</v>
      </c>
      <c r="BE346" s="10">
        <f t="shared" si="263"/>
        <v>0</v>
      </c>
      <c r="BF346" s="10">
        <f t="shared" si="263"/>
        <v>0</v>
      </c>
      <c r="BG346" s="10">
        <f t="shared" si="263"/>
        <v>0</v>
      </c>
      <c r="BH346" s="10">
        <f t="shared" si="263"/>
        <v>0</v>
      </c>
      <c r="BI346" s="10">
        <f t="shared" si="263"/>
        <v>0</v>
      </c>
      <c r="BJ346" s="10">
        <f t="shared" si="263"/>
        <v>0</v>
      </c>
      <c r="BK346" s="10">
        <f t="shared" si="263"/>
        <v>0</v>
      </c>
      <c r="BL346" s="10">
        <f t="shared" si="263"/>
        <v>0</v>
      </c>
      <c r="BM346" s="10">
        <f t="shared" si="263"/>
        <v>0</v>
      </c>
      <c r="BN346" s="10">
        <f t="shared" si="263"/>
        <v>0</v>
      </c>
      <c r="BO346" s="10">
        <f t="shared" si="263"/>
        <v>0</v>
      </c>
      <c r="BP346" s="10">
        <f t="shared" si="263"/>
        <v>0</v>
      </c>
      <c r="BQ346" s="10">
        <f t="shared" si="263"/>
        <v>0</v>
      </c>
      <c r="BR346" s="10">
        <f t="shared" si="263"/>
        <v>0</v>
      </c>
      <c r="BS346" s="10">
        <f t="shared" si="263"/>
        <v>0</v>
      </c>
      <c r="BT346" s="10">
        <f t="shared" si="263"/>
        <v>0</v>
      </c>
      <c r="BU346" s="10">
        <f t="shared" si="263"/>
        <v>0</v>
      </c>
      <c r="BV346" s="10">
        <f t="shared" si="263"/>
        <v>0</v>
      </c>
      <c r="BX346" s="12">
        <f t="shared" si="259"/>
        <v>0</v>
      </c>
      <c r="BY346" s="12">
        <f t="shared" si="259"/>
        <v>0</v>
      </c>
      <c r="BZ346" s="12">
        <f t="shared" si="259"/>
        <v>0</v>
      </c>
      <c r="CA346" s="12">
        <f t="shared" si="259"/>
        <v>0</v>
      </c>
      <c r="CB346" s="10">
        <f t="shared" ref="CB346:CI346" si="264">SUM(CB342:CB345)</f>
        <v>0</v>
      </c>
      <c r="CC346" s="10">
        <f t="shared" si="264"/>
        <v>0</v>
      </c>
      <c r="CD346" s="10">
        <f t="shared" si="264"/>
        <v>0</v>
      </c>
      <c r="CE346" s="10">
        <f t="shared" si="264"/>
        <v>0</v>
      </c>
      <c r="CF346" s="10">
        <f t="shared" si="264"/>
        <v>0</v>
      </c>
      <c r="CG346" s="10">
        <f t="shared" si="264"/>
        <v>0</v>
      </c>
      <c r="CH346" s="10">
        <f t="shared" si="264"/>
        <v>0</v>
      </c>
      <c r="CI346" s="10">
        <f t="shared" si="264"/>
        <v>0</v>
      </c>
      <c r="CK346" s="11"/>
      <c r="CM346" s="11"/>
      <c r="DF346" s="11"/>
      <c r="DG346">
        <f t="shared" si="237"/>
        <v>0</v>
      </c>
      <c r="DH346">
        <v>0</v>
      </c>
      <c r="DI346">
        <v>0</v>
      </c>
      <c r="EY346" s="12" t="str">
        <f>IF(C346="", "", CONCATENATE(D341, " ",D346))</f>
        <v>Loan 16 Closing Loan Balance</v>
      </c>
    </row>
    <row r="347" spans="1:155" ht="6.75" customHeight="1" x14ac:dyDescent="0.35">
      <c r="C347" s="211"/>
      <c r="D347" s="1"/>
      <c r="E347"/>
      <c r="F347"/>
      <c r="BY347" s="6"/>
      <c r="CK347" s="35"/>
      <c r="CM347" s="35"/>
      <c r="DF347" s="35"/>
      <c r="DG347">
        <f t="shared" si="237"/>
        <v>0</v>
      </c>
      <c r="DH347">
        <v>0</v>
      </c>
      <c r="DI347">
        <v>0</v>
      </c>
      <c r="EY347" s="12" t="str">
        <f>IF(C347="", "", CONCATENATE(D341, " ",D347))</f>
        <v/>
      </c>
    </row>
    <row r="348" spans="1:155" x14ac:dyDescent="0.35">
      <c r="A348" s="220" cm="1">
        <f t="array" aca="1" ref="A348" ca="1">HYPERLINK(CONCATENATE("#",CELL("address",IF(MAX($CM348:$DF348)=0,A348,INDEX($CM348:$DF348,MATCH(1,$CM348:$DF348,0))))),MAX($CM348:$DF348))</f>
        <v>0</v>
      </c>
      <c r="C348" s="211"/>
      <c r="D348" t="s">
        <v>1084</v>
      </c>
      <c r="E348" s="118" t="s">
        <v>1085</v>
      </c>
      <c r="F348" s="118"/>
      <c r="G348" s="10">
        <f>$G$28</f>
        <v>0</v>
      </c>
      <c r="V348" s="7">
        <f>IF(OR(V346&gt;$G348, V346&lt;0), 1, 0)</f>
        <v>0</v>
      </c>
      <c r="W348" s="7">
        <f>IF(OR(W346&gt;$G348, W346&lt;0), 1, 0)</f>
        <v>0</v>
      </c>
      <c r="X348" s="7">
        <f>IF(OR(X346&gt;$G348, X346&lt;0), 1, 0)</f>
        <v>0</v>
      </c>
      <c r="Y348" s="7">
        <f>IF(OR(Y346&gt;$G348, Y346&lt;0), 1, 0)</f>
        <v>0</v>
      </c>
      <c r="AA348" s="7">
        <f t="shared" ref="AA348:BV348" si="265">IF(OR(AA346&gt;$G348, AA346&lt;0), 1, 0)</f>
        <v>0</v>
      </c>
      <c r="AB348" s="7">
        <f t="shared" si="265"/>
        <v>0</v>
      </c>
      <c r="AC348" s="7">
        <f t="shared" si="265"/>
        <v>0</v>
      </c>
      <c r="AD348" s="7">
        <f t="shared" si="265"/>
        <v>0</v>
      </c>
      <c r="AE348" s="7">
        <f t="shared" si="265"/>
        <v>0</v>
      </c>
      <c r="AF348" s="7">
        <f t="shared" si="265"/>
        <v>0</v>
      </c>
      <c r="AG348" s="7">
        <f t="shared" si="265"/>
        <v>0</v>
      </c>
      <c r="AH348" s="7">
        <f t="shared" si="265"/>
        <v>0</v>
      </c>
      <c r="AI348" s="7">
        <f t="shared" si="265"/>
        <v>0</v>
      </c>
      <c r="AJ348" s="7">
        <f t="shared" si="265"/>
        <v>0</v>
      </c>
      <c r="AK348" s="7">
        <f t="shared" si="265"/>
        <v>0</v>
      </c>
      <c r="AL348" s="7">
        <f t="shared" si="265"/>
        <v>0</v>
      </c>
      <c r="AM348" s="7">
        <f t="shared" si="265"/>
        <v>0</v>
      </c>
      <c r="AN348" s="7">
        <f t="shared" si="265"/>
        <v>0</v>
      </c>
      <c r="AO348" s="7">
        <f t="shared" si="265"/>
        <v>0</v>
      </c>
      <c r="AP348" s="7">
        <f t="shared" si="265"/>
        <v>0</v>
      </c>
      <c r="AQ348" s="7">
        <f t="shared" si="265"/>
        <v>0</v>
      </c>
      <c r="AR348" s="7">
        <f t="shared" si="265"/>
        <v>0</v>
      </c>
      <c r="AS348" s="7">
        <f t="shared" si="265"/>
        <v>0</v>
      </c>
      <c r="AT348" s="7">
        <f t="shared" si="265"/>
        <v>0</v>
      </c>
      <c r="AU348" s="7">
        <f t="shared" si="265"/>
        <v>0</v>
      </c>
      <c r="AV348" s="7">
        <f t="shared" si="265"/>
        <v>0</v>
      </c>
      <c r="AW348" s="7">
        <f t="shared" si="265"/>
        <v>0</v>
      </c>
      <c r="AX348" s="7">
        <f t="shared" si="265"/>
        <v>0</v>
      </c>
      <c r="AY348" s="7">
        <f t="shared" si="265"/>
        <v>0</v>
      </c>
      <c r="AZ348" s="7">
        <f t="shared" si="265"/>
        <v>0</v>
      </c>
      <c r="BA348" s="7">
        <f t="shared" si="265"/>
        <v>0</v>
      </c>
      <c r="BB348" s="7">
        <f t="shared" si="265"/>
        <v>0</v>
      </c>
      <c r="BC348" s="7">
        <f t="shared" si="265"/>
        <v>0</v>
      </c>
      <c r="BD348" s="7">
        <f t="shared" si="265"/>
        <v>0</v>
      </c>
      <c r="BE348" s="7">
        <f t="shared" si="265"/>
        <v>0</v>
      </c>
      <c r="BF348" s="7">
        <f t="shared" si="265"/>
        <v>0</v>
      </c>
      <c r="BG348" s="7">
        <f t="shared" si="265"/>
        <v>0</v>
      </c>
      <c r="BH348" s="7">
        <f t="shared" si="265"/>
        <v>0</v>
      </c>
      <c r="BI348" s="7">
        <f t="shared" si="265"/>
        <v>0</v>
      </c>
      <c r="BJ348" s="7">
        <f t="shared" si="265"/>
        <v>0</v>
      </c>
      <c r="BK348" s="7">
        <f t="shared" si="265"/>
        <v>0</v>
      </c>
      <c r="BL348" s="7">
        <f t="shared" si="265"/>
        <v>0</v>
      </c>
      <c r="BM348" s="7">
        <f t="shared" si="265"/>
        <v>0</v>
      </c>
      <c r="BN348" s="7">
        <f t="shared" si="265"/>
        <v>0</v>
      </c>
      <c r="BO348" s="7">
        <f t="shared" si="265"/>
        <v>0</v>
      </c>
      <c r="BP348" s="7">
        <f t="shared" si="265"/>
        <v>0</v>
      </c>
      <c r="BQ348" s="7">
        <f t="shared" si="265"/>
        <v>0</v>
      </c>
      <c r="BR348" s="7">
        <f t="shared" si="265"/>
        <v>0</v>
      </c>
      <c r="BS348" s="7">
        <f t="shared" si="265"/>
        <v>0</v>
      </c>
      <c r="BT348" s="7">
        <f t="shared" si="265"/>
        <v>0</v>
      </c>
      <c r="BU348" s="7">
        <f t="shared" si="265"/>
        <v>0</v>
      </c>
      <c r="BV348" s="7">
        <f t="shared" si="265"/>
        <v>0</v>
      </c>
      <c r="BX348" s="7">
        <f t="shared" ref="BX348:CI348" si="266">IF(OR(BX346&gt;$G348, BX346&lt;0), 1, 0)</f>
        <v>0</v>
      </c>
      <c r="BY348" s="7">
        <f t="shared" si="266"/>
        <v>0</v>
      </c>
      <c r="BZ348" s="7">
        <f t="shared" si="266"/>
        <v>0</v>
      </c>
      <c r="CA348" s="7">
        <f t="shared" si="266"/>
        <v>0</v>
      </c>
      <c r="CB348" s="7">
        <f t="shared" si="266"/>
        <v>0</v>
      </c>
      <c r="CC348" s="7">
        <f t="shared" si="266"/>
        <v>0</v>
      </c>
      <c r="CD348" s="7">
        <f t="shared" si="266"/>
        <v>0</v>
      </c>
      <c r="CE348" s="7">
        <f t="shared" si="266"/>
        <v>0</v>
      </c>
      <c r="CF348" s="7">
        <f t="shared" si="266"/>
        <v>0</v>
      </c>
      <c r="CG348" s="7">
        <f t="shared" si="266"/>
        <v>0</v>
      </c>
      <c r="CH348" s="7">
        <f t="shared" si="266"/>
        <v>0</v>
      </c>
      <c r="CI348" s="7">
        <f t="shared" si="266"/>
        <v>0</v>
      </c>
      <c r="CK348" s="11"/>
      <c r="CM348" s="11"/>
      <c r="CX348" s="7">
        <f>IF(MAX(V348:CI348)&gt;0, 1, 0)</f>
        <v>0</v>
      </c>
      <c r="DF348" s="11"/>
      <c r="DG348">
        <f t="shared" si="237"/>
        <v>1</v>
      </c>
      <c r="DH348">
        <v>0</v>
      </c>
      <c r="DI348">
        <v>0</v>
      </c>
      <c r="EY348" s="12" t="str">
        <f>IF(C348="", "", CONCATENATE(D341, " ",D348))</f>
        <v/>
      </c>
    </row>
    <row r="349" spans="1:155" x14ac:dyDescent="0.35">
      <c r="A349" s="220" cm="1">
        <f t="array" aca="1" ref="A349" ca="1">HYPERLINK(CONCATENATE("#",CELL("address",IF(MAX($CM349:$DF349)=0,A349,INDEX($CM349:$DF349,MATCH(1,$CM349:$DF349,0))))),MAX($CM349:$DF349))</f>
        <v>0</v>
      </c>
      <c r="C349" s="211"/>
      <c r="D349" t="s">
        <v>1086</v>
      </c>
      <c r="E349" s="118" t="s">
        <v>1087</v>
      </c>
      <c r="F349" s="118"/>
      <c r="G349" s="117" t="str">
        <f>IF($K$28="", "", $K$28)</f>
        <v/>
      </c>
      <c r="V349" s="7">
        <f>IF(AND(V$5&gt;=$G349,SUM(V346:$Y346)&lt;&gt;0),1,0)</f>
        <v>0</v>
      </c>
      <c r="W349" s="7">
        <f>IF(AND(W$5&gt;=$G349,SUM(W346:$Y346)&lt;&gt;0),1,0)</f>
        <v>0</v>
      </c>
      <c r="X349" s="7">
        <f>IF(AND(X$5&gt;=$G349,SUM(X346:$Y346)&lt;&gt;0),1,0)</f>
        <v>0</v>
      </c>
      <c r="Y349" s="7">
        <f>IF(AND(Y$5&gt;=$G349,SUM(Y346:$Y346)&lt;&gt;0),1,0)</f>
        <v>0</v>
      </c>
      <c r="AA349" s="7">
        <f>IF(AND(AA$5&gt;=$G349,SUM(AA346:$BV346)&lt;&gt;0),1,0)</f>
        <v>0</v>
      </c>
      <c r="AB349" s="7">
        <f>IF(AND(AB$5&gt;=$G349,SUM(AB346:$BV346)&lt;&gt;0),1,0)</f>
        <v>0</v>
      </c>
      <c r="AC349" s="7">
        <f>IF(AND(AC$5&gt;=$G349,SUM(AC346:$BV346)&lt;&gt;0),1,0)</f>
        <v>0</v>
      </c>
      <c r="AD349" s="7">
        <f>IF(AND(AD$5&gt;=$G349,SUM(AD346:$BV346)&lt;&gt;0),1,0)</f>
        <v>0</v>
      </c>
      <c r="AE349" s="7">
        <f>IF(AND(AE$5&gt;=$G349,SUM(AE346:$BV346)&lt;&gt;0),1,0)</f>
        <v>0</v>
      </c>
      <c r="AF349" s="7">
        <f>IF(AND(AF$5&gt;=$G349,SUM(AF346:$BV346)&lt;&gt;0),1,0)</f>
        <v>0</v>
      </c>
      <c r="AG349" s="7">
        <f>IF(AND(AG$5&gt;=$G349,SUM(AG346:$BV346)&lt;&gt;0),1,0)</f>
        <v>0</v>
      </c>
      <c r="AH349" s="7">
        <f>IF(AND(AH$5&gt;=$G349,SUM(AH346:$BV346)&lt;&gt;0),1,0)</f>
        <v>0</v>
      </c>
      <c r="AI349" s="7">
        <f>IF(AND(AI$5&gt;=$G349,SUM(AI346:$BV346)&lt;&gt;0),1,0)</f>
        <v>0</v>
      </c>
      <c r="AJ349" s="7">
        <f>IF(AND(AJ$5&gt;=$G349,SUM(AJ346:$BV346)&lt;&gt;0),1,0)</f>
        <v>0</v>
      </c>
      <c r="AK349" s="7">
        <f>IF(AND(AK$5&gt;=$G349,SUM(AK346:$BV346)&lt;&gt;0),1,0)</f>
        <v>0</v>
      </c>
      <c r="AL349" s="7">
        <f>IF(AND(AL$5&gt;=$G349,SUM(AL346:$BV346)&lt;&gt;0),1,0)</f>
        <v>0</v>
      </c>
      <c r="AM349" s="7">
        <f>IF(AND(AM$5&gt;=$G349,SUM(AM346:$BV346)&lt;&gt;0),1,0)</f>
        <v>0</v>
      </c>
      <c r="AN349" s="7">
        <f>IF(AND(AN$5&gt;=$G349,SUM(AN346:$BV346)&lt;&gt;0),1,0)</f>
        <v>0</v>
      </c>
      <c r="AO349" s="7">
        <f>IF(AND(AO$5&gt;=$G349,SUM(AO346:$BV346)&lt;&gt;0),1,0)</f>
        <v>0</v>
      </c>
      <c r="AP349" s="7">
        <f>IF(AND(AP$5&gt;=$G349,SUM(AP346:$BV346)&lt;&gt;0),1,0)</f>
        <v>0</v>
      </c>
      <c r="AQ349" s="7">
        <f>IF(AND(AQ$5&gt;=$G349,SUM(AQ346:$BV346)&lt;&gt;0),1,0)</f>
        <v>0</v>
      </c>
      <c r="AR349" s="7">
        <f>IF(AND(AR$5&gt;=$G349,SUM(AR346:$BV346)&lt;&gt;0),1,0)</f>
        <v>0</v>
      </c>
      <c r="AS349" s="7">
        <f>IF(AND(AS$5&gt;=$G349,SUM(AS346:$BV346)&lt;&gt;0),1,0)</f>
        <v>0</v>
      </c>
      <c r="AT349" s="7">
        <f>IF(AND(AT$5&gt;=$G349,SUM(AT346:$BV346)&lt;&gt;0),1,0)</f>
        <v>0</v>
      </c>
      <c r="AU349" s="7">
        <f>IF(AND(AU$5&gt;=$G349,SUM(AU346:$BV346)&lt;&gt;0),1,0)</f>
        <v>0</v>
      </c>
      <c r="AV349" s="7">
        <f>IF(AND(AV$5&gt;=$G349,SUM(AV346:$BV346)&lt;&gt;0),1,0)</f>
        <v>0</v>
      </c>
      <c r="AW349" s="7">
        <f>IF(AND(AW$5&gt;=$G349,SUM(AW346:$BV346)&lt;&gt;0),1,0)</f>
        <v>0</v>
      </c>
      <c r="AX349" s="7">
        <f>IF(AND(AX$5&gt;=$G349,SUM(AX346:$BV346)&lt;&gt;0),1,0)</f>
        <v>0</v>
      </c>
      <c r="AY349" s="7">
        <f>IF(AND(AY$5&gt;=$G349,SUM(AY346:$BV346)&lt;&gt;0),1,0)</f>
        <v>0</v>
      </c>
      <c r="AZ349" s="7">
        <f>IF(AND(AZ$5&gt;=$G349,SUM(AZ346:$BV346)&lt;&gt;0),1,0)</f>
        <v>0</v>
      </c>
      <c r="BA349" s="7">
        <f>IF(AND(BA$5&gt;=$G349,SUM(BA346:$BV346)&lt;&gt;0),1,0)</f>
        <v>0</v>
      </c>
      <c r="BB349" s="7">
        <f>IF(AND(BB$5&gt;=$G349,SUM(BB346:$BV346)&lt;&gt;0),1,0)</f>
        <v>0</v>
      </c>
      <c r="BC349" s="7">
        <f>IF(AND(BC$5&gt;=$G349,SUM(BC346:$BV346)&lt;&gt;0),1,0)</f>
        <v>0</v>
      </c>
      <c r="BD349" s="7">
        <f>IF(AND(BD$5&gt;=$G349,SUM(BD346:$BV346)&lt;&gt;0),1,0)</f>
        <v>0</v>
      </c>
      <c r="BE349" s="7">
        <f>IF(AND(BE$5&gt;=$G349,SUM(BE346:$BV346)&lt;&gt;0),1,0)</f>
        <v>0</v>
      </c>
      <c r="BF349" s="7">
        <f>IF(AND(BF$5&gt;=$G349,SUM(BF346:$BV346)&lt;&gt;0),1,0)</f>
        <v>0</v>
      </c>
      <c r="BG349" s="7">
        <f>IF(AND(BG$5&gt;=$G349,SUM(BG346:$BV346)&lt;&gt;0),1,0)</f>
        <v>0</v>
      </c>
      <c r="BH349" s="7">
        <f>IF(AND(BH$5&gt;=$G349,SUM(BH346:$BV346)&lt;&gt;0),1,0)</f>
        <v>0</v>
      </c>
      <c r="BI349" s="7">
        <f>IF(AND(BI$5&gt;=$G349,SUM(BI346:$BV346)&lt;&gt;0),1,0)</f>
        <v>0</v>
      </c>
      <c r="BJ349" s="7">
        <f>IF(AND(BJ$5&gt;=$G349,SUM(BJ346:$BV346)&lt;&gt;0),1,0)</f>
        <v>0</v>
      </c>
      <c r="BK349" s="7">
        <f>IF(AND(BK$5&gt;=$G349,SUM(BK346:$BV346)&lt;&gt;0),1,0)</f>
        <v>0</v>
      </c>
      <c r="BL349" s="7">
        <f>IF(AND(BL$5&gt;=$G349,SUM(BL346:$BV346)&lt;&gt;0),1,0)</f>
        <v>0</v>
      </c>
      <c r="BM349" s="7">
        <f>IF(AND(BM$5&gt;=$G349,SUM(BM346:$BV346)&lt;&gt;0),1,0)</f>
        <v>0</v>
      </c>
      <c r="BN349" s="7">
        <f>IF(AND(BN$5&gt;=$G349,SUM(BN346:$BV346)&lt;&gt;0),1,0)</f>
        <v>0</v>
      </c>
      <c r="BO349" s="7">
        <f>IF(AND(BO$5&gt;=$G349,SUM(BO346:$BV346)&lt;&gt;0),1,0)</f>
        <v>0</v>
      </c>
      <c r="BP349" s="7">
        <f>IF(AND(BP$5&gt;=$G349,SUM(BP346:$BV346)&lt;&gt;0),1,0)</f>
        <v>0</v>
      </c>
      <c r="BQ349" s="7">
        <f>IF(AND(BQ$5&gt;=$G349,SUM(BQ346:$BV346)&lt;&gt;0),1,0)</f>
        <v>0</v>
      </c>
      <c r="BR349" s="7">
        <f>IF(AND(BR$5&gt;=$G349,SUM(BR346:$BV346)&lt;&gt;0),1,0)</f>
        <v>0</v>
      </c>
      <c r="BS349" s="7">
        <f>IF(AND(BS$5&gt;=$G349,SUM(BS346:$BV346)&lt;&gt;0),1,0)</f>
        <v>0</v>
      </c>
      <c r="BT349" s="7">
        <f>IF(AND(BT$5&gt;=$G349,SUM(BT346:$BV346)&lt;&gt;0),1,0)</f>
        <v>0</v>
      </c>
      <c r="BU349" s="7">
        <f>IF(AND(BU$5&gt;=$G349,SUM(BU346:$BV346)&lt;&gt;0),1,0)</f>
        <v>0</v>
      </c>
      <c r="BV349" s="7">
        <f>IF(AND(BV$5&gt;=$G349,SUM(BV346:$BV346)&lt;&gt;0),1,0)</f>
        <v>0</v>
      </c>
      <c r="BX349" s="7">
        <f>IF(AND(BX$5&gt;=$G349,SUM(BX346:$CI346)&lt;&gt;0),1,0)*BX$1159</f>
        <v>0</v>
      </c>
      <c r="BY349" s="7">
        <f>IF(AND(BY$5&gt;=$G349,SUM(BY346:$CI346)&lt;&gt;0),1,0)*BY$1159</f>
        <v>0</v>
      </c>
      <c r="BZ349" s="7">
        <f>IF(AND(BZ$5&gt;=$G349,SUM(BZ346:$CI346)&lt;&gt;0),1,0)*BZ$1159</f>
        <v>0</v>
      </c>
      <c r="CA349" s="7">
        <f>IF(AND(CA$5&gt;=$G349,SUM(CA346:$CI346)&lt;&gt;0),1,0)*CA$1159</f>
        <v>0</v>
      </c>
      <c r="CB349" s="7">
        <f>IF(AND(CB$5&gt;=$G349,SUM(CB346:$CI346)&lt;&gt;0),1,0)*CB$1159</f>
        <v>0</v>
      </c>
      <c r="CC349" s="7">
        <f>IF(AND(CC$5&gt;=$G349,SUM(CC346:$CI346)&lt;&gt;0),1,0)*CC$1159</f>
        <v>0</v>
      </c>
      <c r="CD349" s="7">
        <f>IF(AND(CD$5&gt;=$G349,SUM(CD346:$CI346)&lt;&gt;0),1,0)*CD$1159</f>
        <v>0</v>
      </c>
      <c r="CE349" s="7">
        <f>IF(AND(CE$5&gt;=$G349,SUM(CE346:$CI346)&lt;&gt;0),1,0)*CE$1159</f>
        <v>0</v>
      </c>
      <c r="CF349" s="7">
        <f>IF(AND(CF$5&gt;=$G349,SUM(CF346:$CI346)&lt;&gt;0),1,0)*CF$1159</f>
        <v>0</v>
      </c>
      <c r="CG349" s="7">
        <f>IF(AND(CG$5&gt;=$G349,SUM(CG346:$CI346)&lt;&gt;0),1,0)*CG$1159</f>
        <v>0</v>
      </c>
      <c r="CH349" s="7">
        <f>IF(AND(CH$5&gt;=$G349,SUM(CH346:$CI346)&lt;&gt;0),1,0)*CH$1159</f>
        <v>0</v>
      </c>
      <c r="CI349" s="7">
        <f>IF(AND(CI$5&gt;=$G349,SUM(CI346:$CI346)&lt;&gt;0),1,0)*CI$1159</f>
        <v>0</v>
      </c>
      <c r="CK349" s="11"/>
      <c r="CM349" s="11"/>
      <c r="CX349" s="7">
        <f>IF(MAX($V349:$CI349)&gt;0, 1, 0)</f>
        <v>0</v>
      </c>
      <c r="DF349" s="11"/>
      <c r="DG349">
        <f t="shared" si="237"/>
        <v>1</v>
      </c>
      <c r="DH349">
        <v>0</v>
      </c>
      <c r="DI349">
        <v>0</v>
      </c>
      <c r="EY349" s="12" t="str">
        <f>IF(C349="", "", CONCATENATE(D341, " ",D349))</f>
        <v/>
      </c>
    </row>
    <row r="350" spans="1:155" ht="6.75" customHeight="1" x14ac:dyDescent="0.35">
      <c r="C350" s="211"/>
      <c r="D350" s="1"/>
      <c r="E350"/>
      <c r="F350"/>
      <c r="BY350" s="6"/>
      <c r="CK350" s="35"/>
      <c r="CM350" s="35"/>
      <c r="DF350" s="35"/>
      <c r="DG350">
        <f t="shared" si="237"/>
        <v>0</v>
      </c>
      <c r="DH350">
        <v>0</v>
      </c>
      <c r="DI350">
        <v>0</v>
      </c>
      <c r="EY350" s="12" t="str">
        <f>IF(C350="", "", CONCATENATE(D341, " ",D350))</f>
        <v/>
      </c>
    </row>
    <row r="351" spans="1:155" x14ac:dyDescent="0.35">
      <c r="C351" s="211"/>
      <c r="D351" t="s">
        <v>1088</v>
      </c>
      <c r="H351" s="9" t="s">
        <v>1074</v>
      </c>
      <c r="I351" s="40" t="s">
        <v>317</v>
      </c>
      <c r="V351" s="109"/>
      <c r="W351" s="133">
        <f>V354</f>
        <v>0</v>
      </c>
      <c r="X351" s="133">
        <f>W354</f>
        <v>0</v>
      </c>
      <c r="Y351" s="10">
        <f>X354</f>
        <v>0</v>
      </c>
      <c r="AA351" s="12">
        <f>W351</f>
        <v>0</v>
      </c>
      <c r="AB351" s="10">
        <f t="shared" ref="AB351:BV351" si="267">AA354</f>
        <v>0</v>
      </c>
      <c r="AC351" s="10">
        <f t="shared" si="267"/>
        <v>0</v>
      </c>
      <c r="AD351" s="10">
        <f t="shared" si="267"/>
        <v>0</v>
      </c>
      <c r="AE351" s="10">
        <f t="shared" si="267"/>
        <v>0</v>
      </c>
      <c r="AF351" s="10">
        <f t="shared" si="267"/>
        <v>0</v>
      </c>
      <c r="AG351" s="10">
        <f t="shared" si="267"/>
        <v>0</v>
      </c>
      <c r="AH351" s="10">
        <f t="shared" si="267"/>
        <v>0</v>
      </c>
      <c r="AI351" s="10">
        <f t="shared" si="267"/>
        <v>0</v>
      </c>
      <c r="AJ351" s="10">
        <f t="shared" si="267"/>
        <v>0</v>
      </c>
      <c r="AK351" s="10">
        <f t="shared" si="267"/>
        <v>0</v>
      </c>
      <c r="AL351" s="10">
        <f t="shared" si="267"/>
        <v>0</v>
      </c>
      <c r="AM351" s="10">
        <f t="shared" si="267"/>
        <v>0</v>
      </c>
      <c r="AN351" s="10">
        <f t="shared" si="267"/>
        <v>0</v>
      </c>
      <c r="AO351" s="10">
        <f t="shared" si="267"/>
        <v>0</v>
      </c>
      <c r="AP351" s="10">
        <f t="shared" si="267"/>
        <v>0</v>
      </c>
      <c r="AQ351" s="10">
        <f t="shared" si="267"/>
        <v>0</v>
      </c>
      <c r="AR351" s="10">
        <f t="shared" si="267"/>
        <v>0</v>
      </c>
      <c r="AS351" s="10">
        <f t="shared" si="267"/>
        <v>0</v>
      </c>
      <c r="AT351" s="10">
        <f t="shared" si="267"/>
        <v>0</v>
      </c>
      <c r="AU351" s="10">
        <f t="shared" si="267"/>
        <v>0</v>
      </c>
      <c r="AV351" s="10">
        <f t="shared" si="267"/>
        <v>0</v>
      </c>
      <c r="AW351" s="10">
        <f t="shared" si="267"/>
        <v>0</v>
      </c>
      <c r="AX351" s="10">
        <f t="shared" si="267"/>
        <v>0</v>
      </c>
      <c r="AY351" s="10">
        <f t="shared" si="267"/>
        <v>0</v>
      </c>
      <c r="AZ351" s="10">
        <f t="shared" si="267"/>
        <v>0</v>
      </c>
      <c r="BA351" s="10">
        <f t="shared" si="267"/>
        <v>0</v>
      </c>
      <c r="BB351" s="10">
        <f t="shared" si="267"/>
        <v>0</v>
      </c>
      <c r="BC351" s="10">
        <f t="shared" si="267"/>
        <v>0</v>
      </c>
      <c r="BD351" s="10">
        <f t="shared" si="267"/>
        <v>0</v>
      </c>
      <c r="BE351" s="10">
        <f t="shared" si="267"/>
        <v>0</v>
      </c>
      <c r="BF351" s="10">
        <f t="shared" si="267"/>
        <v>0</v>
      </c>
      <c r="BG351" s="10">
        <f t="shared" si="267"/>
        <v>0</v>
      </c>
      <c r="BH351" s="10">
        <f t="shared" si="267"/>
        <v>0</v>
      </c>
      <c r="BI351" s="10">
        <f t="shared" si="267"/>
        <v>0</v>
      </c>
      <c r="BJ351" s="10">
        <f t="shared" si="267"/>
        <v>0</v>
      </c>
      <c r="BK351" s="10">
        <f t="shared" si="267"/>
        <v>0</v>
      </c>
      <c r="BL351" s="10">
        <f t="shared" si="267"/>
        <v>0</v>
      </c>
      <c r="BM351" s="10">
        <f t="shared" si="267"/>
        <v>0</v>
      </c>
      <c r="BN351" s="10">
        <f t="shared" si="267"/>
        <v>0</v>
      </c>
      <c r="BO351" s="10">
        <f t="shared" si="267"/>
        <v>0</v>
      </c>
      <c r="BP351" s="10">
        <f t="shared" si="267"/>
        <v>0</v>
      </c>
      <c r="BQ351" s="10">
        <f t="shared" si="267"/>
        <v>0</v>
      </c>
      <c r="BR351" s="10">
        <f t="shared" si="267"/>
        <v>0</v>
      </c>
      <c r="BS351" s="10">
        <f t="shared" si="267"/>
        <v>0</v>
      </c>
      <c r="BT351" s="10">
        <f t="shared" si="267"/>
        <v>0</v>
      </c>
      <c r="BU351" s="10">
        <f t="shared" si="267"/>
        <v>0</v>
      </c>
      <c r="BV351" s="10">
        <f t="shared" si="267"/>
        <v>0</v>
      </c>
      <c r="BX351" s="12">
        <f t="shared" ref="BX351:CA354" si="268">V351</f>
        <v>0</v>
      </c>
      <c r="BY351" s="12">
        <f t="shared" si="268"/>
        <v>0</v>
      </c>
      <c r="BZ351" s="12">
        <f t="shared" si="268"/>
        <v>0</v>
      </c>
      <c r="CA351" s="12">
        <f t="shared" si="268"/>
        <v>0</v>
      </c>
      <c r="CB351" s="10">
        <f t="shared" ref="CB351:CI351" si="269">CA354</f>
        <v>0</v>
      </c>
      <c r="CC351" s="10">
        <f t="shared" si="269"/>
        <v>0</v>
      </c>
      <c r="CD351" s="10">
        <f t="shared" si="269"/>
        <v>0</v>
      </c>
      <c r="CE351" s="10">
        <f t="shared" si="269"/>
        <v>0</v>
      </c>
      <c r="CF351" s="10">
        <f t="shared" si="269"/>
        <v>0</v>
      </c>
      <c r="CG351" s="10">
        <f t="shared" si="269"/>
        <v>0</v>
      </c>
      <c r="CH351" s="10">
        <f t="shared" si="269"/>
        <v>0</v>
      </c>
      <c r="CI351" s="10">
        <f t="shared" si="269"/>
        <v>0</v>
      </c>
      <c r="CK351" s="11"/>
      <c r="CM351" s="11"/>
      <c r="CY351" s="7" cm="1">
        <f t="array" ref="CY351">SUMPRODUCT(--NOT(ISNUMBER(V351:CI351)),--NOT(ISBLANK(V351:CI351)))</f>
        <v>0</v>
      </c>
      <c r="DF351" s="11"/>
      <c r="DG351">
        <f t="shared" si="237"/>
        <v>0</v>
      </c>
      <c r="DH351">
        <v>1</v>
      </c>
      <c r="DI351">
        <v>0</v>
      </c>
      <c r="EY351" s="12" t="str">
        <f>IF(C351="", "", CONCATENATE(D341, " ",D351))</f>
        <v/>
      </c>
    </row>
    <row r="352" spans="1:155" s="5" customFormat="1" x14ac:dyDescent="0.35">
      <c r="A352" s="220" cm="1">
        <f t="array" aca="1" ref="A352" ca="1">HYPERLINK(CONCATENATE("#",CELL("address",IF(MAX($CM352:$DF352)=0,A352,INDEX($CM352:$DF352,MATCH(1,$CM352:$DF352,0))))),MAX($CM352:$DF352))</f>
        <v>0</v>
      </c>
      <c r="B352" s="85" t="s">
        <v>122</v>
      </c>
      <c r="C352" s="211"/>
      <c r="D352" t="s">
        <v>1089</v>
      </c>
      <c r="E352" s="1"/>
      <c r="F352" s="1"/>
      <c r="G352"/>
      <c r="H352" s="9" t="s">
        <v>1074</v>
      </c>
      <c r="I352" s="40" t="s">
        <v>665</v>
      </c>
      <c r="J352"/>
      <c r="K352"/>
      <c r="L352"/>
      <c r="M352"/>
      <c r="N352"/>
      <c r="O352"/>
      <c r="P352"/>
      <c r="Q352"/>
      <c r="R352"/>
      <c r="S352"/>
      <c r="T352"/>
      <c r="U352"/>
      <c r="V352" s="109"/>
      <c r="W352" s="133">
        <f t="shared" ref="W352:Y353" si="270" xml:space="preserve"> SUMIFS($AA352:$BV352, $AA$3:$BV$3, W$3)</f>
        <v>0</v>
      </c>
      <c r="X352" s="133">
        <f t="shared" si="270"/>
        <v>0</v>
      </c>
      <c r="Y352" s="133">
        <f t="shared" si="270"/>
        <v>0</v>
      </c>
      <c r="Z352"/>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c r="BX352" s="12">
        <f t="shared" si="268"/>
        <v>0</v>
      </c>
      <c r="BY352" s="12">
        <f t="shared" si="268"/>
        <v>0</v>
      </c>
      <c r="BZ352" s="12">
        <f t="shared" si="268"/>
        <v>0</v>
      </c>
      <c r="CA352" s="12">
        <f t="shared" si="268"/>
        <v>0</v>
      </c>
      <c r="CB352" s="133">
        <f xml:space="preserve"> SUMIFS($AA352:$BV352, $AA$3:$BV$3, CB$3)</f>
        <v>0</v>
      </c>
      <c r="CC352" s="109"/>
      <c r="CD352" s="109"/>
      <c r="CE352" s="109"/>
      <c r="CF352" s="109"/>
      <c r="CG352" s="109"/>
      <c r="CH352" s="109"/>
      <c r="CI352" s="109"/>
      <c r="CJ352"/>
      <c r="CK352" s="11"/>
      <c r="CL352" s="241">
        <f>IF(MIN($V352:$CI352)&lt;0, 1, 0)</f>
        <v>0</v>
      </c>
      <c r="CM352" s="11"/>
      <c r="CN352"/>
      <c r="CO352"/>
      <c r="CP352"/>
      <c r="CQ352"/>
      <c r="CR352"/>
      <c r="CS352"/>
      <c r="CT352"/>
      <c r="CU352"/>
      <c r="CV352"/>
      <c r="CW352"/>
      <c r="CX352"/>
      <c r="CY352" s="7" cm="1">
        <f t="array" ref="CY352">SUMPRODUCT(--NOT(ISNUMBER(V352:CI352)),--NOT(ISBLANK(V352:CI352)))</f>
        <v>0</v>
      </c>
      <c r="CZ352" s="7">
        <f t="shared" ref="CZ352:DB353" si="271">IF(ROUND(W352-SUMIFS($AA352:$BV352, $AA$3:$BV$3, W$3), rounding)=0, 0, 1)</f>
        <v>0</v>
      </c>
      <c r="DA352" s="7">
        <f t="shared" si="271"/>
        <v>0</v>
      </c>
      <c r="DB352" s="7">
        <f t="shared" si="271"/>
        <v>0</v>
      </c>
      <c r="DC352" s="7">
        <f>IF(ROUND(CB352-SUMIFS($AA352:$BV352, $AA$3:$BV$3, CB$3), rounding)=0, 0, 1)</f>
        <v>0</v>
      </c>
      <c r="DD352" s="7">
        <f>IF(ROUND(V352-BX352, rounding)=0, 0, 1)*'BS Forecasts'!$V$10</f>
        <v>0</v>
      </c>
      <c r="DE352"/>
      <c r="DF352" s="11"/>
      <c r="DG352">
        <f t="shared" si="237"/>
        <v>0</v>
      </c>
      <c r="DH352">
        <v>1</v>
      </c>
      <c r="DI352">
        <v>1</v>
      </c>
      <c r="EY352" s="12" t="str">
        <f>IF(C352="", "", CONCATENATE(D341, " ",D352))</f>
        <v/>
      </c>
    </row>
    <row r="353" spans="1:155" x14ac:dyDescent="0.35">
      <c r="A353" s="220" cm="1">
        <f t="array" aca="1" ref="A353" ca="1">HYPERLINK(CONCATENATE("#",CELL("address",IF(MAX($CM353:$DF353)=0,A353,INDEX($CM353:$DF353,MATCH(1,$CM353:$DF353,0))))),MAX($CM353:$DF353))</f>
        <v>0</v>
      </c>
      <c r="B353" s="85" t="s">
        <v>122</v>
      </c>
      <c r="C353" s="211"/>
      <c r="D353" t="s">
        <v>1090</v>
      </c>
      <c r="H353" s="9" t="s">
        <v>1074</v>
      </c>
      <c r="I353" s="40" t="s">
        <v>1079</v>
      </c>
      <c r="V353" s="109"/>
      <c r="W353" s="133">
        <f t="shared" si="270"/>
        <v>0</v>
      </c>
      <c r="X353" s="133">
        <f t="shared" si="270"/>
        <v>0</v>
      </c>
      <c r="Y353" s="133">
        <f t="shared" si="270"/>
        <v>0</v>
      </c>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X353" s="12">
        <f t="shared" si="268"/>
        <v>0</v>
      </c>
      <c r="BY353" s="12">
        <f t="shared" si="268"/>
        <v>0</v>
      </c>
      <c r="BZ353" s="12">
        <f t="shared" si="268"/>
        <v>0</v>
      </c>
      <c r="CA353" s="12">
        <f t="shared" si="268"/>
        <v>0</v>
      </c>
      <c r="CB353" s="133">
        <f xml:space="preserve"> SUMIFS($AA353:$BV353, $AA$3:$BV$3, CB$3)</f>
        <v>0</v>
      </c>
      <c r="CC353" s="109"/>
      <c r="CD353" s="109"/>
      <c r="CE353" s="109"/>
      <c r="CF353" s="109"/>
      <c r="CG353" s="109"/>
      <c r="CH353" s="109"/>
      <c r="CI353" s="109"/>
      <c r="CK353" s="11"/>
      <c r="CL353" s="241">
        <f>IF(MAX($V353:$CI353)&gt;0, 1, 0)</f>
        <v>0</v>
      </c>
      <c r="CM353" s="11"/>
      <c r="CY353" s="7" cm="1">
        <f t="array" ref="CY353">SUMPRODUCT(--NOT(ISNUMBER(V353:CI353)),--NOT(ISBLANK(V353:CI353)))</f>
        <v>0</v>
      </c>
      <c r="CZ353" s="7">
        <f t="shared" si="271"/>
        <v>0</v>
      </c>
      <c r="DA353" s="7">
        <f t="shared" si="271"/>
        <v>0</v>
      </c>
      <c r="DB353" s="7">
        <f t="shared" si="271"/>
        <v>0</v>
      </c>
      <c r="DC353" s="7">
        <f>IF(ROUND(CB353-SUMIFS($AA353:$BV353, $AA$3:$BV$3, CB$3), rounding)=0, 0, 1)</f>
        <v>0</v>
      </c>
      <c r="DD353" s="7">
        <f>IF(ROUND(V353-BX353, rounding)=0, 0, 1)*'BS Forecasts'!$V$10</f>
        <v>0</v>
      </c>
      <c r="DF353" s="11"/>
      <c r="DG353">
        <f t="shared" si="237"/>
        <v>0</v>
      </c>
      <c r="DH353">
        <v>1</v>
      </c>
      <c r="DI353">
        <v>1</v>
      </c>
      <c r="EY353" s="12" t="str">
        <f>IF(C353="", "", CONCATENATE(D341, " ",D353))</f>
        <v/>
      </c>
    </row>
    <row r="354" spans="1:155" x14ac:dyDescent="0.35">
      <c r="C354" s="211"/>
      <c r="D354" t="s">
        <v>1091</v>
      </c>
      <c r="H354" s="9" t="s">
        <v>1074</v>
      </c>
      <c r="I354" s="40" t="s">
        <v>317</v>
      </c>
      <c r="V354" s="12">
        <f>$I$28</f>
        <v>0</v>
      </c>
      <c r="W354" s="10">
        <f>SUM(W351:W353)</f>
        <v>0</v>
      </c>
      <c r="X354" s="10">
        <f>SUM(X351:X353)</f>
        <v>0</v>
      </c>
      <c r="Y354" s="10">
        <f>SUM(Y351:Y353)</f>
        <v>0</v>
      </c>
      <c r="AA354" s="10">
        <f t="shared" ref="AA354:BV354" si="272">SUM(AA351:AA353)</f>
        <v>0</v>
      </c>
      <c r="AB354" s="10">
        <f t="shared" si="272"/>
        <v>0</v>
      </c>
      <c r="AC354" s="10">
        <f t="shared" si="272"/>
        <v>0</v>
      </c>
      <c r="AD354" s="10">
        <f t="shared" si="272"/>
        <v>0</v>
      </c>
      <c r="AE354" s="10">
        <f t="shared" si="272"/>
        <v>0</v>
      </c>
      <c r="AF354" s="10">
        <f t="shared" si="272"/>
        <v>0</v>
      </c>
      <c r="AG354" s="10">
        <f t="shared" si="272"/>
        <v>0</v>
      </c>
      <c r="AH354" s="10">
        <f t="shared" si="272"/>
        <v>0</v>
      </c>
      <c r="AI354" s="10">
        <f t="shared" si="272"/>
        <v>0</v>
      </c>
      <c r="AJ354" s="10">
        <f t="shared" si="272"/>
        <v>0</v>
      </c>
      <c r="AK354" s="10">
        <f t="shared" si="272"/>
        <v>0</v>
      </c>
      <c r="AL354" s="10">
        <f t="shared" si="272"/>
        <v>0</v>
      </c>
      <c r="AM354" s="10">
        <f t="shared" si="272"/>
        <v>0</v>
      </c>
      <c r="AN354" s="10">
        <f t="shared" si="272"/>
        <v>0</v>
      </c>
      <c r="AO354" s="10">
        <f t="shared" si="272"/>
        <v>0</v>
      </c>
      <c r="AP354" s="10">
        <f t="shared" si="272"/>
        <v>0</v>
      </c>
      <c r="AQ354" s="10">
        <f t="shared" si="272"/>
        <v>0</v>
      </c>
      <c r="AR354" s="10">
        <f t="shared" si="272"/>
        <v>0</v>
      </c>
      <c r="AS354" s="10">
        <f t="shared" si="272"/>
        <v>0</v>
      </c>
      <c r="AT354" s="10">
        <f t="shared" si="272"/>
        <v>0</v>
      </c>
      <c r="AU354" s="10">
        <f t="shared" si="272"/>
        <v>0</v>
      </c>
      <c r="AV354" s="10">
        <f t="shared" si="272"/>
        <v>0</v>
      </c>
      <c r="AW354" s="10">
        <f t="shared" si="272"/>
        <v>0</v>
      </c>
      <c r="AX354" s="10">
        <f t="shared" si="272"/>
        <v>0</v>
      </c>
      <c r="AY354" s="10">
        <f t="shared" si="272"/>
        <v>0</v>
      </c>
      <c r="AZ354" s="10">
        <f t="shared" si="272"/>
        <v>0</v>
      </c>
      <c r="BA354" s="10">
        <f t="shared" si="272"/>
        <v>0</v>
      </c>
      <c r="BB354" s="10">
        <f t="shared" si="272"/>
        <v>0</v>
      </c>
      <c r="BC354" s="10">
        <f t="shared" si="272"/>
        <v>0</v>
      </c>
      <c r="BD354" s="10">
        <f t="shared" si="272"/>
        <v>0</v>
      </c>
      <c r="BE354" s="10">
        <f t="shared" si="272"/>
        <v>0</v>
      </c>
      <c r="BF354" s="10">
        <f t="shared" si="272"/>
        <v>0</v>
      </c>
      <c r="BG354" s="10">
        <f t="shared" si="272"/>
        <v>0</v>
      </c>
      <c r="BH354" s="10">
        <f t="shared" si="272"/>
        <v>0</v>
      </c>
      <c r="BI354" s="10">
        <f t="shared" si="272"/>
        <v>0</v>
      </c>
      <c r="BJ354" s="10">
        <f t="shared" si="272"/>
        <v>0</v>
      </c>
      <c r="BK354" s="10">
        <f t="shared" si="272"/>
        <v>0</v>
      </c>
      <c r="BL354" s="10">
        <f t="shared" si="272"/>
        <v>0</v>
      </c>
      <c r="BM354" s="10">
        <f t="shared" si="272"/>
        <v>0</v>
      </c>
      <c r="BN354" s="10">
        <f t="shared" si="272"/>
        <v>0</v>
      </c>
      <c r="BO354" s="10">
        <f t="shared" si="272"/>
        <v>0</v>
      </c>
      <c r="BP354" s="10">
        <f t="shared" si="272"/>
        <v>0</v>
      </c>
      <c r="BQ354" s="10">
        <f t="shared" si="272"/>
        <v>0</v>
      </c>
      <c r="BR354" s="10">
        <f t="shared" si="272"/>
        <v>0</v>
      </c>
      <c r="BS354" s="10">
        <f t="shared" si="272"/>
        <v>0</v>
      </c>
      <c r="BT354" s="10">
        <f t="shared" si="272"/>
        <v>0</v>
      </c>
      <c r="BU354" s="10">
        <f t="shared" si="272"/>
        <v>0</v>
      </c>
      <c r="BV354" s="10">
        <f t="shared" si="272"/>
        <v>0</v>
      </c>
      <c r="BX354" s="12">
        <f t="shared" si="268"/>
        <v>0</v>
      </c>
      <c r="BY354" s="12">
        <f t="shared" si="268"/>
        <v>0</v>
      </c>
      <c r="BZ354" s="12">
        <f t="shared" si="268"/>
        <v>0</v>
      </c>
      <c r="CA354" s="12">
        <f t="shared" si="268"/>
        <v>0</v>
      </c>
      <c r="CB354" s="10">
        <f t="shared" ref="CB354:CI354" si="273">SUM(CB351:CB353)</f>
        <v>0</v>
      </c>
      <c r="CC354" s="10">
        <f t="shared" si="273"/>
        <v>0</v>
      </c>
      <c r="CD354" s="10">
        <f t="shared" si="273"/>
        <v>0</v>
      </c>
      <c r="CE354" s="10">
        <f t="shared" si="273"/>
        <v>0</v>
      </c>
      <c r="CF354" s="10">
        <f t="shared" si="273"/>
        <v>0</v>
      </c>
      <c r="CG354" s="10">
        <f t="shared" si="273"/>
        <v>0</v>
      </c>
      <c r="CH354" s="10">
        <f t="shared" si="273"/>
        <v>0</v>
      </c>
      <c r="CI354" s="10">
        <f t="shared" si="273"/>
        <v>0</v>
      </c>
      <c r="CK354" s="11"/>
      <c r="CM354" s="11"/>
      <c r="DF354" s="11"/>
      <c r="DG354">
        <f t="shared" si="237"/>
        <v>0</v>
      </c>
      <c r="DH354">
        <v>0</v>
      </c>
      <c r="DI354">
        <v>0</v>
      </c>
      <c r="EY354" s="12" t="str">
        <f>IF(C354="", "", CONCATENATE(D341, " ",D354))</f>
        <v/>
      </c>
    </row>
    <row r="355" spans="1:155" ht="6.75" customHeight="1" x14ac:dyDescent="0.35">
      <c r="C355" s="211"/>
      <c r="D355" s="1"/>
      <c r="E355"/>
      <c r="F355"/>
      <c r="BY355" s="6"/>
      <c r="CK355" s="35"/>
      <c r="CM355" s="35"/>
      <c r="DF355" s="35"/>
      <c r="DG355">
        <f t="shared" si="237"/>
        <v>0</v>
      </c>
      <c r="DH355">
        <v>0</v>
      </c>
      <c r="DI355">
        <v>0</v>
      </c>
      <c r="EY355" s="12" t="str">
        <f>IF(C355="", "", CONCATENATE(D341, " ",D355))</f>
        <v/>
      </c>
    </row>
    <row r="356" spans="1:155" s="5" customFormat="1" x14ac:dyDescent="0.35">
      <c r="A356" s="220" cm="1">
        <f t="array" aca="1" ref="A356" ca="1">HYPERLINK(CONCATENATE("#",CELL("address",IF(MAX($CM356:$DF356)=0,A356,INDEX($CM356:$DF356,MATCH(1,$CM356:$DF356,0))))),MAX($CM356:$DF356))</f>
        <v>0</v>
      </c>
      <c r="B356"/>
      <c r="C356" s="211" t="s">
        <v>1199</v>
      </c>
      <c r="D356" t="s">
        <v>1093</v>
      </c>
      <c r="E356" s="1"/>
      <c r="F356" s="1"/>
      <c r="G356"/>
      <c r="H356" s="9" t="s">
        <v>1074</v>
      </c>
      <c r="I356" s="40" t="s">
        <v>665</v>
      </c>
      <c r="J356"/>
      <c r="K356"/>
      <c r="L356"/>
      <c r="M356"/>
      <c r="N356"/>
      <c r="O356"/>
      <c r="P356"/>
      <c r="Q356"/>
      <c r="R356"/>
      <c r="S356"/>
      <c r="T356"/>
      <c r="U356"/>
      <c r="V356" s="109"/>
      <c r="W356" s="133">
        <f xml:space="preserve"> SUMIFS($AA356:$BV356, $AA$3:$BV$3, W$3)</f>
        <v>0</v>
      </c>
      <c r="X356" s="133">
        <f xml:space="preserve"> SUMIFS($AA356:$BV356, $AA$3:$BV$3, X$3)</f>
        <v>0</v>
      </c>
      <c r="Y356" s="133">
        <f xml:space="preserve"> SUMIFS($AA356:$BV356, $AA$3:$BV$3, Y$3)</f>
        <v>0</v>
      </c>
      <c r="Z356"/>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c r="BX356" s="12">
        <f>V356</f>
        <v>0</v>
      </c>
      <c r="BY356" s="12">
        <f>W356</f>
        <v>0</v>
      </c>
      <c r="BZ356" s="12">
        <f>X356</f>
        <v>0</v>
      </c>
      <c r="CA356" s="12">
        <f>Y356</f>
        <v>0</v>
      </c>
      <c r="CB356" s="133">
        <f xml:space="preserve"> SUMIFS($AA356:$BV356, $AA$3:$BV$3, CB$3)</f>
        <v>0</v>
      </c>
      <c r="CC356" s="109"/>
      <c r="CD356" s="109"/>
      <c r="CE356" s="109"/>
      <c r="CF356" s="109"/>
      <c r="CG356" s="109"/>
      <c r="CH356" s="109"/>
      <c r="CI356" s="109"/>
      <c r="CJ356"/>
      <c r="CK356" s="11"/>
      <c r="CL356" s="241">
        <f>IF(MIN($V356:$CI356)&lt;0, 1, 0)</f>
        <v>0</v>
      </c>
      <c r="CM356" s="11"/>
      <c r="CN356"/>
      <c r="CO356"/>
      <c r="CP356"/>
      <c r="CQ356"/>
      <c r="CR356"/>
      <c r="CS356"/>
      <c r="CT356"/>
      <c r="CU356"/>
      <c r="CV356"/>
      <c r="CW356"/>
      <c r="CX356"/>
      <c r="CY356" s="7" cm="1">
        <f t="array" ref="CY356">SUMPRODUCT(--NOT(ISNUMBER(V356:CI356)),--NOT(ISBLANK(V356:CI356)))</f>
        <v>0</v>
      </c>
      <c r="CZ356" s="7">
        <f>IF(ROUND(W356-SUMIFS($AA356:$BV356, $AA$3:$BV$3, W$3), rounding)=0, 0, 1)</f>
        <v>0</v>
      </c>
      <c r="DA356" s="7">
        <f>IF(ROUND(X356-SUMIFS($AA356:$BV356, $AA$3:$BV$3, X$3), rounding)=0, 0, 1)</f>
        <v>0</v>
      </c>
      <c r="DB356" s="7">
        <f>IF(ROUND(Y356-SUMIFS($AA356:$BV356, $AA$3:$BV$3, Y$3), rounding)=0, 0, 1)</f>
        <v>0</v>
      </c>
      <c r="DC356" s="7">
        <f>IF(ROUND(CB356-SUMIFS($AA356:$BV356, $AA$3:$BV$3, CB$3), rounding)=0, 0, 1)</f>
        <v>0</v>
      </c>
      <c r="DD356" s="7">
        <f>IF(ROUND(V356-BX356, rounding)=0, 0, 1)*'BS Forecasts'!$V$10</f>
        <v>0</v>
      </c>
      <c r="DE356"/>
      <c r="DF356" s="11"/>
      <c r="DG356">
        <f t="shared" si="237"/>
        <v>0</v>
      </c>
      <c r="DH356">
        <v>1</v>
      </c>
      <c r="DI356">
        <v>1</v>
      </c>
      <c r="EY356" s="12" t="str">
        <f>IF(C356="", "", CONCATENATE(D341, " ",D356))</f>
        <v>Loan 16 Early Repayment Fee</v>
      </c>
    </row>
    <row r="357" spans="1:155" ht="6.75" customHeight="1" x14ac:dyDescent="0.35">
      <c r="C357" s="211"/>
      <c r="D357" s="1"/>
      <c r="E357"/>
      <c r="F357"/>
      <c r="BY357" s="6"/>
      <c r="CK357" s="35"/>
      <c r="CM357" s="35"/>
      <c r="DF357" s="35"/>
      <c r="DG357">
        <f t="shared" si="237"/>
        <v>0</v>
      </c>
      <c r="DH357">
        <v>0</v>
      </c>
      <c r="DI357">
        <v>0</v>
      </c>
      <c r="EY357" s="12" t="str">
        <f>IF(C357="", "", CONCATENATE(D341, " ",D357))</f>
        <v/>
      </c>
    </row>
    <row r="358" spans="1:155" x14ac:dyDescent="0.35">
      <c r="A358" s="220" cm="1">
        <f t="array" aca="1" ref="A358" ca="1">HYPERLINK(CONCATENATE("#",CELL("address",IF(MAX($CM358:$DF358)=0,A358,INDEX($CM358:$DF358,MATCH(1,$CM358:$DF358,0))))),MAX($CM358:$DF358))</f>
        <v>0</v>
      </c>
      <c r="B358" s="85" t="s">
        <v>122</v>
      </c>
      <c r="D358" t="s">
        <v>1094</v>
      </c>
      <c r="E358" s="140" t="str">
        <f>IF(J$28="", "", J$28)</f>
        <v/>
      </c>
      <c r="F358" s="140"/>
      <c r="G358" s="140" t="str">
        <f>IF(K$28="", "", K$28)</f>
        <v/>
      </c>
      <c r="V358" s="7">
        <f>IF(AND(OR( V$5&gt;$G358, Timeline!V$8&lt;Loans!$E358), Loans!V356&lt;&gt;0), 1, 0)</f>
        <v>0</v>
      </c>
      <c r="W358" s="7">
        <f>IF(AND(OR( W$5&gt;$G358, Timeline!W$8&lt;Loans!$E358), Loans!W356&lt;&gt;0), 1, 0)</f>
        <v>0</v>
      </c>
      <c r="X358" s="7">
        <f>IF(AND(OR( X$5&gt;$G358, Timeline!X$8&lt;Loans!$E358), Loans!X356&lt;&gt;0), 1, 0)</f>
        <v>0</v>
      </c>
      <c r="Y358" s="7">
        <f>IF(AND(OR( Y$5&gt;$G358, Timeline!Y$8&lt;Loans!$E358), Loans!Y356&lt;&gt;0), 1, 0)</f>
        <v>0</v>
      </c>
      <c r="AA358" s="7">
        <f>IF(AND(OR( AA$5&gt;$G358, Timeline!AA$8&lt;Loans!$E358), Loans!AA356&lt;&gt;0), 1, 0)</f>
        <v>0</v>
      </c>
      <c r="AB358" s="7">
        <f>IF(AND(OR( AB$5&gt;$G358, Timeline!AB$8&lt;Loans!$E358), Loans!AB356&lt;&gt;0), 1, 0)</f>
        <v>0</v>
      </c>
      <c r="AC358" s="7">
        <f>IF(AND(OR( AC$5&gt;$G358, Timeline!AC$8&lt;Loans!$E358), Loans!AC356&lt;&gt;0), 1, 0)</f>
        <v>0</v>
      </c>
      <c r="AD358" s="7">
        <f>IF(AND(OR( AD$5&gt;$G358, Timeline!AD$8&lt;Loans!$E358), Loans!AD356&lt;&gt;0), 1, 0)</f>
        <v>0</v>
      </c>
      <c r="AE358" s="7">
        <f>IF(AND(OR( AE$5&gt;$G358, Timeline!AE$8&lt;Loans!$E358), Loans!AE356&lt;&gt;0), 1, 0)</f>
        <v>0</v>
      </c>
      <c r="AF358" s="7">
        <f>IF(AND(OR( AF$5&gt;$G358, Timeline!AF$8&lt;Loans!$E358), Loans!AF356&lt;&gt;0), 1, 0)</f>
        <v>0</v>
      </c>
      <c r="AG358" s="7">
        <f>IF(AND(OR( AG$5&gt;$G358, Timeline!AG$8&lt;Loans!$E358), Loans!AG356&lt;&gt;0), 1, 0)</f>
        <v>0</v>
      </c>
      <c r="AH358" s="7">
        <f>IF(AND(OR( AH$5&gt;$G358, Timeline!AH$8&lt;Loans!$E358), Loans!AH356&lt;&gt;0), 1, 0)</f>
        <v>0</v>
      </c>
      <c r="AI358" s="7">
        <f>IF(AND(OR( AI$5&gt;$G358, Timeline!AI$8&lt;Loans!$E358), Loans!AI356&lt;&gt;0), 1, 0)</f>
        <v>0</v>
      </c>
      <c r="AJ358" s="7">
        <f>IF(AND(OR( AJ$5&gt;$G358, Timeline!AJ$8&lt;Loans!$E358), Loans!AJ356&lt;&gt;0), 1, 0)</f>
        <v>0</v>
      </c>
      <c r="AK358" s="7">
        <f>IF(AND(OR( AK$5&gt;$G358, Timeline!AK$8&lt;Loans!$E358), Loans!AK356&lt;&gt;0), 1, 0)</f>
        <v>0</v>
      </c>
      <c r="AL358" s="7">
        <f>IF(AND(OR( AL$5&gt;$G358, Timeline!AL$8&lt;Loans!$E358), Loans!AL356&lt;&gt;0), 1, 0)</f>
        <v>0</v>
      </c>
      <c r="AM358" s="7">
        <f>IF(AND(OR( AM$5&gt;$G358, Timeline!AM$8&lt;Loans!$E358), Loans!AM356&lt;&gt;0), 1, 0)</f>
        <v>0</v>
      </c>
      <c r="AN358" s="7">
        <f>IF(AND(OR( AN$5&gt;$G358, Timeline!AN$8&lt;Loans!$E358), Loans!AN356&lt;&gt;0), 1, 0)</f>
        <v>0</v>
      </c>
      <c r="AO358" s="7">
        <f>IF(AND(OR( AO$5&gt;$G358, Timeline!AO$8&lt;Loans!$E358), Loans!AO356&lt;&gt;0), 1, 0)</f>
        <v>0</v>
      </c>
      <c r="AP358" s="7">
        <f>IF(AND(OR( AP$5&gt;$G358, Timeline!AP$8&lt;Loans!$E358), Loans!AP356&lt;&gt;0), 1, 0)</f>
        <v>0</v>
      </c>
      <c r="AQ358" s="7">
        <f>IF(AND(OR( AQ$5&gt;$G358, Timeline!AQ$8&lt;Loans!$E358), Loans!AQ356&lt;&gt;0), 1, 0)</f>
        <v>0</v>
      </c>
      <c r="AR358" s="7">
        <f>IF(AND(OR( AR$5&gt;$G358, Timeline!AR$8&lt;Loans!$E358), Loans!AR356&lt;&gt;0), 1, 0)</f>
        <v>0</v>
      </c>
      <c r="AS358" s="7">
        <f>IF(AND(OR( AS$5&gt;$G358, Timeline!AS$8&lt;Loans!$E358), Loans!AS356&lt;&gt;0), 1, 0)</f>
        <v>0</v>
      </c>
      <c r="AT358" s="7">
        <f>IF(AND(OR( AT$5&gt;$G358, Timeline!AT$8&lt;Loans!$E358), Loans!AT356&lt;&gt;0), 1, 0)</f>
        <v>0</v>
      </c>
      <c r="AU358" s="7">
        <f>IF(AND(OR( AU$5&gt;$G358, Timeline!AU$8&lt;Loans!$E358), Loans!AU356&lt;&gt;0), 1, 0)</f>
        <v>0</v>
      </c>
      <c r="AV358" s="7">
        <f>IF(AND(OR( AV$5&gt;$G358, Timeline!AV$8&lt;Loans!$E358), Loans!AV356&lt;&gt;0), 1, 0)</f>
        <v>0</v>
      </c>
      <c r="AW358" s="7">
        <f>IF(AND(OR( AW$5&gt;$G358, Timeline!AW$8&lt;Loans!$E358), Loans!AW356&lt;&gt;0), 1, 0)</f>
        <v>0</v>
      </c>
      <c r="AX358" s="7">
        <f>IF(AND(OR( AX$5&gt;$G358, Timeline!AX$8&lt;Loans!$E358), Loans!AX356&lt;&gt;0), 1, 0)</f>
        <v>0</v>
      </c>
      <c r="AY358" s="7">
        <f>IF(AND(OR( AY$5&gt;$G358, Timeline!AY$8&lt;Loans!$E358), Loans!AY356&lt;&gt;0), 1, 0)</f>
        <v>0</v>
      </c>
      <c r="AZ358" s="7">
        <f>IF(AND(OR( AZ$5&gt;$G358, Timeline!AZ$8&lt;Loans!$E358), Loans!AZ356&lt;&gt;0), 1, 0)</f>
        <v>0</v>
      </c>
      <c r="BA358" s="7">
        <f>IF(AND(OR( BA$5&gt;$G358, Timeline!BA$8&lt;Loans!$E358), Loans!BA356&lt;&gt;0), 1, 0)</f>
        <v>0</v>
      </c>
      <c r="BB358" s="7">
        <f>IF(AND(OR( BB$5&gt;$G358, Timeline!BB$8&lt;Loans!$E358), Loans!BB356&lt;&gt;0), 1, 0)</f>
        <v>0</v>
      </c>
      <c r="BC358" s="7">
        <f>IF(AND(OR( BC$5&gt;$G358, Timeline!BC$8&lt;Loans!$E358), Loans!BC356&lt;&gt;0), 1, 0)</f>
        <v>0</v>
      </c>
      <c r="BD358" s="7">
        <f>IF(AND(OR( BD$5&gt;$G358, Timeline!BD$8&lt;Loans!$E358), Loans!BD356&lt;&gt;0), 1, 0)</f>
        <v>0</v>
      </c>
      <c r="BE358" s="7">
        <f>IF(AND(OR( BE$5&gt;$G358, Timeline!BE$8&lt;Loans!$E358), Loans!BE356&lt;&gt;0), 1, 0)</f>
        <v>0</v>
      </c>
      <c r="BF358" s="7">
        <f>IF(AND(OR( BF$5&gt;$G358, Timeline!BF$8&lt;Loans!$E358), Loans!BF356&lt;&gt;0), 1, 0)</f>
        <v>0</v>
      </c>
      <c r="BG358" s="7">
        <f>IF(AND(OR( BG$5&gt;$G358, Timeline!BG$8&lt;Loans!$E358), Loans!BG356&lt;&gt;0), 1, 0)</f>
        <v>0</v>
      </c>
      <c r="BH358" s="7">
        <f>IF(AND(OR( BH$5&gt;$G358, Timeline!BH$8&lt;Loans!$E358), Loans!BH356&lt;&gt;0), 1, 0)</f>
        <v>0</v>
      </c>
      <c r="BI358" s="7">
        <f>IF(AND(OR( BI$5&gt;$G358, Timeline!BI$8&lt;Loans!$E358), Loans!BI356&lt;&gt;0), 1, 0)</f>
        <v>0</v>
      </c>
      <c r="BJ358" s="7">
        <f>IF(AND(OR( BJ$5&gt;$G358, Timeline!BJ$8&lt;Loans!$E358), Loans!BJ356&lt;&gt;0), 1, 0)</f>
        <v>0</v>
      </c>
      <c r="BK358" s="7">
        <f>IF(AND(OR( BK$5&gt;$G358, Timeline!BK$8&lt;Loans!$E358), Loans!BK356&lt;&gt;0), 1, 0)</f>
        <v>0</v>
      </c>
      <c r="BL358" s="7">
        <f>IF(AND(OR( BL$5&gt;$G358, Timeline!BL$8&lt;Loans!$E358), Loans!BL356&lt;&gt;0), 1, 0)</f>
        <v>0</v>
      </c>
      <c r="BM358" s="7">
        <f>IF(AND(OR( BM$5&gt;$G358, Timeline!BM$8&lt;Loans!$E358), Loans!BM356&lt;&gt;0), 1, 0)</f>
        <v>0</v>
      </c>
      <c r="BN358" s="7">
        <f>IF(AND(OR( BN$5&gt;$G358, Timeline!BN$8&lt;Loans!$E358), Loans!BN356&lt;&gt;0), 1, 0)</f>
        <v>0</v>
      </c>
      <c r="BO358" s="7">
        <f>IF(AND(OR( BO$5&gt;$G358, Timeline!BO$8&lt;Loans!$E358), Loans!BO356&lt;&gt;0), 1, 0)</f>
        <v>0</v>
      </c>
      <c r="BP358" s="7">
        <f>IF(AND(OR( BP$5&gt;$G358, Timeline!BP$8&lt;Loans!$E358), Loans!BP356&lt;&gt;0), 1, 0)</f>
        <v>0</v>
      </c>
      <c r="BQ358" s="7">
        <f>IF(AND(OR( BQ$5&gt;$G358, Timeline!BQ$8&lt;Loans!$E358), Loans!BQ356&lt;&gt;0), 1, 0)</f>
        <v>0</v>
      </c>
      <c r="BR358" s="7">
        <f>IF(AND(OR( BR$5&gt;$G358, Timeline!BR$8&lt;Loans!$E358), Loans!BR356&lt;&gt;0), 1, 0)</f>
        <v>0</v>
      </c>
      <c r="BS358" s="7">
        <f>IF(AND(OR( BS$5&gt;$G358, Timeline!BS$8&lt;Loans!$E358), Loans!BS356&lt;&gt;0), 1, 0)</f>
        <v>0</v>
      </c>
      <c r="BT358" s="7">
        <f>IF(AND(OR( BT$5&gt;$G358, Timeline!BT$8&lt;Loans!$E358), Loans!BT356&lt;&gt;0), 1, 0)</f>
        <v>0</v>
      </c>
      <c r="BU358" s="7">
        <f>IF(AND(OR( BU$5&gt;$G358, Timeline!BU$8&lt;Loans!$E358), Loans!BU356&lt;&gt;0), 1, 0)</f>
        <v>0</v>
      </c>
      <c r="BV358" s="7">
        <f>IF(AND(OR( BV$5&gt;$G358, Timeline!BV$8&lt;Loans!$E358), Loans!BV356&lt;&gt;0), 1, 0)</f>
        <v>0</v>
      </c>
      <c r="BX358" s="7">
        <f>IF(AND(OR( BX$5&gt;$G358, Timeline!BX$8&lt;Loans!$E358), Loans!BX356&lt;&gt;0), 1, 0)</f>
        <v>0</v>
      </c>
      <c r="BY358" s="7">
        <f>IF(AND(OR( BY$5&gt;$G358, Timeline!BY$8&lt;Loans!$E358), Loans!BY356&lt;&gt;0), 1, 0)</f>
        <v>0</v>
      </c>
      <c r="BZ358" s="7">
        <f>IF(AND(OR( BZ$5&gt;$G358, Timeline!BZ$8&lt;Loans!$E358), Loans!BZ356&lt;&gt;0), 1, 0)</f>
        <v>0</v>
      </c>
      <c r="CA358" s="7">
        <f>IF(AND(OR( CA$5&gt;$G358, Timeline!CA$8&lt;Loans!$E358), Loans!CA356&lt;&gt;0), 1, 0)</f>
        <v>0</v>
      </c>
      <c r="CB358" s="7">
        <f>IF(AND(OR( CB$5&gt;$G358, Timeline!CB$8&lt;Loans!$E358), Loans!CB356&lt;&gt;0), 1, 0)</f>
        <v>0</v>
      </c>
      <c r="CC358" s="7">
        <f>IF(AND(OR( CC$5&gt;$G358, Timeline!CC$8&lt;Loans!$E358), Loans!CC356&lt;&gt;0), 1, 0)</f>
        <v>0</v>
      </c>
      <c r="CD358" s="7">
        <f>IF(AND(OR( CD$5&gt;$G358, Timeline!CD$8&lt;Loans!$E358), Loans!CD356&lt;&gt;0), 1, 0)</f>
        <v>0</v>
      </c>
      <c r="CE358" s="7">
        <f>IF(AND(OR( CE$5&gt;$G358, Timeline!CE$8&lt;Loans!$E358), Loans!CE356&lt;&gt;0), 1, 0)</f>
        <v>0</v>
      </c>
      <c r="CF358" s="7">
        <f>IF(AND(OR( CF$5&gt;$G358, Timeline!CF$8&lt;Loans!$E358), Loans!CF356&lt;&gt;0), 1, 0)</f>
        <v>0</v>
      </c>
      <c r="CG358" s="7">
        <f>IF(AND(OR( CG$5&gt;$G358, Timeline!CG$8&lt;Loans!$E358), Loans!CG356&lt;&gt;0), 1, 0)</f>
        <v>0</v>
      </c>
      <c r="CH358" s="7">
        <f>IF(AND(OR( CH$5&gt;$G358, Timeline!CH$8&lt;Loans!$E358), Loans!CH356&lt;&gt;0), 1, 0)</f>
        <v>0</v>
      </c>
      <c r="CI358" s="7">
        <f>IF(AND(OR( CI$5&gt;$G358, Timeline!CI$8&lt;Loans!$E358), Loans!CI356&lt;&gt;0), 1, 0)</f>
        <v>0</v>
      </c>
      <c r="CK358" s="11"/>
      <c r="CM358" s="11"/>
      <c r="CX358" s="7">
        <f>IF(MAX($V358:$CI358)&gt;0, 1, 0)</f>
        <v>0</v>
      </c>
      <c r="DF358" s="11"/>
      <c r="DG358">
        <f t="shared" si="237"/>
        <v>1</v>
      </c>
      <c r="DH358">
        <v>0</v>
      </c>
      <c r="DI358">
        <v>0</v>
      </c>
      <c r="EY358" s="12" t="str">
        <f>IF(C358="", "", CONCATENATE(D341, " ",D358))</f>
        <v/>
      </c>
    </row>
    <row r="359" spans="1:155" ht="6.75" customHeight="1" x14ac:dyDescent="0.35">
      <c r="C359" s="211"/>
      <c r="D359" s="1"/>
      <c r="E359"/>
      <c r="F359"/>
      <c r="BY359" s="6"/>
      <c r="CK359" s="35"/>
      <c r="CM359" s="35"/>
      <c r="DF359" s="35"/>
      <c r="DG359">
        <f t="shared" si="237"/>
        <v>0</v>
      </c>
      <c r="DH359">
        <v>0</v>
      </c>
      <c r="DI359">
        <v>0</v>
      </c>
      <c r="EY359" s="10" t="str">
        <f>IF($C359="","",$D359)</f>
        <v/>
      </c>
    </row>
    <row r="360" spans="1:155" x14ac:dyDescent="0.35">
      <c r="A360" s="53"/>
      <c r="C360" s="211"/>
      <c r="D360" s="53" t="s">
        <v>1200</v>
      </c>
      <c r="E360" s="53"/>
      <c r="F360" s="53"/>
      <c r="G360" s="53"/>
      <c r="H360" s="53"/>
      <c r="I360" s="53"/>
      <c r="J360" s="53"/>
      <c r="M360" s="53"/>
      <c r="N360" s="53"/>
      <c r="O360" s="53"/>
      <c r="P360" s="53"/>
      <c r="Q360" s="53"/>
      <c r="R360" s="53"/>
      <c r="CK360" s="11"/>
      <c r="CM360" s="11"/>
      <c r="DF360" s="11"/>
      <c r="DG360">
        <f t="shared" si="237"/>
        <v>0</v>
      </c>
      <c r="DH360">
        <v>0</v>
      </c>
      <c r="DI360">
        <v>0</v>
      </c>
      <c r="EY360" s="10" t="str">
        <f>IF($C360="","",$D360)</f>
        <v/>
      </c>
    </row>
    <row r="361" spans="1:155" x14ac:dyDescent="0.35">
      <c r="C361" s="211" t="s">
        <v>1201</v>
      </c>
      <c r="D361" t="s">
        <v>1073</v>
      </c>
      <c r="H361" s="9" t="s">
        <v>1074</v>
      </c>
      <c r="I361" s="40" t="s">
        <v>317</v>
      </c>
      <c r="V361" s="109"/>
      <c r="W361" s="133">
        <f>V365</f>
        <v>0</v>
      </c>
      <c r="X361" s="133">
        <f>W365</f>
        <v>0</v>
      </c>
      <c r="Y361" s="10">
        <f>X365</f>
        <v>0</v>
      </c>
      <c r="AA361" s="12">
        <f>W361</f>
        <v>0</v>
      </c>
      <c r="AB361" s="10">
        <f t="shared" ref="AB361:BV361" si="274">AA365</f>
        <v>0</v>
      </c>
      <c r="AC361" s="10">
        <f t="shared" si="274"/>
        <v>0</v>
      </c>
      <c r="AD361" s="10">
        <f t="shared" si="274"/>
        <v>0</v>
      </c>
      <c r="AE361" s="10">
        <f t="shared" si="274"/>
        <v>0</v>
      </c>
      <c r="AF361" s="10">
        <f t="shared" si="274"/>
        <v>0</v>
      </c>
      <c r="AG361" s="10">
        <f t="shared" si="274"/>
        <v>0</v>
      </c>
      <c r="AH361" s="10">
        <f t="shared" si="274"/>
        <v>0</v>
      </c>
      <c r="AI361" s="10">
        <f t="shared" si="274"/>
        <v>0</v>
      </c>
      <c r="AJ361" s="10">
        <f t="shared" si="274"/>
        <v>0</v>
      </c>
      <c r="AK361" s="10">
        <f t="shared" si="274"/>
        <v>0</v>
      </c>
      <c r="AL361" s="10">
        <f t="shared" si="274"/>
        <v>0</v>
      </c>
      <c r="AM361" s="10">
        <f t="shared" si="274"/>
        <v>0</v>
      </c>
      <c r="AN361" s="10">
        <f t="shared" si="274"/>
        <v>0</v>
      </c>
      <c r="AO361" s="10">
        <f t="shared" si="274"/>
        <v>0</v>
      </c>
      <c r="AP361" s="10">
        <f t="shared" si="274"/>
        <v>0</v>
      </c>
      <c r="AQ361" s="10">
        <f t="shared" si="274"/>
        <v>0</v>
      </c>
      <c r="AR361" s="10">
        <f t="shared" si="274"/>
        <v>0</v>
      </c>
      <c r="AS361" s="10">
        <f t="shared" si="274"/>
        <v>0</v>
      </c>
      <c r="AT361" s="10">
        <f t="shared" si="274"/>
        <v>0</v>
      </c>
      <c r="AU361" s="10">
        <f t="shared" si="274"/>
        <v>0</v>
      </c>
      <c r="AV361" s="10">
        <f t="shared" si="274"/>
        <v>0</v>
      </c>
      <c r="AW361" s="10">
        <f t="shared" si="274"/>
        <v>0</v>
      </c>
      <c r="AX361" s="10">
        <f t="shared" si="274"/>
        <v>0</v>
      </c>
      <c r="AY361" s="10">
        <f t="shared" si="274"/>
        <v>0</v>
      </c>
      <c r="AZ361" s="10">
        <f t="shared" si="274"/>
        <v>0</v>
      </c>
      <c r="BA361" s="10">
        <f t="shared" si="274"/>
        <v>0</v>
      </c>
      <c r="BB361" s="10">
        <f t="shared" si="274"/>
        <v>0</v>
      </c>
      <c r="BC361" s="10">
        <f t="shared" si="274"/>
        <v>0</v>
      </c>
      <c r="BD361" s="10">
        <f t="shared" si="274"/>
        <v>0</v>
      </c>
      <c r="BE361" s="10">
        <f t="shared" si="274"/>
        <v>0</v>
      </c>
      <c r="BF361" s="10">
        <f t="shared" si="274"/>
        <v>0</v>
      </c>
      <c r="BG361" s="10">
        <f t="shared" si="274"/>
        <v>0</v>
      </c>
      <c r="BH361" s="10">
        <f t="shared" si="274"/>
        <v>0</v>
      </c>
      <c r="BI361" s="10">
        <f t="shared" si="274"/>
        <v>0</v>
      </c>
      <c r="BJ361" s="10">
        <f t="shared" si="274"/>
        <v>0</v>
      </c>
      <c r="BK361" s="10">
        <f t="shared" si="274"/>
        <v>0</v>
      </c>
      <c r="BL361" s="10">
        <f t="shared" si="274"/>
        <v>0</v>
      </c>
      <c r="BM361" s="10">
        <f t="shared" si="274"/>
        <v>0</v>
      </c>
      <c r="BN361" s="10">
        <f t="shared" si="274"/>
        <v>0</v>
      </c>
      <c r="BO361" s="10">
        <f t="shared" si="274"/>
        <v>0</v>
      </c>
      <c r="BP361" s="10">
        <f t="shared" si="274"/>
        <v>0</v>
      </c>
      <c r="BQ361" s="10">
        <f t="shared" si="274"/>
        <v>0</v>
      </c>
      <c r="BR361" s="10">
        <f t="shared" si="274"/>
        <v>0</v>
      </c>
      <c r="BS361" s="10">
        <f t="shared" si="274"/>
        <v>0</v>
      </c>
      <c r="BT361" s="10">
        <f t="shared" si="274"/>
        <v>0</v>
      </c>
      <c r="BU361" s="10">
        <f t="shared" si="274"/>
        <v>0</v>
      </c>
      <c r="BV361" s="10">
        <f t="shared" si="274"/>
        <v>0</v>
      </c>
      <c r="BX361" s="12">
        <f t="shared" ref="BX361:CA365" si="275">V361</f>
        <v>0</v>
      </c>
      <c r="BY361" s="12">
        <f t="shared" si="275"/>
        <v>0</v>
      </c>
      <c r="BZ361" s="12">
        <f t="shared" si="275"/>
        <v>0</v>
      </c>
      <c r="CA361" s="12">
        <f t="shared" si="275"/>
        <v>0</v>
      </c>
      <c r="CB361" s="10">
        <f t="shared" ref="CB361:CI361" si="276">CA365</f>
        <v>0</v>
      </c>
      <c r="CC361" s="10">
        <f t="shared" si="276"/>
        <v>0</v>
      </c>
      <c r="CD361" s="10">
        <f t="shared" si="276"/>
        <v>0</v>
      </c>
      <c r="CE361" s="10">
        <f t="shared" si="276"/>
        <v>0</v>
      </c>
      <c r="CF361" s="10">
        <f t="shared" si="276"/>
        <v>0</v>
      </c>
      <c r="CG361" s="10">
        <f t="shared" si="276"/>
        <v>0</v>
      </c>
      <c r="CH361" s="10">
        <f t="shared" si="276"/>
        <v>0</v>
      </c>
      <c r="CI361" s="10">
        <f t="shared" si="276"/>
        <v>0</v>
      </c>
      <c r="CK361" s="11"/>
      <c r="CM361" s="11"/>
      <c r="CY361" s="7" cm="1">
        <f t="array" ref="CY361">SUMPRODUCT(--NOT(ISNUMBER(V361:CI361)),--NOT(ISBLANK(V361:CI361)))</f>
        <v>0</v>
      </c>
      <c r="DF361" s="11"/>
      <c r="DG361">
        <f t="shared" si="237"/>
        <v>0</v>
      </c>
      <c r="DH361">
        <v>1</v>
      </c>
      <c r="DI361">
        <v>0</v>
      </c>
      <c r="EY361" s="12" t="str">
        <f>IF(C361="", "", CONCATENATE(D360, " ",D361))</f>
        <v>Loan 17 Opening Loan Balance</v>
      </c>
    </row>
    <row r="362" spans="1:155" s="5" customFormat="1" x14ac:dyDescent="0.35">
      <c r="A362" s="220" cm="1">
        <f t="array" aca="1" ref="A362" ca="1">HYPERLINK(CONCATENATE("#",CELL("address",IF(MAX($CM362:$DF362)=0,A362,INDEX($CM362:$DF362,MATCH(1,$CM362:$DF362,0))))),MAX($CM362:$DF362))</f>
        <v>0</v>
      </c>
      <c r="B362"/>
      <c r="C362" s="211" t="s">
        <v>1202</v>
      </c>
      <c r="D362" t="s">
        <v>1076</v>
      </c>
      <c r="E362" s="1"/>
      <c r="F362" s="1"/>
      <c r="G362"/>
      <c r="H362" s="9" t="s">
        <v>1074</v>
      </c>
      <c r="I362" s="40" t="s">
        <v>665</v>
      </c>
      <c r="J362"/>
      <c r="K362"/>
      <c r="L362"/>
      <c r="M362"/>
      <c r="N362"/>
      <c r="O362"/>
      <c r="P362"/>
      <c r="Q362"/>
      <c r="R362"/>
      <c r="S362"/>
      <c r="T362"/>
      <c r="U362"/>
      <c r="V362" s="109"/>
      <c r="W362" s="133">
        <f t="shared" ref="W362:Y364" si="277" xml:space="preserve"> SUMIFS($AA362:$BV362, $AA$3:$BV$3, W$3)</f>
        <v>0</v>
      </c>
      <c r="X362" s="133">
        <f t="shared" si="277"/>
        <v>0</v>
      </c>
      <c r="Y362" s="133">
        <f t="shared" si="277"/>
        <v>0</v>
      </c>
      <c r="Z362"/>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c r="BX362" s="12">
        <f t="shared" si="275"/>
        <v>0</v>
      </c>
      <c r="BY362" s="12">
        <f t="shared" si="275"/>
        <v>0</v>
      </c>
      <c r="BZ362" s="12">
        <f t="shared" si="275"/>
        <v>0</v>
      </c>
      <c r="CA362" s="12">
        <f t="shared" si="275"/>
        <v>0</v>
      </c>
      <c r="CB362" s="133">
        <f xml:space="preserve"> SUMIFS($AA362:$BV362, $AA$3:$BV$3, CB$3)</f>
        <v>0</v>
      </c>
      <c r="CC362" s="109"/>
      <c r="CD362" s="109"/>
      <c r="CE362" s="109"/>
      <c r="CF362" s="109"/>
      <c r="CG362" s="109"/>
      <c r="CH362" s="109"/>
      <c r="CI362" s="109"/>
      <c r="CJ362"/>
      <c r="CK362" s="11"/>
      <c r="CL362" s="241">
        <f>IF(MIN($V362:$CI362)&lt;0, 1, 0)</f>
        <v>0</v>
      </c>
      <c r="CM362" s="11"/>
      <c r="CN362"/>
      <c r="CO362"/>
      <c r="CP362"/>
      <c r="CQ362"/>
      <c r="CR362"/>
      <c r="CS362"/>
      <c r="CT362"/>
      <c r="CU362"/>
      <c r="CV362"/>
      <c r="CW362"/>
      <c r="CX362"/>
      <c r="CY362" s="7" cm="1">
        <f t="array" ref="CY362">SUMPRODUCT(--NOT(ISNUMBER(V362:CI362)),--NOT(ISBLANK(V362:CI362)))</f>
        <v>0</v>
      </c>
      <c r="CZ362" s="7">
        <f t="shared" ref="CZ362:DB364" si="278">IF(ROUND(W362-SUMIFS($AA362:$BV362, $AA$3:$BV$3, W$3), rounding)=0, 0, 1)</f>
        <v>0</v>
      </c>
      <c r="DA362" s="7">
        <f t="shared" si="278"/>
        <v>0</v>
      </c>
      <c r="DB362" s="7">
        <f t="shared" si="278"/>
        <v>0</v>
      </c>
      <c r="DC362" s="7">
        <f>IF(ROUND(CB362-SUMIFS($AA362:$BV362, $AA$3:$BV$3, CB$3), rounding)=0, 0, 1)</f>
        <v>0</v>
      </c>
      <c r="DD362" s="7">
        <f>IF(ROUND(V362-BX362, rounding)=0, 0, 1)*'BS Forecasts'!$V$10</f>
        <v>0</v>
      </c>
      <c r="DE362"/>
      <c r="DF362" s="11"/>
      <c r="DG362">
        <f t="shared" si="237"/>
        <v>0</v>
      </c>
      <c r="DH362">
        <v>1</v>
      </c>
      <c r="DI362">
        <v>1</v>
      </c>
      <c r="EY362" s="12" t="str">
        <f>IF(C362="", "", CONCATENATE(D360, " ",D362))</f>
        <v>Loan 17 Drawdowns</v>
      </c>
    </row>
    <row r="363" spans="1:155" x14ac:dyDescent="0.35">
      <c r="A363" s="220" cm="1">
        <f t="array" aca="1" ref="A363" ca="1">HYPERLINK(CONCATENATE("#",CELL("address",IF(MAX($CM363:$DF363)=0,A363,INDEX($CM363:$DF363,MATCH(1,$CM363:$DF363,0))))),MAX($CM363:$DF363))</f>
        <v>0</v>
      </c>
      <c r="C363" s="211" t="s">
        <v>1203</v>
      </c>
      <c r="D363" t="s">
        <v>1078</v>
      </c>
      <c r="H363" s="9" t="s">
        <v>1074</v>
      </c>
      <c r="I363" s="40" t="s">
        <v>1079</v>
      </c>
      <c r="V363" s="109"/>
      <c r="W363" s="133">
        <f t="shared" si="277"/>
        <v>0</v>
      </c>
      <c r="X363" s="133">
        <f t="shared" si="277"/>
        <v>0</v>
      </c>
      <c r="Y363" s="133">
        <f t="shared" si="277"/>
        <v>0</v>
      </c>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X363" s="12">
        <f t="shared" si="275"/>
        <v>0</v>
      </c>
      <c r="BY363" s="12">
        <f t="shared" si="275"/>
        <v>0</v>
      </c>
      <c r="BZ363" s="12">
        <f t="shared" si="275"/>
        <v>0</v>
      </c>
      <c r="CA363" s="12">
        <f t="shared" si="275"/>
        <v>0</v>
      </c>
      <c r="CB363" s="133">
        <f xml:space="preserve"> SUMIFS($AA363:$BV363, $AA$3:$BV$3, CB$3)</f>
        <v>0</v>
      </c>
      <c r="CC363" s="109"/>
      <c r="CD363" s="109"/>
      <c r="CE363" s="109"/>
      <c r="CF363" s="109"/>
      <c r="CG363" s="109"/>
      <c r="CH363" s="109"/>
      <c r="CI363" s="109"/>
      <c r="CK363" s="11"/>
      <c r="CL363" s="241">
        <f>IF(MAX($V363:$CI363)&gt;0, 1, 0)</f>
        <v>0</v>
      </c>
      <c r="CM363" s="11"/>
      <c r="CY363" s="7" cm="1">
        <f t="array" ref="CY363">SUMPRODUCT(--NOT(ISNUMBER(V363:CI363)),--NOT(ISBLANK(V363:CI363)))</f>
        <v>0</v>
      </c>
      <c r="CZ363" s="7">
        <f t="shared" si="278"/>
        <v>0</v>
      </c>
      <c r="DA363" s="7">
        <f t="shared" si="278"/>
        <v>0</v>
      </c>
      <c r="DB363" s="7">
        <f t="shared" si="278"/>
        <v>0</v>
      </c>
      <c r="DC363" s="7">
        <f>IF(ROUND(CB363-SUMIFS($AA363:$BV363, $AA$3:$BV$3, CB$3), rounding)=0, 0, 1)</f>
        <v>0</v>
      </c>
      <c r="DD363" s="7">
        <f>IF(ROUND(V363-BX363, rounding)=0, 0, 1)*'BS Forecasts'!$V$10</f>
        <v>0</v>
      </c>
      <c r="DF363" s="11"/>
      <c r="DG363">
        <f t="shared" si="237"/>
        <v>0</v>
      </c>
      <c r="DH363">
        <v>1</v>
      </c>
      <c r="DI363">
        <v>1</v>
      </c>
      <c r="EY363" s="12" t="str">
        <f>IF(C363="", "", CONCATENATE(D360, " ",D363))</f>
        <v>Loan 17 Loan Capital Repayment (as per loan agreement)</v>
      </c>
    </row>
    <row r="364" spans="1:155" x14ac:dyDescent="0.35">
      <c r="A364" s="220" cm="1">
        <f t="array" aca="1" ref="A364" ca="1">HYPERLINK(CONCATENATE("#",CELL("address",IF(MAX($CM364:$DF364)=0,A364,INDEX($CM364:$DF364,MATCH(1,$CM364:$DF364,0))))),MAX($CM364:$DF364))</f>
        <v>0</v>
      </c>
      <c r="C364" s="211" t="s">
        <v>1204</v>
      </c>
      <c r="D364" t="s">
        <v>1081</v>
      </c>
      <c r="H364" s="9" t="s">
        <v>1074</v>
      </c>
      <c r="I364" s="40" t="s">
        <v>1079</v>
      </c>
      <c r="V364" s="109"/>
      <c r="W364" s="133">
        <f t="shared" si="277"/>
        <v>0</v>
      </c>
      <c r="X364" s="133">
        <f t="shared" si="277"/>
        <v>0</v>
      </c>
      <c r="Y364" s="133">
        <f t="shared" si="277"/>
        <v>0</v>
      </c>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X364" s="12">
        <f t="shared" si="275"/>
        <v>0</v>
      </c>
      <c r="BY364" s="12">
        <f t="shared" si="275"/>
        <v>0</v>
      </c>
      <c r="BZ364" s="12">
        <f t="shared" si="275"/>
        <v>0</v>
      </c>
      <c r="CA364" s="12">
        <f t="shared" si="275"/>
        <v>0</v>
      </c>
      <c r="CB364" s="133">
        <f xml:space="preserve"> SUMIFS($AA364:$BV364, $AA$3:$BV$3, CB$3)</f>
        <v>0</v>
      </c>
      <c r="CC364" s="109"/>
      <c r="CD364" s="109"/>
      <c r="CE364" s="109"/>
      <c r="CF364" s="109"/>
      <c r="CG364" s="109"/>
      <c r="CH364" s="109"/>
      <c r="CI364" s="109"/>
      <c r="CK364" s="11"/>
      <c r="CL364" s="241">
        <f>IF(MAX($V364:$CI364)&gt;0, 1, 0)</f>
        <v>0</v>
      </c>
      <c r="CM364" s="11"/>
      <c r="CY364" s="7" cm="1">
        <f t="array" ref="CY364">SUMPRODUCT(--NOT(ISNUMBER(V364:CI364)),--NOT(ISBLANK(V364:CI364)))</f>
        <v>0</v>
      </c>
      <c r="CZ364" s="7">
        <f t="shared" si="278"/>
        <v>0</v>
      </c>
      <c r="DA364" s="7">
        <f t="shared" si="278"/>
        <v>0</v>
      </c>
      <c r="DB364" s="7">
        <f t="shared" si="278"/>
        <v>0</v>
      </c>
      <c r="DC364" s="7">
        <f>IF(ROUND(CB364-SUMIFS($AA364:$BV364, $AA$3:$BV$3, CB$3), rounding)=0, 0, 1)</f>
        <v>0</v>
      </c>
      <c r="DD364" s="7">
        <f>IF(ROUND(V364-BX364, rounding)=0, 0, 1)*'BS Forecasts'!$V$10</f>
        <v>0</v>
      </c>
      <c r="DF364" s="11"/>
      <c r="DG364">
        <f t="shared" si="237"/>
        <v>0</v>
      </c>
      <c r="DH364">
        <v>1</v>
      </c>
      <c r="DI364">
        <v>1</v>
      </c>
      <c r="EY364" s="12" t="str">
        <f>IF(C364="", "", CONCATENATE(D360, " ",D364))</f>
        <v xml:space="preserve">Loan 17 Early Repayment </v>
      </c>
    </row>
    <row r="365" spans="1:155" x14ac:dyDescent="0.35">
      <c r="C365" s="211" t="s">
        <v>1205</v>
      </c>
      <c r="D365" t="s">
        <v>1083</v>
      </c>
      <c r="H365" s="9" t="s">
        <v>1074</v>
      </c>
      <c r="I365" s="40" t="s">
        <v>317</v>
      </c>
      <c r="V365" s="12">
        <f>$H$29</f>
        <v>0</v>
      </c>
      <c r="W365" s="10">
        <f>SUM(W361:W364)</f>
        <v>0</v>
      </c>
      <c r="X365" s="10">
        <f>SUM(X361:X364)</f>
        <v>0</v>
      </c>
      <c r="Y365" s="10">
        <f>SUM(Y361:Y364)</f>
        <v>0</v>
      </c>
      <c r="AA365" s="10">
        <f t="shared" ref="AA365:BV365" si="279">SUM(AA361:AA364)</f>
        <v>0</v>
      </c>
      <c r="AB365" s="10">
        <f t="shared" si="279"/>
        <v>0</v>
      </c>
      <c r="AC365" s="10">
        <f t="shared" si="279"/>
        <v>0</v>
      </c>
      <c r="AD365" s="10">
        <f t="shared" si="279"/>
        <v>0</v>
      </c>
      <c r="AE365" s="10">
        <f t="shared" si="279"/>
        <v>0</v>
      </c>
      <c r="AF365" s="10">
        <f t="shared" si="279"/>
        <v>0</v>
      </c>
      <c r="AG365" s="10">
        <f t="shared" si="279"/>
        <v>0</v>
      </c>
      <c r="AH365" s="10">
        <f t="shared" si="279"/>
        <v>0</v>
      </c>
      <c r="AI365" s="10">
        <f t="shared" si="279"/>
        <v>0</v>
      </c>
      <c r="AJ365" s="10">
        <f t="shared" si="279"/>
        <v>0</v>
      </c>
      <c r="AK365" s="10">
        <f t="shared" si="279"/>
        <v>0</v>
      </c>
      <c r="AL365" s="10">
        <f t="shared" si="279"/>
        <v>0</v>
      </c>
      <c r="AM365" s="10">
        <f t="shared" si="279"/>
        <v>0</v>
      </c>
      <c r="AN365" s="10">
        <f t="shared" si="279"/>
        <v>0</v>
      </c>
      <c r="AO365" s="10">
        <f t="shared" si="279"/>
        <v>0</v>
      </c>
      <c r="AP365" s="10">
        <f t="shared" si="279"/>
        <v>0</v>
      </c>
      <c r="AQ365" s="10">
        <f t="shared" si="279"/>
        <v>0</v>
      </c>
      <c r="AR365" s="10">
        <f t="shared" si="279"/>
        <v>0</v>
      </c>
      <c r="AS365" s="10">
        <f t="shared" si="279"/>
        <v>0</v>
      </c>
      <c r="AT365" s="10">
        <f t="shared" si="279"/>
        <v>0</v>
      </c>
      <c r="AU365" s="10">
        <f t="shared" si="279"/>
        <v>0</v>
      </c>
      <c r="AV365" s="10">
        <f t="shared" si="279"/>
        <v>0</v>
      </c>
      <c r="AW365" s="10">
        <f t="shared" si="279"/>
        <v>0</v>
      </c>
      <c r="AX365" s="10">
        <f t="shared" si="279"/>
        <v>0</v>
      </c>
      <c r="AY365" s="10">
        <f t="shared" si="279"/>
        <v>0</v>
      </c>
      <c r="AZ365" s="10">
        <f t="shared" si="279"/>
        <v>0</v>
      </c>
      <c r="BA365" s="10">
        <f t="shared" si="279"/>
        <v>0</v>
      </c>
      <c r="BB365" s="10">
        <f t="shared" si="279"/>
        <v>0</v>
      </c>
      <c r="BC365" s="10">
        <f t="shared" si="279"/>
        <v>0</v>
      </c>
      <c r="BD365" s="10">
        <f t="shared" si="279"/>
        <v>0</v>
      </c>
      <c r="BE365" s="10">
        <f t="shared" si="279"/>
        <v>0</v>
      </c>
      <c r="BF365" s="10">
        <f t="shared" si="279"/>
        <v>0</v>
      </c>
      <c r="BG365" s="10">
        <f t="shared" si="279"/>
        <v>0</v>
      </c>
      <c r="BH365" s="10">
        <f t="shared" si="279"/>
        <v>0</v>
      </c>
      <c r="BI365" s="10">
        <f t="shared" si="279"/>
        <v>0</v>
      </c>
      <c r="BJ365" s="10">
        <f t="shared" si="279"/>
        <v>0</v>
      </c>
      <c r="BK365" s="10">
        <f t="shared" si="279"/>
        <v>0</v>
      </c>
      <c r="BL365" s="10">
        <f t="shared" si="279"/>
        <v>0</v>
      </c>
      <c r="BM365" s="10">
        <f t="shared" si="279"/>
        <v>0</v>
      </c>
      <c r="BN365" s="10">
        <f t="shared" si="279"/>
        <v>0</v>
      </c>
      <c r="BO365" s="10">
        <f t="shared" si="279"/>
        <v>0</v>
      </c>
      <c r="BP365" s="10">
        <f t="shared" si="279"/>
        <v>0</v>
      </c>
      <c r="BQ365" s="10">
        <f t="shared" si="279"/>
        <v>0</v>
      </c>
      <c r="BR365" s="10">
        <f t="shared" si="279"/>
        <v>0</v>
      </c>
      <c r="BS365" s="10">
        <f t="shared" si="279"/>
        <v>0</v>
      </c>
      <c r="BT365" s="10">
        <f t="shared" si="279"/>
        <v>0</v>
      </c>
      <c r="BU365" s="10">
        <f t="shared" si="279"/>
        <v>0</v>
      </c>
      <c r="BV365" s="10">
        <f t="shared" si="279"/>
        <v>0</v>
      </c>
      <c r="BX365" s="12">
        <f t="shared" si="275"/>
        <v>0</v>
      </c>
      <c r="BY365" s="12">
        <f t="shared" si="275"/>
        <v>0</v>
      </c>
      <c r="BZ365" s="12">
        <f t="shared" si="275"/>
        <v>0</v>
      </c>
      <c r="CA365" s="12">
        <f t="shared" si="275"/>
        <v>0</v>
      </c>
      <c r="CB365" s="10">
        <f t="shared" ref="CB365:CI365" si="280">SUM(CB361:CB364)</f>
        <v>0</v>
      </c>
      <c r="CC365" s="10">
        <f t="shared" si="280"/>
        <v>0</v>
      </c>
      <c r="CD365" s="10">
        <f t="shared" si="280"/>
        <v>0</v>
      </c>
      <c r="CE365" s="10">
        <f t="shared" si="280"/>
        <v>0</v>
      </c>
      <c r="CF365" s="10">
        <f t="shared" si="280"/>
        <v>0</v>
      </c>
      <c r="CG365" s="10">
        <f t="shared" si="280"/>
        <v>0</v>
      </c>
      <c r="CH365" s="10">
        <f t="shared" si="280"/>
        <v>0</v>
      </c>
      <c r="CI365" s="10">
        <f t="shared" si="280"/>
        <v>0</v>
      </c>
      <c r="CK365" s="11"/>
      <c r="CM365" s="11"/>
      <c r="DF365" s="11"/>
      <c r="DG365">
        <f t="shared" si="237"/>
        <v>0</v>
      </c>
      <c r="DH365">
        <v>0</v>
      </c>
      <c r="DI365">
        <v>0</v>
      </c>
      <c r="EY365" s="12" t="str">
        <f>IF(C365="", "", CONCATENATE(D360, " ",D365))</f>
        <v>Loan 17 Closing Loan Balance</v>
      </c>
    </row>
    <row r="366" spans="1:155" ht="6.75" customHeight="1" x14ac:dyDescent="0.35">
      <c r="C366" s="211"/>
      <c r="D366" s="1"/>
      <c r="E366"/>
      <c r="F366"/>
      <c r="BY366" s="6"/>
      <c r="CK366" s="35"/>
      <c r="CM366" s="35"/>
      <c r="DF366" s="35"/>
      <c r="DG366">
        <f t="shared" si="237"/>
        <v>0</v>
      </c>
      <c r="DH366">
        <v>0</v>
      </c>
      <c r="DI366">
        <v>0</v>
      </c>
      <c r="EY366" s="12" t="str">
        <f>IF(C366="", "", CONCATENATE(D360, " ",D366))</f>
        <v/>
      </c>
    </row>
    <row r="367" spans="1:155" x14ac:dyDescent="0.35">
      <c r="A367" s="220" cm="1">
        <f t="array" aca="1" ref="A367" ca="1">HYPERLINK(CONCATENATE("#",CELL("address",IF(MAX($CM367:$DF367)=0,A367,INDEX($CM367:$DF367,MATCH(1,$CM367:$DF367,0))))),MAX($CM367:$DF367))</f>
        <v>0</v>
      </c>
      <c r="C367" s="211"/>
      <c r="D367" t="s">
        <v>1084</v>
      </c>
      <c r="E367" s="118" t="s">
        <v>1085</v>
      </c>
      <c r="F367" s="118"/>
      <c r="G367" s="10">
        <f>$G$29</f>
        <v>0</v>
      </c>
      <c r="V367" s="7">
        <f>IF(OR(V365&gt;$G367, V365&lt;0), 1, 0)</f>
        <v>0</v>
      </c>
      <c r="W367" s="7">
        <f>IF(OR(W365&gt;$G367, W365&lt;0), 1, 0)</f>
        <v>0</v>
      </c>
      <c r="X367" s="7">
        <f>IF(OR(X365&gt;$G367, X365&lt;0), 1, 0)</f>
        <v>0</v>
      </c>
      <c r="Y367" s="7">
        <f>IF(OR(Y365&gt;$G367, Y365&lt;0), 1, 0)</f>
        <v>0</v>
      </c>
      <c r="AA367" s="7">
        <f t="shared" ref="AA367:BV367" si="281">IF(OR(AA365&gt;$G367, AA365&lt;0), 1, 0)</f>
        <v>0</v>
      </c>
      <c r="AB367" s="7">
        <f t="shared" si="281"/>
        <v>0</v>
      </c>
      <c r="AC367" s="7">
        <f t="shared" si="281"/>
        <v>0</v>
      </c>
      <c r="AD367" s="7">
        <f t="shared" si="281"/>
        <v>0</v>
      </c>
      <c r="AE367" s="7">
        <f t="shared" si="281"/>
        <v>0</v>
      </c>
      <c r="AF367" s="7">
        <f t="shared" si="281"/>
        <v>0</v>
      </c>
      <c r="AG367" s="7">
        <f t="shared" si="281"/>
        <v>0</v>
      </c>
      <c r="AH367" s="7">
        <f t="shared" si="281"/>
        <v>0</v>
      </c>
      <c r="AI367" s="7">
        <f t="shared" si="281"/>
        <v>0</v>
      </c>
      <c r="AJ367" s="7">
        <f t="shared" si="281"/>
        <v>0</v>
      </c>
      <c r="AK367" s="7">
        <f t="shared" si="281"/>
        <v>0</v>
      </c>
      <c r="AL367" s="7">
        <f t="shared" si="281"/>
        <v>0</v>
      </c>
      <c r="AM367" s="7">
        <f t="shared" si="281"/>
        <v>0</v>
      </c>
      <c r="AN367" s="7">
        <f t="shared" si="281"/>
        <v>0</v>
      </c>
      <c r="AO367" s="7">
        <f t="shared" si="281"/>
        <v>0</v>
      </c>
      <c r="AP367" s="7">
        <f t="shared" si="281"/>
        <v>0</v>
      </c>
      <c r="AQ367" s="7">
        <f t="shared" si="281"/>
        <v>0</v>
      </c>
      <c r="AR367" s="7">
        <f t="shared" si="281"/>
        <v>0</v>
      </c>
      <c r="AS367" s="7">
        <f t="shared" si="281"/>
        <v>0</v>
      </c>
      <c r="AT367" s="7">
        <f t="shared" si="281"/>
        <v>0</v>
      </c>
      <c r="AU367" s="7">
        <f t="shared" si="281"/>
        <v>0</v>
      </c>
      <c r="AV367" s="7">
        <f t="shared" si="281"/>
        <v>0</v>
      </c>
      <c r="AW367" s="7">
        <f t="shared" si="281"/>
        <v>0</v>
      </c>
      <c r="AX367" s="7">
        <f t="shared" si="281"/>
        <v>0</v>
      </c>
      <c r="AY367" s="7">
        <f t="shared" si="281"/>
        <v>0</v>
      </c>
      <c r="AZ367" s="7">
        <f t="shared" si="281"/>
        <v>0</v>
      </c>
      <c r="BA367" s="7">
        <f t="shared" si="281"/>
        <v>0</v>
      </c>
      <c r="BB367" s="7">
        <f t="shared" si="281"/>
        <v>0</v>
      </c>
      <c r="BC367" s="7">
        <f t="shared" si="281"/>
        <v>0</v>
      </c>
      <c r="BD367" s="7">
        <f t="shared" si="281"/>
        <v>0</v>
      </c>
      <c r="BE367" s="7">
        <f t="shared" si="281"/>
        <v>0</v>
      </c>
      <c r="BF367" s="7">
        <f t="shared" si="281"/>
        <v>0</v>
      </c>
      <c r="BG367" s="7">
        <f t="shared" si="281"/>
        <v>0</v>
      </c>
      <c r="BH367" s="7">
        <f t="shared" si="281"/>
        <v>0</v>
      </c>
      <c r="BI367" s="7">
        <f t="shared" si="281"/>
        <v>0</v>
      </c>
      <c r="BJ367" s="7">
        <f t="shared" si="281"/>
        <v>0</v>
      </c>
      <c r="BK367" s="7">
        <f t="shared" si="281"/>
        <v>0</v>
      </c>
      <c r="BL367" s="7">
        <f t="shared" si="281"/>
        <v>0</v>
      </c>
      <c r="BM367" s="7">
        <f t="shared" si="281"/>
        <v>0</v>
      </c>
      <c r="BN367" s="7">
        <f t="shared" si="281"/>
        <v>0</v>
      </c>
      <c r="BO367" s="7">
        <f t="shared" si="281"/>
        <v>0</v>
      </c>
      <c r="BP367" s="7">
        <f t="shared" si="281"/>
        <v>0</v>
      </c>
      <c r="BQ367" s="7">
        <f t="shared" si="281"/>
        <v>0</v>
      </c>
      <c r="BR367" s="7">
        <f t="shared" si="281"/>
        <v>0</v>
      </c>
      <c r="BS367" s="7">
        <f t="shared" si="281"/>
        <v>0</v>
      </c>
      <c r="BT367" s="7">
        <f t="shared" si="281"/>
        <v>0</v>
      </c>
      <c r="BU367" s="7">
        <f t="shared" si="281"/>
        <v>0</v>
      </c>
      <c r="BV367" s="7">
        <f t="shared" si="281"/>
        <v>0</v>
      </c>
      <c r="BX367" s="7">
        <f t="shared" ref="BX367:CI367" si="282">IF(OR(BX365&gt;$G367, BX365&lt;0), 1, 0)</f>
        <v>0</v>
      </c>
      <c r="BY367" s="7">
        <f t="shared" si="282"/>
        <v>0</v>
      </c>
      <c r="BZ367" s="7">
        <f t="shared" si="282"/>
        <v>0</v>
      </c>
      <c r="CA367" s="7">
        <f t="shared" si="282"/>
        <v>0</v>
      </c>
      <c r="CB367" s="7">
        <f t="shared" si="282"/>
        <v>0</v>
      </c>
      <c r="CC367" s="7">
        <f t="shared" si="282"/>
        <v>0</v>
      </c>
      <c r="CD367" s="7">
        <f t="shared" si="282"/>
        <v>0</v>
      </c>
      <c r="CE367" s="7">
        <f t="shared" si="282"/>
        <v>0</v>
      </c>
      <c r="CF367" s="7">
        <f t="shared" si="282"/>
        <v>0</v>
      </c>
      <c r="CG367" s="7">
        <f t="shared" si="282"/>
        <v>0</v>
      </c>
      <c r="CH367" s="7">
        <f t="shared" si="282"/>
        <v>0</v>
      </c>
      <c r="CI367" s="7">
        <f t="shared" si="282"/>
        <v>0</v>
      </c>
      <c r="CK367" s="11"/>
      <c r="CM367" s="11"/>
      <c r="CX367" s="7">
        <f>IF(MAX(V367:CI367)&gt;0, 1, 0)</f>
        <v>0</v>
      </c>
      <c r="DF367" s="11"/>
      <c r="DG367">
        <f t="shared" si="237"/>
        <v>1</v>
      </c>
      <c r="DH367">
        <v>0</v>
      </c>
      <c r="DI367">
        <v>0</v>
      </c>
      <c r="EY367" s="12" t="str">
        <f>IF(C367="", "", CONCATENATE(D360, " ",D367))</f>
        <v/>
      </c>
    </row>
    <row r="368" spans="1:155" x14ac:dyDescent="0.35">
      <c r="A368" s="220" cm="1">
        <f t="array" aca="1" ref="A368" ca="1">HYPERLINK(CONCATENATE("#",CELL("address",IF(MAX($CM368:$DF368)=0,A368,INDEX($CM368:$DF368,MATCH(1,$CM368:$DF368,0))))),MAX($CM368:$DF368))</f>
        <v>0</v>
      </c>
      <c r="C368" s="211"/>
      <c r="D368" t="s">
        <v>1086</v>
      </c>
      <c r="E368" s="118" t="s">
        <v>1087</v>
      </c>
      <c r="F368" s="118"/>
      <c r="G368" s="117" t="str">
        <f>IF($K$29="", "", $K$29)</f>
        <v/>
      </c>
      <c r="V368" s="7">
        <f>IF(AND(V$5&gt;=$G368,SUM(V365:$Y365)&lt;&gt;0),1,0)</f>
        <v>0</v>
      </c>
      <c r="W368" s="7">
        <f>IF(AND(W$5&gt;=$G368,SUM(W365:$Y365)&lt;&gt;0),1,0)</f>
        <v>0</v>
      </c>
      <c r="X368" s="7">
        <f>IF(AND(X$5&gt;=$G368,SUM(X365:$Y365)&lt;&gt;0),1,0)</f>
        <v>0</v>
      </c>
      <c r="Y368" s="7">
        <f>IF(AND(Y$5&gt;=$G368,SUM(Y365:$Y365)&lt;&gt;0),1,0)</f>
        <v>0</v>
      </c>
      <c r="AA368" s="7">
        <f>IF(AND(AA$5&gt;=$G368,SUM(AA365:$BV365)&lt;&gt;0),1,0)</f>
        <v>0</v>
      </c>
      <c r="AB368" s="7">
        <f>IF(AND(AB$5&gt;=$G368,SUM(AB365:$BV365)&lt;&gt;0),1,0)</f>
        <v>0</v>
      </c>
      <c r="AC368" s="7">
        <f>IF(AND(AC$5&gt;=$G368,SUM(AC365:$BV365)&lt;&gt;0),1,0)</f>
        <v>0</v>
      </c>
      <c r="AD368" s="7">
        <f>IF(AND(AD$5&gt;=$G368,SUM(AD365:$BV365)&lt;&gt;0),1,0)</f>
        <v>0</v>
      </c>
      <c r="AE368" s="7">
        <f>IF(AND(AE$5&gt;=$G368,SUM(AE365:$BV365)&lt;&gt;0),1,0)</f>
        <v>0</v>
      </c>
      <c r="AF368" s="7">
        <f>IF(AND(AF$5&gt;=$G368,SUM(AF365:$BV365)&lt;&gt;0),1,0)</f>
        <v>0</v>
      </c>
      <c r="AG368" s="7">
        <f>IF(AND(AG$5&gt;=$G368,SUM(AG365:$BV365)&lt;&gt;0),1,0)</f>
        <v>0</v>
      </c>
      <c r="AH368" s="7">
        <f>IF(AND(AH$5&gt;=$G368,SUM(AH365:$BV365)&lt;&gt;0),1,0)</f>
        <v>0</v>
      </c>
      <c r="AI368" s="7">
        <f>IF(AND(AI$5&gt;=$G368,SUM(AI365:$BV365)&lt;&gt;0),1,0)</f>
        <v>0</v>
      </c>
      <c r="AJ368" s="7">
        <f>IF(AND(AJ$5&gt;=$G368,SUM(AJ365:$BV365)&lt;&gt;0),1,0)</f>
        <v>0</v>
      </c>
      <c r="AK368" s="7">
        <f>IF(AND(AK$5&gt;=$G368,SUM(AK365:$BV365)&lt;&gt;0),1,0)</f>
        <v>0</v>
      </c>
      <c r="AL368" s="7">
        <f>IF(AND(AL$5&gt;=$G368,SUM(AL365:$BV365)&lt;&gt;0),1,0)</f>
        <v>0</v>
      </c>
      <c r="AM368" s="7">
        <f>IF(AND(AM$5&gt;=$G368,SUM(AM365:$BV365)&lt;&gt;0),1,0)</f>
        <v>0</v>
      </c>
      <c r="AN368" s="7">
        <f>IF(AND(AN$5&gt;=$G368,SUM(AN365:$BV365)&lt;&gt;0),1,0)</f>
        <v>0</v>
      </c>
      <c r="AO368" s="7">
        <f>IF(AND(AO$5&gt;=$G368,SUM(AO365:$BV365)&lt;&gt;0),1,0)</f>
        <v>0</v>
      </c>
      <c r="AP368" s="7">
        <f>IF(AND(AP$5&gt;=$G368,SUM(AP365:$BV365)&lt;&gt;0),1,0)</f>
        <v>0</v>
      </c>
      <c r="AQ368" s="7">
        <f>IF(AND(AQ$5&gt;=$G368,SUM(AQ365:$BV365)&lt;&gt;0),1,0)</f>
        <v>0</v>
      </c>
      <c r="AR368" s="7">
        <f>IF(AND(AR$5&gt;=$G368,SUM(AR365:$BV365)&lt;&gt;0),1,0)</f>
        <v>0</v>
      </c>
      <c r="AS368" s="7">
        <f>IF(AND(AS$5&gt;=$G368,SUM(AS365:$BV365)&lt;&gt;0),1,0)</f>
        <v>0</v>
      </c>
      <c r="AT368" s="7">
        <f>IF(AND(AT$5&gt;=$G368,SUM(AT365:$BV365)&lt;&gt;0),1,0)</f>
        <v>0</v>
      </c>
      <c r="AU368" s="7">
        <f>IF(AND(AU$5&gt;=$G368,SUM(AU365:$BV365)&lt;&gt;0),1,0)</f>
        <v>0</v>
      </c>
      <c r="AV368" s="7">
        <f>IF(AND(AV$5&gt;=$G368,SUM(AV365:$BV365)&lt;&gt;0),1,0)</f>
        <v>0</v>
      </c>
      <c r="AW368" s="7">
        <f>IF(AND(AW$5&gt;=$G368,SUM(AW365:$BV365)&lt;&gt;0),1,0)</f>
        <v>0</v>
      </c>
      <c r="AX368" s="7">
        <f>IF(AND(AX$5&gt;=$G368,SUM(AX365:$BV365)&lt;&gt;0),1,0)</f>
        <v>0</v>
      </c>
      <c r="AY368" s="7">
        <f>IF(AND(AY$5&gt;=$G368,SUM(AY365:$BV365)&lt;&gt;0),1,0)</f>
        <v>0</v>
      </c>
      <c r="AZ368" s="7">
        <f>IF(AND(AZ$5&gt;=$G368,SUM(AZ365:$BV365)&lt;&gt;0),1,0)</f>
        <v>0</v>
      </c>
      <c r="BA368" s="7">
        <f>IF(AND(BA$5&gt;=$G368,SUM(BA365:$BV365)&lt;&gt;0),1,0)</f>
        <v>0</v>
      </c>
      <c r="BB368" s="7">
        <f>IF(AND(BB$5&gt;=$G368,SUM(BB365:$BV365)&lt;&gt;0),1,0)</f>
        <v>0</v>
      </c>
      <c r="BC368" s="7">
        <f>IF(AND(BC$5&gt;=$G368,SUM(BC365:$BV365)&lt;&gt;0),1,0)</f>
        <v>0</v>
      </c>
      <c r="BD368" s="7">
        <f>IF(AND(BD$5&gt;=$G368,SUM(BD365:$BV365)&lt;&gt;0),1,0)</f>
        <v>0</v>
      </c>
      <c r="BE368" s="7">
        <f>IF(AND(BE$5&gt;=$G368,SUM(BE365:$BV365)&lt;&gt;0),1,0)</f>
        <v>0</v>
      </c>
      <c r="BF368" s="7">
        <f>IF(AND(BF$5&gt;=$G368,SUM(BF365:$BV365)&lt;&gt;0),1,0)</f>
        <v>0</v>
      </c>
      <c r="BG368" s="7">
        <f>IF(AND(BG$5&gt;=$G368,SUM(BG365:$BV365)&lt;&gt;0),1,0)</f>
        <v>0</v>
      </c>
      <c r="BH368" s="7">
        <f>IF(AND(BH$5&gt;=$G368,SUM(BH365:$BV365)&lt;&gt;0),1,0)</f>
        <v>0</v>
      </c>
      <c r="BI368" s="7">
        <f>IF(AND(BI$5&gt;=$G368,SUM(BI365:$BV365)&lt;&gt;0),1,0)</f>
        <v>0</v>
      </c>
      <c r="BJ368" s="7">
        <f>IF(AND(BJ$5&gt;=$G368,SUM(BJ365:$BV365)&lt;&gt;0),1,0)</f>
        <v>0</v>
      </c>
      <c r="BK368" s="7">
        <f>IF(AND(BK$5&gt;=$G368,SUM(BK365:$BV365)&lt;&gt;0),1,0)</f>
        <v>0</v>
      </c>
      <c r="BL368" s="7">
        <f>IF(AND(BL$5&gt;=$G368,SUM(BL365:$BV365)&lt;&gt;0),1,0)</f>
        <v>0</v>
      </c>
      <c r="BM368" s="7">
        <f>IF(AND(BM$5&gt;=$G368,SUM(BM365:$BV365)&lt;&gt;0),1,0)</f>
        <v>0</v>
      </c>
      <c r="BN368" s="7">
        <f>IF(AND(BN$5&gt;=$G368,SUM(BN365:$BV365)&lt;&gt;0),1,0)</f>
        <v>0</v>
      </c>
      <c r="BO368" s="7">
        <f>IF(AND(BO$5&gt;=$G368,SUM(BO365:$BV365)&lt;&gt;0),1,0)</f>
        <v>0</v>
      </c>
      <c r="BP368" s="7">
        <f>IF(AND(BP$5&gt;=$G368,SUM(BP365:$BV365)&lt;&gt;0),1,0)</f>
        <v>0</v>
      </c>
      <c r="BQ368" s="7">
        <f>IF(AND(BQ$5&gt;=$G368,SUM(BQ365:$BV365)&lt;&gt;0),1,0)</f>
        <v>0</v>
      </c>
      <c r="BR368" s="7">
        <f>IF(AND(BR$5&gt;=$G368,SUM(BR365:$BV365)&lt;&gt;0),1,0)</f>
        <v>0</v>
      </c>
      <c r="BS368" s="7">
        <f>IF(AND(BS$5&gt;=$G368,SUM(BS365:$BV365)&lt;&gt;0),1,0)</f>
        <v>0</v>
      </c>
      <c r="BT368" s="7">
        <f>IF(AND(BT$5&gt;=$G368,SUM(BT365:$BV365)&lt;&gt;0),1,0)</f>
        <v>0</v>
      </c>
      <c r="BU368" s="7">
        <f>IF(AND(BU$5&gt;=$G368,SUM(BU365:$BV365)&lt;&gt;0),1,0)</f>
        <v>0</v>
      </c>
      <c r="BV368" s="7">
        <f>IF(AND(BV$5&gt;=$G368,SUM(BV365:$BV365)&lt;&gt;0),1,0)</f>
        <v>0</v>
      </c>
      <c r="BX368" s="7">
        <f>IF(AND(BX$5&gt;=$G368,SUM(BX365:$CI365)&lt;&gt;0),1,0)*BX$1159</f>
        <v>0</v>
      </c>
      <c r="BY368" s="7">
        <f>IF(AND(BY$5&gt;=$G368,SUM(BY365:$CI365)&lt;&gt;0),1,0)*BY$1159</f>
        <v>0</v>
      </c>
      <c r="BZ368" s="7">
        <f>IF(AND(BZ$5&gt;=$G368,SUM(BZ365:$CI365)&lt;&gt;0),1,0)*BZ$1159</f>
        <v>0</v>
      </c>
      <c r="CA368" s="7">
        <f>IF(AND(CA$5&gt;=$G368,SUM(CA365:$CI365)&lt;&gt;0),1,0)*CA$1159</f>
        <v>0</v>
      </c>
      <c r="CB368" s="7">
        <f>IF(AND(CB$5&gt;=$G368,SUM(CB365:$CI365)&lt;&gt;0),1,0)*CB$1159</f>
        <v>0</v>
      </c>
      <c r="CC368" s="7">
        <f>IF(AND(CC$5&gt;=$G368,SUM(CC365:$CI365)&lt;&gt;0),1,0)*CC$1159</f>
        <v>0</v>
      </c>
      <c r="CD368" s="7">
        <f>IF(AND(CD$5&gt;=$G368,SUM(CD365:$CI365)&lt;&gt;0),1,0)*CD$1159</f>
        <v>0</v>
      </c>
      <c r="CE368" s="7">
        <f>IF(AND(CE$5&gt;=$G368,SUM(CE365:$CI365)&lt;&gt;0),1,0)*CE$1159</f>
        <v>0</v>
      </c>
      <c r="CF368" s="7">
        <f>IF(AND(CF$5&gt;=$G368,SUM(CF365:$CI365)&lt;&gt;0),1,0)*CF$1159</f>
        <v>0</v>
      </c>
      <c r="CG368" s="7">
        <f>IF(AND(CG$5&gt;=$G368,SUM(CG365:$CI365)&lt;&gt;0),1,0)*CG$1159</f>
        <v>0</v>
      </c>
      <c r="CH368" s="7">
        <f>IF(AND(CH$5&gt;=$G368,SUM(CH365:$CI365)&lt;&gt;0),1,0)*CH$1159</f>
        <v>0</v>
      </c>
      <c r="CI368" s="7">
        <f>IF(AND(CI$5&gt;=$G368,SUM(CI365:$CI365)&lt;&gt;0),1,0)*CI$1159</f>
        <v>0</v>
      </c>
      <c r="CK368" s="11"/>
      <c r="CM368" s="11"/>
      <c r="CX368" s="7">
        <f>IF(MAX($V368:$CI368)&gt;0, 1, 0)</f>
        <v>0</v>
      </c>
      <c r="DF368" s="11"/>
      <c r="DG368">
        <f t="shared" si="237"/>
        <v>1</v>
      </c>
      <c r="DH368">
        <v>0</v>
      </c>
      <c r="DI368">
        <v>0</v>
      </c>
      <c r="EY368" s="12" t="str">
        <f>IF(C368="", "", CONCATENATE(D360, " ",D368))</f>
        <v/>
      </c>
    </row>
    <row r="369" spans="1:155" ht="6.75" customHeight="1" x14ac:dyDescent="0.35">
      <c r="C369" s="211"/>
      <c r="D369" s="1"/>
      <c r="E369"/>
      <c r="F369"/>
      <c r="BY369" s="6"/>
      <c r="CK369" s="35"/>
      <c r="CM369" s="35"/>
      <c r="DF369" s="35"/>
      <c r="DG369">
        <f t="shared" si="237"/>
        <v>0</v>
      </c>
      <c r="DH369">
        <v>0</v>
      </c>
      <c r="DI369">
        <v>0</v>
      </c>
      <c r="EY369" s="12" t="str">
        <f>IF(C369="", "", CONCATENATE(D360, " ",D369))</f>
        <v/>
      </c>
    </row>
    <row r="370" spans="1:155" x14ac:dyDescent="0.35">
      <c r="C370" s="211"/>
      <c r="D370" t="s">
        <v>1088</v>
      </c>
      <c r="H370" s="9" t="s">
        <v>1074</v>
      </c>
      <c r="I370" s="40" t="s">
        <v>317</v>
      </c>
      <c r="V370" s="109"/>
      <c r="W370" s="133">
        <f>V373</f>
        <v>0</v>
      </c>
      <c r="X370" s="133">
        <f>W373</f>
        <v>0</v>
      </c>
      <c r="Y370" s="10">
        <f>X373</f>
        <v>0</v>
      </c>
      <c r="AA370" s="12">
        <f>W370</f>
        <v>0</v>
      </c>
      <c r="AB370" s="10">
        <f t="shared" ref="AB370:BV370" si="283">AA373</f>
        <v>0</v>
      </c>
      <c r="AC370" s="10">
        <f t="shared" si="283"/>
        <v>0</v>
      </c>
      <c r="AD370" s="10">
        <f t="shared" si="283"/>
        <v>0</v>
      </c>
      <c r="AE370" s="10">
        <f t="shared" si="283"/>
        <v>0</v>
      </c>
      <c r="AF370" s="10">
        <f t="shared" si="283"/>
        <v>0</v>
      </c>
      <c r="AG370" s="10">
        <f t="shared" si="283"/>
        <v>0</v>
      </c>
      <c r="AH370" s="10">
        <f t="shared" si="283"/>
        <v>0</v>
      </c>
      <c r="AI370" s="10">
        <f t="shared" si="283"/>
        <v>0</v>
      </c>
      <c r="AJ370" s="10">
        <f t="shared" si="283"/>
        <v>0</v>
      </c>
      <c r="AK370" s="10">
        <f t="shared" si="283"/>
        <v>0</v>
      </c>
      <c r="AL370" s="10">
        <f t="shared" si="283"/>
        <v>0</v>
      </c>
      <c r="AM370" s="10">
        <f t="shared" si="283"/>
        <v>0</v>
      </c>
      <c r="AN370" s="10">
        <f t="shared" si="283"/>
        <v>0</v>
      </c>
      <c r="AO370" s="10">
        <f t="shared" si="283"/>
        <v>0</v>
      </c>
      <c r="AP370" s="10">
        <f t="shared" si="283"/>
        <v>0</v>
      </c>
      <c r="AQ370" s="10">
        <f t="shared" si="283"/>
        <v>0</v>
      </c>
      <c r="AR370" s="10">
        <f t="shared" si="283"/>
        <v>0</v>
      </c>
      <c r="AS370" s="10">
        <f t="shared" si="283"/>
        <v>0</v>
      </c>
      <c r="AT370" s="10">
        <f t="shared" si="283"/>
        <v>0</v>
      </c>
      <c r="AU370" s="10">
        <f t="shared" si="283"/>
        <v>0</v>
      </c>
      <c r="AV370" s="10">
        <f t="shared" si="283"/>
        <v>0</v>
      </c>
      <c r="AW370" s="10">
        <f t="shared" si="283"/>
        <v>0</v>
      </c>
      <c r="AX370" s="10">
        <f t="shared" si="283"/>
        <v>0</v>
      </c>
      <c r="AY370" s="10">
        <f t="shared" si="283"/>
        <v>0</v>
      </c>
      <c r="AZ370" s="10">
        <f t="shared" si="283"/>
        <v>0</v>
      </c>
      <c r="BA370" s="10">
        <f t="shared" si="283"/>
        <v>0</v>
      </c>
      <c r="BB370" s="10">
        <f t="shared" si="283"/>
        <v>0</v>
      </c>
      <c r="BC370" s="10">
        <f t="shared" si="283"/>
        <v>0</v>
      </c>
      <c r="BD370" s="10">
        <f t="shared" si="283"/>
        <v>0</v>
      </c>
      <c r="BE370" s="10">
        <f t="shared" si="283"/>
        <v>0</v>
      </c>
      <c r="BF370" s="10">
        <f t="shared" si="283"/>
        <v>0</v>
      </c>
      <c r="BG370" s="10">
        <f t="shared" si="283"/>
        <v>0</v>
      </c>
      <c r="BH370" s="10">
        <f t="shared" si="283"/>
        <v>0</v>
      </c>
      <c r="BI370" s="10">
        <f t="shared" si="283"/>
        <v>0</v>
      </c>
      <c r="BJ370" s="10">
        <f t="shared" si="283"/>
        <v>0</v>
      </c>
      <c r="BK370" s="10">
        <f t="shared" si="283"/>
        <v>0</v>
      </c>
      <c r="BL370" s="10">
        <f t="shared" si="283"/>
        <v>0</v>
      </c>
      <c r="BM370" s="10">
        <f t="shared" si="283"/>
        <v>0</v>
      </c>
      <c r="BN370" s="10">
        <f t="shared" si="283"/>
        <v>0</v>
      </c>
      <c r="BO370" s="10">
        <f t="shared" si="283"/>
        <v>0</v>
      </c>
      <c r="BP370" s="10">
        <f t="shared" si="283"/>
        <v>0</v>
      </c>
      <c r="BQ370" s="10">
        <f t="shared" si="283"/>
        <v>0</v>
      </c>
      <c r="BR370" s="10">
        <f t="shared" si="283"/>
        <v>0</v>
      </c>
      <c r="BS370" s="10">
        <f t="shared" si="283"/>
        <v>0</v>
      </c>
      <c r="BT370" s="10">
        <f t="shared" si="283"/>
        <v>0</v>
      </c>
      <c r="BU370" s="10">
        <f t="shared" si="283"/>
        <v>0</v>
      </c>
      <c r="BV370" s="10">
        <f t="shared" si="283"/>
        <v>0</v>
      </c>
      <c r="BX370" s="12">
        <f t="shared" ref="BX370:CA373" si="284">V370</f>
        <v>0</v>
      </c>
      <c r="BY370" s="12">
        <f t="shared" si="284"/>
        <v>0</v>
      </c>
      <c r="BZ370" s="12">
        <f t="shared" si="284"/>
        <v>0</v>
      </c>
      <c r="CA370" s="12">
        <f t="shared" si="284"/>
        <v>0</v>
      </c>
      <c r="CB370" s="10">
        <f t="shared" ref="CB370:CI370" si="285">CA373</f>
        <v>0</v>
      </c>
      <c r="CC370" s="10">
        <f t="shared" si="285"/>
        <v>0</v>
      </c>
      <c r="CD370" s="10">
        <f t="shared" si="285"/>
        <v>0</v>
      </c>
      <c r="CE370" s="10">
        <f t="shared" si="285"/>
        <v>0</v>
      </c>
      <c r="CF370" s="10">
        <f t="shared" si="285"/>
        <v>0</v>
      </c>
      <c r="CG370" s="10">
        <f t="shared" si="285"/>
        <v>0</v>
      </c>
      <c r="CH370" s="10">
        <f t="shared" si="285"/>
        <v>0</v>
      </c>
      <c r="CI370" s="10">
        <f t="shared" si="285"/>
        <v>0</v>
      </c>
      <c r="CK370" s="11"/>
      <c r="CM370" s="11"/>
      <c r="CY370" s="7" cm="1">
        <f t="array" ref="CY370">SUMPRODUCT(--NOT(ISNUMBER(V370:CI370)),--NOT(ISBLANK(V370:CI370)))</f>
        <v>0</v>
      </c>
      <c r="DF370" s="11"/>
      <c r="DG370">
        <f t="shared" si="237"/>
        <v>0</v>
      </c>
      <c r="DH370">
        <v>1</v>
      </c>
      <c r="DI370">
        <v>0</v>
      </c>
      <c r="EY370" s="12" t="str">
        <f>IF(C370="", "", CONCATENATE(D360, " ",D370))</f>
        <v/>
      </c>
    </row>
    <row r="371" spans="1:155" s="5" customFormat="1" x14ac:dyDescent="0.35">
      <c r="A371" s="220" cm="1">
        <f t="array" aca="1" ref="A371" ca="1">HYPERLINK(CONCATENATE("#",CELL("address",IF(MAX($CM371:$DF371)=0,A371,INDEX($CM371:$DF371,MATCH(1,$CM371:$DF371,0))))),MAX($CM371:$DF371))</f>
        <v>0</v>
      </c>
      <c r="B371" s="85" t="s">
        <v>122</v>
      </c>
      <c r="C371" s="211"/>
      <c r="D371" t="s">
        <v>1089</v>
      </c>
      <c r="E371" s="1"/>
      <c r="F371" s="1"/>
      <c r="G371"/>
      <c r="H371" s="9" t="s">
        <v>1074</v>
      </c>
      <c r="I371" s="40" t="s">
        <v>665</v>
      </c>
      <c r="J371"/>
      <c r="K371"/>
      <c r="L371"/>
      <c r="M371"/>
      <c r="N371"/>
      <c r="O371"/>
      <c r="P371"/>
      <c r="Q371"/>
      <c r="R371"/>
      <c r="S371"/>
      <c r="T371"/>
      <c r="U371"/>
      <c r="V371" s="109"/>
      <c r="W371" s="133">
        <f t="shared" ref="W371:Y372" si="286" xml:space="preserve"> SUMIFS($AA371:$BV371, $AA$3:$BV$3, W$3)</f>
        <v>0</v>
      </c>
      <c r="X371" s="133">
        <f t="shared" si="286"/>
        <v>0</v>
      </c>
      <c r="Y371" s="133">
        <f t="shared" si="286"/>
        <v>0</v>
      </c>
      <c r="Z371"/>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c r="BX371" s="12">
        <f t="shared" si="284"/>
        <v>0</v>
      </c>
      <c r="BY371" s="12">
        <f t="shared" si="284"/>
        <v>0</v>
      </c>
      <c r="BZ371" s="12">
        <f t="shared" si="284"/>
        <v>0</v>
      </c>
      <c r="CA371" s="12">
        <f t="shared" si="284"/>
        <v>0</v>
      </c>
      <c r="CB371" s="133">
        <f xml:space="preserve"> SUMIFS($AA371:$BV371, $AA$3:$BV$3, CB$3)</f>
        <v>0</v>
      </c>
      <c r="CC371" s="109"/>
      <c r="CD371" s="109"/>
      <c r="CE371" s="109"/>
      <c r="CF371" s="109"/>
      <c r="CG371" s="109"/>
      <c r="CH371" s="109"/>
      <c r="CI371" s="109"/>
      <c r="CJ371"/>
      <c r="CK371" s="11"/>
      <c r="CL371" s="241">
        <f>IF(MIN($V371:$CI371)&lt;0, 1, 0)</f>
        <v>0</v>
      </c>
      <c r="CM371" s="11"/>
      <c r="CN371"/>
      <c r="CO371"/>
      <c r="CP371"/>
      <c r="CQ371"/>
      <c r="CR371"/>
      <c r="CS371"/>
      <c r="CT371"/>
      <c r="CU371"/>
      <c r="CV371"/>
      <c r="CW371"/>
      <c r="CX371"/>
      <c r="CY371" s="7" cm="1">
        <f t="array" ref="CY371">SUMPRODUCT(--NOT(ISNUMBER(V371:CI371)),--NOT(ISBLANK(V371:CI371)))</f>
        <v>0</v>
      </c>
      <c r="CZ371" s="7">
        <f t="shared" ref="CZ371:DB372" si="287">IF(ROUND(W371-SUMIFS($AA371:$BV371, $AA$3:$BV$3, W$3), rounding)=0, 0, 1)</f>
        <v>0</v>
      </c>
      <c r="DA371" s="7">
        <f t="shared" si="287"/>
        <v>0</v>
      </c>
      <c r="DB371" s="7">
        <f t="shared" si="287"/>
        <v>0</v>
      </c>
      <c r="DC371" s="7">
        <f>IF(ROUND(CB371-SUMIFS($AA371:$BV371, $AA$3:$BV$3, CB$3), rounding)=0, 0, 1)</f>
        <v>0</v>
      </c>
      <c r="DD371" s="7">
        <f>IF(ROUND(V371-BX371, rounding)=0, 0, 1)*'BS Forecasts'!$V$10</f>
        <v>0</v>
      </c>
      <c r="DE371"/>
      <c r="DF371" s="11"/>
      <c r="DG371">
        <f t="shared" si="237"/>
        <v>0</v>
      </c>
      <c r="DH371">
        <v>1</v>
      </c>
      <c r="DI371">
        <v>1</v>
      </c>
      <c r="EY371" s="12" t="str">
        <f>IF(C371="", "", CONCATENATE(D360, " ",D371))</f>
        <v/>
      </c>
    </row>
    <row r="372" spans="1:155" x14ac:dyDescent="0.35">
      <c r="A372" s="220" cm="1">
        <f t="array" aca="1" ref="A372" ca="1">HYPERLINK(CONCATENATE("#",CELL("address",IF(MAX($CM372:$DF372)=0,A372,INDEX($CM372:$DF372,MATCH(1,$CM372:$DF372,0))))),MAX($CM372:$DF372))</f>
        <v>0</v>
      </c>
      <c r="B372" s="85" t="s">
        <v>122</v>
      </c>
      <c r="C372" s="211"/>
      <c r="D372" t="s">
        <v>1090</v>
      </c>
      <c r="H372" s="9" t="s">
        <v>1074</v>
      </c>
      <c r="I372" s="40" t="s">
        <v>1079</v>
      </c>
      <c r="V372" s="109"/>
      <c r="W372" s="133">
        <f t="shared" si="286"/>
        <v>0</v>
      </c>
      <c r="X372" s="133">
        <f t="shared" si="286"/>
        <v>0</v>
      </c>
      <c r="Y372" s="133">
        <f t="shared" si="286"/>
        <v>0</v>
      </c>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X372" s="12">
        <f t="shared" si="284"/>
        <v>0</v>
      </c>
      <c r="BY372" s="12">
        <f t="shared" si="284"/>
        <v>0</v>
      </c>
      <c r="BZ372" s="12">
        <f t="shared" si="284"/>
        <v>0</v>
      </c>
      <c r="CA372" s="12">
        <f t="shared" si="284"/>
        <v>0</v>
      </c>
      <c r="CB372" s="133">
        <f xml:space="preserve"> SUMIFS($AA372:$BV372, $AA$3:$BV$3, CB$3)</f>
        <v>0</v>
      </c>
      <c r="CC372" s="109"/>
      <c r="CD372" s="109"/>
      <c r="CE372" s="109"/>
      <c r="CF372" s="109"/>
      <c r="CG372" s="109"/>
      <c r="CH372" s="109"/>
      <c r="CI372" s="109"/>
      <c r="CK372" s="11"/>
      <c r="CL372" s="241">
        <f>IF(MAX($V372:$CI372)&gt;0, 1, 0)</f>
        <v>0</v>
      </c>
      <c r="CM372" s="11"/>
      <c r="CY372" s="7" cm="1">
        <f t="array" ref="CY372">SUMPRODUCT(--NOT(ISNUMBER(V372:CI372)),--NOT(ISBLANK(V372:CI372)))</f>
        <v>0</v>
      </c>
      <c r="CZ372" s="7">
        <f t="shared" si="287"/>
        <v>0</v>
      </c>
      <c r="DA372" s="7">
        <f t="shared" si="287"/>
        <v>0</v>
      </c>
      <c r="DB372" s="7">
        <f t="shared" si="287"/>
        <v>0</v>
      </c>
      <c r="DC372" s="7">
        <f>IF(ROUND(CB372-SUMIFS($AA372:$BV372, $AA$3:$BV$3, CB$3), rounding)=0, 0, 1)</f>
        <v>0</v>
      </c>
      <c r="DD372" s="7">
        <f>IF(ROUND(V372-BX372, rounding)=0, 0, 1)*'BS Forecasts'!$V$10</f>
        <v>0</v>
      </c>
      <c r="DF372" s="11"/>
      <c r="DG372">
        <f t="shared" si="237"/>
        <v>0</v>
      </c>
      <c r="DH372">
        <v>1</v>
      </c>
      <c r="DI372">
        <v>1</v>
      </c>
      <c r="EY372" s="12" t="str">
        <f>IF(C372="", "", CONCATENATE(D360, " ",D372))</f>
        <v/>
      </c>
    </row>
    <row r="373" spans="1:155" x14ac:dyDescent="0.35">
      <c r="C373" s="211"/>
      <c r="D373" t="s">
        <v>1091</v>
      </c>
      <c r="H373" s="9" t="s">
        <v>1074</v>
      </c>
      <c r="I373" s="40" t="s">
        <v>317</v>
      </c>
      <c r="V373" s="12">
        <f>$I$29</f>
        <v>0</v>
      </c>
      <c r="W373" s="10">
        <f>SUM(W370:W372)</f>
        <v>0</v>
      </c>
      <c r="X373" s="10">
        <f>SUM(X370:X372)</f>
        <v>0</v>
      </c>
      <c r="Y373" s="10">
        <f>SUM(Y370:Y372)</f>
        <v>0</v>
      </c>
      <c r="AA373" s="10">
        <f t="shared" ref="AA373:BV373" si="288">SUM(AA370:AA372)</f>
        <v>0</v>
      </c>
      <c r="AB373" s="10">
        <f t="shared" si="288"/>
        <v>0</v>
      </c>
      <c r="AC373" s="10">
        <f t="shared" si="288"/>
        <v>0</v>
      </c>
      <c r="AD373" s="10">
        <f t="shared" si="288"/>
        <v>0</v>
      </c>
      <c r="AE373" s="10">
        <f t="shared" si="288"/>
        <v>0</v>
      </c>
      <c r="AF373" s="10">
        <f t="shared" si="288"/>
        <v>0</v>
      </c>
      <c r="AG373" s="10">
        <f t="shared" si="288"/>
        <v>0</v>
      </c>
      <c r="AH373" s="10">
        <f t="shared" si="288"/>
        <v>0</v>
      </c>
      <c r="AI373" s="10">
        <f t="shared" si="288"/>
        <v>0</v>
      </c>
      <c r="AJ373" s="10">
        <f t="shared" si="288"/>
        <v>0</v>
      </c>
      <c r="AK373" s="10">
        <f t="shared" si="288"/>
        <v>0</v>
      </c>
      <c r="AL373" s="10">
        <f t="shared" si="288"/>
        <v>0</v>
      </c>
      <c r="AM373" s="10">
        <f t="shared" si="288"/>
        <v>0</v>
      </c>
      <c r="AN373" s="10">
        <f t="shared" si="288"/>
        <v>0</v>
      </c>
      <c r="AO373" s="10">
        <f t="shared" si="288"/>
        <v>0</v>
      </c>
      <c r="AP373" s="10">
        <f t="shared" si="288"/>
        <v>0</v>
      </c>
      <c r="AQ373" s="10">
        <f t="shared" si="288"/>
        <v>0</v>
      </c>
      <c r="AR373" s="10">
        <f t="shared" si="288"/>
        <v>0</v>
      </c>
      <c r="AS373" s="10">
        <f t="shared" si="288"/>
        <v>0</v>
      </c>
      <c r="AT373" s="10">
        <f t="shared" si="288"/>
        <v>0</v>
      </c>
      <c r="AU373" s="10">
        <f t="shared" si="288"/>
        <v>0</v>
      </c>
      <c r="AV373" s="10">
        <f t="shared" si="288"/>
        <v>0</v>
      </c>
      <c r="AW373" s="10">
        <f t="shared" si="288"/>
        <v>0</v>
      </c>
      <c r="AX373" s="10">
        <f t="shared" si="288"/>
        <v>0</v>
      </c>
      <c r="AY373" s="10">
        <f t="shared" si="288"/>
        <v>0</v>
      </c>
      <c r="AZ373" s="10">
        <f t="shared" si="288"/>
        <v>0</v>
      </c>
      <c r="BA373" s="10">
        <f t="shared" si="288"/>
        <v>0</v>
      </c>
      <c r="BB373" s="10">
        <f t="shared" si="288"/>
        <v>0</v>
      </c>
      <c r="BC373" s="10">
        <f t="shared" si="288"/>
        <v>0</v>
      </c>
      <c r="BD373" s="10">
        <f t="shared" si="288"/>
        <v>0</v>
      </c>
      <c r="BE373" s="10">
        <f t="shared" si="288"/>
        <v>0</v>
      </c>
      <c r="BF373" s="10">
        <f t="shared" si="288"/>
        <v>0</v>
      </c>
      <c r="BG373" s="10">
        <f t="shared" si="288"/>
        <v>0</v>
      </c>
      <c r="BH373" s="10">
        <f t="shared" si="288"/>
        <v>0</v>
      </c>
      <c r="BI373" s="10">
        <f t="shared" si="288"/>
        <v>0</v>
      </c>
      <c r="BJ373" s="10">
        <f t="shared" si="288"/>
        <v>0</v>
      </c>
      <c r="BK373" s="10">
        <f t="shared" si="288"/>
        <v>0</v>
      </c>
      <c r="BL373" s="10">
        <f t="shared" si="288"/>
        <v>0</v>
      </c>
      <c r="BM373" s="10">
        <f t="shared" si="288"/>
        <v>0</v>
      </c>
      <c r="BN373" s="10">
        <f t="shared" si="288"/>
        <v>0</v>
      </c>
      <c r="BO373" s="10">
        <f t="shared" si="288"/>
        <v>0</v>
      </c>
      <c r="BP373" s="10">
        <f t="shared" si="288"/>
        <v>0</v>
      </c>
      <c r="BQ373" s="10">
        <f t="shared" si="288"/>
        <v>0</v>
      </c>
      <c r="BR373" s="10">
        <f t="shared" si="288"/>
        <v>0</v>
      </c>
      <c r="BS373" s="10">
        <f t="shared" si="288"/>
        <v>0</v>
      </c>
      <c r="BT373" s="10">
        <f t="shared" si="288"/>
        <v>0</v>
      </c>
      <c r="BU373" s="10">
        <f t="shared" si="288"/>
        <v>0</v>
      </c>
      <c r="BV373" s="10">
        <f t="shared" si="288"/>
        <v>0</v>
      </c>
      <c r="BX373" s="12">
        <f t="shared" si="284"/>
        <v>0</v>
      </c>
      <c r="BY373" s="12">
        <f t="shared" si="284"/>
        <v>0</v>
      </c>
      <c r="BZ373" s="12">
        <f t="shared" si="284"/>
        <v>0</v>
      </c>
      <c r="CA373" s="12">
        <f t="shared" si="284"/>
        <v>0</v>
      </c>
      <c r="CB373" s="10">
        <f t="shared" ref="CB373:CI373" si="289">SUM(CB370:CB372)</f>
        <v>0</v>
      </c>
      <c r="CC373" s="10">
        <f t="shared" si="289"/>
        <v>0</v>
      </c>
      <c r="CD373" s="10">
        <f t="shared" si="289"/>
        <v>0</v>
      </c>
      <c r="CE373" s="10">
        <f t="shared" si="289"/>
        <v>0</v>
      </c>
      <c r="CF373" s="10">
        <f t="shared" si="289"/>
        <v>0</v>
      </c>
      <c r="CG373" s="10">
        <f t="shared" si="289"/>
        <v>0</v>
      </c>
      <c r="CH373" s="10">
        <f t="shared" si="289"/>
        <v>0</v>
      </c>
      <c r="CI373" s="10">
        <f t="shared" si="289"/>
        <v>0</v>
      </c>
      <c r="CK373" s="11"/>
      <c r="CM373" s="11"/>
      <c r="DF373" s="11"/>
      <c r="DG373">
        <f t="shared" si="237"/>
        <v>0</v>
      </c>
      <c r="DH373">
        <v>0</v>
      </c>
      <c r="DI373">
        <v>0</v>
      </c>
      <c r="EY373" s="12" t="str">
        <f>IF(C373="", "", CONCATENATE(D360, " ",D373))</f>
        <v/>
      </c>
    </row>
    <row r="374" spans="1:155" ht="6.75" customHeight="1" x14ac:dyDescent="0.35">
      <c r="C374" s="211"/>
      <c r="D374" s="1"/>
      <c r="E374"/>
      <c r="F374"/>
      <c r="BY374" s="6"/>
      <c r="CK374" s="35"/>
      <c r="CM374" s="35"/>
      <c r="DF374" s="35"/>
      <c r="DG374">
        <f t="shared" si="237"/>
        <v>0</v>
      </c>
      <c r="DH374">
        <v>0</v>
      </c>
      <c r="DI374">
        <v>0</v>
      </c>
      <c r="EY374" s="12" t="str">
        <f>IF(C374="", "", CONCATENATE(D360, " ",D374))</f>
        <v/>
      </c>
    </row>
    <row r="375" spans="1:155" s="5" customFormat="1" x14ac:dyDescent="0.35">
      <c r="A375" s="220" cm="1">
        <f t="array" aca="1" ref="A375" ca="1">HYPERLINK(CONCATENATE("#",CELL("address",IF(MAX($CM375:$DF375)=0,A375,INDEX($CM375:$DF375,MATCH(1,$CM375:$DF375,0))))),MAX($CM375:$DF375))</f>
        <v>0</v>
      </c>
      <c r="B375"/>
      <c r="C375" s="211" t="s">
        <v>1206</v>
      </c>
      <c r="D375" t="s">
        <v>1093</v>
      </c>
      <c r="E375" s="1"/>
      <c r="F375" s="1"/>
      <c r="G375"/>
      <c r="H375" s="9" t="s">
        <v>1074</v>
      </c>
      <c r="I375" s="40" t="s">
        <v>665</v>
      </c>
      <c r="J375"/>
      <c r="K375"/>
      <c r="L375"/>
      <c r="M375"/>
      <c r="N375"/>
      <c r="O375"/>
      <c r="P375"/>
      <c r="Q375"/>
      <c r="R375"/>
      <c r="S375"/>
      <c r="T375"/>
      <c r="U375"/>
      <c r="V375" s="109"/>
      <c r="W375" s="133">
        <f xml:space="preserve"> SUMIFS($AA375:$BV375, $AA$3:$BV$3, W$3)</f>
        <v>0</v>
      </c>
      <c r="X375" s="133">
        <f xml:space="preserve"> SUMIFS($AA375:$BV375, $AA$3:$BV$3, X$3)</f>
        <v>0</v>
      </c>
      <c r="Y375" s="133">
        <f xml:space="preserve"> SUMIFS($AA375:$BV375, $AA$3:$BV$3, Y$3)</f>
        <v>0</v>
      </c>
      <c r="Z375"/>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c r="BX375" s="12">
        <f>V375</f>
        <v>0</v>
      </c>
      <c r="BY375" s="12">
        <f>W375</f>
        <v>0</v>
      </c>
      <c r="BZ375" s="12">
        <f>X375</f>
        <v>0</v>
      </c>
      <c r="CA375" s="12">
        <f>Y375</f>
        <v>0</v>
      </c>
      <c r="CB375" s="133">
        <f xml:space="preserve"> SUMIFS($AA375:$BV375, $AA$3:$BV$3, CB$3)</f>
        <v>0</v>
      </c>
      <c r="CC375" s="109"/>
      <c r="CD375" s="109"/>
      <c r="CE375" s="109"/>
      <c r="CF375" s="109"/>
      <c r="CG375" s="109"/>
      <c r="CH375" s="109"/>
      <c r="CI375" s="109"/>
      <c r="CJ375"/>
      <c r="CK375" s="11"/>
      <c r="CL375" s="241">
        <f>IF(MIN($V375:$CI375)&lt;0, 1, 0)</f>
        <v>0</v>
      </c>
      <c r="CM375" s="11"/>
      <c r="CN375"/>
      <c r="CO375"/>
      <c r="CP375"/>
      <c r="CQ375"/>
      <c r="CR375"/>
      <c r="CS375"/>
      <c r="CT375"/>
      <c r="CU375"/>
      <c r="CV375"/>
      <c r="CW375"/>
      <c r="CX375"/>
      <c r="CY375" s="7" cm="1">
        <f t="array" ref="CY375">SUMPRODUCT(--NOT(ISNUMBER(V375:CI375)),--NOT(ISBLANK(V375:CI375)))</f>
        <v>0</v>
      </c>
      <c r="CZ375" s="7">
        <f>IF(ROUND(W375-SUMIFS($AA375:$BV375, $AA$3:$BV$3, W$3), rounding)=0, 0, 1)</f>
        <v>0</v>
      </c>
      <c r="DA375" s="7">
        <f>IF(ROUND(X375-SUMIFS($AA375:$BV375, $AA$3:$BV$3, X$3), rounding)=0, 0, 1)</f>
        <v>0</v>
      </c>
      <c r="DB375" s="7">
        <f>IF(ROUND(Y375-SUMIFS($AA375:$BV375, $AA$3:$BV$3, Y$3), rounding)=0, 0, 1)</f>
        <v>0</v>
      </c>
      <c r="DC375" s="7">
        <f>IF(ROUND(CB375-SUMIFS($AA375:$BV375, $AA$3:$BV$3, CB$3), rounding)=0, 0, 1)</f>
        <v>0</v>
      </c>
      <c r="DD375" s="7">
        <f>IF(ROUND(V375-BX375, rounding)=0, 0, 1)*'BS Forecasts'!$V$10</f>
        <v>0</v>
      </c>
      <c r="DE375"/>
      <c r="DF375" s="11"/>
      <c r="DG375">
        <f t="shared" si="237"/>
        <v>0</v>
      </c>
      <c r="DH375">
        <v>1</v>
      </c>
      <c r="DI375">
        <v>1</v>
      </c>
      <c r="EY375" s="12" t="str">
        <f>IF(C375="", "", CONCATENATE(D360, " ",D375))</f>
        <v>Loan 17 Early Repayment Fee</v>
      </c>
    </row>
    <row r="376" spans="1:155" ht="6.75" customHeight="1" x14ac:dyDescent="0.35">
      <c r="C376" s="211"/>
      <c r="D376" s="1"/>
      <c r="E376"/>
      <c r="F376"/>
      <c r="BY376" s="6"/>
      <c r="CK376" s="35"/>
      <c r="CM376" s="35"/>
      <c r="DF376" s="35"/>
      <c r="DG376">
        <f t="shared" si="237"/>
        <v>0</v>
      </c>
      <c r="DH376">
        <v>0</v>
      </c>
      <c r="DI376">
        <v>0</v>
      </c>
      <c r="EY376" s="12" t="str">
        <f>IF(C376="", "", CONCATENATE(D360, " ",D376))</f>
        <v/>
      </c>
    </row>
    <row r="377" spans="1:155" x14ac:dyDescent="0.35">
      <c r="A377" s="220" cm="1">
        <f t="array" aca="1" ref="A377" ca="1">HYPERLINK(CONCATENATE("#",CELL("address",IF(MAX($CM377:$DF377)=0,A377,INDEX($CM377:$DF377,MATCH(1,$CM377:$DF377,0))))),MAX($CM377:$DF377))</f>
        <v>0</v>
      </c>
      <c r="B377" s="85" t="s">
        <v>122</v>
      </c>
      <c r="D377" t="s">
        <v>1094</v>
      </c>
      <c r="E377" s="140" t="str">
        <f>IF(J$29="", "", J$29)</f>
        <v/>
      </c>
      <c r="F377" s="140"/>
      <c r="G377" s="140" t="str">
        <f>IF(K$29="", "", K$29)</f>
        <v/>
      </c>
      <c r="V377" s="7">
        <f>IF(AND(OR( V$5&gt;$G377, Timeline!V$8&lt;Loans!$E377), Loans!V375&lt;&gt;0), 1, 0)</f>
        <v>0</v>
      </c>
      <c r="W377" s="7">
        <f>IF(AND(OR( W$5&gt;$G377, Timeline!W$8&lt;Loans!$E377), Loans!W375&lt;&gt;0), 1, 0)</f>
        <v>0</v>
      </c>
      <c r="X377" s="7">
        <f>IF(AND(OR( X$5&gt;$G377, Timeline!X$8&lt;Loans!$E377), Loans!X375&lt;&gt;0), 1, 0)</f>
        <v>0</v>
      </c>
      <c r="Y377" s="7">
        <f>IF(AND(OR( Y$5&gt;$G377, Timeline!Y$8&lt;Loans!$E377), Loans!Y375&lt;&gt;0), 1, 0)</f>
        <v>0</v>
      </c>
      <c r="AA377" s="7">
        <f>IF(AND(OR( AA$5&gt;$G377, Timeline!AA$8&lt;Loans!$E377), Loans!AA375&lt;&gt;0), 1, 0)</f>
        <v>0</v>
      </c>
      <c r="AB377" s="7">
        <f>IF(AND(OR( AB$5&gt;$G377, Timeline!AB$8&lt;Loans!$E377), Loans!AB375&lt;&gt;0), 1, 0)</f>
        <v>0</v>
      </c>
      <c r="AC377" s="7">
        <f>IF(AND(OR( AC$5&gt;$G377, Timeline!AC$8&lt;Loans!$E377), Loans!AC375&lt;&gt;0), 1, 0)</f>
        <v>0</v>
      </c>
      <c r="AD377" s="7">
        <f>IF(AND(OR( AD$5&gt;$G377, Timeline!AD$8&lt;Loans!$E377), Loans!AD375&lt;&gt;0), 1, 0)</f>
        <v>0</v>
      </c>
      <c r="AE377" s="7">
        <f>IF(AND(OR( AE$5&gt;$G377, Timeline!AE$8&lt;Loans!$E377), Loans!AE375&lt;&gt;0), 1, 0)</f>
        <v>0</v>
      </c>
      <c r="AF377" s="7">
        <f>IF(AND(OR( AF$5&gt;$G377, Timeline!AF$8&lt;Loans!$E377), Loans!AF375&lt;&gt;0), 1, 0)</f>
        <v>0</v>
      </c>
      <c r="AG377" s="7">
        <f>IF(AND(OR( AG$5&gt;$G377, Timeline!AG$8&lt;Loans!$E377), Loans!AG375&lt;&gt;0), 1, 0)</f>
        <v>0</v>
      </c>
      <c r="AH377" s="7">
        <f>IF(AND(OR( AH$5&gt;$G377, Timeline!AH$8&lt;Loans!$E377), Loans!AH375&lt;&gt;0), 1, 0)</f>
        <v>0</v>
      </c>
      <c r="AI377" s="7">
        <f>IF(AND(OR( AI$5&gt;$G377, Timeline!AI$8&lt;Loans!$E377), Loans!AI375&lt;&gt;0), 1, 0)</f>
        <v>0</v>
      </c>
      <c r="AJ377" s="7">
        <f>IF(AND(OR( AJ$5&gt;$G377, Timeline!AJ$8&lt;Loans!$E377), Loans!AJ375&lt;&gt;0), 1, 0)</f>
        <v>0</v>
      </c>
      <c r="AK377" s="7">
        <f>IF(AND(OR( AK$5&gt;$G377, Timeline!AK$8&lt;Loans!$E377), Loans!AK375&lt;&gt;0), 1, 0)</f>
        <v>0</v>
      </c>
      <c r="AL377" s="7">
        <f>IF(AND(OR( AL$5&gt;$G377, Timeline!AL$8&lt;Loans!$E377), Loans!AL375&lt;&gt;0), 1, 0)</f>
        <v>0</v>
      </c>
      <c r="AM377" s="7">
        <f>IF(AND(OR( AM$5&gt;$G377, Timeline!AM$8&lt;Loans!$E377), Loans!AM375&lt;&gt;0), 1, 0)</f>
        <v>0</v>
      </c>
      <c r="AN377" s="7">
        <f>IF(AND(OR( AN$5&gt;$G377, Timeline!AN$8&lt;Loans!$E377), Loans!AN375&lt;&gt;0), 1, 0)</f>
        <v>0</v>
      </c>
      <c r="AO377" s="7">
        <f>IF(AND(OR( AO$5&gt;$G377, Timeline!AO$8&lt;Loans!$E377), Loans!AO375&lt;&gt;0), 1, 0)</f>
        <v>0</v>
      </c>
      <c r="AP377" s="7">
        <f>IF(AND(OR( AP$5&gt;$G377, Timeline!AP$8&lt;Loans!$E377), Loans!AP375&lt;&gt;0), 1, 0)</f>
        <v>0</v>
      </c>
      <c r="AQ377" s="7">
        <f>IF(AND(OR( AQ$5&gt;$G377, Timeline!AQ$8&lt;Loans!$E377), Loans!AQ375&lt;&gt;0), 1, 0)</f>
        <v>0</v>
      </c>
      <c r="AR377" s="7">
        <f>IF(AND(OR( AR$5&gt;$G377, Timeline!AR$8&lt;Loans!$E377), Loans!AR375&lt;&gt;0), 1, 0)</f>
        <v>0</v>
      </c>
      <c r="AS377" s="7">
        <f>IF(AND(OR( AS$5&gt;$G377, Timeline!AS$8&lt;Loans!$E377), Loans!AS375&lt;&gt;0), 1, 0)</f>
        <v>0</v>
      </c>
      <c r="AT377" s="7">
        <f>IF(AND(OR( AT$5&gt;$G377, Timeline!AT$8&lt;Loans!$E377), Loans!AT375&lt;&gt;0), 1, 0)</f>
        <v>0</v>
      </c>
      <c r="AU377" s="7">
        <f>IF(AND(OR( AU$5&gt;$G377, Timeline!AU$8&lt;Loans!$E377), Loans!AU375&lt;&gt;0), 1, 0)</f>
        <v>0</v>
      </c>
      <c r="AV377" s="7">
        <f>IF(AND(OR( AV$5&gt;$G377, Timeline!AV$8&lt;Loans!$E377), Loans!AV375&lt;&gt;0), 1, 0)</f>
        <v>0</v>
      </c>
      <c r="AW377" s="7">
        <f>IF(AND(OR( AW$5&gt;$G377, Timeline!AW$8&lt;Loans!$E377), Loans!AW375&lt;&gt;0), 1, 0)</f>
        <v>0</v>
      </c>
      <c r="AX377" s="7">
        <f>IF(AND(OR( AX$5&gt;$G377, Timeline!AX$8&lt;Loans!$E377), Loans!AX375&lt;&gt;0), 1, 0)</f>
        <v>0</v>
      </c>
      <c r="AY377" s="7">
        <f>IF(AND(OR( AY$5&gt;$G377, Timeline!AY$8&lt;Loans!$E377), Loans!AY375&lt;&gt;0), 1, 0)</f>
        <v>0</v>
      </c>
      <c r="AZ377" s="7">
        <f>IF(AND(OR( AZ$5&gt;$G377, Timeline!AZ$8&lt;Loans!$E377), Loans!AZ375&lt;&gt;0), 1, 0)</f>
        <v>0</v>
      </c>
      <c r="BA377" s="7">
        <f>IF(AND(OR( BA$5&gt;$G377, Timeline!BA$8&lt;Loans!$E377), Loans!BA375&lt;&gt;0), 1, 0)</f>
        <v>0</v>
      </c>
      <c r="BB377" s="7">
        <f>IF(AND(OR( BB$5&gt;$G377, Timeline!BB$8&lt;Loans!$E377), Loans!BB375&lt;&gt;0), 1, 0)</f>
        <v>0</v>
      </c>
      <c r="BC377" s="7">
        <f>IF(AND(OR( BC$5&gt;$G377, Timeline!BC$8&lt;Loans!$E377), Loans!BC375&lt;&gt;0), 1, 0)</f>
        <v>0</v>
      </c>
      <c r="BD377" s="7">
        <f>IF(AND(OR( BD$5&gt;$G377, Timeline!BD$8&lt;Loans!$E377), Loans!BD375&lt;&gt;0), 1, 0)</f>
        <v>0</v>
      </c>
      <c r="BE377" s="7">
        <f>IF(AND(OR( BE$5&gt;$G377, Timeline!BE$8&lt;Loans!$E377), Loans!BE375&lt;&gt;0), 1, 0)</f>
        <v>0</v>
      </c>
      <c r="BF377" s="7">
        <f>IF(AND(OR( BF$5&gt;$G377, Timeline!BF$8&lt;Loans!$E377), Loans!BF375&lt;&gt;0), 1, 0)</f>
        <v>0</v>
      </c>
      <c r="BG377" s="7">
        <f>IF(AND(OR( BG$5&gt;$G377, Timeline!BG$8&lt;Loans!$E377), Loans!BG375&lt;&gt;0), 1, 0)</f>
        <v>0</v>
      </c>
      <c r="BH377" s="7">
        <f>IF(AND(OR( BH$5&gt;$G377, Timeline!BH$8&lt;Loans!$E377), Loans!BH375&lt;&gt;0), 1, 0)</f>
        <v>0</v>
      </c>
      <c r="BI377" s="7">
        <f>IF(AND(OR( BI$5&gt;$G377, Timeline!BI$8&lt;Loans!$E377), Loans!BI375&lt;&gt;0), 1, 0)</f>
        <v>0</v>
      </c>
      <c r="BJ377" s="7">
        <f>IF(AND(OR( BJ$5&gt;$G377, Timeline!BJ$8&lt;Loans!$E377), Loans!BJ375&lt;&gt;0), 1, 0)</f>
        <v>0</v>
      </c>
      <c r="BK377" s="7">
        <f>IF(AND(OR( BK$5&gt;$G377, Timeline!BK$8&lt;Loans!$E377), Loans!BK375&lt;&gt;0), 1, 0)</f>
        <v>0</v>
      </c>
      <c r="BL377" s="7">
        <f>IF(AND(OR( BL$5&gt;$G377, Timeline!BL$8&lt;Loans!$E377), Loans!BL375&lt;&gt;0), 1, 0)</f>
        <v>0</v>
      </c>
      <c r="BM377" s="7">
        <f>IF(AND(OR( BM$5&gt;$G377, Timeline!BM$8&lt;Loans!$E377), Loans!BM375&lt;&gt;0), 1, 0)</f>
        <v>0</v>
      </c>
      <c r="BN377" s="7">
        <f>IF(AND(OR( BN$5&gt;$G377, Timeline!BN$8&lt;Loans!$E377), Loans!BN375&lt;&gt;0), 1, 0)</f>
        <v>0</v>
      </c>
      <c r="BO377" s="7">
        <f>IF(AND(OR( BO$5&gt;$G377, Timeline!BO$8&lt;Loans!$E377), Loans!BO375&lt;&gt;0), 1, 0)</f>
        <v>0</v>
      </c>
      <c r="BP377" s="7">
        <f>IF(AND(OR( BP$5&gt;$G377, Timeline!BP$8&lt;Loans!$E377), Loans!BP375&lt;&gt;0), 1, 0)</f>
        <v>0</v>
      </c>
      <c r="BQ377" s="7">
        <f>IF(AND(OR( BQ$5&gt;$G377, Timeline!BQ$8&lt;Loans!$E377), Loans!BQ375&lt;&gt;0), 1, 0)</f>
        <v>0</v>
      </c>
      <c r="BR377" s="7">
        <f>IF(AND(OR( BR$5&gt;$G377, Timeline!BR$8&lt;Loans!$E377), Loans!BR375&lt;&gt;0), 1, 0)</f>
        <v>0</v>
      </c>
      <c r="BS377" s="7">
        <f>IF(AND(OR( BS$5&gt;$G377, Timeline!BS$8&lt;Loans!$E377), Loans!BS375&lt;&gt;0), 1, 0)</f>
        <v>0</v>
      </c>
      <c r="BT377" s="7">
        <f>IF(AND(OR( BT$5&gt;$G377, Timeline!BT$8&lt;Loans!$E377), Loans!BT375&lt;&gt;0), 1, 0)</f>
        <v>0</v>
      </c>
      <c r="BU377" s="7">
        <f>IF(AND(OR( BU$5&gt;$G377, Timeline!BU$8&lt;Loans!$E377), Loans!BU375&lt;&gt;0), 1, 0)</f>
        <v>0</v>
      </c>
      <c r="BV377" s="7">
        <f>IF(AND(OR( BV$5&gt;$G377, Timeline!BV$8&lt;Loans!$E377), Loans!BV375&lt;&gt;0), 1, 0)</f>
        <v>0</v>
      </c>
      <c r="BX377" s="7">
        <f>IF(AND(OR( BX$5&gt;$G377, Timeline!BX$8&lt;Loans!$E377), Loans!BX375&lt;&gt;0), 1, 0)</f>
        <v>0</v>
      </c>
      <c r="BY377" s="7">
        <f>IF(AND(OR( BY$5&gt;$G377, Timeline!BY$8&lt;Loans!$E377), Loans!BY375&lt;&gt;0), 1, 0)</f>
        <v>0</v>
      </c>
      <c r="BZ377" s="7">
        <f>IF(AND(OR( BZ$5&gt;$G377, Timeline!BZ$8&lt;Loans!$E377), Loans!BZ375&lt;&gt;0), 1, 0)</f>
        <v>0</v>
      </c>
      <c r="CA377" s="7">
        <f>IF(AND(OR( CA$5&gt;$G377, Timeline!CA$8&lt;Loans!$E377), Loans!CA375&lt;&gt;0), 1, 0)</f>
        <v>0</v>
      </c>
      <c r="CB377" s="7">
        <f>IF(AND(OR( CB$5&gt;$G377, Timeline!CB$8&lt;Loans!$E377), Loans!CB375&lt;&gt;0), 1, 0)</f>
        <v>0</v>
      </c>
      <c r="CC377" s="7">
        <f>IF(AND(OR( CC$5&gt;$G377, Timeline!CC$8&lt;Loans!$E377), Loans!CC375&lt;&gt;0), 1, 0)</f>
        <v>0</v>
      </c>
      <c r="CD377" s="7">
        <f>IF(AND(OR( CD$5&gt;$G377, Timeline!CD$8&lt;Loans!$E377), Loans!CD375&lt;&gt;0), 1, 0)</f>
        <v>0</v>
      </c>
      <c r="CE377" s="7">
        <f>IF(AND(OR( CE$5&gt;$G377, Timeline!CE$8&lt;Loans!$E377), Loans!CE375&lt;&gt;0), 1, 0)</f>
        <v>0</v>
      </c>
      <c r="CF377" s="7">
        <f>IF(AND(OR( CF$5&gt;$G377, Timeline!CF$8&lt;Loans!$E377), Loans!CF375&lt;&gt;0), 1, 0)</f>
        <v>0</v>
      </c>
      <c r="CG377" s="7">
        <f>IF(AND(OR( CG$5&gt;$G377, Timeline!CG$8&lt;Loans!$E377), Loans!CG375&lt;&gt;0), 1, 0)</f>
        <v>0</v>
      </c>
      <c r="CH377" s="7">
        <f>IF(AND(OR( CH$5&gt;$G377, Timeline!CH$8&lt;Loans!$E377), Loans!CH375&lt;&gt;0), 1, 0)</f>
        <v>0</v>
      </c>
      <c r="CI377" s="7">
        <f>IF(AND(OR( CI$5&gt;$G377, Timeline!CI$8&lt;Loans!$E377), Loans!CI375&lt;&gt;0), 1, 0)</f>
        <v>0</v>
      </c>
      <c r="CK377" s="11"/>
      <c r="CM377" s="11"/>
      <c r="CX377" s="7">
        <f>IF(MAX($V377:$CI377)&gt;0, 1, 0)</f>
        <v>0</v>
      </c>
      <c r="DF377" s="11"/>
      <c r="DG377">
        <f t="shared" ref="DG377:DG430" si="290">IF(IFERROR(FIND("check", D377), 0)=0, 0, 1)</f>
        <v>1</v>
      </c>
      <c r="DH377">
        <v>0</v>
      </c>
      <c r="DI377">
        <v>0</v>
      </c>
      <c r="EY377" s="12" t="str">
        <f>IF(C377="", "", CONCATENATE(D360, " ",D377))</f>
        <v/>
      </c>
    </row>
    <row r="378" spans="1:155" ht="6.75" customHeight="1" x14ac:dyDescent="0.35">
      <c r="C378" s="211"/>
      <c r="D378" s="1"/>
      <c r="E378"/>
      <c r="F378"/>
      <c r="BY378" s="6"/>
      <c r="CK378" s="35"/>
      <c r="CM378" s="35"/>
      <c r="DF378" s="35"/>
      <c r="DG378">
        <f t="shared" si="290"/>
        <v>0</v>
      </c>
      <c r="DH378">
        <v>0</v>
      </c>
      <c r="DI378">
        <v>0</v>
      </c>
      <c r="EY378" s="10" t="str">
        <f>IF($C378="","",$D378)</f>
        <v/>
      </c>
    </row>
    <row r="379" spans="1:155" x14ac:dyDescent="0.35">
      <c r="A379" s="53"/>
      <c r="C379" s="211"/>
      <c r="D379" s="53" t="s">
        <v>1207</v>
      </c>
      <c r="E379" s="53"/>
      <c r="F379" s="53"/>
      <c r="G379" s="53"/>
      <c r="H379" s="53"/>
      <c r="I379" s="53"/>
      <c r="J379" s="53"/>
      <c r="M379" s="53"/>
      <c r="N379" s="53"/>
      <c r="O379" s="53"/>
      <c r="P379" s="53"/>
      <c r="Q379" s="53"/>
      <c r="R379" s="53"/>
      <c r="CK379" s="11"/>
      <c r="CM379" s="11"/>
      <c r="DF379" s="11"/>
      <c r="DG379">
        <f t="shared" si="290"/>
        <v>0</v>
      </c>
      <c r="DH379">
        <v>0</v>
      </c>
      <c r="DI379">
        <v>0</v>
      </c>
      <c r="EY379" s="10" t="str">
        <f>IF($C379="","",$D379)</f>
        <v/>
      </c>
    </row>
    <row r="380" spans="1:155" x14ac:dyDescent="0.35">
      <c r="C380" s="211" t="s">
        <v>1208</v>
      </c>
      <c r="D380" t="s">
        <v>1073</v>
      </c>
      <c r="H380" s="9" t="s">
        <v>1074</v>
      </c>
      <c r="I380" s="40" t="s">
        <v>317</v>
      </c>
      <c r="V380" s="109"/>
      <c r="W380" s="133">
        <f>V384</f>
        <v>0</v>
      </c>
      <c r="X380" s="133">
        <f>W384</f>
        <v>0</v>
      </c>
      <c r="Y380" s="10">
        <f>X384</f>
        <v>0</v>
      </c>
      <c r="AA380" s="12">
        <f>W380</f>
        <v>0</v>
      </c>
      <c r="AB380" s="10">
        <f t="shared" ref="AB380:BV380" si="291">AA384</f>
        <v>0</v>
      </c>
      <c r="AC380" s="10">
        <f t="shared" si="291"/>
        <v>0</v>
      </c>
      <c r="AD380" s="10">
        <f t="shared" si="291"/>
        <v>0</v>
      </c>
      <c r="AE380" s="10">
        <f t="shared" si="291"/>
        <v>0</v>
      </c>
      <c r="AF380" s="10">
        <f t="shared" si="291"/>
        <v>0</v>
      </c>
      <c r="AG380" s="10">
        <f t="shared" si="291"/>
        <v>0</v>
      </c>
      <c r="AH380" s="10">
        <f t="shared" si="291"/>
        <v>0</v>
      </c>
      <c r="AI380" s="10">
        <f t="shared" si="291"/>
        <v>0</v>
      </c>
      <c r="AJ380" s="10">
        <f t="shared" si="291"/>
        <v>0</v>
      </c>
      <c r="AK380" s="10">
        <f t="shared" si="291"/>
        <v>0</v>
      </c>
      <c r="AL380" s="10">
        <f t="shared" si="291"/>
        <v>0</v>
      </c>
      <c r="AM380" s="10">
        <f t="shared" si="291"/>
        <v>0</v>
      </c>
      <c r="AN380" s="10">
        <f t="shared" si="291"/>
        <v>0</v>
      </c>
      <c r="AO380" s="10">
        <f t="shared" si="291"/>
        <v>0</v>
      </c>
      <c r="AP380" s="10">
        <f t="shared" si="291"/>
        <v>0</v>
      </c>
      <c r="AQ380" s="10">
        <f t="shared" si="291"/>
        <v>0</v>
      </c>
      <c r="AR380" s="10">
        <f t="shared" si="291"/>
        <v>0</v>
      </c>
      <c r="AS380" s="10">
        <f t="shared" si="291"/>
        <v>0</v>
      </c>
      <c r="AT380" s="10">
        <f t="shared" si="291"/>
        <v>0</v>
      </c>
      <c r="AU380" s="10">
        <f t="shared" si="291"/>
        <v>0</v>
      </c>
      <c r="AV380" s="10">
        <f t="shared" si="291"/>
        <v>0</v>
      </c>
      <c r="AW380" s="10">
        <f t="shared" si="291"/>
        <v>0</v>
      </c>
      <c r="AX380" s="10">
        <f t="shared" si="291"/>
        <v>0</v>
      </c>
      <c r="AY380" s="10">
        <f t="shared" si="291"/>
        <v>0</v>
      </c>
      <c r="AZ380" s="10">
        <f t="shared" si="291"/>
        <v>0</v>
      </c>
      <c r="BA380" s="10">
        <f t="shared" si="291"/>
        <v>0</v>
      </c>
      <c r="BB380" s="10">
        <f t="shared" si="291"/>
        <v>0</v>
      </c>
      <c r="BC380" s="10">
        <f t="shared" si="291"/>
        <v>0</v>
      </c>
      <c r="BD380" s="10">
        <f t="shared" si="291"/>
        <v>0</v>
      </c>
      <c r="BE380" s="10">
        <f t="shared" si="291"/>
        <v>0</v>
      </c>
      <c r="BF380" s="10">
        <f t="shared" si="291"/>
        <v>0</v>
      </c>
      <c r="BG380" s="10">
        <f t="shared" si="291"/>
        <v>0</v>
      </c>
      <c r="BH380" s="10">
        <f t="shared" si="291"/>
        <v>0</v>
      </c>
      <c r="BI380" s="10">
        <f t="shared" si="291"/>
        <v>0</v>
      </c>
      <c r="BJ380" s="10">
        <f t="shared" si="291"/>
        <v>0</v>
      </c>
      <c r="BK380" s="10">
        <f t="shared" si="291"/>
        <v>0</v>
      </c>
      <c r="BL380" s="10">
        <f t="shared" si="291"/>
        <v>0</v>
      </c>
      <c r="BM380" s="10">
        <f t="shared" si="291"/>
        <v>0</v>
      </c>
      <c r="BN380" s="10">
        <f t="shared" si="291"/>
        <v>0</v>
      </c>
      <c r="BO380" s="10">
        <f t="shared" si="291"/>
        <v>0</v>
      </c>
      <c r="BP380" s="10">
        <f t="shared" si="291"/>
        <v>0</v>
      </c>
      <c r="BQ380" s="10">
        <f t="shared" si="291"/>
        <v>0</v>
      </c>
      <c r="BR380" s="10">
        <f t="shared" si="291"/>
        <v>0</v>
      </c>
      <c r="BS380" s="10">
        <f t="shared" si="291"/>
        <v>0</v>
      </c>
      <c r="BT380" s="10">
        <f t="shared" si="291"/>
        <v>0</v>
      </c>
      <c r="BU380" s="10">
        <f t="shared" si="291"/>
        <v>0</v>
      </c>
      <c r="BV380" s="10">
        <f t="shared" si="291"/>
        <v>0</v>
      </c>
      <c r="BX380" s="12">
        <f t="shared" ref="BX380:CA384" si="292">V380</f>
        <v>0</v>
      </c>
      <c r="BY380" s="12">
        <f t="shared" si="292"/>
        <v>0</v>
      </c>
      <c r="BZ380" s="12">
        <f t="shared" si="292"/>
        <v>0</v>
      </c>
      <c r="CA380" s="12">
        <f t="shared" si="292"/>
        <v>0</v>
      </c>
      <c r="CB380" s="10">
        <f t="shared" ref="CB380:CI380" si="293">CA384</f>
        <v>0</v>
      </c>
      <c r="CC380" s="10">
        <f t="shared" si="293"/>
        <v>0</v>
      </c>
      <c r="CD380" s="10">
        <f t="shared" si="293"/>
        <v>0</v>
      </c>
      <c r="CE380" s="10">
        <f t="shared" si="293"/>
        <v>0</v>
      </c>
      <c r="CF380" s="10">
        <f t="shared" si="293"/>
        <v>0</v>
      </c>
      <c r="CG380" s="10">
        <f t="shared" si="293"/>
        <v>0</v>
      </c>
      <c r="CH380" s="10">
        <f t="shared" si="293"/>
        <v>0</v>
      </c>
      <c r="CI380" s="10">
        <f t="shared" si="293"/>
        <v>0</v>
      </c>
      <c r="CK380" s="11"/>
      <c r="CM380" s="11"/>
      <c r="CY380" s="7" cm="1">
        <f t="array" ref="CY380">SUMPRODUCT(--NOT(ISNUMBER(V380:CI380)),--NOT(ISBLANK(V380:CI380)))</f>
        <v>0</v>
      </c>
      <c r="DF380" s="11"/>
      <c r="DG380">
        <f t="shared" si="290"/>
        <v>0</v>
      </c>
      <c r="DH380">
        <v>1</v>
      </c>
      <c r="DI380">
        <v>0</v>
      </c>
      <c r="EY380" s="12" t="str">
        <f>IF(C380="", "", CONCATENATE(D379, " ",D380))</f>
        <v>Loan 18 Opening Loan Balance</v>
      </c>
    </row>
    <row r="381" spans="1:155" s="5" customFormat="1" x14ac:dyDescent="0.35">
      <c r="A381" s="220" cm="1">
        <f t="array" aca="1" ref="A381" ca="1">HYPERLINK(CONCATENATE("#",CELL("address",IF(MAX($CM381:$DF381)=0,A381,INDEX($CM381:$DF381,MATCH(1,$CM381:$DF381,0))))),MAX($CM381:$DF381))</f>
        <v>0</v>
      </c>
      <c r="B381"/>
      <c r="C381" s="211" t="s">
        <v>1209</v>
      </c>
      <c r="D381" t="s">
        <v>1076</v>
      </c>
      <c r="E381" s="1"/>
      <c r="F381" s="1"/>
      <c r="G381"/>
      <c r="H381" s="9" t="s">
        <v>1074</v>
      </c>
      <c r="I381" s="40" t="s">
        <v>665</v>
      </c>
      <c r="J381"/>
      <c r="K381"/>
      <c r="L381"/>
      <c r="M381"/>
      <c r="N381"/>
      <c r="O381"/>
      <c r="P381"/>
      <c r="Q381"/>
      <c r="R381"/>
      <c r="S381"/>
      <c r="T381"/>
      <c r="U381"/>
      <c r="V381" s="109"/>
      <c r="W381" s="133">
        <f t="shared" ref="W381:Y383" si="294" xml:space="preserve"> SUMIFS($AA381:$BV381, $AA$3:$BV$3, W$3)</f>
        <v>0</v>
      </c>
      <c r="X381" s="133">
        <f t="shared" si="294"/>
        <v>0</v>
      </c>
      <c r="Y381" s="133">
        <f t="shared" si="294"/>
        <v>0</v>
      </c>
      <c r="Z381"/>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c r="BX381" s="12">
        <f t="shared" si="292"/>
        <v>0</v>
      </c>
      <c r="BY381" s="12">
        <f t="shared" si="292"/>
        <v>0</v>
      </c>
      <c r="BZ381" s="12">
        <f t="shared" si="292"/>
        <v>0</v>
      </c>
      <c r="CA381" s="12">
        <f t="shared" si="292"/>
        <v>0</v>
      </c>
      <c r="CB381" s="133">
        <f xml:space="preserve"> SUMIFS($AA381:$BV381, $AA$3:$BV$3, CB$3)</f>
        <v>0</v>
      </c>
      <c r="CC381" s="109"/>
      <c r="CD381" s="109"/>
      <c r="CE381" s="109"/>
      <c r="CF381" s="109"/>
      <c r="CG381" s="109"/>
      <c r="CH381" s="109"/>
      <c r="CI381" s="109"/>
      <c r="CJ381"/>
      <c r="CK381" s="11"/>
      <c r="CL381" s="241">
        <f>IF(MIN($V381:$CI381)&lt;0, 1, 0)</f>
        <v>0</v>
      </c>
      <c r="CM381" s="11"/>
      <c r="CN381"/>
      <c r="CO381"/>
      <c r="CP381"/>
      <c r="CQ381"/>
      <c r="CR381"/>
      <c r="CS381"/>
      <c r="CT381"/>
      <c r="CU381"/>
      <c r="CV381"/>
      <c r="CW381"/>
      <c r="CX381"/>
      <c r="CY381" s="7" cm="1">
        <f t="array" ref="CY381">SUMPRODUCT(--NOT(ISNUMBER(V381:CI381)),--NOT(ISBLANK(V381:CI381)))</f>
        <v>0</v>
      </c>
      <c r="CZ381" s="7">
        <f t="shared" ref="CZ381:DB383" si="295">IF(ROUND(W381-SUMIFS($AA381:$BV381, $AA$3:$BV$3, W$3), rounding)=0, 0, 1)</f>
        <v>0</v>
      </c>
      <c r="DA381" s="7">
        <f t="shared" si="295"/>
        <v>0</v>
      </c>
      <c r="DB381" s="7">
        <f t="shared" si="295"/>
        <v>0</v>
      </c>
      <c r="DC381" s="7">
        <f>IF(ROUND(CB381-SUMIFS($AA381:$BV381, $AA$3:$BV$3, CB$3), rounding)=0, 0, 1)</f>
        <v>0</v>
      </c>
      <c r="DD381" s="7">
        <f>IF(ROUND(V381-BX381, rounding)=0, 0, 1)*'BS Forecasts'!$V$10</f>
        <v>0</v>
      </c>
      <c r="DE381"/>
      <c r="DF381" s="11"/>
      <c r="DG381">
        <f t="shared" si="290"/>
        <v>0</v>
      </c>
      <c r="DH381">
        <v>1</v>
      </c>
      <c r="DI381">
        <v>1</v>
      </c>
      <c r="EY381" s="12" t="str">
        <f>IF(C381="", "", CONCATENATE(D379, " ",D381))</f>
        <v>Loan 18 Drawdowns</v>
      </c>
    </row>
    <row r="382" spans="1:155" x14ac:dyDescent="0.35">
      <c r="A382" s="220" cm="1">
        <f t="array" aca="1" ref="A382" ca="1">HYPERLINK(CONCATENATE("#",CELL("address",IF(MAX($CM382:$DF382)=0,A382,INDEX($CM382:$DF382,MATCH(1,$CM382:$DF382,0))))),MAX($CM382:$DF382))</f>
        <v>0</v>
      </c>
      <c r="C382" s="211" t="s">
        <v>1210</v>
      </c>
      <c r="D382" t="s">
        <v>1078</v>
      </c>
      <c r="H382" s="9" t="s">
        <v>1074</v>
      </c>
      <c r="I382" s="40" t="s">
        <v>1079</v>
      </c>
      <c r="V382" s="109"/>
      <c r="W382" s="133">
        <f t="shared" si="294"/>
        <v>0</v>
      </c>
      <c r="X382" s="133">
        <f t="shared" si="294"/>
        <v>0</v>
      </c>
      <c r="Y382" s="133">
        <f t="shared" si="294"/>
        <v>0</v>
      </c>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X382" s="12">
        <f t="shared" si="292"/>
        <v>0</v>
      </c>
      <c r="BY382" s="12">
        <f t="shared" si="292"/>
        <v>0</v>
      </c>
      <c r="BZ382" s="12">
        <f t="shared" si="292"/>
        <v>0</v>
      </c>
      <c r="CA382" s="12">
        <f t="shared" si="292"/>
        <v>0</v>
      </c>
      <c r="CB382" s="133">
        <f xml:space="preserve"> SUMIFS($AA382:$BV382, $AA$3:$BV$3, CB$3)</f>
        <v>0</v>
      </c>
      <c r="CC382" s="109"/>
      <c r="CD382" s="109"/>
      <c r="CE382" s="109"/>
      <c r="CF382" s="109"/>
      <c r="CG382" s="109"/>
      <c r="CH382" s="109"/>
      <c r="CI382" s="109"/>
      <c r="CK382" s="11"/>
      <c r="CL382" s="241">
        <f>IF(MAX($V382:$CI382)&gt;0, 1, 0)</f>
        <v>0</v>
      </c>
      <c r="CM382" s="11"/>
      <c r="CY382" s="7" cm="1">
        <f t="array" ref="CY382">SUMPRODUCT(--NOT(ISNUMBER(V382:CI382)),--NOT(ISBLANK(V382:CI382)))</f>
        <v>0</v>
      </c>
      <c r="CZ382" s="7">
        <f t="shared" si="295"/>
        <v>0</v>
      </c>
      <c r="DA382" s="7">
        <f t="shared" si="295"/>
        <v>0</v>
      </c>
      <c r="DB382" s="7">
        <f t="shared" si="295"/>
        <v>0</v>
      </c>
      <c r="DC382" s="7">
        <f>IF(ROUND(CB382-SUMIFS($AA382:$BV382, $AA$3:$BV$3, CB$3), rounding)=0, 0, 1)</f>
        <v>0</v>
      </c>
      <c r="DD382" s="7">
        <f>IF(ROUND(V382-BX382, rounding)=0, 0, 1)*'BS Forecasts'!$V$10</f>
        <v>0</v>
      </c>
      <c r="DF382" s="11"/>
      <c r="DG382">
        <f t="shared" si="290"/>
        <v>0</v>
      </c>
      <c r="DH382">
        <v>1</v>
      </c>
      <c r="DI382">
        <v>1</v>
      </c>
      <c r="EY382" s="12" t="str">
        <f>IF(C382="", "", CONCATENATE(D379, " ",D382))</f>
        <v>Loan 18 Loan Capital Repayment (as per loan agreement)</v>
      </c>
    </row>
    <row r="383" spans="1:155" x14ac:dyDescent="0.35">
      <c r="A383" s="220" cm="1">
        <f t="array" aca="1" ref="A383" ca="1">HYPERLINK(CONCATENATE("#",CELL("address",IF(MAX($CM383:$DF383)=0,A383,INDEX($CM383:$DF383,MATCH(1,$CM383:$DF383,0))))),MAX($CM383:$DF383))</f>
        <v>0</v>
      </c>
      <c r="C383" s="211" t="s">
        <v>1211</v>
      </c>
      <c r="D383" t="s">
        <v>1081</v>
      </c>
      <c r="H383" s="9" t="s">
        <v>1074</v>
      </c>
      <c r="I383" s="40" t="s">
        <v>1079</v>
      </c>
      <c r="V383" s="109"/>
      <c r="W383" s="133">
        <f t="shared" si="294"/>
        <v>0</v>
      </c>
      <c r="X383" s="133">
        <f t="shared" si="294"/>
        <v>0</v>
      </c>
      <c r="Y383" s="133">
        <f t="shared" si="294"/>
        <v>0</v>
      </c>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X383" s="12">
        <f t="shared" si="292"/>
        <v>0</v>
      </c>
      <c r="BY383" s="12">
        <f t="shared" si="292"/>
        <v>0</v>
      </c>
      <c r="BZ383" s="12">
        <f t="shared" si="292"/>
        <v>0</v>
      </c>
      <c r="CA383" s="12">
        <f t="shared" si="292"/>
        <v>0</v>
      </c>
      <c r="CB383" s="133">
        <f xml:space="preserve"> SUMIFS($AA383:$BV383, $AA$3:$BV$3, CB$3)</f>
        <v>0</v>
      </c>
      <c r="CC383" s="109"/>
      <c r="CD383" s="109"/>
      <c r="CE383" s="109"/>
      <c r="CF383" s="109"/>
      <c r="CG383" s="109"/>
      <c r="CH383" s="109"/>
      <c r="CI383" s="109"/>
      <c r="CK383" s="11"/>
      <c r="CL383" s="241">
        <f>IF(MAX($V383:$CI383)&gt;0, 1, 0)</f>
        <v>0</v>
      </c>
      <c r="CM383" s="11"/>
      <c r="CY383" s="7" cm="1">
        <f t="array" ref="CY383">SUMPRODUCT(--NOT(ISNUMBER(V383:CI383)),--NOT(ISBLANK(V383:CI383)))</f>
        <v>0</v>
      </c>
      <c r="CZ383" s="7">
        <f t="shared" si="295"/>
        <v>0</v>
      </c>
      <c r="DA383" s="7">
        <f t="shared" si="295"/>
        <v>0</v>
      </c>
      <c r="DB383" s="7">
        <f t="shared" si="295"/>
        <v>0</v>
      </c>
      <c r="DC383" s="7">
        <f>IF(ROUND(CB383-SUMIFS($AA383:$BV383, $AA$3:$BV$3, CB$3), rounding)=0, 0, 1)</f>
        <v>0</v>
      </c>
      <c r="DD383" s="7">
        <f>IF(ROUND(V383-BX383, rounding)=0, 0, 1)*'BS Forecasts'!$V$10</f>
        <v>0</v>
      </c>
      <c r="DF383" s="11"/>
      <c r="DG383">
        <f t="shared" si="290"/>
        <v>0</v>
      </c>
      <c r="DH383">
        <v>1</v>
      </c>
      <c r="DI383">
        <v>1</v>
      </c>
      <c r="EY383" s="12" t="str">
        <f>IF(C383="", "", CONCATENATE(D379, " ",D383))</f>
        <v xml:space="preserve">Loan 18 Early Repayment </v>
      </c>
    </row>
    <row r="384" spans="1:155" x14ac:dyDescent="0.35">
      <c r="C384" s="211" t="s">
        <v>1212</v>
      </c>
      <c r="D384" t="s">
        <v>1083</v>
      </c>
      <c r="H384" s="9" t="s">
        <v>1074</v>
      </c>
      <c r="I384" s="40" t="s">
        <v>317</v>
      </c>
      <c r="V384" s="12">
        <f>$H$30</f>
        <v>0</v>
      </c>
      <c r="W384" s="10">
        <f>SUM(W380:W383)</f>
        <v>0</v>
      </c>
      <c r="X384" s="10">
        <f>SUM(X380:X383)</f>
        <v>0</v>
      </c>
      <c r="Y384" s="10">
        <f>SUM(Y380:Y383)</f>
        <v>0</v>
      </c>
      <c r="AA384" s="10">
        <f t="shared" ref="AA384:BV384" si="296">SUM(AA380:AA383)</f>
        <v>0</v>
      </c>
      <c r="AB384" s="10">
        <f t="shared" si="296"/>
        <v>0</v>
      </c>
      <c r="AC384" s="10">
        <f t="shared" si="296"/>
        <v>0</v>
      </c>
      <c r="AD384" s="10">
        <f t="shared" si="296"/>
        <v>0</v>
      </c>
      <c r="AE384" s="10">
        <f t="shared" si="296"/>
        <v>0</v>
      </c>
      <c r="AF384" s="10">
        <f t="shared" si="296"/>
        <v>0</v>
      </c>
      <c r="AG384" s="10">
        <f t="shared" si="296"/>
        <v>0</v>
      </c>
      <c r="AH384" s="10">
        <f t="shared" si="296"/>
        <v>0</v>
      </c>
      <c r="AI384" s="10">
        <f t="shared" si="296"/>
        <v>0</v>
      </c>
      <c r="AJ384" s="10">
        <f t="shared" si="296"/>
        <v>0</v>
      </c>
      <c r="AK384" s="10">
        <f t="shared" si="296"/>
        <v>0</v>
      </c>
      <c r="AL384" s="10">
        <f t="shared" si="296"/>
        <v>0</v>
      </c>
      <c r="AM384" s="10">
        <f t="shared" si="296"/>
        <v>0</v>
      </c>
      <c r="AN384" s="10">
        <f t="shared" si="296"/>
        <v>0</v>
      </c>
      <c r="AO384" s="10">
        <f t="shared" si="296"/>
        <v>0</v>
      </c>
      <c r="AP384" s="10">
        <f t="shared" si="296"/>
        <v>0</v>
      </c>
      <c r="AQ384" s="10">
        <f t="shared" si="296"/>
        <v>0</v>
      </c>
      <c r="AR384" s="10">
        <f t="shared" si="296"/>
        <v>0</v>
      </c>
      <c r="AS384" s="10">
        <f t="shared" si="296"/>
        <v>0</v>
      </c>
      <c r="AT384" s="10">
        <f t="shared" si="296"/>
        <v>0</v>
      </c>
      <c r="AU384" s="10">
        <f t="shared" si="296"/>
        <v>0</v>
      </c>
      <c r="AV384" s="10">
        <f t="shared" si="296"/>
        <v>0</v>
      </c>
      <c r="AW384" s="10">
        <f t="shared" si="296"/>
        <v>0</v>
      </c>
      <c r="AX384" s="10">
        <f t="shared" si="296"/>
        <v>0</v>
      </c>
      <c r="AY384" s="10">
        <f t="shared" si="296"/>
        <v>0</v>
      </c>
      <c r="AZ384" s="10">
        <f t="shared" si="296"/>
        <v>0</v>
      </c>
      <c r="BA384" s="10">
        <f t="shared" si="296"/>
        <v>0</v>
      </c>
      <c r="BB384" s="10">
        <f t="shared" si="296"/>
        <v>0</v>
      </c>
      <c r="BC384" s="10">
        <f t="shared" si="296"/>
        <v>0</v>
      </c>
      <c r="BD384" s="10">
        <f t="shared" si="296"/>
        <v>0</v>
      </c>
      <c r="BE384" s="10">
        <f t="shared" si="296"/>
        <v>0</v>
      </c>
      <c r="BF384" s="10">
        <f t="shared" si="296"/>
        <v>0</v>
      </c>
      <c r="BG384" s="10">
        <f t="shared" si="296"/>
        <v>0</v>
      </c>
      <c r="BH384" s="10">
        <f t="shared" si="296"/>
        <v>0</v>
      </c>
      <c r="BI384" s="10">
        <f t="shared" si="296"/>
        <v>0</v>
      </c>
      <c r="BJ384" s="10">
        <f t="shared" si="296"/>
        <v>0</v>
      </c>
      <c r="BK384" s="10">
        <f t="shared" si="296"/>
        <v>0</v>
      </c>
      <c r="BL384" s="10">
        <f t="shared" si="296"/>
        <v>0</v>
      </c>
      <c r="BM384" s="10">
        <f t="shared" si="296"/>
        <v>0</v>
      </c>
      <c r="BN384" s="10">
        <f t="shared" si="296"/>
        <v>0</v>
      </c>
      <c r="BO384" s="10">
        <f t="shared" si="296"/>
        <v>0</v>
      </c>
      <c r="BP384" s="10">
        <f t="shared" si="296"/>
        <v>0</v>
      </c>
      <c r="BQ384" s="10">
        <f t="shared" si="296"/>
        <v>0</v>
      </c>
      <c r="BR384" s="10">
        <f t="shared" si="296"/>
        <v>0</v>
      </c>
      <c r="BS384" s="10">
        <f t="shared" si="296"/>
        <v>0</v>
      </c>
      <c r="BT384" s="10">
        <f t="shared" si="296"/>
        <v>0</v>
      </c>
      <c r="BU384" s="10">
        <f t="shared" si="296"/>
        <v>0</v>
      </c>
      <c r="BV384" s="10">
        <f t="shared" si="296"/>
        <v>0</v>
      </c>
      <c r="BX384" s="12">
        <f t="shared" si="292"/>
        <v>0</v>
      </c>
      <c r="BY384" s="12">
        <f t="shared" si="292"/>
        <v>0</v>
      </c>
      <c r="BZ384" s="12">
        <f t="shared" si="292"/>
        <v>0</v>
      </c>
      <c r="CA384" s="12">
        <f t="shared" si="292"/>
        <v>0</v>
      </c>
      <c r="CB384" s="10">
        <f t="shared" ref="CB384:CI384" si="297">SUM(CB380:CB383)</f>
        <v>0</v>
      </c>
      <c r="CC384" s="10">
        <f t="shared" si="297"/>
        <v>0</v>
      </c>
      <c r="CD384" s="10">
        <f t="shared" si="297"/>
        <v>0</v>
      </c>
      <c r="CE384" s="10">
        <f t="shared" si="297"/>
        <v>0</v>
      </c>
      <c r="CF384" s="10">
        <f t="shared" si="297"/>
        <v>0</v>
      </c>
      <c r="CG384" s="10">
        <f t="shared" si="297"/>
        <v>0</v>
      </c>
      <c r="CH384" s="10">
        <f t="shared" si="297"/>
        <v>0</v>
      </c>
      <c r="CI384" s="10">
        <f t="shared" si="297"/>
        <v>0</v>
      </c>
      <c r="CK384" s="11"/>
      <c r="CM384" s="11"/>
      <c r="DF384" s="11"/>
      <c r="DG384">
        <f t="shared" si="290"/>
        <v>0</v>
      </c>
      <c r="DH384">
        <v>0</v>
      </c>
      <c r="DI384">
        <v>0</v>
      </c>
      <c r="EY384" s="12" t="str">
        <f>IF(C384="", "", CONCATENATE(D379, " ",D384))</f>
        <v>Loan 18 Closing Loan Balance</v>
      </c>
    </row>
    <row r="385" spans="1:155" ht="6.75" customHeight="1" x14ac:dyDescent="0.35">
      <c r="C385" s="211"/>
      <c r="D385" s="1"/>
      <c r="E385"/>
      <c r="F385"/>
      <c r="BY385" s="6"/>
      <c r="CK385" s="35"/>
      <c r="CM385" s="35"/>
      <c r="DF385" s="35"/>
      <c r="DG385">
        <f t="shared" si="290"/>
        <v>0</v>
      </c>
      <c r="DH385">
        <v>0</v>
      </c>
      <c r="DI385">
        <v>0</v>
      </c>
      <c r="EY385" s="12" t="str">
        <f>IF(C385="", "", CONCATENATE(D379, " ",D385))</f>
        <v/>
      </c>
    </row>
    <row r="386" spans="1:155" x14ac:dyDescent="0.35">
      <c r="A386" s="220" cm="1">
        <f t="array" aca="1" ref="A386" ca="1">HYPERLINK(CONCATENATE("#",CELL("address",IF(MAX($CM386:$DF386)=0,A386,INDEX($CM386:$DF386,MATCH(1,$CM386:$DF386,0))))),MAX($CM386:$DF386))</f>
        <v>0</v>
      </c>
      <c r="C386" s="211"/>
      <c r="D386" t="s">
        <v>1084</v>
      </c>
      <c r="E386" s="118" t="s">
        <v>1085</v>
      </c>
      <c r="F386" s="118"/>
      <c r="G386" s="10">
        <f>$G$30</f>
        <v>0</v>
      </c>
      <c r="V386" s="7">
        <f>IF(OR(V384&gt;$G386, V384&lt;0), 1, 0)</f>
        <v>0</v>
      </c>
      <c r="W386" s="7">
        <f>IF(OR(W384&gt;$G386, W384&lt;0), 1, 0)</f>
        <v>0</v>
      </c>
      <c r="X386" s="7">
        <f>IF(OR(X384&gt;$G386, X384&lt;0), 1, 0)</f>
        <v>0</v>
      </c>
      <c r="Y386" s="7">
        <f>IF(OR(Y384&gt;$G386, Y384&lt;0), 1, 0)</f>
        <v>0</v>
      </c>
      <c r="AA386" s="7">
        <f t="shared" ref="AA386:BV386" si="298">IF(OR(AA384&gt;$G386, AA384&lt;0), 1, 0)</f>
        <v>0</v>
      </c>
      <c r="AB386" s="7">
        <f t="shared" si="298"/>
        <v>0</v>
      </c>
      <c r="AC386" s="7">
        <f t="shared" si="298"/>
        <v>0</v>
      </c>
      <c r="AD386" s="7">
        <f t="shared" si="298"/>
        <v>0</v>
      </c>
      <c r="AE386" s="7">
        <f t="shared" si="298"/>
        <v>0</v>
      </c>
      <c r="AF386" s="7">
        <f t="shared" si="298"/>
        <v>0</v>
      </c>
      <c r="AG386" s="7">
        <f t="shared" si="298"/>
        <v>0</v>
      </c>
      <c r="AH386" s="7">
        <f t="shared" si="298"/>
        <v>0</v>
      </c>
      <c r="AI386" s="7">
        <f t="shared" si="298"/>
        <v>0</v>
      </c>
      <c r="AJ386" s="7">
        <f t="shared" si="298"/>
        <v>0</v>
      </c>
      <c r="AK386" s="7">
        <f t="shared" si="298"/>
        <v>0</v>
      </c>
      <c r="AL386" s="7">
        <f t="shared" si="298"/>
        <v>0</v>
      </c>
      <c r="AM386" s="7">
        <f t="shared" si="298"/>
        <v>0</v>
      </c>
      <c r="AN386" s="7">
        <f t="shared" si="298"/>
        <v>0</v>
      </c>
      <c r="AO386" s="7">
        <f t="shared" si="298"/>
        <v>0</v>
      </c>
      <c r="AP386" s="7">
        <f t="shared" si="298"/>
        <v>0</v>
      </c>
      <c r="AQ386" s="7">
        <f t="shared" si="298"/>
        <v>0</v>
      </c>
      <c r="AR386" s="7">
        <f t="shared" si="298"/>
        <v>0</v>
      </c>
      <c r="AS386" s="7">
        <f t="shared" si="298"/>
        <v>0</v>
      </c>
      <c r="AT386" s="7">
        <f t="shared" si="298"/>
        <v>0</v>
      </c>
      <c r="AU386" s="7">
        <f t="shared" si="298"/>
        <v>0</v>
      </c>
      <c r="AV386" s="7">
        <f t="shared" si="298"/>
        <v>0</v>
      </c>
      <c r="AW386" s="7">
        <f t="shared" si="298"/>
        <v>0</v>
      </c>
      <c r="AX386" s="7">
        <f t="shared" si="298"/>
        <v>0</v>
      </c>
      <c r="AY386" s="7">
        <f t="shared" si="298"/>
        <v>0</v>
      </c>
      <c r="AZ386" s="7">
        <f t="shared" si="298"/>
        <v>0</v>
      </c>
      <c r="BA386" s="7">
        <f t="shared" si="298"/>
        <v>0</v>
      </c>
      <c r="BB386" s="7">
        <f t="shared" si="298"/>
        <v>0</v>
      </c>
      <c r="BC386" s="7">
        <f t="shared" si="298"/>
        <v>0</v>
      </c>
      <c r="BD386" s="7">
        <f t="shared" si="298"/>
        <v>0</v>
      </c>
      <c r="BE386" s="7">
        <f t="shared" si="298"/>
        <v>0</v>
      </c>
      <c r="BF386" s="7">
        <f t="shared" si="298"/>
        <v>0</v>
      </c>
      <c r="BG386" s="7">
        <f t="shared" si="298"/>
        <v>0</v>
      </c>
      <c r="BH386" s="7">
        <f t="shared" si="298"/>
        <v>0</v>
      </c>
      <c r="BI386" s="7">
        <f t="shared" si="298"/>
        <v>0</v>
      </c>
      <c r="BJ386" s="7">
        <f t="shared" si="298"/>
        <v>0</v>
      </c>
      <c r="BK386" s="7">
        <f t="shared" si="298"/>
        <v>0</v>
      </c>
      <c r="BL386" s="7">
        <f t="shared" si="298"/>
        <v>0</v>
      </c>
      <c r="BM386" s="7">
        <f t="shared" si="298"/>
        <v>0</v>
      </c>
      <c r="BN386" s="7">
        <f t="shared" si="298"/>
        <v>0</v>
      </c>
      <c r="BO386" s="7">
        <f t="shared" si="298"/>
        <v>0</v>
      </c>
      <c r="BP386" s="7">
        <f t="shared" si="298"/>
        <v>0</v>
      </c>
      <c r="BQ386" s="7">
        <f t="shared" si="298"/>
        <v>0</v>
      </c>
      <c r="BR386" s="7">
        <f t="shared" si="298"/>
        <v>0</v>
      </c>
      <c r="BS386" s="7">
        <f t="shared" si="298"/>
        <v>0</v>
      </c>
      <c r="BT386" s="7">
        <f t="shared" si="298"/>
        <v>0</v>
      </c>
      <c r="BU386" s="7">
        <f t="shared" si="298"/>
        <v>0</v>
      </c>
      <c r="BV386" s="7">
        <f t="shared" si="298"/>
        <v>0</v>
      </c>
      <c r="BX386" s="7">
        <f t="shared" ref="BX386:CI386" si="299">IF(OR(BX384&gt;$G386, BX384&lt;0), 1, 0)</f>
        <v>0</v>
      </c>
      <c r="BY386" s="7">
        <f t="shared" si="299"/>
        <v>0</v>
      </c>
      <c r="BZ386" s="7">
        <f t="shared" si="299"/>
        <v>0</v>
      </c>
      <c r="CA386" s="7">
        <f t="shared" si="299"/>
        <v>0</v>
      </c>
      <c r="CB386" s="7">
        <f t="shared" si="299"/>
        <v>0</v>
      </c>
      <c r="CC386" s="7">
        <f t="shared" si="299"/>
        <v>0</v>
      </c>
      <c r="CD386" s="7">
        <f t="shared" si="299"/>
        <v>0</v>
      </c>
      <c r="CE386" s="7">
        <f t="shared" si="299"/>
        <v>0</v>
      </c>
      <c r="CF386" s="7">
        <f t="shared" si="299"/>
        <v>0</v>
      </c>
      <c r="CG386" s="7">
        <f t="shared" si="299"/>
        <v>0</v>
      </c>
      <c r="CH386" s="7">
        <f t="shared" si="299"/>
        <v>0</v>
      </c>
      <c r="CI386" s="7">
        <f t="shared" si="299"/>
        <v>0</v>
      </c>
      <c r="CK386" s="11"/>
      <c r="CM386" s="11"/>
      <c r="CX386" s="7">
        <f>IF(MAX(V386:CI386)&gt;0, 1, 0)</f>
        <v>0</v>
      </c>
      <c r="DF386" s="11"/>
      <c r="DG386">
        <f t="shared" si="290"/>
        <v>1</v>
      </c>
      <c r="DH386">
        <v>0</v>
      </c>
      <c r="DI386">
        <v>0</v>
      </c>
      <c r="EY386" s="12" t="str">
        <f>IF(C386="", "", CONCATENATE(D379, " ",D386))</f>
        <v/>
      </c>
    </row>
    <row r="387" spans="1:155" x14ac:dyDescent="0.35">
      <c r="A387" s="220" cm="1">
        <f t="array" aca="1" ref="A387" ca="1">HYPERLINK(CONCATENATE("#",CELL("address",IF(MAX($CM387:$DF387)=0,A387,INDEX($CM387:$DF387,MATCH(1,$CM387:$DF387,0))))),MAX($CM387:$DF387))</f>
        <v>0</v>
      </c>
      <c r="C387" s="211"/>
      <c r="D387" t="s">
        <v>1086</v>
      </c>
      <c r="E387" s="118" t="s">
        <v>1087</v>
      </c>
      <c r="F387" s="118"/>
      <c r="G387" s="117" t="str">
        <f>IF($K$30="", "", $K$30)</f>
        <v/>
      </c>
      <c r="V387" s="7">
        <f>IF(AND(V$5&gt;=$G387,SUM(V384:$Y384)&lt;&gt;0),1,0)</f>
        <v>0</v>
      </c>
      <c r="W387" s="7">
        <f>IF(AND(W$5&gt;=$G387,SUM(W384:$Y384)&lt;&gt;0),1,0)</f>
        <v>0</v>
      </c>
      <c r="X387" s="7">
        <f>IF(AND(X$5&gt;=$G387,SUM(X384:$Y384)&lt;&gt;0),1,0)</f>
        <v>0</v>
      </c>
      <c r="Y387" s="7">
        <f>IF(AND(Y$5&gt;=$G387,SUM(Y384:$Y384)&lt;&gt;0),1,0)</f>
        <v>0</v>
      </c>
      <c r="AA387" s="7">
        <f>IF(AND(AA$5&gt;=$G387,SUM(AA384:$BV384)&lt;&gt;0),1,0)</f>
        <v>0</v>
      </c>
      <c r="AB387" s="7">
        <f>IF(AND(AB$5&gt;=$G387,SUM(AB384:$BV384)&lt;&gt;0),1,0)</f>
        <v>0</v>
      </c>
      <c r="AC387" s="7">
        <f>IF(AND(AC$5&gt;=$G387,SUM(AC384:$BV384)&lt;&gt;0),1,0)</f>
        <v>0</v>
      </c>
      <c r="AD387" s="7">
        <f>IF(AND(AD$5&gt;=$G387,SUM(AD384:$BV384)&lt;&gt;0),1,0)</f>
        <v>0</v>
      </c>
      <c r="AE387" s="7">
        <f>IF(AND(AE$5&gt;=$G387,SUM(AE384:$BV384)&lt;&gt;0),1,0)</f>
        <v>0</v>
      </c>
      <c r="AF387" s="7">
        <f>IF(AND(AF$5&gt;=$G387,SUM(AF384:$BV384)&lt;&gt;0),1,0)</f>
        <v>0</v>
      </c>
      <c r="AG387" s="7">
        <f>IF(AND(AG$5&gt;=$G387,SUM(AG384:$BV384)&lt;&gt;0),1,0)</f>
        <v>0</v>
      </c>
      <c r="AH387" s="7">
        <f>IF(AND(AH$5&gt;=$G387,SUM(AH384:$BV384)&lt;&gt;0),1,0)</f>
        <v>0</v>
      </c>
      <c r="AI387" s="7">
        <f>IF(AND(AI$5&gt;=$G387,SUM(AI384:$BV384)&lt;&gt;0),1,0)</f>
        <v>0</v>
      </c>
      <c r="AJ387" s="7">
        <f>IF(AND(AJ$5&gt;=$G387,SUM(AJ384:$BV384)&lt;&gt;0),1,0)</f>
        <v>0</v>
      </c>
      <c r="AK387" s="7">
        <f>IF(AND(AK$5&gt;=$G387,SUM(AK384:$BV384)&lt;&gt;0),1,0)</f>
        <v>0</v>
      </c>
      <c r="AL387" s="7">
        <f>IF(AND(AL$5&gt;=$G387,SUM(AL384:$BV384)&lt;&gt;0),1,0)</f>
        <v>0</v>
      </c>
      <c r="AM387" s="7">
        <f>IF(AND(AM$5&gt;=$G387,SUM(AM384:$BV384)&lt;&gt;0),1,0)</f>
        <v>0</v>
      </c>
      <c r="AN387" s="7">
        <f>IF(AND(AN$5&gt;=$G387,SUM(AN384:$BV384)&lt;&gt;0),1,0)</f>
        <v>0</v>
      </c>
      <c r="AO387" s="7">
        <f>IF(AND(AO$5&gt;=$G387,SUM(AO384:$BV384)&lt;&gt;0),1,0)</f>
        <v>0</v>
      </c>
      <c r="AP387" s="7">
        <f>IF(AND(AP$5&gt;=$G387,SUM(AP384:$BV384)&lt;&gt;0),1,0)</f>
        <v>0</v>
      </c>
      <c r="AQ387" s="7">
        <f>IF(AND(AQ$5&gt;=$G387,SUM(AQ384:$BV384)&lt;&gt;0),1,0)</f>
        <v>0</v>
      </c>
      <c r="AR387" s="7">
        <f>IF(AND(AR$5&gt;=$G387,SUM(AR384:$BV384)&lt;&gt;0),1,0)</f>
        <v>0</v>
      </c>
      <c r="AS387" s="7">
        <f>IF(AND(AS$5&gt;=$G387,SUM(AS384:$BV384)&lt;&gt;0),1,0)</f>
        <v>0</v>
      </c>
      <c r="AT387" s="7">
        <f>IF(AND(AT$5&gt;=$G387,SUM(AT384:$BV384)&lt;&gt;0),1,0)</f>
        <v>0</v>
      </c>
      <c r="AU387" s="7">
        <f>IF(AND(AU$5&gt;=$G387,SUM(AU384:$BV384)&lt;&gt;0),1,0)</f>
        <v>0</v>
      </c>
      <c r="AV387" s="7">
        <f>IF(AND(AV$5&gt;=$G387,SUM(AV384:$BV384)&lt;&gt;0),1,0)</f>
        <v>0</v>
      </c>
      <c r="AW387" s="7">
        <f>IF(AND(AW$5&gt;=$G387,SUM(AW384:$BV384)&lt;&gt;0),1,0)</f>
        <v>0</v>
      </c>
      <c r="AX387" s="7">
        <f>IF(AND(AX$5&gt;=$G387,SUM(AX384:$BV384)&lt;&gt;0),1,0)</f>
        <v>0</v>
      </c>
      <c r="AY387" s="7">
        <f>IF(AND(AY$5&gt;=$G387,SUM(AY384:$BV384)&lt;&gt;0),1,0)</f>
        <v>0</v>
      </c>
      <c r="AZ387" s="7">
        <f>IF(AND(AZ$5&gt;=$G387,SUM(AZ384:$BV384)&lt;&gt;0),1,0)</f>
        <v>0</v>
      </c>
      <c r="BA387" s="7">
        <f>IF(AND(BA$5&gt;=$G387,SUM(BA384:$BV384)&lt;&gt;0),1,0)</f>
        <v>0</v>
      </c>
      <c r="BB387" s="7">
        <f>IF(AND(BB$5&gt;=$G387,SUM(BB384:$BV384)&lt;&gt;0),1,0)</f>
        <v>0</v>
      </c>
      <c r="BC387" s="7">
        <f>IF(AND(BC$5&gt;=$G387,SUM(BC384:$BV384)&lt;&gt;0),1,0)</f>
        <v>0</v>
      </c>
      <c r="BD387" s="7">
        <f>IF(AND(BD$5&gt;=$G387,SUM(BD384:$BV384)&lt;&gt;0),1,0)</f>
        <v>0</v>
      </c>
      <c r="BE387" s="7">
        <f>IF(AND(BE$5&gt;=$G387,SUM(BE384:$BV384)&lt;&gt;0),1,0)</f>
        <v>0</v>
      </c>
      <c r="BF387" s="7">
        <f>IF(AND(BF$5&gt;=$G387,SUM(BF384:$BV384)&lt;&gt;0),1,0)</f>
        <v>0</v>
      </c>
      <c r="BG387" s="7">
        <f>IF(AND(BG$5&gt;=$G387,SUM(BG384:$BV384)&lt;&gt;0),1,0)</f>
        <v>0</v>
      </c>
      <c r="BH387" s="7">
        <f>IF(AND(BH$5&gt;=$G387,SUM(BH384:$BV384)&lt;&gt;0),1,0)</f>
        <v>0</v>
      </c>
      <c r="BI387" s="7">
        <f>IF(AND(BI$5&gt;=$G387,SUM(BI384:$BV384)&lt;&gt;0),1,0)</f>
        <v>0</v>
      </c>
      <c r="BJ387" s="7">
        <f>IF(AND(BJ$5&gt;=$G387,SUM(BJ384:$BV384)&lt;&gt;0),1,0)</f>
        <v>0</v>
      </c>
      <c r="BK387" s="7">
        <f>IF(AND(BK$5&gt;=$G387,SUM(BK384:$BV384)&lt;&gt;0),1,0)</f>
        <v>0</v>
      </c>
      <c r="BL387" s="7">
        <f>IF(AND(BL$5&gt;=$G387,SUM(BL384:$BV384)&lt;&gt;0),1,0)</f>
        <v>0</v>
      </c>
      <c r="BM387" s="7">
        <f>IF(AND(BM$5&gt;=$G387,SUM(BM384:$BV384)&lt;&gt;0),1,0)</f>
        <v>0</v>
      </c>
      <c r="BN387" s="7">
        <f>IF(AND(BN$5&gt;=$G387,SUM(BN384:$BV384)&lt;&gt;0),1,0)</f>
        <v>0</v>
      </c>
      <c r="BO387" s="7">
        <f>IF(AND(BO$5&gt;=$G387,SUM(BO384:$BV384)&lt;&gt;0),1,0)</f>
        <v>0</v>
      </c>
      <c r="BP387" s="7">
        <f>IF(AND(BP$5&gt;=$G387,SUM(BP384:$BV384)&lt;&gt;0),1,0)</f>
        <v>0</v>
      </c>
      <c r="BQ387" s="7">
        <f>IF(AND(BQ$5&gt;=$G387,SUM(BQ384:$BV384)&lt;&gt;0),1,0)</f>
        <v>0</v>
      </c>
      <c r="BR387" s="7">
        <f>IF(AND(BR$5&gt;=$G387,SUM(BR384:$BV384)&lt;&gt;0),1,0)</f>
        <v>0</v>
      </c>
      <c r="BS387" s="7">
        <f>IF(AND(BS$5&gt;=$G387,SUM(BS384:$BV384)&lt;&gt;0),1,0)</f>
        <v>0</v>
      </c>
      <c r="BT387" s="7">
        <f>IF(AND(BT$5&gt;=$G387,SUM(BT384:$BV384)&lt;&gt;0),1,0)</f>
        <v>0</v>
      </c>
      <c r="BU387" s="7">
        <f>IF(AND(BU$5&gt;=$G387,SUM(BU384:$BV384)&lt;&gt;0),1,0)</f>
        <v>0</v>
      </c>
      <c r="BV387" s="7">
        <f>IF(AND(BV$5&gt;=$G387,SUM(BV384:$BV384)&lt;&gt;0),1,0)</f>
        <v>0</v>
      </c>
      <c r="BX387" s="7">
        <f>IF(AND(BX$5&gt;=$G387,SUM(BX384:$CI384)&lt;&gt;0),1,0)*BX$1159</f>
        <v>0</v>
      </c>
      <c r="BY387" s="7">
        <f>IF(AND(BY$5&gt;=$G387,SUM(BY384:$CI384)&lt;&gt;0),1,0)*BY$1159</f>
        <v>0</v>
      </c>
      <c r="BZ387" s="7">
        <f>IF(AND(BZ$5&gt;=$G387,SUM(BZ384:$CI384)&lt;&gt;0),1,0)*BZ$1159</f>
        <v>0</v>
      </c>
      <c r="CA387" s="7">
        <f>IF(AND(CA$5&gt;=$G387,SUM(CA384:$CI384)&lt;&gt;0),1,0)*CA$1159</f>
        <v>0</v>
      </c>
      <c r="CB387" s="7">
        <f>IF(AND(CB$5&gt;=$G387,SUM(CB384:$CI384)&lt;&gt;0),1,0)*CB$1159</f>
        <v>0</v>
      </c>
      <c r="CC387" s="7">
        <f>IF(AND(CC$5&gt;=$G387,SUM(CC384:$CI384)&lt;&gt;0),1,0)*CC$1159</f>
        <v>0</v>
      </c>
      <c r="CD387" s="7">
        <f>IF(AND(CD$5&gt;=$G387,SUM(CD384:$CI384)&lt;&gt;0),1,0)*CD$1159</f>
        <v>0</v>
      </c>
      <c r="CE387" s="7">
        <f>IF(AND(CE$5&gt;=$G387,SUM(CE384:$CI384)&lt;&gt;0),1,0)*CE$1159</f>
        <v>0</v>
      </c>
      <c r="CF387" s="7">
        <f>IF(AND(CF$5&gt;=$G387,SUM(CF384:$CI384)&lt;&gt;0),1,0)*CF$1159</f>
        <v>0</v>
      </c>
      <c r="CG387" s="7">
        <f>IF(AND(CG$5&gt;=$G387,SUM(CG384:$CI384)&lt;&gt;0),1,0)*CG$1159</f>
        <v>0</v>
      </c>
      <c r="CH387" s="7">
        <f>IF(AND(CH$5&gt;=$G387,SUM(CH384:$CI384)&lt;&gt;0),1,0)*CH$1159</f>
        <v>0</v>
      </c>
      <c r="CI387" s="7">
        <f>IF(AND(CI$5&gt;=$G387,SUM(CI384:$CI384)&lt;&gt;0),1,0)*CI$1159</f>
        <v>0</v>
      </c>
      <c r="CK387" s="11"/>
      <c r="CM387" s="11"/>
      <c r="CX387" s="7">
        <f>IF(MAX($V387:$CI387)&gt;0, 1, 0)</f>
        <v>0</v>
      </c>
      <c r="DF387" s="11"/>
      <c r="DG387">
        <f t="shared" si="290"/>
        <v>1</v>
      </c>
      <c r="DH387">
        <v>0</v>
      </c>
      <c r="DI387">
        <v>0</v>
      </c>
      <c r="EY387" s="12" t="str">
        <f>IF(C387="", "", CONCATENATE(D379, " ",D387))</f>
        <v/>
      </c>
    </row>
    <row r="388" spans="1:155" ht="6.75" customHeight="1" x14ac:dyDescent="0.35">
      <c r="C388" s="211"/>
      <c r="D388" s="1"/>
      <c r="E388"/>
      <c r="F388"/>
      <c r="BY388" s="6"/>
      <c r="CK388" s="35"/>
      <c r="CM388" s="35"/>
      <c r="DF388" s="35"/>
      <c r="DG388">
        <f t="shared" si="290"/>
        <v>0</v>
      </c>
      <c r="DH388">
        <v>0</v>
      </c>
      <c r="DI388">
        <v>0</v>
      </c>
      <c r="EY388" s="12" t="str">
        <f>IF(C388="", "", CONCATENATE(D379, " ",D388))</f>
        <v/>
      </c>
    </row>
    <row r="389" spans="1:155" x14ac:dyDescent="0.35">
      <c r="C389" s="211"/>
      <c r="D389" t="s">
        <v>1088</v>
      </c>
      <c r="H389" s="9" t="s">
        <v>1074</v>
      </c>
      <c r="I389" s="40" t="s">
        <v>317</v>
      </c>
      <c r="V389" s="109"/>
      <c r="W389" s="133">
        <f>V392</f>
        <v>0</v>
      </c>
      <c r="X389" s="133">
        <f>W392</f>
        <v>0</v>
      </c>
      <c r="Y389" s="10">
        <f>X392</f>
        <v>0</v>
      </c>
      <c r="AA389" s="12">
        <f>W389</f>
        <v>0</v>
      </c>
      <c r="AB389" s="10">
        <f t="shared" ref="AB389:BV389" si="300">AA392</f>
        <v>0</v>
      </c>
      <c r="AC389" s="10">
        <f t="shared" si="300"/>
        <v>0</v>
      </c>
      <c r="AD389" s="10">
        <f t="shared" si="300"/>
        <v>0</v>
      </c>
      <c r="AE389" s="10">
        <f t="shared" si="300"/>
        <v>0</v>
      </c>
      <c r="AF389" s="10">
        <f t="shared" si="300"/>
        <v>0</v>
      </c>
      <c r="AG389" s="10">
        <f t="shared" si="300"/>
        <v>0</v>
      </c>
      <c r="AH389" s="10">
        <f t="shared" si="300"/>
        <v>0</v>
      </c>
      <c r="AI389" s="10">
        <f t="shared" si="300"/>
        <v>0</v>
      </c>
      <c r="AJ389" s="10">
        <f t="shared" si="300"/>
        <v>0</v>
      </c>
      <c r="AK389" s="10">
        <f t="shared" si="300"/>
        <v>0</v>
      </c>
      <c r="AL389" s="10">
        <f t="shared" si="300"/>
        <v>0</v>
      </c>
      <c r="AM389" s="10">
        <f t="shared" si="300"/>
        <v>0</v>
      </c>
      <c r="AN389" s="10">
        <f t="shared" si="300"/>
        <v>0</v>
      </c>
      <c r="AO389" s="10">
        <f t="shared" si="300"/>
        <v>0</v>
      </c>
      <c r="AP389" s="10">
        <f t="shared" si="300"/>
        <v>0</v>
      </c>
      <c r="AQ389" s="10">
        <f t="shared" si="300"/>
        <v>0</v>
      </c>
      <c r="AR389" s="10">
        <f t="shared" si="300"/>
        <v>0</v>
      </c>
      <c r="AS389" s="10">
        <f t="shared" si="300"/>
        <v>0</v>
      </c>
      <c r="AT389" s="10">
        <f t="shared" si="300"/>
        <v>0</v>
      </c>
      <c r="AU389" s="10">
        <f t="shared" si="300"/>
        <v>0</v>
      </c>
      <c r="AV389" s="10">
        <f t="shared" si="300"/>
        <v>0</v>
      </c>
      <c r="AW389" s="10">
        <f t="shared" si="300"/>
        <v>0</v>
      </c>
      <c r="AX389" s="10">
        <f t="shared" si="300"/>
        <v>0</v>
      </c>
      <c r="AY389" s="10">
        <f t="shared" si="300"/>
        <v>0</v>
      </c>
      <c r="AZ389" s="10">
        <f t="shared" si="300"/>
        <v>0</v>
      </c>
      <c r="BA389" s="10">
        <f t="shared" si="300"/>
        <v>0</v>
      </c>
      <c r="BB389" s="10">
        <f t="shared" si="300"/>
        <v>0</v>
      </c>
      <c r="BC389" s="10">
        <f t="shared" si="300"/>
        <v>0</v>
      </c>
      <c r="BD389" s="10">
        <f t="shared" si="300"/>
        <v>0</v>
      </c>
      <c r="BE389" s="10">
        <f t="shared" si="300"/>
        <v>0</v>
      </c>
      <c r="BF389" s="10">
        <f t="shared" si="300"/>
        <v>0</v>
      </c>
      <c r="BG389" s="10">
        <f t="shared" si="300"/>
        <v>0</v>
      </c>
      <c r="BH389" s="10">
        <f t="shared" si="300"/>
        <v>0</v>
      </c>
      <c r="BI389" s="10">
        <f t="shared" si="300"/>
        <v>0</v>
      </c>
      <c r="BJ389" s="10">
        <f t="shared" si="300"/>
        <v>0</v>
      </c>
      <c r="BK389" s="10">
        <f t="shared" si="300"/>
        <v>0</v>
      </c>
      <c r="BL389" s="10">
        <f t="shared" si="300"/>
        <v>0</v>
      </c>
      <c r="BM389" s="10">
        <f t="shared" si="300"/>
        <v>0</v>
      </c>
      <c r="BN389" s="10">
        <f t="shared" si="300"/>
        <v>0</v>
      </c>
      <c r="BO389" s="10">
        <f t="shared" si="300"/>
        <v>0</v>
      </c>
      <c r="BP389" s="10">
        <f t="shared" si="300"/>
        <v>0</v>
      </c>
      <c r="BQ389" s="10">
        <f t="shared" si="300"/>
        <v>0</v>
      </c>
      <c r="BR389" s="10">
        <f t="shared" si="300"/>
        <v>0</v>
      </c>
      <c r="BS389" s="10">
        <f t="shared" si="300"/>
        <v>0</v>
      </c>
      <c r="BT389" s="10">
        <f t="shared" si="300"/>
        <v>0</v>
      </c>
      <c r="BU389" s="10">
        <f t="shared" si="300"/>
        <v>0</v>
      </c>
      <c r="BV389" s="10">
        <f t="shared" si="300"/>
        <v>0</v>
      </c>
      <c r="BX389" s="12">
        <f t="shared" ref="BX389:CA392" si="301">V389</f>
        <v>0</v>
      </c>
      <c r="BY389" s="12">
        <f t="shared" si="301"/>
        <v>0</v>
      </c>
      <c r="BZ389" s="12">
        <f t="shared" si="301"/>
        <v>0</v>
      </c>
      <c r="CA389" s="12">
        <f t="shared" si="301"/>
        <v>0</v>
      </c>
      <c r="CB389" s="10">
        <f t="shared" ref="CB389:CI389" si="302">CA392</f>
        <v>0</v>
      </c>
      <c r="CC389" s="10">
        <f t="shared" si="302"/>
        <v>0</v>
      </c>
      <c r="CD389" s="10">
        <f t="shared" si="302"/>
        <v>0</v>
      </c>
      <c r="CE389" s="10">
        <f t="shared" si="302"/>
        <v>0</v>
      </c>
      <c r="CF389" s="10">
        <f t="shared" si="302"/>
        <v>0</v>
      </c>
      <c r="CG389" s="10">
        <f t="shared" si="302"/>
        <v>0</v>
      </c>
      <c r="CH389" s="10">
        <f t="shared" si="302"/>
        <v>0</v>
      </c>
      <c r="CI389" s="10">
        <f t="shared" si="302"/>
        <v>0</v>
      </c>
      <c r="CK389" s="11"/>
      <c r="CM389" s="11"/>
      <c r="CY389" s="7" cm="1">
        <f t="array" ref="CY389">SUMPRODUCT(--NOT(ISNUMBER(V389:CI389)),--NOT(ISBLANK(V389:CI389)))</f>
        <v>0</v>
      </c>
      <c r="DF389" s="11"/>
      <c r="DG389">
        <f t="shared" si="290"/>
        <v>0</v>
      </c>
      <c r="DH389">
        <v>1</v>
      </c>
      <c r="DI389">
        <v>0</v>
      </c>
      <c r="EY389" s="12" t="str">
        <f>IF(C389="", "", CONCATENATE(D379, " ",D389))</f>
        <v/>
      </c>
    </row>
    <row r="390" spans="1:155" s="5" customFormat="1" x14ac:dyDescent="0.35">
      <c r="A390" s="220" cm="1">
        <f t="array" aca="1" ref="A390" ca="1">HYPERLINK(CONCATENATE("#",CELL("address",IF(MAX($CM390:$DF390)=0,A390,INDEX($CM390:$DF390,MATCH(1,$CM390:$DF390,0))))),MAX($CM390:$DF390))</f>
        <v>0</v>
      </c>
      <c r="B390" s="85" t="s">
        <v>122</v>
      </c>
      <c r="C390" s="211"/>
      <c r="D390" t="s">
        <v>1089</v>
      </c>
      <c r="E390" s="1"/>
      <c r="F390" s="1"/>
      <c r="G390"/>
      <c r="H390" s="9" t="s">
        <v>1074</v>
      </c>
      <c r="I390" s="40" t="s">
        <v>665</v>
      </c>
      <c r="J390"/>
      <c r="K390"/>
      <c r="L390"/>
      <c r="M390"/>
      <c r="N390"/>
      <c r="O390"/>
      <c r="P390"/>
      <c r="Q390"/>
      <c r="R390"/>
      <c r="S390"/>
      <c r="T390"/>
      <c r="U390"/>
      <c r="V390" s="109"/>
      <c r="W390" s="133">
        <f t="shared" ref="W390:Y391" si="303" xml:space="preserve"> SUMIFS($AA390:$BV390, $AA$3:$BV$3, W$3)</f>
        <v>0</v>
      </c>
      <c r="X390" s="133">
        <f t="shared" si="303"/>
        <v>0</v>
      </c>
      <c r="Y390" s="133">
        <f t="shared" si="303"/>
        <v>0</v>
      </c>
      <c r="Z390"/>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c r="BX390" s="12">
        <f t="shared" si="301"/>
        <v>0</v>
      </c>
      <c r="BY390" s="12">
        <f t="shared" si="301"/>
        <v>0</v>
      </c>
      <c r="BZ390" s="12">
        <f t="shared" si="301"/>
        <v>0</v>
      </c>
      <c r="CA390" s="12">
        <f t="shared" si="301"/>
        <v>0</v>
      </c>
      <c r="CB390" s="133">
        <f xml:space="preserve"> SUMIFS($AA390:$BV390, $AA$3:$BV$3, CB$3)</f>
        <v>0</v>
      </c>
      <c r="CC390" s="109"/>
      <c r="CD390" s="109"/>
      <c r="CE390" s="109"/>
      <c r="CF390" s="109"/>
      <c r="CG390" s="109"/>
      <c r="CH390" s="109"/>
      <c r="CI390" s="109"/>
      <c r="CJ390"/>
      <c r="CK390" s="11"/>
      <c r="CL390" s="241">
        <f>IF(MIN($V390:$CI390)&lt;0, 1, 0)</f>
        <v>0</v>
      </c>
      <c r="CM390" s="11"/>
      <c r="CN390"/>
      <c r="CO390"/>
      <c r="CP390"/>
      <c r="CQ390"/>
      <c r="CR390"/>
      <c r="CS390"/>
      <c r="CT390"/>
      <c r="CU390"/>
      <c r="CV390"/>
      <c r="CW390"/>
      <c r="CX390"/>
      <c r="CY390" s="7" cm="1">
        <f t="array" ref="CY390">SUMPRODUCT(--NOT(ISNUMBER(V390:CI390)),--NOT(ISBLANK(V390:CI390)))</f>
        <v>0</v>
      </c>
      <c r="CZ390" s="7">
        <f t="shared" ref="CZ390:DB391" si="304">IF(ROUND(W390-SUMIFS($AA390:$BV390, $AA$3:$BV$3, W$3), rounding)=0, 0, 1)</f>
        <v>0</v>
      </c>
      <c r="DA390" s="7">
        <f t="shared" si="304"/>
        <v>0</v>
      </c>
      <c r="DB390" s="7">
        <f t="shared" si="304"/>
        <v>0</v>
      </c>
      <c r="DC390" s="7">
        <f>IF(ROUND(CB390-SUMIFS($AA390:$BV390, $AA$3:$BV$3, CB$3), rounding)=0, 0, 1)</f>
        <v>0</v>
      </c>
      <c r="DD390" s="7">
        <f>IF(ROUND(V390-BX390, rounding)=0, 0, 1)*'BS Forecasts'!$V$10</f>
        <v>0</v>
      </c>
      <c r="DE390"/>
      <c r="DF390" s="11"/>
      <c r="DG390">
        <f t="shared" si="290"/>
        <v>0</v>
      </c>
      <c r="DH390">
        <v>1</v>
      </c>
      <c r="DI390">
        <v>1</v>
      </c>
      <c r="EY390" s="12" t="str">
        <f>IF(C390="", "", CONCATENATE(D379, " ",D390))</f>
        <v/>
      </c>
    </row>
    <row r="391" spans="1:155" x14ac:dyDescent="0.35">
      <c r="A391" s="220" cm="1">
        <f t="array" aca="1" ref="A391" ca="1">HYPERLINK(CONCATENATE("#",CELL("address",IF(MAX($CM391:$DF391)=0,A391,INDEX($CM391:$DF391,MATCH(1,$CM391:$DF391,0))))),MAX($CM391:$DF391))</f>
        <v>0</v>
      </c>
      <c r="B391" s="85" t="s">
        <v>122</v>
      </c>
      <c r="C391" s="211"/>
      <c r="D391" t="s">
        <v>1090</v>
      </c>
      <c r="H391" s="9" t="s">
        <v>1074</v>
      </c>
      <c r="I391" s="40" t="s">
        <v>1079</v>
      </c>
      <c r="V391" s="109"/>
      <c r="W391" s="133">
        <f t="shared" si="303"/>
        <v>0</v>
      </c>
      <c r="X391" s="133">
        <f t="shared" si="303"/>
        <v>0</v>
      </c>
      <c r="Y391" s="133">
        <f t="shared" si="303"/>
        <v>0</v>
      </c>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X391" s="12">
        <f t="shared" si="301"/>
        <v>0</v>
      </c>
      <c r="BY391" s="12">
        <f t="shared" si="301"/>
        <v>0</v>
      </c>
      <c r="BZ391" s="12">
        <f t="shared" si="301"/>
        <v>0</v>
      </c>
      <c r="CA391" s="12">
        <f t="shared" si="301"/>
        <v>0</v>
      </c>
      <c r="CB391" s="133">
        <f xml:space="preserve"> SUMIFS($AA391:$BV391, $AA$3:$BV$3, CB$3)</f>
        <v>0</v>
      </c>
      <c r="CC391" s="109"/>
      <c r="CD391" s="109"/>
      <c r="CE391" s="109"/>
      <c r="CF391" s="109"/>
      <c r="CG391" s="109"/>
      <c r="CH391" s="109"/>
      <c r="CI391" s="109"/>
      <c r="CK391" s="11"/>
      <c r="CL391" s="241">
        <f>IF(MAX($V391:$CI391)&gt;0, 1, 0)</f>
        <v>0</v>
      </c>
      <c r="CM391" s="11"/>
      <c r="CY391" s="7" cm="1">
        <f t="array" ref="CY391">SUMPRODUCT(--NOT(ISNUMBER(V391:CI391)),--NOT(ISBLANK(V391:CI391)))</f>
        <v>0</v>
      </c>
      <c r="CZ391" s="7">
        <f t="shared" si="304"/>
        <v>0</v>
      </c>
      <c r="DA391" s="7">
        <f t="shared" si="304"/>
        <v>0</v>
      </c>
      <c r="DB391" s="7">
        <f t="shared" si="304"/>
        <v>0</v>
      </c>
      <c r="DC391" s="7">
        <f>IF(ROUND(CB391-SUMIFS($AA391:$BV391, $AA$3:$BV$3, CB$3), rounding)=0, 0, 1)</f>
        <v>0</v>
      </c>
      <c r="DD391" s="7">
        <f>IF(ROUND(V391-BX391, rounding)=0, 0, 1)*'BS Forecasts'!$V$10</f>
        <v>0</v>
      </c>
      <c r="DF391" s="11"/>
      <c r="DG391">
        <f t="shared" si="290"/>
        <v>0</v>
      </c>
      <c r="DH391">
        <v>1</v>
      </c>
      <c r="DI391">
        <v>1</v>
      </c>
      <c r="EY391" s="12" t="str">
        <f>IF(C391="", "", CONCATENATE(D379, " ",D391))</f>
        <v/>
      </c>
    </row>
    <row r="392" spans="1:155" x14ac:dyDescent="0.35">
      <c r="C392" s="211"/>
      <c r="D392" t="s">
        <v>1091</v>
      </c>
      <c r="H392" s="9" t="s">
        <v>1074</v>
      </c>
      <c r="I392" s="40" t="s">
        <v>317</v>
      </c>
      <c r="V392" s="12">
        <f>$I$30</f>
        <v>0</v>
      </c>
      <c r="W392" s="10">
        <f>SUM(W389:W391)</f>
        <v>0</v>
      </c>
      <c r="X392" s="10">
        <f>SUM(X389:X391)</f>
        <v>0</v>
      </c>
      <c r="Y392" s="10">
        <f>SUM(Y389:Y391)</f>
        <v>0</v>
      </c>
      <c r="AA392" s="10">
        <f t="shared" ref="AA392:BV392" si="305">SUM(AA389:AA391)</f>
        <v>0</v>
      </c>
      <c r="AB392" s="10">
        <f t="shared" si="305"/>
        <v>0</v>
      </c>
      <c r="AC392" s="10">
        <f t="shared" si="305"/>
        <v>0</v>
      </c>
      <c r="AD392" s="10">
        <f t="shared" si="305"/>
        <v>0</v>
      </c>
      <c r="AE392" s="10">
        <f t="shared" si="305"/>
        <v>0</v>
      </c>
      <c r="AF392" s="10">
        <f t="shared" si="305"/>
        <v>0</v>
      </c>
      <c r="AG392" s="10">
        <f t="shared" si="305"/>
        <v>0</v>
      </c>
      <c r="AH392" s="10">
        <f t="shared" si="305"/>
        <v>0</v>
      </c>
      <c r="AI392" s="10">
        <f t="shared" si="305"/>
        <v>0</v>
      </c>
      <c r="AJ392" s="10">
        <f t="shared" si="305"/>
        <v>0</v>
      </c>
      <c r="AK392" s="10">
        <f t="shared" si="305"/>
        <v>0</v>
      </c>
      <c r="AL392" s="10">
        <f t="shared" si="305"/>
        <v>0</v>
      </c>
      <c r="AM392" s="10">
        <f t="shared" si="305"/>
        <v>0</v>
      </c>
      <c r="AN392" s="10">
        <f t="shared" si="305"/>
        <v>0</v>
      </c>
      <c r="AO392" s="10">
        <f t="shared" si="305"/>
        <v>0</v>
      </c>
      <c r="AP392" s="10">
        <f t="shared" si="305"/>
        <v>0</v>
      </c>
      <c r="AQ392" s="10">
        <f t="shared" si="305"/>
        <v>0</v>
      </c>
      <c r="AR392" s="10">
        <f t="shared" si="305"/>
        <v>0</v>
      </c>
      <c r="AS392" s="10">
        <f t="shared" si="305"/>
        <v>0</v>
      </c>
      <c r="AT392" s="10">
        <f t="shared" si="305"/>
        <v>0</v>
      </c>
      <c r="AU392" s="10">
        <f t="shared" si="305"/>
        <v>0</v>
      </c>
      <c r="AV392" s="10">
        <f t="shared" si="305"/>
        <v>0</v>
      </c>
      <c r="AW392" s="10">
        <f t="shared" si="305"/>
        <v>0</v>
      </c>
      <c r="AX392" s="10">
        <f t="shared" si="305"/>
        <v>0</v>
      </c>
      <c r="AY392" s="10">
        <f t="shared" si="305"/>
        <v>0</v>
      </c>
      <c r="AZ392" s="10">
        <f t="shared" si="305"/>
        <v>0</v>
      </c>
      <c r="BA392" s="10">
        <f t="shared" si="305"/>
        <v>0</v>
      </c>
      <c r="BB392" s="10">
        <f t="shared" si="305"/>
        <v>0</v>
      </c>
      <c r="BC392" s="10">
        <f t="shared" si="305"/>
        <v>0</v>
      </c>
      <c r="BD392" s="10">
        <f t="shared" si="305"/>
        <v>0</v>
      </c>
      <c r="BE392" s="10">
        <f t="shared" si="305"/>
        <v>0</v>
      </c>
      <c r="BF392" s="10">
        <f t="shared" si="305"/>
        <v>0</v>
      </c>
      <c r="BG392" s="10">
        <f t="shared" si="305"/>
        <v>0</v>
      </c>
      <c r="BH392" s="10">
        <f t="shared" si="305"/>
        <v>0</v>
      </c>
      <c r="BI392" s="10">
        <f t="shared" si="305"/>
        <v>0</v>
      </c>
      <c r="BJ392" s="10">
        <f t="shared" si="305"/>
        <v>0</v>
      </c>
      <c r="BK392" s="10">
        <f t="shared" si="305"/>
        <v>0</v>
      </c>
      <c r="BL392" s="10">
        <f t="shared" si="305"/>
        <v>0</v>
      </c>
      <c r="BM392" s="10">
        <f t="shared" si="305"/>
        <v>0</v>
      </c>
      <c r="BN392" s="10">
        <f t="shared" si="305"/>
        <v>0</v>
      </c>
      <c r="BO392" s="10">
        <f t="shared" si="305"/>
        <v>0</v>
      </c>
      <c r="BP392" s="10">
        <f t="shared" si="305"/>
        <v>0</v>
      </c>
      <c r="BQ392" s="10">
        <f t="shared" si="305"/>
        <v>0</v>
      </c>
      <c r="BR392" s="10">
        <f t="shared" si="305"/>
        <v>0</v>
      </c>
      <c r="BS392" s="10">
        <f t="shared" si="305"/>
        <v>0</v>
      </c>
      <c r="BT392" s="10">
        <f t="shared" si="305"/>
        <v>0</v>
      </c>
      <c r="BU392" s="10">
        <f t="shared" si="305"/>
        <v>0</v>
      </c>
      <c r="BV392" s="10">
        <f t="shared" si="305"/>
        <v>0</v>
      </c>
      <c r="BX392" s="12">
        <f t="shared" si="301"/>
        <v>0</v>
      </c>
      <c r="BY392" s="12">
        <f t="shared" si="301"/>
        <v>0</v>
      </c>
      <c r="BZ392" s="12">
        <f t="shared" si="301"/>
        <v>0</v>
      </c>
      <c r="CA392" s="12">
        <f t="shared" si="301"/>
        <v>0</v>
      </c>
      <c r="CB392" s="10">
        <f t="shared" ref="CB392:CI392" si="306">SUM(CB389:CB391)</f>
        <v>0</v>
      </c>
      <c r="CC392" s="10">
        <f t="shared" si="306"/>
        <v>0</v>
      </c>
      <c r="CD392" s="10">
        <f t="shared" si="306"/>
        <v>0</v>
      </c>
      <c r="CE392" s="10">
        <f t="shared" si="306"/>
        <v>0</v>
      </c>
      <c r="CF392" s="10">
        <f t="shared" si="306"/>
        <v>0</v>
      </c>
      <c r="CG392" s="10">
        <f t="shared" si="306"/>
        <v>0</v>
      </c>
      <c r="CH392" s="10">
        <f t="shared" si="306"/>
        <v>0</v>
      </c>
      <c r="CI392" s="10">
        <f t="shared" si="306"/>
        <v>0</v>
      </c>
      <c r="CK392" s="11"/>
      <c r="CM392" s="11"/>
      <c r="DF392" s="11"/>
      <c r="DG392">
        <f t="shared" si="290"/>
        <v>0</v>
      </c>
      <c r="DH392">
        <v>0</v>
      </c>
      <c r="DI392">
        <v>0</v>
      </c>
      <c r="EY392" s="12" t="str">
        <f>IF(C392="", "", CONCATENATE(D379, " ",D392))</f>
        <v/>
      </c>
    </row>
    <row r="393" spans="1:155" ht="6.75" customHeight="1" x14ac:dyDescent="0.35">
      <c r="C393" s="211"/>
      <c r="D393" s="1"/>
      <c r="E393"/>
      <c r="F393"/>
      <c r="BY393" s="6"/>
      <c r="CK393" s="35"/>
      <c r="CM393" s="35"/>
      <c r="DF393" s="35"/>
      <c r="DG393">
        <f t="shared" si="290"/>
        <v>0</v>
      </c>
      <c r="DH393">
        <v>0</v>
      </c>
      <c r="DI393">
        <v>0</v>
      </c>
      <c r="EY393" s="12" t="str">
        <f>IF(C393="", "", CONCATENATE(D379, " ",D393))</f>
        <v/>
      </c>
    </row>
    <row r="394" spans="1:155" s="5" customFormat="1" x14ac:dyDescent="0.35">
      <c r="A394" s="220" cm="1">
        <f t="array" aca="1" ref="A394" ca="1">HYPERLINK(CONCATENATE("#",CELL("address",IF(MAX($CM394:$DF394)=0,A394,INDEX($CM394:$DF394,MATCH(1,$CM394:$DF394,0))))),MAX($CM394:$DF394))</f>
        <v>0</v>
      </c>
      <c r="B394"/>
      <c r="C394" s="211" t="s">
        <v>1213</v>
      </c>
      <c r="D394" t="s">
        <v>1093</v>
      </c>
      <c r="E394" s="1"/>
      <c r="F394" s="1"/>
      <c r="G394"/>
      <c r="H394" s="9" t="s">
        <v>1074</v>
      </c>
      <c r="I394" s="40" t="s">
        <v>665</v>
      </c>
      <c r="J394"/>
      <c r="K394"/>
      <c r="L394"/>
      <c r="M394"/>
      <c r="N394"/>
      <c r="O394"/>
      <c r="P394"/>
      <c r="Q394"/>
      <c r="R394"/>
      <c r="S394"/>
      <c r="T394"/>
      <c r="U394"/>
      <c r="V394" s="109"/>
      <c r="W394" s="133">
        <f xml:space="preserve"> SUMIFS($AA394:$BV394, $AA$3:$BV$3, W$3)</f>
        <v>0</v>
      </c>
      <c r="X394" s="133">
        <f xml:space="preserve"> SUMIFS($AA394:$BV394, $AA$3:$BV$3, X$3)</f>
        <v>0</v>
      </c>
      <c r="Y394" s="133">
        <f xml:space="preserve"> SUMIFS($AA394:$BV394, $AA$3:$BV$3, Y$3)</f>
        <v>0</v>
      </c>
      <c r="Z39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c r="BX394" s="12">
        <f>V394</f>
        <v>0</v>
      </c>
      <c r="BY394" s="12">
        <f>W394</f>
        <v>0</v>
      </c>
      <c r="BZ394" s="12">
        <f>X394</f>
        <v>0</v>
      </c>
      <c r="CA394" s="12">
        <f>Y394</f>
        <v>0</v>
      </c>
      <c r="CB394" s="133">
        <f xml:space="preserve"> SUMIFS($AA394:$BV394, $AA$3:$BV$3, CB$3)</f>
        <v>0</v>
      </c>
      <c r="CC394" s="109"/>
      <c r="CD394" s="109"/>
      <c r="CE394" s="109"/>
      <c r="CF394" s="109"/>
      <c r="CG394" s="109"/>
      <c r="CH394" s="109"/>
      <c r="CI394" s="109"/>
      <c r="CJ394"/>
      <c r="CK394" s="11"/>
      <c r="CL394" s="241">
        <f>IF(MIN($V394:$CI394)&lt;0, 1, 0)</f>
        <v>0</v>
      </c>
      <c r="CM394" s="11"/>
      <c r="CN394"/>
      <c r="CO394"/>
      <c r="CP394"/>
      <c r="CQ394"/>
      <c r="CR394"/>
      <c r="CS394"/>
      <c r="CT394"/>
      <c r="CU394"/>
      <c r="CV394"/>
      <c r="CW394"/>
      <c r="CX394"/>
      <c r="CY394" s="7" cm="1">
        <f t="array" ref="CY394">SUMPRODUCT(--NOT(ISNUMBER(V394:CI394)),--NOT(ISBLANK(V394:CI394)))</f>
        <v>0</v>
      </c>
      <c r="CZ394" s="7">
        <f>IF(ROUND(W394-SUMIFS($AA394:$BV394, $AA$3:$BV$3, W$3), rounding)=0, 0, 1)</f>
        <v>0</v>
      </c>
      <c r="DA394" s="7">
        <f>IF(ROUND(X394-SUMIFS($AA394:$BV394, $AA$3:$BV$3, X$3), rounding)=0, 0, 1)</f>
        <v>0</v>
      </c>
      <c r="DB394" s="7">
        <f>IF(ROUND(Y394-SUMIFS($AA394:$BV394, $AA$3:$BV$3, Y$3), rounding)=0, 0, 1)</f>
        <v>0</v>
      </c>
      <c r="DC394" s="7">
        <f>IF(ROUND(CB394-SUMIFS($AA394:$BV394, $AA$3:$BV$3, CB$3), rounding)=0, 0, 1)</f>
        <v>0</v>
      </c>
      <c r="DD394" s="7">
        <f>IF(ROUND(V394-BX394, rounding)=0, 0, 1)*'BS Forecasts'!$V$10</f>
        <v>0</v>
      </c>
      <c r="DE394"/>
      <c r="DF394" s="11"/>
      <c r="DG394">
        <f t="shared" si="290"/>
        <v>0</v>
      </c>
      <c r="DH394">
        <v>1</v>
      </c>
      <c r="DI394">
        <v>1</v>
      </c>
      <c r="EY394" s="12" t="str">
        <f>IF(C394="", "", CONCATENATE(D379, " ",D394))</f>
        <v>Loan 18 Early Repayment Fee</v>
      </c>
    </row>
    <row r="395" spans="1:155" ht="6.75" customHeight="1" x14ac:dyDescent="0.35">
      <c r="C395" s="211"/>
      <c r="D395" s="1"/>
      <c r="E395"/>
      <c r="F395"/>
      <c r="BY395" s="6"/>
      <c r="CK395" s="35"/>
      <c r="CM395" s="35"/>
      <c r="DF395" s="35"/>
      <c r="DG395">
        <f t="shared" si="290"/>
        <v>0</v>
      </c>
      <c r="DH395">
        <v>0</v>
      </c>
      <c r="DI395">
        <v>0</v>
      </c>
      <c r="EY395" s="12" t="str">
        <f>IF(C395="", "", CONCATENATE(D379, " ",D395))</f>
        <v/>
      </c>
    </row>
    <row r="396" spans="1:155" x14ac:dyDescent="0.35">
      <c r="A396" s="220" cm="1">
        <f t="array" aca="1" ref="A396" ca="1">HYPERLINK(CONCATENATE("#",CELL("address",IF(MAX($CM396:$DF396)=0,A396,INDEX($CM396:$DF396,MATCH(1,$CM396:$DF396,0))))),MAX($CM396:$DF396))</f>
        <v>0</v>
      </c>
      <c r="B396" s="85" t="s">
        <v>122</v>
      </c>
      <c r="D396" t="s">
        <v>1094</v>
      </c>
      <c r="E396" s="140" t="str">
        <f>IF(J$30="", "", J$30)</f>
        <v/>
      </c>
      <c r="F396" s="140"/>
      <c r="G396" s="140" t="str">
        <f>IF(K$30="", "", K$30)</f>
        <v/>
      </c>
      <c r="V396" s="7">
        <f>IF(AND(OR( V$5&gt;$G396, Timeline!V$8&lt;Loans!$E396), Loans!V394&lt;&gt;0), 1, 0)</f>
        <v>0</v>
      </c>
      <c r="W396" s="7">
        <f>IF(AND(OR( W$5&gt;$G396, Timeline!W$8&lt;Loans!$E396), Loans!W394&lt;&gt;0), 1, 0)</f>
        <v>0</v>
      </c>
      <c r="X396" s="7">
        <f>IF(AND(OR( X$5&gt;$G396, Timeline!X$8&lt;Loans!$E396), Loans!X394&lt;&gt;0), 1, 0)</f>
        <v>0</v>
      </c>
      <c r="Y396" s="7">
        <f>IF(AND(OR( Y$5&gt;$G396, Timeline!Y$8&lt;Loans!$E396), Loans!Y394&lt;&gt;0), 1, 0)</f>
        <v>0</v>
      </c>
      <c r="AA396" s="7">
        <f>IF(AND(OR( AA$5&gt;$G396, Timeline!AA$8&lt;Loans!$E396), Loans!AA394&lt;&gt;0), 1, 0)</f>
        <v>0</v>
      </c>
      <c r="AB396" s="7">
        <f>IF(AND(OR( AB$5&gt;$G396, Timeline!AB$8&lt;Loans!$E396), Loans!AB394&lt;&gt;0), 1, 0)</f>
        <v>0</v>
      </c>
      <c r="AC396" s="7">
        <f>IF(AND(OR( AC$5&gt;$G396, Timeline!AC$8&lt;Loans!$E396), Loans!AC394&lt;&gt;0), 1, 0)</f>
        <v>0</v>
      </c>
      <c r="AD396" s="7">
        <f>IF(AND(OR( AD$5&gt;$G396, Timeline!AD$8&lt;Loans!$E396), Loans!AD394&lt;&gt;0), 1, 0)</f>
        <v>0</v>
      </c>
      <c r="AE396" s="7">
        <f>IF(AND(OR( AE$5&gt;$G396, Timeline!AE$8&lt;Loans!$E396), Loans!AE394&lt;&gt;0), 1, 0)</f>
        <v>0</v>
      </c>
      <c r="AF396" s="7">
        <f>IF(AND(OR( AF$5&gt;$G396, Timeline!AF$8&lt;Loans!$E396), Loans!AF394&lt;&gt;0), 1, 0)</f>
        <v>0</v>
      </c>
      <c r="AG396" s="7">
        <f>IF(AND(OR( AG$5&gt;$G396, Timeline!AG$8&lt;Loans!$E396), Loans!AG394&lt;&gt;0), 1, 0)</f>
        <v>0</v>
      </c>
      <c r="AH396" s="7">
        <f>IF(AND(OR( AH$5&gt;$G396, Timeline!AH$8&lt;Loans!$E396), Loans!AH394&lt;&gt;0), 1, 0)</f>
        <v>0</v>
      </c>
      <c r="AI396" s="7">
        <f>IF(AND(OR( AI$5&gt;$G396, Timeline!AI$8&lt;Loans!$E396), Loans!AI394&lt;&gt;0), 1, 0)</f>
        <v>0</v>
      </c>
      <c r="AJ396" s="7">
        <f>IF(AND(OR( AJ$5&gt;$G396, Timeline!AJ$8&lt;Loans!$E396), Loans!AJ394&lt;&gt;0), 1, 0)</f>
        <v>0</v>
      </c>
      <c r="AK396" s="7">
        <f>IF(AND(OR( AK$5&gt;$G396, Timeline!AK$8&lt;Loans!$E396), Loans!AK394&lt;&gt;0), 1, 0)</f>
        <v>0</v>
      </c>
      <c r="AL396" s="7">
        <f>IF(AND(OR( AL$5&gt;$G396, Timeline!AL$8&lt;Loans!$E396), Loans!AL394&lt;&gt;0), 1, 0)</f>
        <v>0</v>
      </c>
      <c r="AM396" s="7">
        <f>IF(AND(OR( AM$5&gt;$G396, Timeline!AM$8&lt;Loans!$E396), Loans!AM394&lt;&gt;0), 1, 0)</f>
        <v>0</v>
      </c>
      <c r="AN396" s="7">
        <f>IF(AND(OR( AN$5&gt;$G396, Timeline!AN$8&lt;Loans!$E396), Loans!AN394&lt;&gt;0), 1, 0)</f>
        <v>0</v>
      </c>
      <c r="AO396" s="7">
        <f>IF(AND(OR( AO$5&gt;$G396, Timeline!AO$8&lt;Loans!$E396), Loans!AO394&lt;&gt;0), 1, 0)</f>
        <v>0</v>
      </c>
      <c r="AP396" s="7">
        <f>IF(AND(OR( AP$5&gt;$G396, Timeline!AP$8&lt;Loans!$E396), Loans!AP394&lt;&gt;0), 1, 0)</f>
        <v>0</v>
      </c>
      <c r="AQ396" s="7">
        <f>IF(AND(OR( AQ$5&gt;$G396, Timeline!AQ$8&lt;Loans!$E396), Loans!AQ394&lt;&gt;0), 1, 0)</f>
        <v>0</v>
      </c>
      <c r="AR396" s="7">
        <f>IF(AND(OR( AR$5&gt;$G396, Timeline!AR$8&lt;Loans!$E396), Loans!AR394&lt;&gt;0), 1, 0)</f>
        <v>0</v>
      </c>
      <c r="AS396" s="7">
        <f>IF(AND(OR( AS$5&gt;$G396, Timeline!AS$8&lt;Loans!$E396), Loans!AS394&lt;&gt;0), 1, 0)</f>
        <v>0</v>
      </c>
      <c r="AT396" s="7">
        <f>IF(AND(OR( AT$5&gt;$G396, Timeline!AT$8&lt;Loans!$E396), Loans!AT394&lt;&gt;0), 1, 0)</f>
        <v>0</v>
      </c>
      <c r="AU396" s="7">
        <f>IF(AND(OR( AU$5&gt;$G396, Timeline!AU$8&lt;Loans!$E396), Loans!AU394&lt;&gt;0), 1, 0)</f>
        <v>0</v>
      </c>
      <c r="AV396" s="7">
        <f>IF(AND(OR( AV$5&gt;$G396, Timeline!AV$8&lt;Loans!$E396), Loans!AV394&lt;&gt;0), 1, 0)</f>
        <v>0</v>
      </c>
      <c r="AW396" s="7">
        <f>IF(AND(OR( AW$5&gt;$G396, Timeline!AW$8&lt;Loans!$E396), Loans!AW394&lt;&gt;0), 1, 0)</f>
        <v>0</v>
      </c>
      <c r="AX396" s="7">
        <f>IF(AND(OR( AX$5&gt;$G396, Timeline!AX$8&lt;Loans!$E396), Loans!AX394&lt;&gt;0), 1, 0)</f>
        <v>0</v>
      </c>
      <c r="AY396" s="7">
        <f>IF(AND(OR( AY$5&gt;$G396, Timeline!AY$8&lt;Loans!$E396), Loans!AY394&lt;&gt;0), 1, 0)</f>
        <v>0</v>
      </c>
      <c r="AZ396" s="7">
        <f>IF(AND(OR( AZ$5&gt;$G396, Timeline!AZ$8&lt;Loans!$E396), Loans!AZ394&lt;&gt;0), 1, 0)</f>
        <v>0</v>
      </c>
      <c r="BA396" s="7">
        <f>IF(AND(OR( BA$5&gt;$G396, Timeline!BA$8&lt;Loans!$E396), Loans!BA394&lt;&gt;0), 1, 0)</f>
        <v>0</v>
      </c>
      <c r="BB396" s="7">
        <f>IF(AND(OR( BB$5&gt;$G396, Timeline!BB$8&lt;Loans!$E396), Loans!BB394&lt;&gt;0), 1, 0)</f>
        <v>0</v>
      </c>
      <c r="BC396" s="7">
        <f>IF(AND(OR( BC$5&gt;$G396, Timeline!BC$8&lt;Loans!$E396), Loans!BC394&lt;&gt;0), 1, 0)</f>
        <v>0</v>
      </c>
      <c r="BD396" s="7">
        <f>IF(AND(OR( BD$5&gt;$G396, Timeline!BD$8&lt;Loans!$E396), Loans!BD394&lt;&gt;0), 1, 0)</f>
        <v>0</v>
      </c>
      <c r="BE396" s="7">
        <f>IF(AND(OR( BE$5&gt;$G396, Timeline!BE$8&lt;Loans!$E396), Loans!BE394&lt;&gt;0), 1, 0)</f>
        <v>0</v>
      </c>
      <c r="BF396" s="7">
        <f>IF(AND(OR( BF$5&gt;$G396, Timeline!BF$8&lt;Loans!$E396), Loans!BF394&lt;&gt;0), 1, 0)</f>
        <v>0</v>
      </c>
      <c r="BG396" s="7">
        <f>IF(AND(OR( BG$5&gt;$G396, Timeline!BG$8&lt;Loans!$E396), Loans!BG394&lt;&gt;0), 1, 0)</f>
        <v>0</v>
      </c>
      <c r="BH396" s="7">
        <f>IF(AND(OR( BH$5&gt;$G396, Timeline!BH$8&lt;Loans!$E396), Loans!BH394&lt;&gt;0), 1, 0)</f>
        <v>0</v>
      </c>
      <c r="BI396" s="7">
        <f>IF(AND(OR( BI$5&gt;$G396, Timeline!BI$8&lt;Loans!$E396), Loans!BI394&lt;&gt;0), 1, 0)</f>
        <v>0</v>
      </c>
      <c r="BJ396" s="7">
        <f>IF(AND(OR( BJ$5&gt;$G396, Timeline!BJ$8&lt;Loans!$E396), Loans!BJ394&lt;&gt;0), 1, 0)</f>
        <v>0</v>
      </c>
      <c r="BK396" s="7">
        <f>IF(AND(OR( BK$5&gt;$G396, Timeline!BK$8&lt;Loans!$E396), Loans!BK394&lt;&gt;0), 1, 0)</f>
        <v>0</v>
      </c>
      <c r="BL396" s="7">
        <f>IF(AND(OR( BL$5&gt;$G396, Timeline!BL$8&lt;Loans!$E396), Loans!BL394&lt;&gt;0), 1, 0)</f>
        <v>0</v>
      </c>
      <c r="BM396" s="7">
        <f>IF(AND(OR( BM$5&gt;$G396, Timeline!BM$8&lt;Loans!$E396), Loans!BM394&lt;&gt;0), 1, 0)</f>
        <v>0</v>
      </c>
      <c r="BN396" s="7">
        <f>IF(AND(OR( BN$5&gt;$G396, Timeline!BN$8&lt;Loans!$E396), Loans!BN394&lt;&gt;0), 1, 0)</f>
        <v>0</v>
      </c>
      <c r="BO396" s="7">
        <f>IF(AND(OR( BO$5&gt;$G396, Timeline!BO$8&lt;Loans!$E396), Loans!BO394&lt;&gt;0), 1, 0)</f>
        <v>0</v>
      </c>
      <c r="BP396" s="7">
        <f>IF(AND(OR( BP$5&gt;$G396, Timeline!BP$8&lt;Loans!$E396), Loans!BP394&lt;&gt;0), 1, 0)</f>
        <v>0</v>
      </c>
      <c r="BQ396" s="7">
        <f>IF(AND(OR( BQ$5&gt;$G396, Timeline!BQ$8&lt;Loans!$E396), Loans!BQ394&lt;&gt;0), 1, 0)</f>
        <v>0</v>
      </c>
      <c r="BR396" s="7">
        <f>IF(AND(OR( BR$5&gt;$G396, Timeline!BR$8&lt;Loans!$E396), Loans!BR394&lt;&gt;0), 1, 0)</f>
        <v>0</v>
      </c>
      <c r="BS396" s="7">
        <f>IF(AND(OR( BS$5&gt;$G396, Timeline!BS$8&lt;Loans!$E396), Loans!BS394&lt;&gt;0), 1, 0)</f>
        <v>0</v>
      </c>
      <c r="BT396" s="7">
        <f>IF(AND(OR( BT$5&gt;$G396, Timeline!BT$8&lt;Loans!$E396), Loans!BT394&lt;&gt;0), 1, 0)</f>
        <v>0</v>
      </c>
      <c r="BU396" s="7">
        <f>IF(AND(OR( BU$5&gt;$G396, Timeline!BU$8&lt;Loans!$E396), Loans!BU394&lt;&gt;0), 1, 0)</f>
        <v>0</v>
      </c>
      <c r="BV396" s="7">
        <f>IF(AND(OR( BV$5&gt;$G396, Timeline!BV$8&lt;Loans!$E396), Loans!BV394&lt;&gt;0), 1, 0)</f>
        <v>0</v>
      </c>
      <c r="BX396" s="7">
        <f>IF(AND(OR( BX$5&gt;$G396, Timeline!BX$8&lt;Loans!$E396), Loans!BX394&lt;&gt;0), 1, 0)</f>
        <v>0</v>
      </c>
      <c r="BY396" s="7">
        <f>IF(AND(OR( BY$5&gt;$G396, Timeline!BY$8&lt;Loans!$E396), Loans!BY394&lt;&gt;0), 1, 0)</f>
        <v>0</v>
      </c>
      <c r="BZ396" s="7">
        <f>IF(AND(OR( BZ$5&gt;$G396, Timeline!BZ$8&lt;Loans!$E396), Loans!BZ394&lt;&gt;0), 1, 0)</f>
        <v>0</v>
      </c>
      <c r="CA396" s="7">
        <f>IF(AND(OR( CA$5&gt;$G396, Timeline!CA$8&lt;Loans!$E396), Loans!CA394&lt;&gt;0), 1, 0)</f>
        <v>0</v>
      </c>
      <c r="CB396" s="7">
        <f>IF(AND(OR( CB$5&gt;$G396, Timeline!CB$8&lt;Loans!$E396), Loans!CB394&lt;&gt;0), 1, 0)</f>
        <v>0</v>
      </c>
      <c r="CC396" s="7">
        <f>IF(AND(OR( CC$5&gt;$G396, Timeline!CC$8&lt;Loans!$E396), Loans!CC394&lt;&gt;0), 1, 0)</f>
        <v>0</v>
      </c>
      <c r="CD396" s="7">
        <f>IF(AND(OR( CD$5&gt;$G396, Timeline!CD$8&lt;Loans!$E396), Loans!CD394&lt;&gt;0), 1, 0)</f>
        <v>0</v>
      </c>
      <c r="CE396" s="7">
        <f>IF(AND(OR( CE$5&gt;$G396, Timeline!CE$8&lt;Loans!$E396), Loans!CE394&lt;&gt;0), 1, 0)</f>
        <v>0</v>
      </c>
      <c r="CF396" s="7">
        <f>IF(AND(OR( CF$5&gt;$G396, Timeline!CF$8&lt;Loans!$E396), Loans!CF394&lt;&gt;0), 1, 0)</f>
        <v>0</v>
      </c>
      <c r="CG396" s="7">
        <f>IF(AND(OR( CG$5&gt;$G396, Timeline!CG$8&lt;Loans!$E396), Loans!CG394&lt;&gt;0), 1, 0)</f>
        <v>0</v>
      </c>
      <c r="CH396" s="7">
        <f>IF(AND(OR( CH$5&gt;$G396, Timeline!CH$8&lt;Loans!$E396), Loans!CH394&lt;&gt;0), 1, 0)</f>
        <v>0</v>
      </c>
      <c r="CI396" s="7">
        <f>IF(AND(OR( CI$5&gt;$G396, Timeline!CI$8&lt;Loans!$E396), Loans!CI394&lt;&gt;0), 1, 0)</f>
        <v>0</v>
      </c>
      <c r="CK396" s="11"/>
      <c r="CM396" s="11"/>
      <c r="CX396" s="7">
        <f>IF(MAX($V396:$CI396)&gt;0, 1, 0)</f>
        <v>0</v>
      </c>
      <c r="DF396" s="11"/>
      <c r="DG396">
        <f t="shared" si="290"/>
        <v>1</v>
      </c>
      <c r="DH396">
        <v>0</v>
      </c>
      <c r="DI396">
        <v>0</v>
      </c>
      <c r="EY396" s="12" t="str">
        <f>IF(C396="", "", CONCATENATE(D379, " ",D396))</f>
        <v/>
      </c>
    </row>
    <row r="397" spans="1:155" ht="6.75" customHeight="1" x14ac:dyDescent="0.35">
      <c r="C397" s="211"/>
      <c r="D397" s="1"/>
      <c r="E397"/>
      <c r="F397"/>
      <c r="BY397" s="6"/>
      <c r="CK397" s="35"/>
      <c r="CM397" s="35"/>
      <c r="DF397" s="35"/>
      <c r="DG397">
        <f t="shared" si="290"/>
        <v>0</v>
      </c>
      <c r="DH397">
        <v>0</v>
      </c>
      <c r="DI397">
        <v>0</v>
      </c>
      <c r="EY397" s="10" t="str">
        <f>IF($C397="","",$D397)</f>
        <v/>
      </c>
    </row>
    <row r="398" spans="1:155" x14ac:dyDescent="0.35">
      <c r="A398" s="53"/>
      <c r="C398" s="211"/>
      <c r="D398" s="53" t="s">
        <v>1214</v>
      </c>
      <c r="E398" s="53"/>
      <c r="F398" s="53"/>
      <c r="G398" s="53"/>
      <c r="H398" s="53"/>
      <c r="I398" s="53"/>
      <c r="J398" s="53"/>
      <c r="M398" s="53"/>
      <c r="N398" s="53"/>
      <c r="O398" s="53"/>
      <c r="P398" s="53"/>
      <c r="Q398" s="53"/>
      <c r="R398" s="53"/>
      <c r="CK398" s="11"/>
      <c r="CM398" s="11"/>
      <c r="DF398" s="11"/>
      <c r="DG398">
        <f t="shared" si="290"/>
        <v>0</v>
      </c>
      <c r="DH398">
        <v>0</v>
      </c>
      <c r="DI398">
        <v>0</v>
      </c>
      <c r="EY398" s="10" t="str">
        <f>IF($C398="","",$D398)</f>
        <v/>
      </c>
    </row>
    <row r="399" spans="1:155" x14ac:dyDescent="0.35">
      <c r="C399" s="211" t="s">
        <v>1215</v>
      </c>
      <c r="D399" t="s">
        <v>1073</v>
      </c>
      <c r="H399" s="9" t="s">
        <v>1074</v>
      </c>
      <c r="I399" s="40" t="s">
        <v>317</v>
      </c>
      <c r="V399" s="109"/>
      <c r="W399" s="133">
        <f>V403</f>
        <v>0</v>
      </c>
      <c r="X399" s="133">
        <f>W403</f>
        <v>0</v>
      </c>
      <c r="Y399" s="10">
        <f>X403</f>
        <v>0</v>
      </c>
      <c r="AA399" s="12">
        <f>W399</f>
        <v>0</v>
      </c>
      <c r="AB399" s="10">
        <f t="shared" ref="AB399:BV399" si="307">AA403</f>
        <v>0</v>
      </c>
      <c r="AC399" s="10">
        <f t="shared" si="307"/>
        <v>0</v>
      </c>
      <c r="AD399" s="10">
        <f t="shared" si="307"/>
        <v>0</v>
      </c>
      <c r="AE399" s="10">
        <f t="shared" si="307"/>
        <v>0</v>
      </c>
      <c r="AF399" s="10">
        <f t="shared" si="307"/>
        <v>0</v>
      </c>
      <c r="AG399" s="10">
        <f t="shared" si="307"/>
        <v>0</v>
      </c>
      <c r="AH399" s="10">
        <f t="shared" si="307"/>
        <v>0</v>
      </c>
      <c r="AI399" s="10">
        <f t="shared" si="307"/>
        <v>0</v>
      </c>
      <c r="AJ399" s="10">
        <f t="shared" si="307"/>
        <v>0</v>
      </c>
      <c r="AK399" s="10">
        <f t="shared" si="307"/>
        <v>0</v>
      </c>
      <c r="AL399" s="10">
        <f t="shared" si="307"/>
        <v>0</v>
      </c>
      <c r="AM399" s="10">
        <f t="shared" si="307"/>
        <v>0</v>
      </c>
      <c r="AN399" s="10">
        <f t="shared" si="307"/>
        <v>0</v>
      </c>
      <c r="AO399" s="10">
        <f t="shared" si="307"/>
        <v>0</v>
      </c>
      <c r="AP399" s="10">
        <f t="shared" si="307"/>
        <v>0</v>
      </c>
      <c r="AQ399" s="10">
        <f t="shared" si="307"/>
        <v>0</v>
      </c>
      <c r="AR399" s="10">
        <f t="shared" si="307"/>
        <v>0</v>
      </c>
      <c r="AS399" s="10">
        <f t="shared" si="307"/>
        <v>0</v>
      </c>
      <c r="AT399" s="10">
        <f t="shared" si="307"/>
        <v>0</v>
      </c>
      <c r="AU399" s="10">
        <f t="shared" si="307"/>
        <v>0</v>
      </c>
      <c r="AV399" s="10">
        <f t="shared" si="307"/>
        <v>0</v>
      </c>
      <c r="AW399" s="10">
        <f t="shared" si="307"/>
        <v>0</v>
      </c>
      <c r="AX399" s="10">
        <f t="shared" si="307"/>
        <v>0</v>
      </c>
      <c r="AY399" s="10">
        <f t="shared" si="307"/>
        <v>0</v>
      </c>
      <c r="AZ399" s="10">
        <f t="shared" si="307"/>
        <v>0</v>
      </c>
      <c r="BA399" s="10">
        <f t="shared" si="307"/>
        <v>0</v>
      </c>
      <c r="BB399" s="10">
        <f t="shared" si="307"/>
        <v>0</v>
      </c>
      <c r="BC399" s="10">
        <f t="shared" si="307"/>
        <v>0</v>
      </c>
      <c r="BD399" s="10">
        <f t="shared" si="307"/>
        <v>0</v>
      </c>
      <c r="BE399" s="10">
        <f t="shared" si="307"/>
        <v>0</v>
      </c>
      <c r="BF399" s="10">
        <f t="shared" si="307"/>
        <v>0</v>
      </c>
      <c r="BG399" s="10">
        <f t="shared" si="307"/>
        <v>0</v>
      </c>
      <c r="BH399" s="10">
        <f t="shared" si="307"/>
        <v>0</v>
      </c>
      <c r="BI399" s="10">
        <f t="shared" si="307"/>
        <v>0</v>
      </c>
      <c r="BJ399" s="10">
        <f t="shared" si="307"/>
        <v>0</v>
      </c>
      <c r="BK399" s="10">
        <f t="shared" si="307"/>
        <v>0</v>
      </c>
      <c r="BL399" s="10">
        <f t="shared" si="307"/>
        <v>0</v>
      </c>
      <c r="BM399" s="10">
        <f t="shared" si="307"/>
        <v>0</v>
      </c>
      <c r="BN399" s="10">
        <f t="shared" si="307"/>
        <v>0</v>
      </c>
      <c r="BO399" s="10">
        <f t="shared" si="307"/>
        <v>0</v>
      </c>
      <c r="BP399" s="10">
        <f t="shared" si="307"/>
        <v>0</v>
      </c>
      <c r="BQ399" s="10">
        <f t="shared" si="307"/>
        <v>0</v>
      </c>
      <c r="BR399" s="10">
        <f t="shared" si="307"/>
        <v>0</v>
      </c>
      <c r="BS399" s="10">
        <f t="shared" si="307"/>
        <v>0</v>
      </c>
      <c r="BT399" s="10">
        <f t="shared" si="307"/>
        <v>0</v>
      </c>
      <c r="BU399" s="10">
        <f t="shared" si="307"/>
        <v>0</v>
      </c>
      <c r="BV399" s="10">
        <f t="shared" si="307"/>
        <v>0</v>
      </c>
      <c r="BX399" s="12">
        <f t="shared" ref="BX399:CA403" si="308">V399</f>
        <v>0</v>
      </c>
      <c r="BY399" s="12">
        <f t="shared" si="308"/>
        <v>0</v>
      </c>
      <c r="BZ399" s="12">
        <f t="shared" si="308"/>
        <v>0</v>
      </c>
      <c r="CA399" s="12">
        <f t="shared" si="308"/>
        <v>0</v>
      </c>
      <c r="CB399" s="10">
        <f t="shared" ref="CB399:CI399" si="309">CA403</f>
        <v>0</v>
      </c>
      <c r="CC399" s="10">
        <f t="shared" si="309"/>
        <v>0</v>
      </c>
      <c r="CD399" s="10">
        <f t="shared" si="309"/>
        <v>0</v>
      </c>
      <c r="CE399" s="10">
        <f t="shared" si="309"/>
        <v>0</v>
      </c>
      <c r="CF399" s="10">
        <f t="shared" si="309"/>
        <v>0</v>
      </c>
      <c r="CG399" s="10">
        <f t="shared" si="309"/>
        <v>0</v>
      </c>
      <c r="CH399" s="10">
        <f t="shared" si="309"/>
        <v>0</v>
      </c>
      <c r="CI399" s="10">
        <f t="shared" si="309"/>
        <v>0</v>
      </c>
      <c r="CK399" s="11"/>
      <c r="CM399" s="11"/>
      <c r="CY399" s="7" cm="1">
        <f t="array" ref="CY399">SUMPRODUCT(--NOT(ISNUMBER(V399:CI399)),--NOT(ISBLANK(V399:CI399)))</f>
        <v>0</v>
      </c>
      <c r="DF399" s="11"/>
      <c r="DG399">
        <f t="shared" si="290"/>
        <v>0</v>
      </c>
      <c r="DH399">
        <v>1</v>
      </c>
      <c r="DI399">
        <v>0</v>
      </c>
      <c r="EY399" s="12" t="str">
        <f>IF(C399="", "", CONCATENATE(D398, " ",D399))</f>
        <v>Loan 19 Opening Loan Balance</v>
      </c>
    </row>
    <row r="400" spans="1:155" s="5" customFormat="1" x14ac:dyDescent="0.35">
      <c r="A400" s="220" cm="1">
        <f t="array" aca="1" ref="A400" ca="1">HYPERLINK(CONCATENATE("#",CELL("address",IF(MAX($CM400:$DF400)=0,A400,INDEX($CM400:$DF400,MATCH(1,$CM400:$DF400,0))))),MAX($CM400:$DF400))</f>
        <v>0</v>
      </c>
      <c r="B400"/>
      <c r="C400" s="211" t="s">
        <v>1216</v>
      </c>
      <c r="D400" t="s">
        <v>1076</v>
      </c>
      <c r="E400" s="1"/>
      <c r="F400" s="1"/>
      <c r="G400"/>
      <c r="H400" s="9" t="s">
        <v>1074</v>
      </c>
      <c r="I400" s="40" t="s">
        <v>665</v>
      </c>
      <c r="J400"/>
      <c r="K400"/>
      <c r="L400"/>
      <c r="M400"/>
      <c r="N400"/>
      <c r="O400"/>
      <c r="P400"/>
      <c r="Q400"/>
      <c r="R400"/>
      <c r="S400"/>
      <c r="T400"/>
      <c r="U400"/>
      <c r="V400" s="109"/>
      <c r="W400" s="133">
        <f t="shared" ref="W400:Y402" si="310" xml:space="preserve"> SUMIFS($AA400:$BV400, $AA$3:$BV$3, W$3)</f>
        <v>0</v>
      </c>
      <c r="X400" s="133">
        <f t="shared" si="310"/>
        <v>0</v>
      </c>
      <c r="Y400" s="133">
        <f t="shared" si="310"/>
        <v>0</v>
      </c>
      <c r="Z400"/>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c r="BX400" s="12">
        <f t="shared" si="308"/>
        <v>0</v>
      </c>
      <c r="BY400" s="12">
        <f t="shared" si="308"/>
        <v>0</v>
      </c>
      <c r="BZ400" s="12">
        <f t="shared" si="308"/>
        <v>0</v>
      </c>
      <c r="CA400" s="12">
        <f t="shared" si="308"/>
        <v>0</v>
      </c>
      <c r="CB400" s="133">
        <f xml:space="preserve"> SUMIFS($AA400:$BV400, $AA$3:$BV$3, CB$3)</f>
        <v>0</v>
      </c>
      <c r="CC400" s="109"/>
      <c r="CD400" s="109"/>
      <c r="CE400" s="109"/>
      <c r="CF400" s="109"/>
      <c r="CG400" s="109"/>
      <c r="CH400" s="109"/>
      <c r="CI400" s="109"/>
      <c r="CJ400"/>
      <c r="CK400" s="11"/>
      <c r="CL400" s="241">
        <f>IF(MIN($V400:$CI400)&lt;0, 1, 0)</f>
        <v>0</v>
      </c>
      <c r="CM400" s="11"/>
      <c r="CN400"/>
      <c r="CO400"/>
      <c r="CP400"/>
      <c r="CQ400"/>
      <c r="CR400"/>
      <c r="CS400"/>
      <c r="CT400"/>
      <c r="CU400"/>
      <c r="CV400"/>
      <c r="CW400"/>
      <c r="CX400"/>
      <c r="CY400" s="7" cm="1">
        <f t="array" ref="CY400">SUMPRODUCT(--NOT(ISNUMBER(V400:CI400)),--NOT(ISBLANK(V400:CI400)))</f>
        <v>0</v>
      </c>
      <c r="CZ400" s="7">
        <f t="shared" ref="CZ400:DB402" si="311">IF(ROUND(W400-SUMIFS($AA400:$BV400, $AA$3:$BV$3, W$3), rounding)=0, 0, 1)</f>
        <v>0</v>
      </c>
      <c r="DA400" s="7">
        <f t="shared" si="311"/>
        <v>0</v>
      </c>
      <c r="DB400" s="7">
        <f t="shared" si="311"/>
        <v>0</v>
      </c>
      <c r="DC400" s="7">
        <f>IF(ROUND(CB400-SUMIFS($AA400:$BV400, $AA$3:$BV$3, CB$3), rounding)=0, 0, 1)</f>
        <v>0</v>
      </c>
      <c r="DD400" s="7">
        <f>IF(ROUND(V400-BX400, rounding)=0, 0, 1)*'BS Forecasts'!$V$10</f>
        <v>0</v>
      </c>
      <c r="DE400"/>
      <c r="DF400" s="11"/>
      <c r="DG400">
        <f t="shared" si="290"/>
        <v>0</v>
      </c>
      <c r="DH400">
        <v>1</v>
      </c>
      <c r="DI400">
        <v>1</v>
      </c>
      <c r="EY400" s="12" t="str">
        <f>IF(C400="", "", CONCATENATE(D398, " ",D400))</f>
        <v>Loan 19 Drawdowns</v>
      </c>
    </row>
    <row r="401" spans="1:155" x14ac:dyDescent="0.35">
      <c r="A401" s="220" cm="1">
        <f t="array" aca="1" ref="A401" ca="1">HYPERLINK(CONCATENATE("#",CELL("address",IF(MAX($CM401:$DF401)=0,A401,INDEX($CM401:$DF401,MATCH(1,$CM401:$DF401,0))))),MAX($CM401:$DF401))</f>
        <v>0</v>
      </c>
      <c r="C401" s="211" t="s">
        <v>1217</v>
      </c>
      <c r="D401" t="s">
        <v>1078</v>
      </c>
      <c r="H401" s="9" t="s">
        <v>1074</v>
      </c>
      <c r="I401" s="40" t="s">
        <v>1079</v>
      </c>
      <c r="V401" s="109"/>
      <c r="W401" s="133">
        <f t="shared" si="310"/>
        <v>0</v>
      </c>
      <c r="X401" s="133">
        <f t="shared" si="310"/>
        <v>0</v>
      </c>
      <c r="Y401" s="133">
        <f t="shared" si="310"/>
        <v>0</v>
      </c>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X401" s="12">
        <f t="shared" si="308"/>
        <v>0</v>
      </c>
      <c r="BY401" s="12">
        <f t="shared" si="308"/>
        <v>0</v>
      </c>
      <c r="BZ401" s="12">
        <f t="shared" si="308"/>
        <v>0</v>
      </c>
      <c r="CA401" s="12">
        <f t="shared" si="308"/>
        <v>0</v>
      </c>
      <c r="CB401" s="133">
        <f xml:space="preserve"> SUMIFS($AA401:$BV401, $AA$3:$BV$3, CB$3)</f>
        <v>0</v>
      </c>
      <c r="CC401" s="109"/>
      <c r="CD401" s="109"/>
      <c r="CE401" s="109"/>
      <c r="CF401" s="109"/>
      <c r="CG401" s="109"/>
      <c r="CH401" s="109"/>
      <c r="CI401" s="109"/>
      <c r="CK401" s="11"/>
      <c r="CL401" s="241">
        <f>IF(MAX($V401:$CI401)&gt;0, 1, 0)</f>
        <v>0</v>
      </c>
      <c r="CM401" s="11"/>
      <c r="CY401" s="7" cm="1">
        <f t="array" ref="CY401">SUMPRODUCT(--NOT(ISNUMBER(V401:CI401)),--NOT(ISBLANK(V401:CI401)))</f>
        <v>0</v>
      </c>
      <c r="CZ401" s="7">
        <f t="shared" si="311"/>
        <v>0</v>
      </c>
      <c r="DA401" s="7">
        <f t="shared" si="311"/>
        <v>0</v>
      </c>
      <c r="DB401" s="7">
        <f t="shared" si="311"/>
        <v>0</v>
      </c>
      <c r="DC401" s="7">
        <f>IF(ROUND(CB401-SUMIFS($AA401:$BV401, $AA$3:$BV$3, CB$3), rounding)=0, 0, 1)</f>
        <v>0</v>
      </c>
      <c r="DD401" s="7">
        <f>IF(ROUND(V401-BX401, rounding)=0, 0, 1)*'BS Forecasts'!$V$10</f>
        <v>0</v>
      </c>
      <c r="DF401" s="11"/>
      <c r="DG401">
        <f t="shared" si="290"/>
        <v>0</v>
      </c>
      <c r="DH401">
        <v>1</v>
      </c>
      <c r="DI401">
        <v>1</v>
      </c>
      <c r="EY401" s="12" t="str">
        <f>IF(C401="", "", CONCATENATE(D398, " ",D401))</f>
        <v>Loan 19 Loan Capital Repayment (as per loan agreement)</v>
      </c>
    </row>
    <row r="402" spans="1:155" x14ac:dyDescent="0.35">
      <c r="A402" s="220" cm="1">
        <f t="array" aca="1" ref="A402" ca="1">HYPERLINK(CONCATENATE("#",CELL("address",IF(MAX($CM402:$DF402)=0,A402,INDEX($CM402:$DF402,MATCH(1,$CM402:$DF402,0))))),MAX($CM402:$DF402))</f>
        <v>0</v>
      </c>
      <c r="C402" s="211" t="s">
        <v>1218</v>
      </c>
      <c r="D402" t="s">
        <v>1081</v>
      </c>
      <c r="H402" s="9" t="s">
        <v>1074</v>
      </c>
      <c r="I402" s="40" t="s">
        <v>1079</v>
      </c>
      <c r="V402" s="109"/>
      <c r="W402" s="133">
        <f t="shared" si="310"/>
        <v>0</v>
      </c>
      <c r="X402" s="133">
        <f t="shared" si="310"/>
        <v>0</v>
      </c>
      <c r="Y402" s="133">
        <f t="shared" si="310"/>
        <v>0</v>
      </c>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X402" s="12">
        <f t="shared" si="308"/>
        <v>0</v>
      </c>
      <c r="BY402" s="12">
        <f t="shared" si="308"/>
        <v>0</v>
      </c>
      <c r="BZ402" s="12">
        <f t="shared" si="308"/>
        <v>0</v>
      </c>
      <c r="CA402" s="12">
        <f t="shared" si="308"/>
        <v>0</v>
      </c>
      <c r="CB402" s="133">
        <f xml:space="preserve"> SUMIFS($AA402:$BV402, $AA$3:$BV$3, CB$3)</f>
        <v>0</v>
      </c>
      <c r="CC402" s="109"/>
      <c r="CD402" s="109"/>
      <c r="CE402" s="109"/>
      <c r="CF402" s="109"/>
      <c r="CG402" s="109"/>
      <c r="CH402" s="109"/>
      <c r="CI402" s="109"/>
      <c r="CK402" s="11"/>
      <c r="CL402" s="241">
        <f>IF(MAX($V402:$CI402)&gt;0, 1, 0)</f>
        <v>0</v>
      </c>
      <c r="CM402" s="11"/>
      <c r="CY402" s="7" cm="1">
        <f t="array" ref="CY402">SUMPRODUCT(--NOT(ISNUMBER(V402:CI402)),--NOT(ISBLANK(V402:CI402)))</f>
        <v>0</v>
      </c>
      <c r="CZ402" s="7">
        <f t="shared" si="311"/>
        <v>0</v>
      </c>
      <c r="DA402" s="7">
        <f t="shared" si="311"/>
        <v>0</v>
      </c>
      <c r="DB402" s="7">
        <f t="shared" si="311"/>
        <v>0</v>
      </c>
      <c r="DC402" s="7">
        <f>IF(ROUND(CB402-SUMIFS($AA402:$BV402, $AA$3:$BV$3, CB$3), rounding)=0, 0, 1)</f>
        <v>0</v>
      </c>
      <c r="DD402" s="7">
        <f>IF(ROUND(V402-BX402, rounding)=0, 0, 1)*'BS Forecasts'!$V$10</f>
        <v>0</v>
      </c>
      <c r="DF402" s="11"/>
      <c r="DG402">
        <f t="shared" si="290"/>
        <v>0</v>
      </c>
      <c r="DH402">
        <v>1</v>
      </c>
      <c r="DI402">
        <v>1</v>
      </c>
      <c r="EY402" s="12" t="str">
        <f>IF(C402="", "", CONCATENATE(D398, " ",D402))</f>
        <v xml:space="preserve">Loan 19 Early Repayment </v>
      </c>
    </row>
    <row r="403" spans="1:155" x14ac:dyDescent="0.35">
      <c r="C403" s="211" t="s">
        <v>1219</v>
      </c>
      <c r="D403" t="s">
        <v>1083</v>
      </c>
      <c r="H403" s="9" t="s">
        <v>1074</v>
      </c>
      <c r="I403" s="40" t="s">
        <v>317</v>
      </c>
      <c r="V403" s="12">
        <f>$H$31</f>
        <v>0</v>
      </c>
      <c r="W403" s="10">
        <f>SUM(W399:W402)</f>
        <v>0</v>
      </c>
      <c r="X403" s="10">
        <f>SUM(X399:X402)</f>
        <v>0</v>
      </c>
      <c r="Y403" s="10">
        <f>SUM(Y399:Y402)</f>
        <v>0</v>
      </c>
      <c r="AA403" s="10">
        <f t="shared" ref="AA403:BV403" si="312">SUM(AA399:AA402)</f>
        <v>0</v>
      </c>
      <c r="AB403" s="10">
        <f t="shared" si="312"/>
        <v>0</v>
      </c>
      <c r="AC403" s="10">
        <f t="shared" si="312"/>
        <v>0</v>
      </c>
      <c r="AD403" s="10">
        <f t="shared" si="312"/>
        <v>0</v>
      </c>
      <c r="AE403" s="10">
        <f t="shared" si="312"/>
        <v>0</v>
      </c>
      <c r="AF403" s="10">
        <f t="shared" si="312"/>
        <v>0</v>
      </c>
      <c r="AG403" s="10">
        <f t="shared" si="312"/>
        <v>0</v>
      </c>
      <c r="AH403" s="10">
        <f t="shared" si="312"/>
        <v>0</v>
      </c>
      <c r="AI403" s="10">
        <f t="shared" si="312"/>
        <v>0</v>
      </c>
      <c r="AJ403" s="10">
        <f t="shared" si="312"/>
        <v>0</v>
      </c>
      <c r="AK403" s="10">
        <f t="shared" si="312"/>
        <v>0</v>
      </c>
      <c r="AL403" s="10">
        <f t="shared" si="312"/>
        <v>0</v>
      </c>
      <c r="AM403" s="10">
        <f t="shared" si="312"/>
        <v>0</v>
      </c>
      <c r="AN403" s="10">
        <f t="shared" si="312"/>
        <v>0</v>
      </c>
      <c r="AO403" s="10">
        <f t="shared" si="312"/>
        <v>0</v>
      </c>
      <c r="AP403" s="10">
        <f t="shared" si="312"/>
        <v>0</v>
      </c>
      <c r="AQ403" s="10">
        <f t="shared" si="312"/>
        <v>0</v>
      </c>
      <c r="AR403" s="10">
        <f t="shared" si="312"/>
        <v>0</v>
      </c>
      <c r="AS403" s="10">
        <f t="shared" si="312"/>
        <v>0</v>
      </c>
      <c r="AT403" s="10">
        <f t="shared" si="312"/>
        <v>0</v>
      </c>
      <c r="AU403" s="10">
        <f t="shared" si="312"/>
        <v>0</v>
      </c>
      <c r="AV403" s="10">
        <f t="shared" si="312"/>
        <v>0</v>
      </c>
      <c r="AW403" s="10">
        <f t="shared" si="312"/>
        <v>0</v>
      </c>
      <c r="AX403" s="10">
        <f t="shared" si="312"/>
        <v>0</v>
      </c>
      <c r="AY403" s="10">
        <f t="shared" si="312"/>
        <v>0</v>
      </c>
      <c r="AZ403" s="10">
        <f t="shared" si="312"/>
        <v>0</v>
      </c>
      <c r="BA403" s="10">
        <f t="shared" si="312"/>
        <v>0</v>
      </c>
      <c r="BB403" s="10">
        <f t="shared" si="312"/>
        <v>0</v>
      </c>
      <c r="BC403" s="10">
        <f t="shared" si="312"/>
        <v>0</v>
      </c>
      <c r="BD403" s="10">
        <f t="shared" si="312"/>
        <v>0</v>
      </c>
      <c r="BE403" s="10">
        <f t="shared" si="312"/>
        <v>0</v>
      </c>
      <c r="BF403" s="10">
        <f t="shared" si="312"/>
        <v>0</v>
      </c>
      <c r="BG403" s="10">
        <f t="shared" si="312"/>
        <v>0</v>
      </c>
      <c r="BH403" s="10">
        <f t="shared" si="312"/>
        <v>0</v>
      </c>
      <c r="BI403" s="10">
        <f t="shared" si="312"/>
        <v>0</v>
      </c>
      <c r="BJ403" s="10">
        <f t="shared" si="312"/>
        <v>0</v>
      </c>
      <c r="BK403" s="10">
        <f t="shared" si="312"/>
        <v>0</v>
      </c>
      <c r="BL403" s="10">
        <f t="shared" si="312"/>
        <v>0</v>
      </c>
      <c r="BM403" s="10">
        <f t="shared" si="312"/>
        <v>0</v>
      </c>
      <c r="BN403" s="10">
        <f t="shared" si="312"/>
        <v>0</v>
      </c>
      <c r="BO403" s="10">
        <f t="shared" si="312"/>
        <v>0</v>
      </c>
      <c r="BP403" s="10">
        <f t="shared" si="312"/>
        <v>0</v>
      </c>
      <c r="BQ403" s="10">
        <f t="shared" si="312"/>
        <v>0</v>
      </c>
      <c r="BR403" s="10">
        <f t="shared" si="312"/>
        <v>0</v>
      </c>
      <c r="BS403" s="10">
        <f t="shared" si="312"/>
        <v>0</v>
      </c>
      <c r="BT403" s="10">
        <f t="shared" si="312"/>
        <v>0</v>
      </c>
      <c r="BU403" s="10">
        <f t="shared" si="312"/>
        <v>0</v>
      </c>
      <c r="BV403" s="10">
        <f t="shared" si="312"/>
        <v>0</v>
      </c>
      <c r="BX403" s="12">
        <f t="shared" si="308"/>
        <v>0</v>
      </c>
      <c r="BY403" s="12">
        <f t="shared" si="308"/>
        <v>0</v>
      </c>
      <c r="BZ403" s="12">
        <f t="shared" si="308"/>
        <v>0</v>
      </c>
      <c r="CA403" s="12">
        <f t="shared" si="308"/>
        <v>0</v>
      </c>
      <c r="CB403" s="10">
        <f t="shared" ref="CB403:CI403" si="313">SUM(CB399:CB402)</f>
        <v>0</v>
      </c>
      <c r="CC403" s="10">
        <f t="shared" si="313"/>
        <v>0</v>
      </c>
      <c r="CD403" s="10">
        <f t="shared" si="313"/>
        <v>0</v>
      </c>
      <c r="CE403" s="10">
        <f t="shared" si="313"/>
        <v>0</v>
      </c>
      <c r="CF403" s="10">
        <f t="shared" si="313"/>
        <v>0</v>
      </c>
      <c r="CG403" s="10">
        <f t="shared" si="313"/>
        <v>0</v>
      </c>
      <c r="CH403" s="10">
        <f t="shared" si="313"/>
        <v>0</v>
      </c>
      <c r="CI403" s="10">
        <f t="shared" si="313"/>
        <v>0</v>
      </c>
      <c r="CK403" s="11"/>
      <c r="CM403" s="11"/>
      <c r="DF403" s="11"/>
      <c r="DG403">
        <f t="shared" si="290"/>
        <v>0</v>
      </c>
      <c r="DH403">
        <v>0</v>
      </c>
      <c r="DI403">
        <v>0</v>
      </c>
      <c r="EY403" s="12" t="str">
        <f>IF(C403="", "", CONCATENATE(D398, " ",D403))</f>
        <v>Loan 19 Closing Loan Balance</v>
      </c>
    </row>
    <row r="404" spans="1:155" ht="6.75" customHeight="1" x14ac:dyDescent="0.35">
      <c r="C404" s="211"/>
      <c r="D404" s="1"/>
      <c r="E404"/>
      <c r="F404"/>
      <c r="BY404" s="6"/>
      <c r="CK404" s="35"/>
      <c r="CM404" s="35"/>
      <c r="DF404" s="35"/>
      <c r="DG404">
        <f t="shared" si="290"/>
        <v>0</v>
      </c>
      <c r="DH404">
        <v>0</v>
      </c>
      <c r="DI404">
        <v>0</v>
      </c>
      <c r="EY404" s="12" t="str">
        <f>IF(C404="", "", CONCATENATE(D398, " ",D404))</f>
        <v/>
      </c>
    </row>
    <row r="405" spans="1:155" x14ac:dyDescent="0.35">
      <c r="A405" s="220" cm="1">
        <f t="array" aca="1" ref="A405" ca="1">HYPERLINK(CONCATENATE("#",CELL("address",IF(MAX($CM405:$DF405)=0,A405,INDEX($CM405:$DF405,MATCH(1,$CM405:$DF405,0))))),MAX($CM405:$DF405))</f>
        <v>0</v>
      </c>
      <c r="C405" s="211"/>
      <c r="D405" t="s">
        <v>1084</v>
      </c>
      <c r="E405" s="118" t="s">
        <v>1085</v>
      </c>
      <c r="F405" s="118"/>
      <c r="G405" s="10">
        <f>$G$31</f>
        <v>0</v>
      </c>
      <c r="V405" s="7">
        <f>IF(OR(V403&gt;$G405, V403&lt;0), 1, 0)</f>
        <v>0</v>
      </c>
      <c r="W405" s="7">
        <f>IF(OR(W403&gt;$G405, W403&lt;0), 1, 0)</f>
        <v>0</v>
      </c>
      <c r="X405" s="7">
        <f>IF(OR(X403&gt;$G405, X403&lt;0), 1, 0)</f>
        <v>0</v>
      </c>
      <c r="Y405" s="7">
        <f>IF(OR(Y403&gt;$G405, Y403&lt;0), 1, 0)</f>
        <v>0</v>
      </c>
      <c r="AA405" s="7">
        <f t="shared" ref="AA405:BV405" si="314">IF(OR(AA403&gt;$G405, AA403&lt;0), 1, 0)</f>
        <v>0</v>
      </c>
      <c r="AB405" s="7">
        <f t="shared" si="314"/>
        <v>0</v>
      </c>
      <c r="AC405" s="7">
        <f t="shared" si="314"/>
        <v>0</v>
      </c>
      <c r="AD405" s="7">
        <f t="shared" si="314"/>
        <v>0</v>
      </c>
      <c r="AE405" s="7">
        <f t="shared" si="314"/>
        <v>0</v>
      </c>
      <c r="AF405" s="7">
        <f t="shared" si="314"/>
        <v>0</v>
      </c>
      <c r="AG405" s="7">
        <f t="shared" si="314"/>
        <v>0</v>
      </c>
      <c r="AH405" s="7">
        <f t="shared" si="314"/>
        <v>0</v>
      </c>
      <c r="AI405" s="7">
        <f t="shared" si="314"/>
        <v>0</v>
      </c>
      <c r="AJ405" s="7">
        <f t="shared" si="314"/>
        <v>0</v>
      </c>
      <c r="AK405" s="7">
        <f t="shared" si="314"/>
        <v>0</v>
      </c>
      <c r="AL405" s="7">
        <f t="shared" si="314"/>
        <v>0</v>
      </c>
      <c r="AM405" s="7">
        <f t="shared" si="314"/>
        <v>0</v>
      </c>
      <c r="AN405" s="7">
        <f t="shared" si="314"/>
        <v>0</v>
      </c>
      <c r="AO405" s="7">
        <f t="shared" si="314"/>
        <v>0</v>
      </c>
      <c r="AP405" s="7">
        <f t="shared" si="314"/>
        <v>0</v>
      </c>
      <c r="AQ405" s="7">
        <f t="shared" si="314"/>
        <v>0</v>
      </c>
      <c r="AR405" s="7">
        <f t="shared" si="314"/>
        <v>0</v>
      </c>
      <c r="AS405" s="7">
        <f t="shared" si="314"/>
        <v>0</v>
      </c>
      <c r="AT405" s="7">
        <f t="shared" si="314"/>
        <v>0</v>
      </c>
      <c r="AU405" s="7">
        <f t="shared" si="314"/>
        <v>0</v>
      </c>
      <c r="AV405" s="7">
        <f t="shared" si="314"/>
        <v>0</v>
      </c>
      <c r="AW405" s="7">
        <f t="shared" si="314"/>
        <v>0</v>
      </c>
      <c r="AX405" s="7">
        <f t="shared" si="314"/>
        <v>0</v>
      </c>
      <c r="AY405" s="7">
        <f t="shared" si="314"/>
        <v>0</v>
      </c>
      <c r="AZ405" s="7">
        <f t="shared" si="314"/>
        <v>0</v>
      </c>
      <c r="BA405" s="7">
        <f t="shared" si="314"/>
        <v>0</v>
      </c>
      <c r="BB405" s="7">
        <f t="shared" si="314"/>
        <v>0</v>
      </c>
      <c r="BC405" s="7">
        <f t="shared" si="314"/>
        <v>0</v>
      </c>
      <c r="BD405" s="7">
        <f t="shared" si="314"/>
        <v>0</v>
      </c>
      <c r="BE405" s="7">
        <f t="shared" si="314"/>
        <v>0</v>
      </c>
      <c r="BF405" s="7">
        <f t="shared" si="314"/>
        <v>0</v>
      </c>
      <c r="BG405" s="7">
        <f t="shared" si="314"/>
        <v>0</v>
      </c>
      <c r="BH405" s="7">
        <f t="shared" si="314"/>
        <v>0</v>
      </c>
      <c r="BI405" s="7">
        <f t="shared" si="314"/>
        <v>0</v>
      </c>
      <c r="BJ405" s="7">
        <f t="shared" si="314"/>
        <v>0</v>
      </c>
      <c r="BK405" s="7">
        <f t="shared" si="314"/>
        <v>0</v>
      </c>
      <c r="BL405" s="7">
        <f t="shared" si="314"/>
        <v>0</v>
      </c>
      <c r="BM405" s="7">
        <f t="shared" si="314"/>
        <v>0</v>
      </c>
      <c r="BN405" s="7">
        <f t="shared" si="314"/>
        <v>0</v>
      </c>
      <c r="BO405" s="7">
        <f t="shared" si="314"/>
        <v>0</v>
      </c>
      <c r="BP405" s="7">
        <f t="shared" si="314"/>
        <v>0</v>
      </c>
      <c r="BQ405" s="7">
        <f t="shared" si="314"/>
        <v>0</v>
      </c>
      <c r="BR405" s="7">
        <f t="shared" si="314"/>
        <v>0</v>
      </c>
      <c r="BS405" s="7">
        <f t="shared" si="314"/>
        <v>0</v>
      </c>
      <c r="BT405" s="7">
        <f t="shared" si="314"/>
        <v>0</v>
      </c>
      <c r="BU405" s="7">
        <f t="shared" si="314"/>
        <v>0</v>
      </c>
      <c r="BV405" s="7">
        <f t="shared" si="314"/>
        <v>0</v>
      </c>
      <c r="BX405" s="7">
        <f t="shared" ref="BX405:CI405" si="315">IF(OR(BX403&gt;$G405, BX403&lt;0), 1, 0)</f>
        <v>0</v>
      </c>
      <c r="BY405" s="7">
        <f t="shared" si="315"/>
        <v>0</v>
      </c>
      <c r="BZ405" s="7">
        <f t="shared" si="315"/>
        <v>0</v>
      </c>
      <c r="CA405" s="7">
        <f t="shared" si="315"/>
        <v>0</v>
      </c>
      <c r="CB405" s="7">
        <f t="shared" si="315"/>
        <v>0</v>
      </c>
      <c r="CC405" s="7">
        <f t="shared" si="315"/>
        <v>0</v>
      </c>
      <c r="CD405" s="7">
        <f t="shared" si="315"/>
        <v>0</v>
      </c>
      <c r="CE405" s="7">
        <f t="shared" si="315"/>
        <v>0</v>
      </c>
      <c r="CF405" s="7">
        <f t="shared" si="315"/>
        <v>0</v>
      </c>
      <c r="CG405" s="7">
        <f t="shared" si="315"/>
        <v>0</v>
      </c>
      <c r="CH405" s="7">
        <f t="shared" si="315"/>
        <v>0</v>
      </c>
      <c r="CI405" s="7">
        <f t="shared" si="315"/>
        <v>0</v>
      </c>
      <c r="CK405" s="11"/>
      <c r="CM405" s="11"/>
      <c r="CX405" s="7">
        <f>IF(MAX(V405:CI405)&gt;0, 1, 0)</f>
        <v>0</v>
      </c>
      <c r="DF405" s="11"/>
      <c r="DG405">
        <f t="shared" si="290"/>
        <v>1</v>
      </c>
      <c r="DH405">
        <v>0</v>
      </c>
      <c r="DI405">
        <v>0</v>
      </c>
      <c r="EY405" s="12" t="str">
        <f>IF(C405="", "", CONCATENATE(D398, " ",D405))</f>
        <v/>
      </c>
    </row>
    <row r="406" spans="1:155" x14ac:dyDescent="0.35">
      <c r="A406" s="220" cm="1">
        <f t="array" aca="1" ref="A406" ca="1">HYPERLINK(CONCATENATE("#",CELL("address",IF(MAX($CM406:$DF406)=0,A406,INDEX($CM406:$DF406,MATCH(1,$CM406:$DF406,0))))),MAX($CM406:$DF406))</f>
        <v>0</v>
      </c>
      <c r="C406" s="211"/>
      <c r="D406" t="s">
        <v>1086</v>
      </c>
      <c r="E406" s="118" t="s">
        <v>1087</v>
      </c>
      <c r="F406" s="118"/>
      <c r="G406" s="117" t="str">
        <f>IF($K$31="", "", $K$31)</f>
        <v/>
      </c>
      <c r="V406" s="7">
        <f>IF(AND(V$5&gt;=$G406,SUM(V403:$Y403)&lt;&gt;0),1,0)</f>
        <v>0</v>
      </c>
      <c r="W406" s="7">
        <f>IF(AND(W$5&gt;=$G406,SUM(W403:$Y403)&lt;&gt;0),1,0)</f>
        <v>0</v>
      </c>
      <c r="X406" s="7">
        <f>IF(AND(X$5&gt;=$G406,SUM(X403:$Y403)&lt;&gt;0),1,0)</f>
        <v>0</v>
      </c>
      <c r="Y406" s="7">
        <f>IF(AND(Y$5&gt;=$G406,SUM(Y403:$Y403)&lt;&gt;0),1,0)</f>
        <v>0</v>
      </c>
      <c r="AA406" s="7">
        <f>IF(AND(AA$5&gt;=$G406,SUM(AA403:$BV403)&lt;&gt;0),1,0)</f>
        <v>0</v>
      </c>
      <c r="AB406" s="7">
        <f>IF(AND(AB$5&gt;=$G406,SUM(AB403:$BV403)&lt;&gt;0),1,0)</f>
        <v>0</v>
      </c>
      <c r="AC406" s="7">
        <f>IF(AND(AC$5&gt;=$G406,SUM(AC403:$BV403)&lt;&gt;0),1,0)</f>
        <v>0</v>
      </c>
      <c r="AD406" s="7">
        <f>IF(AND(AD$5&gt;=$G406,SUM(AD403:$BV403)&lt;&gt;0),1,0)</f>
        <v>0</v>
      </c>
      <c r="AE406" s="7">
        <f>IF(AND(AE$5&gt;=$G406,SUM(AE403:$BV403)&lt;&gt;0),1,0)</f>
        <v>0</v>
      </c>
      <c r="AF406" s="7">
        <f>IF(AND(AF$5&gt;=$G406,SUM(AF403:$BV403)&lt;&gt;0),1,0)</f>
        <v>0</v>
      </c>
      <c r="AG406" s="7">
        <f>IF(AND(AG$5&gt;=$G406,SUM(AG403:$BV403)&lt;&gt;0),1,0)</f>
        <v>0</v>
      </c>
      <c r="AH406" s="7">
        <f>IF(AND(AH$5&gt;=$G406,SUM(AH403:$BV403)&lt;&gt;0),1,0)</f>
        <v>0</v>
      </c>
      <c r="AI406" s="7">
        <f>IF(AND(AI$5&gt;=$G406,SUM(AI403:$BV403)&lt;&gt;0),1,0)</f>
        <v>0</v>
      </c>
      <c r="AJ406" s="7">
        <f>IF(AND(AJ$5&gt;=$G406,SUM(AJ403:$BV403)&lt;&gt;0),1,0)</f>
        <v>0</v>
      </c>
      <c r="AK406" s="7">
        <f>IF(AND(AK$5&gt;=$G406,SUM(AK403:$BV403)&lt;&gt;0),1,0)</f>
        <v>0</v>
      </c>
      <c r="AL406" s="7">
        <f>IF(AND(AL$5&gt;=$G406,SUM(AL403:$BV403)&lt;&gt;0),1,0)</f>
        <v>0</v>
      </c>
      <c r="AM406" s="7">
        <f>IF(AND(AM$5&gt;=$G406,SUM(AM403:$BV403)&lt;&gt;0),1,0)</f>
        <v>0</v>
      </c>
      <c r="AN406" s="7">
        <f>IF(AND(AN$5&gt;=$G406,SUM(AN403:$BV403)&lt;&gt;0),1,0)</f>
        <v>0</v>
      </c>
      <c r="AO406" s="7">
        <f>IF(AND(AO$5&gt;=$G406,SUM(AO403:$BV403)&lt;&gt;0),1,0)</f>
        <v>0</v>
      </c>
      <c r="AP406" s="7">
        <f>IF(AND(AP$5&gt;=$G406,SUM(AP403:$BV403)&lt;&gt;0),1,0)</f>
        <v>0</v>
      </c>
      <c r="AQ406" s="7">
        <f>IF(AND(AQ$5&gt;=$G406,SUM(AQ403:$BV403)&lt;&gt;0),1,0)</f>
        <v>0</v>
      </c>
      <c r="AR406" s="7">
        <f>IF(AND(AR$5&gt;=$G406,SUM(AR403:$BV403)&lt;&gt;0),1,0)</f>
        <v>0</v>
      </c>
      <c r="AS406" s="7">
        <f>IF(AND(AS$5&gt;=$G406,SUM(AS403:$BV403)&lt;&gt;0),1,0)</f>
        <v>0</v>
      </c>
      <c r="AT406" s="7">
        <f>IF(AND(AT$5&gt;=$G406,SUM(AT403:$BV403)&lt;&gt;0),1,0)</f>
        <v>0</v>
      </c>
      <c r="AU406" s="7">
        <f>IF(AND(AU$5&gt;=$G406,SUM(AU403:$BV403)&lt;&gt;0),1,0)</f>
        <v>0</v>
      </c>
      <c r="AV406" s="7">
        <f>IF(AND(AV$5&gt;=$G406,SUM(AV403:$BV403)&lt;&gt;0),1,0)</f>
        <v>0</v>
      </c>
      <c r="AW406" s="7">
        <f>IF(AND(AW$5&gt;=$G406,SUM(AW403:$BV403)&lt;&gt;0),1,0)</f>
        <v>0</v>
      </c>
      <c r="AX406" s="7">
        <f>IF(AND(AX$5&gt;=$G406,SUM(AX403:$BV403)&lt;&gt;0),1,0)</f>
        <v>0</v>
      </c>
      <c r="AY406" s="7">
        <f>IF(AND(AY$5&gt;=$G406,SUM(AY403:$BV403)&lt;&gt;0),1,0)</f>
        <v>0</v>
      </c>
      <c r="AZ406" s="7">
        <f>IF(AND(AZ$5&gt;=$G406,SUM(AZ403:$BV403)&lt;&gt;0),1,0)</f>
        <v>0</v>
      </c>
      <c r="BA406" s="7">
        <f>IF(AND(BA$5&gt;=$G406,SUM(BA403:$BV403)&lt;&gt;0),1,0)</f>
        <v>0</v>
      </c>
      <c r="BB406" s="7">
        <f>IF(AND(BB$5&gt;=$G406,SUM(BB403:$BV403)&lt;&gt;0),1,0)</f>
        <v>0</v>
      </c>
      <c r="BC406" s="7">
        <f>IF(AND(BC$5&gt;=$G406,SUM(BC403:$BV403)&lt;&gt;0),1,0)</f>
        <v>0</v>
      </c>
      <c r="BD406" s="7">
        <f>IF(AND(BD$5&gt;=$G406,SUM(BD403:$BV403)&lt;&gt;0),1,0)</f>
        <v>0</v>
      </c>
      <c r="BE406" s="7">
        <f>IF(AND(BE$5&gt;=$G406,SUM(BE403:$BV403)&lt;&gt;0),1,0)</f>
        <v>0</v>
      </c>
      <c r="BF406" s="7">
        <f>IF(AND(BF$5&gt;=$G406,SUM(BF403:$BV403)&lt;&gt;0),1,0)</f>
        <v>0</v>
      </c>
      <c r="BG406" s="7">
        <f>IF(AND(BG$5&gt;=$G406,SUM(BG403:$BV403)&lt;&gt;0),1,0)</f>
        <v>0</v>
      </c>
      <c r="BH406" s="7">
        <f>IF(AND(BH$5&gt;=$G406,SUM(BH403:$BV403)&lt;&gt;0),1,0)</f>
        <v>0</v>
      </c>
      <c r="BI406" s="7">
        <f>IF(AND(BI$5&gt;=$G406,SUM(BI403:$BV403)&lt;&gt;0),1,0)</f>
        <v>0</v>
      </c>
      <c r="BJ406" s="7">
        <f>IF(AND(BJ$5&gt;=$G406,SUM(BJ403:$BV403)&lt;&gt;0),1,0)</f>
        <v>0</v>
      </c>
      <c r="BK406" s="7">
        <f>IF(AND(BK$5&gt;=$G406,SUM(BK403:$BV403)&lt;&gt;0),1,0)</f>
        <v>0</v>
      </c>
      <c r="BL406" s="7">
        <f>IF(AND(BL$5&gt;=$G406,SUM(BL403:$BV403)&lt;&gt;0),1,0)</f>
        <v>0</v>
      </c>
      <c r="BM406" s="7">
        <f>IF(AND(BM$5&gt;=$G406,SUM(BM403:$BV403)&lt;&gt;0),1,0)</f>
        <v>0</v>
      </c>
      <c r="BN406" s="7">
        <f>IF(AND(BN$5&gt;=$G406,SUM(BN403:$BV403)&lt;&gt;0),1,0)</f>
        <v>0</v>
      </c>
      <c r="BO406" s="7">
        <f>IF(AND(BO$5&gt;=$G406,SUM(BO403:$BV403)&lt;&gt;0),1,0)</f>
        <v>0</v>
      </c>
      <c r="BP406" s="7">
        <f>IF(AND(BP$5&gt;=$G406,SUM(BP403:$BV403)&lt;&gt;0),1,0)</f>
        <v>0</v>
      </c>
      <c r="BQ406" s="7">
        <f>IF(AND(BQ$5&gt;=$G406,SUM(BQ403:$BV403)&lt;&gt;0),1,0)</f>
        <v>0</v>
      </c>
      <c r="BR406" s="7">
        <f>IF(AND(BR$5&gt;=$G406,SUM(BR403:$BV403)&lt;&gt;0),1,0)</f>
        <v>0</v>
      </c>
      <c r="BS406" s="7">
        <f>IF(AND(BS$5&gt;=$G406,SUM(BS403:$BV403)&lt;&gt;0),1,0)</f>
        <v>0</v>
      </c>
      <c r="BT406" s="7">
        <f>IF(AND(BT$5&gt;=$G406,SUM(BT403:$BV403)&lt;&gt;0),1,0)</f>
        <v>0</v>
      </c>
      <c r="BU406" s="7">
        <f>IF(AND(BU$5&gt;=$G406,SUM(BU403:$BV403)&lt;&gt;0),1,0)</f>
        <v>0</v>
      </c>
      <c r="BV406" s="7">
        <f>IF(AND(BV$5&gt;=$G406,SUM(BV403:$BV403)&lt;&gt;0),1,0)</f>
        <v>0</v>
      </c>
      <c r="BX406" s="7">
        <f>IF(AND(BX$5&gt;=$G406,SUM(BX403:$CI403)&lt;&gt;0),1,0)*BX$1159</f>
        <v>0</v>
      </c>
      <c r="BY406" s="7">
        <f>IF(AND(BY$5&gt;=$G406,SUM(BY403:$CI403)&lt;&gt;0),1,0)*BY$1159</f>
        <v>0</v>
      </c>
      <c r="BZ406" s="7">
        <f>IF(AND(BZ$5&gt;=$G406,SUM(BZ403:$CI403)&lt;&gt;0),1,0)*BZ$1159</f>
        <v>0</v>
      </c>
      <c r="CA406" s="7">
        <f>IF(AND(CA$5&gt;=$G406,SUM(CA403:$CI403)&lt;&gt;0),1,0)*CA$1159</f>
        <v>0</v>
      </c>
      <c r="CB406" s="7">
        <f>IF(AND(CB$5&gt;=$G406,SUM(CB403:$CI403)&lt;&gt;0),1,0)*CB$1159</f>
        <v>0</v>
      </c>
      <c r="CC406" s="7">
        <f>IF(AND(CC$5&gt;=$G406,SUM(CC403:$CI403)&lt;&gt;0),1,0)*CC$1159</f>
        <v>0</v>
      </c>
      <c r="CD406" s="7">
        <f>IF(AND(CD$5&gt;=$G406,SUM(CD403:$CI403)&lt;&gt;0),1,0)*CD$1159</f>
        <v>0</v>
      </c>
      <c r="CE406" s="7">
        <f>IF(AND(CE$5&gt;=$G406,SUM(CE403:$CI403)&lt;&gt;0),1,0)*CE$1159</f>
        <v>0</v>
      </c>
      <c r="CF406" s="7">
        <f>IF(AND(CF$5&gt;=$G406,SUM(CF403:$CI403)&lt;&gt;0),1,0)*CF$1159</f>
        <v>0</v>
      </c>
      <c r="CG406" s="7">
        <f>IF(AND(CG$5&gt;=$G406,SUM(CG403:$CI403)&lt;&gt;0),1,0)*CG$1159</f>
        <v>0</v>
      </c>
      <c r="CH406" s="7">
        <f>IF(AND(CH$5&gt;=$G406,SUM(CH403:$CI403)&lt;&gt;0),1,0)*CH$1159</f>
        <v>0</v>
      </c>
      <c r="CI406" s="7">
        <f>IF(AND(CI$5&gt;=$G406,SUM(CI403:$CI403)&lt;&gt;0),1,0)*CI$1159</f>
        <v>0</v>
      </c>
      <c r="CK406" s="11"/>
      <c r="CM406" s="11"/>
      <c r="CX406" s="7">
        <f>IF(MAX($V406:$CI406)&gt;0, 1, 0)</f>
        <v>0</v>
      </c>
      <c r="DF406" s="11"/>
      <c r="DG406">
        <f t="shared" si="290"/>
        <v>1</v>
      </c>
      <c r="DH406">
        <v>0</v>
      </c>
      <c r="DI406">
        <v>0</v>
      </c>
      <c r="EY406" s="12" t="str">
        <f>IF(C406="", "", CONCATENATE(D398, " ",D406))</f>
        <v/>
      </c>
    </row>
    <row r="407" spans="1:155" ht="6.75" customHeight="1" x14ac:dyDescent="0.35">
      <c r="C407" s="211"/>
      <c r="D407" s="1"/>
      <c r="E407"/>
      <c r="F407"/>
      <c r="BY407" s="6"/>
      <c r="CK407" s="35"/>
      <c r="CM407" s="35"/>
      <c r="DF407" s="35"/>
      <c r="DG407">
        <f t="shared" si="290"/>
        <v>0</v>
      </c>
      <c r="DH407">
        <v>0</v>
      </c>
      <c r="DI407">
        <v>0</v>
      </c>
      <c r="EY407" s="12" t="str">
        <f>IF(C407="", "", CONCATENATE(D398, " ",D407))</f>
        <v/>
      </c>
    </row>
    <row r="408" spans="1:155" x14ac:dyDescent="0.35">
      <c r="C408" s="211"/>
      <c r="D408" t="s">
        <v>1088</v>
      </c>
      <c r="H408" s="9" t="s">
        <v>1074</v>
      </c>
      <c r="I408" s="40" t="s">
        <v>317</v>
      </c>
      <c r="V408" s="109"/>
      <c r="W408" s="133">
        <f>V411</f>
        <v>0</v>
      </c>
      <c r="X408" s="133">
        <f>W411</f>
        <v>0</v>
      </c>
      <c r="Y408" s="10">
        <f>X411</f>
        <v>0</v>
      </c>
      <c r="AA408" s="12">
        <f>W408</f>
        <v>0</v>
      </c>
      <c r="AB408" s="10">
        <f t="shared" ref="AB408:BV408" si="316">AA411</f>
        <v>0</v>
      </c>
      <c r="AC408" s="10">
        <f t="shared" si="316"/>
        <v>0</v>
      </c>
      <c r="AD408" s="10">
        <f t="shared" si="316"/>
        <v>0</v>
      </c>
      <c r="AE408" s="10">
        <f t="shared" si="316"/>
        <v>0</v>
      </c>
      <c r="AF408" s="10">
        <f t="shared" si="316"/>
        <v>0</v>
      </c>
      <c r="AG408" s="10">
        <f t="shared" si="316"/>
        <v>0</v>
      </c>
      <c r="AH408" s="10">
        <f t="shared" si="316"/>
        <v>0</v>
      </c>
      <c r="AI408" s="10">
        <f t="shared" si="316"/>
        <v>0</v>
      </c>
      <c r="AJ408" s="10">
        <f t="shared" si="316"/>
        <v>0</v>
      </c>
      <c r="AK408" s="10">
        <f t="shared" si="316"/>
        <v>0</v>
      </c>
      <c r="AL408" s="10">
        <f t="shared" si="316"/>
        <v>0</v>
      </c>
      <c r="AM408" s="10">
        <f t="shared" si="316"/>
        <v>0</v>
      </c>
      <c r="AN408" s="10">
        <f t="shared" si="316"/>
        <v>0</v>
      </c>
      <c r="AO408" s="10">
        <f t="shared" si="316"/>
        <v>0</v>
      </c>
      <c r="AP408" s="10">
        <f t="shared" si="316"/>
        <v>0</v>
      </c>
      <c r="AQ408" s="10">
        <f t="shared" si="316"/>
        <v>0</v>
      </c>
      <c r="AR408" s="10">
        <f t="shared" si="316"/>
        <v>0</v>
      </c>
      <c r="AS408" s="10">
        <f t="shared" si="316"/>
        <v>0</v>
      </c>
      <c r="AT408" s="10">
        <f t="shared" si="316"/>
        <v>0</v>
      </c>
      <c r="AU408" s="10">
        <f t="shared" si="316"/>
        <v>0</v>
      </c>
      <c r="AV408" s="10">
        <f t="shared" si="316"/>
        <v>0</v>
      </c>
      <c r="AW408" s="10">
        <f t="shared" si="316"/>
        <v>0</v>
      </c>
      <c r="AX408" s="10">
        <f t="shared" si="316"/>
        <v>0</v>
      </c>
      <c r="AY408" s="10">
        <f t="shared" si="316"/>
        <v>0</v>
      </c>
      <c r="AZ408" s="10">
        <f t="shared" si="316"/>
        <v>0</v>
      </c>
      <c r="BA408" s="10">
        <f t="shared" si="316"/>
        <v>0</v>
      </c>
      <c r="BB408" s="10">
        <f t="shared" si="316"/>
        <v>0</v>
      </c>
      <c r="BC408" s="10">
        <f t="shared" si="316"/>
        <v>0</v>
      </c>
      <c r="BD408" s="10">
        <f t="shared" si="316"/>
        <v>0</v>
      </c>
      <c r="BE408" s="10">
        <f t="shared" si="316"/>
        <v>0</v>
      </c>
      <c r="BF408" s="10">
        <f t="shared" si="316"/>
        <v>0</v>
      </c>
      <c r="BG408" s="10">
        <f t="shared" si="316"/>
        <v>0</v>
      </c>
      <c r="BH408" s="10">
        <f t="shared" si="316"/>
        <v>0</v>
      </c>
      <c r="BI408" s="10">
        <f t="shared" si="316"/>
        <v>0</v>
      </c>
      <c r="BJ408" s="10">
        <f t="shared" si="316"/>
        <v>0</v>
      </c>
      <c r="BK408" s="10">
        <f t="shared" si="316"/>
        <v>0</v>
      </c>
      <c r="BL408" s="10">
        <f t="shared" si="316"/>
        <v>0</v>
      </c>
      <c r="BM408" s="10">
        <f t="shared" si="316"/>
        <v>0</v>
      </c>
      <c r="BN408" s="10">
        <f t="shared" si="316"/>
        <v>0</v>
      </c>
      <c r="BO408" s="10">
        <f t="shared" si="316"/>
        <v>0</v>
      </c>
      <c r="BP408" s="10">
        <f t="shared" si="316"/>
        <v>0</v>
      </c>
      <c r="BQ408" s="10">
        <f t="shared" si="316"/>
        <v>0</v>
      </c>
      <c r="BR408" s="10">
        <f t="shared" si="316"/>
        <v>0</v>
      </c>
      <c r="BS408" s="10">
        <f t="shared" si="316"/>
        <v>0</v>
      </c>
      <c r="BT408" s="10">
        <f t="shared" si="316"/>
        <v>0</v>
      </c>
      <c r="BU408" s="10">
        <f t="shared" si="316"/>
        <v>0</v>
      </c>
      <c r="BV408" s="10">
        <f t="shared" si="316"/>
        <v>0</v>
      </c>
      <c r="BX408" s="12">
        <f t="shared" ref="BX408:CA411" si="317">V408</f>
        <v>0</v>
      </c>
      <c r="BY408" s="12">
        <f t="shared" si="317"/>
        <v>0</v>
      </c>
      <c r="BZ408" s="12">
        <f t="shared" si="317"/>
        <v>0</v>
      </c>
      <c r="CA408" s="12">
        <f t="shared" si="317"/>
        <v>0</v>
      </c>
      <c r="CB408" s="10">
        <f t="shared" ref="CB408:CI408" si="318">CA411</f>
        <v>0</v>
      </c>
      <c r="CC408" s="10">
        <f t="shared" si="318"/>
        <v>0</v>
      </c>
      <c r="CD408" s="10">
        <f t="shared" si="318"/>
        <v>0</v>
      </c>
      <c r="CE408" s="10">
        <f t="shared" si="318"/>
        <v>0</v>
      </c>
      <c r="CF408" s="10">
        <f t="shared" si="318"/>
        <v>0</v>
      </c>
      <c r="CG408" s="10">
        <f t="shared" si="318"/>
        <v>0</v>
      </c>
      <c r="CH408" s="10">
        <f t="shared" si="318"/>
        <v>0</v>
      </c>
      <c r="CI408" s="10">
        <f t="shared" si="318"/>
        <v>0</v>
      </c>
      <c r="CK408" s="11"/>
      <c r="CM408" s="11"/>
      <c r="CY408" s="7" cm="1">
        <f t="array" ref="CY408">SUMPRODUCT(--NOT(ISNUMBER(V408:CI408)),--NOT(ISBLANK(V408:CI408)))</f>
        <v>0</v>
      </c>
      <c r="DF408" s="11"/>
      <c r="DG408">
        <f t="shared" si="290"/>
        <v>0</v>
      </c>
      <c r="DH408">
        <v>1</v>
      </c>
      <c r="DI408">
        <v>0</v>
      </c>
      <c r="EY408" s="12" t="str">
        <f>IF(C408="", "", CONCATENATE(D398, " ",D408))</f>
        <v/>
      </c>
    </row>
    <row r="409" spans="1:155" s="5" customFormat="1" x14ac:dyDescent="0.35">
      <c r="A409" s="220" cm="1">
        <f t="array" aca="1" ref="A409" ca="1">HYPERLINK(CONCATENATE("#",CELL("address",IF(MAX($CM409:$DF409)=0,A409,INDEX($CM409:$DF409,MATCH(1,$CM409:$DF409,0))))),MAX($CM409:$DF409))</f>
        <v>0</v>
      </c>
      <c r="B409" s="85" t="s">
        <v>122</v>
      </c>
      <c r="C409" s="211"/>
      <c r="D409" t="s">
        <v>1089</v>
      </c>
      <c r="E409" s="1"/>
      <c r="F409" s="1"/>
      <c r="G409"/>
      <c r="H409" s="9" t="s">
        <v>1074</v>
      </c>
      <c r="I409" s="40" t="s">
        <v>665</v>
      </c>
      <c r="J409"/>
      <c r="K409"/>
      <c r="L409"/>
      <c r="M409"/>
      <c r="N409"/>
      <c r="O409"/>
      <c r="P409"/>
      <c r="Q409"/>
      <c r="R409"/>
      <c r="S409"/>
      <c r="T409"/>
      <c r="U409"/>
      <c r="V409" s="109"/>
      <c r="W409" s="133">
        <f t="shared" ref="W409:Y410" si="319" xml:space="preserve"> SUMIFS($AA409:$BV409, $AA$3:$BV$3, W$3)</f>
        <v>0</v>
      </c>
      <c r="X409" s="133">
        <f t="shared" si="319"/>
        <v>0</v>
      </c>
      <c r="Y409" s="133">
        <f t="shared" si="319"/>
        <v>0</v>
      </c>
      <c r="Z409"/>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c r="BX409" s="12">
        <f t="shared" si="317"/>
        <v>0</v>
      </c>
      <c r="BY409" s="12">
        <f t="shared" si="317"/>
        <v>0</v>
      </c>
      <c r="BZ409" s="12">
        <f t="shared" si="317"/>
        <v>0</v>
      </c>
      <c r="CA409" s="12">
        <f t="shared" si="317"/>
        <v>0</v>
      </c>
      <c r="CB409" s="133">
        <f xml:space="preserve"> SUMIFS($AA409:$BV409, $AA$3:$BV$3, CB$3)</f>
        <v>0</v>
      </c>
      <c r="CC409" s="109"/>
      <c r="CD409" s="109"/>
      <c r="CE409" s="109"/>
      <c r="CF409" s="109"/>
      <c r="CG409" s="109"/>
      <c r="CH409" s="109"/>
      <c r="CI409" s="109"/>
      <c r="CJ409"/>
      <c r="CK409" s="11"/>
      <c r="CL409" s="241">
        <f>IF(MIN($V409:$CI409)&lt;0, 1, 0)</f>
        <v>0</v>
      </c>
      <c r="CM409" s="11"/>
      <c r="CN409"/>
      <c r="CO409"/>
      <c r="CP409"/>
      <c r="CQ409"/>
      <c r="CR409"/>
      <c r="CS409"/>
      <c r="CT409"/>
      <c r="CU409"/>
      <c r="CV409"/>
      <c r="CW409"/>
      <c r="CX409"/>
      <c r="CY409" s="7" cm="1">
        <f t="array" ref="CY409">SUMPRODUCT(--NOT(ISNUMBER(V409:CI409)),--NOT(ISBLANK(V409:CI409)))</f>
        <v>0</v>
      </c>
      <c r="CZ409" s="7">
        <f t="shared" ref="CZ409:DB410" si="320">IF(ROUND(W409-SUMIFS($AA409:$BV409, $AA$3:$BV$3, W$3), rounding)=0, 0, 1)</f>
        <v>0</v>
      </c>
      <c r="DA409" s="7">
        <f t="shared" si="320"/>
        <v>0</v>
      </c>
      <c r="DB409" s="7">
        <f t="shared" si="320"/>
        <v>0</v>
      </c>
      <c r="DC409" s="7">
        <f>IF(ROUND(CB409-SUMIFS($AA409:$BV409, $AA$3:$BV$3, CB$3), rounding)=0, 0, 1)</f>
        <v>0</v>
      </c>
      <c r="DD409" s="7">
        <f>IF(ROUND(V409-BX409, rounding)=0, 0, 1)*'BS Forecasts'!$V$10</f>
        <v>0</v>
      </c>
      <c r="DE409"/>
      <c r="DF409" s="11"/>
      <c r="DG409">
        <f t="shared" si="290"/>
        <v>0</v>
      </c>
      <c r="DH409">
        <v>1</v>
      </c>
      <c r="DI409">
        <v>1</v>
      </c>
      <c r="EY409" s="12" t="str">
        <f>IF(C409="", "", CONCATENATE(D398, " ",D409))</f>
        <v/>
      </c>
    </row>
    <row r="410" spans="1:155" x14ac:dyDescent="0.35">
      <c r="A410" s="220" cm="1">
        <f t="array" aca="1" ref="A410" ca="1">HYPERLINK(CONCATENATE("#",CELL("address",IF(MAX($CM410:$DF410)=0,A410,INDEX($CM410:$DF410,MATCH(1,$CM410:$DF410,0))))),MAX($CM410:$DF410))</f>
        <v>0</v>
      </c>
      <c r="B410" s="85" t="s">
        <v>122</v>
      </c>
      <c r="C410" s="211"/>
      <c r="D410" t="s">
        <v>1090</v>
      </c>
      <c r="H410" s="9" t="s">
        <v>1074</v>
      </c>
      <c r="I410" s="40" t="s">
        <v>1079</v>
      </c>
      <c r="V410" s="109"/>
      <c r="W410" s="133">
        <f t="shared" si="319"/>
        <v>0</v>
      </c>
      <c r="X410" s="133">
        <f t="shared" si="319"/>
        <v>0</v>
      </c>
      <c r="Y410" s="133">
        <f t="shared" si="319"/>
        <v>0</v>
      </c>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X410" s="12">
        <f t="shared" si="317"/>
        <v>0</v>
      </c>
      <c r="BY410" s="12">
        <f t="shared" si="317"/>
        <v>0</v>
      </c>
      <c r="BZ410" s="12">
        <f t="shared" si="317"/>
        <v>0</v>
      </c>
      <c r="CA410" s="12">
        <f t="shared" si="317"/>
        <v>0</v>
      </c>
      <c r="CB410" s="133">
        <f xml:space="preserve"> SUMIFS($AA410:$BV410, $AA$3:$BV$3, CB$3)</f>
        <v>0</v>
      </c>
      <c r="CC410" s="109"/>
      <c r="CD410" s="109"/>
      <c r="CE410" s="109"/>
      <c r="CF410" s="109"/>
      <c r="CG410" s="109"/>
      <c r="CH410" s="109"/>
      <c r="CI410" s="109"/>
      <c r="CK410" s="11"/>
      <c r="CL410" s="241">
        <f>IF(MAX($V410:$CI410)&gt;0, 1, 0)</f>
        <v>0</v>
      </c>
      <c r="CM410" s="11"/>
      <c r="CY410" s="7" cm="1">
        <f t="array" ref="CY410">SUMPRODUCT(--NOT(ISNUMBER(V410:CI410)),--NOT(ISBLANK(V410:CI410)))</f>
        <v>0</v>
      </c>
      <c r="CZ410" s="7">
        <f t="shared" si="320"/>
        <v>0</v>
      </c>
      <c r="DA410" s="7">
        <f t="shared" si="320"/>
        <v>0</v>
      </c>
      <c r="DB410" s="7">
        <f t="shared" si="320"/>
        <v>0</v>
      </c>
      <c r="DC410" s="7">
        <f>IF(ROUND(CB410-SUMIFS($AA410:$BV410, $AA$3:$BV$3, CB$3), rounding)=0, 0, 1)</f>
        <v>0</v>
      </c>
      <c r="DD410" s="7">
        <f>IF(ROUND(V410-BX410, rounding)=0, 0, 1)*'BS Forecasts'!$V$10</f>
        <v>0</v>
      </c>
      <c r="DF410" s="11"/>
      <c r="DG410">
        <f t="shared" si="290"/>
        <v>0</v>
      </c>
      <c r="DH410">
        <v>1</v>
      </c>
      <c r="DI410">
        <v>1</v>
      </c>
      <c r="EY410" s="12" t="str">
        <f>IF(C410="", "", CONCATENATE(D398, " ",D410))</f>
        <v/>
      </c>
    </row>
    <row r="411" spans="1:155" x14ac:dyDescent="0.35">
      <c r="C411" s="211"/>
      <c r="D411" t="s">
        <v>1091</v>
      </c>
      <c r="H411" s="9" t="s">
        <v>1074</v>
      </c>
      <c r="I411" s="40" t="s">
        <v>317</v>
      </c>
      <c r="V411" s="12">
        <f>$I$31</f>
        <v>0</v>
      </c>
      <c r="W411" s="10">
        <f>SUM(W408:W410)</f>
        <v>0</v>
      </c>
      <c r="X411" s="10">
        <f>SUM(X408:X410)</f>
        <v>0</v>
      </c>
      <c r="Y411" s="10">
        <f>SUM(Y408:Y410)</f>
        <v>0</v>
      </c>
      <c r="AA411" s="10">
        <f t="shared" ref="AA411:BV411" si="321">SUM(AA408:AA410)</f>
        <v>0</v>
      </c>
      <c r="AB411" s="10">
        <f t="shared" si="321"/>
        <v>0</v>
      </c>
      <c r="AC411" s="10">
        <f t="shared" si="321"/>
        <v>0</v>
      </c>
      <c r="AD411" s="10">
        <f t="shared" si="321"/>
        <v>0</v>
      </c>
      <c r="AE411" s="10">
        <f t="shared" si="321"/>
        <v>0</v>
      </c>
      <c r="AF411" s="10">
        <f t="shared" si="321"/>
        <v>0</v>
      </c>
      <c r="AG411" s="10">
        <f t="shared" si="321"/>
        <v>0</v>
      </c>
      <c r="AH411" s="10">
        <f t="shared" si="321"/>
        <v>0</v>
      </c>
      <c r="AI411" s="10">
        <f t="shared" si="321"/>
        <v>0</v>
      </c>
      <c r="AJ411" s="10">
        <f t="shared" si="321"/>
        <v>0</v>
      </c>
      <c r="AK411" s="10">
        <f t="shared" si="321"/>
        <v>0</v>
      </c>
      <c r="AL411" s="10">
        <f t="shared" si="321"/>
        <v>0</v>
      </c>
      <c r="AM411" s="10">
        <f t="shared" si="321"/>
        <v>0</v>
      </c>
      <c r="AN411" s="10">
        <f t="shared" si="321"/>
        <v>0</v>
      </c>
      <c r="AO411" s="10">
        <f t="shared" si="321"/>
        <v>0</v>
      </c>
      <c r="AP411" s="10">
        <f t="shared" si="321"/>
        <v>0</v>
      </c>
      <c r="AQ411" s="10">
        <f t="shared" si="321"/>
        <v>0</v>
      </c>
      <c r="AR411" s="10">
        <f t="shared" si="321"/>
        <v>0</v>
      </c>
      <c r="AS411" s="10">
        <f t="shared" si="321"/>
        <v>0</v>
      </c>
      <c r="AT411" s="10">
        <f t="shared" si="321"/>
        <v>0</v>
      </c>
      <c r="AU411" s="10">
        <f t="shared" si="321"/>
        <v>0</v>
      </c>
      <c r="AV411" s="10">
        <f t="shared" si="321"/>
        <v>0</v>
      </c>
      <c r="AW411" s="10">
        <f t="shared" si="321"/>
        <v>0</v>
      </c>
      <c r="AX411" s="10">
        <f t="shared" si="321"/>
        <v>0</v>
      </c>
      <c r="AY411" s="10">
        <f t="shared" si="321"/>
        <v>0</v>
      </c>
      <c r="AZ411" s="10">
        <f t="shared" si="321"/>
        <v>0</v>
      </c>
      <c r="BA411" s="10">
        <f t="shared" si="321"/>
        <v>0</v>
      </c>
      <c r="BB411" s="10">
        <f t="shared" si="321"/>
        <v>0</v>
      </c>
      <c r="BC411" s="10">
        <f t="shared" si="321"/>
        <v>0</v>
      </c>
      <c r="BD411" s="10">
        <f t="shared" si="321"/>
        <v>0</v>
      </c>
      <c r="BE411" s="10">
        <f t="shared" si="321"/>
        <v>0</v>
      </c>
      <c r="BF411" s="10">
        <f t="shared" si="321"/>
        <v>0</v>
      </c>
      <c r="BG411" s="10">
        <f t="shared" si="321"/>
        <v>0</v>
      </c>
      <c r="BH411" s="10">
        <f t="shared" si="321"/>
        <v>0</v>
      </c>
      <c r="BI411" s="10">
        <f t="shared" si="321"/>
        <v>0</v>
      </c>
      <c r="BJ411" s="10">
        <f t="shared" si="321"/>
        <v>0</v>
      </c>
      <c r="BK411" s="10">
        <f t="shared" si="321"/>
        <v>0</v>
      </c>
      <c r="BL411" s="10">
        <f t="shared" si="321"/>
        <v>0</v>
      </c>
      <c r="BM411" s="10">
        <f t="shared" si="321"/>
        <v>0</v>
      </c>
      <c r="BN411" s="10">
        <f t="shared" si="321"/>
        <v>0</v>
      </c>
      <c r="BO411" s="10">
        <f t="shared" si="321"/>
        <v>0</v>
      </c>
      <c r="BP411" s="10">
        <f t="shared" si="321"/>
        <v>0</v>
      </c>
      <c r="BQ411" s="10">
        <f t="shared" si="321"/>
        <v>0</v>
      </c>
      <c r="BR411" s="10">
        <f t="shared" si="321"/>
        <v>0</v>
      </c>
      <c r="BS411" s="10">
        <f t="shared" si="321"/>
        <v>0</v>
      </c>
      <c r="BT411" s="10">
        <f t="shared" si="321"/>
        <v>0</v>
      </c>
      <c r="BU411" s="10">
        <f t="shared" si="321"/>
        <v>0</v>
      </c>
      <c r="BV411" s="10">
        <f t="shared" si="321"/>
        <v>0</v>
      </c>
      <c r="BX411" s="12">
        <f t="shared" si="317"/>
        <v>0</v>
      </c>
      <c r="BY411" s="12">
        <f t="shared" si="317"/>
        <v>0</v>
      </c>
      <c r="BZ411" s="12">
        <f t="shared" si="317"/>
        <v>0</v>
      </c>
      <c r="CA411" s="12">
        <f t="shared" si="317"/>
        <v>0</v>
      </c>
      <c r="CB411" s="10">
        <f t="shared" ref="CB411:CI411" si="322">SUM(CB408:CB410)</f>
        <v>0</v>
      </c>
      <c r="CC411" s="10">
        <f t="shared" si="322"/>
        <v>0</v>
      </c>
      <c r="CD411" s="10">
        <f t="shared" si="322"/>
        <v>0</v>
      </c>
      <c r="CE411" s="10">
        <f t="shared" si="322"/>
        <v>0</v>
      </c>
      <c r="CF411" s="10">
        <f t="shared" si="322"/>
        <v>0</v>
      </c>
      <c r="CG411" s="10">
        <f t="shared" si="322"/>
        <v>0</v>
      </c>
      <c r="CH411" s="10">
        <f t="shared" si="322"/>
        <v>0</v>
      </c>
      <c r="CI411" s="10">
        <f t="shared" si="322"/>
        <v>0</v>
      </c>
      <c r="CK411" s="11"/>
      <c r="CM411" s="11"/>
      <c r="DF411" s="11"/>
      <c r="DG411">
        <f t="shared" si="290"/>
        <v>0</v>
      </c>
      <c r="DH411">
        <v>0</v>
      </c>
      <c r="DI411">
        <v>0</v>
      </c>
      <c r="EY411" s="12" t="str">
        <f>IF(C411="", "", CONCATENATE(D398, " ",D411))</f>
        <v/>
      </c>
    </row>
    <row r="412" spans="1:155" ht="6.75" customHeight="1" x14ac:dyDescent="0.35">
      <c r="C412" s="211"/>
      <c r="D412" s="1"/>
      <c r="E412"/>
      <c r="F412"/>
      <c r="BY412" s="6"/>
      <c r="CK412" s="35"/>
      <c r="CM412" s="35"/>
      <c r="DF412" s="35"/>
      <c r="DG412">
        <f t="shared" si="290"/>
        <v>0</v>
      </c>
      <c r="DH412">
        <v>0</v>
      </c>
      <c r="DI412">
        <v>0</v>
      </c>
      <c r="EY412" s="12" t="str">
        <f>IF(C412="", "", CONCATENATE(D398, " ",D412))</f>
        <v/>
      </c>
    </row>
    <row r="413" spans="1:155" s="5" customFormat="1" x14ac:dyDescent="0.35">
      <c r="A413" s="220" cm="1">
        <f t="array" aca="1" ref="A413" ca="1">HYPERLINK(CONCATENATE("#",CELL("address",IF(MAX($CM413:$DF413)=0,A413,INDEX($CM413:$DF413,MATCH(1,$CM413:$DF413,0))))),MAX($CM413:$DF413))</f>
        <v>0</v>
      </c>
      <c r="B413"/>
      <c r="C413" s="211" t="s">
        <v>1220</v>
      </c>
      <c r="D413" t="s">
        <v>1093</v>
      </c>
      <c r="E413" s="1"/>
      <c r="F413" s="1"/>
      <c r="G413"/>
      <c r="H413" s="9" t="s">
        <v>1074</v>
      </c>
      <c r="I413" s="40" t="s">
        <v>665</v>
      </c>
      <c r="J413"/>
      <c r="K413"/>
      <c r="L413"/>
      <c r="M413"/>
      <c r="N413"/>
      <c r="O413"/>
      <c r="P413"/>
      <c r="Q413"/>
      <c r="R413"/>
      <c r="S413"/>
      <c r="T413"/>
      <c r="U413"/>
      <c r="V413" s="109"/>
      <c r="W413" s="133">
        <f xml:space="preserve"> SUMIFS($AA413:$BV413, $AA$3:$BV$3, W$3)</f>
        <v>0</v>
      </c>
      <c r="X413" s="133">
        <f xml:space="preserve"> SUMIFS($AA413:$BV413, $AA$3:$BV$3, X$3)</f>
        <v>0</v>
      </c>
      <c r="Y413" s="133">
        <f xml:space="preserve"> SUMIFS($AA413:$BV413, $AA$3:$BV$3, Y$3)</f>
        <v>0</v>
      </c>
      <c r="Z413"/>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c r="BX413" s="12">
        <f>V413</f>
        <v>0</v>
      </c>
      <c r="BY413" s="12">
        <f>W413</f>
        <v>0</v>
      </c>
      <c r="BZ413" s="12">
        <f>X413</f>
        <v>0</v>
      </c>
      <c r="CA413" s="12">
        <f>Y413</f>
        <v>0</v>
      </c>
      <c r="CB413" s="133">
        <f xml:space="preserve"> SUMIFS($AA413:$BV413, $AA$3:$BV$3, CB$3)</f>
        <v>0</v>
      </c>
      <c r="CC413" s="109"/>
      <c r="CD413" s="109"/>
      <c r="CE413" s="109"/>
      <c r="CF413" s="109"/>
      <c r="CG413" s="109"/>
      <c r="CH413" s="109"/>
      <c r="CI413" s="109"/>
      <c r="CJ413"/>
      <c r="CK413" s="11"/>
      <c r="CL413" s="241">
        <f>IF(MIN($V413:$CI413)&lt;0, 1, 0)</f>
        <v>0</v>
      </c>
      <c r="CM413" s="11"/>
      <c r="CN413"/>
      <c r="CO413"/>
      <c r="CP413"/>
      <c r="CQ413"/>
      <c r="CR413"/>
      <c r="CS413"/>
      <c r="CT413"/>
      <c r="CU413"/>
      <c r="CV413"/>
      <c r="CW413"/>
      <c r="CX413"/>
      <c r="CY413" s="7" cm="1">
        <f t="array" ref="CY413">SUMPRODUCT(--NOT(ISNUMBER(V413:CI413)),--NOT(ISBLANK(V413:CI413)))</f>
        <v>0</v>
      </c>
      <c r="CZ413" s="7">
        <f>IF(ROUND(W413-SUMIFS($AA413:$BV413, $AA$3:$BV$3, W$3), rounding)=0, 0, 1)</f>
        <v>0</v>
      </c>
      <c r="DA413" s="7">
        <f>IF(ROUND(X413-SUMIFS($AA413:$BV413, $AA$3:$BV$3, X$3), rounding)=0, 0, 1)</f>
        <v>0</v>
      </c>
      <c r="DB413" s="7">
        <f>IF(ROUND(Y413-SUMIFS($AA413:$BV413, $AA$3:$BV$3, Y$3), rounding)=0, 0, 1)</f>
        <v>0</v>
      </c>
      <c r="DC413" s="7">
        <f>IF(ROUND(CB413-SUMIFS($AA413:$BV413, $AA$3:$BV$3, CB$3), rounding)=0, 0, 1)</f>
        <v>0</v>
      </c>
      <c r="DD413" s="7">
        <f>IF(ROUND(V413-BX413, rounding)=0, 0, 1)*'BS Forecasts'!$V$10</f>
        <v>0</v>
      </c>
      <c r="DE413"/>
      <c r="DF413" s="11"/>
      <c r="DG413">
        <f t="shared" si="290"/>
        <v>0</v>
      </c>
      <c r="DH413">
        <v>1</v>
      </c>
      <c r="DI413">
        <v>1</v>
      </c>
      <c r="EY413" s="12" t="str">
        <f>IF(C413="", "", CONCATENATE(D398, " ",D413))</f>
        <v>Loan 19 Early Repayment Fee</v>
      </c>
    </row>
    <row r="414" spans="1:155" ht="6.75" customHeight="1" x14ac:dyDescent="0.35">
      <c r="C414" s="211"/>
      <c r="D414" s="1"/>
      <c r="E414"/>
      <c r="F414"/>
      <c r="BY414" s="6"/>
      <c r="CK414" s="35"/>
      <c r="CM414" s="35"/>
      <c r="DF414" s="35"/>
      <c r="DG414">
        <f t="shared" si="290"/>
        <v>0</v>
      </c>
      <c r="DH414">
        <v>0</v>
      </c>
      <c r="DI414">
        <v>0</v>
      </c>
      <c r="EY414" s="12" t="str">
        <f>IF(C414="", "", CONCATENATE(D398, " ",D414))</f>
        <v/>
      </c>
    </row>
    <row r="415" spans="1:155" x14ac:dyDescent="0.35">
      <c r="A415" s="220" cm="1">
        <f t="array" aca="1" ref="A415" ca="1">HYPERLINK(CONCATENATE("#",CELL("address",IF(MAX($CM415:$DF415)=0,A415,INDEX($CM415:$DF415,MATCH(1,$CM415:$DF415,0))))),MAX($CM415:$DF415))</f>
        <v>0</v>
      </c>
      <c r="B415" s="85" t="s">
        <v>122</v>
      </c>
      <c r="D415" t="s">
        <v>1094</v>
      </c>
      <c r="E415" s="140" t="str">
        <f>IF(J$31="", "", J$31)</f>
        <v/>
      </c>
      <c r="F415" s="140"/>
      <c r="G415" s="140" t="str">
        <f>IF(K$31="", "", K$31)</f>
        <v/>
      </c>
      <c r="V415" s="7">
        <f>IF(AND(OR( V$5&gt;$G415, Timeline!V$8&lt;Loans!$E415), Loans!V413&lt;&gt;0), 1, 0)</f>
        <v>0</v>
      </c>
      <c r="W415" s="7">
        <f>IF(AND(OR( W$5&gt;$G415, Timeline!W$8&lt;Loans!$E415), Loans!W413&lt;&gt;0), 1, 0)</f>
        <v>0</v>
      </c>
      <c r="X415" s="7">
        <f>IF(AND(OR( X$5&gt;$G415, Timeline!X$8&lt;Loans!$E415), Loans!X413&lt;&gt;0), 1, 0)</f>
        <v>0</v>
      </c>
      <c r="Y415" s="7">
        <f>IF(AND(OR( Y$5&gt;$G415, Timeline!Y$8&lt;Loans!$E415), Loans!Y413&lt;&gt;0), 1, 0)</f>
        <v>0</v>
      </c>
      <c r="AA415" s="7">
        <f>IF(AND(OR( AA$5&gt;$G415, Timeline!AA$8&lt;Loans!$E415), Loans!AA413&lt;&gt;0), 1, 0)</f>
        <v>0</v>
      </c>
      <c r="AB415" s="7">
        <f>IF(AND(OR( AB$5&gt;$G415, Timeline!AB$8&lt;Loans!$E415), Loans!AB413&lt;&gt;0), 1, 0)</f>
        <v>0</v>
      </c>
      <c r="AC415" s="7">
        <f>IF(AND(OR( AC$5&gt;$G415, Timeline!AC$8&lt;Loans!$E415), Loans!AC413&lt;&gt;0), 1, 0)</f>
        <v>0</v>
      </c>
      <c r="AD415" s="7">
        <f>IF(AND(OR( AD$5&gt;$G415, Timeline!AD$8&lt;Loans!$E415), Loans!AD413&lt;&gt;0), 1, 0)</f>
        <v>0</v>
      </c>
      <c r="AE415" s="7">
        <f>IF(AND(OR( AE$5&gt;$G415, Timeline!AE$8&lt;Loans!$E415), Loans!AE413&lt;&gt;0), 1, 0)</f>
        <v>0</v>
      </c>
      <c r="AF415" s="7">
        <f>IF(AND(OR( AF$5&gt;$G415, Timeline!AF$8&lt;Loans!$E415), Loans!AF413&lt;&gt;0), 1, 0)</f>
        <v>0</v>
      </c>
      <c r="AG415" s="7">
        <f>IF(AND(OR( AG$5&gt;$G415, Timeline!AG$8&lt;Loans!$E415), Loans!AG413&lt;&gt;0), 1, 0)</f>
        <v>0</v>
      </c>
      <c r="AH415" s="7">
        <f>IF(AND(OR( AH$5&gt;$G415, Timeline!AH$8&lt;Loans!$E415), Loans!AH413&lt;&gt;0), 1, 0)</f>
        <v>0</v>
      </c>
      <c r="AI415" s="7">
        <f>IF(AND(OR( AI$5&gt;$G415, Timeline!AI$8&lt;Loans!$E415), Loans!AI413&lt;&gt;0), 1, 0)</f>
        <v>0</v>
      </c>
      <c r="AJ415" s="7">
        <f>IF(AND(OR( AJ$5&gt;$G415, Timeline!AJ$8&lt;Loans!$E415), Loans!AJ413&lt;&gt;0), 1, 0)</f>
        <v>0</v>
      </c>
      <c r="AK415" s="7">
        <f>IF(AND(OR( AK$5&gt;$G415, Timeline!AK$8&lt;Loans!$E415), Loans!AK413&lt;&gt;0), 1, 0)</f>
        <v>0</v>
      </c>
      <c r="AL415" s="7">
        <f>IF(AND(OR( AL$5&gt;$G415, Timeline!AL$8&lt;Loans!$E415), Loans!AL413&lt;&gt;0), 1, 0)</f>
        <v>0</v>
      </c>
      <c r="AM415" s="7">
        <f>IF(AND(OR( AM$5&gt;$G415, Timeline!AM$8&lt;Loans!$E415), Loans!AM413&lt;&gt;0), 1, 0)</f>
        <v>0</v>
      </c>
      <c r="AN415" s="7">
        <f>IF(AND(OR( AN$5&gt;$G415, Timeline!AN$8&lt;Loans!$E415), Loans!AN413&lt;&gt;0), 1, 0)</f>
        <v>0</v>
      </c>
      <c r="AO415" s="7">
        <f>IF(AND(OR( AO$5&gt;$G415, Timeline!AO$8&lt;Loans!$E415), Loans!AO413&lt;&gt;0), 1, 0)</f>
        <v>0</v>
      </c>
      <c r="AP415" s="7">
        <f>IF(AND(OR( AP$5&gt;$G415, Timeline!AP$8&lt;Loans!$E415), Loans!AP413&lt;&gt;0), 1, 0)</f>
        <v>0</v>
      </c>
      <c r="AQ415" s="7">
        <f>IF(AND(OR( AQ$5&gt;$G415, Timeline!AQ$8&lt;Loans!$E415), Loans!AQ413&lt;&gt;0), 1, 0)</f>
        <v>0</v>
      </c>
      <c r="AR415" s="7">
        <f>IF(AND(OR( AR$5&gt;$G415, Timeline!AR$8&lt;Loans!$E415), Loans!AR413&lt;&gt;0), 1, 0)</f>
        <v>0</v>
      </c>
      <c r="AS415" s="7">
        <f>IF(AND(OR( AS$5&gt;$G415, Timeline!AS$8&lt;Loans!$E415), Loans!AS413&lt;&gt;0), 1, 0)</f>
        <v>0</v>
      </c>
      <c r="AT415" s="7">
        <f>IF(AND(OR( AT$5&gt;$G415, Timeline!AT$8&lt;Loans!$E415), Loans!AT413&lt;&gt;0), 1, 0)</f>
        <v>0</v>
      </c>
      <c r="AU415" s="7">
        <f>IF(AND(OR( AU$5&gt;$G415, Timeline!AU$8&lt;Loans!$E415), Loans!AU413&lt;&gt;0), 1, 0)</f>
        <v>0</v>
      </c>
      <c r="AV415" s="7">
        <f>IF(AND(OR( AV$5&gt;$G415, Timeline!AV$8&lt;Loans!$E415), Loans!AV413&lt;&gt;0), 1, 0)</f>
        <v>0</v>
      </c>
      <c r="AW415" s="7">
        <f>IF(AND(OR( AW$5&gt;$G415, Timeline!AW$8&lt;Loans!$E415), Loans!AW413&lt;&gt;0), 1, 0)</f>
        <v>0</v>
      </c>
      <c r="AX415" s="7">
        <f>IF(AND(OR( AX$5&gt;$G415, Timeline!AX$8&lt;Loans!$E415), Loans!AX413&lt;&gt;0), 1, 0)</f>
        <v>0</v>
      </c>
      <c r="AY415" s="7">
        <f>IF(AND(OR( AY$5&gt;$G415, Timeline!AY$8&lt;Loans!$E415), Loans!AY413&lt;&gt;0), 1, 0)</f>
        <v>0</v>
      </c>
      <c r="AZ415" s="7">
        <f>IF(AND(OR( AZ$5&gt;$G415, Timeline!AZ$8&lt;Loans!$E415), Loans!AZ413&lt;&gt;0), 1, 0)</f>
        <v>0</v>
      </c>
      <c r="BA415" s="7">
        <f>IF(AND(OR( BA$5&gt;$G415, Timeline!BA$8&lt;Loans!$E415), Loans!BA413&lt;&gt;0), 1, 0)</f>
        <v>0</v>
      </c>
      <c r="BB415" s="7">
        <f>IF(AND(OR( BB$5&gt;$G415, Timeline!BB$8&lt;Loans!$E415), Loans!BB413&lt;&gt;0), 1, 0)</f>
        <v>0</v>
      </c>
      <c r="BC415" s="7">
        <f>IF(AND(OR( BC$5&gt;$G415, Timeline!BC$8&lt;Loans!$E415), Loans!BC413&lt;&gt;0), 1, 0)</f>
        <v>0</v>
      </c>
      <c r="BD415" s="7">
        <f>IF(AND(OR( BD$5&gt;$G415, Timeline!BD$8&lt;Loans!$E415), Loans!BD413&lt;&gt;0), 1, 0)</f>
        <v>0</v>
      </c>
      <c r="BE415" s="7">
        <f>IF(AND(OR( BE$5&gt;$G415, Timeline!BE$8&lt;Loans!$E415), Loans!BE413&lt;&gt;0), 1, 0)</f>
        <v>0</v>
      </c>
      <c r="BF415" s="7">
        <f>IF(AND(OR( BF$5&gt;$G415, Timeline!BF$8&lt;Loans!$E415), Loans!BF413&lt;&gt;0), 1, 0)</f>
        <v>0</v>
      </c>
      <c r="BG415" s="7">
        <f>IF(AND(OR( BG$5&gt;$G415, Timeline!BG$8&lt;Loans!$E415), Loans!BG413&lt;&gt;0), 1, 0)</f>
        <v>0</v>
      </c>
      <c r="BH415" s="7">
        <f>IF(AND(OR( BH$5&gt;$G415, Timeline!BH$8&lt;Loans!$E415), Loans!BH413&lt;&gt;0), 1, 0)</f>
        <v>0</v>
      </c>
      <c r="BI415" s="7">
        <f>IF(AND(OR( BI$5&gt;$G415, Timeline!BI$8&lt;Loans!$E415), Loans!BI413&lt;&gt;0), 1, 0)</f>
        <v>0</v>
      </c>
      <c r="BJ415" s="7">
        <f>IF(AND(OR( BJ$5&gt;$G415, Timeline!BJ$8&lt;Loans!$E415), Loans!BJ413&lt;&gt;0), 1, 0)</f>
        <v>0</v>
      </c>
      <c r="BK415" s="7">
        <f>IF(AND(OR( BK$5&gt;$G415, Timeline!BK$8&lt;Loans!$E415), Loans!BK413&lt;&gt;0), 1, 0)</f>
        <v>0</v>
      </c>
      <c r="BL415" s="7">
        <f>IF(AND(OR( BL$5&gt;$G415, Timeline!BL$8&lt;Loans!$E415), Loans!BL413&lt;&gt;0), 1, 0)</f>
        <v>0</v>
      </c>
      <c r="BM415" s="7">
        <f>IF(AND(OR( BM$5&gt;$G415, Timeline!BM$8&lt;Loans!$E415), Loans!BM413&lt;&gt;0), 1, 0)</f>
        <v>0</v>
      </c>
      <c r="BN415" s="7">
        <f>IF(AND(OR( BN$5&gt;$G415, Timeline!BN$8&lt;Loans!$E415), Loans!BN413&lt;&gt;0), 1, 0)</f>
        <v>0</v>
      </c>
      <c r="BO415" s="7">
        <f>IF(AND(OR( BO$5&gt;$G415, Timeline!BO$8&lt;Loans!$E415), Loans!BO413&lt;&gt;0), 1, 0)</f>
        <v>0</v>
      </c>
      <c r="BP415" s="7">
        <f>IF(AND(OR( BP$5&gt;$G415, Timeline!BP$8&lt;Loans!$E415), Loans!BP413&lt;&gt;0), 1, 0)</f>
        <v>0</v>
      </c>
      <c r="BQ415" s="7">
        <f>IF(AND(OR( BQ$5&gt;$G415, Timeline!BQ$8&lt;Loans!$E415), Loans!BQ413&lt;&gt;0), 1, 0)</f>
        <v>0</v>
      </c>
      <c r="BR415" s="7">
        <f>IF(AND(OR( BR$5&gt;$G415, Timeline!BR$8&lt;Loans!$E415), Loans!BR413&lt;&gt;0), 1, 0)</f>
        <v>0</v>
      </c>
      <c r="BS415" s="7">
        <f>IF(AND(OR( BS$5&gt;$G415, Timeline!BS$8&lt;Loans!$E415), Loans!BS413&lt;&gt;0), 1, 0)</f>
        <v>0</v>
      </c>
      <c r="BT415" s="7">
        <f>IF(AND(OR( BT$5&gt;$G415, Timeline!BT$8&lt;Loans!$E415), Loans!BT413&lt;&gt;0), 1, 0)</f>
        <v>0</v>
      </c>
      <c r="BU415" s="7">
        <f>IF(AND(OR( BU$5&gt;$G415, Timeline!BU$8&lt;Loans!$E415), Loans!BU413&lt;&gt;0), 1, 0)</f>
        <v>0</v>
      </c>
      <c r="BV415" s="7">
        <f>IF(AND(OR( BV$5&gt;$G415, Timeline!BV$8&lt;Loans!$E415), Loans!BV413&lt;&gt;0), 1, 0)</f>
        <v>0</v>
      </c>
      <c r="BX415" s="7">
        <f>IF(AND(OR( BX$5&gt;$G415, Timeline!BX$8&lt;Loans!$E415), Loans!BX413&lt;&gt;0), 1, 0)</f>
        <v>0</v>
      </c>
      <c r="BY415" s="7">
        <f>IF(AND(OR( BY$5&gt;$G415, Timeline!BY$8&lt;Loans!$E415), Loans!BY413&lt;&gt;0), 1, 0)</f>
        <v>0</v>
      </c>
      <c r="BZ415" s="7">
        <f>IF(AND(OR( BZ$5&gt;$G415, Timeline!BZ$8&lt;Loans!$E415), Loans!BZ413&lt;&gt;0), 1, 0)</f>
        <v>0</v>
      </c>
      <c r="CA415" s="7">
        <f>IF(AND(OR( CA$5&gt;$G415, Timeline!CA$8&lt;Loans!$E415), Loans!CA413&lt;&gt;0), 1, 0)</f>
        <v>0</v>
      </c>
      <c r="CB415" s="7">
        <f>IF(AND(OR( CB$5&gt;$G415, Timeline!CB$8&lt;Loans!$E415), Loans!CB413&lt;&gt;0), 1, 0)</f>
        <v>0</v>
      </c>
      <c r="CC415" s="7">
        <f>IF(AND(OR( CC$5&gt;$G415, Timeline!CC$8&lt;Loans!$E415), Loans!CC413&lt;&gt;0), 1, 0)</f>
        <v>0</v>
      </c>
      <c r="CD415" s="7">
        <f>IF(AND(OR( CD$5&gt;$G415, Timeline!CD$8&lt;Loans!$E415), Loans!CD413&lt;&gt;0), 1, 0)</f>
        <v>0</v>
      </c>
      <c r="CE415" s="7">
        <f>IF(AND(OR( CE$5&gt;$G415, Timeline!CE$8&lt;Loans!$E415), Loans!CE413&lt;&gt;0), 1, 0)</f>
        <v>0</v>
      </c>
      <c r="CF415" s="7">
        <f>IF(AND(OR( CF$5&gt;$G415, Timeline!CF$8&lt;Loans!$E415), Loans!CF413&lt;&gt;0), 1, 0)</f>
        <v>0</v>
      </c>
      <c r="CG415" s="7">
        <f>IF(AND(OR( CG$5&gt;$G415, Timeline!CG$8&lt;Loans!$E415), Loans!CG413&lt;&gt;0), 1, 0)</f>
        <v>0</v>
      </c>
      <c r="CH415" s="7">
        <f>IF(AND(OR( CH$5&gt;$G415, Timeline!CH$8&lt;Loans!$E415), Loans!CH413&lt;&gt;0), 1, 0)</f>
        <v>0</v>
      </c>
      <c r="CI415" s="7">
        <f>IF(AND(OR( CI$5&gt;$G415, Timeline!CI$8&lt;Loans!$E415), Loans!CI413&lt;&gt;0), 1, 0)</f>
        <v>0</v>
      </c>
      <c r="CK415" s="11"/>
      <c r="CM415" s="11"/>
      <c r="CX415" s="7">
        <f>IF(MAX($V415:$CI415)&gt;0, 1, 0)</f>
        <v>0</v>
      </c>
      <c r="DF415" s="11"/>
      <c r="DG415">
        <f t="shared" si="290"/>
        <v>1</v>
      </c>
      <c r="DH415">
        <v>0</v>
      </c>
      <c r="DI415">
        <v>0</v>
      </c>
      <c r="EY415" s="12" t="str">
        <f>IF(C415="", "", CONCATENATE(D398, " ",D415))</f>
        <v/>
      </c>
    </row>
    <row r="416" spans="1:155" ht="6.75" customHeight="1" x14ac:dyDescent="0.35">
      <c r="C416" s="211"/>
      <c r="D416" s="1"/>
      <c r="E416"/>
      <c r="F416"/>
      <c r="BY416" s="6"/>
      <c r="CK416" s="35"/>
      <c r="CM416" s="35"/>
      <c r="DF416" s="35"/>
      <c r="DG416">
        <f t="shared" si="290"/>
        <v>0</v>
      </c>
      <c r="DH416">
        <v>0</v>
      </c>
      <c r="DI416">
        <v>0</v>
      </c>
      <c r="EY416" s="10" t="str">
        <f>IF($C416="","",$D416)</f>
        <v/>
      </c>
    </row>
    <row r="417" spans="1:155" x14ac:dyDescent="0.35">
      <c r="A417" s="53"/>
      <c r="C417" s="211"/>
      <c r="D417" s="53" t="s">
        <v>1221</v>
      </c>
      <c r="E417" s="53"/>
      <c r="F417" s="53"/>
      <c r="G417" s="53"/>
      <c r="H417" s="53"/>
      <c r="I417" s="53"/>
      <c r="J417" s="53"/>
      <c r="M417" s="53"/>
      <c r="N417" s="53"/>
      <c r="O417" s="53"/>
      <c r="P417" s="53"/>
      <c r="Q417" s="53"/>
      <c r="R417" s="53"/>
      <c r="CK417" s="11"/>
      <c r="CM417" s="11"/>
      <c r="DF417" s="11"/>
      <c r="DG417">
        <f t="shared" si="290"/>
        <v>0</v>
      </c>
      <c r="DH417">
        <v>0</v>
      </c>
      <c r="DI417">
        <v>0</v>
      </c>
      <c r="EY417" s="10" t="str">
        <f>IF($C417="","",$D417)</f>
        <v/>
      </c>
    </row>
    <row r="418" spans="1:155" x14ac:dyDescent="0.35">
      <c r="C418" s="211" t="s">
        <v>1222</v>
      </c>
      <c r="D418" t="s">
        <v>1073</v>
      </c>
      <c r="H418" s="9" t="s">
        <v>1074</v>
      </c>
      <c r="I418" s="40" t="s">
        <v>317</v>
      </c>
      <c r="V418" s="109"/>
      <c r="W418" s="133">
        <f>V422</f>
        <v>0</v>
      </c>
      <c r="X418" s="133">
        <f>W422</f>
        <v>0</v>
      </c>
      <c r="Y418" s="10">
        <f>X422</f>
        <v>0</v>
      </c>
      <c r="AA418" s="12">
        <f>W418</f>
        <v>0</v>
      </c>
      <c r="AB418" s="10">
        <f t="shared" ref="AB418:BV418" si="323">AA422</f>
        <v>0</v>
      </c>
      <c r="AC418" s="10">
        <f t="shared" si="323"/>
        <v>0</v>
      </c>
      <c r="AD418" s="10">
        <f t="shared" si="323"/>
        <v>0</v>
      </c>
      <c r="AE418" s="10">
        <f t="shared" si="323"/>
        <v>0</v>
      </c>
      <c r="AF418" s="10">
        <f t="shared" si="323"/>
        <v>0</v>
      </c>
      <c r="AG418" s="10">
        <f t="shared" si="323"/>
        <v>0</v>
      </c>
      <c r="AH418" s="10">
        <f t="shared" si="323"/>
        <v>0</v>
      </c>
      <c r="AI418" s="10">
        <f t="shared" si="323"/>
        <v>0</v>
      </c>
      <c r="AJ418" s="10">
        <f t="shared" si="323"/>
        <v>0</v>
      </c>
      <c r="AK418" s="10">
        <f t="shared" si="323"/>
        <v>0</v>
      </c>
      <c r="AL418" s="10">
        <f t="shared" si="323"/>
        <v>0</v>
      </c>
      <c r="AM418" s="10">
        <f t="shared" si="323"/>
        <v>0</v>
      </c>
      <c r="AN418" s="10">
        <f t="shared" si="323"/>
        <v>0</v>
      </c>
      <c r="AO418" s="10">
        <f t="shared" si="323"/>
        <v>0</v>
      </c>
      <c r="AP418" s="10">
        <f t="shared" si="323"/>
        <v>0</v>
      </c>
      <c r="AQ418" s="10">
        <f t="shared" si="323"/>
        <v>0</v>
      </c>
      <c r="AR418" s="10">
        <f t="shared" si="323"/>
        <v>0</v>
      </c>
      <c r="AS418" s="10">
        <f t="shared" si="323"/>
        <v>0</v>
      </c>
      <c r="AT418" s="10">
        <f t="shared" si="323"/>
        <v>0</v>
      </c>
      <c r="AU418" s="10">
        <f t="shared" si="323"/>
        <v>0</v>
      </c>
      <c r="AV418" s="10">
        <f t="shared" si="323"/>
        <v>0</v>
      </c>
      <c r="AW418" s="10">
        <f t="shared" si="323"/>
        <v>0</v>
      </c>
      <c r="AX418" s="10">
        <f t="shared" si="323"/>
        <v>0</v>
      </c>
      <c r="AY418" s="10">
        <f t="shared" si="323"/>
        <v>0</v>
      </c>
      <c r="AZ418" s="10">
        <f t="shared" si="323"/>
        <v>0</v>
      </c>
      <c r="BA418" s="10">
        <f t="shared" si="323"/>
        <v>0</v>
      </c>
      <c r="BB418" s="10">
        <f t="shared" si="323"/>
        <v>0</v>
      </c>
      <c r="BC418" s="10">
        <f t="shared" si="323"/>
        <v>0</v>
      </c>
      <c r="BD418" s="10">
        <f t="shared" si="323"/>
        <v>0</v>
      </c>
      <c r="BE418" s="10">
        <f t="shared" si="323"/>
        <v>0</v>
      </c>
      <c r="BF418" s="10">
        <f t="shared" si="323"/>
        <v>0</v>
      </c>
      <c r="BG418" s="10">
        <f t="shared" si="323"/>
        <v>0</v>
      </c>
      <c r="BH418" s="10">
        <f t="shared" si="323"/>
        <v>0</v>
      </c>
      <c r="BI418" s="10">
        <f t="shared" si="323"/>
        <v>0</v>
      </c>
      <c r="BJ418" s="10">
        <f t="shared" si="323"/>
        <v>0</v>
      </c>
      <c r="BK418" s="10">
        <f t="shared" si="323"/>
        <v>0</v>
      </c>
      <c r="BL418" s="10">
        <f t="shared" si="323"/>
        <v>0</v>
      </c>
      <c r="BM418" s="10">
        <f t="shared" si="323"/>
        <v>0</v>
      </c>
      <c r="BN418" s="10">
        <f t="shared" si="323"/>
        <v>0</v>
      </c>
      <c r="BO418" s="10">
        <f t="shared" si="323"/>
        <v>0</v>
      </c>
      <c r="BP418" s="10">
        <f t="shared" si="323"/>
        <v>0</v>
      </c>
      <c r="BQ418" s="10">
        <f t="shared" si="323"/>
        <v>0</v>
      </c>
      <c r="BR418" s="10">
        <f t="shared" si="323"/>
        <v>0</v>
      </c>
      <c r="BS418" s="10">
        <f t="shared" si="323"/>
        <v>0</v>
      </c>
      <c r="BT418" s="10">
        <f t="shared" si="323"/>
        <v>0</v>
      </c>
      <c r="BU418" s="10">
        <f t="shared" si="323"/>
        <v>0</v>
      </c>
      <c r="BV418" s="10">
        <f t="shared" si="323"/>
        <v>0</v>
      </c>
      <c r="BX418" s="12">
        <f t="shared" ref="BX418:CA422" si="324">V418</f>
        <v>0</v>
      </c>
      <c r="BY418" s="12">
        <f t="shared" si="324"/>
        <v>0</v>
      </c>
      <c r="BZ418" s="12">
        <f t="shared" si="324"/>
        <v>0</v>
      </c>
      <c r="CA418" s="12">
        <f t="shared" si="324"/>
        <v>0</v>
      </c>
      <c r="CB418" s="10">
        <f t="shared" ref="CB418:CI418" si="325">CA422</f>
        <v>0</v>
      </c>
      <c r="CC418" s="10">
        <f t="shared" si="325"/>
        <v>0</v>
      </c>
      <c r="CD418" s="10">
        <f t="shared" si="325"/>
        <v>0</v>
      </c>
      <c r="CE418" s="10">
        <f t="shared" si="325"/>
        <v>0</v>
      </c>
      <c r="CF418" s="10">
        <f t="shared" si="325"/>
        <v>0</v>
      </c>
      <c r="CG418" s="10">
        <f t="shared" si="325"/>
        <v>0</v>
      </c>
      <c r="CH418" s="10">
        <f t="shared" si="325"/>
        <v>0</v>
      </c>
      <c r="CI418" s="10">
        <f t="shared" si="325"/>
        <v>0</v>
      </c>
      <c r="CK418" s="11"/>
      <c r="CM418" s="11"/>
      <c r="CY418" s="7" cm="1">
        <f t="array" ref="CY418">SUMPRODUCT(--NOT(ISNUMBER(V418:CI418)),--NOT(ISBLANK(V418:CI418)))</f>
        <v>0</v>
      </c>
      <c r="DF418" s="11"/>
      <c r="DG418">
        <f t="shared" si="290"/>
        <v>0</v>
      </c>
      <c r="DH418">
        <v>1</v>
      </c>
      <c r="DI418">
        <v>0</v>
      </c>
      <c r="EY418" s="12" t="str">
        <f>IF(C418="", "", CONCATENATE(D417, " ",D418))</f>
        <v>Loan 20 Opening Loan Balance</v>
      </c>
    </row>
    <row r="419" spans="1:155" s="5" customFormat="1" x14ac:dyDescent="0.35">
      <c r="A419" s="220" cm="1">
        <f t="array" aca="1" ref="A419" ca="1">HYPERLINK(CONCATENATE("#",CELL("address",IF(MAX($CM419:$DF419)=0,A419,INDEX($CM419:$DF419,MATCH(1,$CM419:$DF419,0))))),MAX($CM419:$DF419))</f>
        <v>0</v>
      </c>
      <c r="B419"/>
      <c r="C419" s="211" t="s">
        <v>1223</v>
      </c>
      <c r="D419" t="s">
        <v>1076</v>
      </c>
      <c r="E419" s="1"/>
      <c r="F419" s="1"/>
      <c r="G419"/>
      <c r="H419" s="9" t="s">
        <v>1074</v>
      </c>
      <c r="I419" s="40" t="s">
        <v>665</v>
      </c>
      <c r="J419"/>
      <c r="K419"/>
      <c r="L419"/>
      <c r="M419"/>
      <c r="N419"/>
      <c r="O419"/>
      <c r="P419"/>
      <c r="Q419"/>
      <c r="R419"/>
      <c r="S419"/>
      <c r="T419"/>
      <c r="U419"/>
      <c r="V419" s="109"/>
      <c r="W419" s="133">
        <f t="shared" ref="W419:Y421" si="326" xml:space="preserve"> SUMIFS($AA419:$BV419, $AA$3:$BV$3, W$3)</f>
        <v>0</v>
      </c>
      <c r="X419" s="133">
        <f t="shared" si="326"/>
        <v>0</v>
      </c>
      <c r="Y419" s="133">
        <f t="shared" si="326"/>
        <v>0</v>
      </c>
      <c r="Z419"/>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c r="BX419" s="12">
        <f t="shared" si="324"/>
        <v>0</v>
      </c>
      <c r="BY419" s="12">
        <f t="shared" si="324"/>
        <v>0</v>
      </c>
      <c r="BZ419" s="12">
        <f t="shared" si="324"/>
        <v>0</v>
      </c>
      <c r="CA419" s="12">
        <f t="shared" si="324"/>
        <v>0</v>
      </c>
      <c r="CB419" s="133">
        <f xml:space="preserve"> SUMIFS($AA419:$BV419, $AA$3:$BV$3, CB$3)</f>
        <v>0</v>
      </c>
      <c r="CC419" s="109"/>
      <c r="CD419" s="109"/>
      <c r="CE419" s="109"/>
      <c r="CF419" s="109"/>
      <c r="CG419" s="109"/>
      <c r="CH419" s="109"/>
      <c r="CI419" s="109"/>
      <c r="CJ419"/>
      <c r="CK419" s="11"/>
      <c r="CL419" s="241">
        <f>IF(MIN($V419:$CI419)&lt;0, 1, 0)</f>
        <v>0</v>
      </c>
      <c r="CM419" s="11"/>
      <c r="CN419"/>
      <c r="CO419"/>
      <c r="CP419"/>
      <c r="CQ419"/>
      <c r="CR419"/>
      <c r="CS419"/>
      <c r="CT419"/>
      <c r="CU419"/>
      <c r="CV419"/>
      <c r="CW419"/>
      <c r="CX419"/>
      <c r="CY419" s="7" cm="1">
        <f t="array" ref="CY419">SUMPRODUCT(--NOT(ISNUMBER(V419:CI419)),--NOT(ISBLANK(V419:CI419)))</f>
        <v>0</v>
      </c>
      <c r="CZ419" s="7">
        <f t="shared" ref="CZ419:DB421" si="327">IF(ROUND(W419-SUMIFS($AA419:$BV419, $AA$3:$BV$3, W$3), rounding)=0, 0, 1)</f>
        <v>0</v>
      </c>
      <c r="DA419" s="7">
        <f t="shared" si="327"/>
        <v>0</v>
      </c>
      <c r="DB419" s="7">
        <f t="shared" si="327"/>
        <v>0</v>
      </c>
      <c r="DC419" s="7">
        <f>IF(ROUND(CB419-SUMIFS($AA419:$BV419, $AA$3:$BV$3, CB$3), rounding)=0, 0, 1)</f>
        <v>0</v>
      </c>
      <c r="DD419" s="7">
        <f>IF(ROUND(V419-BX419, rounding)=0, 0, 1)*'BS Forecasts'!$V$10</f>
        <v>0</v>
      </c>
      <c r="DE419"/>
      <c r="DF419" s="11"/>
      <c r="DG419">
        <f t="shared" si="290"/>
        <v>0</v>
      </c>
      <c r="DH419">
        <v>1</v>
      </c>
      <c r="DI419">
        <v>1</v>
      </c>
      <c r="EY419" s="12" t="str">
        <f>IF(C419="", "", CONCATENATE(D417, " ",D419))</f>
        <v>Loan 20 Drawdowns</v>
      </c>
    </row>
    <row r="420" spans="1:155" x14ac:dyDescent="0.35">
      <c r="A420" s="220" cm="1">
        <f t="array" aca="1" ref="A420" ca="1">HYPERLINK(CONCATENATE("#",CELL("address",IF(MAX($CM420:$DF420)=0,A420,INDEX($CM420:$DF420,MATCH(1,$CM420:$DF420,0))))),MAX($CM420:$DF420))</f>
        <v>0</v>
      </c>
      <c r="C420" s="211" t="s">
        <v>1224</v>
      </c>
      <c r="D420" t="s">
        <v>1078</v>
      </c>
      <c r="H420" s="9" t="s">
        <v>1074</v>
      </c>
      <c r="I420" s="40" t="s">
        <v>1079</v>
      </c>
      <c r="V420" s="109"/>
      <c r="W420" s="133">
        <f t="shared" si="326"/>
        <v>0</v>
      </c>
      <c r="X420" s="133">
        <f t="shared" si="326"/>
        <v>0</v>
      </c>
      <c r="Y420" s="133">
        <f t="shared" si="326"/>
        <v>0</v>
      </c>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X420" s="12">
        <f t="shared" si="324"/>
        <v>0</v>
      </c>
      <c r="BY420" s="12">
        <f t="shared" si="324"/>
        <v>0</v>
      </c>
      <c r="BZ420" s="12">
        <f t="shared" si="324"/>
        <v>0</v>
      </c>
      <c r="CA420" s="12">
        <f t="shared" si="324"/>
        <v>0</v>
      </c>
      <c r="CB420" s="133">
        <f xml:space="preserve"> SUMIFS($AA420:$BV420, $AA$3:$BV$3, CB$3)</f>
        <v>0</v>
      </c>
      <c r="CC420" s="109"/>
      <c r="CD420" s="109"/>
      <c r="CE420" s="109"/>
      <c r="CF420" s="109"/>
      <c r="CG420" s="109"/>
      <c r="CH420" s="109"/>
      <c r="CI420" s="109"/>
      <c r="CK420" s="11"/>
      <c r="CL420" s="241">
        <f>IF(MAX($V420:$CI420)&gt;0, 1, 0)</f>
        <v>0</v>
      </c>
      <c r="CM420" s="11"/>
      <c r="CY420" s="7" cm="1">
        <f t="array" ref="CY420">SUMPRODUCT(--NOT(ISNUMBER(V420:CI420)),--NOT(ISBLANK(V420:CI420)))</f>
        <v>0</v>
      </c>
      <c r="CZ420" s="7">
        <f t="shared" si="327"/>
        <v>0</v>
      </c>
      <c r="DA420" s="7">
        <f t="shared" si="327"/>
        <v>0</v>
      </c>
      <c r="DB420" s="7">
        <f t="shared" si="327"/>
        <v>0</v>
      </c>
      <c r="DC420" s="7">
        <f>IF(ROUND(CB420-SUMIFS($AA420:$BV420, $AA$3:$BV$3, CB$3), rounding)=0, 0, 1)</f>
        <v>0</v>
      </c>
      <c r="DD420" s="7">
        <f>IF(ROUND(V420-BX420, rounding)=0, 0, 1)*'BS Forecasts'!$V$10</f>
        <v>0</v>
      </c>
      <c r="DF420" s="11"/>
      <c r="DG420">
        <f t="shared" si="290"/>
        <v>0</v>
      </c>
      <c r="DH420">
        <v>1</v>
      </c>
      <c r="DI420">
        <v>1</v>
      </c>
      <c r="EY420" s="12" t="str">
        <f>IF(C420="", "", CONCATENATE(D417, " ",D420))</f>
        <v>Loan 20 Loan Capital Repayment (as per loan agreement)</v>
      </c>
    </row>
    <row r="421" spans="1:155" x14ac:dyDescent="0.35">
      <c r="A421" s="220" cm="1">
        <f t="array" aca="1" ref="A421" ca="1">HYPERLINK(CONCATENATE("#",CELL("address",IF(MAX($CM421:$DF421)=0,A421,INDEX($CM421:$DF421,MATCH(1,$CM421:$DF421,0))))),MAX($CM421:$DF421))</f>
        <v>0</v>
      </c>
      <c r="C421" s="211" t="s">
        <v>1225</v>
      </c>
      <c r="D421" t="s">
        <v>1081</v>
      </c>
      <c r="H421" s="9" t="s">
        <v>1074</v>
      </c>
      <c r="I421" s="40" t="s">
        <v>1079</v>
      </c>
      <c r="V421" s="109"/>
      <c r="W421" s="133">
        <f t="shared" si="326"/>
        <v>0</v>
      </c>
      <c r="X421" s="133">
        <f t="shared" si="326"/>
        <v>0</v>
      </c>
      <c r="Y421" s="133">
        <f t="shared" si="326"/>
        <v>0</v>
      </c>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X421" s="12">
        <f t="shared" si="324"/>
        <v>0</v>
      </c>
      <c r="BY421" s="12">
        <f t="shared" si="324"/>
        <v>0</v>
      </c>
      <c r="BZ421" s="12">
        <f t="shared" si="324"/>
        <v>0</v>
      </c>
      <c r="CA421" s="12">
        <f t="shared" si="324"/>
        <v>0</v>
      </c>
      <c r="CB421" s="133">
        <f xml:space="preserve"> SUMIFS($AA421:$BV421, $AA$3:$BV$3, CB$3)</f>
        <v>0</v>
      </c>
      <c r="CC421" s="109"/>
      <c r="CD421" s="109"/>
      <c r="CE421" s="109"/>
      <c r="CF421" s="109"/>
      <c r="CG421" s="109"/>
      <c r="CH421" s="109"/>
      <c r="CI421" s="109"/>
      <c r="CK421" s="11"/>
      <c r="CL421" s="241">
        <f>IF(MAX($V421:$CI421)&gt;0, 1, 0)</f>
        <v>0</v>
      </c>
      <c r="CM421" s="11"/>
      <c r="CY421" s="7" cm="1">
        <f t="array" ref="CY421">SUMPRODUCT(--NOT(ISNUMBER(V421:CI421)),--NOT(ISBLANK(V421:CI421)))</f>
        <v>0</v>
      </c>
      <c r="CZ421" s="7">
        <f t="shared" si="327"/>
        <v>0</v>
      </c>
      <c r="DA421" s="7">
        <f t="shared" si="327"/>
        <v>0</v>
      </c>
      <c r="DB421" s="7">
        <f t="shared" si="327"/>
        <v>0</v>
      </c>
      <c r="DC421" s="7">
        <f>IF(ROUND(CB421-SUMIFS($AA421:$BV421, $AA$3:$BV$3, CB$3), rounding)=0, 0, 1)</f>
        <v>0</v>
      </c>
      <c r="DD421" s="7">
        <f>IF(ROUND(V421-BX421, rounding)=0, 0, 1)*'BS Forecasts'!$V$10</f>
        <v>0</v>
      </c>
      <c r="DF421" s="11"/>
      <c r="DG421">
        <f t="shared" si="290"/>
        <v>0</v>
      </c>
      <c r="DH421">
        <v>1</v>
      </c>
      <c r="DI421">
        <v>1</v>
      </c>
      <c r="EY421" s="12" t="str">
        <f>IF(C421="", "", CONCATENATE(D417, " ",D421))</f>
        <v xml:space="preserve">Loan 20 Early Repayment </v>
      </c>
    </row>
    <row r="422" spans="1:155" x14ac:dyDescent="0.35">
      <c r="C422" s="211" t="s">
        <v>1226</v>
      </c>
      <c r="D422" t="s">
        <v>1083</v>
      </c>
      <c r="H422" s="9" t="s">
        <v>1074</v>
      </c>
      <c r="I422" s="40" t="s">
        <v>317</v>
      </c>
      <c r="V422" s="12">
        <f>$H$32</f>
        <v>0</v>
      </c>
      <c r="W422" s="10">
        <f>SUM(W418:W421)</f>
        <v>0</v>
      </c>
      <c r="X422" s="10">
        <f>SUM(X418:X421)</f>
        <v>0</v>
      </c>
      <c r="Y422" s="10">
        <f>SUM(Y418:Y421)</f>
        <v>0</v>
      </c>
      <c r="AA422" s="10">
        <f t="shared" ref="AA422:BV422" si="328">SUM(AA418:AA421)</f>
        <v>0</v>
      </c>
      <c r="AB422" s="10">
        <f t="shared" si="328"/>
        <v>0</v>
      </c>
      <c r="AC422" s="10">
        <f t="shared" si="328"/>
        <v>0</v>
      </c>
      <c r="AD422" s="10">
        <f t="shared" si="328"/>
        <v>0</v>
      </c>
      <c r="AE422" s="10">
        <f t="shared" si="328"/>
        <v>0</v>
      </c>
      <c r="AF422" s="10">
        <f t="shared" si="328"/>
        <v>0</v>
      </c>
      <c r="AG422" s="10">
        <f t="shared" si="328"/>
        <v>0</v>
      </c>
      <c r="AH422" s="10">
        <f t="shared" si="328"/>
        <v>0</v>
      </c>
      <c r="AI422" s="10">
        <f t="shared" si="328"/>
        <v>0</v>
      </c>
      <c r="AJ422" s="10">
        <f t="shared" si="328"/>
        <v>0</v>
      </c>
      <c r="AK422" s="10">
        <f t="shared" si="328"/>
        <v>0</v>
      </c>
      <c r="AL422" s="10">
        <f t="shared" si="328"/>
        <v>0</v>
      </c>
      <c r="AM422" s="10">
        <f t="shared" si="328"/>
        <v>0</v>
      </c>
      <c r="AN422" s="10">
        <f t="shared" si="328"/>
        <v>0</v>
      </c>
      <c r="AO422" s="10">
        <f t="shared" si="328"/>
        <v>0</v>
      </c>
      <c r="AP422" s="10">
        <f t="shared" si="328"/>
        <v>0</v>
      </c>
      <c r="AQ422" s="10">
        <f t="shared" si="328"/>
        <v>0</v>
      </c>
      <c r="AR422" s="10">
        <f t="shared" si="328"/>
        <v>0</v>
      </c>
      <c r="AS422" s="10">
        <f t="shared" si="328"/>
        <v>0</v>
      </c>
      <c r="AT422" s="10">
        <f t="shared" si="328"/>
        <v>0</v>
      </c>
      <c r="AU422" s="10">
        <f t="shared" si="328"/>
        <v>0</v>
      </c>
      <c r="AV422" s="10">
        <f t="shared" si="328"/>
        <v>0</v>
      </c>
      <c r="AW422" s="10">
        <f t="shared" si="328"/>
        <v>0</v>
      </c>
      <c r="AX422" s="10">
        <f t="shared" si="328"/>
        <v>0</v>
      </c>
      <c r="AY422" s="10">
        <f t="shared" si="328"/>
        <v>0</v>
      </c>
      <c r="AZ422" s="10">
        <f t="shared" si="328"/>
        <v>0</v>
      </c>
      <c r="BA422" s="10">
        <f t="shared" si="328"/>
        <v>0</v>
      </c>
      <c r="BB422" s="10">
        <f t="shared" si="328"/>
        <v>0</v>
      </c>
      <c r="BC422" s="10">
        <f t="shared" si="328"/>
        <v>0</v>
      </c>
      <c r="BD422" s="10">
        <f t="shared" si="328"/>
        <v>0</v>
      </c>
      <c r="BE422" s="10">
        <f t="shared" si="328"/>
        <v>0</v>
      </c>
      <c r="BF422" s="10">
        <f t="shared" si="328"/>
        <v>0</v>
      </c>
      <c r="BG422" s="10">
        <f t="shared" si="328"/>
        <v>0</v>
      </c>
      <c r="BH422" s="10">
        <f t="shared" si="328"/>
        <v>0</v>
      </c>
      <c r="BI422" s="10">
        <f t="shared" si="328"/>
        <v>0</v>
      </c>
      <c r="BJ422" s="10">
        <f t="shared" si="328"/>
        <v>0</v>
      </c>
      <c r="BK422" s="10">
        <f t="shared" si="328"/>
        <v>0</v>
      </c>
      <c r="BL422" s="10">
        <f t="shared" si="328"/>
        <v>0</v>
      </c>
      <c r="BM422" s="10">
        <f t="shared" si="328"/>
        <v>0</v>
      </c>
      <c r="BN422" s="10">
        <f t="shared" si="328"/>
        <v>0</v>
      </c>
      <c r="BO422" s="10">
        <f t="shared" si="328"/>
        <v>0</v>
      </c>
      <c r="BP422" s="10">
        <f t="shared" si="328"/>
        <v>0</v>
      </c>
      <c r="BQ422" s="10">
        <f t="shared" si="328"/>
        <v>0</v>
      </c>
      <c r="BR422" s="10">
        <f t="shared" si="328"/>
        <v>0</v>
      </c>
      <c r="BS422" s="10">
        <f t="shared" si="328"/>
        <v>0</v>
      </c>
      <c r="BT422" s="10">
        <f t="shared" si="328"/>
        <v>0</v>
      </c>
      <c r="BU422" s="10">
        <f t="shared" si="328"/>
        <v>0</v>
      </c>
      <c r="BV422" s="10">
        <f t="shared" si="328"/>
        <v>0</v>
      </c>
      <c r="BX422" s="12">
        <f t="shared" si="324"/>
        <v>0</v>
      </c>
      <c r="BY422" s="12">
        <f t="shared" si="324"/>
        <v>0</v>
      </c>
      <c r="BZ422" s="12">
        <f t="shared" si="324"/>
        <v>0</v>
      </c>
      <c r="CA422" s="12">
        <f t="shared" si="324"/>
        <v>0</v>
      </c>
      <c r="CB422" s="10">
        <f t="shared" ref="CB422:CI422" si="329">SUM(CB418:CB421)</f>
        <v>0</v>
      </c>
      <c r="CC422" s="10">
        <f t="shared" si="329"/>
        <v>0</v>
      </c>
      <c r="CD422" s="10">
        <f t="shared" si="329"/>
        <v>0</v>
      </c>
      <c r="CE422" s="10">
        <f t="shared" si="329"/>
        <v>0</v>
      </c>
      <c r="CF422" s="10">
        <f t="shared" si="329"/>
        <v>0</v>
      </c>
      <c r="CG422" s="10">
        <f t="shared" si="329"/>
        <v>0</v>
      </c>
      <c r="CH422" s="10">
        <f t="shared" si="329"/>
        <v>0</v>
      </c>
      <c r="CI422" s="10">
        <f t="shared" si="329"/>
        <v>0</v>
      </c>
      <c r="CK422" s="11"/>
      <c r="CM422" s="11"/>
      <c r="DF422" s="11"/>
      <c r="DG422">
        <f t="shared" si="290"/>
        <v>0</v>
      </c>
      <c r="DH422">
        <v>0</v>
      </c>
      <c r="DI422">
        <v>0</v>
      </c>
      <c r="EY422" s="12" t="str">
        <f>IF(C422="", "", CONCATENATE(D417, " ",D422))</f>
        <v>Loan 20 Closing Loan Balance</v>
      </c>
    </row>
    <row r="423" spans="1:155" ht="6.75" customHeight="1" x14ac:dyDescent="0.35">
      <c r="C423" s="211"/>
      <c r="D423" s="1"/>
      <c r="E423"/>
      <c r="F423"/>
      <c r="BY423" s="6"/>
      <c r="CK423" s="35"/>
      <c r="CM423" s="35"/>
      <c r="DF423" s="35"/>
      <c r="DG423">
        <f t="shared" si="290"/>
        <v>0</v>
      </c>
      <c r="DH423">
        <v>0</v>
      </c>
      <c r="DI423">
        <v>0</v>
      </c>
      <c r="EY423" s="12" t="str">
        <f>IF(C423="", "", CONCATENATE(D417, " ",D423))</f>
        <v/>
      </c>
    </row>
    <row r="424" spans="1:155" x14ac:dyDescent="0.35">
      <c r="A424" s="220" cm="1">
        <f t="array" aca="1" ref="A424" ca="1">HYPERLINK(CONCATENATE("#",CELL("address",IF(MAX($CM424:$DF424)=0,A424,INDEX($CM424:$DF424,MATCH(1,$CM424:$DF424,0))))),MAX($CM424:$DF424))</f>
        <v>0</v>
      </c>
      <c r="C424" s="211"/>
      <c r="D424" t="s">
        <v>1084</v>
      </c>
      <c r="E424" s="118" t="s">
        <v>1085</v>
      </c>
      <c r="F424" s="118"/>
      <c r="G424" s="10">
        <f>$G$32</f>
        <v>0</v>
      </c>
      <c r="V424" s="7">
        <f>IF(OR(V422&gt;$G424, V422&lt;0), 1, 0)</f>
        <v>0</v>
      </c>
      <c r="W424" s="7">
        <f>IF(OR(W422&gt;$G424, W422&lt;0), 1, 0)</f>
        <v>0</v>
      </c>
      <c r="X424" s="7">
        <f>IF(OR(X422&gt;$G424, X422&lt;0), 1, 0)</f>
        <v>0</v>
      </c>
      <c r="Y424" s="7">
        <f>IF(OR(Y422&gt;$G424, Y422&lt;0), 1, 0)</f>
        <v>0</v>
      </c>
      <c r="AA424" s="7">
        <f t="shared" ref="AA424:BV424" si="330">IF(OR(AA422&gt;$G424, AA422&lt;0), 1, 0)</f>
        <v>0</v>
      </c>
      <c r="AB424" s="7">
        <f t="shared" si="330"/>
        <v>0</v>
      </c>
      <c r="AC424" s="7">
        <f t="shared" si="330"/>
        <v>0</v>
      </c>
      <c r="AD424" s="7">
        <f t="shared" si="330"/>
        <v>0</v>
      </c>
      <c r="AE424" s="7">
        <f t="shared" si="330"/>
        <v>0</v>
      </c>
      <c r="AF424" s="7">
        <f t="shared" si="330"/>
        <v>0</v>
      </c>
      <c r="AG424" s="7">
        <f t="shared" si="330"/>
        <v>0</v>
      </c>
      <c r="AH424" s="7">
        <f t="shared" si="330"/>
        <v>0</v>
      </c>
      <c r="AI424" s="7">
        <f t="shared" si="330"/>
        <v>0</v>
      </c>
      <c r="AJ424" s="7">
        <f t="shared" si="330"/>
        <v>0</v>
      </c>
      <c r="AK424" s="7">
        <f t="shared" si="330"/>
        <v>0</v>
      </c>
      <c r="AL424" s="7">
        <f t="shared" si="330"/>
        <v>0</v>
      </c>
      <c r="AM424" s="7">
        <f t="shared" si="330"/>
        <v>0</v>
      </c>
      <c r="AN424" s="7">
        <f t="shared" si="330"/>
        <v>0</v>
      </c>
      <c r="AO424" s="7">
        <f t="shared" si="330"/>
        <v>0</v>
      </c>
      <c r="AP424" s="7">
        <f t="shared" si="330"/>
        <v>0</v>
      </c>
      <c r="AQ424" s="7">
        <f t="shared" si="330"/>
        <v>0</v>
      </c>
      <c r="AR424" s="7">
        <f t="shared" si="330"/>
        <v>0</v>
      </c>
      <c r="AS424" s="7">
        <f t="shared" si="330"/>
        <v>0</v>
      </c>
      <c r="AT424" s="7">
        <f t="shared" si="330"/>
        <v>0</v>
      </c>
      <c r="AU424" s="7">
        <f t="shared" si="330"/>
        <v>0</v>
      </c>
      <c r="AV424" s="7">
        <f t="shared" si="330"/>
        <v>0</v>
      </c>
      <c r="AW424" s="7">
        <f t="shared" si="330"/>
        <v>0</v>
      </c>
      <c r="AX424" s="7">
        <f t="shared" si="330"/>
        <v>0</v>
      </c>
      <c r="AY424" s="7">
        <f t="shared" si="330"/>
        <v>0</v>
      </c>
      <c r="AZ424" s="7">
        <f t="shared" si="330"/>
        <v>0</v>
      </c>
      <c r="BA424" s="7">
        <f t="shared" si="330"/>
        <v>0</v>
      </c>
      <c r="BB424" s="7">
        <f t="shared" si="330"/>
        <v>0</v>
      </c>
      <c r="BC424" s="7">
        <f t="shared" si="330"/>
        <v>0</v>
      </c>
      <c r="BD424" s="7">
        <f t="shared" si="330"/>
        <v>0</v>
      </c>
      <c r="BE424" s="7">
        <f t="shared" si="330"/>
        <v>0</v>
      </c>
      <c r="BF424" s="7">
        <f t="shared" si="330"/>
        <v>0</v>
      </c>
      <c r="BG424" s="7">
        <f t="shared" si="330"/>
        <v>0</v>
      </c>
      <c r="BH424" s="7">
        <f t="shared" si="330"/>
        <v>0</v>
      </c>
      <c r="BI424" s="7">
        <f t="shared" si="330"/>
        <v>0</v>
      </c>
      <c r="BJ424" s="7">
        <f t="shared" si="330"/>
        <v>0</v>
      </c>
      <c r="BK424" s="7">
        <f t="shared" si="330"/>
        <v>0</v>
      </c>
      <c r="BL424" s="7">
        <f t="shared" si="330"/>
        <v>0</v>
      </c>
      <c r="BM424" s="7">
        <f t="shared" si="330"/>
        <v>0</v>
      </c>
      <c r="BN424" s="7">
        <f t="shared" si="330"/>
        <v>0</v>
      </c>
      <c r="BO424" s="7">
        <f t="shared" si="330"/>
        <v>0</v>
      </c>
      <c r="BP424" s="7">
        <f t="shared" si="330"/>
        <v>0</v>
      </c>
      <c r="BQ424" s="7">
        <f t="shared" si="330"/>
        <v>0</v>
      </c>
      <c r="BR424" s="7">
        <f t="shared" si="330"/>
        <v>0</v>
      </c>
      <c r="BS424" s="7">
        <f t="shared" si="330"/>
        <v>0</v>
      </c>
      <c r="BT424" s="7">
        <f t="shared" si="330"/>
        <v>0</v>
      </c>
      <c r="BU424" s="7">
        <f t="shared" si="330"/>
        <v>0</v>
      </c>
      <c r="BV424" s="7">
        <f t="shared" si="330"/>
        <v>0</v>
      </c>
      <c r="BX424" s="7">
        <f t="shared" ref="BX424:CI424" si="331">IF(OR(BX422&gt;$G424, BX422&lt;0), 1, 0)</f>
        <v>0</v>
      </c>
      <c r="BY424" s="7">
        <f t="shared" si="331"/>
        <v>0</v>
      </c>
      <c r="BZ424" s="7">
        <f t="shared" si="331"/>
        <v>0</v>
      </c>
      <c r="CA424" s="7">
        <f t="shared" si="331"/>
        <v>0</v>
      </c>
      <c r="CB424" s="7">
        <f t="shared" si="331"/>
        <v>0</v>
      </c>
      <c r="CC424" s="7">
        <f t="shared" si="331"/>
        <v>0</v>
      </c>
      <c r="CD424" s="7">
        <f t="shared" si="331"/>
        <v>0</v>
      </c>
      <c r="CE424" s="7">
        <f t="shared" si="331"/>
        <v>0</v>
      </c>
      <c r="CF424" s="7">
        <f t="shared" si="331"/>
        <v>0</v>
      </c>
      <c r="CG424" s="7">
        <f t="shared" si="331"/>
        <v>0</v>
      </c>
      <c r="CH424" s="7">
        <f t="shared" si="331"/>
        <v>0</v>
      </c>
      <c r="CI424" s="7">
        <f t="shared" si="331"/>
        <v>0</v>
      </c>
      <c r="CK424" s="11"/>
      <c r="CM424" s="11"/>
      <c r="CX424" s="7">
        <f>IF(MAX(V424:CI424)&gt;0, 1, 0)</f>
        <v>0</v>
      </c>
      <c r="DF424" s="11"/>
      <c r="DG424">
        <f t="shared" si="290"/>
        <v>1</v>
      </c>
      <c r="DH424">
        <v>0</v>
      </c>
      <c r="DI424">
        <v>0</v>
      </c>
      <c r="EY424" s="12" t="str">
        <f>IF(C424="", "", CONCATENATE(D417, " ",D424))</f>
        <v/>
      </c>
    </row>
    <row r="425" spans="1:155" x14ac:dyDescent="0.35">
      <c r="A425" s="220" cm="1">
        <f t="array" aca="1" ref="A425" ca="1">HYPERLINK(CONCATENATE("#",CELL("address",IF(MAX($CM425:$DF425)=0,A425,INDEX($CM425:$DF425,MATCH(1,$CM425:$DF425,0))))),MAX($CM425:$DF425))</f>
        <v>0</v>
      </c>
      <c r="C425" s="211"/>
      <c r="D425" t="s">
        <v>1086</v>
      </c>
      <c r="E425" s="118" t="s">
        <v>1087</v>
      </c>
      <c r="F425" s="118"/>
      <c r="G425" s="117" t="str">
        <f>IF($K$32="", "", $K$32)</f>
        <v/>
      </c>
      <c r="V425" s="7">
        <f>IF(AND(V$5&gt;=$G425,SUM(V422:$Y422)&lt;&gt;0),1,0)</f>
        <v>0</v>
      </c>
      <c r="W425" s="7">
        <f>IF(AND(W$5&gt;=$G425,SUM(W422:$Y422)&lt;&gt;0),1,0)</f>
        <v>0</v>
      </c>
      <c r="X425" s="7">
        <f>IF(AND(X$5&gt;=$G425,SUM(X422:$Y422)&lt;&gt;0),1,0)</f>
        <v>0</v>
      </c>
      <c r="Y425" s="7">
        <f>IF(AND(Y$5&gt;=$G425,SUM(Y422:$Y422)&lt;&gt;0),1,0)</f>
        <v>0</v>
      </c>
      <c r="AA425" s="7">
        <f>IF(AND(AA$5&gt;=$G425,SUM(AA422:$BV422)&lt;&gt;0),1,0)</f>
        <v>0</v>
      </c>
      <c r="AB425" s="7">
        <f>IF(AND(AB$5&gt;=$G425,SUM(AB422:$BV422)&lt;&gt;0),1,0)</f>
        <v>0</v>
      </c>
      <c r="AC425" s="7">
        <f>IF(AND(AC$5&gt;=$G425,SUM(AC422:$BV422)&lt;&gt;0),1,0)</f>
        <v>0</v>
      </c>
      <c r="AD425" s="7">
        <f>IF(AND(AD$5&gt;=$G425,SUM(AD422:$BV422)&lt;&gt;0),1,0)</f>
        <v>0</v>
      </c>
      <c r="AE425" s="7">
        <f>IF(AND(AE$5&gt;=$G425,SUM(AE422:$BV422)&lt;&gt;0),1,0)</f>
        <v>0</v>
      </c>
      <c r="AF425" s="7">
        <f>IF(AND(AF$5&gt;=$G425,SUM(AF422:$BV422)&lt;&gt;0),1,0)</f>
        <v>0</v>
      </c>
      <c r="AG425" s="7">
        <f>IF(AND(AG$5&gt;=$G425,SUM(AG422:$BV422)&lt;&gt;0),1,0)</f>
        <v>0</v>
      </c>
      <c r="AH425" s="7">
        <f>IF(AND(AH$5&gt;=$G425,SUM(AH422:$BV422)&lt;&gt;0),1,0)</f>
        <v>0</v>
      </c>
      <c r="AI425" s="7">
        <f>IF(AND(AI$5&gt;=$G425,SUM(AI422:$BV422)&lt;&gt;0),1,0)</f>
        <v>0</v>
      </c>
      <c r="AJ425" s="7">
        <f>IF(AND(AJ$5&gt;=$G425,SUM(AJ422:$BV422)&lt;&gt;0),1,0)</f>
        <v>0</v>
      </c>
      <c r="AK425" s="7">
        <f>IF(AND(AK$5&gt;=$G425,SUM(AK422:$BV422)&lt;&gt;0),1,0)</f>
        <v>0</v>
      </c>
      <c r="AL425" s="7">
        <f>IF(AND(AL$5&gt;=$G425,SUM(AL422:$BV422)&lt;&gt;0),1,0)</f>
        <v>0</v>
      </c>
      <c r="AM425" s="7">
        <f>IF(AND(AM$5&gt;=$G425,SUM(AM422:$BV422)&lt;&gt;0),1,0)</f>
        <v>0</v>
      </c>
      <c r="AN425" s="7">
        <f>IF(AND(AN$5&gt;=$G425,SUM(AN422:$BV422)&lt;&gt;0),1,0)</f>
        <v>0</v>
      </c>
      <c r="AO425" s="7">
        <f>IF(AND(AO$5&gt;=$G425,SUM(AO422:$BV422)&lt;&gt;0),1,0)</f>
        <v>0</v>
      </c>
      <c r="AP425" s="7">
        <f>IF(AND(AP$5&gt;=$G425,SUM(AP422:$BV422)&lt;&gt;0),1,0)</f>
        <v>0</v>
      </c>
      <c r="AQ425" s="7">
        <f>IF(AND(AQ$5&gt;=$G425,SUM(AQ422:$BV422)&lt;&gt;0),1,0)</f>
        <v>0</v>
      </c>
      <c r="AR425" s="7">
        <f>IF(AND(AR$5&gt;=$G425,SUM(AR422:$BV422)&lt;&gt;0),1,0)</f>
        <v>0</v>
      </c>
      <c r="AS425" s="7">
        <f>IF(AND(AS$5&gt;=$G425,SUM(AS422:$BV422)&lt;&gt;0),1,0)</f>
        <v>0</v>
      </c>
      <c r="AT425" s="7">
        <f>IF(AND(AT$5&gt;=$G425,SUM(AT422:$BV422)&lt;&gt;0),1,0)</f>
        <v>0</v>
      </c>
      <c r="AU425" s="7">
        <f>IF(AND(AU$5&gt;=$G425,SUM(AU422:$BV422)&lt;&gt;0),1,0)</f>
        <v>0</v>
      </c>
      <c r="AV425" s="7">
        <f>IF(AND(AV$5&gt;=$G425,SUM(AV422:$BV422)&lt;&gt;0),1,0)</f>
        <v>0</v>
      </c>
      <c r="AW425" s="7">
        <f>IF(AND(AW$5&gt;=$G425,SUM(AW422:$BV422)&lt;&gt;0),1,0)</f>
        <v>0</v>
      </c>
      <c r="AX425" s="7">
        <f>IF(AND(AX$5&gt;=$G425,SUM(AX422:$BV422)&lt;&gt;0),1,0)</f>
        <v>0</v>
      </c>
      <c r="AY425" s="7">
        <f>IF(AND(AY$5&gt;=$G425,SUM(AY422:$BV422)&lt;&gt;0),1,0)</f>
        <v>0</v>
      </c>
      <c r="AZ425" s="7">
        <f>IF(AND(AZ$5&gt;=$G425,SUM(AZ422:$BV422)&lt;&gt;0),1,0)</f>
        <v>0</v>
      </c>
      <c r="BA425" s="7">
        <f>IF(AND(BA$5&gt;=$G425,SUM(BA422:$BV422)&lt;&gt;0),1,0)</f>
        <v>0</v>
      </c>
      <c r="BB425" s="7">
        <f>IF(AND(BB$5&gt;=$G425,SUM(BB422:$BV422)&lt;&gt;0),1,0)</f>
        <v>0</v>
      </c>
      <c r="BC425" s="7">
        <f>IF(AND(BC$5&gt;=$G425,SUM(BC422:$BV422)&lt;&gt;0),1,0)</f>
        <v>0</v>
      </c>
      <c r="BD425" s="7">
        <f>IF(AND(BD$5&gt;=$G425,SUM(BD422:$BV422)&lt;&gt;0),1,0)</f>
        <v>0</v>
      </c>
      <c r="BE425" s="7">
        <f>IF(AND(BE$5&gt;=$G425,SUM(BE422:$BV422)&lt;&gt;0),1,0)</f>
        <v>0</v>
      </c>
      <c r="BF425" s="7">
        <f>IF(AND(BF$5&gt;=$G425,SUM(BF422:$BV422)&lt;&gt;0),1,0)</f>
        <v>0</v>
      </c>
      <c r="BG425" s="7">
        <f>IF(AND(BG$5&gt;=$G425,SUM(BG422:$BV422)&lt;&gt;0),1,0)</f>
        <v>0</v>
      </c>
      <c r="BH425" s="7">
        <f>IF(AND(BH$5&gt;=$G425,SUM(BH422:$BV422)&lt;&gt;0),1,0)</f>
        <v>0</v>
      </c>
      <c r="BI425" s="7">
        <f>IF(AND(BI$5&gt;=$G425,SUM(BI422:$BV422)&lt;&gt;0),1,0)</f>
        <v>0</v>
      </c>
      <c r="BJ425" s="7">
        <f>IF(AND(BJ$5&gt;=$G425,SUM(BJ422:$BV422)&lt;&gt;0),1,0)</f>
        <v>0</v>
      </c>
      <c r="BK425" s="7">
        <f>IF(AND(BK$5&gt;=$G425,SUM(BK422:$BV422)&lt;&gt;0),1,0)</f>
        <v>0</v>
      </c>
      <c r="BL425" s="7">
        <f>IF(AND(BL$5&gt;=$G425,SUM(BL422:$BV422)&lt;&gt;0),1,0)</f>
        <v>0</v>
      </c>
      <c r="BM425" s="7">
        <f>IF(AND(BM$5&gt;=$G425,SUM(BM422:$BV422)&lt;&gt;0),1,0)</f>
        <v>0</v>
      </c>
      <c r="BN425" s="7">
        <f>IF(AND(BN$5&gt;=$G425,SUM(BN422:$BV422)&lt;&gt;0),1,0)</f>
        <v>0</v>
      </c>
      <c r="BO425" s="7">
        <f>IF(AND(BO$5&gt;=$G425,SUM(BO422:$BV422)&lt;&gt;0),1,0)</f>
        <v>0</v>
      </c>
      <c r="BP425" s="7">
        <f>IF(AND(BP$5&gt;=$G425,SUM(BP422:$BV422)&lt;&gt;0),1,0)</f>
        <v>0</v>
      </c>
      <c r="BQ425" s="7">
        <f>IF(AND(BQ$5&gt;=$G425,SUM(BQ422:$BV422)&lt;&gt;0),1,0)</f>
        <v>0</v>
      </c>
      <c r="BR425" s="7">
        <f>IF(AND(BR$5&gt;=$G425,SUM(BR422:$BV422)&lt;&gt;0),1,0)</f>
        <v>0</v>
      </c>
      <c r="BS425" s="7">
        <f>IF(AND(BS$5&gt;=$G425,SUM(BS422:$BV422)&lt;&gt;0),1,0)</f>
        <v>0</v>
      </c>
      <c r="BT425" s="7">
        <f>IF(AND(BT$5&gt;=$G425,SUM(BT422:$BV422)&lt;&gt;0),1,0)</f>
        <v>0</v>
      </c>
      <c r="BU425" s="7">
        <f>IF(AND(BU$5&gt;=$G425,SUM(BU422:$BV422)&lt;&gt;0),1,0)</f>
        <v>0</v>
      </c>
      <c r="BV425" s="7">
        <f>IF(AND(BV$5&gt;=$G425,SUM(BV422:$BV422)&lt;&gt;0),1,0)</f>
        <v>0</v>
      </c>
      <c r="BX425" s="7">
        <f>IF(AND(BX$5&gt;=$G425,SUM(BX422:$CI422)&lt;&gt;0),1,0)*BX$1159</f>
        <v>0</v>
      </c>
      <c r="BY425" s="7">
        <f>IF(AND(BY$5&gt;=$G425,SUM(BY422:$CI422)&lt;&gt;0),1,0)*BY$1159</f>
        <v>0</v>
      </c>
      <c r="BZ425" s="7">
        <f>IF(AND(BZ$5&gt;=$G425,SUM(BZ422:$CI422)&lt;&gt;0),1,0)*BZ$1159</f>
        <v>0</v>
      </c>
      <c r="CA425" s="7">
        <f>IF(AND(CA$5&gt;=$G425,SUM(CA422:$CI422)&lt;&gt;0),1,0)*CA$1159</f>
        <v>0</v>
      </c>
      <c r="CB425" s="7">
        <f>IF(AND(CB$5&gt;=$G425,SUM(CB422:$CI422)&lt;&gt;0),1,0)*CB$1159</f>
        <v>0</v>
      </c>
      <c r="CC425" s="7">
        <f>IF(AND(CC$5&gt;=$G425,SUM(CC422:$CI422)&lt;&gt;0),1,0)*CC$1159</f>
        <v>0</v>
      </c>
      <c r="CD425" s="7">
        <f>IF(AND(CD$5&gt;=$G425,SUM(CD422:$CI422)&lt;&gt;0),1,0)*CD$1159</f>
        <v>0</v>
      </c>
      <c r="CE425" s="7">
        <f>IF(AND(CE$5&gt;=$G425,SUM(CE422:$CI422)&lt;&gt;0),1,0)*CE$1159</f>
        <v>0</v>
      </c>
      <c r="CF425" s="7">
        <f>IF(AND(CF$5&gt;=$G425,SUM(CF422:$CI422)&lt;&gt;0),1,0)*CF$1159</f>
        <v>0</v>
      </c>
      <c r="CG425" s="7">
        <f>IF(AND(CG$5&gt;=$G425,SUM(CG422:$CI422)&lt;&gt;0),1,0)*CG$1159</f>
        <v>0</v>
      </c>
      <c r="CH425" s="7">
        <f>IF(AND(CH$5&gt;=$G425,SUM(CH422:$CI422)&lt;&gt;0),1,0)*CH$1159</f>
        <v>0</v>
      </c>
      <c r="CI425" s="7">
        <f>IF(AND(CI$5&gt;=$G425,SUM(CI422:$CI422)&lt;&gt;0),1,0)*CI$1159</f>
        <v>0</v>
      </c>
      <c r="CK425" s="11"/>
      <c r="CM425" s="11"/>
      <c r="CX425" s="7">
        <f>IF(MAX($V425:$CI425)&gt;0, 1, 0)</f>
        <v>0</v>
      </c>
      <c r="DF425" s="11"/>
      <c r="DG425">
        <f t="shared" si="290"/>
        <v>1</v>
      </c>
      <c r="DH425">
        <v>0</v>
      </c>
      <c r="DI425">
        <v>0</v>
      </c>
      <c r="EY425" s="12" t="str">
        <f>IF(C425="", "", CONCATENATE(D417, " ",D425))</f>
        <v/>
      </c>
    </row>
    <row r="426" spans="1:155" ht="6.75" customHeight="1" x14ac:dyDescent="0.35">
      <c r="C426" s="211"/>
      <c r="D426" s="1"/>
      <c r="E426"/>
      <c r="F426"/>
      <c r="BY426" s="6"/>
      <c r="CK426" s="35"/>
      <c r="CM426" s="35"/>
      <c r="DF426" s="35"/>
      <c r="DG426">
        <f t="shared" si="290"/>
        <v>0</v>
      </c>
      <c r="DH426">
        <v>0</v>
      </c>
      <c r="DI426">
        <v>0</v>
      </c>
      <c r="EY426" s="12" t="str">
        <f>IF(C426="", "", CONCATENATE(D417, " ",D426))</f>
        <v/>
      </c>
    </row>
    <row r="427" spans="1:155" x14ac:dyDescent="0.35">
      <c r="C427" s="211"/>
      <c r="D427" t="s">
        <v>1088</v>
      </c>
      <c r="H427" s="9" t="s">
        <v>1074</v>
      </c>
      <c r="I427" s="40" t="s">
        <v>317</v>
      </c>
      <c r="V427" s="109"/>
      <c r="W427" s="133">
        <f>V430</f>
        <v>0</v>
      </c>
      <c r="X427" s="133">
        <f>W430</f>
        <v>0</v>
      </c>
      <c r="Y427" s="10">
        <f>X430</f>
        <v>0</v>
      </c>
      <c r="AA427" s="12">
        <f>W427</f>
        <v>0</v>
      </c>
      <c r="AB427" s="10">
        <f t="shared" ref="AB427:BV427" si="332">AA430</f>
        <v>0</v>
      </c>
      <c r="AC427" s="10">
        <f t="shared" si="332"/>
        <v>0</v>
      </c>
      <c r="AD427" s="10">
        <f t="shared" si="332"/>
        <v>0</v>
      </c>
      <c r="AE427" s="10">
        <f t="shared" si="332"/>
        <v>0</v>
      </c>
      <c r="AF427" s="10">
        <f t="shared" si="332"/>
        <v>0</v>
      </c>
      <c r="AG427" s="10">
        <f t="shared" si="332"/>
        <v>0</v>
      </c>
      <c r="AH427" s="10">
        <f t="shared" si="332"/>
        <v>0</v>
      </c>
      <c r="AI427" s="10">
        <f t="shared" si="332"/>
        <v>0</v>
      </c>
      <c r="AJ427" s="10">
        <f t="shared" si="332"/>
        <v>0</v>
      </c>
      <c r="AK427" s="10">
        <f t="shared" si="332"/>
        <v>0</v>
      </c>
      <c r="AL427" s="10">
        <f t="shared" si="332"/>
        <v>0</v>
      </c>
      <c r="AM427" s="10">
        <f t="shared" si="332"/>
        <v>0</v>
      </c>
      <c r="AN427" s="10">
        <f t="shared" si="332"/>
        <v>0</v>
      </c>
      <c r="AO427" s="10">
        <f t="shared" si="332"/>
        <v>0</v>
      </c>
      <c r="AP427" s="10">
        <f t="shared" si="332"/>
        <v>0</v>
      </c>
      <c r="AQ427" s="10">
        <f t="shared" si="332"/>
        <v>0</v>
      </c>
      <c r="AR427" s="10">
        <f t="shared" si="332"/>
        <v>0</v>
      </c>
      <c r="AS427" s="10">
        <f t="shared" si="332"/>
        <v>0</v>
      </c>
      <c r="AT427" s="10">
        <f t="shared" si="332"/>
        <v>0</v>
      </c>
      <c r="AU427" s="10">
        <f t="shared" si="332"/>
        <v>0</v>
      </c>
      <c r="AV427" s="10">
        <f t="shared" si="332"/>
        <v>0</v>
      </c>
      <c r="AW427" s="10">
        <f t="shared" si="332"/>
        <v>0</v>
      </c>
      <c r="AX427" s="10">
        <f t="shared" si="332"/>
        <v>0</v>
      </c>
      <c r="AY427" s="10">
        <f t="shared" si="332"/>
        <v>0</v>
      </c>
      <c r="AZ427" s="10">
        <f t="shared" si="332"/>
        <v>0</v>
      </c>
      <c r="BA427" s="10">
        <f t="shared" si="332"/>
        <v>0</v>
      </c>
      <c r="BB427" s="10">
        <f t="shared" si="332"/>
        <v>0</v>
      </c>
      <c r="BC427" s="10">
        <f t="shared" si="332"/>
        <v>0</v>
      </c>
      <c r="BD427" s="10">
        <f t="shared" si="332"/>
        <v>0</v>
      </c>
      <c r="BE427" s="10">
        <f t="shared" si="332"/>
        <v>0</v>
      </c>
      <c r="BF427" s="10">
        <f t="shared" si="332"/>
        <v>0</v>
      </c>
      <c r="BG427" s="10">
        <f t="shared" si="332"/>
        <v>0</v>
      </c>
      <c r="BH427" s="10">
        <f t="shared" si="332"/>
        <v>0</v>
      </c>
      <c r="BI427" s="10">
        <f t="shared" si="332"/>
        <v>0</v>
      </c>
      <c r="BJ427" s="10">
        <f t="shared" si="332"/>
        <v>0</v>
      </c>
      <c r="BK427" s="10">
        <f t="shared" si="332"/>
        <v>0</v>
      </c>
      <c r="BL427" s="10">
        <f t="shared" si="332"/>
        <v>0</v>
      </c>
      <c r="BM427" s="10">
        <f t="shared" si="332"/>
        <v>0</v>
      </c>
      <c r="BN427" s="10">
        <f t="shared" si="332"/>
        <v>0</v>
      </c>
      <c r="BO427" s="10">
        <f t="shared" si="332"/>
        <v>0</v>
      </c>
      <c r="BP427" s="10">
        <f t="shared" si="332"/>
        <v>0</v>
      </c>
      <c r="BQ427" s="10">
        <f t="shared" si="332"/>
        <v>0</v>
      </c>
      <c r="BR427" s="10">
        <f t="shared" si="332"/>
        <v>0</v>
      </c>
      <c r="BS427" s="10">
        <f t="shared" si="332"/>
        <v>0</v>
      </c>
      <c r="BT427" s="10">
        <f t="shared" si="332"/>
        <v>0</v>
      </c>
      <c r="BU427" s="10">
        <f t="shared" si="332"/>
        <v>0</v>
      </c>
      <c r="BV427" s="10">
        <f t="shared" si="332"/>
        <v>0</v>
      </c>
      <c r="BX427" s="12">
        <f t="shared" ref="BX427:CA430" si="333">V427</f>
        <v>0</v>
      </c>
      <c r="BY427" s="12">
        <f t="shared" si="333"/>
        <v>0</v>
      </c>
      <c r="BZ427" s="12">
        <f t="shared" si="333"/>
        <v>0</v>
      </c>
      <c r="CA427" s="12">
        <f t="shared" si="333"/>
        <v>0</v>
      </c>
      <c r="CB427" s="10">
        <f t="shared" ref="CB427:CI427" si="334">CA430</f>
        <v>0</v>
      </c>
      <c r="CC427" s="10">
        <f t="shared" si="334"/>
        <v>0</v>
      </c>
      <c r="CD427" s="10">
        <f t="shared" si="334"/>
        <v>0</v>
      </c>
      <c r="CE427" s="10">
        <f t="shared" si="334"/>
        <v>0</v>
      </c>
      <c r="CF427" s="10">
        <f t="shared" si="334"/>
        <v>0</v>
      </c>
      <c r="CG427" s="10">
        <f t="shared" si="334"/>
        <v>0</v>
      </c>
      <c r="CH427" s="10">
        <f t="shared" si="334"/>
        <v>0</v>
      </c>
      <c r="CI427" s="10">
        <f t="shared" si="334"/>
        <v>0</v>
      </c>
      <c r="CK427" s="11"/>
      <c r="CM427" s="11"/>
      <c r="CY427" s="7" cm="1">
        <f t="array" ref="CY427">SUMPRODUCT(--NOT(ISNUMBER(V427:CI427)),--NOT(ISBLANK(V427:CI427)))</f>
        <v>0</v>
      </c>
      <c r="DF427" s="11"/>
      <c r="DG427">
        <f t="shared" si="290"/>
        <v>0</v>
      </c>
      <c r="DH427">
        <v>1</v>
      </c>
      <c r="DI427">
        <v>0</v>
      </c>
      <c r="EY427" s="12" t="str">
        <f>IF(C427="", "", CONCATENATE(D417, " ",D427))</f>
        <v/>
      </c>
    </row>
    <row r="428" spans="1:155" s="5" customFormat="1" x14ac:dyDescent="0.35">
      <c r="A428" s="220" cm="1">
        <f t="array" aca="1" ref="A428" ca="1">HYPERLINK(CONCATENATE("#",CELL("address",IF(MAX($CM428:$DF428)=0,A428,INDEX($CM428:$DF428,MATCH(1,$CM428:$DF428,0))))),MAX($CM428:$DF428))</f>
        <v>0</v>
      </c>
      <c r="B428" s="85" t="s">
        <v>122</v>
      </c>
      <c r="C428" s="211"/>
      <c r="D428" t="s">
        <v>1089</v>
      </c>
      <c r="E428" s="1"/>
      <c r="F428" s="1"/>
      <c r="G428"/>
      <c r="H428" s="9" t="s">
        <v>1074</v>
      </c>
      <c r="I428" s="40" t="s">
        <v>665</v>
      </c>
      <c r="J428"/>
      <c r="K428"/>
      <c r="L428"/>
      <c r="M428"/>
      <c r="N428"/>
      <c r="O428"/>
      <c r="P428"/>
      <c r="Q428"/>
      <c r="R428"/>
      <c r="S428"/>
      <c r="T428"/>
      <c r="U428"/>
      <c r="V428" s="109"/>
      <c r="W428" s="133">
        <f t="shared" ref="W428:Y429" si="335" xml:space="preserve"> SUMIFS($AA428:$BV428, $AA$3:$BV$3, W$3)</f>
        <v>0</v>
      </c>
      <c r="X428" s="133">
        <f t="shared" si="335"/>
        <v>0</v>
      </c>
      <c r="Y428" s="133">
        <f t="shared" si="335"/>
        <v>0</v>
      </c>
      <c r="Z428"/>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c r="BX428" s="12">
        <f t="shared" si="333"/>
        <v>0</v>
      </c>
      <c r="BY428" s="12">
        <f t="shared" si="333"/>
        <v>0</v>
      </c>
      <c r="BZ428" s="12">
        <f t="shared" si="333"/>
        <v>0</v>
      </c>
      <c r="CA428" s="12">
        <f t="shared" si="333"/>
        <v>0</v>
      </c>
      <c r="CB428" s="133">
        <f xml:space="preserve"> SUMIFS($AA428:$BV428, $AA$3:$BV$3, CB$3)</f>
        <v>0</v>
      </c>
      <c r="CC428" s="109"/>
      <c r="CD428" s="109"/>
      <c r="CE428" s="109"/>
      <c r="CF428" s="109"/>
      <c r="CG428" s="109"/>
      <c r="CH428" s="109"/>
      <c r="CI428" s="109"/>
      <c r="CJ428"/>
      <c r="CK428" s="11"/>
      <c r="CL428" s="241">
        <f>IF(MIN($V428:$CI428)&lt;0, 1, 0)</f>
        <v>0</v>
      </c>
      <c r="CM428" s="11"/>
      <c r="CN428"/>
      <c r="CO428"/>
      <c r="CP428"/>
      <c r="CQ428"/>
      <c r="CR428"/>
      <c r="CS428"/>
      <c r="CT428"/>
      <c r="CU428"/>
      <c r="CV428"/>
      <c r="CW428"/>
      <c r="CX428"/>
      <c r="CY428" s="7" cm="1">
        <f t="array" ref="CY428">SUMPRODUCT(--NOT(ISNUMBER(V428:CI428)),--NOT(ISBLANK(V428:CI428)))</f>
        <v>0</v>
      </c>
      <c r="CZ428" s="7">
        <f t="shared" ref="CZ428:DB429" si="336">IF(ROUND(W428-SUMIFS($AA428:$BV428, $AA$3:$BV$3, W$3), rounding)=0, 0, 1)</f>
        <v>0</v>
      </c>
      <c r="DA428" s="7">
        <f t="shared" si="336"/>
        <v>0</v>
      </c>
      <c r="DB428" s="7">
        <f t="shared" si="336"/>
        <v>0</v>
      </c>
      <c r="DC428" s="7">
        <f>IF(ROUND(CB428-SUMIFS($AA428:$BV428, $AA$3:$BV$3, CB$3), rounding)=0, 0, 1)</f>
        <v>0</v>
      </c>
      <c r="DD428" s="7">
        <f>IF(ROUND(V428-BX428, rounding)=0, 0, 1)*'BS Forecasts'!$V$10</f>
        <v>0</v>
      </c>
      <c r="DE428"/>
      <c r="DF428" s="11"/>
      <c r="DG428">
        <f t="shared" si="290"/>
        <v>0</v>
      </c>
      <c r="DH428">
        <v>1</v>
      </c>
      <c r="DI428">
        <v>1</v>
      </c>
      <c r="EY428" s="12" t="str">
        <f>IF(C428="", "", CONCATENATE(D417, " ",D428))</f>
        <v/>
      </c>
    </row>
    <row r="429" spans="1:155" x14ac:dyDescent="0.35">
      <c r="A429" s="220" cm="1">
        <f t="array" aca="1" ref="A429" ca="1">HYPERLINK(CONCATENATE("#",CELL("address",IF(MAX($CM429:$DF429)=0,A429,INDEX($CM429:$DF429,MATCH(1,$CM429:$DF429,0))))),MAX($CM429:$DF429))</f>
        <v>0</v>
      </c>
      <c r="B429" s="85" t="s">
        <v>122</v>
      </c>
      <c r="C429" s="211"/>
      <c r="D429" t="s">
        <v>1090</v>
      </c>
      <c r="H429" s="9" t="s">
        <v>1074</v>
      </c>
      <c r="I429" s="40" t="s">
        <v>1079</v>
      </c>
      <c r="V429" s="109"/>
      <c r="W429" s="133">
        <f t="shared" si="335"/>
        <v>0</v>
      </c>
      <c r="X429" s="133">
        <f t="shared" si="335"/>
        <v>0</v>
      </c>
      <c r="Y429" s="133">
        <f t="shared" si="335"/>
        <v>0</v>
      </c>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X429" s="12">
        <f t="shared" si="333"/>
        <v>0</v>
      </c>
      <c r="BY429" s="12">
        <f t="shared" si="333"/>
        <v>0</v>
      </c>
      <c r="BZ429" s="12">
        <f t="shared" si="333"/>
        <v>0</v>
      </c>
      <c r="CA429" s="12">
        <f t="shared" si="333"/>
        <v>0</v>
      </c>
      <c r="CB429" s="133">
        <f xml:space="preserve"> SUMIFS($AA429:$BV429, $AA$3:$BV$3, CB$3)</f>
        <v>0</v>
      </c>
      <c r="CC429" s="109"/>
      <c r="CD429" s="109"/>
      <c r="CE429" s="109"/>
      <c r="CF429" s="109"/>
      <c r="CG429" s="109"/>
      <c r="CH429" s="109"/>
      <c r="CI429" s="109"/>
      <c r="CK429" s="11"/>
      <c r="CL429" s="241">
        <f>IF(MAX($V429:$CI429)&gt;0, 1, 0)</f>
        <v>0</v>
      </c>
      <c r="CM429" s="11"/>
      <c r="CY429" s="7" cm="1">
        <f t="array" ref="CY429">SUMPRODUCT(--NOT(ISNUMBER(V429:CI429)),--NOT(ISBLANK(V429:CI429)))</f>
        <v>0</v>
      </c>
      <c r="CZ429" s="7">
        <f t="shared" si="336"/>
        <v>0</v>
      </c>
      <c r="DA429" s="7">
        <f t="shared" si="336"/>
        <v>0</v>
      </c>
      <c r="DB429" s="7">
        <f t="shared" si="336"/>
        <v>0</v>
      </c>
      <c r="DC429" s="7">
        <f>IF(ROUND(CB429-SUMIFS($AA429:$BV429, $AA$3:$BV$3, CB$3), rounding)=0, 0, 1)</f>
        <v>0</v>
      </c>
      <c r="DD429" s="7">
        <f>IF(ROUND(V429-BX429, rounding)=0, 0, 1)*'BS Forecasts'!$V$10</f>
        <v>0</v>
      </c>
      <c r="DF429" s="11"/>
      <c r="DG429">
        <f t="shared" si="290"/>
        <v>0</v>
      </c>
      <c r="DH429">
        <v>1</v>
      </c>
      <c r="DI429">
        <v>1</v>
      </c>
      <c r="EY429" s="12" t="str">
        <f>IF(C429="", "", CONCATENATE(D417, " ",D429))</f>
        <v/>
      </c>
    </row>
    <row r="430" spans="1:155" x14ac:dyDescent="0.35">
      <c r="C430" s="211"/>
      <c r="D430" t="s">
        <v>1091</v>
      </c>
      <c r="H430" s="9" t="s">
        <v>1074</v>
      </c>
      <c r="I430" s="40" t="s">
        <v>317</v>
      </c>
      <c r="V430" s="12">
        <f>$I$32</f>
        <v>0</v>
      </c>
      <c r="W430" s="10">
        <f>SUM(W427:W429)</f>
        <v>0</v>
      </c>
      <c r="X430" s="10">
        <f>SUM(X427:X429)</f>
        <v>0</v>
      </c>
      <c r="Y430" s="10">
        <f>SUM(Y427:Y429)</f>
        <v>0</v>
      </c>
      <c r="AA430" s="10">
        <f t="shared" ref="AA430:BV430" si="337">SUM(AA427:AA429)</f>
        <v>0</v>
      </c>
      <c r="AB430" s="10">
        <f t="shared" si="337"/>
        <v>0</v>
      </c>
      <c r="AC430" s="10">
        <f t="shared" si="337"/>
        <v>0</v>
      </c>
      <c r="AD430" s="10">
        <f t="shared" si="337"/>
        <v>0</v>
      </c>
      <c r="AE430" s="10">
        <f t="shared" si="337"/>
        <v>0</v>
      </c>
      <c r="AF430" s="10">
        <f t="shared" si="337"/>
        <v>0</v>
      </c>
      <c r="AG430" s="10">
        <f t="shared" si="337"/>
        <v>0</v>
      </c>
      <c r="AH430" s="10">
        <f t="shared" si="337"/>
        <v>0</v>
      </c>
      <c r="AI430" s="10">
        <f t="shared" si="337"/>
        <v>0</v>
      </c>
      <c r="AJ430" s="10">
        <f t="shared" si="337"/>
        <v>0</v>
      </c>
      <c r="AK430" s="10">
        <f t="shared" si="337"/>
        <v>0</v>
      </c>
      <c r="AL430" s="10">
        <f t="shared" si="337"/>
        <v>0</v>
      </c>
      <c r="AM430" s="10">
        <f t="shared" si="337"/>
        <v>0</v>
      </c>
      <c r="AN430" s="10">
        <f t="shared" si="337"/>
        <v>0</v>
      </c>
      <c r="AO430" s="10">
        <f t="shared" si="337"/>
        <v>0</v>
      </c>
      <c r="AP430" s="10">
        <f t="shared" si="337"/>
        <v>0</v>
      </c>
      <c r="AQ430" s="10">
        <f t="shared" si="337"/>
        <v>0</v>
      </c>
      <c r="AR430" s="10">
        <f t="shared" si="337"/>
        <v>0</v>
      </c>
      <c r="AS430" s="10">
        <f t="shared" si="337"/>
        <v>0</v>
      </c>
      <c r="AT430" s="10">
        <f t="shared" si="337"/>
        <v>0</v>
      </c>
      <c r="AU430" s="10">
        <f t="shared" si="337"/>
        <v>0</v>
      </c>
      <c r="AV430" s="10">
        <f t="shared" si="337"/>
        <v>0</v>
      </c>
      <c r="AW430" s="10">
        <f t="shared" si="337"/>
        <v>0</v>
      </c>
      <c r="AX430" s="10">
        <f t="shared" si="337"/>
        <v>0</v>
      </c>
      <c r="AY430" s="10">
        <f t="shared" si="337"/>
        <v>0</v>
      </c>
      <c r="AZ430" s="10">
        <f t="shared" si="337"/>
        <v>0</v>
      </c>
      <c r="BA430" s="10">
        <f t="shared" si="337"/>
        <v>0</v>
      </c>
      <c r="BB430" s="10">
        <f t="shared" si="337"/>
        <v>0</v>
      </c>
      <c r="BC430" s="10">
        <f t="shared" si="337"/>
        <v>0</v>
      </c>
      <c r="BD430" s="10">
        <f t="shared" si="337"/>
        <v>0</v>
      </c>
      <c r="BE430" s="10">
        <f t="shared" si="337"/>
        <v>0</v>
      </c>
      <c r="BF430" s="10">
        <f t="shared" si="337"/>
        <v>0</v>
      </c>
      <c r="BG430" s="10">
        <f t="shared" si="337"/>
        <v>0</v>
      </c>
      <c r="BH430" s="10">
        <f t="shared" si="337"/>
        <v>0</v>
      </c>
      <c r="BI430" s="10">
        <f t="shared" si="337"/>
        <v>0</v>
      </c>
      <c r="BJ430" s="10">
        <f t="shared" si="337"/>
        <v>0</v>
      </c>
      <c r="BK430" s="10">
        <f t="shared" si="337"/>
        <v>0</v>
      </c>
      <c r="BL430" s="10">
        <f t="shared" si="337"/>
        <v>0</v>
      </c>
      <c r="BM430" s="10">
        <f t="shared" si="337"/>
        <v>0</v>
      </c>
      <c r="BN430" s="10">
        <f t="shared" si="337"/>
        <v>0</v>
      </c>
      <c r="BO430" s="10">
        <f t="shared" si="337"/>
        <v>0</v>
      </c>
      <c r="BP430" s="10">
        <f t="shared" si="337"/>
        <v>0</v>
      </c>
      <c r="BQ430" s="10">
        <f t="shared" si="337"/>
        <v>0</v>
      </c>
      <c r="BR430" s="10">
        <f t="shared" si="337"/>
        <v>0</v>
      </c>
      <c r="BS430" s="10">
        <f t="shared" si="337"/>
        <v>0</v>
      </c>
      <c r="BT430" s="10">
        <f t="shared" si="337"/>
        <v>0</v>
      </c>
      <c r="BU430" s="10">
        <f t="shared" si="337"/>
        <v>0</v>
      </c>
      <c r="BV430" s="10">
        <f t="shared" si="337"/>
        <v>0</v>
      </c>
      <c r="BX430" s="12">
        <f t="shared" si="333"/>
        <v>0</v>
      </c>
      <c r="BY430" s="12">
        <f t="shared" si="333"/>
        <v>0</v>
      </c>
      <c r="BZ430" s="12">
        <f t="shared" si="333"/>
        <v>0</v>
      </c>
      <c r="CA430" s="12">
        <f t="shared" si="333"/>
        <v>0</v>
      </c>
      <c r="CB430" s="10">
        <f t="shared" ref="CB430:CI430" si="338">SUM(CB427:CB429)</f>
        <v>0</v>
      </c>
      <c r="CC430" s="10">
        <f t="shared" si="338"/>
        <v>0</v>
      </c>
      <c r="CD430" s="10">
        <f t="shared" si="338"/>
        <v>0</v>
      </c>
      <c r="CE430" s="10">
        <f t="shared" si="338"/>
        <v>0</v>
      </c>
      <c r="CF430" s="10">
        <f t="shared" si="338"/>
        <v>0</v>
      </c>
      <c r="CG430" s="10">
        <f t="shared" si="338"/>
        <v>0</v>
      </c>
      <c r="CH430" s="10">
        <f t="shared" si="338"/>
        <v>0</v>
      </c>
      <c r="CI430" s="10">
        <f t="shared" si="338"/>
        <v>0</v>
      </c>
      <c r="CK430" s="11"/>
      <c r="CM430" s="11"/>
      <c r="DF430" s="11"/>
      <c r="DG430">
        <f t="shared" si="290"/>
        <v>0</v>
      </c>
      <c r="DH430">
        <v>0</v>
      </c>
      <c r="DI430">
        <v>0</v>
      </c>
      <c r="EY430" s="12" t="str">
        <f>IF(C430="", "", CONCATENATE(D417, " ",D430))</f>
        <v/>
      </c>
    </row>
    <row r="431" spans="1:155" ht="6.75" customHeight="1" x14ac:dyDescent="0.35">
      <c r="C431" s="211"/>
      <c r="D431" s="1"/>
      <c r="E431"/>
      <c r="F431"/>
      <c r="BY431" s="6"/>
      <c r="CK431" s="35"/>
      <c r="CM431" s="35"/>
      <c r="DF431" s="35"/>
      <c r="DH431">
        <v>0</v>
      </c>
      <c r="DI431">
        <v>0</v>
      </c>
      <c r="EY431" s="12" t="str">
        <f>IF(C431="", "", CONCATENATE(D417, " ",D431))</f>
        <v/>
      </c>
    </row>
    <row r="432" spans="1:155" s="5" customFormat="1" x14ac:dyDescent="0.35">
      <c r="A432" s="220" cm="1">
        <f t="array" aca="1" ref="A432" ca="1">HYPERLINK(CONCATENATE("#",CELL("address",IF(MAX($CM432:$DF432)=0,A432,INDEX($CM432:$DF432,MATCH(1,$CM432:$DF432,0))))),MAX($CM432:$DF432))</f>
        <v>0</v>
      </c>
      <c r="B432"/>
      <c r="C432" s="211" t="s">
        <v>1227</v>
      </c>
      <c r="D432" t="s">
        <v>1093</v>
      </c>
      <c r="E432" s="1"/>
      <c r="F432" s="1"/>
      <c r="G432"/>
      <c r="H432" s="9" t="s">
        <v>1074</v>
      </c>
      <c r="I432" s="40" t="s">
        <v>665</v>
      </c>
      <c r="J432"/>
      <c r="K432"/>
      <c r="L432"/>
      <c r="M432"/>
      <c r="N432"/>
      <c r="O432"/>
      <c r="P432"/>
      <c r="Q432"/>
      <c r="R432"/>
      <c r="S432"/>
      <c r="T432"/>
      <c r="U432"/>
      <c r="V432" s="109"/>
      <c r="W432" s="133">
        <f xml:space="preserve"> SUMIFS($AA432:$BV432, $AA$3:$BV$3, W$3)</f>
        <v>0</v>
      </c>
      <c r="X432" s="133">
        <f xml:space="preserve"> SUMIFS($AA432:$BV432, $AA$3:$BV$3, X$3)</f>
        <v>0</v>
      </c>
      <c r="Y432" s="133">
        <f xml:space="preserve"> SUMIFS($AA432:$BV432, $AA$3:$BV$3, Y$3)</f>
        <v>0</v>
      </c>
      <c r="Z432"/>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c r="BX432" s="12">
        <f>V432</f>
        <v>0</v>
      </c>
      <c r="BY432" s="12">
        <f>W432</f>
        <v>0</v>
      </c>
      <c r="BZ432" s="12">
        <f>X432</f>
        <v>0</v>
      </c>
      <c r="CA432" s="12">
        <f>Y432</f>
        <v>0</v>
      </c>
      <c r="CB432" s="133">
        <f xml:space="preserve"> SUMIFS($AA432:$BV432, $AA$3:$BV$3, CB$3)</f>
        <v>0</v>
      </c>
      <c r="CC432" s="109"/>
      <c r="CD432" s="109"/>
      <c r="CE432" s="109"/>
      <c r="CF432" s="109"/>
      <c r="CG432" s="109"/>
      <c r="CH432" s="109"/>
      <c r="CI432" s="109"/>
      <c r="CJ432"/>
      <c r="CK432" s="11"/>
      <c r="CL432" s="241">
        <f>IF(MIN($V432:$CI432)&lt;0, 1, 0)</f>
        <v>0</v>
      </c>
      <c r="CM432" s="11"/>
      <c r="CN432"/>
      <c r="CO432"/>
      <c r="CP432"/>
      <c r="CQ432"/>
      <c r="CR432"/>
      <c r="CS432"/>
      <c r="CT432"/>
      <c r="CU432"/>
      <c r="CV432"/>
      <c r="CW432"/>
      <c r="CX432"/>
      <c r="CY432" s="7" cm="1">
        <f t="array" ref="CY432">SUMPRODUCT(--NOT(ISNUMBER(V432:CI432)),--NOT(ISBLANK(V432:CI432)))</f>
        <v>0</v>
      </c>
      <c r="CZ432" s="7">
        <f>IF(ROUND(W432-SUMIFS($AA432:$BV432, $AA$3:$BV$3, W$3), rounding)=0, 0, 1)</f>
        <v>0</v>
      </c>
      <c r="DA432" s="7">
        <f>IF(ROUND(X432-SUMIFS($AA432:$BV432, $AA$3:$BV$3, X$3), rounding)=0, 0, 1)</f>
        <v>0</v>
      </c>
      <c r="DB432" s="7">
        <f>IF(ROUND(Y432-SUMIFS($AA432:$BV432, $AA$3:$BV$3, Y$3), rounding)=0, 0, 1)</f>
        <v>0</v>
      </c>
      <c r="DC432" s="7">
        <f>IF(ROUND(CB432-SUMIFS($AA432:$BV432, $AA$3:$BV$3, CB$3), rounding)=0, 0, 1)</f>
        <v>0</v>
      </c>
      <c r="DD432" s="7">
        <f>IF(ROUND(V432-BX432, rounding)=0, 0, 1)*'BS Forecasts'!$V$10</f>
        <v>0</v>
      </c>
      <c r="DE432"/>
      <c r="DF432" s="11"/>
      <c r="DG432">
        <f>IF(IFERROR(FIND("check", D432), 0)=0, 0, 1)</f>
        <v>0</v>
      </c>
      <c r="DH432">
        <v>1</v>
      </c>
      <c r="DI432">
        <v>1</v>
      </c>
      <c r="EY432" s="12" t="str">
        <f>IF(C432="", "", CONCATENATE(D417, " ",D432))</f>
        <v>Loan 20 Early Repayment Fee</v>
      </c>
    </row>
    <row r="433" spans="1:155" ht="6.75" customHeight="1" x14ac:dyDescent="0.35">
      <c r="C433" s="211"/>
      <c r="D433" s="1"/>
      <c r="E433"/>
      <c r="F433"/>
      <c r="BY433" s="6"/>
      <c r="CK433" s="35"/>
      <c r="CM433" s="35"/>
      <c r="DF433" s="35"/>
      <c r="DG433">
        <f>IF(IFERROR(FIND("check", D433), 0)=0, 0, 1)</f>
        <v>0</v>
      </c>
      <c r="DH433">
        <v>0</v>
      </c>
      <c r="DI433">
        <v>0</v>
      </c>
      <c r="EY433" s="12" t="str">
        <f>IF(C433="", "", CONCATENATE(D417, " ",D433))</f>
        <v/>
      </c>
    </row>
    <row r="434" spans="1:155" x14ac:dyDescent="0.35">
      <c r="A434" s="220" cm="1">
        <f t="array" aca="1" ref="A434" ca="1">HYPERLINK(CONCATENATE("#",CELL("address",IF(MAX($CM434:$DF434)=0,A434,INDEX($CM434:$DF434,MATCH(1,$CM434:$DF434,0))))),MAX($CM434:$DF434))</f>
        <v>0</v>
      </c>
      <c r="B434" s="85" t="s">
        <v>122</v>
      </c>
      <c r="D434" t="s">
        <v>1094</v>
      </c>
      <c r="E434" s="140" t="str">
        <f>IF(J$32="", "", J$32)</f>
        <v/>
      </c>
      <c r="F434" s="140"/>
      <c r="G434" s="140" t="str">
        <f>IF(K$32="", "", K$32)</f>
        <v/>
      </c>
      <c r="V434" s="7">
        <f>IF(AND(OR( V$5&gt;$G434, Timeline!V$8&lt;Loans!$E434), Loans!V432&lt;&gt;0), 1, 0)</f>
        <v>0</v>
      </c>
      <c r="W434" s="7">
        <f>IF(AND(OR( W$5&gt;$G434, Timeline!W$8&lt;Loans!$E434), Loans!W432&lt;&gt;0), 1, 0)</f>
        <v>0</v>
      </c>
      <c r="X434" s="7">
        <f>IF(AND(OR( X$5&gt;$G434, Timeline!X$8&lt;Loans!$E434), Loans!X432&lt;&gt;0), 1, 0)</f>
        <v>0</v>
      </c>
      <c r="Y434" s="7">
        <f>IF(AND(OR( Y$5&gt;$G434, Timeline!Y$8&lt;Loans!$E434), Loans!Y432&lt;&gt;0), 1, 0)</f>
        <v>0</v>
      </c>
      <c r="AA434" s="7">
        <f>IF(AND(OR( AA$5&gt;$G434, Timeline!AA$8&lt;Loans!$E434), Loans!AA432&lt;&gt;0), 1, 0)</f>
        <v>0</v>
      </c>
      <c r="AB434" s="7">
        <f>IF(AND(OR( AB$5&gt;$G434, Timeline!AB$8&lt;Loans!$E434), Loans!AB432&lt;&gt;0), 1, 0)</f>
        <v>0</v>
      </c>
      <c r="AC434" s="7">
        <f>IF(AND(OR( AC$5&gt;$G434, Timeline!AC$8&lt;Loans!$E434), Loans!AC432&lt;&gt;0), 1, 0)</f>
        <v>0</v>
      </c>
      <c r="AD434" s="7">
        <f>IF(AND(OR( AD$5&gt;$G434, Timeline!AD$8&lt;Loans!$E434), Loans!AD432&lt;&gt;0), 1, 0)</f>
        <v>0</v>
      </c>
      <c r="AE434" s="7">
        <f>IF(AND(OR( AE$5&gt;$G434, Timeline!AE$8&lt;Loans!$E434), Loans!AE432&lt;&gt;0), 1, 0)</f>
        <v>0</v>
      </c>
      <c r="AF434" s="7">
        <f>IF(AND(OR( AF$5&gt;$G434, Timeline!AF$8&lt;Loans!$E434), Loans!AF432&lt;&gt;0), 1, 0)</f>
        <v>0</v>
      </c>
      <c r="AG434" s="7">
        <f>IF(AND(OR( AG$5&gt;$G434, Timeline!AG$8&lt;Loans!$E434), Loans!AG432&lt;&gt;0), 1, 0)</f>
        <v>0</v>
      </c>
      <c r="AH434" s="7">
        <f>IF(AND(OR( AH$5&gt;$G434, Timeline!AH$8&lt;Loans!$E434), Loans!AH432&lt;&gt;0), 1, 0)</f>
        <v>0</v>
      </c>
      <c r="AI434" s="7">
        <f>IF(AND(OR( AI$5&gt;$G434, Timeline!AI$8&lt;Loans!$E434), Loans!AI432&lt;&gt;0), 1, 0)</f>
        <v>0</v>
      </c>
      <c r="AJ434" s="7">
        <f>IF(AND(OR( AJ$5&gt;$G434, Timeline!AJ$8&lt;Loans!$E434), Loans!AJ432&lt;&gt;0), 1, 0)</f>
        <v>0</v>
      </c>
      <c r="AK434" s="7">
        <f>IF(AND(OR( AK$5&gt;$G434, Timeline!AK$8&lt;Loans!$E434), Loans!AK432&lt;&gt;0), 1, 0)</f>
        <v>0</v>
      </c>
      <c r="AL434" s="7">
        <f>IF(AND(OR( AL$5&gt;$G434, Timeline!AL$8&lt;Loans!$E434), Loans!AL432&lt;&gt;0), 1, 0)</f>
        <v>0</v>
      </c>
      <c r="AM434" s="7">
        <f>IF(AND(OR( AM$5&gt;$G434, Timeline!AM$8&lt;Loans!$E434), Loans!AM432&lt;&gt;0), 1, 0)</f>
        <v>0</v>
      </c>
      <c r="AN434" s="7">
        <f>IF(AND(OR( AN$5&gt;$G434, Timeline!AN$8&lt;Loans!$E434), Loans!AN432&lt;&gt;0), 1, 0)</f>
        <v>0</v>
      </c>
      <c r="AO434" s="7">
        <f>IF(AND(OR( AO$5&gt;$G434, Timeline!AO$8&lt;Loans!$E434), Loans!AO432&lt;&gt;0), 1, 0)</f>
        <v>0</v>
      </c>
      <c r="AP434" s="7">
        <f>IF(AND(OR( AP$5&gt;$G434, Timeline!AP$8&lt;Loans!$E434), Loans!AP432&lt;&gt;0), 1, 0)</f>
        <v>0</v>
      </c>
      <c r="AQ434" s="7">
        <f>IF(AND(OR( AQ$5&gt;$G434, Timeline!AQ$8&lt;Loans!$E434), Loans!AQ432&lt;&gt;0), 1, 0)</f>
        <v>0</v>
      </c>
      <c r="AR434" s="7">
        <f>IF(AND(OR( AR$5&gt;$G434, Timeline!AR$8&lt;Loans!$E434), Loans!AR432&lt;&gt;0), 1, 0)</f>
        <v>0</v>
      </c>
      <c r="AS434" s="7">
        <f>IF(AND(OR( AS$5&gt;$G434, Timeline!AS$8&lt;Loans!$E434), Loans!AS432&lt;&gt;0), 1, 0)</f>
        <v>0</v>
      </c>
      <c r="AT434" s="7">
        <f>IF(AND(OR( AT$5&gt;$G434, Timeline!AT$8&lt;Loans!$E434), Loans!AT432&lt;&gt;0), 1, 0)</f>
        <v>0</v>
      </c>
      <c r="AU434" s="7">
        <f>IF(AND(OR( AU$5&gt;$G434, Timeline!AU$8&lt;Loans!$E434), Loans!AU432&lt;&gt;0), 1, 0)</f>
        <v>0</v>
      </c>
      <c r="AV434" s="7">
        <f>IF(AND(OR( AV$5&gt;$G434, Timeline!AV$8&lt;Loans!$E434), Loans!AV432&lt;&gt;0), 1, 0)</f>
        <v>0</v>
      </c>
      <c r="AW434" s="7">
        <f>IF(AND(OR( AW$5&gt;$G434, Timeline!AW$8&lt;Loans!$E434), Loans!AW432&lt;&gt;0), 1, 0)</f>
        <v>0</v>
      </c>
      <c r="AX434" s="7">
        <f>IF(AND(OR( AX$5&gt;$G434, Timeline!AX$8&lt;Loans!$E434), Loans!AX432&lt;&gt;0), 1, 0)</f>
        <v>0</v>
      </c>
      <c r="AY434" s="7">
        <f>IF(AND(OR( AY$5&gt;$G434, Timeline!AY$8&lt;Loans!$E434), Loans!AY432&lt;&gt;0), 1, 0)</f>
        <v>0</v>
      </c>
      <c r="AZ434" s="7">
        <f>IF(AND(OR( AZ$5&gt;$G434, Timeline!AZ$8&lt;Loans!$E434), Loans!AZ432&lt;&gt;0), 1, 0)</f>
        <v>0</v>
      </c>
      <c r="BA434" s="7">
        <f>IF(AND(OR( BA$5&gt;$G434, Timeline!BA$8&lt;Loans!$E434), Loans!BA432&lt;&gt;0), 1, 0)</f>
        <v>0</v>
      </c>
      <c r="BB434" s="7">
        <f>IF(AND(OR( BB$5&gt;$G434, Timeline!BB$8&lt;Loans!$E434), Loans!BB432&lt;&gt;0), 1, 0)</f>
        <v>0</v>
      </c>
      <c r="BC434" s="7">
        <f>IF(AND(OR( BC$5&gt;$G434, Timeline!BC$8&lt;Loans!$E434), Loans!BC432&lt;&gt;0), 1, 0)</f>
        <v>0</v>
      </c>
      <c r="BD434" s="7">
        <f>IF(AND(OR( BD$5&gt;$G434, Timeline!BD$8&lt;Loans!$E434), Loans!BD432&lt;&gt;0), 1, 0)</f>
        <v>0</v>
      </c>
      <c r="BE434" s="7">
        <f>IF(AND(OR( BE$5&gt;$G434, Timeline!BE$8&lt;Loans!$E434), Loans!BE432&lt;&gt;0), 1, 0)</f>
        <v>0</v>
      </c>
      <c r="BF434" s="7">
        <f>IF(AND(OR( BF$5&gt;$G434, Timeline!BF$8&lt;Loans!$E434), Loans!BF432&lt;&gt;0), 1, 0)</f>
        <v>0</v>
      </c>
      <c r="BG434" s="7">
        <f>IF(AND(OR( BG$5&gt;$G434, Timeline!BG$8&lt;Loans!$E434), Loans!BG432&lt;&gt;0), 1, 0)</f>
        <v>0</v>
      </c>
      <c r="BH434" s="7">
        <f>IF(AND(OR( BH$5&gt;$G434, Timeline!BH$8&lt;Loans!$E434), Loans!BH432&lt;&gt;0), 1, 0)</f>
        <v>0</v>
      </c>
      <c r="BI434" s="7">
        <f>IF(AND(OR( BI$5&gt;$G434, Timeline!BI$8&lt;Loans!$E434), Loans!BI432&lt;&gt;0), 1, 0)</f>
        <v>0</v>
      </c>
      <c r="BJ434" s="7">
        <f>IF(AND(OR( BJ$5&gt;$G434, Timeline!BJ$8&lt;Loans!$E434), Loans!BJ432&lt;&gt;0), 1, 0)</f>
        <v>0</v>
      </c>
      <c r="BK434" s="7">
        <f>IF(AND(OR( BK$5&gt;$G434, Timeline!BK$8&lt;Loans!$E434), Loans!BK432&lt;&gt;0), 1, 0)</f>
        <v>0</v>
      </c>
      <c r="BL434" s="7">
        <f>IF(AND(OR( BL$5&gt;$G434, Timeline!BL$8&lt;Loans!$E434), Loans!BL432&lt;&gt;0), 1, 0)</f>
        <v>0</v>
      </c>
      <c r="BM434" s="7">
        <f>IF(AND(OR( BM$5&gt;$G434, Timeline!BM$8&lt;Loans!$E434), Loans!BM432&lt;&gt;0), 1, 0)</f>
        <v>0</v>
      </c>
      <c r="BN434" s="7">
        <f>IF(AND(OR( BN$5&gt;$G434, Timeline!BN$8&lt;Loans!$E434), Loans!BN432&lt;&gt;0), 1, 0)</f>
        <v>0</v>
      </c>
      <c r="BO434" s="7">
        <f>IF(AND(OR( BO$5&gt;$G434, Timeline!BO$8&lt;Loans!$E434), Loans!BO432&lt;&gt;0), 1, 0)</f>
        <v>0</v>
      </c>
      <c r="BP434" s="7">
        <f>IF(AND(OR( BP$5&gt;$G434, Timeline!BP$8&lt;Loans!$E434), Loans!BP432&lt;&gt;0), 1, 0)</f>
        <v>0</v>
      </c>
      <c r="BQ434" s="7">
        <f>IF(AND(OR( BQ$5&gt;$G434, Timeline!BQ$8&lt;Loans!$E434), Loans!BQ432&lt;&gt;0), 1, 0)</f>
        <v>0</v>
      </c>
      <c r="BR434" s="7">
        <f>IF(AND(OR( BR$5&gt;$G434, Timeline!BR$8&lt;Loans!$E434), Loans!BR432&lt;&gt;0), 1, 0)</f>
        <v>0</v>
      </c>
      <c r="BS434" s="7">
        <f>IF(AND(OR( BS$5&gt;$G434, Timeline!BS$8&lt;Loans!$E434), Loans!BS432&lt;&gt;0), 1, 0)</f>
        <v>0</v>
      </c>
      <c r="BT434" s="7">
        <f>IF(AND(OR( BT$5&gt;$G434, Timeline!BT$8&lt;Loans!$E434), Loans!BT432&lt;&gt;0), 1, 0)</f>
        <v>0</v>
      </c>
      <c r="BU434" s="7">
        <f>IF(AND(OR( BU$5&gt;$G434, Timeline!BU$8&lt;Loans!$E434), Loans!BU432&lt;&gt;0), 1, 0)</f>
        <v>0</v>
      </c>
      <c r="BV434" s="7">
        <f>IF(AND(OR( BV$5&gt;$G434, Timeline!BV$8&lt;Loans!$E434), Loans!BV432&lt;&gt;0), 1, 0)</f>
        <v>0</v>
      </c>
      <c r="BX434" s="7">
        <f>IF(AND(OR( BX$5&gt;$G434, Timeline!BX$8&lt;Loans!$E434), Loans!BX432&lt;&gt;0), 1, 0)</f>
        <v>0</v>
      </c>
      <c r="BY434" s="7">
        <f>IF(AND(OR( BY$5&gt;$G434, Timeline!BY$8&lt;Loans!$E434), Loans!BY432&lt;&gt;0), 1, 0)</f>
        <v>0</v>
      </c>
      <c r="BZ434" s="7">
        <f>IF(AND(OR( BZ$5&gt;$G434, Timeline!BZ$8&lt;Loans!$E434), Loans!BZ432&lt;&gt;0), 1, 0)</f>
        <v>0</v>
      </c>
      <c r="CA434" s="7">
        <f>IF(AND(OR( CA$5&gt;$G434, Timeline!CA$8&lt;Loans!$E434), Loans!CA432&lt;&gt;0), 1, 0)</f>
        <v>0</v>
      </c>
      <c r="CB434" s="7">
        <f>IF(AND(OR( CB$5&gt;$G434, Timeline!CB$8&lt;Loans!$E434), Loans!CB432&lt;&gt;0), 1, 0)</f>
        <v>0</v>
      </c>
      <c r="CC434" s="7">
        <f>IF(AND(OR( CC$5&gt;$G434, Timeline!CC$8&lt;Loans!$E434), Loans!CC432&lt;&gt;0), 1, 0)</f>
        <v>0</v>
      </c>
      <c r="CD434" s="7">
        <f>IF(AND(OR( CD$5&gt;$G434, Timeline!CD$8&lt;Loans!$E434), Loans!CD432&lt;&gt;0), 1, 0)</f>
        <v>0</v>
      </c>
      <c r="CE434" s="7">
        <f>IF(AND(OR( CE$5&gt;$G434, Timeline!CE$8&lt;Loans!$E434), Loans!CE432&lt;&gt;0), 1, 0)</f>
        <v>0</v>
      </c>
      <c r="CF434" s="7">
        <f>IF(AND(OR( CF$5&gt;$G434, Timeline!CF$8&lt;Loans!$E434), Loans!CF432&lt;&gt;0), 1, 0)</f>
        <v>0</v>
      </c>
      <c r="CG434" s="7">
        <f>IF(AND(OR( CG$5&gt;$G434, Timeline!CG$8&lt;Loans!$E434), Loans!CG432&lt;&gt;0), 1, 0)</f>
        <v>0</v>
      </c>
      <c r="CH434" s="7">
        <f>IF(AND(OR( CH$5&gt;$G434, Timeline!CH$8&lt;Loans!$E434), Loans!CH432&lt;&gt;0), 1, 0)</f>
        <v>0</v>
      </c>
      <c r="CI434" s="7">
        <f>IF(AND(OR( CI$5&gt;$G434, Timeline!CI$8&lt;Loans!$E434), Loans!CI432&lt;&gt;0), 1, 0)</f>
        <v>0</v>
      </c>
      <c r="CK434" s="11"/>
      <c r="CM434" s="11"/>
      <c r="CX434" s="7">
        <f>IF(MAX($V434:$CI434)&gt;0, 1, 0)</f>
        <v>0</v>
      </c>
      <c r="DF434" s="11"/>
      <c r="DG434">
        <f>IF(IFERROR(FIND("check", D434), 0)=0, 0, 1)</f>
        <v>1</v>
      </c>
      <c r="DH434">
        <v>0</v>
      </c>
      <c r="DI434">
        <v>0</v>
      </c>
      <c r="EY434" s="12" t="str">
        <f>IF(B434="", "", CONCATENATE(D417, " ",D434))</f>
        <v>Loan 20 Early Repayment Fee check</v>
      </c>
    </row>
    <row r="435" spans="1:155" ht="6.75" customHeight="1" x14ac:dyDescent="0.35">
      <c r="C435" s="211"/>
      <c r="D435" s="1"/>
      <c r="E435"/>
      <c r="F435"/>
      <c r="BY435" s="6"/>
      <c r="CK435" s="35"/>
      <c r="CM435" s="35"/>
      <c r="DF435" s="35"/>
      <c r="DG435">
        <f>IF(IFERROR(FIND("check", D435), 0)=0, 0, 1)</f>
        <v>0</v>
      </c>
      <c r="DH435">
        <v>0</v>
      </c>
      <c r="DI435">
        <v>0</v>
      </c>
      <c r="EY435" s="10" t="str">
        <f t="shared" ref="EY435:EY498" si="339">IF($C435="","",$D435)</f>
        <v/>
      </c>
    </row>
    <row r="436" spans="1:155" x14ac:dyDescent="0.35">
      <c r="A436" s="34"/>
      <c r="B436" s="34"/>
      <c r="C436" s="238"/>
      <c r="D436" s="34" t="s">
        <v>1228</v>
      </c>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11"/>
      <c r="CM436" s="11"/>
      <c r="DF436" s="11"/>
      <c r="EY436" s="10" t="str">
        <f t="shared" si="339"/>
        <v/>
      </c>
    </row>
    <row r="437" spans="1:155" ht="6.75" customHeight="1" x14ac:dyDescent="0.35">
      <c r="C437" s="211"/>
      <c r="D437" s="1"/>
      <c r="E437"/>
      <c r="F437"/>
      <c r="BY437" s="6"/>
      <c r="CK437" s="35"/>
      <c r="CM437" s="35"/>
      <c r="DF437" s="35"/>
      <c r="EY437" s="10" t="str">
        <f t="shared" si="339"/>
        <v/>
      </c>
    </row>
    <row r="438" spans="1:155" x14ac:dyDescent="0.35">
      <c r="C438" s="211"/>
      <c r="D438" s="50" t="str">
        <f>D57</f>
        <v>Opening Loan Balance</v>
      </c>
      <c r="E438"/>
      <c r="F438"/>
      <c r="CK438" s="11"/>
      <c r="CM438" s="11"/>
      <c r="DF438" s="11"/>
      <c r="EY438" s="10" t="str">
        <f t="shared" si="339"/>
        <v/>
      </c>
    </row>
    <row r="439" spans="1:155" x14ac:dyDescent="0.35">
      <c r="B439" s="107" t="s">
        <v>1229</v>
      </c>
      <c r="C439" s="211"/>
      <c r="D439" s="5" t="str">
        <f>D$11</f>
        <v>Lender</v>
      </c>
      <c r="E439" s="5" t="str">
        <f>E$11</f>
        <v>Loan Category</v>
      </c>
      <c r="F439" s="5"/>
      <c r="CK439" s="11"/>
      <c r="CM439" s="11"/>
      <c r="DF439" s="11"/>
      <c r="EY439" s="10" t="str">
        <f t="shared" si="339"/>
        <v/>
      </c>
    </row>
    <row r="440" spans="1:155" x14ac:dyDescent="0.35">
      <c r="B440" s="69" t="str" cm="1">
        <f t="array" aca="1" ref="B440" ca="1">HYPERLINK(CONCATENATE("#",CELL("address",$D$56)),$D$56)</f>
        <v>Loan 1</v>
      </c>
      <c r="C440" s="211"/>
      <c r="D440" s="49">
        <f>D$13</f>
        <v>0</v>
      </c>
      <c r="E440" s="49" t="str">
        <f>F$13</f>
        <v/>
      </c>
      <c r="F440" s="49"/>
      <c r="H440" s="9" t="s">
        <v>1074</v>
      </c>
      <c r="I440" s="40" t="s">
        <v>665</v>
      </c>
      <c r="J440" s="54"/>
      <c r="V440" s="133">
        <f>V$57</f>
        <v>0</v>
      </c>
      <c r="W440" s="133">
        <f>W$57</f>
        <v>0</v>
      </c>
      <c r="X440" s="10">
        <f>X$57</f>
        <v>0</v>
      </c>
      <c r="Y440" s="10">
        <f>Y$57</f>
        <v>0</v>
      </c>
      <c r="AA440" s="133">
        <f t="shared" ref="AA440:BV440" si="340">AA$57</f>
        <v>0</v>
      </c>
      <c r="AB440" s="10">
        <f t="shared" si="340"/>
        <v>0</v>
      </c>
      <c r="AC440" s="10">
        <f t="shared" si="340"/>
        <v>0</v>
      </c>
      <c r="AD440" s="10">
        <f t="shared" si="340"/>
        <v>0</v>
      </c>
      <c r="AE440" s="10">
        <f t="shared" si="340"/>
        <v>0</v>
      </c>
      <c r="AF440" s="10">
        <f t="shared" si="340"/>
        <v>0</v>
      </c>
      <c r="AG440" s="10">
        <f t="shared" si="340"/>
        <v>0</v>
      </c>
      <c r="AH440" s="10">
        <f t="shared" si="340"/>
        <v>0</v>
      </c>
      <c r="AI440" s="133">
        <f t="shared" si="340"/>
        <v>0</v>
      </c>
      <c r="AJ440" s="10">
        <f t="shared" si="340"/>
        <v>0</v>
      </c>
      <c r="AK440" s="10">
        <f t="shared" si="340"/>
        <v>0</v>
      </c>
      <c r="AL440" s="10">
        <f t="shared" si="340"/>
        <v>0</v>
      </c>
      <c r="AM440" s="133">
        <f t="shared" si="340"/>
        <v>0</v>
      </c>
      <c r="AN440" s="10">
        <f t="shared" si="340"/>
        <v>0</v>
      </c>
      <c r="AO440" s="10">
        <f t="shared" si="340"/>
        <v>0</v>
      </c>
      <c r="AP440" s="10">
        <f t="shared" si="340"/>
        <v>0</v>
      </c>
      <c r="AQ440" s="10">
        <f t="shared" si="340"/>
        <v>0</v>
      </c>
      <c r="AR440" s="10">
        <f t="shared" si="340"/>
        <v>0</v>
      </c>
      <c r="AS440" s="10">
        <f t="shared" si="340"/>
        <v>0</v>
      </c>
      <c r="AT440" s="10">
        <f t="shared" si="340"/>
        <v>0</v>
      </c>
      <c r="AU440" s="10">
        <f t="shared" si="340"/>
        <v>0</v>
      </c>
      <c r="AV440" s="10">
        <f t="shared" si="340"/>
        <v>0</v>
      </c>
      <c r="AW440" s="10">
        <f t="shared" si="340"/>
        <v>0</v>
      </c>
      <c r="AX440" s="10">
        <f t="shared" si="340"/>
        <v>0</v>
      </c>
      <c r="AY440" s="10">
        <f t="shared" si="340"/>
        <v>0</v>
      </c>
      <c r="AZ440" s="10">
        <f t="shared" si="340"/>
        <v>0</v>
      </c>
      <c r="BA440" s="10">
        <f t="shared" si="340"/>
        <v>0</v>
      </c>
      <c r="BB440" s="10">
        <f t="shared" si="340"/>
        <v>0</v>
      </c>
      <c r="BC440" s="10">
        <f t="shared" si="340"/>
        <v>0</v>
      </c>
      <c r="BD440" s="10">
        <f t="shared" si="340"/>
        <v>0</v>
      </c>
      <c r="BE440" s="10">
        <f t="shared" si="340"/>
        <v>0</v>
      </c>
      <c r="BF440" s="10">
        <f t="shared" si="340"/>
        <v>0</v>
      </c>
      <c r="BG440" s="10">
        <f t="shared" si="340"/>
        <v>0</v>
      </c>
      <c r="BH440" s="10">
        <f t="shared" si="340"/>
        <v>0</v>
      </c>
      <c r="BI440" s="10">
        <f t="shared" si="340"/>
        <v>0</v>
      </c>
      <c r="BJ440" s="10">
        <f t="shared" si="340"/>
        <v>0</v>
      </c>
      <c r="BK440" s="10">
        <f t="shared" si="340"/>
        <v>0</v>
      </c>
      <c r="BL440" s="10">
        <f t="shared" si="340"/>
        <v>0</v>
      </c>
      <c r="BM440" s="10">
        <f t="shared" si="340"/>
        <v>0</v>
      </c>
      <c r="BN440" s="10">
        <f t="shared" si="340"/>
        <v>0</v>
      </c>
      <c r="BO440" s="10">
        <f t="shared" si="340"/>
        <v>0</v>
      </c>
      <c r="BP440" s="10">
        <f t="shared" si="340"/>
        <v>0</v>
      </c>
      <c r="BQ440" s="10">
        <f t="shared" si="340"/>
        <v>0</v>
      </c>
      <c r="BR440" s="10">
        <f t="shared" si="340"/>
        <v>0</v>
      </c>
      <c r="BS440" s="10">
        <f t="shared" si="340"/>
        <v>0</v>
      </c>
      <c r="BT440" s="10">
        <f t="shared" si="340"/>
        <v>0</v>
      </c>
      <c r="BU440" s="10">
        <f t="shared" si="340"/>
        <v>0</v>
      </c>
      <c r="BV440" s="10">
        <f t="shared" si="340"/>
        <v>0</v>
      </c>
      <c r="BX440" s="10">
        <f t="shared" ref="BX440:CI440" si="341">BX$57</f>
        <v>0</v>
      </c>
      <c r="BY440" s="10">
        <f t="shared" si="341"/>
        <v>0</v>
      </c>
      <c r="BZ440" s="10">
        <f t="shared" si="341"/>
        <v>0</v>
      </c>
      <c r="CA440" s="10">
        <f t="shared" si="341"/>
        <v>0</v>
      </c>
      <c r="CB440" s="10">
        <f t="shared" si="341"/>
        <v>0</v>
      </c>
      <c r="CC440" s="10">
        <f t="shared" si="341"/>
        <v>0</v>
      </c>
      <c r="CD440" s="10">
        <f t="shared" si="341"/>
        <v>0</v>
      </c>
      <c r="CE440" s="10">
        <f t="shared" si="341"/>
        <v>0</v>
      </c>
      <c r="CF440" s="10">
        <f t="shared" si="341"/>
        <v>0</v>
      </c>
      <c r="CG440" s="10">
        <f t="shared" si="341"/>
        <v>0</v>
      </c>
      <c r="CH440" s="10">
        <f t="shared" si="341"/>
        <v>0</v>
      </c>
      <c r="CI440" s="10">
        <f t="shared" si="341"/>
        <v>0</v>
      </c>
      <c r="CK440" s="11"/>
      <c r="CM440" s="11"/>
      <c r="DF440" s="11"/>
      <c r="EY440" s="10" t="str">
        <f t="shared" si="339"/>
        <v/>
      </c>
    </row>
    <row r="441" spans="1:155" x14ac:dyDescent="0.35">
      <c r="B441" s="69" t="str" cm="1">
        <f t="array" aca="1" ref="B441" ca="1">HYPERLINK(CONCATENATE("#",CELL("address",$D$75)),$D$75)</f>
        <v>Loan 2</v>
      </c>
      <c r="C441" s="211"/>
      <c r="D441" s="49">
        <f>D$14</f>
        <v>0</v>
      </c>
      <c r="E441" s="49" t="str">
        <f>F$14</f>
        <v/>
      </c>
      <c r="F441" s="49"/>
      <c r="H441" s="9" t="s">
        <v>1074</v>
      </c>
      <c r="I441" s="40" t="s">
        <v>665</v>
      </c>
      <c r="V441" s="133">
        <f>V$76</f>
        <v>0</v>
      </c>
      <c r="W441" s="10">
        <f>W$76</f>
        <v>0</v>
      </c>
      <c r="X441" s="10">
        <f>X$76</f>
        <v>0</v>
      </c>
      <c r="Y441" s="10">
        <f>Y$76</f>
        <v>0</v>
      </c>
      <c r="AA441" s="10">
        <f t="shared" ref="AA441:BV441" si="342">AA$76</f>
        <v>0</v>
      </c>
      <c r="AB441" s="10">
        <f t="shared" si="342"/>
        <v>0</v>
      </c>
      <c r="AC441" s="10">
        <f t="shared" si="342"/>
        <v>0</v>
      </c>
      <c r="AD441" s="10">
        <f t="shared" si="342"/>
        <v>0</v>
      </c>
      <c r="AE441" s="10">
        <f t="shared" si="342"/>
        <v>0</v>
      </c>
      <c r="AF441" s="10">
        <f t="shared" si="342"/>
        <v>0</v>
      </c>
      <c r="AG441" s="10">
        <f t="shared" si="342"/>
        <v>0</v>
      </c>
      <c r="AH441" s="10">
        <f t="shared" si="342"/>
        <v>0</v>
      </c>
      <c r="AI441" s="10">
        <f t="shared" si="342"/>
        <v>0</v>
      </c>
      <c r="AJ441" s="10">
        <f t="shared" si="342"/>
        <v>0</v>
      </c>
      <c r="AK441" s="10">
        <f t="shared" si="342"/>
        <v>0</v>
      </c>
      <c r="AL441" s="10">
        <f t="shared" si="342"/>
        <v>0</v>
      </c>
      <c r="AM441" s="10">
        <f t="shared" si="342"/>
        <v>0</v>
      </c>
      <c r="AN441" s="10">
        <f t="shared" si="342"/>
        <v>0</v>
      </c>
      <c r="AO441" s="10">
        <f t="shared" si="342"/>
        <v>0</v>
      </c>
      <c r="AP441" s="10">
        <f t="shared" si="342"/>
        <v>0</v>
      </c>
      <c r="AQ441" s="10">
        <f t="shared" si="342"/>
        <v>0</v>
      </c>
      <c r="AR441" s="10">
        <f t="shared" si="342"/>
        <v>0</v>
      </c>
      <c r="AS441" s="10">
        <f t="shared" si="342"/>
        <v>0</v>
      </c>
      <c r="AT441" s="10">
        <f t="shared" si="342"/>
        <v>0</v>
      </c>
      <c r="AU441" s="10">
        <f t="shared" si="342"/>
        <v>0</v>
      </c>
      <c r="AV441" s="10">
        <f t="shared" si="342"/>
        <v>0</v>
      </c>
      <c r="AW441" s="10">
        <f t="shared" si="342"/>
        <v>0</v>
      </c>
      <c r="AX441" s="10">
        <f t="shared" si="342"/>
        <v>0</v>
      </c>
      <c r="AY441" s="10">
        <f t="shared" si="342"/>
        <v>0</v>
      </c>
      <c r="AZ441" s="10">
        <f t="shared" si="342"/>
        <v>0</v>
      </c>
      <c r="BA441" s="10">
        <f t="shared" si="342"/>
        <v>0</v>
      </c>
      <c r="BB441" s="10">
        <f t="shared" si="342"/>
        <v>0</v>
      </c>
      <c r="BC441" s="10">
        <f t="shared" si="342"/>
        <v>0</v>
      </c>
      <c r="BD441" s="10">
        <f t="shared" si="342"/>
        <v>0</v>
      </c>
      <c r="BE441" s="10">
        <f t="shared" si="342"/>
        <v>0</v>
      </c>
      <c r="BF441" s="10">
        <f t="shared" si="342"/>
        <v>0</v>
      </c>
      <c r="BG441" s="10">
        <f t="shared" si="342"/>
        <v>0</v>
      </c>
      <c r="BH441" s="10">
        <f t="shared" si="342"/>
        <v>0</v>
      </c>
      <c r="BI441" s="10">
        <f t="shared" si="342"/>
        <v>0</v>
      </c>
      <c r="BJ441" s="10">
        <f t="shared" si="342"/>
        <v>0</v>
      </c>
      <c r="BK441" s="10">
        <f t="shared" si="342"/>
        <v>0</v>
      </c>
      <c r="BL441" s="10">
        <f t="shared" si="342"/>
        <v>0</v>
      </c>
      <c r="BM441" s="10">
        <f t="shared" si="342"/>
        <v>0</v>
      </c>
      <c r="BN441" s="10">
        <f t="shared" si="342"/>
        <v>0</v>
      </c>
      <c r="BO441" s="10">
        <f t="shared" si="342"/>
        <v>0</v>
      </c>
      <c r="BP441" s="10">
        <f t="shared" si="342"/>
        <v>0</v>
      </c>
      <c r="BQ441" s="10">
        <f t="shared" si="342"/>
        <v>0</v>
      </c>
      <c r="BR441" s="10">
        <f t="shared" si="342"/>
        <v>0</v>
      </c>
      <c r="BS441" s="10">
        <f t="shared" si="342"/>
        <v>0</v>
      </c>
      <c r="BT441" s="10">
        <f t="shared" si="342"/>
        <v>0</v>
      </c>
      <c r="BU441" s="10">
        <f t="shared" si="342"/>
        <v>0</v>
      </c>
      <c r="BV441" s="10">
        <f t="shared" si="342"/>
        <v>0</v>
      </c>
      <c r="BX441" s="10">
        <f t="shared" ref="BX441:CI441" si="343">BX$76</f>
        <v>0</v>
      </c>
      <c r="BY441" s="10">
        <f t="shared" si="343"/>
        <v>0</v>
      </c>
      <c r="BZ441" s="10">
        <f t="shared" si="343"/>
        <v>0</v>
      </c>
      <c r="CA441" s="10">
        <f t="shared" si="343"/>
        <v>0</v>
      </c>
      <c r="CB441" s="10">
        <f t="shared" si="343"/>
        <v>0</v>
      </c>
      <c r="CC441" s="10">
        <f t="shared" si="343"/>
        <v>0</v>
      </c>
      <c r="CD441" s="10">
        <f t="shared" si="343"/>
        <v>0</v>
      </c>
      <c r="CE441" s="10">
        <f t="shared" si="343"/>
        <v>0</v>
      </c>
      <c r="CF441" s="10">
        <f t="shared" si="343"/>
        <v>0</v>
      </c>
      <c r="CG441" s="10">
        <f t="shared" si="343"/>
        <v>0</v>
      </c>
      <c r="CH441" s="10">
        <f t="shared" si="343"/>
        <v>0</v>
      </c>
      <c r="CI441" s="10">
        <f t="shared" si="343"/>
        <v>0</v>
      </c>
      <c r="CK441" s="11"/>
      <c r="CM441" s="11"/>
      <c r="DF441" s="11"/>
      <c r="EY441" s="10" t="str">
        <f t="shared" si="339"/>
        <v/>
      </c>
    </row>
    <row r="442" spans="1:155" x14ac:dyDescent="0.35">
      <c r="B442" s="69" t="str" cm="1">
        <f t="array" aca="1" ref="B442" ca="1">HYPERLINK(CONCATENATE("#",CELL("address",$D$94)),$D$94)</f>
        <v>Loan 3</v>
      </c>
      <c r="C442" s="211"/>
      <c r="D442" s="49">
        <f>D$15</f>
        <v>0</v>
      </c>
      <c r="E442" s="49" t="str">
        <f>F$15</f>
        <v/>
      </c>
      <c r="F442" s="49"/>
      <c r="H442" s="9" t="s">
        <v>1074</v>
      </c>
      <c r="I442" s="40" t="s">
        <v>665</v>
      </c>
      <c r="V442" s="133">
        <f>V$95</f>
        <v>0</v>
      </c>
      <c r="W442" s="10">
        <f>W$95</f>
        <v>0</v>
      </c>
      <c r="X442" s="10">
        <f>X$95</f>
        <v>0</v>
      </c>
      <c r="Y442" s="10">
        <f>Y$95</f>
        <v>0</v>
      </c>
      <c r="AA442" s="10">
        <f t="shared" ref="AA442:BV442" si="344">AA$95</f>
        <v>0</v>
      </c>
      <c r="AB442" s="10">
        <f t="shared" si="344"/>
        <v>0</v>
      </c>
      <c r="AC442" s="10">
        <f t="shared" si="344"/>
        <v>0</v>
      </c>
      <c r="AD442" s="10">
        <f t="shared" si="344"/>
        <v>0</v>
      </c>
      <c r="AE442" s="10">
        <f t="shared" si="344"/>
        <v>0</v>
      </c>
      <c r="AF442" s="10">
        <f t="shared" si="344"/>
        <v>0</v>
      </c>
      <c r="AG442" s="10">
        <f t="shared" si="344"/>
        <v>0</v>
      </c>
      <c r="AH442" s="10">
        <f t="shared" si="344"/>
        <v>0</v>
      </c>
      <c r="AI442" s="10">
        <f t="shared" si="344"/>
        <v>0</v>
      </c>
      <c r="AJ442" s="10">
        <f t="shared" si="344"/>
        <v>0</v>
      </c>
      <c r="AK442" s="10">
        <f t="shared" si="344"/>
        <v>0</v>
      </c>
      <c r="AL442" s="10">
        <f t="shared" si="344"/>
        <v>0</v>
      </c>
      <c r="AM442" s="10">
        <f t="shared" si="344"/>
        <v>0</v>
      </c>
      <c r="AN442" s="10">
        <f t="shared" si="344"/>
        <v>0</v>
      </c>
      <c r="AO442" s="10">
        <f t="shared" si="344"/>
        <v>0</v>
      </c>
      <c r="AP442" s="10">
        <f t="shared" si="344"/>
        <v>0</v>
      </c>
      <c r="AQ442" s="10">
        <f t="shared" si="344"/>
        <v>0</v>
      </c>
      <c r="AR442" s="10">
        <f t="shared" si="344"/>
        <v>0</v>
      </c>
      <c r="AS442" s="10">
        <f t="shared" si="344"/>
        <v>0</v>
      </c>
      <c r="AT442" s="10">
        <f t="shared" si="344"/>
        <v>0</v>
      </c>
      <c r="AU442" s="10">
        <f t="shared" si="344"/>
        <v>0</v>
      </c>
      <c r="AV442" s="10">
        <f t="shared" si="344"/>
        <v>0</v>
      </c>
      <c r="AW442" s="10">
        <f t="shared" si="344"/>
        <v>0</v>
      </c>
      <c r="AX442" s="10">
        <f t="shared" si="344"/>
        <v>0</v>
      </c>
      <c r="AY442" s="10">
        <f t="shared" si="344"/>
        <v>0</v>
      </c>
      <c r="AZ442" s="10">
        <f t="shared" si="344"/>
        <v>0</v>
      </c>
      <c r="BA442" s="10">
        <f t="shared" si="344"/>
        <v>0</v>
      </c>
      <c r="BB442" s="10">
        <f t="shared" si="344"/>
        <v>0</v>
      </c>
      <c r="BC442" s="10">
        <f t="shared" si="344"/>
        <v>0</v>
      </c>
      <c r="BD442" s="10">
        <f t="shared" si="344"/>
        <v>0</v>
      </c>
      <c r="BE442" s="10">
        <f t="shared" si="344"/>
        <v>0</v>
      </c>
      <c r="BF442" s="10">
        <f t="shared" si="344"/>
        <v>0</v>
      </c>
      <c r="BG442" s="10">
        <f t="shared" si="344"/>
        <v>0</v>
      </c>
      <c r="BH442" s="10">
        <f t="shared" si="344"/>
        <v>0</v>
      </c>
      <c r="BI442" s="10">
        <f t="shared" si="344"/>
        <v>0</v>
      </c>
      <c r="BJ442" s="10">
        <f t="shared" si="344"/>
        <v>0</v>
      </c>
      <c r="BK442" s="10">
        <f t="shared" si="344"/>
        <v>0</v>
      </c>
      <c r="BL442" s="10">
        <f t="shared" si="344"/>
        <v>0</v>
      </c>
      <c r="BM442" s="10">
        <f t="shared" si="344"/>
        <v>0</v>
      </c>
      <c r="BN442" s="10">
        <f t="shared" si="344"/>
        <v>0</v>
      </c>
      <c r="BO442" s="10">
        <f t="shared" si="344"/>
        <v>0</v>
      </c>
      <c r="BP442" s="10">
        <f t="shared" si="344"/>
        <v>0</v>
      </c>
      <c r="BQ442" s="10">
        <f t="shared" si="344"/>
        <v>0</v>
      </c>
      <c r="BR442" s="10">
        <f t="shared" si="344"/>
        <v>0</v>
      </c>
      <c r="BS442" s="10">
        <f t="shared" si="344"/>
        <v>0</v>
      </c>
      <c r="BT442" s="10">
        <f t="shared" si="344"/>
        <v>0</v>
      </c>
      <c r="BU442" s="10">
        <f t="shared" si="344"/>
        <v>0</v>
      </c>
      <c r="BV442" s="10">
        <f t="shared" si="344"/>
        <v>0</v>
      </c>
      <c r="BX442" s="10">
        <f t="shared" ref="BX442:CI442" si="345">BX$95</f>
        <v>0</v>
      </c>
      <c r="BY442" s="10">
        <f t="shared" si="345"/>
        <v>0</v>
      </c>
      <c r="BZ442" s="10">
        <f t="shared" si="345"/>
        <v>0</v>
      </c>
      <c r="CA442" s="10">
        <f t="shared" si="345"/>
        <v>0</v>
      </c>
      <c r="CB442" s="10">
        <f t="shared" si="345"/>
        <v>0</v>
      </c>
      <c r="CC442" s="10">
        <f t="shared" si="345"/>
        <v>0</v>
      </c>
      <c r="CD442" s="10">
        <f t="shared" si="345"/>
        <v>0</v>
      </c>
      <c r="CE442" s="10">
        <f t="shared" si="345"/>
        <v>0</v>
      </c>
      <c r="CF442" s="10">
        <f t="shared" si="345"/>
        <v>0</v>
      </c>
      <c r="CG442" s="10">
        <f t="shared" si="345"/>
        <v>0</v>
      </c>
      <c r="CH442" s="10">
        <f t="shared" si="345"/>
        <v>0</v>
      </c>
      <c r="CI442" s="10">
        <f t="shared" si="345"/>
        <v>0</v>
      </c>
      <c r="CK442" s="11"/>
      <c r="CM442" s="11"/>
      <c r="DF442" s="11"/>
      <c r="EY442" s="10" t="str">
        <f t="shared" si="339"/>
        <v/>
      </c>
    </row>
    <row r="443" spans="1:155" x14ac:dyDescent="0.35">
      <c r="B443" s="69" t="str" cm="1">
        <f t="array" aca="1" ref="B443" ca="1">HYPERLINK(CONCATENATE("#",CELL("address",$D$113)),$D$113)</f>
        <v>Loan 4</v>
      </c>
      <c r="C443" s="211"/>
      <c r="D443" s="49">
        <f>D$16</f>
        <v>0</v>
      </c>
      <c r="E443" s="49" t="str">
        <f>F$16</f>
        <v/>
      </c>
      <c r="F443" s="49"/>
      <c r="H443" s="9" t="s">
        <v>1074</v>
      </c>
      <c r="I443" s="40" t="s">
        <v>665</v>
      </c>
      <c r="V443" s="133">
        <f>V$114</f>
        <v>0</v>
      </c>
      <c r="W443" s="10">
        <f>W$114</f>
        <v>0</v>
      </c>
      <c r="X443" s="10">
        <f>X$114</f>
        <v>0</v>
      </c>
      <c r="Y443" s="10">
        <f>Y$114</f>
        <v>0</v>
      </c>
      <c r="AA443" s="10">
        <f t="shared" ref="AA443:BV443" si="346">AA$114</f>
        <v>0</v>
      </c>
      <c r="AB443" s="10">
        <f t="shared" si="346"/>
        <v>0</v>
      </c>
      <c r="AC443" s="10">
        <f t="shared" si="346"/>
        <v>0</v>
      </c>
      <c r="AD443" s="10">
        <f t="shared" si="346"/>
        <v>0</v>
      </c>
      <c r="AE443" s="10">
        <f t="shared" si="346"/>
        <v>0</v>
      </c>
      <c r="AF443" s="10">
        <f t="shared" si="346"/>
        <v>0</v>
      </c>
      <c r="AG443" s="10">
        <f t="shared" si="346"/>
        <v>0</v>
      </c>
      <c r="AH443" s="10">
        <f t="shared" si="346"/>
        <v>0</v>
      </c>
      <c r="AI443" s="10">
        <f t="shared" si="346"/>
        <v>0</v>
      </c>
      <c r="AJ443" s="10">
        <f t="shared" si="346"/>
        <v>0</v>
      </c>
      <c r="AK443" s="10">
        <f t="shared" si="346"/>
        <v>0</v>
      </c>
      <c r="AL443" s="10">
        <f t="shared" si="346"/>
        <v>0</v>
      </c>
      <c r="AM443" s="10">
        <f t="shared" si="346"/>
        <v>0</v>
      </c>
      <c r="AN443" s="10">
        <f t="shared" si="346"/>
        <v>0</v>
      </c>
      <c r="AO443" s="10">
        <f t="shared" si="346"/>
        <v>0</v>
      </c>
      <c r="AP443" s="10">
        <f t="shared" si="346"/>
        <v>0</v>
      </c>
      <c r="AQ443" s="10">
        <f t="shared" si="346"/>
        <v>0</v>
      </c>
      <c r="AR443" s="10">
        <f t="shared" si="346"/>
        <v>0</v>
      </c>
      <c r="AS443" s="10">
        <f t="shared" si="346"/>
        <v>0</v>
      </c>
      <c r="AT443" s="10">
        <f t="shared" si="346"/>
        <v>0</v>
      </c>
      <c r="AU443" s="10">
        <f t="shared" si="346"/>
        <v>0</v>
      </c>
      <c r="AV443" s="10">
        <f t="shared" si="346"/>
        <v>0</v>
      </c>
      <c r="AW443" s="10">
        <f t="shared" si="346"/>
        <v>0</v>
      </c>
      <c r="AX443" s="10">
        <f t="shared" si="346"/>
        <v>0</v>
      </c>
      <c r="AY443" s="10">
        <f t="shared" si="346"/>
        <v>0</v>
      </c>
      <c r="AZ443" s="10">
        <f t="shared" si="346"/>
        <v>0</v>
      </c>
      <c r="BA443" s="10">
        <f t="shared" si="346"/>
        <v>0</v>
      </c>
      <c r="BB443" s="10">
        <f t="shared" si="346"/>
        <v>0</v>
      </c>
      <c r="BC443" s="10">
        <f t="shared" si="346"/>
        <v>0</v>
      </c>
      <c r="BD443" s="10">
        <f t="shared" si="346"/>
        <v>0</v>
      </c>
      <c r="BE443" s="10">
        <f t="shared" si="346"/>
        <v>0</v>
      </c>
      <c r="BF443" s="10">
        <f t="shared" si="346"/>
        <v>0</v>
      </c>
      <c r="BG443" s="10">
        <f t="shared" si="346"/>
        <v>0</v>
      </c>
      <c r="BH443" s="10">
        <f t="shared" si="346"/>
        <v>0</v>
      </c>
      <c r="BI443" s="10">
        <f t="shared" si="346"/>
        <v>0</v>
      </c>
      <c r="BJ443" s="10">
        <f t="shared" si="346"/>
        <v>0</v>
      </c>
      <c r="BK443" s="10">
        <f t="shared" si="346"/>
        <v>0</v>
      </c>
      <c r="BL443" s="10">
        <f t="shared" si="346"/>
        <v>0</v>
      </c>
      <c r="BM443" s="10">
        <f t="shared" si="346"/>
        <v>0</v>
      </c>
      <c r="BN443" s="10">
        <f t="shared" si="346"/>
        <v>0</v>
      </c>
      <c r="BO443" s="10">
        <f t="shared" si="346"/>
        <v>0</v>
      </c>
      <c r="BP443" s="10">
        <f t="shared" si="346"/>
        <v>0</v>
      </c>
      <c r="BQ443" s="10">
        <f t="shared" si="346"/>
        <v>0</v>
      </c>
      <c r="BR443" s="10">
        <f t="shared" si="346"/>
        <v>0</v>
      </c>
      <c r="BS443" s="10">
        <f t="shared" si="346"/>
        <v>0</v>
      </c>
      <c r="BT443" s="10">
        <f t="shared" si="346"/>
        <v>0</v>
      </c>
      <c r="BU443" s="10">
        <f t="shared" si="346"/>
        <v>0</v>
      </c>
      <c r="BV443" s="10">
        <f t="shared" si="346"/>
        <v>0</v>
      </c>
      <c r="BX443" s="10">
        <f t="shared" ref="BX443:CI443" si="347">BX$114</f>
        <v>0</v>
      </c>
      <c r="BY443" s="10">
        <f t="shared" si="347"/>
        <v>0</v>
      </c>
      <c r="BZ443" s="10">
        <f t="shared" si="347"/>
        <v>0</v>
      </c>
      <c r="CA443" s="10">
        <f t="shared" si="347"/>
        <v>0</v>
      </c>
      <c r="CB443" s="10">
        <f t="shared" si="347"/>
        <v>0</v>
      </c>
      <c r="CC443" s="10">
        <f t="shared" si="347"/>
        <v>0</v>
      </c>
      <c r="CD443" s="10">
        <f t="shared" si="347"/>
        <v>0</v>
      </c>
      <c r="CE443" s="10">
        <f t="shared" si="347"/>
        <v>0</v>
      </c>
      <c r="CF443" s="10">
        <f t="shared" si="347"/>
        <v>0</v>
      </c>
      <c r="CG443" s="10">
        <f t="shared" si="347"/>
        <v>0</v>
      </c>
      <c r="CH443" s="10">
        <f t="shared" si="347"/>
        <v>0</v>
      </c>
      <c r="CI443" s="10">
        <f t="shared" si="347"/>
        <v>0</v>
      </c>
      <c r="CK443" s="11"/>
      <c r="CM443" s="11"/>
      <c r="DF443" s="11"/>
      <c r="EY443" s="10" t="str">
        <f t="shared" si="339"/>
        <v/>
      </c>
    </row>
    <row r="444" spans="1:155" x14ac:dyDescent="0.35">
      <c r="B444" s="69" t="str" cm="1">
        <f t="array" aca="1" ref="B444" ca="1">HYPERLINK(CONCATENATE("#",CELL("address",$D$132)),$D$132)</f>
        <v>Loan 5</v>
      </c>
      <c r="C444" s="211"/>
      <c r="D444" s="49">
        <f>D$17</f>
        <v>0</v>
      </c>
      <c r="E444" s="49" t="str">
        <f>F$17</f>
        <v/>
      </c>
      <c r="F444" s="49"/>
      <c r="H444" s="9" t="s">
        <v>1074</v>
      </c>
      <c r="I444" s="40" t="s">
        <v>665</v>
      </c>
      <c r="V444" s="133">
        <f>V$133</f>
        <v>0</v>
      </c>
      <c r="W444" s="10">
        <f>W$133</f>
        <v>0</v>
      </c>
      <c r="X444" s="10">
        <f>X$133</f>
        <v>0</v>
      </c>
      <c r="Y444" s="10">
        <f>Y$133</f>
        <v>0</v>
      </c>
      <c r="AA444" s="10">
        <f t="shared" ref="AA444:BV444" si="348">AA$133</f>
        <v>0</v>
      </c>
      <c r="AB444" s="10">
        <f t="shared" si="348"/>
        <v>0</v>
      </c>
      <c r="AC444" s="10">
        <f t="shared" si="348"/>
        <v>0</v>
      </c>
      <c r="AD444" s="10">
        <f t="shared" si="348"/>
        <v>0</v>
      </c>
      <c r="AE444" s="10">
        <f t="shared" si="348"/>
        <v>0</v>
      </c>
      <c r="AF444" s="10">
        <f t="shared" si="348"/>
        <v>0</v>
      </c>
      <c r="AG444" s="10">
        <f t="shared" si="348"/>
        <v>0</v>
      </c>
      <c r="AH444" s="10">
        <f t="shared" si="348"/>
        <v>0</v>
      </c>
      <c r="AI444" s="10">
        <f t="shared" si="348"/>
        <v>0</v>
      </c>
      <c r="AJ444" s="10">
        <f t="shared" si="348"/>
        <v>0</v>
      </c>
      <c r="AK444" s="10">
        <f t="shared" si="348"/>
        <v>0</v>
      </c>
      <c r="AL444" s="10">
        <f t="shared" si="348"/>
        <v>0</v>
      </c>
      <c r="AM444" s="10">
        <f t="shared" si="348"/>
        <v>0</v>
      </c>
      <c r="AN444" s="10">
        <f t="shared" si="348"/>
        <v>0</v>
      </c>
      <c r="AO444" s="10">
        <f t="shared" si="348"/>
        <v>0</v>
      </c>
      <c r="AP444" s="10">
        <f t="shared" si="348"/>
        <v>0</v>
      </c>
      <c r="AQ444" s="10">
        <f t="shared" si="348"/>
        <v>0</v>
      </c>
      <c r="AR444" s="10">
        <f t="shared" si="348"/>
        <v>0</v>
      </c>
      <c r="AS444" s="10">
        <f t="shared" si="348"/>
        <v>0</v>
      </c>
      <c r="AT444" s="10">
        <f t="shared" si="348"/>
        <v>0</v>
      </c>
      <c r="AU444" s="10">
        <f t="shared" si="348"/>
        <v>0</v>
      </c>
      <c r="AV444" s="10">
        <f t="shared" si="348"/>
        <v>0</v>
      </c>
      <c r="AW444" s="10">
        <f t="shared" si="348"/>
        <v>0</v>
      </c>
      <c r="AX444" s="10">
        <f t="shared" si="348"/>
        <v>0</v>
      </c>
      <c r="AY444" s="10">
        <f t="shared" si="348"/>
        <v>0</v>
      </c>
      <c r="AZ444" s="10">
        <f t="shared" si="348"/>
        <v>0</v>
      </c>
      <c r="BA444" s="10">
        <f t="shared" si="348"/>
        <v>0</v>
      </c>
      <c r="BB444" s="10">
        <f t="shared" si="348"/>
        <v>0</v>
      </c>
      <c r="BC444" s="10">
        <f t="shared" si="348"/>
        <v>0</v>
      </c>
      <c r="BD444" s="10">
        <f t="shared" si="348"/>
        <v>0</v>
      </c>
      <c r="BE444" s="10">
        <f t="shared" si="348"/>
        <v>0</v>
      </c>
      <c r="BF444" s="10">
        <f t="shared" si="348"/>
        <v>0</v>
      </c>
      <c r="BG444" s="10">
        <f t="shared" si="348"/>
        <v>0</v>
      </c>
      <c r="BH444" s="10">
        <f t="shared" si="348"/>
        <v>0</v>
      </c>
      <c r="BI444" s="10">
        <f t="shared" si="348"/>
        <v>0</v>
      </c>
      <c r="BJ444" s="10">
        <f t="shared" si="348"/>
        <v>0</v>
      </c>
      <c r="BK444" s="10">
        <f t="shared" si="348"/>
        <v>0</v>
      </c>
      <c r="BL444" s="10">
        <f t="shared" si="348"/>
        <v>0</v>
      </c>
      <c r="BM444" s="10">
        <f t="shared" si="348"/>
        <v>0</v>
      </c>
      <c r="BN444" s="10">
        <f t="shared" si="348"/>
        <v>0</v>
      </c>
      <c r="BO444" s="10">
        <f t="shared" si="348"/>
        <v>0</v>
      </c>
      <c r="BP444" s="10">
        <f t="shared" si="348"/>
        <v>0</v>
      </c>
      <c r="BQ444" s="10">
        <f t="shared" si="348"/>
        <v>0</v>
      </c>
      <c r="BR444" s="10">
        <f t="shared" si="348"/>
        <v>0</v>
      </c>
      <c r="BS444" s="10">
        <f t="shared" si="348"/>
        <v>0</v>
      </c>
      <c r="BT444" s="10">
        <f t="shared" si="348"/>
        <v>0</v>
      </c>
      <c r="BU444" s="10">
        <f t="shared" si="348"/>
        <v>0</v>
      </c>
      <c r="BV444" s="10">
        <f t="shared" si="348"/>
        <v>0</v>
      </c>
      <c r="BX444" s="10">
        <f t="shared" ref="BX444:CI444" si="349">BX$133</f>
        <v>0</v>
      </c>
      <c r="BY444" s="10">
        <f t="shared" si="349"/>
        <v>0</v>
      </c>
      <c r="BZ444" s="10">
        <f t="shared" si="349"/>
        <v>0</v>
      </c>
      <c r="CA444" s="10">
        <f t="shared" si="349"/>
        <v>0</v>
      </c>
      <c r="CB444" s="10">
        <f t="shared" si="349"/>
        <v>0</v>
      </c>
      <c r="CC444" s="10">
        <f t="shared" si="349"/>
        <v>0</v>
      </c>
      <c r="CD444" s="10">
        <f t="shared" si="349"/>
        <v>0</v>
      </c>
      <c r="CE444" s="10">
        <f t="shared" si="349"/>
        <v>0</v>
      </c>
      <c r="CF444" s="10">
        <f t="shared" si="349"/>
        <v>0</v>
      </c>
      <c r="CG444" s="10">
        <f t="shared" si="349"/>
        <v>0</v>
      </c>
      <c r="CH444" s="10">
        <f t="shared" si="349"/>
        <v>0</v>
      </c>
      <c r="CI444" s="10">
        <f t="shared" si="349"/>
        <v>0</v>
      </c>
      <c r="CK444" s="11"/>
      <c r="CM444" s="11"/>
      <c r="DF444" s="11"/>
      <c r="EY444" s="10" t="str">
        <f t="shared" si="339"/>
        <v/>
      </c>
    </row>
    <row r="445" spans="1:155" x14ac:dyDescent="0.35">
      <c r="B445" s="69" t="str" cm="1">
        <f t="array" aca="1" ref="B445" ca="1">HYPERLINK(CONCATENATE("#",CELL("address",$D$151)),$D$151)</f>
        <v>Loan 6</v>
      </c>
      <c r="C445" s="211"/>
      <c r="D445" s="49">
        <f>D$18</f>
        <v>0</v>
      </c>
      <c r="E445" s="49" t="str">
        <f>F$18</f>
        <v/>
      </c>
      <c r="F445" s="49"/>
      <c r="H445" s="9" t="s">
        <v>1074</v>
      </c>
      <c r="I445" s="40" t="s">
        <v>665</v>
      </c>
      <c r="V445" s="133">
        <f>V$152</f>
        <v>0</v>
      </c>
      <c r="W445" s="10">
        <f>W$152</f>
        <v>0</v>
      </c>
      <c r="X445" s="10">
        <f>X$152</f>
        <v>0</v>
      </c>
      <c r="Y445" s="10">
        <f>Y$152</f>
        <v>0</v>
      </c>
      <c r="AA445" s="10">
        <f t="shared" ref="AA445:BV445" si="350">AA$152</f>
        <v>0</v>
      </c>
      <c r="AB445" s="10">
        <f t="shared" si="350"/>
        <v>0</v>
      </c>
      <c r="AC445" s="10">
        <f t="shared" si="350"/>
        <v>0</v>
      </c>
      <c r="AD445" s="10">
        <f t="shared" si="350"/>
        <v>0</v>
      </c>
      <c r="AE445" s="10">
        <f t="shared" si="350"/>
        <v>0</v>
      </c>
      <c r="AF445" s="10">
        <f t="shared" si="350"/>
        <v>0</v>
      </c>
      <c r="AG445" s="10">
        <f t="shared" si="350"/>
        <v>0</v>
      </c>
      <c r="AH445" s="10">
        <f t="shared" si="350"/>
        <v>0</v>
      </c>
      <c r="AI445" s="10">
        <f t="shared" si="350"/>
        <v>0</v>
      </c>
      <c r="AJ445" s="10">
        <f t="shared" si="350"/>
        <v>0</v>
      </c>
      <c r="AK445" s="10">
        <f t="shared" si="350"/>
        <v>0</v>
      </c>
      <c r="AL445" s="10">
        <f t="shared" si="350"/>
        <v>0</v>
      </c>
      <c r="AM445" s="10">
        <f t="shared" si="350"/>
        <v>0</v>
      </c>
      <c r="AN445" s="10">
        <f t="shared" si="350"/>
        <v>0</v>
      </c>
      <c r="AO445" s="10">
        <f t="shared" si="350"/>
        <v>0</v>
      </c>
      <c r="AP445" s="10">
        <f t="shared" si="350"/>
        <v>0</v>
      </c>
      <c r="AQ445" s="10">
        <f t="shared" si="350"/>
        <v>0</v>
      </c>
      <c r="AR445" s="10">
        <f t="shared" si="350"/>
        <v>0</v>
      </c>
      <c r="AS445" s="10">
        <f t="shared" si="350"/>
        <v>0</v>
      </c>
      <c r="AT445" s="10">
        <f t="shared" si="350"/>
        <v>0</v>
      </c>
      <c r="AU445" s="10">
        <f t="shared" si="350"/>
        <v>0</v>
      </c>
      <c r="AV445" s="10">
        <f t="shared" si="350"/>
        <v>0</v>
      </c>
      <c r="AW445" s="10">
        <f t="shared" si="350"/>
        <v>0</v>
      </c>
      <c r="AX445" s="10">
        <f t="shared" si="350"/>
        <v>0</v>
      </c>
      <c r="AY445" s="10">
        <f t="shared" si="350"/>
        <v>0</v>
      </c>
      <c r="AZ445" s="10">
        <f t="shared" si="350"/>
        <v>0</v>
      </c>
      <c r="BA445" s="10">
        <f t="shared" si="350"/>
        <v>0</v>
      </c>
      <c r="BB445" s="10">
        <f t="shared" si="350"/>
        <v>0</v>
      </c>
      <c r="BC445" s="10">
        <f t="shared" si="350"/>
        <v>0</v>
      </c>
      <c r="BD445" s="10">
        <f t="shared" si="350"/>
        <v>0</v>
      </c>
      <c r="BE445" s="10">
        <f t="shared" si="350"/>
        <v>0</v>
      </c>
      <c r="BF445" s="10">
        <f t="shared" si="350"/>
        <v>0</v>
      </c>
      <c r="BG445" s="10">
        <f t="shared" si="350"/>
        <v>0</v>
      </c>
      <c r="BH445" s="10">
        <f t="shared" si="350"/>
        <v>0</v>
      </c>
      <c r="BI445" s="10">
        <f t="shared" si="350"/>
        <v>0</v>
      </c>
      <c r="BJ445" s="10">
        <f t="shared" si="350"/>
        <v>0</v>
      </c>
      <c r="BK445" s="10">
        <f t="shared" si="350"/>
        <v>0</v>
      </c>
      <c r="BL445" s="10">
        <f t="shared" si="350"/>
        <v>0</v>
      </c>
      <c r="BM445" s="10">
        <f t="shared" si="350"/>
        <v>0</v>
      </c>
      <c r="BN445" s="10">
        <f t="shared" si="350"/>
        <v>0</v>
      </c>
      <c r="BO445" s="10">
        <f t="shared" si="350"/>
        <v>0</v>
      </c>
      <c r="BP445" s="10">
        <f t="shared" si="350"/>
        <v>0</v>
      </c>
      <c r="BQ445" s="10">
        <f t="shared" si="350"/>
        <v>0</v>
      </c>
      <c r="BR445" s="10">
        <f t="shared" si="350"/>
        <v>0</v>
      </c>
      <c r="BS445" s="10">
        <f t="shared" si="350"/>
        <v>0</v>
      </c>
      <c r="BT445" s="10">
        <f t="shared" si="350"/>
        <v>0</v>
      </c>
      <c r="BU445" s="10">
        <f t="shared" si="350"/>
        <v>0</v>
      </c>
      <c r="BV445" s="10">
        <f t="shared" si="350"/>
        <v>0</v>
      </c>
      <c r="BX445" s="10">
        <f t="shared" ref="BX445:CI445" si="351">BX$152</f>
        <v>0</v>
      </c>
      <c r="BY445" s="10">
        <f t="shared" si="351"/>
        <v>0</v>
      </c>
      <c r="BZ445" s="10">
        <f t="shared" si="351"/>
        <v>0</v>
      </c>
      <c r="CA445" s="10">
        <f t="shared" si="351"/>
        <v>0</v>
      </c>
      <c r="CB445" s="10">
        <f t="shared" si="351"/>
        <v>0</v>
      </c>
      <c r="CC445" s="10">
        <f t="shared" si="351"/>
        <v>0</v>
      </c>
      <c r="CD445" s="10">
        <f t="shared" si="351"/>
        <v>0</v>
      </c>
      <c r="CE445" s="10">
        <f t="shared" si="351"/>
        <v>0</v>
      </c>
      <c r="CF445" s="10">
        <f t="shared" si="351"/>
        <v>0</v>
      </c>
      <c r="CG445" s="10">
        <f t="shared" si="351"/>
        <v>0</v>
      </c>
      <c r="CH445" s="10">
        <f t="shared" si="351"/>
        <v>0</v>
      </c>
      <c r="CI445" s="10">
        <f t="shared" si="351"/>
        <v>0</v>
      </c>
      <c r="CK445" s="11"/>
      <c r="CM445" s="11"/>
      <c r="DF445" s="11"/>
      <c r="EY445" s="10" t="str">
        <f t="shared" si="339"/>
        <v/>
      </c>
    </row>
    <row r="446" spans="1:155" x14ac:dyDescent="0.35">
      <c r="B446" s="69" t="str" cm="1">
        <f t="array" aca="1" ref="B446" ca="1">HYPERLINK(CONCATENATE("#",CELL("address",$D$170)),$D$170)</f>
        <v>Loan 7</v>
      </c>
      <c r="C446" s="211"/>
      <c r="D446" s="49">
        <f>D$19</f>
        <v>0</v>
      </c>
      <c r="E446" s="49" t="str">
        <f>F$19</f>
        <v/>
      </c>
      <c r="F446" s="49"/>
      <c r="H446" s="9" t="s">
        <v>1074</v>
      </c>
      <c r="I446" s="40" t="s">
        <v>665</v>
      </c>
      <c r="V446" s="133">
        <f>V$171</f>
        <v>0</v>
      </c>
      <c r="W446" s="10">
        <f>W$171</f>
        <v>0</v>
      </c>
      <c r="X446" s="10">
        <f>X$171</f>
        <v>0</v>
      </c>
      <c r="Y446" s="10">
        <f>Y$171</f>
        <v>0</v>
      </c>
      <c r="AA446" s="10">
        <f t="shared" ref="AA446:BV446" si="352">AA$171</f>
        <v>0</v>
      </c>
      <c r="AB446" s="10">
        <f t="shared" si="352"/>
        <v>0</v>
      </c>
      <c r="AC446" s="10">
        <f t="shared" si="352"/>
        <v>0</v>
      </c>
      <c r="AD446" s="10">
        <f t="shared" si="352"/>
        <v>0</v>
      </c>
      <c r="AE446" s="10">
        <f t="shared" si="352"/>
        <v>0</v>
      </c>
      <c r="AF446" s="10">
        <f t="shared" si="352"/>
        <v>0</v>
      </c>
      <c r="AG446" s="10">
        <f t="shared" si="352"/>
        <v>0</v>
      </c>
      <c r="AH446" s="10">
        <f t="shared" si="352"/>
        <v>0</v>
      </c>
      <c r="AI446" s="10">
        <f t="shared" si="352"/>
        <v>0</v>
      </c>
      <c r="AJ446" s="10">
        <f t="shared" si="352"/>
        <v>0</v>
      </c>
      <c r="AK446" s="10">
        <f t="shared" si="352"/>
        <v>0</v>
      </c>
      <c r="AL446" s="10">
        <f t="shared" si="352"/>
        <v>0</v>
      </c>
      <c r="AM446" s="10">
        <f t="shared" si="352"/>
        <v>0</v>
      </c>
      <c r="AN446" s="10">
        <f t="shared" si="352"/>
        <v>0</v>
      </c>
      <c r="AO446" s="10">
        <f t="shared" si="352"/>
        <v>0</v>
      </c>
      <c r="AP446" s="10">
        <f t="shared" si="352"/>
        <v>0</v>
      </c>
      <c r="AQ446" s="10">
        <f t="shared" si="352"/>
        <v>0</v>
      </c>
      <c r="AR446" s="10">
        <f t="shared" si="352"/>
        <v>0</v>
      </c>
      <c r="AS446" s="10">
        <f t="shared" si="352"/>
        <v>0</v>
      </c>
      <c r="AT446" s="10">
        <f t="shared" si="352"/>
        <v>0</v>
      </c>
      <c r="AU446" s="10">
        <f t="shared" si="352"/>
        <v>0</v>
      </c>
      <c r="AV446" s="10">
        <f t="shared" si="352"/>
        <v>0</v>
      </c>
      <c r="AW446" s="10">
        <f t="shared" si="352"/>
        <v>0</v>
      </c>
      <c r="AX446" s="10">
        <f t="shared" si="352"/>
        <v>0</v>
      </c>
      <c r="AY446" s="10">
        <f t="shared" si="352"/>
        <v>0</v>
      </c>
      <c r="AZ446" s="10">
        <f t="shared" si="352"/>
        <v>0</v>
      </c>
      <c r="BA446" s="10">
        <f t="shared" si="352"/>
        <v>0</v>
      </c>
      <c r="BB446" s="10">
        <f t="shared" si="352"/>
        <v>0</v>
      </c>
      <c r="BC446" s="10">
        <f t="shared" si="352"/>
        <v>0</v>
      </c>
      <c r="BD446" s="10">
        <f t="shared" si="352"/>
        <v>0</v>
      </c>
      <c r="BE446" s="10">
        <f t="shared" si="352"/>
        <v>0</v>
      </c>
      <c r="BF446" s="10">
        <f t="shared" si="352"/>
        <v>0</v>
      </c>
      <c r="BG446" s="10">
        <f t="shared" si="352"/>
        <v>0</v>
      </c>
      <c r="BH446" s="10">
        <f t="shared" si="352"/>
        <v>0</v>
      </c>
      <c r="BI446" s="10">
        <f t="shared" si="352"/>
        <v>0</v>
      </c>
      <c r="BJ446" s="10">
        <f t="shared" si="352"/>
        <v>0</v>
      </c>
      <c r="BK446" s="10">
        <f t="shared" si="352"/>
        <v>0</v>
      </c>
      <c r="BL446" s="10">
        <f t="shared" si="352"/>
        <v>0</v>
      </c>
      <c r="BM446" s="10">
        <f t="shared" si="352"/>
        <v>0</v>
      </c>
      <c r="BN446" s="10">
        <f t="shared" si="352"/>
        <v>0</v>
      </c>
      <c r="BO446" s="10">
        <f t="shared" si="352"/>
        <v>0</v>
      </c>
      <c r="BP446" s="10">
        <f t="shared" si="352"/>
        <v>0</v>
      </c>
      <c r="BQ446" s="10">
        <f t="shared" si="352"/>
        <v>0</v>
      </c>
      <c r="BR446" s="10">
        <f t="shared" si="352"/>
        <v>0</v>
      </c>
      <c r="BS446" s="10">
        <f t="shared" si="352"/>
        <v>0</v>
      </c>
      <c r="BT446" s="10">
        <f t="shared" si="352"/>
        <v>0</v>
      </c>
      <c r="BU446" s="10">
        <f t="shared" si="352"/>
        <v>0</v>
      </c>
      <c r="BV446" s="10">
        <f t="shared" si="352"/>
        <v>0</v>
      </c>
      <c r="BX446" s="10">
        <f t="shared" ref="BX446:CI446" si="353">BX$171</f>
        <v>0</v>
      </c>
      <c r="BY446" s="10">
        <f t="shared" si="353"/>
        <v>0</v>
      </c>
      <c r="BZ446" s="10">
        <f t="shared" si="353"/>
        <v>0</v>
      </c>
      <c r="CA446" s="10">
        <f t="shared" si="353"/>
        <v>0</v>
      </c>
      <c r="CB446" s="10">
        <f t="shared" si="353"/>
        <v>0</v>
      </c>
      <c r="CC446" s="10">
        <f t="shared" si="353"/>
        <v>0</v>
      </c>
      <c r="CD446" s="10">
        <f t="shared" si="353"/>
        <v>0</v>
      </c>
      <c r="CE446" s="10">
        <f t="shared" si="353"/>
        <v>0</v>
      </c>
      <c r="CF446" s="10">
        <f t="shared" si="353"/>
        <v>0</v>
      </c>
      <c r="CG446" s="10">
        <f t="shared" si="353"/>
        <v>0</v>
      </c>
      <c r="CH446" s="10">
        <f t="shared" si="353"/>
        <v>0</v>
      </c>
      <c r="CI446" s="10">
        <f t="shared" si="353"/>
        <v>0</v>
      </c>
      <c r="CK446" s="11"/>
      <c r="CM446" s="11"/>
      <c r="DF446" s="11"/>
      <c r="EY446" s="10" t="str">
        <f t="shared" si="339"/>
        <v/>
      </c>
    </row>
    <row r="447" spans="1:155" x14ac:dyDescent="0.35">
      <c r="B447" s="69" t="str" cm="1">
        <f t="array" aca="1" ref="B447" ca="1">HYPERLINK(CONCATENATE("#",CELL("address",$D$189)),$D$189)</f>
        <v>Loan 8</v>
      </c>
      <c r="C447" s="211"/>
      <c r="D447" s="49">
        <f>D$20</f>
        <v>0</v>
      </c>
      <c r="E447" s="49" t="str">
        <f>F$20</f>
        <v/>
      </c>
      <c r="F447" s="49"/>
      <c r="H447" s="9" t="s">
        <v>1074</v>
      </c>
      <c r="I447" s="40" t="s">
        <v>665</v>
      </c>
      <c r="V447" s="133">
        <f>V$190</f>
        <v>0</v>
      </c>
      <c r="W447" s="10">
        <f>W$190</f>
        <v>0</v>
      </c>
      <c r="X447" s="10">
        <f>X$190</f>
        <v>0</v>
      </c>
      <c r="Y447" s="10">
        <f>Y$190</f>
        <v>0</v>
      </c>
      <c r="AA447" s="10">
        <f t="shared" ref="AA447:BV447" si="354">AA$190</f>
        <v>0</v>
      </c>
      <c r="AB447" s="10">
        <f t="shared" si="354"/>
        <v>0</v>
      </c>
      <c r="AC447" s="10">
        <f t="shared" si="354"/>
        <v>0</v>
      </c>
      <c r="AD447" s="10">
        <f t="shared" si="354"/>
        <v>0</v>
      </c>
      <c r="AE447" s="10">
        <f t="shared" si="354"/>
        <v>0</v>
      </c>
      <c r="AF447" s="10">
        <f t="shared" si="354"/>
        <v>0</v>
      </c>
      <c r="AG447" s="10">
        <f t="shared" si="354"/>
        <v>0</v>
      </c>
      <c r="AH447" s="10">
        <f t="shared" si="354"/>
        <v>0</v>
      </c>
      <c r="AI447" s="10">
        <f t="shared" si="354"/>
        <v>0</v>
      </c>
      <c r="AJ447" s="10">
        <f t="shared" si="354"/>
        <v>0</v>
      </c>
      <c r="AK447" s="10">
        <f t="shared" si="354"/>
        <v>0</v>
      </c>
      <c r="AL447" s="10">
        <f t="shared" si="354"/>
        <v>0</v>
      </c>
      <c r="AM447" s="10">
        <f t="shared" si="354"/>
        <v>0</v>
      </c>
      <c r="AN447" s="10">
        <f t="shared" si="354"/>
        <v>0</v>
      </c>
      <c r="AO447" s="10">
        <f t="shared" si="354"/>
        <v>0</v>
      </c>
      <c r="AP447" s="10">
        <f t="shared" si="354"/>
        <v>0</v>
      </c>
      <c r="AQ447" s="10">
        <f t="shared" si="354"/>
        <v>0</v>
      </c>
      <c r="AR447" s="10">
        <f t="shared" si="354"/>
        <v>0</v>
      </c>
      <c r="AS447" s="10">
        <f t="shared" si="354"/>
        <v>0</v>
      </c>
      <c r="AT447" s="10">
        <f t="shared" si="354"/>
        <v>0</v>
      </c>
      <c r="AU447" s="10">
        <f t="shared" si="354"/>
        <v>0</v>
      </c>
      <c r="AV447" s="10">
        <f t="shared" si="354"/>
        <v>0</v>
      </c>
      <c r="AW447" s="10">
        <f t="shared" si="354"/>
        <v>0</v>
      </c>
      <c r="AX447" s="10">
        <f t="shared" si="354"/>
        <v>0</v>
      </c>
      <c r="AY447" s="10">
        <f t="shared" si="354"/>
        <v>0</v>
      </c>
      <c r="AZ447" s="10">
        <f t="shared" si="354"/>
        <v>0</v>
      </c>
      <c r="BA447" s="10">
        <f t="shared" si="354"/>
        <v>0</v>
      </c>
      <c r="BB447" s="10">
        <f t="shared" si="354"/>
        <v>0</v>
      </c>
      <c r="BC447" s="10">
        <f t="shared" si="354"/>
        <v>0</v>
      </c>
      <c r="BD447" s="10">
        <f t="shared" si="354"/>
        <v>0</v>
      </c>
      <c r="BE447" s="10">
        <f t="shared" si="354"/>
        <v>0</v>
      </c>
      <c r="BF447" s="10">
        <f t="shared" si="354"/>
        <v>0</v>
      </c>
      <c r="BG447" s="10">
        <f t="shared" si="354"/>
        <v>0</v>
      </c>
      <c r="BH447" s="10">
        <f t="shared" si="354"/>
        <v>0</v>
      </c>
      <c r="BI447" s="10">
        <f t="shared" si="354"/>
        <v>0</v>
      </c>
      <c r="BJ447" s="10">
        <f t="shared" si="354"/>
        <v>0</v>
      </c>
      <c r="BK447" s="10">
        <f t="shared" si="354"/>
        <v>0</v>
      </c>
      <c r="BL447" s="10">
        <f t="shared" si="354"/>
        <v>0</v>
      </c>
      <c r="BM447" s="10">
        <f t="shared" si="354"/>
        <v>0</v>
      </c>
      <c r="BN447" s="10">
        <f t="shared" si="354"/>
        <v>0</v>
      </c>
      <c r="BO447" s="10">
        <f t="shared" si="354"/>
        <v>0</v>
      </c>
      <c r="BP447" s="10">
        <f t="shared" si="354"/>
        <v>0</v>
      </c>
      <c r="BQ447" s="10">
        <f t="shared" si="354"/>
        <v>0</v>
      </c>
      <c r="BR447" s="10">
        <f t="shared" si="354"/>
        <v>0</v>
      </c>
      <c r="BS447" s="10">
        <f t="shared" si="354"/>
        <v>0</v>
      </c>
      <c r="BT447" s="10">
        <f t="shared" si="354"/>
        <v>0</v>
      </c>
      <c r="BU447" s="10">
        <f t="shared" si="354"/>
        <v>0</v>
      </c>
      <c r="BV447" s="10">
        <f t="shared" si="354"/>
        <v>0</v>
      </c>
      <c r="BX447" s="10">
        <f t="shared" ref="BX447:CI447" si="355">BX$190</f>
        <v>0</v>
      </c>
      <c r="BY447" s="10">
        <f t="shared" si="355"/>
        <v>0</v>
      </c>
      <c r="BZ447" s="10">
        <f t="shared" si="355"/>
        <v>0</v>
      </c>
      <c r="CA447" s="10">
        <f t="shared" si="355"/>
        <v>0</v>
      </c>
      <c r="CB447" s="10">
        <f t="shared" si="355"/>
        <v>0</v>
      </c>
      <c r="CC447" s="10">
        <f t="shared" si="355"/>
        <v>0</v>
      </c>
      <c r="CD447" s="10">
        <f t="shared" si="355"/>
        <v>0</v>
      </c>
      <c r="CE447" s="10">
        <f t="shared" si="355"/>
        <v>0</v>
      </c>
      <c r="CF447" s="10">
        <f t="shared" si="355"/>
        <v>0</v>
      </c>
      <c r="CG447" s="10">
        <f t="shared" si="355"/>
        <v>0</v>
      </c>
      <c r="CH447" s="10">
        <f t="shared" si="355"/>
        <v>0</v>
      </c>
      <c r="CI447" s="10">
        <f t="shared" si="355"/>
        <v>0</v>
      </c>
      <c r="CK447" s="11"/>
      <c r="CM447" s="11"/>
      <c r="DF447" s="11"/>
      <c r="EY447" s="10" t="str">
        <f t="shared" si="339"/>
        <v/>
      </c>
    </row>
    <row r="448" spans="1:155" x14ac:dyDescent="0.35">
      <c r="B448" s="69" t="str" cm="1">
        <f t="array" aca="1" ref="B448" ca="1">HYPERLINK(CONCATENATE("#",CELL("address",$D$208)),$D$208)</f>
        <v>Loan 9</v>
      </c>
      <c r="C448" s="211"/>
      <c r="D448" s="49">
        <f>D$21</f>
        <v>0</v>
      </c>
      <c r="E448" s="49" t="str">
        <f>F$21</f>
        <v/>
      </c>
      <c r="F448" s="49"/>
      <c r="H448" s="9" t="s">
        <v>1074</v>
      </c>
      <c r="I448" s="40" t="s">
        <v>665</v>
      </c>
      <c r="V448" s="133">
        <f>V$209</f>
        <v>0</v>
      </c>
      <c r="W448" s="10">
        <f>W$209</f>
        <v>0</v>
      </c>
      <c r="X448" s="10">
        <f>X$209</f>
        <v>0</v>
      </c>
      <c r="Y448" s="10">
        <f>Y$209</f>
        <v>0</v>
      </c>
      <c r="AA448" s="10">
        <f t="shared" ref="AA448:BV448" si="356">AA$209</f>
        <v>0</v>
      </c>
      <c r="AB448" s="10">
        <f t="shared" si="356"/>
        <v>0</v>
      </c>
      <c r="AC448" s="10">
        <f t="shared" si="356"/>
        <v>0</v>
      </c>
      <c r="AD448" s="10">
        <f t="shared" si="356"/>
        <v>0</v>
      </c>
      <c r="AE448" s="10">
        <f t="shared" si="356"/>
        <v>0</v>
      </c>
      <c r="AF448" s="10">
        <f t="shared" si="356"/>
        <v>0</v>
      </c>
      <c r="AG448" s="10">
        <f t="shared" si="356"/>
        <v>0</v>
      </c>
      <c r="AH448" s="10">
        <f t="shared" si="356"/>
        <v>0</v>
      </c>
      <c r="AI448" s="10">
        <f t="shared" si="356"/>
        <v>0</v>
      </c>
      <c r="AJ448" s="10">
        <f t="shared" si="356"/>
        <v>0</v>
      </c>
      <c r="AK448" s="10">
        <f t="shared" si="356"/>
        <v>0</v>
      </c>
      <c r="AL448" s="10">
        <f t="shared" si="356"/>
        <v>0</v>
      </c>
      <c r="AM448" s="10">
        <f t="shared" si="356"/>
        <v>0</v>
      </c>
      <c r="AN448" s="10">
        <f t="shared" si="356"/>
        <v>0</v>
      </c>
      <c r="AO448" s="10">
        <f t="shared" si="356"/>
        <v>0</v>
      </c>
      <c r="AP448" s="10">
        <f t="shared" si="356"/>
        <v>0</v>
      </c>
      <c r="AQ448" s="10">
        <f t="shared" si="356"/>
        <v>0</v>
      </c>
      <c r="AR448" s="10">
        <f t="shared" si="356"/>
        <v>0</v>
      </c>
      <c r="AS448" s="10">
        <f t="shared" si="356"/>
        <v>0</v>
      </c>
      <c r="AT448" s="10">
        <f t="shared" si="356"/>
        <v>0</v>
      </c>
      <c r="AU448" s="10">
        <f t="shared" si="356"/>
        <v>0</v>
      </c>
      <c r="AV448" s="10">
        <f t="shared" si="356"/>
        <v>0</v>
      </c>
      <c r="AW448" s="10">
        <f t="shared" si="356"/>
        <v>0</v>
      </c>
      <c r="AX448" s="10">
        <f t="shared" si="356"/>
        <v>0</v>
      </c>
      <c r="AY448" s="10">
        <f t="shared" si="356"/>
        <v>0</v>
      </c>
      <c r="AZ448" s="10">
        <f t="shared" si="356"/>
        <v>0</v>
      </c>
      <c r="BA448" s="10">
        <f t="shared" si="356"/>
        <v>0</v>
      </c>
      <c r="BB448" s="10">
        <f t="shared" si="356"/>
        <v>0</v>
      </c>
      <c r="BC448" s="10">
        <f t="shared" si="356"/>
        <v>0</v>
      </c>
      <c r="BD448" s="10">
        <f t="shared" si="356"/>
        <v>0</v>
      </c>
      <c r="BE448" s="10">
        <f t="shared" si="356"/>
        <v>0</v>
      </c>
      <c r="BF448" s="10">
        <f t="shared" si="356"/>
        <v>0</v>
      </c>
      <c r="BG448" s="10">
        <f t="shared" si="356"/>
        <v>0</v>
      </c>
      <c r="BH448" s="10">
        <f t="shared" si="356"/>
        <v>0</v>
      </c>
      <c r="BI448" s="10">
        <f t="shared" si="356"/>
        <v>0</v>
      </c>
      <c r="BJ448" s="10">
        <f t="shared" si="356"/>
        <v>0</v>
      </c>
      <c r="BK448" s="10">
        <f t="shared" si="356"/>
        <v>0</v>
      </c>
      <c r="BL448" s="10">
        <f t="shared" si="356"/>
        <v>0</v>
      </c>
      <c r="BM448" s="10">
        <f t="shared" si="356"/>
        <v>0</v>
      </c>
      <c r="BN448" s="10">
        <f t="shared" si="356"/>
        <v>0</v>
      </c>
      <c r="BO448" s="10">
        <f t="shared" si="356"/>
        <v>0</v>
      </c>
      <c r="BP448" s="10">
        <f t="shared" si="356"/>
        <v>0</v>
      </c>
      <c r="BQ448" s="10">
        <f t="shared" si="356"/>
        <v>0</v>
      </c>
      <c r="BR448" s="10">
        <f t="shared" si="356"/>
        <v>0</v>
      </c>
      <c r="BS448" s="10">
        <f t="shared" si="356"/>
        <v>0</v>
      </c>
      <c r="BT448" s="10">
        <f t="shared" si="356"/>
        <v>0</v>
      </c>
      <c r="BU448" s="10">
        <f t="shared" si="356"/>
        <v>0</v>
      </c>
      <c r="BV448" s="10">
        <f t="shared" si="356"/>
        <v>0</v>
      </c>
      <c r="BX448" s="10">
        <f t="shared" ref="BX448:CI448" si="357">BX$209</f>
        <v>0</v>
      </c>
      <c r="BY448" s="10">
        <f t="shared" si="357"/>
        <v>0</v>
      </c>
      <c r="BZ448" s="10">
        <f t="shared" si="357"/>
        <v>0</v>
      </c>
      <c r="CA448" s="10">
        <f t="shared" si="357"/>
        <v>0</v>
      </c>
      <c r="CB448" s="10">
        <f t="shared" si="357"/>
        <v>0</v>
      </c>
      <c r="CC448" s="10">
        <f t="shared" si="357"/>
        <v>0</v>
      </c>
      <c r="CD448" s="10">
        <f t="shared" si="357"/>
        <v>0</v>
      </c>
      <c r="CE448" s="10">
        <f t="shared" si="357"/>
        <v>0</v>
      </c>
      <c r="CF448" s="10">
        <f t="shared" si="357"/>
        <v>0</v>
      </c>
      <c r="CG448" s="10">
        <f t="shared" si="357"/>
        <v>0</v>
      </c>
      <c r="CH448" s="10">
        <f t="shared" si="357"/>
        <v>0</v>
      </c>
      <c r="CI448" s="10">
        <f t="shared" si="357"/>
        <v>0</v>
      </c>
      <c r="CK448" s="11"/>
      <c r="CM448" s="11"/>
      <c r="DF448" s="11"/>
      <c r="EY448" s="10" t="str">
        <f t="shared" si="339"/>
        <v/>
      </c>
    </row>
    <row r="449" spans="1:155" x14ac:dyDescent="0.35">
      <c r="B449" s="69" t="str" cm="1">
        <f t="array" aca="1" ref="B449" ca="1">HYPERLINK(CONCATENATE("#",CELL("address",$D$227)),$D$227)</f>
        <v>Loan 10</v>
      </c>
      <c r="C449" s="211"/>
      <c r="D449" s="49">
        <f>D$22</f>
        <v>0</v>
      </c>
      <c r="E449" s="49" t="str">
        <f>F$22</f>
        <v/>
      </c>
      <c r="F449" s="49"/>
      <c r="H449" s="9" t="s">
        <v>1074</v>
      </c>
      <c r="I449" s="40" t="s">
        <v>665</v>
      </c>
      <c r="V449" s="133">
        <f>V$228</f>
        <v>0</v>
      </c>
      <c r="W449" s="10">
        <f>W$228</f>
        <v>0</v>
      </c>
      <c r="X449" s="10">
        <f>X$228</f>
        <v>0</v>
      </c>
      <c r="Y449" s="10">
        <f>Y$228</f>
        <v>0</v>
      </c>
      <c r="AA449" s="10">
        <f t="shared" ref="AA449:BV449" si="358">AA$228</f>
        <v>0</v>
      </c>
      <c r="AB449" s="10">
        <f t="shared" si="358"/>
        <v>0</v>
      </c>
      <c r="AC449" s="10">
        <f t="shared" si="358"/>
        <v>0</v>
      </c>
      <c r="AD449" s="10">
        <f t="shared" si="358"/>
        <v>0</v>
      </c>
      <c r="AE449" s="10">
        <f t="shared" si="358"/>
        <v>0</v>
      </c>
      <c r="AF449" s="10">
        <f t="shared" si="358"/>
        <v>0</v>
      </c>
      <c r="AG449" s="10">
        <f t="shared" si="358"/>
        <v>0</v>
      </c>
      <c r="AH449" s="10">
        <f t="shared" si="358"/>
        <v>0</v>
      </c>
      <c r="AI449" s="10">
        <f t="shared" si="358"/>
        <v>0</v>
      </c>
      <c r="AJ449" s="10">
        <f t="shared" si="358"/>
        <v>0</v>
      </c>
      <c r="AK449" s="10">
        <f t="shared" si="358"/>
        <v>0</v>
      </c>
      <c r="AL449" s="10">
        <f t="shared" si="358"/>
        <v>0</v>
      </c>
      <c r="AM449" s="10">
        <f t="shared" si="358"/>
        <v>0</v>
      </c>
      <c r="AN449" s="10">
        <f t="shared" si="358"/>
        <v>0</v>
      </c>
      <c r="AO449" s="10">
        <f t="shared" si="358"/>
        <v>0</v>
      </c>
      <c r="AP449" s="10">
        <f t="shared" si="358"/>
        <v>0</v>
      </c>
      <c r="AQ449" s="10">
        <f t="shared" si="358"/>
        <v>0</v>
      </c>
      <c r="AR449" s="10">
        <f t="shared" si="358"/>
        <v>0</v>
      </c>
      <c r="AS449" s="10">
        <f t="shared" si="358"/>
        <v>0</v>
      </c>
      <c r="AT449" s="10">
        <f t="shared" si="358"/>
        <v>0</v>
      </c>
      <c r="AU449" s="10">
        <f t="shared" si="358"/>
        <v>0</v>
      </c>
      <c r="AV449" s="10">
        <f t="shared" si="358"/>
        <v>0</v>
      </c>
      <c r="AW449" s="10">
        <f t="shared" si="358"/>
        <v>0</v>
      </c>
      <c r="AX449" s="10">
        <f t="shared" si="358"/>
        <v>0</v>
      </c>
      <c r="AY449" s="10">
        <f t="shared" si="358"/>
        <v>0</v>
      </c>
      <c r="AZ449" s="10">
        <f t="shared" si="358"/>
        <v>0</v>
      </c>
      <c r="BA449" s="10">
        <f t="shared" si="358"/>
        <v>0</v>
      </c>
      <c r="BB449" s="10">
        <f t="shared" si="358"/>
        <v>0</v>
      </c>
      <c r="BC449" s="10">
        <f t="shared" si="358"/>
        <v>0</v>
      </c>
      <c r="BD449" s="10">
        <f t="shared" si="358"/>
        <v>0</v>
      </c>
      <c r="BE449" s="10">
        <f t="shared" si="358"/>
        <v>0</v>
      </c>
      <c r="BF449" s="10">
        <f t="shared" si="358"/>
        <v>0</v>
      </c>
      <c r="BG449" s="10">
        <f t="shared" si="358"/>
        <v>0</v>
      </c>
      <c r="BH449" s="10">
        <f t="shared" si="358"/>
        <v>0</v>
      </c>
      <c r="BI449" s="10">
        <f t="shared" si="358"/>
        <v>0</v>
      </c>
      <c r="BJ449" s="10">
        <f t="shared" si="358"/>
        <v>0</v>
      </c>
      <c r="BK449" s="10">
        <f t="shared" si="358"/>
        <v>0</v>
      </c>
      <c r="BL449" s="10">
        <f t="shared" si="358"/>
        <v>0</v>
      </c>
      <c r="BM449" s="10">
        <f t="shared" si="358"/>
        <v>0</v>
      </c>
      <c r="BN449" s="10">
        <f t="shared" si="358"/>
        <v>0</v>
      </c>
      <c r="BO449" s="10">
        <f t="shared" si="358"/>
        <v>0</v>
      </c>
      <c r="BP449" s="10">
        <f t="shared" si="358"/>
        <v>0</v>
      </c>
      <c r="BQ449" s="10">
        <f t="shared" si="358"/>
        <v>0</v>
      </c>
      <c r="BR449" s="10">
        <f t="shared" si="358"/>
        <v>0</v>
      </c>
      <c r="BS449" s="10">
        <f t="shared" si="358"/>
        <v>0</v>
      </c>
      <c r="BT449" s="10">
        <f t="shared" si="358"/>
        <v>0</v>
      </c>
      <c r="BU449" s="10">
        <f t="shared" si="358"/>
        <v>0</v>
      </c>
      <c r="BV449" s="10">
        <f t="shared" si="358"/>
        <v>0</v>
      </c>
      <c r="BX449" s="10">
        <f t="shared" ref="BX449:CI449" si="359">BX$228</f>
        <v>0</v>
      </c>
      <c r="BY449" s="10">
        <f t="shared" si="359"/>
        <v>0</v>
      </c>
      <c r="BZ449" s="10">
        <f t="shared" si="359"/>
        <v>0</v>
      </c>
      <c r="CA449" s="10">
        <f t="shared" si="359"/>
        <v>0</v>
      </c>
      <c r="CB449" s="10">
        <f t="shared" si="359"/>
        <v>0</v>
      </c>
      <c r="CC449" s="10">
        <f t="shared" si="359"/>
        <v>0</v>
      </c>
      <c r="CD449" s="10">
        <f t="shared" si="359"/>
        <v>0</v>
      </c>
      <c r="CE449" s="10">
        <f t="shared" si="359"/>
        <v>0</v>
      </c>
      <c r="CF449" s="10">
        <f t="shared" si="359"/>
        <v>0</v>
      </c>
      <c r="CG449" s="10">
        <f t="shared" si="359"/>
        <v>0</v>
      </c>
      <c r="CH449" s="10">
        <f t="shared" si="359"/>
        <v>0</v>
      </c>
      <c r="CI449" s="10">
        <f t="shared" si="359"/>
        <v>0</v>
      </c>
      <c r="CK449" s="11"/>
      <c r="CM449" s="11"/>
      <c r="DF449" s="11"/>
      <c r="EY449" s="10" t="str">
        <f t="shared" si="339"/>
        <v/>
      </c>
    </row>
    <row r="450" spans="1:155" x14ac:dyDescent="0.35">
      <c r="B450" s="69" t="str" cm="1">
        <f t="array" aca="1" ref="B450" ca="1">HYPERLINK(CONCATENATE("#",CELL("address",$D$246)),$D$246)</f>
        <v>Loan 11</v>
      </c>
      <c r="C450" s="211"/>
      <c r="D450" s="49">
        <f>D$23</f>
        <v>0</v>
      </c>
      <c r="E450" s="49" t="str">
        <f>F$23</f>
        <v/>
      </c>
      <c r="F450" s="49"/>
      <c r="H450" s="9" t="s">
        <v>1074</v>
      </c>
      <c r="I450" s="40" t="s">
        <v>665</v>
      </c>
      <c r="V450" s="133">
        <f>V$247</f>
        <v>0</v>
      </c>
      <c r="W450" s="10">
        <f>W$247</f>
        <v>0</v>
      </c>
      <c r="X450" s="10">
        <f>X$247</f>
        <v>0</v>
      </c>
      <c r="Y450" s="10">
        <f>Y$247</f>
        <v>0</v>
      </c>
      <c r="AA450" s="10">
        <f t="shared" ref="AA450:BV450" si="360">AA$247</f>
        <v>0</v>
      </c>
      <c r="AB450" s="10">
        <f t="shared" si="360"/>
        <v>0</v>
      </c>
      <c r="AC450" s="10">
        <f t="shared" si="360"/>
        <v>0</v>
      </c>
      <c r="AD450" s="10">
        <f t="shared" si="360"/>
        <v>0</v>
      </c>
      <c r="AE450" s="10">
        <f t="shared" si="360"/>
        <v>0</v>
      </c>
      <c r="AF450" s="10">
        <f t="shared" si="360"/>
        <v>0</v>
      </c>
      <c r="AG450" s="10">
        <f t="shared" si="360"/>
        <v>0</v>
      </c>
      <c r="AH450" s="10">
        <f t="shared" si="360"/>
        <v>0</v>
      </c>
      <c r="AI450" s="10">
        <f t="shared" si="360"/>
        <v>0</v>
      </c>
      <c r="AJ450" s="10">
        <f t="shared" si="360"/>
        <v>0</v>
      </c>
      <c r="AK450" s="10">
        <f t="shared" si="360"/>
        <v>0</v>
      </c>
      <c r="AL450" s="10">
        <f t="shared" si="360"/>
        <v>0</v>
      </c>
      <c r="AM450" s="10">
        <f t="shared" si="360"/>
        <v>0</v>
      </c>
      <c r="AN450" s="10">
        <f t="shared" si="360"/>
        <v>0</v>
      </c>
      <c r="AO450" s="10">
        <f t="shared" si="360"/>
        <v>0</v>
      </c>
      <c r="AP450" s="10">
        <f t="shared" si="360"/>
        <v>0</v>
      </c>
      <c r="AQ450" s="10">
        <f t="shared" si="360"/>
        <v>0</v>
      </c>
      <c r="AR450" s="10">
        <f t="shared" si="360"/>
        <v>0</v>
      </c>
      <c r="AS450" s="10">
        <f t="shared" si="360"/>
        <v>0</v>
      </c>
      <c r="AT450" s="10">
        <f t="shared" si="360"/>
        <v>0</v>
      </c>
      <c r="AU450" s="10">
        <f t="shared" si="360"/>
        <v>0</v>
      </c>
      <c r="AV450" s="10">
        <f t="shared" si="360"/>
        <v>0</v>
      </c>
      <c r="AW450" s="10">
        <f t="shared" si="360"/>
        <v>0</v>
      </c>
      <c r="AX450" s="10">
        <f t="shared" si="360"/>
        <v>0</v>
      </c>
      <c r="AY450" s="10">
        <f t="shared" si="360"/>
        <v>0</v>
      </c>
      <c r="AZ450" s="10">
        <f t="shared" si="360"/>
        <v>0</v>
      </c>
      <c r="BA450" s="10">
        <f t="shared" si="360"/>
        <v>0</v>
      </c>
      <c r="BB450" s="10">
        <f t="shared" si="360"/>
        <v>0</v>
      </c>
      <c r="BC450" s="10">
        <f t="shared" si="360"/>
        <v>0</v>
      </c>
      <c r="BD450" s="10">
        <f t="shared" si="360"/>
        <v>0</v>
      </c>
      <c r="BE450" s="10">
        <f t="shared" si="360"/>
        <v>0</v>
      </c>
      <c r="BF450" s="10">
        <f t="shared" si="360"/>
        <v>0</v>
      </c>
      <c r="BG450" s="10">
        <f t="shared" si="360"/>
        <v>0</v>
      </c>
      <c r="BH450" s="10">
        <f t="shared" si="360"/>
        <v>0</v>
      </c>
      <c r="BI450" s="10">
        <f t="shared" si="360"/>
        <v>0</v>
      </c>
      <c r="BJ450" s="10">
        <f t="shared" si="360"/>
        <v>0</v>
      </c>
      <c r="BK450" s="10">
        <f t="shared" si="360"/>
        <v>0</v>
      </c>
      <c r="BL450" s="10">
        <f t="shared" si="360"/>
        <v>0</v>
      </c>
      <c r="BM450" s="10">
        <f t="shared" si="360"/>
        <v>0</v>
      </c>
      <c r="BN450" s="10">
        <f t="shared" si="360"/>
        <v>0</v>
      </c>
      <c r="BO450" s="10">
        <f t="shared" si="360"/>
        <v>0</v>
      </c>
      <c r="BP450" s="10">
        <f t="shared" si="360"/>
        <v>0</v>
      </c>
      <c r="BQ450" s="10">
        <f t="shared" si="360"/>
        <v>0</v>
      </c>
      <c r="BR450" s="10">
        <f t="shared" si="360"/>
        <v>0</v>
      </c>
      <c r="BS450" s="10">
        <f t="shared" si="360"/>
        <v>0</v>
      </c>
      <c r="BT450" s="10">
        <f t="shared" si="360"/>
        <v>0</v>
      </c>
      <c r="BU450" s="10">
        <f t="shared" si="360"/>
        <v>0</v>
      </c>
      <c r="BV450" s="10">
        <f t="shared" si="360"/>
        <v>0</v>
      </c>
      <c r="BX450" s="10">
        <f t="shared" ref="BX450:CI450" si="361">BX$247</f>
        <v>0</v>
      </c>
      <c r="BY450" s="10">
        <f t="shared" si="361"/>
        <v>0</v>
      </c>
      <c r="BZ450" s="10">
        <f t="shared" si="361"/>
        <v>0</v>
      </c>
      <c r="CA450" s="10">
        <f t="shared" si="361"/>
        <v>0</v>
      </c>
      <c r="CB450" s="10">
        <f t="shared" si="361"/>
        <v>0</v>
      </c>
      <c r="CC450" s="10">
        <f t="shared" si="361"/>
        <v>0</v>
      </c>
      <c r="CD450" s="10">
        <f t="shared" si="361"/>
        <v>0</v>
      </c>
      <c r="CE450" s="10">
        <f t="shared" si="361"/>
        <v>0</v>
      </c>
      <c r="CF450" s="10">
        <f t="shared" si="361"/>
        <v>0</v>
      </c>
      <c r="CG450" s="10">
        <f t="shared" si="361"/>
        <v>0</v>
      </c>
      <c r="CH450" s="10">
        <f t="shared" si="361"/>
        <v>0</v>
      </c>
      <c r="CI450" s="10">
        <f t="shared" si="361"/>
        <v>0</v>
      </c>
      <c r="CK450" s="11"/>
      <c r="CM450" s="11"/>
      <c r="DF450" s="11"/>
      <c r="EY450" s="10" t="str">
        <f t="shared" si="339"/>
        <v/>
      </c>
    </row>
    <row r="451" spans="1:155" x14ac:dyDescent="0.35">
      <c r="B451" s="69" t="str" cm="1">
        <f t="array" aca="1" ref="B451" ca="1">HYPERLINK(CONCATENATE("#",CELL("address",$D$265)),$D$265)</f>
        <v>Loan 12</v>
      </c>
      <c r="C451" s="211"/>
      <c r="D451" s="49">
        <f>D$24</f>
        <v>0</v>
      </c>
      <c r="E451" s="49" t="str">
        <f>F$24</f>
        <v/>
      </c>
      <c r="F451" s="49"/>
      <c r="H451" s="9" t="s">
        <v>1074</v>
      </c>
      <c r="I451" s="40" t="s">
        <v>665</v>
      </c>
      <c r="V451" s="133">
        <f>V$266</f>
        <v>0</v>
      </c>
      <c r="W451" s="10">
        <f>W$266</f>
        <v>0</v>
      </c>
      <c r="X451" s="10">
        <f>X$266</f>
        <v>0</v>
      </c>
      <c r="Y451" s="10">
        <f>Y$266</f>
        <v>0</v>
      </c>
      <c r="AA451" s="10">
        <f t="shared" ref="AA451:BV451" si="362">AA$266</f>
        <v>0</v>
      </c>
      <c r="AB451" s="10">
        <f t="shared" si="362"/>
        <v>0</v>
      </c>
      <c r="AC451" s="10">
        <f t="shared" si="362"/>
        <v>0</v>
      </c>
      <c r="AD451" s="10">
        <f t="shared" si="362"/>
        <v>0</v>
      </c>
      <c r="AE451" s="10">
        <f t="shared" si="362"/>
        <v>0</v>
      </c>
      <c r="AF451" s="10">
        <f t="shared" si="362"/>
        <v>0</v>
      </c>
      <c r="AG451" s="10">
        <f t="shared" si="362"/>
        <v>0</v>
      </c>
      <c r="AH451" s="10">
        <f t="shared" si="362"/>
        <v>0</v>
      </c>
      <c r="AI451" s="10">
        <f t="shared" si="362"/>
        <v>0</v>
      </c>
      <c r="AJ451" s="10">
        <f t="shared" si="362"/>
        <v>0</v>
      </c>
      <c r="AK451" s="10">
        <f t="shared" si="362"/>
        <v>0</v>
      </c>
      <c r="AL451" s="10">
        <f t="shared" si="362"/>
        <v>0</v>
      </c>
      <c r="AM451" s="10">
        <f t="shared" si="362"/>
        <v>0</v>
      </c>
      <c r="AN451" s="10">
        <f t="shared" si="362"/>
        <v>0</v>
      </c>
      <c r="AO451" s="10">
        <f t="shared" si="362"/>
        <v>0</v>
      </c>
      <c r="AP451" s="10">
        <f t="shared" si="362"/>
        <v>0</v>
      </c>
      <c r="AQ451" s="10">
        <f t="shared" si="362"/>
        <v>0</v>
      </c>
      <c r="AR451" s="10">
        <f t="shared" si="362"/>
        <v>0</v>
      </c>
      <c r="AS451" s="10">
        <f t="shared" si="362"/>
        <v>0</v>
      </c>
      <c r="AT451" s="10">
        <f t="shared" si="362"/>
        <v>0</v>
      </c>
      <c r="AU451" s="10">
        <f t="shared" si="362"/>
        <v>0</v>
      </c>
      <c r="AV451" s="10">
        <f t="shared" si="362"/>
        <v>0</v>
      </c>
      <c r="AW451" s="10">
        <f t="shared" si="362"/>
        <v>0</v>
      </c>
      <c r="AX451" s="10">
        <f t="shared" si="362"/>
        <v>0</v>
      </c>
      <c r="AY451" s="10">
        <f t="shared" si="362"/>
        <v>0</v>
      </c>
      <c r="AZ451" s="10">
        <f t="shared" si="362"/>
        <v>0</v>
      </c>
      <c r="BA451" s="10">
        <f t="shared" si="362"/>
        <v>0</v>
      </c>
      <c r="BB451" s="10">
        <f t="shared" si="362"/>
        <v>0</v>
      </c>
      <c r="BC451" s="10">
        <f t="shared" si="362"/>
        <v>0</v>
      </c>
      <c r="BD451" s="10">
        <f t="shared" si="362"/>
        <v>0</v>
      </c>
      <c r="BE451" s="10">
        <f t="shared" si="362"/>
        <v>0</v>
      </c>
      <c r="BF451" s="10">
        <f t="shared" si="362"/>
        <v>0</v>
      </c>
      <c r="BG451" s="10">
        <f t="shared" si="362"/>
        <v>0</v>
      </c>
      <c r="BH451" s="10">
        <f t="shared" si="362"/>
        <v>0</v>
      </c>
      <c r="BI451" s="10">
        <f t="shared" si="362"/>
        <v>0</v>
      </c>
      <c r="BJ451" s="10">
        <f t="shared" si="362"/>
        <v>0</v>
      </c>
      <c r="BK451" s="10">
        <f t="shared" si="362"/>
        <v>0</v>
      </c>
      <c r="BL451" s="10">
        <f t="shared" si="362"/>
        <v>0</v>
      </c>
      <c r="BM451" s="10">
        <f t="shared" si="362"/>
        <v>0</v>
      </c>
      <c r="BN451" s="10">
        <f t="shared" si="362"/>
        <v>0</v>
      </c>
      <c r="BO451" s="10">
        <f t="shared" si="362"/>
        <v>0</v>
      </c>
      <c r="BP451" s="10">
        <f t="shared" si="362"/>
        <v>0</v>
      </c>
      <c r="BQ451" s="10">
        <f t="shared" si="362"/>
        <v>0</v>
      </c>
      <c r="BR451" s="10">
        <f t="shared" si="362"/>
        <v>0</v>
      </c>
      <c r="BS451" s="10">
        <f t="shared" si="362"/>
        <v>0</v>
      </c>
      <c r="BT451" s="10">
        <f t="shared" si="362"/>
        <v>0</v>
      </c>
      <c r="BU451" s="10">
        <f t="shared" si="362"/>
        <v>0</v>
      </c>
      <c r="BV451" s="10">
        <f t="shared" si="362"/>
        <v>0</v>
      </c>
      <c r="BX451" s="10">
        <f t="shared" ref="BX451:CI451" si="363">BX$266</f>
        <v>0</v>
      </c>
      <c r="BY451" s="10">
        <f t="shared" si="363"/>
        <v>0</v>
      </c>
      <c r="BZ451" s="10">
        <f t="shared" si="363"/>
        <v>0</v>
      </c>
      <c r="CA451" s="10">
        <f t="shared" si="363"/>
        <v>0</v>
      </c>
      <c r="CB451" s="10">
        <f t="shared" si="363"/>
        <v>0</v>
      </c>
      <c r="CC451" s="10">
        <f t="shared" si="363"/>
        <v>0</v>
      </c>
      <c r="CD451" s="10">
        <f t="shared" si="363"/>
        <v>0</v>
      </c>
      <c r="CE451" s="10">
        <f t="shared" si="363"/>
        <v>0</v>
      </c>
      <c r="CF451" s="10">
        <f t="shared" si="363"/>
        <v>0</v>
      </c>
      <c r="CG451" s="10">
        <f t="shared" si="363"/>
        <v>0</v>
      </c>
      <c r="CH451" s="10">
        <f t="shared" si="363"/>
        <v>0</v>
      </c>
      <c r="CI451" s="10">
        <f t="shared" si="363"/>
        <v>0</v>
      </c>
      <c r="CK451" s="11"/>
      <c r="CM451" s="11"/>
      <c r="DF451" s="11"/>
      <c r="EY451" s="10" t="str">
        <f t="shared" si="339"/>
        <v/>
      </c>
    </row>
    <row r="452" spans="1:155" x14ac:dyDescent="0.35">
      <c r="B452" s="69" t="str" cm="1">
        <f t="array" aca="1" ref="B452" ca="1">HYPERLINK(CONCATENATE("#",CELL("address",$D$284)),$D$284)</f>
        <v>Loan 13</v>
      </c>
      <c r="C452" s="211"/>
      <c r="D452" s="49">
        <f>D$25</f>
        <v>0</v>
      </c>
      <c r="E452" s="49" t="str">
        <f>F$25</f>
        <v/>
      </c>
      <c r="F452" s="49"/>
      <c r="H452" s="9" t="s">
        <v>1074</v>
      </c>
      <c r="I452" s="40" t="s">
        <v>665</v>
      </c>
      <c r="V452" s="133">
        <f>V$285</f>
        <v>0</v>
      </c>
      <c r="W452" s="10">
        <f>W$285</f>
        <v>0</v>
      </c>
      <c r="X452" s="10">
        <f>X$285</f>
        <v>0</v>
      </c>
      <c r="Y452" s="10">
        <f>Y$285</f>
        <v>0</v>
      </c>
      <c r="AA452" s="10">
        <f t="shared" ref="AA452:BV452" si="364">AA$285</f>
        <v>0</v>
      </c>
      <c r="AB452" s="10">
        <f t="shared" si="364"/>
        <v>0</v>
      </c>
      <c r="AC452" s="10">
        <f t="shared" si="364"/>
        <v>0</v>
      </c>
      <c r="AD452" s="10">
        <f t="shared" si="364"/>
        <v>0</v>
      </c>
      <c r="AE452" s="10">
        <f t="shared" si="364"/>
        <v>0</v>
      </c>
      <c r="AF452" s="10">
        <f t="shared" si="364"/>
        <v>0</v>
      </c>
      <c r="AG452" s="10">
        <f t="shared" si="364"/>
        <v>0</v>
      </c>
      <c r="AH452" s="10">
        <f t="shared" si="364"/>
        <v>0</v>
      </c>
      <c r="AI452" s="10">
        <f t="shared" si="364"/>
        <v>0</v>
      </c>
      <c r="AJ452" s="10">
        <f t="shared" si="364"/>
        <v>0</v>
      </c>
      <c r="AK452" s="10">
        <f t="shared" si="364"/>
        <v>0</v>
      </c>
      <c r="AL452" s="10">
        <f t="shared" si="364"/>
        <v>0</v>
      </c>
      <c r="AM452" s="10">
        <f t="shared" si="364"/>
        <v>0</v>
      </c>
      <c r="AN452" s="10">
        <f t="shared" si="364"/>
        <v>0</v>
      </c>
      <c r="AO452" s="10">
        <f t="shared" si="364"/>
        <v>0</v>
      </c>
      <c r="AP452" s="10">
        <f t="shared" si="364"/>
        <v>0</v>
      </c>
      <c r="AQ452" s="10">
        <f t="shared" si="364"/>
        <v>0</v>
      </c>
      <c r="AR452" s="10">
        <f t="shared" si="364"/>
        <v>0</v>
      </c>
      <c r="AS452" s="10">
        <f t="shared" si="364"/>
        <v>0</v>
      </c>
      <c r="AT452" s="10">
        <f t="shared" si="364"/>
        <v>0</v>
      </c>
      <c r="AU452" s="10">
        <f t="shared" si="364"/>
        <v>0</v>
      </c>
      <c r="AV452" s="10">
        <f t="shared" si="364"/>
        <v>0</v>
      </c>
      <c r="AW452" s="10">
        <f t="shared" si="364"/>
        <v>0</v>
      </c>
      <c r="AX452" s="10">
        <f t="shared" si="364"/>
        <v>0</v>
      </c>
      <c r="AY452" s="10">
        <f t="shared" si="364"/>
        <v>0</v>
      </c>
      <c r="AZ452" s="10">
        <f t="shared" si="364"/>
        <v>0</v>
      </c>
      <c r="BA452" s="10">
        <f t="shared" si="364"/>
        <v>0</v>
      </c>
      <c r="BB452" s="10">
        <f t="shared" si="364"/>
        <v>0</v>
      </c>
      <c r="BC452" s="10">
        <f t="shared" si="364"/>
        <v>0</v>
      </c>
      <c r="BD452" s="10">
        <f t="shared" si="364"/>
        <v>0</v>
      </c>
      <c r="BE452" s="10">
        <f t="shared" si="364"/>
        <v>0</v>
      </c>
      <c r="BF452" s="10">
        <f t="shared" si="364"/>
        <v>0</v>
      </c>
      <c r="BG452" s="10">
        <f t="shared" si="364"/>
        <v>0</v>
      </c>
      <c r="BH452" s="10">
        <f t="shared" si="364"/>
        <v>0</v>
      </c>
      <c r="BI452" s="10">
        <f t="shared" si="364"/>
        <v>0</v>
      </c>
      <c r="BJ452" s="10">
        <f t="shared" si="364"/>
        <v>0</v>
      </c>
      <c r="BK452" s="10">
        <f t="shared" si="364"/>
        <v>0</v>
      </c>
      <c r="BL452" s="10">
        <f t="shared" si="364"/>
        <v>0</v>
      </c>
      <c r="BM452" s="10">
        <f t="shared" si="364"/>
        <v>0</v>
      </c>
      <c r="BN452" s="10">
        <f t="shared" si="364"/>
        <v>0</v>
      </c>
      <c r="BO452" s="10">
        <f t="shared" si="364"/>
        <v>0</v>
      </c>
      <c r="BP452" s="10">
        <f t="shared" si="364"/>
        <v>0</v>
      </c>
      <c r="BQ452" s="10">
        <f t="shared" si="364"/>
        <v>0</v>
      </c>
      <c r="BR452" s="10">
        <f t="shared" si="364"/>
        <v>0</v>
      </c>
      <c r="BS452" s="10">
        <f t="shared" si="364"/>
        <v>0</v>
      </c>
      <c r="BT452" s="10">
        <f t="shared" si="364"/>
        <v>0</v>
      </c>
      <c r="BU452" s="10">
        <f t="shared" si="364"/>
        <v>0</v>
      </c>
      <c r="BV452" s="10">
        <f t="shared" si="364"/>
        <v>0</v>
      </c>
      <c r="BX452" s="10">
        <f t="shared" ref="BX452:CI452" si="365">BX$285</f>
        <v>0</v>
      </c>
      <c r="BY452" s="10">
        <f t="shared" si="365"/>
        <v>0</v>
      </c>
      <c r="BZ452" s="10">
        <f t="shared" si="365"/>
        <v>0</v>
      </c>
      <c r="CA452" s="10">
        <f t="shared" si="365"/>
        <v>0</v>
      </c>
      <c r="CB452" s="10">
        <f t="shared" si="365"/>
        <v>0</v>
      </c>
      <c r="CC452" s="10">
        <f t="shared" si="365"/>
        <v>0</v>
      </c>
      <c r="CD452" s="10">
        <f t="shared" si="365"/>
        <v>0</v>
      </c>
      <c r="CE452" s="10">
        <f t="shared" si="365"/>
        <v>0</v>
      </c>
      <c r="CF452" s="10">
        <f t="shared" si="365"/>
        <v>0</v>
      </c>
      <c r="CG452" s="10">
        <f t="shared" si="365"/>
        <v>0</v>
      </c>
      <c r="CH452" s="10">
        <f t="shared" si="365"/>
        <v>0</v>
      </c>
      <c r="CI452" s="10">
        <f t="shared" si="365"/>
        <v>0</v>
      </c>
      <c r="CK452" s="11"/>
      <c r="CM452" s="11"/>
      <c r="DF452" s="11"/>
      <c r="EY452" s="10" t="str">
        <f t="shared" si="339"/>
        <v/>
      </c>
    </row>
    <row r="453" spans="1:155" s="5" customFormat="1" x14ac:dyDescent="0.35">
      <c r="A453"/>
      <c r="B453" s="69" t="str" cm="1">
        <f t="array" aca="1" ref="B453" ca="1">HYPERLINK(CONCATENATE("#",CELL("address",$D$303)),$D$303)</f>
        <v>Loan 14</v>
      </c>
      <c r="C453" s="211"/>
      <c r="D453" s="49">
        <f>D$26</f>
        <v>0</v>
      </c>
      <c r="E453" s="49" t="str">
        <f>F$26</f>
        <v/>
      </c>
      <c r="F453" s="49"/>
      <c r="G453"/>
      <c r="H453" s="9" t="s">
        <v>1074</v>
      </c>
      <c r="I453" s="40" t="s">
        <v>665</v>
      </c>
      <c r="J453"/>
      <c r="K453"/>
      <c r="L453"/>
      <c r="M453"/>
      <c r="N453"/>
      <c r="O453"/>
      <c r="P453"/>
      <c r="Q453"/>
      <c r="R453"/>
      <c r="S453"/>
      <c r="T453"/>
      <c r="U453"/>
      <c r="V453" s="133">
        <f>V$304</f>
        <v>0</v>
      </c>
      <c r="W453" s="10">
        <f>W$304</f>
        <v>0</v>
      </c>
      <c r="X453" s="10">
        <f>X$304</f>
        <v>0</v>
      </c>
      <c r="Y453" s="10">
        <f>Y$304</f>
        <v>0</v>
      </c>
      <c r="Z453"/>
      <c r="AA453" s="10">
        <f t="shared" ref="AA453:BV453" si="366">AA$304</f>
        <v>0</v>
      </c>
      <c r="AB453" s="10">
        <f t="shared" si="366"/>
        <v>0</v>
      </c>
      <c r="AC453" s="10">
        <f t="shared" si="366"/>
        <v>0</v>
      </c>
      <c r="AD453" s="10">
        <f t="shared" si="366"/>
        <v>0</v>
      </c>
      <c r="AE453" s="10">
        <f t="shared" si="366"/>
        <v>0</v>
      </c>
      <c r="AF453" s="10">
        <f t="shared" si="366"/>
        <v>0</v>
      </c>
      <c r="AG453" s="10">
        <f t="shared" si="366"/>
        <v>0</v>
      </c>
      <c r="AH453" s="10">
        <f t="shared" si="366"/>
        <v>0</v>
      </c>
      <c r="AI453" s="10">
        <f t="shared" si="366"/>
        <v>0</v>
      </c>
      <c r="AJ453" s="10">
        <f t="shared" si="366"/>
        <v>0</v>
      </c>
      <c r="AK453" s="10">
        <f t="shared" si="366"/>
        <v>0</v>
      </c>
      <c r="AL453" s="10">
        <f t="shared" si="366"/>
        <v>0</v>
      </c>
      <c r="AM453" s="10">
        <f t="shared" si="366"/>
        <v>0</v>
      </c>
      <c r="AN453" s="10">
        <f t="shared" si="366"/>
        <v>0</v>
      </c>
      <c r="AO453" s="10">
        <f t="shared" si="366"/>
        <v>0</v>
      </c>
      <c r="AP453" s="10">
        <f t="shared" si="366"/>
        <v>0</v>
      </c>
      <c r="AQ453" s="10">
        <f t="shared" si="366"/>
        <v>0</v>
      </c>
      <c r="AR453" s="10">
        <f t="shared" si="366"/>
        <v>0</v>
      </c>
      <c r="AS453" s="10">
        <f t="shared" si="366"/>
        <v>0</v>
      </c>
      <c r="AT453" s="10">
        <f t="shared" si="366"/>
        <v>0</v>
      </c>
      <c r="AU453" s="10">
        <f t="shared" si="366"/>
        <v>0</v>
      </c>
      <c r="AV453" s="10">
        <f t="shared" si="366"/>
        <v>0</v>
      </c>
      <c r="AW453" s="10">
        <f t="shared" si="366"/>
        <v>0</v>
      </c>
      <c r="AX453" s="10">
        <f t="shared" si="366"/>
        <v>0</v>
      </c>
      <c r="AY453" s="10">
        <f t="shared" si="366"/>
        <v>0</v>
      </c>
      <c r="AZ453" s="10">
        <f t="shared" si="366"/>
        <v>0</v>
      </c>
      <c r="BA453" s="10">
        <f t="shared" si="366"/>
        <v>0</v>
      </c>
      <c r="BB453" s="10">
        <f t="shared" si="366"/>
        <v>0</v>
      </c>
      <c r="BC453" s="10">
        <f t="shared" si="366"/>
        <v>0</v>
      </c>
      <c r="BD453" s="10">
        <f t="shared" si="366"/>
        <v>0</v>
      </c>
      <c r="BE453" s="10">
        <f t="shared" si="366"/>
        <v>0</v>
      </c>
      <c r="BF453" s="10">
        <f t="shared" si="366"/>
        <v>0</v>
      </c>
      <c r="BG453" s="10">
        <f t="shared" si="366"/>
        <v>0</v>
      </c>
      <c r="BH453" s="10">
        <f t="shared" si="366"/>
        <v>0</v>
      </c>
      <c r="BI453" s="10">
        <f t="shared" si="366"/>
        <v>0</v>
      </c>
      <c r="BJ453" s="10">
        <f t="shared" si="366"/>
        <v>0</v>
      </c>
      <c r="BK453" s="10">
        <f t="shared" si="366"/>
        <v>0</v>
      </c>
      <c r="BL453" s="10">
        <f t="shared" si="366"/>
        <v>0</v>
      </c>
      <c r="BM453" s="10">
        <f t="shared" si="366"/>
        <v>0</v>
      </c>
      <c r="BN453" s="10">
        <f t="shared" si="366"/>
        <v>0</v>
      </c>
      <c r="BO453" s="10">
        <f t="shared" si="366"/>
        <v>0</v>
      </c>
      <c r="BP453" s="10">
        <f t="shared" si="366"/>
        <v>0</v>
      </c>
      <c r="BQ453" s="10">
        <f t="shared" si="366"/>
        <v>0</v>
      </c>
      <c r="BR453" s="10">
        <f t="shared" si="366"/>
        <v>0</v>
      </c>
      <c r="BS453" s="10">
        <f t="shared" si="366"/>
        <v>0</v>
      </c>
      <c r="BT453" s="10">
        <f t="shared" si="366"/>
        <v>0</v>
      </c>
      <c r="BU453" s="10">
        <f t="shared" si="366"/>
        <v>0</v>
      </c>
      <c r="BV453" s="10">
        <f t="shared" si="366"/>
        <v>0</v>
      </c>
      <c r="BW453"/>
      <c r="BX453" s="10">
        <f t="shared" ref="BX453:CI453" si="367">BX$304</f>
        <v>0</v>
      </c>
      <c r="BY453" s="10">
        <f t="shared" si="367"/>
        <v>0</v>
      </c>
      <c r="BZ453" s="10">
        <f t="shared" si="367"/>
        <v>0</v>
      </c>
      <c r="CA453" s="10">
        <f t="shared" si="367"/>
        <v>0</v>
      </c>
      <c r="CB453" s="10">
        <f t="shared" si="367"/>
        <v>0</v>
      </c>
      <c r="CC453" s="10">
        <f t="shared" si="367"/>
        <v>0</v>
      </c>
      <c r="CD453" s="10">
        <f t="shared" si="367"/>
        <v>0</v>
      </c>
      <c r="CE453" s="10">
        <f t="shared" si="367"/>
        <v>0</v>
      </c>
      <c r="CF453" s="10">
        <f t="shared" si="367"/>
        <v>0</v>
      </c>
      <c r="CG453" s="10">
        <f t="shared" si="367"/>
        <v>0</v>
      </c>
      <c r="CH453" s="10">
        <f t="shared" si="367"/>
        <v>0</v>
      </c>
      <c r="CI453" s="10">
        <f t="shared" si="367"/>
        <v>0</v>
      </c>
      <c r="CJ453"/>
      <c r="CK453" s="11"/>
      <c r="CL453"/>
      <c r="CM453" s="11"/>
      <c r="CN453"/>
      <c r="CO453"/>
      <c r="CP453"/>
      <c r="CQ453"/>
      <c r="CR453"/>
      <c r="CS453"/>
      <c r="CT453"/>
      <c r="CU453"/>
      <c r="CV453"/>
      <c r="CW453"/>
      <c r="CX453"/>
      <c r="CY453"/>
      <c r="CZ453"/>
      <c r="DA453"/>
      <c r="DB453"/>
      <c r="DC453"/>
      <c r="DD453"/>
      <c r="DE453"/>
      <c r="DF453" s="11"/>
      <c r="EY453" s="10" t="str">
        <f t="shared" si="339"/>
        <v/>
      </c>
    </row>
    <row r="454" spans="1:155" x14ac:dyDescent="0.35">
      <c r="B454" s="69" t="str" cm="1">
        <f t="array" aca="1" ref="B454" ca="1">HYPERLINK(CONCATENATE("#",CELL("address",$D$322)),$D$322)</f>
        <v>Loan 15</v>
      </c>
      <c r="C454" s="211"/>
      <c r="D454" s="49">
        <f>D$27</f>
        <v>0</v>
      </c>
      <c r="E454" s="49" t="str">
        <f>F$27</f>
        <v/>
      </c>
      <c r="F454" s="49"/>
      <c r="H454" s="9" t="s">
        <v>1074</v>
      </c>
      <c r="I454" s="40" t="s">
        <v>665</v>
      </c>
      <c r="V454" s="133">
        <f>V$323</f>
        <v>0</v>
      </c>
      <c r="W454" s="10">
        <f>W$323</f>
        <v>0</v>
      </c>
      <c r="X454" s="10">
        <f>X$323</f>
        <v>0</v>
      </c>
      <c r="Y454" s="10">
        <f>Y$323</f>
        <v>0</v>
      </c>
      <c r="AA454" s="10">
        <f t="shared" ref="AA454:BV454" si="368">AA$323</f>
        <v>0</v>
      </c>
      <c r="AB454" s="10">
        <f t="shared" si="368"/>
        <v>0</v>
      </c>
      <c r="AC454" s="10">
        <f t="shared" si="368"/>
        <v>0</v>
      </c>
      <c r="AD454" s="10">
        <f t="shared" si="368"/>
        <v>0</v>
      </c>
      <c r="AE454" s="10">
        <f t="shared" si="368"/>
        <v>0</v>
      </c>
      <c r="AF454" s="10">
        <f t="shared" si="368"/>
        <v>0</v>
      </c>
      <c r="AG454" s="10">
        <f t="shared" si="368"/>
        <v>0</v>
      </c>
      <c r="AH454" s="10">
        <f t="shared" si="368"/>
        <v>0</v>
      </c>
      <c r="AI454" s="10">
        <f t="shared" si="368"/>
        <v>0</v>
      </c>
      <c r="AJ454" s="10">
        <f t="shared" si="368"/>
        <v>0</v>
      </c>
      <c r="AK454" s="10">
        <f t="shared" si="368"/>
        <v>0</v>
      </c>
      <c r="AL454" s="10">
        <f t="shared" si="368"/>
        <v>0</v>
      </c>
      <c r="AM454" s="10">
        <f t="shared" si="368"/>
        <v>0</v>
      </c>
      <c r="AN454" s="10">
        <f t="shared" si="368"/>
        <v>0</v>
      </c>
      <c r="AO454" s="10">
        <f t="shared" si="368"/>
        <v>0</v>
      </c>
      <c r="AP454" s="10">
        <f t="shared" si="368"/>
        <v>0</v>
      </c>
      <c r="AQ454" s="10">
        <f t="shared" si="368"/>
        <v>0</v>
      </c>
      <c r="AR454" s="10">
        <f t="shared" si="368"/>
        <v>0</v>
      </c>
      <c r="AS454" s="10">
        <f t="shared" si="368"/>
        <v>0</v>
      </c>
      <c r="AT454" s="10">
        <f t="shared" si="368"/>
        <v>0</v>
      </c>
      <c r="AU454" s="10">
        <f t="shared" si="368"/>
        <v>0</v>
      </c>
      <c r="AV454" s="10">
        <f t="shared" si="368"/>
        <v>0</v>
      </c>
      <c r="AW454" s="10">
        <f t="shared" si="368"/>
        <v>0</v>
      </c>
      <c r="AX454" s="10">
        <f t="shared" si="368"/>
        <v>0</v>
      </c>
      <c r="AY454" s="10">
        <f t="shared" si="368"/>
        <v>0</v>
      </c>
      <c r="AZ454" s="10">
        <f t="shared" si="368"/>
        <v>0</v>
      </c>
      <c r="BA454" s="10">
        <f t="shared" si="368"/>
        <v>0</v>
      </c>
      <c r="BB454" s="10">
        <f t="shared" si="368"/>
        <v>0</v>
      </c>
      <c r="BC454" s="10">
        <f t="shared" si="368"/>
        <v>0</v>
      </c>
      <c r="BD454" s="10">
        <f t="shared" si="368"/>
        <v>0</v>
      </c>
      <c r="BE454" s="10">
        <f t="shared" si="368"/>
        <v>0</v>
      </c>
      <c r="BF454" s="10">
        <f t="shared" si="368"/>
        <v>0</v>
      </c>
      <c r="BG454" s="10">
        <f t="shared" si="368"/>
        <v>0</v>
      </c>
      <c r="BH454" s="10">
        <f t="shared" si="368"/>
        <v>0</v>
      </c>
      <c r="BI454" s="10">
        <f t="shared" si="368"/>
        <v>0</v>
      </c>
      <c r="BJ454" s="10">
        <f t="shared" si="368"/>
        <v>0</v>
      </c>
      <c r="BK454" s="10">
        <f t="shared" si="368"/>
        <v>0</v>
      </c>
      <c r="BL454" s="10">
        <f t="shared" si="368"/>
        <v>0</v>
      </c>
      <c r="BM454" s="10">
        <f t="shared" si="368"/>
        <v>0</v>
      </c>
      <c r="BN454" s="10">
        <f t="shared" si="368"/>
        <v>0</v>
      </c>
      <c r="BO454" s="10">
        <f t="shared" si="368"/>
        <v>0</v>
      </c>
      <c r="BP454" s="10">
        <f t="shared" si="368"/>
        <v>0</v>
      </c>
      <c r="BQ454" s="10">
        <f t="shared" si="368"/>
        <v>0</v>
      </c>
      <c r="BR454" s="10">
        <f t="shared" si="368"/>
        <v>0</v>
      </c>
      <c r="BS454" s="10">
        <f t="shared" si="368"/>
        <v>0</v>
      </c>
      <c r="BT454" s="10">
        <f t="shared" si="368"/>
        <v>0</v>
      </c>
      <c r="BU454" s="10">
        <f t="shared" si="368"/>
        <v>0</v>
      </c>
      <c r="BV454" s="10">
        <f t="shared" si="368"/>
        <v>0</v>
      </c>
      <c r="BX454" s="10">
        <f t="shared" ref="BX454:CI454" si="369">BX$323</f>
        <v>0</v>
      </c>
      <c r="BY454" s="10">
        <f t="shared" si="369"/>
        <v>0</v>
      </c>
      <c r="BZ454" s="10">
        <f t="shared" si="369"/>
        <v>0</v>
      </c>
      <c r="CA454" s="10">
        <f t="shared" si="369"/>
        <v>0</v>
      </c>
      <c r="CB454" s="10">
        <f t="shared" si="369"/>
        <v>0</v>
      </c>
      <c r="CC454" s="10">
        <f t="shared" si="369"/>
        <v>0</v>
      </c>
      <c r="CD454" s="10">
        <f t="shared" si="369"/>
        <v>0</v>
      </c>
      <c r="CE454" s="10">
        <f t="shared" si="369"/>
        <v>0</v>
      </c>
      <c r="CF454" s="10">
        <f t="shared" si="369"/>
        <v>0</v>
      </c>
      <c r="CG454" s="10">
        <f t="shared" si="369"/>
        <v>0</v>
      </c>
      <c r="CH454" s="10">
        <f t="shared" si="369"/>
        <v>0</v>
      </c>
      <c r="CI454" s="10">
        <f t="shared" si="369"/>
        <v>0</v>
      </c>
      <c r="CK454" s="11"/>
      <c r="CM454" s="11"/>
      <c r="DF454" s="11"/>
      <c r="EY454" s="10" t="str">
        <f t="shared" si="339"/>
        <v/>
      </c>
    </row>
    <row r="455" spans="1:155" x14ac:dyDescent="0.35">
      <c r="B455" s="69" t="str" cm="1">
        <f t="array" aca="1" ref="B455" ca="1">HYPERLINK(CONCATENATE("#",CELL("address",$D$341)),$D$341)</f>
        <v>Loan 16</v>
      </c>
      <c r="C455" s="211"/>
      <c r="D455" s="49">
        <f>D$28</f>
        <v>0</v>
      </c>
      <c r="E455" s="49" t="str">
        <f>F$28</f>
        <v/>
      </c>
      <c r="F455" s="49"/>
      <c r="H455" s="9" t="s">
        <v>1074</v>
      </c>
      <c r="I455" s="40" t="s">
        <v>665</v>
      </c>
      <c r="V455" s="133">
        <f>V$342</f>
        <v>0</v>
      </c>
      <c r="W455" s="10">
        <f>W$342</f>
        <v>0</v>
      </c>
      <c r="X455" s="10">
        <f>X$342</f>
        <v>0</v>
      </c>
      <c r="Y455" s="10">
        <f>Y$342</f>
        <v>0</v>
      </c>
      <c r="AA455" s="10">
        <f t="shared" ref="AA455:BV455" si="370">AA$342</f>
        <v>0</v>
      </c>
      <c r="AB455" s="10">
        <f t="shared" si="370"/>
        <v>0</v>
      </c>
      <c r="AC455" s="10">
        <f t="shared" si="370"/>
        <v>0</v>
      </c>
      <c r="AD455" s="10">
        <f t="shared" si="370"/>
        <v>0</v>
      </c>
      <c r="AE455" s="10">
        <f t="shared" si="370"/>
        <v>0</v>
      </c>
      <c r="AF455" s="10">
        <f t="shared" si="370"/>
        <v>0</v>
      </c>
      <c r="AG455" s="10">
        <f t="shared" si="370"/>
        <v>0</v>
      </c>
      <c r="AH455" s="10">
        <f t="shared" si="370"/>
        <v>0</v>
      </c>
      <c r="AI455" s="10">
        <f t="shared" si="370"/>
        <v>0</v>
      </c>
      <c r="AJ455" s="10">
        <f t="shared" si="370"/>
        <v>0</v>
      </c>
      <c r="AK455" s="10">
        <f t="shared" si="370"/>
        <v>0</v>
      </c>
      <c r="AL455" s="10">
        <f t="shared" si="370"/>
        <v>0</v>
      </c>
      <c r="AM455" s="10">
        <f t="shared" si="370"/>
        <v>0</v>
      </c>
      <c r="AN455" s="10">
        <f t="shared" si="370"/>
        <v>0</v>
      </c>
      <c r="AO455" s="10">
        <f t="shared" si="370"/>
        <v>0</v>
      </c>
      <c r="AP455" s="10">
        <f t="shared" si="370"/>
        <v>0</v>
      </c>
      <c r="AQ455" s="10">
        <f t="shared" si="370"/>
        <v>0</v>
      </c>
      <c r="AR455" s="10">
        <f t="shared" si="370"/>
        <v>0</v>
      </c>
      <c r="AS455" s="10">
        <f t="shared" si="370"/>
        <v>0</v>
      </c>
      <c r="AT455" s="10">
        <f t="shared" si="370"/>
        <v>0</v>
      </c>
      <c r="AU455" s="10">
        <f t="shared" si="370"/>
        <v>0</v>
      </c>
      <c r="AV455" s="10">
        <f t="shared" si="370"/>
        <v>0</v>
      </c>
      <c r="AW455" s="10">
        <f t="shared" si="370"/>
        <v>0</v>
      </c>
      <c r="AX455" s="10">
        <f t="shared" si="370"/>
        <v>0</v>
      </c>
      <c r="AY455" s="10">
        <f t="shared" si="370"/>
        <v>0</v>
      </c>
      <c r="AZ455" s="10">
        <f t="shared" si="370"/>
        <v>0</v>
      </c>
      <c r="BA455" s="10">
        <f t="shared" si="370"/>
        <v>0</v>
      </c>
      <c r="BB455" s="10">
        <f t="shared" si="370"/>
        <v>0</v>
      </c>
      <c r="BC455" s="10">
        <f t="shared" si="370"/>
        <v>0</v>
      </c>
      <c r="BD455" s="10">
        <f t="shared" si="370"/>
        <v>0</v>
      </c>
      <c r="BE455" s="10">
        <f t="shared" si="370"/>
        <v>0</v>
      </c>
      <c r="BF455" s="10">
        <f t="shared" si="370"/>
        <v>0</v>
      </c>
      <c r="BG455" s="10">
        <f t="shared" si="370"/>
        <v>0</v>
      </c>
      <c r="BH455" s="10">
        <f t="shared" si="370"/>
        <v>0</v>
      </c>
      <c r="BI455" s="10">
        <f t="shared" si="370"/>
        <v>0</v>
      </c>
      <c r="BJ455" s="10">
        <f t="shared" si="370"/>
        <v>0</v>
      </c>
      <c r="BK455" s="10">
        <f t="shared" si="370"/>
        <v>0</v>
      </c>
      <c r="BL455" s="10">
        <f t="shared" si="370"/>
        <v>0</v>
      </c>
      <c r="BM455" s="10">
        <f t="shared" si="370"/>
        <v>0</v>
      </c>
      <c r="BN455" s="10">
        <f t="shared" si="370"/>
        <v>0</v>
      </c>
      <c r="BO455" s="10">
        <f t="shared" si="370"/>
        <v>0</v>
      </c>
      <c r="BP455" s="10">
        <f t="shared" si="370"/>
        <v>0</v>
      </c>
      <c r="BQ455" s="10">
        <f t="shared" si="370"/>
        <v>0</v>
      </c>
      <c r="BR455" s="10">
        <f t="shared" si="370"/>
        <v>0</v>
      </c>
      <c r="BS455" s="10">
        <f t="shared" si="370"/>
        <v>0</v>
      </c>
      <c r="BT455" s="10">
        <f t="shared" si="370"/>
        <v>0</v>
      </c>
      <c r="BU455" s="10">
        <f t="shared" si="370"/>
        <v>0</v>
      </c>
      <c r="BV455" s="10">
        <f t="shared" si="370"/>
        <v>0</v>
      </c>
      <c r="BX455" s="10">
        <f t="shared" ref="BX455:CI455" si="371">BX$342</f>
        <v>0</v>
      </c>
      <c r="BY455" s="10">
        <f t="shared" si="371"/>
        <v>0</v>
      </c>
      <c r="BZ455" s="10">
        <f t="shared" si="371"/>
        <v>0</v>
      </c>
      <c r="CA455" s="10">
        <f t="shared" si="371"/>
        <v>0</v>
      </c>
      <c r="CB455" s="10">
        <f t="shared" si="371"/>
        <v>0</v>
      </c>
      <c r="CC455" s="10">
        <f t="shared" si="371"/>
        <v>0</v>
      </c>
      <c r="CD455" s="10">
        <f t="shared" si="371"/>
        <v>0</v>
      </c>
      <c r="CE455" s="10">
        <f t="shared" si="371"/>
        <v>0</v>
      </c>
      <c r="CF455" s="10">
        <f t="shared" si="371"/>
        <v>0</v>
      </c>
      <c r="CG455" s="10">
        <f t="shared" si="371"/>
        <v>0</v>
      </c>
      <c r="CH455" s="10">
        <f t="shared" si="371"/>
        <v>0</v>
      </c>
      <c r="CI455" s="10">
        <f t="shared" si="371"/>
        <v>0</v>
      </c>
      <c r="CK455" s="11"/>
      <c r="CM455" s="11"/>
      <c r="DF455" s="11"/>
      <c r="EY455" s="10" t="str">
        <f t="shared" si="339"/>
        <v/>
      </c>
    </row>
    <row r="456" spans="1:155" x14ac:dyDescent="0.35">
      <c r="B456" s="69" t="str" cm="1">
        <f t="array" aca="1" ref="B456" ca="1">HYPERLINK(CONCATENATE("#",CELL("address",$D$360)),$D$360)</f>
        <v>Loan 17</v>
      </c>
      <c r="C456" s="211"/>
      <c r="D456" s="49">
        <f>D$29</f>
        <v>0</v>
      </c>
      <c r="E456" s="49" t="str">
        <f>F$29</f>
        <v/>
      </c>
      <c r="F456" s="49"/>
      <c r="H456" s="9" t="s">
        <v>1074</v>
      </c>
      <c r="I456" s="40" t="s">
        <v>665</v>
      </c>
      <c r="V456" s="133">
        <f>V$361</f>
        <v>0</v>
      </c>
      <c r="W456" s="10">
        <f>W$361</f>
        <v>0</v>
      </c>
      <c r="X456" s="10">
        <f>X$361</f>
        <v>0</v>
      </c>
      <c r="Y456" s="10">
        <f>Y$361</f>
        <v>0</v>
      </c>
      <c r="AA456" s="10">
        <f t="shared" ref="AA456:BV456" si="372">AA$361</f>
        <v>0</v>
      </c>
      <c r="AB456" s="10">
        <f t="shared" si="372"/>
        <v>0</v>
      </c>
      <c r="AC456" s="10">
        <f t="shared" si="372"/>
        <v>0</v>
      </c>
      <c r="AD456" s="10">
        <f t="shared" si="372"/>
        <v>0</v>
      </c>
      <c r="AE456" s="10">
        <f t="shared" si="372"/>
        <v>0</v>
      </c>
      <c r="AF456" s="10">
        <f t="shared" si="372"/>
        <v>0</v>
      </c>
      <c r="AG456" s="10">
        <f t="shared" si="372"/>
        <v>0</v>
      </c>
      <c r="AH456" s="10">
        <f t="shared" si="372"/>
        <v>0</v>
      </c>
      <c r="AI456" s="10">
        <f t="shared" si="372"/>
        <v>0</v>
      </c>
      <c r="AJ456" s="10">
        <f t="shared" si="372"/>
        <v>0</v>
      </c>
      <c r="AK456" s="10">
        <f t="shared" si="372"/>
        <v>0</v>
      </c>
      <c r="AL456" s="10">
        <f t="shared" si="372"/>
        <v>0</v>
      </c>
      <c r="AM456" s="10">
        <f t="shared" si="372"/>
        <v>0</v>
      </c>
      <c r="AN456" s="10">
        <f t="shared" si="372"/>
        <v>0</v>
      </c>
      <c r="AO456" s="10">
        <f t="shared" si="372"/>
        <v>0</v>
      </c>
      <c r="AP456" s="10">
        <f t="shared" si="372"/>
        <v>0</v>
      </c>
      <c r="AQ456" s="10">
        <f t="shared" si="372"/>
        <v>0</v>
      </c>
      <c r="AR456" s="10">
        <f t="shared" si="372"/>
        <v>0</v>
      </c>
      <c r="AS456" s="10">
        <f t="shared" si="372"/>
        <v>0</v>
      </c>
      <c r="AT456" s="10">
        <f t="shared" si="372"/>
        <v>0</v>
      </c>
      <c r="AU456" s="10">
        <f t="shared" si="372"/>
        <v>0</v>
      </c>
      <c r="AV456" s="10">
        <f t="shared" si="372"/>
        <v>0</v>
      </c>
      <c r="AW456" s="10">
        <f t="shared" si="372"/>
        <v>0</v>
      </c>
      <c r="AX456" s="10">
        <f t="shared" si="372"/>
        <v>0</v>
      </c>
      <c r="AY456" s="10">
        <f t="shared" si="372"/>
        <v>0</v>
      </c>
      <c r="AZ456" s="10">
        <f t="shared" si="372"/>
        <v>0</v>
      </c>
      <c r="BA456" s="10">
        <f t="shared" si="372"/>
        <v>0</v>
      </c>
      <c r="BB456" s="10">
        <f t="shared" si="372"/>
        <v>0</v>
      </c>
      <c r="BC456" s="10">
        <f t="shared" si="372"/>
        <v>0</v>
      </c>
      <c r="BD456" s="10">
        <f t="shared" si="372"/>
        <v>0</v>
      </c>
      <c r="BE456" s="10">
        <f t="shared" si="372"/>
        <v>0</v>
      </c>
      <c r="BF456" s="10">
        <f t="shared" si="372"/>
        <v>0</v>
      </c>
      <c r="BG456" s="10">
        <f t="shared" si="372"/>
        <v>0</v>
      </c>
      <c r="BH456" s="10">
        <f t="shared" si="372"/>
        <v>0</v>
      </c>
      <c r="BI456" s="10">
        <f t="shared" si="372"/>
        <v>0</v>
      </c>
      <c r="BJ456" s="10">
        <f t="shared" si="372"/>
        <v>0</v>
      </c>
      <c r="BK456" s="10">
        <f t="shared" si="372"/>
        <v>0</v>
      </c>
      <c r="BL456" s="10">
        <f t="shared" si="372"/>
        <v>0</v>
      </c>
      <c r="BM456" s="10">
        <f t="shared" si="372"/>
        <v>0</v>
      </c>
      <c r="BN456" s="10">
        <f t="shared" si="372"/>
        <v>0</v>
      </c>
      <c r="BO456" s="10">
        <f t="shared" si="372"/>
        <v>0</v>
      </c>
      <c r="BP456" s="10">
        <f t="shared" si="372"/>
        <v>0</v>
      </c>
      <c r="BQ456" s="10">
        <f t="shared" si="372"/>
        <v>0</v>
      </c>
      <c r="BR456" s="10">
        <f t="shared" si="372"/>
        <v>0</v>
      </c>
      <c r="BS456" s="10">
        <f t="shared" si="372"/>
        <v>0</v>
      </c>
      <c r="BT456" s="10">
        <f t="shared" si="372"/>
        <v>0</v>
      </c>
      <c r="BU456" s="10">
        <f t="shared" si="372"/>
        <v>0</v>
      </c>
      <c r="BV456" s="10">
        <f t="shared" si="372"/>
        <v>0</v>
      </c>
      <c r="BX456" s="10">
        <f t="shared" ref="BX456:CI456" si="373">BX$361</f>
        <v>0</v>
      </c>
      <c r="BY456" s="10">
        <f t="shared" si="373"/>
        <v>0</v>
      </c>
      <c r="BZ456" s="10">
        <f t="shared" si="373"/>
        <v>0</v>
      </c>
      <c r="CA456" s="10">
        <f t="shared" si="373"/>
        <v>0</v>
      </c>
      <c r="CB456" s="10">
        <f t="shared" si="373"/>
        <v>0</v>
      </c>
      <c r="CC456" s="10">
        <f t="shared" si="373"/>
        <v>0</v>
      </c>
      <c r="CD456" s="10">
        <f t="shared" si="373"/>
        <v>0</v>
      </c>
      <c r="CE456" s="10">
        <f t="shared" si="373"/>
        <v>0</v>
      </c>
      <c r="CF456" s="10">
        <f t="shared" si="373"/>
        <v>0</v>
      </c>
      <c r="CG456" s="10">
        <f t="shared" si="373"/>
        <v>0</v>
      </c>
      <c r="CH456" s="10">
        <f t="shared" si="373"/>
        <v>0</v>
      </c>
      <c r="CI456" s="10">
        <f t="shared" si="373"/>
        <v>0</v>
      </c>
      <c r="CK456" s="11"/>
      <c r="CM456" s="11"/>
      <c r="DF456" s="11"/>
      <c r="EY456" s="10" t="str">
        <f t="shared" si="339"/>
        <v/>
      </c>
    </row>
    <row r="457" spans="1:155" x14ac:dyDescent="0.35">
      <c r="B457" s="69" t="str" cm="1">
        <f t="array" aca="1" ref="B457" ca="1">HYPERLINK(CONCATENATE("#",CELL("address",$D$379)),$D$379)</f>
        <v>Loan 18</v>
      </c>
      <c r="C457" s="211"/>
      <c r="D457" s="49">
        <f>D$30</f>
        <v>0</v>
      </c>
      <c r="E457" s="49" t="str">
        <f>F$30</f>
        <v/>
      </c>
      <c r="F457" s="49"/>
      <c r="H457" s="9" t="s">
        <v>1074</v>
      </c>
      <c r="I457" s="40" t="s">
        <v>665</v>
      </c>
      <c r="V457" s="133">
        <f>V$380</f>
        <v>0</v>
      </c>
      <c r="W457" s="10">
        <f>W$380</f>
        <v>0</v>
      </c>
      <c r="X457" s="10">
        <f>X$380</f>
        <v>0</v>
      </c>
      <c r="Y457" s="10">
        <f>Y$380</f>
        <v>0</v>
      </c>
      <c r="AA457" s="10">
        <f t="shared" ref="AA457:BV457" si="374">AA$380</f>
        <v>0</v>
      </c>
      <c r="AB457" s="10">
        <f t="shared" si="374"/>
        <v>0</v>
      </c>
      <c r="AC457" s="10">
        <f t="shared" si="374"/>
        <v>0</v>
      </c>
      <c r="AD457" s="10">
        <f t="shared" si="374"/>
        <v>0</v>
      </c>
      <c r="AE457" s="10">
        <f t="shared" si="374"/>
        <v>0</v>
      </c>
      <c r="AF457" s="10">
        <f t="shared" si="374"/>
        <v>0</v>
      </c>
      <c r="AG457" s="10">
        <f t="shared" si="374"/>
        <v>0</v>
      </c>
      <c r="AH457" s="10">
        <f t="shared" si="374"/>
        <v>0</v>
      </c>
      <c r="AI457" s="10">
        <f t="shared" si="374"/>
        <v>0</v>
      </c>
      <c r="AJ457" s="10">
        <f t="shared" si="374"/>
        <v>0</v>
      </c>
      <c r="AK457" s="10">
        <f t="shared" si="374"/>
        <v>0</v>
      </c>
      <c r="AL457" s="10">
        <f t="shared" si="374"/>
        <v>0</v>
      </c>
      <c r="AM457" s="10">
        <f t="shared" si="374"/>
        <v>0</v>
      </c>
      <c r="AN457" s="10">
        <f t="shared" si="374"/>
        <v>0</v>
      </c>
      <c r="AO457" s="10">
        <f t="shared" si="374"/>
        <v>0</v>
      </c>
      <c r="AP457" s="10">
        <f t="shared" si="374"/>
        <v>0</v>
      </c>
      <c r="AQ457" s="10">
        <f t="shared" si="374"/>
        <v>0</v>
      </c>
      <c r="AR457" s="10">
        <f t="shared" si="374"/>
        <v>0</v>
      </c>
      <c r="AS457" s="10">
        <f t="shared" si="374"/>
        <v>0</v>
      </c>
      <c r="AT457" s="10">
        <f t="shared" si="374"/>
        <v>0</v>
      </c>
      <c r="AU457" s="10">
        <f t="shared" si="374"/>
        <v>0</v>
      </c>
      <c r="AV457" s="10">
        <f t="shared" si="374"/>
        <v>0</v>
      </c>
      <c r="AW457" s="10">
        <f t="shared" si="374"/>
        <v>0</v>
      </c>
      <c r="AX457" s="10">
        <f t="shared" si="374"/>
        <v>0</v>
      </c>
      <c r="AY457" s="10">
        <f t="shared" si="374"/>
        <v>0</v>
      </c>
      <c r="AZ457" s="10">
        <f t="shared" si="374"/>
        <v>0</v>
      </c>
      <c r="BA457" s="10">
        <f t="shared" si="374"/>
        <v>0</v>
      </c>
      <c r="BB457" s="10">
        <f t="shared" si="374"/>
        <v>0</v>
      </c>
      <c r="BC457" s="10">
        <f t="shared" si="374"/>
        <v>0</v>
      </c>
      <c r="BD457" s="10">
        <f t="shared" si="374"/>
        <v>0</v>
      </c>
      <c r="BE457" s="10">
        <f t="shared" si="374"/>
        <v>0</v>
      </c>
      <c r="BF457" s="10">
        <f t="shared" si="374"/>
        <v>0</v>
      </c>
      <c r="BG457" s="10">
        <f t="shared" si="374"/>
        <v>0</v>
      </c>
      <c r="BH457" s="10">
        <f t="shared" si="374"/>
        <v>0</v>
      </c>
      <c r="BI457" s="10">
        <f t="shared" si="374"/>
        <v>0</v>
      </c>
      <c r="BJ457" s="10">
        <f t="shared" si="374"/>
        <v>0</v>
      </c>
      <c r="BK457" s="10">
        <f t="shared" si="374"/>
        <v>0</v>
      </c>
      <c r="BL457" s="10">
        <f t="shared" si="374"/>
        <v>0</v>
      </c>
      <c r="BM457" s="10">
        <f t="shared" si="374"/>
        <v>0</v>
      </c>
      <c r="BN457" s="10">
        <f t="shared" si="374"/>
        <v>0</v>
      </c>
      <c r="BO457" s="10">
        <f t="shared" si="374"/>
        <v>0</v>
      </c>
      <c r="BP457" s="10">
        <f t="shared" si="374"/>
        <v>0</v>
      </c>
      <c r="BQ457" s="10">
        <f t="shared" si="374"/>
        <v>0</v>
      </c>
      <c r="BR457" s="10">
        <f t="shared" si="374"/>
        <v>0</v>
      </c>
      <c r="BS457" s="10">
        <f t="shared" si="374"/>
        <v>0</v>
      </c>
      <c r="BT457" s="10">
        <f t="shared" si="374"/>
        <v>0</v>
      </c>
      <c r="BU457" s="10">
        <f t="shared" si="374"/>
        <v>0</v>
      </c>
      <c r="BV457" s="10">
        <f t="shared" si="374"/>
        <v>0</v>
      </c>
      <c r="BX457" s="10">
        <f t="shared" ref="BX457:CI457" si="375">BX$380</f>
        <v>0</v>
      </c>
      <c r="BY457" s="10">
        <f t="shared" si="375"/>
        <v>0</v>
      </c>
      <c r="BZ457" s="10">
        <f t="shared" si="375"/>
        <v>0</v>
      </c>
      <c r="CA457" s="10">
        <f t="shared" si="375"/>
        <v>0</v>
      </c>
      <c r="CB457" s="10">
        <f t="shared" si="375"/>
        <v>0</v>
      </c>
      <c r="CC457" s="10">
        <f t="shared" si="375"/>
        <v>0</v>
      </c>
      <c r="CD457" s="10">
        <f t="shared" si="375"/>
        <v>0</v>
      </c>
      <c r="CE457" s="10">
        <f t="shared" si="375"/>
        <v>0</v>
      </c>
      <c r="CF457" s="10">
        <f t="shared" si="375"/>
        <v>0</v>
      </c>
      <c r="CG457" s="10">
        <f t="shared" si="375"/>
        <v>0</v>
      </c>
      <c r="CH457" s="10">
        <f t="shared" si="375"/>
        <v>0</v>
      </c>
      <c r="CI457" s="10">
        <f t="shared" si="375"/>
        <v>0</v>
      </c>
      <c r="CK457" s="11"/>
      <c r="CM457" s="11"/>
      <c r="DF457" s="11"/>
      <c r="EY457" s="10" t="str">
        <f t="shared" si="339"/>
        <v/>
      </c>
    </row>
    <row r="458" spans="1:155" x14ac:dyDescent="0.35">
      <c r="B458" s="69" t="str" cm="1">
        <f t="array" aca="1" ref="B458" ca="1">HYPERLINK(CONCATENATE("#",CELL("address",$D$398)),$D$398)</f>
        <v>Loan 19</v>
      </c>
      <c r="C458" s="211"/>
      <c r="D458" s="49">
        <f>D$31</f>
        <v>0</v>
      </c>
      <c r="E458" s="49" t="str">
        <f>F$31</f>
        <v/>
      </c>
      <c r="F458" s="49"/>
      <c r="H458" s="9" t="s">
        <v>1074</v>
      </c>
      <c r="I458" s="40" t="s">
        <v>665</v>
      </c>
      <c r="V458" s="133">
        <f>V$399</f>
        <v>0</v>
      </c>
      <c r="W458" s="10">
        <f>W$399</f>
        <v>0</v>
      </c>
      <c r="X458" s="10">
        <f>X$399</f>
        <v>0</v>
      </c>
      <c r="Y458" s="10">
        <f>Y$399</f>
        <v>0</v>
      </c>
      <c r="AA458" s="10">
        <f t="shared" ref="AA458:BV458" si="376">AA$399</f>
        <v>0</v>
      </c>
      <c r="AB458" s="10">
        <f t="shared" si="376"/>
        <v>0</v>
      </c>
      <c r="AC458" s="10">
        <f t="shared" si="376"/>
        <v>0</v>
      </c>
      <c r="AD458" s="10">
        <f t="shared" si="376"/>
        <v>0</v>
      </c>
      <c r="AE458" s="10">
        <f t="shared" si="376"/>
        <v>0</v>
      </c>
      <c r="AF458" s="10">
        <f t="shared" si="376"/>
        <v>0</v>
      </c>
      <c r="AG458" s="10">
        <f t="shared" si="376"/>
        <v>0</v>
      </c>
      <c r="AH458" s="10">
        <f t="shared" si="376"/>
        <v>0</v>
      </c>
      <c r="AI458" s="10">
        <f t="shared" si="376"/>
        <v>0</v>
      </c>
      <c r="AJ458" s="10">
        <f t="shared" si="376"/>
        <v>0</v>
      </c>
      <c r="AK458" s="10">
        <f t="shared" si="376"/>
        <v>0</v>
      </c>
      <c r="AL458" s="10">
        <f t="shared" si="376"/>
        <v>0</v>
      </c>
      <c r="AM458" s="10">
        <f t="shared" si="376"/>
        <v>0</v>
      </c>
      <c r="AN458" s="10">
        <f t="shared" si="376"/>
        <v>0</v>
      </c>
      <c r="AO458" s="10">
        <f t="shared" si="376"/>
        <v>0</v>
      </c>
      <c r="AP458" s="10">
        <f t="shared" si="376"/>
        <v>0</v>
      </c>
      <c r="AQ458" s="10">
        <f t="shared" si="376"/>
        <v>0</v>
      </c>
      <c r="AR458" s="10">
        <f t="shared" si="376"/>
        <v>0</v>
      </c>
      <c r="AS458" s="10">
        <f t="shared" si="376"/>
        <v>0</v>
      </c>
      <c r="AT458" s="10">
        <f t="shared" si="376"/>
        <v>0</v>
      </c>
      <c r="AU458" s="10">
        <f t="shared" si="376"/>
        <v>0</v>
      </c>
      <c r="AV458" s="10">
        <f t="shared" si="376"/>
        <v>0</v>
      </c>
      <c r="AW458" s="10">
        <f t="shared" si="376"/>
        <v>0</v>
      </c>
      <c r="AX458" s="10">
        <f t="shared" si="376"/>
        <v>0</v>
      </c>
      <c r="AY458" s="10">
        <f t="shared" si="376"/>
        <v>0</v>
      </c>
      <c r="AZ458" s="10">
        <f t="shared" si="376"/>
        <v>0</v>
      </c>
      <c r="BA458" s="10">
        <f t="shared" si="376"/>
        <v>0</v>
      </c>
      <c r="BB458" s="10">
        <f t="shared" si="376"/>
        <v>0</v>
      </c>
      <c r="BC458" s="10">
        <f t="shared" si="376"/>
        <v>0</v>
      </c>
      <c r="BD458" s="10">
        <f t="shared" si="376"/>
        <v>0</v>
      </c>
      <c r="BE458" s="10">
        <f t="shared" si="376"/>
        <v>0</v>
      </c>
      <c r="BF458" s="10">
        <f t="shared" si="376"/>
        <v>0</v>
      </c>
      <c r="BG458" s="10">
        <f t="shared" si="376"/>
        <v>0</v>
      </c>
      <c r="BH458" s="10">
        <f t="shared" si="376"/>
        <v>0</v>
      </c>
      <c r="BI458" s="10">
        <f t="shared" si="376"/>
        <v>0</v>
      </c>
      <c r="BJ458" s="10">
        <f t="shared" si="376"/>
        <v>0</v>
      </c>
      <c r="BK458" s="10">
        <f t="shared" si="376"/>
        <v>0</v>
      </c>
      <c r="BL458" s="10">
        <f t="shared" si="376"/>
        <v>0</v>
      </c>
      <c r="BM458" s="10">
        <f t="shared" si="376"/>
        <v>0</v>
      </c>
      <c r="BN458" s="10">
        <f t="shared" si="376"/>
        <v>0</v>
      </c>
      <c r="BO458" s="10">
        <f t="shared" si="376"/>
        <v>0</v>
      </c>
      <c r="BP458" s="10">
        <f t="shared" si="376"/>
        <v>0</v>
      </c>
      <c r="BQ458" s="10">
        <f t="shared" si="376"/>
        <v>0</v>
      </c>
      <c r="BR458" s="10">
        <f t="shared" si="376"/>
        <v>0</v>
      </c>
      <c r="BS458" s="10">
        <f t="shared" si="376"/>
        <v>0</v>
      </c>
      <c r="BT458" s="10">
        <f t="shared" si="376"/>
        <v>0</v>
      </c>
      <c r="BU458" s="10">
        <f t="shared" si="376"/>
        <v>0</v>
      </c>
      <c r="BV458" s="10">
        <f t="shared" si="376"/>
        <v>0</v>
      </c>
      <c r="BX458" s="10">
        <f t="shared" ref="BX458:CI458" si="377">BX$399</f>
        <v>0</v>
      </c>
      <c r="BY458" s="10">
        <f t="shared" si="377"/>
        <v>0</v>
      </c>
      <c r="BZ458" s="10">
        <f t="shared" si="377"/>
        <v>0</v>
      </c>
      <c r="CA458" s="10">
        <f t="shared" si="377"/>
        <v>0</v>
      </c>
      <c r="CB458" s="10">
        <f t="shared" si="377"/>
        <v>0</v>
      </c>
      <c r="CC458" s="10">
        <f t="shared" si="377"/>
        <v>0</v>
      </c>
      <c r="CD458" s="10">
        <f t="shared" si="377"/>
        <v>0</v>
      </c>
      <c r="CE458" s="10">
        <f t="shared" si="377"/>
        <v>0</v>
      </c>
      <c r="CF458" s="10">
        <f t="shared" si="377"/>
        <v>0</v>
      </c>
      <c r="CG458" s="10">
        <f t="shared" si="377"/>
        <v>0</v>
      </c>
      <c r="CH458" s="10">
        <f t="shared" si="377"/>
        <v>0</v>
      </c>
      <c r="CI458" s="10">
        <f t="shared" si="377"/>
        <v>0</v>
      </c>
      <c r="CK458" s="11"/>
      <c r="CM458" s="11"/>
      <c r="DF458" s="11"/>
      <c r="EY458" s="10" t="str">
        <f t="shared" si="339"/>
        <v/>
      </c>
    </row>
    <row r="459" spans="1:155" x14ac:dyDescent="0.35">
      <c r="B459" s="69" t="str" cm="1">
        <f t="array" aca="1" ref="B459" ca="1">HYPERLINK(CONCATENATE("#",CELL("address",$D$417)),$D$417)</f>
        <v>Loan 20</v>
      </c>
      <c r="C459" s="211"/>
      <c r="D459" s="49">
        <f>D$32</f>
        <v>0</v>
      </c>
      <c r="E459" s="49" t="str">
        <f>F$32</f>
        <v/>
      </c>
      <c r="F459" s="49"/>
      <c r="H459" s="9" t="s">
        <v>1074</v>
      </c>
      <c r="I459" s="40" t="s">
        <v>665</v>
      </c>
      <c r="V459" s="133">
        <f>V$418</f>
        <v>0</v>
      </c>
      <c r="W459" s="10">
        <f>W$418</f>
        <v>0</v>
      </c>
      <c r="X459" s="10">
        <f>X$418</f>
        <v>0</v>
      </c>
      <c r="Y459" s="10">
        <f>Y$418</f>
        <v>0</v>
      </c>
      <c r="AA459" s="10">
        <f t="shared" ref="AA459:BV459" si="378">AA$418</f>
        <v>0</v>
      </c>
      <c r="AB459" s="10">
        <f t="shared" si="378"/>
        <v>0</v>
      </c>
      <c r="AC459" s="10">
        <f t="shared" si="378"/>
        <v>0</v>
      </c>
      <c r="AD459" s="10">
        <f t="shared" si="378"/>
        <v>0</v>
      </c>
      <c r="AE459" s="10">
        <f t="shared" si="378"/>
        <v>0</v>
      </c>
      <c r="AF459" s="10">
        <f t="shared" si="378"/>
        <v>0</v>
      </c>
      <c r="AG459" s="10">
        <f t="shared" si="378"/>
        <v>0</v>
      </c>
      <c r="AH459" s="10">
        <f t="shared" si="378"/>
        <v>0</v>
      </c>
      <c r="AI459" s="10">
        <f t="shared" si="378"/>
        <v>0</v>
      </c>
      <c r="AJ459" s="10">
        <f t="shared" si="378"/>
        <v>0</v>
      </c>
      <c r="AK459" s="10">
        <f t="shared" si="378"/>
        <v>0</v>
      </c>
      <c r="AL459" s="10">
        <f t="shared" si="378"/>
        <v>0</v>
      </c>
      <c r="AM459" s="10">
        <f t="shared" si="378"/>
        <v>0</v>
      </c>
      <c r="AN459" s="10">
        <f t="shared" si="378"/>
        <v>0</v>
      </c>
      <c r="AO459" s="10">
        <f t="shared" si="378"/>
        <v>0</v>
      </c>
      <c r="AP459" s="10">
        <f t="shared" si="378"/>
        <v>0</v>
      </c>
      <c r="AQ459" s="10">
        <f t="shared" si="378"/>
        <v>0</v>
      </c>
      <c r="AR459" s="10">
        <f t="shared" si="378"/>
        <v>0</v>
      </c>
      <c r="AS459" s="10">
        <f t="shared" si="378"/>
        <v>0</v>
      </c>
      <c r="AT459" s="10">
        <f t="shared" si="378"/>
        <v>0</v>
      </c>
      <c r="AU459" s="10">
        <f t="shared" si="378"/>
        <v>0</v>
      </c>
      <c r="AV459" s="10">
        <f t="shared" si="378"/>
        <v>0</v>
      </c>
      <c r="AW459" s="10">
        <f t="shared" si="378"/>
        <v>0</v>
      </c>
      <c r="AX459" s="10">
        <f t="shared" si="378"/>
        <v>0</v>
      </c>
      <c r="AY459" s="10">
        <f t="shared" si="378"/>
        <v>0</v>
      </c>
      <c r="AZ459" s="10">
        <f t="shared" si="378"/>
        <v>0</v>
      </c>
      <c r="BA459" s="10">
        <f t="shared" si="378"/>
        <v>0</v>
      </c>
      <c r="BB459" s="10">
        <f t="shared" si="378"/>
        <v>0</v>
      </c>
      <c r="BC459" s="10">
        <f t="shared" si="378"/>
        <v>0</v>
      </c>
      <c r="BD459" s="10">
        <f t="shared" si="378"/>
        <v>0</v>
      </c>
      <c r="BE459" s="10">
        <f t="shared" si="378"/>
        <v>0</v>
      </c>
      <c r="BF459" s="10">
        <f t="shared" si="378"/>
        <v>0</v>
      </c>
      <c r="BG459" s="10">
        <f t="shared" si="378"/>
        <v>0</v>
      </c>
      <c r="BH459" s="10">
        <f t="shared" si="378"/>
        <v>0</v>
      </c>
      <c r="BI459" s="10">
        <f t="shared" si="378"/>
        <v>0</v>
      </c>
      <c r="BJ459" s="10">
        <f t="shared" si="378"/>
        <v>0</v>
      </c>
      <c r="BK459" s="10">
        <f t="shared" si="378"/>
        <v>0</v>
      </c>
      <c r="BL459" s="10">
        <f t="shared" si="378"/>
        <v>0</v>
      </c>
      <c r="BM459" s="10">
        <f t="shared" si="378"/>
        <v>0</v>
      </c>
      <c r="BN459" s="10">
        <f t="shared" si="378"/>
        <v>0</v>
      </c>
      <c r="BO459" s="10">
        <f t="shared" si="378"/>
        <v>0</v>
      </c>
      <c r="BP459" s="10">
        <f t="shared" si="378"/>
        <v>0</v>
      </c>
      <c r="BQ459" s="10">
        <f t="shared" si="378"/>
        <v>0</v>
      </c>
      <c r="BR459" s="10">
        <f t="shared" si="378"/>
        <v>0</v>
      </c>
      <c r="BS459" s="10">
        <f t="shared" si="378"/>
        <v>0</v>
      </c>
      <c r="BT459" s="10">
        <f t="shared" si="378"/>
        <v>0</v>
      </c>
      <c r="BU459" s="10">
        <f t="shared" si="378"/>
        <v>0</v>
      </c>
      <c r="BV459" s="10">
        <f t="shared" si="378"/>
        <v>0</v>
      </c>
      <c r="BX459" s="10">
        <f t="shared" ref="BX459:CI459" si="379">BX$418</f>
        <v>0</v>
      </c>
      <c r="BY459" s="10">
        <f t="shared" si="379"/>
        <v>0</v>
      </c>
      <c r="BZ459" s="10">
        <f t="shared" si="379"/>
        <v>0</v>
      </c>
      <c r="CA459" s="10">
        <f t="shared" si="379"/>
        <v>0</v>
      </c>
      <c r="CB459" s="10">
        <f t="shared" si="379"/>
        <v>0</v>
      </c>
      <c r="CC459" s="10">
        <f t="shared" si="379"/>
        <v>0</v>
      </c>
      <c r="CD459" s="10">
        <f t="shared" si="379"/>
        <v>0</v>
      </c>
      <c r="CE459" s="10">
        <f t="shared" si="379"/>
        <v>0</v>
      </c>
      <c r="CF459" s="10">
        <f t="shared" si="379"/>
        <v>0</v>
      </c>
      <c r="CG459" s="10">
        <f t="shared" si="379"/>
        <v>0</v>
      </c>
      <c r="CH459" s="10">
        <f t="shared" si="379"/>
        <v>0</v>
      </c>
      <c r="CI459" s="10">
        <f t="shared" si="379"/>
        <v>0</v>
      </c>
      <c r="CK459" s="11"/>
      <c r="CM459" s="11"/>
      <c r="DF459" s="11"/>
      <c r="EY459" s="10" t="str">
        <f t="shared" si="339"/>
        <v/>
      </c>
    </row>
    <row r="460" spans="1:155" ht="6.75" customHeight="1" x14ac:dyDescent="0.35">
      <c r="C460" s="211"/>
      <c r="D460" s="1"/>
      <c r="E460"/>
      <c r="F460"/>
      <c r="BY460" s="6"/>
      <c r="CK460" s="35"/>
      <c r="CM460" s="35"/>
      <c r="DF460" s="35"/>
      <c r="EY460" s="10" t="str">
        <f t="shared" si="339"/>
        <v/>
      </c>
    </row>
    <row r="461" spans="1:155" x14ac:dyDescent="0.35">
      <c r="C461" s="211"/>
      <c r="D461" s="50" t="str">
        <f>$D$58</f>
        <v>Drawdowns</v>
      </c>
      <c r="E461"/>
      <c r="F461"/>
      <c r="CK461" s="11"/>
      <c r="CM461" s="11"/>
      <c r="DF461" s="11"/>
      <c r="EY461" s="10" t="str">
        <f t="shared" si="339"/>
        <v/>
      </c>
    </row>
    <row r="462" spans="1:155" x14ac:dyDescent="0.35">
      <c r="B462" s="107" t="s">
        <v>1229</v>
      </c>
      <c r="C462" s="211"/>
      <c r="D462" s="5" t="str">
        <f>D$11</f>
        <v>Lender</v>
      </c>
      <c r="E462" s="5" t="str">
        <f>E$11</f>
        <v>Loan Category</v>
      </c>
      <c r="F462" s="5"/>
      <c r="CK462" s="11"/>
      <c r="CM462" s="11"/>
      <c r="DF462" s="11"/>
      <c r="EY462" s="10" t="str">
        <f t="shared" si="339"/>
        <v/>
      </c>
    </row>
    <row r="463" spans="1:155" x14ac:dyDescent="0.35">
      <c r="B463" s="69" t="str" cm="1">
        <f t="array" aca="1" ref="B463" ca="1">HYPERLINK(CONCATENATE("#",CELL("address",$D$56)),$D$56)</f>
        <v>Loan 1</v>
      </c>
      <c r="C463" s="211"/>
      <c r="D463" s="49">
        <f>D$13</f>
        <v>0</v>
      </c>
      <c r="E463" s="49" t="str">
        <f>F$13</f>
        <v/>
      </c>
      <c r="F463" s="49"/>
      <c r="H463" s="9" t="s">
        <v>1074</v>
      </c>
      <c r="I463" s="40" t="s">
        <v>665</v>
      </c>
      <c r="J463" s="54"/>
      <c r="V463" s="133">
        <f>V$58</f>
        <v>0</v>
      </c>
      <c r="W463" s="10">
        <f>W$58</f>
        <v>0</v>
      </c>
      <c r="X463" s="10">
        <f>X$58</f>
        <v>0</v>
      </c>
      <c r="Y463" s="10">
        <f>Y$58</f>
        <v>0</v>
      </c>
      <c r="AA463" s="133">
        <f t="shared" ref="AA463:BV463" si="380">AA$58</f>
        <v>0</v>
      </c>
      <c r="AB463" s="10">
        <f t="shared" si="380"/>
        <v>0</v>
      </c>
      <c r="AC463" s="10">
        <f t="shared" si="380"/>
        <v>0</v>
      </c>
      <c r="AD463" s="10">
        <f t="shared" si="380"/>
        <v>0</v>
      </c>
      <c r="AE463" s="10">
        <f t="shared" si="380"/>
        <v>0</v>
      </c>
      <c r="AF463" s="10">
        <f t="shared" si="380"/>
        <v>0</v>
      </c>
      <c r="AG463" s="10">
        <f t="shared" si="380"/>
        <v>0</v>
      </c>
      <c r="AH463" s="10">
        <f t="shared" si="380"/>
        <v>0</v>
      </c>
      <c r="AI463" s="133">
        <f t="shared" si="380"/>
        <v>0</v>
      </c>
      <c r="AJ463" s="10">
        <f t="shared" si="380"/>
        <v>0</v>
      </c>
      <c r="AK463" s="10">
        <f t="shared" si="380"/>
        <v>0</v>
      </c>
      <c r="AL463" s="10">
        <f t="shared" si="380"/>
        <v>0</v>
      </c>
      <c r="AM463" s="133">
        <f t="shared" si="380"/>
        <v>0</v>
      </c>
      <c r="AN463" s="10">
        <f t="shared" si="380"/>
        <v>0</v>
      </c>
      <c r="AO463" s="10">
        <f t="shared" si="380"/>
        <v>0</v>
      </c>
      <c r="AP463" s="10">
        <f t="shared" si="380"/>
        <v>0</v>
      </c>
      <c r="AQ463" s="10">
        <f t="shared" si="380"/>
        <v>0</v>
      </c>
      <c r="AR463" s="10">
        <f t="shared" si="380"/>
        <v>0</v>
      </c>
      <c r="AS463" s="10">
        <f t="shared" si="380"/>
        <v>0</v>
      </c>
      <c r="AT463" s="10">
        <f t="shared" si="380"/>
        <v>0</v>
      </c>
      <c r="AU463" s="10">
        <f t="shared" si="380"/>
        <v>0</v>
      </c>
      <c r="AV463" s="10">
        <f t="shared" si="380"/>
        <v>0</v>
      </c>
      <c r="AW463" s="10">
        <f t="shared" si="380"/>
        <v>0</v>
      </c>
      <c r="AX463" s="10">
        <f t="shared" si="380"/>
        <v>0</v>
      </c>
      <c r="AY463" s="10">
        <f t="shared" si="380"/>
        <v>0</v>
      </c>
      <c r="AZ463" s="10">
        <f t="shared" si="380"/>
        <v>0</v>
      </c>
      <c r="BA463" s="10">
        <f t="shared" si="380"/>
        <v>0</v>
      </c>
      <c r="BB463" s="10">
        <f t="shared" si="380"/>
        <v>0</v>
      </c>
      <c r="BC463" s="10">
        <f t="shared" si="380"/>
        <v>0</v>
      </c>
      <c r="BD463" s="10">
        <f t="shared" si="380"/>
        <v>0</v>
      </c>
      <c r="BE463" s="10">
        <f t="shared" si="380"/>
        <v>0</v>
      </c>
      <c r="BF463" s="10">
        <f t="shared" si="380"/>
        <v>0</v>
      </c>
      <c r="BG463" s="10">
        <f t="shared" si="380"/>
        <v>0</v>
      </c>
      <c r="BH463" s="10">
        <f t="shared" si="380"/>
        <v>0</v>
      </c>
      <c r="BI463" s="10">
        <f t="shared" si="380"/>
        <v>0</v>
      </c>
      <c r="BJ463" s="10">
        <f t="shared" si="380"/>
        <v>0</v>
      </c>
      <c r="BK463" s="10">
        <f t="shared" si="380"/>
        <v>0</v>
      </c>
      <c r="BL463" s="10">
        <f t="shared" si="380"/>
        <v>0</v>
      </c>
      <c r="BM463" s="10">
        <f t="shared" si="380"/>
        <v>0</v>
      </c>
      <c r="BN463" s="10">
        <f t="shared" si="380"/>
        <v>0</v>
      </c>
      <c r="BO463" s="10">
        <f t="shared" si="380"/>
        <v>0</v>
      </c>
      <c r="BP463" s="10">
        <f t="shared" si="380"/>
        <v>0</v>
      </c>
      <c r="BQ463" s="10">
        <f t="shared" si="380"/>
        <v>0</v>
      </c>
      <c r="BR463" s="10">
        <f t="shared" si="380"/>
        <v>0</v>
      </c>
      <c r="BS463" s="10">
        <f t="shared" si="380"/>
        <v>0</v>
      </c>
      <c r="BT463" s="10">
        <f t="shared" si="380"/>
        <v>0</v>
      </c>
      <c r="BU463" s="10">
        <f t="shared" si="380"/>
        <v>0</v>
      </c>
      <c r="BV463" s="10">
        <f t="shared" si="380"/>
        <v>0</v>
      </c>
      <c r="BX463" s="10">
        <f t="shared" ref="BX463:CI463" si="381">BX$58</f>
        <v>0</v>
      </c>
      <c r="BY463" s="10">
        <f t="shared" si="381"/>
        <v>0</v>
      </c>
      <c r="BZ463" s="10">
        <f t="shared" si="381"/>
        <v>0</v>
      </c>
      <c r="CA463" s="10">
        <f t="shared" si="381"/>
        <v>0</v>
      </c>
      <c r="CB463" s="10">
        <f t="shared" si="381"/>
        <v>0</v>
      </c>
      <c r="CC463" s="10">
        <f t="shared" si="381"/>
        <v>0</v>
      </c>
      <c r="CD463" s="10">
        <f t="shared" si="381"/>
        <v>0</v>
      </c>
      <c r="CE463" s="10">
        <f t="shared" si="381"/>
        <v>0</v>
      </c>
      <c r="CF463" s="10">
        <f t="shared" si="381"/>
        <v>0</v>
      </c>
      <c r="CG463" s="10">
        <f t="shared" si="381"/>
        <v>0</v>
      </c>
      <c r="CH463" s="10">
        <f t="shared" si="381"/>
        <v>0</v>
      </c>
      <c r="CI463" s="10">
        <f t="shared" si="381"/>
        <v>0</v>
      </c>
      <c r="CK463" s="11"/>
      <c r="CM463" s="11"/>
      <c r="DF463" s="11"/>
      <c r="EY463" s="10" t="str">
        <f t="shared" si="339"/>
        <v/>
      </c>
    </row>
    <row r="464" spans="1:155" x14ac:dyDescent="0.35">
      <c r="B464" s="69" t="str" cm="1">
        <f t="array" aca="1" ref="B464" ca="1">HYPERLINK(CONCATENATE("#",CELL("address",$D$75)),$D$75)</f>
        <v>Loan 2</v>
      </c>
      <c r="C464" s="211"/>
      <c r="D464" s="49">
        <f>D$14</f>
        <v>0</v>
      </c>
      <c r="E464" s="49" t="str">
        <f>F$14</f>
        <v/>
      </c>
      <c r="F464" s="49"/>
      <c r="H464" s="9" t="s">
        <v>1074</v>
      </c>
      <c r="I464" s="40" t="s">
        <v>665</v>
      </c>
      <c r="V464" s="133">
        <f>V$77</f>
        <v>0</v>
      </c>
      <c r="W464" s="10">
        <f>W$77</f>
        <v>0</v>
      </c>
      <c r="X464" s="10">
        <f>X$77</f>
        <v>0</v>
      </c>
      <c r="Y464" s="10">
        <f>Y$77</f>
        <v>0</v>
      </c>
      <c r="AA464" s="10">
        <f t="shared" ref="AA464:BV464" si="382">AA$77</f>
        <v>0</v>
      </c>
      <c r="AB464" s="10">
        <f t="shared" si="382"/>
        <v>0</v>
      </c>
      <c r="AC464" s="10">
        <f t="shared" si="382"/>
        <v>0</v>
      </c>
      <c r="AD464" s="10">
        <f t="shared" si="382"/>
        <v>0</v>
      </c>
      <c r="AE464" s="10">
        <f t="shared" si="382"/>
        <v>0</v>
      </c>
      <c r="AF464" s="10">
        <f t="shared" si="382"/>
        <v>0</v>
      </c>
      <c r="AG464" s="10">
        <f t="shared" si="382"/>
        <v>0</v>
      </c>
      <c r="AH464" s="10">
        <f t="shared" si="382"/>
        <v>0</v>
      </c>
      <c r="AI464" s="10">
        <f t="shared" si="382"/>
        <v>0</v>
      </c>
      <c r="AJ464" s="10">
        <f t="shared" si="382"/>
        <v>0</v>
      </c>
      <c r="AK464" s="10">
        <f t="shared" si="382"/>
        <v>0</v>
      </c>
      <c r="AL464" s="10">
        <f t="shared" si="382"/>
        <v>0</v>
      </c>
      <c r="AM464" s="10">
        <f t="shared" si="382"/>
        <v>0</v>
      </c>
      <c r="AN464" s="10">
        <f t="shared" si="382"/>
        <v>0</v>
      </c>
      <c r="AO464" s="10">
        <f t="shared" si="382"/>
        <v>0</v>
      </c>
      <c r="AP464" s="10">
        <f t="shared" si="382"/>
        <v>0</v>
      </c>
      <c r="AQ464" s="10">
        <f t="shared" si="382"/>
        <v>0</v>
      </c>
      <c r="AR464" s="10">
        <f t="shared" si="382"/>
        <v>0</v>
      </c>
      <c r="AS464" s="10">
        <f t="shared" si="382"/>
        <v>0</v>
      </c>
      <c r="AT464" s="10">
        <f t="shared" si="382"/>
        <v>0</v>
      </c>
      <c r="AU464" s="10">
        <f t="shared" si="382"/>
        <v>0</v>
      </c>
      <c r="AV464" s="10">
        <f t="shared" si="382"/>
        <v>0</v>
      </c>
      <c r="AW464" s="10">
        <f t="shared" si="382"/>
        <v>0</v>
      </c>
      <c r="AX464" s="10">
        <f t="shared" si="382"/>
        <v>0</v>
      </c>
      <c r="AY464" s="10">
        <f t="shared" si="382"/>
        <v>0</v>
      </c>
      <c r="AZ464" s="10">
        <f t="shared" si="382"/>
        <v>0</v>
      </c>
      <c r="BA464" s="10">
        <f t="shared" si="382"/>
        <v>0</v>
      </c>
      <c r="BB464" s="10">
        <f t="shared" si="382"/>
        <v>0</v>
      </c>
      <c r="BC464" s="10">
        <f t="shared" si="382"/>
        <v>0</v>
      </c>
      <c r="BD464" s="10">
        <f t="shared" si="382"/>
        <v>0</v>
      </c>
      <c r="BE464" s="10">
        <f t="shared" si="382"/>
        <v>0</v>
      </c>
      <c r="BF464" s="10">
        <f t="shared" si="382"/>
        <v>0</v>
      </c>
      <c r="BG464" s="10">
        <f t="shared" si="382"/>
        <v>0</v>
      </c>
      <c r="BH464" s="10">
        <f t="shared" si="382"/>
        <v>0</v>
      </c>
      <c r="BI464" s="10">
        <f t="shared" si="382"/>
        <v>0</v>
      </c>
      <c r="BJ464" s="10">
        <f t="shared" si="382"/>
        <v>0</v>
      </c>
      <c r="BK464" s="10">
        <f t="shared" si="382"/>
        <v>0</v>
      </c>
      <c r="BL464" s="10">
        <f t="shared" si="382"/>
        <v>0</v>
      </c>
      <c r="BM464" s="10">
        <f t="shared" si="382"/>
        <v>0</v>
      </c>
      <c r="BN464" s="10">
        <f t="shared" si="382"/>
        <v>0</v>
      </c>
      <c r="BO464" s="10">
        <f t="shared" si="382"/>
        <v>0</v>
      </c>
      <c r="BP464" s="10">
        <f t="shared" si="382"/>
        <v>0</v>
      </c>
      <c r="BQ464" s="10">
        <f t="shared" si="382"/>
        <v>0</v>
      </c>
      <c r="BR464" s="10">
        <f t="shared" si="382"/>
        <v>0</v>
      </c>
      <c r="BS464" s="10">
        <f t="shared" si="382"/>
        <v>0</v>
      </c>
      <c r="BT464" s="10">
        <f t="shared" si="382"/>
        <v>0</v>
      </c>
      <c r="BU464" s="10">
        <f t="shared" si="382"/>
        <v>0</v>
      </c>
      <c r="BV464" s="10">
        <f t="shared" si="382"/>
        <v>0</v>
      </c>
      <c r="BX464" s="10">
        <f t="shared" ref="BX464:CI464" si="383">BX$77</f>
        <v>0</v>
      </c>
      <c r="BY464" s="10">
        <f t="shared" si="383"/>
        <v>0</v>
      </c>
      <c r="BZ464" s="10">
        <f t="shared" si="383"/>
        <v>0</v>
      </c>
      <c r="CA464" s="10">
        <f t="shared" si="383"/>
        <v>0</v>
      </c>
      <c r="CB464" s="10">
        <f t="shared" si="383"/>
        <v>0</v>
      </c>
      <c r="CC464" s="10">
        <f t="shared" si="383"/>
        <v>0</v>
      </c>
      <c r="CD464" s="10">
        <f t="shared" si="383"/>
        <v>0</v>
      </c>
      <c r="CE464" s="10">
        <f t="shared" si="383"/>
        <v>0</v>
      </c>
      <c r="CF464" s="10">
        <f t="shared" si="383"/>
        <v>0</v>
      </c>
      <c r="CG464" s="10">
        <f t="shared" si="383"/>
        <v>0</v>
      </c>
      <c r="CH464" s="10">
        <f t="shared" si="383"/>
        <v>0</v>
      </c>
      <c r="CI464" s="10">
        <f t="shared" si="383"/>
        <v>0</v>
      </c>
      <c r="CK464" s="11"/>
      <c r="CM464" s="11"/>
      <c r="DF464" s="11"/>
      <c r="EY464" s="10" t="str">
        <f t="shared" si="339"/>
        <v/>
      </c>
    </row>
    <row r="465" spans="1:155" x14ac:dyDescent="0.35">
      <c r="B465" s="69" t="str" cm="1">
        <f t="array" aca="1" ref="B465" ca="1">HYPERLINK(CONCATENATE("#",CELL("address",$D$94)),$D$94)</f>
        <v>Loan 3</v>
      </c>
      <c r="C465" s="211"/>
      <c r="D465" s="49">
        <f>D$15</f>
        <v>0</v>
      </c>
      <c r="E465" s="49" t="str">
        <f>F$15</f>
        <v/>
      </c>
      <c r="F465" s="49"/>
      <c r="H465" s="9" t="s">
        <v>1074</v>
      </c>
      <c r="I465" s="40" t="s">
        <v>665</v>
      </c>
      <c r="V465" s="133">
        <f>V$96</f>
        <v>0</v>
      </c>
      <c r="W465" s="10">
        <f>W$96</f>
        <v>0</v>
      </c>
      <c r="X465" s="10">
        <f>X$96</f>
        <v>0</v>
      </c>
      <c r="Y465" s="10">
        <f>Y$96</f>
        <v>0</v>
      </c>
      <c r="AA465" s="10">
        <f t="shared" ref="AA465:BV465" si="384">AA$96</f>
        <v>0</v>
      </c>
      <c r="AB465" s="10">
        <f t="shared" si="384"/>
        <v>0</v>
      </c>
      <c r="AC465" s="10">
        <f t="shared" si="384"/>
        <v>0</v>
      </c>
      <c r="AD465" s="10">
        <f t="shared" si="384"/>
        <v>0</v>
      </c>
      <c r="AE465" s="10">
        <f t="shared" si="384"/>
        <v>0</v>
      </c>
      <c r="AF465" s="10">
        <f t="shared" si="384"/>
        <v>0</v>
      </c>
      <c r="AG465" s="10">
        <f t="shared" si="384"/>
        <v>0</v>
      </c>
      <c r="AH465" s="10">
        <f t="shared" si="384"/>
        <v>0</v>
      </c>
      <c r="AI465" s="10">
        <f t="shared" si="384"/>
        <v>0</v>
      </c>
      <c r="AJ465" s="10">
        <f t="shared" si="384"/>
        <v>0</v>
      </c>
      <c r="AK465" s="10">
        <f t="shared" si="384"/>
        <v>0</v>
      </c>
      <c r="AL465" s="10">
        <f t="shared" si="384"/>
        <v>0</v>
      </c>
      <c r="AM465" s="10">
        <f t="shared" si="384"/>
        <v>0</v>
      </c>
      <c r="AN465" s="10">
        <f t="shared" si="384"/>
        <v>0</v>
      </c>
      <c r="AO465" s="10">
        <f t="shared" si="384"/>
        <v>0</v>
      </c>
      <c r="AP465" s="10">
        <f t="shared" si="384"/>
        <v>0</v>
      </c>
      <c r="AQ465" s="10">
        <f t="shared" si="384"/>
        <v>0</v>
      </c>
      <c r="AR465" s="10">
        <f t="shared" si="384"/>
        <v>0</v>
      </c>
      <c r="AS465" s="10">
        <f t="shared" si="384"/>
        <v>0</v>
      </c>
      <c r="AT465" s="10">
        <f t="shared" si="384"/>
        <v>0</v>
      </c>
      <c r="AU465" s="10">
        <f t="shared" si="384"/>
        <v>0</v>
      </c>
      <c r="AV465" s="10">
        <f t="shared" si="384"/>
        <v>0</v>
      </c>
      <c r="AW465" s="10">
        <f t="shared" si="384"/>
        <v>0</v>
      </c>
      <c r="AX465" s="10">
        <f t="shared" si="384"/>
        <v>0</v>
      </c>
      <c r="AY465" s="10">
        <f t="shared" si="384"/>
        <v>0</v>
      </c>
      <c r="AZ465" s="10">
        <f t="shared" si="384"/>
        <v>0</v>
      </c>
      <c r="BA465" s="10">
        <f t="shared" si="384"/>
        <v>0</v>
      </c>
      <c r="BB465" s="10">
        <f t="shared" si="384"/>
        <v>0</v>
      </c>
      <c r="BC465" s="10">
        <f t="shared" si="384"/>
        <v>0</v>
      </c>
      <c r="BD465" s="10">
        <f t="shared" si="384"/>
        <v>0</v>
      </c>
      <c r="BE465" s="10">
        <f t="shared" si="384"/>
        <v>0</v>
      </c>
      <c r="BF465" s="10">
        <f t="shared" si="384"/>
        <v>0</v>
      </c>
      <c r="BG465" s="10">
        <f t="shared" si="384"/>
        <v>0</v>
      </c>
      <c r="BH465" s="10">
        <f t="shared" si="384"/>
        <v>0</v>
      </c>
      <c r="BI465" s="10">
        <f t="shared" si="384"/>
        <v>0</v>
      </c>
      <c r="BJ465" s="10">
        <f t="shared" si="384"/>
        <v>0</v>
      </c>
      <c r="BK465" s="10">
        <f t="shared" si="384"/>
        <v>0</v>
      </c>
      <c r="BL465" s="10">
        <f t="shared" si="384"/>
        <v>0</v>
      </c>
      <c r="BM465" s="10">
        <f t="shared" si="384"/>
        <v>0</v>
      </c>
      <c r="BN465" s="10">
        <f t="shared" si="384"/>
        <v>0</v>
      </c>
      <c r="BO465" s="10">
        <f t="shared" si="384"/>
        <v>0</v>
      </c>
      <c r="BP465" s="10">
        <f t="shared" si="384"/>
        <v>0</v>
      </c>
      <c r="BQ465" s="10">
        <f t="shared" si="384"/>
        <v>0</v>
      </c>
      <c r="BR465" s="10">
        <f t="shared" si="384"/>
        <v>0</v>
      </c>
      <c r="BS465" s="10">
        <f t="shared" si="384"/>
        <v>0</v>
      </c>
      <c r="BT465" s="10">
        <f t="shared" si="384"/>
        <v>0</v>
      </c>
      <c r="BU465" s="10">
        <f t="shared" si="384"/>
        <v>0</v>
      </c>
      <c r="BV465" s="10">
        <f t="shared" si="384"/>
        <v>0</v>
      </c>
      <c r="BX465" s="10">
        <f t="shared" ref="BX465:CI465" si="385">BX$96</f>
        <v>0</v>
      </c>
      <c r="BY465" s="10">
        <f t="shared" si="385"/>
        <v>0</v>
      </c>
      <c r="BZ465" s="10">
        <f t="shared" si="385"/>
        <v>0</v>
      </c>
      <c r="CA465" s="10">
        <f t="shared" si="385"/>
        <v>0</v>
      </c>
      <c r="CB465" s="10">
        <f t="shared" si="385"/>
        <v>0</v>
      </c>
      <c r="CC465" s="10">
        <f t="shared" si="385"/>
        <v>0</v>
      </c>
      <c r="CD465" s="10">
        <f t="shared" si="385"/>
        <v>0</v>
      </c>
      <c r="CE465" s="10">
        <f t="shared" si="385"/>
        <v>0</v>
      </c>
      <c r="CF465" s="10">
        <f t="shared" si="385"/>
        <v>0</v>
      </c>
      <c r="CG465" s="10">
        <f t="shared" si="385"/>
        <v>0</v>
      </c>
      <c r="CH465" s="10">
        <f t="shared" si="385"/>
        <v>0</v>
      </c>
      <c r="CI465" s="10">
        <f t="shared" si="385"/>
        <v>0</v>
      </c>
      <c r="CK465" s="11"/>
      <c r="CM465" s="11"/>
      <c r="DF465" s="11"/>
      <c r="EY465" s="10" t="str">
        <f t="shared" si="339"/>
        <v/>
      </c>
    </row>
    <row r="466" spans="1:155" x14ac:dyDescent="0.35">
      <c r="B466" s="69" t="str" cm="1">
        <f t="array" aca="1" ref="B466" ca="1">HYPERLINK(CONCATENATE("#",CELL("address",$D$113)),$D$113)</f>
        <v>Loan 4</v>
      </c>
      <c r="C466" s="211"/>
      <c r="D466" s="49">
        <f>D$16</f>
        <v>0</v>
      </c>
      <c r="E466" s="49" t="str">
        <f>F$16</f>
        <v/>
      </c>
      <c r="F466" s="49"/>
      <c r="H466" s="9" t="s">
        <v>1074</v>
      </c>
      <c r="I466" s="40" t="s">
        <v>665</v>
      </c>
      <c r="V466" s="133">
        <f>V$115</f>
        <v>0</v>
      </c>
      <c r="W466" s="10">
        <f>W$115</f>
        <v>0</v>
      </c>
      <c r="X466" s="10">
        <f>X$115</f>
        <v>0</v>
      </c>
      <c r="Y466" s="10">
        <f>Y$115</f>
        <v>0</v>
      </c>
      <c r="AA466" s="10">
        <f t="shared" ref="AA466:BV466" si="386">AA$115</f>
        <v>0</v>
      </c>
      <c r="AB466" s="10">
        <f t="shared" si="386"/>
        <v>0</v>
      </c>
      <c r="AC466" s="10">
        <f t="shared" si="386"/>
        <v>0</v>
      </c>
      <c r="AD466" s="10">
        <f t="shared" si="386"/>
        <v>0</v>
      </c>
      <c r="AE466" s="10">
        <f t="shared" si="386"/>
        <v>0</v>
      </c>
      <c r="AF466" s="10">
        <f t="shared" si="386"/>
        <v>0</v>
      </c>
      <c r="AG466" s="10">
        <f t="shared" si="386"/>
        <v>0</v>
      </c>
      <c r="AH466" s="10">
        <f t="shared" si="386"/>
        <v>0</v>
      </c>
      <c r="AI466" s="10">
        <f t="shared" si="386"/>
        <v>0</v>
      </c>
      <c r="AJ466" s="10">
        <f t="shared" si="386"/>
        <v>0</v>
      </c>
      <c r="AK466" s="10">
        <f t="shared" si="386"/>
        <v>0</v>
      </c>
      <c r="AL466" s="10">
        <f t="shared" si="386"/>
        <v>0</v>
      </c>
      <c r="AM466" s="10">
        <f t="shared" si="386"/>
        <v>0</v>
      </c>
      <c r="AN466" s="10">
        <f t="shared" si="386"/>
        <v>0</v>
      </c>
      <c r="AO466" s="10">
        <f t="shared" si="386"/>
        <v>0</v>
      </c>
      <c r="AP466" s="10">
        <f t="shared" si="386"/>
        <v>0</v>
      </c>
      <c r="AQ466" s="10">
        <f t="shared" si="386"/>
        <v>0</v>
      </c>
      <c r="AR466" s="10">
        <f t="shared" si="386"/>
        <v>0</v>
      </c>
      <c r="AS466" s="10">
        <f t="shared" si="386"/>
        <v>0</v>
      </c>
      <c r="AT466" s="10">
        <f t="shared" si="386"/>
        <v>0</v>
      </c>
      <c r="AU466" s="10">
        <f t="shared" si="386"/>
        <v>0</v>
      </c>
      <c r="AV466" s="10">
        <f t="shared" si="386"/>
        <v>0</v>
      </c>
      <c r="AW466" s="10">
        <f t="shared" si="386"/>
        <v>0</v>
      </c>
      <c r="AX466" s="10">
        <f t="shared" si="386"/>
        <v>0</v>
      </c>
      <c r="AY466" s="10">
        <f t="shared" si="386"/>
        <v>0</v>
      </c>
      <c r="AZ466" s="10">
        <f t="shared" si="386"/>
        <v>0</v>
      </c>
      <c r="BA466" s="10">
        <f t="shared" si="386"/>
        <v>0</v>
      </c>
      <c r="BB466" s="10">
        <f t="shared" si="386"/>
        <v>0</v>
      </c>
      <c r="BC466" s="10">
        <f t="shared" si="386"/>
        <v>0</v>
      </c>
      <c r="BD466" s="10">
        <f t="shared" si="386"/>
        <v>0</v>
      </c>
      <c r="BE466" s="10">
        <f t="shared" si="386"/>
        <v>0</v>
      </c>
      <c r="BF466" s="10">
        <f t="shared" si="386"/>
        <v>0</v>
      </c>
      <c r="BG466" s="10">
        <f t="shared" si="386"/>
        <v>0</v>
      </c>
      <c r="BH466" s="10">
        <f t="shared" si="386"/>
        <v>0</v>
      </c>
      <c r="BI466" s="10">
        <f t="shared" si="386"/>
        <v>0</v>
      </c>
      <c r="BJ466" s="10">
        <f t="shared" si="386"/>
        <v>0</v>
      </c>
      <c r="BK466" s="10">
        <f t="shared" si="386"/>
        <v>0</v>
      </c>
      <c r="BL466" s="10">
        <f t="shared" si="386"/>
        <v>0</v>
      </c>
      <c r="BM466" s="10">
        <f t="shared" si="386"/>
        <v>0</v>
      </c>
      <c r="BN466" s="10">
        <f t="shared" si="386"/>
        <v>0</v>
      </c>
      <c r="BO466" s="10">
        <f t="shared" si="386"/>
        <v>0</v>
      </c>
      <c r="BP466" s="10">
        <f t="shared" si="386"/>
        <v>0</v>
      </c>
      <c r="BQ466" s="10">
        <f t="shared" si="386"/>
        <v>0</v>
      </c>
      <c r="BR466" s="10">
        <f t="shared" si="386"/>
        <v>0</v>
      </c>
      <c r="BS466" s="10">
        <f t="shared" si="386"/>
        <v>0</v>
      </c>
      <c r="BT466" s="10">
        <f t="shared" si="386"/>
        <v>0</v>
      </c>
      <c r="BU466" s="10">
        <f t="shared" si="386"/>
        <v>0</v>
      </c>
      <c r="BV466" s="10">
        <f t="shared" si="386"/>
        <v>0</v>
      </c>
      <c r="BX466" s="10">
        <f t="shared" ref="BX466:CI466" si="387">BX$115</f>
        <v>0</v>
      </c>
      <c r="BY466" s="10">
        <f t="shared" si="387"/>
        <v>0</v>
      </c>
      <c r="BZ466" s="10">
        <f t="shared" si="387"/>
        <v>0</v>
      </c>
      <c r="CA466" s="10">
        <f t="shared" si="387"/>
        <v>0</v>
      </c>
      <c r="CB466" s="10">
        <f t="shared" si="387"/>
        <v>0</v>
      </c>
      <c r="CC466" s="10">
        <f t="shared" si="387"/>
        <v>0</v>
      </c>
      <c r="CD466" s="10">
        <f t="shared" si="387"/>
        <v>0</v>
      </c>
      <c r="CE466" s="10">
        <f t="shared" si="387"/>
        <v>0</v>
      </c>
      <c r="CF466" s="10">
        <f t="shared" si="387"/>
        <v>0</v>
      </c>
      <c r="CG466" s="10">
        <f t="shared" si="387"/>
        <v>0</v>
      </c>
      <c r="CH466" s="10">
        <f t="shared" si="387"/>
        <v>0</v>
      </c>
      <c r="CI466" s="10">
        <f t="shared" si="387"/>
        <v>0</v>
      </c>
      <c r="CK466" s="11"/>
      <c r="CM466" s="11"/>
      <c r="DF466" s="11"/>
      <c r="EY466" s="10" t="str">
        <f t="shared" si="339"/>
        <v/>
      </c>
    </row>
    <row r="467" spans="1:155" x14ac:dyDescent="0.35">
      <c r="B467" s="69" t="str" cm="1">
        <f t="array" aca="1" ref="B467" ca="1">HYPERLINK(CONCATENATE("#",CELL("address",$D$132)),$D$132)</f>
        <v>Loan 5</v>
      </c>
      <c r="C467" s="211"/>
      <c r="D467" s="49">
        <f>D$17</f>
        <v>0</v>
      </c>
      <c r="E467" s="49" t="str">
        <f>F$17</f>
        <v/>
      </c>
      <c r="F467" s="49"/>
      <c r="H467" s="9" t="s">
        <v>1074</v>
      </c>
      <c r="I467" s="40" t="s">
        <v>665</v>
      </c>
      <c r="V467" s="133">
        <f>V$134</f>
        <v>0</v>
      </c>
      <c r="W467" s="10">
        <f>W$134</f>
        <v>0</v>
      </c>
      <c r="X467" s="10">
        <f>X$134</f>
        <v>0</v>
      </c>
      <c r="Y467" s="10">
        <f>Y$134</f>
        <v>0</v>
      </c>
      <c r="AA467" s="10">
        <f t="shared" ref="AA467:BV467" si="388">AA$134</f>
        <v>0</v>
      </c>
      <c r="AB467" s="10">
        <f t="shared" si="388"/>
        <v>0</v>
      </c>
      <c r="AC467" s="10">
        <f t="shared" si="388"/>
        <v>0</v>
      </c>
      <c r="AD467" s="10">
        <f t="shared" si="388"/>
        <v>0</v>
      </c>
      <c r="AE467" s="10">
        <f t="shared" si="388"/>
        <v>0</v>
      </c>
      <c r="AF467" s="10">
        <f t="shared" si="388"/>
        <v>0</v>
      </c>
      <c r="AG467" s="10">
        <f t="shared" si="388"/>
        <v>0</v>
      </c>
      <c r="AH467" s="10">
        <f t="shared" si="388"/>
        <v>0</v>
      </c>
      <c r="AI467" s="10">
        <f t="shared" si="388"/>
        <v>0</v>
      </c>
      <c r="AJ467" s="10">
        <f t="shared" si="388"/>
        <v>0</v>
      </c>
      <c r="AK467" s="10">
        <f t="shared" si="388"/>
        <v>0</v>
      </c>
      <c r="AL467" s="10">
        <f t="shared" si="388"/>
        <v>0</v>
      </c>
      <c r="AM467" s="10">
        <f t="shared" si="388"/>
        <v>0</v>
      </c>
      <c r="AN467" s="10">
        <f t="shared" si="388"/>
        <v>0</v>
      </c>
      <c r="AO467" s="10">
        <f t="shared" si="388"/>
        <v>0</v>
      </c>
      <c r="AP467" s="10">
        <f t="shared" si="388"/>
        <v>0</v>
      </c>
      <c r="AQ467" s="10">
        <f t="shared" si="388"/>
        <v>0</v>
      </c>
      <c r="AR467" s="10">
        <f t="shared" si="388"/>
        <v>0</v>
      </c>
      <c r="AS467" s="10">
        <f t="shared" si="388"/>
        <v>0</v>
      </c>
      <c r="AT467" s="10">
        <f t="shared" si="388"/>
        <v>0</v>
      </c>
      <c r="AU467" s="10">
        <f t="shared" si="388"/>
        <v>0</v>
      </c>
      <c r="AV467" s="10">
        <f t="shared" si="388"/>
        <v>0</v>
      </c>
      <c r="AW467" s="10">
        <f t="shared" si="388"/>
        <v>0</v>
      </c>
      <c r="AX467" s="10">
        <f t="shared" si="388"/>
        <v>0</v>
      </c>
      <c r="AY467" s="10">
        <f t="shared" si="388"/>
        <v>0</v>
      </c>
      <c r="AZ467" s="10">
        <f t="shared" si="388"/>
        <v>0</v>
      </c>
      <c r="BA467" s="10">
        <f t="shared" si="388"/>
        <v>0</v>
      </c>
      <c r="BB467" s="10">
        <f t="shared" si="388"/>
        <v>0</v>
      </c>
      <c r="BC467" s="10">
        <f t="shared" si="388"/>
        <v>0</v>
      </c>
      <c r="BD467" s="10">
        <f t="shared" si="388"/>
        <v>0</v>
      </c>
      <c r="BE467" s="10">
        <f t="shared" si="388"/>
        <v>0</v>
      </c>
      <c r="BF467" s="10">
        <f t="shared" si="388"/>
        <v>0</v>
      </c>
      <c r="BG467" s="10">
        <f t="shared" si="388"/>
        <v>0</v>
      </c>
      <c r="BH467" s="10">
        <f t="shared" si="388"/>
        <v>0</v>
      </c>
      <c r="BI467" s="10">
        <f t="shared" si="388"/>
        <v>0</v>
      </c>
      <c r="BJ467" s="10">
        <f t="shared" si="388"/>
        <v>0</v>
      </c>
      <c r="BK467" s="10">
        <f t="shared" si="388"/>
        <v>0</v>
      </c>
      <c r="BL467" s="10">
        <f t="shared" si="388"/>
        <v>0</v>
      </c>
      <c r="BM467" s="10">
        <f t="shared" si="388"/>
        <v>0</v>
      </c>
      <c r="BN467" s="10">
        <f t="shared" si="388"/>
        <v>0</v>
      </c>
      <c r="BO467" s="10">
        <f t="shared" si="388"/>
        <v>0</v>
      </c>
      <c r="BP467" s="10">
        <f t="shared" si="388"/>
        <v>0</v>
      </c>
      <c r="BQ467" s="10">
        <f t="shared" si="388"/>
        <v>0</v>
      </c>
      <c r="BR467" s="10">
        <f t="shared" si="388"/>
        <v>0</v>
      </c>
      <c r="BS467" s="10">
        <f t="shared" si="388"/>
        <v>0</v>
      </c>
      <c r="BT467" s="10">
        <f t="shared" si="388"/>
        <v>0</v>
      </c>
      <c r="BU467" s="10">
        <f t="shared" si="388"/>
        <v>0</v>
      </c>
      <c r="BV467" s="10">
        <f t="shared" si="388"/>
        <v>0</v>
      </c>
      <c r="BX467" s="10">
        <f t="shared" ref="BX467:CI467" si="389">BX$134</f>
        <v>0</v>
      </c>
      <c r="BY467" s="10">
        <f t="shared" si="389"/>
        <v>0</v>
      </c>
      <c r="BZ467" s="10">
        <f t="shared" si="389"/>
        <v>0</v>
      </c>
      <c r="CA467" s="10">
        <f t="shared" si="389"/>
        <v>0</v>
      </c>
      <c r="CB467" s="10">
        <f t="shared" si="389"/>
        <v>0</v>
      </c>
      <c r="CC467" s="10">
        <f t="shared" si="389"/>
        <v>0</v>
      </c>
      <c r="CD467" s="10">
        <f t="shared" si="389"/>
        <v>0</v>
      </c>
      <c r="CE467" s="10">
        <f t="shared" si="389"/>
        <v>0</v>
      </c>
      <c r="CF467" s="10">
        <f t="shared" si="389"/>
        <v>0</v>
      </c>
      <c r="CG467" s="10">
        <f t="shared" si="389"/>
        <v>0</v>
      </c>
      <c r="CH467" s="10">
        <f t="shared" si="389"/>
        <v>0</v>
      </c>
      <c r="CI467" s="10">
        <f t="shared" si="389"/>
        <v>0</v>
      </c>
      <c r="CK467" s="11"/>
      <c r="CM467" s="11"/>
      <c r="DF467" s="11"/>
      <c r="EY467" s="10" t="str">
        <f t="shared" si="339"/>
        <v/>
      </c>
    </row>
    <row r="468" spans="1:155" x14ac:dyDescent="0.35">
      <c r="B468" s="69" t="str" cm="1">
        <f t="array" aca="1" ref="B468" ca="1">HYPERLINK(CONCATENATE("#",CELL("address",$D$151)),$D$151)</f>
        <v>Loan 6</v>
      </c>
      <c r="C468" s="211"/>
      <c r="D468" s="49">
        <f>D$18</f>
        <v>0</v>
      </c>
      <c r="E468" s="49" t="str">
        <f>F$18</f>
        <v/>
      </c>
      <c r="F468" s="49"/>
      <c r="H468" s="9" t="s">
        <v>1074</v>
      </c>
      <c r="I468" s="40" t="s">
        <v>665</v>
      </c>
      <c r="V468" s="133">
        <f>V$153</f>
        <v>0</v>
      </c>
      <c r="W468" s="10">
        <f>W$153</f>
        <v>0</v>
      </c>
      <c r="X468" s="10">
        <f>X$153</f>
        <v>0</v>
      </c>
      <c r="Y468" s="10">
        <f>Y$153</f>
        <v>0</v>
      </c>
      <c r="AA468" s="10">
        <f t="shared" ref="AA468:BV468" si="390">AA$153</f>
        <v>0</v>
      </c>
      <c r="AB468" s="10">
        <f t="shared" si="390"/>
        <v>0</v>
      </c>
      <c r="AC468" s="10">
        <f t="shared" si="390"/>
        <v>0</v>
      </c>
      <c r="AD468" s="10">
        <f t="shared" si="390"/>
        <v>0</v>
      </c>
      <c r="AE468" s="10">
        <f t="shared" si="390"/>
        <v>0</v>
      </c>
      <c r="AF468" s="10">
        <f t="shared" si="390"/>
        <v>0</v>
      </c>
      <c r="AG468" s="10">
        <f t="shared" si="390"/>
        <v>0</v>
      </c>
      <c r="AH468" s="10">
        <f t="shared" si="390"/>
        <v>0</v>
      </c>
      <c r="AI468" s="10">
        <f t="shared" si="390"/>
        <v>0</v>
      </c>
      <c r="AJ468" s="10">
        <f t="shared" si="390"/>
        <v>0</v>
      </c>
      <c r="AK468" s="10">
        <f t="shared" si="390"/>
        <v>0</v>
      </c>
      <c r="AL468" s="10">
        <f t="shared" si="390"/>
        <v>0</v>
      </c>
      <c r="AM468" s="10">
        <f t="shared" si="390"/>
        <v>0</v>
      </c>
      <c r="AN468" s="10">
        <f t="shared" si="390"/>
        <v>0</v>
      </c>
      <c r="AO468" s="10">
        <f t="shared" si="390"/>
        <v>0</v>
      </c>
      <c r="AP468" s="10">
        <f t="shared" si="390"/>
        <v>0</v>
      </c>
      <c r="AQ468" s="10">
        <f t="shared" si="390"/>
        <v>0</v>
      </c>
      <c r="AR468" s="10">
        <f t="shared" si="390"/>
        <v>0</v>
      </c>
      <c r="AS468" s="10">
        <f t="shared" si="390"/>
        <v>0</v>
      </c>
      <c r="AT468" s="10">
        <f t="shared" si="390"/>
        <v>0</v>
      </c>
      <c r="AU468" s="10">
        <f t="shared" si="390"/>
        <v>0</v>
      </c>
      <c r="AV468" s="10">
        <f t="shared" si="390"/>
        <v>0</v>
      </c>
      <c r="AW468" s="10">
        <f t="shared" si="390"/>
        <v>0</v>
      </c>
      <c r="AX468" s="10">
        <f t="shared" si="390"/>
        <v>0</v>
      </c>
      <c r="AY468" s="10">
        <f t="shared" si="390"/>
        <v>0</v>
      </c>
      <c r="AZ468" s="10">
        <f t="shared" si="390"/>
        <v>0</v>
      </c>
      <c r="BA468" s="10">
        <f t="shared" si="390"/>
        <v>0</v>
      </c>
      <c r="BB468" s="10">
        <f t="shared" si="390"/>
        <v>0</v>
      </c>
      <c r="BC468" s="10">
        <f t="shared" si="390"/>
        <v>0</v>
      </c>
      <c r="BD468" s="10">
        <f t="shared" si="390"/>
        <v>0</v>
      </c>
      <c r="BE468" s="10">
        <f t="shared" si="390"/>
        <v>0</v>
      </c>
      <c r="BF468" s="10">
        <f t="shared" si="390"/>
        <v>0</v>
      </c>
      <c r="BG468" s="10">
        <f t="shared" si="390"/>
        <v>0</v>
      </c>
      <c r="BH468" s="10">
        <f t="shared" si="390"/>
        <v>0</v>
      </c>
      <c r="BI468" s="10">
        <f t="shared" si="390"/>
        <v>0</v>
      </c>
      <c r="BJ468" s="10">
        <f t="shared" si="390"/>
        <v>0</v>
      </c>
      <c r="BK468" s="10">
        <f t="shared" si="390"/>
        <v>0</v>
      </c>
      <c r="BL468" s="10">
        <f t="shared" si="390"/>
        <v>0</v>
      </c>
      <c r="BM468" s="10">
        <f t="shared" si="390"/>
        <v>0</v>
      </c>
      <c r="BN468" s="10">
        <f t="shared" si="390"/>
        <v>0</v>
      </c>
      <c r="BO468" s="10">
        <f t="shared" si="390"/>
        <v>0</v>
      </c>
      <c r="BP468" s="10">
        <f t="shared" si="390"/>
        <v>0</v>
      </c>
      <c r="BQ468" s="10">
        <f t="shared" si="390"/>
        <v>0</v>
      </c>
      <c r="BR468" s="10">
        <f t="shared" si="390"/>
        <v>0</v>
      </c>
      <c r="BS468" s="10">
        <f t="shared" si="390"/>
        <v>0</v>
      </c>
      <c r="BT468" s="10">
        <f t="shared" si="390"/>
        <v>0</v>
      </c>
      <c r="BU468" s="10">
        <f t="shared" si="390"/>
        <v>0</v>
      </c>
      <c r="BV468" s="10">
        <f t="shared" si="390"/>
        <v>0</v>
      </c>
      <c r="BX468" s="10">
        <f t="shared" ref="BX468:CI468" si="391">BX$153</f>
        <v>0</v>
      </c>
      <c r="BY468" s="10">
        <f t="shared" si="391"/>
        <v>0</v>
      </c>
      <c r="BZ468" s="10">
        <f t="shared" si="391"/>
        <v>0</v>
      </c>
      <c r="CA468" s="10">
        <f t="shared" si="391"/>
        <v>0</v>
      </c>
      <c r="CB468" s="10">
        <f t="shared" si="391"/>
        <v>0</v>
      </c>
      <c r="CC468" s="10">
        <f t="shared" si="391"/>
        <v>0</v>
      </c>
      <c r="CD468" s="10">
        <f t="shared" si="391"/>
        <v>0</v>
      </c>
      <c r="CE468" s="10">
        <f t="shared" si="391"/>
        <v>0</v>
      </c>
      <c r="CF468" s="10">
        <f t="shared" si="391"/>
        <v>0</v>
      </c>
      <c r="CG468" s="10">
        <f t="shared" si="391"/>
        <v>0</v>
      </c>
      <c r="CH468" s="10">
        <f t="shared" si="391"/>
        <v>0</v>
      </c>
      <c r="CI468" s="10">
        <f t="shared" si="391"/>
        <v>0</v>
      </c>
      <c r="CK468" s="11"/>
      <c r="CM468" s="11"/>
      <c r="DF468" s="11"/>
      <c r="EY468" s="10" t="str">
        <f t="shared" si="339"/>
        <v/>
      </c>
    </row>
    <row r="469" spans="1:155" x14ac:dyDescent="0.35">
      <c r="B469" s="69" t="str" cm="1">
        <f t="array" aca="1" ref="B469" ca="1">HYPERLINK(CONCATENATE("#",CELL("address",$D$170)),$D$170)</f>
        <v>Loan 7</v>
      </c>
      <c r="C469" s="211"/>
      <c r="D469" s="49">
        <f>D$19</f>
        <v>0</v>
      </c>
      <c r="E469" s="49" t="str">
        <f>F$19</f>
        <v/>
      </c>
      <c r="F469" s="49"/>
      <c r="H469" s="9" t="s">
        <v>1074</v>
      </c>
      <c r="I469" s="40" t="s">
        <v>665</v>
      </c>
      <c r="V469" s="133">
        <f>V$172</f>
        <v>0</v>
      </c>
      <c r="W469" s="10">
        <f>W$172</f>
        <v>0</v>
      </c>
      <c r="X469" s="10">
        <f>X$172</f>
        <v>0</v>
      </c>
      <c r="Y469" s="10">
        <f>Y$172</f>
        <v>0</v>
      </c>
      <c r="AA469" s="10">
        <f t="shared" ref="AA469:BV469" si="392">AA$172</f>
        <v>0</v>
      </c>
      <c r="AB469" s="10">
        <f t="shared" si="392"/>
        <v>0</v>
      </c>
      <c r="AC469" s="10">
        <f t="shared" si="392"/>
        <v>0</v>
      </c>
      <c r="AD469" s="10">
        <f t="shared" si="392"/>
        <v>0</v>
      </c>
      <c r="AE469" s="10">
        <f t="shared" si="392"/>
        <v>0</v>
      </c>
      <c r="AF469" s="10">
        <f t="shared" si="392"/>
        <v>0</v>
      </c>
      <c r="AG469" s="10">
        <f t="shared" si="392"/>
        <v>0</v>
      </c>
      <c r="AH469" s="10">
        <f t="shared" si="392"/>
        <v>0</v>
      </c>
      <c r="AI469" s="10">
        <f t="shared" si="392"/>
        <v>0</v>
      </c>
      <c r="AJ469" s="10">
        <f t="shared" si="392"/>
        <v>0</v>
      </c>
      <c r="AK469" s="10">
        <f t="shared" si="392"/>
        <v>0</v>
      </c>
      <c r="AL469" s="10">
        <f t="shared" si="392"/>
        <v>0</v>
      </c>
      <c r="AM469" s="10">
        <f t="shared" si="392"/>
        <v>0</v>
      </c>
      <c r="AN469" s="10">
        <f t="shared" si="392"/>
        <v>0</v>
      </c>
      <c r="AO469" s="10">
        <f t="shared" si="392"/>
        <v>0</v>
      </c>
      <c r="AP469" s="10">
        <f t="shared" si="392"/>
        <v>0</v>
      </c>
      <c r="AQ469" s="10">
        <f t="shared" si="392"/>
        <v>0</v>
      </c>
      <c r="AR469" s="10">
        <f t="shared" si="392"/>
        <v>0</v>
      </c>
      <c r="AS469" s="10">
        <f t="shared" si="392"/>
        <v>0</v>
      </c>
      <c r="AT469" s="10">
        <f t="shared" si="392"/>
        <v>0</v>
      </c>
      <c r="AU469" s="10">
        <f t="shared" si="392"/>
        <v>0</v>
      </c>
      <c r="AV469" s="10">
        <f t="shared" si="392"/>
        <v>0</v>
      </c>
      <c r="AW469" s="10">
        <f t="shared" si="392"/>
        <v>0</v>
      </c>
      <c r="AX469" s="10">
        <f t="shared" si="392"/>
        <v>0</v>
      </c>
      <c r="AY469" s="10">
        <f t="shared" si="392"/>
        <v>0</v>
      </c>
      <c r="AZ469" s="10">
        <f t="shared" si="392"/>
        <v>0</v>
      </c>
      <c r="BA469" s="10">
        <f t="shared" si="392"/>
        <v>0</v>
      </c>
      <c r="BB469" s="10">
        <f t="shared" si="392"/>
        <v>0</v>
      </c>
      <c r="BC469" s="10">
        <f t="shared" si="392"/>
        <v>0</v>
      </c>
      <c r="BD469" s="10">
        <f t="shared" si="392"/>
        <v>0</v>
      </c>
      <c r="BE469" s="10">
        <f t="shared" si="392"/>
        <v>0</v>
      </c>
      <c r="BF469" s="10">
        <f t="shared" si="392"/>
        <v>0</v>
      </c>
      <c r="BG469" s="10">
        <f t="shared" si="392"/>
        <v>0</v>
      </c>
      <c r="BH469" s="10">
        <f t="shared" si="392"/>
        <v>0</v>
      </c>
      <c r="BI469" s="10">
        <f t="shared" si="392"/>
        <v>0</v>
      </c>
      <c r="BJ469" s="10">
        <f t="shared" si="392"/>
        <v>0</v>
      </c>
      <c r="BK469" s="10">
        <f t="shared" si="392"/>
        <v>0</v>
      </c>
      <c r="BL469" s="10">
        <f t="shared" si="392"/>
        <v>0</v>
      </c>
      <c r="BM469" s="10">
        <f t="shared" si="392"/>
        <v>0</v>
      </c>
      <c r="BN469" s="10">
        <f t="shared" si="392"/>
        <v>0</v>
      </c>
      <c r="BO469" s="10">
        <f t="shared" si="392"/>
        <v>0</v>
      </c>
      <c r="BP469" s="10">
        <f t="shared" si="392"/>
        <v>0</v>
      </c>
      <c r="BQ469" s="10">
        <f t="shared" si="392"/>
        <v>0</v>
      </c>
      <c r="BR469" s="10">
        <f t="shared" si="392"/>
        <v>0</v>
      </c>
      <c r="BS469" s="10">
        <f t="shared" si="392"/>
        <v>0</v>
      </c>
      <c r="BT469" s="10">
        <f t="shared" si="392"/>
        <v>0</v>
      </c>
      <c r="BU469" s="10">
        <f t="shared" si="392"/>
        <v>0</v>
      </c>
      <c r="BV469" s="10">
        <f t="shared" si="392"/>
        <v>0</v>
      </c>
      <c r="BX469" s="10">
        <f t="shared" ref="BX469:CI469" si="393">BX$172</f>
        <v>0</v>
      </c>
      <c r="BY469" s="10">
        <f t="shared" si="393"/>
        <v>0</v>
      </c>
      <c r="BZ469" s="10">
        <f t="shared" si="393"/>
        <v>0</v>
      </c>
      <c r="CA469" s="10">
        <f t="shared" si="393"/>
        <v>0</v>
      </c>
      <c r="CB469" s="10">
        <f t="shared" si="393"/>
        <v>0</v>
      </c>
      <c r="CC469" s="10">
        <f t="shared" si="393"/>
        <v>0</v>
      </c>
      <c r="CD469" s="10">
        <f t="shared" si="393"/>
        <v>0</v>
      </c>
      <c r="CE469" s="10">
        <f t="shared" si="393"/>
        <v>0</v>
      </c>
      <c r="CF469" s="10">
        <f t="shared" si="393"/>
        <v>0</v>
      </c>
      <c r="CG469" s="10">
        <f t="shared" si="393"/>
        <v>0</v>
      </c>
      <c r="CH469" s="10">
        <f t="shared" si="393"/>
        <v>0</v>
      </c>
      <c r="CI469" s="10">
        <f t="shared" si="393"/>
        <v>0</v>
      </c>
      <c r="CK469" s="11"/>
      <c r="CM469" s="11"/>
      <c r="DF469" s="11"/>
      <c r="EY469" s="10" t="str">
        <f t="shared" si="339"/>
        <v/>
      </c>
    </row>
    <row r="470" spans="1:155" x14ac:dyDescent="0.35">
      <c r="B470" s="69" t="str" cm="1">
        <f t="array" aca="1" ref="B470" ca="1">HYPERLINK(CONCATENATE("#",CELL("address",$D$189)),$D$189)</f>
        <v>Loan 8</v>
      </c>
      <c r="C470" s="211"/>
      <c r="D470" s="49">
        <f>D$20</f>
        <v>0</v>
      </c>
      <c r="E470" s="49" t="str">
        <f>F$20</f>
        <v/>
      </c>
      <c r="F470" s="49"/>
      <c r="H470" s="9" t="s">
        <v>1074</v>
      </c>
      <c r="I470" s="40" t="s">
        <v>665</v>
      </c>
      <c r="V470" s="133">
        <f>V$191</f>
        <v>0</v>
      </c>
      <c r="W470" s="10">
        <f>W$191</f>
        <v>0</v>
      </c>
      <c r="X470" s="10">
        <f>X$191</f>
        <v>0</v>
      </c>
      <c r="Y470" s="10">
        <f>Y$191</f>
        <v>0</v>
      </c>
      <c r="AA470" s="10">
        <f t="shared" ref="AA470:BV470" si="394">AA$191</f>
        <v>0</v>
      </c>
      <c r="AB470" s="10">
        <f t="shared" si="394"/>
        <v>0</v>
      </c>
      <c r="AC470" s="10">
        <f t="shared" si="394"/>
        <v>0</v>
      </c>
      <c r="AD470" s="10">
        <f t="shared" si="394"/>
        <v>0</v>
      </c>
      <c r="AE470" s="10">
        <f t="shared" si="394"/>
        <v>0</v>
      </c>
      <c r="AF470" s="10">
        <f t="shared" si="394"/>
        <v>0</v>
      </c>
      <c r="AG470" s="10">
        <f t="shared" si="394"/>
        <v>0</v>
      </c>
      <c r="AH470" s="10">
        <f t="shared" si="394"/>
        <v>0</v>
      </c>
      <c r="AI470" s="10">
        <f t="shared" si="394"/>
        <v>0</v>
      </c>
      <c r="AJ470" s="10">
        <f t="shared" si="394"/>
        <v>0</v>
      </c>
      <c r="AK470" s="10">
        <f t="shared" si="394"/>
        <v>0</v>
      </c>
      <c r="AL470" s="10">
        <f t="shared" si="394"/>
        <v>0</v>
      </c>
      <c r="AM470" s="10">
        <f t="shared" si="394"/>
        <v>0</v>
      </c>
      <c r="AN470" s="10">
        <f t="shared" si="394"/>
        <v>0</v>
      </c>
      <c r="AO470" s="10">
        <f t="shared" si="394"/>
        <v>0</v>
      </c>
      <c r="AP470" s="10">
        <f t="shared" si="394"/>
        <v>0</v>
      </c>
      <c r="AQ470" s="10">
        <f t="shared" si="394"/>
        <v>0</v>
      </c>
      <c r="AR470" s="10">
        <f t="shared" si="394"/>
        <v>0</v>
      </c>
      <c r="AS470" s="10">
        <f t="shared" si="394"/>
        <v>0</v>
      </c>
      <c r="AT470" s="10">
        <f t="shared" si="394"/>
        <v>0</v>
      </c>
      <c r="AU470" s="10">
        <f t="shared" si="394"/>
        <v>0</v>
      </c>
      <c r="AV470" s="10">
        <f t="shared" si="394"/>
        <v>0</v>
      </c>
      <c r="AW470" s="10">
        <f t="shared" si="394"/>
        <v>0</v>
      </c>
      <c r="AX470" s="10">
        <f t="shared" si="394"/>
        <v>0</v>
      </c>
      <c r="AY470" s="10">
        <f t="shared" si="394"/>
        <v>0</v>
      </c>
      <c r="AZ470" s="10">
        <f t="shared" si="394"/>
        <v>0</v>
      </c>
      <c r="BA470" s="10">
        <f t="shared" si="394"/>
        <v>0</v>
      </c>
      <c r="BB470" s="10">
        <f t="shared" si="394"/>
        <v>0</v>
      </c>
      <c r="BC470" s="10">
        <f t="shared" si="394"/>
        <v>0</v>
      </c>
      <c r="BD470" s="10">
        <f t="shared" si="394"/>
        <v>0</v>
      </c>
      <c r="BE470" s="10">
        <f t="shared" si="394"/>
        <v>0</v>
      </c>
      <c r="BF470" s="10">
        <f t="shared" si="394"/>
        <v>0</v>
      </c>
      <c r="BG470" s="10">
        <f t="shared" si="394"/>
        <v>0</v>
      </c>
      <c r="BH470" s="10">
        <f t="shared" si="394"/>
        <v>0</v>
      </c>
      <c r="BI470" s="10">
        <f t="shared" si="394"/>
        <v>0</v>
      </c>
      <c r="BJ470" s="10">
        <f t="shared" si="394"/>
        <v>0</v>
      </c>
      <c r="BK470" s="10">
        <f t="shared" si="394"/>
        <v>0</v>
      </c>
      <c r="BL470" s="10">
        <f t="shared" si="394"/>
        <v>0</v>
      </c>
      <c r="BM470" s="10">
        <f t="shared" si="394"/>
        <v>0</v>
      </c>
      <c r="BN470" s="10">
        <f t="shared" si="394"/>
        <v>0</v>
      </c>
      <c r="BO470" s="10">
        <f t="shared" si="394"/>
        <v>0</v>
      </c>
      <c r="BP470" s="10">
        <f t="shared" si="394"/>
        <v>0</v>
      </c>
      <c r="BQ470" s="10">
        <f t="shared" si="394"/>
        <v>0</v>
      </c>
      <c r="BR470" s="10">
        <f t="shared" si="394"/>
        <v>0</v>
      </c>
      <c r="BS470" s="10">
        <f t="shared" si="394"/>
        <v>0</v>
      </c>
      <c r="BT470" s="10">
        <f t="shared" si="394"/>
        <v>0</v>
      </c>
      <c r="BU470" s="10">
        <f t="shared" si="394"/>
        <v>0</v>
      </c>
      <c r="BV470" s="10">
        <f t="shared" si="394"/>
        <v>0</v>
      </c>
      <c r="BX470" s="10">
        <f t="shared" ref="BX470:CI470" si="395">BX$191</f>
        <v>0</v>
      </c>
      <c r="BY470" s="10">
        <f t="shared" si="395"/>
        <v>0</v>
      </c>
      <c r="BZ470" s="10">
        <f t="shared" si="395"/>
        <v>0</v>
      </c>
      <c r="CA470" s="10">
        <f t="shared" si="395"/>
        <v>0</v>
      </c>
      <c r="CB470" s="10">
        <f t="shared" si="395"/>
        <v>0</v>
      </c>
      <c r="CC470" s="10">
        <f t="shared" si="395"/>
        <v>0</v>
      </c>
      <c r="CD470" s="10">
        <f t="shared" si="395"/>
        <v>0</v>
      </c>
      <c r="CE470" s="10">
        <f t="shared" si="395"/>
        <v>0</v>
      </c>
      <c r="CF470" s="10">
        <f t="shared" si="395"/>
        <v>0</v>
      </c>
      <c r="CG470" s="10">
        <f t="shared" si="395"/>
        <v>0</v>
      </c>
      <c r="CH470" s="10">
        <f t="shared" si="395"/>
        <v>0</v>
      </c>
      <c r="CI470" s="10">
        <f t="shared" si="395"/>
        <v>0</v>
      </c>
      <c r="CK470" s="11"/>
      <c r="CM470" s="11"/>
      <c r="DF470" s="11"/>
      <c r="EY470" s="10" t="str">
        <f t="shared" si="339"/>
        <v/>
      </c>
    </row>
    <row r="471" spans="1:155" x14ac:dyDescent="0.35">
      <c r="B471" s="69" t="str" cm="1">
        <f t="array" aca="1" ref="B471" ca="1">HYPERLINK(CONCATENATE("#",CELL("address",$D$208)),$D$208)</f>
        <v>Loan 9</v>
      </c>
      <c r="C471" s="211"/>
      <c r="D471" s="49">
        <f>D$21</f>
        <v>0</v>
      </c>
      <c r="E471" s="49" t="str">
        <f>F$21</f>
        <v/>
      </c>
      <c r="F471" s="49"/>
      <c r="H471" s="9" t="s">
        <v>1074</v>
      </c>
      <c r="I471" s="40" t="s">
        <v>665</v>
      </c>
      <c r="V471" s="133">
        <f>V$210</f>
        <v>0</v>
      </c>
      <c r="W471" s="10">
        <f>W$210</f>
        <v>0</v>
      </c>
      <c r="X471" s="10">
        <f>X$210</f>
        <v>0</v>
      </c>
      <c r="Y471" s="10">
        <f>Y$210</f>
        <v>0</v>
      </c>
      <c r="AA471" s="10">
        <f t="shared" ref="AA471:BV471" si="396">AA$210</f>
        <v>0</v>
      </c>
      <c r="AB471" s="10">
        <f t="shared" si="396"/>
        <v>0</v>
      </c>
      <c r="AC471" s="10">
        <f t="shared" si="396"/>
        <v>0</v>
      </c>
      <c r="AD471" s="10">
        <f t="shared" si="396"/>
        <v>0</v>
      </c>
      <c r="AE471" s="10">
        <f t="shared" si="396"/>
        <v>0</v>
      </c>
      <c r="AF471" s="10">
        <f t="shared" si="396"/>
        <v>0</v>
      </c>
      <c r="AG471" s="10">
        <f t="shared" si="396"/>
        <v>0</v>
      </c>
      <c r="AH471" s="10">
        <f t="shared" si="396"/>
        <v>0</v>
      </c>
      <c r="AI471" s="10">
        <f t="shared" si="396"/>
        <v>0</v>
      </c>
      <c r="AJ471" s="10">
        <f t="shared" si="396"/>
        <v>0</v>
      </c>
      <c r="AK471" s="10">
        <f t="shared" si="396"/>
        <v>0</v>
      </c>
      <c r="AL471" s="10">
        <f t="shared" si="396"/>
        <v>0</v>
      </c>
      <c r="AM471" s="10">
        <f t="shared" si="396"/>
        <v>0</v>
      </c>
      <c r="AN471" s="10">
        <f t="shared" si="396"/>
        <v>0</v>
      </c>
      <c r="AO471" s="10">
        <f t="shared" si="396"/>
        <v>0</v>
      </c>
      <c r="AP471" s="10">
        <f t="shared" si="396"/>
        <v>0</v>
      </c>
      <c r="AQ471" s="10">
        <f t="shared" si="396"/>
        <v>0</v>
      </c>
      <c r="AR471" s="10">
        <f t="shared" si="396"/>
        <v>0</v>
      </c>
      <c r="AS471" s="10">
        <f t="shared" si="396"/>
        <v>0</v>
      </c>
      <c r="AT471" s="10">
        <f t="shared" si="396"/>
        <v>0</v>
      </c>
      <c r="AU471" s="10">
        <f t="shared" si="396"/>
        <v>0</v>
      </c>
      <c r="AV471" s="10">
        <f t="shared" si="396"/>
        <v>0</v>
      </c>
      <c r="AW471" s="10">
        <f t="shared" si="396"/>
        <v>0</v>
      </c>
      <c r="AX471" s="10">
        <f t="shared" si="396"/>
        <v>0</v>
      </c>
      <c r="AY471" s="10">
        <f t="shared" si="396"/>
        <v>0</v>
      </c>
      <c r="AZ471" s="10">
        <f t="shared" si="396"/>
        <v>0</v>
      </c>
      <c r="BA471" s="10">
        <f t="shared" si="396"/>
        <v>0</v>
      </c>
      <c r="BB471" s="10">
        <f t="shared" si="396"/>
        <v>0</v>
      </c>
      <c r="BC471" s="10">
        <f t="shared" si="396"/>
        <v>0</v>
      </c>
      <c r="BD471" s="10">
        <f t="shared" si="396"/>
        <v>0</v>
      </c>
      <c r="BE471" s="10">
        <f t="shared" si="396"/>
        <v>0</v>
      </c>
      <c r="BF471" s="10">
        <f t="shared" si="396"/>
        <v>0</v>
      </c>
      <c r="BG471" s="10">
        <f t="shared" si="396"/>
        <v>0</v>
      </c>
      <c r="BH471" s="10">
        <f t="shared" si="396"/>
        <v>0</v>
      </c>
      <c r="BI471" s="10">
        <f t="shared" si="396"/>
        <v>0</v>
      </c>
      <c r="BJ471" s="10">
        <f t="shared" si="396"/>
        <v>0</v>
      </c>
      <c r="BK471" s="10">
        <f t="shared" si="396"/>
        <v>0</v>
      </c>
      <c r="BL471" s="10">
        <f t="shared" si="396"/>
        <v>0</v>
      </c>
      <c r="BM471" s="10">
        <f t="shared" si="396"/>
        <v>0</v>
      </c>
      <c r="BN471" s="10">
        <f t="shared" si="396"/>
        <v>0</v>
      </c>
      <c r="BO471" s="10">
        <f t="shared" si="396"/>
        <v>0</v>
      </c>
      <c r="BP471" s="10">
        <f t="shared" si="396"/>
        <v>0</v>
      </c>
      <c r="BQ471" s="10">
        <f t="shared" si="396"/>
        <v>0</v>
      </c>
      <c r="BR471" s="10">
        <f t="shared" si="396"/>
        <v>0</v>
      </c>
      <c r="BS471" s="10">
        <f t="shared" si="396"/>
        <v>0</v>
      </c>
      <c r="BT471" s="10">
        <f t="shared" si="396"/>
        <v>0</v>
      </c>
      <c r="BU471" s="10">
        <f t="shared" si="396"/>
        <v>0</v>
      </c>
      <c r="BV471" s="10">
        <f t="shared" si="396"/>
        <v>0</v>
      </c>
      <c r="BX471" s="10">
        <f t="shared" ref="BX471:CI471" si="397">BX$210</f>
        <v>0</v>
      </c>
      <c r="BY471" s="10">
        <f t="shared" si="397"/>
        <v>0</v>
      </c>
      <c r="BZ471" s="10">
        <f t="shared" si="397"/>
        <v>0</v>
      </c>
      <c r="CA471" s="10">
        <f t="shared" si="397"/>
        <v>0</v>
      </c>
      <c r="CB471" s="10">
        <f t="shared" si="397"/>
        <v>0</v>
      </c>
      <c r="CC471" s="10">
        <f t="shared" si="397"/>
        <v>0</v>
      </c>
      <c r="CD471" s="10">
        <f t="shared" si="397"/>
        <v>0</v>
      </c>
      <c r="CE471" s="10">
        <f t="shared" si="397"/>
        <v>0</v>
      </c>
      <c r="CF471" s="10">
        <f t="shared" si="397"/>
        <v>0</v>
      </c>
      <c r="CG471" s="10">
        <f t="shared" si="397"/>
        <v>0</v>
      </c>
      <c r="CH471" s="10">
        <f t="shared" si="397"/>
        <v>0</v>
      </c>
      <c r="CI471" s="10">
        <f t="shared" si="397"/>
        <v>0</v>
      </c>
      <c r="CK471" s="11"/>
      <c r="CM471" s="11"/>
      <c r="DF471" s="11"/>
      <c r="EY471" s="10" t="str">
        <f t="shared" si="339"/>
        <v/>
      </c>
    </row>
    <row r="472" spans="1:155" x14ac:dyDescent="0.35">
      <c r="B472" s="69" t="str" cm="1">
        <f t="array" aca="1" ref="B472" ca="1">HYPERLINK(CONCATENATE("#",CELL("address",$D$227)),$D$227)</f>
        <v>Loan 10</v>
      </c>
      <c r="C472" s="211"/>
      <c r="D472" s="49">
        <f>D$22</f>
        <v>0</v>
      </c>
      <c r="E472" s="49" t="str">
        <f>F$22</f>
        <v/>
      </c>
      <c r="F472" s="49"/>
      <c r="H472" s="9" t="s">
        <v>1074</v>
      </c>
      <c r="I472" s="40" t="s">
        <v>665</v>
      </c>
      <c r="V472" s="133">
        <f>V$229</f>
        <v>0</v>
      </c>
      <c r="W472" s="10">
        <f>W$229</f>
        <v>0</v>
      </c>
      <c r="X472" s="10">
        <f>X$229</f>
        <v>0</v>
      </c>
      <c r="Y472" s="10">
        <f>Y$229</f>
        <v>0</v>
      </c>
      <c r="AA472" s="10">
        <f t="shared" ref="AA472:BV472" si="398">AA$229</f>
        <v>0</v>
      </c>
      <c r="AB472" s="10">
        <f t="shared" si="398"/>
        <v>0</v>
      </c>
      <c r="AC472" s="10">
        <f t="shared" si="398"/>
        <v>0</v>
      </c>
      <c r="AD472" s="10">
        <f t="shared" si="398"/>
        <v>0</v>
      </c>
      <c r="AE472" s="10">
        <f t="shared" si="398"/>
        <v>0</v>
      </c>
      <c r="AF472" s="10">
        <f t="shared" si="398"/>
        <v>0</v>
      </c>
      <c r="AG472" s="10">
        <f t="shared" si="398"/>
        <v>0</v>
      </c>
      <c r="AH472" s="10">
        <f t="shared" si="398"/>
        <v>0</v>
      </c>
      <c r="AI472" s="10">
        <f t="shared" si="398"/>
        <v>0</v>
      </c>
      <c r="AJ472" s="10">
        <f t="shared" si="398"/>
        <v>0</v>
      </c>
      <c r="AK472" s="10">
        <f t="shared" si="398"/>
        <v>0</v>
      </c>
      <c r="AL472" s="10">
        <f t="shared" si="398"/>
        <v>0</v>
      </c>
      <c r="AM472" s="10">
        <f t="shared" si="398"/>
        <v>0</v>
      </c>
      <c r="AN472" s="10">
        <f t="shared" si="398"/>
        <v>0</v>
      </c>
      <c r="AO472" s="10">
        <f t="shared" si="398"/>
        <v>0</v>
      </c>
      <c r="AP472" s="10">
        <f t="shared" si="398"/>
        <v>0</v>
      </c>
      <c r="AQ472" s="10">
        <f t="shared" si="398"/>
        <v>0</v>
      </c>
      <c r="AR472" s="10">
        <f t="shared" si="398"/>
        <v>0</v>
      </c>
      <c r="AS472" s="10">
        <f t="shared" si="398"/>
        <v>0</v>
      </c>
      <c r="AT472" s="10">
        <f t="shared" si="398"/>
        <v>0</v>
      </c>
      <c r="AU472" s="10">
        <f t="shared" si="398"/>
        <v>0</v>
      </c>
      <c r="AV472" s="10">
        <f t="shared" si="398"/>
        <v>0</v>
      </c>
      <c r="AW472" s="10">
        <f t="shared" si="398"/>
        <v>0</v>
      </c>
      <c r="AX472" s="10">
        <f t="shared" si="398"/>
        <v>0</v>
      </c>
      <c r="AY472" s="10">
        <f t="shared" si="398"/>
        <v>0</v>
      </c>
      <c r="AZ472" s="10">
        <f t="shared" si="398"/>
        <v>0</v>
      </c>
      <c r="BA472" s="10">
        <f t="shared" si="398"/>
        <v>0</v>
      </c>
      <c r="BB472" s="10">
        <f t="shared" si="398"/>
        <v>0</v>
      </c>
      <c r="BC472" s="10">
        <f t="shared" si="398"/>
        <v>0</v>
      </c>
      <c r="BD472" s="10">
        <f t="shared" si="398"/>
        <v>0</v>
      </c>
      <c r="BE472" s="10">
        <f t="shared" si="398"/>
        <v>0</v>
      </c>
      <c r="BF472" s="10">
        <f t="shared" si="398"/>
        <v>0</v>
      </c>
      <c r="BG472" s="10">
        <f t="shared" si="398"/>
        <v>0</v>
      </c>
      <c r="BH472" s="10">
        <f t="shared" si="398"/>
        <v>0</v>
      </c>
      <c r="BI472" s="10">
        <f t="shared" si="398"/>
        <v>0</v>
      </c>
      <c r="BJ472" s="10">
        <f t="shared" si="398"/>
        <v>0</v>
      </c>
      <c r="BK472" s="10">
        <f t="shared" si="398"/>
        <v>0</v>
      </c>
      <c r="BL472" s="10">
        <f t="shared" si="398"/>
        <v>0</v>
      </c>
      <c r="BM472" s="10">
        <f t="shared" si="398"/>
        <v>0</v>
      </c>
      <c r="BN472" s="10">
        <f t="shared" si="398"/>
        <v>0</v>
      </c>
      <c r="BO472" s="10">
        <f t="shared" si="398"/>
        <v>0</v>
      </c>
      <c r="BP472" s="10">
        <f t="shared" si="398"/>
        <v>0</v>
      </c>
      <c r="BQ472" s="10">
        <f t="shared" si="398"/>
        <v>0</v>
      </c>
      <c r="BR472" s="10">
        <f t="shared" si="398"/>
        <v>0</v>
      </c>
      <c r="BS472" s="10">
        <f t="shared" si="398"/>
        <v>0</v>
      </c>
      <c r="BT472" s="10">
        <f t="shared" si="398"/>
        <v>0</v>
      </c>
      <c r="BU472" s="10">
        <f t="shared" si="398"/>
        <v>0</v>
      </c>
      <c r="BV472" s="10">
        <f t="shared" si="398"/>
        <v>0</v>
      </c>
      <c r="BX472" s="10">
        <f t="shared" ref="BX472:CI472" si="399">BX$229</f>
        <v>0</v>
      </c>
      <c r="BY472" s="10">
        <f t="shared" si="399"/>
        <v>0</v>
      </c>
      <c r="BZ472" s="10">
        <f t="shared" si="399"/>
        <v>0</v>
      </c>
      <c r="CA472" s="10">
        <f t="shared" si="399"/>
        <v>0</v>
      </c>
      <c r="CB472" s="10">
        <f t="shared" si="399"/>
        <v>0</v>
      </c>
      <c r="CC472" s="10">
        <f t="shared" si="399"/>
        <v>0</v>
      </c>
      <c r="CD472" s="10">
        <f t="shared" si="399"/>
        <v>0</v>
      </c>
      <c r="CE472" s="10">
        <f t="shared" si="399"/>
        <v>0</v>
      </c>
      <c r="CF472" s="10">
        <f t="shared" si="399"/>
        <v>0</v>
      </c>
      <c r="CG472" s="10">
        <f t="shared" si="399"/>
        <v>0</v>
      </c>
      <c r="CH472" s="10">
        <f t="shared" si="399"/>
        <v>0</v>
      </c>
      <c r="CI472" s="10">
        <f t="shared" si="399"/>
        <v>0</v>
      </c>
      <c r="CK472" s="11"/>
      <c r="CM472" s="11"/>
      <c r="DF472" s="11"/>
      <c r="EY472" s="10" t="str">
        <f t="shared" si="339"/>
        <v/>
      </c>
    </row>
    <row r="473" spans="1:155" x14ac:dyDescent="0.35">
      <c r="B473" s="69" t="str" cm="1">
        <f t="array" aca="1" ref="B473" ca="1">HYPERLINK(CONCATENATE("#",CELL("address",$D$246)),$D$246)</f>
        <v>Loan 11</v>
      </c>
      <c r="C473" s="211"/>
      <c r="D473" s="49">
        <f>D$23</f>
        <v>0</v>
      </c>
      <c r="E473" s="49" t="str">
        <f>F$23</f>
        <v/>
      </c>
      <c r="F473" s="49"/>
      <c r="H473" s="9" t="s">
        <v>1074</v>
      </c>
      <c r="I473" s="40" t="s">
        <v>665</v>
      </c>
      <c r="V473" s="133">
        <f>V$248</f>
        <v>0</v>
      </c>
      <c r="W473" s="10">
        <f>W$248</f>
        <v>0</v>
      </c>
      <c r="X473" s="10">
        <f>X$248</f>
        <v>0</v>
      </c>
      <c r="Y473" s="10">
        <f>Y$248</f>
        <v>0</v>
      </c>
      <c r="AA473" s="10">
        <f t="shared" ref="AA473:BV473" si="400">AA$248</f>
        <v>0</v>
      </c>
      <c r="AB473" s="10">
        <f t="shared" si="400"/>
        <v>0</v>
      </c>
      <c r="AC473" s="10">
        <f t="shared" si="400"/>
        <v>0</v>
      </c>
      <c r="AD473" s="10">
        <f t="shared" si="400"/>
        <v>0</v>
      </c>
      <c r="AE473" s="10">
        <f t="shared" si="400"/>
        <v>0</v>
      </c>
      <c r="AF473" s="10">
        <f t="shared" si="400"/>
        <v>0</v>
      </c>
      <c r="AG473" s="10">
        <f t="shared" si="400"/>
        <v>0</v>
      </c>
      <c r="AH473" s="10">
        <f t="shared" si="400"/>
        <v>0</v>
      </c>
      <c r="AI473" s="10">
        <f t="shared" si="400"/>
        <v>0</v>
      </c>
      <c r="AJ473" s="10">
        <f t="shared" si="400"/>
        <v>0</v>
      </c>
      <c r="AK473" s="10">
        <f t="shared" si="400"/>
        <v>0</v>
      </c>
      <c r="AL473" s="10">
        <f t="shared" si="400"/>
        <v>0</v>
      </c>
      <c r="AM473" s="10">
        <f t="shared" si="400"/>
        <v>0</v>
      </c>
      <c r="AN473" s="10">
        <f t="shared" si="400"/>
        <v>0</v>
      </c>
      <c r="AO473" s="10">
        <f t="shared" si="400"/>
        <v>0</v>
      </c>
      <c r="AP473" s="10">
        <f t="shared" si="400"/>
        <v>0</v>
      </c>
      <c r="AQ473" s="10">
        <f t="shared" si="400"/>
        <v>0</v>
      </c>
      <c r="AR473" s="10">
        <f t="shared" si="400"/>
        <v>0</v>
      </c>
      <c r="AS473" s="10">
        <f t="shared" si="400"/>
        <v>0</v>
      </c>
      <c r="AT473" s="10">
        <f t="shared" si="400"/>
        <v>0</v>
      </c>
      <c r="AU473" s="10">
        <f t="shared" si="400"/>
        <v>0</v>
      </c>
      <c r="AV473" s="10">
        <f t="shared" si="400"/>
        <v>0</v>
      </c>
      <c r="AW473" s="10">
        <f t="shared" si="400"/>
        <v>0</v>
      </c>
      <c r="AX473" s="10">
        <f t="shared" si="400"/>
        <v>0</v>
      </c>
      <c r="AY473" s="10">
        <f t="shared" si="400"/>
        <v>0</v>
      </c>
      <c r="AZ473" s="10">
        <f t="shared" si="400"/>
        <v>0</v>
      </c>
      <c r="BA473" s="10">
        <f t="shared" si="400"/>
        <v>0</v>
      </c>
      <c r="BB473" s="10">
        <f t="shared" si="400"/>
        <v>0</v>
      </c>
      <c r="BC473" s="10">
        <f t="shared" si="400"/>
        <v>0</v>
      </c>
      <c r="BD473" s="10">
        <f t="shared" si="400"/>
        <v>0</v>
      </c>
      <c r="BE473" s="10">
        <f t="shared" si="400"/>
        <v>0</v>
      </c>
      <c r="BF473" s="10">
        <f t="shared" si="400"/>
        <v>0</v>
      </c>
      <c r="BG473" s="10">
        <f t="shared" si="400"/>
        <v>0</v>
      </c>
      <c r="BH473" s="10">
        <f t="shared" si="400"/>
        <v>0</v>
      </c>
      <c r="BI473" s="10">
        <f t="shared" si="400"/>
        <v>0</v>
      </c>
      <c r="BJ473" s="10">
        <f t="shared" si="400"/>
        <v>0</v>
      </c>
      <c r="BK473" s="10">
        <f t="shared" si="400"/>
        <v>0</v>
      </c>
      <c r="BL473" s="10">
        <f t="shared" si="400"/>
        <v>0</v>
      </c>
      <c r="BM473" s="10">
        <f t="shared" si="400"/>
        <v>0</v>
      </c>
      <c r="BN473" s="10">
        <f t="shared" si="400"/>
        <v>0</v>
      </c>
      <c r="BO473" s="10">
        <f t="shared" si="400"/>
        <v>0</v>
      </c>
      <c r="BP473" s="10">
        <f t="shared" si="400"/>
        <v>0</v>
      </c>
      <c r="BQ473" s="10">
        <f t="shared" si="400"/>
        <v>0</v>
      </c>
      <c r="BR473" s="10">
        <f t="shared" si="400"/>
        <v>0</v>
      </c>
      <c r="BS473" s="10">
        <f t="shared" si="400"/>
        <v>0</v>
      </c>
      <c r="BT473" s="10">
        <f t="shared" si="400"/>
        <v>0</v>
      </c>
      <c r="BU473" s="10">
        <f t="shared" si="400"/>
        <v>0</v>
      </c>
      <c r="BV473" s="10">
        <f t="shared" si="400"/>
        <v>0</v>
      </c>
      <c r="BX473" s="10">
        <f t="shared" ref="BX473:CI473" si="401">BX$248</f>
        <v>0</v>
      </c>
      <c r="BY473" s="10">
        <f t="shared" si="401"/>
        <v>0</v>
      </c>
      <c r="BZ473" s="10">
        <f t="shared" si="401"/>
        <v>0</v>
      </c>
      <c r="CA473" s="10">
        <f t="shared" si="401"/>
        <v>0</v>
      </c>
      <c r="CB473" s="10">
        <f t="shared" si="401"/>
        <v>0</v>
      </c>
      <c r="CC473" s="10">
        <f t="shared" si="401"/>
        <v>0</v>
      </c>
      <c r="CD473" s="10">
        <f t="shared" si="401"/>
        <v>0</v>
      </c>
      <c r="CE473" s="10">
        <f t="shared" si="401"/>
        <v>0</v>
      </c>
      <c r="CF473" s="10">
        <f t="shared" si="401"/>
        <v>0</v>
      </c>
      <c r="CG473" s="10">
        <f t="shared" si="401"/>
        <v>0</v>
      </c>
      <c r="CH473" s="10">
        <f t="shared" si="401"/>
        <v>0</v>
      </c>
      <c r="CI473" s="10">
        <f t="shared" si="401"/>
        <v>0</v>
      </c>
      <c r="CK473" s="11"/>
      <c r="CM473" s="11"/>
      <c r="DF473" s="11"/>
      <c r="EY473" s="10" t="str">
        <f t="shared" si="339"/>
        <v/>
      </c>
    </row>
    <row r="474" spans="1:155" x14ac:dyDescent="0.35">
      <c r="B474" s="69" t="str" cm="1">
        <f t="array" aca="1" ref="B474" ca="1">HYPERLINK(CONCATENATE("#",CELL("address",$D$265)),$D$265)</f>
        <v>Loan 12</v>
      </c>
      <c r="C474" s="211"/>
      <c r="D474" s="49">
        <f>D$24</f>
        <v>0</v>
      </c>
      <c r="E474" s="49" t="str">
        <f>F$24</f>
        <v/>
      </c>
      <c r="F474" s="49"/>
      <c r="H474" s="9" t="s">
        <v>1074</v>
      </c>
      <c r="I474" s="40" t="s">
        <v>665</v>
      </c>
      <c r="V474" s="133">
        <f>V$267</f>
        <v>0</v>
      </c>
      <c r="W474" s="10">
        <f>W$267</f>
        <v>0</v>
      </c>
      <c r="X474" s="10">
        <f>X$267</f>
        <v>0</v>
      </c>
      <c r="Y474" s="10">
        <f>Y$267</f>
        <v>0</v>
      </c>
      <c r="AA474" s="10">
        <f t="shared" ref="AA474:BV474" si="402">AA$267</f>
        <v>0</v>
      </c>
      <c r="AB474" s="10">
        <f t="shared" si="402"/>
        <v>0</v>
      </c>
      <c r="AC474" s="10">
        <f t="shared" si="402"/>
        <v>0</v>
      </c>
      <c r="AD474" s="10">
        <f t="shared" si="402"/>
        <v>0</v>
      </c>
      <c r="AE474" s="10">
        <f t="shared" si="402"/>
        <v>0</v>
      </c>
      <c r="AF474" s="10">
        <f t="shared" si="402"/>
        <v>0</v>
      </c>
      <c r="AG474" s="10">
        <f t="shared" si="402"/>
        <v>0</v>
      </c>
      <c r="AH474" s="10">
        <f t="shared" si="402"/>
        <v>0</v>
      </c>
      <c r="AI474" s="10">
        <f t="shared" si="402"/>
        <v>0</v>
      </c>
      <c r="AJ474" s="10">
        <f t="shared" si="402"/>
        <v>0</v>
      </c>
      <c r="AK474" s="10">
        <f t="shared" si="402"/>
        <v>0</v>
      </c>
      <c r="AL474" s="10">
        <f t="shared" si="402"/>
        <v>0</v>
      </c>
      <c r="AM474" s="10">
        <f t="shared" si="402"/>
        <v>0</v>
      </c>
      <c r="AN474" s="10">
        <f t="shared" si="402"/>
        <v>0</v>
      </c>
      <c r="AO474" s="10">
        <f t="shared" si="402"/>
        <v>0</v>
      </c>
      <c r="AP474" s="10">
        <f t="shared" si="402"/>
        <v>0</v>
      </c>
      <c r="AQ474" s="10">
        <f t="shared" si="402"/>
        <v>0</v>
      </c>
      <c r="AR474" s="10">
        <f t="shared" si="402"/>
        <v>0</v>
      </c>
      <c r="AS474" s="10">
        <f t="shared" si="402"/>
        <v>0</v>
      </c>
      <c r="AT474" s="10">
        <f t="shared" si="402"/>
        <v>0</v>
      </c>
      <c r="AU474" s="10">
        <f t="shared" si="402"/>
        <v>0</v>
      </c>
      <c r="AV474" s="10">
        <f t="shared" si="402"/>
        <v>0</v>
      </c>
      <c r="AW474" s="10">
        <f t="shared" si="402"/>
        <v>0</v>
      </c>
      <c r="AX474" s="10">
        <f t="shared" si="402"/>
        <v>0</v>
      </c>
      <c r="AY474" s="10">
        <f t="shared" si="402"/>
        <v>0</v>
      </c>
      <c r="AZ474" s="10">
        <f t="shared" si="402"/>
        <v>0</v>
      </c>
      <c r="BA474" s="10">
        <f t="shared" si="402"/>
        <v>0</v>
      </c>
      <c r="BB474" s="10">
        <f t="shared" si="402"/>
        <v>0</v>
      </c>
      <c r="BC474" s="10">
        <f t="shared" si="402"/>
        <v>0</v>
      </c>
      <c r="BD474" s="10">
        <f t="shared" si="402"/>
        <v>0</v>
      </c>
      <c r="BE474" s="10">
        <f t="shared" si="402"/>
        <v>0</v>
      </c>
      <c r="BF474" s="10">
        <f t="shared" si="402"/>
        <v>0</v>
      </c>
      <c r="BG474" s="10">
        <f t="shared" si="402"/>
        <v>0</v>
      </c>
      <c r="BH474" s="10">
        <f t="shared" si="402"/>
        <v>0</v>
      </c>
      <c r="BI474" s="10">
        <f t="shared" si="402"/>
        <v>0</v>
      </c>
      <c r="BJ474" s="10">
        <f t="shared" si="402"/>
        <v>0</v>
      </c>
      <c r="BK474" s="10">
        <f t="shared" si="402"/>
        <v>0</v>
      </c>
      <c r="BL474" s="10">
        <f t="shared" si="402"/>
        <v>0</v>
      </c>
      <c r="BM474" s="10">
        <f t="shared" si="402"/>
        <v>0</v>
      </c>
      <c r="BN474" s="10">
        <f t="shared" si="402"/>
        <v>0</v>
      </c>
      <c r="BO474" s="10">
        <f t="shared" si="402"/>
        <v>0</v>
      </c>
      <c r="BP474" s="10">
        <f t="shared" si="402"/>
        <v>0</v>
      </c>
      <c r="BQ474" s="10">
        <f t="shared" si="402"/>
        <v>0</v>
      </c>
      <c r="BR474" s="10">
        <f t="shared" si="402"/>
        <v>0</v>
      </c>
      <c r="BS474" s="10">
        <f t="shared" si="402"/>
        <v>0</v>
      </c>
      <c r="BT474" s="10">
        <f t="shared" si="402"/>
        <v>0</v>
      </c>
      <c r="BU474" s="10">
        <f t="shared" si="402"/>
        <v>0</v>
      </c>
      <c r="BV474" s="10">
        <f t="shared" si="402"/>
        <v>0</v>
      </c>
      <c r="BX474" s="10">
        <f t="shared" ref="BX474:CI474" si="403">BX$267</f>
        <v>0</v>
      </c>
      <c r="BY474" s="10">
        <f t="shared" si="403"/>
        <v>0</v>
      </c>
      <c r="BZ474" s="10">
        <f t="shared" si="403"/>
        <v>0</v>
      </c>
      <c r="CA474" s="10">
        <f t="shared" si="403"/>
        <v>0</v>
      </c>
      <c r="CB474" s="10">
        <f t="shared" si="403"/>
        <v>0</v>
      </c>
      <c r="CC474" s="10">
        <f t="shared" si="403"/>
        <v>0</v>
      </c>
      <c r="CD474" s="10">
        <f t="shared" si="403"/>
        <v>0</v>
      </c>
      <c r="CE474" s="10">
        <f t="shared" si="403"/>
        <v>0</v>
      </c>
      <c r="CF474" s="10">
        <f t="shared" si="403"/>
        <v>0</v>
      </c>
      <c r="CG474" s="10">
        <f t="shared" si="403"/>
        <v>0</v>
      </c>
      <c r="CH474" s="10">
        <f t="shared" si="403"/>
        <v>0</v>
      </c>
      <c r="CI474" s="10">
        <f t="shared" si="403"/>
        <v>0</v>
      </c>
      <c r="CK474" s="11"/>
      <c r="CM474" s="11"/>
      <c r="DF474" s="11"/>
      <c r="EY474" s="10" t="str">
        <f t="shared" si="339"/>
        <v/>
      </c>
    </row>
    <row r="475" spans="1:155" x14ac:dyDescent="0.35">
      <c r="B475" s="69" t="str" cm="1">
        <f t="array" aca="1" ref="B475" ca="1">HYPERLINK(CONCATENATE("#",CELL("address",$D$284)),$D$284)</f>
        <v>Loan 13</v>
      </c>
      <c r="C475" s="211"/>
      <c r="D475" s="49">
        <f>D$25</f>
        <v>0</v>
      </c>
      <c r="E475" s="49" t="str">
        <f>F$25</f>
        <v/>
      </c>
      <c r="F475" s="49"/>
      <c r="H475" s="9" t="s">
        <v>1074</v>
      </c>
      <c r="I475" s="40" t="s">
        <v>665</v>
      </c>
      <c r="V475" s="133">
        <f>V$286</f>
        <v>0</v>
      </c>
      <c r="W475" s="10">
        <f>W$286</f>
        <v>0</v>
      </c>
      <c r="X475" s="10">
        <f>X$286</f>
        <v>0</v>
      </c>
      <c r="Y475" s="10">
        <f>Y$286</f>
        <v>0</v>
      </c>
      <c r="AA475" s="10">
        <f t="shared" ref="AA475:BV475" si="404">AA$286</f>
        <v>0</v>
      </c>
      <c r="AB475" s="10">
        <f t="shared" si="404"/>
        <v>0</v>
      </c>
      <c r="AC475" s="10">
        <f t="shared" si="404"/>
        <v>0</v>
      </c>
      <c r="AD475" s="10">
        <f t="shared" si="404"/>
        <v>0</v>
      </c>
      <c r="AE475" s="10">
        <f t="shared" si="404"/>
        <v>0</v>
      </c>
      <c r="AF475" s="10">
        <f t="shared" si="404"/>
        <v>0</v>
      </c>
      <c r="AG475" s="10">
        <f t="shared" si="404"/>
        <v>0</v>
      </c>
      <c r="AH475" s="10">
        <f t="shared" si="404"/>
        <v>0</v>
      </c>
      <c r="AI475" s="10">
        <f t="shared" si="404"/>
        <v>0</v>
      </c>
      <c r="AJ475" s="10">
        <f t="shared" si="404"/>
        <v>0</v>
      </c>
      <c r="AK475" s="10">
        <f t="shared" si="404"/>
        <v>0</v>
      </c>
      <c r="AL475" s="10">
        <f t="shared" si="404"/>
        <v>0</v>
      </c>
      <c r="AM475" s="10">
        <f t="shared" si="404"/>
        <v>0</v>
      </c>
      <c r="AN475" s="10">
        <f t="shared" si="404"/>
        <v>0</v>
      </c>
      <c r="AO475" s="10">
        <f t="shared" si="404"/>
        <v>0</v>
      </c>
      <c r="AP475" s="10">
        <f t="shared" si="404"/>
        <v>0</v>
      </c>
      <c r="AQ475" s="10">
        <f t="shared" si="404"/>
        <v>0</v>
      </c>
      <c r="AR475" s="10">
        <f t="shared" si="404"/>
        <v>0</v>
      </c>
      <c r="AS475" s="10">
        <f t="shared" si="404"/>
        <v>0</v>
      </c>
      <c r="AT475" s="10">
        <f t="shared" si="404"/>
        <v>0</v>
      </c>
      <c r="AU475" s="10">
        <f t="shared" si="404"/>
        <v>0</v>
      </c>
      <c r="AV475" s="10">
        <f t="shared" si="404"/>
        <v>0</v>
      </c>
      <c r="AW475" s="10">
        <f t="shared" si="404"/>
        <v>0</v>
      </c>
      <c r="AX475" s="10">
        <f t="shared" si="404"/>
        <v>0</v>
      </c>
      <c r="AY475" s="10">
        <f t="shared" si="404"/>
        <v>0</v>
      </c>
      <c r="AZ475" s="10">
        <f t="shared" si="404"/>
        <v>0</v>
      </c>
      <c r="BA475" s="10">
        <f t="shared" si="404"/>
        <v>0</v>
      </c>
      <c r="BB475" s="10">
        <f t="shared" si="404"/>
        <v>0</v>
      </c>
      <c r="BC475" s="10">
        <f t="shared" si="404"/>
        <v>0</v>
      </c>
      <c r="BD475" s="10">
        <f t="shared" si="404"/>
        <v>0</v>
      </c>
      <c r="BE475" s="10">
        <f t="shared" si="404"/>
        <v>0</v>
      </c>
      <c r="BF475" s="10">
        <f t="shared" si="404"/>
        <v>0</v>
      </c>
      <c r="BG475" s="10">
        <f t="shared" si="404"/>
        <v>0</v>
      </c>
      <c r="BH475" s="10">
        <f t="shared" si="404"/>
        <v>0</v>
      </c>
      <c r="BI475" s="10">
        <f t="shared" si="404"/>
        <v>0</v>
      </c>
      <c r="BJ475" s="10">
        <f t="shared" si="404"/>
        <v>0</v>
      </c>
      <c r="BK475" s="10">
        <f t="shared" si="404"/>
        <v>0</v>
      </c>
      <c r="BL475" s="10">
        <f t="shared" si="404"/>
        <v>0</v>
      </c>
      <c r="BM475" s="10">
        <f t="shared" si="404"/>
        <v>0</v>
      </c>
      <c r="BN475" s="10">
        <f t="shared" si="404"/>
        <v>0</v>
      </c>
      <c r="BO475" s="10">
        <f t="shared" si="404"/>
        <v>0</v>
      </c>
      <c r="BP475" s="10">
        <f t="shared" si="404"/>
        <v>0</v>
      </c>
      <c r="BQ475" s="10">
        <f t="shared" si="404"/>
        <v>0</v>
      </c>
      <c r="BR475" s="10">
        <f t="shared" si="404"/>
        <v>0</v>
      </c>
      <c r="BS475" s="10">
        <f t="shared" si="404"/>
        <v>0</v>
      </c>
      <c r="BT475" s="10">
        <f t="shared" si="404"/>
        <v>0</v>
      </c>
      <c r="BU475" s="10">
        <f t="shared" si="404"/>
        <v>0</v>
      </c>
      <c r="BV475" s="10">
        <f t="shared" si="404"/>
        <v>0</v>
      </c>
      <c r="BX475" s="10">
        <f t="shared" ref="BX475:CI475" si="405">BX$286</f>
        <v>0</v>
      </c>
      <c r="BY475" s="10">
        <f t="shared" si="405"/>
        <v>0</v>
      </c>
      <c r="BZ475" s="10">
        <f t="shared" si="405"/>
        <v>0</v>
      </c>
      <c r="CA475" s="10">
        <f t="shared" si="405"/>
        <v>0</v>
      </c>
      <c r="CB475" s="10">
        <f t="shared" si="405"/>
        <v>0</v>
      </c>
      <c r="CC475" s="10">
        <f t="shared" si="405"/>
        <v>0</v>
      </c>
      <c r="CD475" s="10">
        <f t="shared" si="405"/>
        <v>0</v>
      </c>
      <c r="CE475" s="10">
        <f t="shared" si="405"/>
        <v>0</v>
      </c>
      <c r="CF475" s="10">
        <f t="shared" si="405"/>
        <v>0</v>
      </c>
      <c r="CG475" s="10">
        <f t="shared" si="405"/>
        <v>0</v>
      </c>
      <c r="CH475" s="10">
        <f t="shared" si="405"/>
        <v>0</v>
      </c>
      <c r="CI475" s="10">
        <f t="shared" si="405"/>
        <v>0</v>
      </c>
      <c r="CK475" s="11"/>
      <c r="CM475" s="11"/>
      <c r="DF475" s="11"/>
      <c r="EY475" s="10" t="str">
        <f t="shared" si="339"/>
        <v/>
      </c>
    </row>
    <row r="476" spans="1:155" s="5" customFormat="1" x14ac:dyDescent="0.35">
      <c r="A476"/>
      <c r="B476" s="69" t="str" cm="1">
        <f t="array" aca="1" ref="B476" ca="1">HYPERLINK(CONCATENATE("#",CELL("address",$D$303)),$D$303)</f>
        <v>Loan 14</v>
      </c>
      <c r="C476" s="211"/>
      <c r="D476" s="49">
        <f>D$26</f>
        <v>0</v>
      </c>
      <c r="E476" s="49" t="str">
        <f>F$26</f>
        <v/>
      </c>
      <c r="F476" s="49"/>
      <c r="G476"/>
      <c r="H476" s="9" t="s">
        <v>1074</v>
      </c>
      <c r="I476" s="40" t="s">
        <v>665</v>
      </c>
      <c r="J476"/>
      <c r="K476"/>
      <c r="L476"/>
      <c r="M476"/>
      <c r="N476"/>
      <c r="O476"/>
      <c r="P476"/>
      <c r="Q476"/>
      <c r="R476"/>
      <c r="S476"/>
      <c r="T476"/>
      <c r="U476"/>
      <c r="V476" s="133">
        <f>V$305</f>
        <v>0</v>
      </c>
      <c r="W476" s="10">
        <f>W$305</f>
        <v>0</v>
      </c>
      <c r="X476" s="10">
        <f>X$305</f>
        <v>0</v>
      </c>
      <c r="Y476" s="10">
        <f>Y$305</f>
        <v>0</v>
      </c>
      <c r="Z476"/>
      <c r="AA476" s="10">
        <f t="shared" ref="AA476:BV476" si="406">AA$305</f>
        <v>0</v>
      </c>
      <c r="AB476" s="10">
        <f t="shared" si="406"/>
        <v>0</v>
      </c>
      <c r="AC476" s="10">
        <f t="shared" si="406"/>
        <v>0</v>
      </c>
      <c r="AD476" s="10">
        <f t="shared" si="406"/>
        <v>0</v>
      </c>
      <c r="AE476" s="10">
        <f t="shared" si="406"/>
        <v>0</v>
      </c>
      <c r="AF476" s="10">
        <f t="shared" si="406"/>
        <v>0</v>
      </c>
      <c r="AG476" s="10">
        <f t="shared" si="406"/>
        <v>0</v>
      </c>
      <c r="AH476" s="10">
        <f t="shared" si="406"/>
        <v>0</v>
      </c>
      <c r="AI476" s="10">
        <f t="shared" si="406"/>
        <v>0</v>
      </c>
      <c r="AJ476" s="10">
        <f t="shared" si="406"/>
        <v>0</v>
      </c>
      <c r="AK476" s="10">
        <f t="shared" si="406"/>
        <v>0</v>
      </c>
      <c r="AL476" s="10">
        <f t="shared" si="406"/>
        <v>0</v>
      </c>
      <c r="AM476" s="10">
        <f t="shared" si="406"/>
        <v>0</v>
      </c>
      <c r="AN476" s="10">
        <f t="shared" si="406"/>
        <v>0</v>
      </c>
      <c r="AO476" s="10">
        <f t="shared" si="406"/>
        <v>0</v>
      </c>
      <c r="AP476" s="10">
        <f t="shared" si="406"/>
        <v>0</v>
      </c>
      <c r="AQ476" s="10">
        <f t="shared" si="406"/>
        <v>0</v>
      </c>
      <c r="AR476" s="10">
        <f t="shared" si="406"/>
        <v>0</v>
      </c>
      <c r="AS476" s="10">
        <f t="shared" si="406"/>
        <v>0</v>
      </c>
      <c r="AT476" s="10">
        <f t="shared" si="406"/>
        <v>0</v>
      </c>
      <c r="AU476" s="10">
        <f t="shared" si="406"/>
        <v>0</v>
      </c>
      <c r="AV476" s="10">
        <f t="shared" si="406"/>
        <v>0</v>
      </c>
      <c r="AW476" s="10">
        <f t="shared" si="406"/>
        <v>0</v>
      </c>
      <c r="AX476" s="10">
        <f t="shared" si="406"/>
        <v>0</v>
      </c>
      <c r="AY476" s="10">
        <f t="shared" si="406"/>
        <v>0</v>
      </c>
      <c r="AZ476" s="10">
        <f t="shared" si="406"/>
        <v>0</v>
      </c>
      <c r="BA476" s="10">
        <f t="shared" si="406"/>
        <v>0</v>
      </c>
      <c r="BB476" s="10">
        <f t="shared" si="406"/>
        <v>0</v>
      </c>
      <c r="BC476" s="10">
        <f t="shared" si="406"/>
        <v>0</v>
      </c>
      <c r="BD476" s="10">
        <f t="shared" si="406"/>
        <v>0</v>
      </c>
      <c r="BE476" s="10">
        <f t="shared" si="406"/>
        <v>0</v>
      </c>
      <c r="BF476" s="10">
        <f t="shared" si="406"/>
        <v>0</v>
      </c>
      <c r="BG476" s="10">
        <f t="shared" si="406"/>
        <v>0</v>
      </c>
      <c r="BH476" s="10">
        <f t="shared" si="406"/>
        <v>0</v>
      </c>
      <c r="BI476" s="10">
        <f t="shared" si="406"/>
        <v>0</v>
      </c>
      <c r="BJ476" s="10">
        <f t="shared" si="406"/>
        <v>0</v>
      </c>
      <c r="BK476" s="10">
        <f t="shared" si="406"/>
        <v>0</v>
      </c>
      <c r="BL476" s="10">
        <f t="shared" si="406"/>
        <v>0</v>
      </c>
      <c r="BM476" s="10">
        <f t="shared" si="406"/>
        <v>0</v>
      </c>
      <c r="BN476" s="10">
        <f t="shared" si="406"/>
        <v>0</v>
      </c>
      <c r="BO476" s="10">
        <f t="shared" si="406"/>
        <v>0</v>
      </c>
      <c r="BP476" s="10">
        <f t="shared" si="406"/>
        <v>0</v>
      </c>
      <c r="BQ476" s="10">
        <f t="shared" si="406"/>
        <v>0</v>
      </c>
      <c r="BR476" s="10">
        <f t="shared" si="406"/>
        <v>0</v>
      </c>
      <c r="BS476" s="10">
        <f t="shared" si="406"/>
        <v>0</v>
      </c>
      <c r="BT476" s="10">
        <f t="shared" si="406"/>
        <v>0</v>
      </c>
      <c r="BU476" s="10">
        <f t="shared" si="406"/>
        <v>0</v>
      </c>
      <c r="BV476" s="10">
        <f t="shared" si="406"/>
        <v>0</v>
      </c>
      <c r="BW476"/>
      <c r="BX476" s="10">
        <f t="shared" ref="BX476:CI476" si="407">BX$305</f>
        <v>0</v>
      </c>
      <c r="BY476" s="10">
        <f t="shared" si="407"/>
        <v>0</v>
      </c>
      <c r="BZ476" s="10">
        <f t="shared" si="407"/>
        <v>0</v>
      </c>
      <c r="CA476" s="10">
        <f t="shared" si="407"/>
        <v>0</v>
      </c>
      <c r="CB476" s="10">
        <f t="shared" si="407"/>
        <v>0</v>
      </c>
      <c r="CC476" s="10">
        <f t="shared" si="407"/>
        <v>0</v>
      </c>
      <c r="CD476" s="10">
        <f t="shared" si="407"/>
        <v>0</v>
      </c>
      <c r="CE476" s="10">
        <f t="shared" si="407"/>
        <v>0</v>
      </c>
      <c r="CF476" s="10">
        <f t="shared" si="407"/>
        <v>0</v>
      </c>
      <c r="CG476" s="10">
        <f t="shared" si="407"/>
        <v>0</v>
      </c>
      <c r="CH476" s="10">
        <f t="shared" si="407"/>
        <v>0</v>
      </c>
      <c r="CI476" s="10">
        <f t="shared" si="407"/>
        <v>0</v>
      </c>
      <c r="CJ476"/>
      <c r="CK476" s="11"/>
      <c r="CL476"/>
      <c r="CM476" s="11"/>
      <c r="CN476"/>
      <c r="CO476"/>
      <c r="CP476"/>
      <c r="CQ476"/>
      <c r="CR476"/>
      <c r="CS476"/>
      <c r="CT476"/>
      <c r="CU476"/>
      <c r="CV476"/>
      <c r="CW476"/>
      <c r="CX476"/>
      <c r="CY476"/>
      <c r="CZ476"/>
      <c r="DA476"/>
      <c r="DB476"/>
      <c r="DC476"/>
      <c r="DD476"/>
      <c r="DE476"/>
      <c r="DF476" s="11"/>
      <c r="EY476" s="10" t="str">
        <f t="shared" si="339"/>
        <v/>
      </c>
    </row>
    <row r="477" spans="1:155" x14ac:dyDescent="0.35">
      <c r="B477" s="69" t="str" cm="1">
        <f t="array" aca="1" ref="B477" ca="1">HYPERLINK(CONCATENATE("#",CELL("address",$D$322)),$D$322)</f>
        <v>Loan 15</v>
      </c>
      <c r="C477" s="211"/>
      <c r="D477" s="49">
        <f>D$27</f>
        <v>0</v>
      </c>
      <c r="E477" s="49" t="str">
        <f>F$27</f>
        <v/>
      </c>
      <c r="F477" s="49"/>
      <c r="H477" s="9" t="s">
        <v>1074</v>
      </c>
      <c r="I477" s="40" t="s">
        <v>665</v>
      </c>
      <c r="V477" s="133">
        <f>V$324</f>
        <v>0</v>
      </c>
      <c r="W477" s="10">
        <f>W$324</f>
        <v>0</v>
      </c>
      <c r="X477" s="10">
        <f>X$324</f>
        <v>0</v>
      </c>
      <c r="Y477" s="10">
        <f>Y$324</f>
        <v>0</v>
      </c>
      <c r="AA477" s="10">
        <f t="shared" ref="AA477:BV477" si="408">AA$324</f>
        <v>0</v>
      </c>
      <c r="AB477" s="10">
        <f t="shared" si="408"/>
        <v>0</v>
      </c>
      <c r="AC477" s="10">
        <f t="shared" si="408"/>
        <v>0</v>
      </c>
      <c r="AD477" s="10">
        <f t="shared" si="408"/>
        <v>0</v>
      </c>
      <c r="AE477" s="10">
        <f t="shared" si="408"/>
        <v>0</v>
      </c>
      <c r="AF477" s="10">
        <f t="shared" si="408"/>
        <v>0</v>
      </c>
      <c r="AG477" s="10">
        <f t="shared" si="408"/>
        <v>0</v>
      </c>
      <c r="AH477" s="10">
        <f t="shared" si="408"/>
        <v>0</v>
      </c>
      <c r="AI477" s="10">
        <f t="shared" si="408"/>
        <v>0</v>
      </c>
      <c r="AJ477" s="10">
        <f t="shared" si="408"/>
        <v>0</v>
      </c>
      <c r="AK477" s="10">
        <f t="shared" si="408"/>
        <v>0</v>
      </c>
      <c r="AL477" s="10">
        <f t="shared" si="408"/>
        <v>0</v>
      </c>
      <c r="AM477" s="10">
        <f t="shared" si="408"/>
        <v>0</v>
      </c>
      <c r="AN477" s="10">
        <f t="shared" si="408"/>
        <v>0</v>
      </c>
      <c r="AO477" s="10">
        <f t="shared" si="408"/>
        <v>0</v>
      </c>
      <c r="AP477" s="10">
        <f t="shared" si="408"/>
        <v>0</v>
      </c>
      <c r="AQ477" s="10">
        <f t="shared" si="408"/>
        <v>0</v>
      </c>
      <c r="AR477" s="10">
        <f t="shared" si="408"/>
        <v>0</v>
      </c>
      <c r="AS477" s="10">
        <f t="shared" si="408"/>
        <v>0</v>
      </c>
      <c r="AT477" s="10">
        <f t="shared" si="408"/>
        <v>0</v>
      </c>
      <c r="AU477" s="10">
        <f t="shared" si="408"/>
        <v>0</v>
      </c>
      <c r="AV477" s="10">
        <f t="shared" si="408"/>
        <v>0</v>
      </c>
      <c r="AW477" s="10">
        <f t="shared" si="408"/>
        <v>0</v>
      </c>
      <c r="AX477" s="10">
        <f t="shared" si="408"/>
        <v>0</v>
      </c>
      <c r="AY477" s="10">
        <f t="shared" si="408"/>
        <v>0</v>
      </c>
      <c r="AZ477" s="10">
        <f t="shared" si="408"/>
        <v>0</v>
      </c>
      <c r="BA477" s="10">
        <f t="shared" si="408"/>
        <v>0</v>
      </c>
      <c r="BB477" s="10">
        <f t="shared" si="408"/>
        <v>0</v>
      </c>
      <c r="BC477" s="10">
        <f t="shared" si="408"/>
        <v>0</v>
      </c>
      <c r="BD477" s="10">
        <f t="shared" si="408"/>
        <v>0</v>
      </c>
      <c r="BE477" s="10">
        <f t="shared" si="408"/>
        <v>0</v>
      </c>
      <c r="BF477" s="10">
        <f t="shared" si="408"/>
        <v>0</v>
      </c>
      <c r="BG477" s="10">
        <f t="shared" si="408"/>
        <v>0</v>
      </c>
      <c r="BH477" s="10">
        <f t="shared" si="408"/>
        <v>0</v>
      </c>
      <c r="BI477" s="10">
        <f t="shared" si="408"/>
        <v>0</v>
      </c>
      <c r="BJ477" s="10">
        <f t="shared" si="408"/>
        <v>0</v>
      </c>
      <c r="BK477" s="10">
        <f t="shared" si="408"/>
        <v>0</v>
      </c>
      <c r="BL477" s="10">
        <f t="shared" si="408"/>
        <v>0</v>
      </c>
      <c r="BM477" s="10">
        <f t="shared" si="408"/>
        <v>0</v>
      </c>
      <c r="BN477" s="10">
        <f t="shared" si="408"/>
        <v>0</v>
      </c>
      <c r="BO477" s="10">
        <f t="shared" si="408"/>
        <v>0</v>
      </c>
      <c r="BP477" s="10">
        <f t="shared" si="408"/>
        <v>0</v>
      </c>
      <c r="BQ477" s="10">
        <f t="shared" si="408"/>
        <v>0</v>
      </c>
      <c r="BR477" s="10">
        <f t="shared" si="408"/>
        <v>0</v>
      </c>
      <c r="BS477" s="10">
        <f t="shared" si="408"/>
        <v>0</v>
      </c>
      <c r="BT477" s="10">
        <f t="shared" si="408"/>
        <v>0</v>
      </c>
      <c r="BU477" s="10">
        <f t="shared" si="408"/>
        <v>0</v>
      </c>
      <c r="BV477" s="10">
        <f t="shared" si="408"/>
        <v>0</v>
      </c>
      <c r="BX477" s="10">
        <f t="shared" ref="BX477:CI477" si="409">BX$324</f>
        <v>0</v>
      </c>
      <c r="BY477" s="10">
        <f t="shared" si="409"/>
        <v>0</v>
      </c>
      <c r="BZ477" s="10">
        <f t="shared" si="409"/>
        <v>0</v>
      </c>
      <c r="CA477" s="10">
        <f t="shared" si="409"/>
        <v>0</v>
      </c>
      <c r="CB477" s="10">
        <f t="shared" si="409"/>
        <v>0</v>
      </c>
      <c r="CC477" s="10">
        <f t="shared" si="409"/>
        <v>0</v>
      </c>
      <c r="CD477" s="10">
        <f t="shared" si="409"/>
        <v>0</v>
      </c>
      <c r="CE477" s="10">
        <f t="shared" si="409"/>
        <v>0</v>
      </c>
      <c r="CF477" s="10">
        <f t="shared" si="409"/>
        <v>0</v>
      </c>
      <c r="CG477" s="10">
        <f t="shared" si="409"/>
        <v>0</v>
      </c>
      <c r="CH477" s="10">
        <f t="shared" si="409"/>
        <v>0</v>
      </c>
      <c r="CI477" s="10">
        <f t="shared" si="409"/>
        <v>0</v>
      </c>
      <c r="CK477" s="11"/>
      <c r="CM477" s="11"/>
      <c r="DF477" s="11"/>
      <c r="EY477" s="10" t="str">
        <f t="shared" si="339"/>
        <v/>
      </c>
    </row>
    <row r="478" spans="1:155" x14ac:dyDescent="0.35">
      <c r="B478" s="69" t="str" cm="1">
        <f t="array" aca="1" ref="B478" ca="1">HYPERLINK(CONCATENATE("#",CELL("address",$D$341)),$D$341)</f>
        <v>Loan 16</v>
      </c>
      <c r="C478" s="211"/>
      <c r="D478" s="49">
        <f>D$28</f>
        <v>0</v>
      </c>
      <c r="E478" s="49" t="str">
        <f>F$28</f>
        <v/>
      </c>
      <c r="F478" s="49"/>
      <c r="H478" s="9" t="s">
        <v>1074</v>
      </c>
      <c r="I478" s="40" t="s">
        <v>665</v>
      </c>
      <c r="V478" s="133">
        <f>V$343</f>
        <v>0</v>
      </c>
      <c r="W478" s="10">
        <f>W$343</f>
        <v>0</v>
      </c>
      <c r="X478" s="10">
        <f>X$343</f>
        <v>0</v>
      </c>
      <c r="Y478" s="10">
        <f>Y$343</f>
        <v>0</v>
      </c>
      <c r="AA478" s="10">
        <f t="shared" ref="AA478:BV478" si="410">AA$343</f>
        <v>0</v>
      </c>
      <c r="AB478" s="10">
        <f t="shared" si="410"/>
        <v>0</v>
      </c>
      <c r="AC478" s="10">
        <f t="shared" si="410"/>
        <v>0</v>
      </c>
      <c r="AD478" s="10">
        <f t="shared" si="410"/>
        <v>0</v>
      </c>
      <c r="AE478" s="10">
        <f t="shared" si="410"/>
        <v>0</v>
      </c>
      <c r="AF478" s="10">
        <f t="shared" si="410"/>
        <v>0</v>
      </c>
      <c r="AG478" s="10">
        <f t="shared" si="410"/>
        <v>0</v>
      </c>
      <c r="AH478" s="10">
        <f t="shared" si="410"/>
        <v>0</v>
      </c>
      <c r="AI478" s="10">
        <f t="shared" si="410"/>
        <v>0</v>
      </c>
      <c r="AJ478" s="10">
        <f t="shared" si="410"/>
        <v>0</v>
      </c>
      <c r="AK478" s="10">
        <f t="shared" si="410"/>
        <v>0</v>
      </c>
      <c r="AL478" s="10">
        <f t="shared" si="410"/>
        <v>0</v>
      </c>
      <c r="AM478" s="10">
        <f t="shared" si="410"/>
        <v>0</v>
      </c>
      <c r="AN478" s="10">
        <f t="shared" si="410"/>
        <v>0</v>
      </c>
      <c r="AO478" s="10">
        <f t="shared" si="410"/>
        <v>0</v>
      </c>
      <c r="AP478" s="10">
        <f t="shared" si="410"/>
        <v>0</v>
      </c>
      <c r="AQ478" s="10">
        <f t="shared" si="410"/>
        <v>0</v>
      </c>
      <c r="AR478" s="10">
        <f t="shared" si="410"/>
        <v>0</v>
      </c>
      <c r="AS478" s="10">
        <f t="shared" si="410"/>
        <v>0</v>
      </c>
      <c r="AT478" s="10">
        <f t="shared" si="410"/>
        <v>0</v>
      </c>
      <c r="AU478" s="10">
        <f t="shared" si="410"/>
        <v>0</v>
      </c>
      <c r="AV478" s="10">
        <f t="shared" si="410"/>
        <v>0</v>
      </c>
      <c r="AW478" s="10">
        <f t="shared" si="410"/>
        <v>0</v>
      </c>
      <c r="AX478" s="10">
        <f t="shared" si="410"/>
        <v>0</v>
      </c>
      <c r="AY478" s="10">
        <f t="shared" si="410"/>
        <v>0</v>
      </c>
      <c r="AZ478" s="10">
        <f t="shared" si="410"/>
        <v>0</v>
      </c>
      <c r="BA478" s="10">
        <f t="shared" si="410"/>
        <v>0</v>
      </c>
      <c r="BB478" s="10">
        <f t="shared" si="410"/>
        <v>0</v>
      </c>
      <c r="BC478" s="10">
        <f t="shared" si="410"/>
        <v>0</v>
      </c>
      <c r="BD478" s="10">
        <f t="shared" si="410"/>
        <v>0</v>
      </c>
      <c r="BE478" s="10">
        <f t="shared" si="410"/>
        <v>0</v>
      </c>
      <c r="BF478" s="10">
        <f t="shared" si="410"/>
        <v>0</v>
      </c>
      <c r="BG478" s="10">
        <f t="shared" si="410"/>
        <v>0</v>
      </c>
      <c r="BH478" s="10">
        <f t="shared" si="410"/>
        <v>0</v>
      </c>
      <c r="BI478" s="10">
        <f t="shared" si="410"/>
        <v>0</v>
      </c>
      <c r="BJ478" s="10">
        <f t="shared" si="410"/>
        <v>0</v>
      </c>
      <c r="BK478" s="10">
        <f t="shared" si="410"/>
        <v>0</v>
      </c>
      <c r="BL478" s="10">
        <f t="shared" si="410"/>
        <v>0</v>
      </c>
      <c r="BM478" s="10">
        <f t="shared" si="410"/>
        <v>0</v>
      </c>
      <c r="BN478" s="10">
        <f t="shared" si="410"/>
        <v>0</v>
      </c>
      <c r="BO478" s="10">
        <f t="shared" si="410"/>
        <v>0</v>
      </c>
      <c r="BP478" s="10">
        <f t="shared" si="410"/>
        <v>0</v>
      </c>
      <c r="BQ478" s="10">
        <f t="shared" si="410"/>
        <v>0</v>
      </c>
      <c r="BR478" s="10">
        <f t="shared" si="410"/>
        <v>0</v>
      </c>
      <c r="BS478" s="10">
        <f t="shared" si="410"/>
        <v>0</v>
      </c>
      <c r="BT478" s="10">
        <f t="shared" si="410"/>
        <v>0</v>
      </c>
      <c r="BU478" s="10">
        <f t="shared" si="410"/>
        <v>0</v>
      </c>
      <c r="BV478" s="10">
        <f t="shared" si="410"/>
        <v>0</v>
      </c>
      <c r="BX478" s="10">
        <f t="shared" ref="BX478:CI478" si="411">BX$343</f>
        <v>0</v>
      </c>
      <c r="BY478" s="10">
        <f t="shared" si="411"/>
        <v>0</v>
      </c>
      <c r="BZ478" s="10">
        <f t="shared" si="411"/>
        <v>0</v>
      </c>
      <c r="CA478" s="10">
        <f t="shared" si="411"/>
        <v>0</v>
      </c>
      <c r="CB478" s="10">
        <f t="shared" si="411"/>
        <v>0</v>
      </c>
      <c r="CC478" s="10">
        <f t="shared" si="411"/>
        <v>0</v>
      </c>
      <c r="CD478" s="10">
        <f t="shared" si="411"/>
        <v>0</v>
      </c>
      <c r="CE478" s="10">
        <f t="shared" si="411"/>
        <v>0</v>
      </c>
      <c r="CF478" s="10">
        <f t="shared" si="411"/>
        <v>0</v>
      </c>
      <c r="CG478" s="10">
        <f t="shared" si="411"/>
        <v>0</v>
      </c>
      <c r="CH478" s="10">
        <f t="shared" si="411"/>
        <v>0</v>
      </c>
      <c r="CI478" s="10">
        <f t="shared" si="411"/>
        <v>0</v>
      </c>
      <c r="CK478" s="11"/>
      <c r="CM478" s="11"/>
      <c r="DF478" s="11"/>
      <c r="EY478" s="10" t="str">
        <f t="shared" si="339"/>
        <v/>
      </c>
    </row>
    <row r="479" spans="1:155" x14ac:dyDescent="0.35">
      <c r="B479" s="69" t="str" cm="1">
        <f t="array" aca="1" ref="B479" ca="1">HYPERLINK(CONCATENATE("#",CELL("address",$D$360)),$D$360)</f>
        <v>Loan 17</v>
      </c>
      <c r="C479" s="211"/>
      <c r="D479" s="49">
        <f>D$29</f>
        <v>0</v>
      </c>
      <c r="E479" s="49" t="str">
        <f>F$29</f>
        <v/>
      </c>
      <c r="F479" s="49"/>
      <c r="H479" s="9" t="s">
        <v>1074</v>
      </c>
      <c r="I479" s="40" t="s">
        <v>665</v>
      </c>
      <c r="V479" s="133">
        <f>V$362</f>
        <v>0</v>
      </c>
      <c r="W479" s="10">
        <f>W$362</f>
        <v>0</v>
      </c>
      <c r="X479" s="10">
        <f>X$362</f>
        <v>0</v>
      </c>
      <c r="Y479" s="10">
        <f>Y$362</f>
        <v>0</v>
      </c>
      <c r="AA479" s="10">
        <f t="shared" ref="AA479:BV479" si="412">AA$362</f>
        <v>0</v>
      </c>
      <c r="AB479" s="10">
        <f t="shared" si="412"/>
        <v>0</v>
      </c>
      <c r="AC479" s="10">
        <f t="shared" si="412"/>
        <v>0</v>
      </c>
      <c r="AD479" s="10">
        <f t="shared" si="412"/>
        <v>0</v>
      </c>
      <c r="AE479" s="10">
        <f t="shared" si="412"/>
        <v>0</v>
      </c>
      <c r="AF479" s="10">
        <f t="shared" si="412"/>
        <v>0</v>
      </c>
      <c r="AG479" s="10">
        <f t="shared" si="412"/>
        <v>0</v>
      </c>
      <c r="AH479" s="10">
        <f t="shared" si="412"/>
        <v>0</v>
      </c>
      <c r="AI479" s="10">
        <f t="shared" si="412"/>
        <v>0</v>
      </c>
      <c r="AJ479" s="10">
        <f t="shared" si="412"/>
        <v>0</v>
      </c>
      <c r="AK479" s="10">
        <f t="shared" si="412"/>
        <v>0</v>
      </c>
      <c r="AL479" s="10">
        <f t="shared" si="412"/>
        <v>0</v>
      </c>
      <c r="AM479" s="10">
        <f t="shared" si="412"/>
        <v>0</v>
      </c>
      <c r="AN479" s="10">
        <f t="shared" si="412"/>
        <v>0</v>
      </c>
      <c r="AO479" s="10">
        <f t="shared" si="412"/>
        <v>0</v>
      </c>
      <c r="AP479" s="10">
        <f t="shared" si="412"/>
        <v>0</v>
      </c>
      <c r="AQ479" s="10">
        <f t="shared" si="412"/>
        <v>0</v>
      </c>
      <c r="AR479" s="10">
        <f t="shared" si="412"/>
        <v>0</v>
      </c>
      <c r="AS479" s="10">
        <f t="shared" si="412"/>
        <v>0</v>
      </c>
      <c r="AT479" s="10">
        <f t="shared" si="412"/>
        <v>0</v>
      </c>
      <c r="AU479" s="10">
        <f t="shared" si="412"/>
        <v>0</v>
      </c>
      <c r="AV479" s="10">
        <f t="shared" si="412"/>
        <v>0</v>
      </c>
      <c r="AW479" s="10">
        <f t="shared" si="412"/>
        <v>0</v>
      </c>
      <c r="AX479" s="10">
        <f t="shared" si="412"/>
        <v>0</v>
      </c>
      <c r="AY479" s="10">
        <f t="shared" si="412"/>
        <v>0</v>
      </c>
      <c r="AZ479" s="10">
        <f t="shared" si="412"/>
        <v>0</v>
      </c>
      <c r="BA479" s="10">
        <f t="shared" si="412"/>
        <v>0</v>
      </c>
      <c r="BB479" s="10">
        <f t="shared" si="412"/>
        <v>0</v>
      </c>
      <c r="BC479" s="10">
        <f t="shared" si="412"/>
        <v>0</v>
      </c>
      <c r="BD479" s="10">
        <f t="shared" si="412"/>
        <v>0</v>
      </c>
      <c r="BE479" s="10">
        <f t="shared" si="412"/>
        <v>0</v>
      </c>
      <c r="BF479" s="10">
        <f t="shared" si="412"/>
        <v>0</v>
      </c>
      <c r="BG479" s="10">
        <f t="shared" si="412"/>
        <v>0</v>
      </c>
      <c r="BH479" s="10">
        <f t="shared" si="412"/>
        <v>0</v>
      </c>
      <c r="BI479" s="10">
        <f t="shared" si="412"/>
        <v>0</v>
      </c>
      <c r="BJ479" s="10">
        <f t="shared" si="412"/>
        <v>0</v>
      </c>
      <c r="BK479" s="10">
        <f t="shared" si="412"/>
        <v>0</v>
      </c>
      <c r="BL479" s="10">
        <f t="shared" si="412"/>
        <v>0</v>
      </c>
      <c r="BM479" s="10">
        <f t="shared" si="412"/>
        <v>0</v>
      </c>
      <c r="BN479" s="10">
        <f t="shared" si="412"/>
        <v>0</v>
      </c>
      <c r="BO479" s="10">
        <f t="shared" si="412"/>
        <v>0</v>
      </c>
      <c r="BP479" s="10">
        <f t="shared" si="412"/>
        <v>0</v>
      </c>
      <c r="BQ479" s="10">
        <f t="shared" si="412"/>
        <v>0</v>
      </c>
      <c r="BR479" s="10">
        <f t="shared" si="412"/>
        <v>0</v>
      </c>
      <c r="BS479" s="10">
        <f t="shared" si="412"/>
        <v>0</v>
      </c>
      <c r="BT479" s="10">
        <f t="shared" si="412"/>
        <v>0</v>
      </c>
      <c r="BU479" s="10">
        <f t="shared" si="412"/>
        <v>0</v>
      </c>
      <c r="BV479" s="10">
        <f t="shared" si="412"/>
        <v>0</v>
      </c>
      <c r="BX479" s="10">
        <f t="shared" ref="BX479:CI479" si="413">BX$362</f>
        <v>0</v>
      </c>
      <c r="BY479" s="10">
        <f t="shared" si="413"/>
        <v>0</v>
      </c>
      <c r="BZ479" s="10">
        <f t="shared" si="413"/>
        <v>0</v>
      </c>
      <c r="CA479" s="10">
        <f t="shared" si="413"/>
        <v>0</v>
      </c>
      <c r="CB479" s="10">
        <f t="shared" si="413"/>
        <v>0</v>
      </c>
      <c r="CC479" s="10">
        <f t="shared" si="413"/>
        <v>0</v>
      </c>
      <c r="CD479" s="10">
        <f t="shared" si="413"/>
        <v>0</v>
      </c>
      <c r="CE479" s="10">
        <f t="shared" si="413"/>
        <v>0</v>
      </c>
      <c r="CF479" s="10">
        <f t="shared" si="413"/>
        <v>0</v>
      </c>
      <c r="CG479" s="10">
        <f t="shared" si="413"/>
        <v>0</v>
      </c>
      <c r="CH479" s="10">
        <f t="shared" si="413"/>
        <v>0</v>
      </c>
      <c r="CI479" s="10">
        <f t="shared" si="413"/>
        <v>0</v>
      </c>
      <c r="CK479" s="11"/>
      <c r="CM479" s="11"/>
      <c r="DF479" s="11"/>
      <c r="EY479" s="10" t="str">
        <f t="shared" si="339"/>
        <v/>
      </c>
    </row>
    <row r="480" spans="1:155" x14ac:dyDescent="0.35">
      <c r="B480" s="69" t="str" cm="1">
        <f t="array" aca="1" ref="B480" ca="1">HYPERLINK(CONCATENATE("#",CELL("address",$D$379)),$D$379)</f>
        <v>Loan 18</v>
      </c>
      <c r="C480" s="211"/>
      <c r="D480" s="49">
        <f>D$30</f>
        <v>0</v>
      </c>
      <c r="E480" s="49" t="str">
        <f>F$30</f>
        <v/>
      </c>
      <c r="F480" s="49"/>
      <c r="H480" s="9" t="s">
        <v>1074</v>
      </c>
      <c r="I480" s="40" t="s">
        <v>665</v>
      </c>
      <c r="V480" s="133">
        <f>V$381</f>
        <v>0</v>
      </c>
      <c r="W480" s="10">
        <f>W$381</f>
        <v>0</v>
      </c>
      <c r="X480" s="10">
        <f>X$381</f>
        <v>0</v>
      </c>
      <c r="Y480" s="10">
        <f>Y$381</f>
        <v>0</v>
      </c>
      <c r="AA480" s="10">
        <f t="shared" ref="AA480:BV480" si="414">AA$381</f>
        <v>0</v>
      </c>
      <c r="AB480" s="10">
        <f t="shared" si="414"/>
        <v>0</v>
      </c>
      <c r="AC480" s="10">
        <f t="shared" si="414"/>
        <v>0</v>
      </c>
      <c r="AD480" s="10">
        <f t="shared" si="414"/>
        <v>0</v>
      </c>
      <c r="AE480" s="10">
        <f t="shared" si="414"/>
        <v>0</v>
      </c>
      <c r="AF480" s="10">
        <f t="shared" si="414"/>
        <v>0</v>
      </c>
      <c r="AG480" s="10">
        <f t="shared" si="414"/>
        <v>0</v>
      </c>
      <c r="AH480" s="10">
        <f t="shared" si="414"/>
        <v>0</v>
      </c>
      <c r="AI480" s="10">
        <f t="shared" si="414"/>
        <v>0</v>
      </c>
      <c r="AJ480" s="10">
        <f t="shared" si="414"/>
        <v>0</v>
      </c>
      <c r="AK480" s="10">
        <f t="shared" si="414"/>
        <v>0</v>
      </c>
      <c r="AL480" s="10">
        <f t="shared" si="414"/>
        <v>0</v>
      </c>
      <c r="AM480" s="10">
        <f t="shared" si="414"/>
        <v>0</v>
      </c>
      <c r="AN480" s="10">
        <f t="shared" si="414"/>
        <v>0</v>
      </c>
      <c r="AO480" s="10">
        <f t="shared" si="414"/>
        <v>0</v>
      </c>
      <c r="AP480" s="10">
        <f t="shared" si="414"/>
        <v>0</v>
      </c>
      <c r="AQ480" s="10">
        <f t="shared" si="414"/>
        <v>0</v>
      </c>
      <c r="AR480" s="10">
        <f t="shared" si="414"/>
        <v>0</v>
      </c>
      <c r="AS480" s="10">
        <f t="shared" si="414"/>
        <v>0</v>
      </c>
      <c r="AT480" s="10">
        <f t="shared" si="414"/>
        <v>0</v>
      </c>
      <c r="AU480" s="10">
        <f t="shared" si="414"/>
        <v>0</v>
      </c>
      <c r="AV480" s="10">
        <f t="shared" si="414"/>
        <v>0</v>
      </c>
      <c r="AW480" s="10">
        <f t="shared" si="414"/>
        <v>0</v>
      </c>
      <c r="AX480" s="10">
        <f t="shared" si="414"/>
        <v>0</v>
      </c>
      <c r="AY480" s="10">
        <f t="shared" si="414"/>
        <v>0</v>
      </c>
      <c r="AZ480" s="10">
        <f t="shared" si="414"/>
        <v>0</v>
      </c>
      <c r="BA480" s="10">
        <f t="shared" si="414"/>
        <v>0</v>
      </c>
      <c r="BB480" s="10">
        <f t="shared" si="414"/>
        <v>0</v>
      </c>
      <c r="BC480" s="10">
        <f t="shared" si="414"/>
        <v>0</v>
      </c>
      <c r="BD480" s="10">
        <f t="shared" si="414"/>
        <v>0</v>
      </c>
      <c r="BE480" s="10">
        <f t="shared" si="414"/>
        <v>0</v>
      </c>
      <c r="BF480" s="10">
        <f t="shared" si="414"/>
        <v>0</v>
      </c>
      <c r="BG480" s="10">
        <f t="shared" si="414"/>
        <v>0</v>
      </c>
      <c r="BH480" s="10">
        <f t="shared" si="414"/>
        <v>0</v>
      </c>
      <c r="BI480" s="10">
        <f t="shared" si="414"/>
        <v>0</v>
      </c>
      <c r="BJ480" s="10">
        <f t="shared" si="414"/>
        <v>0</v>
      </c>
      <c r="BK480" s="10">
        <f t="shared" si="414"/>
        <v>0</v>
      </c>
      <c r="BL480" s="10">
        <f t="shared" si="414"/>
        <v>0</v>
      </c>
      <c r="BM480" s="10">
        <f t="shared" si="414"/>
        <v>0</v>
      </c>
      <c r="BN480" s="10">
        <f t="shared" si="414"/>
        <v>0</v>
      </c>
      <c r="BO480" s="10">
        <f t="shared" si="414"/>
        <v>0</v>
      </c>
      <c r="BP480" s="10">
        <f t="shared" si="414"/>
        <v>0</v>
      </c>
      <c r="BQ480" s="10">
        <f t="shared" si="414"/>
        <v>0</v>
      </c>
      <c r="BR480" s="10">
        <f t="shared" si="414"/>
        <v>0</v>
      </c>
      <c r="BS480" s="10">
        <f t="shared" si="414"/>
        <v>0</v>
      </c>
      <c r="BT480" s="10">
        <f t="shared" si="414"/>
        <v>0</v>
      </c>
      <c r="BU480" s="10">
        <f t="shared" si="414"/>
        <v>0</v>
      </c>
      <c r="BV480" s="10">
        <f t="shared" si="414"/>
        <v>0</v>
      </c>
      <c r="BX480" s="10">
        <f t="shared" ref="BX480:CI480" si="415">BX$381</f>
        <v>0</v>
      </c>
      <c r="BY480" s="10">
        <f t="shared" si="415"/>
        <v>0</v>
      </c>
      <c r="BZ480" s="10">
        <f t="shared" si="415"/>
        <v>0</v>
      </c>
      <c r="CA480" s="10">
        <f t="shared" si="415"/>
        <v>0</v>
      </c>
      <c r="CB480" s="10">
        <f t="shared" si="415"/>
        <v>0</v>
      </c>
      <c r="CC480" s="10">
        <f t="shared" si="415"/>
        <v>0</v>
      </c>
      <c r="CD480" s="10">
        <f t="shared" si="415"/>
        <v>0</v>
      </c>
      <c r="CE480" s="10">
        <f t="shared" si="415"/>
        <v>0</v>
      </c>
      <c r="CF480" s="10">
        <f t="shared" si="415"/>
        <v>0</v>
      </c>
      <c r="CG480" s="10">
        <f t="shared" si="415"/>
        <v>0</v>
      </c>
      <c r="CH480" s="10">
        <f t="shared" si="415"/>
        <v>0</v>
      </c>
      <c r="CI480" s="10">
        <f t="shared" si="415"/>
        <v>0</v>
      </c>
      <c r="CK480" s="11"/>
      <c r="CM480" s="11"/>
      <c r="DF480" s="11"/>
      <c r="EY480" s="10" t="str">
        <f t="shared" si="339"/>
        <v/>
      </c>
    </row>
    <row r="481" spans="2:155" x14ac:dyDescent="0.35">
      <c r="B481" s="69" t="str" cm="1">
        <f t="array" aca="1" ref="B481" ca="1">HYPERLINK(CONCATENATE("#",CELL("address",$D$398)),$D$398)</f>
        <v>Loan 19</v>
      </c>
      <c r="C481" s="211"/>
      <c r="D481" s="49">
        <f>D$31</f>
        <v>0</v>
      </c>
      <c r="E481" s="49" t="str">
        <f>F$31</f>
        <v/>
      </c>
      <c r="F481" s="49"/>
      <c r="H481" s="9" t="s">
        <v>1074</v>
      </c>
      <c r="I481" s="40" t="s">
        <v>665</v>
      </c>
      <c r="V481" s="133">
        <f>V$400</f>
        <v>0</v>
      </c>
      <c r="W481" s="10">
        <f>W$400</f>
        <v>0</v>
      </c>
      <c r="X481" s="10">
        <f>X$400</f>
        <v>0</v>
      </c>
      <c r="Y481" s="10">
        <f>Y$400</f>
        <v>0</v>
      </c>
      <c r="AA481" s="10">
        <f t="shared" ref="AA481:BV481" si="416">AA$400</f>
        <v>0</v>
      </c>
      <c r="AB481" s="10">
        <f t="shared" si="416"/>
        <v>0</v>
      </c>
      <c r="AC481" s="10">
        <f t="shared" si="416"/>
        <v>0</v>
      </c>
      <c r="AD481" s="10">
        <f t="shared" si="416"/>
        <v>0</v>
      </c>
      <c r="AE481" s="10">
        <f t="shared" si="416"/>
        <v>0</v>
      </c>
      <c r="AF481" s="10">
        <f t="shared" si="416"/>
        <v>0</v>
      </c>
      <c r="AG481" s="10">
        <f t="shared" si="416"/>
        <v>0</v>
      </c>
      <c r="AH481" s="10">
        <f t="shared" si="416"/>
        <v>0</v>
      </c>
      <c r="AI481" s="10">
        <f t="shared" si="416"/>
        <v>0</v>
      </c>
      <c r="AJ481" s="10">
        <f t="shared" si="416"/>
        <v>0</v>
      </c>
      <c r="AK481" s="10">
        <f t="shared" si="416"/>
        <v>0</v>
      </c>
      <c r="AL481" s="10">
        <f t="shared" si="416"/>
        <v>0</v>
      </c>
      <c r="AM481" s="10">
        <f t="shared" si="416"/>
        <v>0</v>
      </c>
      <c r="AN481" s="10">
        <f t="shared" si="416"/>
        <v>0</v>
      </c>
      <c r="AO481" s="10">
        <f t="shared" si="416"/>
        <v>0</v>
      </c>
      <c r="AP481" s="10">
        <f t="shared" si="416"/>
        <v>0</v>
      </c>
      <c r="AQ481" s="10">
        <f t="shared" si="416"/>
        <v>0</v>
      </c>
      <c r="AR481" s="10">
        <f t="shared" si="416"/>
        <v>0</v>
      </c>
      <c r="AS481" s="10">
        <f t="shared" si="416"/>
        <v>0</v>
      </c>
      <c r="AT481" s="10">
        <f t="shared" si="416"/>
        <v>0</v>
      </c>
      <c r="AU481" s="10">
        <f t="shared" si="416"/>
        <v>0</v>
      </c>
      <c r="AV481" s="10">
        <f t="shared" si="416"/>
        <v>0</v>
      </c>
      <c r="AW481" s="10">
        <f t="shared" si="416"/>
        <v>0</v>
      </c>
      <c r="AX481" s="10">
        <f t="shared" si="416"/>
        <v>0</v>
      </c>
      <c r="AY481" s="10">
        <f t="shared" si="416"/>
        <v>0</v>
      </c>
      <c r="AZ481" s="10">
        <f t="shared" si="416"/>
        <v>0</v>
      </c>
      <c r="BA481" s="10">
        <f t="shared" si="416"/>
        <v>0</v>
      </c>
      <c r="BB481" s="10">
        <f t="shared" si="416"/>
        <v>0</v>
      </c>
      <c r="BC481" s="10">
        <f t="shared" si="416"/>
        <v>0</v>
      </c>
      <c r="BD481" s="10">
        <f t="shared" si="416"/>
        <v>0</v>
      </c>
      <c r="BE481" s="10">
        <f t="shared" si="416"/>
        <v>0</v>
      </c>
      <c r="BF481" s="10">
        <f t="shared" si="416"/>
        <v>0</v>
      </c>
      <c r="BG481" s="10">
        <f t="shared" si="416"/>
        <v>0</v>
      </c>
      <c r="BH481" s="10">
        <f t="shared" si="416"/>
        <v>0</v>
      </c>
      <c r="BI481" s="10">
        <f t="shared" si="416"/>
        <v>0</v>
      </c>
      <c r="BJ481" s="10">
        <f t="shared" si="416"/>
        <v>0</v>
      </c>
      <c r="BK481" s="10">
        <f t="shared" si="416"/>
        <v>0</v>
      </c>
      <c r="BL481" s="10">
        <f t="shared" si="416"/>
        <v>0</v>
      </c>
      <c r="BM481" s="10">
        <f t="shared" si="416"/>
        <v>0</v>
      </c>
      <c r="BN481" s="10">
        <f t="shared" si="416"/>
        <v>0</v>
      </c>
      <c r="BO481" s="10">
        <f t="shared" si="416"/>
        <v>0</v>
      </c>
      <c r="BP481" s="10">
        <f t="shared" si="416"/>
        <v>0</v>
      </c>
      <c r="BQ481" s="10">
        <f t="shared" si="416"/>
        <v>0</v>
      </c>
      <c r="BR481" s="10">
        <f t="shared" si="416"/>
        <v>0</v>
      </c>
      <c r="BS481" s="10">
        <f t="shared" si="416"/>
        <v>0</v>
      </c>
      <c r="BT481" s="10">
        <f t="shared" si="416"/>
        <v>0</v>
      </c>
      <c r="BU481" s="10">
        <f t="shared" si="416"/>
        <v>0</v>
      </c>
      <c r="BV481" s="10">
        <f t="shared" si="416"/>
        <v>0</v>
      </c>
      <c r="BX481" s="10">
        <f t="shared" ref="BX481:CI481" si="417">BX$400</f>
        <v>0</v>
      </c>
      <c r="BY481" s="10">
        <f t="shared" si="417"/>
        <v>0</v>
      </c>
      <c r="BZ481" s="10">
        <f t="shared" si="417"/>
        <v>0</v>
      </c>
      <c r="CA481" s="10">
        <f t="shared" si="417"/>
        <v>0</v>
      </c>
      <c r="CB481" s="10">
        <f t="shared" si="417"/>
        <v>0</v>
      </c>
      <c r="CC481" s="10">
        <f t="shared" si="417"/>
        <v>0</v>
      </c>
      <c r="CD481" s="10">
        <f t="shared" si="417"/>
        <v>0</v>
      </c>
      <c r="CE481" s="10">
        <f t="shared" si="417"/>
        <v>0</v>
      </c>
      <c r="CF481" s="10">
        <f t="shared" si="417"/>
        <v>0</v>
      </c>
      <c r="CG481" s="10">
        <f t="shared" si="417"/>
        <v>0</v>
      </c>
      <c r="CH481" s="10">
        <f t="shared" si="417"/>
        <v>0</v>
      </c>
      <c r="CI481" s="10">
        <f t="shared" si="417"/>
        <v>0</v>
      </c>
      <c r="CK481" s="11"/>
      <c r="CM481" s="11"/>
      <c r="DF481" s="11"/>
      <c r="EY481" s="10" t="str">
        <f t="shared" si="339"/>
        <v/>
      </c>
    </row>
    <row r="482" spans="2:155" x14ac:dyDescent="0.35">
      <c r="B482" s="69" t="str" cm="1">
        <f t="array" aca="1" ref="B482" ca="1">HYPERLINK(CONCATENATE("#",CELL("address",$D$417)),$D$417)</f>
        <v>Loan 20</v>
      </c>
      <c r="C482" s="211"/>
      <c r="D482" s="49">
        <f>D$32</f>
        <v>0</v>
      </c>
      <c r="E482" s="49" t="str">
        <f>F$32</f>
        <v/>
      </c>
      <c r="F482" s="49"/>
      <c r="H482" s="9" t="s">
        <v>1074</v>
      </c>
      <c r="I482" s="40" t="s">
        <v>665</v>
      </c>
      <c r="V482" s="133">
        <f>V$419</f>
        <v>0</v>
      </c>
      <c r="W482" s="10">
        <f>W$419</f>
        <v>0</v>
      </c>
      <c r="X482" s="10">
        <f>X$419</f>
        <v>0</v>
      </c>
      <c r="Y482" s="10">
        <f>Y$419</f>
        <v>0</v>
      </c>
      <c r="AA482" s="10">
        <f t="shared" ref="AA482:BV482" si="418">AA$419</f>
        <v>0</v>
      </c>
      <c r="AB482" s="10">
        <f t="shared" si="418"/>
        <v>0</v>
      </c>
      <c r="AC482" s="10">
        <f t="shared" si="418"/>
        <v>0</v>
      </c>
      <c r="AD482" s="10">
        <f t="shared" si="418"/>
        <v>0</v>
      </c>
      <c r="AE482" s="10">
        <f t="shared" si="418"/>
        <v>0</v>
      </c>
      <c r="AF482" s="10">
        <f t="shared" si="418"/>
        <v>0</v>
      </c>
      <c r="AG482" s="10">
        <f t="shared" si="418"/>
        <v>0</v>
      </c>
      <c r="AH482" s="10">
        <f t="shared" si="418"/>
        <v>0</v>
      </c>
      <c r="AI482" s="10">
        <f t="shared" si="418"/>
        <v>0</v>
      </c>
      <c r="AJ482" s="10">
        <f t="shared" si="418"/>
        <v>0</v>
      </c>
      <c r="AK482" s="10">
        <f t="shared" si="418"/>
        <v>0</v>
      </c>
      <c r="AL482" s="10">
        <f t="shared" si="418"/>
        <v>0</v>
      </c>
      <c r="AM482" s="10">
        <f t="shared" si="418"/>
        <v>0</v>
      </c>
      <c r="AN482" s="10">
        <f t="shared" si="418"/>
        <v>0</v>
      </c>
      <c r="AO482" s="10">
        <f t="shared" si="418"/>
        <v>0</v>
      </c>
      <c r="AP482" s="10">
        <f t="shared" si="418"/>
        <v>0</v>
      </c>
      <c r="AQ482" s="10">
        <f t="shared" si="418"/>
        <v>0</v>
      </c>
      <c r="AR482" s="10">
        <f t="shared" si="418"/>
        <v>0</v>
      </c>
      <c r="AS482" s="10">
        <f t="shared" si="418"/>
        <v>0</v>
      </c>
      <c r="AT482" s="10">
        <f t="shared" si="418"/>
        <v>0</v>
      </c>
      <c r="AU482" s="10">
        <f t="shared" si="418"/>
        <v>0</v>
      </c>
      <c r="AV482" s="10">
        <f t="shared" si="418"/>
        <v>0</v>
      </c>
      <c r="AW482" s="10">
        <f t="shared" si="418"/>
        <v>0</v>
      </c>
      <c r="AX482" s="10">
        <f t="shared" si="418"/>
        <v>0</v>
      </c>
      <c r="AY482" s="10">
        <f t="shared" si="418"/>
        <v>0</v>
      </c>
      <c r="AZ482" s="10">
        <f t="shared" si="418"/>
        <v>0</v>
      </c>
      <c r="BA482" s="10">
        <f t="shared" si="418"/>
        <v>0</v>
      </c>
      <c r="BB482" s="10">
        <f t="shared" si="418"/>
        <v>0</v>
      </c>
      <c r="BC482" s="10">
        <f t="shared" si="418"/>
        <v>0</v>
      </c>
      <c r="BD482" s="10">
        <f t="shared" si="418"/>
        <v>0</v>
      </c>
      <c r="BE482" s="10">
        <f t="shared" si="418"/>
        <v>0</v>
      </c>
      <c r="BF482" s="10">
        <f t="shared" si="418"/>
        <v>0</v>
      </c>
      <c r="BG482" s="10">
        <f t="shared" si="418"/>
        <v>0</v>
      </c>
      <c r="BH482" s="10">
        <f t="shared" si="418"/>
        <v>0</v>
      </c>
      <c r="BI482" s="10">
        <f t="shared" si="418"/>
        <v>0</v>
      </c>
      <c r="BJ482" s="10">
        <f t="shared" si="418"/>
        <v>0</v>
      </c>
      <c r="BK482" s="10">
        <f t="shared" si="418"/>
        <v>0</v>
      </c>
      <c r="BL482" s="10">
        <f t="shared" si="418"/>
        <v>0</v>
      </c>
      <c r="BM482" s="10">
        <f t="shared" si="418"/>
        <v>0</v>
      </c>
      <c r="BN482" s="10">
        <f t="shared" si="418"/>
        <v>0</v>
      </c>
      <c r="BO482" s="10">
        <f t="shared" si="418"/>
        <v>0</v>
      </c>
      <c r="BP482" s="10">
        <f t="shared" si="418"/>
        <v>0</v>
      </c>
      <c r="BQ482" s="10">
        <f t="shared" si="418"/>
        <v>0</v>
      </c>
      <c r="BR482" s="10">
        <f t="shared" si="418"/>
        <v>0</v>
      </c>
      <c r="BS482" s="10">
        <f t="shared" si="418"/>
        <v>0</v>
      </c>
      <c r="BT482" s="10">
        <f t="shared" si="418"/>
        <v>0</v>
      </c>
      <c r="BU482" s="10">
        <f t="shared" si="418"/>
        <v>0</v>
      </c>
      <c r="BV482" s="10">
        <f t="shared" si="418"/>
        <v>0</v>
      </c>
      <c r="BX482" s="10">
        <f t="shared" ref="BX482:CI482" si="419">BX$419</f>
        <v>0</v>
      </c>
      <c r="BY482" s="10">
        <f t="shared" si="419"/>
        <v>0</v>
      </c>
      <c r="BZ482" s="10">
        <f t="shared" si="419"/>
        <v>0</v>
      </c>
      <c r="CA482" s="10">
        <f t="shared" si="419"/>
        <v>0</v>
      </c>
      <c r="CB482" s="10">
        <f t="shared" si="419"/>
        <v>0</v>
      </c>
      <c r="CC482" s="10">
        <f t="shared" si="419"/>
        <v>0</v>
      </c>
      <c r="CD482" s="10">
        <f t="shared" si="419"/>
        <v>0</v>
      </c>
      <c r="CE482" s="10">
        <f t="shared" si="419"/>
        <v>0</v>
      </c>
      <c r="CF482" s="10">
        <f t="shared" si="419"/>
        <v>0</v>
      </c>
      <c r="CG482" s="10">
        <f t="shared" si="419"/>
        <v>0</v>
      </c>
      <c r="CH482" s="10">
        <f t="shared" si="419"/>
        <v>0</v>
      </c>
      <c r="CI482" s="10">
        <f t="shared" si="419"/>
        <v>0</v>
      </c>
      <c r="CK482" s="11"/>
      <c r="CM482" s="11"/>
      <c r="DF482" s="11"/>
      <c r="EY482" s="10" t="str">
        <f t="shared" si="339"/>
        <v/>
      </c>
    </row>
    <row r="483" spans="2:155" ht="6.75" customHeight="1" x14ac:dyDescent="0.35">
      <c r="C483" s="211"/>
      <c r="D483" s="1"/>
      <c r="E483"/>
      <c r="F483"/>
      <c r="BY483" s="6"/>
      <c r="CK483" s="35"/>
      <c r="CM483" s="35"/>
      <c r="DF483" s="35"/>
      <c r="EY483" s="10" t="str">
        <f t="shared" si="339"/>
        <v/>
      </c>
    </row>
    <row r="484" spans="2:155" x14ac:dyDescent="0.35">
      <c r="C484" s="211"/>
      <c r="D484" s="50" t="s">
        <v>1230</v>
      </c>
      <c r="E484"/>
      <c r="F484"/>
      <c r="CK484" s="11"/>
      <c r="CM484" s="11"/>
      <c r="DF484" s="11"/>
      <c r="EY484" s="10" t="str">
        <f t="shared" si="339"/>
        <v/>
      </c>
    </row>
    <row r="485" spans="2:155" x14ac:dyDescent="0.35">
      <c r="B485" s="107" t="s">
        <v>1229</v>
      </c>
      <c r="C485" s="211"/>
      <c r="D485" s="5" t="str">
        <f>D$11</f>
        <v>Lender</v>
      </c>
      <c r="E485" s="5" t="str">
        <f>E$11</f>
        <v>Loan Category</v>
      </c>
      <c r="F485" s="5"/>
      <c r="CK485" s="11"/>
      <c r="CM485" s="11"/>
      <c r="DF485" s="11"/>
      <c r="EY485" s="10" t="str">
        <f t="shared" si="339"/>
        <v/>
      </c>
    </row>
    <row r="486" spans="2:155" x14ac:dyDescent="0.35">
      <c r="B486" s="69" t="str" cm="1">
        <f t="array" aca="1" ref="B486" ca="1">HYPERLINK(CONCATENATE("#",CELL("address",$D$56)),$D$56)</f>
        <v>Loan 1</v>
      </c>
      <c r="C486" s="211"/>
      <c r="D486" s="49">
        <f>D$13</f>
        <v>0</v>
      </c>
      <c r="E486" s="49" t="str">
        <f>F$13</f>
        <v/>
      </c>
      <c r="F486" s="49"/>
      <c r="H486" s="9" t="s">
        <v>1074</v>
      </c>
      <c r="I486" s="40" t="s">
        <v>1079</v>
      </c>
      <c r="J486" s="54"/>
      <c r="V486" s="133">
        <f>V$59+V$60</f>
        <v>0</v>
      </c>
      <c r="W486" s="133">
        <f>W$59+W$60</f>
        <v>0</v>
      </c>
      <c r="X486" s="133">
        <f>X$59+X$60</f>
        <v>0</v>
      </c>
      <c r="Y486" s="133">
        <f>Y$59+Y$60</f>
        <v>0</v>
      </c>
      <c r="AA486" s="133">
        <f t="shared" ref="AA486:BV486" si="420">AA$59+AA$60</f>
        <v>0</v>
      </c>
      <c r="AB486" s="133">
        <f t="shared" si="420"/>
        <v>0</v>
      </c>
      <c r="AC486" s="133">
        <f t="shared" si="420"/>
        <v>0</v>
      </c>
      <c r="AD486" s="133">
        <f t="shared" si="420"/>
        <v>0</v>
      </c>
      <c r="AE486" s="133">
        <f t="shared" si="420"/>
        <v>0</v>
      </c>
      <c r="AF486" s="133">
        <f t="shared" si="420"/>
        <v>0</v>
      </c>
      <c r="AG486" s="133">
        <f t="shared" si="420"/>
        <v>0</v>
      </c>
      <c r="AH486" s="133">
        <f t="shared" si="420"/>
        <v>0</v>
      </c>
      <c r="AI486" s="133">
        <f t="shared" si="420"/>
        <v>0</v>
      </c>
      <c r="AJ486" s="133">
        <f t="shared" si="420"/>
        <v>0</v>
      </c>
      <c r="AK486" s="133">
        <f t="shared" si="420"/>
        <v>0</v>
      </c>
      <c r="AL486" s="133">
        <f t="shared" si="420"/>
        <v>0</v>
      </c>
      <c r="AM486" s="133">
        <f t="shared" si="420"/>
        <v>0</v>
      </c>
      <c r="AN486" s="133">
        <f t="shared" si="420"/>
        <v>0</v>
      </c>
      <c r="AO486" s="133">
        <f t="shared" si="420"/>
        <v>0</v>
      </c>
      <c r="AP486" s="133">
        <f t="shared" si="420"/>
        <v>0</v>
      </c>
      <c r="AQ486" s="133">
        <f t="shared" si="420"/>
        <v>0</v>
      </c>
      <c r="AR486" s="133">
        <f t="shared" si="420"/>
        <v>0</v>
      </c>
      <c r="AS486" s="133">
        <f t="shared" si="420"/>
        <v>0</v>
      </c>
      <c r="AT486" s="133">
        <f t="shared" si="420"/>
        <v>0</v>
      </c>
      <c r="AU486" s="133">
        <f t="shared" si="420"/>
        <v>0</v>
      </c>
      <c r="AV486" s="133">
        <f t="shared" si="420"/>
        <v>0</v>
      </c>
      <c r="AW486" s="133">
        <f t="shared" si="420"/>
        <v>0</v>
      </c>
      <c r="AX486" s="133">
        <f t="shared" si="420"/>
        <v>0</v>
      </c>
      <c r="AY486" s="133">
        <f t="shared" si="420"/>
        <v>0</v>
      </c>
      <c r="AZ486" s="133">
        <f t="shared" si="420"/>
        <v>0</v>
      </c>
      <c r="BA486" s="133">
        <f t="shared" si="420"/>
        <v>0</v>
      </c>
      <c r="BB486" s="133">
        <f t="shared" si="420"/>
        <v>0</v>
      </c>
      <c r="BC486" s="133">
        <f t="shared" si="420"/>
        <v>0</v>
      </c>
      <c r="BD486" s="133">
        <f t="shared" si="420"/>
        <v>0</v>
      </c>
      <c r="BE486" s="133">
        <f t="shared" si="420"/>
        <v>0</v>
      </c>
      <c r="BF486" s="133">
        <f t="shared" si="420"/>
        <v>0</v>
      </c>
      <c r="BG486" s="133">
        <f t="shared" si="420"/>
        <v>0</v>
      </c>
      <c r="BH486" s="133">
        <f t="shared" si="420"/>
        <v>0</v>
      </c>
      <c r="BI486" s="133">
        <f t="shared" si="420"/>
        <v>0</v>
      </c>
      <c r="BJ486" s="133">
        <f t="shared" si="420"/>
        <v>0</v>
      </c>
      <c r="BK486" s="133">
        <f t="shared" si="420"/>
        <v>0</v>
      </c>
      <c r="BL486" s="133">
        <f t="shared" si="420"/>
        <v>0</v>
      </c>
      <c r="BM486" s="133">
        <f t="shared" si="420"/>
        <v>0</v>
      </c>
      <c r="BN486" s="133">
        <f t="shared" si="420"/>
        <v>0</v>
      </c>
      <c r="BO486" s="133">
        <f t="shared" si="420"/>
        <v>0</v>
      </c>
      <c r="BP486" s="133">
        <f t="shared" si="420"/>
        <v>0</v>
      </c>
      <c r="BQ486" s="133">
        <f t="shared" si="420"/>
        <v>0</v>
      </c>
      <c r="BR486" s="133">
        <f t="shared" si="420"/>
        <v>0</v>
      </c>
      <c r="BS486" s="133">
        <f t="shared" si="420"/>
        <v>0</v>
      </c>
      <c r="BT486" s="133">
        <f t="shared" si="420"/>
        <v>0</v>
      </c>
      <c r="BU486" s="133">
        <f t="shared" si="420"/>
        <v>0</v>
      </c>
      <c r="BV486" s="133">
        <f t="shared" si="420"/>
        <v>0</v>
      </c>
      <c r="BX486" s="133">
        <f t="shared" ref="BX486:CI486" si="421">BX$59+BX$60</f>
        <v>0</v>
      </c>
      <c r="BY486" s="133">
        <f t="shared" si="421"/>
        <v>0</v>
      </c>
      <c r="BZ486" s="133">
        <f t="shared" si="421"/>
        <v>0</v>
      </c>
      <c r="CA486" s="133">
        <f t="shared" si="421"/>
        <v>0</v>
      </c>
      <c r="CB486" s="133">
        <f t="shared" si="421"/>
        <v>0</v>
      </c>
      <c r="CC486" s="133">
        <f t="shared" si="421"/>
        <v>0</v>
      </c>
      <c r="CD486" s="133">
        <f t="shared" si="421"/>
        <v>0</v>
      </c>
      <c r="CE486" s="133">
        <f t="shared" si="421"/>
        <v>0</v>
      </c>
      <c r="CF486" s="133">
        <f t="shared" si="421"/>
        <v>0</v>
      </c>
      <c r="CG486" s="133">
        <f t="shared" si="421"/>
        <v>0</v>
      </c>
      <c r="CH486" s="133">
        <f t="shared" si="421"/>
        <v>0</v>
      </c>
      <c r="CI486" s="133">
        <f t="shared" si="421"/>
        <v>0</v>
      </c>
      <c r="CK486" s="11"/>
      <c r="CM486" s="11"/>
      <c r="DF486" s="11"/>
      <c r="EY486" s="10" t="str">
        <f t="shared" si="339"/>
        <v/>
      </c>
    </row>
    <row r="487" spans="2:155" x14ac:dyDescent="0.35">
      <c r="B487" s="69" t="str" cm="1">
        <f t="array" aca="1" ref="B487" ca="1">HYPERLINK(CONCATENATE("#",CELL("address",$D$75)),$D$75)</f>
        <v>Loan 2</v>
      </c>
      <c r="C487" s="211"/>
      <c r="D487" s="49">
        <f>D$14</f>
        <v>0</v>
      </c>
      <c r="E487" s="49" t="str">
        <f>F$14</f>
        <v/>
      </c>
      <c r="F487" s="49"/>
      <c r="H487" s="9" t="s">
        <v>1074</v>
      </c>
      <c r="I487" s="40" t="s">
        <v>1079</v>
      </c>
      <c r="V487" s="133">
        <f>V$78+V$79</f>
        <v>0</v>
      </c>
      <c r="W487" s="133">
        <f>W$78+W$79</f>
        <v>0</v>
      </c>
      <c r="X487" s="133">
        <f>X$78+X$79</f>
        <v>0</v>
      </c>
      <c r="Y487" s="133">
        <f>Y$78+Y$79</f>
        <v>0</v>
      </c>
      <c r="AA487" s="133">
        <f t="shared" ref="AA487:BV487" si="422">AA$78+AA$79</f>
        <v>0</v>
      </c>
      <c r="AB487" s="133">
        <f t="shared" si="422"/>
        <v>0</v>
      </c>
      <c r="AC487" s="133">
        <f t="shared" si="422"/>
        <v>0</v>
      </c>
      <c r="AD487" s="133">
        <f t="shared" si="422"/>
        <v>0</v>
      </c>
      <c r="AE487" s="133">
        <f t="shared" si="422"/>
        <v>0</v>
      </c>
      <c r="AF487" s="133">
        <f t="shared" si="422"/>
        <v>0</v>
      </c>
      <c r="AG487" s="133">
        <f t="shared" si="422"/>
        <v>0</v>
      </c>
      <c r="AH487" s="133">
        <f t="shared" si="422"/>
        <v>0</v>
      </c>
      <c r="AI487" s="133">
        <f t="shared" si="422"/>
        <v>0</v>
      </c>
      <c r="AJ487" s="133">
        <f t="shared" si="422"/>
        <v>0</v>
      </c>
      <c r="AK487" s="133">
        <f t="shared" si="422"/>
        <v>0</v>
      </c>
      <c r="AL487" s="133">
        <f t="shared" si="422"/>
        <v>0</v>
      </c>
      <c r="AM487" s="133">
        <f t="shared" si="422"/>
        <v>0</v>
      </c>
      <c r="AN487" s="133">
        <f t="shared" si="422"/>
        <v>0</v>
      </c>
      <c r="AO487" s="133">
        <f t="shared" si="422"/>
        <v>0</v>
      </c>
      <c r="AP487" s="133">
        <f t="shared" si="422"/>
        <v>0</v>
      </c>
      <c r="AQ487" s="133">
        <f t="shared" si="422"/>
        <v>0</v>
      </c>
      <c r="AR487" s="133">
        <f t="shared" si="422"/>
        <v>0</v>
      </c>
      <c r="AS487" s="133">
        <f t="shared" si="422"/>
        <v>0</v>
      </c>
      <c r="AT487" s="133">
        <f t="shared" si="422"/>
        <v>0</v>
      </c>
      <c r="AU487" s="133">
        <f t="shared" si="422"/>
        <v>0</v>
      </c>
      <c r="AV487" s="133">
        <f t="shared" si="422"/>
        <v>0</v>
      </c>
      <c r="AW487" s="133">
        <f t="shared" si="422"/>
        <v>0</v>
      </c>
      <c r="AX487" s="133">
        <f t="shared" si="422"/>
        <v>0</v>
      </c>
      <c r="AY487" s="133">
        <f t="shared" si="422"/>
        <v>0</v>
      </c>
      <c r="AZ487" s="133">
        <f t="shared" si="422"/>
        <v>0</v>
      </c>
      <c r="BA487" s="133">
        <f t="shared" si="422"/>
        <v>0</v>
      </c>
      <c r="BB487" s="133">
        <f t="shared" si="422"/>
        <v>0</v>
      </c>
      <c r="BC487" s="133">
        <f t="shared" si="422"/>
        <v>0</v>
      </c>
      <c r="BD487" s="133">
        <f t="shared" si="422"/>
        <v>0</v>
      </c>
      <c r="BE487" s="133">
        <f t="shared" si="422"/>
        <v>0</v>
      </c>
      <c r="BF487" s="133">
        <f t="shared" si="422"/>
        <v>0</v>
      </c>
      <c r="BG487" s="133">
        <f t="shared" si="422"/>
        <v>0</v>
      </c>
      <c r="BH487" s="133">
        <f t="shared" si="422"/>
        <v>0</v>
      </c>
      <c r="BI487" s="133">
        <f t="shared" si="422"/>
        <v>0</v>
      </c>
      <c r="BJ487" s="133">
        <f t="shared" si="422"/>
        <v>0</v>
      </c>
      <c r="BK487" s="133">
        <f t="shared" si="422"/>
        <v>0</v>
      </c>
      <c r="BL487" s="133">
        <f t="shared" si="422"/>
        <v>0</v>
      </c>
      <c r="BM487" s="133">
        <f t="shared" si="422"/>
        <v>0</v>
      </c>
      <c r="BN487" s="133">
        <f t="shared" si="422"/>
        <v>0</v>
      </c>
      <c r="BO487" s="133">
        <f t="shared" si="422"/>
        <v>0</v>
      </c>
      <c r="BP487" s="133">
        <f t="shared" si="422"/>
        <v>0</v>
      </c>
      <c r="BQ487" s="133">
        <f t="shared" si="422"/>
        <v>0</v>
      </c>
      <c r="BR487" s="133">
        <f t="shared" si="422"/>
        <v>0</v>
      </c>
      <c r="BS487" s="133">
        <f t="shared" si="422"/>
        <v>0</v>
      </c>
      <c r="BT487" s="133">
        <f t="shared" si="422"/>
        <v>0</v>
      </c>
      <c r="BU487" s="133">
        <f t="shared" si="422"/>
        <v>0</v>
      </c>
      <c r="BV487" s="133">
        <f t="shared" si="422"/>
        <v>0</v>
      </c>
      <c r="BX487" s="133">
        <f t="shared" ref="BX487:CI487" si="423">BX$78+BX$79</f>
        <v>0</v>
      </c>
      <c r="BY487" s="133">
        <f t="shared" si="423"/>
        <v>0</v>
      </c>
      <c r="BZ487" s="133">
        <f t="shared" si="423"/>
        <v>0</v>
      </c>
      <c r="CA487" s="133">
        <f t="shared" si="423"/>
        <v>0</v>
      </c>
      <c r="CB487" s="133">
        <f t="shared" si="423"/>
        <v>0</v>
      </c>
      <c r="CC487" s="133">
        <f t="shared" si="423"/>
        <v>0</v>
      </c>
      <c r="CD487" s="133">
        <f t="shared" si="423"/>
        <v>0</v>
      </c>
      <c r="CE487" s="133">
        <f t="shared" si="423"/>
        <v>0</v>
      </c>
      <c r="CF487" s="133">
        <f t="shared" si="423"/>
        <v>0</v>
      </c>
      <c r="CG487" s="133">
        <f t="shared" si="423"/>
        <v>0</v>
      </c>
      <c r="CH487" s="133">
        <f t="shared" si="423"/>
        <v>0</v>
      </c>
      <c r="CI487" s="133">
        <f t="shared" si="423"/>
        <v>0</v>
      </c>
      <c r="CK487" s="11"/>
      <c r="CM487" s="11"/>
      <c r="DF487" s="11"/>
      <c r="EY487" s="10" t="str">
        <f t="shared" si="339"/>
        <v/>
      </c>
    </row>
    <row r="488" spans="2:155" x14ac:dyDescent="0.35">
      <c r="B488" s="69" t="str" cm="1">
        <f t="array" aca="1" ref="B488" ca="1">HYPERLINK(CONCATENATE("#",CELL("address",$D$94)),$D$94)</f>
        <v>Loan 3</v>
      </c>
      <c r="C488" s="211"/>
      <c r="D488" s="49">
        <f>D$15</f>
        <v>0</v>
      </c>
      <c r="E488" s="49" t="str">
        <f>F$15</f>
        <v/>
      </c>
      <c r="F488" s="49"/>
      <c r="H488" s="9" t="s">
        <v>1074</v>
      </c>
      <c r="I488" s="40" t="s">
        <v>1079</v>
      </c>
      <c r="V488" s="133">
        <f>V$97+V$98</f>
        <v>0</v>
      </c>
      <c r="W488" s="133">
        <f>W$97+W$98</f>
        <v>0</v>
      </c>
      <c r="X488" s="133">
        <f>X$97+X$98</f>
        <v>0</v>
      </c>
      <c r="Y488" s="133">
        <f>Y$97+Y$98</f>
        <v>0</v>
      </c>
      <c r="AA488" s="133">
        <f t="shared" ref="AA488:BV488" si="424">AA$97+AA$98</f>
        <v>0</v>
      </c>
      <c r="AB488" s="133">
        <f t="shared" si="424"/>
        <v>0</v>
      </c>
      <c r="AC488" s="133">
        <f t="shared" si="424"/>
        <v>0</v>
      </c>
      <c r="AD488" s="133">
        <f t="shared" si="424"/>
        <v>0</v>
      </c>
      <c r="AE488" s="133">
        <f t="shared" si="424"/>
        <v>0</v>
      </c>
      <c r="AF488" s="133">
        <f t="shared" si="424"/>
        <v>0</v>
      </c>
      <c r="AG488" s="133">
        <f t="shared" si="424"/>
        <v>0</v>
      </c>
      <c r="AH488" s="133">
        <f t="shared" si="424"/>
        <v>0</v>
      </c>
      <c r="AI488" s="133">
        <f t="shared" si="424"/>
        <v>0</v>
      </c>
      <c r="AJ488" s="133">
        <f t="shared" si="424"/>
        <v>0</v>
      </c>
      <c r="AK488" s="133">
        <f t="shared" si="424"/>
        <v>0</v>
      </c>
      <c r="AL488" s="133">
        <f t="shared" si="424"/>
        <v>0</v>
      </c>
      <c r="AM488" s="133">
        <f t="shared" si="424"/>
        <v>0</v>
      </c>
      <c r="AN488" s="133">
        <f t="shared" si="424"/>
        <v>0</v>
      </c>
      <c r="AO488" s="133">
        <f t="shared" si="424"/>
        <v>0</v>
      </c>
      <c r="AP488" s="133">
        <f t="shared" si="424"/>
        <v>0</v>
      </c>
      <c r="AQ488" s="133">
        <f t="shared" si="424"/>
        <v>0</v>
      </c>
      <c r="AR488" s="133">
        <f t="shared" si="424"/>
        <v>0</v>
      </c>
      <c r="AS488" s="133">
        <f t="shared" si="424"/>
        <v>0</v>
      </c>
      <c r="AT488" s="133">
        <f t="shared" si="424"/>
        <v>0</v>
      </c>
      <c r="AU488" s="133">
        <f t="shared" si="424"/>
        <v>0</v>
      </c>
      <c r="AV488" s="133">
        <f t="shared" si="424"/>
        <v>0</v>
      </c>
      <c r="AW488" s="133">
        <f t="shared" si="424"/>
        <v>0</v>
      </c>
      <c r="AX488" s="133">
        <f t="shared" si="424"/>
        <v>0</v>
      </c>
      <c r="AY488" s="133">
        <f t="shared" si="424"/>
        <v>0</v>
      </c>
      <c r="AZ488" s="133">
        <f t="shared" si="424"/>
        <v>0</v>
      </c>
      <c r="BA488" s="133">
        <f t="shared" si="424"/>
        <v>0</v>
      </c>
      <c r="BB488" s="133">
        <f t="shared" si="424"/>
        <v>0</v>
      </c>
      <c r="BC488" s="133">
        <f t="shared" si="424"/>
        <v>0</v>
      </c>
      <c r="BD488" s="133">
        <f t="shared" si="424"/>
        <v>0</v>
      </c>
      <c r="BE488" s="133">
        <f t="shared" si="424"/>
        <v>0</v>
      </c>
      <c r="BF488" s="133">
        <f t="shared" si="424"/>
        <v>0</v>
      </c>
      <c r="BG488" s="133">
        <f t="shared" si="424"/>
        <v>0</v>
      </c>
      <c r="BH488" s="133">
        <f t="shared" si="424"/>
        <v>0</v>
      </c>
      <c r="BI488" s="133">
        <f t="shared" si="424"/>
        <v>0</v>
      </c>
      <c r="BJ488" s="133">
        <f t="shared" si="424"/>
        <v>0</v>
      </c>
      <c r="BK488" s="133">
        <f t="shared" si="424"/>
        <v>0</v>
      </c>
      <c r="BL488" s="133">
        <f t="shared" si="424"/>
        <v>0</v>
      </c>
      <c r="BM488" s="133">
        <f t="shared" si="424"/>
        <v>0</v>
      </c>
      <c r="BN488" s="133">
        <f t="shared" si="424"/>
        <v>0</v>
      </c>
      <c r="BO488" s="133">
        <f t="shared" si="424"/>
        <v>0</v>
      </c>
      <c r="BP488" s="133">
        <f t="shared" si="424"/>
        <v>0</v>
      </c>
      <c r="BQ488" s="133">
        <f t="shared" si="424"/>
        <v>0</v>
      </c>
      <c r="BR488" s="133">
        <f t="shared" si="424"/>
        <v>0</v>
      </c>
      <c r="BS488" s="133">
        <f t="shared" si="424"/>
        <v>0</v>
      </c>
      <c r="BT488" s="133">
        <f t="shared" si="424"/>
        <v>0</v>
      </c>
      <c r="BU488" s="133">
        <f t="shared" si="424"/>
        <v>0</v>
      </c>
      <c r="BV488" s="133">
        <f t="shared" si="424"/>
        <v>0</v>
      </c>
      <c r="BX488" s="133">
        <f t="shared" ref="BX488:CI488" si="425">BX$97+BX$98</f>
        <v>0</v>
      </c>
      <c r="BY488" s="133">
        <f t="shared" si="425"/>
        <v>0</v>
      </c>
      <c r="BZ488" s="133">
        <f t="shared" si="425"/>
        <v>0</v>
      </c>
      <c r="CA488" s="133">
        <f t="shared" si="425"/>
        <v>0</v>
      </c>
      <c r="CB488" s="133">
        <f t="shared" si="425"/>
        <v>0</v>
      </c>
      <c r="CC488" s="133">
        <f t="shared" si="425"/>
        <v>0</v>
      </c>
      <c r="CD488" s="133">
        <f t="shared" si="425"/>
        <v>0</v>
      </c>
      <c r="CE488" s="133">
        <f t="shared" si="425"/>
        <v>0</v>
      </c>
      <c r="CF488" s="133">
        <f t="shared" si="425"/>
        <v>0</v>
      </c>
      <c r="CG488" s="133">
        <f t="shared" si="425"/>
        <v>0</v>
      </c>
      <c r="CH488" s="133">
        <f t="shared" si="425"/>
        <v>0</v>
      </c>
      <c r="CI488" s="133">
        <f t="shared" si="425"/>
        <v>0</v>
      </c>
      <c r="CK488" s="11"/>
      <c r="CM488" s="11"/>
      <c r="DF488" s="11"/>
      <c r="EY488" s="10" t="str">
        <f t="shared" si="339"/>
        <v/>
      </c>
    </row>
    <row r="489" spans="2:155" x14ac:dyDescent="0.35">
      <c r="B489" s="69" t="str" cm="1">
        <f t="array" aca="1" ref="B489" ca="1">HYPERLINK(CONCATENATE("#",CELL("address",$D$113)),$D$113)</f>
        <v>Loan 4</v>
      </c>
      <c r="C489" s="211"/>
      <c r="D489" s="49">
        <f>D$16</f>
        <v>0</v>
      </c>
      <c r="E489" s="49" t="str">
        <f>F$16</f>
        <v/>
      </c>
      <c r="F489" s="49"/>
      <c r="H489" s="9" t="s">
        <v>1074</v>
      </c>
      <c r="I489" s="40" t="s">
        <v>1079</v>
      </c>
      <c r="V489" s="133">
        <f>V$116+V$117</f>
        <v>0</v>
      </c>
      <c r="W489" s="133">
        <f>W$116+W$117</f>
        <v>0</v>
      </c>
      <c r="X489" s="133">
        <f>X$116+X$117</f>
        <v>0</v>
      </c>
      <c r="Y489" s="133">
        <f>Y$116+Y$117</f>
        <v>0</v>
      </c>
      <c r="AA489" s="133">
        <f t="shared" ref="AA489:BV489" si="426">AA$116+AA$117</f>
        <v>0</v>
      </c>
      <c r="AB489" s="133">
        <f t="shared" si="426"/>
        <v>0</v>
      </c>
      <c r="AC489" s="133">
        <f t="shared" si="426"/>
        <v>0</v>
      </c>
      <c r="AD489" s="133">
        <f t="shared" si="426"/>
        <v>0</v>
      </c>
      <c r="AE489" s="133">
        <f t="shared" si="426"/>
        <v>0</v>
      </c>
      <c r="AF489" s="133">
        <f t="shared" si="426"/>
        <v>0</v>
      </c>
      <c r="AG489" s="133">
        <f t="shared" si="426"/>
        <v>0</v>
      </c>
      <c r="AH489" s="133">
        <f t="shared" si="426"/>
        <v>0</v>
      </c>
      <c r="AI489" s="133">
        <f t="shared" si="426"/>
        <v>0</v>
      </c>
      <c r="AJ489" s="133">
        <f t="shared" si="426"/>
        <v>0</v>
      </c>
      <c r="AK489" s="133">
        <f t="shared" si="426"/>
        <v>0</v>
      </c>
      <c r="AL489" s="133">
        <f t="shared" si="426"/>
        <v>0</v>
      </c>
      <c r="AM489" s="133">
        <f t="shared" si="426"/>
        <v>0</v>
      </c>
      <c r="AN489" s="133">
        <f t="shared" si="426"/>
        <v>0</v>
      </c>
      <c r="AO489" s="133">
        <f t="shared" si="426"/>
        <v>0</v>
      </c>
      <c r="AP489" s="133">
        <f t="shared" si="426"/>
        <v>0</v>
      </c>
      <c r="AQ489" s="133">
        <f t="shared" si="426"/>
        <v>0</v>
      </c>
      <c r="AR489" s="133">
        <f t="shared" si="426"/>
        <v>0</v>
      </c>
      <c r="AS489" s="133">
        <f t="shared" si="426"/>
        <v>0</v>
      </c>
      <c r="AT489" s="133">
        <f t="shared" si="426"/>
        <v>0</v>
      </c>
      <c r="AU489" s="133">
        <f t="shared" si="426"/>
        <v>0</v>
      </c>
      <c r="AV489" s="133">
        <f t="shared" si="426"/>
        <v>0</v>
      </c>
      <c r="AW489" s="133">
        <f t="shared" si="426"/>
        <v>0</v>
      </c>
      <c r="AX489" s="133">
        <f t="shared" si="426"/>
        <v>0</v>
      </c>
      <c r="AY489" s="133">
        <f t="shared" si="426"/>
        <v>0</v>
      </c>
      <c r="AZ489" s="133">
        <f t="shared" si="426"/>
        <v>0</v>
      </c>
      <c r="BA489" s="133">
        <f t="shared" si="426"/>
        <v>0</v>
      </c>
      <c r="BB489" s="133">
        <f t="shared" si="426"/>
        <v>0</v>
      </c>
      <c r="BC489" s="133">
        <f t="shared" si="426"/>
        <v>0</v>
      </c>
      <c r="BD489" s="133">
        <f t="shared" si="426"/>
        <v>0</v>
      </c>
      <c r="BE489" s="133">
        <f t="shared" si="426"/>
        <v>0</v>
      </c>
      <c r="BF489" s="133">
        <f t="shared" si="426"/>
        <v>0</v>
      </c>
      <c r="BG489" s="133">
        <f t="shared" si="426"/>
        <v>0</v>
      </c>
      <c r="BH489" s="133">
        <f t="shared" si="426"/>
        <v>0</v>
      </c>
      <c r="BI489" s="133">
        <f t="shared" si="426"/>
        <v>0</v>
      </c>
      <c r="BJ489" s="133">
        <f t="shared" si="426"/>
        <v>0</v>
      </c>
      <c r="BK489" s="133">
        <f t="shared" si="426"/>
        <v>0</v>
      </c>
      <c r="BL489" s="133">
        <f t="shared" si="426"/>
        <v>0</v>
      </c>
      <c r="BM489" s="133">
        <f t="shared" si="426"/>
        <v>0</v>
      </c>
      <c r="BN489" s="133">
        <f t="shared" si="426"/>
        <v>0</v>
      </c>
      <c r="BO489" s="133">
        <f t="shared" si="426"/>
        <v>0</v>
      </c>
      <c r="BP489" s="133">
        <f t="shared" si="426"/>
        <v>0</v>
      </c>
      <c r="BQ489" s="133">
        <f t="shared" si="426"/>
        <v>0</v>
      </c>
      <c r="BR489" s="133">
        <f t="shared" si="426"/>
        <v>0</v>
      </c>
      <c r="BS489" s="133">
        <f t="shared" si="426"/>
        <v>0</v>
      </c>
      <c r="BT489" s="133">
        <f t="shared" si="426"/>
        <v>0</v>
      </c>
      <c r="BU489" s="133">
        <f t="shared" si="426"/>
        <v>0</v>
      </c>
      <c r="BV489" s="133">
        <f t="shared" si="426"/>
        <v>0</v>
      </c>
      <c r="BX489" s="133">
        <f t="shared" ref="BX489:CI489" si="427">BX$116+BX$117</f>
        <v>0</v>
      </c>
      <c r="BY489" s="133">
        <f t="shared" si="427"/>
        <v>0</v>
      </c>
      <c r="BZ489" s="133">
        <f t="shared" si="427"/>
        <v>0</v>
      </c>
      <c r="CA489" s="133">
        <f t="shared" si="427"/>
        <v>0</v>
      </c>
      <c r="CB489" s="133">
        <f t="shared" si="427"/>
        <v>0</v>
      </c>
      <c r="CC489" s="133">
        <f t="shared" si="427"/>
        <v>0</v>
      </c>
      <c r="CD489" s="133">
        <f t="shared" si="427"/>
        <v>0</v>
      </c>
      <c r="CE489" s="133">
        <f t="shared" si="427"/>
        <v>0</v>
      </c>
      <c r="CF489" s="133">
        <f t="shared" si="427"/>
        <v>0</v>
      </c>
      <c r="CG489" s="133">
        <f t="shared" si="427"/>
        <v>0</v>
      </c>
      <c r="CH489" s="133">
        <f t="shared" si="427"/>
        <v>0</v>
      </c>
      <c r="CI489" s="133">
        <f t="shared" si="427"/>
        <v>0</v>
      </c>
      <c r="CK489" s="11"/>
      <c r="CM489" s="11"/>
      <c r="DF489" s="11"/>
      <c r="EY489" s="10" t="str">
        <f t="shared" si="339"/>
        <v/>
      </c>
    </row>
    <row r="490" spans="2:155" x14ac:dyDescent="0.35">
      <c r="B490" s="69" t="str" cm="1">
        <f t="array" aca="1" ref="B490" ca="1">HYPERLINK(CONCATENATE("#",CELL("address",$D$132)),$D$132)</f>
        <v>Loan 5</v>
      </c>
      <c r="C490" s="211"/>
      <c r="D490" s="49">
        <f>D$17</f>
        <v>0</v>
      </c>
      <c r="E490" s="49" t="str">
        <f>F$17</f>
        <v/>
      </c>
      <c r="F490" s="49"/>
      <c r="H490" s="9" t="s">
        <v>1074</v>
      </c>
      <c r="I490" s="40" t="s">
        <v>1079</v>
      </c>
      <c r="V490" s="133">
        <f>V$135+V$136</f>
        <v>0</v>
      </c>
      <c r="W490" s="133">
        <f>W$135+W$136</f>
        <v>0</v>
      </c>
      <c r="X490" s="133">
        <f>X$135+X$136</f>
        <v>0</v>
      </c>
      <c r="Y490" s="133">
        <f>Y$135+Y$136</f>
        <v>0</v>
      </c>
      <c r="AA490" s="133">
        <f t="shared" ref="AA490:BV490" si="428">AA$135+AA$136</f>
        <v>0</v>
      </c>
      <c r="AB490" s="133">
        <f t="shared" si="428"/>
        <v>0</v>
      </c>
      <c r="AC490" s="133">
        <f t="shared" si="428"/>
        <v>0</v>
      </c>
      <c r="AD490" s="133">
        <f t="shared" si="428"/>
        <v>0</v>
      </c>
      <c r="AE490" s="133">
        <f t="shared" si="428"/>
        <v>0</v>
      </c>
      <c r="AF490" s="133">
        <f t="shared" si="428"/>
        <v>0</v>
      </c>
      <c r="AG490" s="133">
        <f t="shared" si="428"/>
        <v>0</v>
      </c>
      <c r="AH490" s="133">
        <f t="shared" si="428"/>
        <v>0</v>
      </c>
      <c r="AI490" s="133">
        <f t="shared" si="428"/>
        <v>0</v>
      </c>
      <c r="AJ490" s="133">
        <f t="shared" si="428"/>
        <v>0</v>
      </c>
      <c r="AK490" s="133">
        <f t="shared" si="428"/>
        <v>0</v>
      </c>
      <c r="AL490" s="133">
        <f t="shared" si="428"/>
        <v>0</v>
      </c>
      <c r="AM490" s="133">
        <f t="shared" si="428"/>
        <v>0</v>
      </c>
      <c r="AN490" s="133">
        <f t="shared" si="428"/>
        <v>0</v>
      </c>
      <c r="AO490" s="133">
        <f t="shared" si="428"/>
        <v>0</v>
      </c>
      <c r="AP490" s="133">
        <f t="shared" si="428"/>
        <v>0</v>
      </c>
      <c r="AQ490" s="133">
        <f t="shared" si="428"/>
        <v>0</v>
      </c>
      <c r="AR490" s="133">
        <f t="shared" si="428"/>
        <v>0</v>
      </c>
      <c r="AS490" s="133">
        <f t="shared" si="428"/>
        <v>0</v>
      </c>
      <c r="AT490" s="133">
        <f t="shared" si="428"/>
        <v>0</v>
      </c>
      <c r="AU490" s="133">
        <f t="shared" si="428"/>
        <v>0</v>
      </c>
      <c r="AV490" s="133">
        <f t="shared" si="428"/>
        <v>0</v>
      </c>
      <c r="AW490" s="133">
        <f t="shared" si="428"/>
        <v>0</v>
      </c>
      <c r="AX490" s="133">
        <f t="shared" si="428"/>
        <v>0</v>
      </c>
      <c r="AY490" s="133">
        <f t="shared" si="428"/>
        <v>0</v>
      </c>
      <c r="AZ490" s="133">
        <f t="shared" si="428"/>
        <v>0</v>
      </c>
      <c r="BA490" s="133">
        <f t="shared" si="428"/>
        <v>0</v>
      </c>
      <c r="BB490" s="133">
        <f t="shared" si="428"/>
        <v>0</v>
      </c>
      <c r="BC490" s="133">
        <f t="shared" si="428"/>
        <v>0</v>
      </c>
      <c r="BD490" s="133">
        <f t="shared" si="428"/>
        <v>0</v>
      </c>
      <c r="BE490" s="133">
        <f t="shared" si="428"/>
        <v>0</v>
      </c>
      <c r="BF490" s="133">
        <f t="shared" si="428"/>
        <v>0</v>
      </c>
      <c r="BG490" s="133">
        <f t="shared" si="428"/>
        <v>0</v>
      </c>
      <c r="BH490" s="133">
        <f t="shared" si="428"/>
        <v>0</v>
      </c>
      <c r="BI490" s="133">
        <f t="shared" si="428"/>
        <v>0</v>
      </c>
      <c r="BJ490" s="133">
        <f t="shared" si="428"/>
        <v>0</v>
      </c>
      <c r="BK490" s="133">
        <f t="shared" si="428"/>
        <v>0</v>
      </c>
      <c r="BL490" s="133">
        <f t="shared" si="428"/>
        <v>0</v>
      </c>
      <c r="BM490" s="133">
        <f t="shared" si="428"/>
        <v>0</v>
      </c>
      <c r="BN490" s="133">
        <f t="shared" si="428"/>
        <v>0</v>
      </c>
      <c r="BO490" s="133">
        <f t="shared" si="428"/>
        <v>0</v>
      </c>
      <c r="BP490" s="133">
        <f t="shared" si="428"/>
        <v>0</v>
      </c>
      <c r="BQ490" s="133">
        <f t="shared" si="428"/>
        <v>0</v>
      </c>
      <c r="BR490" s="133">
        <f t="shared" si="428"/>
        <v>0</v>
      </c>
      <c r="BS490" s="133">
        <f t="shared" si="428"/>
        <v>0</v>
      </c>
      <c r="BT490" s="133">
        <f t="shared" si="428"/>
        <v>0</v>
      </c>
      <c r="BU490" s="133">
        <f t="shared" si="428"/>
        <v>0</v>
      </c>
      <c r="BV490" s="133">
        <f t="shared" si="428"/>
        <v>0</v>
      </c>
      <c r="BX490" s="133">
        <f t="shared" ref="BX490:CI490" si="429">BX$135+BX$136</f>
        <v>0</v>
      </c>
      <c r="BY490" s="133">
        <f t="shared" si="429"/>
        <v>0</v>
      </c>
      <c r="BZ490" s="133">
        <f t="shared" si="429"/>
        <v>0</v>
      </c>
      <c r="CA490" s="133">
        <f t="shared" si="429"/>
        <v>0</v>
      </c>
      <c r="CB490" s="133">
        <f t="shared" si="429"/>
        <v>0</v>
      </c>
      <c r="CC490" s="133">
        <f t="shared" si="429"/>
        <v>0</v>
      </c>
      <c r="CD490" s="133">
        <f t="shared" si="429"/>
        <v>0</v>
      </c>
      <c r="CE490" s="133">
        <f t="shared" si="429"/>
        <v>0</v>
      </c>
      <c r="CF490" s="133">
        <f t="shared" si="429"/>
        <v>0</v>
      </c>
      <c r="CG490" s="133">
        <f t="shared" si="429"/>
        <v>0</v>
      </c>
      <c r="CH490" s="133">
        <f t="shared" si="429"/>
        <v>0</v>
      </c>
      <c r="CI490" s="133">
        <f t="shared" si="429"/>
        <v>0</v>
      </c>
      <c r="CK490" s="11"/>
      <c r="CM490" s="11"/>
      <c r="DF490" s="11"/>
      <c r="EY490" s="10" t="str">
        <f t="shared" si="339"/>
        <v/>
      </c>
    </row>
    <row r="491" spans="2:155" x14ac:dyDescent="0.35">
      <c r="B491" s="69" t="str" cm="1">
        <f t="array" aca="1" ref="B491" ca="1">HYPERLINK(CONCATENATE("#",CELL("address",$D$151)),$D$151)</f>
        <v>Loan 6</v>
      </c>
      <c r="C491" s="211"/>
      <c r="D491" s="49">
        <f>D$18</f>
        <v>0</v>
      </c>
      <c r="E491" s="49" t="str">
        <f>F$18</f>
        <v/>
      </c>
      <c r="F491" s="49"/>
      <c r="H491" s="9" t="s">
        <v>1074</v>
      </c>
      <c r="I491" s="40" t="s">
        <v>1079</v>
      </c>
      <c r="V491" s="133">
        <f>V$154+V$155</f>
        <v>0</v>
      </c>
      <c r="W491" s="133">
        <f>W$154+W$155</f>
        <v>0</v>
      </c>
      <c r="X491" s="133">
        <f>X$154+X$155</f>
        <v>0</v>
      </c>
      <c r="Y491" s="133">
        <f>Y$154+Y$155</f>
        <v>0</v>
      </c>
      <c r="AA491" s="133">
        <f t="shared" ref="AA491:BV491" si="430">AA$154+AA$155</f>
        <v>0</v>
      </c>
      <c r="AB491" s="133">
        <f t="shared" si="430"/>
        <v>0</v>
      </c>
      <c r="AC491" s="133">
        <f t="shared" si="430"/>
        <v>0</v>
      </c>
      <c r="AD491" s="133">
        <f t="shared" si="430"/>
        <v>0</v>
      </c>
      <c r="AE491" s="133">
        <f t="shared" si="430"/>
        <v>0</v>
      </c>
      <c r="AF491" s="133">
        <f t="shared" si="430"/>
        <v>0</v>
      </c>
      <c r="AG491" s="133">
        <f t="shared" si="430"/>
        <v>0</v>
      </c>
      <c r="AH491" s="133">
        <f t="shared" si="430"/>
        <v>0</v>
      </c>
      <c r="AI491" s="133">
        <f t="shared" si="430"/>
        <v>0</v>
      </c>
      <c r="AJ491" s="133">
        <f t="shared" si="430"/>
        <v>0</v>
      </c>
      <c r="AK491" s="133">
        <f t="shared" si="430"/>
        <v>0</v>
      </c>
      <c r="AL491" s="133">
        <f t="shared" si="430"/>
        <v>0</v>
      </c>
      <c r="AM491" s="133">
        <f t="shared" si="430"/>
        <v>0</v>
      </c>
      <c r="AN491" s="133">
        <f t="shared" si="430"/>
        <v>0</v>
      </c>
      <c r="AO491" s="133">
        <f t="shared" si="430"/>
        <v>0</v>
      </c>
      <c r="AP491" s="133">
        <f t="shared" si="430"/>
        <v>0</v>
      </c>
      <c r="AQ491" s="133">
        <f t="shared" si="430"/>
        <v>0</v>
      </c>
      <c r="AR491" s="133">
        <f t="shared" si="430"/>
        <v>0</v>
      </c>
      <c r="AS491" s="133">
        <f t="shared" si="430"/>
        <v>0</v>
      </c>
      <c r="AT491" s="133">
        <f t="shared" si="430"/>
        <v>0</v>
      </c>
      <c r="AU491" s="133">
        <f t="shared" si="430"/>
        <v>0</v>
      </c>
      <c r="AV491" s="133">
        <f t="shared" si="430"/>
        <v>0</v>
      </c>
      <c r="AW491" s="133">
        <f t="shared" si="430"/>
        <v>0</v>
      </c>
      <c r="AX491" s="133">
        <f t="shared" si="430"/>
        <v>0</v>
      </c>
      <c r="AY491" s="133">
        <f t="shared" si="430"/>
        <v>0</v>
      </c>
      <c r="AZ491" s="133">
        <f t="shared" si="430"/>
        <v>0</v>
      </c>
      <c r="BA491" s="133">
        <f t="shared" si="430"/>
        <v>0</v>
      </c>
      <c r="BB491" s="133">
        <f t="shared" si="430"/>
        <v>0</v>
      </c>
      <c r="BC491" s="133">
        <f t="shared" si="430"/>
        <v>0</v>
      </c>
      <c r="BD491" s="133">
        <f t="shared" si="430"/>
        <v>0</v>
      </c>
      <c r="BE491" s="133">
        <f t="shared" si="430"/>
        <v>0</v>
      </c>
      <c r="BF491" s="133">
        <f t="shared" si="430"/>
        <v>0</v>
      </c>
      <c r="BG491" s="133">
        <f t="shared" si="430"/>
        <v>0</v>
      </c>
      <c r="BH491" s="133">
        <f t="shared" si="430"/>
        <v>0</v>
      </c>
      <c r="BI491" s="133">
        <f t="shared" si="430"/>
        <v>0</v>
      </c>
      <c r="BJ491" s="133">
        <f t="shared" si="430"/>
        <v>0</v>
      </c>
      <c r="BK491" s="133">
        <f t="shared" si="430"/>
        <v>0</v>
      </c>
      <c r="BL491" s="133">
        <f t="shared" si="430"/>
        <v>0</v>
      </c>
      <c r="BM491" s="133">
        <f t="shared" si="430"/>
        <v>0</v>
      </c>
      <c r="BN491" s="133">
        <f t="shared" si="430"/>
        <v>0</v>
      </c>
      <c r="BO491" s="133">
        <f t="shared" si="430"/>
        <v>0</v>
      </c>
      <c r="BP491" s="133">
        <f t="shared" si="430"/>
        <v>0</v>
      </c>
      <c r="BQ491" s="133">
        <f t="shared" si="430"/>
        <v>0</v>
      </c>
      <c r="BR491" s="133">
        <f t="shared" si="430"/>
        <v>0</v>
      </c>
      <c r="BS491" s="133">
        <f t="shared" si="430"/>
        <v>0</v>
      </c>
      <c r="BT491" s="133">
        <f t="shared" si="430"/>
        <v>0</v>
      </c>
      <c r="BU491" s="133">
        <f t="shared" si="430"/>
        <v>0</v>
      </c>
      <c r="BV491" s="133">
        <f t="shared" si="430"/>
        <v>0</v>
      </c>
      <c r="BX491" s="133">
        <f t="shared" ref="BX491:CI491" si="431">BX$154+BX$155</f>
        <v>0</v>
      </c>
      <c r="BY491" s="133">
        <f t="shared" si="431"/>
        <v>0</v>
      </c>
      <c r="BZ491" s="133">
        <f t="shared" si="431"/>
        <v>0</v>
      </c>
      <c r="CA491" s="133">
        <f t="shared" si="431"/>
        <v>0</v>
      </c>
      <c r="CB491" s="133">
        <f t="shared" si="431"/>
        <v>0</v>
      </c>
      <c r="CC491" s="133">
        <f t="shared" si="431"/>
        <v>0</v>
      </c>
      <c r="CD491" s="133">
        <f t="shared" si="431"/>
        <v>0</v>
      </c>
      <c r="CE491" s="133">
        <f t="shared" si="431"/>
        <v>0</v>
      </c>
      <c r="CF491" s="133">
        <f t="shared" si="431"/>
        <v>0</v>
      </c>
      <c r="CG491" s="133">
        <f t="shared" si="431"/>
        <v>0</v>
      </c>
      <c r="CH491" s="133">
        <f t="shared" si="431"/>
        <v>0</v>
      </c>
      <c r="CI491" s="133">
        <f t="shared" si="431"/>
        <v>0</v>
      </c>
      <c r="CK491" s="11"/>
      <c r="CM491" s="11"/>
      <c r="DF491" s="11"/>
      <c r="EY491" s="10" t="str">
        <f t="shared" si="339"/>
        <v/>
      </c>
    </row>
    <row r="492" spans="2:155" x14ac:dyDescent="0.35">
      <c r="B492" s="69" t="str" cm="1">
        <f t="array" aca="1" ref="B492" ca="1">HYPERLINK(CONCATENATE("#",CELL("address",$D$170)),$D$170)</f>
        <v>Loan 7</v>
      </c>
      <c r="C492" s="211"/>
      <c r="D492" s="49">
        <f>D$19</f>
        <v>0</v>
      </c>
      <c r="E492" s="49" t="str">
        <f>F$19</f>
        <v/>
      </c>
      <c r="F492" s="49"/>
      <c r="H492" s="9" t="s">
        <v>1074</v>
      </c>
      <c r="I492" s="40" t="s">
        <v>1079</v>
      </c>
      <c r="V492" s="133">
        <f>V$173+V$174</f>
        <v>0</v>
      </c>
      <c r="W492" s="133">
        <f>W$173+W$174</f>
        <v>0</v>
      </c>
      <c r="X492" s="133">
        <f>X$173+X$174</f>
        <v>0</v>
      </c>
      <c r="Y492" s="133">
        <f>Y$173+Y$174</f>
        <v>0</v>
      </c>
      <c r="AA492" s="133">
        <f t="shared" ref="AA492:BV492" si="432">AA$173+AA$174</f>
        <v>0</v>
      </c>
      <c r="AB492" s="133">
        <f t="shared" si="432"/>
        <v>0</v>
      </c>
      <c r="AC492" s="133">
        <f t="shared" si="432"/>
        <v>0</v>
      </c>
      <c r="AD492" s="133">
        <f t="shared" si="432"/>
        <v>0</v>
      </c>
      <c r="AE492" s="133">
        <f t="shared" si="432"/>
        <v>0</v>
      </c>
      <c r="AF492" s="133">
        <f t="shared" si="432"/>
        <v>0</v>
      </c>
      <c r="AG492" s="133">
        <f t="shared" si="432"/>
        <v>0</v>
      </c>
      <c r="AH492" s="133">
        <f t="shared" si="432"/>
        <v>0</v>
      </c>
      <c r="AI492" s="133">
        <f t="shared" si="432"/>
        <v>0</v>
      </c>
      <c r="AJ492" s="133">
        <f t="shared" si="432"/>
        <v>0</v>
      </c>
      <c r="AK492" s="133">
        <f t="shared" si="432"/>
        <v>0</v>
      </c>
      <c r="AL492" s="133">
        <f t="shared" si="432"/>
        <v>0</v>
      </c>
      <c r="AM492" s="133">
        <f t="shared" si="432"/>
        <v>0</v>
      </c>
      <c r="AN492" s="133">
        <f t="shared" si="432"/>
        <v>0</v>
      </c>
      <c r="AO492" s="133">
        <f t="shared" si="432"/>
        <v>0</v>
      </c>
      <c r="AP492" s="133">
        <f t="shared" si="432"/>
        <v>0</v>
      </c>
      <c r="AQ492" s="133">
        <f t="shared" si="432"/>
        <v>0</v>
      </c>
      <c r="AR492" s="133">
        <f t="shared" si="432"/>
        <v>0</v>
      </c>
      <c r="AS492" s="133">
        <f t="shared" si="432"/>
        <v>0</v>
      </c>
      <c r="AT492" s="133">
        <f t="shared" si="432"/>
        <v>0</v>
      </c>
      <c r="AU492" s="133">
        <f t="shared" si="432"/>
        <v>0</v>
      </c>
      <c r="AV492" s="133">
        <f t="shared" si="432"/>
        <v>0</v>
      </c>
      <c r="AW492" s="133">
        <f t="shared" si="432"/>
        <v>0</v>
      </c>
      <c r="AX492" s="133">
        <f t="shared" si="432"/>
        <v>0</v>
      </c>
      <c r="AY492" s="133">
        <f t="shared" si="432"/>
        <v>0</v>
      </c>
      <c r="AZ492" s="133">
        <f t="shared" si="432"/>
        <v>0</v>
      </c>
      <c r="BA492" s="133">
        <f t="shared" si="432"/>
        <v>0</v>
      </c>
      <c r="BB492" s="133">
        <f t="shared" si="432"/>
        <v>0</v>
      </c>
      <c r="BC492" s="133">
        <f t="shared" si="432"/>
        <v>0</v>
      </c>
      <c r="BD492" s="133">
        <f t="shared" si="432"/>
        <v>0</v>
      </c>
      <c r="BE492" s="133">
        <f t="shared" si="432"/>
        <v>0</v>
      </c>
      <c r="BF492" s="133">
        <f t="shared" si="432"/>
        <v>0</v>
      </c>
      <c r="BG492" s="133">
        <f t="shared" si="432"/>
        <v>0</v>
      </c>
      <c r="BH492" s="133">
        <f t="shared" si="432"/>
        <v>0</v>
      </c>
      <c r="BI492" s="133">
        <f t="shared" si="432"/>
        <v>0</v>
      </c>
      <c r="BJ492" s="133">
        <f t="shared" si="432"/>
        <v>0</v>
      </c>
      <c r="BK492" s="133">
        <f t="shared" si="432"/>
        <v>0</v>
      </c>
      <c r="BL492" s="133">
        <f t="shared" si="432"/>
        <v>0</v>
      </c>
      <c r="BM492" s="133">
        <f t="shared" si="432"/>
        <v>0</v>
      </c>
      <c r="BN492" s="133">
        <f t="shared" si="432"/>
        <v>0</v>
      </c>
      <c r="BO492" s="133">
        <f t="shared" si="432"/>
        <v>0</v>
      </c>
      <c r="BP492" s="133">
        <f t="shared" si="432"/>
        <v>0</v>
      </c>
      <c r="BQ492" s="133">
        <f t="shared" si="432"/>
        <v>0</v>
      </c>
      <c r="BR492" s="133">
        <f t="shared" si="432"/>
        <v>0</v>
      </c>
      <c r="BS492" s="133">
        <f t="shared" si="432"/>
        <v>0</v>
      </c>
      <c r="BT492" s="133">
        <f t="shared" si="432"/>
        <v>0</v>
      </c>
      <c r="BU492" s="133">
        <f t="shared" si="432"/>
        <v>0</v>
      </c>
      <c r="BV492" s="133">
        <f t="shared" si="432"/>
        <v>0</v>
      </c>
      <c r="BX492" s="133">
        <f t="shared" ref="BX492:CI492" si="433">BX$173+BX$174</f>
        <v>0</v>
      </c>
      <c r="BY492" s="133">
        <f t="shared" si="433"/>
        <v>0</v>
      </c>
      <c r="BZ492" s="133">
        <f t="shared" si="433"/>
        <v>0</v>
      </c>
      <c r="CA492" s="133">
        <f t="shared" si="433"/>
        <v>0</v>
      </c>
      <c r="CB492" s="133">
        <f t="shared" si="433"/>
        <v>0</v>
      </c>
      <c r="CC492" s="133">
        <f t="shared" si="433"/>
        <v>0</v>
      </c>
      <c r="CD492" s="133">
        <f t="shared" si="433"/>
        <v>0</v>
      </c>
      <c r="CE492" s="133">
        <f t="shared" si="433"/>
        <v>0</v>
      </c>
      <c r="CF492" s="133">
        <f t="shared" si="433"/>
        <v>0</v>
      </c>
      <c r="CG492" s="133">
        <f t="shared" si="433"/>
        <v>0</v>
      </c>
      <c r="CH492" s="133">
        <f t="shared" si="433"/>
        <v>0</v>
      </c>
      <c r="CI492" s="133">
        <f t="shared" si="433"/>
        <v>0</v>
      </c>
      <c r="CK492" s="11"/>
      <c r="CM492" s="11"/>
      <c r="DF492" s="11"/>
      <c r="EY492" s="10" t="str">
        <f t="shared" si="339"/>
        <v/>
      </c>
    </row>
    <row r="493" spans="2:155" x14ac:dyDescent="0.35">
      <c r="B493" s="69" t="str" cm="1">
        <f t="array" aca="1" ref="B493" ca="1">HYPERLINK(CONCATENATE("#",CELL("address",$D$189)),$D$189)</f>
        <v>Loan 8</v>
      </c>
      <c r="C493" s="211"/>
      <c r="D493" s="49">
        <f>D$20</f>
        <v>0</v>
      </c>
      <c r="E493" s="49" t="str">
        <f>F$20</f>
        <v/>
      </c>
      <c r="F493" s="49"/>
      <c r="H493" s="9" t="s">
        <v>1074</v>
      </c>
      <c r="I493" s="40" t="s">
        <v>1079</v>
      </c>
      <c r="V493" s="133">
        <f>V$192+V$193</f>
        <v>0</v>
      </c>
      <c r="W493" s="133">
        <f>W$192+W$193</f>
        <v>0</v>
      </c>
      <c r="X493" s="133">
        <f>X$192+X$193</f>
        <v>0</v>
      </c>
      <c r="Y493" s="133">
        <f>Y$192+Y$193</f>
        <v>0</v>
      </c>
      <c r="AA493" s="133">
        <f t="shared" ref="AA493:BV493" si="434">AA$192+AA$193</f>
        <v>0</v>
      </c>
      <c r="AB493" s="133">
        <f t="shared" si="434"/>
        <v>0</v>
      </c>
      <c r="AC493" s="133">
        <f t="shared" si="434"/>
        <v>0</v>
      </c>
      <c r="AD493" s="133">
        <f t="shared" si="434"/>
        <v>0</v>
      </c>
      <c r="AE493" s="133">
        <f t="shared" si="434"/>
        <v>0</v>
      </c>
      <c r="AF493" s="133">
        <f t="shared" si="434"/>
        <v>0</v>
      </c>
      <c r="AG493" s="133">
        <f t="shared" si="434"/>
        <v>0</v>
      </c>
      <c r="AH493" s="133">
        <f t="shared" si="434"/>
        <v>0</v>
      </c>
      <c r="AI493" s="133">
        <f t="shared" si="434"/>
        <v>0</v>
      </c>
      <c r="AJ493" s="133">
        <f t="shared" si="434"/>
        <v>0</v>
      </c>
      <c r="AK493" s="133">
        <f t="shared" si="434"/>
        <v>0</v>
      </c>
      <c r="AL493" s="133">
        <f t="shared" si="434"/>
        <v>0</v>
      </c>
      <c r="AM493" s="133">
        <f t="shared" si="434"/>
        <v>0</v>
      </c>
      <c r="AN493" s="133">
        <f t="shared" si="434"/>
        <v>0</v>
      </c>
      <c r="AO493" s="133">
        <f t="shared" si="434"/>
        <v>0</v>
      </c>
      <c r="AP493" s="133">
        <f t="shared" si="434"/>
        <v>0</v>
      </c>
      <c r="AQ493" s="133">
        <f t="shared" si="434"/>
        <v>0</v>
      </c>
      <c r="AR493" s="133">
        <f t="shared" si="434"/>
        <v>0</v>
      </c>
      <c r="AS493" s="133">
        <f t="shared" si="434"/>
        <v>0</v>
      </c>
      <c r="AT493" s="133">
        <f t="shared" si="434"/>
        <v>0</v>
      </c>
      <c r="AU493" s="133">
        <f t="shared" si="434"/>
        <v>0</v>
      </c>
      <c r="AV493" s="133">
        <f t="shared" si="434"/>
        <v>0</v>
      </c>
      <c r="AW493" s="133">
        <f t="shared" si="434"/>
        <v>0</v>
      </c>
      <c r="AX493" s="133">
        <f t="shared" si="434"/>
        <v>0</v>
      </c>
      <c r="AY493" s="133">
        <f t="shared" si="434"/>
        <v>0</v>
      </c>
      <c r="AZ493" s="133">
        <f t="shared" si="434"/>
        <v>0</v>
      </c>
      <c r="BA493" s="133">
        <f t="shared" si="434"/>
        <v>0</v>
      </c>
      <c r="BB493" s="133">
        <f t="shared" si="434"/>
        <v>0</v>
      </c>
      <c r="BC493" s="133">
        <f t="shared" si="434"/>
        <v>0</v>
      </c>
      <c r="BD493" s="133">
        <f t="shared" si="434"/>
        <v>0</v>
      </c>
      <c r="BE493" s="133">
        <f t="shared" si="434"/>
        <v>0</v>
      </c>
      <c r="BF493" s="133">
        <f t="shared" si="434"/>
        <v>0</v>
      </c>
      <c r="BG493" s="133">
        <f t="shared" si="434"/>
        <v>0</v>
      </c>
      <c r="BH493" s="133">
        <f t="shared" si="434"/>
        <v>0</v>
      </c>
      <c r="BI493" s="133">
        <f t="shared" si="434"/>
        <v>0</v>
      </c>
      <c r="BJ493" s="133">
        <f t="shared" si="434"/>
        <v>0</v>
      </c>
      <c r="BK493" s="133">
        <f t="shared" si="434"/>
        <v>0</v>
      </c>
      <c r="BL493" s="133">
        <f t="shared" si="434"/>
        <v>0</v>
      </c>
      <c r="BM493" s="133">
        <f t="shared" si="434"/>
        <v>0</v>
      </c>
      <c r="BN493" s="133">
        <f t="shared" si="434"/>
        <v>0</v>
      </c>
      <c r="BO493" s="133">
        <f t="shared" si="434"/>
        <v>0</v>
      </c>
      <c r="BP493" s="133">
        <f t="shared" si="434"/>
        <v>0</v>
      </c>
      <c r="BQ493" s="133">
        <f t="shared" si="434"/>
        <v>0</v>
      </c>
      <c r="BR493" s="133">
        <f t="shared" si="434"/>
        <v>0</v>
      </c>
      <c r="BS493" s="133">
        <f t="shared" si="434"/>
        <v>0</v>
      </c>
      <c r="BT493" s="133">
        <f t="shared" si="434"/>
        <v>0</v>
      </c>
      <c r="BU493" s="133">
        <f t="shared" si="434"/>
        <v>0</v>
      </c>
      <c r="BV493" s="133">
        <f t="shared" si="434"/>
        <v>0</v>
      </c>
      <c r="BX493" s="133">
        <f t="shared" ref="BX493:CI493" si="435">BX$192+BX$193</f>
        <v>0</v>
      </c>
      <c r="BY493" s="133">
        <f t="shared" si="435"/>
        <v>0</v>
      </c>
      <c r="BZ493" s="133">
        <f t="shared" si="435"/>
        <v>0</v>
      </c>
      <c r="CA493" s="133">
        <f t="shared" si="435"/>
        <v>0</v>
      </c>
      <c r="CB493" s="133">
        <f t="shared" si="435"/>
        <v>0</v>
      </c>
      <c r="CC493" s="133">
        <f t="shared" si="435"/>
        <v>0</v>
      </c>
      <c r="CD493" s="133">
        <f t="shared" si="435"/>
        <v>0</v>
      </c>
      <c r="CE493" s="133">
        <f t="shared" si="435"/>
        <v>0</v>
      </c>
      <c r="CF493" s="133">
        <f t="shared" si="435"/>
        <v>0</v>
      </c>
      <c r="CG493" s="133">
        <f t="shared" si="435"/>
        <v>0</v>
      </c>
      <c r="CH493" s="133">
        <f t="shared" si="435"/>
        <v>0</v>
      </c>
      <c r="CI493" s="133">
        <f t="shared" si="435"/>
        <v>0</v>
      </c>
      <c r="CK493" s="11"/>
      <c r="CM493" s="11"/>
      <c r="DF493" s="11"/>
      <c r="EY493" s="10" t="str">
        <f t="shared" si="339"/>
        <v/>
      </c>
    </row>
    <row r="494" spans="2:155" x14ac:dyDescent="0.35">
      <c r="B494" s="69" t="str" cm="1">
        <f t="array" aca="1" ref="B494" ca="1">HYPERLINK(CONCATENATE("#",CELL("address",$D$208)),$D$208)</f>
        <v>Loan 9</v>
      </c>
      <c r="C494" s="211"/>
      <c r="D494" s="49">
        <f>D$21</f>
        <v>0</v>
      </c>
      <c r="E494" s="49" t="str">
        <f>F$21</f>
        <v/>
      </c>
      <c r="F494" s="49"/>
      <c r="H494" s="9" t="s">
        <v>1074</v>
      </c>
      <c r="I494" s="40" t="s">
        <v>1079</v>
      </c>
      <c r="V494" s="133">
        <f>V$211+V$212</f>
        <v>0</v>
      </c>
      <c r="W494" s="133">
        <f>W$211+W$212</f>
        <v>0</v>
      </c>
      <c r="X494" s="133">
        <f>X$211+X$212</f>
        <v>0</v>
      </c>
      <c r="Y494" s="133">
        <f>Y$211+Y$212</f>
        <v>0</v>
      </c>
      <c r="AA494" s="133">
        <f t="shared" ref="AA494:BV494" si="436">AA$211+AA$212</f>
        <v>0</v>
      </c>
      <c r="AB494" s="133">
        <f t="shared" si="436"/>
        <v>0</v>
      </c>
      <c r="AC494" s="133">
        <f t="shared" si="436"/>
        <v>0</v>
      </c>
      <c r="AD494" s="133">
        <f t="shared" si="436"/>
        <v>0</v>
      </c>
      <c r="AE494" s="133">
        <f t="shared" si="436"/>
        <v>0</v>
      </c>
      <c r="AF494" s="133">
        <f t="shared" si="436"/>
        <v>0</v>
      </c>
      <c r="AG494" s="133">
        <f t="shared" si="436"/>
        <v>0</v>
      </c>
      <c r="AH494" s="133">
        <f t="shared" si="436"/>
        <v>0</v>
      </c>
      <c r="AI494" s="133">
        <f t="shared" si="436"/>
        <v>0</v>
      </c>
      <c r="AJ494" s="133">
        <f t="shared" si="436"/>
        <v>0</v>
      </c>
      <c r="AK494" s="133">
        <f t="shared" si="436"/>
        <v>0</v>
      </c>
      <c r="AL494" s="133">
        <f t="shared" si="436"/>
        <v>0</v>
      </c>
      <c r="AM494" s="133">
        <f t="shared" si="436"/>
        <v>0</v>
      </c>
      <c r="AN494" s="133">
        <f t="shared" si="436"/>
        <v>0</v>
      </c>
      <c r="AO494" s="133">
        <f t="shared" si="436"/>
        <v>0</v>
      </c>
      <c r="AP494" s="133">
        <f t="shared" si="436"/>
        <v>0</v>
      </c>
      <c r="AQ494" s="133">
        <f t="shared" si="436"/>
        <v>0</v>
      </c>
      <c r="AR494" s="133">
        <f t="shared" si="436"/>
        <v>0</v>
      </c>
      <c r="AS494" s="133">
        <f t="shared" si="436"/>
        <v>0</v>
      </c>
      <c r="AT494" s="133">
        <f t="shared" si="436"/>
        <v>0</v>
      </c>
      <c r="AU494" s="133">
        <f t="shared" si="436"/>
        <v>0</v>
      </c>
      <c r="AV494" s="133">
        <f t="shared" si="436"/>
        <v>0</v>
      </c>
      <c r="AW494" s="133">
        <f t="shared" si="436"/>
        <v>0</v>
      </c>
      <c r="AX494" s="133">
        <f t="shared" si="436"/>
        <v>0</v>
      </c>
      <c r="AY494" s="133">
        <f t="shared" si="436"/>
        <v>0</v>
      </c>
      <c r="AZ494" s="133">
        <f t="shared" si="436"/>
        <v>0</v>
      </c>
      <c r="BA494" s="133">
        <f t="shared" si="436"/>
        <v>0</v>
      </c>
      <c r="BB494" s="133">
        <f t="shared" si="436"/>
        <v>0</v>
      </c>
      <c r="BC494" s="133">
        <f t="shared" si="436"/>
        <v>0</v>
      </c>
      <c r="BD494" s="133">
        <f t="shared" si="436"/>
        <v>0</v>
      </c>
      <c r="BE494" s="133">
        <f t="shared" si="436"/>
        <v>0</v>
      </c>
      <c r="BF494" s="133">
        <f t="shared" si="436"/>
        <v>0</v>
      </c>
      <c r="BG494" s="133">
        <f t="shared" si="436"/>
        <v>0</v>
      </c>
      <c r="BH494" s="133">
        <f t="shared" si="436"/>
        <v>0</v>
      </c>
      <c r="BI494" s="133">
        <f t="shared" si="436"/>
        <v>0</v>
      </c>
      <c r="BJ494" s="133">
        <f t="shared" si="436"/>
        <v>0</v>
      </c>
      <c r="BK494" s="133">
        <f t="shared" si="436"/>
        <v>0</v>
      </c>
      <c r="BL494" s="133">
        <f t="shared" si="436"/>
        <v>0</v>
      </c>
      <c r="BM494" s="133">
        <f t="shared" si="436"/>
        <v>0</v>
      </c>
      <c r="BN494" s="133">
        <f t="shared" si="436"/>
        <v>0</v>
      </c>
      <c r="BO494" s="133">
        <f t="shared" si="436"/>
        <v>0</v>
      </c>
      <c r="BP494" s="133">
        <f t="shared" si="436"/>
        <v>0</v>
      </c>
      <c r="BQ494" s="133">
        <f t="shared" si="436"/>
        <v>0</v>
      </c>
      <c r="BR494" s="133">
        <f t="shared" si="436"/>
        <v>0</v>
      </c>
      <c r="BS494" s="133">
        <f t="shared" si="436"/>
        <v>0</v>
      </c>
      <c r="BT494" s="133">
        <f t="shared" si="436"/>
        <v>0</v>
      </c>
      <c r="BU494" s="133">
        <f t="shared" si="436"/>
        <v>0</v>
      </c>
      <c r="BV494" s="133">
        <f t="shared" si="436"/>
        <v>0</v>
      </c>
      <c r="BX494" s="133">
        <f t="shared" ref="BX494:CI494" si="437">BX$211+BX$212</f>
        <v>0</v>
      </c>
      <c r="BY494" s="133">
        <f t="shared" si="437"/>
        <v>0</v>
      </c>
      <c r="BZ494" s="133">
        <f t="shared" si="437"/>
        <v>0</v>
      </c>
      <c r="CA494" s="133">
        <f t="shared" si="437"/>
        <v>0</v>
      </c>
      <c r="CB494" s="133">
        <f t="shared" si="437"/>
        <v>0</v>
      </c>
      <c r="CC494" s="133">
        <f t="shared" si="437"/>
        <v>0</v>
      </c>
      <c r="CD494" s="133">
        <f t="shared" si="437"/>
        <v>0</v>
      </c>
      <c r="CE494" s="133">
        <f t="shared" si="437"/>
        <v>0</v>
      </c>
      <c r="CF494" s="133">
        <f t="shared" si="437"/>
        <v>0</v>
      </c>
      <c r="CG494" s="133">
        <f t="shared" si="437"/>
        <v>0</v>
      </c>
      <c r="CH494" s="133">
        <f t="shared" si="437"/>
        <v>0</v>
      </c>
      <c r="CI494" s="133">
        <f t="shared" si="437"/>
        <v>0</v>
      </c>
      <c r="CK494" s="11"/>
      <c r="CM494" s="11"/>
      <c r="DF494" s="11"/>
      <c r="EY494" s="10" t="str">
        <f t="shared" si="339"/>
        <v/>
      </c>
    </row>
    <row r="495" spans="2:155" x14ac:dyDescent="0.35">
      <c r="B495" s="69" t="str" cm="1">
        <f t="array" aca="1" ref="B495" ca="1">HYPERLINK(CONCATENATE("#",CELL("address",$D$227)),$D$227)</f>
        <v>Loan 10</v>
      </c>
      <c r="C495" s="211"/>
      <c r="D495" s="49">
        <f>D$22</f>
        <v>0</v>
      </c>
      <c r="E495" s="49" t="str">
        <f>F$22</f>
        <v/>
      </c>
      <c r="F495" s="49"/>
      <c r="H495" s="9" t="s">
        <v>1074</v>
      </c>
      <c r="I495" s="40" t="s">
        <v>1079</v>
      </c>
      <c r="V495" s="133">
        <f>V$230+V$231</f>
        <v>0</v>
      </c>
      <c r="W495" s="133">
        <f>W$230+W$231</f>
        <v>0</v>
      </c>
      <c r="X495" s="133">
        <f>X$230+X$231</f>
        <v>0</v>
      </c>
      <c r="Y495" s="133">
        <f>Y$230+Y$231</f>
        <v>0</v>
      </c>
      <c r="AA495" s="133">
        <f t="shared" ref="AA495:BV495" si="438">AA$230+AA$231</f>
        <v>0</v>
      </c>
      <c r="AB495" s="133">
        <f t="shared" si="438"/>
        <v>0</v>
      </c>
      <c r="AC495" s="133">
        <f t="shared" si="438"/>
        <v>0</v>
      </c>
      <c r="AD495" s="133">
        <f t="shared" si="438"/>
        <v>0</v>
      </c>
      <c r="AE495" s="133">
        <f t="shared" si="438"/>
        <v>0</v>
      </c>
      <c r="AF495" s="133">
        <f t="shared" si="438"/>
        <v>0</v>
      </c>
      <c r="AG495" s="133">
        <f t="shared" si="438"/>
        <v>0</v>
      </c>
      <c r="AH495" s="133">
        <f t="shared" si="438"/>
        <v>0</v>
      </c>
      <c r="AI495" s="133">
        <f t="shared" si="438"/>
        <v>0</v>
      </c>
      <c r="AJ495" s="133">
        <f t="shared" si="438"/>
        <v>0</v>
      </c>
      <c r="AK495" s="133">
        <f t="shared" si="438"/>
        <v>0</v>
      </c>
      <c r="AL495" s="133">
        <f t="shared" si="438"/>
        <v>0</v>
      </c>
      <c r="AM495" s="133">
        <f t="shared" si="438"/>
        <v>0</v>
      </c>
      <c r="AN495" s="133">
        <f t="shared" si="438"/>
        <v>0</v>
      </c>
      <c r="AO495" s="133">
        <f t="shared" si="438"/>
        <v>0</v>
      </c>
      <c r="AP495" s="133">
        <f t="shared" si="438"/>
        <v>0</v>
      </c>
      <c r="AQ495" s="133">
        <f t="shared" si="438"/>
        <v>0</v>
      </c>
      <c r="AR495" s="133">
        <f t="shared" si="438"/>
        <v>0</v>
      </c>
      <c r="AS495" s="133">
        <f t="shared" si="438"/>
        <v>0</v>
      </c>
      <c r="AT495" s="133">
        <f t="shared" si="438"/>
        <v>0</v>
      </c>
      <c r="AU495" s="133">
        <f t="shared" si="438"/>
        <v>0</v>
      </c>
      <c r="AV495" s="133">
        <f t="shared" si="438"/>
        <v>0</v>
      </c>
      <c r="AW495" s="133">
        <f t="shared" si="438"/>
        <v>0</v>
      </c>
      <c r="AX495" s="133">
        <f t="shared" si="438"/>
        <v>0</v>
      </c>
      <c r="AY495" s="133">
        <f t="shared" si="438"/>
        <v>0</v>
      </c>
      <c r="AZ495" s="133">
        <f t="shared" si="438"/>
        <v>0</v>
      </c>
      <c r="BA495" s="133">
        <f t="shared" si="438"/>
        <v>0</v>
      </c>
      <c r="BB495" s="133">
        <f t="shared" si="438"/>
        <v>0</v>
      </c>
      <c r="BC495" s="133">
        <f t="shared" si="438"/>
        <v>0</v>
      </c>
      <c r="BD495" s="133">
        <f t="shared" si="438"/>
        <v>0</v>
      </c>
      <c r="BE495" s="133">
        <f t="shared" si="438"/>
        <v>0</v>
      </c>
      <c r="BF495" s="133">
        <f t="shared" si="438"/>
        <v>0</v>
      </c>
      <c r="BG495" s="133">
        <f t="shared" si="438"/>
        <v>0</v>
      </c>
      <c r="BH495" s="133">
        <f t="shared" si="438"/>
        <v>0</v>
      </c>
      <c r="BI495" s="133">
        <f t="shared" si="438"/>
        <v>0</v>
      </c>
      <c r="BJ495" s="133">
        <f t="shared" si="438"/>
        <v>0</v>
      </c>
      <c r="BK495" s="133">
        <f t="shared" si="438"/>
        <v>0</v>
      </c>
      <c r="BL495" s="133">
        <f t="shared" si="438"/>
        <v>0</v>
      </c>
      <c r="BM495" s="133">
        <f t="shared" si="438"/>
        <v>0</v>
      </c>
      <c r="BN495" s="133">
        <f t="shared" si="438"/>
        <v>0</v>
      </c>
      <c r="BO495" s="133">
        <f t="shared" si="438"/>
        <v>0</v>
      </c>
      <c r="BP495" s="133">
        <f t="shared" si="438"/>
        <v>0</v>
      </c>
      <c r="BQ495" s="133">
        <f t="shared" si="438"/>
        <v>0</v>
      </c>
      <c r="BR495" s="133">
        <f t="shared" si="438"/>
        <v>0</v>
      </c>
      <c r="BS495" s="133">
        <f t="shared" si="438"/>
        <v>0</v>
      </c>
      <c r="BT495" s="133">
        <f t="shared" si="438"/>
        <v>0</v>
      </c>
      <c r="BU495" s="133">
        <f t="shared" si="438"/>
        <v>0</v>
      </c>
      <c r="BV495" s="133">
        <f t="shared" si="438"/>
        <v>0</v>
      </c>
      <c r="BX495" s="133">
        <f t="shared" ref="BX495:CI495" si="439">BX$230+BX$231</f>
        <v>0</v>
      </c>
      <c r="BY495" s="133">
        <f t="shared" si="439"/>
        <v>0</v>
      </c>
      <c r="BZ495" s="133">
        <f t="shared" si="439"/>
        <v>0</v>
      </c>
      <c r="CA495" s="133">
        <f t="shared" si="439"/>
        <v>0</v>
      </c>
      <c r="CB495" s="133">
        <f t="shared" si="439"/>
        <v>0</v>
      </c>
      <c r="CC495" s="133">
        <f t="shared" si="439"/>
        <v>0</v>
      </c>
      <c r="CD495" s="133">
        <f t="shared" si="439"/>
        <v>0</v>
      </c>
      <c r="CE495" s="133">
        <f t="shared" si="439"/>
        <v>0</v>
      </c>
      <c r="CF495" s="133">
        <f t="shared" si="439"/>
        <v>0</v>
      </c>
      <c r="CG495" s="133">
        <f t="shared" si="439"/>
        <v>0</v>
      </c>
      <c r="CH495" s="133">
        <f t="shared" si="439"/>
        <v>0</v>
      </c>
      <c r="CI495" s="133">
        <f t="shared" si="439"/>
        <v>0</v>
      </c>
      <c r="CK495" s="11"/>
      <c r="CM495" s="11"/>
      <c r="DF495" s="11"/>
      <c r="EY495" s="10" t="str">
        <f t="shared" si="339"/>
        <v/>
      </c>
    </row>
    <row r="496" spans="2:155" x14ac:dyDescent="0.35">
      <c r="B496" s="69" t="str" cm="1">
        <f t="array" aca="1" ref="B496" ca="1">HYPERLINK(CONCATENATE("#",CELL("address",$D$246)),$D$246)</f>
        <v>Loan 11</v>
      </c>
      <c r="C496" s="211"/>
      <c r="D496" s="49">
        <f>D$23</f>
        <v>0</v>
      </c>
      <c r="E496" s="49" t="str">
        <f>F$23</f>
        <v/>
      </c>
      <c r="F496" s="49"/>
      <c r="H496" s="9" t="s">
        <v>1074</v>
      </c>
      <c r="I496" s="40" t="s">
        <v>1079</v>
      </c>
      <c r="V496" s="133">
        <f>V$249+V$250</f>
        <v>0</v>
      </c>
      <c r="W496" s="133">
        <f>W$249+W$250</f>
        <v>0</v>
      </c>
      <c r="X496" s="133">
        <f>X$249+X$250</f>
        <v>0</v>
      </c>
      <c r="Y496" s="133">
        <f>Y$249+Y$250</f>
        <v>0</v>
      </c>
      <c r="AA496" s="133">
        <f t="shared" ref="AA496:BV496" si="440">AA$249+AA$250</f>
        <v>0</v>
      </c>
      <c r="AB496" s="133">
        <f t="shared" si="440"/>
        <v>0</v>
      </c>
      <c r="AC496" s="133">
        <f t="shared" si="440"/>
        <v>0</v>
      </c>
      <c r="AD496" s="133">
        <f t="shared" si="440"/>
        <v>0</v>
      </c>
      <c r="AE496" s="133">
        <f t="shared" si="440"/>
        <v>0</v>
      </c>
      <c r="AF496" s="133">
        <f t="shared" si="440"/>
        <v>0</v>
      </c>
      <c r="AG496" s="133">
        <f t="shared" si="440"/>
        <v>0</v>
      </c>
      <c r="AH496" s="133">
        <f t="shared" si="440"/>
        <v>0</v>
      </c>
      <c r="AI496" s="133">
        <f t="shared" si="440"/>
        <v>0</v>
      </c>
      <c r="AJ496" s="133">
        <f t="shared" si="440"/>
        <v>0</v>
      </c>
      <c r="AK496" s="133">
        <f t="shared" si="440"/>
        <v>0</v>
      </c>
      <c r="AL496" s="133">
        <f t="shared" si="440"/>
        <v>0</v>
      </c>
      <c r="AM496" s="133">
        <f t="shared" si="440"/>
        <v>0</v>
      </c>
      <c r="AN496" s="133">
        <f t="shared" si="440"/>
        <v>0</v>
      </c>
      <c r="AO496" s="133">
        <f t="shared" si="440"/>
        <v>0</v>
      </c>
      <c r="AP496" s="133">
        <f t="shared" si="440"/>
        <v>0</v>
      </c>
      <c r="AQ496" s="133">
        <f t="shared" si="440"/>
        <v>0</v>
      </c>
      <c r="AR496" s="133">
        <f t="shared" si="440"/>
        <v>0</v>
      </c>
      <c r="AS496" s="133">
        <f t="shared" si="440"/>
        <v>0</v>
      </c>
      <c r="AT496" s="133">
        <f t="shared" si="440"/>
        <v>0</v>
      </c>
      <c r="AU496" s="133">
        <f t="shared" si="440"/>
        <v>0</v>
      </c>
      <c r="AV496" s="133">
        <f t="shared" si="440"/>
        <v>0</v>
      </c>
      <c r="AW496" s="133">
        <f t="shared" si="440"/>
        <v>0</v>
      </c>
      <c r="AX496" s="133">
        <f t="shared" si="440"/>
        <v>0</v>
      </c>
      <c r="AY496" s="133">
        <f t="shared" si="440"/>
        <v>0</v>
      </c>
      <c r="AZ496" s="133">
        <f t="shared" si="440"/>
        <v>0</v>
      </c>
      <c r="BA496" s="133">
        <f t="shared" si="440"/>
        <v>0</v>
      </c>
      <c r="BB496" s="133">
        <f t="shared" si="440"/>
        <v>0</v>
      </c>
      <c r="BC496" s="133">
        <f t="shared" si="440"/>
        <v>0</v>
      </c>
      <c r="BD496" s="133">
        <f t="shared" si="440"/>
        <v>0</v>
      </c>
      <c r="BE496" s="133">
        <f t="shared" si="440"/>
        <v>0</v>
      </c>
      <c r="BF496" s="133">
        <f t="shared" si="440"/>
        <v>0</v>
      </c>
      <c r="BG496" s="133">
        <f t="shared" si="440"/>
        <v>0</v>
      </c>
      <c r="BH496" s="133">
        <f t="shared" si="440"/>
        <v>0</v>
      </c>
      <c r="BI496" s="133">
        <f t="shared" si="440"/>
        <v>0</v>
      </c>
      <c r="BJ496" s="133">
        <f t="shared" si="440"/>
        <v>0</v>
      </c>
      <c r="BK496" s="133">
        <f t="shared" si="440"/>
        <v>0</v>
      </c>
      <c r="BL496" s="133">
        <f t="shared" si="440"/>
        <v>0</v>
      </c>
      <c r="BM496" s="133">
        <f t="shared" si="440"/>
        <v>0</v>
      </c>
      <c r="BN496" s="133">
        <f t="shared" si="440"/>
        <v>0</v>
      </c>
      <c r="BO496" s="133">
        <f t="shared" si="440"/>
        <v>0</v>
      </c>
      <c r="BP496" s="133">
        <f t="shared" si="440"/>
        <v>0</v>
      </c>
      <c r="BQ496" s="133">
        <f t="shared" si="440"/>
        <v>0</v>
      </c>
      <c r="BR496" s="133">
        <f t="shared" si="440"/>
        <v>0</v>
      </c>
      <c r="BS496" s="133">
        <f t="shared" si="440"/>
        <v>0</v>
      </c>
      <c r="BT496" s="133">
        <f t="shared" si="440"/>
        <v>0</v>
      </c>
      <c r="BU496" s="133">
        <f t="shared" si="440"/>
        <v>0</v>
      </c>
      <c r="BV496" s="133">
        <f t="shared" si="440"/>
        <v>0</v>
      </c>
      <c r="BX496" s="133">
        <f t="shared" ref="BX496:CI496" si="441">BX$249+BX$250</f>
        <v>0</v>
      </c>
      <c r="BY496" s="133">
        <f t="shared" si="441"/>
        <v>0</v>
      </c>
      <c r="BZ496" s="133">
        <f t="shared" si="441"/>
        <v>0</v>
      </c>
      <c r="CA496" s="133">
        <f t="shared" si="441"/>
        <v>0</v>
      </c>
      <c r="CB496" s="133">
        <f t="shared" si="441"/>
        <v>0</v>
      </c>
      <c r="CC496" s="133">
        <f t="shared" si="441"/>
        <v>0</v>
      </c>
      <c r="CD496" s="133">
        <f t="shared" si="441"/>
        <v>0</v>
      </c>
      <c r="CE496" s="133">
        <f t="shared" si="441"/>
        <v>0</v>
      </c>
      <c r="CF496" s="133">
        <f t="shared" si="441"/>
        <v>0</v>
      </c>
      <c r="CG496" s="133">
        <f t="shared" si="441"/>
        <v>0</v>
      </c>
      <c r="CH496" s="133">
        <f t="shared" si="441"/>
        <v>0</v>
      </c>
      <c r="CI496" s="133">
        <f t="shared" si="441"/>
        <v>0</v>
      </c>
      <c r="CK496" s="11"/>
      <c r="CM496" s="11"/>
      <c r="DF496" s="11"/>
      <c r="EY496" s="10" t="str">
        <f t="shared" si="339"/>
        <v/>
      </c>
    </row>
    <row r="497" spans="1:155" x14ac:dyDescent="0.35">
      <c r="B497" s="69" t="str" cm="1">
        <f t="array" aca="1" ref="B497" ca="1">HYPERLINK(CONCATENATE("#",CELL("address",$D$265)),$D$265)</f>
        <v>Loan 12</v>
      </c>
      <c r="C497" s="211"/>
      <c r="D497" s="49">
        <f>D$24</f>
        <v>0</v>
      </c>
      <c r="E497" s="49" t="str">
        <f>F$24</f>
        <v/>
      </c>
      <c r="F497" s="49"/>
      <c r="H497" s="9" t="s">
        <v>1074</v>
      </c>
      <c r="I497" s="40" t="s">
        <v>1079</v>
      </c>
      <c r="V497" s="133">
        <f>V$268+V$269</f>
        <v>0</v>
      </c>
      <c r="W497" s="133">
        <f>W$268+W$269</f>
        <v>0</v>
      </c>
      <c r="X497" s="133">
        <f>X$268+X$269</f>
        <v>0</v>
      </c>
      <c r="Y497" s="133">
        <f>Y$268+Y$269</f>
        <v>0</v>
      </c>
      <c r="AA497" s="133">
        <f t="shared" ref="AA497:BV497" si="442">AA$268+AA$269</f>
        <v>0</v>
      </c>
      <c r="AB497" s="133">
        <f t="shared" si="442"/>
        <v>0</v>
      </c>
      <c r="AC497" s="133">
        <f t="shared" si="442"/>
        <v>0</v>
      </c>
      <c r="AD497" s="133">
        <f t="shared" si="442"/>
        <v>0</v>
      </c>
      <c r="AE497" s="133">
        <f t="shared" si="442"/>
        <v>0</v>
      </c>
      <c r="AF497" s="133">
        <f t="shared" si="442"/>
        <v>0</v>
      </c>
      <c r="AG497" s="133">
        <f t="shared" si="442"/>
        <v>0</v>
      </c>
      <c r="AH497" s="133">
        <f t="shared" si="442"/>
        <v>0</v>
      </c>
      <c r="AI497" s="133">
        <f t="shared" si="442"/>
        <v>0</v>
      </c>
      <c r="AJ497" s="133">
        <f t="shared" si="442"/>
        <v>0</v>
      </c>
      <c r="AK497" s="133">
        <f t="shared" si="442"/>
        <v>0</v>
      </c>
      <c r="AL497" s="133">
        <f t="shared" si="442"/>
        <v>0</v>
      </c>
      <c r="AM497" s="133">
        <f t="shared" si="442"/>
        <v>0</v>
      </c>
      <c r="AN497" s="133">
        <f t="shared" si="442"/>
        <v>0</v>
      </c>
      <c r="AO497" s="133">
        <f t="shared" si="442"/>
        <v>0</v>
      </c>
      <c r="AP497" s="133">
        <f t="shared" si="442"/>
        <v>0</v>
      </c>
      <c r="AQ497" s="133">
        <f t="shared" si="442"/>
        <v>0</v>
      </c>
      <c r="AR497" s="133">
        <f t="shared" si="442"/>
        <v>0</v>
      </c>
      <c r="AS497" s="133">
        <f t="shared" si="442"/>
        <v>0</v>
      </c>
      <c r="AT497" s="133">
        <f t="shared" si="442"/>
        <v>0</v>
      </c>
      <c r="AU497" s="133">
        <f t="shared" si="442"/>
        <v>0</v>
      </c>
      <c r="AV497" s="133">
        <f t="shared" si="442"/>
        <v>0</v>
      </c>
      <c r="AW497" s="133">
        <f t="shared" si="442"/>
        <v>0</v>
      </c>
      <c r="AX497" s="133">
        <f t="shared" si="442"/>
        <v>0</v>
      </c>
      <c r="AY497" s="133">
        <f t="shared" si="442"/>
        <v>0</v>
      </c>
      <c r="AZ497" s="133">
        <f t="shared" si="442"/>
        <v>0</v>
      </c>
      <c r="BA497" s="133">
        <f t="shared" si="442"/>
        <v>0</v>
      </c>
      <c r="BB497" s="133">
        <f t="shared" si="442"/>
        <v>0</v>
      </c>
      <c r="BC497" s="133">
        <f t="shared" si="442"/>
        <v>0</v>
      </c>
      <c r="BD497" s="133">
        <f t="shared" si="442"/>
        <v>0</v>
      </c>
      <c r="BE497" s="133">
        <f t="shared" si="442"/>
        <v>0</v>
      </c>
      <c r="BF497" s="133">
        <f t="shared" si="442"/>
        <v>0</v>
      </c>
      <c r="BG497" s="133">
        <f t="shared" si="442"/>
        <v>0</v>
      </c>
      <c r="BH497" s="133">
        <f t="shared" si="442"/>
        <v>0</v>
      </c>
      <c r="BI497" s="133">
        <f t="shared" si="442"/>
        <v>0</v>
      </c>
      <c r="BJ497" s="133">
        <f t="shared" si="442"/>
        <v>0</v>
      </c>
      <c r="BK497" s="133">
        <f t="shared" si="442"/>
        <v>0</v>
      </c>
      <c r="BL497" s="133">
        <f t="shared" si="442"/>
        <v>0</v>
      </c>
      <c r="BM497" s="133">
        <f t="shared" si="442"/>
        <v>0</v>
      </c>
      <c r="BN497" s="133">
        <f t="shared" si="442"/>
        <v>0</v>
      </c>
      <c r="BO497" s="133">
        <f t="shared" si="442"/>
        <v>0</v>
      </c>
      <c r="BP497" s="133">
        <f t="shared" si="442"/>
        <v>0</v>
      </c>
      <c r="BQ497" s="133">
        <f t="shared" si="442"/>
        <v>0</v>
      </c>
      <c r="BR497" s="133">
        <f t="shared" si="442"/>
        <v>0</v>
      </c>
      <c r="BS497" s="133">
        <f t="shared" si="442"/>
        <v>0</v>
      </c>
      <c r="BT497" s="133">
        <f t="shared" si="442"/>
        <v>0</v>
      </c>
      <c r="BU497" s="133">
        <f t="shared" si="442"/>
        <v>0</v>
      </c>
      <c r="BV497" s="133">
        <f t="shared" si="442"/>
        <v>0</v>
      </c>
      <c r="BX497" s="133">
        <f t="shared" ref="BX497:CI497" si="443">BX$268+BX$269</f>
        <v>0</v>
      </c>
      <c r="BY497" s="133">
        <f t="shared" si="443"/>
        <v>0</v>
      </c>
      <c r="BZ497" s="133">
        <f t="shared" si="443"/>
        <v>0</v>
      </c>
      <c r="CA497" s="133">
        <f t="shared" si="443"/>
        <v>0</v>
      </c>
      <c r="CB497" s="133">
        <f t="shared" si="443"/>
        <v>0</v>
      </c>
      <c r="CC497" s="133">
        <f t="shared" si="443"/>
        <v>0</v>
      </c>
      <c r="CD497" s="133">
        <f t="shared" si="443"/>
        <v>0</v>
      </c>
      <c r="CE497" s="133">
        <f t="shared" si="443"/>
        <v>0</v>
      </c>
      <c r="CF497" s="133">
        <f t="shared" si="443"/>
        <v>0</v>
      </c>
      <c r="CG497" s="133">
        <f t="shared" si="443"/>
        <v>0</v>
      </c>
      <c r="CH497" s="133">
        <f t="shared" si="443"/>
        <v>0</v>
      </c>
      <c r="CI497" s="133">
        <f t="shared" si="443"/>
        <v>0</v>
      </c>
      <c r="CK497" s="11"/>
      <c r="CM497" s="11"/>
      <c r="DF497" s="11"/>
      <c r="EY497" s="10" t="str">
        <f t="shared" si="339"/>
        <v/>
      </c>
    </row>
    <row r="498" spans="1:155" x14ac:dyDescent="0.35">
      <c r="B498" s="69" t="str" cm="1">
        <f t="array" aca="1" ref="B498" ca="1">HYPERLINK(CONCATENATE("#",CELL("address",$D$284)),$D$284)</f>
        <v>Loan 13</v>
      </c>
      <c r="C498" s="211"/>
      <c r="D498" s="49">
        <f>D$25</f>
        <v>0</v>
      </c>
      <c r="E498" s="49" t="str">
        <f>F$25</f>
        <v/>
      </c>
      <c r="F498" s="49"/>
      <c r="H498" s="9" t="s">
        <v>1074</v>
      </c>
      <c r="I498" s="40" t="s">
        <v>1079</v>
      </c>
      <c r="V498" s="133">
        <f>V$287+V$288</f>
        <v>0</v>
      </c>
      <c r="W498" s="133">
        <f>W$287+W$288</f>
        <v>0</v>
      </c>
      <c r="X498" s="133">
        <f>X$287+X$288</f>
        <v>0</v>
      </c>
      <c r="Y498" s="133">
        <f>Y$287+Y$288</f>
        <v>0</v>
      </c>
      <c r="AA498" s="133">
        <f t="shared" ref="AA498:BV498" si="444">AA$287+AA$288</f>
        <v>0</v>
      </c>
      <c r="AB498" s="133">
        <f t="shared" si="444"/>
        <v>0</v>
      </c>
      <c r="AC498" s="133">
        <f t="shared" si="444"/>
        <v>0</v>
      </c>
      <c r="AD498" s="133">
        <f t="shared" si="444"/>
        <v>0</v>
      </c>
      <c r="AE498" s="133">
        <f t="shared" si="444"/>
        <v>0</v>
      </c>
      <c r="AF498" s="133">
        <f t="shared" si="444"/>
        <v>0</v>
      </c>
      <c r="AG498" s="133">
        <f t="shared" si="444"/>
        <v>0</v>
      </c>
      <c r="AH498" s="133">
        <f t="shared" si="444"/>
        <v>0</v>
      </c>
      <c r="AI498" s="133">
        <f t="shared" si="444"/>
        <v>0</v>
      </c>
      <c r="AJ498" s="133">
        <f t="shared" si="444"/>
        <v>0</v>
      </c>
      <c r="AK498" s="133">
        <f t="shared" si="444"/>
        <v>0</v>
      </c>
      <c r="AL498" s="133">
        <f t="shared" si="444"/>
        <v>0</v>
      </c>
      <c r="AM498" s="133">
        <f t="shared" si="444"/>
        <v>0</v>
      </c>
      <c r="AN498" s="133">
        <f t="shared" si="444"/>
        <v>0</v>
      </c>
      <c r="AO498" s="133">
        <f t="shared" si="444"/>
        <v>0</v>
      </c>
      <c r="AP498" s="133">
        <f t="shared" si="444"/>
        <v>0</v>
      </c>
      <c r="AQ498" s="133">
        <f t="shared" si="444"/>
        <v>0</v>
      </c>
      <c r="AR498" s="133">
        <f t="shared" si="444"/>
        <v>0</v>
      </c>
      <c r="AS498" s="133">
        <f t="shared" si="444"/>
        <v>0</v>
      </c>
      <c r="AT498" s="133">
        <f t="shared" si="444"/>
        <v>0</v>
      </c>
      <c r="AU498" s="133">
        <f t="shared" si="444"/>
        <v>0</v>
      </c>
      <c r="AV498" s="133">
        <f t="shared" si="444"/>
        <v>0</v>
      </c>
      <c r="AW498" s="133">
        <f t="shared" si="444"/>
        <v>0</v>
      </c>
      <c r="AX498" s="133">
        <f t="shared" si="444"/>
        <v>0</v>
      </c>
      <c r="AY498" s="133">
        <f t="shared" si="444"/>
        <v>0</v>
      </c>
      <c r="AZ498" s="133">
        <f t="shared" si="444"/>
        <v>0</v>
      </c>
      <c r="BA498" s="133">
        <f t="shared" si="444"/>
        <v>0</v>
      </c>
      <c r="BB498" s="133">
        <f t="shared" si="444"/>
        <v>0</v>
      </c>
      <c r="BC498" s="133">
        <f t="shared" si="444"/>
        <v>0</v>
      </c>
      <c r="BD498" s="133">
        <f t="shared" si="444"/>
        <v>0</v>
      </c>
      <c r="BE498" s="133">
        <f t="shared" si="444"/>
        <v>0</v>
      </c>
      <c r="BF498" s="133">
        <f t="shared" si="444"/>
        <v>0</v>
      </c>
      <c r="BG498" s="133">
        <f t="shared" si="444"/>
        <v>0</v>
      </c>
      <c r="BH498" s="133">
        <f t="shared" si="444"/>
        <v>0</v>
      </c>
      <c r="BI498" s="133">
        <f t="shared" si="444"/>
        <v>0</v>
      </c>
      <c r="BJ498" s="133">
        <f t="shared" si="444"/>
        <v>0</v>
      </c>
      <c r="BK498" s="133">
        <f t="shared" si="444"/>
        <v>0</v>
      </c>
      <c r="BL498" s="133">
        <f t="shared" si="444"/>
        <v>0</v>
      </c>
      <c r="BM498" s="133">
        <f t="shared" si="444"/>
        <v>0</v>
      </c>
      <c r="BN498" s="133">
        <f t="shared" si="444"/>
        <v>0</v>
      </c>
      <c r="BO498" s="133">
        <f t="shared" si="444"/>
        <v>0</v>
      </c>
      <c r="BP498" s="133">
        <f t="shared" si="444"/>
        <v>0</v>
      </c>
      <c r="BQ498" s="133">
        <f t="shared" si="444"/>
        <v>0</v>
      </c>
      <c r="BR498" s="133">
        <f t="shared" si="444"/>
        <v>0</v>
      </c>
      <c r="BS498" s="133">
        <f t="shared" si="444"/>
        <v>0</v>
      </c>
      <c r="BT498" s="133">
        <f t="shared" si="444"/>
        <v>0</v>
      </c>
      <c r="BU498" s="133">
        <f t="shared" si="444"/>
        <v>0</v>
      </c>
      <c r="BV498" s="133">
        <f t="shared" si="444"/>
        <v>0</v>
      </c>
      <c r="BX498" s="133">
        <f t="shared" ref="BX498:CI498" si="445">BX$287+BX$288</f>
        <v>0</v>
      </c>
      <c r="BY498" s="133">
        <f t="shared" si="445"/>
        <v>0</v>
      </c>
      <c r="BZ498" s="133">
        <f t="shared" si="445"/>
        <v>0</v>
      </c>
      <c r="CA498" s="133">
        <f t="shared" si="445"/>
        <v>0</v>
      </c>
      <c r="CB498" s="133">
        <f t="shared" si="445"/>
        <v>0</v>
      </c>
      <c r="CC498" s="133">
        <f t="shared" si="445"/>
        <v>0</v>
      </c>
      <c r="CD498" s="133">
        <f t="shared" si="445"/>
        <v>0</v>
      </c>
      <c r="CE498" s="133">
        <f t="shared" si="445"/>
        <v>0</v>
      </c>
      <c r="CF498" s="133">
        <f t="shared" si="445"/>
        <v>0</v>
      </c>
      <c r="CG498" s="133">
        <f t="shared" si="445"/>
        <v>0</v>
      </c>
      <c r="CH498" s="133">
        <f t="shared" si="445"/>
        <v>0</v>
      </c>
      <c r="CI498" s="133">
        <f t="shared" si="445"/>
        <v>0</v>
      </c>
      <c r="CK498" s="11"/>
      <c r="CM498" s="11"/>
      <c r="DF498" s="11"/>
      <c r="EY498" s="10" t="str">
        <f t="shared" si="339"/>
        <v/>
      </c>
    </row>
    <row r="499" spans="1:155" s="5" customFormat="1" x14ac:dyDescent="0.35">
      <c r="A499"/>
      <c r="B499" s="69" t="str" cm="1">
        <f t="array" aca="1" ref="B499" ca="1">HYPERLINK(CONCATENATE("#",CELL("address",$D$303)),$D$303)</f>
        <v>Loan 14</v>
      </c>
      <c r="C499" s="211"/>
      <c r="D499" s="49">
        <f>D$26</f>
        <v>0</v>
      </c>
      <c r="E499" s="49" t="str">
        <f>F$26</f>
        <v/>
      </c>
      <c r="F499" s="49"/>
      <c r="G499"/>
      <c r="H499" s="9" t="s">
        <v>1074</v>
      </c>
      <c r="I499" s="40" t="s">
        <v>1079</v>
      </c>
      <c r="J499"/>
      <c r="K499"/>
      <c r="L499"/>
      <c r="M499"/>
      <c r="N499"/>
      <c r="O499"/>
      <c r="P499"/>
      <c r="Q499"/>
      <c r="R499"/>
      <c r="S499"/>
      <c r="T499"/>
      <c r="U499"/>
      <c r="V499" s="133">
        <f>V$306+V$307</f>
        <v>0</v>
      </c>
      <c r="W499" s="133">
        <f>W$306+W$307</f>
        <v>0</v>
      </c>
      <c r="X499" s="133">
        <f>X$306+X$307</f>
        <v>0</v>
      </c>
      <c r="Y499" s="133">
        <f>Y$306+Y$307</f>
        <v>0</v>
      </c>
      <c r="Z499"/>
      <c r="AA499" s="133">
        <f t="shared" ref="AA499:BV499" si="446">AA$306+AA$307</f>
        <v>0</v>
      </c>
      <c r="AB499" s="133">
        <f t="shared" si="446"/>
        <v>0</v>
      </c>
      <c r="AC499" s="133">
        <f t="shared" si="446"/>
        <v>0</v>
      </c>
      <c r="AD499" s="133">
        <f t="shared" si="446"/>
        <v>0</v>
      </c>
      <c r="AE499" s="133">
        <f t="shared" si="446"/>
        <v>0</v>
      </c>
      <c r="AF499" s="133">
        <f t="shared" si="446"/>
        <v>0</v>
      </c>
      <c r="AG499" s="133">
        <f t="shared" si="446"/>
        <v>0</v>
      </c>
      <c r="AH499" s="133">
        <f t="shared" si="446"/>
        <v>0</v>
      </c>
      <c r="AI499" s="133">
        <f t="shared" si="446"/>
        <v>0</v>
      </c>
      <c r="AJ499" s="133">
        <f t="shared" si="446"/>
        <v>0</v>
      </c>
      <c r="AK499" s="133">
        <f t="shared" si="446"/>
        <v>0</v>
      </c>
      <c r="AL499" s="133">
        <f t="shared" si="446"/>
        <v>0</v>
      </c>
      <c r="AM499" s="133">
        <f t="shared" si="446"/>
        <v>0</v>
      </c>
      <c r="AN499" s="133">
        <f t="shared" si="446"/>
        <v>0</v>
      </c>
      <c r="AO499" s="133">
        <f t="shared" si="446"/>
        <v>0</v>
      </c>
      <c r="AP499" s="133">
        <f t="shared" si="446"/>
        <v>0</v>
      </c>
      <c r="AQ499" s="133">
        <f t="shared" si="446"/>
        <v>0</v>
      </c>
      <c r="AR499" s="133">
        <f t="shared" si="446"/>
        <v>0</v>
      </c>
      <c r="AS499" s="133">
        <f t="shared" si="446"/>
        <v>0</v>
      </c>
      <c r="AT499" s="133">
        <f t="shared" si="446"/>
        <v>0</v>
      </c>
      <c r="AU499" s="133">
        <f t="shared" si="446"/>
        <v>0</v>
      </c>
      <c r="AV499" s="133">
        <f t="shared" si="446"/>
        <v>0</v>
      </c>
      <c r="AW499" s="133">
        <f t="shared" si="446"/>
        <v>0</v>
      </c>
      <c r="AX499" s="133">
        <f t="shared" si="446"/>
        <v>0</v>
      </c>
      <c r="AY499" s="133">
        <f t="shared" si="446"/>
        <v>0</v>
      </c>
      <c r="AZ499" s="133">
        <f t="shared" si="446"/>
        <v>0</v>
      </c>
      <c r="BA499" s="133">
        <f t="shared" si="446"/>
        <v>0</v>
      </c>
      <c r="BB499" s="133">
        <f t="shared" si="446"/>
        <v>0</v>
      </c>
      <c r="BC499" s="133">
        <f t="shared" si="446"/>
        <v>0</v>
      </c>
      <c r="BD499" s="133">
        <f t="shared" si="446"/>
        <v>0</v>
      </c>
      <c r="BE499" s="133">
        <f t="shared" si="446"/>
        <v>0</v>
      </c>
      <c r="BF499" s="133">
        <f t="shared" si="446"/>
        <v>0</v>
      </c>
      <c r="BG499" s="133">
        <f t="shared" si="446"/>
        <v>0</v>
      </c>
      <c r="BH499" s="133">
        <f t="shared" si="446"/>
        <v>0</v>
      </c>
      <c r="BI499" s="133">
        <f t="shared" si="446"/>
        <v>0</v>
      </c>
      <c r="BJ499" s="133">
        <f t="shared" si="446"/>
        <v>0</v>
      </c>
      <c r="BK499" s="133">
        <f t="shared" si="446"/>
        <v>0</v>
      </c>
      <c r="BL499" s="133">
        <f t="shared" si="446"/>
        <v>0</v>
      </c>
      <c r="BM499" s="133">
        <f t="shared" si="446"/>
        <v>0</v>
      </c>
      <c r="BN499" s="133">
        <f t="shared" si="446"/>
        <v>0</v>
      </c>
      <c r="BO499" s="133">
        <f t="shared" si="446"/>
        <v>0</v>
      </c>
      <c r="BP499" s="133">
        <f t="shared" si="446"/>
        <v>0</v>
      </c>
      <c r="BQ499" s="133">
        <f t="shared" si="446"/>
        <v>0</v>
      </c>
      <c r="BR499" s="133">
        <f t="shared" si="446"/>
        <v>0</v>
      </c>
      <c r="BS499" s="133">
        <f t="shared" si="446"/>
        <v>0</v>
      </c>
      <c r="BT499" s="133">
        <f t="shared" si="446"/>
        <v>0</v>
      </c>
      <c r="BU499" s="133">
        <f t="shared" si="446"/>
        <v>0</v>
      </c>
      <c r="BV499" s="133">
        <f t="shared" si="446"/>
        <v>0</v>
      </c>
      <c r="BW499"/>
      <c r="BX499" s="133">
        <f t="shared" ref="BX499:CI499" si="447">BX$306+BX$307</f>
        <v>0</v>
      </c>
      <c r="BY499" s="133">
        <f t="shared" si="447"/>
        <v>0</v>
      </c>
      <c r="BZ499" s="133">
        <f t="shared" si="447"/>
        <v>0</v>
      </c>
      <c r="CA499" s="133">
        <f t="shared" si="447"/>
        <v>0</v>
      </c>
      <c r="CB499" s="133">
        <f t="shared" si="447"/>
        <v>0</v>
      </c>
      <c r="CC499" s="133">
        <f t="shared" si="447"/>
        <v>0</v>
      </c>
      <c r="CD499" s="133">
        <f t="shared" si="447"/>
        <v>0</v>
      </c>
      <c r="CE499" s="133">
        <f t="shared" si="447"/>
        <v>0</v>
      </c>
      <c r="CF499" s="133">
        <f t="shared" si="447"/>
        <v>0</v>
      </c>
      <c r="CG499" s="133">
        <f t="shared" si="447"/>
        <v>0</v>
      </c>
      <c r="CH499" s="133">
        <f t="shared" si="447"/>
        <v>0</v>
      </c>
      <c r="CI499" s="133">
        <f t="shared" si="447"/>
        <v>0</v>
      </c>
      <c r="CJ499"/>
      <c r="CK499" s="11"/>
      <c r="CL499"/>
      <c r="CM499" s="11"/>
      <c r="CN499"/>
      <c r="CO499"/>
      <c r="CP499"/>
      <c r="CQ499"/>
      <c r="CR499"/>
      <c r="CS499"/>
      <c r="CT499"/>
      <c r="CU499"/>
      <c r="CV499"/>
      <c r="CW499"/>
      <c r="CX499"/>
      <c r="CY499"/>
      <c r="CZ499"/>
      <c r="DA499"/>
      <c r="DB499"/>
      <c r="DC499"/>
      <c r="DD499"/>
      <c r="DE499"/>
      <c r="DF499" s="11"/>
      <c r="EY499" s="10" t="str">
        <f t="shared" ref="EY499:EY562" si="448">IF($C499="","",$D499)</f>
        <v/>
      </c>
    </row>
    <row r="500" spans="1:155" x14ac:dyDescent="0.35">
      <c r="B500" s="69" t="str" cm="1">
        <f t="array" aca="1" ref="B500" ca="1">HYPERLINK(CONCATENATE("#",CELL("address",$D$322)),$D$322)</f>
        <v>Loan 15</v>
      </c>
      <c r="C500" s="211"/>
      <c r="D500" s="49">
        <f>D$27</f>
        <v>0</v>
      </c>
      <c r="E500" s="49" t="str">
        <f>F$27</f>
        <v/>
      </c>
      <c r="F500" s="49"/>
      <c r="H500" s="9" t="s">
        <v>1074</v>
      </c>
      <c r="I500" s="40" t="s">
        <v>1079</v>
      </c>
      <c r="V500" s="133">
        <f>V$325+V$326</f>
        <v>0</v>
      </c>
      <c r="W500" s="133">
        <f>W$325+W$326</f>
        <v>0</v>
      </c>
      <c r="X500" s="133">
        <f>X$325+X$326</f>
        <v>0</v>
      </c>
      <c r="Y500" s="133">
        <f>Y$325+Y$326</f>
        <v>0</v>
      </c>
      <c r="AA500" s="133">
        <f t="shared" ref="AA500:BV500" si="449">AA$325+AA$326</f>
        <v>0</v>
      </c>
      <c r="AB500" s="133">
        <f t="shared" si="449"/>
        <v>0</v>
      </c>
      <c r="AC500" s="133">
        <f t="shared" si="449"/>
        <v>0</v>
      </c>
      <c r="AD500" s="133">
        <f t="shared" si="449"/>
        <v>0</v>
      </c>
      <c r="AE500" s="133">
        <f t="shared" si="449"/>
        <v>0</v>
      </c>
      <c r="AF500" s="133">
        <f t="shared" si="449"/>
        <v>0</v>
      </c>
      <c r="AG500" s="133">
        <f t="shared" si="449"/>
        <v>0</v>
      </c>
      <c r="AH500" s="133">
        <f t="shared" si="449"/>
        <v>0</v>
      </c>
      <c r="AI500" s="133">
        <f t="shared" si="449"/>
        <v>0</v>
      </c>
      <c r="AJ500" s="133">
        <f t="shared" si="449"/>
        <v>0</v>
      </c>
      <c r="AK500" s="133">
        <f t="shared" si="449"/>
        <v>0</v>
      </c>
      <c r="AL500" s="133">
        <f t="shared" si="449"/>
        <v>0</v>
      </c>
      <c r="AM500" s="133">
        <f t="shared" si="449"/>
        <v>0</v>
      </c>
      <c r="AN500" s="133">
        <f t="shared" si="449"/>
        <v>0</v>
      </c>
      <c r="AO500" s="133">
        <f t="shared" si="449"/>
        <v>0</v>
      </c>
      <c r="AP500" s="133">
        <f t="shared" si="449"/>
        <v>0</v>
      </c>
      <c r="AQ500" s="133">
        <f t="shared" si="449"/>
        <v>0</v>
      </c>
      <c r="AR500" s="133">
        <f t="shared" si="449"/>
        <v>0</v>
      </c>
      <c r="AS500" s="133">
        <f t="shared" si="449"/>
        <v>0</v>
      </c>
      <c r="AT500" s="133">
        <f t="shared" si="449"/>
        <v>0</v>
      </c>
      <c r="AU500" s="133">
        <f t="shared" si="449"/>
        <v>0</v>
      </c>
      <c r="AV500" s="133">
        <f t="shared" si="449"/>
        <v>0</v>
      </c>
      <c r="AW500" s="133">
        <f t="shared" si="449"/>
        <v>0</v>
      </c>
      <c r="AX500" s="133">
        <f t="shared" si="449"/>
        <v>0</v>
      </c>
      <c r="AY500" s="133">
        <f t="shared" si="449"/>
        <v>0</v>
      </c>
      <c r="AZ500" s="133">
        <f t="shared" si="449"/>
        <v>0</v>
      </c>
      <c r="BA500" s="133">
        <f t="shared" si="449"/>
        <v>0</v>
      </c>
      <c r="BB500" s="133">
        <f t="shared" si="449"/>
        <v>0</v>
      </c>
      <c r="BC500" s="133">
        <f t="shared" si="449"/>
        <v>0</v>
      </c>
      <c r="BD500" s="133">
        <f t="shared" si="449"/>
        <v>0</v>
      </c>
      <c r="BE500" s="133">
        <f t="shared" si="449"/>
        <v>0</v>
      </c>
      <c r="BF500" s="133">
        <f t="shared" si="449"/>
        <v>0</v>
      </c>
      <c r="BG500" s="133">
        <f t="shared" si="449"/>
        <v>0</v>
      </c>
      <c r="BH500" s="133">
        <f t="shared" si="449"/>
        <v>0</v>
      </c>
      <c r="BI500" s="133">
        <f t="shared" si="449"/>
        <v>0</v>
      </c>
      <c r="BJ500" s="133">
        <f t="shared" si="449"/>
        <v>0</v>
      </c>
      <c r="BK500" s="133">
        <f t="shared" si="449"/>
        <v>0</v>
      </c>
      <c r="BL500" s="133">
        <f t="shared" si="449"/>
        <v>0</v>
      </c>
      <c r="BM500" s="133">
        <f t="shared" si="449"/>
        <v>0</v>
      </c>
      <c r="BN500" s="133">
        <f t="shared" si="449"/>
        <v>0</v>
      </c>
      <c r="BO500" s="133">
        <f t="shared" si="449"/>
        <v>0</v>
      </c>
      <c r="BP500" s="133">
        <f t="shared" si="449"/>
        <v>0</v>
      </c>
      <c r="BQ500" s="133">
        <f t="shared" si="449"/>
        <v>0</v>
      </c>
      <c r="BR500" s="133">
        <f t="shared" si="449"/>
        <v>0</v>
      </c>
      <c r="BS500" s="133">
        <f t="shared" si="449"/>
        <v>0</v>
      </c>
      <c r="BT500" s="133">
        <f t="shared" si="449"/>
        <v>0</v>
      </c>
      <c r="BU500" s="133">
        <f t="shared" si="449"/>
        <v>0</v>
      </c>
      <c r="BV500" s="133">
        <f t="shared" si="449"/>
        <v>0</v>
      </c>
      <c r="BX500" s="133">
        <f t="shared" ref="BX500:CI500" si="450">BX$325+BX$326</f>
        <v>0</v>
      </c>
      <c r="BY500" s="133">
        <f t="shared" si="450"/>
        <v>0</v>
      </c>
      <c r="BZ500" s="133">
        <f t="shared" si="450"/>
        <v>0</v>
      </c>
      <c r="CA500" s="133">
        <f t="shared" si="450"/>
        <v>0</v>
      </c>
      <c r="CB500" s="133">
        <f t="shared" si="450"/>
        <v>0</v>
      </c>
      <c r="CC500" s="133">
        <f t="shared" si="450"/>
        <v>0</v>
      </c>
      <c r="CD500" s="133">
        <f t="shared" si="450"/>
        <v>0</v>
      </c>
      <c r="CE500" s="133">
        <f t="shared" si="450"/>
        <v>0</v>
      </c>
      <c r="CF500" s="133">
        <f t="shared" si="450"/>
        <v>0</v>
      </c>
      <c r="CG500" s="133">
        <f t="shared" si="450"/>
        <v>0</v>
      </c>
      <c r="CH500" s="133">
        <f t="shared" si="450"/>
        <v>0</v>
      </c>
      <c r="CI500" s="133">
        <f t="shared" si="450"/>
        <v>0</v>
      </c>
      <c r="CK500" s="11"/>
      <c r="CM500" s="11"/>
      <c r="DF500" s="11"/>
      <c r="EY500" s="10" t="str">
        <f t="shared" si="448"/>
        <v/>
      </c>
    </row>
    <row r="501" spans="1:155" x14ac:dyDescent="0.35">
      <c r="B501" s="69" t="str" cm="1">
        <f t="array" aca="1" ref="B501" ca="1">HYPERLINK(CONCATENATE("#",CELL("address",$D$341)),$D$341)</f>
        <v>Loan 16</v>
      </c>
      <c r="C501" s="211"/>
      <c r="D501" s="49">
        <f>D$28</f>
        <v>0</v>
      </c>
      <c r="E501" s="49" t="str">
        <f>F$28</f>
        <v/>
      </c>
      <c r="F501" s="49"/>
      <c r="H501" s="9" t="s">
        <v>1074</v>
      </c>
      <c r="I501" s="40" t="s">
        <v>1079</v>
      </c>
      <c r="V501" s="133">
        <f>V$344+V$345</f>
        <v>0</v>
      </c>
      <c r="W501" s="133">
        <f>W$344+W$345</f>
        <v>0</v>
      </c>
      <c r="X501" s="133">
        <f>X$344+X$345</f>
        <v>0</v>
      </c>
      <c r="Y501" s="133">
        <f>Y$344+Y$345</f>
        <v>0</v>
      </c>
      <c r="AA501" s="133">
        <f t="shared" ref="AA501:BV501" si="451">AA$344+AA$345</f>
        <v>0</v>
      </c>
      <c r="AB501" s="133">
        <f t="shared" si="451"/>
        <v>0</v>
      </c>
      <c r="AC501" s="133">
        <f t="shared" si="451"/>
        <v>0</v>
      </c>
      <c r="AD501" s="133">
        <f t="shared" si="451"/>
        <v>0</v>
      </c>
      <c r="AE501" s="133">
        <f t="shared" si="451"/>
        <v>0</v>
      </c>
      <c r="AF501" s="133">
        <f t="shared" si="451"/>
        <v>0</v>
      </c>
      <c r="AG501" s="133">
        <f t="shared" si="451"/>
        <v>0</v>
      </c>
      <c r="AH501" s="133">
        <f t="shared" si="451"/>
        <v>0</v>
      </c>
      <c r="AI501" s="133">
        <f t="shared" si="451"/>
        <v>0</v>
      </c>
      <c r="AJ501" s="133">
        <f t="shared" si="451"/>
        <v>0</v>
      </c>
      <c r="AK501" s="133">
        <f t="shared" si="451"/>
        <v>0</v>
      </c>
      <c r="AL501" s="133">
        <f t="shared" si="451"/>
        <v>0</v>
      </c>
      <c r="AM501" s="133">
        <f t="shared" si="451"/>
        <v>0</v>
      </c>
      <c r="AN501" s="133">
        <f t="shared" si="451"/>
        <v>0</v>
      </c>
      <c r="AO501" s="133">
        <f t="shared" si="451"/>
        <v>0</v>
      </c>
      <c r="AP501" s="133">
        <f t="shared" si="451"/>
        <v>0</v>
      </c>
      <c r="AQ501" s="133">
        <f t="shared" si="451"/>
        <v>0</v>
      </c>
      <c r="AR501" s="133">
        <f t="shared" si="451"/>
        <v>0</v>
      </c>
      <c r="AS501" s="133">
        <f t="shared" si="451"/>
        <v>0</v>
      </c>
      <c r="AT501" s="133">
        <f t="shared" si="451"/>
        <v>0</v>
      </c>
      <c r="AU501" s="133">
        <f t="shared" si="451"/>
        <v>0</v>
      </c>
      <c r="AV501" s="133">
        <f t="shared" si="451"/>
        <v>0</v>
      </c>
      <c r="AW501" s="133">
        <f t="shared" si="451"/>
        <v>0</v>
      </c>
      <c r="AX501" s="133">
        <f t="shared" si="451"/>
        <v>0</v>
      </c>
      <c r="AY501" s="133">
        <f t="shared" si="451"/>
        <v>0</v>
      </c>
      <c r="AZ501" s="133">
        <f t="shared" si="451"/>
        <v>0</v>
      </c>
      <c r="BA501" s="133">
        <f t="shared" si="451"/>
        <v>0</v>
      </c>
      <c r="BB501" s="133">
        <f t="shared" si="451"/>
        <v>0</v>
      </c>
      <c r="BC501" s="133">
        <f t="shared" si="451"/>
        <v>0</v>
      </c>
      <c r="BD501" s="133">
        <f t="shared" si="451"/>
        <v>0</v>
      </c>
      <c r="BE501" s="133">
        <f t="shared" si="451"/>
        <v>0</v>
      </c>
      <c r="BF501" s="133">
        <f t="shared" si="451"/>
        <v>0</v>
      </c>
      <c r="BG501" s="133">
        <f t="shared" si="451"/>
        <v>0</v>
      </c>
      <c r="BH501" s="133">
        <f t="shared" si="451"/>
        <v>0</v>
      </c>
      <c r="BI501" s="133">
        <f t="shared" si="451"/>
        <v>0</v>
      </c>
      <c r="BJ501" s="133">
        <f t="shared" si="451"/>
        <v>0</v>
      </c>
      <c r="BK501" s="133">
        <f t="shared" si="451"/>
        <v>0</v>
      </c>
      <c r="BL501" s="133">
        <f t="shared" si="451"/>
        <v>0</v>
      </c>
      <c r="BM501" s="133">
        <f t="shared" si="451"/>
        <v>0</v>
      </c>
      <c r="BN501" s="133">
        <f t="shared" si="451"/>
        <v>0</v>
      </c>
      <c r="BO501" s="133">
        <f t="shared" si="451"/>
        <v>0</v>
      </c>
      <c r="BP501" s="133">
        <f t="shared" si="451"/>
        <v>0</v>
      </c>
      <c r="BQ501" s="133">
        <f t="shared" si="451"/>
        <v>0</v>
      </c>
      <c r="BR501" s="133">
        <f t="shared" si="451"/>
        <v>0</v>
      </c>
      <c r="BS501" s="133">
        <f t="shared" si="451"/>
        <v>0</v>
      </c>
      <c r="BT501" s="133">
        <f t="shared" si="451"/>
        <v>0</v>
      </c>
      <c r="BU501" s="133">
        <f t="shared" si="451"/>
        <v>0</v>
      </c>
      <c r="BV501" s="133">
        <f t="shared" si="451"/>
        <v>0</v>
      </c>
      <c r="BX501" s="133">
        <f t="shared" ref="BX501:CI501" si="452">BX$344+BX$345</f>
        <v>0</v>
      </c>
      <c r="BY501" s="133">
        <f t="shared" si="452"/>
        <v>0</v>
      </c>
      <c r="BZ501" s="133">
        <f t="shared" si="452"/>
        <v>0</v>
      </c>
      <c r="CA501" s="133">
        <f t="shared" si="452"/>
        <v>0</v>
      </c>
      <c r="CB501" s="133">
        <f t="shared" si="452"/>
        <v>0</v>
      </c>
      <c r="CC501" s="133">
        <f t="shared" si="452"/>
        <v>0</v>
      </c>
      <c r="CD501" s="133">
        <f t="shared" si="452"/>
        <v>0</v>
      </c>
      <c r="CE501" s="133">
        <f t="shared" si="452"/>
        <v>0</v>
      </c>
      <c r="CF501" s="133">
        <f t="shared" si="452"/>
        <v>0</v>
      </c>
      <c r="CG501" s="133">
        <f t="shared" si="452"/>
        <v>0</v>
      </c>
      <c r="CH501" s="133">
        <f t="shared" si="452"/>
        <v>0</v>
      </c>
      <c r="CI501" s="133">
        <f t="shared" si="452"/>
        <v>0</v>
      </c>
      <c r="CK501" s="11"/>
      <c r="CM501" s="11"/>
      <c r="DF501" s="11"/>
      <c r="EY501" s="10" t="str">
        <f t="shared" si="448"/>
        <v/>
      </c>
    </row>
    <row r="502" spans="1:155" x14ac:dyDescent="0.35">
      <c r="B502" s="69" t="str" cm="1">
        <f t="array" aca="1" ref="B502" ca="1">HYPERLINK(CONCATENATE("#",CELL("address",$D$360)),$D$360)</f>
        <v>Loan 17</v>
      </c>
      <c r="C502" s="211"/>
      <c r="D502" s="49">
        <f>D$29</f>
        <v>0</v>
      </c>
      <c r="E502" s="49" t="str">
        <f>F$29</f>
        <v/>
      </c>
      <c r="F502" s="49"/>
      <c r="H502" s="9" t="s">
        <v>1074</v>
      </c>
      <c r="I502" s="40" t="s">
        <v>1079</v>
      </c>
      <c r="V502" s="133">
        <f>V$363+V$364</f>
        <v>0</v>
      </c>
      <c r="W502" s="133">
        <f>W$363+W$364</f>
        <v>0</v>
      </c>
      <c r="X502" s="133">
        <f>X$363+X$364</f>
        <v>0</v>
      </c>
      <c r="Y502" s="133">
        <f>Y$363+Y$364</f>
        <v>0</v>
      </c>
      <c r="AA502" s="133">
        <f t="shared" ref="AA502:BV502" si="453">AA$363+AA$364</f>
        <v>0</v>
      </c>
      <c r="AB502" s="133">
        <f t="shared" si="453"/>
        <v>0</v>
      </c>
      <c r="AC502" s="133">
        <f t="shared" si="453"/>
        <v>0</v>
      </c>
      <c r="AD502" s="133">
        <f t="shared" si="453"/>
        <v>0</v>
      </c>
      <c r="AE502" s="133">
        <f t="shared" si="453"/>
        <v>0</v>
      </c>
      <c r="AF502" s="133">
        <f t="shared" si="453"/>
        <v>0</v>
      </c>
      <c r="AG502" s="133">
        <f t="shared" si="453"/>
        <v>0</v>
      </c>
      <c r="AH502" s="133">
        <f t="shared" si="453"/>
        <v>0</v>
      </c>
      <c r="AI502" s="133">
        <f t="shared" si="453"/>
        <v>0</v>
      </c>
      <c r="AJ502" s="133">
        <f t="shared" si="453"/>
        <v>0</v>
      </c>
      <c r="AK502" s="133">
        <f t="shared" si="453"/>
        <v>0</v>
      </c>
      <c r="AL502" s="133">
        <f t="shared" si="453"/>
        <v>0</v>
      </c>
      <c r="AM502" s="133">
        <f t="shared" si="453"/>
        <v>0</v>
      </c>
      <c r="AN502" s="133">
        <f t="shared" si="453"/>
        <v>0</v>
      </c>
      <c r="AO502" s="133">
        <f t="shared" si="453"/>
        <v>0</v>
      </c>
      <c r="AP502" s="133">
        <f t="shared" si="453"/>
        <v>0</v>
      </c>
      <c r="AQ502" s="133">
        <f t="shared" si="453"/>
        <v>0</v>
      </c>
      <c r="AR502" s="133">
        <f t="shared" si="453"/>
        <v>0</v>
      </c>
      <c r="AS502" s="133">
        <f t="shared" si="453"/>
        <v>0</v>
      </c>
      <c r="AT502" s="133">
        <f t="shared" si="453"/>
        <v>0</v>
      </c>
      <c r="AU502" s="133">
        <f t="shared" si="453"/>
        <v>0</v>
      </c>
      <c r="AV502" s="133">
        <f t="shared" si="453"/>
        <v>0</v>
      </c>
      <c r="AW502" s="133">
        <f t="shared" si="453"/>
        <v>0</v>
      </c>
      <c r="AX502" s="133">
        <f t="shared" si="453"/>
        <v>0</v>
      </c>
      <c r="AY502" s="133">
        <f t="shared" si="453"/>
        <v>0</v>
      </c>
      <c r="AZ502" s="133">
        <f t="shared" si="453"/>
        <v>0</v>
      </c>
      <c r="BA502" s="133">
        <f t="shared" si="453"/>
        <v>0</v>
      </c>
      <c r="BB502" s="133">
        <f t="shared" si="453"/>
        <v>0</v>
      </c>
      <c r="BC502" s="133">
        <f t="shared" si="453"/>
        <v>0</v>
      </c>
      <c r="BD502" s="133">
        <f t="shared" si="453"/>
        <v>0</v>
      </c>
      <c r="BE502" s="133">
        <f t="shared" si="453"/>
        <v>0</v>
      </c>
      <c r="BF502" s="133">
        <f t="shared" si="453"/>
        <v>0</v>
      </c>
      <c r="BG502" s="133">
        <f t="shared" si="453"/>
        <v>0</v>
      </c>
      <c r="BH502" s="133">
        <f t="shared" si="453"/>
        <v>0</v>
      </c>
      <c r="BI502" s="133">
        <f t="shared" si="453"/>
        <v>0</v>
      </c>
      <c r="BJ502" s="133">
        <f t="shared" si="453"/>
        <v>0</v>
      </c>
      <c r="BK502" s="133">
        <f t="shared" si="453"/>
        <v>0</v>
      </c>
      <c r="BL502" s="133">
        <f t="shared" si="453"/>
        <v>0</v>
      </c>
      <c r="BM502" s="133">
        <f t="shared" si="453"/>
        <v>0</v>
      </c>
      <c r="BN502" s="133">
        <f t="shared" si="453"/>
        <v>0</v>
      </c>
      <c r="BO502" s="133">
        <f t="shared" si="453"/>
        <v>0</v>
      </c>
      <c r="BP502" s="133">
        <f t="shared" si="453"/>
        <v>0</v>
      </c>
      <c r="BQ502" s="133">
        <f t="shared" si="453"/>
        <v>0</v>
      </c>
      <c r="BR502" s="133">
        <f t="shared" si="453"/>
        <v>0</v>
      </c>
      <c r="BS502" s="133">
        <f t="shared" si="453"/>
        <v>0</v>
      </c>
      <c r="BT502" s="133">
        <f t="shared" si="453"/>
        <v>0</v>
      </c>
      <c r="BU502" s="133">
        <f t="shared" si="453"/>
        <v>0</v>
      </c>
      <c r="BV502" s="133">
        <f t="shared" si="453"/>
        <v>0</v>
      </c>
      <c r="BX502" s="133">
        <f t="shared" ref="BX502:CI502" si="454">BX$363+BX$364</f>
        <v>0</v>
      </c>
      <c r="BY502" s="133">
        <f t="shared" si="454"/>
        <v>0</v>
      </c>
      <c r="BZ502" s="133">
        <f t="shared" si="454"/>
        <v>0</v>
      </c>
      <c r="CA502" s="133">
        <f t="shared" si="454"/>
        <v>0</v>
      </c>
      <c r="CB502" s="133">
        <f t="shared" si="454"/>
        <v>0</v>
      </c>
      <c r="CC502" s="133">
        <f t="shared" si="454"/>
        <v>0</v>
      </c>
      <c r="CD502" s="133">
        <f t="shared" si="454"/>
        <v>0</v>
      </c>
      <c r="CE502" s="133">
        <f t="shared" si="454"/>
        <v>0</v>
      </c>
      <c r="CF502" s="133">
        <f t="shared" si="454"/>
        <v>0</v>
      </c>
      <c r="CG502" s="133">
        <f t="shared" si="454"/>
        <v>0</v>
      </c>
      <c r="CH502" s="133">
        <f t="shared" si="454"/>
        <v>0</v>
      </c>
      <c r="CI502" s="133">
        <f t="shared" si="454"/>
        <v>0</v>
      </c>
      <c r="CK502" s="11"/>
      <c r="CM502" s="11"/>
      <c r="DF502" s="11"/>
      <c r="EY502" s="10" t="str">
        <f t="shared" si="448"/>
        <v/>
      </c>
    </row>
    <row r="503" spans="1:155" x14ac:dyDescent="0.35">
      <c r="B503" s="69" t="str" cm="1">
        <f t="array" aca="1" ref="B503" ca="1">HYPERLINK(CONCATENATE("#",CELL("address",$D$379)),$D$379)</f>
        <v>Loan 18</v>
      </c>
      <c r="C503" s="211"/>
      <c r="D503" s="49">
        <f>D$30</f>
        <v>0</v>
      </c>
      <c r="E503" s="49" t="str">
        <f>F$30</f>
        <v/>
      </c>
      <c r="F503" s="49"/>
      <c r="H503" s="9" t="s">
        <v>1074</v>
      </c>
      <c r="I503" s="40" t="s">
        <v>1079</v>
      </c>
      <c r="V503" s="133">
        <f>V$382+V$383</f>
        <v>0</v>
      </c>
      <c r="W503" s="133">
        <f>W$382+W$383</f>
        <v>0</v>
      </c>
      <c r="X503" s="133">
        <f>X$382+X$383</f>
        <v>0</v>
      </c>
      <c r="Y503" s="133">
        <f>Y$382+Y$383</f>
        <v>0</v>
      </c>
      <c r="AA503" s="133">
        <f t="shared" ref="AA503:BV503" si="455">AA$382+AA$383</f>
        <v>0</v>
      </c>
      <c r="AB503" s="133">
        <f t="shared" si="455"/>
        <v>0</v>
      </c>
      <c r="AC503" s="133">
        <f t="shared" si="455"/>
        <v>0</v>
      </c>
      <c r="AD503" s="133">
        <f t="shared" si="455"/>
        <v>0</v>
      </c>
      <c r="AE503" s="133">
        <f t="shared" si="455"/>
        <v>0</v>
      </c>
      <c r="AF503" s="133">
        <f t="shared" si="455"/>
        <v>0</v>
      </c>
      <c r="AG503" s="133">
        <f t="shared" si="455"/>
        <v>0</v>
      </c>
      <c r="AH503" s="133">
        <f t="shared" si="455"/>
        <v>0</v>
      </c>
      <c r="AI503" s="133">
        <f t="shared" si="455"/>
        <v>0</v>
      </c>
      <c r="AJ503" s="133">
        <f t="shared" si="455"/>
        <v>0</v>
      </c>
      <c r="AK503" s="133">
        <f t="shared" si="455"/>
        <v>0</v>
      </c>
      <c r="AL503" s="133">
        <f t="shared" si="455"/>
        <v>0</v>
      </c>
      <c r="AM503" s="133">
        <f t="shared" si="455"/>
        <v>0</v>
      </c>
      <c r="AN503" s="133">
        <f t="shared" si="455"/>
        <v>0</v>
      </c>
      <c r="AO503" s="133">
        <f t="shared" si="455"/>
        <v>0</v>
      </c>
      <c r="AP503" s="133">
        <f t="shared" si="455"/>
        <v>0</v>
      </c>
      <c r="AQ503" s="133">
        <f t="shared" si="455"/>
        <v>0</v>
      </c>
      <c r="AR503" s="133">
        <f t="shared" si="455"/>
        <v>0</v>
      </c>
      <c r="AS503" s="133">
        <f t="shared" si="455"/>
        <v>0</v>
      </c>
      <c r="AT503" s="133">
        <f t="shared" si="455"/>
        <v>0</v>
      </c>
      <c r="AU503" s="133">
        <f t="shared" si="455"/>
        <v>0</v>
      </c>
      <c r="AV503" s="133">
        <f t="shared" si="455"/>
        <v>0</v>
      </c>
      <c r="AW503" s="133">
        <f t="shared" si="455"/>
        <v>0</v>
      </c>
      <c r="AX503" s="133">
        <f t="shared" si="455"/>
        <v>0</v>
      </c>
      <c r="AY503" s="133">
        <f t="shared" si="455"/>
        <v>0</v>
      </c>
      <c r="AZ503" s="133">
        <f t="shared" si="455"/>
        <v>0</v>
      </c>
      <c r="BA503" s="133">
        <f t="shared" si="455"/>
        <v>0</v>
      </c>
      <c r="BB503" s="133">
        <f t="shared" si="455"/>
        <v>0</v>
      </c>
      <c r="BC503" s="133">
        <f t="shared" si="455"/>
        <v>0</v>
      </c>
      <c r="BD503" s="133">
        <f t="shared" si="455"/>
        <v>0</v>
      </c>
      <c r="BE503" s="133">
        <f t="shared" si="455"/>
        <v>0</v>
      </c>
      <c r="BF503" s="133">
        <f t="shared" si="455"/>
        <v>0</v>
      </c>
      <c r="BG503" s="133">
        <f t="shared" si="455"/>
        <v>0</v>
      </c>
      <c r="BH503" s="133">
        <f t="shared" si="455"/>
        <v>0</v>
      </c>
      <c r="BI503" s="133">
        <f t="shared" si="455"/>
        <v>0</v>
      </c>
      <c r="BJ503" s="133">
        <f t="shared" si="455"/>
        <v>0</v>
      </c>
      <c r="BK503" s="133">
        <f t="shared" si="455"/>
        <v>0</v>
      </c>
      <c r="BL503" s="133">
        <f t="shared" si="455"/>
        <v>0</v>
      </c>
      <c r="BM503" s="133">
        <f t="shared" si="455"/>
        <v>0</v>
      </c>
      <c r="BN503" s="133">
        <f t="shared" si="455"/>
        <v>0</v>
      </c>
      <c r="BO503" s="133">
        <f t="shared" si="455"/>
        <v>0</v>
      </c>
      <c r="BP503" s="133">
        <f t="shared" si="455"/>
        <v>0</v>
      </c>
      <c r="BQ503" s="133">
        <f t="shared" si="455"/>
        <v>0</v>
      </c>
      <c r="BR503" s="133">
        <f t="shared" si="455"/>
        <v>0</v>
      </c>
      <c r="BS503" s="133">
        <f t="shared" si="455"/>
        <v>0</v>
      </c>
      <c r="BT503" s="133">
        <f t="shared" si="455"/>
        <v>0</v>
      </c>
      <c r="BU503" s="133">
        <f t="shared" si="455"/>
        <v>0</v>
      </c>
      <c r="BV503" s="133">
        <f t="shared" si="455"/>
        <v>0</v>
      </c>
      <c r="BX503" s="133">
        <f t="shared" ref="BX503:CI503" si="456">BX$382+BX$383</f>
        <v>0</v>
      </c>
      <c r="BY503" s="133">
        <f t="shared" si="456"/>
        <v>0</v>
      </c>
      <c r="BZ503" s="133">
        <f t="shared" si="456"/>
        <v>0</v>
      </c>
      <c r="CA503" s="133">
        <f t="shared" si="456"/>
        <v>0</v>
      </c>
      <c r="CB503" s="133">
        <f t="shared" si="456"/>
        <v>0</v>
      </c>
      <c r="CC503" s="133">
        <f t="shared" si="456"/>
        <v>0</v>
      </c>
      <c r="CD503" s="133">
        <f t="shared" si="456"/>
        <v>0</v>
      </c>
      <c r="CE503" s="133">
        <f t="shared" si="456"/>
        <v>0</v>
      </c>
      <c r="CF503" s="133">
        <f t="shared" si="456"/>
        <v>0</v>
      </c>
      <c r="CG503" s="133">
        <f t="shared" si="456"/>
        <v>0</v>
      </c>
      <c r="CH503" s="133">
        <f t="shared" si="456"/>
        <v>0</v>
      </c>
      <c r="CI503" s="133">
        <f t="shared" si="456"/>
        <v>0</v>
      </c>
      <c r="CK503" s="11"/>
      <c r="CM503" s="11"/>
      <c r="DF503" s="11"/>
      <c r="EY503" s="10" t="str">
        <f t="shared" si="448"/>
        <v/>
      </c>
    </row>
    <row r="504" spans="1:155" x14ac:dyDescent="0.35">
      <c r="B504" s="69" t="str" cm="1">
        <f t="array" aca="1" ref="B504" ca="1">HYPERLINK(CONCATENATE("#",CELL("address",$D$398)),$D$398)</f>
        <v>Loan 19</v>
      </c>
      <c r="C504" s="211"/>
      <c r="D504" s="49">
        <f>D$31</f>
        <v>0</v>
      </c>
      <c r="E504" s="49" t="str">
        <f>F$31</f>
        <v/>
      </c>
      <c r="F504" s="49"/>
      <c r="H504" s="9" t="s">
        <v>1074</v>
      </c>
      <c r="I504" s="40" t="s">
        <v>1079</v>
      </c>
      <c r="V504" s="133">
        <f>V$401+V$402</f>
        <v>0</v>
      </c>
      <c r="W504" s="133">
        <f>W$401+W$402</f>
        <v>0</v>
      </c>
      <c r="X504" s="133">
        <f>X$401+X$402</f>
        <v>0</v>
      </c>
      <c r="Y504" s="133">
        <f>Y$401+Y$402</f>
        <v>0</v>
      </c>
      <c r="AA504" s="133">
        <f t="shared" ref="AA504:BV504" si="457">AA$401+AA$402</f>
        <v>0</v>
      </c>
      <c r="AB504" s="133">
        <f t="shared" si="457"/>
        <v>0</v>
      </c>
      <c r="AC504" s="133">
        <f t="shared" si="457"/>
        <v>0</v>
      </c>
      <c r="AD504" s="133">
        <f t="shared" si="457"/>
        <v>0</v>
      </c>
      <c r="AE504" s="133">
        <f t="shared" si="457"/>
        <v>0</v>
      </c>
      <c r="AF504" s="133">
        <f t="shared" si="457"/>
        <v>0</v>
      </c>
      <c r="AG504" s="133">
        <f t="shared" si="457"/>
        <v>0</v>
      </c>
      <c r="AH504" s="133">
        <f t="shared" si="457"/>
        <v>0</v>
      </c>
      <c r="AI504" s="133">
        <f t="shared" si="457"/>
        <v>0</v>
      </c>
      <c r="AJ504" s="133">
        <f t="shared" si="457"/>
        <v>0</v>
      </c>
      <c r="AK504" s="133">
        <f t="shared" si="457"/>
        <v>0</v>
      </c>
      <c r="AL504" s="133">
        <f t="shared" si="457"/>
        <v>0</v>
      </c>
      <c r="AM504" s="133">
        <f t="shared" si="457"/>
        <v>0</v>
      </c>
      <c r="AN504" s="133">
        <f t="shared" si="457"/>
        <v>0</v>
      </c>
      <c r="AO504" s="133">
        <f t="shared" si="457"/>
        <v>0</v>
      </c>
      <c r="AP504" s="133">
        <f t="shared" si="457"/>
        <v>0</v>
      </c>
      <c r="AQ504" s="133">
        <f t="shared" si="457"/>
        <v>0</v>
      </c>
      <c r="AR504" s="133">
        <f t="shared" si="457"/>
        <v>0</v>
      </c>
      <c r="AS504" s="133">
        <f t="shared" si="457"/>
        <v>0</v>
      </c>
      <c r="AT504" s="133">
        <f t="shared" si="457"/>
        <v>0</v>
      </c>
      <c r="AU504" s="133">
        <f t="shared" si="457"/>
        <v>0</v>
      </c>
      <c r="AV504" s="133">
        <f t="shared" si="457"/>
        <v>0</v>
      </c>
      <c r="AW504" s="133">
        <f t="shared" si="457"/>
        <v>0</v>
      </c>
      <c r="AX504" s="133">
        <f t="shared" si="457"/>
        <v>0</v>
      </c>
      <c r="AY504" s="133">
        <f t="shared" si="457"/>
        <v>0</v>
      </c>
      <c r="AZ504" s="133">
        <f t="shared" si="457"/>
        <v>0</v>
      </c>
      <c r="BA504" s="133">
        <f t="shared" si="457"/>
        <v>0</v>
      </c>
      <c r="BB504" s="133">
        <f t="shared" si="457"/>
        <v>0</v>
      </c>
      <c r="BC504" s="133">
        <f t="shared" si="457"/>
        <v>0</v>
      </c>
      <c r="BD504" s="133">
        <f t="shared" si="457"/>
        <v>0</v>
      </c>
      <c r="BE504" s="133">
        <f t="shared" si="457"/>
        <v>0</v>
      </c>
      <c r="BF504" s="133">
        <f t="shared" si="457"/>
        <v>0</v>
      </c>
      <c r="BG504" s="133">
        <f t="shared" si="457"/>
        <v>0</v>
      </c>
      <c r="BH504" s="133">
        <f t="shared" si="457"/>
        <v>0</v>
      </c>
      <c r="BI504" s="133">
        <f t="shared" si="457"/>
        <v>0</v>
      </c>
      <c r="BJ504" s="133">
        <f t="shared" si="457"/>
        <v>0</v>
      </c>
      <c r="BK504" s="133">
        <f t="shared" si="457"/>
        <v>0</v>
      </c>
      <c r="BL504" s="133">
        <f t="shared" si="457"/>
        <v>0</v>
      </c>
      <c r="BM504" s="133">
        <f t="shared" si="457"/>
        <v>0</v>
      </c>
      <c r="BN504" s="133">
        <f t="shared" si="457"/>
        <v>0</v>
      </c>
      <c r="BO504" s="133">
        <f t="shared" si="457"/>
        <v>0</v>
      </c>
      <c r="BP504" s="133">
        <f t="shared" si="457"/>
        <v>0</v>
      </c>
      <c r="BQ504" s="133">
        <f t="shared" si="457"/>
        <v>0</v>
      </c>
      <c r="BR504" s="133">
        <f t="shared" si="457"/>
        <v>0</v>
      </c>
      <c r="BS504" s="133">
        <f t="shared" si="457"/>
        <v>0</v>
      </c>
      <c r="BT504" s="133">
        <f t="shared" si="457"/>
        <v>0</v>
      </c>
      <c r="BU504" s="133">
        <f t="shared" si="457"/>
        <v>0</v>
      </c>
      <c r="BV504" s="133">
        <f t="shared" si="457"/>
        <v>0</v>
      </c>
      <c r="BX504" s="133">
        <f t="shared" ref="BX504:CI504" si="458">BX$401+BX$402</f>
        <v>0</v>
      </c>
      <c r="BY504" s="133">
        <f t="shared" si="458"/>
        <v>0</v>
      </c>
      <c r="BZ504" s="133">
        <f t="shared" si="458"/>
        <v>0</v>
      </c>
      <c r="CA504" s="133">
        <f t="shared" si="458"/>
        <v>0</v>
      </c>
      <c r="CB504" s="133">
        <f t="shared" si="458"/>
        <v>0</v>
      </c>
      <c r="CC504" s="133">
        <f t="shared" si="458"/>
        <v>0</v>
      </c>
      <c r="CD504" s="133">
        <f t="shared" si="458"/>
        <v>0</v>
      </c>
      <c r="CE504" s="133">
        <f t="shared" si="458"/>
        <v>0</v>
      </c>
      <c r="CF504" s="133">
        <f t="shared" si="458"/>
        <v>0</v>
      </c>
      <c r="CG504" s="133">
        <f t="shared" si="458"/>
        <v>0</v>
      </c>
      <c r="CH504" s="133">
        <f t="shared" si="458"/>
        <v>0</v>
      </c>
      <c r="CI504" s="133">
        <f t="shared" si="458"/>
        <v>0</v>
      </c>
      <c r="CK504" s="11"/>
      <c r="CM504" s="11"/>
      <c r="DF504" s="11"/>
      <c r="EY504" s="10" t="str">
        <f t="shared" si="448"/>
        <v/>
      </c>
    </row>
    <row r="505" spans="1:155" x14ac:dyDescent="0.35">
      <c r="B505" s="69" t="str" cm="1">
        <f t="array" aca="1" ref="B505" ca="1">HYPERLINK(CONCATENATE("#",CELL("address",$D$417)),$D$417)</f>
        <v>Loan 20</v>
      </c>
      <c r="C505" s="211"/>
      <c r="D505" s="49">
        <f>D$32</f>
        <v>0</v>
      </c>
      <c r="E505" s="49" t="str">
        <f>F$32</f>
        <v/>
      </c>
      <c r="F505" s="49"/>
      <c r="H505" s="9" t="s">
        <v>1074</v>
      </c>
      <c r="I505" s="40" t="s">
        <v>1079</v>
      </c>
      <c r="V505" s="133">
        <f>V$420+V$421</f>
        <v>0</v>
      </c>
      <c r="W505" s="133">
        <f>W$420+W$421</f>
        <v>0</v>
      </c>
      <c r="X505" s="133">
        <f>X$420+X$421</f>
        <v>0</v>
      </c>
      <c r="Y505" s="133">
        <f>Y$420+Y$421</f>
        <v>0</v>
      </c>
      <c r="AA505" s="133">
        <f t="shared" ref="AA505:BV505" si="459">AA$420+AA$421</f>
        <v>0</v>
      </c>
      <c r="AB505" s="133">
        <f t="shared" si="459"/>
        <v>0</v>
      </c>
      <c r="AC505" s="133">
        <f t="shared" si="459"/>
        <v>0</v>
      </c>
      <c r="AD505" s="133">
        <f t="shared" si="459"/>
        <v>0</v>
      </c>
      <c r="AE505" s="133">
        <f t="shared" si="459"/>
        <v>0</v>
      </c>
      <c r="AF505" s="133">
        <f t="shared" si="459"/>
        <v>0</v>
      </c>
      <c r="AG505" s="133">
        <f t="shared" si="459"/>
        <v>0</v>
      </c>
      <c r="AH505" s="133">
        <f t="shared" si="459"/>
        <v>0</v>
      </c>
      <c r="AI505" s="133">
        <f t="shared" si="459"/>
        <v>0</v>
      </c>
      <c r="AJ505" s="133">
        <f t="shared" si="459"/>
        <v>0</v>
      </c>
      <c r="AK505" s="133">
        <f t="shared" si="459"/>
        <v>0</v>
      </c>
      <c r="AL505" s="133">
        <f t="shared" si="459"/>
        <v>0</v>
      </c>
      <c r="AM505" s="133">
        <f t="shared" si="459"/>
        <v>0</v>
      </c>
      <c r="AN505" s="133">
        <f t="shared" si="459"/>
        <v>0</v>
      </c>
      <c r="AO505" s="133">
        <f t="shared" si="459"/>
        <v>0</v>
      </c>
      <c r="AP505" s="133">
        <f t="shared" si="459"/>
        <v>0</v>
      </c>
      <c r="AQ505" s="133">
        <f t="shared" si="459"/>
        <v>0</v>
      </c>
      <c r="AR505" s="133">
        <f t="shared" si="459"/>
        <v>0</v>
      </c>
      <c r="AS505" s="133">
        <f t="shared" si="459"/>
        <v>0</v>
      </c>
      <c r="AT505" s="133">
        <f t="shared" si="459"/>
        <v>0</v>
      </c>
      <c r="AU505" s="133">
        <f t="shared" si="459"/>
        <v>0</v>
      </c>
      <c r="AV505" s="133">
        <f t="shared" si="459"/>
        <v>0</v>
      </c>
      <c r="AW505" s="133">
        <f t="shared" si="459"/>
        <v>0</v>
      </c>
      <c r="AX505" s="133">
        <f t="shared" si="459"/>
        <v>0</v>
      </c>
      <c r="AY505" s="133">
        <f t="shared" si="459"/>
        <v>0</v>
      </c>
      <c r="AZ505" s="133">
        <f t="shared" si="459"/>
        <v>0</v>
      </c>
      <c r="BA505" s="133">
        <f t="shared" si="459"/>
        <v>0</v>
      </c>
      <c r="BB505" s="133">
        <f t="shared" si="459"/>
        <v>0</v>
      </c>
      <c r="BC505" s="133">
        <f t="shared" si="459"/>
        <v>0</v>
      </c>
      <c r="BD505" s="133">
        <f t="shared" si="459"/>
        <v>0</v>
      </c>
      <c r="BE505" s="133">
        <f t="shared" si="459"/>
        <v>0</v>
      </c>
      <c r="BF505" s="133">
        <f t="shared" si="459"/>
        <v>0</v>
      </c>
      <c r="BG505" s="133">
        <f t="shared" si="459"/>
        <v>0</v>
      </c>
      <c r="BH505" s="133">
        <f t="shared" si="459"/>
        <v>0</v>
      </c>
      <c r="BI505" s="133">
        <f t="shared" si="459"/>
        <v>0</v>
      </c>
      <c r="BJ505" s="133">
        <f t="shared" si="459"/>
        <v>0</v>
      </c>
      <c r="BK505" s="133">
        <f t="shared" si="459"/>
        <v>0</v>
      </c>
      <c r="BL505" s="133">
        <f t="shared" si="459"/>
        <v>0</v>
      </c>
      <c r="BM505" s="133">
        <f t="shared" si="459"/>
        <v>0</v>
      </c>
      <c r="BN505" s="133">
        <f t="shared" si="459"/>
        <v>0</v>
      </c>
      <c r="BO505" s="133">
        <f t="shared" si="459"/>
        <v>0</v>
      </c>
      <c r="BP505" s="133">
        <f t="shared" si="459"/>
        <v>0</v>
      </c>
      <c r="BQ505" s="133">
        <f t="shared" si="459"/>
        <v>0</v>
      </c>
      <c r="BR505" s="133">
        <f t="shared" si="459"/>
        <v>0</v>
      </c>
      <c r="BS505" s="133">
        <f t="shared" si="459"/>
        <v>0</v>
      </c>
      <c r="BT505" s="133">
        <f t="shared" si="459"/>
        <v>0</v>
      </c>
      <c r="BU505" s="133">
        <f t="shared" si="459"/>
        <v>0</v>
      </c>
      <c r="BV505" s="133">
        <f t="shared" si="459"/>
        <v>0</v>
      </c>
      <c r="BX505" s="133">
        <f t="shared" ref="BX505:CI505" si="460">BX$420+BX$421</f>
        <v>0</v>
      </c>
      <c r="BY505" s="133">
        <f t="shared" si="460"/>
        <v>0</v>
      </c>
      <c r="BZ505" s="133">
        <f t="shared" si="460"/>
        <v>0</v>
      </c>
      <c r="CA505" s="133">
        <f t="shared" si="460"/>
        <v>0</v>
      </c>
      <c r="CB505" s="133">
        <f t="shared" si="460"/>
        <v>0</v>
      </c>
      <c r="CC505" s="133">
        <f t="shared" si="460"/>
        <v>0</v>
      </c>
      <c r="CD505" s="133">
        <f t="shared" si="460"/>
        <v>0</v>
      </c>
      <c r="CE505" s="133">
        <f t="shared" si="460"/>
        <v>0</v>
      </c>
      <c r="CF505" s="133">
        <f t="shared" si="460"/>
        <v>0</v>
      </c>
      <c r="CG505" s="133">
        <f t="shared" si="460"/>
        <v>0</v>
      </c>
      <c r="CH505" s="133">
        <f t="shared" si="460"/>
        <v>0</v>
      </c>
      <c r="CI505" s="133">
        <f t="shared" si="460"/>
        <v>0</v>
      </c>
      <c r="CK505" s="11"/>
      <c r="CM505" s="11"/>
      <c r="DF505" s="11"/>
      <c r="EY505" s="10" t="str">
        <f t="shared" si="448"/>
        <v/>
      </c>
    </row>
    <row r="506" spans="1:155" ht="6.75" customHeight="1" x14ac:dyDescent="0.35">
      <c r="C506" s="211"/>
      <c r="D506" s="1"/>
      <c r="E506"/>
      <c r="F506"/>
      <c r="BY506" s="6"/>
      <c r="CK506" s="35"/>
      <c r="CM506" s="35"/>
      <c r="DF506" s="35"/>
      <c r="EY506" s="10" t="str">
        <f t="shared" si="448"/>
        <v/>
      </c>
    </row>
    <row r="507" spans="1:155" x14ac:dyDescent="0.35">
      <c r="C507" s="211"/>
      <c r="D507" s="50" t="str">
        <f>$D$61</f>
        <v>Closing Loan Balance</v>
      </c>
      <c r="E507"/>
      <c r="F507"/>
      <c r="CK507" s="11"/>
      <c r="CM507" s="11"/>
      <c r="DF507" s="11"/>
      <c r="EY507" s="10" t="str">
        <f t="shared" si="448"/>
        <v/>
      </c>
    </row>
    <row r="508" spans="1:155" x14ac:dyDescent="0.35">
      <c r="B508" s="107" t="s">
        <v>1229</v>
      </c>
      <c r="C508" s="211"/>
      <c r="D508" s="5" t="str">
        <f>D$11</f>
        <v>Lender</v>
      </c>
      <c r="E508" s="5" t="str">
        <f>E$11</f>
        <v>Loan Category</v>
      </c>
      <c r="F508" s="5"/>
      <c r="CK508" s="11"/>
      <c r="CM508" s="11"/>
      <c r="DF508" s="11"/>
      <c r="EY508" s="10" t="str">
        <f t="shared" si="448"/>
        <v/>
      </c>
    </row>
    <row r="509" spans="1:155" x14ac:dyDescent="0.35">
      <c r="B509" s="69" t="str" cm="1">
        <f t="array" aca="1" ref="B509" ca="1">HYPERLINK(CONCATENATE("#",CELL("address",$D$56)),$D$56)</f>
        <v>Loan 1</v>
      </c>
      <c r="C509" s="211"/>
      <c r="D509" s="49">
        <f>D$13</f>
        <v>0</v>
      </c>
      <c r="E509" s="49" t="str">
        <f>F$13</f>
        <v/>
      </c>
      <c r="F509" s="49"/>
      <c r="H509" s="9" t="s">
        <v>1074</v>
      </c>
      <c r="I509" s="40" t="s">
        <v>1079</v>
      </c>
      <c r="J509" s="54"/>
      <c r="V509" s="133">
        <f>V$61</f>
        <v>0</v>
      </c>
      <c r="W509" s="10">
        <f>W$61</f>
        <v>0</v>
      </c>
      <c r="X509" s="10">
        <f>X$61</f>
        <v>0</v>
      </c>
      <c r="Y509" s="10">
        <f>Y$61</f>
        <v>0</v>
      </c>
      <c r="AA509" s="10">
        <f t="shared" ref="AA509:BV509" si="461">AA$61</f>
        <v>0</v>
      </c>
      <c r="AB509" s="10">
        <f t="shared" si="461"/>
        <v>0</v>
      </c>
      <c r="AC509" s="10">
        <f t="shared" si="461"/>
        <v>0</v>
      </c>
      <c r="AD509" s="10">
        <f t="shared" si="461"/>
        <v>0</v>
      </c>
      <c r="AE509" s="10">
        <f t="shared" si="461"/>
        <v>0</v>
      </c>
      <c r="AF509" s="10">
        <f t="shared" si="461"/>
        <v>0</v>
      </c>
      <c r="AG509" s="10">
        <f t="shared" si="461"/>
        <v>0</v>
      </c>
      <c r="AH509" s="10">
        <f t="shared" si="461"/>
        <v>0</v>
      </c>
      <c r="AI509" s="10">
        <f t="shared" si="461"/>
        <v>0</v>
      </c>
      <c r="AJ509" s="10">
        <f t="shared" si="461"/>
        <v>0</v>
      </c>
      <c r="AK509" s="10">
        <f t="shared" si="461"/>
        <v>0</v>
      </c>
      <c r="AL509" s="10">
        <f t="shared" si="461"/>
        <v>0</v>
      </c>
      <c r="AM509" s="10">
        <f t="shared" si="461"/>
        <v>0</v>
      </c>
      <c r="AN509" s="10">
        <f t="shared" si="461"/>
        <v>0</v>
      </c>
      <c r="AO509" s="10">
        <f t="shared" si="461"/>
        <v>0</v>
      </c>
      <c r="AP509" s="10">
        <f t="shared" si="461"/>
        <v>0</v>
      </c>
      <c r="AQ509" s="10">
        <f t="shared" si="461"/>
        <v>0</v>
      </c>
      <c r="AR509" s="10">
        <f t="shared" si="461"/>
        <v>0</v>
      </c>
      <c r="AS509" s="10">
        <f t="shared" si="461"/>
        <v>0</v>
      </c>
      <c r="AT509" s="10">
        <f t="shared" si="461"/>
        <v>0</v>
      </c>
      <c r="AU509" s="10">
        <f t="shared" si="461"/>
        <v>0</v>
      </c>
      <c r="AV509" s="10">
        <f t="shared" si="461"/>
        <v>0</v>
      </c>
      <c r="AW509" s="10">
        <f t="shared" si="461"/>
        <v>0</v>
      </c>
      <c r="AX509" s="10">
        <f t="shared" si="461"/>
        <v>0</v>
      </c>
      <c r="AY509" s="10">
        <f t="shared" si="461"/>
        <v>0</v>
      </c>
      <c r="AZ509" s="10">
        <f t="shared" si="461"/>
        <v>0</v>
      </c>
      <c r="BA509" s="10">
        <f t="shared" si="461"/>
        <v>0</v>
      </c>
      <c r="BB509" s="10">
        <f t="shared" si="461"/>
        <v>0</v>
      </c>
      <c r="BC509" s="10">
        <f t="shared" si="461"/>
        <v>0</v>
      </c>
      <c r="BD509" s="10">
        <f t="shared" si="461"/>
        <v>0</v>
      </c>
      <c r="BE509" s="10">
        <f t="shared" si="461"/>
        <v>0</v>
      </c>
      <c r="BF509" s="10">
        <f t="shared" si="461"/>
        <v>0</v>
      </c>
      <c r="BG509" s="10">
        <f t="shared" si="461"/>
        <v>0</v>
      </c>
      <c r="BH509" s="10">
        <f t="shared" si="461"/>
        <v>0</v>
      </c>
      <c r="BI509" s="10">
        <f t="shared" si="461"/>
        <v>0</v>
      </c>
      <c r="BJ509" s="10">
        <f t="shared" si="461"/>
        <v>0</v>
      </c>
      <c r="BK509" s="10">
        <f t="shared" si="461"/>
        <v>0</v>
      </c>
      <c r="BL509" s="10">
        <f t="shared" si="461"/>
        <v>0</v>
      </c>
      <c r="BM509" s="10">
        <f t="shared" si="461"/>
        <v>0</v>
      </c>
      <c r="BN509" s="10">
        <f t="shared" si="461"/>
        <v>0</v>
      </c>
      <c r="BO509" s="10">
        <f t="shared" si="461"/>
        <v>0</v>
      </c>
      <c r="BP509" s="10">
        <f t="shared" si="461"/>
        <v>0</v>
      </c>
      <c r="BQ509" s="10">
        <f t="shared" si="461"/>
        <v>0</v>
      </c>
      <c r="BR509" s="10">
        <f t="shared" si="461"/>
        <v>0</v>
      </c>
      <c r="BS509" s="10">
        <f t="shared" si="461"/>
        <v>0</v>
      </c>
      <c r="BT509" s="10">
        <f t="shared" si="461"/>
        <v>0</v>
      </c>
      <c r="BU509" s="10">
        <f t="shared" si="461"/>
        <v>0</v>
      </c>
      <c r="BV509" s="10">
        <f t="shared" si="461"/>
        <v>0</v>
      </c>
      <c r="BX509" s="10">
        <f t="shared" ref="BX509:CI509" si="462">BX$61</f>
        <v>0</v>
      </c>
      <c r="BY509" s="10">
        <f t="shared" si="462"/>
        <v>0</v>
      </c>
      <c r="BZ509" s="10">
        <f t="shared" si="462"/>
        <v>0</v>
      </c>
      <c r="CA509" s="10">
        <f t="shared" si="462"/>
        <v>0</v>
      </c>
      <c r="CB509" s="10">
        <f t="shared" si="462"/>
        <v>0</v>
      </c>
      <c r="CC509" s="10">
        <f t="shared" si="462"/>
        <v>0</v>
      </c>
      <c r="CD509" s="10">
        <f t="shared" si="462"/>
        <v>0</v>
      </c>
      <c r="CE509" s="10">
        <f t="shared" si="462"/>
        <v>0</v>
      </c>
      <c r="CF509" s="10">
        <f t="shared" si="462"/>
        <v>0</v>
      </c>
      <c r="CG509" s="10">
        <f t="shared" si="462"/>
        <v>0</v>
      </c>
      <c r="CH509" s="10">
        <f t="shared" si="462"/>
        <v>0</v>
      </c>
      <c r="CI509" s="10">
        <f t="shared" si="462"/>
        <v>0</v>
      </c>
      <c r="CK509" s="11"/>
      <c r="CM509" s="11"/>
      <c r="DF509" s="11"/>
      <c r="EY509" s="10" t="str">
        <f t="shared" si="448"/>
        <v/>
      </c>
    </row>
    <row r="510" spans="1:155" x14ac:dyDescent="0.35">
      <c r="B510" s="69" t="str" cm="1">
        <f t="array" aca="1" ref="B510" ca="1">HYPERLINK(CONCATENATE("#",CELL("address",$D$75)),$D$75)</f>
        <v>Loan 2</v>
      </c>
      <c r="C510" s="211"/>
      <c r="D510" s="49">
        <f>D$14</f>
        <v>0</v>
      </c>
      <c r="E510" s="49" t="str">
        <f>F$14</f>
        <v/>
      </c>
      <c r="F510" s="49"/>
      <c r="H510" s="9" t="s">
        <v>1074</v>
      </c>
      <c r="I510" s="40" t="s">
        <v>1079</v>
      </c>
      <c r="V510" s="133">
        <f>V$80</f>
        <v>0</v>
      </c>
      <c r="W510" s="10">
        <f>W$80</f>
        <v>0</v>
      </c>
      <c r="X510" s="10">
        <f>X$80</f>
        <v>0</v>
      </c>
      <c r="Y510" s="10">
        <f>Y$80</f>
        <v>0</v>
      </c>
      <c r="AA510" s="10">
        <f t="shared" ref="AA510:BV510" si="463">AA$80</f>
        <v>0</v>
      </c>
      <c r="AB510" s="10">
        <f t="shared" si="463"/>
        <v>0</v>
      </c>
      <c r="AC510" s="10">
        <f t="shared" si="463"/>
        <v>0</v>
      </c>
      <c r="AD510" s="10">
        <f t="shared" si="463"/>
        <v>0</v>
      </c>
      <c r="AE510" s="10">
        <f t="shared" si="463"/>
        <v>0</v>
      </c>
      <c r="AF510" s="10">
        <f t="shared" si="463"/>
        <v>0</v>
      </c>
      <c r="AG510" s="10">
        <f t="shared" si="463"/>
        <v>0</v>
      </c>
      <c r="AH510" s="10">
        <f t="shared" si="463"/>
        <v>0</v>
      </c>
      <c r="AI510" s="10">
        <f t="shared" si="463"/>
        <v>0</v>
      </c>
      <c r="AJ510" s="10">
        <f t="shared" si="463"/>
        <v>0</v>
      </c>
      <c r="AK510" s="10">
        <f t="shared" si="463"/>
        <v>0</v>
      </c>
      <c r="AL510" s="10">
        <f t="shared" si="463"/>
        <v>0</v>
      </c>
      <c r="AM510" s="10">
        <f t="shared" si="463"/>
        <v>0</v>
      </c>
      <c r="AN510" s="10">
        <f t="shared" si="463"/>
        <v>0</v>
      </c>
      <c r="AO510" s="10">
        <f t="shared" si="463"/>
        <v>0</v>
      </c>
      <c r="AP510" s="10">
        <f t="shared" si="463"/>
        <v>0</v>
      </c>
      <c r="AQ510" s="10">
        <f t="shared" si="463"/>
        <v>0</v>
      </c>
      <c r="AR510" s="10">
        <f t="shared" si="463"/>
        <v>0</v>
      </c>
      <c r="AS510" s="10">
        <f t="shared" si="463"/>
        <v>0</v>
      </c>
      <c r="AT510" s="10">
        <f t="shared" si="463"/>
        <v>0</v>
      </c>
      <c r="AU510" s="10">
        <f t="shared" si="463"/>
        <v>0</v>
      </c>
      <c r="AV510" s="10">
        <f t="shared" si="463"/>
        <v>0</v>
      </c>
      <c r="AW510" s="10">
        <f t="shared" si="463"/>
        <v>0</v>
      </c>
      <c r="AX510" s="10">
        <f t="shared" si="463"/>
        <v>0</v>
      </c>
      <c r="AY510" s="10">
        <f t="shared" si="463"/>
        <v>0</v>
      </c>
      <c r="AZ510" s="10">
        <f t="shared" si="463"/>
        <v>0</v>
      </c>
      <c r="BA510" s="10">
        <f t="shared" si="463"/>
        <v>0</v>
      </c>
      <c r="BB510" s="10">
        <f t="shared" si="463"/>
        <v>0</v>
      </c>
      <c r="BC510" s="10">
        <f t="shared" si="463"/>
        <v>0</v>
      </c>
      <c r="BD510" s="10">
        <f t="shared" si="463"/>
        <v>0</v>
      </c>
      <c r="BE510" s="10">
        <f t="shared" si="463"/>
        <v>0</v>
      </c>
      <c r="BF510" s="10">
        <f t="shared" si="463"/>
        <v>0</v>
      </c>
      <c r="BG510" s="10">
        <f t="shared" si="463"/>
        <v>0</v>
      </c>
      <c r="BH510" s="10">
        <f t="shared" si="463"/>
        <v>0</v>
      </c>
      <c r="BI510" s="10">
        <f t="shared" si="463"/>
        <v>0</v>
      </c>
      <c r="BJ510" s="10">
        <f t="shared" si="463"/>
        <v>0</v>
      </c>
      <c r="BK510" s="10">
        <f t="shared" si="463"/>
        <v>0</v>
      </c>
      <c r="BL510" s="10">
        <f t="shared" si="463"/>
        <v>0</v>
      </c>
      <c r="BM510" s="10">
        <f t="shared" si="463"/>
        <v>0</v>
      </c>
      <c r="BN510" s="10">
        <f t="shared" si="463"/>
        <v>0</v>
      </c>
      <c r="BO510" s="10">
        <f t="shared" si="463"/>
        <v>0</v>
      </c>
      <c r="BP510" s="10">
        <f t="shared" si="463"/>
        <v>0</v>
      </c>
      <c r="BQ510" s="10">
        <f t="shared" si="463"/>
        <v>0</v>
      </c>
      <c r="BR510" s="10">
        <f t="shared" si="463"/>
        <v>0</v>
      </c>
      <c r="BS510" s="10">
        <f t="shared" si="463"/>
        <v>0</v>
      </c>
      <c r="BT510" s="10">
        <f t="shared" si="463"/>
        <v>0</v>
      </c>
      <c r="BU510" s="10">
        <f t="shared" si="463"/>
        <v>0</v>
      </c>
      <c r="BV510" s="10">
        <f t="shared" si="463"/>
        <v>0</v>
      </c>
      <c r="BX510" s="10">
        <f t="shared" ref="BX510:CI510" si="464">BX$80</f>
        <v>0</v>
      </c>
      <c r="BY510" s="10">
        <f t="shared" si="464"/>
        <v>0</v>
      </c>
      <c r="BZ510" s="10">
        <f t="shared" si="464"/>
        <v>0</v>
      </c>
      <c r="CA510" s="10">
        <f t="shared" si="464"/>
        <v>0</v>
      </c>
      <c r="CB510" s="10">
        <f t="shared" si="464"/>
        <v>0</v>
      </c>
      <c r="CC510" s="10">
        <f t="shared" si="464"/>
        <v>0</v>
      </c>
      <c r="CD510" s="10">
        <f t="shared" si="464"/>
        <v>0</v>
      </c>
      <c r="CE510" s="10">
        <f t="shared" si="464"/>
        <v>0</v>
      </c>
      <c r="CF510" s="10">
        <f t="shared" si="464"/>
        <v>0</v>
      </c>
      <c r="CG510" s="10">
        <f t="shared" si="464"/>
        <v>0</v>
      </c>
      <c r="CH510" s="10">
        <f t="shared" si="464"/>
        <v>0</v>
      </c>
      <c r="CI510" s="10">
        <f t="shared" si="464"/>
        <v>0</v>
      </c>
      <c r="CK510" s="11"/>
      <c r="CM510" s="11"/>
      <c r="DF510" s="11"/>
      <c r="EY510" s="10" t="str">
        <f t="shared" si="448"/>
        <v/>
      </c>
    </row>
    <row r="511" spans="1:155" x14ac:dyDescent="0.35">
      <c r="B511" s="69" t="str" cm="1">
        <f t="array" aca="1" ref="B511" ca="1">HYPERLINK(CONCATENATE("#",CELL("address",$D$94)),$D$94)</f>
        <v>Loan 3</v>
      </c>
      <c r="C511" s="211"/>
      <c r="D511" s="49">
        <f>D$15</f>
        <v>0</v>
      </c>
      <c r="E511" s="49" t="str">
        <f>F$15</f>
        <v/>
      </c>
      <c r="F511" s="49"/>
      <c r="H511" s="9" t="s">
        <v>1074</v>
      </c>
      <c r="I511" s="40" t="s">
        <v>1079</v>
      </c>
      <c r="V511" s="133">
        <f>V$99</f>
        <v>0</v>
      </c>
      <c r="W511" s="10">
        <f>W$99</f>
        <v>0</v>
      </c>
      <c r="X511" s="10">
        <f>X$99</f>
        <v>0</v>
      </c>
      <c r="Y511" s="10">
        <f>Y$99</f>
        <v>0</v>
      </c>
      <c r="AA511" s="10">
        <f t="shared" ref="AA511:BV511" si="465">AA$99</f>
        <v>0</v>
      </c>
      <c r="AB511" s="10">
        <f t="shared" si="465"/>
        <v>0</v>
      </c>
      <c r="AC511" s="10">
        <f t="shared" si="465"/>
        <v>0</v>
      </c>
      <c r="AD511" s="10">
        <f t="shared" si="465"/>
        <v>0</v>
      </c>
      <c r="AE511" s="10">
        <f t="shared" si="465"/>
        <v>0</v>
      </c>
      <c r="AF511" s="10">
        <f t="shared" si="465"/>
        <v>0</v>
      </c>
      <c r="AG511" s="10">
        <f t="shared" si="465"/>
        <v>0</v>
      </c>
      <c r="AH511" s="10">
        <f t="shared" si="465"/>
        <v>0</v>
      </c>
      <c r="AI511" s="10">
        <f t="shared" si="465"/>
        <v>0</v>
      </c>
      <c r="AJ511" s="10">
        <f t="shared" si="465"/>
        <v>0</v>
      </c>
      <c r="AK511" s="10">
        <f t="shared" si="465"/>
        <v>0</v>
      </c>
      <c r="AL511" s="10">
        <f t="shared" si="465"/>
        <v>0</v>
      </c>
      <c r="AM511" s="10">
        <f t="shared" si="465"/>
        <v>0</v>
      </c>
      <c r="AN511" s="10">
        <f t="shared" si="465"/>
        <v>0</v>
      </c>
      <c r="AO511" s="10">
        <f t="shared" si="465"/>
        <v>0</v>
      </c>
      <c r="AP511" s="10">
        <f t="shared" si="465"/>
        <v>0</v>
      </c>
      <c r="AQ511" s="10">
        <f t="shared" si="465"/>
        <v>0</v>
      </c>
      <c r="AR511" s="10">
        <f t="shared" si="465"/>
        <v>0</v>
      </c>
      <c r="AS511" s="10">
        <f t="shared" si="465"/>
        <v>0</v>
      </c>
      <c r="AT511" s="10">
        <f t="shared" si="465"/>
        <v>0</v>
      </c>
      <c r="AU511" s="10">
        <f t="shared" si="465"/>
        <v>0</v>
      </c>
      <c r="AV511" s="10">
        <f t="shared" si="465"/>
        <v>0</v>
      </c>
      <c r="AW511" s="10">
        <f t="shared" si="465"/>
        <v>0</v>
      </c>
      <c r="AX511" s="10">
        <f t="shared" si="465"/>
        <v>0</v>
      </c>
      <c r="AY511" s="10">
        <f t="shared" si="465"/>
        <v>0</v>
      </c>
      <c r="AZ511" s="10">
        <f t="shared" si="465"/>
        <v>0</v>
      </c>
      <c r="BA511" s="10">
        <f t="shared" si="465"/>
        <v>0</v>
      </c>
      <c r="BB511" s="10">
        <f t="shared" si="465"/>
        <v>0</v>
      </c>
      <c r="BC511" s="10">
        <f t="shared" si="465"/>
        <v>0</v>
      </c>
      <c r="BD511" s="10">
        <f t="shared" si="465"/>
        <v>0</v>
      </c>
      <c r="BE511" s="10">
        <f t="shared" si="465"/>
        <v>0</v>
      </c>
      <c r="BF511" s="10">
        <f t="shared" si="465"/>
        <v>0</v>
      </c>
      <c r="BG511" s="10">
        <f t="shared" si="465"/>
        <v>0</v>
      </c>
      <c r="BH511" s="10">
        <f t="shared" si="465"/>
        <v>0</v>
      </c>
      <c r="BI511" s="10">
        <f t="shared" si="465"/>
        <v>0</v>
      </c>
      <c r="BJ511" s="10">
        <f t="shared" si="465"/>
        <v>0</v>
      </c>
      <c r="BK511" s="10">
        <f t="shared" si="465"/>
        <v>0</v>
      </c>
      <c r="BL511" s="10">
        <f t="shared" si="465"/>
        <v>0</v>
      </c>
      <c r="BM511" s="10">
        <f t="shared" si="465"/>
        <v>0</v>
      </c>
      <c r="BN511" s="10">
        <f t="shared" si="465"/>
        <v>0</v>
      </c>
      <c r="BO511" s="10">
        <f t="shared" si="465"/>
        <v>0</v>
      </c>
      <c r="BP511" s="10">
        <f t="shared" si="465"/>
        <v>0</v>
      </c>
      <c r="BQ511" s="10">
        <f t="shared" si="465"/>
        <v>0</v>
      </c>
      <c r="BR511" s="10">
        <f t="shared" si="465"/>
        <v>0</v>
      </c>
      <c r="BS511" s="10">
        <f t="shared" si="465"/>
        <v>0</v>
      </c>
      <c r="BT511" s="10">
        <f t="shared" si="465"/>
        <v>0</v>
      </c>
      <c r="BU511" s="10">
        <f t="shared" si="465"/>
        <v>0</v>
      </c>
      <c r="BV511" s="10">
        <f t="shared" si="465"/>
        <v>0</v>
      </c>
      <c r="BX511" s="10">
        <f t="shared" ref="BX511:CI511" si="466">BX$99</f>
        <v>0</v>
      </c>
      <c r="BY511" s="10">
        <f t="shared" si="466"/>
        <v>0</v>
      </c>
      <c r="BZ511" s="10">
        <f t="shared" si="466"/>
        <v>0</v>
      </c>
      <c r="CA511" s="10">
        <f t="shared" si="466"/>
        <v>0</v>
      </c>
      <c r="CB511" s="10">
        <f t="shared" si="466"/>
        <v>0</v>
      </c>
      <c r="CC511" s="10">
        <f t="shared" si="466"/>
        <v>0</v>
      </c>
      <c r="CD511" s="10">
        <f t="shared" si="466"/>
        <v>0</v>
      </c>
      <c r="CE511" s="10">
        <f t="shared" si="466"/>
        <v>0</v>
      </c>
      <c r="CF511" s="10">
        <f t="shared" si="466"/>
        <v>0</v>
      </c>
      <c r="CG511" s="10">
        <f t="shared" si="466"/>
        <v>0</v>
      </c>
      <c r="CH511" s="10">
        <f t="shared" si="466"/>
        <v>0</v>
      </c>
      <c r="CI511" s="10">
        <f t="shared" si="466"/>
        <v>0</v>
      </c>
      <c r="CK511" s="11"/>
      <c r="CM511" s="11"/>
      <c r="DF511" s="11"/>
      <c r="EY511" s="10" t="str">
        <f t="shared" si="448"/>
        <v/>
      </c>
    </row>
    <row r="512" spans="1:155" x14ac:dyDescent="0.35">
      <c r="B512" s="69" t="str" cm="1">
        <f t="array" aca="1" ref="B512" ca="1">HYPERLINK(CONCATENATE("#",CELL("address",$D$113)),$D$113)</f>
        <v>Loan 4</v>
      </c>
      <c r="C512" s="211"/>
      <c r="D512" s="49">
        <f>D$16</f>
        <v>0</v>
      </c>
      <c r="E512" s="49" t="str">
        <f>F$16</f>
        <v/>
      </c>
      <c r="F512" s="49"/>
      <c r="H512" s="9" t="s">
        <v>1074</v>
      </c>
      <c r="I512" s="40" t="s">
        <v>1079</v>
      </c>
      <c r="V512" s="133">
        <f>V$118</f>
        <v>0</v>
      </c>
      <c r="W512" s="10">
        <f>W$118</f>
        <v>0</v>
      </c>
      <c r="X512" s="10">
        <f>X$118</f>
        <v>0</v>
      </c>
      <c r="Y512" s="10">
        <f>Y$118</f>
        <v>0</v>
      </c>
      <c r="AA512" s="10">
        <f t="shared" ref="AA512:BV512" si="467">AA$118</f>
        <v>0</v>
      </c>
      <c r="AB512" s="10">
        <f t="shared" si="467"/>
        <v>0</v>
      </c>
      <c r="AC512" s="10">
        <f t="shared" si="467"/>
        <v>0</v>
      </c>
      <c r="AD512" s="10">
        <f t="shared" si="467"/>
        <v>0</v>
      </c>
      <c r="AE512" s="10">
        <f t="shared" si="467"/>
        <v>0</v>
      </c>
      <c r="AF512" s="10">
        <f t="shared" si="467"/>
        <v>0</v>
      </c>
      <c r="AG512" s="10">
        <f t="shared" si="467"/>
        <v>0</v>
      </c>
      <c r="AH512" s="10">
        <f t="shared" si="467"/>
        <v>0</v>
      </c>
      <c r="AI512" s="10">
        <f t="shared" si="467"/>
        <v>0</v>
      </c>
      <c r="AJ512" s="10">
        <f t="shared" si="467"/>
        <v>0</v>
      </c>
      <c r="AK512" s="10">
        <f t="shared" si="467"/>
        <v>0</v>
      </c>
      <c r="AL512" s="10">
        <f t="shared" si="467"/>
        <v>0</v>
      </c>
      <c r="AM512" s="10">
        <f t="shared" si="467"/>
        <v>0</v>
      </c>
      <c r="AN512" s="10">
        <f t="shared" si="467"/>
        <v>0</v>
      </c>
      <c r="AO512" s="10">
        <f t="shared" si="467"/>
        <v>0</v>
      </c>
      <c r="AP512" s="10">
        <f t="shared" si="467"/>
        <v>0</v>
      </c>
      <c r="AQ512" s="10">
        <f t="shared" si="467"/>
        <v>0</v>
      </c>
      <c r="AR512" s="10">
        <f t="shared" si="467"/>
        <v>0</v>
      </c>
      <c r="AS512" s="10">
        <f t="shared" si="467"/>
        <v>0</v>
      </c>
      <c r="AT512" s="10">
        <f t="shared" si="467"/>
        <v>0</v>
      </c>
      <c r="AU512" s="10">
        <f t="shared" si="467"/>
        <v>0</v>
      </c>
      <c r="AV512" s="10">
        <f t="shared" si="467"/>
        <v>0</v>
      </c>
      <c r="AW512" s="10">
        <f t="shared" si="467"/>
        <v>0</v>
      </c>
      <c r="AX512" s="10">
        <f t="shared" si="467"/>
        <v>0</v>
      </c>
      <c r="AY512" s="10">
        <f t="shared" si="467"/>
        <v>0</v>
      </c>
      <c r="AZ512" s="10">
        <f t="shared" si="467"/>
        <v>0</v>
      </c>
      <c r="BA512" s="10">
        <f t="shared" si="467"/>
        <v>0</v>
      </c>
      <c r="BB512" s="10">
        <f t="shared" si="467"/>
        <v>0</v>
      </c>
      <c r="BC512" s="10">
        <f t="shared" si="467"/>
        <v>0</v>
      </c>
      <c r="BD512" s="10">
        <f t="shared" si="467"/>
        <v>0</v>
      </c>
      <c r="BE512" s="10">
        <f t="shared" si="467"/>
        <v>0</v>
      </c>
      <c r="BF512" s="10">
        <f t="shared" si="467"/>
        <v>0</v>
      </c>
      <c r="BG512" s="10">
        <f t="shared" si="467"/>
        <v>0</v>
      </c>
      <c r="BH512" s="10">
        <f t="shared" si="467"/>
        <v>0</v>
      </c>
      <c r="BI512" s="10">
        <f t="shared" si="467"/>
        <v>0</v>
      </c>
      <c r="BJ512" s="10">
        <f t="shared" si="467"/>
        <v>0</v>
      </c>
      <c r="BK512" s="10">
        <f t="shared" si="467"/>
        <v>0</v>
      </c>
      <c r="BL512" s="10">
        <f t="shared" si="467"/>
        <v>0</v>
      </c>
      <c r="BM512" s="10">
        <f t="shared" si="467"/>
        <v>0</v>
      </c>
      <c r="BN512" s="10">
        <f t="shared" si="467"/>
        <v>0</v>
      </c>
      <c r="BO512" s="10">
        <f t="shared" si="467"/>
        <v>0</v>
      </c>
      <c r="BP512" s="10">
        <f t="shared" si="467"/>
        <v>0</v>
      </c>
      <c r="BQ512" s="10">
        <f t="shared" si="467"/>
        <v>0</v>
      </c>
      <c r="BR512" s="10">
        <f t="shared" si="467"/>
        <v>0</v>
      </c>
      <c r="BS512" s="10">
        <f t="shared" si="467"/>
        <v>0</v>
      </c>
      <c r="BT512" s="10">
        <f t="shared" si="467"/>
        <v>0</v>
      </c>
      <c r="BU512" s="10">
        <f t="shared" si="467"/>
        <v>0</v>
      </c>
      <c r="BV512" s="10">
        <f t="shared" si="467"/>
        <v>0</v>
      </c>
      <c r="BX512" s="10">
        <f t="shared" ref="BX512:CI512" si="468">BX$118</f>
        <v>0</v>
      </c>
      <c r="BY512" s="10">
        <f t="shared" si="468"/>
        <v>0</v>
      </c>
      <c r="BZ512" s="10">
        <f t="shared" si="468"/>
        <v>0</v>
      </c>
      <c r="CA512" s="10">
        <f t="shared" si="468"/>
        <v>0</v>
      </c>
      <c r="CB512" s="10">
        <f t="shared" si="468"/>
        <v>0</v>
      </c>
      <c r="CC512" s="10">
        <f t="shared" si="468"/>
        <v>0</v>
      </c>
      <c r="CD512" s="10">
        <f t="shared" si="468"/>
        <v>0</v>
      </c>
      <c r="CE512" s="10">
        <f t="shared" si="468"/>
        <v>0</v>
      </c>
      <c r="CF512" s="10">
        <f t="shared" si="468"/>
        <v>0</v>
      </c>
      <c r="CG512" s="10">
        <f t="shared" si="468"/>
        <v>0</v>
      </c>
      <c r="CH512" s="10">
        <f t="shared" si="468"/>
        <v>0</v>
      </c>
      <c r="CI512" s="10">
        <f t="shared" si="468"/>
        <v>0</v>
      </c>
      <c r="CK512" s="11"/>
      <c r="CM512" s="11"/>
      <c r="DF512" s="11"/>
      <c r="EY512" s="10" t="str">
        <f t="shared" si="448"/>
        <v/>
      </c>
    </row>
    <row r="513" spans="1:155" x14ac:dyDescent="0.35">
      <c r="B513" s="69" t="str" cm="1">
        <f t="array" aca="1" ref="B513" ca="1">HYPERLINK(CONCATENATE("#",CELL("address",$D$132)),$D$132)</f>
        <v>Loan 5</v>
      </c>
      <c r="C513" s="211"/>
      <c r="D513" s="49">
        <f>D$17</f>
        <v>0</v>
      </c>
      <c r="E513" s="49" t="str">
        <f>F$17</f>
        <v/>
      </c>
      <c r="F513" s="49"/>
      <c r="H513" s="9" t="s">
        <v>1074</v>
      </c>
      <c r="I513" s="40" t="s">
        <v>1079</v>
      </c>
      <c r="V513" s="133">
        <f>V$137</f>
        <v>0</v>
      </c>
      <c r="W513" s="10">
        <f>W$137</f>
        <v>0</v>
      </c>
      <c r="X513" s="10">
        <f>X$137</f>
        <v>0</v>
      </c>
      <c r="Y513" s="10">
        <f>Y$137</f>
        <v>0</v>
      </c>
      <c r="AA513" s="10">
        <f t="shared" ref="AA513:BV513" si="469">AA$137</f>
        <v>0</v>
      </c>
      <c r="AB513" s="10">
        <f t="shared" si="469"/>
        <v>0</v>
      </c>
      <c r="AC513" s="10">
        <f t="shared" si="469"/>
        <v>0</v>
      </c>
      <c r="AD513" s="10">
        <f t="shared" si="469"/>
        <v>0</v>
      </c>
      <c r="AE513" s="10">
        <f t="shared" si="469"/>
        <v>0</v>
      </c>
      <c r="AF513" s="10">
        <f t="shared" si="469"/>
        <v>0</v>
      </c>
      <c r="AG513" s="10">
        <f t="shared" si="469"/>
        <v>0</v>
      </c>
      <c r="AH513" s="10">
        <f t="shared" si="469"/>
        <v>0</v>
      </c>
      <c r="AI513" s="10">
        <f t="shared" si="469"/>
        <v>0</v>
      </c>
      <c r="AJ513" s="10">
        <f t="shared" si="469"/>
        <v>0</v>
      </c>
      <c r="AK513" s="10">
        <f t="shared" si="469"/>
        <v>0</v>
      </c>
      <c r="AL513" s="10">
        <f t="shared" si="469"/>
        <v>0</v>
      </c>
      <c r="AM513" s="10">
        <f t="shared" si="469"/>
        <v>0</v>
      </c>
      <c r="AN513" s="10">
        <f t="shared" si="469"/>
        <v>0</v>
      </c>
      <c r="AO513" s="10">
        <f t="shared" si="469"/>
        <v>0</v>
      </c>
      <c r="AP513" s="10">
        <f t="shared" si="469"/>
        <v>0</v>
      </c>
      <c r="AQ513" s="10">
        <f t="shared" si="469"/>
        <v>0</v>
      </c>
      <c r="AR513" s="10">
        <f t="shared" si="469"/>
        <v>0</v>
      </c>
      <c r="AS513" s="10">
        <f t="shared" si="469"/>
        <v>0</v>
      </c>
      <c r="AT513" s="10">
        <f t="shared" si="469"/>
        <v>0</v>
      </c>
      <c r="AU513" s="10">
        <f t="shared" si="469"/>
        <v>0</v>
      </c>
      <c r="AV513" s="10">
        <f t="shared" si="469"/>
        <v>0</v>
      </c>
      <c r="AW513" s="10">
        <f t="shared" si="469"/>
        <v>0</v>
      </c>
      <c r="AX513" s="10">
        <f t="shared" si="469"/>
        <v>0</v>
      </c>
      <c r="AY513" s="10">
        <f t="shared" si="469"/>
        <v>0</v>
      </c>
      <c r="AZ513" s="10">
        <f t="shared" si="469"/>
        <v>0</v>
      </c>
      <c r="BA513" s="10">
        <f t="shared" si="469"/>
        <v>0</v>
      </c>
      <c r="BB513" s="10">
        <f t="shared" si="469"/>
        <v>0</v>
      </c>
      <c r="BC513" s="10">
        <f t="shared" si="469"/>
        <v>0</v>
      </c>
      <c r="BD513" s="10">
        <f t="shared" si="469"/>
        <v>0</v>
      </c>
      <c r="BE513" s="10">
        <f t="shared" si="469"/>
        <v>0</v>
      </c>
      <c r="BF513" s="10">
        <f t="shared" si="469"/>
        <v>0</v>
      </c>
      <c r="BG513" s="10">
        <f t="shared" si="469"/>
        <v>0</v>
      </c>
      <c r="BH513" s="10">
        <f t="shared" si="469"/>
        <v>0</v>
      </c>
      <c r="BI513" s="10">
        <f t="shared" si="469"/>
        <v>0</v>
      </c>
      <c r="BJ513" s="10">
        <f t="shared" si="469"/>
        <v>0</v>
      </c>
      <c r="BK513" s="10">
        <f t="shared" si="469"/>
        <v>0</v>
      </c>
      <c r="BL513" s="10">
        <f t="shared" si="469"/>
        <v>0</v>
      </c>
      <c r="BM513" s="10">
        <f t="shared" si="469"/>
        <v>0</v>
      </c>
      <c r="BN513" s="10">
        <f t="shared" si="469"/>
        <v>0</v>
      </c>
      <c r="BO513" s="10">
        <f t="shared" si="469"/>
        <v>0</v>
      </c>
      <c r="BP513" s="10">
        <f t="shared" si="469"/>
        <v>0</v>
      </c>
      <c r="BQ513" s="10">
        <f t="shared" si="469"/>
        <v>0</v>
      </c>
      <c r="BR513" s="10">
        <f t="shared" si="469"/>
        <v>0</v>
      </c>
      <c r="BS513" s="10">
        <f t="shared" si="469"/>
        <v>0</v>
      </c>
      <c r="BT513" s="10">
        <f t="shared" si="469"/>
        <v>0</v>
      </c>
      <c r="BU513" s="10">
        <f t="shared" si="469"/>
        <v>0</v>
      </c>
      <c r="BV513" s="10">
        <f t="shared" si="469"/>
        <v>0</v>
      </c>
      <c r="BX513" s="10">
        <f t="shared" ref="BX513:CI513" si="470">BX$137</f>
        <v>0</v>
      </c>
      <c r="BY513" s="10">
        <f t="shared" si="470"/>
        <v>0</v>
      </c>
      <c r="BZ513" s="10">
        <f t="shared" si="470"/>
        <v>0</v>
      </c>
      <c r="CA513" s="10">
        <f t="shared" si="470"/>
        <v>0</v>
      </c>
      <c r="CB513" s="10">
        <f t="shared" si="470"/>
        <v>0</v>
      </c>
      <c r="CC513" s="10">
        <f t="shared" si="470"/>
        <v>0</v>
      </c>
      <c r="CD513" s="10">
        <f t="shared" si="470"/>
        <v>0</v>
      </c>
      <c r="CE513" s="10">
        <f t="shared" si="470"/>
        <v>0</v>
      </c>
      <c r="CF513" s="10">
        <f t="shared" si="470"/>
        <v>0</v>
      </c>
      <c r="CG513" s="10">
        <f t="shared" si="470"/>
        <v>0</v>
      </c>
      <c r="CH513" s="10">
        <f t="shared" si="470"/>
        <v>0</v>
      </c>
      <c r="CI513" s="10">
        <f t="shared" si="470"/>
        <v>0</v>
      </c>
      <c r="CK513" s="11"/>
      <c r="CM513" s="11"/>
      <c r="DF513" s="11"/>
      <c r="EY513" s="10" t="str">
        <f t="shared" si="448"/>
        <v/>
      </c>
    </row>
    <row r="514" spans="1:155" x14ac:dyDescent="0.35">
      <c r="B514" s="69" t="str" cm="1">
        <f t="array" aca="1" ref="B514" ca="1">HYPERLINK(CONCATENATE("#",CELL("address",$D$151)),$D$151)</f>
        <v>Loan 6</v>
      </c>
      <c r="C514" s="211"/>
      <c r="D514" s="49">
        <f>D$18</f>
        <v>0</v>
      </c>
      <c r="E514" s="49" t="str">
        <f>F$18</f>
        <v/>
      </c>
      <c r="F514" s="49"/>
      <c r="H514" s="9" t="s">
        <v>1074</v>
      </c>
      <c r="I514" s="40" t="s">
        <v>1079</v>
      </c>
      <c r="V514" s="133">
        <f>V$156</f>
        <v>0</v>
      </c>
      <c r="W514" s="10">
        <f>W$156</f>
        <v>0</v>
      </c>
      <c r="X514" s="10">
        <f>X$156</f>
        <v>0</v>
      </c>
      <c r="Y514" s="10">
        <f>Y$156</f>
        <v>0</v>
      </c>
      <c r="AA514" s="10">
        <f t="shared" ref="AA514:BV514" si="471">AA$156</f>
        <v>0</v>
      </c>
      <c r="AB514" s="10">
        <f t="shared" si="471"/>
        <v>0</v>
      </c>
      <c r="AC514" s="10">
        <f t="shared" si="471"/>
        <v>0</v>
      </c>
      <c r="AD514" s="10">
        <f t="shared" si="471"/>
        <v>0</v>
      </c>
      <c r="AE514" s="10">
        <f t="shared" si="471"/>
        <v>0</v>
      </c>
      <c r="AF514" s="10">
        <f t="shared" si="471"/>
        <v>0</v>
      </c>
      <c r="AG514" s="10">
        <f t="shared" si="471"/>
        <v>0</v>
      </c>
      <c r="AH514" s="10">
        <f t="shared" si="471"/>
        <v>0</v>
      </c>
      <c r="AI514" s="10">
        <f t="shared" si="471"/>
        <v>0</v>
      </c>
      <c r="AJ514" s="10">
        <f t="shared" si="471"/>
        <v>0</v>
      </c>
      <c r="AK514" s="10">
        <f t="shared" si="471"/>
        <v>0</v>
      </c>
      <c r="AL514" s="10">
        <f t="shared" si="471"/>
        <v>0</v>
      </c>
      <c r="AM514" s="10">
        <f t="shared" si="471"/>
        <v>0</v>
      </c>
      <c r="AN514" s="10">
        <f t="shared" si="471"/>
        <v>0</v>
      </c>
      <c r="AO514" s="10">
        <f t="shared" si="471"/>
        <v>0</v>
      </c>
      <c r="AP514" s="10">
        <f t="shared" si="471"/>
        <v>0</v>
      </c>
      <c r="AQ514" s="10">
        <f t="shared" si="471"/>
        <v>0</v>
      </c>
      <c r="AR514" s="10">
        <f t="shared" si="471"/>
        <v>0</v>
      </c>
      <c r="AS514" s="10">
        <f t="shared" si="471"/>
        <v>0</v>
      </c>
      <c r="AT514" s="10">
        <f t="shared" si="471"/>
        <v>0</v>
      </c>
      <c r="AU514" s="10">
        <f t="shared" si="471"/>
        <v>0</v>
      </c>
      <c r="AV514" s="10">
        <f t="shared" si="471"/>
        <v>0</v>
      </c>
      <c r="AW514" s="10">
        <f t="shared" si="471"/>
        <v>0</v>
      </c>
      <c r="AX514" s="10">
        <f t="shared" si="471"/>
        <v>0</v>
      </c>
      <c r="AY514" s="10">
        <f t="shared" si="471"/>
        <v>0</v>
      </c>
      <c r="AZ514" s="10">
        <f t="shared" si="471"/>
        <v>0</v>
      </c>
      <c r="BA514" s="10">
        <f t="shared" si="471"/>
        <v>0</v>
      </c>
      <c r="BB514" s="10">
        <f t="shared" si="471"/>
        <v>0</v>
      </c>
      <c r="BC514" s="10">
        <f t="shared" si="471"/>
        <v>0</v>
      </c>
      <c r="BD514" s="10">
        <f t="shared" si="471"/>
        <v>0</v>
      </c>
      <c r="BE514" s="10">
        <f t="shared" si="471"/>
        <v>0</v>
      </c>
      <c r="BF514" s="10">
        <f t="shared" si="471"/>
        <v>0</v>
      </c>
      <c r="BG514" s="10">
        <f t="shared" si="471"/>
        <v>0</v>
      </c>
      <c r="BH514" s="10">
        <f t="shared" si="471"/>
        <v>0</v>
      </c>
      <c r="BI514" s="10">
        <f t="shared" si="471"/>
        <v>0</v>
      </c>
      <c r="BJ514" s="10">
        <f t="shared" si="471"/>
        <v>0</v>
      </c>
      <c r="BK514" s="10">
        <f t="shared" si="471"/>
        <v>0</v>
      </c>
      <c r="BL514" s="10">
        <f t="shared" si="471"/>
        <v>0</v>
      </c>
      <c r="BM514" s="10">
        <f t="shared" si="471"/>
        <v>0</v>
      </c>
      <c r="BN514" s="10">
        <f t="shared" si="471"/>
        <v>0</v>
      </c>
      <c r="BO514" s="10">
        <f t="shared" si="471"/>
        <v>0</v>
      </c>
      <c r="BP514" s="10">
        <f t="shared" si="471"/>
        <v>0</v>
      </c>
      <c r="BQ514" s="10">
        <f t="shared" si="471"/>
        <v>0</v>
      </c>
      <c r="BR514" s="10">
        <f t="shared" si="471"/>
        <v>0</v>
      </c>
      <c r="BS514" s="10">
        <f t="shared" si="471"/>
        <v>0</v>
      </c>
      <c r="BT514" s="10">
        <f t="shared" si="471"/>
        <v>0</v>
      </c>
      <c r="BU514" s="10">
        <f t="shared" si="471"/>
        <v>0</v>
      </c>
      <c r="BV514" s="10">
        <f t="shared" si="471"/>
        <v>0</v>
      </c>
      <c r="BX514" s="10">
        <f t="shared" ref="BX514:CI514" si="472">BX$156</f>
        <v>0</v>
      </c>
      <c r="BY514" s="10">
        <f t="shared" si="472"/>
        <v>0</v>
      </c>
      <c r="BZ514" s="10">
        <f t="shared" si="472"/>
        <v>0</v>
      </c>
      <c r="CA514" s="10">
        <f t="shared" si="472"/>
        <v>0</v>
      </c>
      <c r="CB514" s="10">
        <f t="shared" si="472"/>
        <v>0</v>
      </c>
      <c r="CC514" s="10">
        <f t="shared" si="472"/>
        <v>0</v>
      </c>
      <c r="CD514" s="10">
        <f t="shared" si="472"/>
        <v>0</v>
      </c>
      <c r="CE514" s="10">
        <f t="shared" si="472"/>
        <v>0</v>
      </c>
      <c r="CF514" s="10">
        <f t="shared" si="472"/>
        <v>0</v>
      </c>
      <c r="CG514" s="10">
        <f t="shared" si="472"/>
        <v>0</v>
      </c>
      <c r="CH514" s="10">
        <f t="shared" si="472"/>
        <v>0</v>
      </c>
      <c r="CI514" s="10">
        <f t="shared" si="472"/>
        <v>0</v>
      </c>
      <c r="CK514" s="11"/>
      <c r="CM514" s="11"/>
      <c r="DF514" s="11"/>
      <c r="EY514" s="10" t="str">
        <f t="shared" si="448"/>
        <v/>
      </c>
    </row>
    <row r="515" spans="1:155" x14ac:dyDescent="0.35">
      <c r="B515" s="69" t="str" cm="1">
        <f t="array" aca="1" ref="B515" ca="1">HYPERLINK(CONCATENATE("#",CELL("address",$D$170)),$D$170)</f>
        <v>Loan 7</v>
      </c>
      <c r="C515" s="211"/>
      <c r="D515" s="49">
        <f>D$19</f>
        <v>0</v>
      </c>
      <c r="E515" s="49" t="str">
        <f>F$19</f>
        <v/>
      </c>
      <c r="F515" s="49"/>
      <c r="H515" s="9" t="s">
        <v>1074</v>
      </c>
      <c r="I515" s="40" t="s">
        <v>1079</v>
      </c>
      <c r="V515" s="133">
        <f>V$175</f>
        <v>0</v>
      </c>
      <c r="W515" s="10">
        <f>W$175</f>
        <v>0</v>
      </c>
      <c r="X515" s="10">
        <f>X$175</f>
        <v>0</v>
      </c>
      <c r="Y515" s="10">
        <f>Y$175</f>
        <v>0</v>
      </c>
      <c r="AA515" s="10">
        <f t="shared" ref="AA515:BV515" si="473">AA$175</f>
        <v>0</v>
      </c>
      <c r="AB515" s="10">
        <f t="shared" si="473"/>
        <v>0</v>
      </c>
      <c r="AC515" s="10">
        <f t="shared" si="473"/>
        <v>0</v>
      </c>
      <c r="AD515" s="10">
        <f t="shared" si="473"/>
        <v>0</v>
      </c>
      <c r="AE515" s="10">
        <f t="shared" si="473"/>
        <v>0</v>
      </c>
      <c r="AF515" s="10">
        <f t="shared" si="473"/>
        <v>0</v>
      </c>
      <c r="AG515" s="10">
        <f t="shared" si="473"/>
        <v>0</v>
      </c>
      <c r="AH515" s="10">
        <f t="shared" si="473"/>
        <v>0</v>
      </c>
      <c r="AI515" s="10">
        <f t="shared" si="473"/>
        <v>0</v>
      </c>
      <c r="AJ515" s="10">
        <f t="shared" si="473"/>
        <v>0</v>
      </c>
      <c r="AK515" s="10">
        <f t="shared" si="473"/>
        <v>0</v>
      </c>
      <c r="AL515" s="10">
        <f t="shared" si="473"/>
        <v>0</v>
      </c>
      <c r="AM515" s="10">
        <f t="shared" si="473"/>
        <v>0</v>
      </c>
      <c r="AN515" s="10">
        <f t="shared" si="473"/>
        <v>0</v>
      </c>
      <c r="AO515" s="10">
        <f t="shared" si="473"/>
        <v>0</v>
      </c>
      <c r="AP515" s="10">
        <f t="shared" si="473"/>
        <v>0</v>
      </c>
      <c r="AQ515" s="10">
        <f t="shared" si="473"/>
        <v>0</v>
      </c>
      <c r="AR515" s="10">
        <f t="shared" si="473"/>
        <v>0</v>
      </c>
      <c r="AS515" s="10">
        <f t="shared" si="473"/>
        <v>0</v>
      </c>
      <c r="AT515" s="10">
        <f t="shared" si="473"/>
        <v>0</v>
      </c>
      <c r="AU515" s="10">
        <f t="shared" si="473"/>
        <v>0</v>
      </c>
      <c r="AV515" s="10">
        <f t="shared" si="473"/>
        <v>0</v>
      </c>
      <c r="AW515" s="10">
        <f t="shared" si="473"/>
        <v>0</v>
      </c>
      <c r="AX515" s="10">
        <f t="shared" si="473"/>
        <v>0</v>
      </c>
      <c r="AY515" s="10">
        <f t="shared" si="473"/>
        <v>0</v>
      </c>
      <c r="AZ515" s="10">
        <f t="shared" si="473"/>
        <v>0</v>
      </c>
      <c r="BA515" s="10">
        <f t="shared" si="473"/>
        <v>0</v>
      </c>
      <c r="BB515" s="10">
        <f t="shared" si="473"/>
        <v>0</v>
      </c>
      <c r="BC515" s="10">
        <f t="shared" si="473"/>
        <v>0</v>
      </c>
      <c r="BD515" s="10">
        <f t="shared" si="473"/>
        <v>0</v>
      </c>
      <c r="BE515" s="10">
        <f t="shared" si="473"/>
        <v>0</v>
      </c>
      <c r="BF515" s="10">
        <f t="shared" si="473"/>
        <v>0</v>
      </c>
      <c r="BG515" s="10">
        <f t="shared" si="473"/>
        <v>0</v>
      </c>
      <c r="BH515" s="10">
        <f t="shared" si="473"/>
        <v>0</v>
      </c>
      <c r="BI515" s="10">
        <f t="shared" si="473"/>
        <v>0</v>
      </c>
      <c r="BJ515" s="10">
        <f t="shared" si="473"/>
        <v>0</v>
      </c>
      <c r="BK515" s="10">
        <f t="shared" si="473"/>
        <v>0</v>
      </c>
      <c r="BL515" s="10">
        <f t="shared" si="473"/>
        <v>0</v>
      </c>
      <c r="BM515" s="10">
        <f t="shared" si="473"/>
        <v>0</v>
      </c>
      <c r="BN515" s="10">
        <f t="shared" si="473"/>
        <v>0</v>
      </c>
      <c r="BO515" s="10">
        <f t="shared" si="473"/>
        <v>0</v>
      </c>
      <c r="BP515" s="10">
        <f t="shared" si="473"/>
        <v>0</v>
      </c>
      <c r="BQ515" s="10">
        <f t="shared" si="473"/>
        <v>0</v>
      </c>
      <c r="BR515" s="10">
        <f t="shared" si="473"/>
        <v>0</v>
      </c>
      <c r="BS515" s="10">
        <f t="shared" si="473"/>
        <v>0</v>
      </c>
      <c r="BT515" s="10">
        <f t="shared" si="473"/>
        <v>0</v>
      </c>
      <c r="BU515" s="10">
        <f t="shared" si="473"/>
        <v>0</v>
      </c>
      <c r="BV515" s="10">
        <f t="shared" si="473"/>
        <v>0</v>
      </c>
      <c r="BX515" s="10">
        <f t="shared" ref="BX515:CI515" si="474">BX$175</f>
        <v>0</v>
      </c>
      <c r="BY515" s="10">
        <f t="shared" si="474"/>
        <v>0</v>
      </c>
      <c r="BZ515" s="10">
        <f t="shared" si="474"/>
        <v>0</v>
      </c>
      <c r="CA515" s="10">
        <f t="shared" si="474"/>
        <v>0</v>
      </c>
      <c r="CB515" s="10">
        <f t="shared" si="474"/>
        <v>0</v>
      </c>
      <c r="CC515" s="10">
        <f t="shared" si="474"/>
        <v>0</v>
      </c>
      <c r="CD515" s="10">
        <f t="shared" si="474"/>
        <v>0</v>
      </c>
      <c r="CE515" s="10">
        <f t="shared" si="474"/>
        <v>0</v>
      </c>
      <c r="CF515" s="10">
        <f t="shared" si="474"/>
        <v>0</v>
      </c>
      <c r="CG515" s="10">
        <f t="shared" si="474"/>
        <v>0</v>
      </c>
      <c r="CH515" s="10">
        <f t="shared" si="474"/>
        <v>0</v>
      </c>
      <c r="CI515" s="10">
        <f t="shared" si="474"/>
        <v>0</v>
      </c>
      <c r="CK515" s="11"/>
      <c r="CM515" s="11"/>
      <c r="DF515" s="11"/>
      <c r="EY515" s="10" t="str">
        <f t="shared" si="448"/>
        <v/>
      </c>
    </row>
    <row r="516" spans="1:155" x14ac:dyDescent="0.35">
      <c r="B516" s="69" t="str" cm="1">
        <f t="array" aca="1" ref="B516" ca="1">HYPERLINK(CONCATENATE("#",CELL("address",$D$189)),$D$189)</f>
        <v>Loan 8</v>
      </c>
      <c r="C516" s="211"/>
      <c r="D516" s="49">
        <f>D$20</f>
        <v>0</v>
      </c>
      <c r="E516" s="49" t="str">
        <f>F$20</f>
        <v/>
      </c>
      <c r="F516" s="49"/>
      <c r="H516" s="9" t="s">
        <v>1074</v>
      </c>
      <c r="I516" s="40" t="s">
        <v>1079</v>
      </c>
      <c r="V516" s="133">
        <f>V$194</f>
        <v>0</v>
      </c>
      <c r="W516" s="10">
        <f>W$194</f>
        <v>0</v>
      </c>
      <c r="X516" s="10">
        <f>X$194</f>
        <v>0</v>
      </c>
      <c r="Y516" s="10">
        <f>Y$194</f>
        <v>0</v>
      </c>
      <c r="AA516" s="10">
        <f t="shared" ref="AA516:BV516" si="475">AA$194</f>
        <v>0</v>
      </c>
      <c r="AB516" s="10">
        <f t="shared" si="475"/>
        <v>0</v>
      </c>
      <c r="AC516" s="10">
        <f t="shared" si="475"/>
        <v>0</v>
      </c>
      <c r="AD516" s="10">
        <f t="shared" si="475"/>
        <v>0</v>
      </c>
      <c r="AE516" s="10">
        <f t="shared" si="475"/>
        <v>0</v>
      </c>
      <c r="AF516" s="10">
        <f t="shared" si="475"/>
        <v>0</v>
      </c>
      <c r="AG516" s="10">
        <f t="shared" si="475"/>
        <v>0</v>
      </c>
      <c r="AH516" s="10">
        <f t="shared" si="475"/>
        <v>0</v>
      </c>
      <c r="AI516" s="10">
        <f t="shared" si="475"/>
        <v>0</v>
      </c>
      <c r="AJ516" s="10">
        <f t="shared" si="475"/>
        <v>0</v>
      </c>
      <c r="AK516" s="10">
        <f t="shared" si="475"/>
        <v>0</v>
      </c>
      <c r="AL516" s="10">
        <f t="shared" si="475"/>
        <v>0</v>
      </c>
      <c r="AM516" s="10">
        <f t="shared" si="475"/>
        <v>0</v>
      </c>
      <c r="AN516" s="10">
        <f t="shared" si="475"/>
        <v>0</v>
      </c>
      <c r="AO516" s="10">
        <f t="shared" si="475"/>
        <v>0</v>
      </c>
      <c r="AP516" s="10">
        <f t="shared" si="475"/>
        <v>0</v>
      </c>
      <c r="AQ516" s="10">
        <f t="shared" si="475"/>
        <v>0</v>
      </c>
      <c r="AR516" s="10">
        <f t="shared" si="475"/>
        <v>0</v>
      </c>
      <c r="AS516" s="10">
        <f t="shared" si="475"/>
        <v>0</v>
      </c>
      <c r="AT516" s="10">
        <f t="shared" si="475"/>
        <v>0</v>
      </c>
      <c r="AU516" s="10">
        <f t="shared" si="475"/>
        <v>0</v>
      </c>
      <c r="AV516" s="10">
        <f t="shared" si="475"/>
        <v>0</v>
      </c>
      <c r="AW516" s="10">
        <f t="shared" si="475"/>
        <v>0</v>
      </c>
      <c r="AX516" s="10">
        <f t="shared" si="475"/>
        <v>0</v>
      </c>
      <c r="AY516" s="10">
        <f t="shared" si="475"/>
        <v>0</v>
      </c>
      <c r="AZ516" s="10">
        <f t="shared" si="475"/>
        <v>0</v>
      </c>
      <c r="BA516" s="10">
        <f t="shared" si="475"/>
        <v>0</v>
      </c>
      <c r="BB516" s="10">
        <f t="shared" si="475"/>
        <v>0</v>
      </c>
      <c r="BC516" s="10">
        <f t="shared" si="475"/>
        <v>0</v>
      </c>
      <c r="BD516" s="10">
        <f t="shared" si="475"/>
        <v>0</v>
      </c>
      <c r="BE516" s="10">
        <f t="shared" si="475"/>
        <v>0</v>
      </c>
      <c r="BF516" s="10">
        <f t="shared" si="475"/>
        <v>0</v>
      </c>
      <c r="BG516" s="10">
        <f t="shared" si="475"/>
        <v>0</v>
      </c>
      <c r="BH516" s="10">
        <f t="shared" si="475"/>
        <v>0</v>
      </c>
      <c r="BI516" s="10">
        <f t="shared" si="475"/>
        <v>0</v>
      </c>
      <c r="BJ516" s="10">
        <f t="shared" si="475"/>
        <v>0</v>
      </c>
      <c r="BK516" s="10">
        <f t="shared" si="475"/>
        <v>0</v>
      </c>
      <c r="BL516" s="10">
        <f t="shared" si="475"/>
        <v>0</v>
      </c>
      <c r="BM516" s="10">
        <f t="shared" si="475"/>
        <v>0</v>
      </c>
      <c r="BN516" s="10">
        <f t="shared" si="475"/>
        <v>0</v>
      </c>
      <c r="BO516" s="10">
        <f t="shared" si="475"/>
        <v>0</v>
      </c>
      <c r="BP516" s="10">
        <f t="shared" si="475"/>
        <v>0</v>
      </c>
      <c r="BQ516" s="10">
        <f t="shared" si="475"/>
        <v>0</v>
      </c>
      <c r="BR516" s="10">
        <f t="shared" si="475"/>
        <v>0</v>
      </c>
      <c r="BS516" s="10">
        <f t="shared" si="475"/>
        <v>0</v>
      </c>
      <c r="BT516" s="10">
        <f t="shared" si="475"/>
        <v>0</v>
      </c>
      <c r="BU516" s="10">
        <f t="shared" si="475"/>
        <v>0</v>
      </c>
      <c r="BV516" s="10">
        <f t="shared" si="475"/>
        <v>0</v>
      </c>
      <c r="BX516" s="10">
        <f t="shared" ref="BX516:CI516" si="476">BX$194</f>
        <v>0</v>
      </c>
      <c r="BY516" s="10">
        <f t="shared" si="476"/>
        <v>0</v>
      </c>
      <c r="BZ516" s="10">
        <f t="shared" si="476"/>
        <v>0</v>
      </c>
      <c r="CA516" s="10">
        <f t="shared" si="476"/>
        <v>0</v>
      </c>
      <c r="CB516" s="10">
        <f t="shared" si="476"/>
        <v>0</v>
      </c>
      <c r="CC516" s="10">
        <f t="shared" si="476"/>
        <v>0</v>
      </c>
      <c r="CD516" s="10">
        <f t="shared" si="476"/>
        <v>0</v>
      </c>
      <c r="CE516" s="10">
        <f t="shared" si="476"/>
        <v>0</v>
      </c>
      <c r="CF516" s="10">
        <f t="shared" si="476"/>
        <v>0</v>
      </c>
      <c r="CG516" s="10">
        <f t="shared" si="476"/>
        <v>0</v>
      </c>
      <c r="CH516" s="10">
        <f t="shared" si="476"/>
        <v>0</v>
      </c>
      <c r="CI516" s="10">
        <f t="shared" si="476"/>
        <v>0</v>
      </c>
      <c r="CK516" s="11"/>
      <c r="CM516" s="11"/>
      <c r="DF516" s="11"/>
      <c r="EY516" s="10" t="str">
        <f t="shared" si="448"/>
        <v/>
      </c>
    </row>
    <row r="517" spans="1:155" x14ac:dyDescent="0.35">
      <c r="B517" s="69" t="str" cm="1">
        <f t="array" aca="1" ref="B517" ca="1">HYPERLINK(CONCATENATE("#",CELL("address",$D$208)),$D$208)</f>
        <v>Loan 9</v>
      </c>
      <c r="C517" s="211"/>
      <c r="D517" s="49">
        <f>D$21</f>
        <v>0</v>
      </c>
      <c r="E517" s="49" t="str">
        <f>F$21</f>
        <v/>
      </c>
      <c r="F517" s="49"/>
      <c r="H517" s="9" t="s">
        <v>1074</v>
      </c>
      <c r="I517" s="40" t="s">
        <v>1079</v>
      </c>
      <c r="V517" s="133">
        <f>V$213</f>
        <v>0</v>
      </c>
      <c r="W517" s="10">
        <f>W$213</f>
        <v>0</v>
      </c>
      <c r="X517" s="10">
        <f>X$213</f>
        <v>0</v>
      </c>
      <c r="Y517" s="10">
        <f>Y$213</f>
        <v>0</v>
      </c>
      <c r="AA517" s="10">
        <f t="shared" ref="AA517:BV517" si="477">AA$213</f>
        <v>0</v>
      </c>
      <c r="AB517" s="10">
        <f t="shared" si="477"/>
        <v>0</v>
      </c>
      <c r="AC517" s="10">
        <f t="shared" si="477"/>
        <v>0</v>
      </c>
      <c r="AD517" s="10">
        <f t="shared" si="477"/>
        <v>0</v>
      </c>
      <c r="AE517" s="10">
        <f t="shared" si="477"/>
        <v>0</v>
      </c>
      <c r="AF517" s="10">
        <f t="shared" si="477"/>
        <v>0</v>
      </c>
      <c r="AG517" s="10">
        <f t="shared" si="477"/>
        <v>0</v>
      </c>
      <c r="AH517" s="10">
        <f t="shared" si="477"/>
        <v>0</v>
      </c>
      <c r="AI517" s="10">
        <f t="shared" si="477"/>
        <v>0</v>
      </c>
      <c r="AJ517" s="10">
        <f t="shared" si="477"/>
        <v>0</v>
      </c>
      <c r="AK517" s="10">
        <f t="shared" si="477"/>
        <v>0</v>
      </c>
      <c r="AL517" s="10">
        <f t="shared" si="477"/>
        <v>0</v>
      </c>
      <c r="AM517" s="10">
        <f t="shared" si="477"/>
        <v>0</v>
      </c>
      <c r="AN517" s="10">
        <f t="shared" si="477"/>
        <v>0</v>
      </c>
      <c r="AO517" s="10">
        <f t="shared" si="477"/>
        <v>0</v>
      </c>
      <c r="AP517" s="10">
        <f t="shared" si="477"/>
        <v>0</v>
      </c>
      <c r="AQ517" s="10">
        <f t="shared" si="477"/>
        <v>0</v>
      </c>
      <c r="AR517" s="10">
        <f t="shared" si="477"/>
        <v>0</v>
      </c>
      <c r="AS517" s="10">
        <f t="shared" si="477"/>
        <v>0</v>
      </c>
      <c r="AT517" s="10">
        <f t="shared" si="477"/>
        <v>0</v>
      </c>
      <c r="AU517" s="10">
        <f t="shared" si="477"/>
        <v>0</v>
      </c>
      <c r="AV517" s="10">
        <f t="shared" si="477"/>
        <v>0</v>
      </c>
      <c r="AW517" s="10">
        <f t="shared" si="477"/>
        <v>0</v>
      </c>
      <c r="AX517" s="10">
        <f t="shared" si="477"/>
        <v>0</v>
      </c>
      <c r="AY517" s="10">
        <f t="shared" si="477"/>
        <v>0</v>
      </c>
      <c r="AZ517" s="10">
        <f t="shared" si="477"/>
        <v>0</v>
      </c>
      <c r="BA517" s="10">
        <f t="shared" si="477"/>
        <v>0</v>
      </c>
      <c r="BB517" s="10">
        <f t="shared" si="477"/>
        <v>0</v>
      </c>
      <c r="BC517" s="10">
        <f t="shared" si="477"/>
        <v>0</v>
      </c>
      <c r="BD517" s="10">
        <f t="shared" si="477"/>
        <v>0</v>
      </c>
      <c r="BE517" s="10">
        <f t="shared" si="477"/>
        <v>0</v>
      </c>
      <c r="BF517" s="10">
        <f t="shared" si="477"/>
        <v>0</v>
      </c>
      <c r="BG517" s="10">
        <f t="shared" si="477"/>
        <v>0</v>
      </c>
      <c r="BH517" s="10">
        <f t="shared" si="477"/>
        <v>0</v>
      </c>
      <c r="BI517" s="10">
        <f t="shared" si="477"/>
        <v>0</v>
      </c>
      <c r="BJ517" s="10">
        <f t="shared" si="477"/>
        <v>0</v>
      </c>
      <c r="BK517" s="10">
        <f t="shared" si="477"/>
        <v>0</v>
      </c>
      <c r="BL517" s="10">
        <f t="shared" si="477"/>
        <v>0</v>
      </c>
      <c r="BM517" s="10">
        <f t="shared" si="477"/>
        <v>0</v>
      </c>
      <c r="BN517" s="10">
        <f t="shared" si="477"/>
        <v>0</v>
      </c>
      <c r="BO517" s="10">
        <f t="shared" si="477"/>
        <v>0</v>
      </c>
      <c r="BP517" s="10">
        <f t="shared" si="477"/>
        <v>0</v>
      </c>
      <c r="BQ517" s="10">
        <f t="shared" si="477"/>
        <v>0</v>
      </c>
      <c r="BR517" s="10">
        <f t="shared" si="477"/>
        <v>0</v>
      </c>
      <c r="BS517" s="10">
        <f t="shared" si="477"/>
        <v>0</v>
      </c>
      <c r="BT517" s="10">
        <f t="shared" si="477"/>
        <v>0</v>
      </c>
      <c r="BU517" s="10">
        <f t="shared" si="477"/>
        <v>0</v>
      </c>
      <c r="BV517" s="10">
        <f t="shared" si="477"/>
        <v>0</v>
      </c>
      <c r="BX517" s="10">
        <f t="shared" ref="BX517:CI517" si="478">BX$213</f>
        <v>0</v>
      </c>
      <c r="BY517" s="10">
        <f t="shared" si="478"/>
        <v>0</v>
      </c>
      <c r="BZ517" s="10">
        <f t="shared" si="478"/>
        <v>0</v>
      </c>
      <c r="CA517" s="10">
        <f t="shared" si="478"/>
        <v>0</v>
      </c>
      <c r="CB517" s="10">
        <f t="shared" si="478"/>
        <v>0</v>
      </c>
      <c r="CC517" s="10">
        <f t="shared" si="478"/>
        <v>0</v>
      </c>
      <c r="CD517" s="10">
        <f t="shared" si="478"/>
        <v>0</v>
      </c>
      <c r="CE517" s="10">
        <f t="shared" si="478"/>
        <v>0</v>
      </c>
      <c r="CF517" s="10">
        <f t="shared" si="478"/>
        <v>0</v>
      </c>
      <c r="CG517" s="10">
        <f t="shared" si="478"/>
        <v>0</v>
      </c>
      <c r="CH517" s="10">
        <f t="shared" si="478"/>
        <v>0</v>
      </c>
      <c r="CI517" s="10">
        <f t="shared" si="478"/>
        <v>0</v>
      </c>
      <c r="CK517" s="11"/>
      <c r="CM517" s="11"/>
      <c r="DF517" s="11"/>
      <c r="EY517" s="10" t="str">
        <f t="shared" si="448"/>
        <v/>
      </c>
    </row>
    <row r="518" spans="1:155" x14ac:dyDescent="0.35">
      <c r="B518" s="69" t="str" cm="1">
        <f t="array" aca="1" ref="B518" ca="1">HYPERLINK(CONCATENATE("#",CELL("address",$D$227)),$D$227)</f>
        <v>Loan 10</v>
      </c>
      <c r="C518" s="211"/>
      <c r="D518" s="49">
        <f>D$22</f>
        <v>0</v>
      </c>
      <c r="E518" s="49" t="str">
        <f>F$22</f>
        <v/>
      </c>
      <c r="F518" s="49"/>
      <c r="H518" s="9" t="s">
        <v>1074</v>
      </c>
      <c r="I518" s="40" t="s">
        <v>1079</v>
      </c>
      <c r="V518" s="133">
        <f>V$232</f>
        <v>0</v>
      </c>
      <c r="W518" s="10">
        <f>W$232</f>
        <v>0</v>
      </c>
      <c r="X518" s="10">
        <f>X$232</f>
        <v>0</v>
      </c>
      <c r="Y518" s="10">
        <f>Y$232</f>
        <v>0</v>
      </c>
      <c r="AA518" s="10">
        <f t="shared" ref="AA518:BV518" si="479">AA$232</f>
        <v>0</v>
      </c>
      <c r="AB518" s="10">
        <f t="shared" si="479"/>
        <v>0</v>
      </c>
      <c r="AC518" s="10">
        <f t="shared" si="479"/>
        <v>0</v>
      </c>
      <c r="AD518" s="10">
        <f t="shared" si="479"/>
        <v>0</v>
      </c>
      <c r="AE518" s="10">
        <f t="shared" si="479"/>
        <v>0</v>
      </c>
      <c r="AF518" s="10">
        <f t="shared" si="479"/>
        <v>0</v>
      </c>
      <c r="AG518" s="10">
        <f t="shared" si="479"/>
        <v>0</v>
      </c>
      <c r="AH518" s="10">
        <f t="shared" si="479"/>
        <v>0</v>
      </c>
      <c r="AI518" s="10">
        <f t="shared" si="479"/>
        <v>0</v>
      </c>
      <c r="AJ518" s="10">
        <f t="shared" si="479"/>
        <v>0</v>
      </c>
      <c r="AK518" s="10">
        <f t="shared" si="479"/>
        <v>0</v>
      </c>
      <c r="AL518" s="10">
        <f t="shared" si="479"/>
        <v>0</v>
      </c>
      <c r="AM518" s="10">
        <f t="shared" si="479"/>
        <v>0</v>
      </c>
      <c r="AN518" s="10">
        <f t="shared" si="479"/>
        <v>0</v>
      </c>
      <c r="AO518" s="10">
        <f t="shared" si="479"/>
        <v>0</v>
      </c>
      <c r="AP518" s="10">
        <f t="shared" si="479"/>
        <v>0</v>
      </c>
      <c r="AQ518" s="10">
        <f t="shared" si="479"/>
        <v>0</v>
      </c>
      <c r="AR518" s="10">
        <f t="shared" si="479"/>
        <v>0</v>
      </c>
      <c r="AS518" s="10">
        <f t="shared" si="479"/>
        <v>0</v>
      </c>
      <c r="AT518" s="10">
        <f t="shared" si="479"/>
        <v>0</v>
      </c>
      <c r="AU518" s="10">
        <f t="shared" si="479"/>
        <v>0</v>
      </c>
      <c r="AV518" s="10">
        <f t="shared" si="479"/>
        <v>0</v>
      </c>
      <c r="AW518" s="10">
        <f t="shared" si="479"/>
        <v>0</v>
      </c>
      <c r="AX518" s="10">
        <f t="shared" si="479"/>
        <v>0</v>
      </c>
      <c r="AY518" s="10">
        <f t="shared" si="479"/>
        <v>0</v>
      </c>
      <c r="AZ518" s="10">
        <f t="shared" si="479"/>
        <v>0</v>
      </c>
      <c r="BA518" s="10">
        <f t="shared" si="479"/>
        <v>0</v>
      </c>
      <c r="BB518" s="10">
        <f t="shared" si="479"/>
        <v>0</v>
      </c>
      <c r="BC518" s="10">
        <f t="shared" si="479"/>
        <v>0</v>
      </c>
      <c r="BD518" s="10">
        <f t="shared" si="479"/>
        <v>0</v>
      </c>
      <c r="BE518" s="10">
        <f t="shared" si="479"/>
        <v>0</v>
      </c>
      <c r="BF518" s="10">
        <f t="shared" si="479"/>
        <v>0</v>
      </c>
      <c r="BG518" s="10">
        <f t="shared" si="479"/>
        <v>0</v>
      </c>
      <c r="BH518" s="10">
        <f t="shared" si="479"/>
        <v>0</v>
      </c>
      <c r="BI518" s="10">
        <f t="shared" si="479"/>
        <v>0</v>
      </c>
      <c r="BJ518" s="10">
        <f t="shared" si="479"/>
        <v>0</v>
      </c>
      <c r="BK518" s="10">
        <f t="shared" si="479"/>
        <v>0</v>
      </c>
      <c r="BL518" s="10">
        <f t="shared" si="479"/>
        <v>0</v>
      </c>
      <c r="BM518" s="10">
        <f t="shared" si="479"/>
        <v>0</v>
      </c>
      <c r="BN518" s="10">
        <f t="shared" si="479"/>
        <v>0</v>
      </c>
      <c r="BO518" s="10">
        <f t="shared" si="479"/>
        <v>0</v>
      </c>
      <c r="BP518" s="10">
        <f t="shared" si="479"/>
        <v>0</v>
      </c>
      <c r="BQ518" s="10">
        <f t="shared" si="479"/>
        <v>0</v>
      </c>
      <c r="BR518" s="10">
        <f t="shared" si="479"/>
        <v>0</v>
      </c>
      <c r="BS518" s="10">
        <f t="shared" si="479"/>
        <v>0</v>
      </c>
      <c r="BT518" s="10">
        <f t="shared" si="479"/>
        <v>0</v>
      </c>
      <c r="BU518" s="10">
        <f t="shared" si="479"/>
        <v>0</v>
      </c>
      <c r="BV518" s="10">
        <f t="shared" si="479"/>
        <v>0</v>
      </c>
      <c r="BX518" s="10">
        <f t="shared" ref="BX518:CI518" si="480">BX$232</f>
        <v>0</v>
      </c>
      <c r="BY518" s="10">
        <f t="shared" si="480"/>
        <v>0</v>
      </c>
      <c r="BZ518" s="10">
        <f t="shared" si="480"/>
        <v>0</v>
      </c>
      <c r="CA518" s="10">
        <f t="shared" si="480"/>
        <v>0</v>
      </c>
      <c r="CB518" s="10">
        <f t="shared" si="480"/>
        <v>0</v>
      </c>
      <c r="CC518" s="10">
        <f t="shared" si="480"/>
        <v>0</v>
      </c>
      <c r="CD518" s="10">
        <f t="shared" si="480"/>
        <v>0</v>
      </c>
      <c r="CE518" s="10">
        <f t="shared" si="480"/>
        <v>0</v>
      </c>
      <c r="CF518" s="10">
        <f t="shared" si="480"/>
        <v>0</v>
      </c>
      <c r="CG518" s="10">
        <f t="shared" si="480"/>
        <v>0</v>
      </c>
      <c r="CH518" s="10">
        <f t="shared" si="480"/>
        <v>0</v>
      </c>
      <c r="CI518" s="10">
        <f t="shared" si="480"/>
        <v>0</v>
      </c>
      <c r="CK518" s="11"/>
      <c r="CM518" s="11"/>
      <c r="DF518" s="11"/>
      <c r="EY518" s="10" t="str">
        <f t="shared" si="448"/>
        <v/>
      </c>
    </row>
    <row r="519" spans="1:155" x14ac:dyDescent="0.35">
      <c r="B519" s="69" t="str" cm="1">
        <f t="array" aca="1" ref="B519" ca="1">HYPERLINK(CONCATENATE("#",CELL("address",$D$246)),$D$246)</f>
        <v>Loan 11</v>
      </c>
      <c r="C519" s="211"/>
      <c r="D519" s="49">
        <f>D$23</f>
        <v>0</v>
      </c>
      <c r="E519" s="49" t="str">
        <f>F$23</f>
        <v/>
      </c>
      <c r="F519" s="49"/>
      <c r="H519" s="9" t="s">
        <v>1074</v>
      </c>
      <c r="I519" s="40" t="s">
        <v>1079</v>
      </c>
      <c r="V519" s="133">
        <f>V$251</f>
        <v>0</v>
      </c>
      <c r="W519" s="10">
        <f>W$251</f>
        <v>0</v>
      </c>
      <c r="X519" s="10">
        <f>X$251</f>
        <v>0</v>
      </c>
      <c r="Y519" s="10">
        <f>Y$251</f>
        <v>0</v>
      </c>
      <c r="AA519" s="10">
        <f t="shared" ref="AA519:BV519" si="481">AA$251</f>
        <v>0</v>
      </c>
      <c r="AB519" s="10">
        <f t="shared" si="481"/>
        <v>0</v>
      </c>
      <c r="AC519" s="10">
        <f t="shared" si="481"/>
        <v>0</v>
      </c>
      <c r="AD519" s="10">
        <f t="shared" si="481"/>
        <v>0</v>
      </c>
      <c r="AE519" s="10">
        <f t="shared" si="481"/>
        <v>0</v>
      </c>
      <c r="AF519" s="10">
        <f t="shared" si="481"/>
        <v>0</v>
      </c>
      <c r="AG519" s="10">
        <f t="shared" si="481"/>
        <v>0</v>
      </c>
      <c r="AH519" s="10">
        <f t="shared" si="481"/>
        <v>0</v>
      </c>
      <c r="AI519" s="10">
        <f t="shared" si="481"/>
        <v>0</v>
      </c>
      <c r="AJ519" s="10">
        <f t="shared" si="481"/>
        <v>0</v>
      </c>
      <c r="AK519" s="10">
        <f t="shared" si="481"/>
        <v>0</v>
      </c>
      <c r="AL519" s="10">
        <f t="shared" si="481"/>
        <v>0</v>
      </c>
      <c r="AM519" s="10">
        <f t="shared" si="481"/>
        <v>0</v>
      </c>
      <c r="AN519" s="10">
        <f t="shared" si="481"/>
        <v>0</v>
      </c>
      <c r="AO519" s="10">
        <f t="shared" si="481"/>
        <v>0</v>
      </c>
      <c r="AP519" s="10">
        <f t="shared" si="481"/>
        <v>0</v>
      </c>
      <c r="AQ519" s="10">
        <f t="shared" si="481"/>
        <v>0</v>
      </c>
      <c r="AR519" s="10">
        <f t="shared" si="481"/>
        <v>0</v>
      </c>
      <c r="AS519" s="10">
        <f t="shared" si="481"/>
        <v>0</v>
      </c>
      <c r="AT519" s="10">
        <f t="shared" si="481"/>
        <v>0</v>
      </c>
      <c r="AU519" s="10">
        <f t="shared" si="481"/>
        <v>0</v>
      </c>
      <c r="AV519" s="10">
        <f t="shared" si="481"/>
        <v>0</v>
      </c>
      <c r="AW519" s="10">
        <f t="shared" si="481"/>
        <v>0</v>
      </c>
      <c r="AX519" s="10">
        <f t="shared" si="481"/>
        <v>0</v>
      </c>
      <c r="AY519" s="10">
        <f t="shared" si="481"/>
        <v>0</v>
      </c>
      <c r="AZ519" s="10">
        <f t="shared" si="481"/>
        <v>0</v>
      </c>
      <c r="BA519" s="10">
        <f t="shared" si="481"/>
        <v>0</v>
      </c>
      <c r="BB519" s="10">
        <f t="shared" si="481"/>
        <v>0</v>
      </c>
      <c r="BC519" s="10">
        <f t="shared" si="481"/>
        <v>0</v>
      </c>
      <c r="BD519" s="10">
        <f t="shared" si="481"/>
        <v>0</v>
      </c>
      <c r="BE519" s="10">
        <f t="shared" si="481"/>
        <v>0</v>
      </c>
      <c r="BF519" s="10">
        <f t="shared" si="481"/>
        <v>0</v>
      </c>
      <c r="BG519" s="10">
        <f t="shared" si="481"/>
        <v>0</v>
      </c>
      <c r="BH519" s="10">
        <f t="shared" si="481"/>
        <v>0</v>
      </c>
      <c r="BI519" s="10">
        <f t="shared" si="481"/>
        <v>0</v>
      </c>
      <c r="BJ519" s="10">
        <f t="shared" si="481"/>
        <v>0</v>
      </c>
      <c r="BK519" s="10">
        <f t="shared" si="481"/>
        <v>0</v>
      </c>
      <c r="BL519" s="10">
        <f t="shared" si="481"/>
        <v>0</v>
      </c>
      <c r="BM519" s="10">
        <f t="shared" si="481"/>
        <v>0</v>
      </c>
      <c r="BN519" s="10">
        <f t="shared" si="481"/>
        <v>0</v>
      </c>
      <c r="BO519" s="10">
        <f t="shared" si="481"/>
        <v>0</v>
      </c>
      <c r="BP519" s="10">
        <f t="shared" si="481"/>
        <v>0</v>
      </c>
      <c r="BQ519" s="10">
        <f t="shared" si="481"/>
        <v>0</v>
      </c>
      <c r="BR519" s="10">
        <f t="shared" si="481"/>
        <v>0</v>
      </c>
      <c r="BS519" s="10">
        <f t="shared" si="481"/>
        <v>0</v>
      </c>
      <c r="BT519" s="10">
        <f t="shared" si="481"/>
        <v>0</v>
      </c>
      <c r="BU519" s="10">
        <f t="shared" si="481"/>
        <v>0</v>
      </c>
      <c r="BV519" s="10">
        <f t="shared" si="481"/>
        <v>0</v>
      </c>
      <c r="BX519" s="10">
        <f t="shared" ref="BX519:CI519" si="482">BX$251</f>
        <v>0</v>
      </c>
      <c r="BY519" s="10">
        <f t="shared" si="482"/>
        <v>0</v>
      </c>
      <c r="BZ519" s="10">
        <f t="shared" si="482"/>
        <v>0</v>
      </c>
      <c r="CA519" s="10">
        <f t="shared" si="482"/>
        <v>0</v>
      </c>
      <c r="CB519" s="10">
        <f t="shared" si="482"/>
        <v>0</v>
      </c>
      <c r="CC519" s="10">
        <f t="shared" si="482"/>
        <v>0</v>
      </c>
      <c r="CD519" s="10">
        <f t="shared" si="482"/>
        <v>0</v>
      </c>
      <c r="CE519" s="10">
        <f t="shared" si="482"/>
        <v>0</v>
      </c>
      <c r="CF519" s="10">
        <f t="shared" si="482"/>
        <v>0</v>
      </c>
      <c r="CG519" s="10">
        <f t="shared" si="482"/>
        <v>0</v>
      </c>
      <c r="CH519" s="10">
        <f t="shared" si="482"/>
        <v>0</v>
      </c>
      <c r="CI519" s="10">
        <f t="shared" si="482"/>
        <v>0</v>
      </c>
      <c r="CK519" s="11"/>
      <c r="CM519" s="11"/>
      <c r="DF519" s="11"/>
      <c r="EY519" s="10" t="str">
        <f t="shared" si="448"/>
        <v/>
      </c>
    </row>
    <row r="520" spans="1:155" x14ac:dyDescent="0.35">
      <c r="B520" s="69" t="str" cm="1">
        <f t="array" aca="1" ref="B520" ca="1">HYPERLINK(CONCATENATE("#",CELL("address",$D$265)),$D$265)</f>
        <v>Loan 12</v>
      </c>
      <c r="C520" s="211"/>
      <c r="D520" s="49">
        <f>D$24</f>
        <v>0</v>
      </c>
      <c r="E520" s="49" t="str">
        <f>F$24</f>
        <v/>
      </c>
      <c r="F520" s="49"/>
      <c r="H520" s="9" t="s">
        <v>1074</v>
      </c>
      <c r="I520" s="40" t="s">
        <v>1079</v>
      </c>
      <c r="V520" s="133">
        <f>V$270</f>
        <v>0</v>
      </c>
      <c r="W520" s="10">
        <f>W$270</f>
        <v>0</v>
      </c>
      <c r="X520" s="10">
        <f>X$270</f>
        <v>0</v>
      </c>
      <c r="Y520" s="10">
        <f>Y$270</f>
        <v>0</v>
      </c>
      <c r="AA520" s="10">
        <f t="shared" ref="AA520:BV520" si="483">AA$270</f>
        <v>0</v>
      </c>
      <c r="AB520" s="10">
        <f t="shared" si="483"/>
        <v>0</v>
      </c>
      <c r="AC520" s="10">
        <f t="shared" si="483"/>
        <v>0</v>
      </c>
      <c r="AD520" s="10">
        <f t="shared" si="483"/>
        <v>0</v>
      </c>
      <c r="AE520" s="10">
        <f t="shared" si="483"/>
        <v>0</v>
      </c>
      <c r="AF520" s="10">
        <f t="shared" si="483"/>
        <v>0</v>
      </c>
      <c r="AG520" s="10">
        <f t="shared" si="483"/>
        <v>0</v>
      </c>
      <c r="AH520" s="10">
        <f t="shared" si="483"/>
        <v>0</v>
      </c>
      <c r="AI520" s="10">
        <f t="shared" si="483"/>
        <v>0</v>
      </c>
      <c r="AJ520" s="10">
        <f t="shared" si="483"/>
        <v>0</v>
      </c>
      <c r="AK520" s="10">
        <f t="shared" si="483"/>
        <v>0</v>
      </c>
      <c r="AL520" s="10">
        <f t="shared" si="483"/>
        <v>0</v>
      </c>
      <c r="AM520" s="10">
        <f t="shared" si="483"/>
        <v>0</v>
      </c>
      <c r="AN520" s="10">
        <f t="shared" si="483"/>
        <v>0</v>
      </c>
      <c r="AO520" s="10">
        <f t="shared" si="483"/>
        <v>0</v>
      </c>
      <c r="AP520" s="10">
        <f t="shared" si="483"/>
        <v>0</v>
      </c>
      <c r="AQ520" s="10">
        <f t="shared" si="483"/>
        <v>0</v>
      </c>
      <c r="AR520" s="10">
        <f t="shared" si="483"/>
        <v>0</v>
      </c>
      <c r="AS520" s="10">
        <f t="shared" si="483"/>
        <v>0</v>
      </c>
      <c r="AT520" s="10">
        <f t="shared" si="483"/>
        <v>0</v>
      </c>
      <c r="AU520" s="10">
        <f t="shared" si="483"/>
        <v>0</v>
      </c>
      <c r="AV520" s="10">
        <f t="shared" si="483"/>
        <v>0</v>
      </c>
      <c r="AW520" s="10">
        <f t="shared" si="483"/>
        <v>0</v>
      </c>
      <c r="AX520" s="10">
        <f t="shared" si="483"/>
        <v>0</v>
      </c>
      <c r="AY520" s="10">
        <f t="shared" si="483"/>
        <v>0</v>
      </c>
      <c r="AZ520" s="10">
        <f t="shared" si="483"/>
        <v>0</v>
      </c>
      <c r="BA520" s="10">
        <f t="shared" si="483"/>
        <v>0</v>
      </c>
      <c r="BB520" s="10">
        <f t="shared" si="483"/>
        <v>0</v>
      </c>
      <c r="BC520" s="10">
        <f t="shared" si="483"/>
        <v>0</v>
      </c>
      <c r="BD520" s="10">
        <f t="shared" si="483"/>
        <v>0</v>
      </c>
      <c r="BE520" s="10">
        <f t="shared" si="483"/>
        <v>0</v>
      </c>
      <c r="BF520" s="10">
        <f t="shared" si="483"/>
        <v>0</v>
      </c>
      <c r="BG520" s="10">
        <f t="shared" si="483"/>
        <v>0</v>
      </c>
      <c r="BH520" s="10">
        <f t="shared" si="483"/>
        <v>0</v>
      </c>
      <c r="BI520" s="10">
        <f t="shared" si="483"/>
        <v>0</v>
      </c>
      <c r="BJ520" s="10">
        <f t="shared" si="483"/>
        <v>0</v>
      </c>
      <c r="BK520" s="10">
        <f t="shared" si="483"/>
        <v>0</v>
      </c>
      <c r="BL520" s="10">
        <f t="shared" si="483"/>
        <v>0</v>
      </c>
      <c r="BM520" s="10">
        <f t="shared" si="483"/>
        <v>0</v>
      </c>
      <c r="BN520" s="10">
        <f t="shared" si="483"/>
        <v>0</v>
      </c>
      <c r="BO520" s="10">
        <f t="shared" si="483"/>
        <v>0</v>
      </c>
      <c r="BP520" s="10">
        <f t="shared" si="483"/>
        <v>0</v>
      </c>
      <c r="BQ520" s="10">
        <f t="shared" si="483"/>
        <v>0</v>
      </c>
      <c r="BR520" s="10">
        <f t="shared" si="483"/>
        <v>0</v>
      </c>
      <c r="BS520" s="10">
        <f t="shared" si="483"/>
        <v>0</v>
      </c>
      <c r="BT520" s="10">
        <f t="shared" si="483"/>
        <v>0</v>
      </c>
      <c r="BU520" s="10">
        <f t="shared" si="483"/>
        <v>0</v>
      </c>
      <c r="BV520" s="10">
        <f t="shared" si="483"/>
        <v>0</v>
      </c>
      <c r="BX520" s="10">
        <f t="shared" ref="BX520:CI520" si="484">BX$270</f>
        <v>0</v>
      </c>
      <c r="BY520" s="10">
        <f t="shared" si="484"/>
        <v>0</v>
      </c>
      <c r="BZ520" s="10">
        <f t="shared" si="484"/>
        <v>0</v>
      </c>
      <c r="CA520" s="10">
        <f t="shared" si="484"/>
        <v>0</v>
      </c>
      <c r="CB520" s="10">
        <f t="shared" si="484"/>
        <v>0</v>
      </c>
      <c r="CC520" s="10">
        <f t="shared" si="484"/>
        <v>0</v>
      </c>
      <c r="CD520" s="10">
        <f t="shared" si="484"/>
        <v>0</v>
      </c>
      <c r="CE520" s="10">
        <f t="shared" si="484"/>
        <v>0</v>
      </c>
      <c r="CF520" s="10">
        <f t="shared" si="484"/>
        <v>0</v>
      </c>
      <c r="CG520" s="10">
        <f t="shared" si="484"/>
        <v>0</v>
      </c>
      <c r="CH520" s="10">
        <f t="shared" si="484"/>
        <v>0</v>
      </c>
      <c r="CI520" s="10">
        <f t="shared" si="484"/>
        <v>0</v>
      </c>
      <c r="CK520" s="11"/>
      <c r="CM520" s="11"/>
      <c r="DF520" s="11"/>
      <c r="EY520" s="10" t="str">
        <f t="shared" si="448"/>
        <v/>
      </c>
    </row>
    <row r="521" spans="1:155" x14ac:dyDescent="0.35">
      <c r="B521" s="69" t="str" cm="1">
        <f t="array" aca="1" ref="B521" ca="1">HYPERLINK(CONCATENATE("#",CELL("address",$D$284)),$D$284)</f>
        <v>Loan 13</v>
      </c>
      <c r="C521" s="211"/>
      <c r="D521" s="49">
        <f>D$25</f>
        <v>0</v>
      </c>
      <c r="E521" s="49" t="str">
        <f>F$25</f>
        <v/>
      </c>
      <c r="F521" s="49"/>
      <c r="H521" s="9" t="s">
        <v>1074</v>
      </c>
      <c r="I521" s="40" t="s">
        <v>1079</v>
      </c>
      <c r="V521" s="133">
        <f>V$289</f>
        <v>0</v>
      </c>
      <c r="W521" s="10">
        <f>W$289</f>
        <v>0</v>
      </c>
      <c r="X521" s="10">
        <f>X$289</f>
        <v>0</v>
      </c>
      <c r="Y521" s="10">
        <f>Y$289</f>
        <v>0</v>
      </c>
      <c r="AA521" s="10">
        <f t="shared" ref="AA521:BV521" si="485">AA$289</f>
        <v>0</v>
      </c>
      <c r="AB521" s="10">
        <f t="shared" si="485"/>
        <v>0</v>
      </c>
      <c r="AC521" s="10">
        <f t="shared" si="485"/>
        <v>0</v>
      </c>
      <c r="AD521" s="10">
        <f t="shared" si="485"/>
        <v>0</v>
      </c>
      <c r="AE521" s="10">
        <f t="shared" si="485"/>
        <v>0</v>
      </c>
      <c r="AF521" s="10">
        <f t="shared" si="485"/>
        <v>0</v>
      </c>
      <c r="AG521" s="10">
        <f t="shared" si="485"/>
        <v>0</v>
      </c>
      <c r="AH521" s="10">
        <f t="shared" si="485"/>
        <v>0</v>
      </c>
      <c r="AI521" s="10">
        <f t="shared" si="485"/>
        <v>0</v>
      </c>
      <c r="AJ521" s="10">
        <f t="shared" si="485"/>
        <v>0</v>
      </c>
      <c r="AK521" s="10">
        <f t="shared" si="485"/>
        <v>0</v>
      </c>
      <c r="AL521" s="10">
        <f t="shared" si="485"/>
        <v>0</v>
      </c>
      <c r="AM521" s="10">
        <f t="shared" si="485"/>
        <v>0</v>
      </c>
      <c r="AN521" s="10">
        <f t="shared" si="485"/>
        <v>0</v>
      </c>
      <c r="AO521" s="10">
        <f t="shared" si="485"/>
        <v>0</v>
      </c>
      <c r="AP521" s="10">
        <f t="shared" si="485"/>
        <v>0</v>
      </c>
      <c r="AQ521" s="10">
        <f t="shared" si="485"/>
        <v>0</v>
      </c>
      <c r="AR521" s="10">
        <f t="shared" si="485"/>
        <v>0</v>
      </c>
      <c r="AS521" s="10">
        <f t="shared" si="485"/>
        <v>0</v>
      </c>
      <c r="AT521" s="10">
        <f t="shared" si="485"/>
        <v>0</v>
      </c>
      <c r="AU521" s="10">
        <f t="shared" si="485"/>
        <v>0</v>
      </c>
      <c r="AV521" s="10">
        <f t="shared" si="485"/>
        <v>0</v>
      </c>
      <c r="AW521" s="10">
        <f t="shared" si="485"/>
        <v>0</v>
      </c>
      <c r="AX521" s="10">
        <f t="shared" si="485"/>
        <v>0</v>
      </c>
      <c r="AY521" s="10">
        <f t="shared" si="485"/>
        <v>0</v>
      </c>
      <c r="AZ521" s="10">
        <f t="shared" si="485"/>
        <v>0</v>
      </c>
      <c r="BA521" s="10">
        <f t="shared" si="485"/>
        <v>0</v>
      </c>
      <c r="BB521" s="10">
        <f t="shared" si="485"/>
        <v>0</v>
      </c>
      <c r="BC521" s="10">
        <f t="shared" si="485"/>
        <v>0</v>
      </c>
      <c r="BD521" s="10">
        <f t="shared" si="485"/>
        <v>0</v>
      </c>
      <c r="BE521" s="10">
        <f t="shared" si="485"/>
        <v>0</v>
      </c>
      <c r="BF521" s="10">
        <f t="shared" si="485"/>
        <v>0</v>
      </c>
      <c r="BG521" s="10">
        <f t="shared" si="485"/>
        <v>0</v>
      </c>
      <c r="BH521" s="10">
        <f t="shared" si="485"/>
        <v>0</v>
      </c>
      <c r="BI521" s="10">
        <f t="shared" si="485"/>
        <v>0</v>
      </c>
      <c r="BJ521" s="10">
        <f t="shared" si="485"/>
        <v>0</v>
      </c>
      <c r="BK521" s="10">
        <f t="shared" si="485"/>
        <v>0</v>
      </c>
      <c r="BL521" s="10">
        <f t="shared" si="485"/>
        <v>0</v>
      </c>
      <c r="BM521" s="10">
        <f t="shared" si="485"/>
        <v>0</v>
      </c>
      <c r="BN521" s="10">
        <f t="shared" si="485"/>
        <v>0</v>
      </c>
      <c r="BO521" s="10">
        <f t="shared" si="485"/>
        <v>0</v>
      </c>
      <c r="BP521" s="10">
        <f t="shared" si="485"/>
        <v>0</v>
      </c>
      <c r="BQ521" s="10">
        <f t="shared" si="485"/>
        <v>0</v>
      </c>
      <c r="BR521" s="10">
        <f t="shared" si="485"/>
        <v>0</v>
      </c>
      <c r="BS521" s="10">
        <f t="shared" si="485"/>
        <v>0</v>
      </c>
      <c r="BT521" s="10">
        <f t="shared" si="485"/>
        <v>0</v>
      </c>
      <c r="BU521" s="10">
        <f t="shared" si="485"/>
        <v>0</v>
      </c>
      <c r="BV521" s="10">
        <f t="shared" si="485"/>
        <v>0</v>
      </c>
      <c r="BX521" s="10">
        <f t="shared" ref="BX521:CI521" si="486">BX$289</f>
        <v>0</v>
      </c>
      <c r="BY521" s="10">
        <f t="shared" si="486"/>
        <v>0</v>
      </c>
      <c r="BZ521" s="10">
        <f t="shared" si="486"/>
        <v>0</v>
      </c>
      <c r="CA521" s="10">
        <f t="shared" si="486"/>
        <v>0</v>
      </c>
      <c r="CB521" s="10">
        <f t="shared" si="486"/>
        <v>0</v>
      </c>
      <c r="CC521" s="10">
        <f t="shared" si="486"/>
        <v>0</v>
      </c>
      <c r="CD521" s="10">
        <f t="shared" si="486"/>
        <v>0</v>
      </c>
      <c r="CE521" s="10">
        <f t="shared" si="486"/>
        <v>0</v>
      </c>
      <c r="CF521" s="10">
        <f t="shared" si="486"/>
        <v>0</v>
      </c>
      <c r="CG521" s="10">
        <f t="shared" si="486"/>
        <v>0</v>
      </c>
      <c r="CH521" s="10">
        <f t="shared" si="486"/>
        <v>0</v>
      </c>
      <c r="CI521" s="10">
        <f t="shared" si="486"/>
        <v>0</v>
      </c>
      <c r="CK521" s="11"/>
      <c r="CM521" s="11"/>
      <c r="DF521" s="11"/>
      <c r="EY521" s="10" t="str">
        <f t="shared" si="448"/>
        <v/>
      </c>
    </row>
    <row r="522" spans="1:155" s="5" customFormat="1" x14ac:dyDescent="0.35">
      <c r="A522"/>
      <c r="B522" s="69" t="str" cm="1">
        <f t="array" aca="1" ref="B522" ca="1">HYPERLINK(CONCATENATE("#",CELL("address",$D$303)),$D$303)</f>
        <v>Loan 14</v>
      </c>
      <c r="C522" s="211"/>
      <c r="D522" s="49">
        <f>D$26</f>
        <v>0</v>
      </c>
      <c r="E522" s="49" t="str">
        <f>F$26</f>
        <v/>
      </c>
      <c r="F522" s="49"/>
      <c r="G522"/>
      <c r="H522" s="9" t="s">
        <v>1074</v>
      </c>
      <c r="I522" s="40" t="s">
        <v>1079</v>
      </c>
      <c r="J522"/>
      <c r="K522"/>
      <c r="L522"/>
      <c r="M522"/>
      <c r="N522"/>
      <c r="O522"/>
      <c r="P522"/>
      <c r="Q522"/>
      <c r="R522"/>
      <c r="S522"/>
      <c r="T522"/>
      <c r="U522"/>
      <c r="V522" s="133">
        <f>V$308</f>
        <v>0</v>
      </c>
      <c r="W522" s="10">
        <f>W$308</f>
        <v>0</v>
      </c>
      <c r="X522" s="10">
        <f>X$308</f>
        <v>0</v>
      </c>
      <c r="Y522" s="10">
        <f>Y$308</f>
        <v>0</v>
      </c>
      <c r="Z522"/>
      <c r="AA522" s="10">
        <f t="shared" ref="AA522:BV522" si="487">AA$308</f>
        <v>0</v>
      </c>
      <c r="AB522" s="10">
        <f t="shared" si="487"/>
        <v>0</v>
      </c>
      <c r="AC522" s="10">
        <f t="shared" si="487"/>
        <v>0</v>
      </c>
      <c r="AD522" s="10">
        <f t="shared" si="487"/>
        <v>0</v>
      </c>
      <c r="AE522" s="10">
        <f t="shared" si="487"/>
        <v>0</v>
      </c>
      <c r="AF522" s="10">
        <f t="shared" si="487"/>
        <v>0</v>
      </c>
      <c r="AG522" s="10">
        <f t="shared" si="487"/>
        <v>0</v>
      </c>
      <c r="AH522" s="10">
        <f t="shared" si="487"/>
        <v>0</v>
      </c>
      <c r="AI522" s="10">
        <f t="shared" si="487"/>
        <v>0</v>
      </c>
      <c r="AJ522" s="10">
        <f t="shared" si="487"/>
        <v>0</v>
      </c>
      <c r="AK522" s="10">
        <f t="shared" si="487"/>
        <v>0</v>
      </c>
      <c r="AL522" s="10">
        <f t="shared" si="487"/>
        <v>0</v>
      </c>
      <c r="AM522" s="10">
        <f t="shared" si="487"/>
        <v>0</v>
      </c>
      <c r="AN522" s="10">
        <f t="shared" si="487"/>
        <v>0</v>
      </c>
      <c r="AO522" s="10">
        <f t="shared" si="487"/>
        <v>0</v>
      </c>
      <c r="AP522" s="10">
        <f t="shared" si="487"/>
        <v>0</v>
      </c>
      <c r="AQ522" s="10">
        <f t="shared" si="487"/>
        <v>0</v>
      </c>
      <c r="AR522" s="10">
        <f t="shared" si="487"/>
        <v>0</v>
      </c>
      <c r="AS522" s="10">
        <f t="shared" si="487"/>
        <v>0</v>
      </c>
      <c r="AT522" s="10">
        <f t="shared" si="487"/>
        <v>0</v>
      </c>
      <c r="AU522" s="10">
        <f t="shared" si="487"/>
        <v>0</v>
      </c>
      <c r="AV522" s="10">
        <f t="shared" si="487"/>
        <v>0</v>
      </c>
      <c r="AW522" s="10">
        <f t="shared" si="487"/>
        <v>0</v>
      </c>
      <c r="AX522" s="10">
        <f t="shared" si="487"/>
        <v>0</v>
      </c>
      <c r="AY522" s="10">
        <f t="shared" si="487"/>
        <v>0</v>
      </c>
      <c r="AZ522" s="10">
        <f t="shared" si="487"/>
        <v>0</v>
      </c>
      <c r="BA522" s="10">
        <f t="shared" si="487"/>
        <v>0</v>
      </c>
      <c r="BB522" s="10">
        <f t="shared" si="487"/>
        <v>0</v>
      </c>
      <c r="BC522" s="10">
        <f t="shared" si="487"/>
        <v>0</v>
      </c>
      <c r="BD522" s="10">
        <f t="shared" si="487"/>
        <v>0</v>
      </c>
      <c r="BE522" s="10">
        <f t="shared" si="487"/>
        <v>0</v>
      </c>
      <c r="BF522" s="10">
        <f t="shared" si="487"/>
        <v>0</v>
      </c>
      <c r="BG522" s="10">
        <f t="shared" si="487"/>
        <v>0</v>
      </c>
      <c r="BH522" s="10">
        <f t="shared" si="487"/>
        <v>0</v>
      </c>
      <c r="BI522" s="10">
        <f t="shared" si="487"/>
        <v>0</v>
      </c>
      <c r="BJ522" s="10">
        <f t="shared" si="487"/>
        <v>0</v>
      </c>
      <c r="BK522" s="10">
        <f t="shared" si="487"/>
        <v>0</v>
      </c>
      <c r="BL522" s="10">
        <f t="shared" si="487"/>
        <v>0</v>
      </c>
      <c r="BM522" s="10">
        <f t="shared" si="487"/>
        <v>0</v>
      </c>
      <c r="BN522" s="10">
        <f t="shared" si="487"/>
        <v>0</v>
      </c>
      <c r="BO522" s="10">
        <f t="shared" si="487"/>
        <v>0</v>
      </c>
      <c r="BP522" s="10">
        <f t="shared" si="487"/>
        <v>0</v>
      </c>
      <c r="BQ522" s="10">
        <f t="shared" si="487"/>
        <v>0</v>
      </c>
      <c r="BR522" s="10">
        <f t="shared" si="487"/>
        <v>0</v>
      </c>
      <c r="BS522" s="10">
        <f t="shared" si="487"/>
        <v>0</v>
      </c>
      <c r="BT522" s="10">
        <f t="shared" si="487"/>
        <v>0</v>
      </c>
      <c r="BU522" s="10">
        <f t="shared" si="487"/>
        <v>0</v>
      </c>
      <c r="BV522" s="10">
        <f t="shared" si="487"/>
        <v>0</v>
      </c>
      <c r="BW522"/>
      <c r="BX522" s="10">
        <f t="shared" ref="BX522:CI522" si="488">BX$308</f>
        <v>0</v>
      </c>
      <c r="BY522" s="10">
        <f t="shared" si="488"/>
        <v>0</v>
      </c>
      <c r="BZ522" s="10">
        <f t="shared" si="488"/>
        <v>0</v>
      </c>
      <c r="CA522" s="10">
        <f t="shared" si="488"/>
        <v>0</v>
      </c>
      <c r="CB522" s="10">
        <f t="shared" si="488"/>
        <v>0</v>
      </c>
      <c r="CC522" s="10">
        <f t="shared" si="488"/>
        <v>0</v>
      </c>
      <c r="CD522" s="10">
        <f t="shared" si="488"/>
        <v>0</v>
      </c>
      <c r="CE522" s="10">
        <f t="shared" si="488"/>
        <v>0</v>
      </c>
      <c r="CF522" s="10">
        <f t="shared" si="488"/>
        <v>0</v>
      </c>
      <c r="CG522" s="10">
        <f t="shared" si="488"/>
        <v>0</v>
      </c>
      <c r="CH522" s="10">
        <f t="shared" si="488"/>
        <v>0</v>
      </c>
      <c r="CI522" s="10">
        <f t="shared" si="488"/>
        <v>0</v>
      </c>
      <c r="CJ522"/>
      <c r="CK522" s="11"/>
      <c r="CL522"/>
      <c r="CM522" s="11"/>
      <c r="CN522"/>
      <c r="CO522"/>
      <c r="CP522"/>
      <c r="CQ522"/>
      <c r="CR522"/>
      <c r="CS522"/>
      <c r="CT522"/>
      <c r="CU522"/>
      <c r="CV522"/>
      <c r="CW522"/>
      <c r="CX522"/>
      <c r="CY522"/>
      <c r="CZ522"/>
      <c r="DA522"/>
      <c r="DB522"/>
      <c r="DC522"/>
      <c r="DD522"/>
      <c r="DE522"/>
      <c r="DF522" s="11"/>
      <c r="EY522" s="10" t="str">
        <f t="shared" si="448"/>
        <v/>
      </c>
    </row>
    <row r="523" spans="1:155" x14ac:dyDescent="0.35">
      <c r="B523" s="69" t="str" cm="1">
        <f t="array" aca="1" ref="B523" ca="1">HYPERLINK(CONCATENATE("#",CELL("address",$D$322)),$D$322)</f>
        <v>Loan 15</v>
      </c>
      <c r="C523" s="211"/>
      <c r="D523" s="49">
        <f>D$27</f>
        <v>0</v>
      </c>
      <c r="E523" s="49" t="str">
        <f>F$27</f>
        <v/>
      </c>
      <c r="F523" s="49"/>
      <c r="H523" s="9" t="s">
        <v>1074</v>
      </c>
      <c r="I523" s="40" t="s">
        <v>1079</v>
      </c>
      <c r="V523" s="133">
        <f>V$327</f>
        <v>0</v>
      </c>
      <c r="W523" s="10">
        <f>W$327</f>
        <v>0</v>
      </c>
      <c r="X523" s="10">
        <f>X$327</f>
        <v>0</v>
      </c>
      <c r="Y523" s="10">
        <f>Y$327</f>
        <v>0</v>
      </c>
      <c r="AA523" s="10">
        <f t="shared" ref="AA523:BV523" si="489">AA$327</f>
        <v>0</v>
      </c>
      <c r="AB523" s="10">
        <f t="shared" si="489"/>
        <v>0</v>
      </c>
      <c r="AC523" s="10">
        <f t="shared" si="489"/>
        <v>0</v>
      </c>
      <c r="AD523" s="10">
        <f t="shared" si="489"/>
        <v>0</v>
      </c>
      <c r="AE523" s="10">
        <f t="shared" si="489"/>
        <v>0</v>
      </c>
      <c r="AF523" s="10">
        <f t="shared" si="489"/>
        <v>0</v>
      </c>
      <c r="AG523" s="10">
        <f t="shared" si="489"/>
        <v>0</v>
      </c>
      <c r="AH523" s="10">
        <f t="shared" si="489"/>
        <v>0</v>
      </c>
      <c r="AI523" s="10">
        <f t="shared" si="489"/>
        <v>0</v>
      </c>
      <c r="AJ523" s="10">
        <f t="shared" si="489"/>
        <v>0</v>
      </c>
      <c r="AK523" s="10">
        <f t="shared" si="489"/>
        <v>0</v>
      </c>
      <c r="AL523" s="10">
        <f t="shared" si="489"/>
        <v>0</v>
      </c>
      <c r="AM523" s="10">
        <f t="shared" si="489"/>
        <v>0</v>
      </c>
      <c r="AN523" s="10">
        <f t="shared" si="489"/>
        <v>0</v>
      </c>
      <c r="AO523" s="10">
        <f t="shared" si="489"/>
        <v>0</v>
      </c>
      <c r="AP523" s="10">
        <f t="shared" si="489"/>
        <v>0</v>
      </c>
      <c r="AQ523" s="10">
        <f t="shared" si="489"/>
        <v>0</v>
      </c>
      <c r="AR523" s="10">
        <f t="shared" si="489"/>
        <v>0</v>
      </c>
      <c r="AS523" s="10">
        <f t="shared" si="489"/>
        <v>0</v>
      </c>
      <c r="AT523" s="10">
        <f t="shared" si="489"/>
        <v>0</v>
      </c>
      <c r="AU523" s="10">
        <f t="shared" si="489"/>
        <v>0</v>
      </c>
      <c r="AV523" s="10">
        <f t="shared" si="489"/>
        <v>0</v>
      </c>
      <c r="AW523" s="10">
        <f t="shared" si="489"/>
        <v>0</v>
      </c>
      <c r="AX523" s="10">
        <f t="shared" si="489"/>
        <v>0</v>
      </c>
      <c r="AY523" s="10">
        <f t="shared" si="489"/>
        <v>0</v>
      </c>
      <c r="AZ523" s="10">
        <f t="shared" si="489"/>
        <v>0</v>
      </c>
      <c r="BA523" s="10">
        <f t="shared" si="489"/>
        <v>0</v>
      </c>
      <c r="BB523" s="10">
        <f t="shared" si="489"/>
        <v>0</v>
      </c>
      <c r="BC523" s="10">
        <f t="shared" si="489"/>
        <v>0</v>
      </c>
      <c r="BD523" s="10">
        <f t="shared" si="489"/>
        <v>0</v>
      </c>
      <c r="BE523" s="10">
        <f t="shared" si="489"/>
        <v>0</v>
      </c>
      <c r="BF523" s="10">
        <f t="shared" si="489"/>
        <v>0</v>
      </c>
      <c r="BG523" s="10">
        <f t="shared" si="489"/>
        <v>0</v>
      </c>
      <c r="BH523" s="10">
        <f t="shared" si="489"/>
        <v>0</v>
      </c>
      <c r="BI523" s="10">
        <f t="shared" si="489"/>
        <v>0</v>
      </c>
      <c r="BJ523" s="10">
        <f t="shared" si="489"/>
        <v>0</v>
      </c>
      <c r="BK523" s="10">
        <f t="shared" si="489"/>
        <v>0</v>
      </c>
      <c r="BL523" s="10">
        <f t="shared" si="489"/>
        <v>0</v>
      </c>
      <c r="BM523" s="10">
        <f t="shared" si="489"/>
        <v>0</v>
      </c>
      <c r="BN523" s="10">
        <f t="shared" si="489"/>
        <v>0</v>
      </c>
      <c r="BO523" s="10">
        <f t="shared" si="489"/>
        <v>0</v>
      </c>
      <c r="BP523" s="10">
        <f t="shared" si="489"/>
        <v>0</v>
      </c>
      <c r="BQ523" s="10">
        <f t="shared" si="489"/>
        <v>0</v>
      </c>
      <c r="BR523" s="10">
        <f t="shared" si="489"/>
        <v>0</v>
      </c>
      <c r="BS523" s="10">
        <f t="shared" si="489"/>
        <v>0</v>
      </c>
      <c r="BT523" s="10">
        <f t="shared" si="489"/>
        <v>0</v>
      </c>
      <c r="BU523" s="10">
        <f t="shared" si="489"/>
        <v>0</v>
      </c>
      <c r="BV523" s="10">
        <f t="shared" si="489"/>
        <v>0</v>
      </c>
      <c r="BX523" s="10">
        <f t="shared" ref="BX523:CI523" si="490">BX$327</f>
        <v>0</v>
      </c>
      <c r="BY523" s="10">
        <f t="shared" si="490"/>
        <v>0</v>
      </c>
      <c r="BZ523" s="10">
        <f t="shared" si="490"/>
        <v>0</v>
      </c>
      <c r="CA523" s="10">
        <f t="shared" si="490"/>
        <v>0</v>
      </c>
      <c r="CB523" s="10">
        <f t="shared" si="490"/>
        <v>0</v>
      </c>
      <c r="CC523" s="10">
        <f t="shared" si="490"/>
        <v>0</v>
      </c>
      <c r="CD523" s="10">
        <f t="shared" si="490"/>
        <v>0</v>
      </c>
      <c r="CE523" s="10">
        <f t="shared" si="490"/>
        <v>0</v>
      </c>
      <c r="CF523" s="10">
        <f t="shared" si="490"/>
        <v>0</v>
      </c>
      <c r="CG523" s="10">
        <f t="shared" si="490"/>
        <v>0</v>
      </c>
      <c r="CH523" s="10">
        <f t="shared" si="490"/>
        <v>0</v>
      </c>
      <c r="CI523" s="10">
        <f t="shared" si="490"/>
        <v>0</v>
      </c>
      <c r="CK523" s="11"/>
      <c r="CM523" s="11"/>
      <c r="DF523" s="11"/>
      <c r="EY523" s="10" t="str">
        <f t="shared" si="448"/>
        <v/>
      </c>
    </row>
    <row r="524" spans="1:155" x14ac:dyDescent="0.35">
      <c r="B524" s="69" t="str" cm="1">
        <f t="array" aca="1" ref="B524" ca="1">HYPERLINK(CONCATENATE("#",CELL("address",$D$341)),$D$341)</f>
        <v>Loan 16</v>
      </c>
      <c r="C524" s="211"/>
      <c r="D524" s="49">
        <f>D$28</f>
        <v>0</v>
      </c>
      <c r="E524" s="49" t="str">
        <f>F$28</f>
        <v/>
      </c>
      <c r="F524" s="49"/>
      <c r="H524" s="9" t="s">
        <v>1074</v>
      </c>
      <c r="I524" s="40" t="s">
        <v>1079</v>
      </c>
      <c r="V524" s="133">
        <f>V$346</f>
        <v>0</v>
      </c>
      <c r="W524" s="10">
        <f>W$346</f>
        <v>0</v>
      </c>
      <c r="X524" s="10">
        <f>X$346</f>
        <v>0</v>
      </c>
      <c r="Y524" s="10">
        <f>Y$346</f>
        <v>0</v>
      </c>
      <c r="AA524" s="10">
        <f t="shared" ref="AA524:BV524" si="491">AA$346</f>
        <v>0</v>
      </c>
      <c r="AB524" s="10">
        <f t="shared" si="491"/>
        <v>0</v>
      </c>
      <c r="AC524" s="10">
        <f t="shared" si="491"/>
        <v>0</v>
      </c>
      <c r="AD524" s="10">
        <f t="shared" si="491"/>
        <v>0</v>
      </c>
      <c r="AE524" s="10">
        <f t="shared" si="491"/>
        <v>0</v>
      </c>
      <c r="AF524" s="10">
        <f t="shared" si="491"/>
        <v>0</v>
      </c>
      <c r="AG524" s="10">
        <f t="shared" si="491"/>
        <v>0</v>
      </c>
      <c r="AH524" s="10">
        <f t="shared" si="491"/>
        <v>0</v>
      </c>
      <c r="AI524" s="10">
        <f t="shared" si="491"/>
        <v>0</v>
      </c>
      <c r="AJ524" s="10">
        <f t="shared" si="491"/>
        <v>0</v>
      </c>
      <c r="AK524" s="10">
        <f t="shared" si="491"/>
        <v>0</v>
      </c>
      <c r="AL524" s="10">
        <f t="shared" si="491"/>
        <v>0</v>
      </c>
      <c r="AM524" s="10">
        <f t="shared" si="491"/>
        <v>0</v>
      </c>
      <c r="AN524" s="10">
        <f t="shared" si="491"/>
        <v>0</v>
      </c>
      <c r="AO524" s="10">
        <f t="shared" si="491"/>
        <v>0</v>
      </c>
      <c r="AP524" s="10">
        <f t="shared" si="491"/>
        <v>0</v>
      </c>
      <c r="AQ524" s="10">
        <f t="shared" si="491"/>
        <v>0</v>
      </c>
      <c r="AR524" s="10">
        <f t="shared" si="491"/>
        <v>0</v>
      </c>
      <c r="AS524" s="10">
        <f t="shared" si="491"/>
        <v>0</v>
      </c>
      <c r="AT524" s="10">
        <f t="shared" si="491"/>
        <v>0</v>
      </c>
      <c r="AU524" s="10">
        <f t="shared" si="491"/>
        <v>0</v>
      </c>
      <c r="AV524" s="10">
        <f t="shared" si="491"/>
        <v>0</v>
      </c>
      <c r="AW524" s="10">
        <f t="shared" si="491"/>
        <v>0</v>
      </c>
      <c r="AX524" s="10">
        <f t="shared" si="491"/>
        <v>0</v>
      </c>
      <c r="AY524" s="10">
        <f t="shared" si="491"/>
        <v>0</v>
      </c>
      <c r="AZ524" s="10">
        <f t="shared" si="491"/>
        <v>0</v>
      </c>
      <c r="BA524" s="10">
        <f t="shared" si="491"/>
        <v>0</v>
      </c>
      <c r="BB524" s="10">
        <f t="shared" si="491"/>
        <v>0</v>
      </c>
      <c r="BC524" s="10">
        <f t="shared" si="491"/>
        <v>0</v>
      </c>
      <c r="BD524" s="10">
        <f t="shared" si="491"/>
        <v>0</v>
      </c>
      <c r="BE524" s="10">
        <f t="shared" si="491"/>
        <v>0</v>
      </c>
      <c r="BF524" s="10">
        <f t="shared" si="491"/>
        <v>0</v>
      </c>
      <c r="BG524" s="10">
        <f t="shared" si="491"/>
        <v>0</v>
      </c>
      <c r="BH524" s="10">
        <f t="shared" si="491"/>
        <v>0</v>
      </c>
      <c r="BI524" s="10">
        <f t="shared" si="491"/>
        <v>0</v>
      </c>
      <c r="BJ524" s="10">
        <f t="shared" si="491"/>
        <v>0</v>
      </c>
      <c r="BK524" s="10">
        <f t="shared" si="491"/>
        <v>0</v>
      </c>
      <c r="BL524" s="10">
        <f t="shared" si="491"/>
        <v>0</v>
      </c>
      <c r="BM524" s="10">
        <f t="shared" si="491"/>
        <v>0</v>
      </c>
      <c r="BN524" s="10">
        <f t="shared" si="491"/>
        <v>0</v>
      </c>
      <c r="BO524" s="10">
        <f t="shared" si="491"/>
        <v>0</v>
      </c>
      <c r="BP524" s="10">
        <f t="shared" si="491"/>
        <v>0</v>
      </c>
      <c r="BQ524" s="10">
        <f t="shared" si="491"/>
        <v>0</v>
      </c>
      <c r="BR524" s="10">
        <f t="shared" si="491"/>
        <v>0</v>
      </c>
      <c r="BS524" s="10">
        <f t="shared" si="491"/>
        <v>0</v>
      </c>
      <c r="BT524" s="10">
        <f t="shared" si="491"/>
        <v>0</v>
      </c>
      <c r="BU524" s="10">
        <f t="shared" si="491"/>
        <v>0</v>
      </c>
      <c r="BV524" s="10">
        <f t="shared" si="491"/>
        <v>0</v>
      </c>
      <c r="BX524" s="10">
        <f t="shared" ref="BX524:CI524" si="492">BX$346</f>
        <v>0</v>
      </c>
      <c r="BY524" s="10">
        <f t="shared" si="492"/>
        <v>0</v>
      </c>
      <c r="BZ524" s="10">
        <f t="shared" si="492"/>
        <v>0</v>
      </c>
      <c r="CA524" s="10">
        <f t="shared" si="492"/>
        <v>0</v>
      </c>
      <c r="CB524" s="10">
        <f t="shared" si="492"/>
        <v>0</v>
      </c>
      <c r="CC524" s="10">
        <f t="shared" si="492"/>
        <v>0</v>
      </c>
      <c r="CD524" s="10">
        <f t="shared" si="492"/>
        <v>0</v>
      </c>
      <c r="CE524" s="10">
        <f t="shared" si="492"/>
        <v>0</v>
      </c>
      <c r="CF524" s="10">
        <f t="shared" si="492"/>
        <v>0</v>
      </c>
      <c r="CG524" s="10">
        <f t="shared" si="492"/>
        <v>0</v>
      </c>
      <c r="CH524" s="10">
        <f t="shared" si="492"/>
        <v>0</v>
      </c>
      <c r="CI524" s="10">
        <f t="shared" si="492"/>
        <v>0</v>
      </c>
      <c r="CK524" s="11"/>
      <c r="CM524" s="11"/>
      <c r="DF524" s="11"/>
      <c r="EY524" s="10" t="str">
        <f t="shared" si="448"/>
        <v/>
      </c>
    </row>
    <row r="525" spans="1:155" x14ac:dyDescent="0.35">
      <c r="B525" s="69" t="str" cm="1">
        <f t="array" aca="1" ref="B525" ca="1">HYPERLINK(CONCATENATE("#",CELL("address",$D$360)),$D$360)</f>
        <v>Loan 17</v>
      </c>
      <c r="C525" s="211"/>
      <c r="D525" s="49">
        <f>D$29</f>
        <v>0</v>
      </c>
      <c r="E525" s="49" t="str">
        <f>F$29</f>
        <v/>
      </c>
      <c r="F525" s="49"/>
      <c r="H525" s="9" t="s">
        <v>1074</v>
      </c>
      <c r="I525" s="40" t="s">
        <v>1079</v>
      </c>
      <c r="V525" s="133">
        <f>V$365</f>
        <v>0</v>
      </c>
      <c r="W525" s="10">
        <f>W$365</f>
        <v>0</v>
      </c>
      <c r="X525" s="10">
        <f>X$365</f>
        <v>0</v>
      </c>
      <c r="Y525" s="10">
        <f>Y$365</f>
        <v>0</v>
      </c>
      <c r="AA525" s="10">
        <f t="shared" ref="AA525:BV525" si="493">AA$365</f>
        <v>0</v>
      </c>
      <c r="AB525" s="10">
        <f t="shared" si="493"/>
        <v>0</v>
      </c>
      <c r="AC525" s="10">
        <f t="shared" si="493"/>
        <v>0</v>
      </c>
      <c r="AD525" s="10">
        <f t="shared" si="493"/>
        <v>0</v>
      </c>
      <c r="AE525" s="10">
        <f t="shared" si="493"/>
        <v>0</v>
      </c>
      <c r="AF525" s="10">
        <f t="shared" si="493"/>
        <v>0</v>
      </c>
      <c r="AG525" s="10">
        <f t="shared" si="493"/>
        <v>0</v>
      </c>
      <c r="AH525" s="10">
        <f t="shared" si="493"/>
        <v>0</v>
      </c>
      <c r="AI525" s="10">
        <f t="shared" si="493"/>
        <v>0</v>
      </c>
      <c r="AJ525" s="10">
        <f t="shared" si="493"/>
        <v>0</v>
      </c>
      <c r="AK525" s="10">
        <f t="shared" si="493"/>
        <v>0</v>
      </c>
      <c r="AL525" s="10">
        <f t="shared" si="493"/>
        <v>0</v>
      </c>
      <c r="AM525" s="10">
        <f t="shared" si="493"/>
        <v>0</v>
      </c>
      <c r="AN525" s="10">
        <f t="shared" si="493"/>
        <v>0</v>
      </c>
      <c r="AO525" s="10">
        <f t="shared" si="493"/>
        <v>0</v>
      </c>
      <c r="AP525" s="10">
        <f t="shared" si="493"/>
        <v>0</v>
      </c>
      <c r="AQ525" s="10">
        <f t="shared" si="493"/>
        <v>0</v>
      </c>
      <c r="AR525" s="10">
        <f t="shared" si="493"/>
        <v>0</v>
      </c>
      <c r="AS525" s="10">
        <f t="shared" si="493"/>
        <v>0</v>
      </c>
      <c r="AT525" s="10">
        <f t="shared" si="493"/>
        <v>0</v>
      </c>
      <c r="AU525" s="10">
        <f t="shared" si="493"/>
        <v>0</v>
      </c>
      <c r="AV525" s="10">
        <f t="shared" si="493"/>
        <v>0</v>
      </c>
      <c r="AW525" s="10">
        <f t="shared" si="493"/>
        <v>0</v>
      </c>
      <c r="AX525" s="10">
        <f t="shared" si="493"/>
        <v>0</v>
      </c>
      <c r="AY525" s="10">
        <f t="shared" si="493"/>
        <v>0</v>
      </c>
      <c r="AZ525" s="10">
        <f t="shared" si="493"/>
        <v>0</v>
      </c>
      <c r="BA525" s="10">
        <f t="shared" si="493"/>
        <v>0</v>
      </c>
      <c r="BB525" s="10">
        <f t="shared" si="493"/>
        <v>0</v>
      </c>
      <c r="BC525" s="10">
        <f t="shared" si="493"/>
        <v>0</v>
      </c>
      <c r="BD525" s="10">
        <f t="shared" si="493"/>
        <v>0</v>
      </c>
      <c r="BE525" s="10">
        <f t="shared" si="493"/>
        <v>0</v>
      </c>
      <c r="BF525" s="10">
        <f t="shared" si="493"/>
        <v>0</v>
      </c>
      <c r="BG525" s="10">
        <f t="shared" si="493"/>
        <v>0</v>
      </c>
      <c r="BH525" s="10">
        <f t="shared" si="493"/>
        <v>0</v>
      </c>
      <c r="BI525" s="10">
        <f t="shared" si="493"/>
        <v>0</v>
      </c>
      <c r="BJ525" s="10">
        <f t="shared" si="493"/>
        <v>0</v>
      </c>
      <c r="BK525" s="10">
        <f t="shared" si="493"/>
        <v>0</v>
      </c>
      <c r="BL525" s="10">
        <f t="shared" si="493"/>
        <v>0</v>
      </c>
      <c r="BM525" s="10">
        <f t="shared" si="493"/>
        <v>0</v>
      </c>
      <c r="BN525" s="10">
        <f t="shared" si="493"/>
        <v>0</v>
      </c>
      <c r="BO525" s="10">
        <f t="shared" si="493"/>
        <v>0</v>
      </c>
      <c r="BP525" s="10">
        <f t="shared" si="493"/>
        <v>0</v>
      </c>
      <c r="BQ525" s="10">
        <f t="shared" si="493"/>
        <v>0</v>
      </c>
      <c r="BR525" s="10">
        <f t="shared" si="493"/>
        <v>0</v>
      </c>
      <c r="BS525" s="10">
        <f t="shared" si="493"/>
        <v>0</v>
      </c>
      <c r="BT525" s="10">
        <f t="shared" si="493"/>
        <v>0</v>
      </c>
      <c r="BU525" s="10">
        <f t="shared" si="493"/>
        <v>0</v>
      </c>
      <c r="BV525" s="10">
        <f t="shared" si="493"/>
        <v>0</v>
      </c>
      <c r="BX525" s="10">
        <f t="shared" ref="BX525:CI525" si="494">BX$365</f>
        <v>0</v>
      </c>
      <c r="BY525" s="10">
        <f t="shared" si="494"/>
        <v>0</v>
      </c>
      <c r="BZ525" s="10">
        <f t="shared" si="494"/>
        <v>0</v>
      </c>
      <c r="CA525" s="10">
        <f t="shared" si="494"/>
        <v>0</v>
      </c>
      <c r="CB525" s="10">
        <f t="shared" si="494"/>
        <v>0</v>
      </c>
      <c r="CC525" s="10">
        <f t="shared" si="494"/>
        <v>0</v>
      </c>
      <c r="CD525" s="10">
        <f t="shared" si="494"/>
        <v>0</v>
      </c>
      <c r="CE525" s="10">
        <f t="shared" si="494"/>
        <v>0</v>
      </c>
      <c r="CF525" s="10">
        <f t="shared" si="494"/>
        <v>0</v>
      </c>
      <c r="CG525" s="10">
        <f t="shared" si="494"/>
        <v>0</v>
      </c>
      <c r="CH525" s="10">
        <f t="shared" si="494"/>
        <v>0</v>
      </c>
      <c r="CI525" s="10">
        <f t="shared" si="494"/>
        <v>0</v>
      </c>
      <c r="CK525" s="11"/>
      <c r="CM525" s="11"/>
      <c r="DF525" s="11"/>
      <c r="EY525" s="10" t="str">
        <f t="shared" si="448"/>
        <v/>
      </c>
    </row>
    <row r="526" spans="1:155" x14ac:dyDescent="0.35">
      <c r="B526" s="69" t="str" cm="1">
        <f t="array" aca="1" ref="B526" ca="1">HYPERLINK(CONCATENATE("#",CELL("address",$D$379)),$D$379)</f>
        <v>Loan 18</v>
      </c>
      <c r="C526" s="211"/>
      <c r="D526" s="49">
        <f>D$30</f>
        <v>0</v>
      </c>
      <c r="E526" s="49" t="str">
        <f>F$30</f>
        <v/>
      </c>
      <c r="F526" s="49"/>
      <c r="H526" s="9" t="s">
        <v>1074</v>
      </c>
      <c r="I526" s="40" t="s">
        <v>1079</v>
      </c>
      <c r="V526" s="133">
        <f>V$384</f>
        <v>0</v>
      </c>
      <c r="W526" s="10">
        <f>W$384</f>
        <v>0</v>
      </c>
      <c r="X526" s="10">
        <f>X$384</f>
        <v>0</v>
      </c>
      <c r="Y526" s="10">
        <f>Y$384</f>
        <v>0</v>
      </c>
      <c r="AA526" s="10">
        <f t="shared" ref="AA526:BV526" si="495">AA$384</f>
        <v>0</v>
      </c>
      <c r="AB526" s="10">
        <f t="shared" si="495"/>
        <v>0</v>
      </c>
      <c r="AC526" s="10">
        <f t="shared" si="495"/>
        <v>0</v>
      </c>
      <c r="AD526" s="10">
        <f t="shared" si="495"/>
        <v>0</v>
      </c>
      <c r="AE526" s="10">
        <f t="shared" si="495"/>
        <v>0</v>
      </c>
      <c r="AF526" s="10">
        <f t="shared" si="495"/>
        <v>0</v>
      </c>
      <c r="AG526" s="10">
        <f t="shared" si="495"/>
        <v>0</v>
      </c>
      <c r="AH526" s="10">
        <f t="shared" si="495"/>
        <v>0</v>
      </c>
      <c r="AI526" s="10">
        <f t="shared" si="495"/>
        <v>0</v>
      </c>
      <c r="AJ526" s="10">
        <f t="shared" si="495"/>
        <v>0</v>
      </c>
      <c r="AK526" s="10">
        <f t="shared" si="495"/>
        <v>0</v>
      </c>
      <c r="AL526" s="10">
        <f t="shared" si="495"/>
        <v>0</v>
      </c>
      <c r="AM526" s="10">
        <f t="shared" si="495"/>
        <v>0</v>
      </c>
      <c r="AN526" s="10">
        <f t="shared" si="495"/>
        <v>0</v>
      </c>
      <c r="AO526" s="10">
        <f t="shared" si="495"/>
        <v>0</v>
      </c>
      <c r="AP526" s="10">
        <f t="shared" si="495"/>
        <v>0</v>
      </c>
      <c r="AQ526" s="10">
        <f t="shared" si="495"/>
        <v>0</v>
      </c>
      <c r="AR526" s="10">
        <f t="shared" si="495"/>
        <v>0</v>
      </c>
      <c r="AS526" s="10">
        <f t="shared" si="495"/>
        <v>0</v>
      </c>
      <c r="AT526" s="10">
        <f t="shared" si="495"/>
        <v>0</v>
      </c>
      <c r="AU526" s="10">
        <f t="shared" si="495"/>
        <v>0</v>
      </c>
      <c r="AV526" s="10">
        <f t="shared" si="495"/>
        <v>0</v>
      </c>
      <c r="AW526" s="10">
        <f t="shared" si="495"/>
        <v>0</v>
      </c>
      <c r="AX526" s="10">
        <f t="shared" si="495"/>
        <v>0</v>
      </c>
      <c r="AY526" s="10">
        <f t="shared" si="495"/>
        <v>0</v>
      </c>
      <c r="AZ526" s="10">
        <f t="shared" si="495"/>
        <v>0</v>
      </c>
      <c r="BA526" s="10">
        <f t="shared" si="495"/>
        <v>0</v>
      </c>
      <c r="BB526" s="10">
        <f t="shared" si="495"/>
        <v>0</v>
      </c>
      <c r="BC526" s="10">
        <f t="shared" si="495"/>
        <v>0</v>
      </c>
      <c r="BD526" s="10">
        <f t="shared" si="495"/>
        <v>0</v>
      </c>
      <c r="BE526" s="10">
        <f t="shared" si="495"/>
        <v>0</v>
      </c>
      <c r="BF526" s="10">
        <f t="shared" si="495"/>
        <v>0</v>
      </c>
      <c r="BG526" s="10">
        <f t="shared" si="495"/>
        <v>0</v>
      </c>
      <c r="BH526" s="10">
        <f t="shared" si="495"/>
        <v>0</v>
      </c>
      <c r="BI526" s="10">
        <f t="shared" si="495"/>
        <v>0</v>
      </c>
      <c r="BJ526" s="10">
        <f t="shared" si="495"/>
        <v>0</v>
      </c>
      <c r="BK526" s="10">
        <f t="shared" si="495"/>
        <v>0</v>
      </c>
      <c r="BL526" s="10">
        <f t="shared" si="495"/>
        <v>0</v>
      </c>
      <c r="BM526" s="10">
        <f t="shared" si="495"/>
        <v>0</v>
      </c>
      <c r="BN526" s="10">
        <f t="shared" si="495"/>
        <v>0</v>
      </c>
      <c r="BO526" s="10">
        <f t="shared" si="495"/>
        <v>0</v>
      </c>
      <c r="BP526" s="10">
        <f t="shared" si="495"/>
        <v>0</v>
      </c>
      <c r="BQ526" s="10">
        <f t="shared" si="495"/>
        <v>0</v>
      </c>
      <c r="BR526" s="10">
        <f t="shared" si="495"/>
        <v>0</v>
      </c>
      <c r="BS526" s="10">
        <f t="shared" si="495"/>
        <v>0</v>
      </c>
      <c r="BT526" s="10">
        <f t="shared" si="495"/>
        <v>0</v>
      </c>
      <c r="BU526" s="10">
        <f t="shared" si="495"/>
        <v>0</v>
      </c>
      <c r="BV526" s="10">
        <f t="shared" si="495"/>
        <v>0</v>
      </c>
      <c r="BX526" s="10">
        <f t="shared" ref="BX526:CI526" si="496">BX$384</f>
        <v>0</v>
      </c>
      <c r="BY526" s="10">
        <f t="shared" si="496"/>
        <v>0</v>
      </c>
      <c r="BZ526" s="10">
        <f t="shared" si="496"/>
        <v>0</v>
      </c>
      <c r="CA526" s="10">
        <f t="shared" si="496"/>
        <v>0</v>
      </c>
      <c r="CB526" s="10">
        <f t="shared" si="496"/>
        <v>0</v>
      </c>
      <c r="CC526" s="10">
        <f t="shared" si="496"/>
        <v>0</v>
      </c>
      <c r="CD526" s="10">
        <f t="shared" si="496"/>
        <v>0</v>
      </c>
      <c r="CE526" s="10">
        <f t="shared" si="496"/>
        <v>0</v>
      </c>
      <c r="CF526" s="10">
        <f t="shared" si="496"/>
        <v>0</v>
      </c>
      <c r="CG526" s="10">
        <f t="shared" si="496"/>
        <v>0</v>
      </c>
      <c r="CH526" s="10">
        <f t="shared" si="496"/>
        <v>0</v>
      </c>
      <c r="CI526" s="10">
        <f t="shared" si="496"/>
        <v>0</v>
      </c>
      <c r="CK526" s="11"/>
      <c r="CM526" s="11"/>
      <c r="DF526" s="11"/>
      <c r="EY526" s="10" t="str">
        <f t="shared" si="448"/>
        <v/>
      </c>
    </row>
    <row r="527" spans="1:155" x14ac:dyDescent="0.35">
      <c r="B527" s="69" t="str" cm="1">
        <f t="array" aca="1" ref="B527" ca="1">HYPERLINK(CONCATENATE("#",CELL("address",$D$398)),$D$398)</f>
        <v>Loan 19</v>
      </c>
      <c r="C527" s="211"/>
      <c r="D527" s="49">
        <f>D$31</f>
        <v>0</v>
      </c>
      <c r="E527" s="49" t="str">
        <f>F$31</f>
        <v/>
      </c>
      <c r="F527" s="49"/>
      <c r="H527" s="9" t="s">
        <v>1074</v>
      </c>
      <c r="I527" s="40" t="s">
        <v>1079</v>
      </c>
      <c r="V527" s="133">
        <f>V$403</f>
        <v>0</v>
      </c>
      <c r="W527" s="10">
        <f>W$403</f>
        <v>0</v>
      </c>
      <c r="X527" s="10">
        <f>X$403</f>
        <v>0</v>
      </c>
      <c r="Y527" s="10">
        <f>Y$403</f>
        <v>0</v>
      </c>
      <c r="AA527" s="10">
        <f t="shared" ref="AA527:BV527" si="497">AA$403</f>
        <v>0</v>
      </c>
      <c r="AB527" s="10">
        <f t="shared" si="497"/>
        <v>0</v>
      </c>
      <c r="AC527" s="10">
        <f t="shared" si="497"/>
        <v>0</v>
      </c>
      <c r="AD527" s="10">
        <f t="shared" si="497"/>
        <v>0</v>
      </c>
      <c r="AE527" s="10">
        <f t="shared" si="497"/>
        <v>0</v>
      </c>
      <c r="AF527" s="10">
        <f t="shared" si="497"/>
        <v>0</v>
      </c>
      <c r="AG527" s="10">
        <f t="shared" si="497"/>
        <v>0</v>
      </c>
      <c r="AH527" s="10">
        <f t="shared" si="497"/>
        <v>0</v>
      </c>
      <c r="AI527" s="10">
        <f t="shared" si="497"/>
        <v>0</v>
      </c>
      <c r="AJ527" s="10">
        <f t="shared" si="497"/>
        <v>0</v>
      </c>
      <c r="AK527" s="10">
        <f t="shared" si="497"/>
        <v>0</v>
      </c>
      <c r="AL527" s="10">
        <f t="shared" si="497"/>
        <v>0</v>
      </c>
      <c r="AM527" s="10">
        <f t="shared" si="497"/>
        <v>0</v>
      </c>
      <c r="AN527" s="10">
        <f t="shared" si="497"/>
        <v>0</v>
      </c>
      <c r="AO527" s="10">
        <f t="shared" si="497"/>
        <v>0</v>
      </c>
      <c r="AP527" s="10">
        <f t="shared" si="497"/>
        <v>0</v>
      </c>
      <c r="AQ527" s="10">
        <f t="shared" si="497"/>
        <v>0</v>
      </c>
      <c r="AR527" s="10">
        <f t="shared" si="497"/>
        <v>0</v>
      </c>
      <c r="AS527" s="10">
        <f t="shared" si="497"/>
        <v>0</v>
      </c>
      <c r="AT527" s="10">
        <f t="shared" si="497"/>
        <v>0</v>
      </c>
      <c r="AU527" s="10">
        <f t="shared" si="497"/>
        <v>0</v>
      </c>
      <c r="AV527" s="10">
        <f t="shared" si="497"/>
        <v>0</v>
      </c>
      <c r="AW527" s="10">
        <f t="shared" si="497"/>
        <v>0</v>
      </c>
      <c r="AX527" s="10">
        <f t="shared" si="497"/>
        <v>0</v>
      </c>
      <c r="AY527" s="10">
        <f t="shared" si="497"/>
        <v>0</v>
      </c>
      <c r="AZ527" s="10">
        <f t="shared" si="497"/>
        <v>0</v>
      </c>
      <c r="BA527" s="10">
        <f t="shared" si="497"/>
        <v>0</v>
      </c>
      <c r="BB527" s="10">
        <f t="shared" si="497"/>
        <v>0</v>
      </c>
      <c r="BC527" s="10">
        <f t="shared" si="497"/>
        <v>0</v>
      </c>
      <c r="BD527" s="10">
        <f t="shared" si="497"/>
        <v>0</v>
      </c>
      <c r="BE527" s="10">
        <f t="shared" si="497"/>
        <v>0</v>
      </c>
      <c r="BF527" s="10">
        <f t="shared" si="497"/>
        <v>0</v>
      </c>
      <c r="BG527" s="10">
        <f t="shared" si="497"/>
        <v>0</v>
      </c>
      <c r="BH527" s="10">
        <f t="shared" si="497"/>
        <v>0</v>
      </c>
      <c r="BI527" s="10">
        <f t="shared" si="497"/>
        <v>0</v>
      </c>
      <c r="BJ527" s="10">
        <f t="shared" si="497"/>
        <v>0</v>
      </c>
      <c r="BK527" s="10">
        <f t="shared" si="497"/>
        <v>0</v>
      </c>
      <c r="BL527" s="10">
        <f t="shared" si="497"/>
        <v>0</v>
      </c>
      <c r="BM527" s="10">
        <f t="shared" si="497"/>
        <v>0</v>
      </c>
      <c r="BN527" s="10">
        <f t="shared" si="497"/>
        <v>0</v>
      </c>
      <c r="BO527" s="10">
        <f t="shared" si="497"/>
        <v>0</v>
      </c>
      <c r="BP527" s="10">
        <f t="shared" si="497"/>
        <v>0</v>
      </c>
      <c r="BQ527" s="10">
        <f t="shared" si="497"/>
        <v>0</v>
      </c>
      <c r="BR527" s="10">
        <f t="shared" si="497"/>
        <v>0</v>
      </c>
      <c r="BS527" s="10">
        <f t="shared" si="497"/>
        <v>0</v>
      </c>
      <c r="BT527" s="10">
        <f t="shared" si="497"/>
        <v>0</v>
      </c>
      <c r="BU527" s="10">
        <f t="shared" si="497"/>
        <v>0</v>
      </c>
      <c r="BV527" s="10">
        <f t="shared" si="497"/>
        <v>0</v>
      </c>
      <c r="BX527" s="10">
        <f t="shared" ref="BX527:CI527" si="498">BX$403</f>
        <v>0</v>
      </c>
      <c r="BY527" s="10">
        <f t="shared" si="498"/>
        <v>0</v>
      </c>
      <c r="BZ527" s="10">
        <f t="shared" si="498"/>
        <v>0</v>
      </c>
      <c r="CA527" s="10">
        <f t="shared" si="498"/>
        <v>0</v>
      </c>
      <c r="CB527" s="10">
        <f t="shared" si="498"/>
        <v>0</v>
      </c>
      <c r="CC527" s="10">
        <f t="shared" si="498"/>
        <v>0</v>
      </c>
      <c r="CD527" s="10">
        <f t="shared" si="498"/>
        <v>0</v>
      </c>
      <c r="CE527" s="10">
        <f t="shared" si="498"/>
        <v>0</v>
      </c>
      <c r="CF527" s="10">
        <f t="shared" si="498"/>
        <v>0</v>
      </c>
      <c r="CG527" s="10">
        <f t="shared" si="498"/>
        <v>0</v>
      </c>
      <c r="CH527" s="10">
        <f t="shared" si="498"/>
        <v>0</v>
      </c>
      <c r="CI527" s="10">
        <f t="shared" si="498"/>
        <v>0</v>
      </c>
      <c r="CK527" s="11"/>
      <c r="CM527" s="11"/>
      <c r="DF527" s="11"/>
      <c r="EY527" s="10" t="str">
        <f t="shared" si="448"/>
        <v/>
      </c>
    </row>
    <row r="528" spans="1:155" x14ac:dyDescent="0.35">
      <c r="B528" s="69" t="str" cm="1">
        <f t="array" aca="1" ref="B528" ca="1">HYPERLINK(CONCATENATE("#",CELL("address",$D$417)),$D$417)</f>
        <v>Loan 20</v>
      </c>
      <c r="C528" s="211"/>
      <c r="D528" s="49">
        <f>D$32</f>
        <v>0</v>
      </c>
      <c r="E528" s="49" t="str">
        <f>F$32</f>
        <v/>
      </c>
      <c r="F528" s="49"/>
      <c r="H528" s="9" t="s">
        <v>1074</v>
      </c>
      <c r="I528" s="40" t="s">
        <v>1079</v>
      </c>
      <c r="V528" s="133">
        <f>V$422</f>
        <v>0</v>
      </c>
      <c r="W528" s="10">
        <f>W$422</f>
        <v>0</v>
      </c>
      <c r="X528" s="10">
        <f>X$422</f>
        <v>0</v>
      </c>
      <c r="Y528" s="10">
        <f>Y$422</f>
        <v>0</v>
      </c>
      <c r="AA528" s="10">
        <f t="shared" ref="AA528:BV528" si="499">AA$422</f>
        <v>0</v>
      </c>
      <c r="AB528" s="10">
        <f t="shared" si="499"/>
        <v>0</v>
      </c>
      <c r="AC528" s="10">
        <f t="shared" si="499"/>
        <v>0</v>
      </c>
      <c r="AD528" s="10">
        <f t="shared" si="499"/>
        <v>0</v>
      </c>
      <c r="AE528" s="10">
        <f t="shared" si="499"/>
        <v>0</v>
      </c>
      <c r="AF528" s="10">
        <f t="shared" si="499"/>
        <v>0</v>
      </c>
      <c r="AG528" s="10">
        <f t="shared" si="499"/>
        <v>0</v>
      </c>
      <c r="AH528" s="10">
        <f t="shared" si="499"/>
        <v>0</v>
      </c>
      <c r="AI528" s="10">
        <f t="shared" si="499"/>
        <v>0</v>
      </c>
      <c r="AJ528" s="10">
        <f t="shared" si="499"/>
        <v>0</v>
      </c>
      <c r="AK528" s="10">
        <f t="shared" si="499"/>
        <v>0</v>
      </c>
      <c r="AL528" s="10">
        <f t="shared" si="499"/>
        <v>0</v>
      </c>
      <c r="AM528" s="10">
        <f t="shared" si="499"/>
        <v>0</v>
      </c>
      <c r="AN528" s="10">
        <f t="shared" si="499"/>
        <v>0</v>
      </c>
      <c r="AO528" s="10">
        <f t="shared" si="499"/>
        <v>0</v>
      </c>
      <c r="AP528" s="10">
        <f t="shared" si="499"/>
        <v>0</v>
      </c>
      <c r="AQ528" s="10">
        <f t="shared" si="499"/>
        <v>0</v>
      </c>
      <c r="AR528" s="10">
        <f t="shared" si="499"/>
        <v>0</v>
      </c>
      <c r="AS528" s="10">
        <f t="shared" si="499"/>
        <v>0</v>
      </c>
      <c r="AT528" s="10">
        <f t="shared" si="499"/>
        <v>0</v>
      </c>
      <c r="AU528" s="10">
        <f t="shared" si="499"/>
        <v>0</v>
      </c>
      <c r="AV528" s="10">
        <f t="shared" si="499"/>
        <v>0</v>
      </c>
      <c r="AW528" s="10">
        <f t="shared" si="499"/>
        <v>0</v>
      </c>
      <c r="AX528" s="10">
        <f t="shared" si="499"/>
        <v>0</v>
      </c>
      <c r="AY528" s="10">
        <f t="shared" si="499"/>
        <v>0</v>
      </c>
      <c r="AZ528" s="10">
        <f t="shared" si="499"/>
        <v>0</v>
      </c>
      <c r="BA528" s="10">
        <f t="shared" si="499"/>
        <v>0</v>
      </c>
      <c r="BB528" s="10">
        <f t="shared" si="499"/>
        <v>0</v>
      </c>
      <c r="BC528" s="10">
        <f t="shared" si="499"/>
        <v>0</v>
      </c>
      <c r="BD528" s="10">
        <f t="shared" si="499"/>
        <v>0</v>
      </c>
      <c r="BE528" s="10">
        <f t="shared" si="499"/>
        <v>0</v>
      </c>
      <c r="BF528" s="10">
        <f t="shared" si="499"/>
        <v>0</v>
      </c>
      <c r="BG528" s="10">
        <f t="shared" si="499"/>
        <v>0</v>
      </c>
      <c r="BH528" s="10">
        <f t="shared" si="499"/>
        <v>0</v>
      </c>
      <c r="BI528" s="10">
        <f t="shared" si="499"/>
        <v>0</v>
      </c>
      <c r="BJ528" s="10">
        <f t="shared" si="499"/>
        <v>0</v>
      </c>
      <c r="BK528" s="10">
        <f t="shared" si="499"/>
        <v>0</v>
      </c>
      <c r="BL528" s="10">
        <f t="shared" si="499"/>
        <v>0</v>
      </c>
      <c r="BM528" s="10">
        <f t="shared" si="499"/>
        <v>0</v>
      </c>
      <c r="BN528" s="10">
        <f t="shared" si="499"/>
        <v>0</v>
      </c>
      <c r="BO528" s="10">
        <f t="shared" si="499"/>
        <v>0</v>
      </c>
      <c r="BP528" s="10">
        <f t="shared" si="499"/>
        <v>0</v>
      </c>
      <c r="BQ528" s="10">
        <f t="shared" si="499"/>
        <v>0</v>
      </c>
      <c r="BR528" s="10">
        <f t="shared" si="499"/>
        <v>0</v>
      </c>
      <c r="BS528" s="10">
        <f t="shared" si="499"/>
        <v>0</v>
      </c>
      <c r="BT528" s="10">
        <f t="shared" si="499"/>
        <v>0</v>
      </c>
      <c r="BU528" s="10">
        <f t="shared" si="499"/>
        <v>0</v>
      </c>
      <c r="BV528" s="10">
        <f t="shared" si="499"/>
        <v>0</v>
      </c>
      <c r="BX528" s="10">
        <f t="shared" ref="BX528:CI528" si="500">BX$422</f>
        <v>0</v>
      </c>
      <c r="BY528" s="10">
        <f t="shared" si="500"/>
        <v>0</v>
      </c>
      <c r="BZ528" s="10">
        <f t="shared" si="500"/>
        <v>0</v>
      </c>
      <c r="CA528" s="10">
        <f t="shared" si="500"/>
        <v>0</v>
      </c>
      <c r="CB528" s="10">
        <f t="shared" si="500"/>
        <v>0</v>
      </c>
      <c r="CC528" s="10">
        <f t="shared" si="500"/>
        <v>0</v>
      </c>
      <c r="CD528" s="10">
        <f t="shared" si="500"/>
        <v>0</v>
      </c>
      <c r="CE528" s="10">
        <f t="shared" si="500"/>
        <v>0</v>
      </c>
      <c r="CF528" s="10">
        <f t="shared" si="500"/>
        <v>0</v>
      </c>
      <c r="CG528" s="10">
        <f t="shared" si="500"/>
        <v>0</v>
      </c>
      <c r="CH528" s="10">
        <f t="shared" si="500"/>
        <v>0</v>
      </c>
      <c r="CI528" s="10">
        <f t="shared" si="500"/>
        <v>0</v>
      </c>
      <c r="CK528" s="11"/>
      <c r="CM528" s="11"/>
      <c r="DF528" s="11"/>
      <c r="EY528" s="10" t="str">
        <f t="shared" si="448"/>
        <v/>
      </c>
    </row>
    <row r="529" spans="2:155" ht="6.75" customHeight="1" x14ac:dyDescent="0.35">
      <c r="C529" s="211"/>
      <c r="D529" s="1"/>
      <c r="E529"/>
      <c r="F529"/>
      <c r="BY529" s="6"/>
      <c r="CK529" s="35"/>
      <c r="CM529" s="35"/>
      <c r="DF529" s="35"/>
      <c r="EY529" s="10" t="str">
        <f t="shared" si="448"/>
        <v/>
      </c>
    </row>
    <row r="530" spans="2:155" x14ac:dyDescent="0.35">
      <c r="C530" s="211"/>
      <c r="D530" s="50" t="str">
        <f>$D$66</f>
        <v>Interest Payable Opening Balance</v>
      </c>
      <c r="E530"/>
      <c r="F530"/>
      <c r="CK530" s="11"/>
      <c r="CM530" s="11"/>
      <c r="DF530" s="11"/>
      <c r="EY530" s="10" t="str">
        <f t="shared" si="448"/>
        <v/>
      </c>
    </row>
    <row r="531" spans="2:155" x14ac:dyDescent="0.35">
      <c r="B531" s="107" t="s">
        <v>1229</v>
      </c>
      <c r="C531" s="211"/>
      <c r="D531" s="5" t="str">
        <f>D$11</f>
        <v>Lender</v>
      </c>
      <c r="E531" s="5" t="str">
        <f>E$11</f>
        <v>Loan Category</v>
      </c>
      <c r="F531" s="5"/>
      <c r="CK531" s="11"/>
      <c r="CM531" s="11"/>
      <c r="DF531" s="11"/>
      <c r="EY531" s="10" t="str">
        <f t="shared" si="448"/>
        <v/>
      </c>
    </row>
    <row r="532" spans="2:155" x14ac:dyDescent="0.35">
      <c r="B532" s="69" t="str" cm="1">
        <f t="array" aca="1" ref="B532" ca="1">HYPERLINK(CONCATENATE("#",CELL("address",$D$56)),$D$56)</f>
        <v>Loan 1</v>
      </c>
      <c r="C532" s="211"/>
      <c r="D532" s="49">
        <f>D$13</f>
        <v>0</v>
      </c>
      <c r="E532" s="49" t="str">
        <f>F$13</f>
        <v/>
      </c>
      <c r="F532" s="49"/>
      <c r="H532" s="9" t="s">
        <v>1074</v>
      </c>
      <c r="I532" s="40" t="s">
        <v>665</v>
      </c>
      <c r="J532" s="54"/>
      <c r="V532" s="133">
        <f>V$66</f>
        <v>0</v>
      </c>
      <c r="W532" s="10">
        <f>W$66</f>
        <v>0</v>
      </c>
      <c r="X532" s="10">
        <f>X$66</f>
        <v>0</v>
      </c>
      <c r="Y532" s="10">
        <f>Y$66</f>
        <v>0</v>
      </c>
      <c r="AA532" s="10">
        <f t="shared" ref="AA532:BV532" si="501">AA$66</f>
        <v>0</v>
      </c>
      <c r="AB532" s="10">
        <f t="shared" si="501"/>
        <v>0</v>
      </c>
      <c r="AC532" s="10">
        <f t="shared" si="501"/>
        <v>0</v>
      </c>
      <c r="AD532" s="10">
        <f t="shared" si="501"/>
        <v>0</v>
      </c>
      <c r="AE532" s="10">
        <f t="shared" si="501"/>
        <v>0</v>
      </c>
      <c r="AF532" s="10">
        <f t="shared" si="501"/>
        <v>0</v>
      </c>
      <c r="AG532" s="10">
        <f t="shared" si="501"/>
        <v>0</v>
      </c>
      <c r="AH532" s="10">
        <f t="shared" si="501"/>
        <v>0</v>
      </c>
      <c r="AI532" s="10">
        <f t="shared" si="501"/>
        <v>0</v>
      </c>
      <c r="AJ532" s="10">
        <f t="shared" si="501"/>
        <v>0</v>
      </c>
      <c r="AK532" s="10">
        <f t="shared" si="501"/>
        <v>0</v>
      </c>
      <c r="AL532" s="10">
        <f t="shared" si="501"/>
        <v>0</v>
      </c>
      <c r="AM532" s="10">
        <f t="shared" si="501"/>
        <v>0</v>
      </c>
      <c r="AN532" s="10">
        <f t="shared" si="501"/>
        <v>0</v>
      </c>
      <c r="AO532" s="10">
        <f t="shared" si="501"/>
        <v>0</v>
      </c>
      <c r="AP532" s="10">
        <f t="shared" si="501"/>
        <v>0</v>
      </c>
      <c r="AQ532" s="10">
        <f t="shared" si="501"/>
        <v>0</v>
      </c>
      <c r="AR532" s="10">
        <f t="shared" si="501"/>
        <v>0</v>
      </c>
      <c r="AS532" s="10">
        <f t="shared" si="501"/>
        <v>0</v>
      </c>
      <c r="AT532" s="10">
        <f t="shared" si="501"/>
        <v>0</v>
      </c>
      <c r="AU532" s="10">
        <f t="shared" si="501"/>
        <v>0</v>
      </c>
      <c r="AV532" s="10">
        <f t="shared" si="501"/>
        <v>0</v>
      </c>
      <c r="AW532" s="10">
        <f t="shared" si="501"/>
        <v>0</v>
      </c>
      <c r="AX532" s="10">
        <f t="shared" si="501"/>
        <v>0</v>
      </c>
      <c r="AY532" s="10">
        <f t="shared" si="501"/>
        <v>0</v>
      </c>
      <c r="AZ532" s="10">
        <f t="shared" si="501"/>
        <v>0</v>
      </c>
      <c r="BA532" s="10">
        <f t="shared" si="501"/>
        <v>0</v>
      </c>
      <c r="BB532" s="10">
        <f t="shared" si="501"/>
        <v>0</v>
      </c>
      <c r="BC532" s="10">
        <f t="shared" si="501"/>
        <v>0</v>
      </c>
      <c r="BD532" s="10">
        <f t="shared" si="501"/>
        <v>0</v>
      </c>
      <c r="BE532" s="10">
        <f t="shared" si="501"/>
        <v>0</v>
      </c>
      <c r="BF532" s="10">
        <f t="shared" si="501"/>
        <v>0</v>
      </c>
      <c r="BG532" s="10">
        <f t="shared" si="501"/>
        <v>0</v>
      </c>
      <c r="BH532" s="10">
        <f t="shared" si="501"/>
        <v>0</v>
      </c>
      <c r="BI532" s="10">
        <f t="shared" si="501"/>
        <v>0</v>
      </c>
      <c r="BJ532" s="10">
        <f t="shared" si="501"/>
        <v>0</v>
      </c>
      <c r="BK532" s="10">
        <f t="shared" si="501"/>
        <v>0</v>
      </c>
      <c r="BL532" s="10">
        <f t="shared" si="501"/>
        <v>0</v>
      </c>
      <c r="BM532" s="10">
        <f t="shared" si="501"/>
        <v>0</v>
      </c>
      <c r="BN532" s="10">
        <f t="shared" si="501"/>
        <v>0</v>
      </c>
      <c r="BO532" s="10">
        <f t="shared" si="501"/>
        <v>0</v>
      </c>
      <c r="BP532" s="10">
        <f t="shared" si="501"/>
        <v>0</v>
      </c>
      <c r="BQ532" s="10">
        <f t="shared" si="501"/>
        <v>0</v>
      </c>
      <c r="BR532" s="10">
        <f t="shared" si="501"/>
        <v>0</v>
      </c>
      <c r="BS532" s="10">
        <f t="shared" si="501"/>
        <v>0</v>
      </c>
      <c r="BT532" s="10">
        <f t="shared" si="501"/>
        <v>0</v>
      </c>
      <c r="BU532" s="10">
        <f t="shared" si="501"/>
        <v>0</v>
      </c>
      <c r="BV532" s="10">
        <f t="shared" si="501"/>
        <v>0</v>
      </c>
      <c r="BX532" s="10">
        <f t="shared" ref="BX532:CI532" si="502">BX$66</f>
        <v>0</v>
      </c>
      <c r="BY532" s="10">
        <f t="shared" si="502"/>
        <v>0</v>
      </c>
      <c r="BZ532" s="10">
        <f t="shared" si="502"/>
        <v>0</v>
      </c>
      <c r="CA532" s="10">
        <f t="shared" si="502"/>
        <v>0</v>
      </c>
      <c r="CB532" s="10">
        <f t="shared" si="502"/>
        <v>0</v>
      </c>
      <c r="CC532" s="10">
        <f t="shared" si="502"/>
        <v>0</v>
      </c>
      <c r="CD532" s="10">
        <f t="shared" si="502"/>
        <v>0</v>
      </c>
      <c r="CE532" s="10">
        <f t="shared" si="502"/>
        <v>0</v>
      </c>
      <c r="CF532" s="10">
        <f t="shared" si="502"/>
        <v>0</v>
      </c>
      <c r="CG532" s="10">
        <f t="shared" si="502"/>
        <v>0</v>
      </c>
      <c r="CH532" s="10">
        <f t="shared" si="502"/>
        <v>0</v>
      </c>
      <c r="CI532" s="10">
        <f t="shared" si="502"/>
        <v>0</v>
      </c>
      <c r="CK532" s="11"/>
      <c r="CM532" s="11"/>
      <c r="DF532" s="11"/>
      <c r="EY532" s="10" t="str">
        <f t="shared" si="448"/>
        <v/>
      </c>
    </row>
    <row r="533" spans="2:155" x14ac:dyDescent="0.35">
      <c r="B533" s="69" t="str" cm="1">
        <f t="array" aca="1" ref="B533" ca="1">HYPERLINK(CONCATENATE("#",CELL("address",$D$75)),$D$75)</f>
        <v>Loan 2</v>
      </c>
      <c r="C533" s="211"/>
      <c r="D533" s="49">
        <f>D$14</f>
        <v>0</v>
      </c>
      <c r="E533" s="49" t="str">
        <f>F$14</f>
        <v/>
      </c>
      <c r="F533" s="49"/>
      <c r="H533" s="9" t="s">
        <v>1074</v>
      </c>
      <c r="I533" s="40" t="s">
        <v>665</v>
      </c>
      <c r="V533" s="133">
        <f>V$85</f>
        <v>0</v>
      </c>
      <c r="W533" s="10">
        <f>W$85</f>
        <v>0</v>
      </c>
      <c r="X533" s="10">
        <f>X$85</f>
        <v>0</v>
      </c>
      <c r="Y533" s="10">
        <f>Y$85</f>
        <v>0</v>
      </c>
      <c r="AA533" s="10">
        <f t="shared" ref="AA533:BV533" si="503">AA$85</f>
        <v>0</v>
      </c>
      <c r="AB533" s="10">
        <f t="shared" si="503"/>
        <v>0</v>
      </c>
      <c r="AC533" s="10">
        <f t="shared" si="503"/>
        <v>0</v>
      </c>
      <c r="AD533" s="10">
        <f t="shared" si="503"/>
        <v>0</v>
      </c>
      <c r="AE533" s="10">
        <f t="shared" si="503"/>
        <v>0</v>
      </c>
      <c r="AF533" s="10">
        <f t="shared" si="503"/>
        <v>0</v>
      </c>
      <c r="AG533" s="10">
        <f t="shared" si="503"/>
        <v>0</v>
      </c>
      <c r="AH533" s="10">
        <f t="shared" si="503"/>
        <v>0</v>
      </c>
      <c r="AI533" s="10">
        <f t="shared" si="503"/>
        <v>0</v>
      </c>
      <c r="AJ533" s="10">
        <f t="shared" si="503"/>
        <v>0</v>
      </c>
      <c r="AK533" s="10">
        <f t="shared" si="503"/>
        <v>0</v>
      </c>
      <c r="AL533" s="10">
        <f t="shared" si="503"/>
        <v>0</v>
      </c>
      <c r="AM533" s="10">
        <f t="shared" si="503"/>
        <v>0</v>
      </c>
      <c r="AN533" s="10">
        <f t="shared" si="503"/>
        <v>0</v>
      </c>
      <c r="AO533" s="10">
        <f t="shared" si="503"/>
        <v>0</v>
      </c>
      <c r="AP533" s="10">
        <f t="shared" si="503"/>
        <v>0</v>
      </c>
      <c r="AQ533" s="10">
        <f t="shared" si="503"/>
        <v>0</v>
      </c>
      <c r="AR533" s="10">
        <f t="shared" si="503"/>
        <v>0</v>
      </c>
      <c r="AS533" s="10">
        <f t="shared" si="503"/>
        <v>0</v>
      </c>
      <c r="AT533" s="10">
        <f t="shared" si="503"/>
        <v>0</v>
      </c>
      <c r="AU533" s="10">
        <f t="shared" si="503"/>
        <v>0</v>
      </c>
      <c r="AV533" s="10">
        <f t="shared" si="503"/>
        <v>0</v>
      </c>
      <c r="AW533" s="10">
        <f t="shared" si="503"/>
        <v>0</v>
      </c>
      <c r="AX533" s="10">
        <f t="shared" si="503"/>
        <v>0</v>
      </c>
      <c r="AY533" s="10">
        <f t="shared" si="503"/>
        <v>0</v>
      </c>
      <c r="AZ533" s="10">
        <f t="shared" si="503"/>
        <v>0</v>
      </c>
      <c r="BA533" s="10">
        <f t="shared" si="503"/>
        <v>0</v>
      </c>
      <c r="BB533" s="10">
        <f t="shared" si="503"/>
        <v>0</v>
      </c>
      <c r="BC533" s="10">
        <f t="shared" si="503"/>
        <v>0</v>
      </c>
      <c r="BD533" s="10">
        <f t="shared" si="503"/>
        <v>0</v>
      </c>
      <c r="BE533" s="10">
        <f t="shared" si="503"/>
        <v>0</v>
      </c>
      <c r="BF533" s="10">
        <f t="shared" si="503"/>
        <v>0</v>
      </c>
      <c r="BG533" s="10">
        <f t="shared" si="503"/>
        <v>0</v>
      </c>
      <c r="BH533" s="10">
        <f t="shared" si="503"/>
        <v>0</v>
      </c>
      <c r="BI533" s="10">
        <f t="shared" si="503"/>
        <v>0</v>
      </c>
      <c r="BJ533" s="10">
        <f t="shared" si="503"/>
        <v>0</v>
      </c>
      <c r="BK533" s="10">
        <f t="shared" si="503"/>
        <v>0</v>
      </c>
      <c r="BL533" s="10">
        <f t="shared" si="503"/>
        <v>0</v>
      </c>
      <c r="BM533" s="10">
        <f t="shared" si="503"/>
        <v>0</v>
      </c>
      <c r="BN533" s="10">
        <f t="shared" si="503"/>
        <v>0</v>
      </c>
      <c r="BO533" s="10">
        <f t="shared" si="503"/>
        <v>0</v>
      </c>
      <c r="BP533" s="10">
        <f t="shared" si="503"/>
        <v>0</v>
      </c>
      <c r="BQ533" s="10">
        <f t="shared" si="503"/>
        <v>0</v>
      </c>
      <c r="BR533" s="10">
        <f t="shared" si="503"/>
        <v>0</v>
      </c>
      <c r="BS533" s="10">
        <f t="shared" si="503"/>
        <v>0</v>
      </c>
      <c r="BT533" s="10">
        <f t="shared" si="503"/>
        <v>0</v>
      </c>
      <c r="BU533" s="10">
        <f t="shared" si="503"/>
        <v>0</v>
      </c>
      <c r="BV533" s="10">
        <f t="shared" si="503"/>
        <v>0</v>
      </c>
      <c r="BX533" s="10">
        <f t="shared" ref="BX533:CI533" si="504">BX$85</f>
        <v>0</v>
      </c>
      <c r="BY533" s="10">
        <f t="shared" si="504"/>
        <v>0</v>
      </c>
      <c r="BZ533" s="10">
        <f t="shared" si="504"/>
        <v>0</v>
      </c>
      <c r="CA533" s="10">
        <f t="shared" si="504"/>
        <v>0</v>
      </c>
      <c r="CB533" s="10">
        <f t="shared" si="504"/>
        <v>0</v>
      </c>
      <c r="CC533" s="10">
        <f t="shared" si="504"/>
        <v>0</v>
      </c>
      <c r="CD533" s="10">
        <f t="shared" si="504"/>
        <v>0</v>
      </c>
      <c r="CE533" s="10">
        <f t="shared" si="504"/>
        <v>0</v>
      </c>
      <c r="CF533" s="10">
        <f t="shared" si="504"/>
        <v>0</v>
      </c>
      <c r="CG533" s="10">
        <f t="shared" si="504"/>
        <v>0</v>
      </c>
      <c r="CH533" s="10">
        <f t="shared" si="504"/>
        <v>0</v>
      </c>
      <c r="CI533" s="10">
        <f t="shared" si="504"/>
        <v>0</v>
      </c>
      <c r="CK533" s="11"/>
      <c r="CM533" s="11"/>
      <c r="DF533" s="11"/>
      <c r="EY533" s="10" t="str">
        <f t="shared" si="448"/>
        <v/>
      </c>
    </row>
    <row r="534" spans="2:155" x14ac:dyDescent="0.35">
      <c r="B534" s="69" t="str" cm="1">
        <f t="array" aca="1" ref="B534" ca="1">HYPERLINK(CONCATENATE("#",CELL("address",$D$94)),$D$94)</f>
        <v>Loan 3</v>
      </c>
      <c r="C534" s="211"/>
      <c r="D534" s="49">
        <f>D$15</f>
        <v>0</v>
      </c>
      <c r="E534" s="49" t="str">
        <f>F$15</f>
        <v/>
      </c>
      <c r="F534" s="49"/>
      <c r="H534" s="9" t="s">
        <v>1074</v>
      </c>
      <c r="I534" s="40" t="s">
        <v>665</v>
      </c>
      <c r="V534" s="133">
        <f>V$104</f>
        <v>0</v>
      </c>
      <c r="W534" s="10">
        <f>W$104</f>
        <v>0</v>
      </c>
      <c r="X534" s="10">
        <f>X$104</f>
        <v>0</v>
      </c>
      <c r="Y534" s="10">
        <f>Y$104</f>
        <v>0</v>
      </c>
      <c r="AA534" s="10">
        <f t="shared" ref="AA534:BV534" si="505">AA$104</f>
        <v>0</v>
      </c>
      <c r="AB534" s="10">
        <f t="shared" si="505"/>
        <v>0</v>
      </c>
      <c r="AC534" s="10">
        <f t="shared" si="505"/>
        <v>0</v>
      </c>
      <c r="AD534" s="10">
        <f t="shared" si="505"/>
        <v>0</v>
      </c>
      <c r="AE534" s="10">
        <f t="shared" si="505"/>
        <v>0</v>
      </c>
      <c r="AF534" s="10">
        <f t="shared" si="505"/>
        <v>0</v>
      </c>
      <c r="AG534" s="10">
        <f t="shared" si="505"/>
        <v>0</v>
      </c>
      <c r="AH534" s="10">
        <f t="shared" si="505"/>
        <v>0</v>
      </c>
      <c r="AI534" s="10">
        <f t="shared" si="505"/>
        <v>0</v>
      </c>
      <c r="AJ534" s="10">
        <f t="shared" si="505"/>
        <v>0</v>
      </c>
      <c r="AK534" s="10">
        <f t="shared" si="505"/>
        <v>0</v>
      </c>
      <c r="AL534" s="10">
        <f t="shared" si="505"/>
        <v>0</v>
      </c>
      <c r="AM534" s="10">
        <f t="shared" si="505"/>
        <v>0</v>
      </c>
      <c r="AN534" s="10">
        <f t="shared" si="505"/>
        <v>0</v>
      </c>
      <c r="AO534" s="10">
        <f t="shared" si="505"/>
        <v>0</v>
      </c>
      <c r="AP534" s="10">
        <f t="shared" si="505"/>
        <v>0</v>
      </c>
      <c r="AQ534" s="10">
        <f t="shared" si="505"/>
        <v>0</v>
      </c>
      <c r="AR534" s="10">
        <f t="shared" si="505"/>
        <v>0</v>
      </c>
      <c r="AS534" s="10">
        <f t="shared" si="505"/>
        <v>0</v>
      </c>
      <c r="AT534" s="10">
        <f t="shared" si="505"/>
        <v>0</v>
      </c>
      <c r="AU534" s="10">
        <f t="shared" si="505"/>
        <v>0</v>
      </c>
      <c r="AV534" s="10">
        <f t="shared" si="505"/>
        <v>0</v>
      </c>
      <c r="AW534" s="10">
        <f t="shared" si="505"/>
        <v>0</v>
      </c>
      <c r="AX534" s="10">
        <f t="shared" si="505"/>
        <v>0</v>
      </c>
      <c r="AY534" s="10">
        <f t="shared" si="505"/>
        <v>0</v>
      </c>
      <c r="AZ534" s="10">
        <f t="shared" si="505"/>
        <v>0</v>
      </c>
      <c r="BA534" s="10">
        <f t="shared" si="505"/>
        <v>0</v>
      </c>
      <c r="BB534" s="10">
        <f t="shared" si="505"/>
        <v>0</v>
      </c>
      <c r="BC534" s="10">
        <f t="shared" si="505"/>
        <v>0</v>
      </c>
      <c r="BD534" s="10">
        <f t="shared" si="505"/>
        <v>0</v>
      </c>
      <c r="BE534" s="10">
        <f t="shared" si="505"/>
        <v>0</v>
      </c>
      <c r="BF534" s="10">
        <f t="shared" si="505"/>
        <v>0</v>
      </c>
      <c r="BG534" s="10">
        <f t="shared" si="505"/>
        <v>0</v>
      </c>
      <c r="BH534" s="10">
        <f t="shared" si="505"/>
        <v>0</v>
      </c>
      <c r="BI534" s="10">
        <f t="shared" si="505"/>
        <v>0</v>
      </c>
      <c r="BJ534" s="10">
        <f t="shared" si="505"/>
        <v>0</v>
      </c>
      <c r="BK534" s="10">
        <f t="shared" si="505"/>
        <v>0</v>
      </c>
      <c r="BL534" s="10">
        <f t="shared" si="505"/>
        <v>0</v>
      </c>
      <c r="BM534" s="10">
        <f t="shared" si="505"/>
        <v>0</v>
      </c>
      <c r="BN534" s="10">
        <f t="shared" si="505"/>
        <v>0</v>
      </c>
      <c r="BO534" s="10">
        <f t="shared" si="505"/>
        <v>0</v>
      </c>
      <c r="BP534" s="10">
        <f t="shared" si="505"/>
        <v>0</v>
      </c>
      <c r="BQ534" s="10">
        <f t="shared" si="505"/>
        <v>0</v>
      </c>
      <c r="BR534" s="10">
        <f t="shared" si="505"/>
        <v>0</v>
      </c>
      <c r="BS534" s="10">
        <f t="shared" si="505"/>
        <v>0</v>
      </c>
      <c r="BT534" s="10">
        <f t="shared" si="505"/>
        <v>0</v>
      </c>
      <c r="BU534" s="10">
        <f t="shared" si="505"/>
        <v>0</v>
      </c>
      <c r="BV534" s="10">
        <f t="shared" si="505"/>
        <v>0</v>
      </c>
      <c r="BX534" s="10">
        <f t="shared" ref="BX534:CI534" si="506">BX$104</f>
        <v>0</v>
      </c>
      <c r="BY534" s="10">
        <f t="shared" si="506"/>
        <v>0</v>
      </c>
      <c r="BZ534" s="10">
        <f t="shared" si="506"/>
        <v>0</v>
      </c>
      <c r="CA534" s="10">
        <f t="shared" si="506"/>
        <v>0</v>
      </c>
      <c r="CB534" s="10">
        <f t="shared" si="506"/>
        <v>0</v>
      </c>
      <c r="CC534" s="10">
        <f t="shared" si="506"/>
        <v>0</v>
      </c>
      <c r="CD534" s="10">
        <f t="shared" si="506"/>
        <v>0</v>
      </c>
      <c r="CE534" s="10">
        <f t="shared" si="506"/>
        <v>0</v>
      </c>
      <c r="CF534" s="10">
        <f t="shared" si="506"/>
        <v>0</v>
      </c>
      <c r="CG534" s="10">
        <f t="shared" si="506"/>
        <v>0</v>
      </c>
      <c r="CH534" s="10">
        <f t="shared" si="506"/>
        <v>0</v>
      </c>
      <c r="CI534" s="10">
        <f t="shared" si="506"/>
        <v>0</v>
      </c>
      <c r="CK534" s="11"/>
      <c r="CM534" s="11"/>
      <c r="DF534" s="11"/>
      <c r="EY534" s="10" t="str">
        <f t="shared" si="448"/>
        <v/>
      </c>
    </row>
    <row r="535" spans="2:155" x14ac:dyDescent="0.35">
      <c r="B535" s="69" t="str" cm="1">
        <f t="array" aca="1" ref="B535" ca="1">HYPERLINK(CONCATENATE("#",CELL("address",$D$113)),$D$113)</f>
        <v>Loan 4</v>
      </c>
      <c r="C535" s="211"/>
      <c r="D535" s="49">
        <f>D$16</f>
        <v>0</v>
      </c>
      <c r="E535" s="49" t="str">
        <f>F$16</f>
        <v/>
      </c>
      <c r="F535" s="49"/>
      <c r="H535" s="9" t="s">
        <v>1074</v>
      </c>
      <c r="I535" s="40" t="s">
        <v>665</v>
      </c>
      <c r="V535" s="133">
        <f>V$123</f>
        <v>0</v>
      </c>
      <c r="W535" s="10">
        <f>W$123</f>
        <v>0</v>
      </c>
      <c r="X535" s="10">
        <f>X$123</f>
        <v>0</v>
      </c>
      <c r="Y535" s="10">
        <f>Y$123</f>
        <v>0</v>
      </c>
      <c r="AA535" s="10">
        <f t="shared" ref="AA535:BV535" si="507">AA$123</f>
        <v>0</v>
      </c>
      <c r="AB535" s="10">
        <f t="shared" si="507"/>
        <v>0</v>
      </c>
      <c r="AC535" s="10">
        <f t="shared" si="507"/>
        <v>0</v>
      </c>
      <c r="AD535" s="10">
        <f t="shared" si="507"/>
        <v>0</v>
      </c>
      <c r="AE535" s="10">
        <f t="shared" si="507"/>
        <v>0</v>
      </c>
      <c r="AF535" s="10">
        <f t="shared" si="507"/>
        <v>0</v>
      </c>
      <c r="AG535" s="10">
        <f t="shared" si="507"/>
        <v>0</v>
      </c>
      <c r="AH535" s="10">
        <f t="shared" si="507"/>
        <v>0</v>
      </c>
      <c r="AI535" s="10">
        <f t="shared" si="507"/>
        <v>0</v>
      </c>
      <c r="AJ535" s="10">
        <f t="shared" si="507"/>
        <v>0</v>
      </c>
      <c r="AK535" s="10">
        <f t="shared" si="507"/>
        <v>0</v>
      </c>
      <c r="AL535" s="10">
        <f t="shared" si="507"/>
        <v>0</v>
      </c>
      <c r="AM535" s="10">
        <f t="shared" si="507"/>
        <v>0</v>
      </c>
      <c r="AN535" s="10">
        <f t="shared" si="507"/>
        <v>0</v>
      </c>
      <c r="AO535" s="10">
        <f t="shared" si="507"/>
        <v>0</v>
      </c>
      <c r="AP535" s="10">
        <f t="shared" si="507"/>
        <v>0</v>
      </c>
      <c r="AQ535" s="10">
        <f t="shared" si="507"/>
        <v>0</v>
      </c>
      <c r="AR535" s="10">
        <f t="shared" si="507"/>
        <v>0</v>
      </c>
      <c r="AS535" s="10">
        <f t="shared" si="507"/>
        <v>0</v>
      </c>
      <c r="AT535" s="10">
        <f t="shared" si="507"/>
        <v>0</v>
      </c>
      <c r="AU535" s="10">
        <f t="shared" si="507"/>
        <v>0</v>
      </c>
      <c r="AV535" s="10">
        <f t="shared" si="507"/>
        <v>0</v>
      </c>
      <c r="AW535" s="10">
        <f t="shared" si="507"/>
        <v>0</v>
      </c>
      <c r="AX535" s="10">
        <f t="shared" si="507"/>
        <v>0</v>
      </c>
      <c r="AY535" s="10">
        <f t="shared" si="507"/>
        <v>0</v>
      </c>
      <c r="AZ535" s="10">
        <f t="shared" si="507"/>
        <v>0</v>
      </c>
      <c r="BA535" s="10">
        <f t="shared" si="507"/>
        <v>0</v>
      </c>
      <c r="BB535" s="10">
        <f t="shared" si="507"/>
        <v>0</v>
      </c>
      <c r="BC535" s="10">
        <f t="shared" si="507"/>
        <v>0</v>
      </c>
      <c r="BD535" s="10">
        <f t="shared" si="507"/>
        <v>0</v>
      </c>
      <c r="BE535" s="10">
        <f t="shared" si="507"/>
        <v>0</v>
      </c>
      <c r="BF535" s="10">
        <f t="shared" si="507"/>
        <v>0</v>
      </c>
      <c r="BG535" s="10">
        <f t="shared" si="507"/>
        <v>0</v>
      </c>
      <c r="BH535" s="10">
        <f t="shared" si="507"/>
        <v>0</v>
      </c>
      <c r="BI535" s="10">
        <f t="shared" si="507"/>
        <v>0</v>
      </c>
      <c r="BJ535" s="10">
        <f t="shared" si="507"/>
        <v>0</v>
      </c>
      <c r="BK535" s="10">
        <f t="shared" si="507"/>
        <v>0</v>
      </c>
      <c r="BL535" s="10">
        <f t="shared" si="507"/>
        <v>0</v>
      </c>
      <c r="BM535" s="10">
        <f t="shared" si="507"/>
        <v>0</v>
      </c>
      <c r="BN535" s="10">
        <f t="shared" si="507"/>
        <v>0</v>
      </c>
      <c r="BO535" s="10">
        <f t="shared" si="507"/>
        <v>0</v>
      </c>
      <c r="BP535" s="10">
        <f t="shared" si="507"/>
        <v>0</v>
      </c>
      <c r="BQ535" s="10">
        <f t="shared" si="507"/>
        <v>0</v>
      </c>
      <c r="BR535" s="10">
        <f t="shared" si="507"/>
        <v>0</v>
      </c>
      <c r="BS535" s="10">
        <f t="shared" si="507"/>
        <v>0</v>
      </c>
      <c r="BT535" s="10">
        <f t="shared" si="507"/>
        <v>0</v>
      </c>
      <c r="BU535" s="10">
        <f t="shared" si="507"/>
        <v>0</v>
      </c>
      <c r="BV535" s="10">
        <f t="shared" si="507"/>
        <v>0</v>
      </c>
      <c r="BX535" s="10">
        <f t="shared" ref="BX535:CI535" si="508">BX$123</f>
        <v>0</v>
      </c>
      <c r="BY535" s="10">
        <f t="shared" si="508"/>
        <v>0</v>
      </c>
      <c r="BZ535" s="10">
        <f t="shared" si="508"/>
        <v>0</v>
      </c>
      <c r="CA535" s="10">
        <f t="shared" si="508"/>
        <v>0</v>
      </c>
      <c r="CB535" s="10">
        <f t="shared" si="508"/>
        <v>0</v>
      </c>
      <c r="CC535" s="10">
        <f t="shared" si="508"/>
        <v>0</v>
      </c>
      <c r="CD535" s="10">
        <f t="shared" si="508"/>
        <v>0</v>
      </c>
      <c r="CE535" s="10">
        <f t="shared" si="508"/>
        <v>0</v>
      </c>
      <c r="CF535" s="10">
        <f t="shared" si="508"/>
        <v>0</v>
      </c>
      <c r="CG535" s="10">
        <f t="shared" si="508"/>
        <v>0</v>
      </c>
      <c r="CH535" s="10">
        <f t="shared" si="508"/>
        <v>0</v>
      </c>
      <c r="CI535" s="10">
        <f t="shared" si="508"/>
        <v>0</v>
      </c>
      <c r="CK535" s="11"/>
      <c r="CM535" s="11"/>
      <c r="DF535" s="11"/>
      <c r="EY535" s="10" t="str">
        <f t="shared" si="448"/>
        <v/>
      </c>
    </row>
    <row r="536" spans="2:155" x14ac:dyDescent="0.35">
      <c r="B536" s="69" t="str" cm="1">
        <f t="array" aca="1" ref="B536" ca="1">HYPERLINK(CONCATENATE("#",CELL("address",$D$132)),$D$132)</f>
        <v>Loan 5</v>
      </c>
      <c r="C536" s="211"/>
      <c r="D536" s="49">
        <f>D$17</f>
        <v>0</v>
      </c>
      <c r="E536" s="49" t="str">
        <f>F$17</f>
        <v/>
      </c>
      <c r="F536" s="49"/>
      <c r="H536" s="9" t="s">
        <v>1074</v>
      </c>
      <c r="I536" s="40" t="s">
        <v>665</v>
      </c>
      <c r="V536" s="133">
        <f>V$142</f>
        <v>0</v>
      </c>
      <c r="W536" s="10">
        <f>W$142</f>
        <v>0</v>
      </c>
      <c r="X536" s="10">
        <f>X$142</f>
        <v>0</v>
      </c>
      <c r="Y536" s="10">
        <f>Y$142</f>
        <v>0</v>
      </c>
      <c r="AA536" s="10">
        <f t="shared" ref="AA536:BV536" si="509">AA$142</f>
        <v>0</v>
      </c>
      <c r="AB536" s="10">
        <f t="shared" si="509"/>
        <v>0</v>
      </c>
      <c r="AC536" s="10">
        <f t="shared" si="509"/>
        <v>0</v>
      </c>
      <c r="AD536" s="10">
        <f t="shared" si="509"/>
        <v>0</v>
      </c>
      <c r="AE536" s="10">
        <f t="shared" si="509"/>
        <v>0</v>
      </c>
      <c r="AF536" s="10">
        <f t="shared" si="509"/>
        <v>0</v>
      </c>
      <c r="AG536" s="10">
        <f t="shared" si="509"/>
        <v>0</v>
      </c>
      <c r="AH536" s="10">
        <f t="shared" si="509"/>
        <v>0</v>
      </c>
      <c r="AI536" s="10">
        <f t="shared" si="509"/>
        <v>0</v>
      </c>
      <c r="AJ536" s="10">
        <f t="shared" si="509"/>
        <v>0</v>
      </c>
      <c r="AK536" s="10">
        <f t="shared" si="509"/>
        <v>0</v>
      </c>
      <c r="AL536" s="10">
        <f t="shared" si="509"/>
        <v>0</v>
      </c>
      <c r="AM536" s="10">
        <f t="shared" si="509"/>
        <v>0</v>
      </c>
      <c r="AN536" s="10">
        <f t="shared" si="509"/>
        <v>0</v>
      </c>
      <c r="AO536" s="10">
        <f t="shared" si="509"/>
        <v>0</v>
      </c>
      <c r="AP536" s="10">
        <f t="shared" si="509"/>
        <v>0</v>
      </c>
      <c r="AQ536" s="10">
        <f t="shared" si="509"/>
        <v>0</v>
      </c>
      <c r="AR536" s="10">
        <f t="shared" si="509"/>
        <v>0</v>
      </c>
      <c r="AS536" s="10">
        <f t="shared" si="509"/>
        <v>0</v>
      </c>
      <c r="AT536" s="10">
        <f t="shared" si="509"/>
        <v>0</v>
      </c>
      <c r="AU536" s="10">
        <f t="shared" si="509"/>
        <v>0</v>
      </c>
      <c r="AV536" s="10">
        <f t="shared" si="509"/>
        <v>0</v>
      </c>
      <c r="AW536" s="10">
        <f t="shared" si="509"/>
        <v>0</v>
      </c>
      <c r="AX536" s="10">
        <f t="shared" si="509"/>
        <v>0</v>
      </c>
      <c r="AY536" s="10">
        <f t="shared" si="509"/>
        <v>0</v>
      </c>
      <c r="AZ536" s="10">
        <f t="shared" si="509"/>
        <v>0</v>
      </c>
      <c r="BA536" s="10">
        <f t="shared" si="509"/>
        <v>0</v>
      </c>
      <c r="BB536" s="10">
        <f t="shared" si="509"/>
        <v>0</v>
      </c>
      <c r="BC536" s="10">
        <f t="shared" si="509"/>
        <v>0</v>
      </c>
      <c r="BD536" s="10">
        <f t="shared" si="509"/>
        <v>0</v>
      </c>
      <c r="BE536" s="10">
        <f t="shared" si="509"/>
        <v>0</v>
      </c>
      <c r="BF536" s="10">
        <f t="shared" si="509"/>
        <v>0</v>
      </c>
      <c r="BG536" s="10">
        <f t="shared" si="509"/>
        <v>0</v>
      </c>
      <c r="BH536" s="10">
        <f t="shared" si="509"/>
        <v>0</v>
      </c>
      <c r="BI536" s="10">
        <f t="shared" si="509"/>
        <v>0</v>
      </c>
      <c r="BJ536" s="10">
        <f t="shared" si="509"/>
        <v>0</v>
      </c>
      <c r="BK536" s="10">
        <f t="shared" si="509"/>
        <v>0</v>
      </c>
      <c r="BL536" s="10">
        <f t="shared" si="509"/>
        <v>0</v>
      </c>
      <c r="BM536" s="10">
        <f t="shared" si="509"/>
        <v>0</v>
      </c>
      <c r="BN536" s="10">
        <f t="shared" si="509"/>
        <v>0</v>
      </c>
      <c r="BO536" s="10">
        <f t="shared" si="509"/>
        <v>0</v>
      </c>
      <c r="BP536" s="10">
        <f t="shared" si="509"/>
        <v>0</v>
      </c>
      <c r="BQ536" s="10">
        <f t="shared" si="509"/>
        <v>0</v>
      </c>
      <c r="BR536" s="10">
        <f t="shared" si="509"/>
        <v>0</v>
      </c>
      <c r="BS536" s="10">
        <f t="shared" si="509"/>
        <v>0</v>
      </c>
      <c r="BT536" s="10">
        <f t="shared" si="509"/>
        <v>0</v>
      </c>
      <c r="BU536" s="10">
        <f t="shared" si="509"/>
        <v>0</v>
      </c>
      <c r="BV536" s="10">
        <f t="shared" si="509"/>
        <v>0</v>
      </c>
      <c r="BX536" s="10">
        <f t="shared" ref="BX536:CI536" si="510">BX$142</f>
        <v>0</v>
      </c>
      <c r="BY536" s="10">
        <f t="shared" si="510"/>
        <v>0</v>
      </c>
      <c r="BZ536" s="10">
        <f t="shared" si="510"/>
        <v>0</v>
      </c>
      <c r="CA536" s="10">
        <f t="shared" si="510"/>
        <v>0</v>
      </c>
      <c r="CB536" s="10">
        <f t="shared" si="510"/>
        <v>0</v>
      </c>
      <c r="CC536" s="10">
        <f t="shared" si="510"/>
        <v>0</v>
      </c>
      <c r="CD536" s="10">
        <f t="shared" si="510"/>
        <v>0</v>
      </c>
      <c r="CE536" s="10">
        <f t="shared" si="510"/>
        <v>0</v>
      </c>
      <c r="CF536" s="10">
        <f t="shared" si="510"/>
        <v>0</v>
      </c>
      <c r="CG536" s="10">
        <f t="shared" si="510"/>
        <v>0</v>
      </c>
      <c r="CH536" s="10">
        <f t="shared" si="510"/>
        <v>0</v>
      </c>
      <c r="CI536" s="10">
        <f t="shared" si="510"/>
        <v>0</v>
      </c>
      <c r="CK536" s="11"/>
      <c r="CM536" s="11"/>
      <c r="DF536" s="11"/>
      <c r="EY536" s="10" t="str">
        <f t="shared" si="448"/>
        <v/>
      </c>
    </row>
    <row r="537" spans="2:155" x14ac:dyDescent="0.35">
      <c r="B537" s="69" t="str" cm="1">
        <f t="array" aca="1" ref="B537" ca="1">HYPERLINK(CONCATENATE("#",CELL("address",$D$151)),$D$151)</f>
        <v>Loan 6</v>
      </c>
      <c r="C537" s="211"/>
      <c r="D537" s="49">
        <f>D$18</f>
        <v>0</v>
      </c>
      <c r="E537" s="49" t="str">
        <f>F$18</f>
        <v/>
      </c>
      <c r="F537" s="49"/>
      <c r="H537" s="9" t="s">
        <v>1074</v>
      </c>
      <c r="I537" s="40" t="s">
        <v>665</v>
      </c>
      <c r="V537" s="133">
        <f>V$161</f>
        <v>0</v>
      </c>
      <c r="W537" s="10">
        <f>W$161</f>
        <v>0</v>
      </c>
      <c r="X537" s="10">
        <f>X$161</f>
        <v>0</v>
      </c>
      <c r="Y537" s="10">
        <f>Y$161</f>
        <v>0</v>
      </c>
      <c r="AA537" s="10">
        <f t="shared" ref="AA537:BV537" si="511">AA$161</f>
        <v>0</v>
      </c>
      <c r="AB537" s="10">
        <f t="shared" si="511"/>
        <v>0</v>
      </c>
      <c r="AC537" s="10">
        <f t="shared" si="511"/>
        <v>0</v>
      </c>
      <c r="AD537" s="10">
        <f t="shared" si="511"/>
        <v>0</v>
      </c>
      <c r="AE537" s="10">
        <f t="shared" si="511"/>
        <v>0</v>
      </c>
      <c r="AF537" s="10">
        <f t="shared" si="511"/>
        <v>0</v>
      </c>
      <c r="AG537" s="10">
        <f t="shared" si="511"/>
        <v>0</v>
      </c>
      <c r="AH537" s="10">
        <f t="shared" si="511"/>
        <v>0</v>
      </c>
      <c r="AI537" s="10">
        <f t="shared" si="511"/>
        <v>0</v>
      </c>
      <c r="AJ537" s="10">
        <f t="shared" si="511"/>
        <v>0</v>
      </c>
      <c r="AK537" s="10">
        <f t="shared" si="511"/>
        <v>0</v>
      </c>
      <c r="AL537" s="10">
        <f t="shared" si="511"/>
        <v>0</v>
      </c>
      <c r="AM537" s="10">
        <f t="shared" si="511"/>
        <v>0</v>
      </c>
      <c r="AN537" s="10">
        <f t="shared" si="511"/>
        <v>0</v>
      </c>
      <c r="AO537" s="10">
        <f t="shared" si="511"/>
        <v>0</v>
      </c>
      <c r="AP537" s="10">
        <f t="shared" si="511"/>
        <v>0</v>
      </c>
      <c r="AQ537" s="10">
        <f t="shared" si="511"/>
        <v>0</v>
      </c>
      <c r="AR537" s="10">
        <f t="shared" si="511"/>
        <v>0</v>
      </c>
      <c r="AS537" s="10">
        <f t="shared" si="511"/>
        <v>0</v>
      </c>
      <c r="AT537" s="10">
        <f t="shared" si="511"/>
        <v>0</v>
      </c>
      <c r="AU537" s="10">
        <f t="shared" si="511"/>
        <v>0</v>
      </c>
      <c r="AV537" s="10">
        <f t="shared" si="511"/>
        <v>0</v>
      </c>
      <c r="AW537" s="10">
        <f t="shared" si="511"/>
        <v>0</v>
      </c>
      <c r="AX537" s="10">
        <f t="shared" si="511"/>
        <v>0</v>
      </c>
      <c r="AY537" s="10">
        <f t="shared" si="511"/>
        <v>0</v>
      </c>
      <c r="AZ537" s="10">
        <f t="shared" si="511"/>
        <v>0</v>
      </c>
      <c r="BA537" s="10">
        <f t="shared" si="511"/>
        <v>0</v>
      </c>
      <c r="BB537" s="10">
        <f t="shared" si="511"/>
        <v>0</v>
      </c>
      <c r="BC537" s="10">
        <f t="shared" si="511"/>
        <v>0</v>
      </c>
      <c r="BD537" s="10">
        <f t="shared" si="511"/>
        <v>0</v>
      </c>
      <c r="BE537" s="10">
        <f t="shared" si="511"/>
        <v>0</v>
      </c>
      <c r="BF537" s="10">
        <f t="shared" si="511"/>
        <v>0</v>
      </c>
      <c r="BG537" s="10">
        <f t="shared" si="511"/>
        <v>0</v>
      </c>
      <c r="BH537" s="10">
        <f t="shared" si="511"/>
        <v>0</v>
      </c>
      <c r="BI537" s="10">
        <f t="shared" si="511"/>
        <v>0</v>
      </c>
      <c r="BJ537" s="10">
        <f t="shared" si="511"/>
        <v>0</v>
      </c>
      <c r="BK537" s="10">
        <f t="shared" si="511"/>
        <v>0</v>
      </c>
      <c r="BL537" s="10">
        <f t="shared" si="511"/>
        <v>0</v>
      </c>
      <c r="BM537" s="10">
        <f t="shared" si="511"/>
        <v>0</v>
      </c>
      <c r="BN537" s="10">
        <f t="shared" si="511"/>
        <v>0</v>
      </c>
      <c r="BO537" s="10">
        <f t="shared" si="511"/>
        <v>0</v>
      </c>
      <c r="BP537" s="10">
        <f t="shared" si="511"/>
        <v>0</v>
      </c>
      <c r="BQ537" s="10">
        <f t="shared" si="511"/>
        <v>0</v>
      </c>
      <c r="BR537" s="10">
        <f t="shared" si="511"/>
        <v>0</v>
      </c>
      <c r="BS537" s="10">
        <f t="shared" si="511"/>
        <v>0</v>
      </c>
      <c r="BT537" s="10">
        <f t="shared" si="511"/>
        <v>0</v>
      </c>
      <c r="BU537" s="10">
        <f t="shared" si="511"/>
        <v>0</v>
      </c>
      <c r="BV537" s="10">
        <f t="shared" si="511"/>
        <v>0</v>
      </c>
      <c r="BX537" s="10">
        <f t="shared" ref="BX537:CI537" si="512">BX$161</f>
        <v>0</v>
      </c>
      <c r="BY537" s="10">
        <f t="shared" si="512"/>
        <v>0</v>
      </c>
      <c r="BZ537" s="10">
        <f t="shared" si="512"/>
        <v>0</v>
      </c>
      <c r="CA537" s="10">
        <f t="shared" si="512"/>
        <v>0</v>
      </c>
      <c r="CB537" s="10">
        <f t="shared" si="512"/>
        <v>0</v>
      </c>
      <c r="CC537" s="10">
        <f t="shared" si="512"/>
        <v>0</v>
      </c>
      <c r="CD537" s="10">
        <f t="shared" si="512"/>
        <v>0</v>
      </c>
      <c r="CE537" s="10">
        <f t="shared" si="512"/>
        <v>0</v>
      </c>
      <c r="CF537" s="10">
        <f t="shared" si="512"/>
        <v>0</v>
      </c>
      <c r="CG537" s="10">
        <f t="shared" si="512"/>
        <v>0</v>
      </c>
      <c r="CH537" s="10">
        <f t="shared" si="512"/>
        <v>0</v>
      </c>
      <c r="CI537" s="10">
        <f t="shared" si="512"/>
        <v>0</v>
      </c>
      <c r="CK537" s="11"/>
      <c r="CM537" s="11"/>
      <c r="DF537" s="11"/>
      <c r="EY537" s="10" t="str">
        <f t="shared" si="448"/>
        <v/>
      </c>
    </row>
    <row r="538" spans="2:155" x14ac:dyDescent="0.35">
      <c r="B538" s="69" t="str" cm="1">
        <f t="array" aca="1" ref="B538" ca="1">HYPERLINK(CONCATENATE("#",CELL("address",$D$170)),$D$170)</f>
        <v>Loan 7</v>
      </c>
      <c r="C538" s="211"/>
      <c r="D538" s="49">
        <f>D$19</f>
        <v>0</v>
      </c>
      <c r="E538" s="49" t="str">
        <f>F$19</f>
        <v/>
      </c>
      <c r="F538" s="49"/>
      <c r="H538" s="9" t="s">
        <v>1074</v>
      </c>
      <c r="I538" s="40" t="s">
        <v>665</v>
      </c>
      <c r="V538" s="133">
        <f>V$180</f>
        <v>0</v>
      </c>
      <c r="W538" s="10">
        <f>W$180</f>
        <v>0</v>
      </c>
      <c r="X538" s="10">
        <f>X$180</f>
        <v>0</v>
      </c>
      <c r="Y538" s="10">
        <f>Y$180</f>
        <v>0</v>
      </c>
      <c r="AA538" s="10">
        <f t="shared" ref="AA538:BV538" si="513">AA$180</f>
        <v>0</v>
      </c>
      <c r="AB538" s="10">
        <f t="shared" si="513"/>
        <v>0</v>
      </c>
      <c r="AC538" s="10">
        <f t="shared" si="513"/>
        <v>0</v>
      </c>
      <c r="AD538" s="10">
        <f t="shared" si="513"/>
        <v>0</v>
      </c>
      <c r="AE538" s="10">
        <f t="shared" si="513"/>
        <v>0</v>
      </c>
      <c r="AF538" s="10">
        <f t="shared" si="513"/>
        <v>0</v>
      </c>
      <c r="AG538" s="10">
        <f t="shared" si="513"/>
        <v>0</v>
      </c>
      <c r="AH538" s="10">
        <f t="shared" si="513"/>
        <v>0</v>
      </c>
      <c r="AI538" s="10">
        <f t="shared" si="513"/>
        <v>0</v>
      </c>
      <c r="AJ538" s="10">
        <f t="shared" si="513"/>
        <v>0</v>
      </c>
      <c r="AK538" s="10">
        <f t="shared" si="513"/>
        <v>0</v>
      </c>
      <c r="AL538" s="10">
        <f t="shared" si="513"/>
        <v>0</v>
      </c>
      <c r="AM538" s="10">
        <f t="shared" si="513"/>
        <v>0</v>
      </c>
      <c r="AN538" s="10">
        <f t="shared" si="513"/>
        <v>0</v>
      </c>
      <c r="AO538" s="10">
        <f t="shared" si="513"/>
        <v>0</v>
      </c>
      <c r="AP538" s="10">
        <f t="shared" si="513"/>
        <v>0</v>
      </c>
      <c r="AQ538" s="10">
        <f t="shared" si="513"/>
        <v>0</v>
      </c>
      <c r="AR538" s="10">
        <f t="shared" si="513"/>
        <v>0</v>
      </c>
      <c r="AS538" s="10">
        <f t="shared" si="513"/>
        <v>0</v>
      </c>
      <c r="AT538" s="10">
        <f t="shared" si="513"/>
        <v>0</v>
      </c>
      <c r="AU538" s="10">
        <f t="shared" si="513"/>
        <v>0</v>
      </c>
      <c r="AV538" s="10">
        <f t="shared" si="513"/>
        <v>0</v>
      </c>
      <c r="AW538" s="10">
        <f t="shared" si="513"/>
        <v>0</v>
      </c>
      <c r="AX538" s="10">
        <f t="shared" si="513"/>
        <v>0</v>
      </c>
      <c r="AY538" s="10">
        <f t="shared" si="513"/>
        <v>0</v>
      </c>
      <c r="AZ538" s="10">
        <f t="shared" si="513"/>
        <v>0</v>
      </c>
      <c r="BA538" s="10">
        <f t="shared" si="513"/>
        <v>0</v>
      </c>
      <c r="BB538" s="10">
        <f t="shared" si="513"/>
        <v>0</v>
      </c>
      <c r="BC538" s="10">
        <f t="shared" si="513"/>
        <v>0</v>
      </c>
      <c r="BD538" s="10">
        <f t="shared" si="513"/>
        <v>0</v>
      </c>
      <c r="BE538" s="10">
        <f t="shared" si="513"/>
        <v>0</v>
      </c>
      <c r="BF538" s="10">
        <f t="shared" si="513"/>
        <v>0</v>
      </c>
      <c r="BG538" s="10">
        <f t="shared" si="513"/>
        <v>0</v>
      </c>
      <c r="BH538" s="10">
        <f t="shared" si="513"/>
        <v>0</v>
      </c>
      <c r="BI538" s="10">
        <f t="shared" si="513"/>
        <v>0</v>
      </c>
      <c r="BJ538" s="10">
        <f t="shared" si="513"/>
        <v>0</v>
      </c>
      <c r="BK538" s="10">
        <f t="shared" si="513"/>
        <v>0</v>
      </c>
      <c r="BL538" s="10">
        <f t="shared" si="513"/>
        <v>0</v>
      </c>
      <c r="BM538" s="10">
        <f t="shared" si="513"/>
        <v>0</v>
      </c>
      <c r="BN538" s="10">
        <f t="shared" si="513"/>
        <v>0</v>
      </c>
      <c r="BO538" s="10">
        <f t="shared" si="513"/>
        <v>0</v>
      </c>
      <c r="BP538" s="10">
        <f t="shared" si="513"/>
        <v>0</v>
      </c>
      <c r="BQ538" s="10">
        <f t="shared" si="513"/>
        <v>0</v>
      </c>
      <c r="BR538" s="10">
        <f t="shared" si="513"/>
        <v>0</v>
      </c>
      <c r="BS538" s="10">
        <f t="shared" si="513"/>
        <v>0</v>
      </c>
      <c r="BT538" s="10">
        <f t="shared" si="513"/>
        <v>0</v>
      </c>
      <c r="BU538" s="10">
        <f t="shared" si="513"/>
        <v>0</v>
      </c>
      <c r="BV538" s="10">
        <f t="shared" si="513"/>
        <v>0</v>
      </c>
      <c r="BX538" s="10">
        <f t="shared" ref="BX538:CI538" si="514">BX$180</f>
        <v>0</v>
      </c>
      <c r="BY538" s="10">
        <f t="shared" si="514"/>
        <v>0</v>
      </c>
      <c r="BZ538" s="10">
        <f t="shared" si="514"/>
        <v>0</v>
      </c>
      <c r="CA538" s="10">
        <f t="shared" si="514"/>
        <v>0</v>
      </c>
      <c r="CB538" s="10">
        <f t="shared" si="514"/>
        <v>0</v>
      </c>
      <c r="CC538" s="10">
        <f t="shared" si="514"/>
        <v>0</v>
      </c>
      <c r="CD538" s="10">
        <f t="shared" si="514"/>
        <v>0</v>
      </c>
      <c r="CE538" s="10">
        <f t="shared" si="514"/>
        <v>0</v>
      </c>
      <c r="CF538" s="10">
        <f t="shared" si="514"/>
        <v>0</v>
      </c>
      <c r="CG538" s="10">
        <f t="shared" si="514"/>
        <v>0</v>
      </c>
      <c r="CH538" s="10">
        <f t="shared" si="514"/>
        <v>0</v>
      </c>
      <c r="CI538" s="10">
        <f t="shared" si="514"/>
        <v>0</v>
      </c>
      <c r="CK538" s="11"/>
      <c r="CM538" s="11"/>
      <c r="DF538" s="11"/>
      <c r="EY538" s="10" t="str">
        <f t="shared" si="448"/>
        <v/>
      </c>
    </row>
    <row r="539" spans="2:155" x14ac:dyDescent="0.35">
      <c r="B539" s="69" t="str" cm="1">
        <f t="array" aca="1" ref="B539" ca="1">HYPERLINK(CONCATENATE("#",CELL("address",$D$189)),$D$189)</f>
        <v>Loan 8</v>
      </c>
      <c r="C539" s="211"/>
      <c r="D539" s="49">
        <f>D$20</f>
        <v>0</v>
      </c>
      <c r="E539" s="49" t="str">
        <f>F$20</f>
        <v/>
      </c>
      <c r="F539" s="49"/>
      <c r="H539" s="9" t="s">
        <v>1074</v>
      </c>
      <c r="I539" s="40" t="s">
        <v>665</v>
      </c>
      <c r="V539" s="133">
        <f>V$199</f>
        <v>0</v>
      </c>
      <c r="W539" s="10">
        <f>W$199</f>
        <v>0</v>
      </c>
      <c r="X539" s="10">
        <f>X$199</f>
        <v>0</v>
      </c>
      <c r="Y539" s="10">
        <f>Y$199</f>
        <v>0</v>
      </c>
      <c r="AA539" s="10">
        <f t="shared" ref="AA539:BV539" si="515">AA$199</f>
        <v>0</v>
      </c>
      <c r="AB539" s="10">
        <f t="shared" si="515"/>
        <v>0</v>
      </c>
      <c r="AC539" s="10">
        <f t="shared" si="515"/>
        <v>0</v>
      </c>
      <c r="AD539" s="10">
        <f t="shared" si="515"/>
        <v>0</v>
      </c>
      <c r="AE539" s="10">
        <f t="shared" si="515"/>
        <v>0</v>
      </c>
      <c r="AF539" s="10">
        <f t="shared" si="515"/>
        <v>0</v>
      </c>
      <c r="AG539" s="10">
        <f t="shared" si="515"/>
        <v>0</v>
      </c>
      <c r="AH539" s="10">
        <f t="shared" si="515"/>
        <v>0</v>
      </c>
      <c r="AI539" s="10">
        <f t="shared" si="515"/>
        <v>0</v>
      </c>
      <c r="AJ539" s="10">
        <f t="shared" si="515"/>
        <v>0</v>
      </c>
      <c r="AK539" s="10">
        <f t="shared" si="515"/>
        <v>0</v>
      </c>
      <c r="AL539" s="10">
        <f t="shared" si="515"/>
        <v>0</v>
      </c>
      <c r="AM539" s="10">
        <f t="shared" si="515"/>
        <v>0</v>
      </c>
      <c r="AN539" s="10">
        <f t="shared" si="515"/>
        <v>0</v>
      </c>
      <c r="AO539" s="10">
        <f t="shared" si="515"/>
        <v>0</v>
      </c>
      <c r="AP539" s="10">
        <f t="shared" si="515"/>
        <v>0</v>
      </c>
      <c r="AQ539" s="10">
        <f t="shared" si="515"/>
        <v>0</v>
      </c>
      <c r="AR539" s="10">
        <f t="shared" si="515"/>
        <v>0</v>
      </c>
      <c r="AS539" s="10">
        <f t="shared" si="515"/>
        <v>0</v>
      </c>
      <c r="AT539" s="10">
        <f t="shared" si="515"/>
        <v>0</v>
      </c>
      <c r="AU539" s="10">
        <f t="shared" si="515"/>
        <v>0</v>
      </c>
      <c r="AV539" s="10">
        <f t="shared" si="515"/>
        <v>0</v>
      </c>
      <c r="AW539" s="10">
        <f t="shared" si="515"/>
        <v>0</v>
      </c>
      <c r="AX539" s="10">
        <f t="shared" si="515"/>
        <v>0</v>
      </c>
      <c r="AY539" s="10">
        <f t="shared" si="515"/>
        <v>0</v>
      </c>
      <c r="AZ539" s="10">
        <f t="shared" si="515"/>
        <v>0</v>
      </c>
      <c r="BA539" s="10">
        <f t="shared" si="515"/>
        <v>0</v>
      </c>
      <c r="BB539" s="10">
        <f t="shared" si="515"/>
        <v>0</v>
      </c>
      <c r="BC539" s="10">
        <f t="shared" si="515"/>
        <v>0</v>
      </c>
      <c r="BD539" s="10">
        <f t="shared" si="515"/>
        <v>0</v>
      </c>
      <c r="BE539" s="10">
        <f t="shared" si="515"/>
        <v>0</v>
      </c>
      <c r="BF539" s="10">
        <f t="shared" si="515"/>
        <v>0</v>
      </c>
      <c r="BG539" s="10">
        <f t="shared" si="515"/>
        <v>0</v>
      </c>
      <c r="BH539" s="10">
        <f t="shared" si="515"/>
        <v>0</v>
      </c>
      <c r="BI539" s="10">
        <f t="shared" si="515"/>
        <v>0</v>
      </c>
      <c r="BJ539" s="10">
        <f t="shared" si="515"/>
        <v>0</v>
      </c>
      <c r="BK539" s="10">
        <f t="shared" si="515"/>
        <v>0</v>
      </c>
      <c r="BL539" s="10">
        <f t="shared" si="515"/>
        <v>0</v>
      </c>
      <c r="BM539" s="10">
        <f t="shared" si="515"/>
        <v>0</v>
      </c>
      <c r="BN539" s="10">
        <f t="shared" si="515"/>
        <v>0</v>
      </c>
      <c r="BO539" s="10">
        <f t="shared" si="515"/>
        <v>0</v>
      </c>
      <c r="BP539" s="10">
        <f t="shared" si="515"/>
        <v>0</v>
      </c>
      <c r="BQ539" s="10">
        <f t="shared" si="515"/>
        <v>0</v>
      </c>
      <c r="BR539" s="10">
        <f t="shared" si="515"/>
        <v>0</v>
      </c>
      <c r="BS539" s="10">
        <f t="shared" si="515"/>
        <v>0</v>
      </c>
      <c r="BT539" s="10">
        <f t="shared" si="515"/>
        <v>0</v>
      </c>
      <c r="BU539" s="10">
        <f t="shared" si="515"/>
        <v>0</v>
      </c>
      <c r="BV539" s="10">
        <f t="shared" si="515"/>
        <v>0</v>
      </c>
      <c r="BX539" s="10">
        <f t="shared" ref="BX539:CI539" si="516">BX$199</f>
        <v>0</v>
      </c>
      <c r="BY539" s="10">
        <f t="shared" si="516"/>
        <v>0</v>
      </c>
      <c r="BZ539" s="10">
        <f t="shared" si="516"/>
        <v>0</v>
      </c>
      <c r="CA539" s="10">
        <f t="shared" si="516"/>
        <v>0</v>
      </c>
      <c r="CB539" s="10">
        <f t="shared" si="516"/>
        <v>0</v>
      </c>
      <c r="CC539" s="10">
        <f t="shared" si="516"/>
        <v>0</v>
      </c>
      <c r="CD539" s="10">
        <f t="shared" si="516"/>
        <v>0</v>
      </c>
      <c r="CE539" s="10">
        <f t="shared" si="516"/>
        <v>0</v>
      </c>
      <c r="CF539" s="10">
        <f t="shared" si="516"/>
        <v>0</v>
      </c>
      <c r="CG539" s="10">
        <f t="shared" si="516"/>
        <v>0</v>
      </c>
      <c r="CH539" s="10">
        <f t="shared" si="516"/>
        <v>0</v>
      </c>
      <c r="CI539" s="10">
        <f t="shared" si="516"/>
        <v>0</v>
      </c>
      <c r="CK539" s="11"/>
      <c r="CM539" s="11"/>
      <c r="DF539" s="11"/>
      <c r="EY539" s="10" t="str">
        <f t="shared" si="448"/>
        <v/>
      </c>
    </row>
    <row r="540" spans="2:155" x14ac:dyDescent="0.35">
      <c r="B540" s="69" t="str" cm="1">
        <f t="array" aca="1" ref="B540" ca="1">HYPERLINK(CONCATENATE("#",CELL("address",$D$208)),$D$208)</f>
        <v>Loan 9</v>
      </c>
      <c r="C540" s="211"/>
      <c r="D540" s="49">
        <f>D$21</f>
        <v>0</v>
      </c>
      <c r="E540" s="49" t="str">
        <f>F$21</f>
        <v/>
      </c>
      <c r="F540" s="49"/>
      <c r="H540" s="9" t="s">
        <v>1074</v>
      </c>
      <c r="I540" s="40" t="s">
        <v>665</v>
      </c>
      <c r="V540" s="133">
        <f>V$218</f>
        <v>0</v>
      </c>
      <c r="W540" s="10">
        <f>W$218</f>
        <v>0</v>
      </c>
      <c r="X540" s="10">
        <f>X$218</f>
        <v>0</v>
      </c>
      <c r="Y540" s="10">
        <f>Y$218</f>
        <v>0</v>
      </c>
      <c r="AA540" s="10">
        <f t="shared" ref="AA540:BV540" si="517">AA$218</f>
        <v>0</v>
      </c>
      <c r="AB540" s="10">
        <f t="shared" si="517"/>
        <v>0</v>
      </c>
      <c r="AC540" s="10">
        <f t="shared" si="517"/>
        <v>0</v>
      </c>
      <c r="AD540" s="10">
        <f t="shared" si="517"/>
        <v>0</v>
      </c>
      <c r="AE540" s="10">
        <f t="shared" si="517"/>
        <v>0</v>
      </c>
      <c r="AF540" s="10">
        <f t="shared" si="517"/>
        <v>0</v>
      </c>
      <c r="AG540" s="10">
        <f t="shared" si="517"/>
        <v>0</v>
      </c>
      <c r="AH540" s="10">
        <f t="shared" si="517"/>
        <v>0</v>
      </c>
      <c r="AI540" s="10">
        <f t="shared" si="517"/>
        <v>0</v>
      </c>
      <c r="AJ540" s="10">
        <f t="shared" si="517"/>
        <v>0</v>
      </c>
      <c r="AK540" s="10">
        <f t="shared" si="517"/>
        <v>0</v>
      </c>
      <c r="AL540" s="10">
        <f t="shared" si="517"/>
        <v>0</v>
      </c>
      <c r="AM540" s="10">
        <f t="shared" si="517"/>
        <v>0</v>
      </c>
      <c r="AN540" s="10">
        <f t="shared" si="517"/>
        <v>0</v>
      </c>
      <c r="AO540" s="10">
        <f t="shared" si="517"/>
        <v>0</v>
      </c>
      <c r="AP540" s="10">
        <f t="shared" si="517"/>
        <v>0</v>
      </c>
      <c r="AQ540" s="10">
        <f t="shared" si="517"/>
        <v>0</v>
      </c>
      <c r="AR540" s="10">
        <f t="shared" si="517"/>
        <v>0</v>
      </c>
      <c r="AS540" s="10">
        <f t="shared" si="517"/>
        <v>0</v>
      </c>
      <c r="AT540" s="10">
        <f t="shared" si="517"/>
        <v>0</v>
      </c>
      <c r="AU540" s="10">
        <f t="shared" si="517"/>
        <v>0</v>
      </c>
      <c r="AV540" s="10">
        <f t="shared" si="517"/>
        <v>0</v>
      </c>
      <c r="AW540" s="10">
        <f t="shared" si="517"/>
        <v>0</v>
      </c>
      <c r="AX540" s="10">
        <f t="shared" si="517"/>
        <v>0</v>
      </c>
      <c r="AY540" s="10">
        <f t="shared" si="517"/>
        <v>0</v>
      </c>
      <c r="AZ540" s="10">
        <f t="shared" si="517"/>
        <v>0</v>
      </c>
      <c r="BA540" s="10">
        <f t="shared" si="517"/>
        <v>0</v>
      </c>
      <c r="BB540" s="10">
        <f t="shared" si="517"/>
        <v>0</v>
      </c>
      <c r="BC540" s="10">
        <f t="shared" si="517"/>
        <v>0</v>
      </c>
      <c r="BD540" s="10">
        <f t="shared" si="517"/>
        <v>0</v>
      </c>
      <c r="BE540" s="10">
        <f t="shared" si="517"/>
        <v>0</v>
      </c>
      <c r="BF540" s="10">
        <f t="shared" si="517"/>
        <v>0</v>
      </c>
      <c r="BG540" s="10">
        <f t="shared" si="517"/>
        <v>0</v>
      </c>
      <c r="BH540" s="10">
        <f t="shared" si="517"/>
        <v>0</v>
      </c>
      <c r="BI540" s="10">
        <f t="shared" si="517"/>
        <v>0</v>
      </c>
      <c r="BJ540" s="10">
        <f t="shared" si="517"/>
        <v>0</v>
      </c>
      <c r="BK540" s="10">
        <f t="shared" si="517"/>
        <v>0</v>
      </c>
      <c r="BL540" s="10">
        <f t="shared" si="517"/>
        <v>0</v>
      </c>
      <c r="BM540" s="10">
        <f t="shared" si="517"/>
        <v>0</v>
      </c>
      <c r="BN540" s="10">
        <f t="shared" si="517"/>
        <v>0</v>
      </c>
      <c r="BO540" s="10">
        <f t="shared" si="517"/>
        <v>0</v>
      </c>
      <c r="BP540" s="10">
        <f t="shared" si="517"/>
        <v>0</v>
      </c>
      <c r="BQ540" s="10">
        <f t="shared" si="517"/>
        <v>0</v>
      </c>
      <c r="BR540" s="10">
        <f t="shared" si="517"/>
        <v>0</v>
      </c>
      <c r="BS540" s="10">
        <f t="shared" si="517"/>
        <v>0</v>
      </c>
      <c r="BT540" s="10">
        <f t="shared" si="517"/>
        <v>0</v>
      </c>
      <c r="BU540" s="10">
        <f t="shared" si="517"/>
        <v>0</v>
      </c>
      <c r="BV540" s="10">
        <f t="shared" si="517"/>
        <v>0</v>
      </c>
      <c r="BX540" s="10">
        <f t="shared" ref="BX540:CI540" si="518">BX$218</f>
        <v>0</v>
      </c>
      <c r="BY540" s="10">
        <f t="shared" si="518"/>
        <v>0</v>
      </c>
      <c r="BZ540" s="10">
        <f t="shared" si="518"/>
        <v>0</v>
      </c>
      <c r="CA540" s="10">
        <f t="shared" si="518"/>
        <v>0</v>
      </c>
      <c r="CB540" s="10">
        <f t="shared" si="518"/>
        <v>0</v>
      </c>
      <c r="CC540" s="10">
        <f t="shared" si="518"/>
        <v>0</v>
      </c>
      <c r="CD540" s="10">
        <f t="shared" si="518"/>
        <v>0</v>
      </c>
      <c r="CE540" s="10">
        <f t="shared" si="518"/>
        <v>0</v>
      </c>
      <c r="CF540" s="10">
        <f t="shared" si="518"/>
        <v>0</v>
      </c>
      <c r="CG540" s="10">
        <f t="shared" si="518"/>
        <v>0</v>
      </c>
      <c r="CH540" s="10">
        <f t="shared" si="518"/>
        <v>0</v>
      </c>
      <c r="CI540" s="10">
        <f t="shared" si="518"/>
        <v>0</v>
      </c>
      <c r="CK540" s="11"/>
      <c r="CM540" s="11"/>
      <c r="DF540" s="11"/>
      <c r="EY540" s="10" t="str">
        <f t="shared" si="448"/>
        <v/>
      </c>
    </row>
    <row r="541" spans="2:155" x14ac:dyDescent="0.35">
      <c r="B541" s="69" t="str" cm="1">
        <f t="array" aca="1" ref="B541" ca="1">HYPERLINK(CONCATENATE("#",CELL("address",$D$227)),$D$227)</f>
        <v>Loan 10</v>
      </c>
      <c r="C541" s="211"/>
      <c r="D541" s="49">
        <f>D$22</f>
        <v>0</v>
      </c>
      <c r="E541" s="49" t="str">
        <f>F$22</f>
        <v/>
      </c>
      <c r="F541" s="49"/>
      <c r="H541" s="9" t="s">
        <v>1074</v>
      </c>
      <c r="I541" s="40" t="s">
        <v>665</v>
      </c>
      <c r="V541" s="133">
        <f>V$237</f>
        <v>0</v>
      </c>
      <c r="W541" s="10">
        <f>W$237</f>
        <v>0</v>
      </c>
      <c r="X541" s="10">
        <f>X$237</f>
        <v>0</v>
      </c>
      <c r="Y541" s="10">
        <f>Y$237</f>
        <v>0</v>
      </c>
      <c r="AA541" s="10">
        <f t="shared" ref="AA541:BV541" si="519">AA$237</f>
        <v>0</v>
      </c>
      <c r="AB541" s="10">
        <f t="shared" si="519"/>
        <v>0</v>
      </c>
      <c r="AC541" s="10">
        <f t="shared" si="519"/>
        <v>0</v>
      </c>
      <c r="AD541" s="10">
        <f t="shared" si="519"/>
        <v>0</v>
      </c>
      <c r="AE541" s="10">
        <f t="shared" si="519"/>
        <v>0</v>
      </c>
      <c r="AF541" s="10">
        <f t="shared" si="519"/>
        <v>0</v>
      </c>
      <c r="AG541" s="10">
        <f t="shared" si="519"/>
        <v>0</v>
      </c>
      <c r="AH541" s="10">
        <f t="shared" si="519"/>
        <v>0</v>
      </c>
      <c r="AI541" s="10">
        <f t="shared" si="519"/>
        <v>0</v>
      </c>
      <c r="AJ541" s="10">
        <f t="shared" si="519"/>
        <v>0</v>
      </c>
      <c r="AK541" s="10">
        <f t="shared" si="519"/>
        <v>0</v>
      </c>
      <c r="AL541" s="10">
        <f t="shared" si="519"/>
        <v>0</v>
      </c>
      <c r="AM541" s="10">
        <f t="shared" si="519"/>
        <v>0</v>
      </c>
      <c r="AN541" s="10">
        <f t="shared" si="519"/>
        <v>0</v>
      </c>
      <c r="AO541" s="10">
        <f t="shared" si="519"/>
        <v>0</v>
      </c>
      <c r="AP541" s="10">
        <f t="shared" si="519"/>
        <v>0</v>
      </c>
      <c r="AQ541" s="10">
        <f t="shared" si="519"/>
        <v>0</v>
      </c>
      <c r="AR541" s="10">
        <f t="shared" si="519"/>
        <v>0</v>
      </c>
      <c r="AS541" s="10">
        <f t="shared" si="519"/>
        <v>0</v>
      </c>
      <c r="AT541" s="10">
        <f t="shared" si="519"/>
        <v>0</v>
      </c>
      <c r="AU541" s="10">
        <f t="shared" si="519"/>
        <v>0</v>
      </c>
      <c r="AV541" s="10">
        <f t="shared" si="519"/>
        <v>0</v>
      </c>
      <c r="AW541" s="10">
        <f t="shared" si="519"/>
        <v>0</v>
      </c>
      <c r="AX541" s="10">
        <f t="shared" si="519"/>
        <v>0</v>
      </c>
      <c r="AY541" s="10">
        <f t="shared" si="519"/>
        <v>0</v>
      </c>
      <c r="AZ541" s="10">
        <f t="shared" si="519"/>
        <v>0</v>
      </c>
      <c r="BA541" s="10">
        <f t="shared" si="519"/>
        <v>0</v>
      </c>
      <c r="BB541" s="10">
        <f t="shared" si="519"/>
        <v>0</v>
      </c>
      <c r="BC541" s="10">
        <f t="shared" si="519"/>
        <v>0</v>
      </c>
      <c r="BD541" s="10">
        <f t="shared" si="519"/>
        <v>0</v>
      </c>
      <c r="BE541" s="10">
        <f t="shared" si="519"/>
        <v>0</v>
      </c>
      <c r="BF541" s="10">
        <f t="shared" si="519"/>
        <v>0</v>
      </c>
      <c r="BG541" s="10">
        <f t="shared" si="519"/>
        <v>0</v>
      </c>
      <c r="BH541" s="10">
        <f t="shared" si="519"/>
        <v>0</v>
      </c>
      <c r="BI541" s="10">
        <f t="shared" si="519"/>
        <v>0</v>
      </c>
      <c r="BJ541" s="10">
        <f t="shared" si="519"/>
        <v>0</v>
      </c>
      <c r="BK541" s="10">
        <f t="shared" si="519"/>
        <v>0</v>
      </c>
      <c r="BL541" s="10">
        <f t="shared" si="519"/>
        <v>0</v>
      </c>
      <c r="BM541" s="10">
        <f t="shared" si="519"/>
        <v>0</v>
      </c>
      <c r="BN541" s="10">
        <f t="shared" si="519"/>
        <v>0</v>
      </c>
      <c r="BO541" s="10">
        <f t="shared" si="519"/>
        <v>0</v>
      </c>
      <c r="BP541" s="10">
        <f t="shared" si="519"/>
        <v>0</v>
      </c>
      <c r="BQ541" s="10">
        <f t="shared" si="519"/>
        <v>0</v>
      </c>
      <c r="BR541" s="10">
        <f t="shared" si="519"/>
        <v>0</v>
      </c>
      <c r="BS541" s="10">
        <f t="shared" si="519"/>
        <v>0</v>
      </c>
      <c r="BT541" s="10">
        <f t="shared" si="519"/>
        <v>0</v>
      </c>
      <c r="BU541" s="10">
        <f t="shared" si="519"/>
        <v>0</v>
      </c>
      <c r="BV541" s="10">
        <f t="shared" si="519"/>
        <v>0</v>
      </c>
      <c r="BX541" s="10">
        <f t="shared" ref="BX541:CI541" si="520">BX$237</f>
        <v>0</v>
      </c>
      <c r="BY541" s="10">
        <f t="shared" si="520"/>
        <v>0</v>
      </c>
      <c r="BZ541" s="10">
        <f t="shared" si="520"/>
        <v>0</v>
      </c>
      <c r="CA541" s="10">
        <f t="shared" si="520"/>
        <v>0</v>
      </c>
      <c r="CB541" s="10">
        <f t="shared" si="520"/>
        <v>0</v>
      </c>
      <c r="CC541" s="10">
        <f t="shared" si="520"/>
        <v>0</v>
      </c>
      <c r="CD541" s="10">
        <f t="shared" si="520"/>
        <v>0</v>
      </c>
      <c r="CE541" s="10">
        <f t="shared" si="520"/>
        <v>0</v>
      </c>
      <c r="CF541" s="10">
        <f t="shared" si="520"/>
        <v>0</v>
      </c>
      <c r="CG541" s="10">
        <f t="shared" si="520"/>
        <v>0</v>
      </c>
      <c r="CH541" s="10">
        <f t="shared" si="520"/>
        <v>0</v>
      </c>
      <c r="CI541" s="10">
        <f t="shared" si="520"/>
        <v>0</v>
      </c>
      <c r="CK541" s="11"/>
      <c r="CM541" s="11"/>
      <c r="DF541" s="11"/>
      <c r="EY541" s="10" t="str">
        <f t="shared" si="448"/>
        <v/>
      </c>
    </row>
    <row r="542" spans="2:155" x14ac:dyDescent="0.35">
      <c r="B542" s="69" t="str" cm="1">
        <f t="array" aca="1" ref="B542" ca="1">HYPERLINK(CONCATENATE("#",CELL("address",$D$246)),$D$246)</f>
        <v>Loan 11</v>
      </c>
      <c r="C542" s="211"/>
      <c r="D542" s="49">
        <f>D$23</f>
        <v>0</v>
      </c>
      <c r="E542" s="49" t="str">
        <f>F$23</f>
        <v/>
      </c>
      <c r="F542" s="49"/>
      <c r="H542" s="9" t="s">
        <v>1074</v>
      </c>
      <c r="I542" s="40" t="s">
        <v>665</v>
      </c>
      <c r="V542" s="133">
        <f>V$256</f>
        <v>0</v>
      </c>
      <c r="W542" s="10">
        <f>W$256</f>
        <v>0</v>
      </c>
      <c r="X542" s="10">
        <f>X$256</f>
        <v>0</v>
      </c>
      <c r="Y542" s="10">
        <f>Y$256</f>
        <v>0</v>
      </c>
      <c r="AA542" s="10">
        <f t="shared" ref="AA542:BV542" si="521">AA$256</f>
        <v>0</v>
      </c>
      <c r="AB542" s="10">
        <f t="shared" si="521"/>
        <v>0</v>
      </c>
      <c r="AC542" s="10">
        <f t="shared" si="521"/>
        <v>0</v>
      </c>
      <c r="AD542" s="10">
        <f t="shared" si="521"/>
        <v>0</v>
      </c>
      <c r="AE542" s="10">
        <f t="shared" si="521"/>
        <v>0</v>
      </c>
      <c r="AF542" s="10">
        <f t="shared" si="521"/>
        <v>0</v>
      </c>
      <c r="AG542" s="10">
        <f t="shared" si="521"/>
        <v>0</v>
      </c>
      <c r="AH542" s="10">
        <f t="shared" si="521"/>
        <v>0</v>
      </c>
      <c r="AI542" s="10">
        <f t="shared" si="521"/>
        <v>0</v>
      </c>
      <c r="AJ542" s="10">
        <f t="shared" si="521"/>
        <v>0</v>
      </c>
      <c r="AK542" s="10">
        <f t="shared" si="521"/>
        <v>0</v>
      </c>
      <c r="AL542" s="10">
        <f t="shared" si="521"/>
        <v>0</v>
      </c>
      <c r="AM542" s="10">
        <f t="shared" si="521"/>
        <v>0</v>
      </c>
      <c r="AN542" s="10">
        <f t="shared" si="521"/>
        <v>0</v>
      </c>
      <c r="AO542" s="10">
        <f t="shared" si="521"/>
        <v>0</v>
      </c>
      <c r="AP542" s="10">
        <f t="shared" si="521"/>
        <v>0</v>
      </c>
      <c r="AQ542" s="10">
        <f t="shared" si="521"/>
        <v>0</v>
      </c>
      <c r="AR542" s="10">
        <f t="shared" si="521"/>
        <v>0</v>
      </c>
      <c r="AS542" s="10">
        <f t="shared" si="521"/>
        <v>0</v>
      </c>
      <c r="AT542" s="10">
        <f t="shared" si="521"/>
        <v>0</v>
      </c>
      <c r="AU542" s="10">
        <f t="shared" si="521"/>
        <v>0</v>
      </c>
      <c r="AV542" s="10">
        <f t="shared" si="521"/>
        <v>0</v>
      </c>
      <c r="AW542" s="10">
        <f t="shared" si="521"/>
        <v>0</v>
      </c>
      <c r="AX542" s="10">
        <f t="shared" si="521"/>
        <v>0</v>
      </c>
      <c r="AY542" s="10">
        <f t="shared" si="521"/>
        <v>0</v>
      </c>
      <c r="AZ542" s="10">
        <f t="shared" si="521"/>
        <v>0</v>
      </c>
      <c r="BA542" s="10">
        <f t="shared" si="521"/>
        <v>0</v>
      </c>
      <c r="BB542" s="10">
        <f t="shared" si="521"/>
        <v>0</v>
      </c>
      <c r="BC542" s="10">
        <f t="shared" si="521"/>
        <v>0</v>
      </c>
      <c r="BD542" s="10">
        <f t="shared" si="521"/>
        <v>0</v>
      </c>
      <c r="BE542" s="10">
        <f t="shared" si="521"/>
        <v>0</v>
      </c>
      <c r="BF542" s="10">
        <f t="shared" si="521"/>
        <v>0</v>
      </c>
      <c r="BG542" s="10">
        <f t="shared" si="521"/>
        <v>0</v>
      </c>
      <c r="BH542" s="10">
        <f t="shared" si="521"/>
        <v>0</v>
      </c>
      <c r="BI542" s="10">
        <f t="shared" si="521"/>
        <v>0</v>
      </c>
      <c r="BJ542" s="10">
        <f t="shared" si="521"/>
        <v>0</v>
      </c>
      <c r="BK542" s="10">
        <f t="shared" si="521"/>
        <v>0</v>
      </c>
      <c r="BL542" s="10">
        <f t="shared" si="521"/>
        <v>0</v>
      </c>
      <c r="BM542" s="10">
        <f t="shared" si="521"/>
        <v>0</v>
      </c>
      <c r="BN542" s="10">
        <f t="shared" si="521"/>
        <v>0</v>
      </c>
      <c r="BO542" s="10">
        <f t="shared" si="521"/>
        <v>0</v>
      </c>
      <c r="BP542" s="10">
        <f t="shared" si="521"/>
        <v>0</v>
      </c>
      <c r="BQ542" s="10">
        <f t="shared" si="521"/>
        <v>0</v>
      </c>
      <c r="BR542" s="10">
        <f t="shared" si="521"/>
        <v>0</v>
      </c>
      <c r="BS542" s="10">
        <f t="shared" si="521"/>
        <v>0</v>
      </c>
      <c r="BT542" s="10">
        <f t="shared" si="521"/>
        <v>0</v>
      </c>
      <c r="BU542" s="10">
        <f t="shared" si="521"/>
        <v>0</v>
      </c>
      <c r="BV542" s="10">
        <f t="shared" si="521"/>
        <v>0</v>
      </c>
      <c r="BX542" s="10">
        <f t="shared" ref="BX542:CI542" si="522">BX$256</f>
        <v>0</v>
      </c>
      <c r="BY542" s="10">
        <f t="shared" si="522"/>
        <v>0</v>
      </c>
      <c r="BZ542" s="10">
        <f t="shared" si="522"/>
        <v>0</v>
      </c>
      <c r="CA542" s="10">
        <f t="shared" si="522"/>
        <v>0</v>
      </c>
      <c r="CB542" s="10">
        <f t="shared" si="522"/>
        <v>0</v>
      </c>
      <c r="CC542" s="10">
        <f t="shared" si="522"/>
        <v>0</v>
      </c>
      <c r="CD542" s="10">
        <f t="shared" si="522"/>
        <v>0</v>
      </c>
      <c r="CE542" s="10">
        <f t="shared" si="522"/>
        <v>0</v>
      </c>
      <c r="CF542" s="10">
        <f t="shared" si="522"/>
        <v>0</v>
      </c>
      <c r="CG542" s="10">
        <f t="shared" si="522"/>
        <v>0</v>
      </c>
      <c r="CH542" s="10">
        <f t="shared" si="522"/>
        <v>0</v>
      </c>
      <c r="CI542" s="10">
        <f t="shared" si="522"/>
        <v>0</v>
      </c>
      <c r="CK542" s="11"/>
      <c r="CM542" s="11"/>
      <c r="DF542" s="11"/>
      <c r="EY542" s="10" t="str">
        <f t="shared" si="448"/>
        <v/>
      </c>
    </row>
    <row r="543" spans="2:155" x14ac:dyDescent="0.35">
      <c r="B543" s="69" t="str" cm="1">
        <f t="array" aca="1" ref="B543" ca="1">HYPERLINK(CONCATENATE("#",CELL("address",$D$265)),$D$265)</f>
        <v>Loan 12</v>
      </c>
      <c r="C543" s="211"/>
      <c r="D543" s="49">
        <f>D$24</f>
        <v>0</v>
      </c>
      <c r="E543" s="49" t="str">
        <f>F$24</f>
        <v/>
      </c>
      <c r="F543" s="49"/>
      <c r="H543" s="9" t="s">
        <v>1074</v>
      </c>
      <c r="I543" s="40" t="s">
        <v>665</v>
      </c>
      <c r="V543" s="133">
        <f>V$275</f>
        <v>0</v>
      </c>
      <c r="W543" s="10">
        <f>W$275</f>
        <v>0</v>
      </c>
      <c r="X543" s="10">
        <f>X$275</f>
        <v>0</v>
      </c>
      <c r="Y543" s="10">
        <f>Y$275</f>
        <v>0</v>
      </c>
      <c r="AA543" s="10">
        <f t="shared" ref="AA543:BV543" si="523">AA$275</f>
        <v>0</v>
      </c>
      <c r="AB543" s="10">
        <f t="shared" si="523"/>
        <v>0</v>
      </c>
      <c r="AC543" s="10">
        <f t="shared" si="523"/>
        <v>0</v>
      </c>
      <c r="AD543" s="10">
        <f t="shared" si="523"/>
        <v>0</v>
      </c>
      <c r="AE543" s="10">
        <f t="shared" si="523"/>
        <v>0</v>
      </c>
      <c r="AF543" s="10">
        <f t="shared" si="523"/>
        <v>0</v>
      </c>
      <c r="AG543" s="10">
        <f t="shared" si="523"/>
        <v>0</v>
      </c>
      <c r="AH543" s="10">
        <f t="shared" si="523"/>
        <v>0</v>
      </c>
      <c r="AI543" s="10">
        <f t="shared" si="523"/>
        <v>0</v>
      </c>
      <c r="AJ543" s="10">
        <f t="shared" si="523"/>
        <v>0</v>
      </c>
      <c r="AK543" s="10">
        <f t="shared" si="523"/>
        <v>0</v>
      </c>
      <c r="AL543" s="10">
        <f t="shared" si="523"/>
        <v>0</v>
      </c>
      <c r="AM543" s="10">
        <f t="shared" si="523"/>
        <v>0</v>
      </c>
      <c r="AN543" s="10">
        <f t="shared" si="523"/>
        <v>0</v>
      </c>
      <c r="AO543" s="10">
        <f t="shared" si="523"/>
        <v>0</v>
      </c>
      <c r="AP543" s="10">
        <f t="shared" si="523"/>
        <v>0</v>
      </c>
      <c r="AQ543" s="10">
        <f t="shared" si="523"/>
        <v>0</v>
      </c>
      <c r="AR543" s="10">
        <f t="shared" si="523"/>
        <v>0</v>
      </c>
      <c r="AS543" s="10">
        <f t="shared" si="523"/>
        <v>0</v>
      </c>
      <c r="AT543" s="10">
        <f t="shared" si="523"/>
        <v>0</v>
      </c>
      <c r="AU543" s="10">
        <f t="shared" si="523"/>
        <v>0</v>
      </c>
      <c r="AV543" s="10">
        <f t="shared" si="523"/>
        <v>0</v>
      </c>
      <c r="AW543" s="10">
        <f t="shared" si="523"/>
        <v>0</v>
      </c>
      <c r="AX543" s="10">
        <f t="shared" si="523"/>
        <v>0</v>
      </c>
      <c r="AY543" s="10">
        <f t="shared" si="523"/>
        <v>0</v>
      </c>
      <c r="AZ543" s="10">
        <f t="shared" si="523"/>
        <v>0</v>
      </c>
      <c r="BA543" s="10">
        <f t="shared" si="523"/>
        <v>0</v>
      </c>
      <c r="BB543" s="10">
        <f t="shared" si="523"/>
        <v>0</v>
      </c>
      <c r="BC543" s="10">
        <f t="shared" si="523"/>
        <v>0</v>
      </c>
      <c r="BD543" s="10">
        <f t="shared" si="523"/>
        <v>0</v>
      </c>
      <c r="BE543" s="10">
        <f t="shared" si="523"/>
        <v>0</v>
      </c>
      <c r="BF543" s="10">
        <f t="shared" si="523"/>
        <v>0</v>
      </c>
      <c r="BG543" s="10">
        <f t="shared" si="523"/>
        <v>0</v>
      </c>
      <c r="BH543" s="10">
        <f t="shared" si="523"/>
        <v>0</v>
      </c>
      <c r="BI543" s="10">
        <f t="shared" si="523"/>
        <v>0</v>
      </c>
      <c r="BJ543" s="10">
        <f t="shared" si="523"/>
        <v>0</v>
      </c>
      <c r="BK543" s="10">
        <f t="shared" si="523"/>
        <v>0</v>
      </c>
      <c r="BL543" s="10">
        <f t="shared" si="523"/>
        <v>0</v>
      </c>
      <c r="BM543" s="10">
        <f t="shared" si="523"/>
        <v>0</v>
      </c>
      <c r="BN543" s="10">
        <f t="shared" si="523"/>
        <v>0</v>
      </c>
      <c r="BO543" s="10">
        <f t="shared" si="523"/>
        <v>0</v>
      </c>
      <c r="BP543" s="10">
        <f t="shared" si="523"/>
        <v>0</v>
      </c>
      <c r="BQ543" s="10">
        <f t="shared" si="523"/>
        <v>0</v>
      </c>
      <c r="BR543" s="10">
        <f t="shared" si="523"/>
        <v>0</v>
      </c>
      <c r="BS543" s="10">
        <f t="shared" si="523"/>
        <v>0</v>
      </c>
      <c r="BT543" s="10">
        <f t="shared" si="523"/>
        <v>0</v>
      </c>
      <c r="BU543" s="10">
        <f t="shared" si="523"/>
        <v>0</v>
      </c>
      <c r="BV543" s="10">
        <f t="shared" si="523"/>
        <v>0</v>
      </c>
      <c r="BX543" s="10">
        <f t="shared" ref="BX543:CI543" si="524">BX$275</f>
        <v>0</v>
      </c>
      <c r="BY543" s="10">
        <f t="shared" si="524"/>
        <v>0</v>
      </c>
      <c r="BZ543" s="10">
        <f t="shared" si="524"/>
        <v>0</v>
      </c>
      <c r="CA543" s="10">
        <f t="shared" si="524"/>
        <v>0</v>
      </c>
      <c r="CB543" s="10">
        <f t="shared" si="524"/>
        <v>0</v>
      </c>
      <c r="CC543" s="10">
        <f t="shared" si="524"/>
        <v>0</v>
      </c>
      <c r="CD543" s="10">
        <f t="shared" si="524"/>
        <v>0</v>
      </c>
      <c r="CE543" s="10">
        <f t="shared" si="524"/>
        <v>0</v>
      </c>
      <c r="CF543" s="10">
        <f t="shared" si="524"/>
        <v>0</v>
      </c>
      <c r="CG543" s="10">
        <f t="shared" si="524"/>
        <v>0</v>
      </c>
      <c r="CH543" s="10">
        <f t="shared" si="524"/>
        <v>0</v>
      </c>
      <c r="CI543" s="10">
        <f t="shared" si="524"/>
        <v>0</v>
      </c>
      <c r="CK543" s="11"/>
      <c r="CM543" s="11"/>
      <c r="DF543" s="11"/>
      <c r="EY543" s="10" t="str">
        <f t="shared" si="448"/>
        <v/>
      </c>
    </row>
    <row r="544" spans="2:155" x14ac:dyDescent="0.35">
      <c r="B544" s="69" t="str" cm="1">
        <f t="array" aca="1" ref="B544" ca="1">HYPERLINK(CONCATENATE("#",CELL("address",$D$284)),$D$284)</f>
        <v>Loan 13</v>
      </c>
      <c r="C544" s="211"/>
      <c r="D544" s="49">
        <f>D$25</f>
        <v>0</v>
      </c>
      <c r="E544" s="49" t="str">
        <f>F$25</f>
        <v/>
      </c>
      <c r="F544" s="49"/>
      <c r="H544" s="9" t="s">
        <v>1074</v>
      </c>
      <c r="I544" s="40" t="s">
        <v>665</v>
      </c>
      <c r="V544" s="133">
        <f>V$294</f>
        <v>0</v>
      </c>
      <c r="W544" s="10">
        <f>W$294</f>
        <v>0</v>
      </c>
      <c r="X544" s="10">
        <f>X$294</f>
        <v>0</v>
      </c>
      <c r="Y544" s="10">
        <f>Y$294</f>
        <v>0</v>
      </c>
      <c r="AA544" s="10">
        <f t="shared" ref="AA544:BV544" si="525">AA$294</f>
        <v>0</v>
      </c>
      <c r="AB544" s="10">
        <f t="shared" si="525"/>
        <v>0</v>
      </c>
      <c r="AC544" s="10">
        <f t="shared" si="525"/>
        <v>0</v>
      </c>
      <c r="AD544" s="10">
        <f t="shared" si="525"/>
        <v>0</v>
      </c>
      <c r="AE544" s="10">
        <f t="shared" si="525"/>
        <v>0</v>
      </c>
      <c r="AF544" s="10">
        <f t="shared" si="525"/>
        <v>0</v>
      </c>
      <c r="AG544" s="10">
        <f t="shared" si="525"/>
        <v>0</v>
      </c>
      <c r="AH544" s="10">
        <f t="shared" si="525"/>
        <v>0</v>
      </c>
      <c r="AI544" s="10">
        <f t="shared" si="525"/>
        <v>0</v>
      </c>
      <c r="AJ544" s="10">
        <f t="shared" si="525"/>
        <v>0</v>
      </c>
      <c r="AK544" s="10">
        <f t="shared" si="525"/>
        <v>0</v>
      </c>
      <c r="AL544" s="10">
        <f t="shared" si="525"/>
        <v>0</v>
      </c>
      <c r="AM544" s="10">
        <f t="shared" si="525"/>
        <v>0</v>
      </c>
      <c r="AN544" s="10">
        <f t="shared" si="525"/>
        <v>0</v>
      </c>
      <c r="AO544" s="10">
        <f t="shared" si="525"/>
        <v>0</v>
      </c>
      <c r="AP544" s="10">
        <f t="shared" si="525"/>
        <v>0</v>
      </c>
      <c r="AQ544" s="10">
        <f t="shared" si="525"/>
        <v>0</v>
      </c>
      <c r="AR544" s="10">
        <f t="shared" si="525"/>
        <v>0</v>
      </c>
      <c r="AS544" s="10">
        <f t="shared" si="525"/>
        <v>0</v>
      </c>
      <c r="AT544" s="10">
        <f t="shared" si="525"/>
        <v>0</v>
      </c>
      <c r="AU544" s="10">
        <f t="shared" si="525"/>
        <v>0</v>
      </c>
      <c r="AV544" s="10">
        <f t="shared" si="525"/>
        <v>0</v>
      </c>
      <c r="AW544" s="10">
        <f t="shared" si="525"/>
        <v>0</v>
      </c>
      <c r="AX544" s="10">
        <f t="shared" si="525"/>
        <v>0</v>
      </c>
      <c r="AY544" s="10">
        <f t="shared" si="525"/>
        <v>0</v>
      </c>
      <c r="AZ544" s="10">
        <f t="shared" si="525"/>
        <v>0</v>
      </c>
      <c r="BA544" s="10">
        <f t="shared" si="525"/>
        <v>0</v>
      </c>
      <c r="BB544" s="10">
        <f t="shared" si="525"/>
        <v>0</v>
      </c>
      <c r="BC544" s="10">
        <f t="shared" si="525"/>
        <v>0</v>
      </c>
      <c r="BD544" s="10">
        <f t="shared" si="525"/>
        <v>0</v>
      </c>
      <c r="BE544" s="10">
        <f t="shared" si="525"/>
        <v>0</v>
      </c>
      <c r="BF544" s="10">
        <f t="shared" si="525"/>
        <v>0</v>
      </c>
      <c r="BG544" s="10">
        <f t="shared" si="525"/>
        <v>0</v>
      </c>
      <c r="BH544" s="10">
        <f t="shared" si="525"/>
        <v>0</v>
      </c>
      <c r="BI544" s="10">
        <f t="shared" si="525"/>
        <v>0</v>
      </c>
      <c r="BJ544" s="10">
        <f t="shared" si="525"/>
        <v>0</v>
      </c>
      <c r="BK544" s="10">
        <f t="shared" si="525"/>
        <v>0</v>
      </c>
      <c r="BL544" s="10">
        <f t="shared" si="525"/>
        <v>0</v>
      </c>
      <c r="BM544" s="10">
        <f t="shared" si="525"/>
        <v>0</v>
      </c>
      <c r="BN544" s="10">
        <f t="shared" si="525"/>
        <v>0</v>
      </c>
      <c r="BO544" s="10">
        <f t="shared" si="525"/>
        <v>0</v>
      </c>
      <c r="BP544" s="10">
        <f t="shared" si="525"/>
        <v>0</v>
      </c>
      <c r="BQ544" s="10">
        <f t="shared" si="525"/>
        <v>0</v>
      </c>
      <c r="BR544" s="10">
        <f t="shared" si="525"/>
        <v>0</v>
      </c>
      <c r="BS544" s="10">
        <f t="shared" si="525"/>
        <v>0</v>
      </c>
      <c r="BT544" s="10">
        <f t="shared" si="525"/>
        <v>0</v>
      </c>
      <c r="BU544" s="10">
        <f t="shared" si="525"/>
        <v>0</v>
      </c>
      <c r="BV544" s="10">
        <f t="shared" si="525"/>
        <v>0</v>
      </c>
      <c r="BX544" s="10">
        <f t="shared" ref="BX544:CI544" si="526">BX$294</f>
        <v>0</v>
      </c>
      <c r="BY544" s="10">
        <f t="shared" si="526"/>
        <v>0</v>
      </c>
      <c r="BZ544" s="10">
        <f t="shared" si="526"/>
        <v>0</v>
      </c>
      <c r="CA544" s="10">
        <f t="shared" si="526"/>
        <v>0</v>
      </c>
      <c r="CB544" s="10">
        <f t="shared" si="526"/>
        <v>0</v>
      </c>
      <c r="CC544" s="10">
        <f t="shared" si="526"/>
        <v>0</v>
      </c>
      <c r="CD544" s="10">
        <f t="shared" si="526"/>
        <v>0</v>
      </c>
      <c r="CE544" s="10">
        <f t="shared" si="526"/>
        <v>0</v>
      </c>
      <c r="CF544" s="10">
        <f t="shared" si="526"/>
        <v>0</v>
      </c>
      <c r="CG544" s="10">
        <f t="shared" si="526"/>
        <v>0</v>
      </c>
      <c r="CH544" s="10">
        <f t="shared" si="526"/>
        <v>0</v>
      </c>
      <c r="CI544" s="10">
        <f t="shared" si="526"/>
        <v>0</v>
      </c>
      <c r="CK544" s="11"/>
      <c r="CM544" s="11"/>
      <c r="DF544" s="11"/>
      <c r="EY544" s="10" t="str">
        <f t="shared" si="448"/>
        <v/>
      </c>
    </row>
    <row r="545" spans="1:155" s="5" customFormat="1" x14ac:dyDescent="0.35">
      <c r="A545"/>
      <c r="B545" s="69" t="str" cm="1">
        <f t="array" aca="1" ref="B545" ca="1">HYPERLINK(CONCATENATE("#",CELL("address",$D$303)),$D$303)</f>
        <v>Loan 14</v>
      </c>
      <c r="C545" s="211"/>
      <c r="D545" s="49">
        <f>D$26</f>
        <v>0</v>
      </c>
      <c r="E545" s="49" t="str">
        <f>F$26</f>
        <v/>
      </c>
      <c r="F545" s="49"/>
      <c r="G545"/>
      <c r="H545" s="9" t="s">
        <v>1074</v>
      </c>
      <c r="I545" s="40" t="s">
        <v>665</v>
      </c>
      <c r="J545"/>
      <c r="K545"/>
      <c r="L545"/>
      <c r="M545"/>
      <c r="N545"/>
      <c r="O545"/>
      <c r="P545"/>
      <c r="Q545"/>
      <c r="R545"/>
      <c r="S545"/>
      <c r="T545"/>
      <c r="U545"/>
      <c r="V545" s="133">
        <f>V$313</f>
        <v>0</v>
      </c>
      <c r="W545" s="10">
        <f>W$313</f>
        <v>0</v>
      </c>
      <c r="X545" s="10">
        <f>X$313</f>
        <v>0</v>
      </c>
      <c r="Y545" s="10">
        <f>Y$313</f>
        <v>0</v>
      </c>
      <c r="Z545"/>
      <c r="AA545" s="10">
        <f t="shared" ref="AA545:BV545" si="527">AA$313</f>
        <v>0</v>
      </c>
      <c r="AB545" s="10">
        <f t="shared" si="527"/>
        <v>0</v>
      </c>
      <c r="AC545" s="10">
        <f t="shared" si="527"/>
        <v>0</v>
      </c>
      <c r="AD545" s="10">
        <f t="shared" si="527"/>
        <v>0</v>
      </c>
      <c r="AE545" s="10">
        <f t="shared" si="527"/>
        <v>0</v>
      </c>
      <c r="AF545" s="10">
        <f t="shared" si="527"/>
        <v>0</v>
      </c>
      <c r="AG545" s="10">
        <f t="shared" si="527"/>
        <v>0</v>
      </c>
      <c r="AH545" s="10">
        <f t="shared" si="527"/>
        <v>0</v>
      </c>
      <c r="AI545" s="10">
        <f t="shared" si="527"/>
        <v>0</v>
      </c>
      <c r="AJ545" s="10">
        <f t="shared" si="527"/>
        <v>0</v>
      </c>
      <c r="AK545" s="10">
        <f t="shared" si="527"/>
        <v>0</v>
      </c>
      <c r="AL545" s="10">
        <f t="shared" si="527"/>
        <v>0</v>
      </c>
      <c r="AM545" s="10">
        <f t="shared" si="527"/>
        <v>0</v>
      </c>
      <c r="AN545" s="10">
        <f t="shared" si="527"/>
        <v>0</v>
      </c>
      <c r="AO545" s="10">
        <f t="shared" si="527"/>
        <v>0</v>
      </c>
      <c r="AP545" s="10">
        <f t="shared" si="527"/>
        <v>0</v>
      </c>
      <c r="AQ545" s="10">
        <f t="shared" si="527"/>
        <v>0</v>
      </c>
      <c r="AR545" s="10">
        <f t="shared" si="527"/>
        <v>0</v>
      </c>
      <c r="AS545" s="10">
        <f t="shared" si="527"/>
        <v>0</v>
      </c>
      <c r="AT545" s="10">
        <f t="shared" si="527"/>
        <v>0</v>
      </c>
      <c r="AU545" s="10">
        <f t="shared" si="527"/>
        <v>0</v>
      </c>
      <c r="AV545" s="10">
        <f t="shared" si="527"/>
        <v>0</v>
      </c>
      <c r="AW545" s="10">
        <f t="shared" si="527"/>
        <v>0</v>
      </c>
      <c r="AX545" s="10">
        <f t="shared" si="527"/>
        <v>0</v>
      </c>
      <c r="AY545" s="10">
        <f t="shared" si="527"/>
        <v>0</v>
      </c>
      <c r="AZ545" s="10">
        <f t="shared" si="527"/>
        <v>0</v>
      </c>
      <c r="BA545" s="10">
        <f t="shared" si="527"/>
        <v>0</v>
      </c>
      <c r="BB545" s="10">
        <f t="shared" si="527"/>
        <v>0</v>
      </c>
      <c r="BC545" s="10">
        <f t="shared" si="527"/>
        <v>0</v>
      </c>
      <c r="BD545" s="10">
        <f t="shared" si="527"/>
        <v>0</v>
      </c>
      <c r="BE545" s="10">
        <f t="shared" si="527"/>
        <v>0</v>
      </c>
      <c r="BF545" s="10">
        <f t="shared" si="527"/>
        <v>0</v>
      </c>
      <c r="BG545" s="10">
        <f t="shared" si="527"/>
        <v>0</v>
      </c>
      <c r="BH545" s="10">
        <f t="shared" si="527"/>
        <v>0</v>
      </c>
      <c r="BI545" s="10">
        <f t="shared" si="527"/>
        <v>0</v>
      </c>
      <c r="BJ545" s="10">
        <f t="shared" si="527"/>
        <v>0</v>
      </c>
      <c r="BK545" s="10">
        <f t="shared" si="527"/>
        <v>0</v>
      </c>
      <c r="BL545" s="10">
        <f t="shared" si="527"/>
        <v>0</v>
      </c>
      <c r="BM545" s="10">
        <f t="shared" si="527"/>
        <v>0</v>
      </c>
      <c r="BN545" s="10">
        <f t="shared" si="527"/>
        <v>0</v>
      </c>
      <c r="BO545" s="10">
        <f t="shared" si="527"/>
        <v>0</v>
      </c>
      <c r="BP545" s="10">
        <f t="shared" si="527"/>
        <v>0</v>
      </c>
      <c r="BQ545" s="10">
        <f t="shared" si="527"/>
        <v>0</v>
      </c>
      <c r="BR545" s="10">
        <f t="shared" si="527"/>
        <v>0</v>
      </c>
      <c r="BS545" s="10">
        <f t="shared" si="527"/>
        <v>0</v>
      </c>
      <c r="BT545" s="10">
        <f t="shared" si="527"/>
        <v>0</v>
      </c>
      <c r="BU545" s="10">
        <f t="shared" si="527"/>
        <v>0</v>
      </c>
      <c r="BV545" s="10">
        <f t="shared" si="527"/>
        <v>0</v>
      </c>
      <c r="BW545"/>
      <c r="BX545" s="10">
        <f t="shared" ref="BX545:CI545" si="528">BX$313</f>
        <v>0</v>
      </c>
      <c r="BY545" s="10">
        <f t="shared" si="528"/>
        <v>0</v>
      </c>
      <c r="BZ545" s="10">
        <f t="shared" si="528"/>
        <v>0</v>
      </c>
      <c r="CA545" s="10">
        <f t="shared" si="528"/>
        <v>0</v>
      </c>
      <c r="CB545" s="10">
        <f t="shared" si="528"/>
        <v>0</v>
      </c>
      <c r="CC545" s="10">
        <f t="shared" si="528"/>
        <v>0</v>
      </c>
      <c r="CD545" s="10">
        <f t="shared" si="528"/>
        <v>0</v>
      </c>
      <c r="CE545" s="10">
        <f t="shared" si="528"/>
        <v>0</v>
      </c>
      <c r="CF545" s="10">
        <f t="shared" si="528"/>
        <v>0</v>
      </c>
      <c r="CG545" s="10">
        <f t="shared" si="528"/>
        <v>0</v>
      </c>
      <c r="CH545" s="10">
        <f t="shared" si="528"/>
        <v>0</v>
      </c>
      <c r="CI545" s="10">
        <f t="shared" si="528"/>
        <v>0</v>
      </c>
      <c r="CJ545"/>
      <c r="CK545" s="11"/>
      <c r="CL545"/>
      <c r="CM545" s="11"/>
      <c r="CN545"/>
      <c r="CO545"/>
      <c r="CP545"/>
      <c r="CQ545"/>
      <c r="CR545"/>
      <c r="CS545"/>
      <c r="CT545"/>
      <c r="CU545"/>
      <c r="CV545"/>
      <c r="CW545"/>
      <c r="CX545"/>
      <c r="CY545"/>
      <c r="CZ545"/>
      <c r="DA545"/>
      <c r="DB545"/>
      <c r="DC545"/>
      <c r="DD545"/>
      <c r="DE545"/>
      <c r="DF545" s="11"/>
      <c r="EY545" s="10" t="str">
        <f t="shared" si="448"/>
        <v/>
      </c>
    </row>
    <row r="546" spans="1:155" x14ac:dyDescent="0.35">
      <c r="B546" s="69" t="str" cm="1">
        <f t="array" aca="1" ref="B546" ca="1">HYPERLINK(CONCATENATE("#",CELL("address",$D$322)),$D$322)</f>
        <v>Loan 15</v>
      </c>
      <c r="C546" s="211"/>
      <c r="D546" s="49">
        <f>D$27</f>
        <v>0</v>
      </c>
      <c r="E546" s="49" t="str">
        <f>F$27</f>
        <v/>
      </c>
      <c r="F546" s="49"/>
      <c r="H546" s="9" t="s">
        <v>1074</v>
      </c>
      <c r="I546" s="40" t="s">
        <v>665</v>
      </c>
      <c r="V546" s="133">
        <f>V$332</f>
        <v>0</v>
      </c>
      <c r="W546" s="10">
        <f>W$332</f>
        <v>0</v>
      </c>
      <c r="X546" s="10">
        <f>X$332</f>
        <v>0</v>
      </c>
      <c r="Y546" s="10">
        <f>Y$332</f>
        <v>0</v>
      </c>
      <c r="AA546" s="10">
        <f t="shared" ref="AA546:BV546" si="529">AA$332</f>
        <v>0</v>
      </c>
      <c r="AB546" s="10">
        <f t="shared" si="529"/>
        <v>0</v>
      </c>
      <c r="AC546" s="10">
        <f t="shared" si="529"/>
        <v>0</v>
      </c>
      <c r="AD546" s="10">
        <f t="shared" si="529"/>
        <v>0</v>
      </c>
      <c r="AE546" s="10">
        <f t="shared" si="529"/>
        <v>0</v>
      </c>
      <c r="AF546" s="10">
        <f t="shared" si="529"/>
        <v>0</v>
      </c>
      <c r="AG546" s="10">
        <f t="shared" si="529"/>
        <v>0</v>
      </c>
      <c r="AH546" s="10">
        <f t="shared" si="529"/>
        <v>0</v>
      </c>
      <c r="AI546" s="10">
        <f t="shared" si="529"/>
        <v>0</v>
      </c>
      <c r="AJ546" s="10">
        <f t="shared" si="529"/>
        <v>0</v>
      </c>
      <c r="AK546" s="10">
        <f t="shared" si="529"/>
        <v>0</v>
      </c>
      <c r="AL546" s="10">
        <f t="shared" si="529"/>
        <v>0</v>
      </c>
      <c r="AM546" s="10">
        <f t="shared" si="529"/>
        <v>0</v>
      </c>
      <c r="AN546" s="10">
        <f t="shared" si="529"/>
        <v>0</v>
      </c>
      <c r="AO546" s="10">
        <f t="shared" si="529"/>
        <v>0</v>
      </c>
      <c r="AP546" s="10">
        <f t="shared" si="529"/>
        <v>0</v>
      </c>
      <c r="AQ546" s="10">
        <f t="shared" si="529"/>
        <v>0</v>
      </c>
      <c r="AR546" s="10">
        <f t="shared" si="529"/>
        <v>0</v>
      </c>
      <c r="AS546" s="10">
        <f t="shared" si="529"/>
        <v>0</v>
      </c>
      <c r="AT546" s="10">
        <f t="shared" si="529"/>
        <v>0</v>
      </c>
      <c r="AU546" s="10">
        <f t="shared" si="529"/>
        <v>0</v>
      </c>
      <c r="AV546" s="10">
        <f t="shared" si="529"/>
        <v>0</v>
      </c>
      <c r="AW546" s="10">
        <f t="shared" si="529"/>
        <v>0</v>
      </c>
      <c r="AX546" s="10">
        <f t="shared" si="529"/>
        <v>0</v>
      </c>
      <c r="AY546" s="10">
        <f t="shared" si="529"/>
        <v>0</v>
      </c>
      <c r="AZ546" s="10">
        <f t="shared" si="529"/>
        <v>0</v>
      </c>
      <c r="BA546" s="10">
        <f t="shared" si="529"/>
        <v>0</v>
      </c>
      <c r="BB546" s="10">
        <f t="shared" si="529"/>
        <v>0</v>
      </c>
      <c r="BC546" s="10">
        <f t="shared" si="529"/>
        <v>0</v>
      </c>
      <c r="BD546" s="10">
        <f t="shared" si="529"/>
        <v>0</v>
      </c>
      <c r="BE546" s="10">
        <f t="shared" si="529"/>
        <v>0</v>
      </c>
      <c r="BF546" s="10">
        <f t="shared" si="529"/>
        <v>0</v>
      </c>
      <c r="BG546" s="10">
        <f t="shared" si="529"/>
        <v>0</v>
      </c>
      <c r="BH546" s="10">
        <f t="shared" si="529"/>
        <v>0</v>
      </c>
      <c r="BI546" s="10">
        <f t="shared" si="529"/>
        <v>0</v>
      </c>
      <c r="BJ546" s="10">
        <f t="shared" si="529"/>
        <v>0</v>
      </c>
      <c r="BK546" s="10">
        <f t="shared" si="529"/>
        <v>0</v>
      </c>
      <c r="BL546" s="10">
        <f t="shared" si="529"/>
        <v>0</v>
      </c>
      <c r="BM546" s="10">
        <f t="shared" si="529"/>
        <v>0</v>
      </c>
      <c r="BN546" s="10">
        <f t="shared" si="529"/>
        <v>0</v>
      </c>
      <c r="BO546" s="10">
        <f t="shared" si="529"/>
        <v>0</v>
      </c>
      <c r="BP546" s="10">
        <f t="shared" si="529"/>
        <v>0</v>
      </c>
      <c r="BQ546" s="10">
        <f t="shared" si="529"/>
        <v>0</v>
      </c>
      <c r="BR546" s="10">
        <f t="shared" si="529"/>
        <v>0</v>
      </c>
      <c r="BS546" s="10">
        <f t="shared" si="529"/>
        <v>0</v>
      </c>
      <c r="BT546" s="10">
        <f t="shared" si="529"/>
        <v>0</v>
      </c>
      <c r="BU546" s="10">
        <f t="shared" si="529"/>
        <v>0</v>
      </c>
      <c r="BV546" s="10">
        <f t="shared" si="529"/>
        <v>0</v>
      </c>
      <c r="BX546" s="10">
        <f t="shared" ref="BX546:CI546" si="530">BX$332</f>
        <v>0</v>
      </c>
      <c r="BY546" s="10">
        <f t="shared" si="530"/>
        <v>0</v>
      </c>
      <c r="BZ546" s="10">
        <f t="shared" si="530"/>
        <v>0</v>
      </c>
      <c r="CA546" s="10">
        <f t="shared" si="530"/>
        <v>0</v>
      </c>
      <c r="CB546" s="10">
        <f t="shared" si="530"/>
        <v>0</v>
      </c>
      <c r="CC546" s="10">
        <f t="shared" si="530"/>
        <v>0</v>
      </c>
      <c r="CD546" s="10">
        <f t="shared" si="530"/>
        <v>0</v>
      </c>
      <c r="CE546" s="10">
        <f t="shared" si="530"/>
        <v>0</v>
      </c>
      <c r="CF546" s="10">
        <f t="shared" si="530"/>
        <v>0</v>
      </c>
      <c r="CG546" s="10">
        <f t="shared" si="530"/>
        <v>0</v>
      </c>
      <c r="CH546" s="10">
        <f t="shared" si="530"/>
        <v>0</v>
      </c>
      <c r="CI546" s="10">
        <f t="shared" si="530"/>
        <v>0</v>
      </c>
      <c r="CK546" s="11"/>
      <c r="CM546" s="11"/>
      <c r="DF546" s="11"/>
      <c r="EY546" s="10" t="str">
        <f t="shared" si="448"/>
        <v/>
      </c>
    </row>
    <row r="547" spans="1:155" x14ac:dyDescent="0.35">
      <c r="B547" s="69" t="str" cm="1">
        <f t="array" aca="1" ref="B547" ca="1">HYPERLINK(CONCATENATE("#",CELL("address",$D$341)),$D$341)</f>
        <v>Loan 16</v>
      </c>
      <c r="C547" s="211"/>
      <c r="D547" s="49">
        <f>D$28</f>
        <v>0</v>
      </c>
      <c r="E547" s="49" t="str">
        <f>F$28</f>
        <v/>
      </c>
      <c r="F547" s="49"/>
      <c r="H547" s="9" t="s">
        <v>1074</v>
      </c>
      <c r="I547" s="40" t="s">
        <v>665</v>
      </c>
      <c r="V547" s="133">
        <f>V$351</f>
        <v>0</v>
      </c>
      <c r="W547" s="10">
        <f>W$351</f>
        <v>0</v>
      </c>
      <c r="X547" s="10">
        <f>X$351</f>
        <v>0</v>
      </c>
      <c r="Y547" s="10">
        <f>Y$351</f>
        <v>0</v>
      </c>
      <c r="AA547" s="10">
        <f t="shared" ref="AA547:BV547" si="531">AA$351</f>
        <v>0</v>
      </c>
      <c r="AB547" s="10">
        <f t="shared" si="531"/>
        <v>0</v>
      </c>
      <c r="AC547" s="10">
        <f t="shared" si="531"/>
        <v>0</v>
      </c>
      <c r="AD547" s="10">
        <f t="shared" si="531"/>
        <v>0</v>
      </c>
      <c r="AE547" s="10">
        <f t="shared" si="531"/>
        <v>0</v>
      </c>
      <c r="AF547" s="10">
        <f t="shared" si="531"/>
        <v>0</v>
      </c>
      <c r="AG547" s="10">
        <f t="shared" si="531"/>
        <v>0</v>
      </c>
      <c r="AH547" s="10">
        <f t="shared" si="531"/>
        <v>0</v>
      </c>
      <c r="AI547" s="10">
        <f t="shared" si="531"/>
        <v>0</v>
      </c>
      <c r="AJ547" s="10">
        <f t="shared" si="531"/>
        <v>0</v>
      </c>
      <c r="AK547" s="10">
        <f t="shared" si="531"/>
        <v>0</v>
      </c>
      <c r="AL547" s="10">
        <f t="shared" si="531"/>
        <v>0</v>
      </c>
      <c r="AM547" s="10">
        <f t="shared" si="531"/>
        <v>0</v>
      </c>
      <c r="AN547" s="10">
        <f t="shared" si="531"/>
        <v>0</v>
      </c>
      <c r="AO547" s="10">
        <f t="shared" si="531"/>
        <v>0</v>
      </c>
      <c r="AP547" s="10">
        <f t="shared" si="531"/>
        <v>0</v>
      </c>
      <c r="AQ547" s="10">
        <f t="shared" si="531"/>
        <v>0</v>
      </c>
      <c r="AR547" s="10">
        <f t="shared" si="531"/>
        <v>0</v>
      </c>
      <c r="AS547" s="10">
        <f t="shared" si="531"/>
        <v>0</v>
      </c>
      <c r="AT547" s="10">
        <f t="shared" si="531"/>
        <v>0</v>
      </c>
      <c r="AU547" s="10">
        <f t="shared" si="531"/>
        <v>0</v>
      </c>
      <c r="AV547" s="10">
        <f t="shared" si="531"/>
        <v>0</v>
      </c>
      <c r="AW547" s="10">
        <f t="shared" si="531"/>
        <v>0</v>
      </c>
      <c r="AX547" s="10">
        <f t="shared" si="531"/>
        <v>0</v>
      </c>
      <c r="AY547" s="10">
        <f t="shared" si="531"/>
        <v>0</v>
      </c>
      <c r="AZ547" s="10">
        <f t="shared" si="531"/>
        <v>0</v>
      </c>
      <c r="BA547" s="10">
        <f t="shared" si="531"/>
        <v>0</v>
      </c>
      <c r="BB547" s="10">
        <f t="shared" si="531"/>
        <v>0</v>
      </c>
      <c r="BC547" s="10">
        <f t="shared" si="531"/>
        <v>0</v>
      </c>
      <c r="BD547" s="10">
        <f t="shared" si="531"/>
        <v>0</v>
      </c>
      <c r="BE547" s="10">
        <f t="shared" si="531"/>
        <v>0</v>
      </c>
      <c r="BF547" s="10">
        <f t="shared" si="531"/>
        <v>0</v>
      </c>
      <c r="BG547" s="10">
        <f t="shared" si="531"/>
        <v>0</v>
      </c>
      <c r="BH547" s="10">
        <f t="shared" si="531"/>
        <v>0</v>
      </c>
      <c r="BI547" s="10">
        <f t="shared" si="531"/>
        <v>0</v>
      </c>
      <c r="BJ547" s="10">
        <f t="shared" si="531"/>
        <v>0</v>
      </c>
      <c r="BK547" s="10">
        <f t="shared" si="531"/>
        <v>0</v>
      </c>
      <c r="BL547" s="10">
        <f t="shared" si="531"/>
        <v>0</v>
      </c>
      <c r="BM547" s="10">
        <f t="shared" si="531"/>
        <v>0</v>
      </c>
      <c r="BN547" s="10">
        <f t="shared" si="531"/>
        <v>0</v>
      </c>
      <c r="BO547" s="10">
        <f t="shared" si="531"/>
        <v>0</v>
      </c>
      <c r="BP547" s="10">
        <f t="shared" si="531"/>
        <v>0</v>
      </c>
      <c r="BQ547" s="10">
        <f t="shared" si="531"/>
        <v>0</v>
      </c>
      <c r="BR547" s="10">
        <f t="shared" si="531"/>
        <v>0</v>
      </c>
      <c r="BS547" s="10">
        <f t="shared" si="531"/>
        <v>0</v>
      </c>
      <c r="BT547" s="10">
        <f t="shared" si="531"/>
        <v>0</v>
      </c>
      <c r="BU547" s="10">
        <f t="shared" si="531"/>
        <v>0</v>
      </c>
      <c r="BV547" s="10">
        <f t="shared" si="531"/>
        <v>0</v>
      </c>
      <c r="BX547" s="10">
        <f t="shared" ref="BX547:CI547" si="532">BX$351</f>
        <v>0</v>
      </c>
      <c r="BY547" s="10">
        <f t="shared" si="532"/>
        <v>0</v>
      </c>
      <c r="BZ547" s="10">
        <f t="shared" si="532"/>
        <v>0</v>
      </c>
      <c r="CA547" s="10">
        <f t="shared" si="532"/>
        <v>0</v>
      </c>
      <c r="CB547" s="10">
        <f t="shared" si="532"/>
        <v>0</v>
      </c>
      <c r="CC547" s="10">
        <f t="shared" si="532"/>
        <v>0</v>
      </c>
      <c r="CD547" s="10">
        <f t="shared" si="532"/>
        <v>0</v>
      </c>
      <c r="CE547" s="10">
        <f t="shared" si="532"/>
        <v>0</v>
      </c>
      <c r="CF547" s="10">
        <f t="shared" si="532"/>
        <v>0</v>
      </c>
      <c r="CG547" s="10">
        <f t="shared" si="532"/>
        <v>0</v>
      </c>
      <c r="CH547" s="10">
        <f t="shared" si="532"/>
        <v>0</v>
      </c>
      <c r="CI547" s="10">
        <f t="shared" si="532"/>
        <v>0</v>
      </c>
      <c r="CK547" s="11"/>
      <c r="CM547" s="11"/>
      <c r="DF547" s="11"/>
      <c r="EY547" s="10" t="str">
        <f t="shared" si="448"/>
        <v/>
      </c>
    </row>
    <row r="548" spans="1:155" x14ac:dyDescent="0.35">
      <c r="B548" s="69" t="str" cm="1">
        <f t="array" aca="1" ref="B548" ca="1">HYPERLINK(CONCATENATE("#",CELL("address",$D$360)),$D$360)</f>
        <v>Loan 17</v>
      </c>
      <c r="C548" s="211"/>
      <c r="D548" s="49">
        <f>D$29</f>
        <v>0</v>
      </c>
      <c r="E548" s="49" t="str">
        <f>F$29</f>
        <v/>
      </c>
      <c r="F548" s="49"/>
      <c r="H548" s="9" t="s">
        <v>1074</v>
      </c>
      <c r="I548" s="40" t="s">
        <v>665</v>
      </c>
      <c r="V548" s="133">
        <f>V$370</f>
        <v>0</v>
      </c>
      <c r="W548" s="10">
        <f>W$370</f>
        <v>0</v>
      </c>
      <c r="X548" s="10">
        <f>X$370</f>
        <v>0</v>
      </c>
      <c r="Y548" s="10">
        <f>Y$370</f>
        <v>0</v>
      </c>
      <c r="AA548" s="10">
        <f t="shared" ref="AA548:BV548" si="533">AA$370</f>
        <v>0</v>
      </c>
      <c r="AB548" s="10">
        <f t="shared" si="533"/>
        <v>0</v>
      </c>
      <c r="AC548" s="10">
        <f t="shared" si="533"/>
        <v>0</v>
      </c>
      <c r="AD548" s="10">
        <f t="shared" si="533"/>
        <v>0</v>
      </c>
      <c r="AE548" s="10">
        <f t="shared" si="533"/>
        <v>0</v>
      </c>
      <c r="AF548" s="10">
        <f t="shared" si="533"/>
        <v>0</v>
      </c>
      <c r="AG548" s="10">
        <f t="shared" si="533"/>
        <v>0</v>
      </c>
      <c r="AH548" s="10">
        <f t="shared" si="533"/>
        <v>0</v>
      </c>
      <c r="AI548" s="10">
        <f t="shared" si="533"/>
        <v>0</v>
      </c>
      <c r="AJ548" s="10">
        <f t="shared" si="533"/>
        <v>0</v>
      </c>
      <c r="AK548" s="10">
        <f t="shared" si="533"/>
        <v>0</v>
      </c>
      <c r="AL548" s="10">
        <f t="shared" si="533"/>
        <v>0</v>
      </c>
      <c r="AM548" s="10">
        <f t="shared" si="533"/>
        <v>0</v>
      </c>
      <c r="AN548" s="10">
        <f t="shared" si="533"/>
        <v>0</v>
      </c>
      <c r="AO548" s="10">
        <f t="shared" si="533"/>
        <v>0</v>
      </c>
      <c r="AP548" s="10">
        <f t="shared" si="533"/>
        <v>0</v>
      </c>
      <c r="AQ548" s="10">
        <f t="shared" si="533"/>
        <v>0</v>
      </c>
      <c r="AR548" s="10">
        <f t="shared" si="533"/>
        <v>0</v>
      </c>
      <c r="AS548" s="10">
        <f t="shared" si="533"/>
        <v>0</v>
      </c>
      <c r="AT548" s="10">
        <f t="shared" si="533"/>
        <v>0</v>
      </c>
      <c r="AU548" s="10">
        <f t="shared" si="533"/>
        <v>0</v>
      </c>
      <c r="AV548" s="10">
        <f t="shared" si="533"/>
        <v>0</v>
      </c>
      <c r="AW548" s="10">
        <f t="shared" si="533"/>
        <v>0</v>
      </c>
      <c r="AX548" s="10">
        <f t="shared" si="533"/>
        <v>0</v>
      </c>
      <c r="AY548" s="10">
        <f t="shared" si="533"/>
        <v>0</v>
      </c>
      <c r="AZ548" s="10">
        <f t="shared" si="533"/>
        <v>0</v>
      </c>
      <c r="BA548" s="10">
        <f t="shared" si="533"/>
        <v>0</v>
      </c>
      <c r="BB548" s="10">
        <f t="shared" si="533"/>
        <v>0</v>
      </c>
      <c r="BC548" s="10">
        <f t="shared" si="533"/>
        <v>0</v>
      </c>
      <c r="BD548" s="10">
        <f t="shared" si="533"/>
        <v>0</v>
      </c>
      <c r="BE548" s="10">
        <f t="shared" si="533"/>
        <v>0</v>
      </c>
      <c r="BF548" s="10">
        <f t="shared" si="533"/>
        <v>0</v>
      </c>
      <c r="BG548" s="10">
        <f t="shared" si="533"/>
        <v>0</v>
      </c>
      <c r="BH548" s="10">
        <f t="shared" si="533"/>
        <v>0</v>
      </c>
      <c r="BI548" s="10">
        <f t="shared" si="533"/>
        <v>0</v>
      </c>
      <c r="BJ548" s="10">
        <f t="shared" si="533"/>
        <v>0</v>
      </c>
      <c r="BK548" s="10">
        <f t="shared" si="533"/>
        <v>0</v>
      </c>
      <c r="BL548" s="10">
        <f t="shared" si="533"/>
        <v>0</v>
      </c>
      <c r="BM548" s="10">
        <f t="shared" si="533"/>
        <v>0</v>
      </c>
      <c r="BN548" s="10">
        <f t="shared" si="533"/>
        <v>0</v>
      </c>
      <c r="BO548" s="10">
        <f t="shared" si="533"/>
        <v>0</v>
      </c>
      <c r="BP548" s="10">
        <f t="shared" si="533"/>
        <v>0</v>
      </c>
      <c r="BQ548" s="10">
        <f t="shared" si="533"/>
        <v>0</v>
      </c>
      <c r="BR548" s="10">
        <f t="shared" si="533"/>
        <v>0</v>
      </c>
      <c r="BS548" s="10">
        <f t="shared" si="533"/>
        <v>0</v>
      </c>
      <c r="BT548" s="10">
        <f t="shared" si="533"/>
        <v>0</v>
      </c>
      <c r="BU548" s="10">
        <f t="shared" si="533"/>
        <v>0</v>
      </c>
      <c r="BV548" s="10">
        <f t="shared" si="533"/>
        <v>0</v>
      </c>
      <c r="BX548" s="10">
        <f t="shared" ref="BX548:CI548" si="534">BX$370</f>
        <v>0</v>
      </c>
      <c r="BY548" s="10">
        <f t="shared" si="534"/>
        <v>0</v>
      </c>
      <c r="BZ548" s="10">
        <f t="shared" si="534"/>
        <v>0</v>
      </c>
      <c r="CA548" s="10">
        <f t="shared" si="534"/>
        <v>0</v>
      </c>
      <c r="CB548" s="10">
        <f t="shared" si="534"/>
        <v>0</v>
      </c>
      <c r="CC548" s="10">
        <f t="shared" si="534"/>
        <v>0</v>
      </c>
      <c r="CD548" s="10">
        <f t="shared" si="534"/>
        <v>0</v>
      </c>
      <c r="CE548" s="10">
        <f t="shared" si="534"/>
        <v>0</v>
      </c>
      <c r="CF548" s="10">
        <f t="shared" si="534"/>
        <v>0</v>
      </c>
      <c r="CG548" s="10">
        <f t="shared" si="534"/>
        <v>0</v>
      </c>
      <c r="CH548" s="10">
        <f t="shared" si="534"/>
        <v>0</v>
      </c>
      <c r="CI548" s="10">
        <f t="shared" si="534"/>
        <v>0</v>
      </c>
      <c r="CK548" s="11"/>
      <c r="CM548" s="11"/>
      <c r="DF548" s="11"/>
      <c r="EY548" s="10" t="str">
        <f t="shared" si="448"/>
        <v/>
      </c>
    </row>
    <row r="549" spans="1:155" x14ac:dyDescent="0.35">
      <c r="B549" s="69" t="str" cm="1">
        <f t="array" aca="1" ref="B549" ca="1">HYPERLINK(CONCATENATE("#",CELL("address",$D$379)),$D$379)</f>
        <v>Loan 18</v>
      </c>
      <c r="C549" s="211"/>
      <c r="D549" s="49">
        <f>D$30</f>
        <v>0</v>
      </c>
      <c r="E549" s="49" t="str">
        <f>F$30</f>
        <v/>
      </c>
      <c r="F549" s="49"/>
      <c r="H549" s="9" t="s">
        <v>1074</v>
      </c>
      <c r="I549" s="40" t="s">
        <v>665</v>
      </c>
      <c r="V549" s="133">
        <f>V$389</f>
        <v>0</v>
      </c>
      <c r="W549" s="10">
        <f>W$389</f>
        <v>0</v>
      </c>
      <c r="X549" s="10">
        <f>X$389</f>
        <v>0</v>
      </c>
      <c r="Y549" s="10">
        <f>Y$389</f>
        <v>0</v>
      </c>
      <c r="AA549" s="10">
        <f t="shared" ref="AA549:BV549" si="535">AA$389</f>
        <v>0</v>
      </c>
      <c r="AB549" s="10">
        <f t="shared" si="535"/>
        <v>0</v>
      </c>
      <c r="AC549" s="10">
        <f t="shared" si="535"/>
        <v>0</v>
      </c>
      <c r="AD549" s="10">
        <f t="shared" si="535"/>
        <v>0</v>
      </c>
      <c r="AE549" s="10">
        <f t="shared" si="535"/>
        <v>0</v>
      </c>
      <c r="AF549" s="10">
        <f t="shared" si="535"/>
        <v>0</v>
      </c>
      <c r="AG549" s="10">
        <f t="shared" si="535"/>
        <v>0</v>
      </c>
      <c r="AH549" s="10">
        <f t="shared" si="535"/>
        <v>0</v>
      </c>
      <c r="AI549" s="10">
        <f t="shared" si="535"/>
        <v>0</v>
      </c>
      <c r="AJ549" s="10">
        <f t="shared" si="535"/>
        <v>0</v>
      </c>
      <c r="AK549" s="10">
        <f t="shared" si="535"/>
        <v>0</v>
      </c>
      <c r="AL549" s="10">
        <f t="shared" si="535"/>
        <v>0</v>
      </c>
      <c r="AM549" s="10">
        <f t="shared" si="535"/>
        <v>0</v>
      </c>
      <c r="AN549" s="10">
        <f t="shared" si="535"/>
        <v>0</v>
      </c>
      <c r="AO549" s="10">
        <f t="shared" si="535"/>
        <v>0</v>
      </c>
      <c r="AP549" s="10">
        <f t="shared" si="535"/>
        <v>0</v>
      </c>
      <c r="AQ549" s="10">
        <f t="shared" si="535"/>
        <v>0</v>
      </c>
      <c r="AR549" s="10">
        <f t="shared" si="535"/>
        <v>0</v>
      </c>
      <c r="AS549" s="10">
        <f t="shared" si="535"/>
        <v>0</v>
      </c>
      <c r="AT549" s="10">
        <f t="shared" si="535"/>
        <v>0</v>
      </c>
      <c r="AU549" s="10">
        <f t="shared" si="535"/>
        <v>0</v>
      </c>
      <c r="AV549" s="10">
        <f t="shared" si="535"/>
        <v>0</v>
      </c>
      <c r="AW549" s="10">
        <f t="shared" si="535"/>
        <v>0</v>
      </c>
      <c r="AX549" s="10">
        <f t="shared" si="535"/>
        <v>0</v>
      </c>
      <c r="AY549" s="10">
        <f t="shared" si="535"/>
        <v>0</v>
      </c>
      <c r="AZ549" s="10">
        <f t="shared" si="535"/>
        <v>0</v>
      </c>
      <c r="BA549" s="10">
        <f t="shared" si="535"/>
        <v>0</v>
      </c>
      <c r="BB549" s="10">
        <f t="shared" si="535"/>
        <v>0</v>
      </c>
      <c r="BC549" s="10">
        <f t="shared" si="535"/>
        <v>0</v>
      </c>
      <c r="BD549" s="10">
        <f t="shared" si="535"/>
        <v>0</v>
      </c>
      <c r="BE549" s="10">
        <f t="shared" si="535"/>
        <v>0</v>
      </c>
      <c r="BF549" s="10">
        <f t="shared" si="535"/>
        <v>0</v>
      </c>
      <c r="BG549" s="10">
        <f t="shared" si="535"/>
        <v>0</v>
      </c>
      <c r="BH549" s="10">
        <f t="shared" si="535"/>
        <v>0</v>
      </c>
      <c r="BI549" s="10">
        <f t="shared" si="535"/>
        <v>0</v>
      </c>
      <c r="BJ549" s="10">
        <f t="shared" si="535"/>
        <v>0</v>
      </c>
      <c r="BK549" s="10">
        <f t="shared" si="535"/>
        <v>0</v>
      </c>
      <c r="BL549" s="10">
        <f t="shared" si="535"/>
        <v>0</v>
      </c>
      <c r="BM549" s="10">
        <f t="shared" si="535"/>
        <v>0</v>
      </c>
      <c r="BN549" s="10">
        <f t="shared" si="535"/>
        <v>0</v>
      </c>
      <c r="BO549" s="10">
        <f t="shared" si="535"/>
        <v>0</v>
      </c>
      <c r="BP549" s="10">
        <f t="shared" si="535"/>
        <v>0</v>
      </c>
      <c r="BQ549" s="10">
        <f t="shared" si="535"/>
        <v>0</v>
      </c>
      <c r="BR549" s="10">
        <f t="shared" si="535"/>
        <v>0</v>
      </c>
      <c r="BS549" s="10">
        <f t="shared" si="535"/>
        <v>0</v>
      </c>
      <c r="BT549" s="10">
        <f t="shared" si="535"/>
        <v>0</v>
      </c>
      <c r="BU549" s="10">
        <f t="shared" si="535"/>
        <v>0</v>
      </c>
      <c r="BV549" s="10">
        <f t="shared" si="535"/>
        <v>0</v>
      </c>
      <c r="BX549" s="10">
        <f t="shared" ref="BX549:CI549" si="536">BX$389</f>
        <v>0</v>
      </c>
      <c r="BY549" s="10">
        <f t="shared" si="536"/>
        <v>0</v>
      </c>
      <c r="BZ549" s="10">
        <f t="shared" si="536"/>
        <v>0</v>
      </c>
      <c r="CA549" s="10">
        <f t="shared" si="536"/>
        <v>0</v>
      </c>
      <c r="CB549" s="10">
        <f t="shared" si="536"/>
        <v>0</v>
      </c>
      <c r="CC549" s="10">
        <f t="shared" si="536"/>
        <v>0</v>
      </c>
      <c r="CD549" s="10">
        <f t="shared" si="536"/>
        <v>0</v>
      </c>
      <c r="CE549" s="10">
        <f t="shared" si="536"/>
        <v>0</v>
      </c>
      <c r="CF549" s="10">
        <f t="shared" si="536"/>
        <v>0</v>
      </c>
      <c r="CG549" s="10">
        <f t="shared" si="536"/>
        <v>0</v>
      </c>
      <c r="CH549" s="10">
        <f t="shared" si="536"/>
        <v>0</v>
      </c>
      <c r="CI549" s="10">
        <f t="shared" si="536"/>
        <v>0</v>
      </c>
      <c r="CK549" s="11"/>
      <c r="CM549" s="11"/>
      <c r="DF549" s="11"/>
      <c r="EY549" s="10" t="str">
        <f t="shared" si="448"/>
        <v/>
      </c>
    </row>
    <row r="550" spans="1:155" x14ac:dyDescent="0.35">
      <c r="B550" s="69" t="str" cm="1">
        <f t="array" aca="1" ref="B550" ca="1">HYPERLINK(CONCATENATE("#",CELL("address",$D$398)),$D$398)</f>
        <v>Loan 19</v>
      </c>
      <c r="C550" s="211"/>
      <c r="D550" s="49">
        <f>D$31</f>
        <v>0</v>
      </c>
      <c r="E550" s="49" t="str">
        <f>F$31</f>
        <v/>
      </c>
      <c r="F550" s="49"/>
      <c r="H550" s="9" t="s">
        <v>1074</v>
      </c>
      <c r="I550" s="40" t="s">
        <v>665</v>
      </c>
      <c r="V550" s="133">
        <f>V$408</f>
        <v>0</v>
      </c>
      <c r="W550" s="10">
        <f>W$408</f>
        <v>0</v>
      </c>
      <c r="X550" s="10">
        <f>X$408</f>
        <v>0</v>
      </c>
      <c r="Y550" s="10">
        <f>Y$408</f>
        <v>0</v>
      </c>
      <c r="AA550" s="10">
        <f t="shared" ref="AA550:BV550" si="537">AA$408</f>
        <v>0</v>
      </c>
      <c r="AB550" s="10">
        <f t="shared" si="537"/>
        <v>0</v>
      </c>
      <c r="AC550" s="10">
        <f t="shared" si="537"/>
        <v>0</v>
      </c>
      <c r="AD550" s="10">
        <f t="shared" si="537"/>
        <v>0</v>
      </c>
      <c r="AE550" s="10">
        <f t="shared" si="537"/>
        <v>0</v>
      </c>
      <c r="AF550" s="10">
        <f t="shared" si="537"/>
        <v>0</v>
      </c>
      <c r="AG550" s="10">
        <f t="shared" si="537"/>
        <v>0</v>
      </c>
      <c r="AH550" s="10">
        <f t="shared" si="537"/>
        <v>0</v>
      </c>
      <c r="AI550" s="10">
        <f t="shared" si="537"/>
        <v>0</v>
      </c>
      <c r="AJ550" s="10">
        <f t="shared" si="537"/>
        <v>0</v>
      </c>
      <c r="AK550" s="10">
        <f t="shared" si="537"/>
        <v>0</v>
      </c>
      <c r="AL550" s="10">
        <f t="shared" si="537"/>
        <v>0</v>
      </c>
      <c r="AM550" s="10">
        <f t="shared" si="537"/>
        <v>0</v>
      </c>
      <c r="AN550" s="10">
        <f t="shared" si="537"/>
        <v>0</v>
      </c>
      <c r="AO550" s="10">
        <f t="shared" si="537"/>
        <v>0</v>
      </c>
      <c r="AP550" s="10">
        <f t="shared" si="537"/>
        <v>0</v>
      </c>
      <c r="AQ550" s="10">
        <f t="shared" si="537"/>
        <v>0</v>
      </c>
      <c r="AR550" s="10">
        <f t="shared" si="537"/>
        <v>0</v>
      </c>
      <c r="AS550" s="10">
        <f t="shared" si="537"/>
        <v>0</v>
      </c>
      <c r="AT550" s="10">
        <f t="shared" si="537"/>
        <v>0</v>
      </c>
      <c r="AU550" s="10">
        <f t="shared" si="537"/>
        <v>0</v>
      </c>
      <c r="AV550" s="10">
        <f t="shared" si="537"/>
        <v>0</v>
      </c>
      <c r="AW550" s="10">
        <f t="shared" si="537"/>
        <v>0</v>
      </c>
      <c r="AX550" s="10">
        <f t="shared" si="537"/>
        <v>0</v>
      </c>
      <c r="AY550" s="10">
        <f t="shared" si="537"/>
        <v>0</v>
      </c>
      <c r="AZ550" s="10">
        <f t="shared" si="537"/>
        <v>0</v>
      </c>
      <c r="BA550" s="10">
        <f t="shared" si="537"/>
        <v>0</v>
      </c>
      <c r="BB550" s="10">
        <f t="shared" si="537"/>
        <v>0</v>
      </c>
      <c r="BC550" s="10">
        <f t="shared" si="537"/>
        <v>0</v>
      </c>
      <c r="BD550" s="10">
        <f t="shared" si="537"/>
        <v>0</v>
      </c>
      <c r="BE550" s="10">
        <f t="shared" si="537"/>
        <v>0</v>
      </c>
      <c r="BF550" s="10">
        <f t="shared" si="537"/>
        <v>0</v>
      </c>
      <c r="BG550" s="10">
        <f t="shared" si="537"/>
        <v>0</v>
      </c>
      <c r="BH550" s="10">
        <f t="shared" si="537"/>
        <v>0</v>
      </c>
      <c r="BI550" s="10">
        <f t="shared" si="537"/>
        <v>0</v>
      </c>
      <c r="BJ550" s="10">
        <f t="shared" si="537"/>
        <v>0</v>
      </c>
      <c r="BK550" s="10">
        <f t="shared" si="537"/>
        <v>0</v>
      </c>
      <c r="BL550" s="10">
        <f t="shared" si="537"/>
        <v>0</v>
      </c>
      <c r="BM550" s="10">
        <f t="shared" si="537"/>
        <v>0</v>
      </c>
      <c r="BN550" s="10">
        <f t="shared" si="537"/>
        <v>0</v>
      </c>
      <c r="BO550" s="10">
        <f t="shared" si="537"/>
        <v>0</v>
      </c>
      <c r="BP550" s="10">
        <f t="shared" si="537"/>
        <v>0</v>
      </c>
      <c r="BQ550" s="10">
        <f t="shared" si="537"/>
        <v>0</v>
      </c>
      <c r="BR550" s="10">
        <f t="shared" si="537"/>
        <v>0</v>
      </c>
      <c r="BS550" s="10">
        <f t="shared" si="537"/>
        <v>0</v>
      </c>
      <c r="BT550" s="10">
        <f t="shared" si="537"/>
        <v>0</v>
      </c>
      <c r="BU550" s="10">
        <f t="shared" si="537"/>
        <v>0</v>
      </c>
      <c r="BV550" s="10">
        <f t="shared" si="537"/>
        <v>0</v>
      </c>
      <c r="BX550" s="10">
        <f t="shared" ref="BX550:CI550" si="538">BX$408</f>
        <v>0</v>
      </c>
      <c r="BY550" s="10">
        <f t="shared" si="538"/>
        <v>0</v>
      </c>
      <c r="BZ550" s="10">
        <f t="shared" si="538"/>
        <v>0</v>
      </c>
      <c r="CA550" s="10">
        <f t="shared" si="538"/>
        <v>0</v>
      </c>
      <c r="CB550" s="10">
        <f t="shared" si="538"/>
        <v>0</v>
      </c>
      <c r="CC550" s="10">
        <f t="shared" si="538"/>
        <v>0</v>
      </c>
      <c r="CD550" s="10">
        <f t="shared" si="538"/>
        <v>0</v>
      </c>
      <c r="CE550" s="10">
        <f t="shared" si="538"/>
        <v>0</v>
      </c>
      <c r="CF550" s="10">
        <f t="shared" si="538"/>
        <v>0</v>
      </c>
      <c r="CG550" s="10">
        <f t="shared" si="538"/>
        <v>0</v>
      </c>
      <c r="CH550" s="10">
        <f t="shared" si="538"/>
        <v>0</v>
      </c>
      <c r="CI550" s="10">
        <f t="shared" si="538"/>
        <v>0</v>
      </c>
      <c r="CK550" s="11"/>
      <c r="CM550" s="11"/>
      <c r="DF550" s="11"/>
      <c r="EY550" s="10" t="str">
        <f t="shared" si="448"/>
        <v/>
      </c>
    </row>
    <row r="551" spans="1:155" x14ac:dyDescent="0.35">
      <c r="B551" s="69" t="str" cm="1">
        <f t="array" aca="1" ref="B551" ca="1">HYPERLINK(CONCATENATE("#",CELL("address",$D$417)),$D$417)</f>
        <v>Loan 20</v>
      </c>
      <c r="C551" s="211"/>
      <c r="D551" s="49">
        <f>D$32</f>
        <v>0</v>
      </c>
      <c r="E551" s="49" t="str">
        <f>F$32</f>
        <v/>
      </c>
      <c r="F551" s="49"/>
      <c r="H551" s="9" t="s">
        <v>1074</v>
      </c>
      <c r="I551" s="40" t="s">
        <v>665</v>
      </c>
      <c r="V551" s="133">
        <f>V$427</f>
        <v>0</v>
      </c>
      <c r="W551" s="10">
        <f>W$427</f>
        <v>0</v>
      </c>
      <c r="X551" s="10">
        <f>X$427</f>
        <v>0</v>
      </c>
      <c r="Y551" s="10">
        <f>Y$427</f>
        <v>0</v>
      </c>
      <c r="AA551" s="10">
        <f t="shared" ref="AA551:BV551" si="539">AA$427</f>
        <v>0</v>
      </c>
      <c r="AB551" s="10">
        <f t="shared" si="539"/>
        <v>0</v>
      </c>
      <c r="AC551" s="10">
        <f t="shared" si="539"/>
        <v>0</v>
      </c>
      <c r="AD551" s="10">
        <f t="shared" si="539"/>
        <v>0</v>
      </c>
      <c r="AE551" s="10">
        <f t="shared" si="539"/>
        <v>0</v>
      </c>
      <c r="AF551" s="10">
        <f t="shared" si="539"/>
        <v>0</v>
      </c>
      <c r="AG551" s="10">
        <f t="shared" si="539"/>
        <v>0</v>
      </c>
      <c r="AH551" s="10">
        <f t="shared" si="539"/>
        <v>0</v>
      </c>
      <c r="AI551" s="10">
        <f t="shared" si="539"/>
        <v>0</v>
      </c>
      <c r="AJ551" s="10">
        <f t="shared" si="539"/>
        <v>0</v>
      </c>
      <c r="AK551" s="10">
        <f t="shared" si="539"/>
        <v>0</v>
      </c>
      <c r="AL551" s="10">
        <f t="shared" si="539"/>
        <v>0</v>
      </c>
      <c r="AM551" s="10">
        <f t="shared" si="539"/>
        <v>0</v>
      </c>
      <c r="AN551" s="10">
        <f t="shared" si="539"/>
        <v>0</v>
      </c>
      <c r="AO551" s="10">
        <f t="shared" si="539"/>
        <v>0</v>
      </c>
      <c r="AP551" s="10">
        <f t="shared" si="539"/>
        <v>0</v>
      </c>
      <c r="AQ551" s="10">
        <f t="shared" si="539"/>
        <v>0</v>
      </c>
      <c r="AR551" s="10">
        <f t="shared" si="539"/>
        <v>0</v>
      </c>
      <c r="AS551" s="10">
        <f t="shared" si="539"/>
        <v>0</v>
      </c>
      <c r="AT551" s="10">
        <f t="shared" si="539"/>
        <v>0</v>
      </c>
      <c r="AU551" s="10">
        <f t="shared" si="539"/>
        <v>0</v>
      </c>
      <c r="AV551" s="10">
        <f t="shared" si="539"/>
        <v>0</v>
      </c>
      <c r="AW551" s="10">
        <f t="shared" si="539"/>
        <v>0</v>
      </c>
      <c r="AX551" s="10">
        <f t="shared" si="539"/>
        <v>0</v>
      </c>
      <c r="AY551" s="10">
        <f t="shared" si="539"/>
        <v>0</v>
      </c>
      <c r="AZ551" s="10">
        <f t="shared" si="539"/>
        <v>0</v>
      </c>
      <c r="BA551" s="10">
        <f t="shared" si="539"/>
        <v>0</v>
      </c>
      <c r="BB551" s="10">
        <f t="shared" si="539"/>
        <v>0</v>
      </c>
      <c r="BC551" s="10">
        <f t="shared" si="539"/>
        <v>0</v>
      </c>
      <c r="BD551" s="10">
        <f t="shared" si="539"/>
        <v>0</v>
      </c>
      <c r="BE551" s="10">
        <f t="shared" si="539"/>
        <v>0</v>
      </c>
      <c r="BF551" s="10">
        <f t="shared" si="539"/>
        <v>0</v>
      </c>
      <c r="BG551" s="10">
        <f t="shared" si="539"/>
        <v>0</v>
      </c>
      <c r="BH551" s="10">
        <f t="shared" si="539"/>
        <v>0</v>
      </c>
      <c r="BI551" s="10">
        <f t="shared" si="539"/>
        <v>0</v>
      </c>
      <c r="BJ551" s="10">
        <f t="shared" si="539"/>
        <v>0</v>
      </c>
      <c r="BK551" s="10">
        <f t="shared" si="539"/>
        <v>0</v>
      </c>
      <c r="BL551" s="10">
        <f t="shared" si="539"/>
        <v>0</v>
      </c>
      <c r="BM551" s="10">
        <f t="shared" si="539"/>
        <v>0</v>
      </c>
      <c r="BN551" s="10">
        <f t="shared" si="539"/>
        <v>0</v>
      </c>
      <c r="BO551" s="10">
        <f t="shared" si="539"/>
        <v>0</v>
      </c>
      <c r="BP551" s="10">
        <f t="shared" si="539"/>
        <v>0</v>
      </c>
      <c r="BQ551" s="10">
        <f t="shared" si="539"/>
        <v>0</v>
      </c>
      <c r="BR551" s="10">
        <f t="shared" si="539"/>
        <v>0</v>
      </c>
      <c r="BS551" s="10">
        <f t="shared" si="539"/>
        <v>0</v>
      </c>
      <c r="BT551" s="10">
        <f t="shared" si="539"/>
        <v>0</v>
      </c>
      <c r="BU551" s="10">
        <f t="shared" si="539"/>
        <v>0</v>
      </c>
      <c r="BV551" s="10">
        <f t="shared" si="539"/>
        <v>0</v>
      </c>
      <c r="BX551" s="10">
        <f t="shared" ref="BX551:CI551" si="540">BX$427</f>
        <v>0</v>
      </c>
      <c r="BY551" s="10">
        <f t="shared" si="540"/>
        <v>0</v>
      </c>
      <c r="BZ551" s="10">
        <f t="shared" si="540"/>
        <v>0</v>
      </c>
      <c r="CA551" s="10">
        <f t="shared" si="540"/>
        <v>0</v>
      </c>
      <c r="CB551" s="10">
        <f t="shared" si="540"/>
        <v>0</v>
      </c>
      <c r="CC551" s="10">
        <f t="shared" si="540"/>
        <v>0</v>
      </c>
      <c r="CD551" s="10">
        <f t="shared" si="540"/>
        <v>0</v>
      </c>
      <c r="CE551" s="10">
        <f t="shared" si="540"/>
        <v>0</v>
      </c>
      <c r="CF551" s="10">
        <f t="shared" si="540"/>
        <v>0</v>
      </c>
      <c r="CG551" s="10">
        <f t="shared" si="540"/>
        <v>0</v>
      </c>
      <c r="CH551" s="10">
        <f t="shared" si="540"/>
        <v>0</v>
      </c>
      <c r="CI551" s="10">
        <f t="shared" si="540"/>
        <v>0</v>
      </c>
      <c r="CK551" s="11"/>
      <c r="CM551" s="11"/>
      <c r="DF551" s="11"/>
      <c r="EY551" s="10" t="str">
        <f t="shared" si="448"/>
        <v/>
      </c>
    </row>
    <row r="552" spans="1:155" ht="6.75" customHeight="1" x14ac:dyDescent="0.35">
      <c r="C552" s="211"/>
      <c r="D552" s="1"/>
      <c r="E552"/>
      <c r="F552"/>
      <c r="BY552" s="6"/>
      <c r="CK552" s="35"/>
      <c r="CM552" s="35"/>
      <c r="DF552" s="35"/>
      <c r="EY552" s="10" t="str">
        <f t="shared" si="448"/>
        <v/>
      </c>
    </row>
    <row r="553" spans="1:155" x14ac:dyDescent="0.35">
      <c r="C553" s="211"/>
      <c r="D553" s="50" t="str">
        <f>$D$67</f>
        <v>Accrued Interest Expense</v>
      </c>
      <c r="E553"/>
      <c r="F553"/>
      <c r="CK553" s="11"/>
      <c r="CM553" s="11"/>
      <c r="DF553" s="11"/>
      <c r="EY553" s="10" t="str">
        <f t="shared" si="448"/>
        <v/>
      </c>
    </row>
    <row r="554" spans="1:155" x14ac:dyDescent="0.35">
      <c r="B554" s="107" t="s">
        <v>1229</v>
      </c>
      <c r="C554" s="211"/>
      <c r="D554" s="5" t="str">
        <f>D$11</f>
        <v>Lender</v>
      </c>
      <c r="E554" s="5" t="str">
        <f>E$11</f>
        <v>Loan Category</v>
      </c>
      <c r="F554" s="5"/>
      <c r="CK554" s="11"/>
      <c r="CM554" s="11"/>
      <c r="DF554" s="11"/>
      <c r="EY554" s="10" t="str">
        <f t="shared" si="448"/>
        <v/>
      </c>
    </row>
    <row r="555" spans="1:155" x14ac:dyDescent="0.35">
      <c r="B555" s="69" t="str" cm="1">
        <f t="array" aca="1" ref="B555" ca="1">HYPERLINK(CONCATENATE("#",CELL("address",$D$56)),$D$56)</f>
        <v>Loan 1</v>
      </c>
      <c r="C555" s="211"/>
      <c r="D555" s="49">
        <f>D$13</f>
        <v>0</v>
      </c>
      <c r="E555" s="49" t="str">
        <f>F$13</f>
        <v/>
      </c>
      <c r="F555" s="49"/>
      <c r="H555" s="9" t="s">
        <v>1074</v>
      </c>
      <c r="I555" s="40" t="s">
        <v>665</v>
      </c>
      <c r="J555" s="54"/>
      <c r="V555" s="133">
        <f>V$67</f>
        <v>0</v>
      </c>
      <c r="W555" s="133">
        <f>W$67</f>
        <v>0</v>
      </c>
      <c r="X555" s="133">
        <f>X$67</f>
        <v>0</v>
      </c>
      <c r="Y555" s="10">
        <f>Y$67</f>
        <v>0</v>
      </c>
      <c r="AA555" s="133">
        <f t="shared" ref="AA555:BV555" si="541">AA$67</f>
        <v>0</v>
      </c>
      <c r="AB555" s="10">
        <f t="shared" si="541"/>
        <v>0</v>
      </c>
      <c r="AC555" s="10">
        <f t="shared" si="541"/>
        <v>0</v>
      </c>
      <c r="AD555" s="10">
        <f t="shared" si="541"/>
        <v>0</v>
      </c>
      <c r="AE555" s="10">
        <f t="shared" si="541"/>
        <v>0</v>
      </c>
      <c r="AF555" s="10">
        <f t="shared" si="541"/>
        <v>0</v>
      </c>
      <c r="AG555" s="10">
        <f t="shared" si="541"/>
        <v>0</v>
      </c>
      <c r="AH555" s="10">
        <f t="shared" si="541"/>
        <v>0</v>
      </c>
      <c r="AI555" s="133">
        <f t="shared" si="541"/>
        <v>0</v>
      </c>
      <c r="AJ555" s="10">
        <f t="shared" si="541"/>
        <v>0</v>
      </c>
      <c r="AK555" s="10">
        <f t="shared" si="541"/>
        <v>0</v>
      </c>
      <c r="AL555" s="10">
        <f t="shared" si="541"/>
        <v>0</v>
      </c>
      <c r="AM555" s="133">
        <f t="shared" si="541"/>
        <v>0</v>
      </c>
      <c r="AN555" s="10">
        <f t="shared" si="541"/>
        <v>0</v>
      </c>
      <c r="AO555" s="10">
        <f t="shared" si="541"/>
        <v>0</v>
      </c>
      <c r="AP555" s="10">
        <f t="shared" si="541"/>
        <v>0</v>
      </c>
      <c r="AQ555" s="10">
        <f t="shared" si="541"/>
        <v>0</v>
      </c>
      <c r="AR555" s="10">
        <f t="shared" si="541"/>
        <v>0</v>
      </c>
      <c r="AS555" s="10">
        <f t="shared" si="541"/>
        <v>0</v>
      </c>
      <c r="AT555" s="10">
        <f t="shared" si="541"/>
        <v>0</v>
      </c>
      <c r="AU555" s="10">
        <f t="shared" si="541"/>
        <v>0</v>
      </c>
      <c r="AV555" s="10">
        <f t="shared" si="541"/>
        <v>0</v>
      </c>
      <c r="AW555" s="10">
        <f t="shared" si="541"/>
        <v>0</v>
      </c>
      <c r="AX555" s="10">
        <f t="shared" si="541"/>
        <v>0</v>
      </c>
      <c r="AY555" s="10">
        <f t="shared" si="541"/>
        <v>0</v>
      </c>
      <c r="AZ555" s="10">
        <f t="shared" si="541"/>
        <v>0</v>
      </c>
      <c r="BA555" s="10">
        <f t="shared" si="541"/>
        <v>0</v>
      </c>
      <c r="BB555" s="10">
        <f t="shared" si="541"/>
        <v>0</v>
      </c>
      <c r="BC555" s="10">
        <f t="shared" si="541"/>
        <v>0</v>
      </c>
      <c r="BD555" s="10">
        <f t="shared" si="541"/>
        <v>0</v>
      </c>
      <c r="BE555" s="10">
        <f t="shared" si="541"/>
        <v>0</v>
      </c>
      <c r="BF555" s="10">
        <f t="shared" si="541"/>
        <v>0</v>
      </c>
      <c r="BG555" s="10">
        <f t="shared" si="541"/>
        <v>0</v>
      </c>
      <c r="BH555" s="10">
        <f t="shared" si="541"/>
        <v>0</v>
      </c>
      <c r="BI555" s="10">
        <f t="shared" si="541"/>
        <v>0</v>
      </c>
      <c r="BJ555" s="10">
        <f t="shared" si="541"/>
        <v>0</v>
      </c>
      <c r="BK555" s="10">
        <f t="shared" si="541"/>
        <v>0</v>
      </c>
      <c r="BL555" s="10">
        <f t="shared" si="541"/>
        <v>0</v>
      </c>
      <c r="BM555" s="10">
        <f t="shared" si="541"/>
        <v>0</v>
      </c>
      <c r="BN555" s="10">
        <f t="shared" si="541"/>
        <v>0</v>
      </c>
      <c r="BO555" s="10">
        <f t="shared" si="541"/>
        <v>0</v>
      </c>
      <c r="BP555" s="10">
        <f t="shared" si="541"/>
        <v>0</v>
      </c>
      <c r="BQ555" s="10">
        <f t="shared" si="541"/>
        <v>0</v>
      </c>
      <c r="BR555" s="10">
        <f t="shared" si="541"/>
        <v>0</v>
      </c>
      <c r="BS555" s="10">
        <f t="shared" si="541"/>
        <v>0</v>
      </c>
      <c r="BT555" s="10">
        <f t="shared" si="541"/>
        <v>0</v>
      </c>
      <c r="BU555" s="10">
        <f t="shared" si="541"/>
        <v>0</v>
      </c>
      <c r="BV555" s="10">
        <f t="shared" si="541"/>
        <v>0</v>
      </c>
      <c r="BX555" s="10">
        <f t="shared" ref="BX555:CI555" si="542">BX$67</f>
        <v>0</v>
      </c>
      <c r="BY555" s="10">
        <f t="shared" si="542"/>
        <v>0</v>
      </c>
      <c r="BZ555" s="10">
        <f t="shared" si="542"/>
        <v>0</v>
      </c>
      <c r="CA555" s="10">
        <f t="shared" si="542"/>
        <v>0</v>
      </c>
      <c r="CB555" s="10">
        <f t="shared" si="542"/>
        <v>0</v>
      </c>
      <c r="CC555" s="10">
        <f t="shared" si="542"/>
        <v>0</v>
      </c>
      <c r="CD555" s="10">
        <f t="shared" si="542"/>
        <v>0</v>
      </c>
      <c r="CE555" s="10">
        <f t="shared" si="542"/>
        <v>0</v>
      </c>
      <c r="CF555" s="10">
        <f t="shared" si="542"/>
        <v>0</v>
      </c>
      <c r="CG555" s="10">
        <f t="shared" si="542"/>
        <v>0</v>
      </c>
      <c r="CH555" s="10">
        <f t="shared" si="542"/>
        <v>0</v>
      </c>
      <c r="CI555" s="10">
        <f t="shared" si="542"/>
        <v>0</v>
      </c>
      <c r="CK555" s="11"/>
      <c r="CM555" s="11"/>
      <c r="DF555" s="11"/>
      <c r="EY555" s="10" t="str">
        <f t="shared" si="448"/>
        <v/>
      </c>
    </row>
    <row r="556" spans="1:155" x14ac:dyDescent="0.35">
      <c r="B556" s="69" t="str" cm="1">
        <f t="array" aca="1" ref="B556" ca="1">HYPERLINK(CONCATENATE("#",CELL("address",$D$75)),$D$75)</f>
        <v>Loan 2</v>
      </c>
      <c r="C556" s="211"/>
      <c r="D556" s="49">
        <f>D$14</f>
        <v>0</v>
      </c>
      <c r="E556" s="49" t="str">
        <f>F$14</f>
        <v/>
      </c>
      <c r="F556" s="49"/>
      <c r="H556" s="9" t="s">
        <v>1074</v>
      </c>
      <c r="I556" s="40" t="s">
        <v>665</v>
      </c>
      <c r="V556" s="133">
        <f>V$86</f>
        <v>0</v>
      </c>
      <c r="W556" s="10">
        <f>W$86</f>
        <v>0</v>
      </c>
      <c r="X556" s="10">
        <f>X$86</f>
        <v>0</v>
      </c>
      <c r="Y556" s="10">
        <f>Y$86</f>
        <v>0</v>
      </c>
      <c r="AA556" s="10">
        <f t="shared" ref="AA556:BV556" si="543">AA$86</f>
        <v>0</v>
      </c>
      <c r="AB556" s="10">
        <f t="shared" si="543"/>
        <v>0</v>
      </c>
      <c r="AC556" s="10">
        <f t="shared" si="543"/>
        <v>0</v>
      </c>
      <c r="AD556" s="10">
        <f t="shared" si="543"/>
        <v>0</v>
      </c>
      <c r="AE556" s="10">
        <f t="shared" si="543"/>
        <v>0</v>
      </c>
      <c r="AF556" s="10">
        <f t="shared" si="543"/>
        <v>0</v>
      </c>
      <c r="AG556" s="10">
        <f t="shared" si="543"/>
        <v>0</v>
      </c>
      <c r="AH556" s="10">
        <f t="shared" si="543"/>
        <v>0</v>
      </c>
      <c r="AI556" s="10">
        <f t="shared" si="543"/>
        <v>0</v>
      </c>
      <c r="AJ556" s="10">
        <f t="shared" si="543"/>
        <v>0</v>
      </c>
      <c r="AK556" s="10">
        <f t="shared" si="543"/>
        <v>0</v>
      </c>
      <c r="AL556" s="10">
        <f t="shared" si="543"/>
        <v>0</v>
      </c>
      <c r="AM556" s="10">
        <f t="shared" si="543"/>
        <v>0</v>
      </c>
      <c r="AN556" s="10">
        <f t="shared" si="543"/>
        <v>0</v>
      </c>
      <c r="AO556" s="10">
        <f t="shared" si="543"/>
        <v>0</v>
      </c>
      <c r="AP556" s="10">
        <f t="shared" si="543"/>
        <v>0</v>
      </c>
      <c r="AQ556" s="10">
        <f t="shared" si="543"/>
        <v>0</v>
      </c>
      <c r="AR556" s="10">
        <f t="shared" si="543"/>
        <v>0</v>
      </c>
      <c r="AS556" s="10">
        <f t="shared" si="543"/>
        <v>0</v>
      </c>
      <c r="AT556" s="10">
        <f t="shared" si="543"/>
        <v>0</v>
      </c>
      <c r="AU556" s="10">
        <f t="shared" si="543"/>
        <v>0</v>
      </c>
      <c r="AV556" s="10">
        <f t="shared" si="543"/>
        <v>0</v>
      </c>
      <c r="AW556" s="10">
        <f t="shared" si="543"/>
        <v>0</v>
      </c>
      <c r="AX556" s="10">
        <f t="shared" si="543"/>
        <v>0</v>
      </c>
      <c r="AY556" s="10">
        <f t="shared" si="543"/>
        <v>0</v>
      </c>
      <c r="AZ556" s="10">
        <f t="shared" si="543"/>
        <v>0</v>
      </c>
      <c r="BA556" s="10">
        <f t="shared" si="543"/>
        <v>0</v>
      </c>
      <c r="BB556" s="10">
        <f t="shared" si="543"/>
        <v>0</v>
      </c>
      <c r="BC556" s="10">
        <f t="shared" si="543"/>
        <v>0</v>
      </c>
      <c r="BD556" s="10">
        <f t="shared" si="543"/>
        <v>0</v>
      </c>
      <c r="BE556" s="10">
        <f t="shared" si="543"/>
        <v>0</v>
      </c>
      <c r="BF556" s="10">
        <f t="shared" si="543"/>
        <v>0</v>
      </c>
      <c r="BG556" s="10">
        <f t="shared" si="543"/>
        <v>0</v>
      </c>
      <c r="BH556" s="10">
        <f t="shared" si="543"/>
        <v>0</v>
      </c>
      <c r="BI556" s="10">
        <f t="shared" si="543"/>
        <v>0</v>
      </c>
      <c r="BJ556" s="10">
        <f t="shared" si="543"/>
        <v>0</v>
      </c>
      <c r="BK556" s="10">
        <f t="shared" si="543"/>
        <v>0</v>
      </c>
      <c r="BL556" s="10">
        <f t="shared" si="543"/>
        <v>0</v>
      </c>
      <c r="BM556" s="10">
        <f t="shared" si="543"/>
        <v>0</v>
      </c>
      <c r="BN556" s="10">
        <f t="shared" si="543"/>
        <v>0</v>
      </c>
      <c r="BO556" s="10">
        <f t="shared" si="543"/>
        <v>0</v>
      </c>
      <c r="BP556" s="10">
        <f t="shared" si="543"/>
        <v>0</v>
      </c>
      <c r="BQ556" s="10">
        <f t="shared" si="543"/>
        <v>0</v>
      </c>
      <c r="BR556" s="10">
        <f t="shared" si="543"/>
        <v>0</v>
      </c>
      <c r="BS556" s="10">
        <f t="shared" si="543"/>
        <v>0</v>
      </c>
      <c r="BT556" s="10">
        <f t="shared" si="543"/>
        <v>0</v>
      </c>
      <c r="BU556" s="10">
        <f t="shared" si="543"/>
        <v>0</v>
      </c>
      <c r="BV556" s="10">
        <f t="shared" si="543"/>
        <v>0</v>
      </c>
      <c r="BX556" s="10">
        <f t="shared" ref="BX556:CI556" si="544">BX$86</f>
        <v>0</v>
      </c>
      <c r="BY556" s="10">
        <f t="shared" si="544"/>
        <v>0</v>
      </c>
      <c r="BZ556" s="10">
        <f t="shared" si="544"/>
        <v>0</v>
      </c>
      <c r="CA556" s="10">
        <f t="shared" si="544"/>
        <v>0</v>
      </c>
      <c r="CB556" s="10">
        <f t="shared" si="544"/>
        <v>0</v>
      </c>
      <c r="CC556" s="10">
        <f t="shared" si="544"/>
        <v>0</v>
      </c>
      <c r="CD556" s="10">
        <f t="shared" si="544"/>
        <v>0</v>
      </c>
      <c r="CE556" s="10">
        <f t="shared" si="544"/>
        <v>0</v>
      </c>
      <c r="CF556" s="10">
        <f t="shared" si="544"/>
        <v>0</v>
      </c>
      <c r="CG556" s="10">
        <f t="shared" si="544"/>
        <v>0</v>
      </c>
      <c r="CH556" s="10">
        <f t="shared" si="544"/>
        <v>0</v>
      </c>
      <c r="CI556" s="10">
        <f t="shared" si="544"/>
        <v>0</v>
      </c>
      <c r="CK556" s="11"/>
      <c r="CM556" s="11"/>
      <c r="DF556" s="11"/>
      <c r="EY556" s="10" t="str">
        <f t="shared" si="448"/>
        <v/>
      </c>
    </row>
    <row r="557" spans="1:155" x14ac:dyDescent="0.35">
      <c r="B557" s="69" t="str" cm="1">
        <f t="array" aca="1" ref="B557" ca="1">HYPERLINK(CONCATENATE("#",CELL("address",$D$94)),$D$94)</f>
        <v>Loan 3</v>
      </c>
      <c r="C557" s="211"/>
      <c r="D557" s="49">
        <f>D$15</f>
        <v>0</v>
      </c>
      <c r="E557" s="49" t="str">
        <f>F$15</f>
        <v/>
      </c>
      <c r="F557" s="49"/>
      <c r="H557" s="9" t="s">
        <v>1074</v>
      </c>
      <c r="I557" s="40" t="s">
        <v>665</v>
      </c>
      <c r="V557" s="133">
        <f>V$105</f>
        <v>0</v>
      </c>
      <c r="W557" s="10">
        <f>W$105</f>
        <v>0</v>
      </c>
      <c r="X557" s="10">
        <f>X$105</f>
        <v>0</v>
      </c>
      <c r="Y557" s="10">
        <f>Y$105</f>
        <v>0</v>
      </c>
      <c r="AA557" s="10">
        <f t="shared" ref="AA557:BV557" si="545">AA$105</f>
        <v>0</v>
      </c>
      <c r="AB557" s="10">
        <f t="shared" si="545"/>
        <v>0</v>
      </c>
      <c r="AC557" s="10">
        <f t="shared" si="545"/>
        <v>0</v>
      </c>
      <c r="AD557" s="10">
        <f t="shared" si="545"/>
        <v>0</v>
      </c>
      <c r="AE557" s="10">
        <f t="shared" si="545"/>
        <v>0</v>
      </c>
      <c r="AF557" s="10">
        <f t="shared" si="545"/>
        <v>0</v>
      </c>
      <c r="AG557" s="10">
        <f t="shared" si="545"/>
        <v>0</v>
      </c>
      <c r="AH557" s="10">
        <f t="shared" si="545"/>
        <v>0</v>
      </c>
      <c r="AI557" s="10">
        <f t="shared" si="545"/>
        <v>0</v>
      </c>
      <c r="AJ557" s="10">
        <f t="shared" si="545"/>
        <v>0</v>
      </c>
      <c r="AK557" s="10">
        <f t="shared" si="545"/>
        <v>0</v>
      </c>
      <c r="AL557" s="10">
        <f t="shared" si="545"/>
        <v>0</v>
      </c>
      <c r="AM557" s="10">
        <f t="shared" si="545"/>
        <v>0</v>
      </c>
      <c r="AN557" s="10">
        <f t="shared" si="545"/>
        <v>0</v>
      </c>
      <c r="AO557" s="10">
        <f t="shared" si="545"/>
        <v>0</v>
      </c>
      <c r="AP557" s="10">
        <f t="shared" si="545"/>
        <v>0</v>
      </c>
      <c r="AQ557" s="10">
        <f t="shared" si="545"/>
        <v>0</v>
      </c>
      <c r="AR557" s="10">
        <f t="shared" si="545"/>
        <v>0</v>
      </c>
      <c r="AS557" s="10">
        <f t="shared" si="545"/>
        <v>0</v>
      </c>
      <c r="AT557" s="10">
        <f t="shared" si="545"/>
        <v>0</v>
      </c>
      <c r="AU557" s="10">
        <f t="shared" si="545"/>
        <v>0</v>
      </c>
      <c r="AV557" s="10">
        <f t="shared" si="545"/>
        <v>0</v>
      </c>
      <c r="AW557" s="10">
        <f t="shared" si="545"/>
        <v>0</v>
      </c>
      <c r="AX557" s="10">
        <f t="shared" si="545"/>
        <v>0</v>
      </c>
      <c r="AY557" s="10">
        <f t="shared" si="545"/>
        <v>0</v>
      </c>
      <c r="AZ557" s="10">
        <f t="shared" si="545"/>
        <v>0</v>
      </c>
      <c r="BA557" s="10">
        <f t="shared" si="545"/>
        <v>0</v>
      </c>
      <c r="BB557" s="10">
        <f t="shared" si="545"/>
        <v>0</v>
      </c>
      <c r="BC557" s="10">
        <f t="shared" si="545"/>
        <v>0</v>
      </c>
      <c r="BD557" s="10">
        <f t="shared" si="545"/>
        <v>0</v>
      </c>
      <c r="BE557" s="10">
        <f t="shared" si="545"/>
        <v>0</v>
      </c>
      <c r="BF557" s="10">
        <f t="shared" si="545"/>
        <v>0</v>
      </c>
      <c r="BG557" s="10">
        <f t="shared" si="545"/>
        <v>0</v>
      </c>
      <c r="BH557" s="10">
        <f t="shared" si="545"/>
        <v>0</v>
      </c>
      <c r="BI557" s="10">
        <f t="shared" si="545"/>
        <v>0</v>
      </c>
      <c r="BJ557" s="10">
        <f t="shared" si="545"/>
        <v>0</v>
      </c>
      <c r="BK557" s="10">
        <f t="shared" si="545"/>
        <v>0</v>
      </c>
      <c r="BL557" s="10">
        <f t="shared" si="545"/>
        <v>0</v>
      </c>
      <c r="BM557" s="10">
        <f t="shared" si="545"/>
        <v>0</v>
      </c>
      <c r="BN557" s="10">
        <f t="shared" si="545"/>
        <v>0</v>
      </c>
      <c r="BO557" s="10">
        <f t="shared" si="545"/>
        <v>0</v>
      </c>
      <c r="BP557" s="10">
        <f t="shared" si="545"/>
        <v>0</v>
      </c>
      <c r="BQ557" s="10">
        <f t="shared" si="545"/>
        <v>0</v>
      </c>
      <c r="BR557" s="10">
        <f t="shared" si="545"/>
        <v>0</v>
      </c>
      <c r="BS557" s="10">
        <f t="shared" si="545"/>
        <v>0</v>
      </c>
      <c r="BT557" s="10">
        <f t="shared" si="545"/>
        <v>0</v>
      </c>
      <c r="BU557" s="10">
        <f t="shared" si="545"/>
        <v>0</v>
      </c>
      <c r="BV557" s="10">
        <f t="shared" si="545"/>
        <v>0</v>
      </c>
      <c r="BX557" s="10">
        <f t="shared" ref="BX557:CI557" si="546">BX$105</f>
        <v>0</v>
      </c>
      <c r="BY557" s="10">
        <f t="shared" si="546"/>
        <v>0</v>
      </c>
      <c r="BZ557" s="10">
        <f t="shared" si="546"/>
        <v>0</v>
      </c>
      <c r="CA557" s="10">
        <f t="shared" si="546"/>
        <v>0</v>
      </c>
      <c r="CB557" s="10">
        <f t="shared" si="546"/>
        <v>0</v>
      </c>
      <c r="CC557" s="10">
        <f t="shared" si="546"/>
        <v>0</v>
      </c>
      <c r="CD557" s="10">
        <f t="shared" si="546"/>
        <v>0</v>
      </c>
      <c r="CE557" s="10">
        <f t="shared" si="546"/>
        <v>0</v>
      </c>
      <c r="CF557" s="10">
        <f t="shared" si="546"/>
        <v>0</v>
      </c>
      <c r="CG557" s="10">
        <f t="shared" si="546"/>
        <v>0</v>
      </c>
      <c r="CH557" s="10">
        <f t="shared" si="546"/>
        <v>0</v>
      </c>
      <c r="CI557" s="10">
        <f t="shared" si="546"/>
        <v>0</v>
      </c>
      <c r="CK557" s="11"/>
      <c r="CM557" s="11"/>
      <c r="DF557" s="11"/>
      <c r="EY557" s="10" t="str">
        <f t="shared" si="448"/>
        <v/>
      </c>
    </row>
    <row r="558" spans="1:155" x14ac:dyDescent="0.35">
      <c r="B558" s="69" t="str" cm="1">
        <f t="array" aca="1" ref="B558" ca="1">HYPERLINK(CONCATENATE("#",CELL("address",$D$113)),$D$113)</f>
        <v>Loan 4</v>
      </c>
      <c r="C558" s="211"/>
      <c r="D558" s="49">
        <f>D$16</f>
        <v>0</v>
      </c>
      <c r="E558" s="49" t="str">
        <f>F$16</f>
        <v/>
      </c>
      <c r="F558" s="49"/>
      <c r="H558" s="9" t="s">
        <v>1074</v>
      </c>
      <c r="I558" s="40" t="s">
        <v>665</v>
      </c>
      <c r="V558" s="133">
        <f>V$124</f>
        <v>0</v>
      </c>
      <c r="W558" s="10">
        <f>W$124</f>
        <v>0</v>
      </c>
      <c r="X558" s="10">
        <f>X$124</f>
        <v>0</v>
      </c>
      <c r="Y558" s="10">
        <f>Y$124</f>
        <v>0</v>
      </c>
      <c r="AA558" s="10">
        <f t="shared" ref="AA558:BV558" si="547">AA$124</f>
        <v>0</v>
      </c>
      <c r="AB558" s="10">
        <f t="shared" si="547"/>
        <v>0</v>
      </c>
      <c r="AC558" s="10">
        <f t="shared" si="547"/>
        <v>0</v>
      </c>
      <c r="AD558" s="10">
        <f t="shared" si="547"/>
        <v>0</v>
      </c>
      <c r="AE558" s="10">
        <f t="shared" si="547"/>
        <v>0</v>
      </c>
      <c r="AF558" s="10">
        <f t="shared" si="547"/>
        <v>0</v>
      </c>
      <c r="AG558" s="10">
        <f t="shared" si="547"/>
        <v>0</v>
      </c>
      <c r="AH558" s="10">
        <f t="shared" si="547"/>
        <v>0</v>
      </c>
      <c r="AI558" s="10">
        <f t="shared" si="547"/>
        <v>0</v>
      </c>
      <c r="AJ558" s="10">
        <f t="shared" si="547"/>
        <v>0</v>
      </c>
      <c r="AK558" s="10">
        <f t="shared" si="547"/>
        <v>0</v>
      </c>
      <c r="AL558" s="10">
        <f t="shared" si="547"/>
        <v>0</v>
      </c>
      <c r="AM558" s="10">
        <f t="shared" si="547"/>
        <v>0</v>
      </c>
      <c r="AN558" s="10">
        <f t="shared" si="547"/>
        <v>0</v>
      </c>
      <c r="AO558" s="10">
        <f t="shared" si="547"/>
        <v>0</v>
      </c>
      <c r="AP558" s="10">
        <f t="shared" si="547"/>
        <v>0</v>
      </c>
      <c r="AQ558" s="10">
        <f t="shared" si="547"/>
        <v>0</v>
      </c>
      <c r="AR558" s="10">
        <f t="shared" si="547"/>
        <v>0</v>
      </c>
      <c r="AS558" s="10">
        <f t="shared" si="547"/>
        <v>0</v>
      </c>
      <c r="AT558" s="10">
        <f t="shared" si="547"/>
        <v>0</v>
      </c>
      <c r="AU558" s="10">
        <f t="shared" si="547"/>
        <v>0</v>
      </c>
      <c r="AV558" s="10">
        <f t="shared" si="547"/>
        <v>0</v>
      </c>
      <c r="AW558" s="10">
        <f t="shared" si="547"/>
        <v>0</v>
      </c>
      <c r="AX558" s="10">
        <f t="shared" si="547"/>
        <v>0</v>
      </c>
      <c r="AY558" s="10">
        <f t="shared" si="547"/>
        <v>0</v>
      </c>
      <c r="AZ558" s="10">
        <f t="shared" si="547"/>
        <v>0</v>
      </c>
      <c r="BA558" s="10">
        <f t="shared" si="547"/>
        <v>0</v>
      </c>
      <c r="BB558" s="10">
        <f t="shared" si="547"/>
        <v>0</v>
      </c>
      <c r="BC558" s="10">
        <f t="shared" si="547"/>
        <v>0</v>
      </c>
      <c r="BD558" s="10">
        <f t="shared" si="547"/>
        <v>0</v>
      </c>
      <c r="BE558" s="10">
        <f t="shared" si="547"/>
        <v>0</v>
      </c>
      <c r="BF558" s="10">
        <f t="shared" si="547"/>
        <v>0</v>
      </c>
      <c r="BG558" s="10">
        <f t="shared" si="547"/>
        <v>0</v>
      </c>
      <c r="BH558" s="10">
        <f t="shared" si="547"/>
        <v>0</v>
      </c>
      <c r="BI558" s="10">
        <f t="shared" si="547"/>
        <v>0</v>
      </c>
      <c r="BJ558" s="10">
        <f t="shared" si="547"/>
        <v>0</v>
      </c>
      <c r="BK558" s="10">
        <f t="shared" si="547"/>
        <v>0</v>
      </c>
      <c r="BL558" s="10">
        <f t="shared" si="547"/>
        <v>0</v>
      </c>
      <c r="BM558" s="10">
        <f t="shared" si="547"/>
        <v>0</v>
      </c>
      <c r="BN558" s="10">
        <f t="shared" si="547"/>
        <v>0</v>
      </c>
      <c r="BO558" s="10">
        <f t="shared" si="547"/>
        <v>0</v>
      </c>
      <c r="BP558" s="10">
        <f t="shared" si="547"/>
        <v>0</v>
      </c>
      <c r="BQ558" s="10">
        <f t="shared" si="547"/>
        <v>0</v>
      </c>
      <c r="BR558" s="10">
        <f t="shared" si="547"/>
        <v>0</v>
      </c>
      <c r="BS558" s="10">
        <f t="shared" si="547"/>
        <v>0</v>
      </c>
      <c r="BT558" s="10">
        <f t="shared" si="547"/>
        <v>0</v>
      </c>
      <c r="BU558" s="10">
        <f t="shared" si="547"/>
        <v>0</v>
      </c>
      <c r="BV558" s="10">
        <f t="shared" si="547"/>
        <v>0</v>
      </c>
      <c r="BX558" s="10">
        <f t="shared" ref="BX558:CI558" si="548">BX$124</f>
        <v>0</v>
      </c>
      <c r="BY558" s="10">
        <f t="shared" si="548"/>
        <v>0</v>
      </c>
      <c r="BZ558" s="10">
        <f t="shared" si="548"/>
        <v>0</v>
      </c>
      <c r="CA558" s="10">
        <f t="shared" si="548"/>
        <v>0</v>
      </c>
      <c r="CB558" s="10">
        <f t="shared" si="548"/>
        <v>0</v>
      </c>
      <c r="CC558" s="10">
        <f t="shared" si="548"/>
        <v>0</v>
      </c>
      <c r="CD558" s="10">
        <f t="shared" si="548"/>
        <v>0</v>
      </c>
      <c r="CE558" s="10">
        <f t="shared" si="548"/>
        <v>0</v>
      </c>
      <c r="CF558" s="10">
        <f t="shared" si="548"/>
        <v>0</v>
      </c>
      <c r="CG558" s="10">
        <f t="shared" si="548"/>
        <v>0</v>
      </c>
      <c r="CH558" s="10">
        <f t="shared" si="548"/>
        <v>0</v>
      </c>
      <c r="CI558" s="10">
        <f t="shared" si="548"/>
        <v>0</v>
      </c>
      <c r="CK558" s="11"/>
      <c r="CM558" s="11"/>
      <c r="DF558" s="11"/>
      <c r="EY558" s="10" t="str">
        <f t="shared" si="448"/>
        <v/>
      </c>
    </row>
    <row r="559" spans="1:155" x14ac:dyDescent="0.35">
      <c r="B559" s="69" t="str" cm="1">
        <f t="array" aca="1" ref="B559" ca="1">HYPERLINK(CONCATENATE("#",CELL("address",$D$132)),$D$132)</f>
        <v>Loan 5</v>
      </c>
      <c r="C559" s="211"/>
      <c r="D559" s="49">
        <f>D$17</f>
        <v>0</v>
      </c>
      <c r="E559" s="49" t="str">
        <f>F$17</f>
        <v/>
      </c>
      <c r="F559" s="49"/>
      <c r="H559" s="9" t="s">
        <v>1074</v>
      </c>
      <c r="I559" s="40" t="s">
        <v>665</v>
      </c>
      <c r="V559" s="133">
        <f>V$143</f>
        <v>0</v>
      </c>
      <c r="W559" s="10">
        <f>W$143</f>
        <v>0</v>
      </c>
      <c r="X559" s="10">
        <f>X$143</f>
        <v>0</v>
      </c>
      <c r="Y559" s="10">
        <f>Y$143</f>
        <v>0</v>
      </c>
      <c r="AA559" s="10">
        <f t="shared" ref="AA559:BV559" si="549">AA$143</f>
        <v>0</v>
      </c>
      <c r="AB559" s="10">
        <f t="shared" si="549"/>
        <v>0</v>
      </c>
      <c r="AC559" s="10">
        <f t="shared" si="549"/>
        <v>0</v>
      </c>
      <c r="AD559" s="10">
        <f t="shared" si="549"/>
        <v>0</v>
      </c>
      <c r="AE559" s="10">
        <f t="shared" si="549"/>
        <v>0</v>
      </c>
      <c r="AF559" s="10">
        <f t="shared" si="549"/>
        <v>0</v>
      </c>
      <c r="AG559" s="10">
        <f t="shared" si="549"/>
        <v>0</v>
      </c>
      <c r="AH559" s="10">
        <f t="shared" si="549"/>
        <v>0</v>
      </c>
      <c r="AI559" s="10">
        <f t="shared" si="549"/>
        <v>0</v>
      </c>
      <c r="AJ559" s="10">
        <f t="shared" si="549"/>
        <v>0</v>
      </c>
      <c r="AK559" s="10">
        <f t="shared" si="549"/>
        <v>0</v>
      </c>
      <c r="AL559" s="10">
        <f t="shared" si="549"/>
        <v>0</v>
      </c>
      <c r="AM559" s="10">
        <f t="shared" si="549"/>
        <v>0</v>
      </c>
      <c r="AN559" s="10">
        <f t="shared" si="549"/>
        <v>0</v>
      </c>
      <c r="AO559" s="10">
        <f t="shared" si="549"/>
        <v>0</v>
      </c>
      <c r="AP559" s="10">
        <f t="shared" si="549"/>
        <v>0</v>
      </c>
      <c r="AQ559" s="10">
        <f t="shared" si="549"/>
        <v>0</v>
      </c>
      <c r="AR559" s="10">
        <f t="shared" si="549"/>
        <v>0</v>
      </c>
      <c r="AS559" s="10">
        <f t="shared" si="549"/>
        <v>0</v>
      </c>
      <c r="AT559" s="10">
        <f t="shared" si="549"/>
        <v>0</v>
      </c>
      <c r="AU559" s="10">
        <f t="shared" si="549"/>
        <v>0</v>
      </c>
      <c r="AV559" s="10">
        <f t="shared" si="549"/>
        <v>0</v>
      </c>
      <c r="AW559" s="10">
        <f t="shared" si="549"/>
        <v>0</v>
      </c>
      <c r="AX559" s="10">
        <f t="shared" si="549"/>
        <v>0</v>
      </c>
      <c r="AY559" s="10">
        <f t="shared" si="549"/>
        <v>0</v>
      </c>
      <c r="AZ559" s="10">
        <f t="shared" si="549"/>
        <v>0</v>
      </c>
      <c r="BA559" s="10">
        <f t="shared" si="549"/>
        <v>0</v>
      </c>
      <c r="BB559" s="10">
        <f t="shared" si="549"/>
        <v>0</v>
      </c>
      <c r="BC559" s="10">
        <f t="shared" si="549"/>
        <v>0</v>
      </c>
      <c r="BD559" s="10">
        <f t="shared" si="549"/>
        <v>0</v>
      </c>
      <c r="BE559" s="10">
        <f t="shared" si="549"/>
        <v>0</v>
      </c>
      <c r="BF559" s="10">
        <f t="shared" si="549"/>
        <v>0</v>
      </c>
      <c r="BG559" s="10">
        <f t="shared" si="549"/>
        <v>0</v>
      </c>
      <c r="BH559" s="10">
        <f t="shared" si="549"/>
        <v>0</v>
      </c>
      <c r="BI559" s="10">
        <f t="shared" si="549"/>
        <v>0</v>
      </c>
      <c r="BJ559" s="10">
        <f t="shared" si="549"/>
        <v>0</v>
      </c>
      <c r="BK559" s="10">
        <f t="shared" si="549"/>
        <v>0</v>
      </c>
      <c r="BL559" s="10">
        <f t="shared" si="549"/>
        <v>0</v>
      </c>
      <c r="BM559" s="10">
        <f t="shared" si="549"/>
        <v>0</v>
      </c>
      <c r="BN559" s="10">
        <f t="shared" si="549"/>
        <v>0</v>
      </c>
      <c r="BO559" s="10">
        <f t="shared" si="549"/>
        <v>0</v>
      </c>
      <c r="BP559" s="10">
        <f t="shared" si="549"/>
        <v>0</v>
      </c>
      <c r="BQ559" s="10">
        <f t="shared" si="549"/>
        <v>0</v>
      </c>
      <c r="BR559" s="10">
        <f t="shared" si="549"/>
        <v>0</v>
      </c>
      <c r="BS559" s="10">
        <f t="shared" si="549"/>
        <v>0</v>
      </c>
      <c r="BT559" s="10">
        <f t="shared" si="549"/>
        <v>0</v>
      </c>
      <c r="BU559" s="10">
        <f t="shared" si="549"/>
        <v>0</v>
      </c>
      <c r="BV559" s="10">
        <f t="shared" si="549"/>
        <v>0</v>
      </c>
      <c r="BX559" s="10">
        <f t="shared" ref="BX559:CI559" si="550">BX$143</f>
        <v>0</v>
      </c>
      <c r="BY559" s="10">
        <f t="shared" si="550"/>
        <v>0</v>
      </c>
      <c r="BZ559" s="10">
        <f t="shared" si="550"/>
        <v>0</v>
      </c>
      <c r="CA559" s="10">
        <f t="shared" si="550"/>
        <v>0</v>
      </c>
      <c r="CB559" s="10">
        <f t="shared" si="550"/>
        <v>0</v>
      </c>
      <c r="CC559" s="10">
        <f t="shared" si="550"/>
        <v>0</v>
      </c>
      <c r="CD559" s="10">
        <f t="shared" si="550"/>
        <v>0</v>
      </c>
      <c r="CE559" s="10">
        <f t="shared" si="550"/>
        <v>0</v>
      </c>
      <c r="CF559" s="10">
        <f t="shared" si="550"/>
        <v>0</v>
      </c>
      <c r="CG559" s="10">
        <f t="shared" si="550"/>
        <v>0</v>
      </c>
      <c r="CH559" s="10">
        <f t="shared" si="550"/>
        <v>0</v>
      </c>
      <c r="CI559" s="10">
        <f t="shared" si="550"/>
        <v>0</v>
      </c>
      <c r="CK559" s="11"/>
      <c r="CM559" s="11"/>
      <c r="DF559" s="11"/>
      <c r="EY559" s="10" t="str">
        <f t="shared" si="448"/>
        <v/>
      </c>
    </row>
    <row r="560" spans="1:155" x14ac:dyDescent="0.35">
      <c r="B560" s="69" t="str" cm="1">
        <f t="array" aca="1" ref="B560" ca="1">HYPERLINK(CONCATENATE("#",CELL("address",$D$151)),$D$151)</f>
        <v>Loan 6</v>
      </c>
      <c r="C560" s="211"/>
      <c r="D560" s="49">
        <f>D$18</f>
        <v>0</v>
      </c>
      <c r="E560" s="49" t="str">
        <f>F$18</f>
        <v/>
      </c>
      <c r="F560" s="49"/>
      <c r="H560" s="9" t="s">
        <v>1074</v>
      </c>
      <c r="I560" s="40" t="s">
        <v>665</v>
      </c>
      <c r="V560" s="133">
        <f>V$162</f>
        <v>0</v>
      </c>
      <c r="W560" s="10">
        <f>W$162</f>
        <v>0</v>
      </c>
      <c r="X560" s="10">
        <f>X$162</f>
        <v>0</v>
      </c>
      <c r="Y560" s="10">
        <f>Y$162</f>
        <v>0</v>
      </c>
      <c r="AA560" s="10">
        <f t="shared" ref="AA560:BV560" si="551">AA$162</f>
        <v>0</v>
      </c>
      <c r="AB560" s="10">
        <f t="shared" si="551"/>
        <v>0</v>
      </c>
      <c r="AC560" s="10">
        <f t="shared" si="551"/>
        <v>0</v>
      </c>
      <c r="AD560" s="10">
        <f t="shared" si="551"/>
        <v>0</v>
      </c>
      <c r="AE560" s="10">
        <f t="shared" si="551"/>
        <v>0</v>
      </c>
      <c r="AF560" s="10">
        <f t="shared" si="551"/>
        <v>0</v>
      </c>
      <c r="AG560" s="10">
        <f t="shared" si="551"/>
        <v>0</v>
      </c>
      <c r="AH560" s="10">
        <f t="shared" si="551"/>
        <v>0</v>
      </c>
      <c r="AI560" s="10">
        <f t="shared" si="551"/>
        <v>0</v>
      </c>
      <c r="AJ560" s="10">
        <f t="shared" si="551"/>
        <v>0</v>
      </c>
      <c r="AK560" s="10">
        <f t="shared" si="551"/>
        <v>0</v>
      </c>
      <c r="AL560" s="10">
        <f t="shared" si="551"/>
        <v>0</v>
      </c>
      <c r="AM560" s="10">
        <f t="shared" si="551"/>
        <v>0</v>
      </c>
      <c r="AN560" s="10">
        <f t="shared" si="551"/>
        <v>0</v>
      </c>
      <c r="AO560" s="10">
        <f t="shared" si="551"/>
        <v>0</v>
      </c>
      <c r="AP560" s="10">
        <f t="shared" si="551"/>
        <v>0</v>
      </c>
      <c r="AQ560" s="10">
        <f t="shared" si="551"/>
        <v>0</v>
      </c>
      <c r="AR560" s="10">
        <f t="shared" si="551"/>
        <v>0</v>
      </c>
      <c r="AS560" s="10">
        <f t="shared" si="551"/>
        <v>0</v>
      </c>
      <c r="AT560" s="10">
        <f t="shared" si="551"/>
        <v>0</v>
      </c>
      <c r="AU560" s="10">
        <f t="shared" si="551"/>
        <v>0</v>
      </c>
      <c r="AV560" s="10">
        <f t="shared" si="551"/>
        <v>0</v>
      </c>
      <c r="AW560" s="10">
        <f t="shared" si="551"/>
        <v>0</v>
      </c>
      <c r="AX560" s="10">
        <f t="shared" si="551"/>
        <v>0</v>
      </c>
      <c r="AY560" s="10">
        <f t="shared" si="551"/>
        <v>0</v>
      </c>
      <c r="AZ560" s="10">
        <f t="shared" si="551"/>
        <v>0</v>
      </c>
      <c r="BA560" s="10">
        <f t="shared" si="551"/>
        <v>0</v>
      </c>
      <c r="BB560" s="10">
        <f t="shared" si="551"/>
        <v>0</v>
      </c>
      <c r="BC560" s="10">
        <f t="shared" si="551"/>
        <v>0</v>
      </c>
      <c r="BD560" s="10">
        <f t="shared" si="551"/>
        <v>0</v>
      </c>
      <c r="BE560" s="10">
        <f t="shared" si="551"/>
        <v>0</v>
      </c>
      <c r="BF560" s="10">
        <f t="shared" si="551"/>
        <v>0</v>
      </c>
      <c r="BG560" s="10">
        <f t="shared" si="551"/>
        <v>0</v>
      </c>
      <c r="BH560" s="10">
        <f t="shared" si="551"/>
        <v>0</v>
      </c>
      <c r="BI560" s="10">
        <f t="shared" si="551"/>
        <v>0</v>
      </c>
      <c r="BJ560" s="10">
        <f t="shared" si="551"/>
        <v>0</v>
      </c>
      <c r="BK560" s="10">
        <f t="shared" si="551"/>
        <v>0</v>
      </c>
      <c r="BL560" s="10">
        <f t="shared" si="551"/>
        <v>0</v>
      </c>
      <c r="BM560" s="10">
        <f t="shared" si="551"/>
        <v>0</v>
      </c>
      <c r="BN560" s="10">
        <f t="shared" si="551"/>
        <v>0</v>
      </c>
      <c r="BO560" s="10">
        <f t="shared" si="551"/>
        <v>0</v>
      </c>
      <c r="BP560" s="10">
        <f t="shared" si="551"/>
        <v>0</v>
      </c>
      <c r="BQ560" s="10">
        <f t="shared" si="551"/>
        <v>0</v>
      </c>
      <c r="BR560" s="10">
        <f t="shared" si="551"/>
        <v>0</v>
      </c>
      <c r="BS560" s="10">
        <f t="shared" si="551"/>
        <v>0</v>
      </c>
      <c r="BT560" s="10">
        <f t="shared" si="551"/>
        <v>0</v>
      </c>
      <c r="BU560" s="10">
        <f t="shared" si="551"/>
        <v>0</v>
      </c>
      <c r="BV560" s="10">
        <f t="shared" si="551"/>
        <v>0</v>
      </c>
      <c r="BX560" s="10">
        <f t="shared" ref="BX560:CI560" si="552">BX$162</f>
        <v>0</v>
      </c>
      <c r="BY560" s="10">
        <f t="shared" si="552"/>
        <v>0</v>
      </c>
      <c r="BZ560" s="10">
        <f t="shared" si="552"/>
        <v>0</v>
      </c>
      <c r="CA560" s="10">
        <f t="shared" si="552"/>
        <v>0</v>
      </c>
      <c r="CB560" s="10">
        <f t="shared" si="552"/>
        <v>0</v>
      </c>
      <c r="CC560" s="10">
        <f t="shared" si="552"/>
        <v>0</v>
      </c>
      <c r="CD560" s="10">
        <f t="shared" si="552"/>
        <v>0</v>
      </c>
      <c r="CE560" s="10">
        <f t="shared" si="552"/>
        <v>0</v>
      </c>
      <c r="CF560" s="10">
        <f t="shared" si="552"/>
        <v>0</v>
      </c>
      <c r="CG560" s="10">
        <f t="shared" si="552"/>
        <v>0</v>
      </c>
      <c r="CH560" s="10">
        <f t="shared" si="552"/>
        <v>0</v>
      </c>
      <c r="CI560" s="10">
        <f t="shared" si="552"/>
        <v>0</v>
      </c>
      <c r="CK560" s="11"/>
      <c r="CM560" s="11"/>
      <c r="DF560" s="11"/>
      <c r="EY560" s="10" t="str">
        <f t="shared" si="448"/>
        <v/>
      </c>
    </row>
    <row r="561" spans="1:155" x14ac:dyDescent="0.35">
      <c r="B561" s="69" t="str" cm="1">
        <f t="array" aca="1" ref="B561" ca="1">HYPERLINK(CONCATENATE("#",CELL("address",$D$170)),$D$170)</f>
        <v>Loan 7</v>
      </c>
      <c r="C561" s="211"/>
      <c r="D561" s="49">
        <f>D$19</f>
        <v>0</v>
      </c>
      <c r="E561" s="49" t="str">
        <f>F$19</f>
        <v/>
      </c>
      <c r="F561" s="49"/>
      <c r="H561" s="9" t="s">
        <v>1074</v>
      </c>
      <c r="I561" s="40" t="s">
        <v>665</v>
      </c>
      <c r="V561" s="133">
        <f>V$181</f>
        <v>0</v>
      </c>
      <c r="W561" s="10">
        <f>W$181</f>
        <v>0</v>
      </c>
      <c r="X561" s="10">
        <f>X$181</f>
        <v>0</v>
      </c>
      <c r="Y561" s="10">
        <f>Y$181</f>
        <v>0</v>
      </c>
      <c r="AA561" s="10">
        <f t="shared" ref="AA561:BV561" si="553">AA$181</f>
        <v>0</v>
      </c>
      <c r="AB561" s="10">
        <f t="shared" si="553"/>
        <v>0</v>
      </c>
      <c r="AC561" s="10">
        <f t="shared" si="553"/>
        <v>0</v>
      </c>
      <c r="AD561" s="10">
        <f t="shared" si="553"/>
        <v>0</v>
      </c>
      <c r="AE561" s="10">
        <f t="shared" si="553"/>
        <v>0</v>
      </c>
      <c r="AF561" s="10">
        <f t="shared" si="553"/>
        <v>0</v>
      </c>
      <c r="AG561" s="10">
        <f t="shared" si="553"/>
        <v>0</v>
      </c>
      <c r="AH561" s="10">
        <f t="shared" si="553"/>
        <v>0</v>
      </c>
      <c r="AI561" s="10">
        <f t="shared" si="553"/>
        <v>0</v>
      </c>
      <c r="AJ561" s="10">
        <f t="shared" si="553"/>
        <v>0</v>
      </c>
      <c r="AK561" s="10">
        <f t="shared" si="553"/>
        <v>0</v>
      </c>
      <c r="AL561" s="10">
        <f t="shared" si="553"/>
        <v>0</v>
      </c>
      <c r="AM561" s="10">
        <f t="shared" si="553"/>
        <v>0</v>
      </c>
      <c r="AN561" s="10">
        <f t="shared" si="553"/>
        <v>0</v>
      </c>
      <c r="AO561" s="10">
        <f t="shared" si="553"/>
        <v>0</v>
      </c>
      <c r="AP561" s="10">
        <f t="shared" si="553"/>
        <v>0</v>
      </c>
      <c r="AQ561" s="10">
        <f t="shared" si="553"/>
        <v>0</v>
      </c>
      <c r="AR561" s="10">
        <f t="shared" si="553"/>
        <v>0</v>
      </c>
      <c r="AS561" s="10">
        <f t="shared" si="553"/>
        <v>0</v>
      </c>
      <c r="AT561" s="10">
        <f t="shared" si="553"/>
        <v>0</v>
      </c>
      <c r="AU561" s="10">
        <f t="shared" si="553"/>
        <v>0</v>
      </c>
      <c r="AV561" s="10">
        <f t="shared" si="553"/>
        <v>0</v>
      </c>
      <c r="AW561" s="10">
        <f t="shared" si="553"/>
        <v>0</v>
      </c>
      <c r="AX561" s="10">
        <f t="shared" si="553"/>
        <v>0</v>
      </c>
      <c r="AY561" s="10">
        <f t="shared" si="553"/>
        <v>0</v>
      </c>
      <c r="AZ561" s="10">
        <f t="shared" si="553"/>
        <v>0</v>
      </c>
      <c r="BA561" s="10">
        <f t="shared" si="553"/>
        <v>0</v>
      </c>
      <c r="BB561" s="10">
        <f t="shared" si="553"/>
        <v>0</v>
      </c>
      <c r="BC561" s="10">
        <f t="shared" si="553"/>
        <v>0</v>
      </c>
      <c r="BD561" s="10">
        <f t="shared" si="553"/>
        <v>0</v>
      </c>
      <c r="BE561" s="10">
        <f t="shared" si="553"/>
        <v>0</v>
      </c>
      <c r="BF561" s="10">
        <f t="shared" si="553"/>
        <v>0</v>
      </c>
      <c r="BG561" s="10">
        <f t="shared" si="553"/>
        <v>0</v>
      </c>
      <c r="BH561" s="10">
        <f t="shared" si="553"/>
        <v>0</v>
      </c>
      <c r="BI561" s="10">
        <f t="shared" si="553"/>
        <v>0</v>
      </c>
      <c r="BJ561" s="10">
        <f t="shared" si="553"/>
        <v>0</v>
      </c>
      <c r="BK561" s="10">
        <f t="shared" si="553"/>
        <v>0</v>
      </c>
      <c r="BL561" s="10">
        <f t="shared" si="553"/>
        <v>0</v>
      </c>
      <c r="BM561" s="10">
        <f t="shared" si="553"/>
        <v>0</v>
      </c>
      <c r="BN561" s="10">
        <f t="shared" si="553"/>
        <v>0</v>
      </c>
      <c r="BO561" s="10">
        <f t="shared" si="553"/>
        <v>0</v>
      </c>
      <c r="BP561" s="10">
        <f t="shared" si="553"/>
        <v>0</v>
      </c>
      <c r="BQ561" s="10">
        <f t="shared" si="553"/>
        <v>0</v>
      </c>
      <c r="BR561" s="10">
        <f t="shared" si="553"/>
        <v>0</v>
      </c>
      <c r="BS561" s="10">
        <f t="shared" si="553"/>
        <v>0</v>
      </c>
      <c r="BT561" s="10">
        <f t="shared" si="553"/>
        <v>0</v>
      </c>
      <c r="BU561" s="10">
        <f t="shared" si="553"/>
        <v>0</v>
      </c>
      <c r="BV561" s="10">
        <f t="shared" si="553"/>
        <v>0</v>
      </c>
      <c r="BX561" s="10">
        <f t="shared" ref="BX561:CI561" si="554">BX$181</f>
        <v>0</v>
      </c>
      <c r="BY561" s="10">
        <f t="shared" si="554"/>
        <v>0</v>
      </c>
      <c r="BZ561" s="10">
        <f t="shared" si="554"/>
        <v>0</v>
      </c>
      <c r="CA561" s="10">
        <f t="shared" si="554"/>
        <v>0</v>
      </c>
      <c r="CB561" s="10">
        <f t="shared" si="554"/>
        <v>0</v>
      </c>
      <c r="CC561" s="10">
        <f t="shared" si="554"/>
        <v>0</v>
      </c>
      <c r="CD561" s="10">
        <f t="shared" si="554"/>
        <v>0</v>
      </c>
      <c r="CE561" s="10">
        <f t="shared" si="554"/>
        <v>0</v>
      </c>
      <c r="CF561" s="10">
        <f t="shared" si="554"/>
        <v>0</v>
      </c>
      <c r="CG561" s="10">
        <f t="shared" si="554"/>
        <v>0</v>
      </c>
      <c r="CH561" s="10">
        <f t="shared" si="554"/>
        <v>0</v>
      </c>
      <c r="CI561" s="10">
        <f t="shared" si="554"/>
        <v>0</v>
      </c>
      <c r="CK561" s="11"/>
      <c r="CM561" s="11"/>
      <c r="DF561" s="11"/>
      <c r="EY561" s="10" t="str">
        <f t="shared" si="448"/>
        <v/>
      </c>
    </row>
    <row r="562" spans="1:155" x14ac:dyDescent="0.35">
      <c r="B562" s="69" t="str" cm="1">
        <f t="array" aca="1" ref="B562" ca="1">HYPERLINK(CONCATENATE("#",CELL("address",$D$189)),$D$189)</f>
        <v>Loan 8</v>
      </c>
      <c r="C562" s="211"/>
      <c r="D562" s="49">
        <f>D$20</f>
        <v>0</v>
      </c>
      <c r="E562" s="49" t="str">
        <f>F$20</f>
        <v/>
      </c>
      <c r="F562" s="49"/>
      <c r="H562" s="9" t="s">
        <v>1074</v>
      </c>
      <c r="I562" s="40" t="s">
        <v>665</v>
      </c>
      <c r="V562" s="133">
        <f>V$200</f>
        <v>0</v>
      </c>
      <c r="W562" s="10">
        <f>W$200</f>
        <v>0</v>
      </c>
      <c r="X562" s="10">
        <f>X$200</f>
        <v>0</v>
      </c>
      <c r="Y562" s="10">
        <f>Y$200</f>
        <v>0</v>
      </c>
      <c r="AA562" s="10">
        <f t="shared" ref="AA562:BV562" si="555">AA$200</f>
        <v>0</v>
      </c>
      <c r="AB562" s="10">
        <f t="shared" si="555"/>
        <v>0</v>
      </c>
      <c r="AC562" s="10">
        <f t="shared" si="555"/>
        <v>0</v>
      </c>
      <c r="AD562" s="10">
        <f t="shared" si="555"/>
        <v>0</v>
      </c>
      <c r="AE562" s="10">
        <f t="shared" si="555"/>
        <v>0</v>
      </c>
      <c r="AF562" s="10">
        <f t="shared" si="555"/>
        <v>0</v>
      </c>
      <c r="AG562" s="10">
        <f t="shared" si="555"/>
        <v>0</v>
      </c>
      <c r="AH562" s="10">
        <f t="shared" si="555"/>
        <v>0</v>
      </c>
      <c r="AI562" s="10">
        <f t="shared" si="555"/>
        <v>0</v>
      </c>
      <c r="AJ562" s="10">
        <f t="shared" si="555"/>
        <v>0</v>
      </c>
      <c r="AK562" s="10">
        <f t="shared" si="555"/>
        <v>0</v>
      </c>
      <c r="AL562" s="10">
        <f t="shared" si="555"/>
        <v>0</v>
      </c>
      <c r="AM562" s="10">
        <f t="shared" si="555"/>
        <v>0</v>
      </c>
      <c r="AN562" s="10">
        <f t="shared" si="555"/>
        <v>0</v>
      </c>
      <c r="AO562" s="10">
        <f t="shared" si="555"/>
        <v>0</v>
      </c>
      <c r="AP562" s="10">
        <f t="shared" si="555"/>
        <v>0</v>
      </c>
      <c r="AQ562" s="10">
        <f t="shared" si="555"/>
        <v>0</v>
      </c>
      <c r="AR562" s="10">
        <f t="shared" si="555"/>
        <v>0</v>
      </c>
      <c r="AS562" s="10">
        <f t="shared" si="555"/>
        <v>0</v>
      </c>
      <c r="AT562" s="10">
        <f t="shared" si="555"/>
        <v>0</v>
      </c>
      <c r="AU562" s="10">
        <f t="shared" si="555"/>
        <v>0</v>
      </c>
      <c r="AV562" s="10">
        <f t="shared" si="555"/>
        <v>0</v>
      </c>
      <c r="AW562" s="10">
        <f t="shared" si="555"/>
        <v>0</v>
      </c>
      <c r="AX562" s="10">
        <f t="shared" si="555"/>
        <v>0</v>
      </c>
      <c r="AY562" s="10">
        <f t="shared" si="555"/>
        <v>0</v>
      </c>
      <c r="AZ562" s="10">
        <f t="shared" si="555"/>
        <v>0</v>
      </c>
      <c r="BA562" s="10">
        <f t="shared" si="555"/>
        <v>0</v>
      </c>
      <c r="BB562" s="10">
        <f t="shared" si="555"/>
        <v>0</v>
      </c>
      <c r="BC562" s="10">
        <f t="shared" si="555"/>
        <v>0</v>
      </c>
      <c r="BD562" s="10">
        <f t="shared" si="555"/>
        <v>0</v>
      </c>
      <c r="BE562" s="10">
        <f t="shared" si="555"/>
        <v>0</v>
      </c>
      <c r="BF562" s="10">
        <f t="shared" si="555"/>
        <v>0</v>
      </c>
      <c r="BG562" s="10">
        <f t="shared" si="555"/>
        <v>0</v>
      </c>
      <c r="BH562" s="10">
        <f t="shared" si="555"/>
        <v>0</v>
      </c>
      <c r="BI562" s="10">
        <f t="shared" si="555"/>
        <v>0</v>
      </c>
      <c r="BJ562" s="10">
        <f t="shared" si="555"/>
        <v>0</v>
      </c>
      <c r="BK562" s="10">
        <f t="shared" si="555"/>
        <v>0</v>
      </c>
      <c r="BL562" s="10">
        <f t="shared" si="555"/>
        <v>0</v>
      </c>
      <c r="BM562" s="10">
        <f t="shared" si="555"/>
        <v>0</v>
      </c>
      <c r="BN562" s="10">
        <f t="shared" si="555"/>
        <v>0</v>
      </c>
      <c r="BO562" s="10">
        <f t="shared" si="555"/>
        <v>0</v>
      </c>
      <c r="BP562" s="10">
        <f t="shared" si="555"/>
        <v>0</v>
      </c>
      <c r="BQ562" s="10">
        <f t="shared" si="555"/>
        <v>0</v>
      </c>
      <c r="BR562" s="10">
        <f t="shared" si="555"/>
        <v>0</v>
      </c>
      <c r="BS562" s="10">
        <f t="shared" si="555"/>
        <v>0</v>
      </c>
      <c r="BT562" s="10">
        <f t="shared" si="555"/>
        <v>0</v>
      </c>
      <c r="BU562" s="10">
        <f t="shared" si="555"/>
        <v>0</v>
      </c>
      <c r="BV562" s="10">
        <f t="shared" si="555"/>
        <v>0</v>
      </c>
      <c r="BX562" s="10">
        <f t="shared" ref="BX562:CI562" si="556">BX$200</f>
        <v>0</v>
      </c>
      <c r="BY562" s="10">
        <f t="shared" si="556"/>
        <v>0</v>
      </c>
      <c r="BZ562" s="10">
        <f t="shared" si="556"/>
        <v>0</v>
      </c>
      <c r="CA562" s="10">
        <f t="shared" si="556"/>
        <v>0</v>
      </c>
      <c r="CB562" s="10">
        <f t="shared" si="556"/>
        <v>0</v>
      </c>
      <c r="CC562" s="10">
        <f t="shared" si="556"/>
        <v>0</v>
      </c>
      <c r="CD562" s="10">
        <f t="shared" si="556"/>
        <v>0</v>
      </c>
      <c r="CE562" s="10">
        <f t="shared" si="556"/>
        <v>0</v>
      </c>
      <c r="CF562" s="10">
        <f t="shared" si="556"/>
        <v>0</v>
      </c>
      <c r="CG562" s="10">
        <f t="shared" si="556"/>
        <v>0</v>
      </c>
      <c r="CH562" s="10">
        <f t="shared" si="556"/>
        <v>0</v>
      </c>
      <c r="CI562" s="10">
        <f t="shared" si="556"/>
        <v>0</v>
      </c>
      <c r="CK562" s="11"/>
      <c r="CM562" s="11"/>
      <c r="DF562" s="11"/>
      <c r="EY562" s="10" t="str">
        <f t="shared" si="448"/>
        <v/>
      </c>
    </row>
    <row r="563" spans="1:155" x14ac:dyDescent="0.35">
      <c r="B563" s="69" t="str" cm="1">
        <f t="array" aca="1" ref="B563" ca="1">HYPERLINK(CONCATENATE("#",CELL("address",$D$208)),$D$208)</f>
        <v>Loan 9</v>
      </c>
      <c r="C563" s="211"/>
      <c r="D563" s="49">
        <f>D$21</f>
        <v>0</v>
      </c>
      <c r="E563" s="49" t="str">
        <f>F$21</f>
        <v/>
      </c>
      <c r="F563" s="49"/>
      <c r="H563" s="9" t="s">
        <v>1074</v>
      </c>
      <c r="I563" s="40" t="s">
        <v>665</v>
      </c>
      <c r="V563" s="133">
        <f>V$219</f>
        <v>0</v>
      </c>
      <c r="W563" s="10">
        <f>W$219</f>
        <v>0</v>
      </c>
      <c r="X563" s="10">
        <f>X$219</f>
        <v>0</v>
      </c>
      <c r="Y563" s="10">
        <f>Y$219</f>
        <v>0</v>
      </c>
      <c r="AA563" s="10">
        <f t="shared" ref="AA563:BV563" si="557">AA$219</f>
        <v>0</v>
      </c>
      <c r="AB563" s="10">
        <f t="shared" si="557"/>
        <v>0</v>
      </c>
      <c r="AC563" s="10">
        <f t="shared" si="557"/>
        <v>0</v>
      </c>
      <c r="AD563" s="10">
        <f t="shared" si="557"/>
        <v>0</v>
      </c>
      <c r="AE563" s="10">
        <f t="shared" si="557"/>
        <v>0</v>
      </c>
      <c r="AF563" s="10">
        <f t="shared" si="557"/>
        <v>0</v>
      </c>
      <c r="AG563" s="10">
        <f t="shared" si="557"/>
        <v>0</v>
      </c>
      <c r="AH563" s="10">
        <f t="shared" si="557"/>
        <v>0</v>
      </c>
      <c r="AI563" s="10">
        <f t="shared" si="557"/>
        <v>0</v>
      </c>
      <c r="AJ563" s="10">
        <f t="shared" si="557"/>
        <v>0</v>
      </c>
      <c r="AK563" s="10">
        <f t="shared" si="557"/>
        <v>0</v>
      </c>
      <c r="AL563" s="10">
        <f t="shared" si="557"/>
        <v>0</v>
      </c>
      <c r="AM563" s="10">
        <f t="shared" si="557"/>
        <v>0</v>
      </c>
      <c r="AN563" s="10">
        <f t="shared" si="557"/>
        <v>0</v>
      </c>
      <c r="AO563" s="10">
        <f t="shared" si="557"/>
        <v>0</v>
      </c>
      <c r="AP563" s="10">
        <f t="shared" si="557"/>
        <v>0</v>
      </c>
      <c r="AQ563" s="10">
        <f t="shared" si="557"/>
        <v>0</v>
      </c>
      <c r="AR563" s="10">
        <f t="shared" si="557"/>
        <v>0</v>
      </c>
      <c r="AS563" s="10">
        <f t="shared" si="557"/>
        <v>0</v>
      </c>
      <c r="AT563" s="10">
        <f t="shared" si="557"/>
        <v>0</v>
      </c>
      <c r="AU563" s="10">
        <f t="shared" si="557"/>
        <v>0</v>
      </c>
      <c r="AV563" s="10">
        <f t="shared" si="557"/>
        <v>0</v>
      </c>
      <c r="AW563" s="10">
        <f t="shared" si="557"/>
        <v>0</v>
      </c>
      <c r="AX563" s="10">
        <f t="shared" si="557"/>
        <v>0</v>
      </c>
      <c r="AY563" s="10">
        <f t="shared" si="557"/>
        <v>0</v>
      </c>
      <c r="AZ563" s="10">
        <f t="shared" si="557"/>
        <v>0</v>
      </c>
      <c r="BA563" s="10">
        <f t="shared" si="557"/>
        <v>0</v>
      </c>
      <c r="BB563" s="10">
        <f t="shared" si="557"/>
        <v>0</v>
      </c>
      <c r="BC563" s="10">
        <f t="shared" si="557"/>
        <v>0</v>
      </c>
      <c r="BD563" s="10">
        <f t="shared" si="557"/>
        <v>0</v>
      </c>
      <c r="BE563" s="10">
        <f t="shared" si="557"/>
        <v>0</v>
      </c>
      <c r="BF563" s="10">
        <f t="shared" si="557"/>
        <v>0</v>
      </c>
      <c r="BG563" s="10">
        <f t="shared" si="557"/>
        <v>0</v>
      </c>
      <c r="BH563" s="10">
        <f t="shared" si="557"/>
        <v>0</v>
      </c>
      <c r="BI563" s="10">
        <f t="shared" si="557"/>
        <v>0</v>
      </c>
      <c r="BJ563" s="10">
        <f t="shared" si="557"/>
        <v>0</v>
      </c>
      <c r="BK563" s="10">
        <f t="shared" si="557"/>
        <v>0</v>
      </c>
      <c r="BL563" s="10">
        <f t="shared" si="557"/>
        <v>0</v>
      </c>
      <c r="BM563" s="10">
        <f t="shared" si="557"/>
        <v>0</v>
      </c>
      <c r="BN563" s="10">
        <f t="shared" si="557"/>
        <v>0</v>
      </c>
      <c r="BO563" s="10">
        <f t="shared" si="557"/>
        <v>0</v>
      </c>
      <c r="BP563" s="10">
        <f t="shared" si="557"/>
        <v>0</v>
      </c>
      <c r="BQ563" s="10">
        <f t="shared" si="557"/>
        <v>0</v>
      </c>
      <c r="BR563" s="10">
        <f t="shared" si="557"/>
        <v>0</v>
      </c>
      <c r="BS563" s="10">
        <f t="shared" si="557"/>
        <v>0</v>
      </c>
      <c r="BT563" s="10">
        <f t="shared" si="557"/>
        <v>0</v>
      </c>
      <c r="BU563" s="10">
        <f t="shared" si="557"/>
        <v>0</v>
      </c>
      <c r="BV563" s="10">
        <f t="shared" si="557"/>
        <v>0</v>
      </c>
      <c r="BX563" s="10">
        <f t="shared" ref="BX563:CI563" si="558">BX$219</f>
        <v>0</v>
      </c>
      <c r="BY563" s="10">
        <f t="shared" si="558"/>
        <v>0</v>
      </c>
      <c r="BZ563" s="10">
        <f t="shared" si="558"/>
        <v>0</v>
      </c>
      <c r="CA563" s="10">
        <f t="shared" si="558"/>
        <v>0</v>
      </c>
      <c r="CB563" s="10">
        <f t="shared" si="558"/>
        <v>0</v>
      </c>
      <c r="CC563" s="10">
        <f t="shared" si="558"/>
        <v>0</v>
      </c>
      <c r="CD563" s="10">
        <f t="shared" si="558"/>
        <v>0</v>
      </c>
      <c r="CE563" s="10">
        <f t="shared" si="558"/>
        <v>0</v>
      </c>
      <c r="CF563" s="10">
        <f t="shared" si="558"/>
        <v>0</v>
      </c>
      <c r="CG563" s="10">
        <f t="shared" si="558"/>
        <v>0</v>
      </c>
      <c r="CH563" s="10">
        <f t="shared" si="558"/>
        <v>0</v>
      </c>
      <c r="CI563" s="10">
        <f t="shared" si="558"/>
        <v>0</v>
      </c>
      <c r="CK563" s="11"/>
      <c r="CM563" s="11"/>
      <c r="DF563" s="11"/>
      <c r="EY563" s="10" t="str">
        <f t="shared" ref="EY563:EY626" si="559">IF($C563="","",$D563)</f>
        <v/>
      </c>
    </row>
    <row r="564" spans="1:155" x14ac:dyDescent="0.35">
      <c r="B564" s="69" t="str" cm="1">
        <f t="array" aca="1" ref="B564" ca="1">HYPERLINK(CONCATENATE("#",CELL("address",$D$227)),$D$227)</f>
        <v>Loan 10</v>
      </c>
      <c r="C564" s="211"/>
      <c r="D564" s="49">
        <f>D$22</f>
        <v>0</v>
      </c>
      <c r="E564" s="49" t="str">
        <f>F$22</f>
        <v/>
      </c>
      <c r="F564" s="49"/>
      <c r="H564" s="9" t="s">
        <v>1074</v>
      </c>
      <c r="I564" s="40" t="s">
        <v>665</v>
      </c>
      <c r="V564" s="133">
        <f>V$238</f>
        <v>0</v>
      </c>
      <c r="W564" s="10">
        <f>W$238</f>
        <v>0</v>
      </c>
      <c r="X564" s="10">
        <f>X$238</f>
        <v>0</v>
      </c>
      <c r="Y564" s="10">
        <f>Y$238</f>
        <v>0</v>
      </c>
      <c r="AA564" s="10">
        <f t="shared" ref="AA564:BV564" si="560">AA$238</f>
        <v>0</v>
      </c>
      <c r="AB564" s="10">
        <f t="shared" si="560"/>
        <v>0</v>
      </c>
      <c r="AC564" s="10">
        <f t="shared" si="560"/>
        <v>0</v>
      </c>
      <c r="AD564" s="10">
        <f t="shared" si="560"/>
        <v>0</v>
      </c>
      <c r="AE564" s="10">
        <f t="shared" si="560"/>
        <v>0</v>
      </c>
      <c r="AF564" s="10">
        <f t="shared" si="560"/>
        <v>0</v>
      </c>
      <c r="AG564" s="10">
        <f t="shared" si="560"/>
        <v>0</v>
      </c>
      <c r="AH564" s="10">
        <f t="shared" si="560"/>
        <v>0</v>
      </c>
      <c r="AI564" s="10">
        <f t="shared" si="560"/>
        <v>0</v>
      </c>
      <c r="AJ564" s="10">
        <f t="shared" si="560"/>
        <v>0</v>
      </c>
      <c r="AK564" s="10">
        <f t="shared" si="560"/>
        <v>0</v>
      </c>
      <c r="AL564" s="10">
        <f t="shared" si="560"/>
        <v>0</v>
      </c>
      <c r="AM564" s="10">
        <f t="shared" si="560"/>
        <v>0</v>
      </c>
      <c r="AN564" s="10">
        <f t="shared" si="560"/>
        <v>0</v>
      </c>
      <c r="AO564" s="10">
        <f t="shared" si="560"/>
        <v>0</v>
      </c>
      <c r="AP564" s="10">
        <f t="shared" si="560"/>
        <v>0</v>
      </c>
      <c r="AQ564" s="10">
        <f t="shared" si="560"/>
        <v>0</v>
      </c>
      <c r="AR564" s="10">
        <f t="shared" si="560"/>
        <v>0</v>
      </c>
      <c r="AS564" s="10">
        <f t="shared" si="560"/>
        <v>0</v>
      </c>
      <c r="AT564" s="10">
        <f t="shared" si="560"/>
        <v>0</v>
      </c>
      <c r="AU564" s="10">
        <f t="shared" si="560"/>
        <v>0</v>
      </c>
      <c r="AV564" s="10">
        <f t="shared" si="560"/>
        <v>0</v>
      </c>
      <c r="AW564" s="10">
        <f t="shared" si="560"/>
        <v>0</v>
      </c>
      <c r="AX564" s="10">
        <f t="shared" si="560"/>
        <v>0</v>
      </c>
      <c r="AY564" s="10">
        <f t="shared" si="560"/>
        <v>0</v>
      </c>
      <c r="AZ564" s="10">
        <f t="shared" si="560"/>
        <v>0</v>
      </c>
      <c r="BA564" s="10">
        <f t="shared" si="560"/>
        <v>0</v>
      </c>
      <c r="BB564" s="10">
        <f t="shared" si="560"/>
        <v>0</v>
      </c>
      <c r="BC564" s="10">
        <f t="shared" si="560"/>
        <v>0</v>
      </c>
      <c r="BD564" s="10">
        <f t="shared" si="560"/>
        <v>0</v>
      </c>
      <c r="BE564" s="10">
        <f t="shared" si="560"/>
        <v>0</v>
      </c>
      <c r="BF564" s="10">
        <f t="shared" si="560"/>
        <v>0</v>
      </c>
      <c r="BG564" s="10">
        <f t="shared" si="560"/>
        <v>0</v>
      </c>
      <c r="BH564" s="10">
        <f t="shared" si="560"/>
        <v>0</v>
      </c>
      <c r="BI564" s="10">
        <f t="shared" si="560"/>
        <v>0</v>
      </c>
      <c r="BJ564" s="10">
        <f t="shared" si="560"/>
        <v>0</v>
      </c>
      <c r="BK564" s="10">
        <f t="shared" si="560"/>
        <v>0</v>
      </c>
      <c r="BL564" s="10">
        <f t="shared" si="560"/>
        <v>0</v>
      </c>
      <c r="BM564" s="10">
        <f t="shared" si="560"/>
        <v>0</v>
      </c>
      <c r="BN564" s="10">
        <f t="shared" si="560"/>
        <v>0</v>
      </c>
      <c r="BO564" s="10">
        <f t="shared" si="560"/>
        <v>0</v>
      </c>
      <c r="BP564" s="10">
        <f t="shared" si="560"/>
        <v>0</v>
      </c>
      <c r="BQ564" s="10">
        <f t="shared" si="560"/>
        <v>0</v>
      </c>
      <c r="BR564" s="10">
        <f t="shared" si="560"/>
        <v>0</v>
      </c>
      <c r="BS564" s="10">
        <f t="shared" si="560"/>
        <v>0</v>
      </c>
      <c r="BT564" s="10">
        <f t="shared" si="560"/>
        <v>0</v>
      </c>
      <c r="BU564" s="10">
        <f t="shared" si="560"/>
        <v>0</v>
      </c>
      <c r="BV564" s="10">
        <f t="shared" si="560"/>
        <v>0</v>
      </c>
      <c r="BX564" s="10">
        <f t="shared" ref="BX564:CI564" si="561">BX$238</f>
        <v>0</v>
      </c>
      <c r="BY564" s="10">
        <f t="shared" si="561"/>
        <v>0</v>
      </c>
      <c r="BZ564" s="10">
        <f t="shared" si="561"/>
        <v>0</v>
      </c>
      <c r="CA564" s="10">
        <f t="shared" si="561"/>
        <v>0</v>
      </c>
      <c r="CB564" s="10">
        <f t="shared" si="561"/>
        <v>0</v>
      </c>
      <c r="CC564" s="10">
        <f t="shared" si="561"/>
        <v>0</v>
      </c>
      <c r="CD564" s="10">
        <f t="shared" si="561"/>
        <v>0</v>
      </c>
      <c r="CE564" s="10">
        <f t="shared" si="561"/>
        <v>0</v>
      </c>
      <c r="CF564" s="10">
        <f t="shared" si="561"/>
        <v>0</v>
      </c>
      <c r="CG564" s="10">
        <f t="shared" si="561"/>
        <v>0</v>
      </c>
      <c r="CH564" s="10">
        <f t="shared" si="561"/>
        <v>0</v>
      </c>
      <c r="CI564" s="10">
        <f t="shared" si="561"/>
        <v>0</v>
      </c>
      <c r="CK564" s="11"/>
      <c r="CM564" s="11"/>
      <c r="DF564" s="11"/>
      <c r="EY564" s="10" t="str">
        <f t="shared" si="559"/>
        <v/>
      </c>
    </row>
    <row r="565" spans="1:155" x14ac:dyDescent="0.35">
      <c r="B565" s="69" t="str" cm="1">
        <f t="array" aca="1" ref="B565" ca="1">HYPERLINK(CONCATENATE("#",CELL("address",$D$246)),$D$246)</f>
        <v>Loan 11</v>
      </c>
      <c r="C565" s="211"/>
      <c r="D565" s="49">
        <f>D$23</f>
        <v>0</v>
      </c>
      <c r="E565" s="49" t="str">
        <f>F$23</f>
        <v/>
      </c>
      <c r="F565" s="49"/>
      <c r="H565" s="9" t="s">
        <v>1074</v>
      </c>
      <c r="I565" s="40" t="s">
        <v>665</v>
      </c>
      <c r="V565" s="133">
        <f>V$257</f>
        <v>0</v>
      </c>
      <c r="W565" s="10">
        <f>W$257</f>
        <v>0</v>
      </c>
      <c r="X565" s="10">
        <f>X$257</f>
        <v>0</v>
      </c>
      <c r="Y565" s="10">
        <f>Y$257</f>
        <v>0</v>
      </c>
      <c r="AA565" s="10">
        <f t="shared" ref="AA565:BV565" si="562">AA$257</f>
        <v>0</v>
      </c>
      <c r="AB565" s="10">
        <f t="shared" si="562"/>
        <v>0</v>
      </c>
      <c r="AC565" s="10">
        <f t="shared" si="562"/>
        <v>0</v>
      </c>
      <c r="AD565" s="10">
        <f t="shared" si="562"/>
        <v>0</v>
      </c>
      <c r="AE565" s="10">
        <f t="shared" si="562"/>
        <v>0</v>
      </c>
      <c r="AF565" s="10">
        <f t="shared" si="562"/>
        <v>0</v>
      </c>
      <c r="AG565" s="10">
        <f t="shared" si="562"/>
        <v>0</v>
      </c>
      <c r="AH565" s="10">
        <f t="shared" si="562"/>
        <v>0</v>
      </c>
      <c r="AI565" s="10">
        <f t="shared" si="562"/>
        <v>0</v>
      </c>
      <c r="AJ565" s="10">
        <f t="shared" si="562"/>
        <v>0</v>
      </c>
      <c r="AK565" s="10">
        <f t="shared" si="562"/>
        <v>0</v>
      </c>
      <c r="AL565" s="10">
        <f t="shared" si="562"/>
        <v>0</v>
      </c>
      <c r="AM565" s="10">
        <f t="shared" si="562"/>
        <v>0</v>
      </c>
      <c r="AN565" s="10">
        <f t="shared" si="562"/>
        <v>0</v>
      </c>
      <c r="AO565" s="10">
        <f t="shared" si="562"/>
        <v>0</v>
      </c>
      <c r="AP565" s="10">
        <f t="shared" si="562"/>
        <v>0</v>
      </c>
      <c r="AQ565" s="10">
        <f t="shared" si="562"/>
        <v>0</v>
      </c>
      <c r="AR565" s="10">
        <f t="shared" si="562"/>
        <v>0</v>
      </c>
      <c r="AS565" s="10">
        <f t="shared" si="562"/>
        <v>0</v>
      </c>
      <c r="AT565" s="10">
        <f t="shared" si="562"/>
        <v>0</v>
      </c>
      <c r="AU565" s="10">
        <f t="shared" si="562"/>
        <v>0</v>
      </c>
      <c r="AV565" s="10">
        <f t="shared" si="562"/>
        <v>0</v>
      </c>
      <c r="AW565" s="10">
        <f t="shared" si="562"/>
        <v>0</v>
      </c>
      <c r="AX565" s="10">
        <f t="shared" si="562"/>
        <v>0</v>
      </c>
      <c r="AY565" s="10">
        <f t="shared" si="562"/>
        <v>0</v>
      </c>
      <c r="AZ565" s="10">
        <f t="shared" si="562"/>
        <v>0</v>
      </c>
      <c r="BA565" s="10">
        <f t="shared" si="562"/>
        <v>0</v>
      </c>
      <c r="BB565" s="10">
        <f t="shared" si="562"/>
        <v>0</v>
      </c>
      <c r="BC565" s="10">
        <f t="shared" si="562"/>
        <v>0</v>
      </c>
      <c r="BD565" s="10">
        <f t="shared" si="562"/>
        <v>0</v>
      </c>
      <c r="BE565" s="10">
        <f t="shared" si="562"/>
        <v>0</v>
      </c>
      <c r="BF565" s="10">
        <f t="shared" si="562"/>
        <v>0</v>
      </c>
      <c r="BG565" s="10">
        <f t="shared" si="562"/>
        <v>0</v>
      </c>
      <c r="BH565" s="10">
        <f t="shared" si="562"/>
        <v>0</v>
      </c>
      <c r="BI565" s="10">
        <f t="shared" si="562"/>
        <v>0</v>
      </c>
      <c r="BJ565" s="10">
        <f t="shared" si="562"/>
        <v>0</v>
      </c>
      <c r="BK565" s="10">
        <f t="shared" si="562"/>
        <v>0</v>
      </c>
      <c r="BL565" s="10">
        <f t="shared" si="562"/>
        <v>0</v>
      </c>
      <c r="BM565" s="10">
        <f t="shared" si="562"/>
        <v>0</v>
      </c>
      <c r="BN565" s="10">
        <f t="shared" si="562"/>
        <v>0</v>
      </c>
      <c r="BO565" s="10">
        <f t="shared" si="562"/>
        <v>0</v>
      </c>
      <c r="BP565" s="10">
        <f t="shared" si="562"/>
        <v>0</v>
      </c>
      <c r="BQ565" s="10">
        <f t="shared" si="562"/>
        <v>0</v>
      </c>
      <c r="BR565" s="10">
        <f t="shared" si="562"/>
        <v>0</v>
      </c>
      <c r="BS565" s="10">
        <f t="shared" si="562"/>
        <v>0</v>
      </c>
      <c r="BT565" s="10">
        <f t="shared" si="562"/>
        <v>0</v>
      </c>
      <c r="BU565" s="10">
        <f t="shared" si="562"/>
        <v>0</v>
      </c>
      <c r="BV565" s="10">
        <f t="shared" si="562"/>
        <v>0</v>
      </c>
      <c r="BX565" s="10">
        <f t="shared" ref="BX565:CI565" si="563">BX$257</f>
        <v>0</v>
      </c>
      <c r="BY565" s="10">
        <f t="shared" si="563"/>
        <v>0</v>
      </c>
      <c r="BZ565" s="10">
        <f t="shared" si="563"/>
        <v>0</v>
      </c>
      <c r="CA565" s="10">
        <f t="shared" si="563"/>
        <v>0</v>
      </c>
      <c r="CB565" s="10">
        <f t="shared" si="563"/>
        <v>0</v>
      </c>
      <c r="CC565" s="10">
        <f t="shared" si="563"/>
        <v>0</v>
      </c>
      <c r="CD565" s="10">
        <f t="shared" si="563"/>
        <v>0</v>
      </c>
      <c r="CE565" s="10">
        <f t="shared" si="563"/>
        <v>0</v>
      </c>
      <c r="CF565" s="10">
        <f t="shared" si="563"/>
        <v>0</v>
      </c>
      <c r="CG565" s="10">
        <f t="shared" si="563"/>
        <v>0</v>
      </c>
      <c r="CH565" s="10">
        <f t="shared" si="563"/>
        <v>0</v>
      </c>
      <c r="CI565" s="10">
        <f t="shared" si="563"/>
        <v>0</v>
      </c>
      <c r="CK565" s="11"/>
      <c r="CM565" s="11"/>
      <c r="DF565" s="11"/>
      <c r="EY565" s="10" t="str">
        <f t="shared" si="559"/>
        <v/>
      </c>
    </row>
    <row r="566" spans="1:155" x14ac:dyDescent="0.35">
      <c r="B566" s="69" t="str" cm="1">
        <f t="array" aca="1" ref="B566" ca="1">HYPERLINK(CONCATENATE("#",CELL("address",$D$265)),$D$265)</f>
        <v>Loan 12</v>
      </c>
      <c r="C566" s="211"/>
      <c r="D566" s="49">
        <f>D$24</f>
        <v>0</v>
      </c>
      <c r="E566" s="49" t="str">
        <f>F$24</f>
        <v/>
      </c>
      <c r="F566" s="49"/>
      <c r="H566" s="9" t="s">
        <v>1074</v>
      </c>
      <c r="I566" s="40" t="s">
        <v>665</v>
      </c>
      <c r="V566" s="133">
        <f>V$276</f>
        <v>0</v>
      </c>
      <c r="W566" s="10">
        <f>W$276</f>
        <v>0</v>
      </c>
      <c r="X566" s="10">
        <f>X$276</f>
        <v>0</v>
      </c>
      <c r="Y566" s="10">
        <f>Y$276</f>
        <v>0</v>
      </c>
      <c r="AA566" s="10">
        <f t="shared" ref="AA566:BV566" si="564">AA$276</f>
        <v>0</v>
      </c>
      <c r="AB566" s="10">
        <f t="shared" si="564"/>
        <v>0</v>
      </c>
      <c r="AC566" s="10">
        <f t="shared" si="564"/>
        <v>0</v>
      </c>
      <c r="AD566" s="10">
        <f t="shared" si="564"/>
        <v>0</v>
      </c>
      <c r="AE566" s="10">
        <f t="shared" si="564"/>
        <v>0</v>
      </c>
      <c r="AF566" s="10">
        <f t="shared" si="564"/>
        <v>0</v>
      </c>
      <c r="AG566" s="10">
        <f t="shared" si="564"/>
        <v>0</v>
      </c>
      <c r="AH566" s="10">
        <f t="shared" si="564"/>
        <v>0</v>
      </c>
      <c r="AI566" s="10">
        <f t="shared" si="564"/>
        <v>0</v>
      </c>
      <c r="AJ566" s="10">
        <f t="shared" si="564"/>
        <v>0</v>
      </c>
      <c r="AK566" s="10">
        <f t="shared" si="564"/>
        <v>0</v>
      </c>
      <c r="AL566" s="10">
        <f t="shared" si="564"/>
        <v>0</v>
      </c>
      <c r="AM566" s="10">
        <f t="shared" si="564"/>
        <v>0</v>
      </c>
      <c r="AN566" s="10">
        <f t="shared" si="564"/>
        <v>0</v>
      </c>
      <c r="AO566" s="10">
        <f t="shared" si="564"/>
        <v>0</v>
      </c>
      <c r="AP566" s="10">
        <f t="shared" si="564"/>
        <v>0</v>
      </c>
      <c r="AQ566" s="10">
        <f t="shared" si="564"/>
        <v>0</v>
      </c>
      <c r="AR566" s="10">
        <f t="shared" si="564"/>
        <v>0</v>
      </c>
      <c r="AS566" s="10">
        <f t="shared" si="564"/>
        <v>0</v>
      </c>
      <c r="AT566" s="10">
        <f t="shared" si="564"/>
        <v>0</v>
      </c>
      <c r="AU566" s="10">
        <f t="shared" si="564"/>
        <v>0</v>
      </c>
      <c r="AV566" s="10">
        <f t="shared" si="564"/>
        <v>0</v>
      </c>
      <c r="AW566" s="10">
        <f t="shared" si="564"/>
        <v>0</v>
      </c>
      <c r="AX566" s="10">
        <f t="shared" si="564"/>
        <v>0</v>
      </c>
      <c r="AY566" s="10">
        <f t="shared" si="564"/>
        <v>0</v>
      </c>
      <c r="AZ566" s="10">
        <f t="shared" si="564"/>
        <v>0</v>
      </c>
      <c r="BA566" s="10">
        <f t="shared" si="564"/>
        <v>0</v>
      </c>
      <c r="BB566" s="10">
        <f t="shared" si="564"/>
        <v>0</v>
      </c>
      <c r="BC566" s="10">
        <f t="shared" si="564"/>
        <v>0</v>
      </c>
      <c r="BD566" s="10">
        <f t="shared" si="564"/>
        <v>0</v>
      </c>
      <c r="BE566" s="10">
        <f t="shared" si="564"/>
        <v>0</v>
      </c>
      <c r="BF566" s="10">
        <f t="shared" si="564"/>
        <v>0</v>
      </c>
      <c r="BG566" s="10">
        <f t="shared" si="564"/>
        <v>0</v>
      </c>
      <c r="BH566" s="10">
        <f t="shared" si="564"/>
        <v>0</v>
      </c>
      <c r="BI566" s="10">
        <f t="shared" si="564"/>
        <v>0</v>
      </c>
      <c r="BJ566" s="10">
        <f t="shared" si="564"/>
        <v>0</v>
      </c>
      <c r="BK566" s="10">
        <f t="shared" si="564"/>
        <v>0</v>
      </c>
      <c r="BL566" s="10">
        <f t="shared" si="564"/>
        <v>0</v>
      </c>
      <c r="BM566" s="10">
        <f t="shared" si="564"/>
        <v>0</v>
      </c>
      <c r="BN566" s="10">
        <f t="shared" si="564"/>
        <v>0</v>
      </c>
      <c r="BO566" s="10">
        <f t="shared" si="564"/>
        <v>0</v>
      </c>
      <c r="BP566" s="10">
        <f t="shared" si="564"/>
        <v>0</v>
      </c>
      <c r="BQ566" s="10">
        <f t="shared" si="564"/>
        <v>0</v>
      </c>
      <c r="BR566" s="10">
        <f t="shared" si="564"/>
        <v>0</v>
      </c>
      <c r="BS566" s="10">
        <f t="shared" si="564"/>
        <v>0</v>
      </c>
      <c r="BT566" s="10">
        <f t="shared" si="564"/>
        <v>0</v>
      </c>
      <c r="BU566" s="10">
        <f t="shared" si="564"/>
        <v>0</v>
      </c>
      <c r="BV566" s="10">
        <f t="shared" si="564"/>
        <v>0</v>
      </c>
      <c r="BX566" s="10">
        <f t="shared" ref="BX566:CI566" si="565">BX$276</f>
        <v>0</v>
      </c>
      <c r="BY566" s="10">
        <f t="shared" si="565"/>
        <v>0</v>
      </c>
      <c r="BZ566" s="10">
        <f t="shared" si="565"/>
        <v>0</v>
      </c>
      <c r="CA566" s="10">
        <f t="shared" si="565"/>
        <v>0</v>
      </c>
      <c r="CB566" s="10">
        <f t="shared" si="565"/>
        <v>0</v>
      </c>
      <c r="CC566" s="10">
        <f t="shared" si="565"/>
        <v>0</v>
      </c>
      <c r="CD566" s="10">
        <f t="shared" si="565"/>
        <v>0</v>
      </c>
      <c r="CE566" s="10">
        <f t="shared" si="565"/>
        <v>0</v>
      </c>
      <c r="CF566" s="10">
        <f t="shared" si="565"/>
        <v>0</v>
      </c>
      <c r="CG566" s="10">
        <f t="shared" si="565"/>
        <v>0</v>
      </c>
      <c r="CH566" s="10">
        <f t="shared" si="565"/>
        <v>0</v>
      </c>
      <c r="CI566" s="10">
        <f t="shared" si="565"/>
        <v>0</v>
      </c>
      <c r="CK566" s="11"/>
      <c r="CM566" s="11"/>
      <c r="DF566" s="11"/>
      <c r="EY566" s="10" t="str">
        <f t="shared" si="559"/>
        <v/>
      </c>
    </row>
    <row r="567" spans="1:155" x14ac:dyDescent="0.35">
      <c r="B567" s="69" t="str" cm="1">
        <f t="array" aca="1" ref="B567" ca="1">HYPERLINK(CONCATENATE("#",CELL("address",$D$284)),$D$284)</f>
        <v>Loan 13</v>
      </c>
      <c r="C567" s="211"/>
      <c r="D567" s="49">
        <f>D$25</f>
        <v>0</v>
      </c>
      <c r="E567" s="49" t="str">
        <f>F$25</f>
        <v/>
      </c>
      <c r="F567" s="49"/>
      <c r="H567" s="9" t="s">
        <v>1074</v>
      </c>
      <c r="I567" s="40" t="s">
        <v>665</v>
      </c>
      <c r="V567" s="133">
        <f>V$295</f>
        <v>0</v>
      </c>
      <c r="W567" s="10">
        <f>W$295</f>
        <v>0</v>
      </c>
      <c r="X567" s="10">
        <f>X$295</f>
        <v>0</v>
      </c>
      <c r="Y567" s="10">
        <f>Y$295</f>
        <v>0</v>
      </c>
      <c r="AA567" s="10">
        <f t="shared" ref="AA567:BV567" si="566">AA$295</f>
        <v>0</v>
      </c>
      <c r="AB567" s="10">
        <f t="shared" si="566"/>
        <v>0</v>
      </c>
      <c r="AC567" s="10">
        <f t="shared" si="566"/>
        <v>0</v>
      </c>
      <c r="AD567" s="10">
        <f t="shared" si="566"/>
        <v>0</v>
      </c>
      <c r="AE567" s="10">
        <f t="shared" si="566"/>
        <v>0</v>
      </c>
      <c r="AF567" s="10">
        <f t="shared" si="566"/>
        <v>0</v>
      </c>
      <c r="AG567" s="10">
        <f t="shared" si="566"/>
        <v>0</v>
      </c>
      <c r="AH567" s="10">
        <f t="shared" si="566"/>
        <v>0</v>
      </c>
      <c r="AI567" s="10">
        <f t="shared" si="566"/>
        <v>0</v>
      </c>
      <c r="AJ567" s="10">
        <f t="shared" si="566"/>
        <v>0</v>
      </c>
      <c r="AK567" s="10">
        <f t="shared" si="566"/>
        <v>0</v>
      </c>
      <c r="AL567" s="10">
        <f t="shared" si="566"/>
        <v>0</v>
      </c>
      <c r="AM567" s="10">
        <f t="shared" si="566"/>
        <v>0</v>
      </c>
      <c r="AN567" s="10">
        <f t="shared" si="566"/>
        <v>0</v>
      </c>
      <c r="AO567" s="10">
        <f t="shared" si="566"/>
        <v>0</v>
      </c>
      <c r="AP567" s="10">
        <f t="shared" si="566"/>
        <v>0</v>
      </c>
      <c r="AQ567" s="10">
        <f t="shared" si="566"/>
        <v>0</v>
      </c>
      <c r="AR567" s="10">
        <f t="shared" si="566"/>
        <v>0</v>
      </c>
      <c r="AS567" s="10">
        <f t="shared" si="566"/>
        <v>0</v>
      </c>
      <c r="AT567" s="10">
        <f t="shared" si="566"/>
        <v>0</v>
      </c>
      <c r="AU567" s="10">
        <f t="shared" si="566"/>
        <v>0</v>
      </c>
      <c r="AV567" s="10">
        <f t="shared" si="566"/>
        <v>0</v>
      </c>
      <c r="AW567" s="10">
        <f t="shared" si="566"/>
        <v>0</v>
      </c>
      <c r="AX567" s="10">
        <f t="shared" si="566"/>
        <v>0</v>
      </c>
      <c r="AY567" s="10">
        <f t="shared" si="566"/>
        <v>0</v>
      </c>
      <c r="AZ567" s="10">
        <f t="shared" si="566"/>
        <v>0</v>
      </c>
      <c r="BA567" s="10">
        <f t="shared" si="566"/>
        <v>0</v>
      </c>
      <c r="BB567" s="10">
        <f t="shared" si="566"/>
        <v>0</v>
      </c>
      <c r="BC567" s="10">
        <f t="shared" si="566"/>
        <v>0</v>
      </c>
      <c r="BD567" s="10">
        <f t="shared" si="566"/>
        <v>0</v>
      </c>
      <c r="BE567" s="10">
        <f t="shared" si="566"/>
        <v>0</v>
      </c>
      <c r="BF567" s="10">
        <f t="shared" si="566"/>
        <v>0</v>
      </c>
      <c r="BG567" s="10">
        <f t="shared" si="566"/>
        <v>0</v>
      </c>
      <c r="BH567" s="10">
        <f t="shared" si="566"/>
        <v>0</v>
      </c>
      <c r="BI567" s="10">
        <f t="shared" si="566"/>
        <v>0</v>
      </c>
      <c r="BJ567" s="10">
        <f t="shared" si="566"/>
        <v>0</v>
      </c>
      <c r="BK567" s="10">
        <f t="shared" si="566"/>
        <v>0</v>
      </c>
      <c r="BL567" s="10">
        <f t="shared" si="566"/>
        <v>0</v>
      </c>
      <c r="BM567" s="10">
        <f t="shared" si="566"/>
        <v>0</v>
      </c>
      <c r="BN567" s="10">
        <f t="shared" si="566"/>
        <v>0</v>
      </c>
      <c r="BO567" s="10">
        <f t="shared" si="566"/>
        <v>0</v>
      </c>
      <c r="BP567" s="10">
        <f t="shared" si="566"/>
        <v>0</v>
      </c>
      <c r="BQ567" s="10">
        <f t="shared" si="566"/>
        <v>0</v>
      </c>
      <c r="BR567" s="10">
        <f t="shared" si="566"/>
        <v>0</v>
      </c>
      <c r="BS567" s="10">
        <f t="shared" si="566"/>
        <v>0</v>
      </c>
      <c r="BT567" s="10">
        <f t="shared" si="566"/>
        <v>0</v>
      </c>
      <c r="BU567" s="10">
        <f t="shared" si="566"/>
        <v>0</v>
      </c>
      <c r="BV567" s="10">
        <f t="shared" si="566"/>
        <v>0</v>
      </c>
      <c r="BX567" s="10">
        <f t="shared" ref="BX567:CI567" si="567">BX$295</f>
        <v>0</v>
      </c>
      <c r="BY567" s="10">
        <f t="shared" si="567"/>
        <v>0</v>
      </c>
      <c r="BZ567" s="10">
        <f t="shared" si="567"/>
        <v>0</v>
      </c>
      <c r="CA567" s="10">
        <f t="shared" si="567"/>
        <v>0</v>
      </c>
      <c r="CB567" s="10">
        <f t="shared" si="567"/>
        <v>0</v>
      </c>
      <c r="CC567" s="10">
        <f t="shared" si="567"/>
        <v>0</v>
      </c>
      <c r="CD567" s="10">
        <f t="shared" si="567"/>
        <v>0</v>
      </c>
      <c r="CE567" s="10">
        <f t="shared" si="567"/>
        <v>0</v>
      </c>
      <c r="CF567" s="10">
        <f t="shared" si="567"/>
        <v>0</v>
      </c>
      <c r="CG567" s="10">
        <f t="shared" si="567"/>
        <v>0</v>
      </c>
      <c r="CH567" s="10">
        <f t="shared" si="567"/>
        <v>0</v>
      </c>
      <c r="CI567" s="10">
        <f t="shared" si="567"/>
        <v>0</v>
      </c>
      <c r="CK567" s="11"/>
      <c r="CM567" s="11"/>
      <c r="DF567" s="11"/>
      <c r="EY567" s="10" t="str">
        <f t="shared" si="559"/>
        <v/>
      </c>
    </row>
    <row r="568" spans="1:155" s="5" customFormat="1" x14ac:dyDescent="0.35">
      <c r="A568"/>
      <c r="B568" s="69" t="str" cm="1">
        <f t="array" aca="1" ref="B568" ca="1">HYPERLINK(CONCATENATE("#",CELL("address",$D$303)),$D$303)</f>
        <v>Loan 14</v>
      </c>
      <c r="C568" s="211"/>
      <c r="D568" s="49">
        <f>D$26</f>
        <v>0</v>
      </c>
      <c r="E568" s="49" t="str">
        <f>F$26</f>
        <v/>
      </c>
      <c r="F568" s="49"/>
      <c r="G568"/>
      <c r="H568" s="9" t="s">
        <v>1074</v>
      </c>
      <c r="I568" s="40" t="s">
        <v>665</v>
      </c>
      <c r="J568"/>
      <c r="K568"/>
      <c r="L568"/>
      <c r="M568"/>
      <c r="N568"/>
      <c r="O568"/>
      <c r="P568"/>
      <c r="Q568"/>
      <c r="R568"/>
      <c r="S568"/>
      <c r="T568"/>
      <c r="U568"/>
      <c r="V568" s="133">
        <f>V$314</f>
        <v>0</v>
      </c>
      <c r="W568" s="10">
        <f>W$314</f>
        <v>0</v>
      </c>
      <c r="X568" s="10">
        <f>X$314</f>
        <v>0</v>
      </c>
      <c r="Y568" s="10">
        <f>Y$314</f>
        <v>0</v>
      </c>
      <c r="Z568"/>
      <c r="AA568" s="10">
        <f t="shared" ref="AA568:BV568" si="568">AA$314</f>
        <v>0</v>
      </c>
      <c r="AB568" s="10">
        <f t="shared" si="568"/>
        <v>0</v>
      </c>
      <c r="AC568" s="10">
        <f t="shared" si="568"/>
        <v>0</v>
      </c>
      <c r="AD568" s="10">
        <f t="shared" si="568"/>
        <v>0</v>
      </c>
      <c r="AE568" s="10">
        <f t="shared" si="568"/>
        <v>0</v>
      </c>
      <c r="AF568" s="10">
        <f t="shared" si="568"/>
        <v>0</v>
      </c>
      <c r="AG568" s="10">
        <f t="shared" si="568"/>
        <v>0</v>
      </c>
      <c r="AH568" s="10">
        <f t="shared" si="568"/>
        <v>0</v>
      </c>
      <c r="AI568" s="10">
        <f t="shared" si="568"/>
        <v>0</v>
      </c>
      <c r="AJ568" s="10">
        <f t="shared" si="568"/>
        <v>0</v>
      </c>
      <c r="AK568" s="10">
        <f t="shared" si="568"/>
        <v>0</v>
      </c>
      <c r="AL568" s="10">
        <f t="shared" si="568"/>
        <v>0</v>
      </c>
      <c r="AM568" s="10">
        <f t="shared" si="568"/>
        <v>0</v>
      </c>
      <c r="AN568" s="10">
        <f t="shared" si="568"/>
        <v>0</v>
      </c>
      <c r="AO568" s="10">
        <f t="shared" si="568"/>
        <v>0</v>
      </c>
      <c r="AP568" s="10">
        <f t="shared" si="568"/>
        <v>0</v>
      </c>
      <c r="AQ568" s="10">
        <f t="shared" si="568"/>
        <v>0</v>
      </c>
      <c r="AR568" s="10">
        <f t="shared" si="568"/>
        <v>0</v>
      </c>
      <c r="AS568" s="10">
        <f t="shared" si="568"/>
        <v>0</v>
      </c>
      <c r="AT568" s="10">
        <f t="shared" si="568"/>
        <v>0</v>
      </c>
      <c r="AU568" s="10">
        <f t="shared" si="568"/>
        <v>0</v>
      </c>
      <c r="AV568" s="10">
        <f t="shared" si="568"/>
        <v>0</v>
      </c>
      <c r="AW568" s="10">
        <f t="shared" si="568"/>
        <v>0</v>
      </c>
      <c r="AX568" s="10">
        <f t="shared" si="568"/>
        <v>0</v>
      </c>
      <c r="AY568" s="10">
        <f t="shared" si="568"/>
        <v>0</v>
      </c>
      <c r="AZ568" s="10">
        <f t="shared" si="568"/>
        <v>0</v>
      </c>
      <c r="BA568" s="10">
        <f t="shared" si="568"/>
        <v>0</v>
      </c>
      <c r="BB568" s="10">
        <f t="shared" si="568"/>
        <v>0</v>
      </c>
      <c r="BC568" s="10">
        <f t="shared" si="568"/>
        <v>0</v>
      </c>
      <c r="BD568" s="10">
        <f t="shared" si="568"/>
        <v>0</v>
      </c>
      <c r="BE568" s="10">
        <f t="shared" si="568"/>
        <v>0</v>
      </c>
      <c r="BF568" s="10">
        <f t="shared" si="568"/>
        <v>0</v>
      </c>
      <c r="BG568" s="10">
        <f t="shared" si="568"/>
        <v>0</v>
      </c>
      <c r="BH568" s="10">
        <f t="shared" si="568"/>
        <v>0</v>
      </c>
      <c r="BI568" s="10">
        <f t="shared" si="568"/>
        <v>0</v>
      </c>
      <c r="BJ568" s="10">
        <f t="shared" si="568"/>
        <v>0</v>
      </c>
      <c r="BK568" s="10">
        <f t="shared" si="568"/>
        <v>0</v>
      </c>
      <c r="BL568" s="10">
        <f t="shared" si="568"/>
        <v>0</v>
      </c>
      <c r="BM568" s="10">
        <f t="shared" si="568"/>
        <v>0</v>
      </c>
      <c r="BN568" s="10">
        <f t="shared" si="568"/>
        <v>0</v>
      </c>
      <c r="BO568" s="10">
        <f t="shared" si="568"/>
        <v>0</v>
      </c>
      <c r="BP568" s="10">
        <f t="shared" si="568"/>
        <v>0</v>
      </c>
      <c r="BQ568" s="10">
        <f t="shared" si="568"/>
        <v>0</v>
      </c>
      <c r="BR568" s="10">
        <f t="shared" si="568"/>
        <v>0</v>
      </c>
      <c r="BS568" s="10">
        <f t="shared" si="568"/>
        <v>0</v>
      </c>
      <c r="BT568" s="10">
        <f t="shared" si="568"/>
        <v>0</v>
      </c>
      <c r="BU568" s="10">
        <f t="shared" si="568"/>
        <v>0</v>
      </c>
      <c r="BV568" s="10">
        <f t="shared" si="568"/>
        <v>0</v>
      </c>
      <c r="BW568"/>
      <c r="BX568" s="10">
        <f t="shared" ref="BX568:CI568" si="569">BX$314</f>
        <v>0</v>
      </c>
      <c r="BY568" s="10">
        <f t="shared" si="569"/>
        <v>0</v>
      </c>
      <c r="BZ568" s="10">
        <f t="shared" si="569"/>
        <v>0</v>
      </c>
      <c r="CA568" s="10">
        <f t="shared" si="569"/>
        <v>0</v>
      </c>
      <c r="CB568" s="10">
        <f t="shared" si="569"/>
        <v>0</v>
      </c>
      <c r="CC568" s="10">
        <f t="shared" si="569"/>
        <v>0</v>
      </c>
      <c r="CD568" s="10">
        <f t="shared" si="569"/>
        <v>0</v>
      </c>
      <c r="CE568" s="10">
        <f t="shared" si="569"/>
        <v>0</v>
      </c>
      <c r="CF568" s="10">
        <f t="shared" si="569"/>
        <v>0</v>
      </c>
      <c r="CG568" s="10">
        <f t="shared" si="569"/>
        <v>0</v>
      </c>
      <c r="CH568" s="10">
        <f t="shared" si="569"/>
        <v>0</v>
      </c>
      <c r="CI568" s="10">
        <f t="shared" si="569"/>
        <v>0</v>
      </c>
      <c r="CJ568"/>
      <c r="CK568" s="11"/>
      <c r="CL568"/>
      <c r="CM568" s="11"/>
      <c r="CN568"/>
      <c r="CO568"/>
      <c r="CP568"/>
      <c r="CQ568"/>
      <c r="CR568"/>
      <c r="CS568"/>
      <c r="CT568"/>
      <c r="CU568"/>
      <c r="CV568"/>
      <c r="CW568"/>
      <c r="CX568"/>
      <c r="CY568"/>
      <c r="CZ568"/>
      <c r="DA568"/>
      <c r="DB568"/>
      <c r="DC568"/>
      <c r="DD568"/>
      <c r="DE568"/>
      <c r="DF568" s="11"/>
      <c r="EY568" s="10" t="str">
        <f t="shared" si="559"/>
        <v/>
      </c>
    </row>
    <row r="569" spans="1:155" x14ac:dyDescent="0.35">
      <c r="B569" s="69" t="str" cm="1">
        <f t="array" aca="1" ref="B569" ca="1">HYPERLINK(CONCATENATE("#",CELL("address",$D$322)),$D$322)</f>
        <v>Loan 15</v>
      </c>
      <c r="C569" s="211"/>
      <c r="D569" s="49">
        <f>D$27</f>
        <v>0</v>
      </c>
      <c r="E569" s="49" t="str">
        <f>F$27</f>
        <v/>
      </c>
      <c r="F569" s="49"/>
      <c r="H569" s="9" t="s">
        <v>1074</v>
      </c>
      <c r="I569" s="40" t="s">
        <v>665</v>
      </c>
      <c r="V569" s="133">
        <f>V$333</f>
        <v>0</v>
      </c>
      <c r="W569" s="10">
        <f>W$333</f>
        <v>0</v>
      </c>
      <c r="X569" s="10">
        <f>X$333</f>
        <v>0</v>
      </c>
      <c r="Y569" s="10">
        <f>Y$333</f>
        <v>0</v>
      </c>
      <c r="AA569" s="10">
        <f t="shared" ref="AA569:BV569" si="570">AA$333</f>
        <v>0</v>
      </c>
      <c r="AB569" s="10">
        <f t="shared" si="570"/>
        <v>0</v>
      </c>
      <c r="AC569" s="10">
        <f t="shared" si="570"/>
        <v>0</v>
      </c>
      <c r="AD569" s="10">
        <f t="shared" si="570"/>
        <v>0</v>
      </c>
      <c r="AE569" s="10">
        <f t="shared" si="570"/>
        <v>0</v>
      </c>
      <c r="AF569" s="10">
        <f t="shared" si="570"/>
        <v>0</v>
      </c>
      <c r="AG569" s="10">
        <f t="shared" si="570"/>
        <v>0</v>
      </c>
      <c r="AH569" s="10">
        <f t="shared" si="570"/>
        <v>0</v>
      </c>
      <c r="AI569" s="10">
        <f t="shared" si="570"/>
        <v>0</v>
      </c>
      <c r="AJ569" s="10">
        <f t="shared" si="570"/>
        <v>0</v>
      </c>
      <c r="AK569" s="10">
        <f t="shared" si="570"/>
        <v>0</v>
      </c>
      <c r="AL569" s="10">
        <f t="shared" si="570"/>
        <v>0</v>
      </c>
      <c r="AM569" s="10">
        <f t="shared" si="570"/>
        <v>0</v>
      </c>
      <c r="AN569" s="10">
        <f t="shared" si="570"/>
        <v>0</v>
      </c>
      <c r="AO569" s="10">
        <f t="shared" si="570"/>
        <v>0</v>
      </c>
      <c r="AP569" s="10">
        <f t="shared" si="570"/>
        <v>0</v>
      </c>
      <c r="AQ569" s="10">
        <f t="shared" si="570"/>
        <v>0</v>
      </c>
      <c r="AR569" s="10">
        <f t="shared" si="570"/>
        <v>0</v>
      </c>
      <c r="AS569" s="10">
        <f t="shared" si="570"/>
        <v>0</v>
      </c>
      <c r="AT569" s="10">
        <f t="shared" si="570"/>
        <v>0</v>
      </c>
      <c r="AU569" s="10">
        <f t="shared" si="570"/>
        <v>0</v>
      </c>
      <c r="AV569" s="10">
        <f t="shared" si="570"/>
        <v>0</v>
      </c>
      <c r="AW569" s="10">
        <f t="shared" si="570"/>
        <v>0</v>
      </c>
      <c r="AX569" s="10">
        <f t="shared" si="570"/>
        <v>0</v>
      </c>
      <c r="AY569" s="10">
        <f t="shared" si="570"/>
        <v>0</v>
      </c>
      <c r="AZ569" s="10">
        <f t="shared" si="570"/>
        <v>0</v>
      </c>
      <c r="BA569" s="10">
        <f t="shared" si="570"/>
        <v>0</v>
      </c>
      <c r="BB569" s="10">
        <f t="shared" si="570"/>
        <v>0</v>
      </c>
      <c r="BC569" s="10">
        <f t="shared" si="570"/>
        <v>0</v>
      </c>
      <c r="BD569" s="10">
        <f t="shared" si="570"/>
        <v>0</v>
      </c>
      <c r="BE569" s="10">
        <f t="shared" si="570"/>
        <v>0</v>
      </c>
      <c r="BF569" s="10">
        <f t="shared" si="570"/>
        <v>0</v>
      </c>
      <c r="BG569" s="10">
        <f t="shared" si="570"/>
        <v>0</v>
      </c>
      <c r="BH569" s="10">
        <f t="shared" si="570"/>
        <v>0</v>
      </c>
      <c r="BI569" s="10">
        <f t="shared" si="570"/>
        <v>0</v>
      </c>
      <c r="BJ569" s="10">
        <f t="shared" si="570"/>
        <v>0</v>
      </c>
      <c r="BK569" s="10">
        <f t="shared" si="570"/>
        <v>0</v>
      </c>
      <c r="BL569" s="10">
        <f t="shared" si="570"/>
        <v>0</v>
      </c>
      <c r="BM569" s="10">
        <f t="shared" si="570"/>
        <v>0</v>
      </c>
      <c r="BN569" s="10">
        <f t="shared" si="570"/>
        <v>0</v>
      </c>
      <c r="BO569" s="10">
        <f t="shared" si="570"/>
        <v>0</v>
      </c>
      <c r="BP569" s="10">
        <f t="shared" si="570"/>
        <v>0</v>
      </c>
      <c r="BQ569" s="10">
        <f t="shared" si="570"/>
        <v>0</v>
      </c>
      <c r="BR569" s="10">
        <f t="shared" si="570"/>
        <v>0</v>
      </c>
      <c r="BS569" s="10">
        <f t="shared" si="570"/>
        <v>0</v>
      </c>
      <c r="BT569" s="10">
        <f t="shared" si="570"/>
        <v>0</v>
      </c>
      <c r="BU569" s="10">
        <f t="shared" si="570"/>
        <v>0</v>
      </c>
      <c r="BV569" s="10">
        <f t="shared" si="570"/>
        <v>0</v>
      </c>
      <c r="BX569" s="10">
        <f t="shared" ref="BX569:CI569" si="571">BX$333</f>
        <v>0</v>
      </c>
      <c r="BY569" s="10">
        <f t="shared" si="571"/>
        <v>0</v>
      </c>
      <c r="BZ569" s="10">
        <f t="shared" si="571"/>
        <v>0</v>
      </c>
      <c r="CA569" s="10">
        <f t="shared" si="571"/>
        <v>0</v>
      </c>
      <c r="CB569" s="10">
        <f t="shared" si="571"/>
        <v>0</v>
      </c>
      <c r="CC569" s="10">
        <f t="shared" si="571"/>
        <v>0</v>
      </c>
      <c r="CD569" s="10">
        <f t="shared" si="571"/>
        <v>0</v>
      </c>
      <c r="CE569" s="10">
        <f t="shared" si="571"/>
        <v>0</v>
      </c>
      <c r="CF569" s="10">
        <f t="shared" si="571"/>
        <v>0</v>
      </c>
      <c r="CG569" s="10">
        <f t="shared" si="571"/>
        <v>0</v>
      </c>
      <c r="CH569" s="10">
        <f t="shared" si="571"/>
        <v>0</v>
      </c>
      <c r="CI569" s="10">
        <f t="shared" si="571"/>
        <v>0</v>
      </c>
      <c r="CK569" s="11"/>
      <c r="CM569" s="11"/>
      <c r="DF569" s="11"/>
      <c r="EY569" s="10" t="str">
        <f t="shared" si="559"/>
        <v/>
      </c>
    </row>
    <row r="570" spans="1:155" x14ac:dyDescent="0.35">
      <c r="B570" s="69" t="str" cm="1">
        <f t="array" aca="1" ref="B570" ca="1">HYPERLINK(CONCATENATE("#",CELL("address",$D$341)),$D$341)</f>
        <v>Loan 16</v>
      </c>
      <c r="C570" s="211"/>
      <c r="D570" s="49">
        <f>D$28</f>
        <v>0</v>
      </c>
      <c r="E570" s="49" t="str">
        <f>F$28</f>
        <v/>
      </c>
      <c r="F570" s="49"/>
      <c r="H570" s="9" t="s">
        <v>1074</v>
      </c>
      <c r="I570" s="40" t="s">
        <v>665</v>
      </c>
      <c r="V570" s="133">
        <f>V$352</f>
        <v>0</v>
      </c>
      <c r="W570" s="10">
        <f>W$352</f>
        <v>0</v>
      </c>
      <c r="X570" s="10">
        <f>X$352</f>
        <v>0</v>
      </c>
      <c r="Y570" s="10">
        <f>Y$352</f>
        <v>0</v>
      </c>
      <c r="AA570" s="10">
        <f t="shared" ref="AA570:BV570" si="572">AA$352</f>
        <v>0</v>
      </c>
      <c r="AB570" s="10">
        <f t="shared" si="572"/>
        <v>0</v>
      </c>
      <c r="AC570" s="10">
        <f t="shared" si="572"/>
        <v>0</v>
      </c>
      <c r="AD570" s="10">
        <f t="shared" si="572"/>
        <v>0</v>
      </c>
      <c r="AE570" s="10">
        <f t="shared" si="572"/>
        <v>0</v>
      </c>
      <c r="AF570" s="10">
        <f t="shared" si="572"/>
        <v>0</v>
      </c>
      <c r="AG570" s="10">
        <f t="shared" si="572"/>
        <v>0</v>
      </c>
      <c r="AH570" s="10">
        <f t="shared" si="572"/>
        <v>0</v>
      </c>
      <c r="AI570" s="10">
        <f t="shared" si="572"/>
        <v>0</v>
      </c>
      <c r="AJ570" s="10">
        <f t="shared" si="572"/>
        <v>0</v>
      </c>
      <c r="AK570" s="10">
        <f t="shared" si="572"/>
        <v>0</v>
      </c>
      <c r="AL570" s="10">
        <f t="shared" si="572"/>
        <v>0</v>
      </c>
      <c r="AM570" s="10">
        <f t="shared" si="572"/>
        <v>0</v>
      </c>
      <c r="AN570" s="10">
        <f t="shared" si="572"/>
        <v>0</v>
      </c>
      <c r="AO570" s="10">
        <f t="shared" si="572"/>
        <v>0</v>
      </c>
      <c r="AP570" s="10">
        <f t="shared" si="572"/>
        <v>0</v>
      </c>
      <c r="AQ570" s="10">
        <f t="shared" si="572"/>
        <v>0</v>
      </c>
      <c r="AR570" s="10">
        <f t="shared" si="572"/>
        <v>0</v>
      </c>
      <c r="AS570" s="10">
        <f t="shared" si="572"/>
        <v>0</v>
      </c>
      <c r="AT570" s="10">
        <f t="shared" si="572"/>
        <v>0</v>
      </c>
      <c r="AU570" s="10">
        <f t="shared" si="572"/>
        <v>0</v>
      </c>
      <c r="AV570" s="10">
        <f t="shared" si="572"/>
        <v>0</v>
      </c>
      <c r="AW570" s="10">
        <f t="shared" si="572"/>
        <v>0</v>
      </c>
      <c r="AX570" s="10">
        <f t="shared" si="572"/>
        <v>0</v>
      </c>
      <c r="AY570" s="10">
        <f t="shared" si="572"/>
        <v>0</v>
      </c>
      <c r="AZ570" s="10">
        <f t="shared" si="572"/>
        <v>0</v>
      </c>
      <c r="BA570" s="10">
        <f t="shared" si="572"/>
        <v>0</v>
      </c>
      <c r="BB570" s="10">
        <f t="shared" si="572"/>
        <v>0</v>
      </c>
      <c r="BC570" s="10">
        <f t="shared" si="572"/>
        <v>0</v>
      </c>
      <c r="BD570" s="10">
        <f t="shared" si="572"/>
        <v>0</v>
      </c>
      <c r="BE570" s="10">
        <f t="shared" si="572"/>
        <v>0</v>
      </c>
      <c r="BF570" s="10">
        <f t="shared" si="572"/>
        <v>0</v>
      </c>
      <c r="BG570" s="10">
        <f t="shared" si="572"/>
        <v>0</v>
      </c>
      <c r="BH570" s="10">
        <f t="shared" si="572"/>
        <v>0</v>
      </c>
      <c r="BI570" s="10">
        <f t="shared" si="572"/>
        <v>0</v>
      </c>
      <c r="BJ570" s="10">
        <f t="shared" si="572"/>
        <v>0</v>
      </c>
      <c r="BK570" s="10">
        <f t="shared" si="572"/>
        <v>0</v>
      </c>
      <c r="BL570" s="10">
        <f t="shared" si="572"/>
        <v>0</v>
      </c>
      <c r="BM570" s="10">
        <f t="shared" si="572"/>
        <v>0</v>
      </c>
      <c r="BN570" s="10">
        <f t="shared" si="572"/>
        <v>0</v>
      </c>
      <c r="BO570" s="10">
        <f t="shared" si="572"/>
        <v>0</v>
      </c>
      <c r="BP570" s="10">
        <f t="shared" si="572"/>
        <v>0</v>
      </c>
      <c r="BQ570" s="10">
        <f t="shared" si="572"/>
        <v>0</v>
      </c>
      <c r="BR570" s="10">
        <f t="shared" si="572"/>
        <v>0</v>
      </c>
      <c r="BS570" s="10">
        <f t="shared" si="572"/>
        <v>0</v>
      </c>
      <c r="BT570" s="10">
        <f t="shared" si="572"/>
        <v>0</v>
      </c>
      <c r="BU570" s="10">
        <f t="shared" si="572"/>
        <v>0</v>
      </c>
      <c r="BV570" s="10">
        <f t="shared" si="572"/>
        <v>0</v>
      </c>
      <c r="BX570" s="10">
        <f t="shared" ref="BX570:CI570" si="573">BX$352</f>
        <v>0</v>
      </c>
      <c r="BY570" s="10">
        <f t="shared" si="573"/>
        <v>0</v>
      </c>
      <c r="BZ570" s="10">
        <f t="shared" si="573"/>
        <v>0</v>
      </c>
      <c r="CA570" s="10">
        <f t="shared" si="573"/>
        <v>0</v>
      </c>
      <c r="CB570" s="10">
        <f t="shared" si="573"/>
        <v>0</v>
      </c>
      <c r="CC570" s="10">
        <f t="shared" si="573"/>
        <v>0</v>
      </c>
      <c r="CD570" s="10">
        <f t="shared" si="573"/>
        <v>0</v>
      </c>
      <c r="CE570" s="10">
        <f t="shared" si="573"/>
        <v>0</v>
      </c>
      <c r="CF570" s="10">
        <f t="shared" si="573"/>
        <v>0</v>
      </c>
      <c r="CG570" s="10">
        <f t="shared" si="573"/>
        <v>0</v>
      </c>
      <c r="CH570" s="10">
        <f t="shared" si="573"/>
        <v>0</v>
      </c>
      <c r="CI570" s="10">
        <f t="shared" si="573"/>
        <v>0</v>
      </c>
      <c r="CK570" s="11"/>
      <c r="CM570" s="11"/>
      <c r="DF570" s="11"/>
      <c r="EY570" s="10" t="str">
        <f t="shared" si="559"/>
        <v/>
      </c>
    </row>
    <row r="571" spans="1:155" x14ac:dyDescent="0.35">
      <c r="B571" s="69" t="str" cm="1">
        <f t="array" aca="1" ref="B571" ca="1">HYPERLINK(CONCATENATE("#",CELL("address",$D$360)),$D$360)</f>
        <v>Loan 17</v>
      </c>
      <c r="C571" s="211"/>
      <c r="D571" s="49">
        <f>D$29</f>
        <v>0</v>
      </c>
      <c r="E571" s="49" t="str">
        <f>F$29</f>
        <v/>
      </c>
      <c r="F571" s="49"/>
      <c r="H571" s="9" t="s">
        <v>1074</v>
      </c>
      <c r="I571" s="40" t="s">
        <v>665</v>
      </c>
      <c r="V571" s="133">
        <f>V$371</f>
        <v>0</v>
      </c>
      <c r="W571" s="10">
        <f>W$371</f>
        <v>0</v>
      </c>
      <c r="X571" s="10">
        <f>X$371</f>
        <v>0</v>
      </c>
      <c r="Y571" s="10">
        <f>Y$371</f>
        <v>0</v>
      </c>
      <c r="AA571" s="10">
        <f t="shared" ref="AA571:BV571" si="574">AA$371</f>
        <v>0</v>
      </c>
      <c r="AB571" s="10">
        <f t="shared" si="574"/>
        <v>0</v>
      </c>
      <c r="AC571" s="10">
        <f t="shared" si="574"/>
        <v>0</v>
      </c>
      <c r="AD571" s="10">
        <f t="shared" si="574"/>
        <v>0</v>
      </c>
      <c r="AE571" s="10">
        <f t="shared" si="574"/>
        <v>0</v>
      </c>
      <c r="AF571" s="10">
        <f t="shared" si="574"/>
        <v>0</v>
      </c>
      <c r="AG571" s="10">
        <f t="shared" si="574"/>
        <v>0</v>
      </c>
      <c r="AH571" s="10">
        <f t="shared" si="574"/>
        <v>0</v>
      </c>
      <c r="AI571" s="10">
        <f t="shared" si="574"/>
        <v>0</v>
      </c>
      <c r="AJ571" s="10">
        <f t="shared" si="574"/>
        <v>0</v>
      </c>
      <c r="AK571" s="10">
        <f t="shared" si="574"/>
        <v>0</v>
      </c>
      <c r="AL571" s="10">
        <f t="shared" si="574"/>
        <v>0</v>
      </c>
      <c r="AM571" s="10">
        <f t="shared" si="574"/>
        <v>0</v>
      </c>
      <c r="AN571" s="10">
        <f t="shared" si="574"/>
        <v>0</v>
      </c>
      <c r="AO571" s="10">
        <f t="shared" si="574"/>
        <v>0</v>
      </c>
      <c r="AP571" s="10">
        <f t="shared" si="574"/>
        <v>0</v>
      </c>
      <c r="AQ571" s="10">
        <f t="shared" si="574"/>
        <v>0</v>
      </c>
      <c r="AR571" s="10">
        <f t="shared" si="574"/>
        <v>0</v>
      </c>
      <c r="AS571" s="10">
        <f t="shared" si="574"/>
        <v>0</v>
      </c>
      <c r="AT571" s="10">
        <f t="shared" si="574"/>
        <v>0</v>
      </c>
      <c r="AU571" s="10">
        <f t="shared" si="574"/>
        <v>0</v>
      </c>
      <c r="AV571" s="10">
        <f t="shared" si="574"/>
        <v>0</v>
      </c>
      <c r="AW571" s="10">
        <f t="shared" si="574"/>
        <v>0</v>
      </c>
      <c r="AX571" s="10">
        <f t="shared" si="574"/>
        <v>0</v>
      </c>
      <c r="AY571" s="10">
        <f t="shared" si="574"/>
        <v>0</v>
      </c>
      <c r="AZ571" s="10">
        <f t="shared" si="574"/>
        <v>0</v>
      </c>
      <c r="BA571" s="10">
        <f t="shared" si="574"/>
        <v>0</v>
      </c>
      <c r="BB571" s="10">
        <f t="shared" si="574"/>
        <v>0</v>
      </c>
      <c r="BC571" s="10">
        <f t="shared" si="574"/>
        <v>0</v>
      </c>
      <c r="BD571" s="10">
        <f t="shared" si="574"/>
        <v>0</v>
      </c>
      <c r="BE571" s="10">
        <f t="shared" si="574"/>
        <v>0</v>
      </c>
      <c r="BF571" s="10">
        <f t="shared" si="574"/>
        <v>0</v>
      </c>
      <c r="BG571" s="10">
        <f t="shared" si="574"/>
        <v>0</v>
      </c>
      <c r="BH571" s="10">
        <f t="shared" si="574"/>
        <v>0</v>
      </c>
      <c r="BI571" s="10">
        <f t="shared" si="574"/>
        <v>0</v>
      </c>
      <c r="BJ571" s="10">
        <f t="shared" si="574"/>
        <v>0</v>
      </c>
      <c r="BK571" s="10">
        <f t="shared" si="574"/>
        <v>0</v>
      </c>
      <c r="BL571" s="10">
        <f t="shared" si="574"/>
        <v>0</v>
      </c>
      <c r="BM571" s="10">
        <f t="shared" si="574"/>
        <v>0</v>
      </c>
      <c r="BN571" s="10">
        <f t="shared" si="574"/>
        <v>0</v>
      </c>
      <c r="BO571" s="10">
        <f t="shared" si="574"/>
        <v>0</v>
      </c>
      <c r="BP571" s="10">
        <f t="shared" si="574"/>
        <v>0</v>
      </c>
      <c r="BQ571" s="10">
        <f t="shared" si="574"/>
        <v>0</v>
      </c>
      <c r="BR571" s="10">
        <f t="shared" si="574"/>
        <v>0</v>
      </c>
      <c r="BS571" s="10">
        <f t="shared" si="574"/>
        <v>0</v>
      </c>
      <c r="BT571" s="10">
        <f t="shared" si="574"/>
        <v>0</v>
      </c>
      <c r="BU571" s="10">
        <f t="shared" si="574"/>
        <v>0</v>
      </c>
      <c r="BV571" s="10">
        <f t="shared" si="574"/>
        <v>0</v>
      </c>
      <c r="BX571" s="10">
        <f t="shared" ref="BX571:CI571" si="575">BX$371</f>
        <v>0</v>
      </c>
      <c r="BY571" s="10">
        <f t="shared" si="575"/>
        <v>0</v>
      </c>
      <c r="BZ571" s="10">
        <f t="shared" si="575"/>
        <v>0</v>
      </c>
      <c r="CA571" s="10">
        <f t="shared" si="575"/>
        <v>0</v>
      </c>
      <c r="CB571" s="10">
        <f t="shared" si="575"/>
        <v>0</v>
      </c>
      <c r="CC571" s="10">
        <f t="shared" si="575"/>
        <v>0</v>
      </c>
      <c r="CD571" s="10">
        <f t="shared" si="575"/>
        <v>0</v>
      </c>
      <c r="CE571" s="10">
        <f t="shared" si="575"/>
        <v>0</v>
      </c>
      <c r="CF571" s="10">
        <f t="shared" si="575"/>
        <v>0</v>
      </c>
      <c r="CG571" s="10">
        <f t="shared" si="575"/>
        <v>0</v>
      </c>
      <c r="CH571" s="10">
        <f t="shared" si="575"/>
        <v>0</v>
      </c>
      <c r="CI571" s="10">
        <f t="shared" si="575"/>
        <v>0</v>
      </c>
      <c r="CK571" s="11"/>
      <c r="CM571" s="11"/>
      <c r="DF571" s="11"/>
      <c r="EY571" s="10" t="str">
        <f t="shared" si="559"/>
        <v/>
      </c>
    </row>
    <row r="572" spans="1:155" x14ac:dyDescent="0.35">
      <c r="B572" s="69" t="str" cm="1">
        <f t="array" aca="1" ref="B572" ca="1">HYPERLINK(CONCATENATE("#",CELL("address",$D$379)),$D$379)</f>
        <v>Loan 18</v>
      </c>
      <c r="C572" s="211"/>
      <c r="D572" s="49">
        <f>D$30</f>
        <v>0</v>
      </c>
      <c r="E572" s="49" t="str">
        <f>F$30</f>
        <v/>
      </c>
      <c r="F572" s="49"/>
      <c r="H572" s="9" t="s">
        <v>1074</v>
      </c>
      <c r="I572" s="40" t="s">
        <v>665</v>
      </c>
      <c r="V572" s="133">
        <f>V$390</f>
        <v>0</v>
      </c>
      <c r="W572" s="10">
        <f>W$390</f>
        <v>0</v>
      </c>
      <c r="X572" s="10">
        <f>X$390</f>
        <v>0</v>
      </c>
      <c r="Y572" s="10">
        <f>Y$390</f>
        <v>0</v>
      </c>
      <c r="AA572" s="10">
        <f t="shared" ref="AA572:BV572" si="576">AA$390</f>
        <v>0</v>
      </c>
      <c r="AB572" s="10">
        <f t="shared" si="576"/>
        <v>0</v>
      </c>
      <c r="AC572" s="10">
        <f t="shared" si="576"/>
        <v>0</v>
      </c>
      <c r="AD572" s="10">
        <f t="shared" si="576"/>
        <v>0</v>
      </c>
      <c r="AE572" s="10">
        <f t="shared" si="576"/>
        <v>0</v>
      </c>
      <c r="AF572" s="10">
        <f t="shared" si="576"/>
        <v>0</v>
      </c>
      <c r="AG572" s="10">
        <f t="shared" si="576"/>
        <v>0</v>
      </c>
      <c r="AH572" s="10">
        <f t="shared" si="576"/>
        <v>0</v>
      </c>
      <c r="AI572" s="10">
        <f t="shared" si="576"/>
        <v>0</v>
      </c>
      <c r="AJ572" s="10">
        <f t="shared" si="576"/>
        <v>0</v>
      </c>
      <c r="AK572" s="10">
        <f t="shared" si="576"/>
        <v>0</v>
      </c>
      <c r="AL572" s="10">
        <f t="shared" si="576"/>
        <v>0</v>
      </c>
      <c r="AM572" s="10">
        <f t="shared" si="576"/>
        <v>0</v>
      </c>
      <c r="AN572" s="10">
        <f t="shared" si="576"/>
        <v>0</v>
      </c>
      <c r="AO572" s="10">
        <f t="shared" si="576"/>
        <v>0</v>
      </c>
      <c r="AP572" s="10">
        <f t="shared" si="576"/>
        <v>0</v>
      </c>
      <c r="AQ572" s="10">
        <f t="shared" si="576"/>
        <v>0</v>
      </c>
      <c r="AR572" s="10">
        <f t="shared" si="576"/>
        <v>0</v>
      </c>
      <c r="AS572" s="10">
        <f t="shared" si="576"/>
        <v>0</v>
      </c>
      <c r="AT572" s="10">
        <f t="shared" si="576"/>
        <v>0</v>
      </c>
      <c r="AU572" s="10">
        <f t="shared" si="576"/>
        <v>0</v>
      </c>
      <c r="AV572" s="10">
        <f t="shared" si="576"/>
        <v>0</v>
      </c>
      <c r="AW572" s="10">
        <f t="shared" si="576"/>
        <v>0</v>
      </c>
      <c r="AX572" s="10">
        <f t="shared" si="576"/>
        <v>0</v>
      </c>
      <c r="AY572" s="10">
        <f t="shared" si="576"/>
        <v>0</v>
      </c>
      <c r="AZ572" s="10">
        <f t="shared" si="576"/>
        <v>0</v>
      </c>
      <c r="BA572" s="10">
        <f t="shared" si="576"/>
        <v>0</v>
      </c>
      <c r="BB572" s="10">
        <f t="shared" si="576"/>
        <v>0</v>
      </c>
      <c r="BC572" s="10">
        <f t="shared" si="576"/>
        <v>0</v>
      </c>
      <c r="BD572" s="10">
        <f t="shared" si="576"/>
        <v>0</v>
      </c>
      <c r="BE572" s="10">
        <f t="shared" si="576"/>
        <v>0</v>
      </c>
      <c r="BF572" s="10">
        <f t="shared" si="576"/>
        <v>0</v>
      </c>
      <c r="BG572" s="10">
        <f t="shared" si="576"/>
        <v>0</v>
      </c>
      <c r="BH572" s="10">
        <f t="shared" si="576"/>
        <v>0</v>
      </c>
      <c r="BI572" s="10">
        <f t="shared" si="576"/>
        <v>0</v>
      </c>
      <c r="BJ572" s="10">
        <f t="shared" si="576"/>
        <v>0</v>
      </c>
      <c r="BK572" s="10">
        <f t="shared" si="576"/>
        <v>0</v>
      </c>
      <c r="BL572" s="10">
        <f t="shared" si="576"/>
        <v>0</v>
      </c>
      <c r="BM572" s="10">
        <f t="shared" si="576"/>
        <v>0</v>
      </c>
      <c r="BN572" s="10">
        <f t="shared" si="576"/>
        <v>0</v>
      </c>
      <c r="BO572" s="10">
        <f t="shared" si="576"/>
        <v>0</v>
      </c>
      <c r="BP572" s="10">
        <f t="shared" si="576"/>
        <v>0</v>
      </c>
      <c r="BQ572" s="10">
        <f t="shared" si="576"/>
        <v>0</v>
      </c>
      <c r="BR572" s="10">
        <f t="shared" si="576"/>
        <v>0</v>
      </c>
      <c r="BS572" s="10">
        <f t="shared" si="576"/>
        <v>0</v>
      </c>
      <c r="BT572" s="10">
        <f t="shared" si="576"/>
        <v>0</v>
      </c>
      <c r="BU572" s="10">
        <f t="shared" si="576"/>
        <v>0</v>
      </c>
      <c r="BV572" s="10">
        <f t="shared" si="576"/>
        <v>0</v>
      </c>
      <c r="BX572" s="10">
        <f t="shared" ref="BX572:CI572" si="577">BX$390</f>
        <v>0</v>
      </c>
      <c r="BY572" s="10">
        <f t="shared" si="577"/>
        <v>0</v>
      </c>
      <c r="BZ572" s="10">
        <f t="shared" si="577"/>
        <v>0</v>
      </c>
      <c r="CA572" s="10">
        <f t="shared" si="577"/>
        <v>0</v>
      </c>
      <c r="CB572" s="10">
        <f t="shared" si="577"/>
        <v>0</v>
      </c>
      <c r="CC572" s="10">
        <f t="shared" si="577"/>
        <v>0</v>
      </c>
      <c r="CD572" s="10">
        <f t="shared" si="577"/>
        <v>0</v>
      </c>
      <c r="CE572" s="10">
        <f t="shared" si="577"/>
        <v>0</v>
      </c>
      <c r="CF572" s="10">
        <f t="shared" si="577"/>
        <v>0</v>
      </c>
      <c r="CG572" s="10">
        <f t="shared" si="577"/>
        <v>0</v>
      </c>
      <c r="CH572" s="10">
        <f t="shared" si="577"/>
        <v>0</v>
      </c>
      <c r="CI572" s="10">
        <f t="shared" si="577"/>
        <v>0</v>
      </c>
      <c r="CK572" s="11"/>
      <c r="CM572" s="11"/>
      <c r="DF572" s="11"/>
      <c r="EY572" s="10" t="str">
        <f t="shared" si="559"/>
        <v/>
      </c>
    </row>
    <row r="573" spans="1:155" x14ac:dyDescent="0.35">
      <c r="B573" s="69" t="str" cm="1">
        <f t="array" aca="1" ref="B573" ca="1">HYPERLINK(CONCATENATE("#",CELL("address",$D$398)),$D$398)</f>
        <v>Loan 19</v>
      </c>
      <c r="C573" s="211"/>
      <c r="D573" s="49">
        <f>D$31</f>
        <v>0</v>
      </c>
      <c r="E573" s="49" t="str">
        <f>F$31</f>
        <v/>
      </c>
      <c r="F573" s="49"/>
      <c r="H573" s="9" t="s">
        <v>1074</v>
      </c>
      <c r="I573" s="40" t="s">
        <v>665</v>
      </c>
      <c r="V573" s="133">
        <f>V$409</f>
        <v>0</v>
      </c>
      <c r="W573" s="10">
        <f>W$409</f>
        <v>0</v>
      </c>
      <c r="X573" s="10">
        <f>X$409</f>
        <v>0</v>
      </c>
      <c r="Y573" s="10">
        <f>Y$409</f>
        <v>0</v>
      </c>
      <c r="AA573" s="10">
        <f t="shared" ref="AA573:BV573" si="578">AA$409</f>
        <v>0</v>
      </c>
      <c r="AB573" s="10">
        <f t="shared" si="578"/>
        <v>0</v>
      </c>
      <c r="AC573" s="10">
        <f t="shared" si="578"/>
        <v>0</v>
      </c>
      <c r="AD573" s="10">
        <f t="shared" si="578"/>
        <v>0</v>
      </c>
      <c r="AE573" s="10">
        <f t="shared" si="578"/>
        <v>0</v>
      </c>
      <c r="AF573" s="10">
        <f t="shared" si="578"/>
        <v>0</v>
      </c>
      <c r="AG573" s="10">
        <f t="shared" si="578"/>
        <v>0</v>
      </c>
      <c r="AH573" s="10">
        <f t="shared" si="578"/>
        <v>0</v>
      </c>
      <c r="AI573" s="10">
        <f t="shared" si="578"/>
        <v>0</v>
      </c>
      <c r="AJ573" s="10">
        <f t="shared" si="578"/>
        <v>0</v>
      </c>
      <c r="AK573" s="10">
        <f t="shared" si="578"/>
        <v>0</v>
      </c>
      <c r="AL573" s="10">
        <f t="shared" si="578"/>
        <v>0</v>
      </c>
      <c r="AM573" s="10">
        <f t="shared" si="578"/>
        <v>0</v>
      </c>
      <c r="AN573" s="10">
        <f t="shared" si="578"/>
        <v>0</v>
      </c>
      <c r="AO573" s="10">
        <f t="shared" si="578"/>
        <v>0</v>
      </c>
      <c r="AP573" s="10">
        <f t="shared" si="578"/>
        <v>0</v>
      </c>
      <c r="AQ573" s="10">
        <f t="shared" si="578"/>
        <v>0</v>
      </c>
      <c r="AR573" s="10">
        <f t="shared" si="578"/>
        <v>0</v>
      </c>
      <c r="AS573" s="10">
        <f t="shared" si="578"/>
        <v>0</v>
      </c>
      <c r="AT573" s="10">
        <f t="shared" si="578"/>
        <v>0</v>
      </c>
      <c r="AU573" s="10">
        <f t="shared" si="578"/>
        <v>0</v>
      </c>
      <c r="AV573" s="10">
        <f t="shared" si="578"/>
        <v>0</v>
      </c>
      <c r="AW573" s="10">
        <f t="shared" si="578"/>
        <v>0</v>
      </c>
      <c r="AX573" s="10">
        <f t="shared" si="578"/>
        <v>0</v>
      </c>
      <c r="AY573" s="10">
        <f t="shared" si="578"/>
        <v>0</v>
      </c>
      <c r="AZ573" s="10">
        <f t="shared" si="578"/>
        <v>0</v>
      </c>
      <c r="BA573" s="10">
        <f t="shared" si="578"/>
        <v>0</v>
      </c>
      <c r="BB573" s="10">
        <f t="shared" si="578"/>
        <v>0</v>
      </c>
      <c r="BC573" s="10">
        <f t="shared" si="578"/>
        <v>0</v>
      </c>
      <c r="BD573" s="10">
        <f t="shared" si="578"/>
        <v>0</v>
      </c>
      <c r="BE573" s="10">
        <f t="shared" si="578"/>
        <v>0</v>
      </c>
      <c r="BF573" s="10">
        <f t="shared" si="578"/>
        <v>0</v>
      </c>
      <c r="BG573" s="10">
        <f t="shared" si="578"/>
        <v>0</v>
      </c>
      <c r="BH573" s="10">
        <f t="shared" si="578"/>
        <v>0</v>
      </c>
      <c r="BI573" s="10">
        <f t="shared" si="578"/>
        <v>0</v>
      </c>
      <c r="BJ573" s="10">
        <f t="shared" si="578"/>
        <v>0</v>
      </c>
      <c r="BK573" s="10">
        <f t="shared" si="578"/>
        <v>0</v>
      </c>
      <c r="BL573" s="10">
        <f t="shared" si="578"/>
        <v>0</v>
      </c>
      <c r="BM573" s="10">
        <f t="shared" si="578"/>
        <v>0</v>
      </c>
      <c r="BN573" s="10">
        <f t="shared" si="578"/>
        <v>0</v>
      </c>
      <c r="BO573" s="10">
        <f t="shared" si="578"/>
        <v>0</v>
      </c>
      <c r="BP573" s="10">
        <f t="shared" si="578"/>
        <v>0</v>
      </c>
      <c r="BQ573" s="10">
        <f t="shared" si="578"/>
        <v>0</v>
      </c>
      <c r="BR573" s="10">
        <f t="shared" si="578"/>
        <v>0</v>
      </c>
      <c r="BS573" s="10">
        <f t="shared" si="578"/>
        <v>0</v>
      </c>
      <c r="BT573" s="10">
        <f t="shared" si="578"/>
        <v>0</v>
      </c>
      <c r="BU573" s="10">
        <f t="shared" si="578"/>
        <v>0</v>
      </c>
      <c r="BV573" s="10">
        <f t="shared" si="578"/>
        <v>0</v>
      </c>
      <c r="BX573" s="10">
        <f t="shared" ref="BX573:CI573" si="579">BX$409</f>
        <v>0</v>
      </c>
      <c r="BY573" s="10">
        <f t="shared" si="579"/>
        <v>0</v>
      </c>
      <c r="BZ573" s="10">
        <f t="shared" si="579"/>
        <v>0</v>
      </c>
      <c r="CA573" s="10">
        <f t="shared" si="579"/>
        <v>0</v>
      </c>
      <c r="CB573" s="10">
        <f t="shared" si="579"/>
        <v>0</v>
      </c>
      <c r="CC573" s="10">
        <f t="shared" si="579"/>
        <v>0</v>
      </c>
      <c r="CD573" s="10">
        <f t="shared" si="579"/>
        <v>0</v>
      </c>
      <c r="CE573" s="10">
        <f t="shared" si="579"/>
        <v>0</v>
      </c>
      <c r="CF573" s="10">
        <f t="shared" si="579"/>
        <v>0</v>
      </c>
      <c r="CG573" s="10">
        <f t="shared" si="579"/>
        <v>0</v>
      </c>
      <c r="CH573" s="10">
        <f t="shared" si="579"/>
        <v>0</v>
      </c>
      <c r="CI573" s="10">
        <f t="shared" si="579"/>
        <v>0</v>
      </c>
      <c r="CK573" s="11"/>
      <c r="CM573" s="11"/>
      <c r="DF573" s="11"/>
      <c r="EY573" s="10" t="str">
        <f t="shared" si="559"/>
        <v/>
      </c>
    </row>
    <row r="574" spans="1:155" x14ac:dyDescent="0.35">
      <c r="B574" s="69" t="str" cm="1">
        <f t="array" aca="1" ref="B574" ca="1">HYPERLINK(CONCATENATE("#",CELL("address",$D$417)),$D$417)</f>
        <v>Loan 20</v>
      </c>
      <c r="C574" s="211"/>
      <c r="D574" s="49">
        <f>D$32</f>
        <v>0</v>
      </c>
      <c r="E574" s="49" t="str">
        <f>F$32</f>
        <v/>
      </c>
      <c r="F574" s="49"/>
      <c r="H574" s="9" t="s">
        <v>1074</v>
      </c>
      <c r="I574" s="40" t="s">
        <v>665</v>
      </c>
      <c r="V574" s="133">
        <f>V$428</f>
        <v>0</v>
      </c>
      <c r="W574" s="10">
        <f>W$428</f>
        <v>0</v>
      </c>
      <c r="X574" s="10">
        <f>X$428</f>
        <v>0</v>
      </c>
      <c r="Y574" s="10">
        <f>Y$428</f>
        <v>0</v>
      </c>
      <c r="AA574" s="10">
        <f t="shared" ref="AA574:BV574" si="580">AA$428</f>
        <v>0</v>
      </c>
      <c r="AB574" s="10">
        <f t="shared" si="580"/>
        <v>0</v>
      </c>
      <c r="AC574" s="10">
        <f t="shared" si="580"/>
        <v>0</v>
      </c>
      <c r="AD574" s="10">
        <f t="shared" si="580"/>
        <v>0</v>
      </c>
      <c r="AE574" s="10">
        <f t="shared" si="580"/>
        <v>0</v>
      </c>
      <c r="AF574" s="10">
        <f t="shared" si="580"/>
        <v>0</v>
      </c>
      <c r="AG574" s="10">
        <f t="shared" si="580"/>
        <v>0</v>
      </c>
      <c r="AH574" s="10">
        <f t="shared" si="580"/>
        <v>0</v>
      </c>
      <c r="AI574" s="10">
        <f t="shared" si="580"/>
        <v>0</v>
      </c>
      <c r="AJ574" s="10">
        <f t="shared" si="580"/>
        <v>0</v>
      </c>
      <c r="AK574" s="10">
        <f t="shared" si="580"/>
        <v>0</v>
      </c>
      <c r="AL574" s="10">
        <f t="shared" si="580"/>
        <v>0</v>
      </c>
      <c r="AM574" s="10">
        <f t="shared" si="580"/>
        <v>0</v>
      </c>
      <c r="AN574" s="10">
        <f t="shared" si="580"/>
        <v>0</v>
      </c>
      <c r="AO574" s="10">
        <f t="shared" si="580"/>
        <v>0</v>
      </c>
      <c r="AP574" s="10">
        <f t="shared" si="580"/>
        <v>0</v>
      </c>
      <c r="AQ574" s="10">
        <f t="shared" si="580"/>
        <v>0</v>
      </c>
      <c r="AR574" s="10">
        <f t="shared" si="580"/>
        <v>0</v>
      </c>
      <c r="AS574" s="10">
        <f t="shared" si="580"/>
        <v>0</v>
      </c>
      <c r="AT574" s="10">
        <f t="shared" si="580"/>
        <v>0</v>
      </c>
      <c r="AU574" s="10">
        <f t="shared" si="580"/>
        <v>0</v>
      </c>
      <c r="AV574" s="10">
        <f t="shared" si="580"/>
        <v>0</v>
      </c>
      <c r="AW574" s="10">
        <f t="shared" si="580"/>
        <v>0</v>
      </c>
      <c r="AX574" s="10">
        <f t="shared" si="580"/>
        <v>0</v>
      </c>
      <c r="AY574" s="10">
        <f t="shared" si="580"/>
        <v>0</v>
      </c>
      <c r="AZ574" s="10">
        <f t="shared" si="580"/>
        <v>0</v>
      </c>
      <c r="BA574" s="10">
        <f t="shared" si="580"/>
        <v>0</v>
      </c>
      <c r="BB574" s="10">
        <f t="shared" si="580"/>
        <v>0</v>
      </c>
      <c r="BC574" s="10">
        <f t="shared" si="580"/>
        <v>0</v>
      </c>
      <c r="BD574" s="10">
        <f t="shared" si="580"/>
        <v>0</v>
      </c>
      <c r="BE574" s="10">
        <f t="shared" si="580"/>
        <v>0</v>
      </c>
      <c r="BF574" s="10">
        <f t="shared" si="580"/>
        <v>0</v>
      </c>
      <c r="BG574" s="10">
        <f t="shared" si="580"/>
        <v>0</v>
      </c>
      <c r="BH574" s="10">
        <f t="shared" si="580"/>
        <v>0</v>
      </c>
      <c r="BI574" s="10">
        <f t="shared" si="580"/>
        <v>0</v>
      </c>
      <c r="BJ574" s="10">
        <f t="shared" si="580"/>
        <v>0</v>
      </c>
      <c r="BK574" s="10">
        <f t="shared" si="580"/>
        <v>0</v>
      </c>
      <c r="BL574" s="10">
        <f t="shared" si="580"/>
        <v>0</v>
      </c>
      <c r="BM574" s="10">
        <f t="shared" si="580"/>
        <v>0</v>
      </c>
      <c r="BN574" s="10">
        <f t="shared" si="580"/>
        <v>0</v>
      </c>
      <c r="BO574" s="10">
        <f t="shared" si="580"/>
        <v>0</v>
      </c>
      <c r="BP574" s="10">
        <f t="shared" si="580"/>
        <v>0</v>
      </c>
      <c r="BQ574" s="10">
        <f t="shared" si="580"/>
        <v>0</v>
      </c>
      <c r="BR574" s="10">
        <f t="shared" si="580"/>
        <v>0</v>
      </c>
      <c r="BS574" s="10">
        <f t="shared" si="580"/>
        <v>0</v>
      </c>
      <c r="BT574" s="10">
        <f t="shared" si="580"/>
        <v>0</v>
      </c>
      <c r="BU574" s="10">
        <f t="shared" si="580"/>
        <v>0</v>
      </c>
      <c r="BV574" s="10">
        <f t="shared" si="580"/>
        <v>0</v>
      </c>
      <c r="BX574" s="10">
        <f t="shared" ref="BX574:CI574" si="581">BX$428</f>
        <v>0</v>
      </c>
      <c r="BY574" s="10">
        <f t="shared" si="581"/>
        <v>0</v>
      </c>
      <c r="BZ574" s="10">
        <f t="shared" si="581"/>
        <v>0</v>
      </c>
      <c r="CA574" s="10">
        <f t="shared" si="581"/>
        <v>0</v>
      </c>
      <c r="CB574" s="10">
        <f t="shared" si="581"/>
        <v>0</v>
      </c>
      <c r="CC574" s="10">
        <f t="shared" si="581"/>
        <v>0</v>
      </c>
      <c r="CD574" s="10">
        <f t="shared" si="581"/>
        <v>0</v>
      </c>
      <c r="CE574" s="10">
        <f t="shared" si="581"/>
        <v>0</v>
      </c>
      <c r="CF574" s="10">
        <f t="shared" si="581"/>
        <v>0</v>
      </c>
      <c r="CG574" s="10">
        <f t="shared" si="581"/>
        <v>0</v>
      </c>
      <c r="CH574" s="10">
        <f t="shared" si="581"/>
        <v>0</v>
      </c>
      <c r="CI574" s="10">
        <f t="shared" si="581"/>
        <v>0</v>
      </c>
      <c r="CK574" s="11"/>
      <c r="CM574" s="11"/>
      <c r="DF574" s="11"/>
      <c r="EY574" s="10" t="str">
        <f t="shared" si="559"/>
        <v/>
      </c>
    </row>
    <row r="575" spans="1:155" ht="6.75" customHeight="1" x14ac:dyDescent="0.35">
      <c r="C575" s="211"/>
      <c r="D575" s="1"/>
      <c r="E575"/>
      <c r="F575"/>
      <c r="BY575" s="6"/>
      <c r="CK575" s="35"/>
      <c r="CM575" s="35"/>
      <c r="DF575" s="35"/>
      <c r="EY575" s="10" t="str">
        <f t="shared" si="559"/>
        <v/>
      </c>
    </row>
    <row r="576" spans="1:155" x14ac:dyDescent="0.35">
      <c r="C576" s="211"/>
      <c r="D576" s="50" t="str">
        <f>$D$68</f>
        <v>Interest Payment</v>
      </c>
      <c r="E576"/>
      <c r="F576"/>
      <c r="CK576" s="11"/>
      <c r="CM576" s="11"/>
      <c r="DF576" s="11"/>
      <c r="EY576" s="10" t="str">
        <f t="shared" si="559"/>
        <v/>
      </c>
    </row>
    <row r="577" spans="1:155" x14ac:dyDescent="0.35">
      <c r="B577" s="107" t="s">
        <v>1229</v>
      </c>
      <c r="C577" s="211"/>
      <c r="D577" s="5" t="str">
        <f>D$11</f>
        <v>Lender</v>
      </c>
      <c r="E577" s="5" t="str">
        <f>E$11</f>
        <v>Loan Category</v>
      </c>
      <c r="F577" s="5"/>
      <c r="CK577" s="11"/>
      <c r="CM577" s="11"/>
      <c r="DF577" s="11"/>
      <c r="EY577" s="10" t="str">
        <f t="shared" si="559"/>
        <v/>
      </c>
    </row>
    <row r="578" spans="1:155" x14ac:dyDescent="0.35">
      <c r="B578" s="69" t="str" cm="1">
        <f t="array" aca="1" ref="B578" ca="1">HYPERLINK(CONCATENATE("#",CELL("address",$D$56)),$D$56)</f>
        <v>Loan 1</v>
      </c>
      <c r="C578" s="211"/>
      <c r="D578" s="49">
        <f>D$13</f>
        <v>0</v>
      </c>
      <c r="E578" s="49" t="str">
        <f>F$13</f>
        <v/>
      </c>
      <c r="F578" s="49"/>
      <c r="H578" s="9" t="s">
        <v>1074</v>
      </c>
      <c r="I578" s="40" t="s">
        <v>1079</v>
      </c>
      <c r="J578" s="54"/>
      <c r="V578" s="133">
        <f>V$68</f>
        <v>0</v>
      </c>
      <c r="W578" s="10">
        <f>W$68</f>
        <v>0</v>
      </c>
      <c r="X578" s="10">
        <f>X$68</f>
        <v>0</v>
      </c>
      <c r="Y578" s="133">
        <f>Y$68</f>
        <v>0</v>
      </c>
      <c r="AA578" s="133">
        <f t="shared" ref="AA578:BV578" si="582">AA$68</f>
        <v>0</v>
      </c>
      <c r="AB578" s="10">
        <f t="shared" si="582"/>
        <v>0</v>
      </c>
      <c r="AC578" s="10">
        <f t="shared" si="582"/>
        <v>0</v>
      </c>
      <c r="AD578" s="10">
        <f t="shared" si="582"/>
        <v>0</v>
      </c>
      <c r="AE578" s="10">
        <f t="shared" si="582"/>
        <v>0</v>
      </c>
      <c r="AF578" s="10">
        <f t="shared" si="582"/>
        <v>0</v>
      </c>
      <c r="AG578" s="10">
        <f t="shared" si="582"/>
        <v>0</v>
      </c>
      <c r="AH578" s="10">
        <f t="shared" si="582"/>
        <v>0</v>
      </c>
      <c r="AI578" s="10">
        <f t="shared" si="582"/>
        <v>0</v>
      </c>
      <c r="AJ578" s="133">
        <f t="shared" si="582"/>
        <v>0</v>
      </c>
      <c r="AK578" s="10">
        <f t="shared" si="582"/>
        <v>0</v>
      </c>
      <c r="AL578" s="10">
        <f t="shared" si="582"/>
        <v>0</v>
      </c>
      <c r="AM578" s="10">
        <f t="shared" si="582"/>
        <v>0</v>
      </c>
      <c r="AN578" s="10">
        <f t="shared" si="582"/>
        <v>0</v>
      </c>
      <c r="AO578" s="10">
        <f t="shared" si="582"/>
        <v>0</v>
      </c>
      <c r="AP578" s="10">
        <f t="shared" si="582"/>
        <v>0</v>
      </c>
      <c r="AQ578" s="10">
        <f t="shared" si="582"/>
        <v>0</v>
      </c>
      <c r="AR578" s="10">
        <f t="shared" si="582"/>
        <v>0</v>
      </c>
      <c r="AS578" s="10">
        <f t="shared" si="582"/>
        <v>0</v>
      </c>
      <c r="AT578" s="10">
        <f t="shared" si="582"/>
        <v>0</v>
      </c>
      <c r="AU578" s="10">
        <f t="shared" si="582"/>
        <v>0</v>
      </c>
      <c r="AV578" s="10">
        <f t="shared" si="582"/>
        <v>0</v>
      </c>
      <c r="AW578" s="10">
        <f t="shared" si="582"/>
        <v>0</v>
      </c>
      <c r="AX578" s="10">
        <f t="shared" si="582"/>
        <v>0</v>
      </c>
      <c r="AY578" s="10">
        <f t="shared" si="582"/>
        <v>0</v>
      </c>
      <c r="AZ578" s="10">
        <f t="shared" si="582"/>
        <v>0</v>
      </c>
      <c r="BA578" s="10">
        <f t="shared" si="582"/>
        <v>0</v>
      </c>
      <c r="BB578" s="10">
        <f t="shared" si="582"/>
        <v>0</v>
      </c>
      <c r="BC578" s="10">
        <f t="shared" si="582"/>
        <v>0</v>
      </c>
      <c r="BD578" s="10">
        <f t="shared" si="582"/>
        <v>0</v>
      </c>
      <c r="BE578" s="10">
        <f t="shared" si="582"/>
        <v>0</v>
      </c>
      <c r="BF578" s="10">
        <f t="shared" si="582"/>
        <v>0</v>
      </c>
      <c r="BG578" s="10">
        <f t="shared" si="582"/>
        <v>0</v>
      </c>
      <c r="BH578" s="10">
        <f t="shared" si="582"/>
        <v>0</v>
      </c>
      <c r="BI578" s="10">
        <f t="shared" si="582"/>
        <v>0</v>
      </c>
      <c r="BJ578" s="10">
        <f t="shared" si="582"/>
        <v>0</v>
      </c>
      <c r="BK578" s="10">
        <f t="shared" si="582"/>
        <v>0</v>
      </c>
      <c r="BL578" s="10">
        <f t="shared" si="582"/>
        <v>0</v>
      </c>
      <c r="BM578" s="10">
        <f t="shared" si="582"/>
        <v>0</v>
      </c>
      <c r="BN578" s="10">
        <f t="shared" si="582"/>
        <v>0</v>
      </c>
      <c r="BO578" s="10">
        <f t="shared" si="582"/>
        <v>0</v>
      </c>
      <c r="BP578" s="10">
        <f t="shared" si="582"/>
        <v>0</v>
      </c>
      <c r="BQ578" s="10">
        <f t="shared" si="582"/>
        <v>0</v>
      </c>
      <c r="BR578" s="10">
        <f t="shared" si="582"/>
        <v>0</v>
      </c>
      <c r="BS578" s="10">
        <f t="shared" si="582"/>
        <v>0</v>
      </c>
      <c r="BT578" s="10">
        <f t="shared" si="582"/>
        <v>0</v>
      </c>
      <c r="BU578" s="10">
        <f t="shared" si="582"/>
        <v>0</v>
      </c>
      <c r="BV578" s="10">
        <f t="shared" si="582"/>
        <v>0</v>
      </c>
      <c r="BX578" s="10">
        <f t="shared" ref="BX578:CI578" si="583">BX$68</f>
        <v>0</v>
      </c>
      <c r="BY578" s="10">
        <f t="shared" si="583"/>
        <v>0</v>
      </c>
      <c r="BZ578" s="10">
        <f t="shared" si="583"/>
        <v>0</v>
      </c>
      <c r="CA578" s="10">
        <f t="shared" si="583"/>
        <v>0</v>
      </c>
      <c r="CB578" s="10">
        <f t="shared" si="583"/>
        <v>0</v>
      </c>
      <c r="CC578" s="10">
        <f t="shared" si="583"/>
        <v>0</v>
      </c>
      <c r="CD578" s="10">
        <f t="shared" si="583"/>
        <v>0</v>
      </c>
      <c r="CE578" s="10">
        <f t="shared" si="583"/>
        <v>0</v>
      </c>
      <c r="CF578" s="10">
        <f t="shared" si="583"/>
        <v>0</v>
      </c>
      <c r="CG578" s="10">
        <f t="shared" si="583"/>
        <v>0</v>
      </c>
      <c r="CH578" s="10">
        <f t="shared" si="583"/>
        <v>0</v>
      </c>
      <c r="CI578" s="10">
        <f t="shared" si="583"/>
        <v>0</v>
      </c>
      <c r="CK578" s="11"/>
      <c r="CM578" s="11"/>
      <c r="DF578" s="11"/>
      <c r="EY578" s="10" t="str">
        <f t="shared" si="559"/>
        <v/>
      </c>
    </row>
    <row r="579" spans="1:155" x14ac:dyDescent="0.35">
      <c r="B579" s="69" t="str" cm="1">
        <f t="array" aca="1" ref="B579" ca="1">HYPERLINK(CONCATENATE("#",CELL("address",$D$75)),$D$75)</f>
        <v>Loan 2</v>
      </c>
      <c r="C579" s="211"/>
      <c r="D579" s="49">
        <f>D$14</f>
        <v>0</v>
      </c>
      <c r="E579" s="49" t="str">
        <f>F$14</f>
        <v/>
      </c>
      <c r="F579" s="49"/>
      <c r="H579" s="9" t="s">
        <v>1074</v>
      </c>
      <c r="I579" s="40" t="s">
        <v>1079</v>
      </c>
      <c r="V579" s="133">
        <f>V$87</f>
        <v>0</v>
      </c>
      <c r="W579" s="10">
        <f>W$87</f>
        <v>0</v>
      </c>
      <c r="X579" s="10">
        <f>X$87</f>
        <v>0</v>
      </c>
      <c r="Y579" s="10">
        <f>Y$87</f>
        <v>0</v>
      </c>
      <c r="AA579" s="10">
        <f t="shared" ref="AA579:BV579" si="584">AA$87</f>
        <v>0</v>
      </c>
      <c r="AB579" s="10">
        <f t="shared" si="584"/>
        <v>0</v>
      </c>
      <c r="AC579" s="10">
        <f t="shared" si="584"/>
        <v>0</v>
      </c>
      <c r="AD579" s="10">
        <f t="shared" si="584"/>
        <v>0</v>
      </c>
      <c r="AE579" s="10">
        <f t="shared" si="584"/>
        <v>0</v>
      </c>
      <c r="AF579" s="10">
        <f t="shared" si="584"/>
        <v>0</v>
      </c>
      <c r="AG579" s="10">
        <f t="shared" si="584"/>
        <v>0</v>
      </c>
      <c r="AH579" s="10">
        <f t="shared" si="584"/>
        <v>0</v>
      </c>
      <c r="AI579" s="10">
        <f t="shared" si="584"/>
        <v>0</v>
      </c>
      <c r="AJ579" s="10">
        <f t="shared" si="584"/>
        <v>0</v>
      </c>
      <c r="AK579" s="10">
        <f t="shared" si="584"/>
        <v>0</v>
      </c>
      <c r="AL579" s="10">
        <f t="shared" si="584"/>
        <v>0</v>
      </c>
      <c r="AM579" s="10">
        <f t="shared" si="584"/>
        <v>0</v>
      </c>
      <c r="AN579" s="10">
        <f t="shared" si="584"/>
        <v>0</v>
      </c>
      <c r="AO579" s="10">
        <f t="shared" si="584"/>
        <v>0</v>
      </c>
      <c r="AP579" s="10">
        <f t="shared" si="584"/>
        <v>0</v>
      </c>
      <c r="AQ579" s="10">
        <f t="shared" si="584"/>
        <v>0</v>
      </c>
      <c r="AR579" s="10">
        <f t="shared" si="584"/>
        <v>0</v>
      </c>
      <c r="AS579" s="10">
        <f t="shared" si="584"/>
        <v>0</v>
      </c>
      <c r="AT579" s="10">
        <f t="shared" si="584"/>
        <v>0</v>
      </c>
      <c r="AU579" s="10">
        <f t="shared" si="584"/>
        <v>0</v>
      </c>
      <c r="AV579" s="10">
        <f t="shared" si="584"/>
        <v>0</v>
      </c>
      <c r="AW579" s="10">
        <f t="shared" si="584"/>
        <v>0</v>
      </c>
      <c r="AX579" s="10">
        <f t="shared" si="584"/>
        <v>0</v>
      </c>
      <c r="AY579" s="10">
        <f t="shared" si="584"/>
        <v>0</v>
      </c>
      <c r="AZ579" s="10">
        <f t="shared" si="584"/>
        <v>0</v>
      </c>
      <c r="BA579" s="10">
        <f t="shared" si="584"/>
        <v>0</v>
      </c>
      <c r="BB579" s="10">
        <f t="shared" si="584"/>
        <v>0</v>
      </c>
      <c r="BC579" s="10">
        <f t="shared" si="584"/>
        <v>0</v>
      </c>
      <c r="BD579" s="10">
        <f t="shared" si="584"/>
        <v>0</v>
      </c>
      <c r="BE579" s="10">
        <f t="shared" si="584"/>
        <v>0</v>
      </c>
      <c r="BF579" s="10">
        <f t="shared" si="584"/>
        <v>0</v>
      </c>
      <c r="BG579" s="10">
        <f t="shared" si="584"/>
        <v>0</v>
      </c>
      <c r="BH579" s="10">
        <f t="shared" si="584"/>
        <v>0</v>
      </c>
      <c r="BI579" s="10">
        <f t="shared" si="584"/>
        <v>0</v>
      </c>
      <c r="BJ579" s="10">
        <f t="shared" si="584"/>
        <v>0</v>
      </c>
      <c r="BK579" s="10">
        <f t="shared" si="584"/>
        <v>0</v>
      </c>
      <c r="BL579" s="10">
        <f t="shared" si="584"/>
        <v>0</v>
      </c>
      <c r="BM579" s="10">
        <f t="shared" si="584"/>
        <v>0</v>
      </c>
      <c r="BN579" s="10">
        <f t="shared" si="584"/>
        <v>0</v>
      </c>
      <c r="BO579" s="10">
        <f t="shared" si="584"/>
        <v>0</v>
      </c>
      <c r="BP579" s="10">
        <f t="shared" si="584"/>
        <v>0</v>
      </c>
      <c r="BQ579" s="10">
        <f t="shared" si="584"/>
        <v>0</v>
      </c>
      <c r="BR579" s="10">
        <f t="shared" si="584"/>
        <v>0</v>
      </c>
      <c r="BS579" s="10">
        <f t="shared" si="584"/>
        <v>0</v>
      </c>
      <c r="BT579" s="10">
        <f t="shared" si="584"/>
        <v>0</v>
      </c>
      <c r="BU579" s="10">
        <f t="shared" si="584"/>
        <v>0</v>
      </c>
      <c r="BV579" s="10">
        <f t="shared" si="584"/>
        <v>0</v>
      </c>
      <c r="BX579" s="10">
        <f t="shared" ref="BX579:CI579" si="585">BX$87</f>
        <v>0</v>
      </c>
      <c r="BY579" s="10">
        <f t="shared" si="585"/>
        <v>0</v>
      </c>
      <c r="BZ579" s="10">
        <f t="shared" si="585"/>
        <v>0</v>
      </c>
      <c r="CA579" s="10">
        <f t="shared" si="585"/>
        <v>0</v>
      </c>
      <c r="CB579" s="10">
        <f t="shared" si="585"/>
        <v>0</v>
      </c>
      <c r="CC579" s="10">
        <f t="shared" si="585"/>
        <v>0</v>
      </c>
      <c r="CD579" s="10">
        <f t="shared" si="585"/>
        <v>0</v>
      </c>
      <c r="CE579" s="10">
        <f t="shared" si="585"/>
        <v>0</v>
      </c>
      <c r="CF579" s="10">
        <f t="shared" si="585"/>
        <v>0</v>
      </c>
      <c r="CG579" s="10">
        <f t="shared" si="585"/>
        <v>0</v>
      </c>
      <c r="CH579" s="10">
        <f t="shared" si="585"/>
        <v>0</v>
      </c>
      <c r="CI579" s="10">
        <f t="shared" si="585"/>
        <v>0</v>
      </c>
      <c r="CK579" s="11"/>
      <c r="CM579" s="11"/>
      <c r="DF579" s="11"/>
      <c r="EY579" s="10" t="str">
        <f t="shared" si="559"/>
        <v/>
      </c>
    </row>
    <row r="580" spans="1:155" x14ac:dyDescent="0.35">
      <c r="B580" s="69" t="str" cm="1">
        <f t="array" aca="1" ref="B580" ca="1">HYPERLINK(CONCATENATE("#",CELL("address",$D$94)),$D$94)</f>
        <v>Loan 3</v>
      </c>
      <c r="C580" s="211"/>
      <c r="D580" s="49">
        <f>D$15</f>
        <v>0</v>
      </c>
      <c r="E580" s="49" t="str">
        <f>F$15</f>
        <v/>
      </c>
      <c r="F580" s="49"/>
      <c r="H580" s="9" t="s">
        <v>1074</v>
      </c>
      <c r="I580" s="40" t="s">
        <v>1079</v>
      </c>
      <c r="V580" s="133">
        <f>V$106</f>
        <v>0</v>
      </c>
      <c r="W580" s="10">
        <f>W$106</f>
        <v>0</v>
      </c>
      <c r="X580" s="10">
        <f>X$106</f>
        <v>0</v>
      </c>
      <c r="Y580" s="10">
        <f>Y$106</f>
        <v>0</v>
      </c>
      <c r="AA580" s="10">
        <f t="shared" ref="AA580:BV580" si="586">AA$106</f>
        <v>0</v>
      </c>
      <c r="AB580" s="10">
        <f t="shared" si="586"/>
        <v>0</v>
      </c>
      <c r="AC580" s="10">
        <f t="shared" si="586"/>
        <v>0</v>
      </c>
      <c r="AD580" s="10">
        <f t="shared" si="586"/>
        <v>0</v>
      </c>
      <c r="AE580" s="10">
        <f t="shared" si="586"/>
        <v>0</v>
      </c>
      <c r="AF580" s="10">
        <f t="shared" si="586"/>
        <v>0</v>
      </c>
      <c r="AG580" s="10">
        <f t="shared" si="586"/>
        <v>0</v>
      </c>
      <c r="AH580" s="10">
        <f t="shared" si="586"/>
        <v>0</v>
      </c>
      <c r="AI580" s="10">
        <f t="shared" si="586"/>
        <v>0</v>
      </c>
      <c r="AJ580" s="10">
        <f t="shared" si="586"/>
        <v>0</v>
      </c>
      <c r="AK580" s="10">
        <f t="shared" si="586"/>
        <v>0</v>
      </c>
      <c r="AL580" s="10">
        <f t="shared" si="586"/>
        <v>0</v>
      </c>
      <c r="AM580" s="10">
        <f t="shared" si="586"/>
        <v>0</v>
      </c>
      <c r="AN580" s="10">
        <f t="shared" si="586"/>
        <v>0</v>
      </c>
      <c r="AO580" s="10">
        <f t="shared" si="586"/>
        <v>0</v>
      </c>
      <c r="AP580" s="10">
        <f t="shared" si="586"/>
        <v>0</v>
      </c>
      <c r="AQ580" s="10">
        <f t="shared" si="586"/>
        <v>0</v>
      </c>
      <c r="AR580" s="10">
        <f t="shared" si="586"/>
        <v>0</v>
      </c>
      <c r="AS580" s="10">
        <f t="shared" si="586"/>
        <v>0</v>
      </c>
      <c r="AT580" s="10">
        <f t="shared" si="586"/>
        <v>0</v>
      </c>
      <c r="AU580" s="10">
        <f t="shared" si="586"/>
        <v>0</v>
      </c>
      <c r="AV580" s="10">
        <f t="shared" si="586"/>
        <v>0</v>
      </c>
      <c r="AW580" s="10">
        <f t="shared" si="586"/>
        <v>0</v>
      </c>
      <c r="AX580" s="10">
        <f t="shared" si="586"/>
        <v>0</v>
      </c>
      <c r="AY580" s="10">
        <f t="shared" si="586"/>
        <v>0</v>
      </c>
      <c r="AZ580" s="10">
        <f t="shared" si="586"/>
        <v>0</v>
      </c>
      <c r="BA580" s="10">
        <f t="shared" si="586"/>
        <v>0</v>
      </c>
      <c r="BB580" s="10">
        <f t="shared" si="586"/>
        <v>0</v>
      </c>
      <c r="BC580" s="10">
        <f t="shared" si="586"/>
        <v>0</v>
      </c>
      <c r="BD580" s="10">
        <f t="shared" si="586"/>
        <v>0</v>
      </c>
      <c r="BE580" s="10">
        <f t="shared" si="586"/>
        <v>0</v>
      </c>
      <c r="BF580" s="10">
        <f t="shared" si="586"/>
        <v>0</v>
      </c>
      <c r="BG580" s="10">
        <f t="shared" si="586"/>
        <v>0</v>
      </c>
      <c r="BH580" s="10">
        <f t="shared" si="586"/>
        <v>0</v>
      </c>
      <c r="BI580" s="10">
        <f t="shared" si="586"/>
        <v>0</v>
      </c>
      <c r="BJ580" s="10">
        <f t="shared" si="586"/>
        <v>0</v>
      </c>
      <c r="BK580" s="10">
        <f t="shared" si="586"/>
        <v>0</v>
      </c>
      <c r="BL580" s="10">
        <f t="shared" si="586"/>
        <v>0</v>
      </c>
      <c r="BM580" s="10">
        <f t="shared" si="586"/>
        <v>0</v>
      </c>
      <c r="BN580" s="10">
        <f t="shared" si="586"/>
        <v>0</v>
      </c>
      <c r="BO580" s="10">
        <f t="shared" si="586"/>
        <v>0</v>
      </c>
      <c r="BP580" s="10">
        <f t="shared" si="586"/>
        <v>0</v>
      </c>
      <c r="BQ580" s="10">
        <f t="shared" si="586"/>
        <v>0</v>
      </c>
      <c r="BR580" s="10">
        <f t="shared" si="586"/>
        <v>0</v>
      </c>
      <c r="BS580" s="10">
        <f t="shared" si="586"/>
        <v>0</v>
      </c>
      <c r="BT580" s="10">
        <f t="shared" si="586"/>
        <v>0</v>
      </c>
      <c r="BU580" s="10">
        <f t="shared" si="586"/>
        <v>0</v>
      </c>
      <c r="BV580" s="10">
        <f t="shared" si="586"/>
        <v>0</v>
      </c>
      <c r="BX580" s="10">
        <f t="shared" ref="BX580:CI580" si="587">BX$106</f>
        <v>0</v>
      </c>
      <c r="BY580" s="10">
        <f t="shared" si="587"/>
        <v>0</v>
      </c>
      <c r="BZ580" s="10">
        <f t="shared" si="587"/>
        <v>0</v>
      </c>
      <c r="CA580" s="10">
        <f t="shared" si="587"/>
        <v>0</v>
      </c>
      <c r="CB580" s="10">
        <f t="shared" si="587"/>
        <v>0</v>
      </c>
      <c r="CC580" s="10">
        <f t="shared" si="587"/>
        <v>0</v>
      </c>
      <c r="CD580" s="10">
        <f t="shared" si="587"/>
        <v>0</v>
      </c>
      <c r="CE580" s="10">
        <f t="shared" si="587"/>
        <v>0</v>
      </c>
      <c r="CF580" s="10">
        <f t="shared" si="587"/>
        <v>0</v>
      </c>
      <c r="CG580" s="10">
        <f t="shared" si="587"/>
        <v>0</v>
      </c>
      <c r="CH580" s="10">
        <f t="shared" si="587"/>
        <v>0</v>
      </c>
      <c r="CI580" s="10">
        <f t="shared" si="587"/>
        <v>0</v>
      </c>
      <c r="CK580" s="11"/>
      <c r="CM580" s="11"/>
      <c r="DF580" s="11"/>
      <c r="EY580" s="10" t="str">
        <f t="shared" si="559"/>
        <v/>
      </c>
    </row>
    <row r="581" spans="1:155" x14ac:dyDescent="0.35">
      <c r="B581" s="69" t="str" cm="1">
        <f t="array" aca="1" ref="B581" ca="1">HYPERLINK(CONCATENATE("#",CELL("address",$D$113)),$D$113)</f>
        <v>Loan 4</v>
      </c>
      <c r="C581" s="211"/>
      <c r="D581" s="49">
        <f>D$16</f>
        <v>0</v>
      </c>
      <c r="E581" s="49" t="str">
        <f>F$16</f>
        <v/>
      </c>
      <c r="F581" s="49"/>
      <c r="H581" s="9" t="s">
        <v>1074</v>
      </c>
      <c r="I581" s="40" t="s">
        <v>1079</v>
      </c>
      <c r="V581" s="133">
        <f>V$125</f>
        <v>0</v>
      </c>
      <c r="W581" s="10">
        <f>W$125</f>
        <v>0</v>
      </c>
      <c r="X581" s="10">
        <f>X$125</f>
        <v>0</v>
      </c>
      <c r="Y581" s="10">
        <f>Y$125</f>
        <v>0</v>
      </c>
      <c r="AA581" s="10">
        <f t="shared" ref="AA581:BV581" si="588">AA$125</f>
        <v>0</v>
      </c>
      <c r="AB581" s="10">
        <f t="shared" si="588"/>
        <v>0</v>
      </c>
      <c r="AC581" s="10">
        <f t="shared" si="588"/>
        <v>0</v>
      </c>
      <c r="AD581" s="10">
        <f t="shared" si="588"/>
        <v>0</v>
      </c>
      <c r="AE581" s="10">
        <f t="shared" si="588"/>
        <v>0</v>
      </c>
      <c r="AF581" s="10">
        <f t="shared" si="588"/>
        <v>0</v>
      </c>
      <c r="AG581" s="10">
        <f t="shared" si="588"/>
        <v>0</v>
      </c>
      <c r="AH581" s="10">
        <f t="shared" si="588"/>
        <v>0</v>
      </c>
      <c r="AI581" s="10">
        <f t="shared" si="588"/>
        <v>0</v>
      </c>
      <c r="AJ581" s="10">
        <f t="shared" si="588"/>
        <v>0</v>
      </c>
      <c r="AK581" s="10">
        <f t="shared" si="588"/>
        <v>0</v>
      </c>
      <c r="AL581" s="10">
        <f t="shared" si="588"/>
        <v>0</v>
      </c>
      <c r="AM581" s="10">
        <f t="shared" si="588"/>
        <v>0</v>
      </c>
      <c r="AN581" s="10">
        <f t="shared" si="588"/>
        <v>0</v>
      </c>
      <c r="AO581" s="10">
        <f t="shared" si="588"/>
        <v>0</v>
      </c>
      <c r="AP581" s="10">
        <f t="shared" si="588"/>
        <v>0</v>
      </c>
      <c r="AQ581" s="10">
        <f t="shared" si="588"/>
        <v>0</v>
      </c>
      <c r="AR581" s="10">
        <f t="shared" si="588"/>
        <v>0</v>
      </c>
      <c r="AS581" s="10">
        <f t="shared" si="588"/>
        <v>0</v>
      </c>
      <c r="AT581" s="10">
        <f t="shared" si="588"/>
        <v>0</v>
      </c>
      <c r="AU581" s="10">
        <f t="shared" si="588"/>
        <v>0</v>
      </c>
      <c r="AV581" s="10">
        <f t="shared" si="588"/>
        <v>0</v>
      </c>
      <c r="AW581" s="10">
        <f t="shared" si="588"/>
        <v>0</v>
      </c>
      <c r="AX581" s="10">
        <f t="shared" si="588"/>
        <v>0</v>
      </c>
      <c r="AY581" s="10">
        <f t="shared" si="588"/>
        <v>0</v>
      </c>
      <c r="AZ581" s="10">
        <f t="shared" si="588"/>
        <v>0</v>
      </c>
      <c r="BA581" s="10">
        <f t="shared" si="588"/>
        <v>0</v>
      </c>
      <c r="BB581" s="10">
        <f t="shared" si="588"/>
        <v>0</v>
      </c>
      <c r="BC581" s="10">
        <f t="shared" si="588"/>
        <v>0</v>
      </c>
      <c r="BD581" s="10">
        <f t="shared" si="588"/>
        <v>0</v>
      </c>
      <c r="BE581" s="10">
        <f t="shared" si="588"/>
        <v>0</v>
      </c>
      <c r="BF581" s="10">
        <f t="shared" si="588"/>
        <v>0</v>
      </c>
      <c r="BG581" s="10">
        <f t="shared" si="588"/>
        <v>0</v>
      </c>
      <c r="BH581" s="10">
        <f t="shared" si="588"/>
        <v>0</v>
      </c>
      <c r="BI581" s="10">
        <f t="shared" si="588"/>
        <v>0</v>
      </c>
      <c r="BJ581" s="10">
        <f t="shared" si="588"/>
        <v>0</v>
      </c>
      <c r="BK581" s="10">
        <f t="shared" si="588"/>
        <v>0</v>
      </c>
      <c r="BL581" s="10">
        <f t="shared" si="588"/>
        <v>0</v>
      </c>
      <c r="BM581" s="10">
        <f t="shared" si="588"/>
        <v>0</v>
      </c>
      <c r="BN581" s="10">
        <f t="shared" si="588"/>
        <v>0</v>
      </c>
      <c r="BO581" s="10">
        <f t="shared" si="588"/>
        <v>0</v>
      </c>
      <c r="BP581" s="10">
        <f t="shared" si="588"/>
        <v>0</v>
      </c>
      <c r="BQ581" s="10">
        <f t="shared" si="588"/>
        <v>0</v>
      </c>
      <c r="BR581" s="10">
        <f t="shared" si="588"/>
        <v>0</v>
      </c>
      <c r="BS581" s="10">
        <f t="shared" si="588"/>
        <v>0</v>
      </c>
      <c r="BT581" s="10">
        <f t="shared" si="588"/>
        <v>0</v>
      </c>
      <c r="BU581" s="10">
        <f t="shared" si="588"/>
        <v>0</v>
      </c>
      <c r="BV581" s="10">
        <f t="shared" si="588"/>
        <v>0</v>
      </c>
      <c r="BX581" s="10">
        <f t="shared" ref="BX581:CI581" si="589">BX$125</f>
        <v>0</v>
      </c>
      <c r="BY581" s="10">
        <f t="shared" si="589"/>
        <v>0</v>
      </c>
      <c r="BZ581" s="10">
        <f t="shared" si="589"/>
        <v>0</v>
      </c>
      <c r="CA581" s="10">
        <f t="shared" si="589"/>
        <v>0</v>
      </c>
      <c r="CB581" s="10">
        <f t="shared" si="589"/>
        <v>0</v>
      </c>
      <c r="CC581" s="10">
        <f t="shared" si="589"/>
        <v>0</v>
      </c>
      <c r="CD581" s="10">
        <f t="shared" si="589"/>
        <v>0</v>
      </c>
      <c r="CE581" s="10">
        <f t="shared" si="589"/>
        <v>0</v>
      </c>
      <c r="CF581" s="10">
        <f t="shared" si="589"/>
        <v>0</v>
      </c>
      <c r="CG581" s="10">
        <f t="shared" si="589"/>
        <v>0</v>
      </c>
      <c r="CH581" s="10">
        <f t="shared" si="589"/>
        <v>0</v>
      </c>
      <c r="CI581" s="10">
        <f t="shared" si="589"/>
        <v>0</v>
      </c>
      <c r="CK581" s="11"/>
      <c r="CM581" s="11"/>
      <c r="DF581" s="11"/>
      <c r="EY581" s="10" t="str">
        <f t="shared" si="559"/>
        <v/>
      </c>
    </row>
    <row r="582" spans="1:155" x14ac:dyDescent="0.35">
      <c r="B582" s="69" t="str" cm="1">
        <f t="array" aca="1" ref="B582" ca="1">HYPERLINK(CONCATENATE("#",CELL("address",$D$132)),$D$132)</f>
        <v>Loan 5</v>
      </c>
      <c r="C582" s="211"/>
      <c r="D582" s="49">
        <f>D$17</f>
        <v>0</v>
      </c>
      <c r="E582" s="49" t="str">
        <f>F$17</f>
        <v/>
      </c>
      <c r="F582" s="49"/>
      <c r="H582" s="9" t="s">
        <v>1074</v>
      </c>
      <c r="I582" s="40" t="s">
        <v>1079</v>
      </c>
      <c r="V582" s="133">
        <f>V$144</f>
        <v>0</v>
      </c>
      <c r="W582" s="10">
        <f>W$144</f>
        <v>0</v>
      </c>
      <c r="X582" s="10">
        <f>X$144</f>
        <v>0</v>
      </c>
      <c r="Y582" s="10">
        <f>Y$144</f>
        <v>0</v>
      </c>
      <c r="AA582" s="10">
        <f t="shared" ref="AA582:BV582" si="590">AA$144</f>
        <v>0</v>
      </c>
      <c r="AB582" s="10">
        <f t="shared" si="590"/>
        <v>0</v>
      </c>
      <c r="AC582" s="10">
        <f t="shared" si="590"/>
        <v>0</v>
      </c>
      <c r="AD582" s="10">
        <f t="shared" si="590"/>
        <v>0</v>
      </c>
      <c r="AE582" s="10">
        <f t="shared" si="590"/>
        <v>0</v>
      </c>
      <c r="AF582" s="10">
        <f t="shared" si="590"/>
        <v>0</v>
      </c>
      <c r="AG582" s="10">
        <f t="shared" si="590"/>
        <v>0</v>
      </c>
      <c r="AH582" s="10">
        <f t="shared" si="590"/>
        <v>0</v>
      </c>
      <c r="AI582" s="10">
        <f t="shared" si="590"/>
        <v>0</v>
      </c>
      <c r="AJ582" s="10">
        <f t="shared" si="590"/>
        <v>0</v>
      </c>
      <c r="AK582" s="10">
        <f t="shared" si="590"/>
        <v>0</v>
      </c>
      <c r="AL582" s="10">
        <f t="shared" si="590"/>
        <v>0</v>
      </c>
      <c r="AM582" s="10">
        <f t="shared" si="590"/>
        <v>0</v>
      </c>
      <c r="AN582" s="10">
        <f t="shared" si="590"/>
        <v>0</v>
      </c>
      <c r="AO582" s="10">
        <f t="shared" si="590"/>
        <v>0</v>
      </c>
      <c r="AP582" s="10">
        <f t="shared" si="590"/>
        <v>0</v>
      </c>
      <c r="AQ582" s="10">
        <f t="shared" si="590"/>
        <v>0</v>
      </c>
      <c r="AR582" s="10">
        <f t="shared" si="590"/>
        <v>0</v>
      </c>
      <c r="AS582" s="10">
        <f t="shared" si="590"/>
        <v>0</v>
      </c>
      <c r="AT582" s="10">
        <f t="shared" si="590"/>
        <v>0</v>
      </c>
      <c r="AU582" s="10">
        <f t="shared" si="590"/>
        <v>0</v>
      </c>
      <c r="AV582" s="10">
        <f t="shared" si="590"/>
        <v>0</v>
      </c>
      <c r="AW582" s="10">
        <f t="shared" si="590"/>
        <v>0</v>
      </c>
      <c r="AX582" s="10">
        <f t="shared" si="590"/>
        <v>0</v>
      </c>
      <c r="AY582" s="10">
        <f t="shared" si="590"/>
        <v>0</v>
      </c>
      <c r="AZ582" s="10">
        <f t="shared" si="590"/>
        <v>0</v>
      </c>
      <c r="BA582" s="10">
        <f t="shared" si="590"/>
        <v>0</v>
      </c>
      <c r="BB582" s="10">
        <f t="shared" si="590"/>
        <v>0</v>
      </c>
      <c r="BC582" s="10">
        <f t="shared" si="590"/>
        <v>0</v>
      </c>
      <c r="BD582" s="10">
        <f t="shared" si="590"/>
        <v>0</v>
      </c>
      <c r="BE582" s="10">
        <f t="shared" si="590"/>
        <v>0</v>
      </c>
      <c r="BF582" s="10">
        <f t="shared" si="590"/>
        <v>0</v>
      </c>
      <c r="BG582" s="10">
        <f t="shared" si="590"/>
        <v>0</v>
      </c>
      <c r="BH582" s="10">
        <f t="shared" si="590"/>
        <v>0</v>
      </c>
      <c r="BI582" s="10">
        <f t="shared" si="590"/>
        <v>0</v>
      </c>
      <c r="BJ582" s="10">
        <f t="shared" si="590"/>
        <v>0</v>
      </c>
      <c r="BK582" s="10">
        <f t="shared" si="590"/>
        <v>0</v>
      </c>
      <c r="BL582" s="10">
        <f t="shared" si="590"/>
        <v>0</v>
      </c>
      <c r="BM582" s="10">
        <f t="shared" si="590"/>
        <v>0</v>
      </c>
      <c r="BN582" s="10">
        <f t="shared" si="590"/>
        <v>0</v>
      </c>
      <c r="BO582" s="10">
        <f t="shared" si="590"/>
        <v>0</v>
      </c>
      <c r="BP582" s="10">
        <f t="shared" si="590"/>
        <v>0</v>
      </c>
      <c r="BQ582" s="10">
        <f t="shared" si="590"/>
        <v>0</v>
      </c>
      <c r="BR582" s="10">
        <f t="shared" si="590"/>
        <v>0</v>
      </c>
      <c r="BS582" s="10">
        <f t="shared" si="590"/>
        <v>0</v>
      </c>
      <c r="BT582" s="10">
        <f t="shared" si="590"/>
        <v>0</v>
      </c>
      <c r="BU582" s="10">
        <f t="shared" si="590"/>
        <v>0</v>
      </c>
      <c r="BV582" s="10">
        <f t="shared" si="590"/>
        <v>0</v>
      </c>
      <c r="BX582" s="10">
        <f t="shared" ref="BX582:CI582" si="591">BX$144</f>
        <v>0</v>
      </c>
      <c r="BY582" s="10">
        <f t="shared" si="591"/>
        <v>0</v>
      </c>
      <c r="BZ582" s="10">
        <f t="shared" si="591"/>
        <v>0</v>
      </c>
      <c r="CA582" s="10">
        <f t="shared" si="591"/>
        <v>0</v>
      </c>
      <c r="CB582" s="10">
        <f t="shared" si="591"/>
        <v>0</v>
      </c>
      <c r="CC582" s="10">
        <f t="shared" si="591"/>
        <v>0</v>
      </c>
      <c r="CD582" s="10">
        <f t="shared" si="591"/>
        <v>0</v>
      </c>
      <c r="CE582" s="10">
        <f t="shared" si="591"/>
        <v>0</v>
      </c>
      <c r="CF582" s="10">
        <f t="shared" si="591"/>
        <v>0</v>
      </c>
      <c r="CG582" s="10">
        <f t="shared" si="591"/>
        <v>0</v>
      </c>
      <c r="CH582" s="10">
        <f t="shared" si="591"/>
        <v>0</v>
      </c>
      <c r="CI582" s="10">
        <f t="shared" si="591"/>
        <v>0</v>
      </c>
      <c r="CK582" s="11"/>
      <c r="CM582" s="11"/>
      <c r="DF582" s="11"/>
      <c r="EY582" s="10" t="str">
        <f t="shared" si="559"/>
        <v/>
      </c>
    </row>
    <row r="583" spans="1:155" x14ac:dyDescent="0.35">
      <c r="B583" s="69" t="str" cm="1">
        <f t="array" aca="1" ref="B583" ca="1">HYPERLINK(CONCATENATE("#",CELL("address",$D$151)),$D$151)</f>
        <v>Loan 6</v>
      </c>
      <c r="C583" s="211"/>
      <c r="D583" s="49">
        <f>D$18</f>
        <v>0</v>
      </c>
      <c r="E583" s="49" t="str">
        <f>F$18</f>
        <v/>
      </c>
      <c r="F583" s="49"/>
      <c r="H583" s="9" t="s">
        <v>1074</v>
      </c>
      <c r="I583" s="40" t="s">
        <v>1079</v>
      </c>
      <c r="V583" s="133">
        <f>V$163</f>
        <v>0</v>
      </c>
      <c r="W583" s="10">
        <f>W$163</f>
        <v>0</v>
      </c>
      <c r="X583" s="10">
        <f>X$163</f>
        <v>0</v>
      </c>
      <c r="Y583" s="10">
        <f>Y$163</f>
        <v>0</v>
      </c>
      <c r="AA583" s="10">
        <f t="shared" ref="AA583:BV583" si="592">AA$163</f>
        <v>0</v>
      </c>
      <c r="AB583" s="10">
        <f t="shared" si="592"/>
        <v>0</v>
      </c>
      <c r="AC583" s="10">
        <f t="shared" si="592"/>
        <v>0</v>
      </c>
      <c r="AD583" s="10">
        <f t="shared" si="592"/>
        <v>0</v>
      </c>
      <c r="AE583" s="10">
        <f t="shared" si="592"/>
        <v>0</v>
      </c>
      <c r="AF583" s="10">
        <f t="shared" si="592"/>
        <v>0</v>
      </c>
      <c r="AG583" s="10">
        <f t="shared" si="592"/>
        <v>0</v>
      </c>
      <c r="AH583" s="10">
        <f t="shared" si="592"/>
        <v>0</v>
      </c>
      <c r="AI583" s="10">
        <f t="shared" si="592"/>
        <v>0</v>
      </c>
      <c r="AJ583" s="10">
        <f t="shared" si="592"/>
        <v>0</v>
      </c>
      <c r="AK583" s="10">
        <f t="shared" si="592"/>
        <v>0</v>
      </c>
      <c r="AL583" s="10">
        <f t="shared" si="592"/>
        <v>0</v>
      </c>
      <c r="AM583" s="10">
        <f t="shared" si="592"/>
        <v>0</v>
      </c>
      <c r="AN583" s="10">
        <f t="shared" si="592"/>
        <v>0</v>
      </c>
      <c r="AO583" s="10">
        <f t="shared" si="592"/>
        <v>0</v>
      </c>
      <c r="AP583" s="10">
        <f t="shared" si="592"/>
        <v>0</v>
      </c>
      <c r="AQ583" s="10">
        <f t="shared" si="592"/>
        <v>0</v>
      </c>
      <c r="AR583" s="10">
        <f t="shared" si="592"/>
        <v>0</v>
      </c>
      <c r="AS583" s="10">
        <f t="shared" si="592"/>
        <v>0</v>
      </c>
      <c r="AT583" s="10">
        <f t="shared" si="592"/>
        <v>0</v>
      </c>
      <c r="AU583" s="10">
        <f t="shared" si="592"/>
        <v>0</v>
      </c>
      <c r="AV583" s="10">
        <f t="shared" si="592"/>
        <v>0</v>
      </c>
      <c r="AW583" s="10">
        <f t="shared" si="592"/>
        <v>0</v>
      </c>
      <c r="AX583" s="10">
        <f t="shared" si="592"/>
        <v>0</v>
      </c>
      <c r="AY583" s="10">
        <f t="shared" si="592"/>
        <v>0</v>
      </c>
      <c r="AZ583" s="10">
        <f t="shared" si="592"/>
        <v>0</v>
      </c>
      <c r="BA583" s="10">
        <f t="shared" si="592"/>
        <v>0</v>
      </c>
      <c r="BB583" s="10">
        <f t="shared" si="592"/>
        <v>0</v>
      </c>
      <c r="BC583" s="10">
        <f t="shared" si="592"/>
        <v>0</v>
      </c>
      <c r="BD583" s="10">
        <f t="shared" si="592"/>
        <v>0</v>
      </c>
      <c r="BE583" s="10">
        <f t="shared" si="592"/>
        <v>0</v>
      </c>
      <c r="BF583" s="10">
        <f t="shared" si="592"/>
        <v>0</v>
      </c>
      <c r="BG583" s="10">
        <f t="shared" si="592"/>
        <v>0</v>
      </c>
      <c r="BH583" s="10">
        <f t="shared" si="592"/>
        <v>0</v>
      </c>
      <c r="BI583" s="10">
        <f t="shared" si="592"/>
        <v>0</v>
      </c>
      <c r="BJ583" s="10">
        <f t="shared" si="592"/>
        <v>0</v>
      </c>
      <c r="BK583" s="10">
        <f t="shared" si="592"/>
        <v>0</v>
      </c>
      <c r="BL583" s="10">
        <f t="shared" si="592"/>
        <v>0</v>
      </c>
      <c r="BM583" s="10">
        <f t="shared" si="592"/>
        <v>0</v>
      </c>
      <c r="BN583" s="10">
        <f t="shared" si="592"/>
        <v>0</v>
      </c>
      <c r="BO583" s="10">
        <f t="shared" si="592"/>
        <v>0</v>
      </c>
      <c r="BP583" s="10">
        <f t="shared" si="592"/>
        <v>0</v>
      </c>
      <c r="BQ583" s="10">
        <f t="shared" si="592"/>
        <v>0</v>
      </c>
      <c r="BR583" s="10">
        <f t="shared" si="592"/>
        <v>0</v>
      </c>
      <c r="BS583" s="10">
        <f t="shared" si="592"/>
        <v>0</v>
      </c>
      <c r="BT583" s="10">
        <f t="shared" si="592"/>
        <v>0</v>
      </c>
      <c r="BU583" s="10">
        <f t="shared" si="592"/>
        <v>0</v>
      </c>
      <c r="BV583" s="10">
        <f t="shared" si="592"/>
        <v>0</v>
      </c>
      <c r="BX583" s="10">
        <f t="shared" ref="BX583:CI583" si="593">BX$163</f>
        <v>0</v>
      </c>
      <c r="BY583" s="10">
        <f t="shared" si="593"/>
        <v>0</v>
      </c>
      <c r="BZ583" s="10">
        <f t="shared" si="593"/>
        <v>0</v>
      </c>
      <c r="CA583" s="10">
        <f t="shared" si="593"/>
        <v>0</v>
      </c>
      <c r="CB583" s="10">
        <f t="shared" si="593"/>
        <v>0</v>
      </c>
      <c r="CC583" s="10">
        <f t="shared" si="593"/>
        <v>0</v>
      </c>
      <c r="CD583" s="10">
        <f t="shared" si="593"/>
        <v>0</v>
      </c>
      <c r="CE583" s="10">
        <f t="shared" si="593"/>
        <v>0</v>
      </c>
      <c r="CF583" s="10">
        <f t="shared" si="593"/>
        <v>0</v>
      </c>
      <c r="CG583" s="10">
        <f t="shared" si="593"/>
        <v>0</v>
      </c>
      <c r="CH583" s="10">
        <f t="shared" si="593"/>
        <v>0</v>
      </c>
      <c r="CI583" s="10">
        <f t="shared" si="593"/>
        <v>0</v>
      </c>
      <c r="CK583" s="11"/>
      <c r="CM583" s="11"/>
      <c r="DF583" s="11"/>
      <c r="EY583" s="10" t="str">
        <f t="shared" si="559"/>
        <v/>
      </c>
    </row>
    <row r="584" spans="1:155" x14ac:dyDescent="0.35">
      <c r="B584" s="69" t="str" cm="1">
        <f t="array" aca="1" ref="B584" ca="1">HYPERLINK(CONCATENATE("#",CELL("address",$D$170)),$D$170)</f>
        <v>Loan 7</v>
      </c>
      <c r="C584" s="211"/>
      <c r="D584" s="49">
        <f>D$19</f>
        <v>0</v>
      </c>
      <c r="E584" s="49" t="str">
        <f>F$19</f>
        <v/>
      </c>
      <c r="F584" s="49"/>
      <c r="H584" s="9" t="s">
        <v>1074</v>
      </c>
      <c r="I584" s="40" t="s">
        <v>1079</v>
      </c>
      <c r="V584" s="133">
        <f>V$182</f>
        <v>0</v>
      </c>
      <c r="W584" s="10">
        <f>W$182</f>
        <v>0</v>
      </c>
      <c r="X584" s="10">
        <f>X$182</f>
        <v>0</v>
      </c>
      <c r="Y584" s="10">
        <f>Y$182</f>
        <v>0</v>
      </c>
      <c r="AA584" s="10">
        <f t="shared" ref="AA584:BV584" si="594">AA$182</f>
        <v>0</v>
      </c>
      <c r="AB584" s="10">
        <f t="shared" si="594"/>
        <v>0</v>
      </c>
      <c r="AC584" s="10">
        <f t="shared" si="594"/>
        <v>0</v>
      </c>
      <c r="AD584" s="10">
        <f t="shared" si="594"/>
        <v>0</v>
      </c>
      <c r="AE584" s="10">
        <f t="shared" si="594"/>
        <v>0</v>
      </c>
      <c r="AF584" s="10">
        <f t="shared" si="594"/>
        <v>0</v>
      </c>
      <c r="AG584" s="10">
        <f t="shared" si="594"/>
        <v>0</v>
      </c>
      <c r="AH584" s="10">
        <f t="shared" si="594"/>
        <v>0</v>
      </c>
      <c r="AI584" s="10">
        <f t="shared" si="594"/>
        <v>0</v>
      </c>
      <c r="AJ584" s="10">
        <f t="shared" si="594"/>
        <v>0</v>
      </c>
      <c r="AK584" s="10">
        <f t="shared" si="594"/>
        <v>0</v>
      </c>
      <c r="AL584" s="10">
        <f t="shared" si="594"/>
        <v>0</v>
      </c>
      <c r="AM584" s="10">
        <f t="shared" si="594"/>
        <v>0</v>
      </c>
      <c r="AN584" s="10">
        <f t="shared" si="594"/>
        <v>0</v>
      </c>
      <c r="AO584" s="10">
        <f t="shared" si="594"/>
        <v>0</v>
      </c>
      <c r="AP584" s="10">
        <f t="shared" si="594"/>
        <v>0</v>
      </c>
      <c r="AQ584" s="10">
        <f t="shared" si="594"/>
        <v>0</v>
      </c>
      <c r="AR584" s="10">
        <f t="shared" si="594"/>
        <v>0</v>
      </c>
      <c r="AS584" s="10">
        <f t="shared" si="594"/>
        <v>0</v>
      </c>
      <c r="AT584" s="10">
        <f t="shared" si="594"/>
        <v>0</v>
      </c>
      <c r="AU584" s="10">
        <f t="shared" si="594"/>
        <v>0</v>
      </c>
      <c r="AV584" s="10">
        <f t="shared" si="594"/>
        <v>0</v>
      </c>
      <c r="AW584" s="10">
        <f t="shared" si="594"/>
        <v>0</v>
      </c>
      <c r="AX584" s="10">
        <f t="shared" si="594"/>
        <v>0</v>
      </c>
      <c r="AY584" s="10">
        <f t="shared" si="594"/>
        <v>0</v>
      </c>
      <c r="AZ584" s="10">
        <f t="shared" si="594"/>
        <v>0</v>
      </c>
      <c r="BA584" s="10">
        <f t="shared" si="594"/>
        <v>0</v>
      </c>
      <c r="BB584" s="10">
        <f t="shared" si="594"/>
        <v>0</v>
      </c>
      <c r="BC584" s="10">
        <f t="shared" si="594"/>
        <v>0</v>
      </c>
      <c r="BD584" s="10">
        <f t="shared" si="594"/>
        <v>0</v>
      </c>
      <c r="BE584" s="10">
        <f t="shared" si="594"/>
        <v>0</v>
      </c>
      <c r="BF584" s="10">
        <f t="shared" si="594"/>
        <v>0</v>
      </c>
      <c r="BG584" s="10">
        <f t="shared" si="594"/>
        <v>0</v>
      </c>
      <c r="BH584" s="10">
        <f t="shared" si="594"/>
        <v>0</v>
      </c>
      <c r="BI584" s="10">
        <f t="shared" si="594"/>
        <v>0</v>
      </c>
      <c r="BJ584" s="10">
        <f t="shared" si="594"/>
        <v>0</v>
      </c>
      <c r="BK584" s="10">
        <f t="shared" si="594"/>
        <v>0</v>
      </c>
      <c r="BL584" s="10">
        <f t="shared" si="594"/>
        <v>0</v>
      </c>
      <c r="BM584" s="10">
        <f t="shared" si="594"/>
        <v>0</v>
      </c>
      <c r="BN584" s="10">
        <f t="shared" si="594"/>
        <v>0</v>
      </c>
      <c r="BO584" s="10">
        <f t="shared" si="594"/>
        <v>0</v>
      </c>
      <c r="BP584" s="10">
        <f t="shared" si="594"/>
        <v>0</v>
      </c>
      <c r="BQ584" s="10">
        <f t="shared" si="594"/>
        <v>0</v>
      </c>
      <c r="BR584" s="10">
        <f t="shared" si="594"/>
        <v>0</v>
      </c>
      <c r="BS584" s="10">
        <f t="shared" si="594"/>
        <v>0</v>
      </c>
      <c r="BT584" s="10">
        <f t="shared" si="594"/>
        <v>0</v>
      </c>
      <c r="BU584" s="10">
        <f t="shared" si="594"/>
        <v>0</v>
      </c>
      <c r="BV584" s="10">
        <f t="shared" si="594"/>
        <v>0</v>
      </c>
      <c r="BX584" s="10">
        <f t="shared" ref="BX584:CI584" si="595">BX$182</f>
        <v>0</v>
      </c>
      <c r="BY584" s="10">
        <f t="shared" si="595"/>
        <v>0</v>
      </c>
      <c r="BZ584" s="10">
        <f t="shared" si="595"/>
        <v>0</v>
      </c>
      <c r="CA584" s="10">
        <f t="shared" si="595"/>
        <v>0</v>
      </c>
      <c r="CB584" s="10">
        <f t="shared" si="595"/>
        <v>0</v>
      </c>
      <c r="CC584" s="10">
        <f t="shared" si="595"/>
        <v>0</v>
      </c>
      <c r="CD584" s="10">
        <f t="shared" si="595"/>
        <v>0</v>
      </c>
      <c r="CE584" s="10">
        <f t="shared" si="595"/>
        <v>0</v>
      </c>
      <c r="CF584" s="10">
        <f t="shared" si="595"/>
        <v>0</v>
      </c>
      <c r="CG584" s="10">
        <f t="shared" si="595"/>
        <v>0</v>
      </c>
      <c r="CH584" s="10">
        <f t="shared" si="595"/>
        <v>0</v>
      </c>
      <c r="CI584" s="10">
        <f t="shared" si="595"/>
        <v>0</v>
      </c>
      <c r="CK584" s="11"/>
      <c r="CM584" s="11"/>
      <c r="DF584" s="11"/>
      <c r="EY584" s="10" t="str">
        <f t="shared" si="559"/>
        <v/>
      </c>
    </row>
    <row r="585" spans="1:155" x14ac:dyDescent="0.35">
      <c r="B585" s="69" t="str" cm="1">
        <f t="array" aca="1" ref="B585" ca="1">HYPERLINK(CONCATENATE("#",CELL("address",$D$189)),$D$189)</f>
        <v>Loan 8</v>
      </c>
      <c r="C585" s="211"/>
      <c r="D585" s="49">
        <f>D$20</f>
        <v>0</v>
      </c>
      <c r="E585" s="49" t="str">
        <f>F$20</f>
        <v/>
      </c>
      <c r="F585" s="49"/>
      <c r="H585" s="9" t="s">
        <v>1074</v>
      </c>
      <c r="I585" s="40" t="s">
        <v>1079</v>
      </c>
      <c r="V585" s="133">
        <f>V$201</f>
        <v>0</v>
      </c>
      <c r="W585" s="10">
        <f>W$201</f>
        <v>0</v>
      </c>
      <c r="X585" s="10">
        <f>X$201</f>
        <v>0</v>
      </c>
      <c r="Y585" s="10">
        <f>Y$201</f>
        <v>0</v>
      </c>
      <c r="AA585" s="10">
        <f t="shared" ref="AA585:BV585" si="596">AA$201</f>
        <v>0</v>
      </c>
      <c r="AB585" s="10">
        <f t="shared" si="596"/>
        <v>0</v>
      </c>
      <c r="AC585" s="10">
        <f t="shared" si="596"/>
        <v>0</v>
      </c>
      <c r="AD585" s="10">
        <f t="shared" si="596"/>
        <v>0</v>
      </c>
      <c r="AE585" s="10">
        <f t="shared" si="596"/>
        <v>0</v>
      </c>
      <c r="AF585" s="10">
        <f t="shared" si="596"/>
        <v>0</v>
      </c>
      <c r="AG585" s="10">
        <f t="shared" si="596"/>
        <v>0</v>
      </c>
      <c r="AH585" s="10">
        <f t="shared" si="596"/>
        <v>0</v>
      </c>
      <c r="AI585" s="10">
        <f t="shared" si="596"/>
        <v>0</v>
      </c>
      <c r="AJ585" s="10">
        <f t="shared" si="596"/>
        <v>0</v>
      </c>
      <c r="AK585" s="10">
        <f t="shared" si="596"/>
        <v>0</v>
      </c>
      <c r="AL585" s="10">
        <f t="shared" si="596"/>
        <v>0</v>
      </c>
      <c r="AM585" s="10">
        <f t="shared" si="596"/>
        <v>0</v>
      </c>
      <c r="AN585" s="10">
        <f t="shared" si="596"/>
        <v>0</v>
      </c>
      <c r="AO585" s="10">
        <f t="shared" si="596"/>
        <v>0</v>
      </c>
      <c r="AP585" s="10">
        <f t="shared" si="596"/>
        <v>0</v>
      </c>
      <c r="AQ585" s="10">
        <f t="shared" si="596"/>
        <v>0</v>
      </c>
      <c r="AR585" s="10">
        <f t="shared" si="596"/>
        <v>0</v>
      </c>
      <c r="AS585" s="10">
        <f t="shared" si="596"/>
        <v>0</v>
      </c>
      <c r="AT585" s="10">
        <f t="shared" si="596"/>
        <v>0</v>
      </c>
      <c r="AU585" s="10">
        <f t="shared" si="596"/>
        <v>0</v>
      </c>
      <c r="AV585" s="10">
        <f t="shared" si="596"/>
        <v>0</v>
      </c>
      <c r="AW585" s="10">
        <f t="shared" si="596"/>
        <v>0</v>
      </c>
      <c r="AX585" s="10">
        <f t="shared" si="596"/>
        <v>0</v>
      </c>
      <c r="AY585" s="10">
        <f t="shared" si="596"/>
        <v>0</v>
      </c>
      <c r="AZ585" s="10">
        <f t="shared" si="596"/>
        <v>0</v>
      </c>
      <c r="BA585" s="10">
        <f t="shared" si="596"/>
        <v>0</v>
      </c>
      <c r="BB585" s="10">
        <f t="shared" si="596"/>
        <v>0</v>
      </c>
      <c r="BC585" s="10">
        <f t="shared" si="596"/>
        <v>0</v>
      </c>
      <c r="BD585" s="10">
        <f t="shared" si="596"/>
        <v>0</v>
      </c>
      <c r="BE585" s="10">
        <f t="shared" si="596"/>
        <v>0</v>
      </c>
      <c r="BF585" s="10">
        <f t="shared" si="596"/>
        <v>0</v>
      </c>
      <c r="BG585" s="10">
        <f t="shared" si="596"/>
        <v>0</v>
      </c>
      <c r="BH585" s="10">
        <f t="shared" si="596"/>
        <v>0</v>
      </c>
      <c r="BI585" s="10">
        <f t="shared" si="596"/>
        <v>0</v>
      </c>
      <c r="BJ585" s="10">
        <f t="shared" si="596"/>
        <v>0</v>
      </c>
      <c r="BK585" s="10">
        <f t="shared" si="596"/>
        <v>0</v>
      </c>
      <c r="BL585" s="10">
        <f t="shared" si="596"/>
        <v>0</v>
      </c>
      <c r="BM585" s="10">
        <f t="shared" si="596"/>
        <v>0</v>
      </c>
      <c r="BN585" s="10">
        <f t="shared" si="596"/>
        <v>0</v>
      </c>
      <c r="BO585" s="10">
        <f t="shared" si="596"/>
        <v>0</v>
      </c>
      <c r="BP585" s="10">
        <f t="shared" si="596"/>
        <v>0</v>
      </c>
      <c r="BQ585" s="10">
        <f t="shared" si="596"/>
        <v>0</v>
      </c>
      <c r="BR585" s="10">
        <f t="shared" si="596"/>
        <v>0</v>
      </c>
      <c r="BS585" s="10">
        <f t="shared" si="596"/>
        <v>0</v>
      </c>
      <c r="BT585" s="10">
        <f t="shared" si="596"/>
        <v>0</v>
      </c>
      <c r="BU585" s="10">
        <f t="shared" si="596"/>
        <v>0</v>
      </c>
      <c r="BV585" s="10">
        <f t="shared" si="596"/>
        <v>0</v>
      </c>
      <c r="BX585" s="10">
        <f t="shared" ref="BX585:CI585" si="597">BX$201</f>
        <v>0</v>
      </c>
      <c r="BY585" s="10">
        <f t="shared" si="597"/>
        <v>0</v>
      </c>
      <c r="BZ585" s="10">
        <f t="shared" si="597"/>
        <v>0</v>
      </c>
      <c r="CA585" s="10">
        <f t="shared" si="597"/>
        <v>0</v>
      </c>
      <c r="CB585" s="10">
        <f t="shared" si="597"/>
        <v>0</v>
      </c>
      <c r="CC585" s="10">
        <f t="shared" si="597"/>
        <v>0</v>
      </c>
      <c r="CD585" s="10">
        <f t="shared" si="597"/>
        <v>0</v>
      </c>
      <c r="CE585" s="10">
        <f t="shared" si="597"/>
        <v>0</v>
      </c>
      <c r="CF585" s="10">
        <f t="shared" si="597"/>
        <v>0</v>
      </c>
      <c r="CG585" s="10">
        <f t="shared" si="597"/>
        <v>0</v>
      </c>
      <c r="CH585" s="10">
        <f t="shared" si="597"/>
        <v>0</v>
      </c>
      <c r="CI585" s="10">
        <f t="shared" si="597"/>
        <v>0</v>
      </c>
      <c r="CK585" s="11"/>
      <c r="CM585" s="11"/>
      <c r="DF585" s="11"/>
      <c r="EY585" s="10" t="str">
        <f t="shared" si="559"/>
        <v/>
      </c>
    </row>
    <row r="586" spans="1:155" x14ac:dyDescent="0.35">
      <c r="B586" s="69" t="str" cm="1">
        <f t="array" aca="1" ref="B586" ca="1">HYPERLINK(CONCATENATE("#",CELL("address",$D$208)),$D$208)</f>
        <v>Loan 9</v>
      </c>
      <c r="C586" s="211"/>
      <c r="D586" s="49">
        <f>D$21</f>
        <v>0</v>
      </c>
      <c r="E586" s="49" t="str">
        <f>F$21</f>
        <v/>
      </c>
      <c r="F586" s="49"/>
      <c r="H586" s="9" t="s">
        <v>1074</v>
      </c>
      <c r="I586" s="40" t="s">
        <v>1079</v>
      </c>
      <c r="V586" s="133">
        <f>V$220</f>
        <v>0</v>
      </c>
      <c r="W586" s="10">
        <f>W$220</f>
        <v>0</v>
      </c>
      <c r="X586" s="10">
        <f>X$220</f>
        <v>0</v>
      </c>
      <c r="Y586" s="10">
        <f>Y$220</f>
        <v>0</v>
      </c>
      <c r="AA586" s="10">
        <f t="shared" ref="AA586:BV586" si="598">AA$220</f>
        <v>0</v>
      </c>
      <c r="AB586" s="10">
        <f t="shared" si="598"/>
        <v>0</v>
      </c>
      <c r="AC586" s="10">
        <f t="shared" si="598"/>
        <v>0</v>
      </c>
      <c r="AD586" s="10">
        <f t="shared" si="598"/>
        <v>0</v>
      </c>
      <c r="AE586" s="10">
        <f t="shared" si="598"/>
        <v>0</v>
      </c>
      <c r="AF586" s="10">
        <f t="shared" si="598"/>
        <v>0</v>
      </c>
      <c r="AG586" s="10">
        <f t="shared" si="598"/>
        <v>0</v>
      </c>
      <c r="AH586" s="10">
        <f t="shared" si="598"/>
        <v>0</v>
      </c>
      <c r="AI586" s="10">
        <f t="shared" si="598"/>
        <v>0</v>
      </c>
      <c r="AJ586" s="10">
        <f t="shared" si="598"/>
        <v>0</v>
      </c>
      <c r="AK586" s="10">
        <f t="shared" si="598"/>
        <v>0</v>
      </c>
      <c r="AL586" s="10">
        <f t="shared" si="598"/>
        <v>0</v>
      </c>
      <c r="AM586" s="10">
        <f t="shared" si="598"/>
        <v>0</v>
      </c>
      <c r="AN586" s="10">
        <f t="shared" si="598"/>
        <v>0</v>
      </c>
      <c r="AO586" s="10">
        <f t="shared" si="598"/>
        <v>0</v>
      </c>
      <c r="AP586" s="10">
        <f t="shared" si="598"/>
        <v>0</v>
      </c>
      <c r="AQ586" s="10">
        <f t="shared" si="598"/>
        <v>0</v>
      </c>
      <c r="AR586" s="10">
        <f t="shared" si="598"/>
        <v>0</v>
      </c>
      <c r="AS586" s="10">
        <f t="shared" si="598"/>
        <v>0</v>
      </c>
      <c r="AT586" s="10">
        <f t="shared" si="598"/>
        <v>0</v>
      </c>
      <c r="AU586" s="10">
        <f t="shared" si="598"/>
        <v>0</v>
      </c>
      <c r="AV586" s="10">
        <f t="shared" si="598"/>
        <v>0</v>
      </c>
      <c r="AW586" s="10">
        <f t="shared" si="598"/>
        <v>0</v>
      </c>
      <c r="AX586" s="10">
        <f t="shared" si="598"/>
        <v>0</v>
      </c>
      <c r="AY586" s="10">
        <f t="shared" si="598"/>
        <v>0</v>
      </c>
      <c r="AZ586" s="10">
        <f t="shared" si="598"/>
        <v>0</v>
      </c>
      <c r="BA586" s="10">
        <f t="shared" si="598"/>
        <v>0</v>
      </c>
      <c r="BB586" s="10">
        <f t="shared" si="598"/>
        <v>0</v>
      </c>
      <c r="BC586" s="10">
        <f t="shared" si="598"/>
        <v>0</v>
      </c>
      <c r="BD586" s="10">
        <f t="shared" si="598"/>
        <v>0</v>
      </c>
      <c r="BE586" s="10">
        <f t="shared" si="598"/>
        <v>0</v>
      </c>
      <c r="BF586" s="10">
        <f t="shared" si="598"/>
        <v>0</v>
      </c>
      <c r="BG586" s="10">
        <f t="shared" si="598"/>
        <v>0</v>
      </c>
      <c r="BH586" s="10">
        <f t="shared" si="598"/>
        <v>0</v>
      </c>
      <c r="BI586" s="10">
        <f t="shared" si="598"/>
        <v>0</v>
      </c>
      <c r="BJ586" s="10">
        <f t="shared" si="598"/>
        <v>0</v>
      </c>
      <c r="BK586" s="10">
        <f t="shared" si="598"/>
        <v>0</v>
      </c>
      <c r="BL586" s="10">
        <f t="shared" si="598"/>
        <v>0</v>
      </c>
      <c r="BM586" s="10">
        <f t="shared" si="598"/>
        <v>0</v>
      </c>
      <c r="BN586" s="10">
        <f t="shared" si="598"/>
        <v>0</v>
      </c>
      <c r="BO586" s="10">
        <f t="shared" si="598"/>
        <v>0</v>
      </c>
      <c r="BP586" s="10">
        <f t="shared" si="598"/>
        <v>0</v>
      </c>
      <c r="BQ586" s="10">
        <f t="shared" si="598"/>
        <v>0</v>
      </c>
      <c r="BR586" s="10">
        <f t="shared" si="598"/>
        <v>0</v>
      </c>
      <c r="BS586" s="10">
        <f t="shared" si="598"/>
        <v>0</v>
      </c>
      <c r="BT586" s="10">
        <f t="shared" si="598"/>
        <v>0</v>
      </c>
      <c r="BU586" s="10">
        <f t="shared" si="598"/>
        <v>0</v>
      </c>
      <c r="BV586" s="10">
        <f t="shared" si="598"/>
        <v>0</v>
      </c>
      <c r="BX586" s="10">
        <f t="shared" ref="BX586:CI586" si="599">BX$220</f>
        <v>0</v>
      </c>
      <c r="BY586" s="10">
        <f t="shared" si="599"/>
        <v>0</v>
      </c>
      <c r="BZ586" s="10">
        <f t="shared" si="599"/>
        <v>0</v>
      </c>
      <c r="CA586" s="10">
        <f t="shared" si="599"/>
        <v>0</v>
      </c>
      <c r="CB586" s="10">
        <f t="shared" si="599"/>
        <v>0</v>
      </c>
      <c r="CC586" s="10">
        <f t="shared" si="599"/>
        <v>0</v>
      </c>
      <c r="CD586" s="10">
        <f t="shared" si="599"/>
        <v>0</v>
      </c>
      <c r="CE586" s="10">
        <f t="shared" si="599"/>
        <v>0</v>
      </c>
      <c r="CF586" s="10">
        <f t="shared" si="599"/>
        <v>0</v>
      </c>
      <c r="CG586" s="10">
        <f t="shared" si="599"/>
        <v>0</v>
      </c>
      <c r="CH586" s="10">
        <f t="shared" si="599"/>
        <v>0</v>
      </c>
      <c r="CI586" s="10">
        <f t="shared" si="599"/>
        <v>0</v>
      </c>
      <c r="CK586" s="11"/>
      <c r="CM586" s="11"/>
      <c r="DF586" s="11"/>
      <c r="EY586" s="10" t="str">
        <f t="shared" si="559"/>
        <v/>
      </c>
    </row>
    <row r="587" spans="1:155" x14ac:dyDescent="0.35">
      <c r="B587" s="69" t="str" cm="1">
        <f t="array" aca="1" ref="B587" ca="1">HYPERLINK(CONCATENATE("#",CELL("address",$D$227)),$D$227)</f>
        <v>Loan 10</v>
      </c>
      <c r="C587" s="211"/>
      <c r="D587" s="49">
        <f>D$22</f>
        <v>0</v>
      </c>
      <c r="E587" s="49" t="str">
        <f>F$22</f>
        <v/>
      </c>
      <c r="F587" s="49"/>
      <c r="H587" s="9" t="s">
        <v>1074</v>
      </c>
      <c r="I587" s="40" t="s">
        <v>1079</v>
      </c>
      <c r="V587" s="133">
        <f>V$239</f>
        <v>0</v>
      </c>
      <c r="W587" s="10">
        <f>W$239</f>
        <v>0</v>
      </c>
      <c r="X587" s="10">
        <f>X$239</f>
        <v>0</v>
      </c>
      <c r="Y587" s="10">
        <f>Y$239</f>
        <v>0</v>
      </c>
      <c r="AA587" s="10">
        <f t="shared" ref="AA587:BV587" si="600">AA$239</f>
        <v>0</v>
      </c>
      <c r="AB587" s="10">
        <f t="shared" si="600"/>
        <v>0</v>
      </c>
      <c r="AC587" s="10">
        <f t="shared" si="600"/>
        <v>0</v>
      </c>
      <c r="AD587" s="10">
        <f t="shared" si="600"/>
        <v>0</v>
      </c>
      <c r="AE587" s="10">
        <f t="shared" si="600"/>
        <v>0</v>
      </c>
      <c r="AF587" s="10">
        <f t="shared" si="600"/>
        <v>0</v>
      </c>
      <c r="AG587" s="10">
        <f t="shared" si="600"/>
        <v>0</v>
      </c>
      <c r="AH587" s="10">
        <f t="shared" si="600"/>
        <v>0</v>
      </c>
      <c r="AI587" s="10">
        <f t="shared" si="600"/>
        <v>0</v>
      </c>
      <c r="AJ587" s="10">
        <f t="shared" si="600"/>
        <v>0</v>
      </c>
      <c r="AK587" s="10">
        <f t="shared" si="600"/>
        <v>0</v>
      </c>
      <c r="AL587" s="10">
        <f t="shared" si="600"/>
        <v>0</v>
      </c>
      <c r="AM587" s="10">
        <f t="shared" si="600"/>
        <v>0</v>
      </c>
      <c r="AN587" s="10">
        <f t="shared" si="600"/>
        <v>0</v>
      </c>
      <c r="AO587" s="10">
        <f t="shared" si="600"/>
        <v>0</v>
      </c>
      <c r="AP587" s="10">
        <f t="shared" si="600"/>
        <v>0</v>
      </c>
      <c r="AQ587" s="10">
        <f t="shared" si="600"/>
        <v>0</v>
      </c>
      <c r="AR587" s="10">
        <f t="shared" si="600"/>
        <v>0</v>
      </c>
      <c r="AS587" s="10">
        <f t="shared" si="600"/>
        <v>0</v>
      </c>
      <c r="AT587" s="10">
        <f t="shared" si="600"/>
        <v>0</v>
      </c>
      <c r="AU587" s="10">
        <f t="shared" si="600"/>
        <v>0</v>
      </c>
      <c r="AV587" s="10">
        <f t="shared" si="600"/>
        <v>0</v>
      </c>
      <c r="AW587" s="10">
        <f t="shared" si="600"/>
        <v>0</v>
      </c>
      <c r="AX587" s="10">
        <f t="shared" si="600"/>
        <v>0</v>
      </c>
      <c r="AY587" s="10">
        <f t="shared" si="600"/>
        <v>0</v>
      </c>
      <c r="AZ587" s="10">
        <f t="shared" si="600"/>
        <v>0</v>
      </c>
      <c r="BA587" s="10">
        <f t="shared" si="600"/>
        <v>0</v>
      </c>
      <c r="BB587" s="10">
        <f t="shared" si="600"/>
        <v>0</v>
      </c>
      <c r="BC587" s="10">
        <f t="shared" si="600"/>
        <v>0</v>
      </c>
      <c r="BD587" s="10">
        <f t="shared" si="600"/>
        <v>0</v>
      </c>
      <c r="BE587" s="10">
        <f t="shared" si="600"/>
        <v>0</v>
      </c>
      <c r="BF587" s="10">
        <f t="shared" si="600"/>
        <v>0</v>
      </c>
      <c r="BG587" s="10">
        <f t="shared" si="600"/>
        <v>0</v>
      </c>
      <c r="BH587" s="10">
        <f t="shared" si="600"/>
        <v>0</v>
      </c>
      <c r="BI587" s="10">
        <f t="shared" si="600"/>
        <v>0</v>
      </c>
      <c r="BJ587" s="10">
        <f t="shared" si="600"/>
        <v>0</v>
      </c>
      <c r="BK587" s="10">
        <f t="shared" si="600"/>
        <v>0</v>
      </c>
      <c r="BL587" s="10">
        <f t="shared" si="600"/>
        <v>0</v>
      </c>
      <c r="BM587" s="10">
        <f t="shared" si="600"/>
        <v>0</v>
      </c>
      <c r="BN587" s="10">
        <f t="shared" si="600"/>
        <v>0</v>
      </c>
      <c r="BO587" s="10">
        <f t="shared" si="600"/>
        <v>0</v>
      </c>
      <c r="BP587" s="10">
        <f t="shared" si="600"/>
        <v>0</v>
      </c>
      <c r="BQ587" s="10">
        <f t="shared" si="600"/>
        <v>0</v>
      </c>
      <c r="BR587" s="10">
        <f t="shared" si="600"/>
        <v>0</v>
      </c>
      <c r="BS587" s="10">
        <f t="shared" si="600"/>
        <v>0</v>
      </c>
      <c r="BT587" s="10">
        <f t="shared" si="600"/>
        <v>0</v>
      </c>
      <c r="BU587" s="10">
        <f t="shared" si="600"/>
        <v>0</v>
      </c>
      <c r="BV587" s="10">
        <f t="shared" si="600"/>
        <v>0</v>
      </c>
      <c r="BX587" s="10">
        <f t="shared" ref="BX587:CI587" si="601">BX$239</f>
        <v>0</v>
      </c>
      <c r="BY587" s="10">
        <f t="shared" si="601"/>
        <v>0</v>
      </c>
      <c r="BZ587" s="10">
        <f t="shared" si="601"/>
        <v>0</v>
      </c>
      <c r="CA587" s="10">
        <f t="shared" si="601"/>
        <v>0</v>
      </c>
      <c r="CB587" s="10">
        <f t="shared" si="601"/>
        <v>0</v>
      </c>
      <c r="CC587" s="10">
        <f t="shared" si="601"/>
        <v>0</v>
      </c>
      <c r="CD587" s="10">
        <f t="shared" si="601"/>
        <v>0</v>
      </c>
      <c r="CE587" s="10">
        <f t="shared" si="601"/>
        <v>0</v>
      </c>
      <c r="CF587" s="10">
        <f t="shared" si="601"/>
        <v>0</v>
      </c>
      <c r="CG587" s="10">
        <f t="shared" si="601"/>
        <v>0</v>
      </c>
      <c r="CH587" s="10">
        <f t="shared" si="601"/>
        <v>0</v>
      </c>
      <c r="CI587" s="10">
        <f t="shared" si="601"/>
        <v>0</v>
      </c>
      <c r="CK587" s="11"/>
      <c r="CM587" s="11"/>
      <c r="DF587" s="11"/>
      <c r="EY587" s="10" t="str">
        <f t="shared" si="559"/>
        <v/>
      </c>
    </row>
    <row r="588" spans="1:155" x14ac:dyDescent="0.35">
      <c r="B588" s="69" t="str" cm="1">
        <f t="array" aca="1" ref="B588" ca="1">HYPERLINK(CONCATENATE("#",CELL("address",$D$246)),$D$246)</f>
        <v>Loan 11</v>
      </c>
      <c r="C588" s="211"/>
      <c r="D588" s="49">
        <f>D$23</f>
        <v>0</v>
      </c>
      <c r="E588" s="49" t="str">
        <f>F$23</f>
        <v/>
      </c>
      <c r="F588" s="49"/>
      <c r="H588" s="9" t="s">
        <v>1074</v>
      </c>
      <c r="I588" s="40" t="s">
        <v>1079</v>
      </c>
      <c r="V588" s="133">
        <f>V$258</f>
        <v>0</v>
      </c>
      <c r="W588" s="10">
        <f>W$258</f>
        <v>0</v>
      </c>
      <c r="X588" s="10">
        <f>X$258</f>
        <v>0</v>
      </c>
      <c r="Y588" s="10">
        <f>Y$258</f>
        <v>0</v>
      </c>
      <c r="AA588" s="10">
        <f t="shared" ref="AA588:BV588" si="602">AA$258</f>
        <v>0</v>
      </c>
      <c r="AB588" s="10">
        <f t="shared" si="602"/>
        <v>0</v>
      </c>
      <c r="AC588" s="10">
        <f t="shared" si="602"/>
        <v>0</v>
      </c>
      <c r="AD588" s="10">
        <f t="shared" si="602"/>
        <v>0</v>
      </c>
      <c r="AE588" s="10">
        <f t="shared" si="602"/>
        <v>0</v>
      </c>
      <c r="AF588" s="10">
        <f t="shared" si="602"/>
        <v>0</v>
      </c>
      <c r="AG588" s="10">
        <f t="shared" si="602"/>
        <v>0</v>
      </c>
      <c r="AH588" s="10">
        <f t="shared" si="602"/>
        <v>0</v>
      </c>
      <c r="AI588" s="10">
        <f t="shared" si="602"/>
        <v>0</v>
      </c>
      <c r="AJ588" s="10">
        <f t="shared" si="602"/>
        <v>0</v>
      </c>
      <c r="AK588" s="10">
        <f t="shared" si="602"/>
        <v>0</v>
      </c>
      <c r="AL588" s="10">
        <f t="shared" si="602"/>
        <v>0</v>
      </c>
      <c r="AM588" s="10">
        <f t="shared" si="602"/>
        <v>0</v>
      </c>
      <c r="AN588" s="10">
        <f t="shared" si="602"/>
        <v>0</v>
      </c>
      <c r="AO588" s="10">
        <f t="shared" si="602"/>
        <v>0</v>
      </c>
      <c r="AP588" s="10">
        <f t="shared" si="602"/>
        <v>0</v>
      </c>
      <c r="AQ588" s="10">
        <f t="shared" si="602"/>
        <v>0</v>
      </c>
      <c r="AR588" s="10">
        <f t="shared" si="602"/>
        <v>0</v>
      </c>
      <c r="AS588" s="10">
        <f t="shared" si="602"/>
        <v>0</v>
      </c>
      <c r="AT588" s="10">
        <f t="shared" si="602"/>
        <v>0</v>
      </c>
      <c r="AU588" s="10">
        <f t="shared" si="602"/>
        <v>0</v>
      </c>
      <c r="AV588" s="10">
        <f t="shared" si="602"/>
        <v>0</v>
      </c>
      <c r="AW588" s="10">
        <f t="shared" si="602"/>
        <v>0</v>
      </c>
      <c r="AX588" s="10">
        <f t="shared" si="602"/>
        <v>0</v>
      </c>
      <c r="AY588" s="10">
        <f t="shared" si="602"/>
        <v>0</v>
      </c>
      <c r="AZ588" s="10">
        <f t="shared" si="602"/>
        <v>0</v>
      </c>
      <c r="BA588" s="10">
        <f t="shared" si="602"/>
        <v>0</v>
      </c>
      <c r="BB588" s="10">
        <f t="shared" si="602"/>
        <v>0</v>
      </c>
      <c r="BC588" s="10">
        <f t="shared" si="602"/>
        <v>0</v>
      </c>
      <c r="BD588" s="10">
        <f t="shared" si="602"/>
        <v>0</v>
      </c>
      <c r="BE588" s="10">
        <f t="shared" si="602"/>
        <v>0</v>
      </c>
      <c r="BF588" s="10">
        <f t="shared" si="602"/>
        <v>0</v>
      </c>
      <c r="BG588" s="10">
        <f t="shared" si="602"/>
        <v>0</v>
      </c>
      <c r="BH588" s="10">
        <f t="shared" si="602"/>
        <v>0</v>
      </c>
      <c r="BI588" s="10">
        <f t="shared" si="602"/>
        <v>0</v>
      </c>
      <c r="BJ588" s="10">
        <f t="shared" si="602"/>
        <v>0</v>
      </c>
      <c r="BK588" s="10">
        <f t="shared" si="602"/>
        <v>0</v>
      </c>
      <c r="BL588" s="10">
        <f t="shared" si="602"/>
        <v>0</v>
      </c>
      <c r="BM588" s="10">
        <f t="shared" si="602"/>
        <v>0</v>
      </c>
      <c r="BN588" s="10">
        <f t="shared" si="602"/>
        <v>0</v>
      </c>
      <c r="BO588" s="10">
        <f t="shared" si="602"/>
        <v>0</v>
      </c>
      <c r="BP588" s="10">
        <f t="shared" si="602"/>
        <v>0</v>
      </c>
      <c r="BQ588" s="10">
        <f t="shared" si="602"/>
        <v>0</v>
      </c>
      <c r="BR588" s="10">
        <f t="shared" si="602"/>
        <v>0</v>
      </c>
      <c r="BS588" s="10">
        <f t="shared" si="602"/>
        <v>0</v>
      </c>
      <c r="BT588" s="10">
        <f t="shared" si="602"/>
        <v>0</v>
      </c>
      <c r="BU588" s="10">
        <f t="shared" si="602"/>
        <v>0</v>
      </c>
      <c r="BV588" s="10">
        <f t="shared" si="602"/>
        <v>0</v>
      </c>
      <c r="BX588" s="10">
        <f t="shared" ref="BX588:CI588" si="603">BX$258</f>
        <v>0</v>
      </c>
      <c r="BY588" s="10">
        <f t="shared" si="603"/>
        <v>0</v>
      </c>
      <c r="BZ588" s="10">
        <f t="shared" si="603"/>
        <v>0</v>
      </c>
      <c r="CA588" s="10">
        <f t="shared" si="603"/>
        <v>0</v>
      </c>
      <c r="CB588" s="10">
        <f t="shared" si="603"/>
        <v>0</v>
      </c>
      <c r="CC588" s="10">
        <f t="shared" si="603"/>
        <v>0</v>
      </c>
      <c r="CD588" s="10">
        <f t="shared" si="603"/>
        <v>0</v>
      </c>
      <c r="CE588" s="10">
        <f t="shared" si="603"/>
        <v>0</v>
      </c>
      <c r="CF588" s="10">
        <f t="shared" si="603"/>
        <v>0</v>
      </c>
      <c r="CG588" s="10">
        <f t="shared" si="603"/>
        <v>0</v>
      </c>
      <c r="CH588" s="10">
        <f t="shared" si="603"/>
        <v>0</v>
      </c>
      <c r="CI588" s="10">
        <f t="shared" si="603"/>
        <v>0</v>
      </c>
      <c r="CK588" s="11"/>
      <c r="CM588" s="11"/>
      <c r="DF588" s="11"/>
      <c r="EY588" s="10" t="str">
        <f t="shared" si="559"/>
        <v/>
      </c>
    </row>
    <row r="589" spans="1:155" x14ac:dyDescent="0.35">
      <c r="B589" s="69" t="str" cm="1">
        <f t="array" aca="1" ref="B589" ca="1">HYPERLINK(CONCATENATE("#",CELL("address",$D$265)),$D$265)</f>
        <v>Loan 12</v>
      </c>
      <c r="C589" s="211"/>
      <c r="D589" s="49">
        <f>D$24</f>
        <v>0</v>
      </c>
      <c r="E589" s="49" t="str">
        <f>F$24</f>
        <v/>
      </c>
      <c r="F589" s="49"/>
      <c r="H589" s="9" t="s">
        <v>1074</v>
      </c>
      <c r="I589" s="40" t="s">
        <v>1079</v>
      </c>
      <c r="V589" s="133">
        <f>V$277</f>
        <v>0</v>
      </c>
      <c r="W589" s="10">
        <f>W$277</f>
        <v>0</v>
      </c>
      <c r="X589" s="10">
        <f>X$277</f>
        <v>0</v>
      </c>
      <c r="Y589" s="10">
        <f>Y$277</f>
        <v>0</v>
      </c>
      <c r="AA589" s="10">
        <f t="shared" ref="AA589:BV589" si="604">AA$277</f>
        <v>0</v>
      </c>
      <c r="AB589" s="10">
        <f t="shared" si="604"/>
        <v>0</v>
      </c>
      <c r="AC589" s="10">
        <f t="shared" si="604"/>
        <v>0</v>
      </c>
      <c r="AD589" s="10">
        <f t="shared" si="604"/>
        <v>0</v>
      </c>
      <c r="AE589" s="10">
        <f t="shared" si="604"/>
        <v>0</v>
      </c>
      <c r="AF589" s="10">
        <f t="shared" si="604"/>
        <v>0</v>
      </c>
      <c r="AG589" s="10">
        <f t="shared" si="604"/>
        <v>0</v>
      </c>
      <c r="AH589" s="10">
        <f t="shared" si="604"/>
        <v>0</v>
      </c>
      <c r="AI589" s="10">
        <f t="shared" si="604"/>
        <v>0</v>
      </c>
      <c r="AJ589" s="10">
        <f t="shared" si="604"/>
        <v>0</v>
      </c>
      <c r="AK589" s="10">
        <f t="shared" si="604"/>
        <v>0</v>
      </c>
      <c r="AL589" s="10">
        <f t="shared" si="604"/>
        <v>0</v>
      </c>
      <c r="AM589" s="10">
        <f t="shared" si="604"/>
        <v>0</v>
      </c>
      <c r="AN589" s="10">
        <f t="shared" si="604"/>
        <v>0</v>
      </c>
      <c r="AO589" s="10">
        <f t="shared" si="604"/>
        <v>0</v>
      </c>
      <c r="AP589" s="10">
        <f t="shared" si="604"/>
        <v>0</v>
      </c>
      <c r="AQ589" s="10">
        <f t="shared" si="604"/>
        <v>0</v>
      </c>
      <c r="AR589" s="10">
        <f t="shared" si="604"/>
        <v>0</v>
      </c>
      <c r="AS589" s="10">
        <f t="shared" si="604"/>
        <v>0</v>
      </c>
      <c r="AT589" s="10">
        <f t="shared" si="604"/>
        <v>0</v>
      </c>
      <c r="AU589" s="10">
        <f t="shared" si="604"/>
        <v>0</v>
      </c>
      <c r="AV589" s="10">
        <f t="shared" si="604"/>
        <v>0</v>
      </c>
      <c r="AW589" s="10">
        <f t="shared" si="604"/>
        <v>0</v>
      </c>
      <c r="AX589" s="10">
        <f t="shared" si="604"/>
        <v>0</v>
      </c>
      <c r="AY589" s="10">
        <f t="shared" si="604"/>
        <v>0</v>
      </c>
      <c r="AZ589" s="10">
        <f t="shared" si="604"/>
        <v>0</v>
      </c>
      <c r="BA589" s="10">
        <f t="shared" si="604"/>
        <v>0</v>
      </c>
      <c r="BB589" s="10">
        <f t="shared" si="604"/>
        <v>0</v>
      </c>
      <c r="BC589" s="10">
        <f t="shared" si="604"/>
        <v>0</v>
      </c>
      <c r="BD589" s="10">
        <f t="shared" si="604"/>
        <v>0</v>
      </c>
      <c r="BE589" s="10">
        <f t="shared" si="604"/>
        <v>0</v>
      </c>
      <c r="BF589" s="10">
        <f t="shared" si="604"/>
        <v>0</v>
      </c>
      <c r="BG589" s="10">
        <f t="shared" si="604"/>
        <v>0</v>
      </c>
      <c r="BH589" s="10">
        <f t="shared" si="604"/>
        <v>0</v>
      </c>
      <c r="BI589" s="10">
        <f t="shared" si="604"/>
        <v>0</v>
      </c>
      <c r="BJ589" s="10">
        <f t="shared" si="604"/>
        <v>0</v>
      </c>
      <c r="BK589" s="10">
        <f t="shared" si="604"/>
        <v>0</v>
      </c>
      <c r="BL589" s="10">
        <f t="shared" si="604"/>
        <v>0</v>
      </c>
      <c r="BM589" s="10">
        <f t="shared" si="604"/>
        <v>0</v>
      </c>
      <c r="BN589" s="10">
        <f t="shared" si="604"/>
        <v>0</v>
      </c>
      <c r="BO589" s="10">
        <f t="shared" si="604"/>
        <v>0</v>
      </c>
      <c r="BP589" s="10">
        <f t="shared" si="604"/>
        <v>0</v>
      </c>
      <c r="BQ589" s="10">
        <f t="shared" si="604"/>
        <v>0</v>
      </c>
      <c r="BR589" s="10">
        <f t="shared" si="604"/>
        <v>0</v>
      </c>
      <c r="BS589" s="10">
        <f t="shared" si="604"/>
        <v>0</v>
      </c>
      <c r="BT589" s="10">
        <f t="shared" si="604"/>
        <v>0</v>
      </c>
      <c r="BU589" s="10">
        <f t="shared" si="604"/>
        <v>0</v>
      </c>
      <c r="BV589" s="10">
        <f t="shared" si="604"/>
        <v>0</v>
      </c>
      <c r="BX589" s="10">
        <f t="shared" ref="BX589:CI589" si="605">BX$277</f>
        <v>0</v>
      </c>
      <c r="BY589" s="10">
        <f t="shared" si="605"/>
        <v>0</v>
      </c>
      <c r="BZ589" s="10">
        <f t="shared" si="605"/>
        <v>0</v>
      </c>
      <c r="CA589" s="10">
        <f t="shared" si="605"/>
        <v>0</v>
      </c>
      <c r="CB589" s="10">
        <f t="shared" si="605"/>
        <v>0</v>
      </c>
      <c r="CC589" s="10">
        <f t="shared" si="605"/>
        <v>0</v>
      </c>
      <c r="CD589" s="10">
        <f t="shared" si="605"/>
        <v>0</v>
      </c>
      <c r="CE589" s="10">
        <f t="shared" si="605"/>
        <v>0</v>
      </c>
      <c r="CF589" s="10">
        <f t="shared" si="605"/>
        <v>0</v>
      </c>
      <c r="CG589" s="10">
        <f t="shared" si="605"/>
        <v>0</v>
      </c>
      <c r="CH589" s="10">
        <f t="shared" si="605"/>
        <v>0</v>
      </c>
      <c r="CI589" s="10">
        <f t="shared" si="605"/>
        <v>0</v>
      </c>
      <c r="CK589" s="11"/>
      <c r="CM589" s="11"/>
      <c r="DF589" s="11"/>
      <c r="EY589" s="10" t="str">
        <f t="shared" si="559"/>
        <v/>
      </c>
    </row>
    <row r="590" spans="1:155" x14ac:dyDescent="0.35">
      <c r="B590" s="69" t="str" cm="1">
        <f t="array" aca="1" ref="B590" ca="1">HYPERLINK(CONCATENATE("#",CELL("address",$D$284)),$D$284)</f>
        <v>Loan 13</v>
      </c>
      <c r="C590" s="211"/>
      <c r="D590" s="49">
        <f>D$25</f>
        <v>0</v>
      </c>
      <c r="E590" s="49" t="str">
        <f>F$25</f>
        <v/>
      </c>
      <c r="F590" s="49"/>
      <c r="H590" s="9" t="s">
        <v>1074</v>
      </c>
      <c r="I590" s="40" t="s">
        <v>1079</v>
      </c>
      <c r="V590" s="133">
        <f>V$296</f>
        <v>0</v>
      </c>
      <c r="W590" s="10">
        <f>W$296</f>
        <v>0</v>
      </c>
      <c r="X590" s="10">
        <f>X$296</f>
        <v>0</v>
      </c>
      <c r="Y590" s="10">
        <f>Y$296</f>
        <v>0</v>
      </c>
      <c r="AA590" s="10">
        <f t="shared" ref="AA590:BV590" si="606">AA$296</f>
        <v>0</v>
      </c>
      <c r="AB590" s="10">
        <f t="shared" si="606"/>
        <v>0</v>
      </c>
      <c r="AC590" s="10">
        <f t="shared" si="606"/>
        <v>0</v>
      </c>
      <c r="AD590" s="10">
        <f t="shared" si="606"/>
        <v>0</v>
      </c>
      <c r="AE590" s="10">
        <f t="shared" si="606"/>
        <v>0</v>
      </c>
      <c r="AF590" s="10">
        <f t="shared" si="606"/>
        <v>0</v>
      </c>
      <c r="AG590" s="10">
        <f t="shared" si="606"/>
        <v>0</v>
      </c>
      <c r="AH590" s="10">
        <f t="shared" si="606"/>
        <v>0</v>
      </c>
      <c r="AI590" s="10">
        <f t="shared" si="606"/>
        <v>0</v>
      </c>
      <c r="AJ590" s="10">
        <f t="shared" si="606"/>
        <v>0</v>
      </c>
      <c r="AK590" s="10">
        <f t="shared" si="606"/>
        <v>0</v>
      </c>
      <c r="AL590" s="10">
        <f t="shared" si="606"/>
        <v>0</v>
      </c>
      <c r="AM590" s="10">
        <f t="shared" si="606"/>
        <v>0</v>
      </c>
      <c r="AN590" s="10">
        <f t="shared" si="606"/>
        <v>0</v>
      </c>
      <c r="AO590" s="10">
        <f t="shared" si="606"/>
        <v>0</v>
      </c>
      <c r="AP590" s="10">
        <f t="shared" si="606"/>
        <v>0</v>
      </c>
      <c r="AQ590" s="10">
        <f t="shared" si="606"/>
        <v>0</v>
      </c>
      <c r="AR590" s="10">
        <f t="shared" si="606"/>
        <v>0</v>
      </c>
      <c r="AS590" s="10">
        <f t="shared" si="606"/>
        <v>0</v>
      </c>
      <c r="AT590" s="10">
        <f t="shared" si="606"/>
        <v>0</v>
      </c>
      <c r="AU590" s="10">
        <f t="shared" si="606"/>
        <v>0</v>
      </c>
      <c r="AV590" s="10">
        <f t="shared" si="606"/>
        <v>0</v>
      </c>
      <c r="AW590" s="10">
        <f t="shared" si="606"/>
        <v>0</v>
      </c>
      <c r="AX590" s="10">
        <f t="shared" si="606"/>
        <v>0</v>
      </c>
      <c r="AY590" s="10">
        <f t="shared" si="606"/>
        <v>0</v>
      </c>
      <c r="AZ590" s="10">
        <f t="shared" si="606"/>
        <v>0</v>
      </c>
      <c r="BA590" s="10">
        <f t="shared" si="606"/>
        <v>0</v>
      </c>
      <c r="BB590" s="10">
        <f t="shared" si="606"/>
        <v>0</v>
      </c>
      <c r="BC590" s="10">
        <f t="shared" si="606"/>
        <v>0</v>
      </c>
      <c r="BD590" s="10">
        <f t="shared" si="606"/>
        <v>0</v>
      </c>
      <c r="BE590" s="10">
        <f t="shared" si="606"/>
        <v>0</v>
      </c>
      <c r="BF590" s="10">
        <f t="shared" si="606"/>
        <v>0</v>
      </c>
      <c r="BG590" s="10">
        <f t="shared" si="606"/>
        <v>0</v>
      </c>
      <c r="BH590" s="10">
        <f t="shared" si="606"/>
        <v>0</v>
      </c>
      <c r="BI590" s="10">
        <f t="shared" si="606"/>
        <v>0</v>
      </c>
      <c r="BJ590" s="10">
        <f t="shared" si="606"/>
        <v>0</v>
      </c>
      <c r="BK590" s="10">
        <f t="shared" si="606"/>
        <v>0</v>
      </c>
      <c r="BL590" s="10">
        <f t="shared" si="606"/>
        <v>0</v>
      </c>
      <c r="BM590" s="10">
        <f t="shared" si="606"/>
        <v>0</v>
      </c>
      <c r="BN590" s="10">
        <f t="shared" si="606"/>
        <v>0</v>
      </c>
      <c r="BO590" s="10">
        <f t="shared" si="606"/>
        <v>0</v>
      </c>
      <c r="BP590" s="10">
        <f t="shared" si="606"/>
        <v>0</v>
      </c>
      <c r="BQ590" s="10">
        <f t="shared" si="606"/>
        <v>0</v>
      </c>
      <c r="BR590" s="10">
        <f t="shared" si="606"/>
        <v>0</v>
      </c>
      <c r="BS590" s="10">
        <f t="shared" si="606"/>
        <v>0</v>
      </c>
      <c r="BT590" s="10">
        <f t="shared" si="606"/>
        <v>0</v>
      </c>
      <c r="BU590" s="10">
        <f t="shared" si="606"/>
        <v>0</v>
      </c>
      <c r="BV590" s="10">
        <f t="shared" si="606"/>
        <v>0</v>
      </c>
      <c r="BX590" s="10">
        <f t="shared" ref="BX590:CI590" si="607">BX$296</f>
        <v>0</v>
      </c>
      <c r="BY590" s="10">
        <f t="shared" si="607"/>
        <v>0</v>
      </c>
      <c r="BZ590" s="10">
        <f t="shared" si="607"/>
        <v>0</v>
      </c>
      <c r="CA590" s="10">
        <f t="shared" si="607"/>
        <v>0</v>
      </c>
      <c r="CB590" s="10">
        <f t="shared" si="607"/>
        <v>0</v>
      </c>
      <c r="CC590" s="10">
        <f t="shared" si="607"/>
        <v>0</v>
      </c>
      <c r="CD590" s="10">
        <f t="shared" si="607"/>
        <v>0</v>
      </c>
      <c r="CE590" s="10">
        <f t="shared" si="607"/>
        <v>0</v>
      </c>
      <c r="CF590" s="10">
        <f t="shared" si="607"/>
        <v>0</v>
      </c>
      <c r="CG590" s="10">
        <f t="shared" si="607"/>
        <v>0</v>
      </c>
      <c r="CH590" s="10">
        <f t="shared" si="607"/>
        <v>0</v>
      </c>
      <c r="CI590" s="10">
        <f t="shared" si="607"/>
        <v>0</v>
      </c>
      <c r="CK590" s="11"/>
      <c r="CM590" s="11"/>
      <c r="DF590" s="11"/>
      <c r="EY590" s="10" t="str">
        <f t="shared" si="559"/>
        <v/>
      </c>
    </row>
    <row r="591" spans="1:155" s="5" customFormat="1" x14ac:dyDescent="0.35">
      <c r="A591"/>
      <c r="B591" s="69" t="str" cm="1">
        <f t="array" aca="1" ref="B591" ca="1">HYPERLINK(CONCATENATE("#",CELL("address",$D$303)),$D$303)</f>
        <v>Loan 14</v>
      </c>
      <c r="C591" s="211"/>
      <c r="D591" s="49">
        <f>D$26</f>
        <v>0</v>
      </c>
      <c r="E591" s="49" t="str">
        <f>F$26</f>
        <v/>
      </c>
      <c r="F591" s="49"/>
      <c r="G591"/>
      <c r="H591" s="9" t="s">
        <v>1074</v>
      </c>
      <c r="I591" s="40" t="s">
        <v>1079</v>
      </c>
      <c r="J591"/>
      <c r="K591"/>
      <c r="L591"/>
      <c r="M591"/>
      <c r="N591"/>
      <c r="O591"/>
      <c r="P591"/>
      <c r="Q591"/>
      <c r="R591"/>
      <c r="S591"/>
      <c r="T591"/>
      <c r="U591"/>
      <c r="V591" s="133">
        <f>V$315</f>
        <v>0</v>
      </c>
      <c r="W591" s="10">
        <f>W$315</f>
        <v>0</v>
      </c>
      <c r="X591" s="10">
        <f>X$315</f>
        <v>0</v>
      </c>
      <c r="Y591" s="10">
        <f>Y$315</f>
        <v>0</v>
      </c>
      <c r="Z591"/>
      <c r="AA591" s="10">
        <f t="shared" ref="AA591:BV591" si="608">AA$315</f>
        <v>0</v>
      </c>
      <c r="AB591" s="10">
        <f t="shared" si="608"/>
        <v>0</v>
      </c>
      <c r="AC591" s="10">
        <f t="shared" si="608"/>
        <v>0</v>
      </c>
      <c r="AD591" s="10">
        <f t="shared" si="608"/>
        <v>0</v>
      </c>
      <c r="AE591" s="10">
        <f t="shared" si="608"/>
        <v>0</v>
      </c>
      <c r="AF591" s="10">
        <f t="shared" si="608"/>
        <v>0</v>
      </c>
      <c r="AG591" s="10">
        <f t="shared" si="608"/>
        <v>0</v>
      </c>
      <c r="AH591" s="10">
        <f t="shared" si="608"/>
        <v>0</v>
      </c>
      <c r="AI591" s="10">
        <f t="shared" si="608"/>
        <v>0</v>
      </c>
      <c r="AJ591" s="10">
        <f t="shared" si="608"/>
        <v>0</v>
      </c>
      <c r="AK591" s="10">
        <f t="shared" si="608"/>
        <v>0</v>
      </c>
      <c r="AL591" s="10">
        <f t="shared" si="608"/>
        <v>0</v>
      </c>
      <c r="AM591" s="10">
        <f t="shared" si="608"/>
        <v>0</v>
      </c>
      <c r="AN591" s="10">
        <f t="shared" si="608"/>
        <v>0</v>
      </c>
      <c r="AO591" s="10">
        <f t="shared" si="608"/>
        <v>0</v>
      </c>
      <c r="AP591" s="10">
        <f t="shared" si="608"/>
        <v>0</v>
      </c>
      <c r="AQ591" s="10">
        <f t="shared" si="608"/>
        <v>0</v>
      </c>
      <c r="AR591" s="10">
        <f t="shared" si="608"/>
        <v>0</v>
      </c>
      <c r="AS591" s="10">
        <f t="shared" si="608"/>
        <v>0</v>
      </c>
      <c r="AT591" s="10">
        <f t="shared" si="608"/>
        <v>0</v>
      </c>
      <c r="AU591" s="10">
        <f t="shared" si="608"/>
        <v>0</v>
      </c>
      <c r="AV591" s="10">
        <f t="shared" si="608"/>
        <v>0</v>
      </c>
      <c r="AW591" s="10">
        <f t="shared" si="608"/>
        <v>0</v>
      </c>
      <c r="AX591" s="10">
        <f t="shared" si="608"/>
        <v>0</v>
      </c>
      <c r="AY591" s="10">
        <f t="shared" si="608"/>
        <v>0</v>
      </c>
      <c r="AZ591" s="10">
        <f t="shared" si="608"/>
        <v>0</v>
      </c>
      <c r="BA591" s="10">
        <f t="shared" si="608"/>
        <v>0</v>
      </c>
      <c r="BB591" s="10">
        <f t="shared" si="608"/>
        <v>0</v>
      </c>
      <c r="BC591" s="10">
        <f t="shared" si="608"/>
        <v>0</v>
      </c>
      <c r="BD591" s="10">
        <f t="shared" si="608"/>
        <v>0</v>
      </c>
      <c r="BE591" s="10">
        <f t="shared" si="608"/>
        <v>0</v>
      </c>
      <c r="BF591" s="10">
        <f t="shared" si="608"/>
        <v>0</v>
      </c>
      <c r="BG591" s="10">
        <f t="shared" si="608"/>
        <v>0</v>
      </c>
      <c r="BH591" s="10">
        <f t="shared" si="608"/>
        <v>0</v>
      </c>
      <c r="BI591" s="10">
        <f t="shared" si="608"/>
        <v>0</v>
      </c>
      <c r="BJ591" s="10">
        <f t="shared" si="608"/>
        <v>0</v>
      </c>
      <c r="BK591" s="10">
        <f t="shared" si="608"/>
        <v>0</v>
      </c>
      <c r="BL591" s="10">
        <f t="shared" si="608"/>
        <v>0</v>
      </c>
      <c r="BM591" s="10">
        <f t="shared" si="608"/>
        <v>0</v>
      </c>
      <c r="BN591" s="10">
        <f t="shared" si="608"/>
        <v>0</v>
      </c>
      <c r="BO591" s="10">
        <f t="shared" si="608"/>
        <v>0</v>
      </c>
      <c r="BP591" s="10">
        <f t="shared" si="608"/>
        <v>0</v>
      </c>
      <c r="BQ591" s="10">
        <f t="shared" si="608"/>
        <v>0</v>
      </c>
      <c r="BR591" s="10">
        <f t="shared" si="608"/>
        <v>0</v>
      </c>
      <c r="BS591" s="10">
        <f t="shared" si="608"/>
        <v>0</v>
      </c>
      <c r="BT591" s="10">
        <f t="shared" si="608"/>
        <v>0</v>
      </c>
      <c r="BU591" s="10">
        <f t="shared" si="608"/>
        <v>0</v>
      </c>
      <c r="BV591" s="10">
        <f t="shared" si="608"/>
        <v>0</v>
      </c>
      <c r="BW591"/>
      <c r="BX591" s="10">
        <f t="shared" ref="BX591:CI591" si="609">BX$315</f>
        <v>0</v>
      </c>
      <c r="BY591" s="10">
        <f t="shared" si="609"/>
        <v>0</v>
      </c>
      <c r="BZ591" s="10">
        <f t="shared" si="609"/>
        <v>0</v>
      </c>
      <c r="CA591" s="10">
        <f t="shared" si="609"/>
        <v>0</v>
      </c>
      <c r="CB591" s="10">
        <f t="shared" si="609"/>
        <v>0</v>
      </c>
      <c r="CC591" s="10">
        <f t="shared" si="609"/>
        <v>0</v>
      </c>
      <c r="CD591" s="10">
        <f t="shared" si="609"/>
        <v>0</v>
      </c>
      <c r="CE591" s="10">
        <f t="shared" si="609"/>
        <v>0</v>
      </c>
      <c r="CF591" s="10">
        <f t="shared" si="609"/>
        <v>0</v>
      </c>
      <c r="CG591" s="10">
        <f t="shared" si="609"/>
        <v>0</v>
      </c>
      <c r="CH591" s="10">
        <f t="shared" si="609"/>
        <v>0</v>
      </c>
      <c r="CI591" s="10">
        <f t="shared" si="609"/>
        <v>0</v>
      </c>
      <c r="CJ591"/>
      <c r="CK591" s="11"/>
      <c r="CL591"/>
      <c r="CM591" s="11"/>
      <c r="CN591"/>
      <c r="CO591"/>
      <c r="CP591"/>
      <c r="CQ591"/>
      <c r="CR591"/>
      <c r="CS591"/>
      <c r="CT591"/>
      <c r="CU591"/>
      <c r="CV591"/>
      <c r="CW591"/>
      <c r="CX591"/>
      <c r="CY591"/>
      <c r="CZ591"/>
      <c r="DA591"/>
      <c r="DB591"/>
      <c r="DC591"/>
      <c r="DD591"/>
      <c r="DE591"/>
      <c r="DF591" s="11"/>
      <c r="EY591" s="10" t="str">
        <f t="shared" si="559"/>
        <v/>
      </c>
    </row>
    <row r="592" spans="1:155" x14ac:dyDescent="0.35">
      <c r="B592" s="69" t="str" cm="1">
        <f t="array" aca="1" ref="B592" ca="1">HYPERLINK(CONCATENATE("#",CELL("address",$D$322)),$D$322)</f>
        <v>Loan 15</v>
      </c>
      <c r="C592" s="211"/>
      <c r="D592" s="49">
        <f>D$27</f>
        <v>0</v>
      </c>
      <c r="E592" s="49" t="str">
        <f>F$27</f>
        <v/>
      </c>
      <c r="F592" s="49"/>
      <c r="H592" s="9" t="s">
        <v>1074</v>
      </c>
      <c r="I592" s="40" t="s">
        <v>1079</v>
      </c>
      <c r="V592" s="133">
        <f>V$334</f>
        <v>0</v>
      </c>
      <c r="W592" s="10">
        <f>W$334</f>
        <v>0</v>
      </c>
      <c r="X592" s="10">
        <f>X$334</f>
        <v>0</v>
      </c>
      <c r="Y592" s="10">
        <f>Y$334</f>
        <v>0</v>
      </c>
      <c r="AA592" s="10">
        <f t="shared" ref="AA592:BV592" si="610">AA$334</f>
        <v>0</v>
      </c>
      <c r="AB592" s="10">
        <f t="shared" si="610"/>
        <v>0</v>
      </c>
      <c r="AC592" s="10">
        <f t="shared" si="610"/>
        <v>0</v>
      </c>
      <c r="AD592" s="10">
        <f t="shared" si="610"/>
        <v>0</v>
      </c>
      <c r="AE592" s="10">
        <f t="shared" si="610"/>
        <v>0</v>
      </c>
      <c r="AF592" s="10">
        <f t="shared" si="610"/>
        <v>0</v>
      </c>
      <c r="AG592" s="10">
        <f t="shared" si="610"/>
        <v>0</v>
      </c>
      <c r="AH592" s="10">
        <f t="shared" si="610"/>
        <v>0</v>
      </c>
      <c r="AI592" s="10">
        <f t="shared" si="610"/>
        <v>0</v>
      </c>
      <c r="AJ592" s="10">
        <f t="shared" si="610"/>
        <v>0</v>
      </c>
      <c r="AK592" s="10">
        <f t="shared" si="610"/>
        <v>0</v>
      </c>
      <c r="AL592" s="10">
        <f t="shared" si="610"/>
        <v>0</v>
      </c>
      <c r="AM592" s="10">
        <f t="shared" si="610"/>
        <v>0</v>
      </c>
      <c r="AN592" s="10">
        <f t="shared" si="610"/>
        <v>0</v>
      </c>
      <c r="AO592" s="10">
        <f t="shared" si="610"/>
        <v>0</v>
      </c>
      <c r="AP592" s="10">
        <f t="shared" si="610"/>
        <v>0</v>
      </c>
      <c r="AQ592" s="10">
        <f t="shared" si="610"/>
        <v>0</v>
      </c>
      <c r="AR592" s="10">
        <f t="shared" si="610"/>
        <v>0</v>
      </c>
      <c r="AS592" s="10">
        <f t="shared" si="610"/>
        <v>0</v>
      </c>
      <c r="AT592" s="10">
        <f t="shared" si="610"/>
        <v>0</v>
      </c>
      <c r="AU592" s="10">
        <f t="shared" si="610"/>
        <v>0</v>
      </c>
      <c r="AV592" s="10">
        <f t="shared" si="610"/>
        <v>0</v>
      </c>
      <c r="AW592" s="10">
        <f t="shared" si="610"/>
        <v>0</v>
      </c>
      <c r="AX592" s="10">
        <f t="shared" si="610"/>
        <v>0</v>
      </c>
      <c r="AY592" s="10">
        <f t="shared" si="610"/>
        <v>0</v>
      </c>
      <c r="AZ592" s="10">
        <f t="shared" si="610"/>
        <v>0</v>
      </c>
      <c r="BA592" s="10">
        <f t="shared" si="610"/>
        <v>0</v>
      </c>
      <c r="BB592" s="10">
        <f t="shared" si="610"/>
        <v>0</v>
      </c>
      <c r="BC592" s="10">
        <f t="shared" si="610"/>
        <v>0</v>
      </c>
      <c r="BD592" s="10">
        <f t="shared" si="610"/>
        <v>0</v>
      </c>
      <c r="BE592" s="10">
        <f t="shared" si="610"/>
        <v>0</v>
      </c>
      <c r="BF592" s="10">
        <f t="shared" si="610"/>
        <v>0</v>
      </c>
      <c r="BG592" s="10">
        <f t="shared" si="610"/>
        <v>0</v>
      </c>
      <c r="BH592" s="10">
        <f t="shared" si="610"/>
        <v>0</v>
      </c>
      <c r="BI592" s="10">
        <f t="shared" si="610"/>
        <v>0</v>
      </c>
      <c r="BJ592" s="10">
        <f t="shared" si="610"/>
        <v>0</v>
      </c>
      <c r="BK592" s="10">
        <f t="shared" si="610"/>
        <v>0</v>
      </c>
      <c r="BL592" s="10">
        <f t="shared" si="610"/>
        <v>0</v>
      </c>
      <c r="BM592" s="10">
        <f t="shared" si="610"/>
        <v>0</v>
      </c>
      <c r="BN592" s="10">
        <f t="shared" si="610"/>
        <v>0</v>
      </c>
      <c r="BO592" s="10">
        <f t="shared" si="610"/>
        <v>0</v>
      </c>
      <c r="BP592" s="10">
        <f t="shared" si="610"/>
        <v>0</v>
      </c>
      <c r="BQ592" s="10">
        <f t="shared" si="610"/>
        <v>0</v>
      </c>
      <c r="BR592" s="10">
        <f t="shared" si="610"/>
        <v>0</v>
      </c>
      <c r="BS592" s="10">
        <f t="shared" si="610"/>
        <v>0</v>
      </c>
      <c r="BT592" s="10">
        <f t="shared" si="610"/>
        <v>0</v>
      </c>
      <c r="BU592" s="10">
        <f t="shared" si="610"/>
        <v>0</v>
      </c>
      <c r="BV592" s="10">
        <f t="shared" si="610"/>
        <v>0</v>
      </c>
      <c r="BX592" s="10">
        <f t="shared" ref="BX592:CI592" si="611">BX$334</f>
        <v>0</v>
      </c>
      <c r="BY592" s="10">
        <f t="shared" si="611"/>
        <v>0</v>
      </c>
      <c r="BZ592" s="10">
        <f t="shared" si="611"/>
        <v>0</v>
      </c>
      <c r="CA592" s="10">
        <f t="shared" si="611"/>
        <v>0</v>
      </c>
      <c r="CB592" s="10">
        <f t="shared" si="611"/>
        <v>0</v>
      </c>
      <c r="CC592" s="10">
        <f t="shared" si="611"/>
        <v>0</v>
      </c>
      <c r="CD592" s="10">
        <f t="shared" si="611"/>
        <v>0</v>
      </c>
      <c r="CE592" s="10">
        <f t="shared" si="611"/>
        <v>0</v>
      </c>
      <c r="CF592" s="10">
        <f t="shared" si="611"/>
        <v>0</v>
      </c>
      <c r="CG592" s="10">
        <f t="shared" si="611"/>
        <v>0</v>
      </c>
      <c r="CH592" s="10">
        <f t="shared" si="611"/>
        <v>0</v>
      </c>
      <c r="CI592" s="10">
        <f t="shared" si="611"/>
        <v>0</v>
      </c>
      <c r="CK592" s="11"/>
      <c r="CM592" s="11"/>
      <c r="DF592" s="11"/>
      <c r="EY592" s="10" t="str">
        <f t="shared" si="559"/>
        <v/>
      </c>
    </row>
    <row r="593" spans="2:155" x14ac:dyDescent="0.35">
      <c r="B593" s="69" t="str" cm="1">
        <f t="array" aca="1" ref="B593" ca="1">HYPERLINK(CONCATENATE("#",CELL("address",$D$341)),$D$341)</f>
        <v>Loan 16</v>
      </c>
      <c r="C593" s="211"/>
      <c r="D593" s="49">
        <f>D$28</f>
        <v>0</v>
      </c>
      <c r="E593" s="49" t="str">
        <f>F$28</f>
        <v/>
      </c>
      <c r="F593" s="49"/>
      <c r="H593" s="9" t="s">
        <v>1074</v>
      </c>
      <c r="I593" s="40" t="s">
        <v>1079</v>
      </c>
      <c r="V593" s="133">
        <f>V$353</f>
        <v>0</v>
      </c>
      <c r="W593" s="10">
        <f>W$353</f>
        <v>0</v>
      </c>
      <c r="X593" s="10">
        <f>X$353</f>
        <v>0</v>
      </c>
      <c r="Y593" s="10">
        <f>Y$353</f>
        <v>0</v>
      </c>
      <c r="AA593" s="10">
        <f t="shared" ref="AA593:BV593" si="612">AA$353</f>
        <v>0</v>
      </c>
      <c r="AB593" s="10">
        <f t="shared" si="612"/>
        <v>0</v>
      </c>
      <c r="AC593" s="10">
        <f t="shared" si="612"/>
        <v>0</v>
      </c>
      <c r="AD593" s="10">
        <f t="shared" si="612"/>
        <v>0</v>
      </c>
      <c r="AE593" s="10">
        <f t="shared" si="612"/>
        <v>0</v>
      </c>
      <c r="AF593" s="10">
        <f t="shared" si="612"/>
        <v>0</v>
      </c>
      <c r="AG593" s="10">
        <f t="shared" si="612"/>
        <v>0</v>
      </c>
      <c r="AH593" s="10">
        <f t="shared" si="612"/>
        <v>0</v>
      </c>
      <c r="AI593" s="10">
        <f t="shared" si="612"/>
        <v>0</v>
      </c>
      <c r="AJ593" s="10">
        <f t="shared" si="612"/>
        <v>0</v>
      </c>
      <c r="AK593" s="10">
        <f t="shared" si="612"/>
        <v>0</v>
      </c>
      <c r="AL593" s="10">
        <f t="shared" si="612"/>
        <v>0</v>
      </c>
      <c r="AM593" s="10">
        <f t="shared" si="612"/>
        <v>0</v>
      </c>
      <c r="AN593" s="10">
        <f t="shared" si="612"/>
        <v>0</v>
      </c>
      <c r="AO593" s="10">
        <f t="shared" si="612"/>
        <v>0</v>
      </c>
      <c r="AP593" s="10">
        <f t="shared" si="612"/>
        <v>0</v>
      </c>
      <c r="AQ593" s="10">
        <f t="shared" si="612"/>
        <v>0</v>
      </c>
      <c r="AR593" s="10">
        <f t="shared" si="612"/>
        <v>0</v>
      </c>
      <c r="AS593" s="10">
        <f t="shared" si="612"/>
        <v>0</v>
      </c>
      <c r="AT593" s="10">
        <f t="shared" si="612"/>
        <v>0</v>
      </c>
      <c r="AU593" s="10">
        <f t="shared" si="612"/>
        <v>0</v>
      </c>
      <c r="AV593" s="10">
        <f t="shared" si="612"/>
        <v>0</v>
      </c>
      <c r="AW593" s="10">
        <f t="shared" si="612"/>
        <v>0</v>
      </c>
      <c r="AX593" s="10">
        <f t="shared" si="612"/>
        <v>0</v>
      </c>
      <c r="AY593" s="10">
        <f t="shared" si="612"/>
        <v>0</v>
      </c>
      <c r="AZ593" s="10">
        <f t="shared" si="612"/>
        <v>0</v>
      </c>
      <c r="BA593" s="10">
        <f t="shared" si="612"/>
        <v>0</v>
      </c>
      <c r="BB593" s="10">
        <f t="shared" si="612"/>
        <v>0</v>
      </c>
      <c r="BC593" s="10">
        <f t="shared" si="612"/>
        <v>0</v>
      </c>
      <c r="BD593" s="10">
        <f t="shared" si="612"/>
        <v>0</v>
      </c>
      <c r="BE593" s="10">
        <f t="shared" si="612"/>
        <v>0</v>
      </c>
      <c r="BF593" s="10">
        <f t="shared" si="612"/>
        <v>0</v>
      </c>
      <c r="BG593" s="10">
        <f t="shared" si="612"/>
        <v>0</v>
      </c>
      <c r="BH593" s="10">
        <f t="shared" si="612"/>
        <v>0</v>
      </c>
      <c r="BI593" s="10">
        <f t="shared" si="612"/>
        <v>0</v>
      </c>
      <c r="BJ593" s="10">
        <f t="shared" si="612"/>
        <v>0</v>
      </c>
      <c r="BK593" s="10">
        <f t="shared" si="612"/>
        <v>0</v>
      </c>
      <c r="BL593" s="10">
        <f t="shared" si="612"/>
        <v>0</v>
      </c>
      <c r="BM593" s="10">
        <f t="shared" si="612"/>
        <v>0</v>
      </c>
      <c r="BN593" s="10">
        <f t="shared" si="612"/>
        <v>0</v>
      </c>
      <c r="BO593" s="10">
        <f t="shared" si="612"/>
        <v>0</v>
      </c>
      <c r="BP593" s="10">
        <f t="shared" si="612"/>
        <v>0</v>
      </c>
      <c r="BQ593" s="10">
        <f t="shared" si="612"/>
        <v>0</v>
      </c>
      <c r="BR593" s="10">
        <f t="shared" si="612"/>
        <v>0</v>
      </c>
      <c r="BS593" s="10">
        <f t="shared" si="612"/>
        <v>0</v>
      </c>
      <c r="BT593" s="10">
        <f t="shared" si="612"/>
        <v>0</v>
      </c>
      <c r="BU593" s="10">
        <f t="shared" si="612"/>
        <v>0</v>
      </c>
      <c r="BV593" s="10">
        <f t="shared" si="612"/>
        <v>0</v>
      </c>
      <c r="BX593" s="10">
        <f t="shared" ref="BX593:CI593" si="613">BX$353</f>
        <v>0</v>
      </c>
      <c r="BY593" s="10">
        <f t="shared" si="613"/>
        <v>0</v>
      </c>
      <c r="BZ593" s="10">
        <f t="shared" si="613"/>
        <v>0</v>
      </c>
      <c r="CA593" s="10">
        <f t="shared" si="613"/>
        <v>0</v>
      </c>
      <c r="CB593" s="10">
        <f t="shared" si="613"/>
        <v>0</v>
      </c>
      <c r="CC593" s="10">
        <f t="shared" si="613"/>
        <v>0</v>
      </c>
      <c r="CD593" s="10">
        <f t="shared" si="613"/>
        <v>0</v>
      </c>
      <c r="CE593" s="10">
        <f t="shared" si="613"/>
        <v>0</v>
      </c>
      <c r="CF593" s="10">
        <f t="shared" si="613"/>
        <v>0</v>
      </c>
      <c r="CG593" s="10">
        <f t="shared" si="613"/>
        <v>0</v>
      </c>
      <c r="CH593" s="10">
        <f t="shared" si="613"/>
        <v>0</v>
      </c>
      <c r="CI593" s="10">
        <f t="shared" si="613"/>
        <v>0</v>
      </c>
      <c r="CK593" s="11"/>
      <c r="CM593" s="11"/>
      <c r="DF593" s="11"/>
      <c r="EY593" s="10" t="str">
        <f t="shared" si="559"/>
        <v/>
      </c>
    </row>
    <row r="594" spans="2:155" x14ac:dyDescent="0.35">
      <c r="B594" s="69" t="str" cm="1">
        <f t="array" aca="1" ref="B594" ca="1">HYPERLINK(CONCATENATE("#",CELL("address",$D$360)),$D$360)</f>
        <v>Loan 17</v>
      </c>
      <c r="C594" s="211"/>
      <c r="D594" s="49">
        <f>D$29</f>
        <v>0</v>
      </c>
      <c r="E594" s="49" t="str">
        <f>F$29</f>
        <v/>
      </c>
      <c r="F594" s="49"/>
      <c r="H594" s="9" t="s">
        <v>1074</v>
      </c>
      <c r="I594" s="40" t="s">
        <v>1079</v>
      </c>
      <c r="V594" s="133">
        <f>V$372</f>
        <v>0</v>
      </c>
      <c r="W594" s="10">
        <f>W$372</f>
        <v>0</v>
      </c>
      <c r="X594" s="10">
        <f>X$372</f>
        <v>0</v>
      </c>
      <c r="Y594" s="10">
        <f>Y$372</f>
        <v>0</v>
      </c>
      <c r="AA594" s="10">
        <f t="shared" ref="AA594:BV594" si="614">AA$372</f>
        <v>0</v>
      </c>
      <c r="AB594" s="10">
        <f t="shared" si="614"/>
        <v>0</v>
      </c>
      <c r="AC594" s="10">
        <f t="shared" si="614"/>
        <v>0</v>
      </c>
      <c r="AD594" s="10">
        <f t="shared" si="614"/>
        <v>0</v>
      </c>
      <c r="AE594" s="10">
        <f t="shared" si="614"/>
        <v>0</v>
      </c>
      <c r="AF594" s="10">
        <f t="shared" si="614"/>
        <v>0</v>
      </c>
      <c r="AG594" s="10">
        <f t="shared" si="614"/>
        <v>0</v>
      </c>
      <c r="AH594" s="10">
        <f t="shared" si="614"/>
        <v>0</v>
      </c>
      <c r="AI594" s="10">
        <f t="shared" si="614"/>
        <v>0</v>
      </c>
      <c r="AJ594" s="10">
        <f t="shared" si="614"/>
        <v>0</v>
      </c>
      <c r="AK594" s="10">
        <f t="shared" si="614"/>
        <v>0</v>
      </c>
      <c r="AL594" s="10">
        <f t="shared" si="614"/>
        <v>0</v>
      </c>
      <c r="AM594" s="10">
        <f t="shared" si="614"/>
        <v>0</v>
      </c>
      <c r="AN594" s="10">
        <f t="shared" si="614"/>
        <v>0</v>
      </c>
      <c r="AO594" s="10">
        <f t="shared" si="614"/>
        <v>0</v>
      </c>
      <c r="AP594" s="10">
        <f t="shared" si="614"/>
        <v>0</v>
      </c>
      <c r="AQ594" s="10">
        <f t="shared" si="614"/>
        <v>0</v>
      </c>
      <c r="AR594" s="10">
        <f t="shared" si="614"/>
        <v>0</v>
      </c>
      <c r="AS594" s="10">
        <f t="shared" si="614"/>
        <v>0</v>
      </c>
      <c r="AT594" s="10">
        <f t="shared" si="614"/>
        <v>0</v>
      </c>
      <c r="AU594" s="10">
        <f t="shared" si="614"/>
        <v>0</v>
      </c>
      <c r="AV594" s="10">
        <f t="shared" si="614"/>
        <v>0</v>
      </c>
      <c r="AW594" s="10">
        <f t="shared" si="614"/>
        <v>0</v>
      </c>
      <c r="AX594" s="10">
        <f t="shared" si="614"/>
        <v>0</v>
      </c>
      <c r="AY594" s="10">
        <f t="shared" si="614"/>
        <v>0</v>
      </c>
      <c r="AZ594" s="10">
        <f t="shared" si="614"/>
        <v>0</v>
      </c>
      <c r="BA594" s="10">
        <f t="shared" si="614"/>
        <v>0</v>
      </c>
      <c r="BB594" s="10">
        <f t="shared" si="614"/>
        <v>0</v>
      </c>
      <c r="BC594" s="10">
        <f t="shared" si="614"/>
        <v>0</v>
      </c>
      <c r="BD594" s="10">
        <f t="shared" si="614"/>
        <v>0</v>
      </c>
      <c r="BE594" s="10">
        <f t="shared" si="614"/>
        <v>0</v>
      </c>
      <c r="BF594" s="10">
        <f t="shared" si="614"/>
        <v>0</v>
      </c>
      <c r="BG594" s="10">
        <f t="shared" si="614"/>
        <v>0</v>
      </c>
      <c r="BH594" s="10">
        <f t="shared" si="614"/>
        <v>0</v>
      </c>
      <c r="BI594" s="10">
        <f t="shared" si="614"/>
        <v>0</v>
      </c>
      <c r="BJ594" s="10">
        <f t="shared" si="614"/>
        <v>0</v>
      </c>
      <c r="BK594" s="10">
        <f t="shared" si="614"/>
        <v>0</v>
      </c>
      <c r="BL594" s="10">
        <f t="shared" si="614"/>
        <v>0</v>
      </c>
      <c r="BM594" s="10">
        <f t="shared" si="614"/>
        <v>0</v>
      </c>
      <c r="BN594" s="10">
        <f t="shared" si="614"/>
        <v>0</v>
      </c>
      <c r="BO594" s="10">
        <f t="shared" si="614"/>
        <v>0</v>
      </c>
      <c r="BP594" s="10">
        <f t="shared" si="614"/>
        <v>0</v>
      </c>
      <c r="BQ594" s="10">
        <f t="shared" si="614"/>
        <v>0</v>
      </c>
      <c r="BR594" s="10">
        <f t="shared" si="614"/>
        <v>0</v>
      </c>
      <c r="BS594" s="10">
        <f t="shared" si="614"/>
        <v>0</v>
      </c>
      <c r="BT594" s="10">
        <f t="shared" si="614"/>
        <v>0</v>
      </c>
      <c r="BU594" s="10">
        <f t="shared" si="614"/>
        <v>0</v>
      </c>
      <c r="BV594" s="10">
        <f t="shared" si="614"/>
        <v>0</v>
      </c>
      <c r="BX594" s="10">
        <f t="shared" ref="BX594:CI594" si="615">BX$372</f>
        <v>0</v>
      </c>
      <c r="BY594" s="10">
        <f t="shared" si="615"/>
        <v>0</v>
      </c>
      <c r="BZ594" s="10">
        <f t="shared" si="615"/>
        <v>0</v>
      </c>
      <c r="CA594" s="10">
        <f t="shared" si="615"/>
        <v>0</v>
      </c>
      <c r="CB594" s="10">
        <f t="shared" si="615"/>
        <v>0</v>
      </c>
      <c r="CC594" s="10">
        <f t="shared" si="615"/>
        <v>0</v>
      </c>
      <c r="CD594" s="10">
        <f t="shared" si="615"/>
        <v>0</v>
      </c>
      <c r="CE594" s="10">
        <f t="shared" si="615"/>
        <v>0</v>
      </c>
      <c r="CF594" s="10">
        <f t="shared" si="615"/>
        <v>0</v>
      </c>
      <c r="CG594" s="10">
        <f t="shared" si="615"/>
        <v>0</v>
      </c>
      <c r="CH594" s="10">
        <f t="shared" si="615"/>
        <v>0</v>
      </c>
      <c r="CI594" s="10">
        <f t="shared" si="615"/>
        <v>0</v>
      </c>
      <c r="CK594" s="11"/>
      <c r="CM594" s="11"/>
      <c r="DF594" s="11"/>
      <c r="EY594" s="10" t="str">
        <f t="shared" si="559"/>
        <v/>
      </c>
    </row>
    <row r="595" spans="2:155" x14ac:dyDescent="0.35">
      <c r="B595" s="69" t="str" cm="1">
        <f t="array" aca="1" ref="B595" ca="1">HYPERLINK(CONCATENATE("#",CELL("address",$D$379)),$D$379)</f>
        <v>Loan 18</v>
      </c>
      <c r="C595" s="211"/>
      <c r="D595" s="49">
        <f>D$30</f>
        <v>0</v>
      </c>
      <c r="E595" s="49" t="str">
        <f>F$30</f>
        <v/>
      </c>
      <c r="F595" s="49"/>
      <c r="H595" s="9" t="s">
        <v>1074</v>
      </c>
      <c r="I595" s="40" t="s">
        <v>1079</v>
      </c>
      <c r="V595" s="133">
        <f>V$391</f>
        <v>0</v>
      </c>
      <c r="W595" s="10">
        <f>W$391</f>
        <v>0</v>
      </c>
      <c r="X595" s="10">
        <f>X$391</f>
        <v>0</v>
      </c>
      <c r="Y595" s="10">
        <f>Y$391</f>
        <v>0</v>
      </c>
      <c r="AA595" s="10">
        <f t="shared" ref="AA595:BV595" si="616">AA$391</f>
        <v>0</v>
      </c>
      <c r="AB595" s="10">
        <f t="shared" si="616"/>
        <v>0</v>
      </c>
      <c r="AC595" s="10">
        <f t="shared" si="616"/>
        <v>0</v>
      </c>
      <c r="AD595" s="10">
        <f t="shared" si="616"/>
        <v>0</v>
      </c>
      <c r="AE595" s="10">
        <f t="shared" si="616"/>
        <v>0</v>
      </c>
      <c r="AF595" s="10">
        <f t="shared" si="616"/>
        <v>0</v>
      </c>
      <c r="AG595" s="10">
        <f t="shared" si="616"/>
        <v>0</v>
      </c>
      <c r="AH595" s="10">
        <f t="shared" si="616"/>
        <v>0</v>
      </c>
      <c r="AI595" s="10">
        <f t="shared" si="616"/>
        <v>0</v>
      </c>
      <c r="AJ595" s="10">
        <f t="shared" si="616"/>
        <v>0</v>
      </c>
      <c r="AK595" s="10">
        <f t="shared" si="616"/>
        <v>0</v>
      </c>
      <c r="AL595" s="10">
        <f t="shared" si="616"/>
        <v>0</v>
      </c>
      <c r="AM595" s="10">
        <f t="shared" si="616"/>
        <v>0</v>
      </c>
      <c r="AN595" s="10">
        <f t="shared" si="616"/>
        <v>0</v>
      </c>
      <c r="AO595" s="10">
        <f t="shared" si="616"/>
        <v>0</v>
      </c>
      <c r="AP595" s="10">
        <f t="shared" si="616"/>
        <v>0</v>
      </c>
      <c r="AQ595" s="10">
        <f t="shared" si="616"/>
        <v>0</v>
      </c>
      <c r="AR595" s="10">
        <f t="shared" si="616"/>
        <v>0</v>
      </c>
      <c r="AS595" s="10">
        <f t="shared" si="616"/>
        <v>0</v>
      </c>
      <c r="AT595" s="10">
        <f t="shared" si="616"/>
        <v>0</v>
      </c>
      <c r="AU595" s="10">
        <f t="shared" si="616"/>
        <v>0</v>
      </c>
      <c r="AV595" s="10">
        <f t="shared" si="616"/>
        <v>0</v>
      </c>
      <c r="AW595" s="10">
        <f t="shared" si="616"/>
        <v>0</v>
      </c>
      <c r="AX595" s="10">
        <f t="shared" si="616"/>
        <v>0</v>
      </c>
      <c r="AY595" s="10">
        <f t="shared" si="616"/>
        <v>0</v>
      </c>
      <c r="AZ595" s="10">
        <f t="shared" si="616"/>
        <v>0</v>
      </c>
      <c r="BA595" s="10">
        <f t="shared" si="616"/>
        <v>0</v>
      </c>
      <c r="BB595" s="10">
        <f t="shared" si="616"/>
        <v>0</v>
      </c>
      <c r="BC595" s="10">
        <f t="shared" si="616"/>
        <v>0</v>
      </c>
      <c r="BD595" s="10">
        <f t="shared" si="616"/>
        <v>0</v>
      </c>
      <c r="BE595" s="10">
        <f t="shared" si="616"/>
        <v>0</v>
      </c>
      <c r="BF595" s="10">
        <f t="shared" si="616"/>
        <v>0</v>
      </c>
      <c r="BG595" s="10">
        <f t="shared" si="616"/>
        <v>0</v>
      </c>
      <c r="BH595" s="10">
        <f t="shared" si="616"/>
        <v>0</v>
      </c>
      <c r="BI595" s="10">
        <f t="shared" si="616"/>
        <v>0</v>
      </c>
      <c r="BJ595" s="10">
        <f t="shared" si="616"/>
        <v>0</v>
      </c>
      <c r="BK595" s="10">
        <f t="shared" si="616"/>
        <v>0</v>
      </c>
      <c r="BL595" s="10">
        <f t="shared" si="616"/>
        <v>0</v>
      </c>
      <c r="BM595" s="10">
        <f t="shared" si="616"/>
        <v>0</v>
      </c>
      <c r="BN595" s="10">
        <f t="shared" si="616"/>
        <v>0</v>
      </c>
      <c r="BO595" s="10">
        <f t="shared" si="616"/>
        <v>0</v>
      </c>
      <c r="BP595" s="10">
        <f t="shared" si="616"/>
        <v>0</v>
      </c>
      <c r="BQ595" s="10">
        <f t="shared" si="616"/>
        <v>0</v>
      </c>
      <c r="BR595" s="10">
        <f t="shared" si="616"/>
        <v>0</v>
      </c>
      <c r="BS595" s="10">
        <f t="shared" si="616"/>
        <v>0</v>
      </c>
      <c r="BT595" s="10">
        <f t="shared" si="616"/>
        <v>0</v>
      </c>
      <c r="BU595" s="10">
        <f t="shared" si="616"/>
        <v>0</v>
      </c>
      <c r="BV595" s="10">
        <f t="shared" si="616"/>
        <v>0</v>
      </c>
      <c r="BX595" s="10">
        <f t="shared" ref="BX595:CI595" si="617">BX$391</f>
        <v>0</v>
      </c>
      <c r="BY595" s="10">
        <f t="shared" si="617"/>
        <v>0</v>
      </c>
      <c r="BZ595" s="10">
        <f t="shared" si="617"/>
        <v>0</v>
      </c>
      <c r="CA595" s="10">
        <f t="shared" si="617"/>
        <v>0</v>
      </c>
      <c r="CB595" s="10">
        <f t="shared" si="617"/>
        <v>0</v>
      </c>
      <c r="CC595" s="10">
        <f t="shared" si="617"/>
        <v>0</v>
      </c>
      <c r="CD595" s="10">
        <f t="shared" si="617"/>
        <v>0</v>
      </c>
      <c r="CE595" s="10">
        <f t="shared" si="617"/>
        <v>0</v>
      </c>
      <c r="CF595" s="10">
        <f t="shared" si="617"/>
        <v>0</v>
      </c>
      <c r="CG595" s="10">
        <f t="shared" si="617"/>
        <v>0</v>
      </c>
      <c r="CH595" s="10">
        <f t="shared" si="617"/>
        <v>0</v>
      </c>
      <c r="CI595" s="10">
        <f t="shared" si="617"/>
        <v>0</v>
      </c>
      <c r="CK595" s="11"/>
      <c r="CM595" s="11"/>
      <c r="DF595" s="11"/>
      <c r="EY595" s="10" t="str">
        <f t="shared" si="559"/>
        <v/>
      </c>
    </row>
    <row r="596" spans="2:155" x14ac:dyDescent="0.35">
      <c r="B596" s="69" t="str" cm="1">
        <f t="array" aca="1" ref="B596" ca="1">HYPERLINK(CONCATENATE("#",CELL("address",$D$398)),$D$398)</f>
        <v>Loan 19</v>
      </c>
      <c r="C596" s="211"/>
      <c r="D596" s="49">
        <f>D$31</f>
        <v>0</v>
      </c>
      <c r="E596" s="49" t="str">
        <f>F$31</f>
        <v/>
      </c>
      <c r="F596" s="49"/>
      <c r="H596" s="9" t="s">
        <v>1074</v>
      </c>
      <c r="I596" s="40" t="s">
        <v>1079</v>
      </c>
      <c r="V596" s="133">
        <f>V$410</f>
        <v>0</v>
      </c>
      <c r="W596" s="10">
        <f>W$410</f>
        <v>0</v>
      </c>
      <c r="X596" s="10">
        <f>X$410</f>
        <v>0</v>
      </c>
      <c r="Y596" s="10">
        <f>Y$410</f>
        <v>0</v>
      </c>
      <c r="AA596" s="10">
        <f t="shared" ref="AA596:BV596" si="618">AA$410</f>
        <v>0</v>
      </c>
      <c r="AB596" s="10">
        <f t="shared" si="618"/>
        <v>0</v>
      </c>
      <c r="AC596" s="10">
        <f t="shared" si="618"/>
        <v>0</v>
      </c>
      <c r="AD596" s="10">
        <f t="shared" si="618"/>
        <v>0</v>
      </c>
      <c r="AE596" s="10">
        <f t="shared" si="618"/>
        <v>0</v>
      </c>
      <c r="AF596" s="10">
        <f t="shared" si="618"/>
        <v>0</v>
      </c>
      <c r="AG596" s="10">
        <f t="shared" si="618"/>
        <v>0</v>
      </c>
      <c r="AH596" s="10">
        <f t="shared" si="618"/>
        <v>0</v>
      </c>
      <c r="AI596" s="10">
        <f t="shared" si="618"/>
        <v>0</v>
      </c>
      <c r="AJ596" s="10">
        <f t="shared" si="618"/>
        <v>0</v>
      </c>
      <c r="AK596" s="10">
        <f t="shared" si="618"/>
        <v>0</v>
      </c>
      <c r="AL596" s="10">
        <f t="shared" si="618"/>
        <v>0</v>
      </c>
      <c r="AM596" s="10">
        <f t="shared" si="618"/>
        <v>0</v>
      </c>
      <c r="AN596" s="10">
        <f t="shared" si="618"/>
        <v>0</v>
      </c>
      <c r="AO596" s="10">
        <f t="shared" si="618"/>
        <v>0</v>
      </c>
      <c r="AP596" s="10">
        <f t="shared" si="618"/>
        <v>0</v>
      </c>
      <c r="AQ596" s="10">
        <f t="shared" si="618"/>
        <v>0</v>
      </c>
      <c r="AR596" s="10">
        <f t="shared" si="618"/>
        <v>0</v>
      </c>
      <c r="AS596" s="10">
        <f t="shared" si="618"/>
        <v>0</v>
      </c>
      <c r="AT596" s="10">
        <f t="shared" si="618"/>
        <v>0</v>
      </c>
      <c r="AU596" s="10">
        <f t="shared" si="618"/>
        <v>0</v>
      </c>
      <c r="AV596" s="10">
        <f t="shared" si="618"/>
        <v>0</v>
      </c>
      <c r="AW596" s="10">
        <f t="shared" si="618"/>
        <v>0</v>
      </c>
      <c r="AX596" s="10">
        <f t="shared" si="618"/>
        <v>0</v>
      </c>
      <c r="AY596" s="10">
        <f t="shared" si="618"/>
        <v>0</v>
      </c>
      <c r="AZ596" s="10">
        <f t="shared" si="618"/>
        <v>0</v>
      </c>
      <c r="BA596" s="10">
        <f t="shared" si="618"/>
        <v>0</v>
      </c>
      <c r="BB596" s="10">
        <f t="shared" si="618"/>
        <v>0</v>
      </c>
      <c r="BC596" s="10">
        <f t="shared" si="618"/>
        <v>0</v>
      </c>
      <c r="BD596" s="10">
        <f t="shared" si="618"/>
        <v>0</v>
      </c>
      <c r="BE596" s="10">
        <f t="shared" si="618"/>
        <v>0</v>
      </c>
      <c r="BF596" s="10">
        <f t="shared" si="618"/>
        <v>0</v>
      </c>
      <c r="BG596" s="10">
        <f t="shared" si="618"/>
        <v>0</v>
      </c>
      <c r="BH596" s="10">
        <f t="shared" si="618"/>
        <v>0</v>
      </c>
      <c r="BI596" s="10">
        <f t="shared" si="618"/>
        <v>0</v>
      </c>
      <c r="BJ596" s="10">
        <f t="shared" si="618"/>
        <v>0</v>
      </c>
      <c r="BK596" s="10">
        <f t="shared" si="618"/>
        <v>0</v>
      </c>
      <c r="BL596" s="10">
        <f t="shared" si="618"/>
        <v>0</v>
      </c>
      <c r="BM596" s="10">
        <f t="shared" si="618"/>
        <v>0</v>
      </c>
      <c r="BN596" s="10">
        <f t="shared" si="618"/>
        <v>0</v>
      </c>
      <c r="BO596" s="10">
        <f t="shared" si="618"/>
        <v>0</v>
      </c>
      <c r="BP596" s="10">
        <f t="shared" si="618"/>
        <v>0</v>
      </c>
      <c r="BQ596" s="10">
        <f t="shared" si="618"/>
        <v>0</v>
      </c>
      <c r="BR596" s="10">
        <f t="shared" si="618"/>
        <v>0</v>
      </c>
      <c r="BS596" s="10">
        <f t="shared" si="618"/>
        <v>0</v>
      </c>
      <c r="BT596" s="10">
        <f t="shared" si="618"/>
        <v>0</v>
      </c>
      <c r="BU596" s="10">
        <f t="shared" si="618"/>
        <v>0</v>
      </c>
      <c r="BV596" s="10">
        <f t="shared" si="618"/>
        <v>0</v>
      </c>
      <c r="BX596" s="10">
        <f t="shared" ref="BX596:CI596" si="619">BX$410</f>
        <v>0</v>
      </c>
      <c r="BY596" s="10">
        <f t="shared" si="619"/>
        <v>0</v>
      </c>
      <c r="BZ596" s="10">
        <f t="shared" si="619"/>
        <v>0</v>
      </c>
      <c r="CA596" s="10">
        <f t="shared" si="619"/>
        <v>0</v>
      </c>
      <c r="CB596" s="10">
        <f t="shared" si="619"/>
        <v>0</v>
      </c>
      <c r="CC596" s="10">
        <f t="shared" si="619"/>
        <v>0</v>
      </c>
      <c r="CD596" s="10">
        <f t="shared" si="619"/>
        <v>0</v>
      </c>
      <c r="CE596" s="10">
        <f t="shared" si="619"/>
        <v>0</v>
      </c>
      <c r="CF596" s="10">
        <f t="shared" si="619"/>
        <v>0</v>
      </c>
      <c r="CG596" s="10">
        <f t="shared" si="619"/>
        <v>0</v>
      </c>
      <c r="CH596" s="10">
        <f t="shared" si="619"/>
        <v>0</v>
      </c>
      <c r="CI596" s="10">
        <f t="shared" si="619"/>
        <v>0</v>
      </c>
      <c r="CK596" s="11"/>
      <c r="CM596" s="11"/>
      <c r="DF596" s="11"/>
      <c r="EY596" s="10" t="str">
        <f t="shared" si="559"/>
        <v/>
      </c>
    </row>
    <row r="597" spans="2:155" x14ac:dyDescent="0.35">
      <c r="B597" s="69" t="str" cm="1">
        <f t="array" aca="1" ref="B597" ca="1">HYPERLINK(CONCATENATE("#",CELL("address",$D$417)),$D$417)</f>
        <v>Loan 20</v>
      </c>
      <c r="C597" s="211"/>
      <c r="D597" s="49">
        <f>D$32</f>
        <v>0</v>
      </c>
      <c r="E597" s="49" t="str">
        <f>F$32</f>
        <v/>
      </c>
      <c r="F597" s="49"/>
      <c r="H597" s="9" t="s">
        <v>1074</v>
      </c>
      <c r="I597" s="40" t="s">
        <v>1079</v>
      </c>
      <c r="V597" s="133">
        <f>V$429</f>
        <v>0</v>
      </c>
      <c r="W597" s="10">
        <f>W$429</f>
        <v>0</v>
      </c>
      <c r="X597" s="10">
        <f>X$429</f>
        <v>0</v>
      </c>
      <c r="Y597" s="10">
        <f>Y$429</f>
        <v>0</v>
      </c>
      <c r="AA597" s="10">
        <f t="shared" ref="AA597:BV597" si="620">AA$429</f>
        <v>0</v>
      </c>
      <c r="AB597" s="10">
        <f t="shared" si="620"/>
        <v>0</v>
      </c>
      <c r="AC597" s="10">
        <f t="shared" si="620"/>
        <v>0</v>
      </c>
      <c r="AD597" s="10">
        <f t="shared" si="620"/>
        <v>0</v>
      </c>
      <c r="AE597" s="10">
        <f t="shared" si="620"/>
        <v>0</v>
      </c>
      <c r="AF597" s="10">
        <f t="shared" si="620"/>
        <v>0</v>
      </c>
      <c r="AG597" s="10">
        <f t="shared" si="620"/>
        <v>0</v>
      </c>
      <c r="AH597" s="10">
        <f t="shared" si="620"/>
        <v>0</v>
      </c>
      <c r="AI597" s="10">
        <f t="shared" si="620"/>
        <v>0</v>
      </c>
      <c r="AJ597" s="10">
        <f t="shared" si="620"/>
        <v>0</v>
      </c>
      <c r="AK597" s="10">
        <f t="shared" si="620"/>
        <v>0</v>
      </c>
      <c r="AL597" s="10">
        <f t="shared" si="620"/>
        <v>0</v>
      </c>
      <c r="AM597" s="10">
        <f t="shared" si="620"/>
        <v>0</v>
      </c>
      <c r="AN597" s="10">
        <f t="shared" si="620"/>
        <v>0</v>
      </c>
      <c r="AO597" s="10">
        <f t="shared" si="620"/>
        <v>0</v>
      </c>
      <c r="AP597" s="10">
        <f t="shared" si="620"/>
        <v>0</v>
      </c>
      <c r="AQ597" s="10">
        <f t="shared" si="620"/>
        <v>0</v>
      </c>
      <c r="AR597" s="10">
        <f t="shared" si="620"/>
        <v>0</v>
      </c>
      <c r="AS597" s="10">
        <f t="shared" si="620"/>
        <v>0</v>
      </c>
      <c r="AT597" s="10">
        <f t="shared" si="620"/>
        <v>0</v>
      </c>
      <c r="AU597" s="10">
        <f t="shared" si="620"/>
        <v>0</v>
      </c>
      <c r="AV597" s="10">
        <f t="shared" si="620"/>
        <v>0</v>
      </c>
      <c r="AW597" s="10">
        <f t="shared" si="620"/>
        <v>0</v>
      </c>
      <c r="AX597" s="10">
        <f t="shared" si="620"/>
        <v>0</v>
      </c>
      <c r="AY597" s="10">
        <f t="shared" si="620"/>
        <v>0</v>
      </c>
      <c r="AZ597" s="10">
        <f t="shared" si="620"/>
        <v>0</v>
      </c>
      <c r="BA597" s="10">
        <f t="shared" si="620"/>
        <v>0</v>
      </c>
      <c r="BB597" s="10">
        <f t="shared" si="620"/>
        <v>0</v>
      </c>
      <c r="BC597" s="10">
        <f t="shared" si="620"/>
        <v>0</v>
      </c>
      <c r="BD597" s="10">
        <f t="shared" si="620"/>
        <v>0</v>
      </c>
      <c r="BE597" s="10">
        <f t="shared" si="620"/>
        <v>0</v>
      </c>
      <c r="BF597" s="10">
        <f t="shared" si="620"/>
        <v>0</v>
      </c>
      <c r="BG597" s="10">
        <f t="shared" si="620"/>
        <v>0</v>
      </c>
      <c r="BH597" s="10">
        <f t="shared" si="620"/>
        <v>0</v>
      </c>
      <c r="BI597" s="10">
        <f t="shared" si="620"/>
        <v>0</v>
      </c>
      <c r="BJ597" s="10">
        <f t="shared" si="620"/>
        <v>0</v>
      </c>
      <c r="BK597" s="10">
        <f t="shared" si="620"/>
        <v>0</v>
      </c>
      <c r="BL597" s="10">
        <f t="shared" si="620"/>
        <v>0</v>
      </c>
      <c r="BM597" s="10">
        <f t="shared" si="620"/>
        <v>0</v>
      </c>
      <c r="BN597" s="10">
        <f t="shared" si="620"/>
        <v>0</v>
      </c>
      <c r="BO597" s="10">
        <f t="shared" si="620"/>
        <v>0</v>
      </c>
      <c r="BP597" s="10">
        <f t="shared" si="620"/>
        <v>0</v>
      </c>
      <c r="BQ597" s="10">
        <f t="shared" si="620"/>
        <v>0</v>
      </c>
      <c r="BR597" s="10">
        <f t="shared" si="620"/>
        <v>0</v>
      </c>
      <c r="BS597" s="10">
        <f t="shared" si="620"/>
        <v>0</v>
      </c>
      <c r="BT597" s="10">
        <f t="shared" si="620"/>
        <v>0</v>
      </c>
      <c r="BU597" s="10">
        <f t="shared" si="620"/>
        <v>0</v>
      </c>
      <c r="BV597" s="10">
        <f t="shared" si="620"/>
        <v>0</v>
      </c>
      <c r="BX597" s="10">
        <f t="shared" ref="BX597:CI597" si="621">BX$429</f>
        <v>0</v>
      </c>
      <c r="BY597" s="10">
        <f t="shared" si="621"/>
        <v>0</v>
      </c>
      <c r="BZ597" s="10">
        <f t="shared" si="621"/>
        <v>0</v>
      </c>
      <c r="CA597" s="10">
        <f t="shared" si="621"/>
        <v>0</v>
      </c>
      <c r="CB597" s="10">
        <f t="shared" si="621"/>
        <v>0</v>
      </c>
      <c r="CC597" s="10">
        <f t="shared" si="621"/>
        <v>0</v>
      </c>
      <c r="CD597" s="10">
        <f t="shared" si="621"/>
        <v>0</v>
      </c>
      <c r="CE597" s="10">
        <f t="shared" si="621"/>
        <v>0</v>
      </c>
      <c r="CF597" s="10">
        <f t="shared" si="621"/>
        <v>0</v>
      </c>
      <c r="CG597" s="10">
        <f t="shared" si="621"/>
        <v>0</v>
      </c>
      <c r="CH597" s="10">
        <f t="shared" si="621"/>
        <v>0</v>
      </c>
      <c r="CI597" s="10">
        <f t="shared" si="621"/>
        <v>0</v>
      </c>
      <c r="CK597" s="11"/>
      <c r="CM597" s="11"/>
      <c r="DF597" s="11"/>
      <c r="EY597" s="10" t="str">
        <f t="shared" si="559"/>
        <v/>
      </c>
    </row>
    <row r="598" spans="2:155" ht="6.75" customHeight="1" x14ac:dyDescent="0.35">
      <c r="C598" s="211"/>
      <c r="D598" s="1"/>
      <c r="E598"/>
      <c r="F598"/>
      <c r="BY598" s="6"/>
      <c r="CK598" s="35"/>
      <c r="CM598" s="35"/>
      <c r="DF598" s="35"/>
      <c r="EY598" s="10" t="str">
        <f t="shared" si="559"/>
        <v/>
      </c>
    </row>
    <row r="599" spans="2:155" x14ac:dyDescent="0.35">
      <c r="C599" s="211"/>
      <c r="D599" s="50" t="str">
        <f>$D$69</f>
        <v>Interest Payable Closing Balance</v>
      </c>
      <c r="E599"/>
      <c r="F599"/>
      <c r="CK599" s="11"/>
      <c r="CM599" s="11"/>
      <c r="DF599" s="11"/>
      <c r="EY599" s="10" t="str">
        <f t="shared" si="559"/>
        <v/>
      </c>
    </row>
    <row r="600" spans="2:155" x14ac:dyDescent="0.35">
      <c r="B600" s="107" t="s">
        <v>1229</v>
      </c>
      <c r="C600" s="211"/>
      <c r="D600" s="5" t="str">
        <f>D$11</f>
        <v>Lender</v>
      </c>
      <c r="E600" s="5" t="str">
        <f>E$11</f>
        <v>Loan Category</v>
      </c>
      <c r="F600" s="5"/>
      <c r="CK600" s="11"/>
      <c r="CM600" s="11"/>
      <c r="DF600" s="11"/>
      <c r="EY600" s="10" t="str">
        <f t="shared" si="559"/>
        <v/>
      </c>
    </row>
    <row r="601" spans="2:155" x14ac:dyDescent="0.35">
      <c r="B601" s="69" t="str" cm="1">
        <f t="array" aca="1" ref="B601" ca="1">HYPERLINK(CONCATENATE("#",CELL("address",$D$56)),$D$56)</f>
        <v>Loan 1</v>
      </c>
      <c r="C601" s="211"/>
      <c r="D601" s="49">
        <f>D$13</f>
        <v>0</v>
      </c>
      <c r="E601" s="49" t="str">
        <f>F$13</f>
        <v/>
      </c>
      <c r="F601" s="49"/>
      <c r="H601" s="9" t="s">
        <v>1074</v>
      </c>
      <c r="I601" s="40" t="s">
        <v>665</v>
      </c>
      <c r="J601" s="54"/>
      <c r="V601" s="133">
        <f>V$69</f>
        <v>0</v>
      </c>
      <c r="W601" s="10">
        <f>W$69</f>
        <v>0</v>
      </c>
      <c r="X601" s="10">
        <f>X$69</f>
        <v>0</v>
      </c>
      <c r="Y601" s="133">
        <f>Y$69</f>
        <v>0</v>
      </c>
      <c r="AA601" s="10">
        <f t="shared" ref="AA601:BV601" si="622">AA$69</f>
        <v>0</v>
      </c>
      <c r="AB601" s="10">
        <f t="shared" si="622"/>
        <v>0</v>
      </c>
      <c r="AC601" s="10">
        <f t="shared" si="622"/>
        <v>0</v>
      </c>
      <c r="AD601" s="10">
        <f t="shared" si="622"/>
        <v>0</v>
      </c>
      <c r="AE601" s="10">
        <f t="shared" si="622"/>
        <v>0</v>
      </c>
      <c r="AF601" s="10">
        <f t="shared" si="622"/>
        <v>0</v>
      </c>
      <c r="AG601" s="10">
        <f t="shared" si="622"/>
        <v>0</v>
      </c>
      <c r="AH601" s="10">
        <f t="shared" si="622"/>
        <v>0</v>
      </c>
      <c r="AI601" s="10">
        <f t="shared" si="622"/>
        <v>0</v>
      </c>
      <c r="AJ601" s="10">
        <f t="shared" si="622"/>
        <v>0</v>
      </c>
      <c r="AK601" s="10">
        <f t="shared" si="622"/>
        <v>0</v>
      </c>
      <c r="AL601" s="10">
        <f t="shared" si="622"/>
        <v>0</v>
      </c>
      <c r="AM601" s="10">
        <f t="shared" si="622"/>
        <v>0</v>
      </c>
      <c r="AN601" s="10">
        <f t="shared" si="622"/>
        <v>0</v>
      </c>
      <c r="AO601" s="10">
        <f t="shared" si="622"/>
        <v>0</v>
      </c>
      <c r="AP601" s="10">
        <f t="shared" si="622"/>
        <v>0</v>
      </c>
      <c r="AQ601" s="10">
        <f t="shared" si="622"/>
        <v>0</v>
      </c>
      <c r="AR601" s="10">
        <f t="shared" si="622"/>
        <v>0</v>
      </c>
      <c r="AS601" s="10">
        <f t="shared" si="622"/>
        <v>0</v>
      </c>
      <c r="AT601" s="10">
        <f t="shared" si="622"/>
        <v>0</v>
      </c>
      <c r="AU601" s="10">
        <f t="shared" si="622"/>
        <v>0</v>
      </c>
      <c r="AV601" s="10">
        <f t="shared" si="622"/>
        <v>0</v>
      </c>
      <c r="AW601" s="10">
        <f t="shared" si="622"/>
        <v>0</v>
      </c>
      <c r="AX601" s="10">
        <f t="shared" si="622"/>
        <v>0</v>
      </c>
      <c r="AY601" s="10">
        <f t="shared" si="622"/>
        <v>0</v>
      </c>
      <c r="AZ601" s="10">
        <f t="shared" si="622"/>
        <v>0</v>
      </c>
      <c r="BA601" s="10">
        <f t="shared" si="622"/>
        <v>0</v>
      </c>
      <c r="BB601" s="10">
        <f t="shared" si="622"/>
        <v>0</v>
      </c>
      <c r="BC601" s="10">
        <f t="shared" si="622"/>
        <v>0</v>
      </c>
      <c r="BD601" s="10">
        <f t="shared" si="622"/>
        <v>0</v>
      </c>
      <c r="BE601" s="10">
        <f t="shared" si="622"/>
        <v>0</v>
      </c>
      <c r="BF601" s="10">
        <f t="shared" si="622"/>
        <v>0</v>
      </c>
      <c r="BG601" s="10">
        <f t="shared" si="622"/>
        <v>0</v>
      </c>
      <c r="BH601" s="10">
        <f t="shared" si="622"/>
        <v>0</v>
      </c>
      <c r="BI601" s="10">
        <f t="shared" si="622"/>
        <v>0</v>
      </c>
      <c r="BJ601" s="10">
        <f t="shared" si="622"/>
        <v>0</v>
      </c>
      <c r="BK601" s="10">
        <f t="shared" si="622"/>
        <v>0</v>
      </c>
      <c r="BL601" s="10">
        <f t="shared" si="622"/>
        <v>0</v>
      </c>
      <c r="BM601" s="10">
        <f t="shared" si="622"/>
        <v>0</v>
      </c>
      <c r="BN601" s="10">
        <f t="shared" si="622"/>
        <v>0</v>
      </c>
      <c r="BO601" s="10">
        <f t="shared" si="622"/>
        <v>0</v>
      </c>
      <c r="BP601" s="10">
        <f t="shared" si="622"/>
        <v>0</v>
      </c>
      <c r="BQ601" s="10">
        <f t="shared" si="622"/>
        <v>0</v>
      </c>
      <c r="BR601" s="10">
        <f t="shared" si="622"/>
        <v>0</v>
      </c>
      <c r="BS601" s="10">
        <f t="shared" si="622"/>
        <v>0</v>
      </c>
      <c r="BT601" s="10">
        <f t="shared" si="622"/>
        <v>0</v>
      </c>
      <c r="BU601" s="10">
        <f t="shared" si="622"/>
        <v>0</v>
      </c>
      <c r="BV601" s="10">
        <f t="shared" si="622"/>
        <v>0</v>
      </c>
      <c r="BX601" s="10">
        <f t="shared" ref="BX601:CI601" si="623">BX$69</f>
        <v>0</v>
      </c>
      <c r="BY601" s="10">
        <f t="shared" si="623"/>
        <v>0</v>
      </c>
      <c r="BZ601" s="10">
        <f t="shared" si="623"/>
        <v>0</v>
      </c>
      <c r="CA601" s="10">
        <f t="shared" si="623"/>
        <v>0</v>
      </c>
      <c r="CB601" s="10">
        <f t="shared" si="623"/>
        <v>0</v>
      </c>
      <c r="CC601" s="10">
        <f t="shared" si="623"/>
        <v>0</v>
      </c>
      <c r="CD601" s="10">
        <f t="shared" si="623"/>
        <v>0</v>
      </c>
      <c r="CE601" s="10">
        <f t="shared" si="623"/>
        <v>0</v>
      </c>
      <c r="CF601" s="10">
        <f t="shared" si="623"/>
        <v>0</v>
      </c>
      <c r="CG601" s="10">
        <f t="shared" si="623"/>
        <v>0</v>
      </c>
      <c r="CH601" s="10">
        <f t="shared" si="623"/>
        <v>0</v>
      </c>
      <c r="CI601" s="10">
        <f t="shared" si="623"/>
        <v>0</v>
      </c>
      <c r="CK601" s="11"/>
      <c r="CM601" s="11"/>
      <c r="DF601" s="11"/>
      <c r="EY601" s="10" t="str">
        <f t="shared" si="559"/>
        <v/>
      </c>
    </row>
    <row r="602" spans="2:155" x14ac:dyDescent="0.35">
      <c r="B602" s="69" t="str" cm="1">
        <f t="array" aca="1" ref="B602" ca="1">HYPERLINK(CONCATENATE("#",CELL("address",$D$75)),$D$75)</f>
        <v>Loan 2</v>
      </c>
      <c r="C602" s="211"/>
      <c r="D602" s="49">
        <f>D$14</f>
        <v>0</v>
      </c>
      <c r="E602" s="49" t="str">
        <f>F$14</f>
        <v/>
      </c>
      <c r="F602" s="49"/>
      <c r="H602" s="9" t="s">
        <v>1074</v>
      </c>
      <c r="I602" s="40" t="s">
        <v>665</v>
      </c>
      <c r="V602" s="133">
        <f>V$88</f>
        <v>0</v>
      </c>
      <c r="W602" s="10">
        <f>W$88</f>
        <v>0</v>
      </c>
      <c r="X602" s="10">
        <f>X$88</f>
        <v>0</v>
      </c>
      <c r="Y602" s="10">
        <f>Y$88</f>
        <v>0</v>
      </c>
      <c r="AA602" s="10">
        <f t="shared" ref="AA602:BV602" si="624">AA$88</f>
        <v>0</v>
      </c>
      <c r="AB602" s="10">
        <f t="shared" si="624"/>
        <v>0</v>
      </c>
      <c r="AC602" s="10">
        <f t="shared" si="624"/>
        <v>0</v>
      </c>
      <c r="AD602" s="10">
        <f t="shared" si="624"/>
        <v>0</v>
      </c>
      <c r="AE602" s="10">
        <f t="shared" si="624"/>
        <v>0</v>
      </c>
      <c r="AF602" s="10">
        <f t="shared" si="624"/>
        <v>0</v>
      </c>
      <c r="AG602" s="10">
        <f t="shared" si="624"/>
        <v>0</v>
      </c>
      <c r="AH602" s="10">
        <f t="shared" si="624"/>
        <v>0</v>
      </c>
      <c r="AI602" s="10">
        <f t="shared" si="624"/>
        <v>0</v>
      </c>
      <c r="AJ602" s="10">
        <f t="shared" si="624"/>
        <v>0</v>
      </c>
      <c r="AK602" s="10">
        <f t="shared" si="624"/>
        <v>0</v>
      </c>
      <c r="AL602" s="10">
        <f t="shared" si="624"/>
        <v>0</v>
      </c>
      <c r="AM602" s="10">
        <f t="shared" si="624"/>
        <v>0</v>
      </c>
      <c r="AN602" s="10">
        <f t="shared" si="624"/>
        <v>0</v>
      </c>
      <c r="AO602" s="10">
        <f t="shared" si="624"/>
        <v>0</v>
      </c>
      <c r="AP602" s="10">
        <f t="shared" si="624"/>
        <v>0</v>
      </c>
      <c r="AQ602" s="10">
        <f t="shared" si="624"/>
        <v>0</v>
      </c>
      <c r="AR602" s="10">
        <f t="shared" si="624"/>
        <v>0</v>
      </c>
      <c r="AS602" s="10">
        <f t="shared" si="624"/>
        <v>0</v>
      </c>
      <c r="AT602" s="10">
        <f t="shared" si="624"/>
        <v>0</v>
      </c>
      <c r="AU602" s="10">
        <f t="shared" si="624"/>
        <v>0</v>
      </c>
      <c r="AV602" s="10">
        <f t="shared" si="624"/>
        <v>0</v>
      </c>
      <c r="AW602" s="10">
        <f t="shared" si="624"/>
        <v>0</v>
      </c>
      <c r="AX602" s="10">
        <f t="shared" si="624"/>
        <v>0</v>
      </c>
      <c r="AY602" s="10">
        <f t="shared" si="624"/>
        <v>0</v>
      </c>
      <c r="AZ602" s="10">
        <f t="shared" si="624"/>
        <v>0</v>
      </c>
      <c r="BA602" s="10">
        <f t="shared" si="624"/>
        <v>0</v>
      </c>
      <c r="BB602" s="10">
        <f t="shared" si="624"/>
        <v>0</v>
      </c>
      <c r="BC602" s="10">
        <f t="shared" si="624"/>
        <v>0</v>
      </c>
      <c r="BD602" s="10">
        <f t="shared" si="624"/>
        <v>0</v>
      </c>
      <c r="BE602" s="10">
        <f t="shared" si="624"/>
        <v>0</v>
      </c>
      <c r="BF602" s="10">
        <f t="shared" si="624"/>
        <v>0</v>
      </c>
      <c r="BG602" s="10">
        <f t="shared" si="624"/>
        <v>0</v>
      </c>
      <c r="BH602" s="10">
        <f t="shared" si="624"/>
        <v>0</v>
      </c>
      <c r="BI602" s="10">
        <f t="shared" si="624"/>
        <v>0</v>
      </c>
      <c r="BJ602" s="10">
        <f t="shared" si="624"/>
        <v>0</v>
      </c>
      <c r="BK602" s="10">
        <f t="shared" si="624"/>
        <v>0</v>
      </c>
      <c r="BL602" s="10">
        <f t="shared" si="624"/>
        <v>0</v>
      </c>
      <c r="BM602" s="10">
        <f t="shared" si="624"/>
        <v>0</v>
      </c>
      <c r="BN602" s="10">
        <f t="shared" si="624"/>
        <v>0</v>
      </c>
      <c r="BO602" s="10">
        <f t="shared" si="624"/>
        <v>0</v>
      </c>
      <c r="BP602" s="10">
        <f t="shared" si="624"/>
        <v>0</v>
      </c>
      <c r="BQ602" s="10">
        <f t="shared" si="624"/>
        <v>0</v>
      </c>
      <c r="BR602" s="10">
        <f t="shared" si="624"/>
        <v>0</v>
      </c>
      <c r="BS602" s="10">
        <f t="shared" si="624"/>
        <v>0</v>
      </c>
      <c r="BT602" s="10">
        <f t="shared" si="624"/>
        <v>0</v>
      </c>
      <c r="BU602" s="10">
        <f t="shared" si="624"/>
        <v>0</v>
      </c>
      <c r="BV602" s="10">
        <f t="shared" si="624"/>
        <v>0</v>
      </c>
      <c r="BX602" s="10">
        <f t="shared" ref="BX602:CI602" si="625">BX$88</f>
        <v>0</v>
      </c>
      <c r="BY602" s="10">
        <f t="shared" si="625"/>
        <v>0</v>
      </c>
      <c r="BZ602" s="10">
        <f t="shared" si="625"/>
        <v>0</v>
      </c>
      <c r="CA602" s="10">
        <f t="shared" si="625"/>
        <v>0</v>
      </c>
      <c r="CB602" s="10">
        <f t="shared" si="625"/>
        <v>0</v>
      </c>
      <c r="CC602" s="10">
        <f t="shared" si="625"/>
        <v>0</v>
      </c>
      <c r="CD602" s="10">
        <f t="shared" si="625"/>
        <v>0</v>
      </c>
      <c r="CE602" s="10">
        <f t="shared" si="625"/>
        <v>0</v>
      </c>
      <c r="CF602" s="10">
        <f t="shared" si="625"/>
        <v>0</v>
      </c>
      <c r="CG602" s="10">
        <f t="shared" si="625"/>
        <v>0</v>
      </c>
      <c r="CH602" s="10">
        <f t="shared" si="625"/>
        <v>0</v>
      </c>
      <c r="CI602" s="10">
        <f t="shared" si="625"/>
        <v>0</v>
      </c>
      <c r="CK602" s="11"/>
      <c r="CM602" s="11"/>
      <c r="DF602" s="11"/>
      <c r="EY602" s="10" t="str">
        <f t="shared" si="559"/>
        <v/>
      </c>
    </row>
    <row r="603" spans="2:155" x14ac:dyDescent="0.35">
      <c r="B603" s="69" t="str" cm="1">
        <f t="array" aca="1" ref="B603" ca="1">HYPERLINK(CONCATENATE("#",CELL("address",$D$94)),$D$94)</f>
        <v>Loan 3</v>
      </c>
      <c r="C603" s="211"/>
      <c r="D603" s="49">
        <f>D$15</f>
        <v>0</v>
      </c>
      <c r="E603" s="49" t="str">
        <f>F$15</f>
        <v/>
      </c>
      <c r="F603" s="49"/>
      <c r="H603" s="9" t="s">
        <v>1074</v>
      </c>
      <c r="I603" s="40" t="s">
        <v>665</v>
      </c>
      <c r="V603" s="133">
        <f>V$107</f>
        <v>0</v>
      </c>
      <c r="W603" s="10">
        <f>W$107</f>
        <v>0</v>
      </c>
      <c r="X603" s="10">
        <f>X$107</f>
        <v>0</v>
      </c>
      <c r="Y603" s="10">
        <f>Y$107</f>
        <v>0</v>
      </c>
      <c r="AA603" s="10">
        <f t="shared" ref="AA603:BV603" si="626">AA$107</f>
        <v>0</v>
      </c>
      <c r="AB603" s="10">
        <f t="shared" si="626"/>
        <v>0</v>
      </c>
      <c r="AC603" s="10">
        <f t="shared" si="626"/>
        <v>0</v>
      </c>
      <c r="AD603" s="10">
        <f t="shared" si="626"/>
        <v>0</v>
      </c>
      <c r="AE603" s="10">
        <f t="shared" si="626"/>
        <v>0</v>
      </c>
      <c r="AF603" s="10">
        <f t="shared" si="626"/>
        <v>0</v>
      </c>
      <c r="AG603" s="10">
        <f t="shared" si="626"/>
        <v>0</v>
      </c>
      <c r="AH603" s="10">
        <f t="shared" si="626"/>
        <v>0</v>
      </c>
      <c r="AI603" s="10">
        <f t="shared" si="626"/>
        <v>0</v>
      </c>
      <c r="AJ603" s="10">
        <f t="shared" si="626"/>
        <v>0</v>
      </c>
      <c r="AK603" s="10">
        <f t="shared" si="626"/>
        <v>0</v>
      </c>
      <c r="AL603" s="10">
        <f t="shared" si="626"/>
        <v>0</v>
      </c>
      <c r="AM603" s="10">
        <f t="shared" si="626"/>
        <v>0</v>
      </c>
      <c r="AN603" s="10">
        <f t="shared" si="626"/>
        <v>0</v>
      </c>
      <c r="AO603" s="10">
        <f t="shared" si="626"/>
        <v>0</v>
      </c>
      <c r="AP603" s="10">
        <f t="shared" si="626"/>
        <v>0</v>
      </c>
      <c r="AQ603" s="10">
        <f t="shared" si="626"/>
        <v>0</v>
      </c>
      <c r="AR603" s="10">
        <f t="shared" si="626"/>
        <v>0</v>
      </c>
      <c r="AS603" s="10">
        <f t="shared" si="626"/>
        <v>0</v>
      </c>
      <c r="AT603" s="10">
        <f t="shared" si="626"/>
        <v>0</v>
      </c>
      <c r="AU603" s="10">
        <f t="shared" si="626"/>
        <v>0</v>
      </c>
      <c r="AV603" s="10">
        <f t="shared" si="626"/>
        <v>0</v>
      </c>
      <c r="AW603" s="10">
        <f t="shared" si="626"/>
        <v>0</v>
      </c>
      <c r="AX603" s="10">
        <f t="shared" si="626"/>
        <v>0</v>
      </c>
      <c r="AY603" s="10">
        <f t="shared" si="626"/>
        <v>0</v>
      </c>
      <c r="AZ603" s="10">
        <f t="shared" si="626"/>
        <v>0</v>
      </c>
      <c r="BA603" s="10">
        <f t="shared" si="626"/>
        <v>0</v>
      </c>
      <c r="BB603" s="10">
        <f t="shared" si="626"/>
        <v>0</v>
      </c>
      <c r="BC603" s="10">
        <f t="shared" si="626"/>
        <v>0</v>
      </c>
      <c r="BD603" s="10">
        <f t="shared" si="626"/>
        <v>0</v>
      </c>
      <c r="BE603" s="10">
        <f t="shared" si="626"/>
        <v>0</v>
      </c>
      <c r="BF603" s="10">
        <f t="shared" si="626"/>
        <v>0</v>
      </c>
      <c r="BG603" s="10">
        <f t="shared" si="626"/>
        <v>0</v>
      </c>
      <c r="BH603" s="10">
        <f t="shared" si="626"/>
        <v>0</v>
      </c>
      <c r="BI603" s="10">
        <f t="shared" si="626"/>
        <v>0</v>
      </c>
      <c r="BJ603" s="10">
        <f t="shared" si="626"/>
        <v>0</v>
      </c>
      <c r="BK603" s="10">
        <f t="shared" si="626"/>
        <v>0</v>
      </c>
      <c r="BL603" s="10">
        <f t="shared" si="626"/>
        <v>0</v>
      </c>
      <c r="BM603" s="10">
        <f t="shared" si="626"/>
        <v>0</v>
      </c>
      <c r="BN603" s="10">
        <f t="shared" si="626"/>
        <v>0</v>
      </c>
      <c r="BO603" s="10">
        <f t="shared" si="626"/>
        <v>0</v>
      </c>
      <c r="BP603" s="10">
        <f t="shared" si="626"/>
        <v>0</v>
      </c>
      <c r="BQ603" s="10">
        <f t="shared" si="626"/>
        <v>0</v>
      </c>
      <c r="BR603" s="10">
        <f t="shared" si="626"/>
        <v>0</v>
      </c>
      <c r="BS603" s="10">
        <f t="shared" si="626"/>
        <v>0</v>
      </c>
      <c r="BT603" s="10">
        <f t="shared" si="626"/>
        <v>0</v>
      </c>
      <c r="BU603" s="10">
        <f t="shared" si="626"/>
        <v>0</v>
      </c>
      <c r="BV603" s="10">
        <f t="shared" si="626"/>
        <v>0</v>
      </c>
      <c r="BX603" s="10">
        <f t="shared" ref="BX603:CI603" si="627">BX$107</f>
        <v>0</v>
      </c>
      <c r="BY603" s="10">
        <f t="shared" si="627"/>
        <v>0</v>
      </c>
      <c r="BZ603" s="10">
        <f t="shared" si="627"/>
        <v>0</v>
      </c>
      <c r="CA603" s="10">
        <f t="shared" si="627"/>
        <v>0</v>
      </c>
      <c r="CB603" s="10">
        <f t="shared" si="627"/>
        <v>0</v>
      </c>
      <c r="CC603" s="10">
        <f t="shared" si="627"/>
        <v>0</v>
      </c>
      <c r="CD603" s="10">
        <f t="shared" si="627"/>
        <v>0</v>
      </c>
      <c r="CE603" s="10">
        <f t="shared" si="627"/>
        <v>0</v>
      </c>
      <c r="CF603" s="10">
        <f t="shared" si="627"/>
        <v>0</v>
      </c>
      <c r="CG603" s="10">
        <f t="shared" si="627"/>
        <v>0</v>
      </c>
      <c r="CH603" s="10">
        <f t="shared" si="627"/>
        <v>0</v>
      </c>
      <c r="CI603" s="10">
        <f t="shared" si="627"/>
        <v>0</v>
      </c>
      <c r="CK603" s="11"/>
      <c r="CM603" s="11"/>
      <c r="DF603" s="11"/>
      <c r="EY603" s="10" t="str">
        <f t="shared" si="559"/>
        <v/>
      </c>
    </row>
    <row r="604" spans="2:155" x14ac:dyDescent="0.35">
      <c r="B604" s="69" t="str" cm="1">
        <f t="array" aca="1" ref="B604" ca="1">HYPERLINK(CONCATENATE("#",CELL("address",$D$113)),$D$113)</f>
        <v>Loan 4</v>
      </c>
      <c r="C604" s="211"/>
      <c r="D604" s="49">
        <f>D$16</f>
        <v>0</v>
      </c>
      <c r="E604" s="49" t="str">
        <f>F$16</f>
        <v/>
      </c>
      <c r="F604" s="49"/>
      <c r="H604" s="9" t="s">
        <v>1074</v>
      </c>
      <c r="I604" s="40" t="s">
        <v>665</v>
      </c>
      <c r="V604" s="133">
        <f>V$126</f>
        <v>0</v>
      </c>
      <c r="W604" s="10">
        <f>W$126</f>
        <v>0</v>
      </c>
      <c r="X604" s="10">
        <f>X$126</f>
        <v>0</v>
      </c>
      <c r="Y604" s="10">
        <f>Y$126</f>
        <v>0</v>
      </c>
      <c r="AA604" s="10">
        <f t="shared" ref="AA604:BV604" si="628">AA$126</f>
        <v>0</v>
      </c>
      <c r="AB604" s="10">
        <f t="shared" si="628"/>
        <v>0</v>
      </c>
      <c r="AC604" s="10">
        <f t="shared" si="628"/>
        <v>0</v>
      </c>
      <c r="AD604" s="10">
        <f t="shared" si="628"/>
        <v>0</v>
      </c>
      <c r="AE604" s="10">
        <f t="shared" si="628"/>
        <v>0</v>
      </c>
      <c r="AF604" s="10">
        <f t="shared" si="628"/>
        <v>0</v>
      </c>
      <c r="AG604" s="10">
        <f t="shared" si="628"/>
        <v>0</v>
      </c>
      <c r="AH604" s="10">
        <f t="shared" si="628"/>
        <v>0</v>
      </c>
      <c r="AI604" s="10">
        <f t="shared" si="628"/>
        <v>0</v>
      </c>
      <c r="AJ604" s="10">
        <f t="shared" si="628"/>
        <v>0</v>
      </c>
      <c r="AK604" s="10">
        <f t="shared" si="628"/>
        <v>0</v>
      </c>
      <c r="AL604" s="10">
        <f t="shared" si="628"/>
        <v>0</v>
      </c>
      <c r="AM604" s="10">
        <f t="shared" si="628"/>
        <v>0</v>
      </c>
      <c r="AN604" s="10">
        <f t="shared" si="628"/>
        <v>0</v>
      </c>
      <c r="AO604" s="10">
        <f t="shared" si="628"/>
        <v>0</v>
      </c>
      <c r="AP604" s="10">
        <f t="shared" si="628"/>
        <v>0</v>
      </c>
      <c r="AQ604" s="10">
        <f t="shared" si="628"/>
        <v>0</v>
      </c>
      <c r="AR604" s="10">
        <f t="shared" si="628"/>
        <v>0</v>
      </c>
      <c r="AS604" s="10">
        <f t="shared" si="628"/>
        <v>0</v>
      </c>
      <c r="AT604" s="10">
        <f t="shared" si="628"/>
        <v>0</v>
      </c>
      <c r="AU604" s="10">
        <f t="shared" si="628"/>
        <v>0</v>
      </c>
      <c r="AV604" s="10">
        <f t="shared" si="628"/>
        <v>0</v>
      </c>
      <c r="AW604" s="10">
        <f t="shared" si="628"/>
        <v>0</v>
      </c>
      <c r="AX604" s="10">
        <f t="shared" si="628"/>
        <v>0</v>
      </c>
      <c r="AY604" s="10">
        <f t="shared" si="628"/>
        <v>0</v>
      </c>
      <c r="AZ604" s="10">
        <f t="shared" si="628"/>
        <v>0</v>
      </c>
      <c r="BA604" s="10">
        <f t="shared" si="628"/>
        <v>0</v>
      </c>
      <c r="BB604" s="10">
        <f t="shared" si="628"/>
        <v>0</v>
      </c>
      <c r="BC604" s="10">
        <f t="shared" si="628"/>
        <v>0</v>
      </c>
      <c r="BD604" s="10">
        <f t="shared" si="628"/>
        <v>0</v>
      </c>
      <c r="BE604" s="10">
        <f t="shared" si="628"/>
        <v>0</v>
      </c>
      <c r="BF604" s="10">
        <f t="shared" si="628"/>
        <v>0</v>
      </c>
      <c r="BG604" s="10">
        <f t="shared" si="628"/>
        <v>0</v>
      </c>
      <c r="BH604" s="10">
        <f t="shared" si="628"/>
        <v>0</v>
      </c>
      <c r="BI604" s="10">
        <f t="shared" si="628"/>
        <v>0</v>
      </c>
      <c r="BJ604" s="10">
        <f t="shared" si="628"/>
        <v>0</v>
      </c>
      <c r="BK604" s="10">
        <f t="shared" si="628"/>
        <v>0</v>
      </c>
      <c r="BL604" s="10">
        <f t="shared" si="628"/>
        <v>0</v>
      </c>
      <c r="BM604" s="10">
        <f t="shared" si="628"/>
        <v>0</v>
      </c>
      <c r="BN604" s="10">
        <f t="shared" si="628"/>
        <v>0</v>
      </c>
      <c r="BO604" s="10">
        <f t="shared" si="628"/>
        <v>0</v>
      </c>
      <c r="BP604" s="10">
        <f t="shared" si="628"/>
        <v>0</v>
      </c>
      <c r="BQ604" s="10">
        <f t="shared" si="628"/>
        <v>0</v>
      </c>
      <c r="BR604" s="10">
        <f t="shared" si="628"/>
        <v>0</v>
      </c>
      <c r="BS604" s="10">
        <f t="shared" si="628"/>
        <v>0</v>
      </c>
      <c r="BT604" s="10">
        <f t="shared" si="628"/>
        <v>0</v>
      </c>
      <c r="BU604" s="10">
        <f t="shared" si="628"/>
        <v>0</v>
      </c>
      <c r="BV604" s="10">
        <f t="shared" si="628"/>
        <v>0</v>
      </c>
      <c r="BX604" s="10">
        <f t="shared" ref="BX604:CI604" si="629">BX$126</f>
        <v>0</v>
      </c>
      <c r="BY604" s="10">
        <f t="shared" si="629"/>
        <v>0</v>
      </c>
      <c r="BZ604" s="10">
        <f t="shared" si="629"/>
        <v>0</v>
      </c>
      <c r="CA604" s="10">
        <f t="shared" si="629"/>
        <v>0</v>
      </c>
      <c r="CB604" s="10">
        <f t="shared" si="629"/>
        <v>0</v>
      </c>
      <c r="CC604" s="10">
        <f t="shared" si="629"/>
        <v>0</v>
      </c>
      <c r="CD604" s="10">
        <f t="shared" si="629"/>
        <v>0</v>
      </c>
      <c r="CE604" s="10">
        <f t="shared" si="629"/>
        <v>0</v>
      </c>
      <c r="CF604" s="10">
        <f t="shared" si="629"/>
        <v>0</v>
      </c>
      <c r="CG604" s="10">
        <f t="shared" si="629"/>
        <v>0</v>
      </c>
      <c r="CH604" s="10">
        <f t="shared" si="629"/>
        <v>0</v>
      </c>
      <c r="CI604" s="10">
        <f t="shared" si="629"/>
        <v>0</v>
      </c>
      <c r="CK604" s="11"/>
      <c r="CM604" s="11"/>
      <c r="DF604" s="11"/>
      <c r="EY604" s="10" t="str">
        <f t="shared" si="559"/>
        <v/>
      </c>
    </row>
    <row r="605" spans="2:155" x14ac:dyDescent="0.35">
      <c r="B605" s="69" t="str" cm="1">
        <f t="array" aca="1" ref="B605" ca="1">HYPERLINK(CONCATENATE("#",CELL("address",$D$132)),$D$132)</f>
        <v>Loan 5</v>
      </c>
      <c r="C605" s="211"/>
      <c r="D605" s="49">
        <f>D$17</f>
        <v>0</v>
      </c>
      <c r="E605" s="49" t="str">
        <f>F$17</f>
        <v/>
      </c>
      <c r="F605" s="49"/>
      <c r="H605" s="9" t="s">
        <v>1074</v>
      </c>
      <c r="I605" s="40" t="s">
        <v>665</v>
      </c>
      <c r="V605" s="133">
        <f>V$145</f>
        <v>0</v>
      </c>
      <c r="W605" s="10">
        <f>W$145</f>
        <v>0</v>
      </c>
      <c r="X605" s="10">
        <f>X$145</f>
        <v>0</v>
      </c>
      <c r="Y605" s="10">
        <f>Y$145</f>
        <v>0</v>
      </c>
      <c r="AA605" s="10">
        <f t="shared" ref="AA605:BV605" si="630">AA$145</f>
        <v>0</v>
      </c>
      <c r="AB605" s="10">
        <f t="shared" si="630"/>
        <v>0</v>
      </c>
      <c r="AC605" s="10">
        <f t="shared" si="630"/>
        <v>0</v>
      </c>
      <c r="AD605" s="10">
        <f t="shared" si="630"/>
        <v>0</v>
      </c>
      <c r="AE605" s="10">
        <f t="shared" si="630"/>
        <v>0</v>
      </c>
      <c r="AF605" s="10">
        <f t="shared" si="630"/>
        <v>0</v>
      </c>
      <c r="AG605" s="10">
        <f t="shared" si="630"/>
        <v>0</v>
      </c>
      <c r="AH605" s="10">
        <f t="shared" si="630"/>
        <v>0</v>
      </c>
      <c r="AI605" s="10">
        <f t="shared" si="630"/>
        <v>0</v>
      </c>
      <c r="AJ605" s="10">
        <f t="shared" si="630"/>
        <v>0</v>
      </c>
      <c r="AK605" s="10">
        <f t="shared" si="630"/>
        <v>0</v>
      </c>
      <c r="AL605" s="10">
        <f t="shared" si="630"/>
        <v>0</v>
      </c>
      <c r="AM605" s="10">
        <f t="shared" si="630"/>
        <v>0</v>
      </c>
      <c r="AN605" s="10">
        <f t="shared" si="630"/>
        <v>0</v>
      </c>
      <c r="AO605" s="10">
        <f t="shared" si="630"/>
        <v>0</v>
      </c>
      <c r="AP605" s="10">
        <f t="shared" si="630"/>
        <v>0</v>
      </c>
      <c r="AQ605" s="10">
        <f t="shared" si="630"/>
        <v>0</v>
      </c>
      <c r="AR605" s="10">
        <f t="shared" si="630"/>
        <v>0</v>
      </c>
      <c r="AS605" s="10">
        <f t="shared" si="630"/>
        <v>0</v>
      </c>
      <c r="AT605" s="10">
        <f t="shared" si="630"/>
        <v>0</v>
      </c>
      <c r="AU605" s="10">
        <f t="shared" si="630"/>
        <v>0</v>
      </c>
      <c r="AV605" s="10">
        <f t="shared" si="630"/>
        <v>0</v>
      </c>
      <c r="AW605" s="10">
        <f t="shared" si="630"/>
        <v>0</v>
      </c>
      <c r="AX605" s="10">
        <f t="shared" si="630"/>
        <v>0</v>
      </c>
      <c r="AY605" s="10">
        <f t="shared" si="630"/>
        <v>0</v>
      </c>
      <c r="AZ605" s="10">
        <f t="shared" si="630"/>
        <v>0</v>
      </c>
      <c r="BA605" s="10">
        <f t="shared" si="630"/>
        <v>0</v>
      </c>
      <c r="BB605" s="10">
        <f t="shared" si="630"/>
        <v>0</v>
      </c>
      <c r="BC605" s="10">
        <f t="shared" si="630"/>
        <v>0</v>
      </c>
      <c r="BD605" s="10">
        <f t="shared" si="630"/>
        <v>0</v>
      </c>
      <c r="BE605" s="10">
        <f t="shared" si="630"/>
        <v>0</v>
      </c>
      <c r="BF605" s="10">
        <f t="shared" si="630"/>
        <v>0</v>
      </c>
      <c r="BG605" s="10">
        <f t="shared" si="630"/>
        <v>0</v>
      </c>
      <c r="BH605" s="10">
        <f t="shared" si="630"/>
        <v>0</v>
      </c>
      <c r="BI605" s="10">
        <f t="shared" si="630"/>
        <v>0</v>
      </c>
      <c r="BJ605" s="10">
        <f t="shared" si="630"/>
        <v>0</v>
      </c>
      <c r="BK605" s="10">
        <f t="shared" si="630"/>
        <v>0</v>
      </c>
      <c r="BL605" s="10">
        <f t="shared" si="630"/>
        <v>0</v>
      </c>
      <c r="BM605" s="10">
        <f t="shared" si="630"/>
        <v>0</v>
      </c>
      <c r="BN605" s="10">
        <f t="shared" si="630"/>
        <v>0</v>
      </c>
      <c r="BO605" s="10">
        <f t="shared" si="630"/>
        <v>0</v>
      </c>
      <c r="BP605" s="10">
        <f t="shared" si="630"/>
        <v>0</v>
      </c>
      <c r="BQ605" s="10">
        <f t="shared" si="630"/>
        <v>0</v>
      </c>
      <c r="BR605" s="10">
        <f t="shared" si="630"/>
        <v>0</v>
      </c>
      <c r="BS605" s="10">
        <f t="shared" si="630"/>
        <v>0</v>
      </c>
      <c r="BT605" s="10">
        <f t="shared" si="630"/>
        <v>0</v>
      </c>
      <c r="BU605" s="10">
        <f t="shared" si="630"/>
        <v>0</v>
      </c>
      <c r="BV605" s="10">
        <f t="shared" si="630"/>
        <v>0</v>
      </c>
      <c r="BX605" s="10">
        <f t="shared" ref="BX605:CI605" si="631">BX$145</f>
        <v>0</v>
      </c>
      <c r="BY605" s="10">
        <f t="shared" si="631"/>
        <v>0</v>
      </c>
      <c r="BZ605" s="10">
        <f t="shared" si="631"/>
        <v>0</v>
      </c>
      <c r="CA605" s="10">
        <f t="shared" si="631"/>
        <v>0</v>
      </c>
      <c r="CB605" s="10">
        <f t="shared" si="631"/>
        <v>0</v>
      </c>
      <c r="CC605" s="10">
        <f t="shared" si="631"/>
        <v>0</v>
      </c>
      <c r="CD605" s="10">
        <f t="shared" si="631"/>
        <v>0</v>
      </c>
      <c r="CE605" s="10">
        <f t="shared" si="631"/>
        <v>0</v>
      </c>
      <c r="CF605" s="10">
        <f t="shared" si="631"/>
        <v>0</v>
      </c>
      <c r="CG605" s="10">
        <f t="shared" si="631"/>
        <v>0</v>
      </c>
      <c r="CH605" s="10">
        <f t="shared" si="631"/>
        <v>0</v>
      </c>
      <c r="CI605" s="10">
        <f t="shared" si="631"/>
        <v>0</v>
      </c>
      <c r="CK605" s="11"/>
      <c r="CM605" s="11"/>
      <c r="DF605" s="11"/>
      <c r="EY605" s="10" t="str">
        <f t="shared" si="559"/>
        <v/>
      </c>
    </row>
    <row r="606" spans="2:155" x14ac:dyDescent="0.35">
      <c r="B606" s="69" t="str" cm="1">
        <f t="array" aca="1" ref="B606" ca="1">HYPERLINK(CONCATENATE("#",CELL("address",$D$151)),$D$151)</f>
        <v>Loan 6</v>
      </c>
      <c r="C606" s="211"/>
      <c r="D606" s="49">
        <f>D$18</f>
        <v>0</v>
      </c>
      <c r="E606" s="49" t="str">
        <f>F$18</f>
        <v/>
      </c>
      <c r="F606" s="49"/>
      <c r="H606" s="9" t="s">
        <v>1074</v>
      </c>
      <c r="I606" s="40" t="s">
        <v>665</v>
      </c>
      <c r="V606" s="133">
        <f>V$164</f>
        <v>0</v>
      </c>
      <c r="W606" s="10">
        <f>W$164</f>
        <v>0</v>
      </c>
      <c r="X606" s="10">
        <f>X$164</f>
        <v>0</v>
      </c>
      <c r="Y606" s="10">
        <f>Y$164</f>
        <v>0</v>
      </c>
      <c r="AA606" s="10">
        <f t="shared" ref="AA606:BV606" si="632">AA$164</f>
        <v>0</v>
      </c>
      <c r="AB606" s="10">
        <f t="shared" si="632"/>
        <v>0</v>
      </c>
      <c r="AC606" s="10">
        <f t="shared" si="632"/>
        <v>0</v>
      </c>
      <c r="AD606" s="10">
        <f t="shared" si="632"/>
        <v>0</v>
      </c>
      <c r="AE606" s="10">
        <f t="shared" si="632"/>
        <v>0</v>
      </c>
      <c r="AF606" s="10">
        <f t="shared" si="632"/>
        <v>0</v>
      </c>
      <c r="AG606" s="10">
        <f t="shared" si="632"/>
        <v>0</v>
      </c>
      <c r="AH606" s="10">
        <f t="shared" si="632"/>
        <v>0</v>
      </c>
      <c r="AI606" s="10">
        <f t="shared" si="632"/>
        <v>0</v>
      </c>
      <c r="AJ606" s="10">
        <f t="shared" si="632"/>
        <v>0</v>
      </c>
      <c r="AK606" s="10">
        <f t="shared" si="632"/>
        <v>0</v>
      </c>
      <c r="AL606" s="10">
        <f t="shared" si="632"/>
        <v>0</v>
      </c>
      <c r="AM606" s="10">
        <f t="shared" si="632"/>
        <v>0</v>
      </c>
      <c r="AN606" s="10">
        <f t="shared" si="632"/>
        <v>0</v>
      </c>
      <c r="AO606" s="10">
        <f t="shared" si="632"/>
        <v>0</v>
      </c>
      <c r="AP606" s="10">
        <f t="shared" si="632"/>
        <v>0</v>
      </c>
      <c r="AQ606" s="10">
        <f t="shared" si="632"/>
        <v>0</v>
      </c>
      <c r="AR606" s="10">
        <f t="shared" si="632"/>
        <v>0</v>
      </c>
      <c r="AS606" s="10">
        <f t="shared" si="632"/>
        <v>0</v>
      </c>
      <c r="AT606" s="10">
        <f t="shared" si="632"/>
        <v>0</v>
      </c>
      <c r="AU606" s="10">
        <f t="shared" si="632"/>
        <v>0</v>
      </c>
      <c r="AV606" s="10">
        <f t="shared" si="632"/>
        <v>0</v>
      </c>
      <c r="AW606" s="10">
        <f t="shared" si="632"/>
        <v>0</v>
      </c>
      <c r="AX606" s="10">
        <f t="shared" si="632"/>
        <v>0</v>
      </c>
      <c r="AY606" s="10">
        <f t="shared" si="632"/>
        <v>0</v>
      </c>
      <c r="AZ606" s="10">
        <f t="shared" si="632"/>
        <v>0</v>
      </c>
      <c r="BA606" s="10">
        <f t="shared" si="632"/>
        <v>0</v>
      </c>
      <c r="BB606" s="10">
        <f t="shared" si="632"/>
        <v>0</v>
      </c>
      <c r="BC606" s="10">
        <f t="shared" si="632"/>
        <v>0</v>
      </c>
      <c r="BD606" s="10">
        <f t="shared" si="632"/>
        <v>0</v>
      </c>
      <c r="BE606" s="10">
        <f t="shared" si="632"/>
        <v>0</v>
      </c>
      <c r="BF606" s="10">
        <f t="shared" si="632"/>
        <v>0</v>
      </c>
      <c r="BG606" s="10">
        <f t="shared" si="632"/>
        <v>0</v>
      </c>
      <c r="BH606" s="10">
        <f t="shared" si="632"/>
        <v>0</v>
      </c>
      <c r="BI606" s="10">
        <f t="shared" si="632"/>
        <v>0</v>
      </c>
      <c r="BJ606" s="10">
        <f t="shared" si="632"/>
        <v>0</v>
      </c>
      <c r="BK606" s="10">
        <f t="shared" si="632"/>
        <v>0</v>
      </c>
      <c r="BL606" s="10">
        <f t="shared" si="632"/>
        <v>0</v>
      </c>
      <c r="BM606" s="10">
        <f t="shared" si="632"/>
        <v>0</v>
      </c>
      <c r="BN606" s="10">
        <f t="shared" si="632"/>
        <v>0</v>
      </c>
      <c r="BO606" s="10">
        <f t="shared" si="632"/>
        <v>0</v>
      </c>
      <c r="BP606" s="10">
        <f t="shared" si="632"/>
        <v>0</v>
      </c>
      <c r="BQ606" s="10">
        <f t="shared" si="632"/>
        <v>0</v>
      </c>
      <c r="BR606" s="10">
        <f t="shared" si="632"/>
        <v>0</v>
      </c>
      <c r="BS606" s="10">
        <f t="shared" si="632"/>
        <v>0</v>
      </c>
      <c r="BT606" s="10">
        <f t="shared" si="632"/>
        <v>0</v>
      </c>
      <c r="BU606" s="10">
        <f t="shared" si="632"/>
        <v>0</v>
      </c>
      <c r="BV606" s="10">
        <f t="shared" si="632"/>
        <v>0</v>
      </c>
      <c r="BX606" s="10">
        <f t="shared" ref="BX606:CI606" si="633">BX$164</f>
        <v>0</v>
      </c>
      <c r="BY606" s="10">
        <f t="shared" si="633"/>
        <v>0</v>
      </c>
      <c r="BZ606" s="10">
        <f t="shared" si="633"/>
        <v>0</v>
      </c>
      <c r="CA606" s="10">
        <f t="shared" si="633"/>
        <v>0</v>
      </c>
      <c r="CB606" s="10">
        <f t="shared" si="633"/>
        <v>0</v>
      </c>
      <c r="CC606" s="10">
        <f t="shared" si="633"/>
        <v>0</v>
      </c>
      <c r="CD606" s="10">
        <f t="shared" si="633"/>
        <v>0</v>
      </c>
      <c r="CE606" s="10">
        <f t="shared" si="633"/>
        <v>0</v>
      </c>
      <c r="CF606" s="10">
        <f t="shared" si="633"/>
        <v>0</v>
      </c>
      <c r="CG606" s="10">
        <f t="shared" si="633"/>
        <v>0</v>
      </c>
      <c r="CH606" s="10">
        <f t="shared" si="633"/>
        <v>0</v>
      </c>
      <c r="CI606" s="10">
        <f t="shared" si="633"/>
        <v>0</v>
      </c>
      <c r="CK606" s="11"/>
      <c r="CM606" s="11"/>
      <c r="DF606" s="11"/>
      <c r="EY606" s="10" t="str">
        <f t="shared" si="559"/>
        <v/>
      </c>
    </row>
    <row r="607" spans="2:155" x14ac:dyDescent="0.35">
      <c r="B607" s="69" t="str" cm="1">
        <f t="array" aca="1" ref="B607" ca="1">HYPERLINK(CONCATENATE("#",CELL("address",$D$170)),$D$170)</f>
        <v>Loan 7</v>
      </c>
      <c r="C607" s="211"/>
      <c r="D607" s="49">
        <f>D$19</f>
        <v>0</v>
      </c>
      <c r="E607" s="49" t="str">
        <f>F$19</f>
        <v/>
      </c>
      <c r="F607" s="49"/>
      <c r="H607" s="9" t="s">
        <v>1074</v>
      </c>
      <c r="I607" s="40" t="s">
        <v>665</v>
      </c>
      <c r="V607" s="133">
        <f>V$183</f>
        <v>0</v>
      </c>
      <c r="W607" s="10">
        <f>W$183</f>
        <v>0</v>
      </c>
      <c r="X607" s="10">
        <f>X$183</f>
        <v>0</v>
      </c>
      <c r="Y607" s="10">
        <f>Y$183</f>
        <v>0</v>
      </c>
      <c r="AA607" s="10">
        <f t="shared" ref="AA607:BV607" si="634">AA$183</f>
        <v>0</v>
      </c>
      <c r="AB607" s="10">
        <f t="shared" si="634"/>
        <v>0</v>
      </c>
      <c r="AC607" s="10">
        <f t="shared" si="634"/>
        <v>0</v>
      </c>
      <c r="AD607" s="10">
        <f t="shared" si="634"/>
        <v>0</v>
      </c>
      <c r="AE607" s="10">
        <f t="shared" si="634"/>
        <v>0</v>
      </c>
      <c r="AF607" s="10">
        <f t="shared" si="634"/>
        <v>0</v>
      </c>
      <c r="AG607" s="10">
        <f t="shared" si="634"/>
        <v>0</v>
      </c>
      <c r="AH607" s="10">
        <f t="shared" si="634"/>
        <v>0</v>
      </c>
      <c r="AI607" s="10">
        <f t="shared" si="634"/>
        <v>0</v>
      </c>
      <c r="AJ607" s="10">
        <f t="shared" si="634"/>
        <v>0</v>
      </c>
      <c r="AK607" s="10">
        <f t="shared" si="634"/>
        <v>0</v>
      </c>
      <c r="AL607" s="10">
        <f t="shared" si="634"/>
        <v>0</v>
      </c>
      <c r="AM607" s="10">
        <f t="shared" si="634"/>
        <v>0</v>
      </c>
      <c r="AN607" s="10">
        <f t="shared" si="634"/>
        <v>0</v>
      </c>
      <c r="AO607" s="10">
        <f t="shared" si="634"/>
        <v>0</v>
      </c>
      <c r="AP607" s="10">
        <f t="shared" si="634"/>
        <v>0</v>
      </c>
      <c r="AQ607" s="10">
        <f t="shared" si="634"/>
        <v>0</v>
      </c>
      <c r="AR607" s="10">
        <f t="shared" si="634"/>
        <v>0</v>
      </c>
      <c r="AS607" s="10">
        <f t="shared" si="634"/>
        <v>0</v>
      </c>
      <c r="AT607" s="10">
        <f t="shared" si="634"/>
        <v>0</v>
      </c>
      <c r="AU607" s="10">
        <f t="shared" si="634"/>
        <v>0</v>
      </c>
      <c r="AV607" s="10">
        <f t="shared" si="634"/>
        <v>0</v>
      </c>
      <c r="AW607" s="10">
        <f t="shared" si="634"/>
        <v>0</v>
      </c>
      <c r="AX607" s="10">
        <f t="shared" si="634"/>
        <v>0</v>
      </c>
      <c r="AY607" s="10">
        <f t="shared" si="634"/>
        <v>0</v>
      </c>
      <c r="AZ607" s="10">
        <f t="shared" si="634"/>
        <v>0</v>
      </c>
      <c r="BA607" s="10">
        <f t="shared" si="634"/>
        <v>0</v>
      </c>
      <c r="BB607" s="10">
        <f t="shared" si="634"/>
        <v>0</v>
      </c>
      <c r="BC607" s="10">
        <f t="shared" si="634"/>
        <v>0</v>
      </c>
      <c r="BD607" s="10">
        <f t="shared" si="634"/>
        <v>0</v>
      </c>
      <c r="BE607" s="10">
        <f t="shared" si="634"/>
        <v>0</v>
      </c>
      <c r="BF607" s="10">
        <f t="shared" si="634"/>
        <v>0</v>
      </c>
      <c r="BG607" s="10">
        <f t="shared" si="634"/>
        <v>0</v>
      </c>
      <c r="BH607" s="10">
        <f t="shared" si="634"/>
        <v>0</v>
      </c>
      <c r="BI607" s="10">
        <f t="shared" si="634"/>
        <v>0</v>
      </c>
      <c r="BJ607" s="10">
        <f t="shared" si="634"/>
        <v>0</v>
      </c>
      <c r="BK607" s="10">
        <f t="shared" si="634"/>
        <v>0</v>
      </c>
      <c r="BL607" s="10">
        <f t="shared" si="634"/>
        <v>0</v>
      </c>
      <c r="BM607" s="10">
        <f t="shared" si="634"/>
        <v>0</v>
      </c>
      <c r="BN607" s="10">
        <f t="shared" si="634"/>
        <v>0</v>
      </c>
      <c r="BO607" s="10">
        <f t="shared" si="634"/>
        <v>0</v>
      </c>
      <c r="BP607" s="10">
        <f t="shared" si="634"/>
        <v>0</v>
      </c>
      <c r="BQ607" s="10">
        <f t="shared" si="634"/>
        <v>0</v>
      </c>
      <c r="BR607" s="10">
        <f t="shared" si="634"/>
        <v>0</v>
      </c>
      <c r="BS607" s="10">
        <f t="shared" si="634"/>
        <v>0</v>
      </c>
      <c r="BT607" s="10">
        <f t="shared" si="634"/>
        <v>0</v>
      </c>
      <c r="BU607" s="10">
        <f t="shared" si="634"/>
        <v>0</v>
      </c>
      <c r="BV607" s="10">
        <f t="shared" si="634"/>
        <v>0</v>
      </c>
      <c r="BX607" s="10">
        <f t="shared" ref="BX607:CI607" si="635">BX$183</f>
        <v>0</v>
      </c>
      <c r="BY607" s="10">
        <f t="shared" si="635"/>
        <v>0</v>
      </c>
      <c r="BZ607" s="10">
        <f t="shared" si="635"/>
        <v>0</v>
      </c>
      <c r="CA607" s="10">
        <f t="shared" si="635"/>
        <v>0</v>
      </c>
      <c r="CB607" s="10">
        <f t="shared" si="635"/>
        <v>0</v>
      </c>
      <c r="CC607" s="10">
        <f t="shared" si="635"/>
        <v>0</v>
      </c>
      <c r="CD607" s="10">
        <f t="shared" si="635"/>
        <v>0</v>
      </c>
      <c r="CE607" s="10">
        <f t="shared" si="635"/>
        <v>0</v>
      </c>
      <c r="CF607" s="10">
        <f t="shared" si="635"/>
        <v>0</v>
      </c>
      <c r="CG607" s="10">
        <f t="shared" si="635"/>
        <v>0</v>
      </c>
      <c r="CH607" s="10">
        <f t="shared" si="635"/>
        <v>0</v>
      </c>
      <c r="CI607" s="10">
        <f t="shared" si="635"/>
        <v>0</v>
      </c>
      <c r="CK607" s="11"/>
      <c r="CM607" s="11"/>
      <c r="DF607" s="11"/>
      <c r="EY607" s="10" t="str">
        <f t="shared" si="559"/>
        <v/>
      </c>
    </row>
    <row r="608" spans="2:155" x14ac:dyDescent="0.35">
      <c r="B608" s="69" t="str" cm="1">
        <f t="array" aca="1" ref="B608" ca="1">HYPERLINK(CONCATENATE("#",CELL("address",$D$189)),$D$189)</f>
        <v>Loan 8</v>
      </c>
      <c r="C608" s="211"/>
      <c r="D608" s="49">
        <f>D$20</f>
        <v>0</v>
      </c>
      <c r="E608" s="49" t="str">
        <f>F$20</f>
        <v/>
      </c>
      <c r="F608" s="49"/>
      <c r="H608" s="9" t="s">
        <v>1074</v>
      </c>
      <c r="I608" s="40" t="s">
        <v>665</v>
      </c>
      <c r="V608" s="133">
        <f>V$202</f>
        <v>0</v>
      </c>
      <c r="W608" s="10">
        <f>W$202</f>
        <v>0</v>
      </c>
      <c r="X608" s="10">
        <f>X$202</f>
        <v>0</v>
      </c>
      <c r="Y608" s="10">
        <f>Y$202</f>
        <v>0</v>
      </c>
      <c r="AA608" s="10">
        <f t="shared" ref="AA608:BV608" si="636">AA$202</f>
        <v>0</v>
      </c>
      <c r="AB608" s="10">
        <f t="shared" si="636"/>
        <v>0</v>
      </c>
      <c r="AC608" s="10">
        <f t="shared" si="636"/>
        <v>0</v>
      </c>
      <c r="AD608" s="10">
        <f t="shared" si="636"/>
        <v>0</v>
      </c>
      <c r="AE608" s="10">
        <f t="shared" si="636"/>
        <v>0</v>
      </c>
      <c r="AF608" s="10">
        <f t="shared" si="636"/>
        <v>0</v>
      </c>
      <c r="AG608" s="10">
        <f t="shared" si="636"/>
        <v>0</v>
      </c>
      <c r="AH608" s="10">
        <f t="shared" si="636"/>
        <v>0</v>
      </c>
      <c r="AI608" s="10">
        <f t="shared" si="636"/>
        <v>0</v>
      </c>
      <c r="AJ608" s="10">
        <f t="shared" si="636"/>
        <v>0</v>
      </c>
      <c r="AK608" s="10">
        <f t="shared" si="636"/>
        <v>0</v>
      </c>
      <c r="AL608" s="10">
        <f t="shared" si="636"/>
        <v>0</v>
      </c>
      <c r="AM608" s="10">
        <f t="shared" si="636"/>
        <v>0</v>
      </c>
      <c r="AN608" s="10">
        <f t="shared" si="636"/>
        <v>0</v>
      </c>
      <c r="AO608" s="10">
        <f t="shared" si="636"/>
        <v>0</v>
      </c>
      <c r="AP608" s="10">
        <f t="shared" si="636"/>
        <v>0</v>
      </c>
      <c r="AQ608" s="10">
        <f t="shared" si="636"/>
        <v>0</v>
      </c>
      <c r="AR608" s="10">
        <f t="shared" si="636"/>
        <v>0</v>
      </c>
      <c r="AS608" s="10">
        <f t="shared" si="636"/>
        <v>0</v>
      </c>
      <c r="AT608" s="10">
        <f t="shared" si="636"/>
        <v>0</v>
      </c>
      <c r="AU608" s="10">
        <f t="shared" si="636"/>
        <v>0</v>
      </c>
      <c r="AV608" s="10">
        <f t="shared" si="636"/>
        <v>0</v>
      </c>
      <c r="AW608" s="10">
        <f t="shared" si="636"/>
        <v>0</v>
      </c>
      <c r="AX608" s="10">
        <f t="shared" si="636"/>
        <v>0</v>
      </c>
      <c r="AY608" s="10">
        <f t="shared" si="636"/>
        <v>0</v>
      </c>
      <c r="AZ608" s="10">
        <f t="shared" si="636"/>
        <v>0</v>
      </c>
      <c r="BA608" s="10">
        <f t="shared" si="636"/>
        <v>0</v>
      </c>
      <c r="BB608" s="10">
        <f t="shared" si="636"/>
        <v>0</v>
      </c>
      <c r="BC608" s="10">
        <f t="shared" si="636"/>
        <v>0</v>
      </c>
      <c r="BD608" s="10">
        <f t="shared" si="636"/>
        <v>0</v>
      </c>
      <c r="BE608" s="10">
        <f t="shared" si="636"/>
        <v>0</v>
      </c>
      <c r="BF608" s="10">
        <f t="shared" si="636"/>
        <v>0</v>
      </c>
      <c r="BG608" s="10">
        <f t="shared" si="636"/>
        <v>0</v>
      </c>
      <c r="BH608" s="10">
        <f t="shared" si="636"/>
        <v>0</v>
      </c>
      <c r="BI608" s="10">
        <f t="shared" si="636"/>
        <v>0</v>
      </c>
      <c r="BJ608" s="10">
        <f t="shared" si="636"/>
        <v>0</v>
      </c>
      <c r="BK608" s="10">
        <f t="shared" si="636"/>
        <v>0</v>
      </c>
      <c r="BL608" s="10">
        <f t="shared" si="636"/>
        <v>0</v>
      </c>
      <c r="BM608" s="10">
        <f t="shared" si="636"/>
        <v>0</v>
      </c>
      <c r="BN608" s="10">
        <f t="shared" si="636"/>
        <v>0</v>
      </c>
      <c r="BO608" s="10">
        <f t="shared" si="636"/>
        <v>0</v>
      </c>
      <c r="BP608" s="10">
        <f t="shared" si="636"/>
        <v>0</v>
      </c>
      <c r="BQ608" s="10">
        <f t="shared" si="636"/>
        <v>0</v>
      </c>
      <c r="BR608" s="10">
        <f t="shared" si="636"/>
        <v>0</v>
      </c>
      <c r="BS608" s="10">
        <f t="shared" si="636"/>
        <v>0</v>
      </c>
      <c r="BT608" s="10">
        <f t="shared" si="636"/>
        <v>0</v>
      </c>
      <c r="BU608" s="10">
        <f t="shared" si="636"/>
        <v>0</v>
      </c>
      <c r="BV608" s="10">
        <f t="shared" si="636"/>
        <v>0</v>
      </c>
      <c r="BX608" s="10">
        <f t="shared" ref="BX608:CI608" si="637">BX$202</f>
        <v>0</v>
      </c>
      <c r="BY608" s="10">
        <f t="shared" si="637"/>
        <v>0</v>
      </c>
      <c r="BZ608" s="10">
        <f t="shared" si="637"/>
        <v>0</v>
      </c>
      <c r="CA608" s="10">
        <f t="shared" si="637"/>
        <v>0</v>
      </c>
      <c r="CB608" s="10">
        <f t="shared" si="637"/>
        <v>0</v>
      </c>
      <c r="CC608" s="10">
        <f t="shared" si="637"/>
        <v>0</v>
      </c>
      <c r="CD608" s="10">
        <f t="shared" si="637"/>
        <v>0</v>
      </c>
      <c r="CE608" s="10">
        <f t="shared" si="637"/>
        <v>0</v>
      </c>
      <c r="CF608" s="10">
        <f t="shared" si="637"/>
        <v>0</v>
      </c>
      <c r="CG608" s="10">
        <f t="shared" si="637"/>
        <v>0</v>
      </c>
      <c r="CH608" s="10">
        <f t="shared" si="637"/>
        <v>0</v>
      </c>
      <c r="CI608" s="10">
        <f t="shared" si="637"/>
        <v>0</v>
      </c>
      <c r="CK608" s="11"/>
      <c r="CM608" s="11"/>
      <c r="DF608" s="11"/>
      <c r="EY608" s="10" t="str">
        <f t="shared" si="559"/>
        <v/>
      </c>
    </row>
    <row r="609" spans="1:155" x14ac:dyDescent="0.35">
      <c r="B609" s="69" t="str" cm="1">
        <f t="array" aca="1" ref="B609" ca="1">HYPERLINK(CONCATENATE("#",CELL("address",$D$208)),$D$208)</f>
        <v>Loan 9</v>
      </c>
      <c r="C609" s="211"/>
      <c r="D609" s="49">
        <f>D$21</f>
        <v>0</v>
      </c>
      <c r="E609" s="49" t="str">
        <f>F$21</f>
        <v/>
      </c>
      <c r="F609" s="49"/>
      <c r="H609" s="9" t="s">
        <v>1074</v>
      </c>
      <c r="I609" s="40" t="s">
        <v>665</v>
      </c>
      <c r="V609" s="133">
        <f>V$221</f>
        <v>0</v>
      </c>
      <c r="W609" s="10">
        <f>W$221</f>
        <v>0</v>
      </c>
      <c r="X609" s="10">
        <f>X$221</f>
        <v>0</v>
      </c>
      <c r="Y609" s="10">
        <f>Y$221</f>
        <v>0</v>
      </c>
      <c r="AA609" s="10">
        <f t="shared" ref="AA609:BV609" si="638">AA$221</f>
        <v>0</v>
      </c>
      <c r="AB609" s="10">
        <f t="shared" si="638"/>
        <v>0</v>
      </c>
      <c r="AC609" s="10">
        <f t="shared" si="638"/>
        <v>0</v>
      </c>
      <c r="AD609" s="10">
        <f t="shared" si="638"/>
        <v>0</v>
      </c>
      <c r="AE609" s="10">
        <f t="shared" si="638"/>
        <v>0</v>
      </c>
      <c r="AF609" s="10">
        <f t="shared" si="638"/>
        <v>0</v>
      </c>
      <c r="AG609" s="10">
        <f t="shared" si="638"/>
        <v>0</v>
      </c>
      <c r="AH609" s="10">
        <f t="shared" si="638"/>
        <v>0</v>
      </c>
      <c r="AI609" s="10">
        <f t="shared" si="638"/>
        <v>0</v>
      </c>
      <c r="AJ609" s="10">
        <f t="shared" si="638"/>
        <v>0</v>
      </c>
      <c r="AK609" s="10">
        <f t="shared" si="638"/>
        <v>0</v>
      </c>
      <c r="AL609" s="10">
        <f t="shared" si="638"/>
        <v>0</v>
      </c>
      <c r="AM609" s="10">
        <f t="shared" si="638"/>
        <v>0</v>
      </c>
      <c r="AN609" s="10">
        <f t="shared" si="638"/>
        <v>0</v>
      </c>
      <c r="AO609" s="10">
        <f t="shared" si="638"/>
        <v>0</v>
      </c>
      <c r="AP609" s="10">
        <f t="shared" si="638"/>
        <v>0</v>
      </c>
      <c r="AQ609" s="10">
        <f t="shared" si="638"/>
        <v>0</v>
      </c>
      <c r="AR609" s="10">
        <f t="shared" si="638"/>
        <v>0</v>
      </c>
      <c r="AS609" s="10">
        <f t="shared" si="638"/>
        <v>0</v>
      </c>
      <c r="AT609" s="10">
        <f t="shared" si="638"/>
        <v>0</v>
      </c>
      <c r="AU609" s="10">
        <f t="shared" si="638"/>
        <v>0</v>
      </c>
      <c r="AV609" s="10">
        <f t="shared" si="638"/>
        <v>0</v>
      </c>
      <c r="AW609" s="10">
        <f t="shared" si="638"/>
        <v>0</v>
      </c>
      <c r="AX609" s="10">
        <f t="shared" si="638"/>
        <v>0</v>
      </c>
      <c r="AY609" s="10">
        <f t="shared" si="638"/>
        <v>0</v>
      </c>
      <c r="AZ609" s="10">
        <f t="shared" si="638"/>
        <v>0</v>
      </c>
      <c r="BA609" s="10">
        <f t="shared" si="638"/>
        <v>0</v>
      </c>
      <c r="BB609" s="10">
        <f t="shared" si="638"/>
        <v>0</v>
      </c>
      <c r="BC609" s="10">
        <f t="shared" si="638"/>
        <v>0</v>
      </c>
      <c r="BD609" s="10">
        <f t="shared" si="638"/>
        <v>0</v>
      </c>
      <c r="BE609" s="10">
        <f t="shared" si="638"/>
        <v>0</v>
      </c>
      <c r="BF609" s="10">
        <f t="shared" si="638"/>
        <v>0</v>
      </c>
      <c r="BG609" s="10">
        <f t="shared" si="638"/>
        <v>0</v>
      </c>
      <c r="BH609" s="10">
        <f t="shared" si="638"/>
        <v>0</v>
      </c>
      <c r="BI609" s="10">
        <f t="shared" si="638"/>
        <v>0</v>
      </c>
      <c r="BJ609" s="10">
        <f t="shared" si="638"/>
        <v>0</v>
      </c>
      <c r="BK609" s="10">
        <f t="shared" si="638"/>
        <v>0</v>
      </c>
      <c r="BL609" s="10">
        <f t="shared" si="638"/>
        <v>0</v>
      </c>
      <c r="BM609" s="10">
        <f t="shared" si="638"/>
        <v>0</v>
      </c>
      <c r="BN609" s="10">
        <f t="shared" si="638"/>
        <v>0</v>
      </c>
      <c r="BO609" s="10">
        <f t="shared" si="638"/>
        <v>0</v>
      </c>
      <c r="BP609" s="10">
        <f t="shared" si="638"/>
        <v>0</v>
      </c>
      <c r="BQ609" s="10">
        <f t="shared" si="638"/>
        <v>0</v>
      </c>
      <c r="BR609" s="10">
        <f t="shared" si="638"/>
        <v>0</v>
      </c>
      <c r="BS609" s="10">
        <f t="shared" si="638"/>
        <v>0</v>
      </c>
      <c r="BT609" s="10">
        <f t="shared" si="638"/>
        <v>0</v>
      </c>
      <c r="BU609" s="10">
        <f t="shared" si="638"/>
        <v>0</v>
      </c>
      <c r="BV609" s="10">
        <f t="shared" si="638"/>
        <v>0</v>
      </c>
      <c r="BX609" s="10">
        <f t="shared" ref="BX609:CI609" si="639">BX$221</f>
        <v>0</v>
      </c>
      <c r="BY609" s="10">
        <f t="shared" si="639"/>
        <v>0</v>
      </c>
      <c r="BZ609" s="10">
        <f t="shared" si="639"/>
        <v>0</v>
      </c>
      <c r="CA609" s="10">
        <f t="shared" si="639"/>
        <v>0</v>
      </c>
      <c r="CB609" s="10">
        <f t="shared" si="639"/>
        <v>0</v>
      </c>
      <c r="CC609" s="10">
        <f t="shared" si="639"/>
        <v>0</v>
      </c>
      <c r="CD609" s="10">
        <f t="shared" si="639"/>
        <v>0</v>
      </c>
      <c r="CE609" s="10">
        <f t="shared" si="639"/>
        <v>0</v>
      </c>
      <c r="CF609" s="10">
        <f t="shared" si="639"/>
        <v>0</v>
      </c>
      <c r="CG609" s="10">
        <f t="shared" si="639"/>
        <v>0</v>
      </c>
      <c r="CH609" s="10">
        <f t="shared" si="639"/>
        <v>0</v>
      </c>
      <c r="CI609" s="10">
        <f t="shared" si="639"/>
        <v>0</v>
      </c>
      <c r="CK609" s="11"/>
      <c r="CM609" s="11"/>
      <c r="DF609" s="11"/>
      <c r="EY609" s="10" t="str">
        <f t="shared" si="559"/>
        <v/>
      </c>
    </row>
    <row r="610" spans="1:155" x14ac:dyDescent="0.35">
      <c r="B610" s="69" t="str" cm="1">
        <f t="array" aca="1" ref="B610" ca="1">HYPERLINK(CONCATENATE("#",CELL("address",$D$227)),$D$227)</f>
        <v>Loan 10</v>
      </c>
      <c r="C610" s="211"/>
      <c r="D610" s="49">
        <f>D$22</f>
        <v>0</v>
      </c>
      <c r="E610" s="49" t="str">
        <f>F$22</f>
        <v/>
      </c>
      <c r="F610" s="49"/>
      <c r="H610" s="9" t="s">
        <v>1074</v>
      </c>
      <c r="I610" s="40" t="s">
        <v>665</v>
      </c>
      <c r="V610" s="133">
        <f>V$240</f>
        <v>0</v>
      </c>
      <c r="W610" s="10">
        <f>W$240</f>
        <v>0</v>
      </c>
      <c r="X610" s="10">
        <f>X$240</f>
        <v>0</v>
      </c>
      <c r="Y610" s="10">
        <f>Y$240</f>
        <v>0</v>
      </c>
      <c r="AA610" s="10">
        <f t="shared" ref="AA610:BV610" si="640">AA$240</f>
        <v>0</v>
      </c>
      <c r="AB610" s="10">
        <f t="shared" si="640"/>
        <v>0</v>
      </c>
      <c r="AC610" s="10">
        <f t="shared" si="640"/>
        <v>0</v>
      </c>
      <c r="AD610" s="10">
        <f t="shared" si="640"/>
        <v>0</v>
      </c>
      <c r="AE610" s="10">
        <f t="shared" si="640"/>
        <v>0</v>
      </c>
      <c r="AF610" s="10">
        <f t="shared" si="640"/>
        <v>0</v>
      </c>
      <c r="AG610" s="10">
        <f t="shared" si="640"/>
        <v>0</v>
      </c>
      <c r="AH610" s="10">
        <f t="shared" si="640"/>
        <v>0</v>
      </c>
      <c r="AI610" s="10">
        <f t="shared" si="640"/>
        <v>0</v>
      </c>
      <c r="AJ610" s="10">
        <f t="shared" si="640"/>
        <v>0</v>
      </c>
      <c r="AK610" s="10">
        <f t="shared" si="640"/>
        <v>0</v>
      </c>
      <c r="AL610" s="10">
        <f t="shared" si="640"/>
        <v>0</v>
      </c>
      <c r="AM610" s="10">
        <f t="shared" si="640"/>
        <v>0</v>
      </c>
      <c r="AN610" s="10">
        <f t="shared" si="640"/>
        <v>0</v>
      </c>
      <c r="AO610" s="10">
        <f t="shared" si="640"/>
        <v>0</v>
      </c>
      <c r="AP610" s="10">
        <f t="shared" si="640"/>
        <v>0</v>
      </c>
      <c r="AQ610" s="10">
        <f t="shared" si="640"/>
        <v>0</v>
      </c>
      <c r="AR610" s="10">
        <f t="shared" si="640"/>
        <v>0</v>
      </c>
      <c r="AS610" s="10">
        <f t="shared" si="640"/>
        <v>0</v>
      </c>
      <c r="AT610" s="10">
        <f t="shared" si="640"/>
        <v>0</v>
      </c>
      <c r="AU610" s="10">
        <f t="shared" si="640"/>
        <v>0</v>
      </c>
      <c r="AV610" s="10">
        <f t="shared" si="640"/>
        <v>0</v>
      </c>
      <c r="AW610" s="10">
        <f t="shared" si="640"/>
        <v>0</v>
      </c>
      <c r="AX610" s="10">
        <f t="shared" si="640"/>
        <v>0</v>
      </c>
      <c r="AY610" s="10">
        <f t="shared" si="640"/>
        <v>0</v>
      </c>
      <c r="AZ610" s="10">
        <f t="shared" si="640"/>
        <v>0</v>
      </c>
      <c r="BA610" s="10">
        <f t="shared" si="640"/>
        <v>0</v>
      </c>
      <c r="BB610" s="10">
        <f t="shared" si="640"/>
        <v>0</v>
      </c>
      <c r="BC610" s="10">
        <f t="shared" si="640"/>
        <v>0</v>
      </c>
      <c r="BD610" s="10">
        <f t="shared" si="640"/>
        <v>0</v>
      </c>
      <c r="BE610" s="10">
        <f t="shared" si="640"/>
        <v>0</v>
      </c>
      <c r="BF610" s="10">
        <f t="shared" si="640"/>
        <v>0</v>
      </c>
      <c r="BG610" s="10">
        <f t="shared" si="640"/>
        <v>0</v>
      </c>
      <c r="BH610" s="10">
        <f t="shared" si="640"/>
        <v>0</v>
      </c>
      <c r="BI610" s="10">
        <f t="shared" si="640"/>
        <v>0</v>
      </c>
      <c r="BJ610" s="10">
        <f t="shared" si="640"/>
        <v>0</v>
      </c>
      <c r="BK610" s="10">
        <f t="shared" si="640"/>
        <v>0</v>
      </c>
      <c r="BL610" s="10">
        <f t="shared" si="640"/>
        <v>0</v>
      </c>
      <c r="BM610" s="10">
        <f t="shared" si="640"/>
        <v>0</v>
      </c>
      <c r="BN610" s="10">
        <f t="shared" si="640"/>
        <v>0</v>
      </c>
      <c r="BO610" s="10">
        <f t="shared" si="640"/>
        <v>0</v>
      </c>
      <c r="BP610" s="10">
        <f t="shared" si="640"/>
        <v>0</v>
      </c>
      <c r="BQ610" s="10">
        <f t="shared" si="640"/>
        <v>0</v>
      </c>
      <c r="BR610" s="10">
        <f t="shared" si="640"/>
        <v>0</v>
      </c>
      <c r="BS610" s="10">
        <f t="shared" si="640"/>
        <v>0</v>
      </c>
      <c r="BT610" s="10">
        <f t="shared" si="640"/>
        <v>0</v>
      </c>
      <c r="BU610" s="10">
        <f t="shared" si="640"/>
        <v>0</v>
      </c>
      <c r="BV610" s="10">
        <f t="shared" si="640"/>
        <v>0</v>
      </c>
      <c r="BX610" s="10">
        <f t="shared" ref="BX610:CI610" si="641">BX$240</f>
        <v>0</v>
      </c>
      <c r="BY610" s="10">
        <f t="shared" si="641"/>
        <v>0</v>
      </c>
      <c r="BZ610" s="10">
        <f t="shared" si="641"/>
        <v>0</v>
      </c>
      <c r="CA610" s="10">
        <f t="shared" si="641"/>
        <v>0</v>
      </c>
      <c r="CB610" s="10">
        <f t="shared" si="641"/>
        <v>0</v>
      </c>
      <c r="CC610" s="10">
        <f t="shared" si="641"/>
        <v>0</v>
      </c>
      <c r="CD610" s="10">
        <f t="shared" si="641"/>
        <v>0</v>
      </c>
      <c r="CE610" s="10">
        <f t="shared" si="641"/>
        <v>0</v>
      </c>
      <c r="CF610" s="10">
        <f t="shared" si="641"/>
        <v>0</v>
      </c>
      <c r="CG610" s="10">
        <f t="shared" si="641"/>
        <v>0</v>
      </c>
      <c r="CH610" s="10">
        <f t="shared" si="641"/>
        <v>0</v>
      </c>
      <c r="CI610" s="10">
        <f t="shared" si="641"/>
        <v>0</v>
      </c>
      <c r="CK610" s="11"/>
      <c r="CM610" s="11"/>
      <c r="DF610" s="11"/>
      <c r="EY610" s="10" t="str">
        <f t="shared" si="559"/>
        <v/>
      </c>
    </row>
    <row r="611" spans="1:155" x14ac:dyDescent="0.35">
      <c r="B611" s="69" t="str" cm="1">
        <f t="array" aca="1" ref="B611" ca="1">HYPERLINK(CONCATENATE("#",CELL("address",$D$246)),$D$246)</f>
        <v>Loan 11</v>
      </c>
      <c r="C611" s="211"/>
      <c r="D611" s="49">
        <f>D$23</f>
        <v>0</v>
      </c>
      <c r="E611" s="49" t="str">
        <f>F$23</f>
        <v/>
      </c>
      <c r="F611" s="49"/>
      <c r="H611" s="9" t="s">
        <v>1074</v>
      </c>
      <c r="I611" s="40" t="s">
        <v>665</v>
      </c>
      <c r="V611" s="133">
        <f>V$259</f>
        <v>0</v>
      </c>
      <c r="W611" s="10">
        <f>W$259</f>
        <v>0</v>
      </c>
      <c r="X611" s="10">
        <f>X$259</f>
        <v>0</v>
      </c>
      <c r="Y611" s="10">
        <f>Y$259</f>
        <v>0</v>
      </c>
      <c r="AA611" s="10">
        <f t="shared" ref="AA611:BV611" si="642">AA$259</f>
        <v>0</v>
      </c>
      <c r="AB611" s="10">
        <f t="shared" si="642"/>
        <v>0</v>
      </c>
      <c r="AC611" s="10">
        <f t="shared" si="642"/>
        <v>0</v>
      </c>
      <c r="AD611" s="10">
        <f t="shared" si="642"/>
        <v>0</v>
      </c>
      <c r="AE611" s="10">
        <f t="shared" si="642"/>
        <v>0</v>
      </c>
      <c r="AF611" s="10">
        <f t="shared" si="642"/>
        <v>0</v>
      </c>
      <c r="AG611" s="10">
        <f t="shared" si="642"/>
        <v>0</v>
      </c>
      <c r="AH611" s="10">
        <f t="shared" si="642"/>
        <v>0</v>
      </c>
      <c r="AI611" s="10">
        <f t="shared" si="642"/>
        <v>0</v>
      </c>
      <c r="AJ611" s="10">
        <f t="shared" si="642"/>
        <v>0</v>
      </c>
      <c r="AK611" s="10">
        <f t="shared" si="642"/>
        <v>0</v>
      </c>
      <c r="AL611" s="10">
        <f t="shared" si="642"/>
        <v>0</v>
      </c>
      <c r="AM611" s="10">
        <f t="shared" si="642"/>
        <v>0</v>
      </c>
      <c r="AN611" s="10">
        <f t="shared" si="642"/>
        <v>0</v>
      </c>
      <c r="AO611" s="10">
        <f t="shared" si="642"/>
        <v>0</v>
      </c>
      <c r="AP611" s="10">
        <f t="shared" si="642"/>
        <v>0</v>
      </c>
      <c r="AQ611" s="10">
        <f t="shared" si="642"/>
        <v>0</v>
      </c>
      <c r="AR611" s="10">
        <f t="shared" si="642"/>
        <v>0</v>
      </c>
      <c r="AS611" s="10">
        <f t="shared" si="642"/>
        <v>0</v>
      </c>
      <c r="AT611" s="10">
        <f t="shared" si="642"/>
        <v>0</v>
      </c>
      <c r="AU611" s="10">
        <f t="shared" si="642"/>
        <v>0</v>
      </c>
      <c r="AV611" s="10">
        <f t="shared" si="642"/>
        <v>0</v>
      </c>
      <c r="AW611" s="10">
        <f t="shared" si="642"/>
        <v>0</v>
      </c>
      <c r="AX611" s="10">
        <f t="shared" si="642"/>
        <v>0</v>
      </c>
      <c r="AY611" s="10">
        <f t="shared" si="642"/>
        <v>0</v>
      </c>
      <c r="AZ611" s="10">
        <f t="shared" si="642"/>
        <v>0</v>
      </c>
      <c r="BA611" s="10">
        <f t="shared" si="642"/>
        <v>0</v>
      </c>
      <c r="BB611" s="10">
        <f t="shared" si="642"/>
        <v>0</v>
      </c>
      <c r="BC611" s="10">
        <f t="shared" si="642"/>
        <v>0</v>
      </c>
      <c r="BD611" s="10">
        <f t="shared" si="642"/>
        <v>0</v>
      </c>
      <c r="BE611" s="10">
        <f t="shared" si="642"/>
        <v>0</v>
      </c>
      <c r="BF611" s="10">
        <f t="shared" si="642"/>
        <v>0</v>
      </c>
      <c r="BG611" s="10">
        <f t="shared" si="642"/>
        <v>0</v>
      </c>
      <c r="BH611" s="10">
        <f t="shared" si="642"/>
        <v>0</v>
      </c>
      <c r="BI611" s="10">
        <f t="shared" si="642"/>
        <v>0</v>
      </c>
      <c r="BJ611" s="10">
        <f t="shared" si="642"/>
        <v>0</v>
      </c>
      <c r="BK611" s="10">
        <f t="shared" si="642"/>
        <v>0</v>
      </c>
      <c r="BL611" s="10">
        <f t="shared" si="642"/>
        <v>0</v>
      </c>
      <c r="BM611" s="10">
        <f t="shared" si="642"/>
        <v>0</v>
      </c>
      <c r="BN611" s="10">
        <f t="shared" si="642"/>
        <v>0</v>
      </c>
      <c r="BO611" s="10">
        <f t="shared" si="642"/>
        <v>0</v>
      </c>
      <c r="BP611" s="10">
        <f t="shared" si="642"/>
        <v>0</v>
      </c>
      <c r="BQ611" s="10">
        <f t="shared" si="642"/>
        <v>0</v>
      </c>
      <c r="BR611" s="10">
        <f t="shared" si="642"/>
        <v>0</v>
      </c>
      <c r="BS611" s="10">
        <f t="shared" si="642"/>
        <v>0</v>
      </c>
      <c r="BT611" s="10">
        <f t="shared" si="642"/>
        <v>0</v>
      </c>
      <c r="BU611" s="10">
        <f t="shared" si="642"/>
        <v>0</v>
      </c>
      <c r="BV611" s="10">
        <f t="shared" si="642"/>
        <v>0</v>
      </c>
      <c r="BX611" s="10">
        <f t="shared" ref="BX611:CI611" si="643">BX$259</f>
        <v>0</v>
      </c>
      <c r="BY611" s="10">
        <f t="shared" si="643"/>
        <v>0</v>
      </c>
      <c r="BZ611" s="10">
        <f t="shared" si="643"/>
        <v>0</v>
      </c>
      <c r="CA611" s="10">
        <f t="shared" si="643"/>
        <v>0</v>
      </c>
      <c r="CB611" s="10">
        <f t="shared" si="643"/>
        <v>0</v>
      </c>
      <c r="CC611" s="10">
        <f t="shared" si="643"/>
        <v>0</v>
      </c>
      <c r="CD611" s="10">
        <f t="shared" si="643"/>
        <v>0</v>
      </c>
      <c r="CE611" s="10">
        <f t="shared" si="643"/>
        <v>0</v>
      </c>
      <c r="CF611" s="10">
        <f t="shared" si="643"/>
        <v>0</v>
      </c>
      <c r="CG611" s="10">
        <f t="shared" si="643"/>
        <v>0</v>
      </c>
      <c r="CH611" s="10">
        <f t="shared" si="643"/>
        <v>0</v>
      </c>
      <c r="CI611" s="10">
        <f t="shared" si="643"/>
        <v>0</v>
      </c>
      <c r="CK611" s="11"/>
      <c r="CM611" s="11"/>
      <c r="DF611" s="11"/>
      <c r="EY611" s="10" t="str">
        <f t="shared" si="559"/>
        <v/>
      </c>
    </row>
    <row r="612" spans="1:155" x14ac:dyDescent="0.35">
      <c r="B612" s="69" t="str" cm="1">
        <f t="array" aca="1" ref="B612" ca="1">HYPERLINK(CONCATENATE("#",CELL("address",$D$265)),$D$265)</f>
        <v>Loan 12</v>
      </c>
      <c r="C612" s="211"/>
      <c r="D612" s="49">
        <f>D$24</f>
        <v>0</v>
      </c>
      <c r="E612" s="49" t="str">
        <f>F$24</f>
        <v/>
      </c>
      <c r="F612" s="49"/>
      <c r="H612" s="9" t="s">
        <v>1074</v>
      </c>
      <c r="I612" s="40" t="s">
        <v>665</v>
      </c>
      <c r="V612" s="133">
        <f>V$278</f>
        <v>0</v>
      </c>
      <c r="W612" s="10">
        <f>W$278</f>
        <v>0</v>
      </c>
      <c r="X612" s="10">
        <f>X$278</f>
        <v>0</v>
      </c>
      <c r="Y612" s="10">
        <f>Y$278</f>
        <v>0</v>
      </c>
      <c r="AA612" s="10">
        <f t="shared" ref="AA612:BV612" si="644">AA$278</f>
        <v>0</v>
      </c>
      <c r="AB612" s="10">
        <f t="shared" si="644"/>
        <v>0</v>
      </c>
      <c r="AC612" s="10">
        <f t="shared" si="644"/>
        <v>0</v>
      </c>
      <c r="AD612" s="10">
        <f t="shared" si="644"/>
        <v>0</v>
      </c>
      <c r="AE612" s="10">
        <f t="shared" si="644"/>
        <v>0</v>
      </c>
      <c r="AF612" s="10">
        <f t="shared" si="644"/>
        <v>0</v>
      </c>
      <c r="AG612" s="10">
        <f t="shared" si="644"/>
        <v>0</v>
      </c>
      <c r="AH612" s="10">
        <f t="shared" si="644"/>
        <v>0</v>
      </c>
      <c r="AI612" s="10">
        <f t="shared" si="644"/>
        <v>0</v>
      </c>
      <c r="AJ612" s="10">
        <f t="shared" si="644"/>
        <v>0</v>
      </c>
      <c r="AK612" s="10">
        <f t="shared" si="644"/>
        <v>0</v>
      </c>
      <c r="AL612" s="10">
        <f t="shared" si="644"/>
        <v>0</v>
      </c>
      <c r="AM612" s="10">
        <f t="shared" si="644"/>
        <v>0</v>
      </c>
      <c r="AN612" s="10">
        <f t="shared" si="644"/>
        <v>0</v>
      </c>
      <c r="AO612" s="10">
        <f t="shared" si="644"/>
        <v>0</v>
      </c>
      <c r="AP612" s="10">
        <f t="shared" si="644"/>
        <v>0</v>
      </c>
      <c r="AQ612" s="10">
        <f t="shared" si="644"/>
        <v>0</v>
      </c>
      <c r="AR612" s="10">
        <f t="shared" si="644"/>
        <v>0</v>
      </c>
      <c r="AS612" s="10">
        <f t="shared" si="644"/>
        <v>0</v>
      </c>
      <c r="AT612" s="10">
        <f t="shared" si="644"/>
        <v>0</v>
      </c>
      <c r="AU612" s="10">
        <f t="shared" si="644"/>
        <v>0</v>
      </c>
      <c r="AV612" s="10">
        <f t="shared" si="644"/>
        <v>0</v>
      </c>
      <c r="AW612" s="10">
        <f t="shared" si="644"/>
        <v>0</v>
      </c>
      <c r="AX612" s="10">
        <f t="shared" si="644"/>
        <v>0</v>
      </c>
      <c r="AY612" s="10">
        <f t="shared" si="644"/>
        <v>0</v>
      </c>
      <c r="AZ612" s="10">
        <f t="shared" si="644"/>
        <v>0</v>
      </c>
      <c r="BA612" s="10">
        <f t="shared" si="644"/>
        <v>0</v>
      </c>
      <c r="BB612" s="10">
        <f t="shared" si="644"/>
        <v>0</v>
      </c>
      <c r="BC612" s="10">
        <f t="shared" si="644"/>
        <v>0</v>
      </c>
      <c r="BD612" s="10">
        <f t="shared" si="644"/>
        <v>0</v>
      </c>
      <c r="BE612" s="10">
        <f t="shared" si="644"/>
        <v>0</v>
      </c>
      <c r="BF612" s="10">
        <f t="shared" si="644"/>
        <v>0</v>
      </c>
      <c r="BG612" s="10">
        <f t="shared" si="644"/>
        <v>0</v>
      </c>
      <c r="BH612" s="10">
        <f t="shared" si="644"/>
        <v>0</v>
      </c>
      <c r="BI612" s="10">
        <f t="shared" si="644"/>
        <v>0</v>
      </c>
      <c r="BJ612" s="10">
        <f t="shared" si="644"/>
        <v>0</v>
      </c>
      <c r="BK612" s="10">
        <f t="shared" si="644"/>
        <v>0</v>
      </c>
      <c r="BL612" s="10">
        <f t="shared" si="644"/>
        <v>0</v>
      </c>
      <c r="BM612" s="10">
        <f t="shared" si="644"/>
        <v>0</v>
      </c>
      <c r="BN612" s="10">
        <f t="shared" si="644"/>
        <v>0</v>
      </c>
      <c r="BO612" s="10">
        <f t="shared" si="644"/>
        <v>0</v>
      </c>
      <c r="BP612" s="10">
        <f t="shared" si="644"/>
        <v>0</v>
      </c>
      <c r="BQ612" s="10">
        <f t="shared" si="644"/>
        <v>0</v>
      </c>
      <c r="BR612" s="10">
        <f t="shared" si="644"/>
        <v>0</v>
      </c>
      <c r="BS612" s="10">
        <f t="shared" si="644"/>
        <v>0</v>
      </c>
      <c r="BT612" s="10">
        <f t="shared" si="644"/>
        <v>0</v>
      </c>
      <c r="BU612" s="10">
        <f t="shared" si="644"/>
        <v>0</v>
      </c>
      <c r="BV612" s="10">
        <f t="shared" si="644"/>
        <v>0</v>
      </c>
      <c r="BX612" s="10">
        <f t="shared" ref="BX612:CI612" si="645">BX$278</f>
        <v>0</v>
      </c>
      <c r="BY612" s="10">
        <f t="shared" si="645"/>
        <v>0</v>
      </c>
      <c r="BZ612" s="10">
        <f t="shared" si="645"/>
        <v>0</v>
      </c>
      <c r="CA612" s="10">
        <f t="shared" si="645"/>
        <v>0</v>
      </c>
      <c r="CB612" s="10">
        <f t="shared" si="645"/>
        <v>0</v>
      </c>
      <c r="CC612" s="10">
        <f t="shared" si="645"/>
        <v>0</v>
      </c>
      <c r="CD612" s="10">
        <f t="shared" si="645"/>
        <v>0</v>
      </c>
      <c r="CE612" s="10">
        <f t="shared" si="645"/>
        <v>0</v>
      </c>
      <c r="CF612" s="10">
        <f t="shared" si="645"/>
        <v>0</v>
      </c>
      <c r="CG612" s="10">
        <f t="shared" si="645"/>
        <v>0</v>
      </c>
      <c r="CH612" s="10">
        <f t="shared" si="645"/>
        <v>0</v>
      </c>
      <c r="CI612" s="10">
        <f t="shared" si="645"/>
        <v>0</v>
      </c>
      <c r="CK612" s="11"/>
      <c r="CM612" s="11"/>
      <c r="DF612" s="11"/>
      <c r="EY612" s="10" t="str">
        <f t="shared" si="559"/>
        <v/>
      </c>
    </row>
    <row r="613" spans="1:155" x14ac:dyDescent="0.35">
      <c r="B613" s="69" t="str" cm="1">
        <f t="array" aca="1" ref="B613" ca="1">HYPERLINK(CONCATENATE("#",CELL("address",$D$284)),$D$284)</f>
        <v>Loan 13</v>
      </c>
      <c r="C613" s="211"/>
      <c r="D613" s="49">
        <f>D$25</f>
        <v>0</v>
      </c>
      <c r="E613" s="49" t="str">
        <f>F$25</f>
        <v/>
      </c>
      <c r="F613" s="49"/>
      <c r="H613" s="9" t="s">
        <v>1074</v>
      </c>
      <c r="I613" s="40" t="s">
        <v>665</v>
      </c>
      <c r="V613" s="133">
        <f>V$297</f>
        <v>0</v>
      </c>
      <c r="W613" s="10">
        <f>W$297</f>
        <v>0</v>
      </c>
      <c r="X613" s="10">
        <f>X$297</f>
        <v>0</v>
      </c>
      <c r="Y613" s="10">
        <f>Y$297</f>
        <v>0</v>
      </c>
      <c r="AA613" s="10">
        <f t="shared" ref="AA613:BV613" si="646">AA$297</f>
        <v>0</v>
      </c>
      <c r="AB613" s="10">
        <f t="shared" si="646"/>
        <v>0</v>
      </c>
      <c r="AC613" s="10">
        <f t="shared" si="646"/>
        <v>0</v>
      </c>
      <c r="AD613" s="10">
        <f t="shared" si="646"/>
        <v>0</v>
      </c>
      <c r="AE613" s="10">
        <f t="shared" si="646"/>
        <v>0</v>
      </c>
      <c r="AF613" s="10">
        <f t="shared" si="646"/>
        <v>0</v>
      </c>
      <c r="AG613" s="10">
        <f t="shared" si="646"/>
        <v>0</v>
      </c>
      <c r="AH613" s="10">
        <f t="shared" si="646"/>
        <v>0</v>
      </c>
      <c r="AI613" s="10">
        <f t="shared" si="646"/>
        <v>0</v>
      </c>
      <c r="AJ613" s="10">
        <f t="shared" si="646"/>
        <v>0</v>
      </c>
      <c r="AK613" s="10">
        <f t="shared" si="646"/>
        <v>0</v>
      </c>
      <c r="AL613" s="10">
        <f t="shared" si="646"/>
        <v>0</v>
      </c>
      <c r="AM613" s="10">
        <f t="shared" si="646"/>
        <v>0</v>
      </c>
      <c r="AN613" s="10">
        <f t="shared" si="646"/>
        <v>0</v>
      </c>
      <c r="AO613" s="10">
        <f t="shared" si="646"/>
        <v>0</v>
      </c>
      <c r="AP613" s="10">
        <f t="shared" si="646"/>
        <v>0</v>
      </c>
      <c r="AQ613" s="10">
        <f t="shared" si="646"/>
        <v>0</v>
      </c>
      <c r="AR613" s="10">
        <f t="shared" si="646"/>
        <v>0</v>
      </c>
      <c r="AS613" s="10">
        <f t="shared" si="646"/>
        <v>0</v>
      </c>
      <c r="AT613" s="10">
        <f t="shared" si="646"/>
        <v>0</v>
      </c>
      <c r="AU613" s="10">
        <f t="shared" si="646"/>
        <v>0</v>
      </c>
      <c r="AV613" s="10">
        <f t="shared" si="646"/>
        <v>0</v>
      </c>
      <c r="AW613" s="10">
        <f t="shared" si="646"/>
        <v>0</v>
      </c>
      <c r="AX613" s="10">
        <f t="shared" si="646"/>
        <v>0</v>
      </c>
      <c r="AY613" s="10">
        <f t="shared" si="646"/>
        <v>0</v>
      </c>
      <c r="AZ613" s="10">
        <f t="shared" si="646"/>
        <v>0</v>
      </c>
      <c r="BA613" s="10">
        <f t="shared" si="646"/>
        <v>0</v>
      </c>
      <c r="BB613" s="10">
        <f t="shared" si="646"/>
        <v>0</v>
      </c>
      <c r="BC613" s="10">
        <f t="shared" si="646"/>
        <v>0</v>
      </c>
      <c r="BD613" s="10">
        <f t="shared" si="646"/>
        <v>0</v>
      </c>
      <c r="BE613" s="10">
        <f t="shared" si="646"/>
        <v>0</v>
      </c>
      <c r="BF613" s="10">
        <f t="shared" si="646"/>
        <v>0</v>
      </c>
      <c r="BG613" s="10">
        <f t="shared" si="646"/>
        <v>0</v>
      </c>
      <c r="BH613" s="10">
        <f t="shared" si="646"/>
        <v>0</v>
      </c>
      <c r="BI613" s="10">
        <f t="shared" si="646"/>
        <v>0</v>
      </c>
      <c r="BJ613" s="10">
        <f t="shared" si="646"/>
        <v>0</v>
      </c>
      <c r="BK613" s="10">
        <f t="shared" si="646"/>
        <v>0</v>
      </c>
      <c r="BL613" s="10">
        <f t="shared" si="646"/>
        <v>0</v>
      </c>
      <c r="BM613" s="10">
        <f t="shared" si="646"/>
        <v>0</v>
      </c>
      <c r="BN613" s="10">
        <f t="shared" si="646"/>
        <v>0</v>
      </c>
      <c r="BO613" s="10">
        <f t="shared" si="646"/>
        <v>0</v>
      </c>
      <c r="BP613" s="10">
        <f t="shared" si="646"/>
        <v>0</v>
      </c>
      <c r="BQ613" s="10">
        <f t="shared" si="646"/>
        <v>0</v>
      </c>
      <c r="BR613" s="10">
        <f t="shared" si="646"/>
        <v>0</v>
      </c>
      <c r="BS613" s="10">
        <f t="shared" si="646"/>
        <v>0</v>
      </c>
      <c r="BT613" s="10">
        <f t="shared" si="646"/>
        <v>0</v>
      </c>
      <c r="BU613" s="10">
        <f t="shared" si="646"/>
        <v>0</v>
      </c>
      <c r="BV613" s="10">
        <f t="shared" si="646"/>
        <v>0</v>
      </c>
      <c r="BX613" s="10">
        <f t="shared" ref="BX613:CI613" si="647">BX$297</f>
        <v>0</v>
      </c>
      <c r="BY613" s="10">
        <f t="shared" si="647"/>
        <v>0</v>
      </c>
      <c r="BZ613" s="10">
        <f t="shared" si="647"/>
        <v>0</v>
      </c>
      <c r="CA613" s="10">
        <f t="shared" si="647"/>
        <v>0</v>
      </c>
      <c r="CB613" s="10">
        <f t="shared" si="647"/>
        <v>0</v>
      </c>
      <c r="CC613" s="10">
        <f t="shared" si="647"/>
        <v>0</v>
      </c>
      <c r="CD613" s="10">
        <f t="shared" si="647"/>
        <v>0</v>
      </c>
      <c r="CE613" s="10">
        <f t="shared" si="647"/>
        <v>0</v>
      </c>
      <c r="CF613" s="10">
        <f t="shared" si="647"/>
        <v>0</v>
      </c>
      <c r="CG613" s="10">
        <f t="shared" si="647"/>
        <v>0</v>
      </c>
      <c r="CH613" s="10">
        <f t="shared" si="647"/>
        <v>0</v>
      </c>
      <c r="CI613" s="10">
        <f t="shared" si="647"/>
        <v>0</v>
      </c>
      <c r="CK613" s="11"/>
      <c r="CM613" s="11"/>
      <c r="DF613" s="11"/>
      <c r="EY613" s="10" t="str">
        <f t="shared" si="559"/>
        <v/>
      </c>
    </row>
    <row r="614" spans="1:155" s="5" customFormat="1" x14ac:dyDescent="0.35">
      <c r="A614"/>
      <c r="B614" s="69" t="str" cm="1">
        <f t="array" aca="1" ref="B614" ca="1">HYPERLINK(CONCATENATE("#",CELL("address",$D$303)),$D$303)</f>
        <v>Loan 14</v>
      </c>
      <c r="C614" s="211"/>
      <c r="D614" s="49">
        <f>D$26</f>
        <v>0</v>
      </c>
      <c r="E614" s="49" t="str">
        <f>F$26</f>
        <v/>
      </c>
      <c r="F614" s="49"/>
      <c r="G614"/>
      <c r="H614" s="9" t="s">
        <v>1074</v>
      </c>
      <c r="I614" s="40" t="s">
        <v>665</v>
      </c>
      <c r="J614"/>
      <c r="K614"/>
      <c r="L614"/>
      <c r="M614"/>
      <c r="N614"/>
      <c r="O614"/>
      <c r="P614"/>
      <c r="Q614"/>
      <c r="R614"/>
      <c r="S614"/>
      <c r="T614"/>
      <c r="U614"/>
      <c r="V614" s="133">
        <f>V$316</f>
        <v>0</v>
      </c>
      <c r="W614" s="10">
        <f>W$316</f>
        <v>0</v>
      </c>
      <c r="X614" s="10">
        <f>X$316</f>
        <v>0</v>
      </c>
      <c r="Y614" s="10">
        <f>Y$316</f>
        <v>0</v>
      </c>
      <c r="Z614"/>
      <c r="AA614" s="10">
        <f t="shared" ref="AA614:BV614" si="648">AA$316</f>
        <v>0</v>
      </c>
      <c r="AB614" s="10">
        <f t="shared" si="648"/>
        <v>0</v>
      </c>
      <c r="AC614" s="10">
        <f t="shared" si="648"/>
        <v>0</v>
      </c>
      <c r="AD614" s="10">
        <f t="shared" si="648"/>
        <v>0</v>
      </c>
      <c r="AE614" s="10">
        <f t="shared" si="648"/>
        <v>0</v>
      </c>
      <c r="AF614" s="10">
        <f t="shared" si="648"/>
        <v>0</v>
      </c>
      <c r="AG614" s="10">
        <f t="shared" si="648"/>
        <v>0</v>
      </c>
      <c r="AH614" s="10">
        <f t="shared" si="648"/>
        <v>0</v>
      </c>
      <c r="AI614" s="10">
        <f t="shared" si="648"/>
        <v>0</v>
      </c>
      <c r="AJ614" s="10">
        <f t="shared" si="648"/>
        <v>0</v>
      </c>
      <c r="AK614" s="10">
        <f t="shared" si="648"/>
        <v>0</v>
      </c>
      <c r="AL614" s="10">
        <f t="shared" si="648"/>
        <v>0</v>
      </c>
      <c r="AM614" s="10">
        <f t="shared" si="648"/>
        <v>0</v>
      </c>
      <c r="AN614" s="10">
        <f t="shared" si="648"/>
        <v>0</v>
      </c>
      <c r="AO614" s="10">
        <f t="shared" si="648"/>
        <v>0</v>
      </c>
      <c r="AP614" s="10">
        <f t="shared" si="648"/>
        <v>0</v>
      </c>
      <c r="AQ614" s="10">
        <f t="shared" si="648"/>
        <v>0</v>
      </c>
      <c r="AR614" s="10">
        <f t="shared" si="648"/>
        <v>0</v>
      </c>
      <c r="AS614" s="10">
        <f t="shared" si="648"/>
        <v>0</v>
      </c>
      <c r="AT614" s="10">
        <f t="shared" si="648"/>
        <v>0</v>
      </c>
      <c r="AU614" s="10">
        <f t="shared" si="648"/>
        <v>0</v>
      </c>
      <c r="AV614" s="10">
        <f t="shared" si="648"/>
        <v>0</v>
      </c>
      <c r="AW614" s="10">
        <f t="shared" si="648"/>
        <v>0</v>
      </c>
      <c r="AX614" s="10">
        <f t="shared" si="648"/>
        <v>0</v>
      </c>
      <c r="AY614" s="10">
        <f t="shared" si="648"/>
        <v>0</v>
      </c>
      <c r="AZ614" s="10">
        <f t="shared" si="648"/>
        <v>0</v>
      </c>
      <c r="BA614" s="10">
        <f t="shared" si="648"/>
        <v>0</v>
      </c>
      <c r="BB614" s="10">
        <f t="shared" si="648"/>
        <v>0</v>
      </c>
      <c r="BC614" s="10">
        <f t="shared" si="648"/>
        <v>0</v>
      </c>
      <c r="BD614" s="10">
        <f t="shared" si="648"/>
        <v>0</v>
      </c>
      <c r="BE614" s="10">
        <f t="shared" si="648"/>
        <v>0</v>
      </c>
      <c r="BF614" s="10">
        <f t="shared" si="648"/>
        <v>0</v>
      </c>
      <c r="BG614" s="10">
        <f t="shared" si="648"/>
        <v>0</v>
      </c>
      <c r="BH614" s="10">
        <f t="shared" si="648"/>
        <v>0</v>
      </c>
      <c r="BI614" s="10">
        <f t="shared" si="648"/>
        <v>0</v>
      </c>
      <c r="BJ614" s="10">
        <f t="shared" si="648"/>
        <v>0</v>
      </c>
      <c r="BK614" s="10">
        <f t="shared" si="648"/>
        <v>0</v>
      </c>
      <c r="BL614" s="10">
        <f t="shared" si="648"/>
        <v>0</v>
      </c>
      <c r="BM614" s="10">
        <f t="shared" si="648"/>
        <v>0</v>
      </c>
      <c r="BN614" s="10">
        <f t="shared" si="648"/>
        <v>0</v>
      </c>
      <c r="BO614" s="10">
        <f t="shared" si="648"/>
        <v>0</v>
      </c>
      <c r="BP614" s="10">
        <f t="shared" si="648"/>
        <v>0</v>
      </c>
      <c r="BQ614" s="10">
        <f t="shared" si="648"/>
        <v>0</v>
      </c>
      <c r="BR614" s="10">
        <f t="shared" si="648"/>
        <v>0</v>
      </c>
      <c r="BS614" s="10">
        <f t="shared" si="648"/>
        <v>0</v>
      </c>
      <c r="BT614" s="10">
        <f t="shared" si="648"/>
        <v>0</v>
      </c>
      <c r="BU614" s="10">
        <f t="shared" si="648"/>
        <v>0</v>
      </c>
      <c r="BV614" s="10">
        <f t="shared" si="648"/>
        <v>0</v>
      </c>
      <c r="BW614"/>
      <c r="BX614" s="10">
        <f t="shared" ref="BX614:CI614" si="649">BX$316</f>
        <v>0</v>
      </c>
      <c r="BY614" s="10">
        <f t="shared" si="649"/>
        <v>0</v>
      </c>
      <c r="BZ614" s="10">
        <f t="shared" si="649"/>
        <v>0</v>
      </c>
      <c r="CA614" s="10">
        <f t="shared" si="649"/>
        <v>0</v>
      </c>
      <c r="CB614" s="10">
        <f t="shared" si="649"/>
        <v>0</v>
      </c>
      <c r="CC614" s="10">
        <f t="shared" si="649"/>
        <v>0</v>
      </c>
      <c r="CD614" s="10">
        <f t="shared" si="649"/>
        <v>0</v>
      </c>
      <c r="CE614" s="10">
        <f t="shared" si="649"/>
        <v>0</v>
      </c>
      <c r="CF614" s="10">
        <f t="shared" si="649"/>
        <v>0</v>
      </c>
      <c r="CG614" s="10">
        <f t="shared" si="649"/>
        <v>0</v>
      </c>
      <c r="CH614" s="10">
        <f t="shared" si="649"/>
        <v>0</v>
      </c>
      <c r="CI614" s="10">
        <f t="shared" si="649"/>
        <v>0</v>
      </c>
      <c r="CJ614"/>
      <c r="CK614" s="11"/>
      <c r="CL614"/>
      <c r="CM614" s="11"/>
      <c r="CN614"/>
      <c r="CO614"/>
      <c r="CP614"/>
      <c r="CQ614"/>
      <c r="CR614"/>
      <c r="CS614"/>
      <c r="CT614"/>
      <c r="CU614"/>
      <c r="CV614"/>
      <c r="CW614"/>
      <c r="CX614"/>
      <c r="CY614"/>
      <c r="CZ614"/>
      <c r="DA614"/>
      <c r="DB614"/>
      <c r="DC614"/>
      <c r="DD614"/>
      <c r="DE614"/>
      <c r="DF614" s="11"/>
      <c r="EY614" s="10" t="str">
        <f t="shared" si="559"/>
        <v/>
      </c>
    </row>
    <row r="615" spans="1:155" x14ac:dyDescent="0.35">
      <c r="B615" s="69" t="str" cm="1">
        <f t="array" aca="1" ref="B615" ca="1">HYPERLINK(CONCATENATE("#",CELL("address",$D$322)),$D$322)</f>
        <v>Loan 15</v>
      </c>
      <c r="C615" s="211"/>
      <c r="D615" s="49">
        <f>D$27</f>
        <v>0</v>
      </c>
      <c r="E615" s="49" t="str">
        <f>F$27</f>
        <v/>
      </c>
      <c r="F615" s="49"/>
      <c r="H615" s="9" t="s">
        <v>1074</v>
      </c>
      <c r="I615" s="40" t="s">
        <v>665</v>
      </c>
      <c r="V615" s="133">
        <f>V$335</f>
        <v>0</v>
      </c>
      <c r="W615" s="10">
        <f>W$335</f>
        <v>0</v>
      </c>
      <c r="X615" s="10">
        <f>X$335</f>
        <v>0</v>
      </c>
      <c r="Y615" s="10">
        <f>Y$335</f>
        <v>0</v>
      </c>
      <c r="AA615" s="10">
        <f t="shared" ref="AA615:BV615" si="650">AA$335</f>
        <v>0</v>
      </c>
      <c r="AB615" s="10">
        <f t="shared" si="650"/>
        <v>0</v>
      </c>
      <c r="AC615" s="10">
        <f t="shared" si="650"/>
        <v>0</v>
      </c>
      <c r="AD615" s="10">
        <f t="shared" si="650"/>
        <v>0</v>
      </c>
      <c r="AE615" s="10">
        <f t="shared" si="650"/>
        <v>0</v>
      </c>
      <c r="AF615" s="10">
        <f t="shared" si="650"/>
        <v>0</v>
      </c>
      <c r="AG615" s="10">
        <f t="shared" si="650"/>
        <v>0</v>
      </c>
      <c r="AH615" s="10">
        <f t="shared" si="650"/>
        <v>0</v>
      </c>
      <c r="AI615" s="10">
        <f t="shared" si="650"/>
        <v>0</v>
      </c>
      <c r="AJ615" s="10">
        <f t="shared" si="650"/>
        <v>0</v>
      </c>
      <c r="AK615" s="10">
        <f t="shared" si="650"/>
        <v>0</v>
      </c>
      <c r="AL615" s="10">
        <f t="shared" si="650"/>
        <v>0</v>
      </c>
      <c r="AM615" s="10">
        <f t="shared" si="650"/>
        <v>0</v>
      </c>
      <c r="AN615" s="10">
        <f t="shared" si="650"/>
        <v>0</v>
      </c>
      <c r="AO615" s="10">
        <f t="shared" si="650"/>
        <v>0</v>
      </c>
      <c r="AP615" s="10">
        <f t="shared" si="650"/>
        <v>0</v>
      </c>
      <c r="AQ615" s="10">
        <f t="shared" si="650"/>
        <v>0</v>
      </c>
      <c r="AR615" s="10">
        <f t="shared" si="650"/>
        <v>0</v>
      </c>
      <c r="AS615" s="10">
        <f t="shared" si="650"/>
        <v>0</v>
      </c>
      <c r="AT615" s="10">
        <f t="shared" si="650"/>
        <v>0</v>
      </c>
      <c r="AU615" s="10">
        <f t="shared" si="650"/>
        <v>0</v>
      </c>
      <c r="AV615" s="10">
        <f t="shared" si="650"/>
        <v>0</v>
      </c>
      <c r="AW615" s="10">
        <f t="shared" si="650"/>
        <v>0</v>
      </c>
      <c r="AX615" s="10">
        <f t="shared" si="650"/>
        <v>0</v>
      </c>
      <c r="AY615" s="10">
        <f t="shared" si="650"/>
        <v>0</v>
      </c>
      <c r="AZ615" s="10">
        <f t="shared" si="650"/>
        <v>0</v>
      </c>
      <c r="BA615" s="10">
        <f t="shared" si="650"/>
        <v>0</v>
      </c>
      <c r="BB615" s="10">
        <f t="shared" si="650"/>
        <v>0</v>
      </c>
      <c r="BC615" s="10">
        <f t="shared" si="650"/>
        <v>0</v>
      </c>
      <c r="BD615" s="10">
        <f t="shared" si="650"/>
        <v>0</v>
      </c>
      <c r="BE615" s="10">
        <f t="shared" si="650"/>
        <v>0</v>
      </c>
      <c r="BF615" s="10">
        <f t="shared" si="650"/>
        <v>0</v>
      </c>
      <c r="BG615" s="10">
        <f t="shared" si="650"/>
        <v>0</v>
      </c>
      <c r="BH615" s="10">
        <f t="shared" si="650"/>
        <v>0</v>
      </c>
      <c r="BI615" s="10">
        <f t="shared" si="650"/>
        <v>0</v>
      </c>
      <c r="BJ615" s="10">
        <f t="shared" si="650"/>
        <v>0</v>
      </c>
      <c r="BK615" s="10">
        <f t="shared" si="650"/>
        <v>0</v>
      </c>
      <c r="BL615" s="10">
        <f t="shared" si="650"/>
        <v>0</v>
      </c>
      <c r="BM615" s="10">
        <f t="shared" si="650"/>
        <v>0</v>
      </c>
      <c r="BN615" s="10">
        <f t="shared" si="650"/>
        <v>0</v>
      </c>
      <c r="BO615" s="10">
        <f t="shared" si="650"/>
        <v>0</v>
      </c>
      <c r="BP615" s="10">
        <f t="shared" si="650"/>
        <v>0</v>
      </c>
      <c r="BQ615" s="10">
        <f t="shared" si="650"/>
        <v>0</v>
      </c>
      <c r="BR615" s="10">
        <f t="shared" si="650"/>
        <v>0</v>
      </c>
      <c r="BS615" s="10">
        <f t="shared" si="650"/>
        <v>0</v>
      </c>
      <c r="BT615" s="10">
        <f t="shared" si="650"/>
        <v>0</v>
      </c>
      <c r="BU615" s="10">
        <f t="shared" si="650"/>
        <v>0</v>
      </c>
      <c r="BV615" s="10">
        <f t="shared" si="650"/>
        <v>0</v>
      </c>
      <c r="BX615" s="10">
        <f t="shared" ref="BX615:CI615" si="651">BX$335</f>
        <v>0</v>
      </c>
      <c r="BY615" s="10">
        <f t="shared" si="651"/>
        <v>0</v>
      </c>
      <c r="BZ615" s="10">
        <f t="shared" si="651"/>
        <v>0</v>
      </c>
      <c r="CA615" s="10">
        <f t="shared" si="651"/>
        <v>0</v>
      </c>
      <c r="CB615" s="10">
        <f t="shared" si="651"/>
        <v>0</v>
      </c>
      <c r="CC615" s="10">
        <f t="shared" si="651"/>
        <v>0</v>
      </c>
      <c r="CD615" s="10">
        <f t="shared" si="651"/>
        <v>0</v>
      </c>
      <c r="CE615" s="10">
        <f t="shared" si="651"/>
        <v>0</v>
      </c>
      <c r="CF615" s="10">
        <f t="shared" si="651"/>
        <v>0</v>
      </c>
      <c r="CG615" s="10">
        <f t="shared" si="651"/>
        <v>0</v>
      </c>
      <c r="CH615" s="10">
        <f t="shared" si="651"/>
        <v>0</v>
      </c>
      <c r="CI615" s="10">
        <f t="shared" si="651"/>
        <v>0</v>
      </c>
      <c r="CK615" s="11"/>
      <c r="CM615" s="11"/>
      <c r="DF615" s="11"/>
      <c r="EY615" s="10" t="str">
        <f t="shared" si="559"/>
        <v/>
      </c>
    </row>
    <row r="616" spans="1:155" x14ac:dyDescent="0.35">
      <c r="B616" s="69" t="str" cm="1">
        <f t="array" aca="1" ref="B616" ca="1">HYPERLINK(CONCATENATE("#",CELL("address",$D$341)),$D$341)</f>
        <v>Loan 16</v>
      </c>
      <c r="C616" s="211"/>
      <c r="D616" s="49">
        <f>D$28</f>
        <v>0</v>
      </c>
      <c r="E616" s="49" t="str">
        <f>F$28</f>
        <v/>
      </c>
      <c r="F616" s="49"/>
      <c r="H616" s="9" t="s">
        <v>1074</v>
      </c>
      <c r="I616" s="40" t="s">
        <v>665</v>
      </c>
      <c r="V616" s="133">
        <f>V$354</f>
        <v>0</v>
      </c>
      <c r="W616" s="10">
        <f>W$354</f>
        <v>0</v>
      </c>
      <c r="X616" s="10">
        <f>X$354</f>
        <v>0</v>
      </c>
      <c r="Y616" s="10">
        <f>Y$354</f>
        <v>0</v>
      </c>
      <c r="AA616" s="10">
        <f t="shared" ref="AA616:BV616" si="652">AA$354</f>
        <v>0</v>
      </c>
      <c r="AB616" s="10">
        <f t="shared" si="652"/>
        <v>0</v>
      </c>
      <c r="AC616" s="10">
        <f t="shared" si="652"/>
        <v>0</v>
      </c>
      <c r="AD616" s="10">
        <f t="shared" si="652"/>
        <v>0</v>
      </c>
      <c r="AE616" s="10">
        <f t="shared" si="652"/>
        <v>0</v>
      </c>
      <c r="AF616" s="10">
        <f t="shared" si="652"/>
        <v>0</v>
      </c>
      <c r="AG616" s="10">
        <f t="shared" si="652"/>
        <v>0</v>
      </c>
      <c r="AH616" s="10">
        <f t="shared" si="652"/>
        <v>0</v>
      </c>
      <c r="AI616" s="10">
        <f t="shared" si="652"/>
        <v>0</v>
      </c>
      <c r="AJ616" s="10">
        <f t="shared" si="652"/>
        <v>0</v>
      </c>
      <c r="AK616" s="10">
        <f t="shared" si="652"/>
        <v>0</v>
      </c>
      <c r="AL616" s="10">
        <f t="shared" si="652"/>
        <v>0</v>
      </c>
      <c r="AM616" s="10">
        <f t="shared" si="652"/>
        <v>0</v>
      </c>
      <c r="AN616" s="10">
        <f t="shared" si="652"/>
        <v>0</v>
      </c>
      <c r="AO616" s="10">
        <f t="shared" si="652"/>
        <v>0</v>
      </c>
      <c r="AP616" s="10">
        <f t="shared" si="652"/>
        <v>0</v>
      </c>
      <c r="AQ616" s="10">
        <f t="shared" si="652"/>
        <v>0</v>
      </c>
      <c r="AR616" s="10">
        <f t="shared" si="652"/>
        <v>0</v>
      </c>
      <c r="AS616" s="10">
        <f t="shared" si="652"/>
        <v>0</v>
      </c>
      <c r="AT616" s="10">
        <f t="shared" si="652"/>
        <v>0</v>
      </c>
      <c r="AU616" s="10">
        <f t="shared" si="652"/>
        <v>0</v>
      </c>
      <c r="AV616" s="10">
        <f t="shared" si="652"/>
        <v>0</v>
      </c>
      <c r="AW616" s="10">
        <f t="shared" si="652"/>
        <v>0</v>
      </c>
      <c r="AX616" s="10">
        <f t="shared" si="652"/>
        <v>0</v>
      </c>
      <c r="AY616" s="10">
        <f t="shared" si="652"/>
        <v>0</v>
      </c>
      <c r="AZ616" s="10">
        <f t="shared" si="652"/>
        <v>0</v>
      </c>
      <c r="BA616" s="10">
        <f t="shared" si="652"/>
        <v>0</v>
      </c>
      <c r="BB616" s="10">
        <f t="shared" si="652"/>
        <v>0</v>
      </c>
      <c r="BC616" s="10">
        <f t="shared" si="652"/>
        <v>0</v>
      </c>
      <c r="BD616" s="10">
        <f t="shared" si="652"/>
        <v>0</v>
      </c>
      <c r="BE616" s="10">
        <f t="shared" si="652"/>
        <v>0</v>
      </c>
      <c r="BF616" s="10">
        <f t="shared" si="652"/>
        <v>0</v>
      </c>
      <c r="BG616" s="10">
        <f t="shared" si="652"/>
        <v>0</v>
      </c>
      <c r="BH616" s="10">
        <f t="shared" si="652"/>
        <v>0</v>
      </c>
      <c r="BI616" s="10">
        <f t="shared" si="652"/>
        <v>0</v>
      </c>
      <c r="BJ616" s="10">
        <f t="shared" si="652"/>
        <v>0</v>
      </c>
      <c r="BK616" s="10">
        <f t="shared" si="652"/>
        <v>0</v>
      </c>
      <c r="BL616" s="10">
        <f t="shared" si="652"/>
        <v>0</v>
      </c>
      <c r="BM616" s="10">
        <f t="shared" si="652"/>
        <v>0</v>
      </c>
      <c r="BN616" s="10">
        <f t="shared" si="652"/>
        <v>0</v>
      </c>
      <c r="BO616" s="10">
        <f t="shared" si="652"/>
        <v>0</v>
      </c>
      <c r="BP616" s="10">
        <f t="shared" si="652"/>
        <v>0</v>
      </c>
      <c r="BQ616" s="10">
        <f t="shared" si="652"/>
        <v>0</v>
      </c>
      <c r="BR616" s="10">
        <f t="shared" si="652"/>
        <v>0</v>
      </c>
      <c r="BS616" s="10">
        <f t="shared" si="652"/>
        <v>0</v>
      </c>
      <c r="BT616" s="10">
        <f t="shared" si="652"/>
        <v>0</v>
      </c>
      <c r="BU616" s="10">
        <f t="shared" si="652"/>
        <v>0</v>
      </c>
      <c r="BV616" s="10">
        <f t="shared" si="652"/>
        <v>0</v>
      </c>
      <c r="BX616" s="10">
        <f t="shared" ref="BX616:CI616" si="653">BX$354</f>
        <v>0</v>
      </c>
      <c r="BY616" s="10">
        <f t="shared" si="653"/>
        <v>0</v>
      </c>
      <c r="BZ616" s="10">
        <f t="shared" si="653"/>
        <v>0</v>
      </c>
      <c r="CA616" s="10">
        <f t="shared" si="653"/>
        <v>0</v>
      </c>
      <c r="CB616" s="10">
        <f t="shared" si="653"/>
        <v>0</v>
      </c>
      <c r="CC616" s="10">
        <f t="shared" si="653"/>
        <v>0</v>
      </c>
      <c r="CD616" s="10">
        <f t="shared" si="653"/>
        <v>0</v>
      </c>
      <c r="CE616" s="10">
        <f t="shared" si="653"/>
        <v>0</v>
      </c>
      <c r="CF616" s="10">
        <f t="shared" si="653"/>
        <v>0</v>
      </c>
      <c r="CG616" s="10">
        <f t="shared" si="653"/>
        <v>0</v>
      </c>
      <c r="CH616" s="10">
        <f t="shared" si="653"/>
        <v>0</v>
      </c>
      <c r="CI616" s="10">
        <f t="shared" si="653"/>
        <v>0</v>
      </c>
      <c r="CK616" s="11"/>
      <c r="CM616" s="11"/>
      <c r="DF616" s="11"/>
      <c r="EY616" s="10" t="str">
        <f t="shared" si="559"/>
        <v/>
      </c>
    </row>
    <row r="617" spans="1:155" x14ac:dyDescent="0.35">
      <c r="B617" s="69" t="str" cm="1">
        <f t="array" aca="1" ref="B617" ca="1">HYPERLINK(CONCATENATE("#",CELL("address",$D$360)),$D$360)</f>
        <v>Loan 17</v>
      </c>
      <c r="C617" s="211"/>
      <c r="D617" s="49">
        <f>D$29</f>
        <v>0</v>
      </c>
      <c r="E617" s="49" t="str">
        <f>F$29</f>
        <v/>
      </c>
      <c r="F617" s="49"/>
      <c r="H617" s="9" t="s">
        <v>1074</v>
      </c>
      <c r="I617" s="40" t="s">
        <v>665</v>
      </c>
      <c r="V617" s="133">
        <f>V$373</f>
        <v>0</v>
      </c>
      <c r="W617" s="10">
        <f>W$373</f>
        <v>0</v>
      </c>
      <c r="X617" s="10">
        <f>X$373</f>
        <v>0</v>
      </c>
      <c r="Y617" s="10">
        <f>Y$373</f>
        <v>0</v>
      </c>
      <c r="AA617" s="10">
        <f t="shared" ref="AA617:BV617" si="654">AA$373</f>
        <v>0</v>
      </c>
      <c r="AB617" s="10">
        <f t="shared" si="654"/>
        <v>0</v>
      </c>
      <c r="AC617" s="10">
        <f t="shared" si="654"/>
        <v>0</v>
      </c>
      <c r="AD617" s="10">
        <f t="shared" si="654"/>
        <v>0</v>
      </c>
      <c r="AE617" s="10">
        <f t="shared" si="654"/>
        <v>0</v>
      </c>
      <c r="AF617" s="10">
        <f t="shared" si="654"/>
        <v>0</v>
      </c>
      <c r="AG617" s="10">
        <f t="shared" si="654"/>
        <v>0</v>
      </c>
      <c r="AH617" s="10">
        <f t="shared" si="654"/>
        <v>0</v>
      </c>
      <c r="AI617" s="10">
        <f t="shared" si="654"/>
        <v>0</v>
      </c>
      <c r="AJ617" s="10">
        <f t="shared" si="654"/>
        <v>0</v>
      </c>
      <c r="AK617" s="10">
        <f t="shared" si="654"/>
        <v>0</v>
      </c>
      <c r="AL617" s="10">
        <f t="shared" si="654"/>
        <v>0</v>
      </c>
      <c r="AM617" s="10">
        <f t="shared" si="654"/>
        <v>0</v>
      </c>
      <c r="AN617" s="10">
        <f t="shared" si="654"/>
        <v>0</v>
      </c>
      <c r="AO617" s="10">
        <f t="shared" si="654"/>
        <v>0</v>
      </c>
      <c r="AP617" s="10">
        <f t="shared" si="654"/>
        <v>0</v>
      </c>
      <c r="AQ617" s="10">
        <f t="shared" si="654"/>
        <v>0</v>
      </c>
      <c r="AR617" s="10">
        <f t="shared" si="654"/>
        <v>0</v>
      </c>
      <c r="AS617" s="10">
        <f t="shared" si="654"/>
        <v>0</v>
      </c>
      <c r="AT617" s="10">
        <f t="shared" si="654"/>
        <v>0</v>
      </c>
      <c r="AU617" s="10">
        <f t="shared" si="654"/>
        <v>0</v>
      </c>
      <c r="AV617" s="10">
        <f t="shared" si="654"/>
        <v>0</v>
      </c>
      <c r="AW617" s="10">
        <f t="shared" si="654"/>
        <v>0</v>
      </c>
      <c r="AX617" s="10">
        <f t="shared" si="654"/>
        <v>0</v>
      </c>
      <c r="AY617" s="10">
        <f t="shared" si="654"/>
        <v>0</v>
      </c>
      <c r="AZ617" s="10">
        <f t="shared" si="654"/>
        <v>0</v>
      </c>
      <c r="BA617" s="10">
        <f t="shared" si="654"/>
        <v>0</v>
      </c>
      <c r="BB617" s="10">
        <f t="shared" si="654"/>
        <v>0</v>
      </c>
      <c r="BC617" s="10">
        <f t="shared" si="654"/>
        <v>0</v>
      </c>
      <c r="BD617" s="10">
        <f t="shared" si="654"/>
        <v>0</v>
      </c>
      <c r="BE617" s="10">
        <f t="shared" si="654"/>
        <v>0</v>
      </c>
      <c r="BF617" s="10">
        <f t="shared" si="654"/>
        <v>0</v>
      </c>
      <c r="BG617" s="10">
        <f t="shared" si="654"/>
        <v>0</v>
      </c>
      <c r="BH617" s="10">
        <f t="shared" si="654"/>
        <v>0</v>
      </c>
      <c r="BI617" s="10">
        <f t="shared" si="654"/>
        <v>0</v>
      </c>
      <c r="BJ617" s="10">
        <f t="shared" si="654"/>
        <v>0</v>
      </c>
      <c r="BK617" s="10">
        <f t="shared" si="654"/>
        <v>0</v>
      </c>
      <c r="BL617" s="10">
        <f t="shared" si="654"/>
        <v>0</v>
      </c>
      <c r="BM617" s="10">
        <f t="shared" si="654"/>
        <v>0</v>
      </c>
      <c r="BN617" s="10">
        <f t="shared" si="654"/>
        <v>0</v>
      </c>
      <c r="BO617" s="10">
        <f t="shared" si="654"/>
        <v>0</v>
      </c>
      <c r="BP617" s="10">
        <f t="shared" si="654"/>
        <v>0</v>
      </c>
      <c r="BQ617" s="10">
        <f t="shared" si="654"/>
        <v>0</v>
      </c>
      <c r="BR617" s="10">
        <f t="shared" si="654"/>
        <v>0</v>
      </c>
      <c r="BS617" s="10">
        <f t="shared" si="654"/>
        <v>0</v>
      </c>
      <c r="BT617" s="10">
        <f t="shared" si="654"/>
        <v>0</v>
      </c>
      <c r="BU617" s="10">
        <f t="shared" si="654"/>
        <v>0</v>
      </c>
      <c r="BV617" s="10">
        <f t="shared" si="654"/>
        <v>0</v>
      </c>
      <c r="BX617" s="10">
        <f t="shared" ref="BX617:CI617" si="655">BX$373</f>
        <v>0</v>
      </c>
      <c r="BY617" s="10">
        <f t="shared" si="655"/>
        <v>0</v>
      </c>
      <c r="BZ617" s="10">
        <f t="shared" si="655"/>
        <v>0</v>
      </c>
      <c r="CA617" s="10">
        <f t="shared" si="655"/>
        <v>0</v>
      </c>
      <c r="CB617" s="10">
        <f t="shared" si="655"/>
        <v>0</v>
      </c>
      <c r="CC617" s="10">
        <f t="shared" si="655"/>
        <v>0</v>
      </c>
      <c r="CD617" s="10">
        <f t="shared" si="655"/>
        <v>0</v>
      </c>
      <c r="CE617" s="10">
        <f t="shared" si="655"/>
        <v>0</v>
      </c>
      <c r="CF617" s="10">
        <f t="shared" si="655"/>
        <v>0</v>
      </c>
      <c r="CG617" s="10">
        <f t="shared" si="655"/>
        <v>0</v>
      </c>
      <c r="CH617" s="10">
        <f t="shared" si="655"/>
        <v>0</v>
      </c>
      <c r="CI617" s="10">
        <f t="shared" si="655"/>
        <v>0</v>
      </c>
      <c r="CK617" s="11"/>
      <c r="CM617" s="11"/>
      <c r="DF617" s="11"/>
      <c r="EY617" s="10" t="str">
        <f t="shared" si="559"/>
        <v/>
      </c>
    </row>
    <row r="618" spans="1:155" x14ac:dyDescent="0.35">
      <c r="B618" s="69" t="str" cm="1">
        <f t="array" aca="1" ref="B618" ca="1">HYPERLINK(CONCATENATE("#",CELL("address",$D$379)),$D$379)</f>
        <v>Loan 18</v>
      </c>
      <c r="C618" s="211"/>
      <c r="D618" s="49">
        <f>D$30</f>
        <v>0</v>
      </c>
      <c r="E618" s="49" t="str">
        <f>F$30</f>
        <v/>
      </c>
      <c r="F618" s="49"/>
      <c r="H618" s="9" t="s">
        <v>1074</v>
      </c>
      <c r="I618" s="40" t="s">
        <v>665</v>
      </c>
      <c r="V618" s="133">
        <f>V$392</f>
        <v>0</v>
      </c>
      <c r="W618" s="10">
        <f>W$392</f>
        <v>0</v>
      </c>
      <c r="X618" s="10">
        <f>X$392</f>
        <v>0</v>
      </c>
      <c r="Y618" s="10">
        <f>Y$392</f>
        <v>0</v>
      </c>
      <c r="AA618" s="10">
        <f t="shared" ref="AA618:BV618" si="656">AA$392</f>
        <v>0</v>
      </c>
      <c r="AB618" s="10">
        <f t="shared" si="656"/>
        <v>0</v>
      </c>
      <c r="AC618" s="10">
        <f t="shared" si="656"/>
        <v>0</v>
      </c>
      <c r="AD618" s="10">
        <f t="shared" si="656"/>
        <v>0</v>
      </c>
      <c r="AE618" s="10">
        <f t="shared" si="656"/>
        <v>0</v>
      </c>
      <c r="AF618" s="10">
        <f t="shared" si="656"/>
        <v>0</v>
      </c>
      <c r="AG618" s="10">
        <f t="shared" si="656"/>
        <v>0</v>
      </c>
      <c r="AH618" s="10">
        <f t="shared" si="656"/>
        <v>0</v>
      </c>
      <c r="AI618" s="10">
        <f t="shared" si="656"/>
        <v>0</v>
      </c>
      <c r="AJ618" s="10">
        <f t="shared" si="656"/>
        <v>0</v>
      </c>
      <c r="AK618" s="10">
        <f t="shared" si="656"/>
        <v>0</v>
      </c>
      <c r="AL618" s="10">
        <f t="shared" si="656"/>
        <v>0</v>
      </c>
      <c r="AM618" s="10">
        <f t="shared" si="656"/>
        <v>0</v>
      </c>
      <c r="AN618" s="10">
        <f t="shared" si="656"/>
        <v>0</v>
      </c>
      <c r="AO618" s="10">
        <f t="shared" si="656"/>
        <v>0</v>
      </c>
      <c r="AP618" s="10">
        <f t="shared" si="656"/>
        <v>0</v>
      </c>
      <c r="AQ618" s="10">
        <f t="shared" si="656"/>
        <v>0</v>
      </c>
      <c r="AR618" s="10">
        <f t="shared" si="656"/>
        <v>0</v>
      </c>
      <c r="AS618" s="10">
        <f t="shared" si="656"/>
        <v>0</v>
      </c>
      <c r="AT618" s="10">
        <f t="shared" si="656"/>
        <v>0</v>
      </c>
      <c r="AU618" s="10">
        <f t="shared" si="656"/>
        <v>0</v>
      </c>
      <c r="AV618" s="10">
        <f t="shared" si="656"/>
        <v>0</v>
      </c>
      <c r="AW618" s="10">
        <f t="shared" si="656"/>
        <v>0</v>
      </c>
      <c r="AX618" s="10">
        <f t="shared" si="656"/>
        <v>0</v>
      </c>
      <c r="AY618" s="10">
        <f t="shared" si="656"/>
        <v>0</v>
      </c>
      <c r="AZ618" s="10">
        <f t="shared" si="656"/>
        <v>0</v>
      </c>
      <c r="BA618" s="10">
        <f t="shared" si="656"/>
        <v>0</v>
      </c>
      <c r="BB618" s="10">
        <f t="shared" si="656"/>
        <v>0</v>
      </c>
      <c r="BC618" s="10">
        <f t="shared" si="656"/>
        <v>0</v>
      </c>
      <c r="BD618" s="10">
        <f t="shared" si="656"/>
        <v>0</v>
      </c>
      <c r="BE618" s="10">
        <f t="shared" si="656"/>
        <v>0</v>
      </c>
      <c r="BF618" s="10">
        <f t="shared" si="656"/>
        <v>0</v>
      </c>
      <c r="BG618" s="10">
        <f t="shared" si="656"/>
        <v>0</v>
      </c>
      <c r="BH618" s="10">
        <f t="shared" si="656"/>
        <v>0</v>
      </c>
      <c r="BI618" s="10">
        <f t="shared" si="656"/>
        <v>0</v>
      </c>
      <c r="BJ618" s="10">
        <f t="shared" si="656"/>
        <v>0</v>
      </c>
      <c r="BK618" s="10">
        <f t="shared" si="656"/>
        <v>0</v>
      </c>
      <c r="BL618" s="10">
        <f t="shared" si="656"/>
        <v>0</v>
      </c>
      <c r="BM618" s="10">
        <f t="shared" si="656"/>
        <v>0</v>
      </c>
      <c r="BN618" s="10">
        <f t="shared" si="656"/>
        <v>0</v>
      </c>
      <c r="BO618" s="10">
        <f t="shared" si="656"/>
        <v>0</v>
      </c>
      <c r="BP618" s="10">
        <f t="shared" si="656"/>
        <v>0</v>
      </c>
      <c r="BQ618" s="10">
        <f t="shared" si="656"/>
        <v>0</v>
      </c>
      <c r="BR618" s="10">
        <f t="shared" si="656"/>
        <v>0</v>
      </c>
      <c r="BS618" s="10">
        <f t="shared" si="656"/>
        <v>0</v>
      </c>
      <c r="BT618" s="10">
        <f t="shared" si="656"/>
        <v>0</v>
      </c>
      <c r="BU618" s="10">
        <f t="shared" si="656"/>
        <v>0</v>
      </c>
      <c r="BV618" s="10">
        <f t="shared" si="656"/>
        <v>0</v>
      </c>
      <c r="BX618" s="10">
        <f t="shared" ref="BX618:CI618" si="657">BX$392</f>
        <v>0</v>
      </c>
      <c r="BY618" s="10">
        <f t="shared" si="657"/>
        <v>0</v>
      </c>
      <c r="BZ618" s="10">
        <f t="shared" si="657"/>
        <v>0</v>
      </c>
      <c r="CA618" s="10">
        <f t="shared" si="657"/>
        <v>0</v>
      </c>
      <c r="CB618" s="10">
        <f t="shared" si="657"/>
        <v>0</v>
      </c>
      <c r="CC618" s="10">
        <f t="shared" si="657"/>
        <v>0</v>
      </c>
      <c r="CD618" s="10">
        <f t="shared" si="657"/>
        <v>0</v>
      </c>
      <c r="CE618" s="10">
        <f t="shared" si="657"/>
        <v>0</v>
      </c>
      <c r="CF618" s="10">
        <f t="shared" si="657"/>
        <v>0</v>
      </c>
      <c r="CG618" s="10">
        <f t="shared" si="657"/>
        <v>0</v>
      </c>
      <c r="CH618" s="10">
        <f t="shared" si="657"/>
        <v>0</v>
      </c>
      <c r="CI618" s="10">
        <f t="shared" si="657"/>
        <v>0</v>
      </c>
      <c r="CK618" s="11"/>
      <c r="CM618" s="11"/>
      <c r="DF618" s="11"/>
      <c r="EY618" s="10" t="str">
        <f t="shared" si="559"/>
        <v/>
      </c>
    </row>
    <row r="619" spans="1:155" x14ac:dyDescent="0.35">
      <c r="B619" s="69" t="str" cm="1">
        <f t="array" aca="1" ref="B619" ca="1">HYPERLINK(CONCATENATE("#",CELL("address",$D$398)),$D$398)</f>
        <v>Loan 19</v>
      </c>
      <c r="C619" s="211"/>
      <c r="D619" s="49">
        <f>D$31</f>
        <v>0</v>
      </c>
      <c r="E619" s="49" t="str">
        <f>F$31</f>
        <v/>
      </c>
      <c r="F619" s="49"/>
      <c r="H619" s="9" t="s">
        <v>1074</v>
      </c>
      <c r="I619" s="40" t="s">
        <v>665</v>
      </c>
      <c r="V619" s="133">
        <f>V$411</f>
        <v>0</v>
      </c>
      <c r="W619" s="10">
        <f>W$411</f>
        <v>0</v>
      </c>
      <c r="X619" s="10">
        <f>X$411</f>
        <v>0</v>
      </c>
      <c r="Y619" s="10">
        <f>Y$411</f>
        <v>0</v>
      </c>
      <c r="AA619" s="10">
        <f t="shared" ref="AA619:BV619" si="658">AA$411</f>
        <v>0</v>
      </c>
      <c r="AB619" s="10">
        <f t="shared" si="658"/>
        <v>0</v>
      </c>
      <c r="AC619" s="10">
        <f t="shared" si="658"/>
        <v>0</v>
      </c>
      <c r="AD619" s="10">
        <f t="shared" si="658"/>
        <v>0</v>
      </c>
      <c r="AE619" s="10">
        <f t="shared" si="658"/>
        <v>0</v>
      </c>
      <c r="AF619" s="10">
        <f t="shared" si="658"/>
        <v>0</v>
      </c>
      <c r="AG619" s="10">
        <f t="shared" si="658"/>
        <v>0</v>
      </c>
      <c r="AH619" s="10">
        <f t="shared" si="658"/>
        <v>0</v>
      </c>
      <c r="AI619" s="10">
        <f t="shared" si="658"/>
        <v>0</v>
      </c>
      <c r="AJ619" s="10">
        <f t="shared" si="658"/>
        <v>0</v>
      </c>
      <c r="AK619" s="10">
        <f t="shared" si="658"/>
        <v>0</v>
      </c>
      <c r="AL619" s="10">
        <f t="shared" si="658"/>
        <v>0</v>
      </c>
      <c r="AM619" s="10">
        <f t="shared" si="658"/>
        <v>0</v>
      </c>
      <c r="AN619" s="10">
        <f t="shared" si="658"/>
        <v>0</v>
      </c>
      <c r="AO619" s="10">
        <f t="shared" si="658"/>
        <v>0</v>
      </c>
      <c r="AP619" s="10">
        <f t="shared" si="658"/>
        <v>0</v>
      </c>
      <c r="AQ619" s="10">
        <f t="shared" si="658"/>
        <v>0</v>
      </c>
      <c r="AR619" s="10">
        <f t="shared" si="658"/>
        <v>0</v>
      </c>
      <c r="AS619" s="10">
        <f t="shared" si="658"/>
        <v>0</v>
      </c>
      <c r="AT619" s="10">
        <f t="shared" si="658"/>
        <v>0</v>
      </c>
      <c r="AU619" s="10">
        <f t="shared" si="658"/>
        <v>0</v>
      </c>
      <c r="AV619" s="10">
        <f t="shared" si="658"/>
        <v>0</v>
      </c>
      <c r="AW619" s="10">
        <f t="shared" si="658"/>
        <v>0</v>
      </c>
      <c r="AX619" s="10">
        <f t="shared" si="658"/>
        <v>0</v>
      </c>
      <c r="AY619" s="10">
        <f t="shared" si="658"/>
        <v>0</v>
      </c>
      <c r="AZ619" s="10">
        <f t="shared" si="658"/>
        <v>0</v>
      </c>
      <c r="BA619" s="10">
        <f t="shared" si="658"/>
        <v>0</v>
      </c>
      <c r="BB619" s="10">
        <f t="shared" si="658"/>
        <v>0</v>
      </c>
      <c r="BC619" s="10">
        <f t="shared" si="658"/>
        <v>0</v>
      </c>
      <c r="BD619" s="10">
        <f t="shared" si="658"/>
        <v>0</v>
      </c>
      <c r="BE619" s="10">
        <f t="shared" si="658"/>
        <v>0</v>
      </c>
      <c r="BF619" s="10">
        <f t="shared" si="658"/>
        <v>0</v>
      </c>
      <c r="BG619" s="10">
        <f t="shared" si="658"/>
        <v>0</v>
      </c>
      <c r="BH619" s="10">
        <f t="shared" si="658"/>
        <v>0</v>
      </c>
      <c r="BI619" s="10">
        <f t="shared" si="658"/>
        <v>0</v>
      </c>
      <c r="BJ619" s="10">
        <f t="shared" si="658"/>
        <v>0</v>
      </c>
      <c r="BK619" s="10">
        <f t="shared" si="658"/>
        <v>0</v>
      </c>
      <c r="BL619" s="10">
        <f t="shared" si="658"/>
        <v>0</v>
      </c>
      <c r="BM619" s="10">
        <f t="shared" si="658"/>
        <v>0</v>
      </c>
      <c r="BN619" s="10">
        <f t="shared" si="658"/>
        <v>0</v>
      </c>
      <c r="BO619" s="10">
        <f t="shared" si="658"/>
        <v>0</v>
      </c>
      <c r="BP619" s="10">
        <f t="shared" si="658"/>
        <v>0</v>
      </c>
      <c r="BQ619" s="10">
        <f t="shared" si="658"/>
        <v>0</v>
      </c>
      <c r="BR619" s="10">
        <f t="shared" si="658"/>
        <v>0</v>
      </c>
      <c r="BS619" s="10">
        <f t="shared" si="658"/>
        <v>0</v>
      </c>
      <c r="BT619" s="10">
        <f t="shared" si="658"/>
        <v>0</v>
      </c>
      <c r="BU619" s="10">
        <f t="shared" si="658"/>
        <v>0</v>
      </c>
      <c r="BV619" s="10">
        <f t="shared" si="658"/>
        <v>0</v>
      </c>
      <c r="BX619" s="10">
        <f t="shared" ref="BX619:CI619" si="659">BX$411</f>
        <v>0</v>
      </c>
      <c r="BY619" s="10">
        <f t="shared" si="659"/>
        <v>0</v>
      </c>
      <c r="BZ619" s="10">
        <f t="shared" si="659"/>
        <v>0</v>
      </c>
      <c r="CA619" s="10">
        <f t="shared" si="659"/>
        <v>0</v>
      </c>
      <c r="CB619" s="10">
        <f t="shared" si="659"/>
        <v>0</v>
      </c>
      <c r="CC619" s="10">
        <f t="shared" si="659"/>
        <v>0</v>
      </c>
      <c r="CD619" s="10">
        <f t="shared" si="659"/>
        <v>0</v>
      </c>
      <c r="CE619" s="10">
        <f t="shared" si="659"/>
        <v>0</v>
      </c>
      <c r="CF619" s="10">
        <f t="shared" si="659"/>
        <v>0</v>
      </c>
      <c r="CG619" s="10">
        <f t="shared" si="659"/>
        <v>0</v>
      </c>
      <c r="CH619" s="10">
        <f t="shared" si="659"/>
        <v>0</v>
      </c>
      <c r="CI619" s="10">
        <f t="shared" si="659"/>
        <v>0</v>
      </c>
      <c r="CK619" s="11"/>
      <c r="CM619" s="11"/>
      <c r="DF619" s="11"/>
      <c r="EY619" s="10" t="str">
        <f t="shared" si="559"/>
        <v/>
      </c>
    </row>
    <row r="620" spans="1:155" x14ac:dyDescent="0.35">
      <c r="B620" s="69" t="str" cm="1">
        <f t="array" aca="1" ref="B620" ca="1">HYPERLINK(CONCATENATE("#",CELL("address",$D$417)),$D$417)</f>
        <v>Loan 20</v>
      </c>
      <c r="C620" s="211"/>
      <c r="D620" s="49">
        <f>D$32</f>
        <v>0</v>
      </c>
      <c r="E620" s="49" t="str">
        <f>F$32</f>
        <v/>
      </c>
      <c r="F620" s="49"/>
      <c r="H620" s="9" t="s">
        <v>1074</v>
      </c>
      <c r="I620" s="40" t="s">
        <v>665</v>
      </c>
      <c r="V620" s="133">
        <f>V$430</f>
        <v>0</v>
      </c>
      <c r="W620" s="10">
        <f>W$430</f>
        <v>0</v>
      </c>
      <c r="X620" s="10">
        <f>X$430</f>
        <v>0</v>
      </c>
      <c r="Y620" s="10">
        <f>Y$430</f>
        <v>0</v>
      </c>
      <c r="AA620" s="10">
        <f t="shared" ref="AA620:BV620" si="660">AA$430</f>
        <v>0</v>
      </c>
      <c r="AB620" s="10">
        <f t="shared" si="660"/>
        <v>0</v>
      </c>
      <c r="AC620" s="10">
        <f t="shared" si="660"/>
        <v>0</v>
      </c>
      <c r="AD620" s="10">
        <f t="shared" si="660"/>
        <v>0</v>
      </c>
      <c r="AE620" s="10">
        <f t="shared" si="660"/>
        <v>0</v>
      </c>
      <c r="AF620" s="10">
        <f t="shared" si="660"/>
        <v>0</v>
      </c>
      <c r="AG620" s="10">
        <f t="shared" si="660"/>
        <v>0</v>
      </c>
      <c r="AH620" s="10">
        <f t="shared" si="660"/>
        <v>0</v>
      </c>
      <c r="AI620" s="10">
        <f t="shared" si="660"/>
        <v>0</v>
      </c>
      <c r="AJ620" s="10">
        <f t="shared" si="660"/>
        <v>0</v>
      </c>
      <c r="AK620" s="10">
        <f t="shared" si="660"/>
        <v>0</v>
      </c>
      <c r="AL620" s="10">
        <f t="shared" si="660"/>
        <v>0</v>
      </c>
      <c r="AM620" s="10">
        <f t="shared" si="660"/>
        <v>0</v>
      </c>
      <c r="AN620" s="10">
        <f t="shared" si="660"/>
        <v>0</v>
      </c>
      <c r="AO620" s="10">
        <f t="shared" si="660"/>
        <v>0</v>
      </c>
      <c r="AP620" s="10">
        <f t="shared" si="660"/>
        <v>0</v>
      </c>
      <c r="AQ620" s="10">
        <f t="shared" si="660"/>
        <v>0</v>
      </c>
      <c r="AR620" s="10">
        <f t="shared" si="660"/>
        <v>0</v>
      </c>
      <c r="AS620" s="10">
        <f t="shared" si="660"/>
        <v>0</v>
      </c>
      <c r="AT620" s="10">
        <f t="shared" si="660"/>
        <v>0</v>
      </c>
      <c r="AU620" s="10">
        <f t="shared" si="660"/>
        <v>0</v>
      </c>
      <c r="AV620" s="10">
        <f t="shared" si="660"/>
        <v>0</v>
      </c>
      <c r="AW620" s="10">
        <f t="shared" si="660"/>
        <v>0</v>
      </c>
      <c r="AX620" s="10">
        <f t="shared" si="660"/>
        <v>0</v>
      </c>
      <c r="AY620" s="10">
        <f t="shared" si="660"/>
        <v>0</v>
      </c>
      <c r="AZ620" s="10">
        <f t="shared" si="660"/>
        <v>0</v>
      </c>
      <c r="BA620" s="10">
        <f t="shared" si="660"/>
        <v>0</v>
      </c>
      <c r="BB620" s="10">
        <f t="shared" si="660"/>
        <v>0</v>
      </c>
      <c r="BC620" s="10">
        <f t="shared" si="660"/>
        <v>0</v>
      </c>
      <c r="BD620" s="10">
        <f t="shared" si="660"/>
        <v>0</v>
      </c>
      <c r="BE620" s="10">
        <f t="shared" si="660"/>
        <v>0</v>
      </c>
      <c r="BF620" s="10">
        <f t="shared" si="660"/>
        <v>0</v>
      </c>
      <c r="BG620" s="10">
        <f t="shared" si="660"/>
        <v>0</v>
      </c>
      <c r="BH620" s="10">
        <f t="shared" si="660"/>
        <v>0</v>
      </c>
      <c r="BI620" s="10">
        <f t="shared" si="660"/>
        <v>0</v>
      </c>
      <c r="BJ620" s="10">
        <f t="shared" si="660"/>
        <v>0</v>
      </c>
      <c r="BK620" s="10">
        <f t="shared" si="660"/>
        <v>0</v>
      </c>
      <c r="BL620" s="10">
        <f t="shared" si="660"/>
        <v>0</v>
      </c>
      <c r="BM620" s="10">
        <f t="shared" si="660"/>
        <v>0</v>
      </c>
      <c r="BN620" s="10">
        <f t="shared" si="660"/>
        <v>0</v>
      </c>
      <c r="BO620" s="10">
        <f t="shared" si="660"/>
        <v>0</v>
      </c>
      <c r="BP620" s="10">
        <f t="shared" si="660"/>
        <v>0</v>
      </c>
      <c r="BQ620" s="10">
        <f t="shared" si="660"/>
        <v>0</v>
      </c>
      <c r="BR620" s="10">
        <f t="shared" si="660"/>
        <v>0</v>
      </c>
      <c r="BS620" s="10">
        <f t="shared" si="660"/>
        <v>0</v>
      </c>
      <c r="BT620" s="10">
        <f t="shared" si="660"/>
        <v>0</v>
      </c>
      <c r="BU620" s="10">
        <f t="shared" si="660"/>
        <v>0</v>
      </c>
      <c r="BV620" s="10">
        <f t="shared" si="660"/>
        <v>0</v>
      </c>
      <c r="BX620" s="10">
        <f t="shared" ref="BX620:CI620" si="661">BX$430</f>
        <v>0</v>
      </c>
      <c r="BY620" s="10">
        <f t="shared" si="661"/>
        <v>0</v>
      </c>
      <c r="BZ620" s="10">
        <f t="shared" si="661"/>
        <v>0</v>
      </c>
      <c r="CA620" s="10">
        <f t="shared" si="661"/>
        <v>0</v>
      </c>
      <c r="CB620" s="10">
        <f t="shared" si="661"/>
        <v>0</v>
      </c>
      <c r="CC620" s="10">
        <f t="shared" si="661"/>
        <v>0</v>
      </c>
      <c r="CD620" s="10">
        <f t="shared" si="661"/>
        <v>0</v>
      </c>
      <c r="CE620" s="10">
        <f t="shared" si="661"/>
        <v>0</v>
      </c>
      <c r="CF620" s="10">
        <f t="shared" si="661"/>
        <v>0</v>
      </c>
      <c r="CG620" s="10">
        <f t="shared" si="661"/>
        <v>0</v>
      </c>
      <c r="CH620" s="10">
        <f t="shared" si="661"/>
        <v>0</v>
      </c>
      <c r="CI620" s="10">
        <f t="shared" si="661"/>
        <v>0</v>
      </c>
      <c r="CK620" s="11"/>
      <c r="CM620" s="11"/>
      <c r="DF620" s="11"/>
      <c r="EY620" s="10" t="str">
        <f t="shared" si="559"/>
        <v/>
      </c>
    </row>
    <row r="621" spans="1:155" ht="6.75" customHeight="1" x14ac:dyDescent="0.35">
      <c r="C621" s="211"/>
      <c r="D621" s="1"/>
      <c r="E621"/>
      <c r="F621"/>
      <c r="BY621" s="6"/>
      <c r="CK621" s="35"/>
      <c r="CM621" s="35"/>
      <c r="DF621" s="35"/>
      <c r="EY621" s="10" t="str">
        <f t="shared" si="559"/>
        <v/>
      </c>
    </row>
    <row r="622" spans="1:155" x14ac:dyDescent="0.35">
      <c r="C622" s="211"/>
      <c r="D622" s="50" t="str">
        <f>$D$71</f>
        <v>Early Repayment Fee</v>
      </c>
      <c r="E622"/>
      <c r="F622"/>
      <c r="CK622" s="11"/>
      <c r="CM622" s="11"/>
      <c r="DF622" s="11"/>
      <c r="EY622" s="10" t="str">
        <f t="shared" si="559"/>
        <v/>
      </c>
    </row>
    <row r="623" spans="1:155" x14ac:dyDescent="0.35">
      <c r="B623" s="107" t="s">
        <v>1229</v>
      </c>
      <c r="C623" s="211"/>
      <c r="D623" s="5" t="str">
        <f>D$11</f>
        <v>Lender</v>
      </c>
      <c r="E623" s="5" t="str">
        <f>E$11</f>
        <v>Loan Category</v>
      </c>
      <c r="F623" s="5"/>
      <c r="CK623" s="11"/>
      <c r="CM623" s="11"/>
      <c r="DF623" s="11"/>
      <c r="EY623" s="10" t="str">
        <f t="shared" si="559"/>
        <v/>
      </c>
    </row>
    <row r="624" spans="1:155" x14ac:dyDescent="0.35">
      <c r="B624" s="69" t="str" cm="1">
        <f t="array" aca="1" ref="B624" ca="1">HYPERLINK(CONCATENATE("#",CELL("address",$D$56)),$D$56)</f>
        <v>Loan 1</v>
      </c>
      <c r="C624" s="211"/>
      <c r="D624" s="49">
        <f>D$13</f>
        <v>0</v>
      </c>
      <c r="E624" s="49" t="str">
        <f>F$13</f>
        <v/>
      </c>
      <c r="F624" s="49"/>
      <c r="H624" s="9" t="s">
        <v>1074</v>
      </c>
      <c r="I624" s="40" t="s">
        <v>665</v>
      </c>
      <c r="J624" s="54"/>
      <c r="V624" s="133">
        <f>V$71</f>
        <v>0</v>
      </c>
      <c r="W624" s="133">
        <f>W$71</f>
        <v>0</v>
      </c>
      <c r="X624" s="133">
        <f>X$71</f>
        <v>0</v>
      </c>
      <c r="Y624" s="133">
        <f>Y$71</f>
        <v>0</v>
      </c>
      <c r="AA624" s="133">
        <f t="shared" ref="AA624:BV624" si="662">AA$71</f>
        <v>0</v>
      </c>
      <c r="AB624" s="133">
        <f t="shared" si="662"/>
        <v>0</v>
      </c>
      <c r="AC624" s="133">
        <f t="shared" si="662"/>
        <v>0</v>
      </c>
      <c r="AD624" s="133">
        <f t="shared" si="662"/>
        <v>0</v>
      </c>
      <c r="AE624" s="133">
        <f t="shared" si="662"/>
        <v>0</v>
      </c>
      <c r="AF624" s="133">
        <f t="shared" si="662"/>
        <v>0</v>
      </c>
      <c r="AG624" s="133">
        <f t="shared" si="662"/>
        <v>0</v>
      </c>
      <c r="AH624" s="133">
        <f t="shared" si="662"/>
        <v>0</v>
      </c>
      <c r="AI624" s="133">
        <f t="shared" si="662"/>
        <v>0</v>
      </c>
      <c r="AJ624" s="133">
        <f t="shared" si="662"/>
        <v>0</v>
      </c>
      <c r="AK624" s="133">
        <f t="shared" si="662"/>
        <v>0</v>
      </c>
      <c r="AL624" s="133">
        <f t="shared" si="662"/>
        <v>0</v>
      </c>
      <c r="AM624" s="133">
        <f t="shared" si="662"/>
        <v>0</v>
      </c>
      <c r="AN624" s="133">
        <f t="shared" si="662"/>
        <v>0</v>
      </c>
      <c r="AO624" s="133">
        <f t="shared" si="662"/>
        <v>0</v>
      </c>
      <c r="AP624" s="133">
        <f t="shared" si="662"/>
        <v>0</v>
      </c>
      <c r="AQ624" s="133">
        <f t="shared" si="662"/>
        <v>0</v>
      </c>
      <c r="AR624" s="133">
        <f t="shared" si="662"/>
        <v>0</v>
      </c>
      <c r="AS624" s="133">
        <f t="shared" si="662"/>
        <v>0</v>
      </c>
      <c r="AT624" s="133">
        <f t="shared" si="662"/>
        <v>0</v>
      </c>
      <c r="AU624" s="133">
        <f t="shared" si="662"/>
        <v>0</v>
      </c>
      <c r="AV624" s="133">
        <f t="shared" si="662"/>
        <v>0</v>
      </c>
      <c r="AW624" s="133">
        <f t="shared" si="662"/>
        <v>0</v>
      </c>
      <c r="AX624" s="133">
        <f t="shared" si="662"/>
        <v>0</v>
      </c>
      <c r="AY624" s="133">
        <f t="shared" si="662"/>
        <v>0</v>
      </c>
      <c r="AZ624" s="133">
        <f t="shared" si="662"/>
        <v>0</v>
      </c>
      <c r="BA624" s="133">
        <f t="shared" si="662"/>
        <v>0</v>
      </c>
      <c r="BB624" s="133">
        <f t="shared" si="662"/>
        <v>0</v>
      </c>
      <c r="BC624" s="133">
        <f t="shared" si="662"/>
        <v>0</v>
      </c>
      <c r="BD624" s="133">
        <f t="shared" si="662"/>
        <v>0</v>
      </c>
      <c r="BE624" s="133">
        <f t="shared" si="662"/>
        <v>0</v>
      </c>
      <c r="BF624" s="133">
        <f t="shared" si="662"/>
        <v>0</v>
      </c>
      <c r="BG624" s="133">
        <f t="shared" si="662"/>
        <v>0</v>
      </c>
      <c r="BH624" s="133">
        <f t="shared" si="662"/>
        <v>0</v>
      </c>
      <c r="BI624" s="133">
        <f t="shared" si="662"/>
        <v>0</v>
      </c>
      <c r="BJ624" s="133">
        <f t="shared" si="662"/>
        <v>0</v>
      </c>
      <c r="BK624" s="133">
        <f t="shared" si="662"/>
        <v>0</v>
      </c>
      <c r="BL624" s="133">
        <f t="shared" si="662"/>
        <v>0</v>
      </c>
      <c r="BM624" s="133">
        <f t="shared" si="662"/>
        <v>0</v>
      </c>
      <c r="BN624" s="133">
        <f t="shared" si="662"/>
        <v>0</v>
      </c>
      <c r="BO624" s="133">
        <f t="shared" si="662"/>
        <v>0</v>
      </c>
      <c r="BP624" s="133">
        <f t="shared" si="662"/>
        <v>0</v>
      </c>
      <c r="BQ624" s="133">
        <f t="shared" si="662"/>
        <v>0</v>
      </c>
      <c r="BR624" s="133">
        <f t="shared" si="662"/>
        <v>0</v>
      </c>
      <c r="BS624" s="133">
        <f t="shared" si="662"/>
        <v>0</v>
      </c>
      <c r="BT624" s="133">
        <f t="shared" si="662"/>
        <v>0</v>
      </c>
      <c r="BU624" s="133">
        <f t="shared" si="662"/>
        <v>0</v>
      </c>
      <c r="BV624" s="133">
        <f t="shared" si="662"/>
        <v>0</v>
      </c>
      <c r="BX624" s="133">
        <f t="shared" ref="BX624:CI624" si="663">BX$71</f>
        <v>0</v>
      </c>
      <c r="BY624" s="133">
        <f t="shared" si="663"/>
        <v>0</v>
      </c>
      <c r="BZ624" s="133">
        <f t="shared" si="663"/>
        <v>0</v>
      </c>
      <c r="CA624" s="133">
        <f t="shared" si="663"/>
        <v>0</v>
      </c>
      <c r="CB624" s="133">
        <f t="shared" si="663"/>
        <v>0</v>
      </c>
      <c r="CC624" s="133">
        <f t="shared" si="663"/>
        <v>0</v>
      </c>
      <c r="CD624" s="133">
        <f t="shared" si="663"/>
        <v>0</v>
      </c>
      <c r="CE624" s="133">
        <f t="shared" si="663"/>
        <v>0</v>
      </c>
      <c r="CF624" s="133">
        <f t="shared" si="663"/>
        <v>0</v>
      </c>
      <c r="CG624" s="133">
        <f t="shared" si="663"/>
        <v>0</v>
      </c>
      <c r="CH624" s="133">
        <f t="shared" si="663"/>
        <v>0</v>
      </c>
      <c r="CI624" s="133">
        <f t="shared" si="663"/>
        <v>0</v>
      </c>
      <c r="CK624" s="11"/>
      <c r="CM624" s="11"/>
      <c r="DF624" s="11"/>
      <c r="EY624" s="10" t="str">
        <f t="shared" si="559"/>
        <v/>
      </c>
    </row>
    <row r="625" spans="1:155" x14ac:dyDescent="0.35">
      <c r="B625" s="69" t="str" cm="1">
        <f t="array" aca="1" ref="B625" ca="1">HYPERLINK(CONCATENATE("#",CELL("address",$D$75)),$D$75)</f>
        <v>Loan 2</v>
      </c>
      <c r="C625" s="211"/>
      <c r="D625" s="49">
        <f>D$14</f>
        <v>0</v>
      </c>
      <c r="E625" s="49" t="str">
        <f>F$14</f>
        <v/>
      </c>
      <c r="F625" s="49"/>
      <c r="H625" s="9" t="s">
        <v>1074</v>
      </c>
      <c r="I625" s="40" t="s">
        <v>665</v>
      </c>
      <c r="V625" s="133">
        <f>V$90</f>
        <v>0</v>
      </c>
      <c r="W625" s="133">
        <f>W$90</f>
        <v>0</v>
      </c>
      <c r="X625" s="133">
        <f>X$90</f>
        <v>0</v>
      </c>
      <c r="Y625" s="133">
        <f>Y$90</f>
        <v>0</v>
      </c>
      <c r="AA625" s="133">
        <f t="shared" ref="AA625:BV625" si="664">AA$90</f>
        <v>0</v>
      </c>
      <c r="AB625" s="133">
        <f t="shared" si="664"/>
        <v>0</v>
      </c>
      <c r="AC625" s="133">
        <f t="shared" si="664"/>
        <v>0</v>
      </c>
      <c r="AD625" s="133">
        <f t="shared" si="664"/>
        <v>0</v>
      </c>
      <c r="AE625" s="133">
        <f t="shared" si="664"/>
        <v>0</v>
      </c>
      <c r="AF625" s="133">
        <f t="shared" si="664"/>
        <v>0</v>
      </c>
      <c r="AG625" s="133">
        <f t="shared" si="664"/>
        <v>0</v>
      </c>
      <c r="AH625" s="133">
        <f t="shared" si="664"/>
        <v>0</v>
      </c>
      <c r="AI625" s="133">
        <f t="shared" si="664"/>
        <v>0</v>
      </c>
      <c r="AJ625" s="133">
        <f t="shared" si="664"/>
        <v>0</v>
      </c>
      <c r="AK625" s="133">
        <f t="shared" si="664"/>
        <v>0</v>
      </c>
      <c r="AL625" s="133">
        <f t="shared" si="664"/>
        <v>0</v>
      </c>
      <c r="AM625" s="133">
        <f t="shared" si="664"/>
        <v>0</v>
      </c>
      <c r="AN625" s="133">
        <f t="shared" si="664"/>
        <v>0</v>
      </c>
      <c r="AO625" s="133">
        <f t="shared" si="664"/>
        <v>0</v>
      </c>
      <c r="AP625" s="133">
        <f t="shared" si="664"/>
        <v>0</v>
      </c>
      <c r="AQ625" s="133">
        <f t="shared" si="664"/>
        <v>0</v>
      </c>
      <c r="AR625" s="133">
        <f t="shared" si="664"/>
        <v>0</v>
      </c>
      <c r="AS625" s="133">
        <f t="shared" si="664"/>
        <v>0</v>
      </c>
      <c r="AT625" s="133">
        <f t="shared" si="664"/>
        <v>0</v>
      </c>
      <c r="AU625" s="133">
        <f t="shared" si="664"/>
        <v>0</v>
      </c>
      <c r="AV625" s="133">
        <f t="shared" si="664"/>
        <v>0</v>
      </c>
      <c r="AW625" s="133">
        <f t="shared" si="664"/>
        <v>0</v>
      </c>
      <c r="AX625" s="133">
        <f t="shared" si="664"/>
        <v>0</v>
      </c>
      <c r="AY625" s="133">
        <f t="shared" si="664"/>
        <v>0</v>
      </c>
      <c r="AZ625" s="133">
        <f t="shared" si="664"/>
        <v>0</v>
      </c>
      <c r="BA625" s="133">
        <f t="shared" si="664"/>
        <v>0</v>
      </c>
      <c r="BB625" s="133">
        <f t="shared" si="664"/>
        <v>0</v>
      </c>
      <c r="BC625" s="133">
        <f t="shared" si="664"/>
        <v>0</v>
      </c>
      <c r="BD625" s="133">
        <f t="shared" si="664"/>
        <v>0</v>
      </c>
      <c r="BE625" s="133">
        <f t="shared" si="664"/>
        <v>0</v>
      </c>
      <c r="BF625" s="133">
        <f t="shared" si="664"/>
        <v>0</v>
      </c>
      <c r="BG625" s="133">
        <f t="shared" si="664"/>
        <v>0</v>
      </c>
      <c r="BH625" s="133">
        <f t="shared" si="664"/>
        <v>0</v>
      </c>
      <c r="BI625" s="133">
        <f t="shared" si="664"/>
        <v>0</v>
      </c>
      <c r="BJ625" s="133">
        <f t="shared" si="664"/>
        <v>0</v>
      </c>
      <c r="BK625" s="133">
        <f t="shared" si="664"/>
        <v>0</v>
      </c>
      <c r="BL625" s="133">
        <f t="shared" si="664"/>
        <v>0</v>
      </c>
      <c r="BM625" s="133">
        <f t="shared" si="664"/>
        <v>0</v>
      </c>
      <c r="BN625" s="133">
        <f t="shared" si="664"/>
        <v>0</v>
      </c>
      <c r="BO625" s="133">
        <f t="shared" si="664"/>
        <v>0</v>
      </c>
      <c r="BP625" s="133">
        <f t="shared" si="664"/>
        <v>0</v>
      </c>
      <c r="BQ625" s="133">
        <f t="shared" si="664"/>
        <v>0</v>
      </c>
      <c r="BR625" s="133">
        <f t="shared" si="664"/>
        <v>0</v>
      </c>
      <c r="BS625" s="133">
        <f t="shared" si="664"/>
        <v>0</v>
      </c>
      <c r="BT625" s="133">
        <f t="shared" si="664"/>
        <v>0</v>
      </c>
      <c r="BU625" s="133">
        <f t="shared" si="664"/>
        <v>0</v>
      </c>
      <c r="BV625" s="133">
        <f t="shared" si="664"/>
        <v>0</v>
      </c>
      <c r="BX625" s="133">
        <f t="shared" ref="BX625:CI625" si="665">BX$90</f>
        <v>0</v>
      </c>
      <c r="BY625" s="133">
        <f t="shared" si="665"/>
        <v>0</v>
      </c>
      <c r="BZ625" s="133">
        <f t="shared" si="665"/>
        <v>0</v>
      </c>
      <c r="CA625" s="133">
        <f t="shared" si="665"/>
        <v>0</v>
      </c>
      <c r="CB625" s="133">
        <f t="shared" si="665"/>
        <v>0</v>
      </c>
      <c r="CC625" s="133">
        <f t="shared" si="665"/>
        <v>0</v>
      </c>
      <c r="CD625" s="133">
        <f t="shared" si="665"/>
        <v>0</v>
      </c>
      <c r="CE625" s="133">
        <f t="shared" si="665"/>
        <v>0</v>
      </c>
      <c r="CF625" s="133">
        <f t="shared" si="665"/>
        <v>0</v>
      </c>
      <c r="CG625" s="133">
        <f t="shared" si="665"/>
        <v>0</v>
      </c>
      <c r="CH625" s="133">
        <f t="shared" si="665"/>
        <v>0</v>
      </c>
      <c r="CI625" s="133">
        <f t="shared" si="665"/>
        <v>0</v>
      </c>
      <c r="CK625" s="11"/>
      <c r="CM625" s="11"/>
      <c r="DF625" s="11"/>
      <c r="EY625" s="10" t="str">
        <f t="shared" si="559"/>
        <v/>
      </c>
    </row>
    <row r="626" spans="1:155" x14ac:dyDescent="0.35">
      <c r="B626" s="69" t="str" cm="1">
        <f t="array" aca="1" ref="B626" ca="1">HYPERLINK(CONCATENATE("#",CELL("address",$D$94)),$D$94)</f>
        <v>Loan 3</v>
      </c>
      <c r="C626" s="211"/>
      <c r="D626" s="49">
        <f>D$15</f>
        <v>0</v>
      </c>
      <c r="E626" s="49" t="str">
        <f>F$15</f>
        <v/>
      </c>
      <c r="F626" s="49"/>
      <c r="H626" s="9" t="s">
        <v>1074</v>
      </c>
      <c r="I626" s="40" t="s">
        <v>665</v>
      </c>
      <c r="V626" s="133">
        <f>V$109</f>
        <v>0</v>
      </c>
      <c r="W626" s="133">
        <f>W$109</f>
        <v>0</v>
      </c>
      <c r="X626" s="133">
        <f>X$109</f>
        <v>0</v>
      </c>
      <c r="Y626" s="133">
        <f>Y$109</f>
        <v>0</v>
      </c>
      <c r="AA626" s="133">
        <f t="shared" ref="AA626:BV626" si="666">AA$109</f>
        <v>0</v>
      </c>
      <c r="AB626" s="133">
        <f t="shared" si="666"/>
        <v>0</v>
      </c>
      <c r="AC626" s="133">
        <f t="shared" si="666"/>
        <v>0</v>
      </c>
      <c r="AD626" s="133">
        <f t="shared" si="666"/>
        <v>0</v>
      </c>
      <c r="AE626" s="133">
        <f t="shared" si="666"/>
        <v>0</v>
      </c>
      <c r="AF626" s="133">
        <f t="shared" si="666"/>
        <v>0</v>
      </c>
      <c r="AG626" s="133">
        <f t="shared" si="666"/>
        <v>0</v>
      </c>
      <c r="AH626" s="133">
        <f t="shared" si="666"/>
        <v>0</v>
      </c>
      <c r="AI626" s="133">
        <f t="shared" si="666"/>
        <v>0</v>
      </c>
      <c r="AJ626" s="133">
        <f t="shared" si="666"/>
        <v>0</v>
      </c>
      <c r="AK626" s="133">
        <f t="shared" si="666"/>
        <v>0</v>
      </c>
      <c r="AL626" s="133">
        <f t="shared" si="666"/>
        <v>0</v>
      </c>
      <c r="AM626" s="133">
        <f t="shared" si="666"/>
        <v>0</v>
      </c>
      <c r="AN626" s="133">
        <f t="shared" si="666"/>
        <v>0</v>
      </c>
      <c r="AO626" s="133">
        <f t="shared" si="666"/>
        <v>0</v>
      </c>
      <c r="AP626" s="133">
        <f t="shared" si="666"/>
        <v>0</v>
      </c>
      <c r="AQ626" s="133">
        <f t="shared" si="666"/>
        <v>0</v>
      </c>
      <c r="AR626" s="133">
        <f t="shared" si="666"/>
        <v>0</v>
      </c>
      <c r="AS626" s="133">
        <f t="shared" si="666"/>
        <v>0</v>
      </c>
      <c r="AT626" s="133">
        <f t="shared" si="666"/>
        <v>0</v>
      </c>
      <c r="AU626" s="133">
        <f t="shared" si="666"/>
        <v>0</v>
      </c>
      <c r="AV626" s="133">
        <f t="shared" si="666"/>
        <v>0</v>
      </c>
      <c r="AW626" s="133">
        <f t="shared" si="666"/>
        <v>0</v>
      </c>
      <c r="AX626" s="133">
        <f t="shared" si="666"/>
        <v>0</v>
      </c>
      <c r="AY626" s="133">
        <f t="shared" si="666"/>
        <v>0</v>
      </c>
      <c r="AZ626" s="133">
        <f t="shared" si="666"/>
        <v>0</v>
      </c>
      <c r="BA626" s="133">
        <f t="shared" si="666"/>
        <v>0</v>
      </c>
      <c r="BB626" s="133">
        <f t="shared" si="666"/>
        <v>0</v>
      </c>
      <c r="BC626" s="133">
        <f t="shared" si="666"/>
        <v>0</v>
      </c>
      <c r="BD626" s="133">
        <f t="shared" si="666"/>
        <v>0</v>
      </c>
      <c r="BE626" s="133">
        <f t="shared" si="666"/>
        <v>0</v>
      </c>
      <c r="BF626" s="133">
        <f t="shared" si="666"/>
        <v>0</v>
      </c>
      <c r="BG626" s="133">
        <f t="shared" si="666"/>
        <v>0</v>
      </c>
      <c r="BH626" s="133">
        <f t="shared" si="666"/>
        <v>0</v>
      </c>
      <c r="BI626" s="133">
        <f t="shared" si="666"/>
        <v>0</v>
      </c>
      <c r="BJ626" s="133">
        <f t="shared" si="666"/>
        <v>0</v>
      </c>
      <c r="BK626" s="133">
        <f t="shared" si="666"/>
        <v>0</v>
      </c>
      <c r="BL626" s="133">
        <f t="shared" si="666"/>
        <v>0</v>
      </c>
      <c r="BM626" s="133">
        <f t="shared" si="666"/>
        <v>0</v>
      </c>
      <c r="BN626" s="133">
        <f t="shared" si="666"/>
        <v>0</v>
      </c>
      <c r="BO626" s="133">
        <f t="shared" si="666"/>
        <v>0</v>
      </c>
      <c r="BP626" s="133">
        <f t="shared" si="666"/>
        <v>0</v>
      </c>
      <c r="BQ626" s="133">
        <f t="shared" si="666"/>
        <v>0</v>
      </c>
      <c r="BR626" s="133">
        <f t="shared" si="666"/>
        <v>0</v>
      </c>
      <c r="BS626" s="133">
        <f t="shared" si="666"/>
        <v>0</v>
      </c>
      <c r="BT626" s="133">
        <f t="shared" si="666"/>
        <v>0</v>
      </c>
      <c r="BU626" s="133">
        <f t="shared" si="666"/>
        <v>0</v>
      </c>
      <c r="BV626" s="133">
        <f t="shared" si="666"/>
        <v>0</v>
      </c>
      <c r="BX626" s="133">
        <f t="shared" ref="BX626:CI626" si="667">BX$109</f>
        <v>0</v>
      </c>
      <c r="BY626" s="133">
        <f t="shared" si="667"/>
        <v>0</v>
      </c>
      <c r="BZ626" s="133">
        <f t="shared" si="667"/>
        <v>0</v>
      </c>
      <c r="CA626" s="133">
        <f t="shared" si="667"/>
        <v>0</v>
      </c>
      <c r="CB626" s="133">
        <f t="shared" si="667"/>
        <v>0</v>
      </c>
      <c r="CC626" s="133">
        <f t="shared" si="667"/>
        <v>0</v>
      </c>
      <c r="CD626" s="133">
        <f t="shared" si="667"/>
        <v>0</v>
      </c>
      <c r="CE626" s="133">
        <f t="shared" si="667"/>
        <v>0</v>
      </c>
      <c r="CF626" s="133">
        <f t="shared" si="667"/>
        <v>0</v>
      </c>
      <c r="CG626" s="133">
        <f t="shared" si="667"/>
        <v>0</v>
      </c>
      <c r="CH626" s="133">
        <f t="shared" si="667"/>
        <v>0</v>
      </c>
      <c r="CI626" s="133">
        <f t="shared" si="667"/>
        <v>0</v>
      </c>
      <c r="CK626" s="11"/>
      <c r="CM626" s="11"/>
      <c r="DF626" s="11"/>
      <c r="EY626" s="10" t="str">
        <f t="shared" si="559"/>
        <v/>
      </c>
    </row>
    <row r="627" spans="1:155" x14ac:dyDescent="0.35">
      <c r="B627" s="69" t="str" cm="1">
        <f t="array" aca="1" ref="B627" ca="1">HYPERLINK(CONCATENATE("#",CELL("address",$D$113)),$D$113)</f>
        <v>Loan 4</v>
      </c>
      <c r="C627" s="211"/>
      <c r="D627" s="49">
        <f>D$16</f>
        <v>0</v>
      </c>
      <c r="E627" s="49" t="str">
        <f>F$16</f>
        <v/>
      </c>
      <c r="F627" s="49"/>
      <c r="H627" s="9" t="s">
        <v>1074</v>
      </c>
      <c r="I627" s="40" t="s">
        <v>665</v>
      </c>
      <c r="V627" s="133">
        <f>V$128</f>
        <v>0</v>
      </c>
      <c r="W627" s="133">
        <f>W$128</f>
        <v>0</v>
      </c>
      <c r="X627" s="133">
        <f>X$128</f>
        <v>0</v>
      </c>
      <c r="Y627" s="133">
        <f>Y$128</f>
        <v>0</v>
      </c>
      <c r="AA627" s="133">
        <f t="shared" ref="AA627:BV627" si="668">AA$128</f>
        <v>0</v>
      </c>
      <c r="AB627" s="133">
        <f t="shared" si="668"/>
        <v>0</v>
      </c>
      <c r="AC627" s="133">
        <f t="shared" si="668"/>
        <v>0</v>
      </c>
      <c r="AD627" s="133">
        <f t="shared" si="668"/>
        <v>0</v>
      </c>
      <c r="AE627" s="133">
        <f t="shared" si="668"/>
        <v>0</v>
      </c>
      <c r="AF627" s="133">
        <f t="shared" si="668"/>
        <v>0</v>
      </c>
      <c r="AG627" s="133">
        <f t="shared" si="668"/>
        <v>0</v>
      </c>
      <c r="AH627" s="133">
        <f t="shared" si="668"/>
        <v>0</v>
      </c>
      <c r="AI627" s="133">
        <f t="shared" si="668"/>
        <v>0</v>
      </c>
      <c r="AJ627" s="133">
        <f t="shared" si="668"/>
        <v>0</v>
      </c>
      <c r="AK627" s="133">
        <f t="shared" si="668"/>
        <v>0</v>
      </c>
      <c r="AL627" s="133">
        <f t="shared" si="668"/>
        <v>0</v>
      </c>
      <c r="AM627" s="133">
        <f t="shared" si="668"/>
        <v>0</v>
      </c>
      <c r="AN627" s="133">
        <f t="shared" si="668"/>
        <v>0</v>
      </c>
      <c r="AO627" s="133">
        <f t="shared" si="668"/>
        <v>0</v>
      </c>
      <c r="AP627" s="133">
        <f t="shared" si="668"/>
        <v>0</v>
      </c>
      <c r="AQ627" s="133">
        <f t="shared" si="668"/>
        <v>0</v>
      </c>
      <c r="AR627" s="133">
        <f t="shared" si="668"/>
        <v>0</v>
      </c>
      <c r="AS627" s="133">
        <f t="shared" si="668"/>
        <v>0</v>
      </c>
      <c r="AT627" s="133">
        <f t="shared" si="668"/>
        <v>0</v>
      </c>
      <c r="AU627" s="133">
        <f t="shared" si="668"/>
        <v>0</v>
      </c>
      <c r="AV627" s="133">
        <f t="shared" si="668"/>
        <v>0</v>
      </c>
      <c r="AW627" s="133">
        <f t="shared" si="668"/>
        <v>0</v>
      </c>
      <c r="AX627" s="133">
        <f t="shared" si="668"/>
        <v>0</v>
      </c>
      <c r="AY627" s="133">
        <f t="shared" si="668"/>
        <v>0</v>
      </c>
      <c r="AZ627" s="133">
        <f t="shared" si="668"/>
        <v>0</v>
      </c>
      <c r="BA627" s="133">
        <f t="shared" si="668"/>
        <v>0</v>
      </c>
      <c r="BB627" s="133">
        <f t="shared" si="668"/>
        <v>0</v>
      </c>
      <c r="BC627" s="133">
        <f t="shared" si="668"/>
        <v>0</v>
      </c>
      <c r="BD627" s="133">
        <f t="shared" si="668"/>
        <v>0</v>
      </c>
      <c r="BE627" s="133">
        <f t="shared" si="668"/>
        <v>0</v>
      </c>
      <c r="BF627" s="133">
        <f t="shared" si="668"/>
        <v>0</v>
      </c>
      <c r="BG627" s="133">
        <f t="shared" si="668"/>
        <v>0</v>
      </c>
      <c r="BH627" s="133">
        <f t="shared" si="668"/>
        <v>0</v>
      </c>
      <c r="BI627" s="133">
        <f t="shared" si="668"/>
        <v>0</v>
      </c>
      <c r="BJ627" s="133">
        <f t="shared" si="668"/>
        <v>0</v>
      </c>
      <c r="BK627" s="133">
        <f t="shared" si="668"/>
        <v>0</v>
      </c>
      <c r="BL627" s="133">
        <f t="shared" si="668"/>
        <v>0</v>
      </c>
      <c r="BM627" s="133">
        <f t="shared" si="668"/>
        <v>0</v>
      </c>
      <c r="BN627" s="133">
        <f t="shared" si="668"/>
        <v>0</v>
      </c>
      <c r="BO627" s="133">
        <f t="shared" si="668"/>
        <v>0</v>
      </c>
      <c r="BP627" s="133">
        <f t="shared" si="668"/>
        <v>0</v>
      </c>
      <c r="BQ627" s="133">
        <f t="shared" si="668"/>
        <v>0</v>
      </c>
      <c r="BR627" s="133">
        <f t="shared" si="668"/>
        <v>0</v>
      </c>
      <c r="BS627" s="133">
        <f t="shared" si="668"/>
        <v>0</v>
      </c>
      <c r="BT627" s="133">
        <f t="shared" si="668"/>
        <v>0</v>
      </c>
      <c r="BU627" s="133">
        <f t="shared" si="668"/>
        <v>0</v>
      </c>
      <c r="BV627" s="133">
        <f t="shared" si="668"/>
        <v>0</v>
      </c>
      <c r="BX627" s="133">
        <f t="shared" ref="BX627:CI627" si="669">BX$128</f>
        <v>0</v>
      </c>
      <c r="BY627" s="133">
        <f t="shared" si="669"/>
        <v>0</v>
      </c>
      <c r="BZ627" s="133">
        <f t="shared" si="669"/>
        <v>0</v>
      </c>
      <c r="CA627" s="133">
        <f t="shared" si="669"/>
        <v>0</v>
      </c>
      <c r="CB627" s="133">
        <f t="shared" si="669"/>
        <v>0</v>
      </c>
      <c r="CC627" s="133">
        <f t="shared" si="669"/>
        <v>0</v>
      </c>
      <c r="CD627" s="133">
        <f t="shared" si="669"/>
        <v>0</v>
      </c>
      <c r="CE627" s="133">
        <f t="shared" si="669"/>
        <v>0</v>
      </c>
      <c r="CF627" s="133">
        <f t="shared" si="669"/>
        <v>0</v>
      </c>
      <c r="CG627" s="133">
        <f t="shared" si="669"/>
        <v>0</v>
      </c>
      <c r="CH627" s="133">
        <f t="shared" si="669"/>
        <v>0</v>
      </c>
      <c r="CI627" s="133">
        <f t="shared" si="669"/>
        <v>0</v>
      </c>
      <c r="CK627" s="11"/>
      <c r="CM627" s="11"/>
      <c r="DF627" s="11"/>
      <c r="EY627" s="10" t="str">
        <f t="shared" ref="EY627:EY690" si="670">IF($C627="","",$D627)</f>
        <v/>
      </c>
    </row>
    <row r="628" spans="1:155" x14ac:dyDescent="0.35">
      <c r="B628" s="69" t="str" cm="1">
        <f t="array" aca="1" ref="B628" ca="1">HYPERLINK(CONCATENATE("#",CELL("address",$D$132)),$D$132)</f>
        <v>Loan 5</v>
      </c>
      <c r="C628" s="211"/>
      <c r="D628" s="49">
        <f>D$17</f>
        <v>0</v>
      </c>
      <c r="E628" s="49" t="str">
        <f>F$17</f>
        <v/>
      </c>
      <c r="F628" s="49"/>
      <c r="H628" s="9" t="s">
        <v>1074</v>
      </c>
      <c r="I628" s="40" t="s">
        <v>665</v>
      </c>
      <c r="V628" s="133">
        <f>V$147</f>
        <v>0</v>
      </c>
      <c r="W628" s="133">
        <f>W$147</f>
        <v>0</v>
      </c>
      <c r="X628" s="133">
        <f>X$147</f>
        <v>0</v>
      </c>
      <c r="Y628" s="133">
        <f>Y$147</f>
        <v>0</v>
      </c>
      <c r="AA628" s="133">
        <f t="shared" ref="AA628:BV628" si="671">AA$147</f>
        <v>0</v>
      </c>
      <c r="AB628" s="133">
        <f t="shared" si="671"/>
        <v>0</v>
      </c>
      <c r="AC628" s="133">
        <f t="shared" si="671"/>
        <v>0</v>
      </c>
      <c r="AD628" s="133">
        <f t="shared" si="671"/>
        <v>0</v>
      </c>
      <c r="AE628" s="133">
        <f t="shared" si="671"/>
        <v>0</v>
      </c>
      <c r="AF628" s="133">
        <f t="shared" si="671"/>
        <v>0</v>
      </c>
      <c r="AG628" s="133">
        <f t="shared" si="671"/>
        <v>0</v>
      </c>
      <c r="AH628" s="133">
        <f t="shared" si="671"/>
        <v>0</v>
      </c>
      <c r="AI628" s="133">
        <f t="shared" si="671"/>
        <v>0</v>
      </c>
      <c r="AJ628" s="133">
        <f t="shared" si="671"/>
        <v>0</v>
      </c>
      <c r="AK628" s="133">
        <f t="shared" si="671"/>
        <v>0</v>
      </c>
      <c r="AL628" s="133">
        <f t="shared" si="671"/>
        <v>0</v>
      </c>
      <c r="AM628" s="133">
        <f t="shared" si="671"/>
        <v>0</v>
      </c>
      <c r="AN628" s="133">
        <f t="shared" si="671"/>
        <v>0</v>
      </c>
      <c r="AO628" s="133">
        <f t="shared" si="671"/>
        <v>0</v>
      </c>
      <c r="AP628" s="133">
        <f t="shared" si="671"/>
        <v>0</v>
      </c>
      <c r="AQ628" s="133">
        <f t="shared" si="671"/>
        <v>0</v>
      </c>
      <c r="AR628" s="133">
        <f t="shared" si="671"/>
        <v>0</v>
      </c>
      <c r="AS628" s="133">
        <f t="shared" si="671"/>
        <v>0</v>
      </c>
      <c r="AT628" s="133">
        <f t="shared" si="671"/>
        <v>0</v>
      </c>
      <c r="AU628" s="133">
        <f t="shared" si="671"/>
        <v>0</v>
      </c>
      <c r="AV628" s="133">
        <f t="shared" si="671"/>
        <v>0</v>
      </c>
      <c r="AW628" s="133">
        <f t="shared" si="671"/>
        <v>0</v>
      </c>
      <c r="AX628" s="133">
        <f t="shared" si="671"/>
        <v>0</v>
      </c>
      <c r="AY628" s="133">
        <f t="shared" si="671"/>
        <v>0</v>
      </c>
      <c r="AZ628" s="133">
        <f t="shared" si="671"/>
        <v>0</v>
      </c>
      <c r="BA628" s="133">
        <f t="shared" si="671"/>
        <v>0</v>
      </c>
      <c r="BB628" s="133">
        <f t="shared" si="671"/>
        <v>0</v>
      </c>
      <c r="BC628" s="133">
        <f t="shared" si="671"/>
        <v>0</v>
      </c>
      <c r="BD628" s="133">
        <f t="shared" si="671"/>
        <v>0</v>
      </c>
      <c r="BE628" s="133">
        <f t="shared" si="671"/>
        <v>0</v>
      </c>
      <c r="BF628" s="133">
        <f t="shared" si="671"/>
        <v>0</v>
      </c>
      <c r="BG628" s="133">
        <f t="shared" si="671"/>
        <v>0</v>
      </c>
      <c r="BH628" s="133">
        <f t="shared" si="671"/>
        <v>0</v>
      </c>
      <c r="BI628" s="133">
        <f t="shared" si="671"/>
        <v>0</v>
      </c>
      <c r="BJ628" s="133">
        <f t="shared" si="671"/>
        <v>0</v>
      </c>
      <c r="BK628" s="133">
        <f t="shared" si="671"/>
        <v>0</v>
      </c>
      <c r="BL628" s="133">
        <f t="shared" si="671"/>
        <v>0</v>
      </c>
      <c r="BM628" s="133">
        <f t="shared" si="671"/>
        <v>0</v>
      </c>
      <c r="BN628" s="133">
        <f t="shared" si="671"/>
        <v>0</v>
      </c>
      <c r="BO628" s="133">
        <f t="shared" si="671"/>
        <v>0</v>
      </c>
      <c r="BP628" s="133">
        <f t="shared" si="671"/>
        <v>0</v>
      </c>
      <c r="BQ628" s="133">
        <f t="shared" si="671"/>
        <v>0</v>
      </c>
      <c r="BR628" s="133">
        <f t="shared" si="671"/>
        <v>0</v>
      </c>
      <c r="BS628" s="133">
        <f t="shared" si="671"/>
        <v>0</v>
      </c>
      <c r="BT628" s="133">
        <f t="shared" si="671"/>
        <v>0</v>
      </c>
      <c r="BU628" s="133">
        <f t="shared" si="671"/>
        <v>0</v>
      </c>
      <c r="BV628" s="133">
        <f t="shared" si="671"/>
        <v>0</v>
      </c>
      <c r="BX628" s="133">
        <f t="shared" ref="BX628:CI628" si="672">BX$147</f>
        <v>0</v>
      </c>
      <c r="BY628" s="133">
        <f t="shared" si="672"/>
        <v>0</v>
      </c>
      <c r="BZ628" s="133">
        <f t="shared" si="672"/>
        <v>0</v>
      </c>
      <c r="CA628" s="133">
        <f t="shared" si="672"/>
        <v>0</v>
      </c>
      <c r="CB628" s="133">
        <f t="shared" si="672"/>
        <v>0</v>
      </c>
      <c r="CC628" s="133">
        <f t="shared" si="672"/>
        <v>0</v>
      </c>
      <c r="CD628" s="133">
        <f t="shared" si="672"/>
        <v>0</v>
      </c>
      <c r="CE628" s="133">
        <f t="shared" si="672"/>
        <v>0</v>
      </c>
      <c r="CF628" s="133">
        <f t="shared" si="672"/>
        <v>0</v>
      </c>
      <c r="CG628" s="133">
        <f t="shared" si="672"/>
        <v>0</v>
      </c>
      <c r="CH628" s="133">
        <f t="shared" si="672"/>
        <v>0</v>
      </c>
      <c r="CI628" s="133">
        <f t="shared" si="672"/>
        <v>0</v>
      </c>
      <c r="CK628" s="11"/>
      <c r="CM628" s="11"/>
      <c r="DF628" s="11"/>
      <c r="EY628" s="10" t="str">
        <f t="shared" si="670"/>
        <v/>
      </c>
    </row>
    <row r="629" spans="1:155" x14ac:dyDescent="0.35">
      <c r="B629" s="69" t="str" cm="1">
        <f t="array" aca="1" ref="B629" ca="1">HYPERLINK(CONCATENATE("#",CELL("address",$D$151)),$D$151)</f>
        <v>Loan 6</v>
      </c>
      <c r="C629" s="211"/>
      <c r="D629" s="49">
        <f>D$18</f>
        <v>0</v>
      </c>
      <c r="E629" s="49" t="str">
        <f>F$18</f>
        <v/>
      </c>
      <c r="F629" s="49"/>
      <c r="H629" s="9" t="s">
        <v>1074</v>
      </c>
      <c r="I629" s="40" t="s">
        <v>665</v>
      </c>
      <c r="V629" s="133">
        <f>V$166</f>
        <v>0</v>
      </c>
      <c r="W629" s="133">
        <f>W$166</f>
        <v>0</v>
      </c>
      <c r="X629" s="133">
        <f>X$166</f>
        <v>0</v>
      </c>
      <c r="Y629" s="133">
        <f>Y$166</f>
        <v>0</v>
      </c>
      <c r="AA629" s="133">
        <f t="shared" ref="AA629:BV629" si="673">AA$166</f>
        <v>0</v>
      </c>
      <c r="AB629" s="133">
        <f t="shared" si="673"/>
        <v>0</v>
      </c>
      <c r="AC629" s="133">
        <f t="shared" si="673"/>
        <v>0</v>
      </c>
      <c r="AD629" s="133">
        <f t="shared" si="673"/>
        <v>0</v>
      </c>
      <c r="AE629" s="133">
        <f t="shared" si="673"/>
        <v>0</v>
      </c>
      <c r="AF629" s="133">
        <f t="shared" si="673"/>
        <v>0</v>
      </c>
      <c r="AG629" s="133">
        <f t="shared" si="673"/>
        <v>0</v>
      </c>
      <c r="AH629" s="133">
        <f t="shared" si="673"/>
        <v>0</v>
      </c>
      <c r="AI629" s="133">
        <f t="shared" si="673"/>
        <v>0</v>
      </c>
      <c r="AJ629" s="133">
        <f t="shared" si="673"/>
        <v>0</v>
      </c>
      <c r="AK629" s="133">
        <f t="shared" si="673"/>
        <v>0</v>
      </c>
      <c r="AL629" s="133">
        <f t="shared" si="673"/>
        <v>0</v>
      </c>
      <c r="AM629" s="133">
        <f t="shared" si="673"/>
        <v>0</v>
      </c>
      <c r="AN629" s="133">
        <f t="shared" si="673"/>
        <v>0</v>
      </c>
      <c r="AO629" s="133">
        <f t="shared" si="673"/>
        <v>0</v>
      </c>
      <c r="AP629" s="133">
        <f t="shared" si="673"/>
        <v>0</v>
      </c>
      <c r="AQ629" s="133">
        <f t="shared" si="673"/>
        <v>0</v>
      </c>
      <c r="AR629" s="133">
        <f t="shared" si="673"/>
        <v>0</v>
      </c>
      <c r="AS629" s="133">
        <f t="shared" si="673"/>
        <v>0</v>
      </c>
      <c r="AT629" s="133">
        <f t="shared" si="673"/>
        <v>0</v>
      </c>
      <c r="AU629" s="133">
        <f t="shared" si="673"/>
        <v>0</v>
      </c>
      <c r="AV629" s="133">
        <f t="shared" si="673"/>
        <v>0</v>
      </c>
      <c r="AW629" s="133">
        <f t="shared" si="673"/>
        <v>0</v>
      </c>
      <c r="AX629" s="133">
        <f t="shared" si="673"/>
        <v>0</v>
      </c>
      <c r="AY629" s="133">
        <f t="shared" si="673"/>
        <v>0</v>
      </c>
      <c r="AZ629" s="133">
        <f t="shared" si="673"/>
        <v>0</v>
      </c>
      <c r="BA629" s="133">
        <f t="shared" si="673"/>
        <v>0</v>
      </c>
      <c r="BB629" s="133">
        <f t="shared" si="673"/>
        <v>0</v>
      </c>
      <c r="BC629" s="133">
        <f t="shared" si="673"/>
        <v>0</v>
      </c>
      <c r="BD629" s="133">
        <f t="shared" si="673"/>
        <v>0</v>
      </c>
      <c r="BE629" s="133">
        <f t="shared" si="673"/>
        <v>0</v>
      </c>
      <c r="BF629" s="133">
        <f t="shared" si="673"/>
        <v>0</v>
      </c>
      <c r="BG629" s="133">
        <f t="shared" si="673"/>
        <v>0</v>
      </c>
      <c r="BH629" s="133">
        <f t="shared" si="673"/>
        <v>0</v>
      </c>
      <c r="BI629" s="133">
        <f t="shared" si="673"/>
        <v>0</v>
      </c>
      <c r="BJ629" s="133">
        <f t="shared" si="673"/>
        <v>0</v>
      </c>
      <c r="BK629" s="133">
        <f t="shared" si="673"/>
        <v>0</v>
      </c>
      <c r="BL629" s="133">
        <f t="shared" si="673"/>
        <v>0</v>
      </c>
      <c r="BM629" s="133">
        <f t="shared" si="673"/>
        <v>0</v>
      </c>
      <c r="BN629" s="133">
        <f t="shared" si="673"/>
        <v>0</v>
      </c>
      <c r="BO629" s="133">
        <f t="shared" si="673"/>
        <v>0</v>
      </c>
      <c r="BP629" s="133">
        <f t="shared" si="673"/>
        <v>0</v>
      </c>
      <c r="BQ629" s="133">
        <f t="shared" si="673"/>
        <v>0</v>
      </c>
      <c r="BR629" s="133">
        <f t="shared" si="673"/>
        <v>0</v>
      </c>
      <c r="BS629" s="133">
        <f t="shared" si="673"/>
        <v>0</v>
      </c>
      <c r="BT629" s="133">
        <f t="shared" si="673"/>
        <v>0</v>
      </c>
      <c r="BU629" s="133">
        <f t="shared" si="673"/>
        <v>0</v>
      </c>
      <c r="BV629" s="133">
        <f t="shared" si="673"/>
        <v>0</v>
      </c>
      <c r="BX629" s="133">
        <f t="shared" ref="BX629:CI629" si="674">BX$166</f>
        <v>0</v>
      </c>
      <c r="BY629" s="133">
        <f t="shared" si="674"/>
        <v>0</v>
      </c>
      <c r="BZ629" s="133">
        <f t="shared" si="674"/>
        <v>0</v>
      </c>
      <c r="CA629" s="133">
        <f t="shared" si="674"/>
        <v>0</v>
      </c>
      <c r="CB629" s="133">
        <f t="shared" si="674"/>
        <v>0</v>
      </c>
      <c r="CC629" s="133">
        <f t="shared" si="674"/>
        <v>0</v>
      </c>
      <c r="CD629" s="133">
        <f t="shared" si="674"/>
        <v>0</v>
      </c>
      <c r="CE629" s="133">
        <f t="shared" si="674"/>
        <v>0</v>
      </c>
      <c r="CF629" s="133">
        <f t="shared" si="674"/>
        <v>0</v>
      </c>
      <c r="CG629" s="133">
        <f t="shared" si="674"/>
        <v>0</v>
      </c>
      <c r="CH629" s="133">
        <f t="shared" si="674"/>
        <v>0</v>
      </c>
      <c r="CI629" s="133">
        <f t="shared" si="674"/>
        <v>0</v>
      </c>
      <c r="CK629" s="11"/>
      <c r="CM629" s="11"/>
      <c r="DF629" s="11"/>
      <c r="EY629" s="10" t="str">
        <f t="shared" si="670"/>
        <v/>
      </c>
    </row>
    <row r="630" spans="1:155" x14ac:dyDescent="0.35">
      <c r="B630" s="69" t="str" cm="1">
        <f t="array" aca="1" ref="B630" ca="1">HYPERLINK(CONCATENATE("#",CELL("address",$D$170)),$D$170)</f>
        <v>Loan 7</v>
      </c>
      <c r="C630" s="211"/>
      <c r="D630" s="49">
        <f>D$19</f>
        <v>0</v>
      </c>
      <c r="E630" s="49" t="str">
        <f>F$19</f>
        <v/>
      </c>
      <c r="F630" s="49"/>
      <c r="H630" s="9" t="s">
        <v>1074</v>
      </c>
      <c r="I630" s="40" t="s">
        <v>665</v>
      </c>
      <c r="V630" s="133">
        <f>V$185</f>
        <v>0</v>
      </c>
      <c r="W630" s="133">
        <f>W$185</f>
        <v>0</v>
      </c>
      <c r="X630" s="133">
        <f>X$185</f>
        <v>0</v>
      </c>
      <c r="Y630" s="133">
        <f>Y$185</f>
        <v>0</v>
      </c>
      <c r="AA630" s="133">
        <f t="shared" ref="AA630:BV630" si="675">AA$185</f>
        <v>0</v>
      </c>
      <c r="AB630" s="133">
        <f t="shared" si="675"/>
        <v>0</v>
      </c>
      <c r="AC630" s="133">
        <f t="shared" si="675"/>
        <v>0</v>
      </c>
      <c r="AD630" s="133">
        <f t="shared" si="675"/>
        <v>0</v>
      </c>
      <c r="AE630" s="133">
        <f t="shared" si="675"/>
        <v>0</v>
      </c>
      <c r="AF630" s="133">
        <f t="shared" si="675"/>
        <v>0</v>
      </c>
      <c r="AG630" s="133">
        <f t="shared" si="675"/>
        <v>0</v>
      </c>
      <c r="AH630" s="133">
        <f t="shared" si="675"/>
        <v>0</v>
      </c>
      <c r="AI630" s="133">
        <f t="shared" si="675"/>
        <v>0</v>
      </c>
      <c r="AJ630" s="133">
        <f t="shared" si="675"/>
        <v>0</v>
      </c>
      <c r="AK630" s="133">
        <f t="shared" si="675"/>
        <v>0</v>
      </c>
      <c r="AL630" s="133">
        <f t="shared" si="675"/>
        <v>0</v>
      </c>
      <c r="AM630" s="133">
        <f t="shared" si="675"/>
        <v>0</v>
      </c>
      <c r="AN630" s="133">
        <f t="shared" si="675"/>
        <v>0</v>
      </c>
      <c r="AO630" s="133">
        <f t="shared" si="675"/>
        <v>0</v>
      </c>
      <c r="AP630" s="133">
        <f t="shared" si="675"/>
        <v>0</v>
      </c>
      <c r="AQ630" s="133">
        <f t="shared" si="675"/>
        <v>0</v>
      </c>
      <c r="AR630" s="133">
        <f t="shared" si="675"/>
        <v>0</v>
      </c>
      <c r="AS630" s="133">
        <f t="shared" si="675"/>
        <v>0</v>
      </c>
      <c r="AT630" s="133">
        <f t="shared" si="675"/>
        <v>0</v>
      </c>
      <c r="AU630" s="133">
        <f t="shared" si="675"/>
        <v>0</v>
      </c>
      <c r="AV630" s="133">
        <f t="shared" si="675"/>
        <v>0</v>
      </c>
      <c r="AW630" s="133">
        <f t="shared" si="675"/>
        <v>0</v>
      </c>
      <c r="AX630" s="133">
        <f t="shared" si="675"/>
        <v>0</v>
      </c>
      <c r="AY630" s="133">
        <f t="shared" si="675"/>
        <v>0</v>
      </c>
      <c r="AZ630" s="133">
        <f t="shared" si="675"/>
        <v>0</v>
      </c>
      <c r="BA630" s="133">
        <f t="shared" si="675"/>
        <v>0</v>
      </c>
      <c r="BB630" s="133">
        <f t="shared" si="675"/>
        <v>0</v>
      </c>
      <c r="BC630" s="133">
        <f t="shared" si="675"/>
        <v>0</v>
      </c>
      <c r="BD630" s="133">
        <f t="shared" si="675"/>
        <v>0</v>
      </c>
      <c r="BE630" s="133">
        <f t="shared" si="675"/>
        <v>0</v>
      </c>
      <c r="BF630" s="133">
        <f t="shared" si="675"/>
        <v>0</v>
      </c>
      <c r="BG630" s="133">
        <f t="shared" si="675"/>
        <v>0</v>
      </c>
      <c r="BH630" s="133">
        <f t="shared" si="675"/>
        <v>0</v>
      </c>
      <c r="BI630" s="133">
        <f t="shared" si="675"/>
        <v>0</v>
      </c>
      <c r="BJ630" s="133">
        <f t="shared" si="675"/>
        <v>0</v>
      </c>
      <c r="BK630" s="133">
        <f t="shared" si="675"/>
        <v>0</v>
      </c>
      <c r="BL630" s="133">
        <f t="shared" si="675"/>
        <v>0</v>
      </c>
      <c r="BM630" s="133">
        <f t="shared" si="675"/>
        <v>0</v>
      </c>
      <c r="BN630" s="133">
        <f t="shared" si="675"/>
        <v>0</v>
      </c>
      <c r="BO630" s="133">
        <f t="shared" si="675"/>
        <v>0</v>
      </c>
      <c r="BP630" s="133">
        <f t="shared" si="675"/>
        <v>0</v>
      </c>
      <c r="BQ630" s="133">
        <f t="shared" si="675"/>
        <v>0</v>
      </c>
      <c r="BR630" s="133">
        <f t="shared" si="675"/>
        <v>0</v>
      </c>
      <c r="BS630" s="133">
        <f t="shared" si="675"/>
        <v>0</v>
      </c>
      <c r="BT630" s="133">
        <f t="shared" si="675"/>
        <v>0</v>
      </c>
      <c r="BU630" s="133">
        <f t="shared" si="675"/>
        <v>0</v>
      </c>
      <c r="BV630" s="133">
        <f t="shared" si="675"/>
        <v>0</v>
      </c>
      <c r="BX630" s="133">
        <f t="shared" ref="BX630:CI630" si="676">BX$185</f>
        <v>0</v>
      </c>
      <c r="BY630" s="133">
        <f t="shared" si="676"/>
        <v>0</v>
      </c>
      <c r="BZ630" s="133">
        <f t="shared" si="676"/>
        <v>0</v>
      </c>
      <c r="CA630" s="133">
        <f t="shared" si="676"/>
        <v>0</v>
      </c>
      <c r="CB630" s="133">
        <f t="shared" si="676"/>
        <v>0</v>
      </c>
      <c r="CC630" s="133">
        <f t="shared" si="676"/>
        <v>0</v>
      </c>
      <c r="CD630" s="133">
        <f t="shared" si="676"/>
        <v>0</v>
      </c>
      <c r="CE630" s="133">
        <f t="shared" si="676"/>
        <v>0</v>
      </c>
      <c r="CF630" s="133">
        <f t="shared" si="676"/>
        <v>0</v>
      </c>
      <c r="CG630" s="133">
        <f t="shared" si="676"/>
        <v>0</v>
      </c>
      <c r="CH630" s="133">
        <f t="shared" si="676"/>
        <v>0</v>
      </c>
      <c r="CI630" s="133">
        <f t="shared" si="676"/>
        <v>0</v>
      </c>
      <c r="CK630" s="11"/>
      <c r="CM630" s="11"/>
      <c r="DF630" s="11"/>
      <c r="EY630" s="10" t="str">
        <f t="shared" si="670"/>
        <v/>
      </c>
    </row>
    <row r="631" spans="1:155" x14ac:dyDescent="0.35">
      <c r="B631" s="69" t="str" cm="1">
        <f t="array" aca="1" ref="B631" ca="1">HYPERLINK(CONCATENATE("#",CELL("address",$D$189)),$D$189)</f>
        <v>Loan 8</v>
      </c>
      <c r="C631" s="211"/>
      <c r="D631" s="49">
        <f>D$20</f>
        <v>0</v>
      </c>
      <c r="E631" s="49" t="str">
        <f>F$20</f>
        <v/>
      </c>
      <c r="F631" s="49"/>
      <c r="H631" s="9" t="s">
        <v>1074</v>
      </c>
      <c r="I631" s="40" t="s">
        <v>665</v>
      </c>
      <c r="V631" s="133">
        <f>V$204</f>
        <v>0</v>
      </c>
      <c r="W631" s="133">
        <f>W$204</f>
        <v>0</v>
      </c>
      <c r="X631" s="133">
        <f>X$204</f>
        <v>0</v>
      </c>
      <c r="Y631" s="133">
        <f>Y$204</f>
        <v>0</v>
      </c>
      <c r="AA631" s="133">
        <f t="shared" ref="AA631:BV631" si="677">AA$204</f>
        <v>0</v>
      </c>
      <c r="AB631" s="133">
        <f t="shared" si="677"/>
        <v>0</v>
      </c>
      <c r="AC631" s="133">
        <f t="shared" si="677"/>
        <v>0</v>
      </c>
      <c r="AD631" s="133">
        <f t="shared" si="677"/>
        <v>0</v>
      </c>
      <c r="AE631" s="133">
        <f t="shared" si="677"/>
        <v>0</v>
      </c>
      <c r="AF631" s="133">
        <f t="shared" si="677"/>
        <v>0</v>
      </c>
      <c r="AG631" s="133">
        <f t="shared" si="677"/>
        <v>0</v>
      </c>
      <c r="AH631" s="133">
        <f t="shared" si="677"/>
        <v>0</v>
      </c>
      <c r="AI631" s="133">
        <f t="shared" si="677"/>
        <v>0</v>
      </c>
      <c r="AJ631" s="133">
        <f t="shared" si="677"/>
        <v>0</v>
      </c>
      <c r="AK631" s="133">
        <f t="shared" si="677"/>
        <v>0</v>
      </c>
      <c r="AL631" s="133">
        <f t="shared" si="677"/>
        <v>0</v>
      </c>
      <c r="AM631" s="133">
        <f t="shared" si="677"/>
        <v>0</v>
      </c>
      <c r="AN631" s="133">
        <f t="shared" si="677"/>
        <v>0</v>
      </c>
      <c r="AO631" s="133">
        <f t="shared" si="677"/>
        <v>0</v>
      </c>
      <c r="AP631" s="133">
        <f t="shared" si="677"/>
        <v>0</v>
      </c>
      <c r="AQ631" s="133">
        <f t="shared" si="677"/>
        <v>0</v>
      </c>
      <c r="AR631" s="133">
        <f t="shared" si="677"/>
        <v>0</v>
      </c>
      <c r="AS631" s="133">
        <f t="shared" si="677"/>
        <v>0</v>
      </c>
      <c r="AT631" s="133">
        <f t="shared" si="677"/>
        <v>0</v>
      </c>
      <c r="AU631" s="133">
        <f t="shared" si="677"/>
        <v>0</v>
      </c>
      <c r="AV631" s="133">
        <f t="shared" si="677"/>
        <v>0</v>
      </c>
      <c r="AW631" s="133">
        <f t="shared" si="677"/>
        <v>0</v>
      </c>
      <c r="AX631" s="133">
        <f t="shared" si="677"/>
        <v>0</v>
      </c>
      <c r="AY631" s="133">
        <f t="shared" si="677"/>
        <v>0</v>
      </c>
      <c r="AZ631" s="133">
        <f t="shared" si="677"/>
        <v>0</v>
      </c>
      <c r="BA631" s="133">
        <f t="shared" si="677"/>
        <v>0</v>
      </c>
      <c r="BB631" s="133">
        <f t="shared" si="677"/>
        <v>0</v>
      </c>
      <c r="BC631" s="133">
        <f t="shared" si="677"/>
        <v>0</v>
      </c>
      <c r="BD631" s="133">
        <f t="shared" si="677"/>
        <v>0</v>
      </c>
      <c r="BE631" s="133">
        <f t="shared" si="677"/>
        <v>0</v>
      </c>
      <c r="BF631" s="133">
        <f t="shared" si="677"/>
        <v>0</v>
      </c>
      <c r="BG631" s="133">
        <f t="shared" si="677"/>
        <v>0</v>
      </c>
      <c r="BH631" s="133">
        <f t="shared" si="677"/>
        <v>0</v>
      </c>
      <c r="BI631" s="133">
        <f t="shared" si="677"/>
        <v>0</v>
      </c>
      <c r="BJ631" s="133">
        <f t="shared" si="677"/>
        <v>0</v>
      </c>
      <c r="BK631" s="133">
        <f t="shared" si="677"/>
        <v>0</v>
      </c>
      <c r="BL631" s="133">
        <f t="shared" si="677"/>
        <v>0</v>
      </c>
      <c r="BM631" s="133">
        <f t="shared" si="677"/>
        <v>0</v>
      </c>
      <c r="BN631" s="133">
        <f t="shared" si="677"/>
        <v>0</v>
      </c>
      <c r="BO631" s="133">
        <f t="shared" si="677"/>
        <v>0</v>
      </c>
      <c r="BP631" s="133">
        <f t="shared" si="677"/>
        <v>0</v>
      </c>
      <c r="BQ631" s="133">
        <f t="shared" si="677"/>
        <v>0</v>
      </c>
      <c r="BR631" s="133">
        <f t="shared" si="677"/>
        <v>0</v>
      </c>
      <c r="BS631" s="133">
        <f t="shared" si="677"/>
        <v>0</v>
      </c>
      <c r="BT631" s="133">
        <f t="shared" si="677"/>
        <v>0</v>
      </c>
      <c r="BU631" s="133">
        <f t="shared" si="677"/>
        <v>0</v>
      </c>
      <c r="BV631" s="133">
        <f t="shared" si="677"/>
        <v>0</v>
      </c>
      <c r="BX631" s="133">
        <f t="shared" ref="BX631:CI631" si="678">BX$204</f>
        <v>0</v>
      </c>
      <c r="BY631" s="133">
        <f t="shared" si="678"/>
        <v>0</v>
      </c>
      <c r="BZ631" s="133">
        <f t="shared" si="678"/>
        <v>0</v>
      </c>
      <c r="CA631" s="133">
        <f t="shared" si="678"/>
        <v>0</v>
      </c>
      <c r="CB631" s="133">
        <f t="shared" si="678"/>
        <v>0</v>
      </c>
      <c r="CC631" s="133">
        <f t="shared" si="678"/>
        <v>0</v>
      </c>
      <c r="CD631" s="133">
        <f t="shared" si="678"/>
        <v>0</v>
      </c>
      <c r="CE631" s="133">
        <f t="shared" si="678"/>
        <v>0</v>
      </c>
      <c r="CF631" s="133">
        <f t="shared" si="678"/>
        <v>0</v>
      </c>
      <c r="CG631" s="133">
        <f t="shared" si="678"/>
        <v>0</v>
      </c>
      <c r="CH631" s="133">
        <f t="shared" si="678"/>
        <v>0</v>
      </c>
      <c r="CI631" s="133">
        <f t="shared" si="678"/>
        <v>0</v>
      </c>
      <c r="CK631" s="11"/>
      <c r="CM631" s="11"/>
      <c r="DF631" s="11"/>
      <c r="EY631" s="10" t="str">
        <f t="shared" si="670"/>
        <v/>
      </c>
    </row>
    <row r="632" spans="1:155" x14ac:dyDescent="0.35">
      <c r="B632" s="69" t="str" cm="1">
        <f t="array" aca="1" ref="B632" ca="1">HYPERLINK(CONCATENATE("#",CELL("address",$D$208)),$D$208)</f>
        <v>Loan 9</v>
      </c>
      <c r="C632" s="211"/>
      <c r="D632" s="49">
        <f>D$21</f>
        <v>0</v>
      </c>
      <c r="E632" s="49" t="str">
        <f>F$21</f>
        <v/>
      </c>
      <c r="F632" s="49"/>
      <c r="H632" s="9" t="s">
        <v>1074</v>
      </c>
      <c r="I632" s="40" t="s">
        <v>665</v>
      </c>
      <c r="V632" s="133">
        <f>V$223</f>
        <v>0</v>
      </c>
      <c r="W632" s="133">
        <f>W$223</f>
        <v>0</v>
      </c>
      <c r="X632" s="133">
        <f>X$223</f>
        <v>0</v>
      </c>
      <c r="Y632" s="133">
        <f>Y$223</f>
        <v>0</v>
      </c>
      <c r="AA632" s="133">
        <f t="shared" ref="AA632:BV632" si="679">AA$223</f>
        <v>0</v>
      </c>
      <c r="AB632" s="133">
        <f t="shared" si="679"/>
        <v>0</v>
      </c>
      <c r="AC632" s="133">
        <f t="shared" si="679"/>
        <v>0</v>
      </c>
      <c r="AD632" s="133">
        <f t="shared" si="679"/>
        <v>0</v>
      </c>
      <c r="AE632" s="133">
        <f t="shared" si="679"/>
        <v>0</v>
      </c>
      <c r="AF632" s="133">
        <f t="shared" si="679"/>
        <v>0</v>
      </c>
      <c r="AG632" s="133">
        <f t="shared" si="679"/>
        <v>0</v>
      </c>
      <c r="AH632" s="133">
        <f t="shared" si="679"/>
        <v>0</v>
      </c>
      <c r="AI632" s="133">
        <f t="shared" si="679"/>
        <v>0</v>
      </c>
      <c r="AJ632" s="133">
        <f t="shared" si="679"/>
        <v>0</v>
      </c>
      <c r="AK632" s="133">
        <f t="shared" si="679"/>
        <v>0</v>
      </c>
      <c r="AL632" s="133">
        <f t="shared" si="679"/>
        <v>0</v>
      </c>
      <c r="AM632" s="133">
        <f t="shared" si="679"/>
        <v>0</v>
      </c>
      <c r="AN632" s="133">
        <f t="shared" si="679"/>
        <v>0</v>
      </c>
      <c r="AO632" s="133">
        <f t="shared" si="679"/>
        <v>0</v>
      </c>
      <c r="AP632" s="133">
        <f t="shared" si="679"/>
        <v>0</v>
      </c>
      <c r="AQ632" s="133">
        <f t="shared" si="679"/>
        <v>0</v>
      </c>
      <c r="AR632" s="133">
        <f t="shared" si="679"/>
        <v>0</v>
      </c>
      <c r="AS632" s="133">
        <f t="shared" si="679"/>
        <v>0</v>
      </c>
      <c r="AT632" s="133">
        <f t="shared" si="679"/>
        <v>0</v>
      </c>
      <c r="AU632" s="133">
        <f t="shared" si="679"/>
        <v>0</v>
      </c>
      <c r="AV632" s="133">
        <f t="shared" si="679"/>
        <v>0</v>
      </c>
      <c r="AW632" s="133">
        <f t="shared" si="679"/>
        <v>0</v>
      </c>
      <c r="AX632" s="133">
        <f t="shared" si="679"/>
        <v>0</v>
      </c>
      <c r="AY632" s="133">
        <f t="shared" si="679"/>
        <v>0</v>
      </c>
      <c r="AZ632" s="133">
        <f t="shared" si="679"/>
        <v>0</v>
      </c>
      <c r="BA632" s="133">
        <f t="shared" si="679"/>
        <v>0</v>
      </c>
      <c r="BB632" s="133">
        <f t="shared" si="679"/>
        <v>0</v>
      </c>
      <c r="BC632" s="133">
        <f t="shared" si="679"/>
        <v>0</v>
      </c>
      <c r="BD632" s="133">
        <f t="shared" si="679"/>
        <v>0</v>
      </c>
      <c r="BE632" s="133">
        <f t="shared" si="679"/>
        <v>0</v>
      </c>
      <c r="BF632" s="133">
        <f t="shared" si="679"/>
        <v>0</v>
      </c>
      <c r="BG632" s="133">
        <f t="shared" si="679"/>
        <v>0</v>
      </c>
      <c r="BH632" s="133">
        <f t="shared" si="679"/>
        <v>0</v>
      </c>
      <c r="BI632" s="133">
        <f t="shared" si="679"/>
        <v>0</v>
      </c>
      <c r="BJ632" s="133">
        <f t="shared" si="679"/>
        <v>0</v>
      </c>
      <c r="BK632" s="133">
        <f t="shared" si="679"/>
        <v>0</v>
      </c>
      <c r="BL632" s="133">
        <f t="shared" si="679"/>
        <v>0</v>
      </c>
      <c r="BM632" s="133">
        <f t="shared" si="679"/>
        <v>0</v>
      </c>
      <c r="BN632" s="133">
        <f t="shared" si="679"/>
        <v>0</v>
      </c>
      <c r="BO632" s="133">
        <f t="shared" si="679"/>
        <v>0</v>
      </c>
      <c r="BP632" s="133">
        <f t="shared" si="679"/>
        <v>0</v>
      </c>
      <c r="BQ632" s="133">
        <f t="shared" si="679"/>
        <v>0</v>
      </c>
      <c r="BR632" s="133">
        <f t="shared" si="679"/>
        <v>0</v>
      </c>
      <c r="BS632" s="133">
        <f t="shared" si="679"/>
        <v>0</v>
      </c>
      <c r="BT632" s="133">
        <f t="shared" si="679"/>
        <v>0</v>
      </c>
      <c r="BU632" s="133">
        <f t="shared" si="679"/>
        <v>0</v>
      </c>
      <c r="BV632" s="133">
        <f t="shared" si="679"/>
        <v>0</v>
      </c>
      <c r="BX632" s="133">
        <f t="shared" ref="BX632:CI632" si="680">BX$223</f>
        <v>0</v>
      </c>
      <c r="BY632" s="133">
        <f t="shared" si="680"/>
        <v>0</v>
      </c>
      <c r="BZ632" s="133">
        <f t="shared" si="680"/>
        <v>0</v>
      </c>
      <c r="CA632" s="133">
        <f t="shared" si="680"/>
        <v>0</v>
      </c>
      <c r="CB632" s="133">
        <f t="shared" si="680"/>
        <v>0</v>
      </c>
      <c r="CC632" s="133">
        <f t="shared" si="680"/>
        <v>0</v>
      </c>
      <c r="CD632" s="133">
        <f t="shared" si="680"/>
        <v>0</v>
      </c>
      <c r="CE632" s="133">
        <f t="shared" si="680"/>
        <v>0</v>
      </c>
      <c r="CF632" s="133">
        <f t="shared" si="680"/>
        <v>0</v>
      </c>
      <c r="CG632" s="133">
        <f t="shared" si="680"/>
        <v>0</v>
      </c>
      <c r="CH632" s="133">
        <f t="shared" si="680"/>
        <v>0</v>
      </c>
      <c r="CI632" s="133">
        <f t="shared" si="680"/>
        <v>0</v>
      </c>
      <c r="CK632" s="11"/>
      <c r="CM632" s="11"/>
      <c r="DF632" s="11"/>
      <c r="EY632" s="10" t="str">
        <f t="shared" si="670"/>
        <v/>
      </c>
    </row>
    <row r="633" spans="1:155" x14ac:dyDescent="0.35">
      <c r="B633" s="69" t="str" cm="1">
        <f t="array" aca="1" ref="B633" ca="1">HYPERLINK(CONCATENATE("#",CELL("address",$D$227)),$D$227)</f>
        <v>Loan 10</v>
      </c>
      <c r="C633" s="211"/>
      <c r="D633" s="49">
        <f>D$22</f>
        <v>0</v>
      </c>
      <c r="E633" s="49" t="str">
        <f>F$22</f>
        <v/>
      </c>
      <c r="F633" s="49"/>
      <c r="H633" s="9" t="s">
        <v>1074</v>
      </c>
      <c r="I633" s="40" t="s">
        <v>665</v>
      </c>
      <c r="V633" s="133">
        <f>V$242</f>
        <v>0</v>
      </c>
      <c r="W633" s="133">
        <f>W$242</f>
        <v>0</v>
      </c>
      <c r="X633" s="133">
        <f>X$242</f>
        <v>0</v>
      </c>
      <c r="Y633" s="133">
        <f>Y$242</f>
        <v>0</v>
      </c>
      <c r="AA633" s="133">
        <f t="shared" ref="AA633:BV633" si="681">AA$242</f>
        <v>0</v>
      </c>
      <c r="AB633" s="133">
        <f t="shared" si="681"/>
        <v>0</v>
      </c>
      <c r="AC633" s="133">
        <f t="shared" si="681"/>
        <v>0</v>
      </c>
      <c r="AD633" s="133">
        <f t="shared" si="681"/>
        <v>0</v>
      </c>
      <c r="AE633" s="133">
        <f t="shared" si="681"/>
        <v>0</v>
      </c>
      <c r="AF633" s="133">
        <f t="shared" si="681"/>
        <v>0</v>
      </c>
      <c r="AG633" s="133">
        <f t="shared" si="681"/>
        <v>0</v>
      </c>
      <c r="AH633" s="133">
        <f t="shared" si="681"/>
        <v>0</v>
      </c>
      <c r="AI633" s="133">
        <f t="shared" si="681"/>
        <v>0</v>
      </c>
      <c r="AJ633" s="133">
        <f t="shared" si="681"/>
        <v>0</v>
      </c>
      <c r="AK633" s="133">
        <f t="shared" si="681"/>
        <v>0</v>
      </c>
      <c r="AL633" s="133">
        <f t="shared" si="681"/>
        <v>0</v>
      </c>
      <c r="AM633" s="133">
        <f t="shared" si="681"/>
        <v>0</v>
      </c>
      <c r="AN633" s="133">
        <f t="shared" si="681"/>
        <v>0</v>
      </c>
      <c r="AO633" s="133">
        <f t="shared" si="681"/>
        <v>0</v>
      </c>
      <c r="AP633" s="133">
        <f t="shared" si="681"/>
        <v>0</v>
      </c>
      <c r="AQ633" s="133">
        <f t="shared" si="681"/>
        <v>0</v>
      </c>
      <c r="AR633" s="133">
        <f t="shared" si="681"/>
        <v>0</v>
      </c>
      <c r="AS633" s="133">
        <f t="shared" si="681"/>
        <v>0</v>
      </c>
      <c r="AT633" s="133">
        <f t="shared" si="681"/>
        <v>0</v>
      </c>
      <c r="AU633" s="133">
        <f t="shared" si="681"/>
        <v>0</v>
      </c>
      <c r="AV633" s="133">
        <f t="shared" si="681"/>
        <v>0</v>
      </c>
      <c r="AW633" s="133">
        <f t="shared" si="681"/>
        <v>0</v>
      </c>
      <c r="AX633" s="133">
        <f t="shared" si="681"/>
        <v>0</v>
      </c>
      <c r="AY633" s="133">
        <f t="shared" si="681"/>
        <v>0</v>
      </c>
      <c r="AZ633" s="133">
        <f t="shared" si="681"/>
        <v>0</v>
      </c>
      <c r="BA633" s="133">
        <f t="shared" si="681"/>
        <v>0</v>
      </c>
      <c r="BB633" s="133">
        <f t="shared" si="681"/>
        <v>0</v>
      </c>
      <c r="BC633" s="133">
        <f t="shared" si="681"/>
        <v>0</v>
      </c>
      <c r="BD633" s="133">
        <f t="shared" si="681"/>
        <v>0</v>
      </c>
      <c r="BE633" s="133">
        <f t="shared" si="681"/>
        <v>0</v>
      </c>
      <c r="BF633" s="133">
        <f t="shared" si="681"/>
        <v>0</v>
      </c>
      <c r="BG633" s="133">
        <f t="shared" si="681"/>
        <v>0</v>
      </c>
      <c r="BH633" s="133">
        <f t="shared" si="681"/>
        <v>0</v>
      </c>
      <c r="BI633" s="133">
        <f t="shared" si="681"/>
        <v>0</v>
      </c>
      <c r="BJ633" s="133">
        <f t="shared" si="681"/>
        <v>0</v>
      </c>
      <c r="BK633" s="133">
        <f t="shared" si="681"/>
        <v>0</v>
      </c>
      <c r="BL633" s="133">
        <f t="shared" si="681"/>
        <v>0</v>
      </c>
      <c r="BM633" s="133">
        <f t="shared" si="681"/>
        <v>0</v>
      </c>
      <c r="BN633" s="133">
        <f t="shared" si="681"/>
        <v>0</v>
      </c>
      <c r="BO633" s="133">
        <f t="shared" si="681"/>
        <v>0</v>
      </c>
      <c r="BP633" s="133">
        <f t="shared" si="681"/>
        <v>0</v>
      </c>
      <c r="BQ633" s="133">
        <f t="shared" si="681"/>
        <v>0</v>
      </c>
      <c r="BR633" s="133">
        <f t="shared" si="681"/>
        <v>0</v>
      </c>
      <c r="BS633" s="133">
        <f t="shared" si="681"/>
        <v>0</v>
      </c>
      <c r="BT633" s="133">
        <f t="shared" si="681"/>
        <v>0</v>
      </c>
      <c r="BU633" s="133">
        <f t="shared" si="681"/>
        <v>0</v>
      </c>
      <c r="BV633" s="133">
        <f t="shared" si="681"/>
        <v>0</v>
      </c>
      <c r="BX633" s="133">
        <f t="shared" ref="BX633:CI633" si="682">BX$242</f>
        <v>0</v>
      </c>
      <c r="BY633" s="133">
        <f t="shared" si="682"/>
        <v>0</v>
      </c>
      <c r="BZ633" s="133">
        <f t="shared" si="682"/>
        <v>0</v>
      </c>
      <c r="CA633" s="133">
        <f t="shared" si="682"/>
        <v>0</v>
      </c>
      <c r="CB633" s="133">
        <f t="shared" si="682"/>
        <v>0</v>
      </c>
      <c r="CC633" s="133">
        <f t="shared" si="682"/>
        <v>0</v>
      </c>
      <c r="CD633" s="133">
        <f t="shared" si="682"/>
        <v>0</v>
      </c>
      <c r="CE633" s="133">
        <f t="shared" si="682"/>
        <v>0</v>
      </c>
      <c r="CF633" s="133">
        <f t="shared" si="682"/>
        <v>0</v>
      </c>
      <c r="CG633" s="133">
        <f t="shared" si="682"/>
        <v>0</v>
      </c>
      <c r="CH633" s="133">
        <f t="shared" si="682"/>
        <v>0</v>
      </c>
      <c r="CI633" s="133">
        <f t="shared" si="682"/>
        <v>0</v>
      </c>
      <c r="CK633" s="11"/>
      <c r="CM633" s="11"/>
      <c r="DF633" s="11"/>
      <c r="EY633" s="10" t="str">
        <f t="shared" si="670"/>
        <v/>
      </c>
    </row>
    <row r="634" spans="1:155" x14ac:dyDescent="0.35">
      <c r="B634" s="69" t="str" cm="1">
        <f t="array" aca="1" ref="B634" ca="1">HYPERLINK(CONCATENATE("#",CELL("address",$D$246)),$D$246)</f>
        <v>Loan 11</v>
      </c>
      <c r="C634" s="211"/>
      <c r="D634" s="49">
        <f>D$23</f>
        <v>0</v>
      </c>
      <c r="E634" s="49" t="str">
        <f>F$23</f>
        <v/>
      </c>
      <c r="F634" s="49"/>
      <c r="H634" s="9" t="s">
        <v>1074</v>
      </c>
      <c r="I634" s="40" t="s">
        <v>665</v>
      </c>
      <c r="V634" s="133">
        <f>V$261</f>
        <v>0</v>
      </c>
      <c r="W634" s="133">
        <f>W$261</f>
        <v>0</v>
      </c>
      <c r="X634" s="133">
        <f>X$261</f>
        <v>0</v>
      </c>
      <c r="Y634" s="133">
        <f>Y$261</f>
        <v>0</v>
      </c>
      <c r="AA634" s="133">
        <f t="shared" ref="AA634:BV634" si="683">AA$261</f>
        <v>0</v>
      </c>
      <c r="AB634" s="133">
        <f t="shared" si="683"/>
        <v>0</v>
      </c>
      <c r="AC634" s="133">
        <f t="shared" si="683"/>
        <v>0</v>
      </c>
      <c r="AD634" s="133">
        <f t="shared" si="683"/>
        <v>0</v>
      </c>
      <c r="AE634" s="133">
        <f t="shared" si="683"/>
        <v>0</v>
      </c>
      <c r="AF634" s="133">
        <f t="shared" si="683"/>
        <v>0</v>
      </c>
      <c r="AG634" s="133">
        <f t="shared" si="683"/>
        <v>0</v>
      </c>
      <c r="AH634" s="133">
        <f t="shared" si="683"/>
        <v>0</v>
      </c>
      <c r="AI634" s="133">
        <f t="shared" si="683"/>
        <v>0</v>
      </c>
      <c r="AJ634" s="133">
        <f t="shared" si="683"/>
        <v>0</v>
      </c>
      <c r="AK634" s="133">
        <f t="shared" si="683"/>
        <v>0</v>
      </c>
      <c r="AL634" s="133">
        <f t="shared" si="683"/>
        <v>0</v>
      </c>
      <c r="AM634" s="133">
        <f t="shared" si="683"/>
        <v>0</v>
      </c>
      <c r="AN634" s="133">
        <f t="shared" si="683"/>
        <v>0</v>
      </c>
      <c r="AO634" s="133">
        <f t="shared" si="683"/>
        <v>0</v>
      </c>
      <c r="AP634" s="133">
        <f t="shared" si="683"/>
        <v>0</v>
      </c>
      <c r="AQ634" s="133">
        <f t="shared" si="683"/>
        <v>0</v>
      </c>
      <c r="AR634" s="133">
        <f t="shared" si="683"/>
        <v>0</v>
      </c>
      <c r="AS634" s="133">
        <f t="shared" si="683"/>
        <v>0</v>
      </c>
      <c r="AT634" s="133">
        <f t="shared" si="683"/>
        <v>0</v>
      </c>
      <c r="AU634" s="133">
        <f t="shared" si="683"/>
        <v>0</v>
      </c>
      <c r="AV634" s="133">
        <f t="shared" si="683"/>
        <v>0</v>
      </c>
      <c r="AW634" s="133">
        <f t="shared" si="683"/>
        <v>0</v>
      </c>
      <c r="AX634" s="133">
        <f t="shared" si="683"/>
        <v>0</v>
      </c>
      <c r="AY634" s="133">
        <f t="shared" si="683"/>
        <v>0</v>
      </c>
      <c r="AZ634" s="133">
        <f t="shared" si="683"/>
        <v>0</v>
      </c>
      <c r="BA634" s="133">
        <f t="shared" si="683"/>
        <v>0</v>
      </c>
      <c r="BB634" s="133">
        <f t="shared" si="683"/>
        <v>0</v>
      </c>
      <c r="BC634" s="133">
        <f t="shared" si="683"/>
        <v>0</v>
      </c>
      <c r="BD634" s="133">
        <f t="shared" si="683"/>
        <v>0</v>
      </c>
      <c r="BE634" s="133">
        <f t="shared" si="683"/>
        <v>0</v>
      </c>
      <c r="BF634" s="133">
        <f t="shared" si="683"/>
        <v>0</v>
      </c>
      <c r="BG634" s="133">
        <f t="shared" si="683"/>
        <v>0</v>
      </c>
      <c r="BH634" s="133">
        <f t="shared" si="683"/>
        <v>0</v>
      </c>
      <c r="BI634" s="133">
        <f t="shared" si="683"/>
        <v>0</v>
      </c>
      <c r="BJ634" s="133">
        <f t="shared" si="683"/>
        <v>0</v>
      </c>
      <c r="BK634" s="133">
        <f t="shared" si="683"/>
        <v>0</v>
      </c>
      <c r="BL634" s="133">
        <f t="shared" si="683"/>
        <v>0</v>
      </c>
      <c r="BM634" s="133">
        <f t="shared" si="683"/>
        <v>0</v>
      </c>
      <c r="BN634" s="133">
        <f t="shared" si="683"/>
        <v>0</v>
      </c>
      <c r="BO634" s="133">
        <f t="shared" si="683"/>
        <v>0</v>
      </c>
      <c r="BP634" s="133">
        <f t="shared" si="683"/>
        <v>0</v>
      </c>
      <c r="BQ634" s="133">
        <f t="shared" si="683"/>
        <v>0</v>
      </c>
      <c r="BR634" s="133">
        <f t="shared" si="683"/>
        <v>0</v>
      </c>
      <c r="BS634" s="133">
        <f t="shared" si="683"/>
        <v>0</v>
      </c>
      <c r="BT634" s="133">
        <f t="shared" si="683"/>
        <v>0</v>
      </c>
      <c r="BU634" s="133">
        <f t="shared" si="683"/>
        <v>0</v>
      </c>
      <c r="BV634" s="133">
        <f t="shared" si="683"/>
        <v>0</v>
      </c>
      <c r="BX634" s="133">
        <f t="shared" ref="BX634:CI634" si="684">BX$261</f>
        <v>0</v>
      </c>
      <c r="BY634" s="133">
        <f t="shared" si="684"/>
        <v>0</v>
      </c>
      <c r="BZ634" s="133">
        <f t="shared" si="684"/>
        <v>0</v>
      </c>
      <c r="CA634" s="133">
        <f t="shared" si="684"/>
        <v>0</v>
      </c>
      <c r="CB634" s="133">
        <f t="shared" si="684"/>
        <v>0</v>
      </c>
      <c r="CC634" s="133">
        <f t="shared" si="684"/>
        <v>0</v>
      </c>
      <c r="CD634" s="133">
        <f t="shared" si="684"/>
        <v>0</v>
      </c>
      <c r="CE634" s="133">
        <f t="shared" si="684"/>
        <v>0</v>
      </c>
      <c r="CF634" s="133">
        <f t="shared" si="684"/>
        <v>0</v>
      </c>
      <c r="CG634" s="133">
        <f t="shared" si="684"/>
        <v>0</v>
      </c>
      <c r="CH634" s="133">
        <f t="shared" si="684"/>
        <v>0</v>
      </c>
      <c r="CI634" s="133">
        <f t="shared" si="684"/>
        <v>0</v>
      </c>
      <c r="CK634" s="11"/>
      <c r="CM634" s="11"/>
      <c r="DF634" s="11"/>
      <c r="EY634" s="10" t="str">
        <f t="shared" si="670"/>
        <v/>
      </c>
    </row>
    <row r="635" spans="1:155" x14ac:dyDescent="0.35">
      <c r="B635" s="69" t="str" cm="1">
        <f t="array" aca="1" ref="B635" ca="1">HYPERLINK(CONCATENATE("#",CELL("address",$D$265)),$D$265)</f>
        <v>Loan 12</v>
      </c>
      <c r="C635" s="211"/>
      <c r="D635" s="49">
        <f>D$24</f>
        <v>0</v>
      </c>
      <c r="E635" s="49" t="str">
        <f>F$24</f>
        <v/>
      </c>
      <c r="F635" s="49"/>
      <c r="H635" s="9" t="s">
        <v>1074</v>
      </c>
      <c r="I635" s="40" t="s">
        <v>665</v>
      </c>
      <c r="V635" s="133">
        <f>V$280</f>
        <v>0</v>
      </c>
      <c r="W635" s="133">
        <f>W$280</f>
        <v>0</v>
      </c>
      <c r="X635" s="133">
        <f>X$280</f>
        <v>0</v>
      </c>
      <c r="Y635" s="133">
        <f>Y$280</f>
        <v>0</v>
      </c>
      <c r="AA635" s="133">
        <f t="shared" ref="AA635:BV635" si="685">AA$280</f>
        <v>0</v>
      </c>
      <c r="AB635" s="133">
        <f t="shared" si="685"/>
        <v>0</v>
      </c>
      <c r="AC635" s="133">
        <f t="shared" si="685"/>
        <v>0</v>
      </c>
      <c r="AD635" s="133">
        <f t="shared" si="685"/>
        <v>0</v>
      </c>
      <c r="AE635" s="133">
        <f t="shared" si="685"/>
        <v>0</v>
      </c>
      <c r="AF635" s="133">
        <f t="shared" si="685"/>
        <v>0</v>
      </c>
      <c r="AG635" s="133">
        <f t="shared" si="685"/>
        <v>0</v>
      </c>
      <c r="AH635" s="133">
        <f t="shared" si="685"/>
        <v>0</v>
      </c>
      <c r="AI635" s="133">
        <f t="shared" si="685"/>
        <v>0</v>
      </c>
      <c r="AJ635" s="133">
        <f t="shared" si="685"/>
        <v>0</v>
      </c>
      <c r="AK635" s="133">
        <f t="shared" si="685"/>
        <v>0</v>
      </c>
      <c r="AL635" s="133">
        <f t="shared" si="685"/>
        <v>0</v>
      </c>
      <c r="AM635" s="133">
        <f t="shared" si="685"/>
        <v>0</v>
      </c>
      <c r="AN635" s="133">
        <f t="shared" si="685"/>
        <v>0</v>
      </c>
      <c r="AO635" s="133">
        <f t="shared" si="685"/>
        <v>0</v>
      </c>
      <c r="AP635" s="133">
        <f t="shared" si="685"/>
        <v>0</v>
      </c>
      <c r="AQ635" s="133">
        <f t="shared" si="685"/>
        <v>0</v>
      </c>
      <c r="AR635" s="133">
        <f t="shared" si="685"/>
        <v>0</v>
      </c>
      <c r="AS635" s="133">
        <f t="shared" si="685"/>
        <v>0</v>
      </c>
      <c r="AT635" s="133">
        <f t="shared" si="685"/>
        <v>0</v>
      </c>
      <c r="AU635" s="133">
        <f t="shared" si="685"/>
        <v>0</v>
      </c>
      <c r="AV635" s="133">
        <f t="shared" si="685"/>
        <v>0</v>
      </c>
      <c r="AW635" s="133">
        <f t="shared" si="685"/>
        <v>0</v>
      </c>
      <c r="AX635" s="133">
        <f t="shared" si="685"/>
        <v>0</v>
      </c>
      <c r="AY635" s="133">
        <f t="shared" si="685"/>
        <v>0</v>
      </c>
      <c r="AZ635" s="133">
        <f t="shared" si="685"/>
        <v>0</v>
      </c>
      <c r="BA635" s="133">
        <f t="shared" si="685"/>
        <v>0</v>
      </c>
      <c r="BB635" s="133">
        <f t="shared" si="685"/>
        <v>0</v>
      </c>
      <c r="BC635" s="133">
        <f t="shared" si="685"/>
        <v>0</v>
      </c>
      <c r="BD635" s="133">
        <f t="shared" si="685"/>
        <v>0</v>
      </c>
      <c r="BE635" s="133">
        <f t="shared" si="685"/>
        <v>0</v>
      </c>
      <c r="BF635" s="133">
        <f t="shared" si="685"/>
        <v>0</v>
      </c>
      <c r="BG635" s="133">
        <f t="shared" si="685"/>
        <v>0</v>
      </c>
      <c r="BH635" s="133">
        <f t="shared" si="685"/>
        <v>0</v>
      </c>
      <c r="BI635" s="133">
        <f t="shared" si="685"/>
        <v>0</v>
      </c>
      <c r="BJ635" s="133">
        <f t="shared" si="685"/>
        <v>0</v>
      </c>
      <c r="BK635" s="133">
        <f t="shared" si="685"/>
        <v>0</v>
      </c>
      <c r="BL635" s="133">
        <f t="shared" si="685"/>
        <v>0</v>
      </c>
      <c r="BM635" s="133">
        <f t="shared" si="685"/>
        <v>0</v>
      </c>
      <c r="BN635" s="133">
        <f t="shared" si="685"/>
        <v>0</v>
      </c>
      <c r="BO635" s="133">
        <f t="shared" si="685"/>
        <v>0</v>
      </c>
      <c r="BP635" s="133">
        <f t="shared" si="685"/>
        <v>0</v>
      </c>
      <c r="BQ635" s="133">
        <f t="shared" si="685"/>
        <v>0</v>
      </c>
      <c r="BR635" s="133">
        <f t="shared" si="685"/>
        <v>0</v>
      </c>
      <c r="BS635" s="133">
        <f t="shared" si="685"/>
        <v>0</v>
      </c>
      <c r="BT635" s="133">
        <f t="shared" si="685"/>
        <v>0</v>
      </c>
      <c r="BU635" s="133">
        <f t="shared" si="685"/>
        <v>0</v>
      </c>
      <c r="BV635" s="133">
        <f t="shared" si="685"/>
        <v>0</v>
      </c>
      <c r="BX635" s="133">
        <f t="shared" ref="BX635:CI635" si="686">BX$280</f>
        <v>0</v>
      </c>
      <c r="BY635" s="133">
        <f t="shared" si="686"/>
        <v>0</v>
      </c>
      <c r="BZ635" s="133">
        <f t="shared" si="686"/>
        <v>0</v>
      </c>
      <c r="CA635" s="133">
        <f t="shared" si="686"/>
        <v>0</v>
      </c>
      <c r="CB635" s="133">
        <f t="shared" si="686"/>
        <v>0</v>
      </c>
      <c r="CC635" s="133">
        <f t="shared" si="686"/>
        <v>0</v>
      </c>
      <c r="CD635" s="133">
        <f t="shared" si="686"/>
        <v>0</v>
      </c>
      <c r="CE635" s="133">
        <f t="shared" si="686"/>
        <v>0</v>
      </c>
      <c r="CF635" s="133">
        <f t="shared" si="686"/>
        <v>0</v>
      </c>
      <c r="CG635" s="133">
        <f t="shared" si="686"/>
        <v>0</v>
      </c>
      <c r="CH635" s="133">
        <f t="shared" si="686"/>
        <v>0</v>
      </c>
      <c r="CI635" s="133">
        <f t="shared" si="686"/>
        <v>0</v>
      </c>
      <c r="CK635" s="11"/>
      <c r="CM635" s="11"/>
      <c r="DF635" s="11"/>
      <c r="EY635" s="10" t="str">
        <f t="shared" si="670"/>
        <v/>
      </c>
    </row>
    <row r="636" spans="1:155" x14ac:dyDescent="0.35">
      <c r="B636" s="69" t="str" cm="1">
        <f t="array" aca="1" ref="B636" ca="1">HYPERLINK(CONCATENATE("#",CELL("address",$D$284)),$D$284)</f>
        <v>Loan 13</v>
      </c>
      <c r="C636" s="211"/>
      <c r="D636" s="49">
        <f>D$25</f>
        <v>0</v>
      </c>
      <c r="E636" s="49" t="str">
        <f>F$25</f>
        <v/>
      </c>
      <c r="F636" s="49"/>
      <c r="H636" s="9" t="s">
        <v>1074</v>
      </c>
      <c r="I636" s="40" t="s">
        <v>665</v>
      </c>
      <c r="V636" s="133">
        <f>V$299</f>
        <v>0</v>
      </c>
      <c r="W636" s="133">
        <f>W$299</f>
        <v>0</v>
      </c>
      <c r="X636" s="133">
        <f>X$299</f>
        <v>0</v>
      </c>
      <c r="Y636" s="133">
        <f>Y$299</f>
        <v>0</v>
      </c>
      <c r="AA636" s="133">
        <f t="shared" ref="AA636:BV636" si="687">AA$299</f>
        <v>0</v>
      </c>
      <c r="AB636" s="133">
        <f t="shared" si="687"/>
        <v>0</v>
      </c>
      <c r="AC636" s="133">
        <f t="shared" si="687"/>
        <v>0</v>
      </c>
      <c r="AD636" s="133">
        <f t="shared" si="687"/>
        <v>0</v>
      </c>
      <c r="AE636" s="133">
        <f t="shared" si="687"/>
        <v>0</v>
      </c>
      <c r="AF636" s="133">
        <f t="shared" si="687"/>
        <v>0</v>
      </c>
      <c r="AG636" s="133">
        <f t="shared" si="687"/>
        <v>0</v>
      </c>
      <c r="AH636" s="133">
        <f t="shared" si="687"/>
        <v>0</v>
      </c>
      <c r="AI636" s="133">
        <f t="shared" si="687"/>
        <v>0</v>
      </c>
      <c r="AJ636" s="133">
        <f t="shared" si="687"/>
        <v>0</v>
      </c>
      <c r="AK636" s="133">
        <f t="shared" si="687"/>
        <v>0</v>
      </c>
      <c r="AL636" s="133">
        <f t="shared" si="687"/>
        <v>0</v>
      </c>
      <c r="AM636" s="133">
        <f t="shared" si="687"/>
        <v>0</v>
      </c>
      <c r="AN636" s="133">
        <f t="shared" si="687"/>
        <v>0</v>
      </c>
      <c r="AO636" s="133">
        <f t="shared" si="687"/>
        <v>0</v>
      </c>
      <c r="AP636" s="133">
        <f t="shared" si="687"/>
        <v>0</v>
      </c>
      <c r="AQ636" s="133">
        <f t="shared" si="687"/>
        <v>0</v>
      </c>
      <c r="AR636" s="133">
        <f t="shared" si="687"/>
        <v>0</v>
      </c>
      <c r="AS636" s="133">
        <f t="shared" si="687"/>
        <v>0</v>
      </c>
      <c r="AT636" s="133">
        <f t="shared" si="687"/>
        <v>0</v>
      </c>
      <c r="AU636" s="133">
        <f t="shared" si="687"/>
        <v>0</v>
      </c>
      <c r="AV636" s="133">
        <f t="shared" si="687"/>
        <v>0</v>
      </c>
      <c r="AW636" s="133">
        <f t="shared" si="687"/>
        <v>0</v>
      </c>
      <c r="AX636" s="133">
        <f t="shared" si="687"/>
        <v>0</v>
      </c>
      <c r="AY636" s="133">
        <f t="shared" si="687"/>
        <v>0</v>
      </c>
      <c r="AZ636" s="133">
        <f t="shared" si="687"/>
        <v>0</v>
      </c>
      <c r="BA636" s="133">
        <f t="shared" si="687"/>
        <v>0</v>
      </c>
      <c r="BB636" s="133">
        <f t="shared" si="687"/>
        <v>0</v>
      </c>
      <c r="BC636" s="133">
        <f t="shared" si="687"/>
        <v>0</v>
      </c>
      <c r="BD636" s="133">
        <f t="shared" si="687"/>
        <v>0</v>
      </c>
      <c r="BE636" s="133">
        <f t="shared" si="687"/>
        <v>0</v>
      </c>
      <c r="BF636" s="133">
        <f t="shared" si="687"/>
        <v>0</v>
      </c>
      <c r="BG636" s="133">
        <f t="shared" si="687"/>
        <v>0</v>
      </c>
      <c r="BH636" s="133">
        <f t="shared" si="687"/>
        <v>0</v>
      </c>
      <c r="BI636" s="133">
        <f t="shared" si="687"/>
        <v>0</v>
      </c>
      <c r="BJ636" s="133">
        <f t="shared" si="687"/>
        <v>0</v>
      </c>
      <c r="BK636" s="133">
        <f t="shared" si="687"/>
        <v>0</v>
      </c>
      <c r="BL636" s="133">
        <f t="shared" si="687"/>
        <v>0</v>
      </c>
      <c r="BM636" s="133">
        <f t="shared" si="687"/>
        <v>0</v>
      </c>
      <c r="BN636" s="133">
        <f t="shared" si="687"/>
        <v>0</v>
      </c>
      <c r="BO636" s="133">
        <f t="shared" si="687"/>
        <v>0</v>
      </c>
      <c r="BP636" s="133">
        <f t="shared" si="687"/>
        <v>0</v>
      </c>
      <c r="BQ636" s="133">
        <f t="shared" si="687"/>
        <v>0</v>
      </c>
      <c r="BR636" s="133">
        <f t="shared" si="687"/>
        <v>0</v>
      </c>
      <c r="BS636" s="133">
        <f t="shared" si="687"/>
        <v>0</v>
      </c>
      <c r="BT636" s="133">
        <f t="shared" si="687"/>
        <v>0</v>
      </c>
      <c r="BU636" s="133">
        <f t="shared" si="687"/>
        <v>0</v>
      </c>
      <c r="BV636" s="133">
        <f t="shared" si="687"/>
        <v>0</v>
      </c>
      <c r="BX636" s="133">
        <f t="shared" ref="BX636:CI636" si="688">BX$299</f>
        <v>0</v>
      </c>
      <c r="BY636" s="133">
        <f t="shared" si="688"/>
        <v>0</v>
      </c>
      <c r="BZ636" s="133">
        <f t="shared" si="688"/>
        <v>0</v>
      </c>
      <c r="CA636" s="133">
        <f t="shared" si="688"/>
        <v>0</v>
      </c>
      <c r="CB636" s="133">
        <f t="shared" si="688"/>
        <v>0</v>
      </c>
      <c r="CC636" s="133">
        <f t="shared" si="688"/>
        <v>0</v>
      </c>
      <c r="CD636" s="133">
        <f t="shared" si="688"/>
        <v>0</v>
      </c>
      <c r="CE636" s="133">
        <f t="shared" si="688"/>
        <v>0</v>
      </c>
      <c r="CF636" s="133">
        <f t="shared" si="688"/>
        <v>0</v>
      </c>
      <c r="CG636" s="133">
        <f t="shared" si="688"/>
        <v>0</v>
      </c>
      <c r="CH636" s="133">
        <f t="shared" si="688"/>
        <v>0</v>
      </c>
      <c r="CI636" s="133">
        <f t="shared" si="688"/>
        <v>0</v>
      </c>
      <c r="CK636" s="11"/>
      <c r="CM636" s="11"/>
      <c r="DF636" s="11"/>
      <c r="EY636" s="10" t="str">
        <f t="shared" si="670"/>
        <v/>
      </c>
    </row>
    <row r="637" spans="1:155" s="5" customFormat="1" x14ac:dyDescent="0.35">
      <c r="A637"/>
      <c r="B637" s="69" t="str" cm="1">
        <f t="array" aca="1" ref="B637" ca="1">HYPERLINK(CONCATENATE("#",CELL("address",$D$303)),$D$303)</f>
        <v>Loan 14</v>
      </c>
      <c r="C637" s="211"/>
      <c r="D637" s="49">
        <f>D$26</f>
        <v>0</v>
      </c>
      <c r="E637" s="49" t="str">
        <f>F$26</f>
        <v/>
      </c>
      <c r="F637" s="49"/>
      <c r="G637"/>
      <c r="H637" s="9" t="s">
        <v>1074</v>
      </c>
      <c r="I637" s="40" t="s">
        <v>665</v>
      </c>
      <c r="J637"/>
      <c r="K637"/>
      <c r="L637"/>
      <c r="M637"/>
      <c r="N637"/>
      <c r="O637"/>
      <c r="P637"/>
      <c r="Q637"/>
      <c r="R637"/>
      <c r="S637"/>
      <c r="T637"/>
      <c r="U637"/>
      <c r="V637" s="133">
        <f>V$318</f>
        <v>0</v>
      </c>
      <c r="W637" s="133">
        <f>W$318</f>
        <v>0</v>
      </c>
      <c r="X637" s="133">
        <f>X$318</f>
        <v>0</v>
      </c>
      <c r="Y637" s="133">
        <f>Y$318</f>
        <v>0</v>
      </c>
      <c r="Z637"/>
      <c r="AA637" s="133">
        <f t="shared" ref="AA637:BV637" si="689">AA$318</f>
        <v>0</v>
      </c>
      <c r="AB637" s="133">
        <f t="shared" si="689"/>
        <v>0</v>
      </c>
      <c r="AC637" s="133">
        <f t="shared" si="689"/>
        <v>0</v>
      </c>
      <c r="AD637" s="133">
        <f t="shared" si="689"/>
        <v>0</v>
      </c>
      <c r="AE637" s="133">
        <f t="shared" si="689"/>
        <v>0</v>
      </c>
      <c r="AF637" s="133">
        <f t="shared" si="689"/>
        <v>0</v>
      </c>
      <c r="AG637" s="133">
        <f t="shared" si="689"/>
        <v>0</v>
      </c>
      <c r="AH637" s="133">
        <f t="shared" si="689"/>
        <v>0</v>
      </c>
      <c r="AI637" s="133">
        <f t="shared" si="689"/>
        <v>0</v>
      </c>
      <c r="AJ637" s="133">
        <f t="shared" si="689"/>
        <v>0</v>
      </c>
      <c r="AK637" s="133">
        <f t="shared" si="689"/>
        <v>0</v>
      </c>
      <c r="AL637" s="133">
        <f t="shared" si="689"/>
        <v>0</v>
      </c>
      <c r="AM637" s="133">
        <f t="shared" si="689"/>
        <v>0</v>
      </c>
      <c r="AN637" s="133">
        <f t="shared" si="689"/>
        <v>0</v>
      </c>
      <c r="AO637" s="133">
        <f t="shared" si="689"/>
        <v>0</v>
      </c>
      <c r="AP637" s="133">
        <f t="shared" si="689"/>
        <v>0</v>
      </c>
      <c r="AQ637" s="133">
        <f t="shared" si="689"/>
        <v>0</v>
      </c>
      <c r="AR637" s="133">
        <f t="shared" si="689"/>
        <v>0</v>
      </c>
      <c r="AS637" s="133">
        <f t="shared" si="689"/>
        <v>0</v>
      </c>
      <c r="AT637" s="133">
        <f t="shared" si="689"/>
        <v>0</v>
      </c>
      <c r="AU637" s="133">
        <f t="shared" si="689"/>
        <v>0</v>
      </c>
      <c r="AV637" s="133">
        <f t="shared" si="689"/>
        <v>0</v>
      </c>
      <c r="AW637" s="133">
        <f t="shared" si="689"/>
        <v>0</v>
      </c>
      <c r="AX637" s="133">
        <f t="shared" si="689"/>
        <v>0</v>
      </c>
      <c r="AY637" s="133">
        <f t="shared" si="689"/>
        <v>0</v>
      </c>
      <c r="AZ637" s="133">
        <f t="shared" si="689"/>
        <v>0</v>
      </c>
      <c r="BA637" s="133">
        <f t="shared" si="689"/>
        <v>0</v>
      </c>
      <c r="BB637" s="133">
        <f t="shared" si="689"/>
        <v>0</v>
      </c>
      <c r="BC637" s="133">
        <f t="shared" si="689"/>
        <v>0</v>
      </c>
      <c r="BD637" s="133">
        <f t="shared" si="689"/>
        <v>0</v>
      </c>
      <c r="BE637" s="133">
        <f t="shared" si="689"/>
        <v>0</v>
      </c>
      <c r="BF637" s="133">
        <f t="shared" si="689"/>
        <v>0</v>
      </c>
      <c r="BG637" s="133">
        <f t="shared" si="689"/>
        <v>0</v>
      </c>
      <c r="BH637" s="133">
        <f t="shared" si="689"/>
        <v>0</v>
      </c>
      <c r="BI637" s="133">
        <f t="shared" si="689"/>
        <v>0</v>
      </c>
      <c r="BJ637" s="133">
        <f t="shared" si="689"/>
        <v>0</v>
      </c>
      <c r="BK637" s="133">
        <f t="shared" si="689"/>
        <v>0</v>
      </c>
      <c r="BL637" s="133">
        <f t="shared" si="689"/>
        <v>0</v>
      </c>
      <c r="BM637" s="133">
        <f t="shared" si="689"/>
        <v>0</v>
      </c>
      <c r="BN637" s="133">
        <f t="shared" si="689"/>
        <v>0</v>
      </c>
      <c r="BO637" s="133">
        <f t="shared" si="689"/>
        <v>0</v>
      </c>
      <c r="BP637" s="133">
        <f t="shared" si="689"/>
        <v>0</v>
      </c>
      <c r="BQ637" s="133">
        <f t="shared" si="689"/>
        <v>0</v>
      </c>
      <c r="BR637" s="133">
        <f t="shared" si="689"/>
        <v>0</v>
      </c>
      <c r="BS637" s="133">
        <f t="shared" si="689"/>
        <v>0</v>
      </c>
      <c r="BT637" s="133">
        <f t="shared" si="689"/>
        <v>0</v>
      </c>
      <c r="BU637" s="133">
        <f t="shared" si="689"/>
        <v>0</v>
      </c>
      <c r="BV637" s="133">
        <f t="shared" si="689"/>
        <v>0</v>
      </c>
      <c r="BW637"/>
      <c r="BX637" s="133">
        <f t="shared" ref="BX637:CI637" si="690">BX$318</f>
        <v>0</v>
      </c>
      <c r="BY637" s="133">
        <f t="shared" si="690"/>
        <v>0</v>
      </c>
      <c r="BZ637" s="133">
        <f t="shared" si="690"/>
        <v>0</v>
      </c>
      <c r="CA637" s="133">
        <f t="shared" si="690"/>
        <v>0</v>
      </c>
      <c r="CB637" s="133">
        <f t="shared" si="690"/>
        <v>0</v>
      </c>
      <c r="CC637" s="133">
        <f t="shared" si="690"/>
        <v>0</v>
      </c>
      <c r="CD637" s="133">
        <f t="shared" si="690"/>
        <v>0</v>
      </c>
      <c r="CE637" s="133">
        <f t="shared" si="690"/>
        <v>0</v>
      </c>
      <c r="CF637" s="133">
        <f t="shared" si="690"/>
        <v>0</v>
      </c>
      <c r="CG637" s="133">
        <f t="shared" si="690"/>
        <v>0</v>
      </c>
      <c r="CH637" s="133">
        <f t="shared" si="690"/>
        <v>0</v>
      </c>
      <c r="CI637" s="133">
        <f t="shared" si="690"/>
        <v>0</v>
      </c>
      <c r="CJ637"/>
      <c r="CK637" s="11"/>
      <c r="CL637"/>
      <c r="CM637" s="11"/>
      <c r="CN637"/>
      <c r="CO637"/>
      <c r="CP637"/>
      <c r="CQ637"/>
      <c r="CR637"/>
      <c r="CS637"/>
      <c r="CT637"/>
      <c r="CU637"/>
      <c r="CV637"/>
      <c r="CW637"/>
      <c r="CX637"/>
      <c r="CY637"/>
      <c r="CZ637"/>
      <c r="DA637"/>
      <c r="DB637"/>
      <c r="DC637"/>
      <c r="DD637"/>
      <c r="DE637"/>
      <c r="DF637" s="11"/>
      <c r="EY637" s="10" t="str">
        <f t="shared" si="670"/>
        <v/>
      </c>
    </row>
    <row r="638" spans="1:155" x14ac:dyDescent="0.35">
      <c r="B638" s="69" t="str" cm="1">
        <f t="array" aca="1" ref="B638" ca="1">HYPERLINK(CONCATENATE("#",CELL("address",$D$322)),$D$322)</f>
        <v>Loan 15</v>
      </c>
      <c r="C638" s="211"/>
      <c r="D638" s="49">
        <f>D$27</f>
        <v>0</v>
      </c>
      <c r="E638" s="49" t="str">
        <f>F$27</f>
        <v/>
      </c>
      <c r="F638" s="49"/>
      <c r="H638" s="9" t="s">
        <v>1074</v>
      </c>
      <c r="I638" s="40" t="s">
        <v>665</v>
      </c>
      <c r="V638" s="133">
        <f>V$337</f>
        <v>0</v>
      </c>
      <c r="W638" s="133">
        <f>W$337</f>
        <v>0</v>
      </c>
      <c r="X638" s="133">
        <f>X$337</f>
        <v>0</v>
      </c>
      <c r="Y638" s="133">
        <f>Y$337</f>
        <v>0</v>
      </c>
      <c r="AA638" s="133">
        <f t="shared" ref="AA638:BV638" si="691">AA$337</f>
        <v>0</v>
      </c>
      <c r="AB638" s="133">
        <f t="shared" si="691"/>
        <v>0</v>
      </c>
      <c r="AC638" s="133">
        <f t="shared" si="691"/>
        <v>0</v>
      </c>
      <c r="AD638" s="133">
        <f t="shared" si="691"/>
        <v>0</v>
      </c>
      <c r="AE638" s="133">
        <f t="shared" si="691"/>
        <v>0</v>
      </c>
      <c r="AF638" s="133">
        <f t="shared" si="691"/>
        <v>0</v>
      </c>
      <c r="AG638" s="133">
        <f t="shared" si="691"/>
        <v>0</v>
      </c>
      <c r="AH638" s="133">
        <f t="shared" si="691"/>
        <v>0</v>
      </c>
      <c r="AI638" s="133">
        <f t="shared" si="691"/>
        <v>0</v>
      </c>
      <c r="AJ638" s="133">
        <f t="shared" si="691"/>
        <v>0</v>
      </c>
      <c r="AK638" s="133">
        <f t="shared" si="691"/>
        <v>0</v>
      </c>
      <c r="AL638" s="133">
        <f t="shared" si="691"/>
        <v>0</v>
      </c>
      <c r="AM638" s="133">
        <f t="shared" si="691"/>
        <v>0</v>
      </c>
      <c r="AN638" s="133">
        <f t="shared" si="691"/>
        <v>0</v>
      </c>
      <c r="AO638" s="133">
        <f t="shared" si="691"/>
        <v>0</v>
      </c>
      <c r="AP638" s="133">
        <f t="shared" si="691"/>
        <v>0</v>
      </c>
      <c r="AQ638" s="133">
        <f t="shared" si="691"/>
        <v>0</v>
      </c>
      <c r="AR638" s="133">
        <f t="shared" si="691"/>
        <v>0</v>
      </c>
      <c r="AS638" s="133">
        <f t="shared" si="691"/>
        <v>0</v>
      </c>
      <c r="AT638" s="133">
        <f t="shared" si="691"/>
        <v>0</v>
      </c>
      <c r="AU638" s="133">
        <f t="shared" si="691"/>
        <v>0</v>
      </c>
      <c r="AV638" s="133">
        <f t="shared" si="691"/>
        <v>0</v>
      </c>
      <c r="AW638" s="133">
        <f t="shared" si="691"/>
        <v>0</v>
      </c>
      <c r="AX638" s="133">
        <f t="shared" si="691"/>
        <v>0</v>
      </c>
      <c r="AY638" s="133">
        <f t="shared" si="691"/>
        <v>0</v>
      </c>
      <c r="AZ638" s="133">
        <f t="shared" si="691"/>
        <v>0</v>
      </c>
      <c r="BA638" s="133">
        <f t="shared" si="691"/>
        <v>0</v>
      </c>
      <c r="BB638" s="133">
        <f t="shared" si="691"/>
        <v>0</v>
      </c>
      <c r="BC638" s="133">
        <f t="shared" si="691"/>
        <v>0</v>
      </c>
      <c r="BD638" s="133">
        <f t="shared" si="691"/>
        <v>0</v>
      </c>
      <c r="BE638" s="133">
        <f t="shared" si="691"/>
        <v>0</v>
      </c>
      <c r="BF638" s="133">
        <f t="shared" si="691"/>
        <v>0</v>
      </c>
      <c r="BG638" s="133">
        <f t="shared" si="691"/>
        <v>0</v>
      </c>
      <c r="BH638" s="133">
        <f t="shared" si="691"/>
        <v>0</v>
      </c>
      <c r="BI638" s="133">
        <f t="shared" si="691"/>
        <v>0</v>
      </c>
      <c r="BJ638" s="133">
        <f t="shared" si="691"/>
        <v>0</v>
      </c>
      <c r="BK638" s="133">
        <f t="shared" si="691"/>
        <v>0</v>
      </c>
      <c r="BL638" s="133">
        <f t="shared" si="691"/>
        <v>0</v>
      </c>
      <c r="BM638" s="133">
        <f t="shared" si="691"/>
        <v>0</v>
      </c>
      <c r="BN638" s="133">
        <f t="shared" si="691"/>
        <v>0</v>
      </c>
      <c r="BO638" s="133">
        <f t="shared" si="691"/>
        <v>0</v>
      </c>
      <c r="BP638" s="133">
        <f t="shared" si="691"/>
        <v>0</v>
      </c>
      <c r="BQ638" s="133">
        <f t="shared" si="691"/>
        <v>0</v>
      </c>
      <c r="BR638" s="133">
        <f t="shared" si="691"/>
        <v>0</v>
      </c>
      <c r="BS638" s="133">
        <f t="shared" si="691"/>
        <v>0</v>
      </c>
      <c r="BT638" s="133">
        <f t="shared" si="691"/>
        <v>0</v>
      </c>
      <c r="BU638" s="133">
        <f t="shared" si="691"/>
        <v>0</v>
      </c>
      <c r="BV638" s="133">
        <f t="shared" si="691"/>
        <v>0</v>
      </c>
      <c r="BX638" s="133">
        <f t="shared" ref="BX638:CI638" si="692">BX$337</f>
        <v>0</v>
      </c>
      <c r="BY638" s="133">
        <f t="shared" si="692"/>
        <v>0</v>
      </c>
      <c r="BZ638" s="133">
        <f t="shared" si="692"/>
        <v>0</v>
      </c>
      <c r="CA638" s="133">
        <f t="shared" si="692"/>
        <v>0</v>
      </c>
      <c r="CB638" s="133">
        <f t="shared" si="692"/>
        <v>0</v>
      </c>
      <c r="CC638" s="133">
        <f t="shared" si="692"/>
        <v>0</v>
      </c>
      <c r="CD638" s="133">
        <f t="shared" si="692"/>
        <v>0</v>
      </c>
      <c r="CE638" s="133">
        <f t="shared" si="692"/>
        <v>0</v>
      </c>
      <c r="CF638" s="133">
        <f t="shared" si="692"/>
        <v>0</v>
      </c>
      <c r="CG638" s="133">
        <f t="shared" si="692"/>
        <v>0</v>
      </c>
      <c r="CH638" s="133">
        <f t="shared" si="692"/>
        <v>0</v>
      </c>
      <c r="CI638" s="133">
        <f t="shared" si="692"/>
        <v>0</v>
      </c>
      <c r="CK638" s="11"/>
      <c r="CM638" s="11"/>
      <c r="DF638" s="11"/>
      <c r="EY638" s="10" t="str">
        <f t="shared" si="670"/>
        <v/>
      </c>
    </row>
    <row r="639" spans="1:155" x14ac:dyDescent="0.35">
      <c r="B639" s="69" t="str" cm="1">
        <f t="array" aca="1" ref="B639" ca="1">HYPERLINK(CONCATENATE("#",CELL("address",$D$341)),$D$341)</f>
        <v>Loan 16</v>
      </c>
      <c r="C639" s="211"/>
      <c r="D639" s="49">
        <f>D$28</f>
        <v>0</v>
      </c>
      <c r="E639" s="49" t="str">
        <f>F$28</f>
        <v/>
      </c>
      <c r="F639" s="49"/>
      <c r="H639" s="9" t="s">
        <v>1074</v>
      </c>
      <c r="I639" s="40" t="s">
        <v>665</v>
      </c>
      <c r="V639" s="133">
        <f>V$356</f>
        <v>0</v>
      </c>
      <c r="W639" s="133">
        <f>W$356</f>
        <v>0</v>
      </c>
      <c r="X639" s="133">
        <f>X$356</f>
        <v>0</v>
      </c>
      <c r="Y639" s="133">
        <f>Y$356</f>
        <v>0</v>
      </c>
      <c r="AA639" s="133">
        <f t="shared" ref="AA639:BV639" si="693">AA$356</f>
        <v>0</v>
      </c>
      <c r="AB639" s="133">
        <f t="shared" si="693"/>
        <v>0</v>
      </c>
      <c r="AC639" s="133">
        <f t="shared" si="693"/>
        <v>0</v>
      </c>
      <c r="AD639" s="133">
        <f t="shared" si="693"/>
        <v>0</v>
      </c>
      <c r="AE639" s="133">
        <f t="shared" si="693"/>
        <v>0</v>
      </c>
      <c r="AF639" s="133">
        <f t="shared" si="693"/>
        <v>0</v>
      </c>
      <c r="AG639" s="133">
        <f t="shared" si="693"/>
        <v>0</v>
      </c>
      <c r="AH639" s="133">
        <f t="shared" si="693"/>
        <v>0</v>
      </c>
      <c r="AI639" s="133">
        <f t="shared" si="693"/>
        <v>0</v>
      </c>
      <c r="AJ639" s="133">
        <f t="shared" si="693"/>
        <v>0</v>
      </c>
      <c r="AK639" s="133">
        <f t="shared" si="693"/>
        <v>0</v>
      </c>
      <c r="AL639" s="133">
        <f t="shared" si="693"/>
        <v>0</v>
      </c>
      <c r="AM639" s="133">
        <f t="shared" si="693"/>
        <v>0</v>
      </c>
      <c r="AN639" s="133">
        <f t="shared" si="693"/>
        <v>0</v>
      </c>
      <c r="AO639" s="133">
        <f t="shared" si="693"/>
        <v>0</v>
      </c>
      <c r="AP639" s="133">
        <f t="shared" si="693"/>
        <v>0</v>
      </c>
      <c r="AQ639" s="133">
        <f t="shared" si="693"/>
        <v>0</v>
      </c>
      <c r="AR639" s="133">
        <f t="shared" si="693"/>
        <v>0</v>
      </c>
      <c r="AS639" s="133">
        <f t="shared" si="693"/>
        <v>0</v>
      </c>
      <c r="AT639" s="133">
        <f t="shared" si="693"/>
        <v>0</v>
      </c>
      <c r="AU639" s="133">
        <f t="shared" si="693"/>
        <v>0</v>
      </c>
      <c r="AV639" s="133">
        <f t="shared" si="693"/>
        <v>0</v>
      </c>
      <c r="AW639" s="133">
        <f t="shared" si="693"/>
        <v>0</v>
      </c>
      <c r="AX639" s="133">
        <f t="shared" si="693"/>
        <v>0</v>
      </c>
      <c r="AY639" s="133">
        <f t="shared" si="693"/>
        <v>0</v>
      </c>
      <c r="AZ639" s="133">
        <f t="shared" si="693"/>
        <v>0</v>
      </c>
      <c r="BA639" s="133">
        <f t="shared" si="693"/>
        <v>0</v>
      </c>
      <c r="BB639" s="133">
        <f t="shared" si="693"/>
        <v>0</v>
      </c>
      <c r="BC639" s="133">
        <f t="shared" si="693"/>
        <v>0</v>
      </c>
      <c r="BD639" s="133">
        <f t="shared" si="693"/>
        <v>0</v>
      </c>
      <c r="BE639" s="133">
        <f t="shared" si="693"/>
        <v>0</v>
      </c>
      <c r="BF639" s="133">
        <f t="shared" si="693"/>
        <v>0</v>
      </c>
      <c r="BG639" s="133">
        <f t="shared" si="693"/>
        <v>0</v>
      </c>
      <c r="BH639" s="133">
        <f t="shared" si="693"/>
        <v>0</v>
      </c>
      <c r="BI639" s="133">
        <f t="shared" si="693"/>
        <v>0</v>
      </c>
      <c r="BJ639" s="133">
        <f t="shared" si="693"/>
        <v>0</v>
      </c>
      <c r="BK639" s="133">
        <f t="shared" si="693"/>
        <v>0</v>
      </c>
      <c r="BL639" s="133">
        <f t="shared" si="693"/>
        <v>0</v>
      </c>
      <c r="BM639" s="133">
        <f t="shared" si="693"/>
        <v>0</v>
      </c>
      <c r="BN639" s="133">
        <f t="shared" si="693"/>
        <v>0</v>
      </c>
      <c r="BO639" s="133">
        <f t="shared" si="693"/>
        <v>0</v>
      </c>
      <c r="BP639" s="133">
        <f t="shared" si="693"/>
        <v>0</v>
      </c>
      <c r="BQ639" s="133">
        <f t="shared" si="693"/>
        <v>0</v>
      </c>
      <c r="BR639" s="133">
        <f t="shared" si="693"/>
        <v>0</v>
      </c>
      <c r="BS639" s="133">
        <f t="shared" si="693"/>
        <v>0</v>
      </c>
      <c r="BT639" s="133">
        <f t="shared" si="693"/>
        <v>0</v>
      </c>
      <c r="BU639" s="133">
        <f t="shared" si="693"/>
        <v>0</v>
      </c>
      <c r="BV639" s="133">
        <f t="shared" si="693"/>
        <v>0</v>
      </c>
      <c r="BX639" s="133">
        <f t="shared" ref="BX639:CI639" si="694">BX$356</f>
        <v>0</v>
      </c>
      <c r="BY639" s="133">
        <f t="shared" si="694"/>
        <v>0</v>
      </c>
      <c r="BZ639" s="133">
        <f t="shared" si="694"/>
        <v>0</v>
      </c>
      <c r="CA639" s="133">
        <f t="shared" si="694"/>
        <v>0</v>
      </c>
      <c r="CB639" s="133">
        <f t="shared" si="694"/>
        <v>0</v>
      </c>
      <c r="CC639" s="133">
        <f t="shared" si="694"/>
        <v>0</v>
      </c>
      <c r="CD639" s="133">
        <f t="shared" si="694"/>
        <v>0</v>
      </c>
      <c r="CE639" s="133">
        <f t="shared" si="694"/>
        <v>0</v>
      </c>
      <c r="CF639" s="133">
        <f t="shared" si="694"/>
        <v>0</v>
      </c>
      <c r="CG639" s="133">
        <f t="shared" si="694"/>
        <v>0</v>
      </c>
      <c r="CH639" s="133">
        <f t="shared" si="694"/>
        <v>0</v>
      </c>
      <c r="CI639" s="133">
        <f t="shared" si="694"/>
        <v>0</v>
      </c>
      <c r="CK639" s="11"/>
      <c r="CM639" s="11"/>
      <c r="DF639" s="11"/>
      <c r="EY639" s="10" t="str">
        <f t="shared" si="670"/>
        <v/>
      </c>
    </row>
    <row r="640" spans="1:155" x14ac:dyDescent="0.35">
      <c r="B640" s="69" t="str" cm="1">
        <f t="array" aca="1" ref="B640" ca="1">HYPERLINK(CONCATENATE("#",CELL("address",$D$360)),$D$360)</f>
        <v>Loan 17</v>
      </c>
      <c r="C640" s="211"/>
      <c r="D640" s="49">
        <f>D$29</f>
        <v>0</v>
      </c>
      <c r="E640" s="49" t="str">
        <f>F$29</f>
        <v/>
      </c>
      <c r="F640" s="49"/>
      <c r="H640" s="9" t="s">
        <v>1074</v>
      </c>
      <c r="I640" s="40" t="s">
        <v>665</v>
      </c>
      <c r="V640" s="133">
        <f>V$375</f>
        <v>0</v>
      </c>
      <c r="W640" s="133">
        <f>W$375</f>
        <v>0</v>
      </c>
      <c r="X640" s="133">
        <f>X$375</f>
        <v>0</v>
      </c>
      <c r="Y640" s="133">
        <f>Y$375</f>
        <v>0</v>
      </c>
      <c r="AA640" s="133">
        <f t="shared" ref="AA640:BV640" si="695">AA$375</f>
        <v>0</v>
      </c>
      <c r="AB640" s="133">
        <f t="shared" si="695"/>
        <v>0</v>
      </c>
      <c r="AC640" s="133">
        <f t="shared" si="695"/>
        <v>0</v>
      </c>
      <c r="AD640" s="133">
        <f t="shared" si="695"/>
        <v>0</v>
      </c>
      <c r="AE640" s="133">
        <f t="shared" si="695"/>
        <v>0</v>
      </c>
      <c r="AF640" s="133">
        <f t="shared" si="695"/>
        <v>0</v>
      </c>
      <c r="AG640" s="133">
        <f t="shared" si="695"/>
        <v>0</v>
      </c>
      <c r="AH640" s="133">
        <f t="shared" si="695"/>
        <v>0</v>
      </c>
      <c r="AI640" s="133">
        <f t="shared" si="695"/>
        <v>0</v>
      </c>
      <c r="AJ640" s="133">
        <f t="shared" si="695"/>
        <v>0</v>
      </c>
      <c r="AK640" s="133">
        <f t="shared" si="695"/>
        <v>0</v>
      </c>
      <c r="AL640" s="133">
        <f t="shared" si="695"/>
        <v>0</v>
      </c>
      <c r="AM640" s="133">
        <f t="shared" si="695"/>
        <v>0</v>
      </c>
      <c r="AN640" s="133">
        <f t="shared" si="695"/>
        <v>0</v>
      </c>
      <c r="AO640" s="133">
        <f t="shared" si="695"/>
        <v>0</v>
      </c>
      <c r="AP640" s="133">
        <f t="shared" si="695"/>
        <v>0</v>
      </c>
      <c r="AQ640" s="133">
        <f t="shared" si="695"/>
        <v>0</v>
      </c>
      <c r="AR640" s="133">
        <f t="shared" si="695"/>
        <v>0</v>
      </c>
      <c r="AS640" s="133">
        <f t="shared" si="695"/>
        <v>0</v>
      </c>
      <c r="AT640" s="133">
        <f t="shared" si="695"/>
        <v>0</v>
      </c>
      <c r="AU640" s="133">
        <f t="shared" si="695"/>
        <v>0</v>
      </c>
      <c r="AV640" s="133">
        <f t="shared" si="695"/>
        <v>0</v>
      </c>
      <c r="AW640" s="133">
        <f t="shared" si="695"/>
        <v>0</v>
      </c>
      <c r="AX640" s="133">
        <f t="shared" si="695"/>
        <v>0</v>
      </c>
      <c r="AY640" s="133">
        <f t="shared" si="695"/>
        <v>0</v>
      </c>
      <c r="AZ640" s="133">
        <f t="shared" si="695"/>
        <v>0</v>
      </c>
      <c r="BA640" s="133">
        <f t="shared" si="695"/>
        <v>0</v>
      </c>
      <c r="BB640" s="133">
        <f t="shared" si="695"/>
        <v>0</v>
      </c>
      <c r="BC640" s="133">
        <f t="shared" si="695"/>
        <v>0</v>
      </c>
      <c r="BD640" s="133">
        <f t="shared" si="695"/>
        <v>0</v>
      </c>
      <c r="BE640" s="133">
        <f t="shared" si="695"/>
        <v>0</v>
      </c>
      <c r="BF640" s="133">
        <f t="shared" si="695"/>
        <v>0</v>
      </c>
      <c r="BG640" s="133">
        <f t="shared" si="695"/>
        <v>0</v>
      </c>
      <c r="BH640" s="133">
        <f t="shared" si="695"/>
        <v>0</v>
      </c>
      <c r="BI640" s="133">
        <f t="shared" si="695"/>
        <v>0</v>
      </c>
      <c r="BJ640" s="133">
        <f t="shared" si="695"/>
        <v>0</v>
      </c>
      <c r="BK640" s="133">
        <f t="shared" si="695"/>
        <v>0</v>
      </c>
      <c r="BL640" s="133">
        <f t="shared" si="695"/>
        <v>0</v>
      </c>
      <c r="BM640" s="133">
        <f t="shared" si="695"/>
        <v>0</v>
      </c>
      <c r="BN640" s="133">
        <f t="shared" si="695"/>
        <v>0</v>
      </c>
      <c r="BO640" s="133">
        <f t="shared" si="695"/>
        <v>0</v>
      </c>
      <c r="BP640" s="133">
        <f t="shared" si="695"/>
        <v>0</v>
      </c>
      <c r="BQ640" s="133">
        <f t="shared" si="695"/>
        <v>0</v>
      </c>
      <c r="BR640" s="133">
        <f t="shared" si="695"/>
        <v>0</v>
      </c>
      <c r="BS640" s="133">
        <f t="shared" si="695"/>
        <v>0</v>
      </c>
      <c r="BT640" s="133">
        <f t="shared" si="695"/>
        <v>0</v>
      </c>
      <c r="BU640" s="133">
        <f t="shared" si="695"/>
        <v>0</v>
      </c>
      <c r="BV640" s="133">
        <f t="shared" si="695"/>
        <v>0</v>
      </c>
      <c r="BX640" s="133">
        <f t="shared" ref="BX640:CI640" si="696">BX$375</f>
        <v>0</v>
      </c>
      <c r="BY640" s="133">
        <f t="shared" si="696"/>
        <v>0</v>
      </c>
      <c r="BZ640" s="133">
        <f t="shared" si="696"/>
        <v>0</v>
      </c>
      <c r="CA640" s="133">
        <f t="shared" si="696"/>
        <v>0</v>
      </c>
      <c r="CB640" s="133">
        <f t="shared" si="696"/>
        <v>0</v>
      </c>
      <c r="CC640" s="133">
        <f t="shared" si="696"/>
        <v>0</v>
      </c>
      <c r="CD640" s="133">
        <f t="shared" si="696"/>
        <v>0</v>
      </c>
      <c r="CE640" s="133">
        <f t="shared" si="696"/>
        <v>0</v>
      </c>
      <c r="CF640" s="133">
        <f t="shared" si="696"/>
        <v>0</v>
      </c>
      <c r="CG640" s="133">
        <f t="shared" si="696"/>
        <v>0</v>
      </c>
      <c r="CH640" s="133">
        <f t="shared" si="696"/>
        <v>0</v>
      </c>
      <c r="CI640" s="133">
        <f t="shared" si="696"/>
        <v>0</v>
      </c>
      <c r="CK640" s="11"/>
      <c r="CM640" s="11"/>
      <c r="DF640" s="11"/>
      <c r="EY640" s="10" t="str">
        <f t="shared" si="670"/>
        <v/>
      </c>
    </row>
    <row r="641" spans="1:155" x14ac:dyDescent="0.35">
      <c r="B641" s="69" t="str" cm="1">
        <f t="array" aca="1" ref="B641" ca="1">HYPERLINK(CONCATENATE("#",CELL("address",$D$379)),$D$379)</f>
        <v>Loan 18</v>
      </c>
      <c r="C641" s="211"/>
      <c r="D641" s="49">
        <f>D$30</f>
        <v>0</v>
      </c>
      <c r="E641" s="49" t="str">
        <f>F$30</f>
        <v/>
      </c>
      <c r="F641" s="49"/>
      <c r="H641" s="9" t="s">
        <v>1074</v>
      </c>
      <c r="I641" s="40" t="s">
        <v>665</v>
      </c>
      <c r="V641" s="133">
        <f>V$394</f>
        <v>0</v>
      </c>
      <c r="W641" s="133">
        <f>W$394</f>
        <v>0</v>
      </c>
      <c r="X641" s="133">
        <f>X$394</f>
        <v>0</v>
      </c>
      <c r="Y641" s="133">
        <f>Y$394</f>
        <v>0</v>
      </c>
      <c r="AA641" s="133">
        <f t="shared" ref="AA641:BV641" si="697">AA$394</f>
        <v>0</v>
      </c>
      <c r="AB641" s="133">
        <f t="shared" si="697"/>
        <v>0</v>
      </c>
      <c r="AC641" s="133">
        <f t="shared" si="697"/>
        <v>0</v>
      </c>
      <c r="AD641" s="133">
        <f t="shared" si="697"/>
        <v>0</v>
      </c>
      <c r="AE641" s="133">
        <f t="shared" si="697"/>
        <v>0</v>
      </c>
      <c r="AF641" s="133">
        <f t="shared" si="697"/>
        <v>0</v>
      </c>
      <c r="AG641" s="133">
        <f t="shared" si="697"/>
        <v>0</v>
      </c>
      <c r="AH641" s="133">
        <f t="shared" si="697"/>
        <v>0</v>
      </c>
      <c r="AI641" s="133">
        <f t="shared" si="697"/>
        <v>0</v>
      </c>
      <c r="AJ641" s="133">
        <f t="shared" si="697"/>
        <v>0</v>
      </c>
      <c r="AK641" s="133">
        <f t="shared" si="697"/>
        <v>0</v>
      </c>
      <c r="AL641" s="133">
        <f t="shared" si="697"/>
        <v>0</v>
      </c>
      <c r="AM641" s="133">
        <f t="shared" si="697"/>
        <v>0</v>
      </c>
      <c r="AN641" s="133">
        <f t="shared" si="697"/>
        <v>0</v>
      </c>
      <c r="AO641" s="133">
        <f t="shared" si="697"/>
        <v>0</v>
      </c>
      <c r="AP641" s="133">
        <f t="shared" si="697"/>
        <v>0</v>
      </c>
      <c r="AQ641" s="133">
        <f t="shared" si="697"/>
        <v>0</v>
      </c>
      <c r="AR641" s="133">
        <f t="shared" si="697"/>
        <v>0</v>
      </c>
      <c r="AS641" s="133">
        <f t="shared" si="697"/>
        <v>0</v>
      </c>
      <c r="AT641" s="133">
        <f t="shared" si="697"/>
        <v>0</v>
      </c>
      <c r="AU641" s="133">
        <f t="shared" si="697"/>
        <v>0</v>
      </c>
      <c r="AV641" s="133">
        <f t="shared" si="697"/>
        <v>0</v>
      </c>
      <c r="AW641" s="133">
        <f t="shared" si="697"/>
        <v>0</v>
      </c>
      <c r="AX641" s="133">
        <f t="shared" si="697"/>
        <v>0</v>
      </c>
      <c r="AY641" s="133">
        <f t="shared" si="697"/>
        <v>0</v>
      </c>
      <c r="AZ641" s="133">
        <f t="shared" si="697"/>
        <v>0</v>
      </c>
      <c r="BA641" s="133">
        <f t="shared" si="697"/>
        <v>0</v>
      </c>
      <c r="BB641" s="133">
        <f t="shared" si="697"/>
        <v>0</v>
      </c>
      <c r="BC641" s="133">
        <f t="shared" si="697"/>
        <v>0</v>
      </c>
      <c r="BD641" s="133">
        <f t="shared" si="697"/>
        <v>0</v>
      </c>
      <c r="BE641" s="133">
        <f t="shared" si="697"/>
        <v>0</v>
      </c>
      <c r="BF641" s="133">
        <f t="shared" si="697"/>
        <v>0</v>
      </c>
      <c r="BG641" s="133">
        <f t="shared" si="697"/>
        <v>0</v>
      </c>
      <c r="BH641" s="133">
        <f t="shared" si="697"/>
        <v>0</v>
      </c>
      <c r="BI641" s="133">
        <f t="shared" si="697"/>
        <v>0</v>
      </c>
      <c r="BJ641" s="133">
        <f t="shared" si="697"/>
        <v>0</v>
      </c>
      <c r="BK641" s="133">
        <f t="shared" si="697"/>
        <v>0</v>
      </c>
      <c r="BL641" s="133">
        <f t="shared" si="697"/>
        <v>0</v>
      </c>
      <c r="BM641" s="133">
        <f t="shared" si="697"/>
        <v>0</v>
      </c>
      <c r="BN641" s="133">
        <f t="shared" si="697"/>
        <v>0</v>
      </c>
      <c r="BO641" s="133">
        <f t="shared" si="697"/>
        <v>0</v>
      </c>
      <c r="BP641" s="133">
        <f t="shared" si="697"/>
        <v>0</v>
      </c>
      <c r="BQ641" s="133">
        <f t="shared" si="697"/>
        <v>0</v>
      </c>
      <c r="BR641" s="133">
        <f t="shared" si="697"/>
        <v>0</v>
      </c>
      <c r="BS641" s="133">
        <f t="shared" si="697"/>
        <v>0</v>
      </c>
      <c r="BT641" s="133">
        <f t="shared" si="697"/>
        <v>0</v>
      </c>
      <c r="BU641" s="133">
        <f t="shared" si="697"/>
        <v>0</v>
      </c>
      <c r="BV641" s="133">
        <f t="shared" si="697"/>
        <v>0</v>
      </c>
      <c r="BX641" s="133">
        <f t="shared" ref="BX641:CI641" si="698">BX$394</f>
        <v>0</v>
      </c>
      <c r="BY641" s="133">
        <f t="shared" si="698"/>
        <v>0</v>
      </c>
      <c r="BZ641" s="133">
        <f t="shared" si="698"/>
        <v>0</v>
      </c>
      <c r="CA641" s="133">
        <f t="shared" si="698"/>
        <v>0</v>
      </c>
      <c r="CB641" s="133">
        <f t="shared" si="698"/>
        <v>0</v>
      </c>
      <c r="CC641" s="133">
        <f t="shared" si="698"/>
        <v>0</v>
      </c>
      <c r="CD641" s="133">
        <f t="shared" si="698"/>
        <v>0</v>
      </c>
      <c r="CE641" s="133">
        <f t="shared" si="698"/>
        <v>0</v>
      </c>
      <c r="CF641" s="133">
        <f t="shared" si="698"/>
        <v>0</v>
      </c>
      <c r="CG641" s="133">
        <f t="shared" si="698"/>
        <v>0</v>
      </c>
      <c r="CH641" s="133">
        <f t="shared" si="698"/>
        <v>0</v>
      </c>
      <c r="CI641" s="133">
        <f t="shared" si="698"/>
        <v>0</v>
      </c>
      <c r="CK641" s="11"/>
      <c r="CM641" s="11"/>
      <c r="DF641" s="11"/>
      <c r="EY641" s="10" t="str">
        <f t="shared" si="670"/>
        <v/>
      </c>
    </row>
    <row r="642" spans="1:155" x14ac:dyDescent="0.35">
      <c r="B642" s="69" t="str" cm="1">
        <f t="array" aca="1" ref="B642" ca="1">HYPERLINK(CONCATENATE("#",CELL("address",$D$398)),$D$398)</f>
        <v>Loan 19</v>
      </c>
      <c r="C642" s="211"/>
      <c r="D642" s="49">
        <f>D$31</f>
        <v>0</v>
      </c>
      <c r="E642" s="49" t="str">
        <f>F$31</f>
        <v/>
      </c>
      <c r="F642" s="49"/>
      <c r="H642" s="9" t="s">
        <v>1074</v>
      </c>
      <c r="I642" s="40" t="s">
        <v>665</v>
      </c>
      <c r="V642" s="133">
        <f>V$413</f>
        <v>0</v>
      </c>
      <c r="W642" s="133">
        <f>W$413</f>
        <v>0</v>
      </c>
      <c r="X642" s="133">
        <f>X$413</f>
        <v>0</v>
      </c>
      <c r="Y642" s="133">
        <f>Y$413</f>
        <v>0</v>
      </c>
      <c r="AA642" s="133">
        <f t="shared" ref="AA642:BV642" si="699">AA$413</f>
        <v>0</v>
      </c>
      <c r="AB642" s="133">
        <f t="shared" si="699"/>
        <v>0</v>
      </c>
      <c r="AC642" s="133">
        <f t="shared" si="699"/>
        <v>0</v>
      </c>
      <c r="AD642" s="133">
        <f t="shared" si="699"/>
        <v>0</v>
      </c>
      <c r="AE642" s="133">
        <f t="shared" si="699"/>
        <v>0</v>
      </c>
      <c r="AF642" s="133">
        <f t="shared" si="699"/>
        <v>0</v>
      </c>
      <c r="AG642" s="133">
        <f t="shared" si="699"/>
        <v>0</v>
      </c>
      <c r="AH642" s="133">
        <f t="shared" si="699"/>
        <v>0</v>
      </c>
      <c r="AI642" s="133">
        <f t="shared" si="699"/>
        <v>0</v>
      </c>
      <c r="AJ642" s="133">
        <f t="shared" si="699"/>
        <v>0</v>
      </c>
      <c r="AK642" s="133">
        <f t="shared" si="699"/>
        <v>0</v>
      </c>
      <c r="AL642" s="133">
        <f t="shared" si="699"/>
        <v>0</v>
      </c>
      <c r="AM642" s="133">
        <f t="shared" si="699"/>
        <v>0</v>
      </c>
      <c r="AN642" s="133">
        <f t="shared" si="699"/>
        <v>0</v>
      </c>
      <c r="AO642" s="133">
        <f t="shared" si="699"/>
        <v>0</v>
      </c>
      <c r="AP642" s="133">
        <f t="shared" si="699"/>
        <v>0</v>
      </c>
      <c r="AQ642" s="133">
        <f t="shared" si="699"/>
        <v>0</v>
      </c>
      <c r="AR642" s="133">
        <f t="shared" si="699"/>
        <v>0</v>
      </c>
      <c r="AS642" s="133">
        <f t="shared" si="699"/>
        <v>0</v>
      </c>
      <c r="AT642" s="133">
        <f t="shared" si="699"/>
        <v>0</v>
      </c>
      <c r="AU642" s="133">
        <f t="shared" si="699"/>
        <v>0</v>
      </c>
      <c r="AV642" s="133">
        <f t="shared" si="699"/>
        <v>0</v>
      </c>
      <c r="AW642" s="133">
        <f t="shared" si="699"/>
        <v>0</v>
      </c>
      <c r="AX642" s="133">
        <f t="shared" si="699"/>
        <v>0</v>
      </c>
      <c r="AY642" s="133">
        <f t="shared" si="699"/>
        <v>0</v>
      </c>
      <c r="AZ642" s="133">
        <f t="shared" si="699"/>
        <v>0</v>
      </c>
      <c r="BA642" s="133">
        <f t="shared" si="699"/>
        <v>0</v>
      </c>
      <c r="BB642" s="133">
        <f t="shared" si="699"/>
        <v>0</v>
      </c>
      <c r="BC642" s="133">
        <f t="shared" si="699"/>
        <v>0</v>
      </c>
      <c r="BD642" s="133">
        <f t="shared" si="699"/>
        <v>0</v>
      </c>
      <c r="BE642" s="133">
        <f t="shared" si="699"/>
        <v>0</v>
      </c>
      <c r="BF642" s="133">
        <f t="shared" si="699"/>
        <v>0</v>
      </c>
      <c r="BG642" s="133">
        <f t="shared" si="699"/>
        <v>0</v>
      </c>
      <c r="BH642" s="133">
        <f t="shared" si="699"/>
        <v>0</v>
      </c>
      <c r="BI642" s="133">
        <f t="shared" si="699"/>
        <v>0</v>
      </c>
      <c r="BJ642" s="133">
        <f t="shared" si="699"/>
        <v>0</v>
      </c>
      <c r="BK642" s="133">
        <f t="shared" si="699"/>
        <v>0</v>
      </c>
      <c r="BL642" s="133">
        <f t="shared" si="699"/>
        <v>0</v>
      </c>
      <c r="BM642" s="133">
        <f t="shared" si="699"/>
        <v>0</v>
      </c>
      <c r="BN642" s="133">
        <f t="shared" si="699"/>
        <v>0</v>
      </c>
      <c r="BO642" s="133">
        <f t="shared" si="699"/>
        <v>0</v>
      </c>
      <c r="BP642" s="133">
        <f t="shared" si="699"/>
        <v>0</v>
      </c>
      <c r="BQ642" s="133">
        <f t="shared" si="699"/>
        <v>0</v>
      </c>
      <c r="BR642" s="133">
        <f t="shared" si="699"/>
        <v>0</v>
      </c>
      <c r="BS642" s="133">
        <f t="shared" si="699"/>
        <v>0</v>
      </c>
      <c r="BT642" s="133">
        <f t="shared" si="699"/>
        <v>0</v>
      </c>
      <c r="BU642" s="133">
        <f t="shared" si="699"/>
        <v>0</v>
      </c>
      <c r="BV642" s="133">
        <f t="shared" si="699"/>
        <v>0</v>
      </c>
      <c r="BX642" s="133">
        <f t="shared" ref="BX642:CI642" si="700">BX$413</f>
        <v>0</v>
      </c>
      <c r="BY642" s="133">
        <f t="shared" si="700"/>
        <v>0</v>
      </c>
      <c r="BZ642" s="133">
        <f t="shared" si="700"/>
        <v>0</v>
      </c>
      <c r="CA642" s="133">
        <f t="shared" si="700"/>
        <v>0</v>
      </c>
      <c r="CB642" s="133">
        <f t="shared" si="700"/>
        <v>0</v>
      </c>
      <c r="CC642" s="133">
        <f t="shared" si="700"/>
        <v>0</v>
      </c>
      <c r="CD642" s="133">
        <f t="shared" si="700"/>
        <v>0</v>
      </c>
      <c r="CE642" s="133">
        <f t="shared" si="700"/>
        <v>0</v>
      </c>
      <c r="CF642" s="133">
        <f t="shared" si="700"/>
        <v>0</v>
      </c>
      <c r="CG642" s="133">
        <f t="shared" si="700"/>
        <v>0</v>
      </c>
      <c r="CH642" s="133">
        <f t="shared" si="700"/>
        <v>0</v>
      </c>
      <c r="CI642" s="133">
        <f t="shared" si="700"/>
        <v>0</v>
      </c>
      <c r="CK642" s="11"/>
      <c r="CM642" s="11"/>
      <c r="DF642" s="11"/>
      <c r="EY642" s="10" t="str">
        <f t="shared" si="670"/>
        <v/>
      </c>
    </row>
    <row r="643" spans="1:155" x14ac:dyDescent="0.35">
      <c r="B643" s="69" t="str" cm="1">
        <f t="array" aca="1" ref="B643" ca="1">HYPERLINK(CONCATENATE("#",CELL("address",$D$417)),$D$417)</f>
        <v>Loan 20</v>
      </c>
      <c r="C643" s="211"/>
      <c r="D643" s="49">
        <f>D$32</f>
        <v>0</v>
      </c>
      <c r="E643" s="49" t="str">
        <f>F$32</f>
        <v/>
      </c>
      <c r="F643" s="49"/>
      <c r="H643" s="9" t="s">
        <v>1074</v>
      </c>
      <c r="I643" s="40" t="s">
        <v>665</v>
      </c>
      <c r="V643" s="133">
        <f>V$432</f>
        <v>0</v>
      </c>
      <c r="W643" s="133">
        <f>W$432</f>
        <v>0</v>
      </c>
      <c r="X643" s="133">
        <f>X$432</f>
        <v>0</v>
      </c>
      <c r="Y643" s="133">
        <f>Y$432</f>
        <v>0</v>
      </c>
      <c r="AA643" s="133">
        <f t="shared" ref="AA643:BV643" si="701">AA$432</f>
        <v>0</v>
      </c>
      <c r="AB643" s="133">
        <f t="shared" si="701"/>
        <v>0</v>
      </c>
      <c r="AC643" s="133">
        <f t="shared" si="701"/>
        <v>0</v>
      </c>
      <c r="AD643" s="133">
        <f t="shared" si="701"/>
        <v>0</v>
      </c>
      <c r="AE643" s="133">
        <f t="shared" si="701"/>
        <v>0</v>
      </c>
      <c r="AF643" s="133">
        <f t="shared" si="701"/>
        <v>0</v>
      </c>
      <c r="AG643" s="133">
        <f t="shared" si="701"/>
        <v>0</v>
      </c>
      <c r="AH643" s="133">
        <f t="shared" si="701"/>
        <v>0</v>
      </c>
      <c r="AI643" s="133">
        <f t="shared" si="701"/>
        <v>0</v>
      </c>
      <c r="AJ643" s="133">
        <f t="shared" si="701"/>
        <v>0</v>
      </c>
      <c r="AK643" s="133">
        <f t="shared" si="701"/>
        <v>0</v>
      </c>
      <c r="AL643" s="133">
        <f t="shared" si="701"/>
        <v>0</v>
      </c>
      <c r="AM643" s="133">
        <f t="shared" si="701"/>
        <v>0</v>
      </c>
      <c r="AN643" s="133">
        <f t="shared" si="701"/>
        <v>0</v>
      </c>
      <c r="AO643" s="133">
        <f t="shared" si="701"/>
        <v>0</v>
      </c>
      <c r="AP643" s="133">
        <f t="shared" si="701"/>
        <v>0</v>
      </c>
      <c r="AQ643" s="133">
        <f t="shared" si="701"/>
        <v>0</v>
      </c>
      <c r="AR643" s="133">
        <f t="shared" si="701"/>
        <v>0</v>
      </c>
      <c r="AS643" s="133">
        <f t="shared" si="701"/>
        <v>0</v>
      </c>
      <c r="AT643" s="133">
        <f t="shared" si="701"/>
        <v>0</v>
      </c>
      <c r="AU643" s="133">
        <f t="shared" si="701"/>
        <v>0</v>
      </c>
      <c r="AV643" s="133">
        <f t="shared" si="701"/>
        <v>0</v>
      </c>
      <c r="AW643" s="133">
        <f t="shared" si="701"/>
        <v>0</v>
      </c>
      <c r="AX643" s="133">
        <f t="shared" si="701"/>
        <v>0</v>
      </c>
      <c r="AY643" s="133">
        <f t="shared" si="701"/>
        <v>0</v>
      </c>
      <c r="AZ643" s="133">
        <f t="shared" si="701"/>
        <v>0</v>
      </c>
      <c r="BA643" s="133">
        <f t="shared" si="701"/>
        <v>0</v>
      </c>
      <c r="BB643" s="133">
        <f t="shared" si="701"/>
        <v>0</v>
      </c>
      <c r="BC643" s="133">
        <f t="shared" si="701"/>
        <v>0</v>
      </c>
      <c r="BD643" s="133">
        <f t="shared" si="701"/>
        <v>0</v>
      </c>
      <c r="BE643" s="133">
        <f t="shared" si="701"/>
        <v>0</v>
      </c>
      <c r="BF643" s="133">
        <f t="shared" si="701"/>
        <v>0</v>
      </c>
      <c r="BG643" s="133">
        <f t="shared" si="701"/>
        <v>0</v>
      </c>
      <c r="BH643" s="133">
        <f t="shared" si="701"/>
        <v>0</v>
      </c>
      <c r="BI643" s="133">
        <f t="shared" si="701"/>
        <v>0</v>
      </c>
      <c r="BJ643" s="133">
        <f t="shared" si="701"/>
        <v>0</v>
      </c>
      <c r="BK643" s="133">
        <f t="shared" si="701"/>
        <v>0</v>
      </c>
      <c r="BL643" s="133">
        <f t="shared" si="701"/>
        <v>0</v>
      </c>
      <c r="BM643" s="133">
        <f t="shared" si="701"/>
        <v>0</v>
      </c>
      <c r="BN643" s="133">
        <f t="shared" si="701"/>
        <v>0</v>
      </c>
      <c r="BO643" s="133">
        <f t="shared" si="701"/>
        <v>0</v>
      </c>
      <c r="BP643" s="133">
        <f t="shared" si="701"/>
        <v>0</v>
      </c>
      <c r="BQ643" s="133">
        <f t="shared" si="701"/>
        <v>0</v>
      </c>
      <c r="BR643" s="133">
        <f t="shared" si="701"/>
        <v>0</v>
      </c>
      <c r="BS643" s="133">
        <f t="shared" si="701"/>
        <v>0</v>
      </c>
      <c r="BT643" s="133">
        <f t="shared" si="701"/>
        <v>0</v>
      </c>
      <c r="BU643" s="133">
        <f t="shared" si="701"/>
        <v>0</v>
      </c>
      <c r="BV643" s="133">
        <f t="shared" si="701"/>
        <v>0</v>
      </c>
      <c r="BX643" s="133">
        <f t="shared" ref="BX643:CI643" si="702">BX$432</f>
        <v>0</v>
      </c>
      <c r="BY643" s="133">
        <f t="shared" si="702"/>
        <v>0</v>
      </c>
      <c r="BZ643" s="133">
        <f t="shared" si="702"/>
        <v>0</v>
      </c>
      <c r="CA643" s="133">
        <f t="shared" si="702"/>
        <v>0</v>
      </c>
      <c r="CB643" s="133">
        <f t="shared" si="702"/>
        <v>0</v>
      </c>
      <c r="CC643" s="133">
        <f t="shared" si="702"/>
        <v>0</v>
      </c>
      <c r="CD643" s="133">
        <f t="shared" si="702"/>
        <v>0</v>
      </c>
      <c r="CE643" s="133">
        <f t="shared" si="702"/>
        <v>0</v>
      </c>
      <c r="CF643" s="133">
        <f t="shared" si="702"/>
        <v>0</v>
      </c>
      <c r="CG643" s="133">
        <f t="shared" si="702"/>
        <v>0</v>
      </c>
      <c r="CH643" s="133">
        <f t="shared" si="702"/>
        <v>0</v>
      </c>
      <c r="CI643" s="133">
        <f t="shared" si="702"/>
        <v>0</v>
      </c>
      <c r="CK643" s="11"/>
      <c r="CM643" s="11"/>
      <c r="DF643" s="11"/>
      <c r="EY643" s="10" t="str">
        <f t="shared" si="670"/>
        <v/>
      </c>
    </row>
    <row r="644" spans="1:155" ht="6.75" customHeight="1" x14ac:dyDescent="0.35">
      <c r="B644" s="119"/>
      <c r="C644" s="211"/>
      <c r="D644" s="1"/>
      <c r="E644"/>
      <c r="F644"/>
      <c r="BY644" s="6"/>
      <c r="CK644" s="35"/>
      <c r="CM644" s="35"/>
      <c r="DF644" s="35"/>
      <c r="EY644" s="10" t="str">
        <f t="shared" si="670"/>
        <v/>
      </c>
    </row>
    <row r="645" spans="1:155" x14ac:dyDescent="0.35">
      <c r="A645" s="220" cm="1">
        <f t="array" aca="1" ref="A645" ca="1">HYPERLINK(CONCATENATE("#",CELL("address",IF(MAX($CM645:$DF645)=0,A645,INDEX($CM645:$DF645,MATCH(1,$CM645:$DF645,0))))),MAX($CM645:$DF645))</f>
        <v>0</v>
      </c>
      <c r="B645" s="119"/>
      <c r="C645" s="211"/>
      <c r="D645" t="s">
        <v>1231</v>
      </c>
      <c r="E645"/>
      <c r="F645"/>
      <c r="V645" s="125">
        <f>ROUND(SUM(V440:V643)-SUM(V57:V432) +SUMPRODUCT(V57:V432, $DG$57:$DG$432), rounding)</f>
        <v>0</v>
      </c>
      <c r="W645" s="125">
        <f>ROUND(SUM(W440:W643)-SUM(W57:W432) +SUMPRODUCT(W57:W432, $DG$57:$DG$432), rounding)</f>
        <v>0</v>
      </c>
      <c r="X645" s="125">
        <f>ROUND(SUM(X440:X643)-SUM(X57:X432) +SUMPRODUCT(X57:X432, $DG$57:$DG$432), rounding)</f>
        <v>0</v>
      </c>
      <c r="Y645" s="125">
        <f>ROUND(SUM(Y440:Y643)-SUM(Y57:Y432) +SUMPRODUCT(Y57:Y432, $DG$57:$DG$432), rounding)</f>
        <v>0</v>
      </c>
      <c r="AA645" s="125">
        <f t="shared" ref="AA645:BV645" si="703">ROUND(SUM(AA440:AA643)-SUM(AA57:AA432) +SUMPRODUCT(AA57:AA432, $DG$57:$DG$432), rounding)</f>
        <v>0</v>
      </c>
      <c r="AB645" s="125">
        <f t="shared" si="703"/>
        <v>0</v>
      </c>
      <c r="AC645" s="125">
        <f t="shared" si="703"/>
        <v>0</v>
      </c>
      <c r="AD645" s="125">
        <f t="shared" si="703"/>
        <v>0</v>
      </c>
      <c r="AE645" s="125">
        <f t="shared" si="703"/>
        <v>0</v>
      </c>
      <c r="AF645" s="125">
        <f t="shared" si="703"/>
        <v>0</v>
      </c>
      <c r="AG645" s="125">
        <f t="shared" si="703"/>
        <v>0</v>
      </c>
      <c r="AH645" s="125">
        <f t="shared" si="703"/>
        <v>0</v>
      </c>
      <c r="AI645" s="125">
        <f t="shared" si="703"/>
        <v>0</v>
      </c>
      <c r="AJ645" s="125">
        <f t="shared" si="703"/>
        <v>0</v>
      </c>
      <c r="AK645" s="125">
        <f t="shared" si="703"/>
        <v>0</v>
      </c>
      <c r="AL645" s="125">
        <f t="shared" si="703"/>
        <v>0</v>
      </c>
      <c r="AM645" s="125">
        <f t="shared" si="703"/>
        <v>0</v>
      </c>
      <c r="AN645" s="125">
        <f t="shared" si="703"/>
        <v>0</v>
      </c>
      <c r="AO645" s="125">
        <f t="shared" si="703"/>
        <v>0</v>
      </c>
      <c r="AP645" s="125">
        <f t="shared" si="703"/>
        <v>0</v>
      </c>
      <c r="AQ645" s="125">
        <f t="shared" si="703"/>
        <v>0</v>
      </c>
      <c r="AR645" s="125">
        <f t="shared" si="703"/>
        <v>0</v>
      </c>
      <c r="AS645" s="125">
        <f t="shared" si="703"/>
        <v>0</v>
      </c>
      <c r="AT645" s="125">
        <f t="shared" si="703"/>
        <v>0</v>
      </c>
      <c r="AU645" s="125">
        <f t="shared" si="703"/>
        <v>0</v>
      </c>
      <c r="AV645" s="125">
        <f t="shared" si="703"/>
        <v>0</v>
      </c>
      <c r="AW645" s="125">
        <f t="shared" si="703"/>
        <v>0</v>
      </c>
      <c r="AX645" s="125">
        <f t="shared" si="703"/>
        <v>0</v>
      </c>
      <c r="AY645" s="125">
        <f t="shared" si="703"/>
        <v>0</v>
      </c>
      <c r="AZ645" s="125">
        <f t="shared" si="703"/>
        <v>0</v>
      </c>
      <c r="BA645" s="125">
        <f t="shared" si="703"/>
        <v>0</v>
      </c>
      <c r="BB645" s="125">
        <f t="shared" si="703"/>
        <v>0</v>
      </c>
      <c r="BC645" s="125">
        <f t="shared" si="703"/>
        <v>0</v>
      </c>
      <c r="BD645" s="125">
        <f t="shared" si="703"/>
        <v>0</v>
      </c>
      <c r="BE645" s="125">
        <f t="shared" si="703"/>
        <v>0</v>
      </c>
      <c r="BF645" s="125">
        <f t="shared" si="703"/>
        <v>0</v>
      </c>
      <c r="BG645" s="125">
        <f t="shared" si="703"/>
        <v>0</v>
      </c>
      <c r="BH645" s="125">
        <f t="shared" si="703"/>
        <v>0</v>
      </c>
      <c r="BI645" s="125">
        <f t="shared" si="703"/>
        <v>0</v>
      </c>
      <c r="BJ645" s="125">
        <f t="shared" si="703"/>
        <v>0</v>
      </c>
      <c r="BK645" s="125">
        <f t="shared" si="703"/>
        <v>0</v>
      </c>
      <c r="BL645" s="125">
        <f t="shared" si="703"/>
        <v>0</v>
      </c>
      <c r="BM645" s="125">
        <f t="shared" si="703"/>
        <v>0</v>
      </c>
      <c r="BN645" s="125">
        <f t="shared" si="703"/>
        <v>0</v>
      </c>
      <c r="BO645" s="125">
        <f t="shared" si="703"/>
        <v>0</v>
      </c>
      <c r="BP645" s="125">
        <f t="shared" si="703"/>
        <v>0</v>
      </c>
      <c r="BQ645" s="125">
        <f t="shared" si="703"/>
        <v>0</v>
      </c>
      <c r="BR645" s="125">
        <f t="shared" si="703"/>
        <v>0</v>
      </c>
      <c r="BS645" s="125">
        <f t="shared" si="703"/>
        <v>0</v>
      </c>
      <c r="BT645" s="125">
        <f t="shared" si="703"/>
        <v>0</v>
      </c>
      <c r="BU645" s="125">
        <f t="shared" si="703"/>
        <v>0</v>
      </c>
      <c r="BV645" s="125">
        <f t="shared" si="703"/>
        <v>0</v>
      </c>
      <c r="BX645" s="125">
        <f t="shared" ref="BX645:CI645" si="704">ROUND(SUM(BX440:BX643)-SUM(BX57:BX432) +SUMPRODUCT(BX57:BX432, $DG$57:$DG$432), rounding)</f>
        <v>0</v>
      </c>
      <c r="BY645" s="125">
        <f t="shared" si="704"/>
        <v>0</v>
      </c>
      <c r="BZ645" s="125">
        <f t="shared" si="704"/>
        <v>0</v>
      </c>
      <c r="CA645" s="125">
        <f t="shared" si="704"/>
        <v>0</v>
      </c>
      <c r="CB645" s="125">
        <f t="shared" si="704"/>
        <v>0</v>
      </c>
      <c r="CC645" s="125">
        <f t="shared" si="704"/>
        <v>0</v>
      </c>
      <c r="CD645" s="125">
        <f t="shared" si="704"/>
        <v>0</v>
      </c>
      <c r="CE645" s="125">
        <f t="shared" si="704"/>
        <v>0</v>
      </c>
      <c r="CF645" s="125">
        <f t="shared" si="704"/>
        <v>0</v>
      </c>
      <c r="CG645" s="125">
        <f t="shared" si="704"/>
        <v>0</v>
      </c>
      <c r="CH645" s="125">
        <f t="shared" si="704"/>
        <v>0</v>
      </c>
      <c r="CI645" s="125">
        <f t="shared" si="704"/>
        <v>0</v>
      </c>
      <c r="CK645" s="11"/>
      <c r="CM645" s="11"/>
      <c r="DE645" s="7">
        <f>IF(SUM(V645:CI645)=0, 0, 1)</f>
        <v>0</v>
      </c>
      <c r="DF645" s="11"/>
      <c r="EY645" s="10" t="str">
        <f t="shared" si="670"/>
        <v/>
      </c>
    </row>
    <row r="646" spans="1:155" ht="6.75" customHeight="1" x14ac:dyDescent="0.35">
      <c r="C646" s="211"/>
      <c r="D646" s="1"/>
      <c r="E646"/>
      <c r="F646"/>
      <c r="BY646" s="6"/>
      <c r="CK646" s="35"/>
      <c r="CM646" s="35"/>
      <c r="DF646" s="35"/>
      <c r="EY646" s="10" t="str">
        <f t="shared" si="670"/>
        <v/>
      </c>
    </row>
    <row r="647" spans="1:155" x14ac:dyDescent="0.35">
      <c r="C647" s="211"/>
      <c r="D647" s="50" t="s">
        <v>1232</v>
      </c>
      <c r="E647"/>
      <c r="F647"/>
      <c r="CK647" s="11"/>
      <c r="CM647" s="11"/>
      <c r="DF647" s="11"/>
      <c r="EY647" s="10" t="str">
        <f t="shared" si="670"/>
        <v/>
      </c>
    </row>
    <row r="648" spans="1:155" ht="29" x14ac:dyDescent="0.35">
      <c r="B648" s="107" t="s">
        <v>1229</v>
      </c>
      <c r="C648" s="211"/>
      <c r="D648" s="107" t="str">
        <f>D$11</f>
        <v>Lender</v>
      </c>
      <c r="E648" s="61" t="str">
        <f>E$11</f>
        <v>Loan Category</v>
      </c>
      <c r="F648" s="61"/>
      <c r="G648" s="57" t="s">
        <v>1233</v>
      </c>
      <c r="H648" s="57" t="s">
        <v>1234</v>
      </c>
      <c r="CK648" s="11"/>
      <c r="CM648" s="11"/>
      <c r="DF648" s="11"/>
      <c r="EY648" s="10" t="str">
        <f t="shared" si="670"/>
        <v/>
      </c>
    </row>
    <row r="649" spans="1:155" x14ac:dyDescent="0.35">
      <c r="B649" s="69" t="str" cm="1">
        <f t="array" aca="1" ref="B649" ca="1">HYPERLINK(CONCATENATE("#",CELL("address",$D$56)),$D$56)</f>
        <v>Loan 1</v>
      </c>
      <c r="C649" s="211"/>
      <c r="D649" s="49">
        <f>D$13</f>
        <v>0</v>
      </c>
      <c r="E649" s="49" t="str">
        <f>F$13</f>
        <v/>
      </c>
      <c r="F649" s="49"/>
      <c r="G649" s="134">
        <f t="shared" ref="G649:G668" si="705">M13</f>
        <v>0</v>
      </c>
      <c r="H649" s="133">
        <f>L$13</f>
        <v>0</v>
      </c>
      <c r="I649" s="40" t="s">
        <v>1079</v>
      </c>
      <c r="J649" s="54"/>
      <c r="AA649" s="55">
        <f t="shared" ref="AA649:BV649" si="706">IF($H649=0, $G649, AA13)</f>
        <v>0</v>
      </c>
      <c r="AB649" s="55">
        <f t="shared" si="706"/>
        <v>0</v>
      </c>
      <c r="AC649" s="55">
        <f t="shared" si="706"/>
        <v>0</v>
      </c>
      <c r="AD649" s="55">
        <f t="shared" si="706"/>
        <v>0</v>
      </c>
      <c r="AE649" s="55">
        <f t="shared" si="706"/>
        <v>0</v>
      </c>
      <c r="AF649" s="55">
        <f t="shared" si="706"/>
        <v>0</v>
      </c>
      <c r="AG649" s="55">
        <f t="shared" si="706"/>
        <v>0</v>
      </c>
      <c r="AH649" s="55">
        <f t="shared" si="706"/>
        <v>0</v>
      </c>
      <c r="AI649" s="134">
        <f t="shared" si="706"/>
        <v>0</v>
      </c>
      <c r="AJ649" s="55">
        <f t="shared" si="706"/>
        <v>0</v>
      </c>
      <c r="AK649" s="55">
        <f t="shared" si="706"/>
        <v>0</v>
      </c>
      <c r="AL649" s="55">
        <f t="shared" si="706"/>
        <v>0</v>
      </c>
      <c r="AM649" s="134">
        <f t="shared" si="706"/>
        <v>0</v>
      </c>
      <c r="AN649" s="55">
        <f t="shared" si="706"/>
        <v>0</v>
      </c>
      <c r="AO649" s="55">
        <f t="shared" si="706"/>
        <v>0</v>
      </c>
      <c r="AP649" s="55">
        <f t="shared" si="706"/>
        <v>0</v>
      </c>
      <c r="AQ649" s="55">
        <f t="shared" si="706"/>
        <v>0</v>
      </c>
      <c r="AR649" s="55">
        <f t="shared" si="706"/>
        <v>0</v>
      </c>
      <c r="AS649" s="55">
        <f t="shared" si="706"/>
        <v>0</v>
      </c>
      <c r="AT649" s="55">
        <f t="shared" si="706"/>
        <v>0</v>
      </c>
      <c r="AU649" s="55">
        <f t="shared" si="706"/>
        <v>0</v>
      </c>
      <c r="AV649" s="55">
        <f t="shared" si="706"/>
        <v>0</v>
      </c>
      <c r="AW649" s="55">
        <f t="shared" si="706"/>
        <v>0</v>
      </c>
      <c r="AX649" s="55">
        <f t="shared" si="706"/>
        <v>0</v>
      </c>
      <c r="AY649" s="55">
        <f t="shared" si="706"/>
        <v>0</v>
      </c>
      <c r="AZ649" s="55">
        <f t="shared" si="706"/>
        <v>0</v>
      </c>
      <c r="BA649" s="55">
        <f t="shared" si="706"/>
        <v>0</v>
      </c>
      <c r="BB649" s="55">
        <f t="shared" si="706"/>
        <v>0</v>
      </c>
      <c r="BC649" s="55">
        <f t="shared" si="706"/>
        <v>0</v>
      </c>
      <c r="BD649" s="55">
        <f t="shared" si="706"/>
        <v>0</v>
      </c>
      <c r="BE649" s="55">
        <f t="shared" si="706"/>
        <v>0</v>
      </c>
      <c r="BF649" s="55">
        <f t="shared" si="706"/>
        <v>0</v>
      </c>
      <c r="BG649" s="55">
        <f t="shared" si="706"/>
        <v>0</v>
      </c>
      <c r="BH649" s="55">
        <f t="shared" si="706"/>
        <v>0</v>
      </c>
      <c r="BI649" s="55">
        <f t="shared" si="706"/>
        <v>0</v>
      </c>
      <c r="BJ649" s="55">
        <f t="shared" si="706"/>
        <v>0</v>
      </c>
      <c r="BK649" s="55">
        <f t="shared" si="706"/>
        <v>0</v>
      </c>
      <c r="BL649" s="55">
        <f t="shared" si="706"/>
        <v>0</v>
      </c>
      <c r="BM649" s="55">
        <f t="shared" si="706"/>
        <v>0</v>
      </c>
      <c r="BN649" s="55">
        <f t="shared" si="706"/>
        <v>0</v>
      </c>
      <c r="BO649" s="55">
        <f t="shared" si="706"/>
        <v>0</v>
      </c>
      <c r="BP649" s="55">
        <f t="shared" si="706"/>
        <v>0</v>
      </c>
      <c r="BQ649" s="55">
        <f t="shared" si="706"/>
        <v>0</v>
      </c>
      <c r="BR649" s="55">
        <f t="shared" si="706"/>
        <v>0</v>
      </c>
      <c r="BS649" s="55">
        <f t="shared" si="706"/>
        <v>0</v>
      </c>
      <c r="BT649" s="55">
        <f t="shared" si="706"/>
        <v>0</v>
      </c>
      <c r="BU649" s="55">
        <f t="shared" si="706"/>
        <v>0</v>
      </c>
      <c r="BV649" s="55">
        <f t="shared" si="706"/>
        <v>0</v>
      </c>
      <c r="CK649" s="11"/>
      <c r="CM649" s="11"/>
      <c r="DF649" s="11"/>
      <c r="EY649" s="10" t="str">
        <f t="shared" si="670"/>
        <v/>
      </c>
    </row>
    <row r="650" spans="1:155" x14ac:dyDescent="0.35">
      <c r="B650" s="69" t="str" cm="1">
        <f t="array" aca="1" ref="B650" ca="1">HYPERLINK(CONCATENATE("#",CELL("address",$D$75)),$D$75)</f>
        <v>Loan 2</v>
      </c>
      <c r="C650" s="211"/>
      <c r="D650" s="49">
        <f>D$14</f>
        <v>0</v>
      </c>
      <c r="E650" s="49" t="str">
        <f>F$14</f>
        <v/>
      </c>
      <c r="F650" s="49"/>
      <c r="G650" s="55">
        <f t="shared" si="705"/>
        <v>0</v>
      </c>
      <c r="H650" s="10">
        <f>L$14</f>
        <v>0</v>
      </c>
      <c r="I650" s="40" t="s">
        <v>1079</v>
      </c>
      <c r="AA650" s="55">
        <f t="shared" ref="AA650:BV650" si="707">IF($H650=0, $G650, AA14)</f>
        <v>0</v>
      </c>
      <c r="AB650" s="55">
        <f t="shared" si="707"/>
        <v>0</v>
      </c>
      <c r="AC650" s="55">
        <f t="shared" si="707"/>
        <v>0</v>
      </c>
      <c r="AD650" s="55">
        <f t="shared" si="707"/>
        <v>0</v>
      </c>
      <c r="AE650" s="55">
        <f t="shared" si="707"/>
        <v>0</v>
      </c>
      <c r="AF650" s="55">
        <f t="shared" si="707"/>
        <v>0</v>
      </c>
      <c r="AG650" s="55">
        <f t="shared" si="707"/>
        <v>0</v>
      </c>
      <c r="AH650" s="55">
        <f t="shared" si="707"/>
        <v>0</v>
      </c>
      <c r="AI650" s="55">
        <f t="shared" si="707"/>
        <v>0</v>
      </c>
      <c r="AJ650" s="55">
        <f t="shared" si="707"/>
        <v>0</v>
      </c>
      <c r="AK650" s="55">
        <f t="shared" si="707"/>
        <v>0</v>
      </c>
      <c r="AL650" s="55">
        <f t="shared" si="707"/>
        <v>0</v>
      </c>
      <c r="AM650" s="55">
        <f t="shared" si="707"/>
        <v>0</v>
      </c>
      <c r="AN650" s="55">
        <f t="shared" si="707"/>
        <v>0</v>
      </c>
      <c r="AO650" s="55">
        <f t="shared" si="707"/>
        <v>0</v>
      </c>
      <c r="AP650" s="55">
        <f t="shared" si="707"/>
        <v>0</v>
      </c>
      <c r="AQ650" s="55">
        <f t="shared" si="707"/>
        <v>0</v>
      </c>
      <c r="AR650" s="55">
        <f t="shared" si="707"/>
        <v>0</v>
      </c>
      <c r="AS650" s="55">
        <f t="shared" si="707"/>
        <v>0</v>
      </c>
      <c r="AT650" s="55">
        <f t="shared" si="707"/>
        <v>0</v>
      </c>
      <c r="AU650" s="55">
        <f t="shared" si="707"/>
        <v>0</v>
      </c>
      <c r="AV650" s="55">
        <f t="shared" si="707"/>
        <v>0</v>
      </c>
      <c r="AW650" s="55">
        <f t="shared" si="707"/>
        <v>0</v>
      </c>
      <c r="AX650" s="55">
        <f t="shared" si="707"/>
        <v>0</v>
      </c>
      <c r="AY650" s="55">
        <f t="shared" si="707"/>
        <v>0</v>
      </c>
      <c r="AZ650" s="55">
        <f t="shared" si="707"/>
        <v>0</v>
      </c>
      <c r="BA650" s="55">
        <f t="shared" si="707"/>
        <v>0</v>
      </c>
      <c r="BB650" s="55">
        <f t="shared" si="707"/>
        <v>0</v>
      </c>
      <c r="BC650" s="55">
        <f t="shared" si="707"/>
        <v>0</v>
      </c>
      <c r="BD650" s="55">
        <f t="shared" si="707"/>
        <v>0</v>
      </c>
      <c r="BE650" s="55">
        <f t="shared" si="707"/>
        <v>0</v>
      </c>
      <c r="BF650" s="55">
        <f t="shared" si="707"/>
        <v>0</v>
      </c>
      <c r="BG650" s="55">
        <f t="shared" si="707"/>
        <v>0</v>
      </c>
      <c r="BH650" s="55">
        <f t="shared" si="707"/>
        <v>0</v>
      </c>
      <c r="BI650" s="55">
        <f t="shared" si="707"/>
        <v>0</v>
      </c>
      <c r="BJ650" s="55">
        <f t="shared" si="707"/>
        <v>0</v>
      </c>
      <c r="BK650" s="55">
        <f t="shared" si="707"/>
        <v>0</v>
      </c>
      <c r="BL650" s="55">
        <f t="shared" si="707"/>
        <v>0</v>
      </c>
      <c r="BM650" s="55">
        <f t="shared" si="707"/>
        <v>0</v>
      </c>
      <c r="BN650" s="55">
        <f t="shared" si="707"/>
        <v>0</v>
      </c>
      <c r="BO650" s="55">
        <f t="shared" si="707"/>
        <v>0</v>
      </c>
      <c r="BP650" s="55">
        <f t="shared" si="707"/>
        <v>0</v>
      </c>
      <c r="BQ650" s="55">
        <f t="shared" si="707"/>
        <v>0</v>
      </c>
      <c r="BR650" s="55">
        <f t="shared" si="707"/>
        <v>0</v>
      </c>
      <c r="BS650" s="55">
        <f t="shared" si="707"/>
        <v>0</v>
      </c>
      <c r="BT650" s="55">
        <f t="shared" si="707"/>
        <v>0</v>
      </c>
      <c r="BU650" s="55">
        <f t="shared" si="707"/>
        <v>0</v>
      </c>
      <c r="BV650" s="55">
        <f t="shared" si="707"/>
        <v>0</v>
      </c>
      <c r="CK650" s="11"/>
      <c r="CM650" s="11"/>
      <c r="DF650" s="11"/>
      <c r="EY650" s="10" t="str">
        <f t="shared" si="670"/>
        <v/>
      </c>
    </row>
    <row r="651" spans="1:155" x14ac:dyDescent="0.35">
      <c r="B651" s="69" t="str" cm="1">
        <f t="array" aca="1" ref="B651" ca="1">HYPERLINK(CONCATENATE("#",CELL("address",$D$94)),$D$94)</f>
        <v>Loan 3</v>
      </c>
      <c r="C651" s="211"/>
      <c r="D651" s="49">
        <f>D$15</f>
        <v>0</v>
      </c>
      <c r="E651" s="49" t="str">
        <f>F$15</f>
        <v/>
      </c>
      <c r="F651" s="49"/>
      <c r="G651" s="55">
        <f t="shared" si="705"/>
        <v>0</v>
      </c>
      <c r="H651" s="10">
        <f>L$15</f>
        <v>0</v>
      </c>
      <c r="I651" s="40" t="s">
        <v>1079</v>
      </c>
      <c r="AA651" s="55">
        <f t="shared" ref="AA651:BV651" si="708">IF($H651=0, $G651, AA15)</f>
        <v>0</v>
      </c>
      <c r="AB651" s="55">
        <f t="shared" si="708"/>
        <v>0</v>
      </c>
      <c r="AC651" s="55">
        <f t="shared" si="708"/>
        <v>0</v>
      </c>
      <c r="AD651" s="55">
        <f t="shared" si="708"/>
        <v>0</v>
      </c>
      <c r="AE651" s="55">
        <f t="shared" si="708"/>
        <v>0</v>
      </c>
      <c r="AF651" s="55">
        <f t="shared" si="708"/>
        <v>0</v>
      </c>
      <c r="AG651" s="55">
        <f t="shared" si="708"/>
        <v>0</v>
      </c>
      <c r="AH651" s="55">
        <f t="shared" si="708"/>
        <v>0</v>
      </c>
      <c r="AI651" s="55">
        <f t="shared" si="708"/>
        <v>0</v>
      </c>
      <c r="AJ651" s="55">
        <f t="shared" si="708"/>
        <v>0</v>
      </c>
      <c r="AK651" s="55">
        <f t="shared" si="708"/>
        <v>0</v>
      </c>
      <c r="AL651" s="55">
        <f t="shared" si="708"/>
        <v>0</v>
      </c>
      <c r="AM651" s="55">
        <f t="shared" si="708"/>
        <v>0</v>
      </c>
      <c r="AN651" s="55">
        <f t="shared" si="708"/>
        <v>0</v>
      </c>
      <c r="AO651" s="55">
        <f t="shared" si="708"/>
        <v>0</v>
      </c>
      <c r="AP651" s="55">
        <f t="shared" si="708"/>
        <v>0</v>
      </c>
      <c r="AQ651" s="55">
        <f t="shared" si="708"/>
        <v>0</v>
      </c>
      <c r="AR651" s="55">
        <f t="shared" si="708"/>
        <v>0</v>
      </c>
      <c r="AS651" s="55">
        <f t="shared" si="708"/>
        <v>0</v>
      </c>
      <c r="AT651" s="55">
        <f t="shared" si="708"/>
        <v>0</v>
      </c>
      <c r="AU651" s="55">
        <f t="shared" si="708"/>
        <v>0</v>
      </c>
      <c r="AV651" s="55">
        <f t="shared" si="708"/>
        <v>0</v>
      </c>
      <c r="AW651" s="55">
        <f t="shared" si="708"/>
        <v>0</v>
      </c>
      <c r="AX651" s="55">
        <f t="shared" si="708"/>
        <v>0</v>
      </c>
      <c r="AY651" s="55">
        <f t="shared" si="708"/>
        <v>0</v>
      </c>
      <c r="AZ651" s="55">
        <f t="shared" si="708"/>
        <v>0</v>
      </c>
      <c r="BA651" s="55">
        <f t="shared" si="708"/>
        <v>0</v>
      </c>
      <c r="BB651" s="55">
        <f t="shared" si="708"/>
        <v>0</v>
      </c>
      <c r="BC651" s="55">
        <f t="shared" si="708"/>
        <v>0</v>
      </c>
      <c r="BD651" s="55">
        <f t="shared" si="708"/>
        <v>0</v>
      </c>
      <c r="BE651" s="55">
        <f t="shared" si="708"/>
        <v>0</v>
      </c>
      <c r="BF651" s="55">
        <f t="shared" si="708"/>
        <v>0</v>
      </c>
      <c r="BG651" s="55">
        <f t="shared" si="708"/>
        <v>0</v>
      </c>
      <c r="BH651" s="55">
        <f t="shared" si="708"/>
        <v>0</v>
      </c>
      <c r="BI651" s="55">
        <f t="shared" si="708"/>
        <v>0</v>
      </c>
      <c r="BJ651" s="55">
        <f t="shared" si="708"/>
        <v>0</v>
      </c>
      <c r="BK651" s="55">
        <f t="shared" si="708"/>
        <v>0</v>
      </c>
      <c r="BL651" s="55">
        <f t="shared" si="708"/>
        <v>0</v>
      </c>
      <c r="BM651" s="55">
        <f t="shared" si="708"/>
        <v>0</v>
      </c>
      <c r="BN651" s="55">
        <f t="shared" si="708"/>
        <v>0</v>
      </c>
      <c r="BO651" s="55">
        <f t="shared" si="708"/>
        <v>0</v>
      </c>
      <c r="BP651" s="55">
        <f t="shared" si="708"/>
        <v>0</v>
      </c>
      <c r="BQ651" s="55">
        <f t="shared" si="708"/>
        <v>0</v>
      </c>
      <c r="BR651" s="55">
        <f t="shared" si="708"/>
        <v>0</v>
      </c>
      <c r="BS651" s="55">
        <f t="shared" si="708"/>
        <v>0</v>
      </c>
      <c r="BT651" s="55">
        <f t="shared" si="708"/>
        <v>0</v>
      </c>
      <c r="BU651" s="55">
        <f t="shared" si="708"/>
        <v>0</v>
      </c>
      <c r="BV651" s="55">
        <f t="shared" si="708"/>
        <v>0</v>
      </c>
      <c r="CK651" s="11"/>
      <c r="CM651" s="11"/>
      <c r="DF651" s="11"/>
      <c r="EY651" s="10" t="str">
        <f t="shared" si="670"/>
        <v/>
      </c>
    </row>
    <row r="652" spans="1:155" x14ac:dyDescent="0.35">
      <c r="B652" s="69" t="str" cm="1">
        <f t="array" aca="1" ref="B652" ca="1">HYPERLINK(CONCATENATE("#",CELL("address",$D$113)),$D$113)</f>
        <v>Loan 4</v>
      </c>
      <c r="C652" s="211"/>
      <c r="D652" s="49">
        <f>D$16</f>
        <v>0</v>
      </c>
      <c r="E652" s="49" t="str">
        <f>F$16</f>
        <v/>
      </c>
      <c r="F652" s="49"/>
      <c r="G652" s="55">
        <f t="shared" si="705"/>
        <v>0</v>
      </c>
      <c r="H652" s="10">
        <f>L$16</f>
        <v>0</v>
      </c>
      <c r="I652" s="40" t="s">
        <v>1079</v>
      </c>
      <c r="AA652" s="55">
        <f t="shared" ref="AA652:BV652" si="709">IF($H652=0, $G652, AA16)</f>
        <v>0</v>
      </c>
      <c r="AB652" s="55">
        <f t="shared" si="709"/>
        <v>0</v>
      </c>
      <c r="AC652" s="55">
        <f t="shared" si="709"/>
        <v>0</v>
      </c>
      <c r="AD652" s="55">
        <f t="shared" si="709"/>
        <v>0</v>
      </c>
      <c r="AE652" s="55">
        <f t="shared" si="709"/>
        <v>0</v>
      </c>
      <c r="AF652" s="55">
        <f t="shared" si="709"/>
        <v>0</v>
      </c>
      <c r="AG652" s="55">
        <f t="shared" si="709"/>
        <v>0</v>
      </c>
      <c r="AH652" s="55">
        <f t="shared" si="709"/>
        <v>0</v>
      </c>
      <c r="AI652" s="55">
        <f t="shared" si="709"/>
        <v>0</v>
      </c>
      <c r="AJ652" s="55">
        <f t="shared" si="709"/>
        <v>0</v>
      </c>
      <c r="AK652" s="55">
        <f t="shared" si="709"/>
        <v>0</v>
      </c>
      <c r="AL652" s="55">
        <f t="shared" si="709"/>
        <v>0</v>
      </c>
      <c r="AM652" s="55">
        <f t="shared" si="709"/>
        <v>0</v>
      </c>
      <c r="AN652" s="55">
        <f t="shared" si="709"/>
        <v>0</v>
      </c>
      <c r="AO652" s="55">
        <f t="shared" si="709"/>
        <v>0</v>
      </c>
      <c r="AP652" s="55">
        <f t="shared" si="709"/>
        <v>0</v>
      </c>
      <c r="AQ652" s="55">
        <f t="shared" si="709"/>
        <v>0</v>
      </c>
      <c r="AR652" s="55">
        <f t="shared" si="709"/>
        <v>0</v>
      </c>
      <c r="AS652" s="55">
        <f t="shared" si="709"/>
        <v>0</v>
      </c>
      <c r="AT652" s="55">
        <f t="shared" si="709"/>
        <v>0</v>
      </c>
      <c r="AU652" s="55">
        <f t="shared" si="709"/>
        <v>0</v>
      </c>
      <c r="AV652" s="55">
        <f t="shared" si="709"/>
        <v>0</v>
      </c>
      <c r="AW652" s="55">
        <f t="shared" si="709"/>
        <v>0</v>
      </c>
      <c r="AX652" s="55">
        <f t="shared" si="709"/>
        <v>0</v>
      </c>
      <c r="AY652" s="55">
        <f t="shared" si="709"/>
        <v>0</v>
      </c>
      <c r="AZ652" s="55">
        <f t="shared" si="709"/>
        <v>0</v>
      </c>
      <c r="BA652" s="55">
        <f t="shared" si="709"/>
        <v>0</v>
      </c>
      <c r="BB652" s="55">
        <f t="shared" si="709"/>
        <v>0</v>
      </c>
      <c r="BC652" s="55">
        <f t="shared" si="709"/>
        <v>0</v>
      </c>
      <c r="BD652" s="55">
        <f t="shared" si="709"/>
        <v>0</v>
      </c>
      <c r="BE652" s="55">
        <f t="shared" si="709"/>
        <v>0</v>
      </c>
      <c r="BF652" s="55">
        <f t="shared" si="709"/>
        <v>0</v>
      </c>
      <c r="BG652" s="55">
        <f t="shared" si="709"/>
        <v>0</v>
      </c>
      <c r="BH652" s="55">
        <f t="shared" si="709"/>
        <v>0</v>
      </c>
      <c r="BI652" s="55">
        <f t="shared" si="709"/>
        <v>0</v>
      </c>
      <c r="BJ652" s="55">
        <f t="shared" si="709"/>
        <v>0</v>
      </c>
      <c r="BK652" s="55">
        <f t="shared" si="709"/>
        <v>0</v>
      </c>
      <c r="BL652" s="55">
        <f t="shared" si="709"/>
        <v>0</v>
      </c>
      <c r="BM652" s="55">
        <f t="shared" si="709"/>
        <v>0</v>
      </c>
      <c r="BN652" s="55">
        <f t="shared" si="709"/>
        <v>0</v>
      </c>
      <c r="BO652" s="55">
        <f t="shared" si="709"/>
        <v>0</v>
      </c>
      <c r="BP652" s="55">
        <f t="shared" si="709"/>
        <v>0</v>
      </c>
      <c r="BQ652" s="55">
        <f t="shared" si="709"/>
        <v>0</v>
      </c>
      <c r="BR652" s="55">
        <f t="shared" si="709"/>
        <v>0</v>
      </c>
      <c r="BS652" s="55">
        <f t="shared" si="709"/>
        <v>0</v>
      </c>
      <c r="BT652" s="55">
        <f t="shared" si="709"/>
        <v>0</v>
      </c>
      <c r="BU652" s="55">
        <f t="shared" si="709"/>
        <v>0</v>
      </c>
      <c r="BV652" s="55">
        <f t="shared" si="709"/>
        <v>0</v>
      </c>
      <c r="CK652" s="11"/>
      <c r="CM652" s="11"/>
      <c r="DF652" s="11"/>
      <c r="EY652" s="10" t="str">
        <f t="shared" si="670"/>
        <v/>
      </c>
    </row>
    <row r="653" spans="1:155" x14ac:dyDescent="0.35">
      <c r="B653" s="69" t="str" cm="1">
        <f t="array" aca="1" ref="B653" ca="1">HYPERLINK(CONCATENATE("#",CELL("address",$D$132)),$D$132)</f>
        <v>Loan 5</v>
      </c>
      <c r="C653" s="211"/>
      <c r="D653" s="49">
        <f>D$17</f>
        <v>0</v>
      </c>
      <c r="E653" s="49" t="str">
        <f>F$17</f>
        <v/>
      </c>
      <c r="F653" s="49"/>
      <c r="G653" s="55">
        <f t="shared" si="705"/>
        <v>0</v>
      </c>
      <c r="H653" s="10">
        <f>L$17</f>
        <v>0</v>
      </c>
      <c r="I653" s="40" t="s">
        <v>1079</v>
      </c>
      <c r="AA653" s="55">
        <f t="shared" ref="AA653:BV653" si="710">IF($H653=0, $G653, AA17)</f>
        <v>0</v>
      </c>
      <c r="AB653" s="55">
        <f t="shared" si="710"/>
        <v>0</v>
      </c>
      <c r="AC653" s="55">
        <f t="shared" si="710"/>
        <v>0</v>
      </c>
      <c r="AD653" s="55">
        <f t="shared" si="710"/>
        <v>0</v>
      </c>
      <c r="AE653" s="55">
        <f t="shared" si="710"/>
        <v>0</v>
      </c>
      <c r="AF653" s="55">
        <f t="shared" si="710"/>
        <v>0</v>
      </c>
      <c r="AG653" s="55">
        <f t="shared" si="710"/>
        <v>0</v>
      </c>
      <c r="AH653" s="55">
        <f t="shared" si="710"/>
        <v>0</v>
      </c>
      <c r="AI653" s="55">
        <f t="shared" si="710"/>
        <v>0</v>
      </c>
      <c r="AJ653" s="55">
        <f t="shared" si="710"/>
        <v>0</v>
      </c>
      <c r="AK653" s="55">
        <f t="shared" si="710"/>
        <v>0</v>
      </c>
      <c r="AL653" s="55">
        <f t="shared" si="710"/>
        <v>0</v>
      </c>
      <c r="AM653" s="55">
        <f t="shared" si="710"/>
        <v>0</v>
      </c>
      <c r="AN653" s="55">
        <f t="shared" si="710"/>
        <v>0</v>
      </c>
      <c r="AO653" s="55">
        <f t="shared" si="710"/>
        <v>0</v>
      </c>
      <c r="AP653" s="55">
        <f t="shared" si="710"/>
        <v>0</v>
      </c>
      <c r="AQ653" s="55">
        <f t="shared" si="710"/>
        <v>0</v>
      </c>
      <c r="AR653" s="55">
        <f t="shared" si="710"/>
        <v>0</v>
      </c>
      <c r="AS653" s="55">
        <f t="shared" si="710"/>
        <v>0</v>
      </c>
      <c r="AT653" s="55">
        <f t="shared" si="710"/>
        <v>0</v>
      </c>
      <c r="AU653" s="55">
        <f t="shared" si="710"/>
        <v>0</v>
      </c>
      <c r="AV653" s="55">
        <f t="shared" si="710"/>
        <v>0</v>
      </c>
      <c r="AW653" s="55">
        <f t="shared" si="710"/>
        <v>0</v>
      </c>
      <c r="AX653" s="55">
        <f t="shared" si="710"/>
        <v>0</v>
      </c>
      <c r="AY653" s="55">
        <f t="shared" si="710"/>
        <v>0</v>
      </c>
      <c r="AZ653" s="55">
        <f t="shared" si="710"/>
        <v>0</v>
      </c>
      <c r="BA653" s="55">
        <f t="shared" si="710"/>
        <v>0</v>
      </c>
      <c r="BB653" s="55">
        <f t="shared" si="710"/>
        <v>0</v>
      </c>
      <c r="BC653" s="55">
        <f t="shared" si="710"/>
        <v>0</v>
      </c>
      <c r="BD653" s="55">
        <f t="shared" si="710"/>
        <v>0</v>
      </c>
      <c r="BE653" s="55">
        <f t="shared" si="710"/>
        <v>0</v>
      </c>
      <c r="BF653" s="55">
        <f t="shared" si="710"/>
        <v>0</v>
      </c>
      <c r="BG653" s="55">
        <f t="shared" si="710"/>
        <v>0</v>
      </c>
      <c r="BH653" s="55">
        <f t="shared" si="710"/>
        <v>0</v>
      </c>
      <c r="BI653" s="55">
        <f t="shared" si="710"/>
        <v>0</v>
      </c>
      <c r="BJ653" s="55">
        <f t="shared" si="710"/>
        <v>0</v>
      </c>
      <c r="BK653" s="55">
        <f t="shared" si="710"/>
        <v>0</v>
      </c>
      <c r="BL653" s="55">
        <f t="shared" si="710"/>
        <v>0</v>
      </c>
      <c r="BM653" s="55">
        <f t="shared" si="710"/>
        <v>0</v>
      </c>
      <c r="BN653" s="55">
        <f t="shared" si="710"/>
        <v>0</v>
      </c>
      <c r="BO653" s="55">
        <f t="shared" si="710"/>
        <v>0</v>
      </c>
      <c r="BP653" s="55">
        <f t="shared" si="710"/>
        <v>0</v>
      </c>
      <c r="BQ653" s="55">
        <f t="shared" si="710"/>
        <v>0</v>
      </c>
      <c r="BR653" s="55">
        <f t="shared" si="710"/>
        <v>0</v>
      </c>
      <c r="BS653" s="55">
        <f t="shared" si="710"/>
        <v>0</v>
      </c>
      <c r="BT653" s="55">
        <f t="shared" si="710"/>
        <v>0</v>
      </c>
      <c r="BU653" s="55">
        <f t="shared" si="710"/>
        <v>0</v>
      </c>
      <c r="BV653" s="55">
        <f t="shared" si="710"/>
        <v>0</v>
      </c>
      <c r="CK653" s="11"/>
      <c r="CM653" s="11"/>
      <c r="DF653" s="11"/>
      <c r="EY653" s="10" t="str">
        <f t="shared" si="670"/>
        <v/>
      </c>
    </row>
    <row r="654" spans="1:155" x14ac:dyDescent="0.35">
      <c r="B654" s="69" t="str" cm="1">
        <f t="array" aca="1" ref="B654" ca="1">HYPERLINK(CONCATENATE("#",CELL("address",$D$151)),$D$151)</f>
        <v>Loan 6</v>
      </c>
      <c r="C654" s="211"/>
      <c r="D654" s="49">
        <f>D$18</f>
        <v>0</v>
      </c>
      <c r="E654" s="49" t="str">
        <f>F$18</f>
        <v/>
      </c>
      <c r="F654" s="49"/>
      <c r="G654" s="55">
        <f t="shared" si="705"/>
        <v>0</v>
      </c>
      <c r="H654" s="10">
        <f>L$18</f>
        <v>0</v>
      </c>
      <c r="I654" s="40" t="s">
        <v>1079</v>
      </c>
      <c r="AA654" s="55">
        <f t="shared" ref="AA654:BV654" si="711">IF($H654=0, $G654, AA18)</f>
        <v>0</v>
      </c>
      <c r="AB654" s="55">
        <f t="shared" si="711"/>
        <v>0</v>
      </c>
      <c r="AC654" s="55">
        <f t="shared" si="711"/>
        <v>0</v>
      </c>
      <c r="AD654" s="55">
        <f t="shared" si="711"/>
        <v>0</v>
      </c>
      <c r="AE654" s="55">
        <f t="shared" si="711"/>
        <v>0</v>
      </c>
      <c r="AF654" s="55">
        <f t="shared" si="711"/>
        <v>0</v>
      </c>
      <c r="AG654" s="55">
        <f t="shared" si="711"/>
        <v>0</v>
      </c>
      <c r="AH654" s="55">
        <f t="shared" si="711"/>
        <v>0</v>
      </c>
      <c r="AI654" s="55">
        <f t="shared" si="711"/>
        <v>0</v>
      </c>
      <c r="AJ654" s="55">
        <f t="shared" si="711"/>
        <v>0</v>
      </c>
      <c r="AK654" s="55">
        <f t="shared" si="711"/>
        <v>0</v>
      </c>
      <c r="AL654" s="55">
        <f t="shared" si="711"/>
        <v>0</v>
      </c>
      <c r="AM654" s="55">
        <f t="shared" si="711"/>
        <v>0</v>
      </c>
      <c r="AN654" s="55">
        <f t="shared" si="711"/>
        <v>0</v>
      </c>
      <c r="AO654" s="55">
        <f t="shared" si="711"/>
        <v>0</v>
      </c>
      <c r="AP654" s="55">
        <f t="shared" si="711"/>
        <v>0</v>
      </c>
      <c r="AQ654" s="55">
        <f t="shared" si="711"/>
        <v>0</v>
      </c>
      <c r="AR654" s="55">
        <f t="shared" si="711"/>
        <v>0</v>
      </c>
      <c r="AS654" s="55">
        <f t="shared" si="711"/>
        <v>0</v>
      </c>
      <c r="AT654" s="55">
        <f t="shared" si="711"/>
        <v>0</v>
      </c>
      <c r="AU654" s="55">
        <f t="shared" si="711"/>
        <v>0</v>
      </c>
      <c r="AV654" s="55">
        <f t="shared" si="711"/>
        <v>0</v>
      </c>
      <c r="AW654" s="55">
        <f t="shared" si="711"/>
        <v>0</v>
      </c>
      <c r="AX654" s="55">
        <f t="shared" si="711"/>
        <v>0</v>
      </c>
      <c r="AY654" s="55">
        <f t="shared" si="711"/>
        <v>0</v>
      </c>
      <c r="AZ654" s="55">
        <f t="shared" si="711"/>
        <v>0</v>
      </c>
      <c r="BA654" s="55">
        <f t="shared" si="711"/>
        <v>0</v>
      </c>
      <c r="BB654" s="55">
        <f t="shared" si="711"/>
        <v>0</v>
      </c>
      <c r="BC654" s="55">
        <f t="shared" si="711"/>
        <v>0</v>
      </c>
      <c r="BD654" s="55">
        <f t="shared" si="711"/>
        <v>0</v>
      </c>
      <c r="BE654" s="55">
        <f t="shared" si="711"/>
        <v>0</v>
      </c>
      <c r="BF654" s="55">
        <f t="shared" si="711"/>
        <v>0</v>
      </c>
      <c r="BG654" s="55">
        <f t="shared" si="711"/>
        <v>0</v>
      </c>
      <c r="BH654" s="55">
        <f t="shared" si="711"/>
        <v>0</v>
      </c>
      <c r="BI654" s="55">
        <f t="shared" si="711"/>
        <v>0</v>
      </c>
      <c r="BJ654" s="55">
        <f t="shared" si="711"/>
        <v>0</v>
      </c>
      <c r="BK654" s="55">
        <f t="shared" si="711"/>
        <v>0</v>
      </c>
      <c r="BL654" s="55">
        <f t="shared" si="711"/>
        <v>0</v>
      </c>
      <c r="BM654" s="55">
        <f t="shared" si="711"/>
        <v>0</v>
      </c>
      <c r="BN654" s="55">
        <f t="shared" si="711"/>
        <v>0</v>
      </c>
      <c r="BO654" s="55">
        <f t="shared" si="711"/>
        <v>0</v>
      </c>
      <c r="BP654" s="55">
        <f t="shared" si="711"/>
        <v>0</v>
      </c>
      <c r="BQ654" s="55">
        <f t="shared" si="711"/>
        <v>0</v>
      </c>
      <c r="BR654" s="55">
        <f t="shared" si="711"/>
        <v>0</v>
      </c>
      <c r="BS654" s="55">
        <f t="shared" si="711"/>
        <v>0</v>
      </c>
      <c r="BT654" s="55">
        <f t="shared" si="711"/>
        <v>0</v>
      </c>
      <c r="BU654" s="55">
        <f t="shared" si="711"/>
        <v>0</v>
      </c>
      <c r="BV654" s="55">
        <f t="shared" si="711"/>
        <v>0</v>
      </c>
      <c r="CK654" s="11"/>
      <c r="CM654" s="11"/>
      <c r="DF654" s="11"/>
      <c r="EY654" s="10" t="str">
        <f t="shared" si="670"/>
        <v/>
      </c>
    </row>
    <row r="655" spans="1:155" x14ac:dyDescent="0.35">
      <c r="B655" s="69" t="str" cm="1">
        <f t="array" aca="1" ref="B655" ca="1">HYPERLINK(CONCATENATE("#",CELL("address",$D$170)),$D$170)</f>
        <v>Loan 7</v>
      </c>
      <c r="C655" s="211"/>
      <c r="D655" s="49">
        <f>D$19</f>
        <v>0</v>
      </c>
      <c r="E655" s="49" t="str">
        <f>F$19</f>
        <v/>
      </c>
      <c r="F655" s="49"/>
      <c r="G655" s="55">
        <f t="shared" si="705"/>
        <v>0</v>
      </c>
      <c r="H655" s="10">
        <f>L$19</f>
        <v>0</v>
      </c>
      <c r="I655" s="40" t="s">
        <v>1079</v>
      </c>
      <c r="AA655" s="55">
        <f t="shared" ref="AA655:BV655" si="712">IF($H655=0, $G655, AA19)</f>
        <v>0</v>
      </c>
      <c r="AB655" s="55">
        <f t="shared" si="712"/>
        <v>0</v>
      </c>
      <c r="AC655" s="55">
        <f t="shared" si="712"/>
        <v>0</v>
      </c>
      <c r="AD655" s="55">
        <f t="shared" si="712"/>
        <v>0</v>
      </c>
      <c r="AE655" s="55">
        <f t="shared" si="712"/>
        <v>0</v>
      </c>
      <c r="AF655" s="55">
        <f t="shared" si="712"/>
        <v>0</v>
      </c>
      <c r="AG655" s="55">
        <f t="shared" si="712"/>
        <v>0</v>
      </c>
      <c r="AH655" s="55">
        <f t="shared" si="712"/>
        <v>0</v>
      </c>
      <c r="AI655" s="55">
        <f t="shared" si="712"/>
        <v>0</v>
      </c>
      <c r="AJ655" s="55">
        <f t="shared" si="712"/>
        <v>0</v>
      </c>
      <c r="AK655" s="55">
        <f t="shared" si="712"/>
        <v>0</v>
      </c>
      <c r="AL655" s="55">
        <f t="shared" si="712"/>
        <v>0</v>
      </c>
      <c r="AM655" s="55">
        <f t="shared" si="712"/>
        <v>0</v>
      </c>
      <c r="AN655" s="55">
        <f t="shared" si="712"/>
        <v>0</v>
      </c>
      <c r="AO655" s="55">
        <f t="shared" si="712"/>
        <v>0</v>
      </c>
      <c r="AP655" s="55">
        <f t="shared" si="712"/>
        <v>0</v>
      </c>
      <c r="AQ655" s="55">
        <f t="shared" si="712"/>
        <v>0</v>
      </c>
      <c r="AR655" s="55">
        <f t="shared" si="712"/>
        <v>0</v>
      </c>
      <c r="AS655" s="55">
        <f t="shared" si="712"/>
        <v>0</v>
      </c>
      <c r="AT655" s="55">
        <f t="shared" si="712"/>
        <v>0</v>
      </c>
      <c r="AU655" s="55">
        <f t="shared" si="712"/>
        <v>0</v>
      </c>
      <c r="AV655" s="55">
        <f t="shared" si="712"/>
        <v>0</v>
      </c>
      <c r="AW655" s="55">
        <f t="shared" si="712"/>
        <v>0</v>
      </c>
      <c r="AX655" s="55">
        <f t="shared" si="712"/>
        <v>0</v>
      </c>
      <c r="AY655" s="55">
        <f t="shared" si="712"/>
        <v>0</v>
      </c>
      <c r="AZ655" s="55">
        <f t="shared" si="712"/>
        <v>0</v>
      </c>
      <c r="BA655" s="55">
        <f t="shared" si="712"/>
        <v>0</v>
      </c>
      <c r="BB655" s="55">
        <f t="shared" si="712"/>
        <v>0</v>
      </c>
      <c r="BC655" s="55">
        <f t="shared" si="712"/>
        <v>0</v>
      </c>
      <c r="BD655" s="55">
        <f t="shared" si="712"/>
        <v>0</v>
      </c>
      <c r="BE655" s="55">
        <f t="shared" si="712"/>
        <v>0</v>
      </c>
      <c r="BF655" s="55">
        <f t="shared" si="712"/>
        <v>0</v>
      </c>
      <c r="BG655" s="55">
        <f t="shared" si="712"/>
        <v>0</v>
      </c>
      <c r="BH655" s="55">
        <f t="shared" si="712"/>
        <v>0</v>
      </c>
      <c r="BI655" s="55">
        <f t="shared" si="712"/>
        <v>0</v>
      </c>
      <c r="BJ655" s="55">
        <f t="shared" si="712"/>
        <v>0</v>
      </c>
      <c r="BK655" s="55">
        <f t="shared" si="712"/>
        <v>0</v>
      </c>
      <c r="BL655" s="55">
        <f t="shared" si="712"/>
        <v>0</v>
      </c>
      <c r="BM655" s="55">
        <f t="shared" si="712"/>
        <v>0</v>
      </c>
      <c r="BN655" s="55">
        <f t="shared" si="712"/>
        <v>0</v>
      </c>
      <c r="BO655" s="55">
        <f t="shared" si="712"/>
        <v>0</v>
      </c>
      <c r="BP655" s="55">
        <f t="shared" si="712"/>
        <v>0</v>
      </c>
      <c r="BQ655" s="55">
        <f t="shared" si="712"/>
        <v>0</v>
      </c>
      <c r="BR655" s="55">
        <f t="shared" si="712"/>
        <v>0</v>
      </c>
      <c r="BS655" s="55">
        <f t="shared" si="712"/>
        <v>0</v>
      </c>
      <c r="BT655" s="55">
        <f t="shared" si="712"/>
        <v>0</v>
      </c>
      <c r="BU655" s="55">
        <f t="shared" si="712"/>
        <v>0</v>
      </c>
      <c r="BV655" s="55">
        <f t="shared" si="712"/>
        <v>0</v>
      </c>
      <c r="CK655" s="11"/>
      <c r="CM655" s="11"/>
      <c r="DF655" s="11"/>
      <c r="EY655" s="10" t="str">
        <f t="shared" si="670"/>
        <v/>
      </c>
    </row>
    <row r="656" spans="1:155" x14ac:dyDescent="0.35">
      <c r="B656" s="69" t="str" cm="1">
        <f t="array" aca="1" ref="B656" ca="1">HYPERLINK(CONCATENATE("#",CELL("address",$D$189)),$D$189)</f>
        <v>Loan 8</v>
      </c>
      <c r="C656" s="211"/>
      <c r="D656" s="49">
        <f>D$20</f>
        <v>0</v>
      </c>
      <c r="E656" s="49" t="str">
        <f>F$20</f>
        <v/>
      </c>
      <c r="F656" s="49"/>
      <c r="G656" s="55">
        <f t="shared" si="705"/>
        <v>0</v>
      </c>
      <c r="H656" s="10">
        <f>L$20</f>
        <v>0</v>
      </c>
      <c r="I656" s="40" t="s">
        <v>1079</v>
      </c>
      <c r="AA656" s="55">
        <f t="shared" ref="AA656:BV656" si="713">IF($H656=0, $G656, AA20)</f>
        <v>0</v>
      </c>
      <c r="AB656" s="55">
        <f t="shared" si="713"/>
        <v>0</v>
      </c>
      <c r="AC656" s="55">
        <f t="shared" si="713"/>
        <v>0</v>
      </c>
      <c r="AD656" s="55">
        <f t="shared" si="713"/>
        <v>0</v>
      </c>
      <c r="AE656" s="55">
        <f t="shared" si="713"/>
        <v>0</v>
      </c>
      <c r="AF656" s="55">
        <f t="shared" si="713"/>
        <v>0</v>
      </c>
      <c r="AG656" s="55">
        <f t="shared" si="713"/>
        <v>0</v>
      </c>
      <c r="AH656" s="55">
        <f t="shared" si="713"/>
        <v>0</v>
      </c>
      <c r="AI656" s="55">
        <f t="shared" si="713"/>
        <v>0</v>
      </c>
      <c r="AJ656" s="55">
        <f t="shared" si="713"/>
        <v>0</v>
      </c>
      <c r="AK656" s="55">
        <f t="shared" si="713"/>
        <v>0</v>
      </c>
      <c r="AL656" s="55">
        <f t="shared" si="713"/>
        <v>0</v>
      </c>
      <c r="AM656" s="55">
        <f t="shared" si="713"/>
        <v>0</v>
      </c>
      <c r="AN656" s="55">
        <f t="shared" si="713"/>
        <v>0</v>
      </c>
      <c r="AO656" s="55">
        <f t="shared" si="713"/>
        <v>0</v>
      </c>
      <c r="AP656" s="55">
        <f t="shared" si="713"/>
        <v>0</v>
      </c>
      <c r="AQ656" s="55">
        <f t="shared" si="713"/>
        <v>0</v>
      </c>
      <c r="AR656" s="55">
        <f t="shared" si="713"/>
        <v>0</v>
      </c>
      <c r="AS656" s="55">
        <f t="shared" si="713"/>
        <v>0</v>
      </c>
      <c r="AT656" s="55">
        <f t="shared" si="713"/>
        <v>0</v>
      </c>
      <c r="AU656" s="55">
        <f t="shared" si="713"/>
        <v>0</v>
      </c>
      <c r="AV656" s="55">
        <f t="shared" si="713"/>
        <v>0</v>
      </c>
      <c r="AW656" s="55">
        <f t="shared" si="713"/>
        <v>0</v>
      </c>
      <c r="AX656" s="55">
        <f t="shared" si="713"/>
        <v>0</v>
      </c>
      <c r="AY656" s="55">
        <f t="shared" si="713"/>
        <v>0</v>
      </c>
      <c r="AZ656" s="55">
        <f t="shared" si="713"/>
        <v>0</v>
      </c>
      <c r="BA656" s="55">
        <f t="shared" si="713"/>
        <v>0</v>
      </c>
      <c r="BB656" s="55">
        <f t="shared" si="713"/>
        <v>0</v>
      </c>
      <c r="BC656" s="55">
        <f t="shared" si="713"/>
        <v>0</v>
      </c>
      <c r="BD656" s="55">
        <f t="shared" si="713"/>
        <v>0</v>
      </c>
      <c r="BE656" s="55">
        <f t="shared" si="713"/>
        <v>0</v>
      </c>
      <c r="BF656" s="55">
        <f t="shared" si="713"/>
        <v>0</v>
      </c>
      <c r="BG656" s="55">
        <f t="shared" si="713"/>
        <v>0</v>
      </c>
      <c r="BH656" s="55">
        <f t="shared" si="713"/>
        <v>0</v>
      </c>
      <c r="BI656" s="55">
        <f t="shared" si="713"/>
        <v>0</v>
      </c>
      <c r="BJ656" s="55">
        <f t="shared" si="713"/>
        <v>0</v>
      </c>
      <c r="BK656" s="55">
        <f t="shared" si="713"/>
        <v>0</v>
      </c>
      <c r="BL656" s="55">
        <f t="shared" si="713"/>
        <v>0</v>
      </c>
      <c r="BM656" s="55">
        <f t="shared" si="713"/>
        <v>0</v>
      </c>
      <c r="BN656" s="55">
        <f t="shared" si="713"/>
        <v>0</v>
      </c>
      <c r="BO656" s="55">
        <f t="shared" si="713"/>
        <v>0</v>
      </c>
      <c r="BP656" s="55">
        <f t="shared" si="713"/>
        <v>0</v>
      </c>
      <c r="BQ656" s="55">
        <f t="shared" si="713"/>
        <v>0</v>
      </c>
      <c r="BR656" s="55">
        <f t="shared" si="713"/>
        <v>0</v>
      </c>
      <c r="BS656" s="55">
        <f t="shared" si="713"/>
        <v>0</v>
      </c>
      <c r="BT656" s="55">
        <f t="shared" si="713"/>
        <v>0</v>
      </c>
      <c r="BU656" s="55">
        <f t="shared" si="713"/>
        <v>0</v>
      </c>
      <c r="BV656" s="55">
        <f t="shared" si="713"/>
        <v>0</v>
      </c>
      <c r="CK656" s="11"/>
      <c r="CM656" s="11"/>
      <c r="DF656" s="11"/>
      <c r="EY656" s="10" t="str">
        <f t="shared" si="670"/>
        <v/>
      </c>
    </row>
    <row r="657" spans="1:155" x14ac:dyDescent="0.35">
      <c r="B657" s="69" t="str" cm="1">
        <f t="array" aca="1" ref="B657" ca="1">HYPERLINK(CONCATENATE("#",CELL("address",$D$208)),$D$208)</f>
        <v>Loan 9</v>
      </c>
      <c r="C657" s="211"/>
      <c r="D657" s="49">
        <f>D$21</f>
        <v>0</v>
      </c>
      <c r="E657" s="49" t="str">
        <f>F$21</f>
        <v/>
      </c>
      <c r="F657" s="49"/>
      <c r="G657" s="55">
        <f t="shared" si="705"/>
        <v>0</v>
      </c>
      <c r="H657" s="10">
        <f>L$21</f>
        <v>0</v>
      </c>
      <c r="I657" s="40" t="s">
        <v>1079</v>
      </c>
      <c r="AA657" s="55">
        <f t="shared" ref="AA657:BV657" si="714">IF($H657=0, $G657, AA21)</f>
        <v>0</v>
      </c>
      <c r="AB657" s="55">
        <f t="shared" si="714"/>
        <v>0</v>
      </c>
      <c r="AC657" s="55">
        <f t="shared" si="714"/>
        <v>0</v>
      </c>
      <c r="AD657" s="55">
        <f t="shared" si="714"/>
        <v>0</v>
      </c>
      <c r="AE657" s="55">
        <f t="shared" si="714"/>
        <v>0</v>
      </c>
      <c r="AF657" s="55">
        <f t="shared" si="714"/>
        <v>0</v>
      </c>
      <c r="AG657" s="55">
        <f t="shared" si="714"/>
        <v>0</v>
      </c>
      <c r="AH657" s="55">
        <f t="shared" si="714"/>
        <v>0</v>
      </c>
      <c r="AI657" s="55">
        <f t="shared" si="714"/>
        <v>0</v>
      </c>
      <c r="AJ657" s="55">
        <f t="shared" si="714"/>
        <v>0</v>
      </c>
      <c r="AK657" s="55">
        <f t="shared" si="714"/>
        <v>0</v>
      </c>
      <c r="AL657" s="55">
        <f t="shared" si="714"/>
        <v>0</v>
      </c>
      <c r="AM657" s="55">
        <f t="shared" si="714"/>
        <v>0</v>
      </c>
      <c r="AN657" s="55">
        <f t="shared" si="714"/>
        <v>0</v>
      </c>
      <c r="AO657" s="55">
        <f t="shared" si="714"/>
        <v>0</v>
      </c>
      <c r="AP657" s="55">
        <f t="shared" si="714"/>
        <v>0</v>
      </c>
      <c r="AQ657" s="55">
        <f t="shared" si="714"/>
        <v>0</v>
      </c>
      <c r="AR657" s="55">
        <f t="shared" si="714"/>
        <v>0</v>
      </c>
      <c r="AS657" s="55">
        <f t="shared" si="714"/>
        <v>0</v>
      </c>
      <c r="AT657" s="55">
        <f t="shared" si="714"/>
        <v>0</v>
      </c>
      <c r="AU657" s="55">
        <f t="shared" si="714"/>
        <v>0</v>
      </c>
      <c r="AV657" s="55">
        <f t="shared" si="714"/>
        <v>0</v>
      </c>
      <c r="AW657" s="55">
        <f t="shared" si="714"/>
        <v>0</v>
      </c>
      <c r="AX657" s="55">
        <f t="shared" si="714"/>
        <v>0</v>
      </c>
      <c r="AY657" s="55">
        <f t="shared" si="714"/>
        <v>0</v>
      </c>
      <c r="AZ657" s="55">
        <f t="shared" si="714"/>
        <v>0</v>
      </c>
      <c r="BA657" s="55">
        <f t="shared" si="714"/>
        <v>0</v>
      </c>
      <c r="BB657" s="55">
        <f t="shared" si="714"/>
        <v>0</v>
      </c>
      <c r="BC657" s="55">
        <f t="shared" si="714"/>
        <v>0</v>
      </c>
      <c r="BD657" s="55">
        <f t="shared" si="714"/>
        <v>0</v>
      </c>
      <c r="BE657" s="55">
        <f t="shared" si="714"/>
        <v>0</v>
      </c>
      <c r="BF657" s="55">
        <f t="shared" si="714"/>
        <v>0</v>
      </c>
      <c r="BG657" s="55">
        <f t="shared" si="714"/>
        <v>0</v>
      </c>
      <c r="BH657" s="55">
        <f t="shared" si="714"/>
        <v>0</v>
      </c>
      <c r="BI657" s="55">
        <f t="shared" si="714"/>
        <v>0</v>
      </c>
      <c r="BJ657" s="55">
        <f t="shared" si="714"/>
        <v>0</v>
      </c>
      <c r="BK657" s="55">
        <f t="shared" si="714"/>
        <v>0</v>
      </c>
      <c r="BL657" s="55">
        <f t="shared" si="714"/>
        <v>0</v>
      </c>
      <c r="BM657" s="55">
        <f t="shared" si="714"/>
        <v>0</v>
      </c>
      <c r="BN657" s="55">
        <f t="shared" si="714"/>
        <v>0</v>
      </c>
      <c r="BO657" s="55">
        <f t="shared" si="714"/>
        <v>0</v>
      </c>
      <c r="BP657" s="55">
        <f t="shared" si="714"/>
        <v>0</v>
      </c>
      <c r="BQ657" s="55">
        <f t="shared" si="714"/>
        <v>0</v>
      </c>
      <c r="BR657" s="55">
        <f t="shared" si="714"/>
        <v>0</v>
      </c>
      <c r="BS657" s="55">
        <f t="shared" si="714"/>
        <v>0</v>
      </c>
      <c r="BT657" s="55">
        <f t="shared" si="714"/>
        <v>0</v>
      </c>
      <c r="BU657" s="55">
        <f t="shared" si="714"/>
        <v>0</v>
      </c>
      <c r="BV657" s="55">
        <f t="shared" si="714"/>
        <v>0</v>
      </c>
      <c r="CK657" s="11"/>
      <c r="CM657" s="11"/>
      <c r="DF657" s="11"/>
      <c r="EY657" s="10" t="str">
        <f t="shared" si="670"/>
        <v/>
      </c>
    </row>
    <row r="658" spans="1:155" x14ac:dyDescent="0.35">
      <c r="B658" s="69" t="str" cm="1">
        <f t="array" aca="1" ref="B658" ca="1">HYPERLINK(CONCATENATE("#",CELL("address",$D$227)),$D$227)</f>
        <v>Loan 10</v>
      </c>
      <c r="C658" s="211"/>
      <c r="D658" s="49">
        <f>D$22</f>
        <v>0</v>
      </c>
      <c r="E658" s="49" t="str">
        <f>F$22</f>
        <v/>
      </c>
      <c r="F658" s="49"/>
      <c r="G658" s="55">
        <f t="shared" si="705"/>
        <v>0</v>
      </c>
      <c r="H658" s="10">
        <f>L$22</f>
        <v>0</v>
      </c>
      <c r="I658" s="40" t="s">
        <v>1079</v>
      </c>
      <c r="AA658" s="55">
        <f t="shared" ref="AA658:BV658" si="715">IF($H658=0, $G658, AA22)</f>
        <v>0</v>
      </c>
      <c r="AB658" s="55">
        <f t="shared" si="715"/>
        <v>0</v>
      </c>
      <c r="AC658" s="55">
        <f t="shared" si="715"/>
        <v>0</v>
      </c>
      <c r="AD658" s="55">
        <f t="shared" si="715"/>
        <v>0</v>
      </c>
      <c r="AE658" s="55">
        <f t="shared" si="715"/>
        <v>0</v>
      </c>
      <c r="AF658" s="55">
        <f t="shared" si="715"/>
        <v>0</v>
      </c>
      <c r="AG658" s="55">
        <f t="shared" si="715"/>
        <v>0</v>
      </c>
      <c r="AH658" s="55">
        <f t="shared" si="715"/>
        <v>0</v>
      </c>
      <c r="AI658" s="55">
        <f t="shared" si="715"/>
        <v>0</v>
      </c>
      <c r="AJ658" s="55">
        <f t="shared" si="715"/>
        <v>0</v>
      </c>
      <c r="AK658" s="55">
        <f t="shared" si="715"/>
        <v>0</v>
      </c>
      <c r="AL658" s="55">
        <f t="shared" si="715"/>
        <v>0</v>
      </c>
      <c r="AM658" s="55">
        <f t="shared" si="715"/>
        <v>0</v>
      </c>
      <c r="AN658" s="55">
        <f t="shared" si="715"/>
        <v>0</v>
      </c>
      <c r="AO658" s="55">
        <f t="shared" si="715"/>
        <v>0</v>
      </c>
      <c r="AP658" s="55">
        <f t="shared" si="715"/>
        <v>0</v>
      </c>
      <c r="AQ658" s="55">
        <f t="shared" si="715"/>
        <v>0</v>
      </c>
      <c r="AR658" s="55">
        <f t="shared" si="715"/>
        <v>0</v>
      </c>
      <c r="AS658" s="55">
        <f t="shared" si="715"/>
        <v>0</v>
      </c>
      <c r="AT658" s="55">
        <f t="shared" si="715"/>
        <v>0</v>
      </c>
      <c r="AU658" s="55">
        <f t="shared" si="715"/>
        <v>0</v>
      </c>
      <c r="AV658" s="55">
        <f t="shared" si="715"/>
        <v>0</v>
      </c>
      <c r="AW658" s="55">
        <f t="shared" si="715"/>
        <v>0</v>
      </c>
      <c r="AX658" s="55">
        <f t="shared" si="715"/>
        <v>0</v>
      </c>
      <c r="AY658" s="55">
        <f t="shared" si="715"/>
        <v>0</v>
      </c>
      <c r="AZ658" s="55">
        <f t="shared" si="715"/>
        <v>0</v>
      </c>
      <c r="BA658" s="55">
        <f t="shared" si="715"/>
        <v>0</v>
      </c>
      <c r="BB658" s="55">
        <f t="shared" si="715"/>
        <v>0</v>
      </c>
      <c r="BC658" s="55">
        <f t="shared" si="715"/>
        <v>0</v>
      </c>
      <c r="BD658" s="55">
        <f t="shared" si="715"/>
        <v>0</v>
      </c>
      <c r="BE658" s="55">
        <f t="shared" si="715"/>
        <v>0</v>
      </c>
      <c r="BF658" s="55">
        <f t="shared" si="715"/>
        <v>0</v>
      </c>
      <c r="BG658" s="55">
        <f t="shared" si="715"/>
        <v>0</v>
      </c>
      <c r="BH658" s="55">
        <f t="shared" si="715"/>
        <v>0</v>
      </c>
      <c r="BI658" s="55">
        <f t="shared" si="715"/>
        <v>0</v>
      </c>
      <c r="BJ658" s="55">
        <f t="shared" si="715"/>
        <v>0</v>
      </c>
      <c r="BK658" s="55">
        <f t="shared" si="715"/>
        <v>0</v>
      </c>
      <c r="BL658" s="55">
        <f t="shared" si="715"/>
        <v>0</v>
      </c>
      <c r="BM658" s="55">
        <f t="shared" si="715"/>
        <v>0</v>
      </c>
      <c r="BN658" s="55">
        <f t="shared" si="715"/>
        <v>0</v>
      </c>
      <c r="BO658" s="55">
        <f t="shared" si="715"/>
        <v>0</v>
      </c>
      <c r="BP658" s="55">
        <f t="shared" si="715"/>
        <v>0</v>
      </c>
      <c r="BQ658" s="55">
        <f t="shared" si="715"/>
        <v>0</v>
      </c>
      <c r="BR658" s="55">
        <f t="shared" si="715"/>
        <v>0</v>
      </c>
      <c r="BS658" s="55">
        <f t="shared" si="715"/>
        <v>0</v>
      </c>
      <c r="BT658" s="55">
        <f t="shared" si="715"/>
        <v>0</v>
      </c>
      <c r="BU658" s="55">
        <f t="shared" si="715"/>
        <v>0</v>
      </c>
      <c r="BV658" s="55">
        <f t="shared" si="715"/>
        <v>0</v>
      </c>
      <c r="CK658" s="11"/>
      <c r="CM658" s="11"/>
      <c r="DF658" s="11"/>
      <c r="EY658" s="10" t="str">
        <f t="shared" si="670"/>
        <v/>
      </c>
    </row>
    <row r="659" spans="1:155" x14ac:dyDescent="0.35">
      <c r="B659" s="69" t="str" cm="1">
        <f t="array" aca="1" ref="B659" ca="1">HYPERLINK(CONCATENATE("#",CELL("address",$D$246)),$D$246)</f>
        <v>Loan 11</v>
      </c>
      <c r="C659" s="211"/>
      <c r="D659" s="49">
        <f>D$23</f>
        <v>0</v>
      </c>
      <c r="E659" s="49" t="str">
        <f>F$23</f>
        <v/>
      </c>
      <c r="F659" s="49"/>
      <c r="G659" s="55">
        <f t="shared" si="705"/>
        <v>0</v>
      </c>
      <c r="H659" s="10">
        <f>L$23</f>
        <v>0</v>
      </c>
      <c r="I659" s="40" t="s">
        <v>1079</v>
      </c>
      <c r="AA659" s="55">
        <f t="shared" ref="AA659:BV659" si="716">IF($H659=0, $G659, AA23)</f>
        <v>0</v>
      </c>
      <c r="AB659" s="55">
        <f t="shared" si="716"/>
        <v>0</v>
      </c>
      <c r="AC659" s="55">
        <f t="shared" si="716"/>
        <v>0</v>
      </c>
      <c r="AD659" s="55">
        <f t="shared" si="716"/>
        <v>0</v>
      </c>
      <c r="AE659" s="55">
        <f t="shared" si="716"/>
        <v>0</v>
      </c>
      <c r="AF659" s="55">
        <f t="shared" si="716"/>
        <v>0</v>
      </c>
      <c r="AG659" s="55">
        <f t="shared" si="716"/>
        <v>0</v>
      </c>
      <c r="AH659" s="55">
        <f t="shared" si="716"/>
        <v>0</v>
      </c>
      <c r="AI659" s="55">
        <f t="shared" si="716"/>
        <v>0</v>
      </c>
      <c r="AJ659" s="55">
        <f t="shared" si="716"/>
        <v>0</v>
      </c>
      <c r="AK659" s="55">
        <f t="shared" si="716"/>
        <v>0</v>
      </c>
      <c r="AL659" s="55">
        <f t="shared" si="716"/>
        <v>0</v>
      </c>
      <c r="AM659" s="55">
        <f t="shared" si="716"/>
        <v>0</v>
      </c>
      <c r="AN659" s="55">
        <f t="shared" si="716"/>
        <v>0</v>
      </c>
      <c r="AO659" s="55">
        <f t="shared" si="716"/>
        <v>0</v>
      </c>
      <c r="AP659" s="55">
        <f t="shared" si="716"/>
        <v>0</v>
      </c>
      <c r="AQ659" s="55">
        <f t="shared" si="716"/>
        <v>0</v>
      </c>
      <c r="AR659" s="55">
        <f t="shared" si="716"/>
        <v>0</v>
      </c>
      <c r="AS659" s="55">
        <f t="shared" si="716"/>
        <v>0</v>
      </c>
      <c r="AT659" s="55">
        <f t="shared" si="716"/>
        <v>0</v>
      </c>
      <c r="AU659" s="55">
        <f t="shared" si="716"/>
        <v>0</v>
      </c>
      <c r="AV659" s="55">
        <f t="shared" si="716"/>
        <v>0</v>
      </c>
      <c r="AW659" s="55">
        <f t="shared" si="716"/>
        <v>0</v>
      </c>
      <c r="AX659" s="55">
        <f t="shared" si="716"/>
        <v>0</v>
      </c>
      <c r="AY659" s="55">
        <f t="shared" si="716"/>
        <v>0</v>
      </c>
      <c r="AZ659" s="55">
        <f t="shared" si="716"/>
        <v>0</v>
      </c>
      <c r="BA659" s="55">
        <f t="shared" si="716"/>
        <v>0</v>
      </c>
      <c r="BB659" s="55">
        <f t="shared" si="716"/>
        <v>0</v>
      </c>
      <c r="BC659" s="55">
        <f t="shared" si="716"/>
        <v>0</v>
      </c>
      <c r="BD659" s="55">
        <f t="shared" si="716"/>
        <v>0</v>
      </c>
      <c r="BE659" s="55">
        <f t="shared" si="716"/>
        <v>0</v>
      </c>
      <c r="BF659" s="55">
        <f t="shared" si="716"/>
        <v>0</v>
      </c>
      <c r="BG659" s="55">
        <f t="shared" si="716"/>
        <v>0</v>
      </c>
      <c r="BH659" s="55">
        <f t="shared" si="716"/>
        <v>0</v>
      </c>
      <c r="BI659" s="55">
        <f t="shared" si="716"/>
        <v>0</v>
      </c>
      <c r="BJ659" s="55">
        <f t="shared" si="716"/>
        <v>0</v>
      </c>
      <c r="BK659" s="55">
        <f t="shared" si="716"/>
        <v>0</v>
      </c>
      <c r="BL659" s="55">
        <f t="shared" si="716"/>
        <v>0</v>
      </c>
      <c r="BM659" s="55">
        <f t="shared" si="716"/>
        <v>0</v>
      </c>
      <c r="BN659" s="55">
        <f t="shared" si="716"/>
        <v>0</v>
      </c>
      <c r="BO659" s="55">
        <f t="shared" si="716"/>
        <v>0</v>
      </c>
      <c r="BP659" s="55">
        <f t="shared" si="716"/>
        <v>0</v>
      </c>
      <c r="BQ659" s="55">
        <f t="shared" si="716"/>
        <v>0</v>
      </c>
      <c r="BR659" s="55">
        <f t="shared" si="716"/>
        <v>0</v>
      </c>
      <c r="BS659" s="55">
        <f t="shared" si="716"/>
        <v>0</v>
      </c>
      <c r="BT659" s="55">
        <f t="shared" si="716"/>
        <v>0</v>
      </c>
      <c r="BU659" s="55">
        <f t="shared" si="716"/>
        <v>0</v>
      </c>
      <c r="BV659" s="55">
        <f t="shared" si="716"/>
        <v>0</v>
      </c>
      <c r="CK659" s="11"/>
      <c r="CM659" s="11"/>
      <c r="DF659" s="11"/>
      <c r="EY659" s="10" t="str">
        <f t="shared" si="670"/>
        <v/>
      </c>
    </row>
    <row r="660" spans="1:155" x14ac:dyDescent="0.35">
      <c r="B660" s="69" t="str" cm="1">
        <f t="array" aca="1" ref="B660" ca="1">HYPERLINK(CONCATENATE("#",CELL("address",$D$265)),$D$265)</f>
        <v>Loan 12</v>
      </c>
      <c r="C660" s="211"/>
      <c r="D660" s="49">
        <f>D$24</f>
        <v>0</v>
      </c>
      <c r="E660" s="49" t="str">
        <f>F$24</f>
        <v/>
      </c>
      <c r="F660" s="49"/>
      <c r="G660" s="55">
        <f t="shared" si="705"/>
        <v>0</v>
      </c>
      <c r="H660" s="10">
        <f>L$24</f>
        <v>0</v>
      </c>
      <c r="I660" s="40" t="s">
        <v>1079</v>
      </c>
      <c r="AA660" s="55">
        <f t="shared" ref="AA660:BV660" si="717">IF($H660=0, $G660, AA24)</f>
        <v>0</v>
      </c>
      <c r="AB660" s="55">
        <f t="shared" si="717"/>
        <v>0</v>
      </c>
      <c r="AC660" s="55">
        <f t="shared" si="717"/>
        <v>0</v>
      </c>
      <c r="AD660" s="55">
        <f t="shared" si="717"/>
        <v>0</v>
      </c>
      <c r="AE660" s="55">
        <f t="shared" si="717"/>
        <v>0</v>
      </c>
      <c r="AF660" s="55">
        <f t="shared" si="717"/>
        <v>0</v>
      </c>
      <c r="AG660" s="55">
        <f t="shared" si="717"/>
        <v>0</v>
      </c>
      <c r="AH660" s="55">
        <f t="shared" si="717"/>
        <v>0</v>
      </c>
      <c r="AI660" s="55">
        <f t="shared" si="717"/>
        <v>0</v>
      </c>
      <c r="AJ660" s="55">
        <f t="shared" si="717"/>
        <v>0</v>
      </c>
      <c r="AK660" s="55">
        <f t="shared" si="717"/>
        <v>0</v>
      </c>
      <c r="AL660" s="55">
        <f t="shared" si="717"/>
        <v>0</v>
      </c>
      <c r="AM660" s="55">
        <f t="shared" si="717"/>
        <v>0</v>
      </c>
      <c r="AN660" s="55">
        <f t="shared" si="717"/>
        <v>0</v>
      </c>
      <c r="AO660" s="55">
        <f t="shared" si="717"/>
        <v>0</v>
      </c>
      <c r="AP660" s="55">
        <f t="shared" si="717"/>
        <v>0</v>
      </c>
      <c r="AQ660" s="55">
        <f t="shared" si="717"/>
        <v>0</v>
      </c>
      <c r="AR660" s="55">
        <f t="shared" si="717"/>
        <v>0</v>
      </c>
      <c r="AS660" s="55">
        <f t="shared" si="717"/>
        <v>0</v>
      </c>
      <c r="AT660" s="55">
        <f t="shared" si="717"/>
        <v>0</v>
      </c>
      <c r="AU660" s="55">
        <f t="shared" si="717"/>
        <v>0</v>
      </c>
      <c r="AV660" s="55">
        <f t="shared" si="717"/>
        <v>0</v>
      </c>
      <c r="AW660" s="55">
        <f t="shared" si="717"/>
        <v>0</v>
      </c>
      <c r="AX660" s="55">
        <f t="shared" si="717"/>
        <v>0</v>
      </c>
      <c r="AY660" s="55">
        <f t="shared" si="717"/>
        <v>0</v>
      </c>
      <c r="AZ660" s="55">
        <f t="shared" si="717"/>
        <v>0</v>
      </c>
      <c r="BA660" s="55">
        <f t="shared" si="717"/>
        <v>0</v>
      </c>
      <c r="BB660" s="55">
        <f t="shared" si="717"/>
        <v>0</v>
      </c>
      <c r="BC660" s="55">
        <f t="shared" si="717"/>
        <v>0</v>
      </c>
      <c r="BD660" s="55">
        <f t="shared" si="717"/>
        <v>0</v>
      </c>
      <c r="BE660" s="55">
        <f t="shared" si="717"/>
        <v>0</v>
      </c>
      <c r="BF660" s="55">
        <f t="shared" si="717"/>
        <v>0</v>
      </c>
      <c r="BG660" s="55">
        <f t="shared" si="717"/>
        <v>0</v>
      </c>
      <c r="BH660" s="55">
        <f t="shared" si="717"/>
        <v>0</v>
      </c>
      <c r="BI660" s="55">
        <f t="shared" si="717"/>
        <v>0</v>
      </c>
      <c r="BJ660" s="55">
        <f t="shared" si="717"/>
        <v>0</v>
      </c>
      <c r="BK660" s="55">
        <f t="shared" si="717"/>
        <v>0</v>
      </c>
      <c r="BL660" s="55">
        <f t="shared" si="717"/>
        <v>0</v>
      </c>
      <c r="BM660" s="55">
        <f t="shared" si="717"/>
        <v>0</v>
      </c>
      <c r="BN660" s="55">
        <f t="shared" si="717"/>
        <v>0</v>
      </c>
      <c r="BO660" s="55">
        <f t="shared" si="717"/>
        <v>0</v>
      </c>
      <c r="BP660" s="55">
        <f t="shared" si="717"/>
        <v>0</v>
      </c>
      <c r="BQ660" s="55">
        <f t="shared" si="717"/>
        <v>0</v>
      </c>
      <c r="BR660" s="55">
        <f t="shared" si="717"/>
        <v>0</v>
      </c>
      <c r="BS660" s="55">
        <f t="shared" si="717"/>
        <v>0</v>
      </c>
      <c r="BT660" s="55">
        <f t="shared" si="717"/>
        <v>0</v>
      </c>
      <c r="BU660" s="55">
        <f t="shared" si="717"/>
        <v>0</v>
      </c>
      <c r="BV660" s="55">
        <f t="shared" si="717"/>
        <v>0</v>
      </c>
      <c r="CK660" s="11"/>
      <c r="CM660" s="11"/>
      <c r="DF660" s="11"/>
      <c r="EY660" s="10" t="str">
        <f t="shared" si="670"/>
        <v/>
      </c>
    </row>
    <row r="661" spans="1:155" x14ac:dyDescent="0.35">
      <c r="B661" s="69" t="str" cm="1">
        <f t="array" aca="1" ref="B661" ca="1">HYPERLINK(CONCATENATE("#",CELL("address",$D$284)),$D$284)</f>
        <v>Loan 13</v>
      </c>
      <c r="C661" s="211"/>
      <c r="D661" s="49">
        <f>D$25</f>
        <v>0</v>
      </c>
      <c r="E661" s="49" t="str">
        <f>F$25</f>
        <v/>
      </c>
      <c r="F661" s="49"/>
      <c r="G661" s="55">
        <f t="shared" si="705"/>
        <v>0</v>
      </c>
      <c r="H661" s="10">
        <f>L$25</f>
        <v>0</v>
      </c>
      <c r="I661" s="40" t="s">
        <v>1079</v>
      </c>
      <c r="AA661" s="55">
        <f t="shared" ref="AA661:BV661" si="718">IF($H661=0, $G661, AA25)</f>
        <v>0</v>
      </c>
      <c r="AB661" s="55">
        <f t="shared" si="718"/>
        <v>0</v>
      </c>
      <c r="AC661" s="55">
        <f t="shared" si="718"/>
        <v>0</v>
      </c>
      <c r="AD661" s="55">
        <f t="shared" si="718"/>
        <v>0</v>
      </c>
      <c r="AE661" s="55">
        <f t="shared" si="718"/>
        <v>0</v>
      </c>
      <c r="AF661" s="55">
        <f t="shared" si="718"/>
        <v>0</v>
      </c>
      <c r="AG661" s="55">
        <f t="shared" si="718"/>
        <v>0</v>
      </c>
      <c r="AH661" s="55">
        <f t="shared" si="718"/>
        <v>0</v>
      </c>
      <c r="AI661" s="55">
        <f t="shared" si="718"/>
        <v>0</v>
      </c>
      <c r="AJ661" s="55">
        <f t="shared" si="718"/>
        <v>0</v>
      </c>
      <c r="AK661" s="55">
        <f t="shared" si="718"/>
        <v>0</v>
      </c>
      <c r="AL661" s="55">
        <f t="shared" si="718"/>
        <v>0</v>
      </c>
      <c r="AM661" s="55">
        <f t="shared" si="718"/>
        <v>0</v>
      </c>
      <c r="AN661" s="55">
        <f t="shared" si="718"/>
        <v>0</v>
      </c>
      <c r="AO661" s="55">
        <f t="shared" si="718"/>
        <v>0</v>
      </c>
      <c r="AP661" s="55">
        <f t="shared" si="718"/>
        <v>0</v>
      </c>
      <c r="AQ661" s="55">
        <f t="shared" si="718"/>
        <v>0</v>
      </c>
      <c r="AR661" s="55">
        <f t="shared" si="718"/>
        <v>0</v>
      </c>
      <c r="AS661" s="55">
        <f t="shared" si="718"/>
        <v>0</v>
      </c>
      <c r="AT661" s="55">
        <f t="shared" si="718"/>
        <v>0</v>
      </c>
      <c r="AU661" s="55">
        <f t="shared" si="718"/>
        <v>0</v>
      </c>
      <c r="AV661" s="55">
        <f t="shared" si="718"/>
        <v>0</v>
      </c>
      <c r="AW661" s="55">
        <f t="shared" si="718"/>
        <v>0</v>
      </c>
      <c r="AX661" s="55">
        <f t="shared" si="718"/>
        <v>0</v>
      </c>
      <c r="AY661" s="55">
        <f t="shared" si="718"/>
        <v>0</v>
      </c>
      <c r="AZ661" s="55">
        <f t="shared" si="718"/>
        <v>0</v>
      </c>
      <c r="BA661" s="55">
        <f t="shared" si="718"/>
        <v>0</v>
      </c>
      <c r="BB661" s="55">
        <f t="shared" si="718"/>
        <v>0</v>
      </c>
      <c r="BC661" s="55">
        <f t="shared" si="718"/>
        <v>0</v>
      </c>
      <c r="BD661" s="55">
        <f t="shared" si="718"/>
        <v>0</v>
      </c>
      <c r="BE661" s="55">
        <f t="shared" si="718"/>
        <v>0</v>
      </c>
      <c r="BF661" s="55">
        <f t="shared" si="718"/>
        <v>0</v>
      </c>
      <c r="BG661" s="55">
        <f t="shared" si="718"/>
        <v>0</v>
      </c>
      <c r="BH661" s="55">
        <f t="shared" si="718"/>
        <v>0</v>
      </c>
      <c r="BI661" s="55">
        <f t="shared" si="718"/>
        <v>0</v>
      </c>
      <c r="BJ661" s="55">
        <f t="shared" si="718"/>
        <v>0</v>
      </c>
      <c r="BK661" s="55">
        <f t="shared" si="718"/>
        <v>0</v>
      </c>
      <c r="BL661" s="55">
        <f t="shared" si="718"/>
        <v>0</v>
      </c>
      <c r="BM661" s="55">
        <f t="shared" si="718"/>
        <v>0</v>
      </c>
      <c r="BN661" s="55">
        <f t="shared" si="718"/>
        <v>0</v>
      </c>
      <c r="BO661" s="55">
        <f t="shared" si="718"/>
        <v>0</v>
      </c>
      <c r="BP661" s="55">
        <f t="shared" si="718"/>
        <v>0</v>
      </c>
      <c r="BQ661" s="55">
        <f t="shared" si="718"/>
        <v>0</v>
      </c>
      <c r="BR661" s="55">
        <f t="shared" si="718"/>
        <v>0</v>
      </c>
      <c r="BS661" s="55">
        <f t="shared" si="718"/>
        <v>0</v>
      </c>
      <c r="BT661" s="55">
        <f t="shared" si="718"/>
        <v>0</v>
      </c>
      <c r="BU661" s="55">
        <f t="shared" si="718"/>
        <v>0</v>
      </c>
      <c r="BV661" s="55">
        <f t="shared" si="718"/>
        <v>0</v>
      </c>
      <c r="CK661" s="11"/>
      <c r="CM661" s="11"/>
      <c r="DF661" s="11"/>
      <c r="EY661" s="10" t="str">
        <f t="shared" si="670"/>
        <v/>
      </c>
    </row>
    <row r="662" spans="1:155" s="5" customFormat="1" x14ac:dyDescent="0.35">
      <c r="A662"/>
      <c r="B662" s="69" t="str" cm="1">
        <f t="array" aca="1" ref="B662" ca="1">HYPERLINK(CONCATENATE("#",CELL("address",$D$303)),$D$303)</f>
        <v>Loan 14</v>
      </c>
      <c r="C662" s="211"/>
      <c r="D662" s="49">
        <f>D$26</f>
        <v>0</v>
      </c>
      <c r="E662" s="49" t="str">
        <f>F$26</f>
        <v/>
      </c>
      <c r="F662" s="49"/>
      <c r="G662" s="55">
        <f t="shared" si="705"/>
        <v>0</v>
      </c>
      <c r="H662" s="10">
        <f>L$26</f>
        <v>0</v>
      </c>
      <c r="I662" s="40" t="s">
        <v>1079</v>
      </c>
      <c r="J662"/>
      <c r="K662"/>
      <c r="L662"/>
      <c r="M662"/>
      <c r="N662"/>
      <c r="O662"/>
      <c r="P662"/>
      <c r="Q662"/>
      <c r="R662"/>
      <c r="S662"/>
      <c r="T662"/>
      <c r="U662"/>
      <c r="V662"/>
      <c r="W662"/>
      <c r="X662"/>
      <c r="Y662"/>
      <c r="Z662"/>
      <c r="AA662" s="55">
        <f t="shared" ref="AA662:BV662" si="719">IF($H662=0, $G662, AA26)</f>
        <v>0</v>
      </c>
      <c r="AB662" s="55">
        <f t="shared" si="719"/>
        <v>0</v>
      </c>
      <c r="AC662" s="55">
        <f t="shared" si="719"/>
        <v>0</v>
      </c>
      <c r="AD662" s="55">
        <f t="shared" si="719"/>
        <v>0</v>
      </c>
      <c r="AE662" s="55">
        <f t="shared" si="719"/>
        <v>0</v>
      </c>
      <c r="AF662" s="55">
        <f t="shared" si="719"/>
        <v>0</v>
      </c>
      <c r="AG662" s="55">
        <f t="shared" si="719"/>
        <v>0</v>
      </c>
      <c r="AH662" s="55">
        <f t="shared" si="719"/>
        <v>0</v>
      </c>
      <c r="AI662" s="55">
        <f t="shared" si="719"/>
        <v>0</v>
      </c>
      <c r="AJ662" s="55">
        <f t="shared" si="719"/>
        <v>0</v>
      </c>
      <c r="AK662" s="55">
        <f t="shared" si="719"/>
        <v>0</v>
      </c>
      <c r="AL662" s="55">
        <f t="shared" si="719"/>
        <v>0</v>
      </c>
      <c r="AM662" s="55">
        <f t="shared" si="719"/>
        <v>0</v>
      </c>
      <c r="AN662" s="55">
        <f t="shared" si="719"/>
        <v>0</v>
      </c>
      <c r="AO662" s="55">
        <f t="shared" si="719"/>
        <v>0</v>
      </c>
      <c r="AP662" s="55">
        <f t="shared" si="719"/>
        <v>0</v>
      </c>
      <c r="AQ662" s="55">
        <f t="shared" si="719"/>
        <v>0</v>
      </c>
      <c r="AR662" s="55">
        <f t="shared" si="719"/>
        <v>0</v>
      </c>
      <c r="AS662" s="55">
        <f t="shared" si="719"/>
        <v>0</v>
      </c>
      <c r="AT662" s="55">
        <f t="shared" si="719"/>
        <v>0</v>
      </c>
      <c r="AU662" s="55">
        <f t="shared" si="719"/>
        <v>0</v>
      </c>
      <c r="AV662" s="55">
        <f t="shared" si="719"/>
        <v>0</v>
      </c>
      <c r="AW662" s="55">
        <f t="shared" si="719"/>
        <v>0</v>
      </c>
      <c r="AX662" s="55">
        <f t="shared" si="719"/>
        <v>0</v>
      </c>
      <c r="AY662" s="55">
        <f t="shared" si="719"/>
        <v>0</v>
      </c>
      <c r="AZ662" s="55">
        <f t="shared" si="719"/>
        <v>0</v>
      </c>
      <c r="BA662" s="55">
        <f t="shared" si="719"/>
        <v>0</v>
      </c>
      <c r="BB662" s="55">
        <f t="shared" si="719"/>
        <v>0</v>
      </c>
      <c r="BC662" s="55">
        <f t="shared" si="719"/>
        <v>0</v>
      </c>
      <c r="BD662" s="55">
        <f t="shared" si="719"/>
        <v>0</v>
      </c>
      <c r="BE662" s="55">
        <f t="shared" si="719"/>
        <v>0</v>
      </c>
      <c r="BF662" s="55">
        <f t="shared" si="719"/>
        <v>0</v>
      </c>
      <c r="BG662" s="55">
        <f t="shared" si="719"/>
        <v>0</v>
      </c>
      <c r="BH662" s="55">
        <f t="shared" si="719"/>
        <v>0</v>
      </c>
      <c r="BI662" s="55">
        <f t="shared" si="719"/>
        <v>0</v>
      </c>
      <c r="BJ662" s="55">
        <f t="shared" si="719"/>
        <v>0</v>
      </c>
      <c r="BK662" s="55">
        <f t="shared" si="719"/>
        <v>0</v>
      </c>
      <c r="BL662" s="55">
        <f t="shared" si="719"/>
        <v>0</v>
      </c>
      <c r="BM662" s="55">
        <f t="shared" si="719"/>
        <v>0</v>
      </c>
      <c r="BN662" s="55">
        <f t="shared" si="719"/>
        <v>0</v>
      </c>
      <c r="BO662" s="55">
        <f t="shared" si="719"/>
        <v>0</v>
      </c>
      <c r="BP662" s="55">
        <f t="shared" si="719"/>
        <v>0</v>
      </c>
      <c r="BQ662" s="55">
        <f t="shared" si="719"/>
        <v>0</v>
      </c>
      <c r="BR662" s="55">
        <f t="shared" si="719"/>
        <v>0</v>
      </c>
      <c r="BS662" s="55">
        <f t="shared" si="719"/>
        <v>0</v>
      </c>
      <c r="BT662" s="55">
        <f t="shared" si="719"/>
        <v>0</v>
      </c>
      <c r="BU662" s="55">
        <f t="shared" si="719"/>
        <v>0</v>
      </c>
      <c r="BV662" s="55">
        <f t="shared" si="719"/>
        <v>0</v>
      </c>
      <c r="BW662"/>
      <c r="BX662"/>
      <c r="BY662"/>
      <c r="BZ662"/>
      <c r="CA662"/>
      <c r="CB662"/>
      <c r="CC662"/>
      <c r="CD662"/>
      <c r="CE662"/>
      <c r="CF662"/>
      <c r="CG662"/>
      <c r="CH662"/>
      <c r="CI662"/>
      <c r="CJ662"/>
      <c r="CK662" s="11"/>
      <c r="CL662"/>
      <c r="CM662" s="11"/>
      <c r="CN662"/>
      <c r="CO662"/>
      <c r="CP662"/>
      <c r="CQ662"/>
      <c r="CR662"/>
      <c r="CS662"/>
      <c r="CT662"/>
      <c r="CU662"/>
      <c r="CV662"/>
      <c r="CW662"/>
      <c r="CX662"/>
      <c r="CY662"/>
      <c r="CZ662"/>
      <c r="DA662"/>
      <c r="DB662"/>
      <c r="DC662"/>
      <c r="DD662"/>
      <c r="DE662"/>
      <c r="DF662" s="11"/>
      <c r="EY662" s="10" t="str">
        <f t="shared" si="670"/>
        <v/>
      </c>
    </row>
    <row r="663" spans="1:155" x14ac:dyDescent="0.35">
      <c r="B663" s="69" t="str" cm="1">
        <f t="array" aca="1" ref="B663" ca="1">HYPERLINK(CONCATENATE("#",CELL("address",$D$322)),$D$322)</f>
        <v>Loan 15</v>
      </c>
      <c r="C663" s="211"/>
      <c r="D663" s="49">
        <f>D$27</f>
        <v>0</v>
      </c>
      <c r="E663" s="49" t="str">
        <f>F$27</f>
        <v/>
      </c>
      <c r="F663" s="49"/>
      <c r="G663" s="55">
        <f t="shared" si="705"/>
        <v>0</v>
      </c>
      <c r="H663" s="10">
        <f>L$27</f>
        <v>0</v>
      </c>
      <c r="I663" s="40" t="s">
        <v>1079</v>
      </c>
      <c r="AA663" s="55">
        <f t="shared" ref="AA663:BV663" si="720">IF($H663=0, $G663, AA27)</f>
        <v>0</v>
      </c>
      <c r="AB663" s="55">
        <f t="shared" si="720"/>
        <v>0</v>
      </c>
      <c r="AC663" s="55">
        <f t="shared" si="720"/>
        <v>0</v>
      </c>
      <c r="AD663" s="55">
        <f t="shared" si="720"/>
        <v>0</v>
      </c>
      <c r="AE663" s="55">
        <f t="shared" si="720"/>
        <v>0</v>
      </c>
      <c r="AF663" s="55">
        <f t="shared" si="720"/>
        <v>0</v>
      </c>
      <c r="AG663" s="55">
        <f t="shared" si="720"/>
        <v>0</v>
      </c>
      <c r="AH663" s="55">
        <f t="shared" si="720"/>
        <v>0</v>
      </c>
      <c r="AI663" s="55">
        <f t="shared" si="720"/>
        <v>0</v>
      </c>
      <c r="AJ663" s="55">
        <f t="shared" si="720"/>
        <v>0</v>
      </c>
      <c r="AK663" s="55">
        <f t="shared" si="720"/>
        <v>0</v>
      </c>
      <c r="AL663" s="55">
        <f t="shared" si="720"/>
        <v>0</v>
      </c>
      <c r="AM663" s="55">
        <f t="shared" si="720"/>
        <v>0</v>
      </c>
      <c r="AN663" s="55">
        <f t="shared" si="720"/>
        <v>0</v>
      </c>
      <c r="AO663" s="55">
        <f t="shared" si="720"/>
        <v>0</v>
      </c>
      <c r="AP663" s="55">
        <f t="shared" si="720"/>
        <v>0</v>
      </c>
      <c r="AQ663" s="55">
        <f t="shared" si="720"/>
        <v>0</v>
      </c>
      <c r="AR663" s="55">
        <f t="shared" si="720"/>
        <v>0</v>
      </c>
      <c r="AS663" s="55">
        <f t="shared" si="720"/>
        <v>0</v>
      </c>
      <c r="AT663" s="55">
        <f t="shared" si="720"/>
        <v>0</v>
      </c>
      <c r="AU663" s="55">
        <f t="shared" si="720"/>
        <v>0</v>
      </c>
      <c r="AV663" s="55">
        <f t="shared" si="720"/>
        <v>0</v>
      </c>
      <c r="AW663" s="55">
        <f t="shared" si="720"/>
        <v>0</v>
      </c>
      <c r="AX663" s="55">
        <f t="shared" si="720"/>
        <v>0</v>
      </c>
      <c r="AY663" s="55">
        <f t="shared" si="720"/>
        <v>0</v>
      </c>
      <c r="AZ663" s="55">
        <f t="shared" si="720"/>
        <v>0</v>
      </c>
      <c r="BA663" s="55">
        <f t="shared" si="720"/>
        <v>0</v>
      </c>
      <c r="BB663" s="55">
        <f t="shared" si="720"/>
        <v>0</v>
      </c>
      <c r="BC663" s="55">
        <f t="shared" si="720"/>
        <v>0</v>
      </c>
      <c r="BD663" s="55">
        <f t="shared" si="720"/>
        <v>0</v>
      </c>
      <c r="BE663" s="55">
        <f t="shared" si="720"/>
        <v>0</v>
      </c>
      <c r="BF663" s="55">
        <f t="shared" si="720"/>
        <v>0</v>
      </c>
      <c r="BG663" s="55">
        <f t="shared" si="720"/>
        <v>0</v>
      </c>
      <c r="BH663" s="55">
        <f t="shared" si="720"/>
        <v>0</v>
      </c>
      <c r="BI663" s="55">
        <f t="shared" si="720"/>
        <v>0</v>
      </c>
      <c r="BJ663" s="55">
        <f t="shared" si="720"/>
        <v>0</v>
      </c>
      <c r="BK663" s="55">
        <f t="shared" si="720"/>
        <v>0</v>
      </c>
      <c r="BL663" s="55">
        <f t="shared" si="720"/>
        <v>0</v>
      </c>
      <c r="BM663" s="55">
        <f t="shared" si="720"/>
        <v>0</v>
      </c>
      <c r="BN663" s="55">
        <f t="shared" si="720"/>
        <v>0</v>
      </c>
      <c r="BO663" s="55">
        <f t="shared" si="720"/>
        <v>0</v>
      </c>
      <c r="BP663" s="55">
        <f t="shared" si="720"/>
        <v>0</v>
      </c>
      <c r="BQ663" s="55">
        <f t="shared" si="720"/>
        <v>0</v>
      </c>
      <c r="BR663" s="55">
        <f t="shared" si="720"/>
        <v>0</v>
      </c>
      <c r="BS663" s="55">
        <f t="shared" si="720"/>
        <v>0</v>
      </c>
      <c r="BT663" s="55">
        <f t="shared" si="720"/>
        <v>0</v>
      </c>
      <c r="BU663" s="55">
        <f t="shared" si="720"/>
        <v>0</v>
      </c>
      <c r="BV663" s="55">
        <f t="shared" si="720"/>
        <v>0</v>
      </c>
      <c r="CK663" s="11"/>
      <c r="CM663" s="11"/>
      <c r="DF663" s="11"/>
      <c r="EY663" s="10" t="str">
        <f t="shared" si="670"/>
        <v/>
      </c>
    </row>
    <row r="664" spans="1:155" x14ac:dyDescent="0.35">
      <c r="B664" s="69" t="str" cm="1">
        <f t="array" aca="1" ref="B664" ca="1">HYPERLINK(CONCATENATE("#",CELL("address",$D$341)),$D$341)</f>
        <v>Loan 16</v>
      </c>
      <c r="C664" s="211"/>
      <c r="D664" s="49">
        <f>D$28</f>
        <v>0</v>
      </c>
      <c r="E664" s="49" t="str">
        <f>F$28</f>
        <v/>
      </c>
      <c r="F664" s="49"/>
      <c r="G664" s="55">
        <f t="shared" si="705"/>
        <v>0</v>
      </c>
      <c r="H664" s="10">
        <f>L$28</f>
        <v>0</v>
      </c>
      <c r="I664" s="40" t="s">
        <v>1079</v>
      </c>
      <c r="AA664" s="55">
        <f t="shared" ref="AA664:BV664" si="721">IF($H664=0, $G664, AA28)</f>
        <v>0</v>
      </c>
      <c r="AB664" s="55">
        <f t="shared" si="721"/>
        <v>0</v>
      </c>
      <c r="AC664" s="55">
        <f t="shared" si="721"/>
        <v>0</v>
      </c>
      <c r="AD664" s="55">
        <f t="shared" si="721"/>
        <v>0</v>
      </c>
      <c r="AE664" s="55">
        <f t="shared" si="721"/>
        <v>0</v>
      </c>
      <c r="AF664" s="55">
        <f t="shared" si="721"/>
        <v>0</v>
      </c>
      <c r="AG664" s="55">
        <f t="shared" si="721"/>
        <v>0</v>
      </c>
      <c r="AH664" s="55">
        <f t="shared" si="721"/>
        <v>0</v>
      </c>
      <c r="AI664" s="55">
        <f t="shared" si="721"/>
        <v>0</v>
      </c>
      <c r="AJ664" s="55">
        <f t="shared" si="721"/>
        <v>0</v>
      </c>
      <c r="AK664" s="55">
        <f t="shared" si="721"/>
        <v>0</v>
      </c>
      <c r="AL664" s="55">
        <f t="shared" si="721"/>
        <v>0</v>
      </c>
      <c r="AM664" s="55">
        <f t="shared" si="721"/>
        <v>0</v>
      </c>
      <c r="AN664" s="55">
        <f t="shared" si="721"/>
        <v>0</v>
      </c>
      <c r="AO664" s="55">
        <f t="shared" si="721"/>
        <v>0</v>
      </c>
      <c r="AP664" s="55">
        <f t="shared" si="721"/>
        <v>0</v>
      </c>
      <c r="AQ664" s="55">
        <f t="shared" si="721"/>
        <v>0</v>
      </c>
      <c r="AR664" s="55">
        <f t="shared" si="721"/>
        <v>0</v>
      </c>
      <c r="AS664" s="55">
        <f t="shared" si="721"/>
        <v>0</v>
      </c>
      <c r="AT664" s="55">
        <f t="shared" si="721"/>
        <v>0</v>
      </c>
      <c r="AU664" s="55">
        <f t="shared" si="721"/>
        <v>0</v>
      </c>
      <c r="AV664" s="55">
        <f t="shared" si="721"/>
        <v>0</v>
      </c>
      <c r="AW664" s="55">
        <f t="shared" si="721"/>
        <v>0</v>
      </c>
      <c r="AX664" s="55">
        <f t="shared" si="721"/>
        <v>0</v>
      </c>
      <c r="AY664" s="55">
        <f t="shared" si="721"/>
        <v>0</v>
      </c>
      <c r="AZ664" s="55">
        <f t="shared" si="721"/>
        <v>0</v>
      </c>
      <c r="BA664" s="55">
        <f t="shared" si="721"/>
        <v>0</v>
      </c>
      <c r="BB664" s="55">
        <f t="shared" si="721"/>
        <v>0</v>
      </c>
      <c r="BC664" s="55">
        <f t="shared" si="721"/>
        <v>0</v>
      </c>
      <c r="BD664" s="55">
        <f t="shared" si="721"/>
        <v>0</v>
      </c>
      <c r="BE664" s="55">
        <f t="shared" si="721"/>
        <v>0</v>
      </c>
      <c r="BF664" s="55">
        <f t="shared" si="721"/>
        <v>0</v>
      </c>
      <c r="BG664" s="55">
        <f t="shared" si="721"/>
        <v>0</v>
      </c>
      <c r="BH664" s="55">
        <f t="shared" si="721"/>
        <v>0</v>
      </c>
      <c r="BI664" s="55">
        <f t="shared" si="721"/>
        <v>0</v>
      </c>
      <c r="BJ664" s="55">
        <f t="shared" si="721"/>
        <v>0</v>
      </c>
      <c r="BK664" s="55">
        <f t="shared" si="721"/>
        <v>0</v>
      </c>
      <c r="BL664" s="55">
        <f t="shared" si="721"/>
        <v>0</v>
      </c>
      <c r="BM664" s="55">
        <f t="shared" si="721"/>
        <v>0</v>
      </c>
      <c r="BN664" s="55">
        <f t="shared" si="721"/>
        <v>0</v>
      </c>
      <c r="BO664" s="55">
        <f t="shared" si="721"/>
        <v>0</v>
      </c>
      <c r="BP664" s="55">
        <f t="shared" si="721"/>
        <v>0</v>
      </c>
      <c r="BQ664" s="55">
        <f t="shared" si="721"/>
        <v>0</v>
      </c>
      <c r="BR664" s="55">
        <f t="shared" si="721"/>
        <v>0</v>
      </c>
      <c r="BS664" s="55">
        <f t="shared" si="721"/>
        <v>0</v>
      </c>
      <c r="BT664" s="55">
        <f t="shared" si="721"/>
        <v>0</v>
      </c>
      <c r="BU664" s="55">
        <f t="shared" si="721"/>
        <v>0</v>
      </c>
      <c r="BV664" s="55">
        <f t="shared" si="721"/>
        <v>0</v>
      </c>
      <c r="CK664" s="11"/>
      <c r="CM664" s="11"/>
      <c r="DF664" s="11"/>
      <c r="EY664" s="10" t="str">
        <f t="shared" si="670"/>
        <v/>
      </c>
    </row>
    <row r="665" spans="1:155" x14ac:dyDescent="0.35">
      <c r="B665" s="69" t="str" cm="1">
        <f t="array" aca="1" ref="B665" ca="1">HYPERLINK(CONCATENATE("#",CELL("address",$D$360)),$D$360)</f>
        <v>Loan 17</v>
      </c>
      <c r="C665" s="211"/>
      <c r="D665" s="49">
        <f>D$29</f>
        <v>0</v>
      </c>
      <c r="E665" s="49" t="str">
        <f>F$29</f>
        <v/>
      </c>
      <c r="F665" s="49"/>
      <c r="G665" s="55">
        <f t="shared" si="705"/>
        <v>0</v>
      </c>
      <c r="H665" s="10">
        <f>L$29</f>
        <v>0</v>
      </c>
      <c r="I665" s="40" t="s">
        <v>1079</v>
      </c>
      <c r="AA665" s="55">
        <f t="shared" ref="AA665:BV665" si="722">IF($H665=0, $G665, AA29)</f>
        <v>0</v>
      </c>
      <c r="AB665" s="55">
        <f t="shared" si="722"/>
        <v>0</v>
      </c>
      <c r="AC665" s="55">
        <f t="shared" si="722"/>
        <v>0</v>
      </c>
      <c r="AD665" s="55">
        <f t="shared" si="722"/>
        <v>0</v>
      </c>
      <c r="AE665" s="55">
        <f t="shared" si="722"/>
        <v>0</v>
      </c>
      <c r="AF665" s="55">
        <f t="shared" si="722"/>
        <v>0</v>
      </c>
      <c r="AG665" s="55">
        <f t="shared" si="722"/>
        <v>0</v>
      </c>
      <c r="AH665" s="55">
        <f t="shared" si="722"/>
        <v>0</v>
      </c>
      <c r="AI665" s="55">
        <f t="shared" si="722"/>
        <v>0</v>
      </c>
      <c r="AJ665" s="55">
        <f t="shared" si="722"/>
        <v>0</v>
      </c>
      <c r="AK665" s="55">
        <f t="shared" si="722"/>
        <v>0</v>
      </c>
      <c r="AL665" s="55">
        <f t="shared" si="722"/>
        <v>0</v>
      </c>
      <c r="AM665" s="55">
        <f t="shared" si="722"/>
        <v>0</v>
      </c>
      <c r="AN665" s="55">
        <f t="shared" si="722"/>
        <v>0</v>
      </c>
      <c r="AO665" s="55">
        <f t="shared" si="722"/>
        <v>0</v>
      </c>
      <c r="AP665" s="55">
        <f t="shared" si="722"/>
        <v>0</v>
      </c>
      <c r="AQ665" s="55">
        <f t="shared" si="722"/>
        <v>0</v>
      </c>
      <c r="AR665" s="55">
        <f t="shared" si="722"/>
        <v>0</v>
      </c>
      <c r="AS665" s="55">
        <f t="shared" si="722"/>
        <v>0</v>
      </c>
      <c r="AT665" s="55">
        <f t="shared" si="722"/>
        <v>0</v>
      </c>
      <c r="AU665" s="55">
        <f t="shared" si="722"/>
        <v>0</v>
      </c>
      <c r="AV665" s="55">
        <f t="shared" si="722"/>
        <v>0</v>
      </c>
      <c r="AW665" s="55">
        <f t="shared" si="722"/>
        <v>0</v>
      </c>
      <c r="AX665" s="55">
        <f t="shared" si="722"/>
        <v>0</v>
      </c>
      <c r="AY665" s="55">
        <f t="shared" si="722"/>
        <v>0</v>
      </c>
      <c r="AZ665" s="55">
        <f t="shared" si="722"/>
        <v>0</v>
      </c>
      <c r="BA665" s="55">
        <f t="shared" si="722"/>
        <v>0</v>
      </c>
      <c r="BB665" s="55">
        <f t="shared" si="722"/>
        <v>0</v>
      </c>
      <c r="BC665" s="55">
        <f t="shared" si="722"/>
        <v>0</v>
      </c>
      <c r="BD665" s="55">
        <f t="shared" si="722"/>
        <v>0</v>
      </c>
      <c r="BE665" s="55">
        <f t="shared" si="722"/>
        <v>0</v>
      </c>
      <c r="BF665" s="55">
        <f t="shared" si="722"/>
        <v>0</v>
      </c>
      <c r="BG665" s="55">
        <f t="shared" si="722"/>
        <v>0</v>
      </c>
      <c r="BH665" s="55">
        <f t="shared" si="722"/>
        <v>0</v>
      </c>
      <c r="BI665" s="55">
        <f t="shared" si="722"/>
        <v>0</v>
      </c>
      <c r="BJ665" s="55">
        <f t="shared" si="722"/>
        <v>0</v>
      </c>
      <c r="BK665" s="55">
        <f t="shared" si="722"/>
        <v>0</v>
      </c>
      <c r="BL665" s="55">
        <f t="shared" si="722"/>
        <v>0</v>
      </c>
      <c r="BM665" s="55">
        <f t="shared" si="722"/>
        <v>0</v>
      </c>
      <c r="BN665" s="55">
        <f t="shared" si="722"/>
        <v>0</v>
      </c>
      <c r="BO665" s="55">
        <f t="shared" si="722"/>
        <v>0</v>
      </c>
      <c r="BP665" s="55">
        <f t="shared" si="722"/>
        <v>0</v>
      </c>
      <c r="BQ665" s="55">
        <f t="shared" si="722"/>
        <v>0</v>
      </c>
      <c r="BR665" s="55">
        <f t="shared" si="722"/>
        <v>0</v>
      </c>
      <c r="BS665" s="55">
        <f t="shared" si="722"/>
        <v>0</v>
      </c>
      <c r="BT665" s="55">
        <f t="shared" si="722"/>
        <v>0</v>
      </c>
      <c r="BU665" s="55">
        <f t="shared" si="722"/>
        <v>0</v>
      </c>
      <c r="BV665" s="55">
        <f t="shared" si="722"/>
        <v>0</v>
      </c>
      <c r="CK665" s="11"/>
      <c r="CM665" s="11"/>
      <c r="DF665" s="11"/>
      <c r="EY665" s="10" t="str">
        <f t="shared" si="670"/>
        <v/>
      </c>
    </row>
    <row r="666" spans="1:155" x14ac:dyDescent="0.35">
      <c r="B666" s="69" t="str" cm="1">
        <f t="array" aca="1" ref="B666" ca="1">HYPERLINK(CONCATENATE("#",CELL("address",$D$379)),$D$379)</f>
        <v>Loan 18</v>
      </c>
      <c r="C666" s="211"/>
      <c r="D666" s="49">
        <f>D$30</f>
        <v>0</v>
      </c>
      <c r="E666" s="49" t="str">
        <f>F$30</f>
        <v/>
      </c>
      <c r="F666" s="49"/>
      <c r="G666" s="55">
        <f t="shared" si="705"/>
        <v>0</v>
      </c>
      <c r="H666" s="10">
        <f>L$30</f>
        <v>0</v>
      </c>
      <c r="I666" s="40" t="s">
        <v>1079</v>
      </c>
      <c r="AA666" s="55">
        <f t="shared" ref="AA666:BV666" si="723">IF($H666=0, $G666, AA30)</f>
        <v>0</v>
      </c>
      <c r="AB666" s="55">
        <f t="shared" si="723"/>
        <v>0</v>
      </c>
      <c r="AC666" s="55">
        <f t="shared" si="723"/>
        <v>0</v>
      </c>
      <c r="AD666" s="55">
        <f t="shared" si="723"/>
        <v>0</v>
      </c>
      <c r="AE666" s="55">
        <f t="shared" si="723"/>
        <v>0</v>
      </c>
      <c r="AF666" s="55">
        <f t="shared" si="723"/>
        <v>0</v>
      </c>
      <c r="AG666" s="55">
        <f t="shared" si="723"/>
        <v>0</v>
      </c>
      <c r="AH666" s="55">
        <f t="shared" si="723"/>
        <v>0</v>
      </c>
      <c r="AI666" s="55">
        <f t="shared" si="723"/>
        <v>0</v>
      </c>
      <c r="AJ666" s="55">
        <f t="shared" si="723"/>
        <v>0</v>
      </c>
      <c r="AK666" s="55">
        <f t="shared" si="723"/>
        <v>0</v>
      </c>
      <c r="AL666" s="55">
        <f t="shared" si="723"/>
        <v>0</v>
      </c>
      <c r="AM666" s="55">
        <f t="shared" si="723"/>
        <v>0</v>
      </c>
      <c r="AN666" s="55">
        <f t="shared" si="723"/>
        <v>0</v>
      </c>
      <c r="AO666" s="55">
        <f t="shared" si="723"/>
        <v>0</v>
      </c>
      <c r="AP666" s="55">
        <f t="shared" si="723"/>
        <v>0</v>
      </c>
      <c r="AQ666" s="55">
        <f t="shared" si="723"/>
        <v>0</v>
      </c>
      <c r="AR666" s="55">
        <f t="shared" si="723"/>
        <v>0</v>
      </c>
      <c r="AS666" s="55">
        <f t="shared" si="723"/>
        <v>0</v>
      </c>
      <c r="AT666" s="55">
        <f t="shared" si="723"/>
        <v>0</v>
      </c>
      <c r="AU666" s="55">
        <f t="shared" si="723"/>
        <v>0</v>
      </c>
      <c r="AV666" s="55">
        <f t="shared" si="723"/>
        <v>0</v>
      </c>
      <c r="AW666" s="55">
        <f t="shared" si="723"/>
        <v>0</v>
      </c>
      <c r="AX666" s="55">
        <f t="shared" si="723"/>
        <v>0</v>
      </c>
      <c r="AY666" s="55">
        <f t="shared" si="723"/>
        <v>0</v>
      </c>
      <c r="AZ666" s="55">
        <f t="shared" si="723"/>
        <v>0</v>
      </c>
      <c r="BA666" s="55">
        <f t="shared" si="723"/>
        <v>0</v>
      </c>
      <c r="BB666" s="55">
        <f t="shared" si="723"/>
        <v>0</v>
      </c>
      <c r="BC666" s="55">
        <f t="shared" si="723"/>
        <v>0</v>
      </c>
      <c r="BD666" s="55">
        <f t="shared" si="723"/>
        <v>0</v>
      </c>
      <c r="BE666" s="55">
        <f t="shared" si="723"/>
        <v>0</v>
      </c>
      <c r="BF666" s="55">
        <f t="shared" si="723"/>
        <v>0</v>
      </c>
      <c r="BG666" s="55">
        <f t="shared" si="723"/>
        <v>0</v>
      </c>
      <c r="BH666" s="55">
        <f t="shared" si="723"/>
        <v>0</v>
      </c>
      <c r="BI666" s="55">
        <f t="shared" si="723"/>
        <v>0</v>
      </c>
      <c r="BJ666" s="55">
        <f t="shared" si="723"/>
        <v>0</v>
      </c>
      <c r="BK666" s="55">
        <f t="shared" si="723"/>
        <v>0</v>
      </c>
      <c r="BL666" s="55">
        <f t="shared" si="723"/>
        <v>0</v>
      </c>
      <c r="BM666" s="55">
        <f t="shared" si="723"/>
        <v>0</v>
      </c>
      <c r="BN666" s="55">
        <f t="shared" si="723"/>
        <v>0</v>
      </c>
      <c r="BO666" s="55">
        <f t="shared" si="723"/>
        <v>0</v>
      </c>
      <c r="BP666" s="55">
        <f t="shared" si="723"/>
        <v>0</v>
      </c>
      <c r="BQ666" s="55">
        <f t="shared" si="723"/>
        <v>0</v>
      </c>
      <c r="BR666" s="55">
        <f t="shared" si="723"/>
        <v>0</v>
      </c>
      <c r="BS666" s="55">
        <f t="shared" si="723"/>
        <v>0</v>
      </c>
      <c r="BT666" s="55">
        <f t="shared" si="723"/>
        <v>0</v>
      </c>
      <c r="BU666" s="55">
        <f t="shared" si="723"/>
        <v>0</v>
      </c>
      <c r="BV666" s="55">
        <f t="shared" si="723"/>
        <v>0</v>
      </c>
      <c r="CK666" s="11"/>
      <c r="CM666" s="11"/>
      <c r="DF666" s="11"/>
      <c r="EY666" s="10" t="str">
        <f t="shared" si="670"/>
        <v/>
      </c>
    </row>
    <row r="667" spans="1:155" x14ac:dyDescent="0.35">
      <c r="B667" s="69" t="str" cm="1">
        <f t="array" aca="1" ref="B667" ca="1">HYPERLINK(CONCATENATE("#",CELL("address",$D$398)),$D$398)</f>
        <v>Loan 19</v>
      </c>
      <c r="C667" s="211"/>
      <c r="D667" s="49">
        <f>D$31</f>
        <v>0</v>
      </c>
      <c r="E667" s="49" t="str">
        <f>F$31</f>
        <v/>
      </c>
      <c r="F667" s="49"/>
      <c r="G667" s="55">
        <f t="shared" si="705"/>
        <v>0</v>
      </c>
      <c r="H667" s="10">
        <f>L$31</f>
        <v>0</v>
      </c>
      <c r="I667" s="40" t="s">
        <v>1079</v>
      </c>
      <c r="AA667" s="55">
        <f t="shared" ref="AA667:BV667" si="724">IF($H667=0, $G667, AA31)</f>
        <v>0</v>
      </c>
      <c r="AB667" s="55">
        <f t="shared" si="724"/>
        <v>0</v>
      </c>
      <c r="AC667" s="55">
        <f t="shared" si="724"/>
        <v>0</v>
      </c>
      <c r="AD667" s="55">
        <f t="shared" si="724"/>
        <v>0</v>
      </c>
      <c r="AE667" s="55">
        <f t="shared" si="724"/>
        <v>0</v>
      </c>
      <c r="AF667" s="55">
        <f t="shared" si="724"/>
        <v>0</v>
      </c>
      <c r="AG667" s="55">
        <f t="shared" si="724"/>
        <v>0</v>
      </c>
      <c r="AH667" s="55">
        <f t="shared" si="724"/>
        <v>0</v>
      </c>
      <c r="AI667" s="55">
        <f t="shared" si="724"/>
        <v>0</v>
      </c>
      <c r="AJ667" s="55">
        <f t="shared" si="724"/>
        <v>0</v>
      </c>
      <c r="AK667" s="55">
        <f t="shared" si="724"/>
        <v>0</v>
      </c>
      <c r="AL667" s="55">
        <f t="shared" si="724"/>
        <v>0</v>
      </c>
      <c r="AM667" s="55">
        <f t="shared" si="724"/>
        <v>0</v>
      </c>
      <c r="AN667" s="55">
        <f t="shared" si="724"/>
        <v>0</v>
      </c>
      <c r="AO667" s="55">
        <f t="shared" si="724"/>
        <v>0</v>
      </c>
      <c r="AP667" s="55">
        <f t="shared" si="724"/>
        <v>0</v>
      </c>
      <c r="AQ667" s="55">
        <f t="shared" si="724"/>
        <v>0</v>
      </c>
      <c r="AR667" s="55">
        <f t="shared" si="724"/>
        <v>0</v>
      </c>
      <c r="AS667" s="55">
        <f t="shared" si="724"/>
        <v>0</v>
      </c>
      <c r="AT667" s="55">
        <f t="shared" si="724"/>
        <v>0</v>
      </c>
      <c r="AU667" s="55">
        <f t="shared" si="724"/>
        <v>0</v>
      </c>
      <c r="AV667" s="55">
        <f t="shared" si="724"/>
        <v>0</v>
      </c>
      <c r="AW667" s="55">
        <f t="shared" si="724"/>
        <v>0</v>
      </c>
      <c r="AX667" s="55">
        <f t="shared" si="724"/>
        <v>0</v>
      </c>
      <c r="AY667" s="55">
        <f t="shared" si="724"/>
        <v>0</v>
      </c>
      <c r="AZ667" s="55">
        <f t="shared" si="724"/>
        <v>0</v>
      </c>
      <c r="BA667" s="55">
        <f t="shared" si="724"/>
        <v>0</v>
      </c>
      <c r="BB667" s="55">
        <f t="shared" si="724"/>
        <v>0</v>
      </c>
      <c r="BC667" s="55">
        <f t="shared" si="724"/>
        <v>0</v>
      </c>
      <c r="BD667" s="55">
        <f t="shared" si="724"/>
        <v>0</v>
      </c>
      <c r="BE667" s="55">
        <f t="shared" si="724"/>
        <v>0</v>
      </c>
      <c r="BF667" s="55">
        <f t="shared" si="724"/>
        <v>0</v>
      </c>
      <c r="BG667" s="55">
        <f t="shared" si="724"/>
        <v>0</v>
      </c>
      <c r="BH667" s="55">
        <f t="shared" si="724"/>
        <v>0</v>
      </c>
      <c r="BI667" s="55">
        <f t="shared" si="724"/>
        <v>0</v>
      </c>
      <c r="BJ667" s="55">
        <f t="shared" si="724"/>
        <v>0</v>
      </c>
      <c r="BK667" s="55">
        <f t="shared" si="724"/>
        <v>0</v>
      </c>
      <c r="BL667" s="55">
        <f t="shared" si="724"/>
        <v>0</v>
      </c>
      <c r="BM667" s="55">
        <f t="shared" si="724"/>
        <v>0</v>
      </c>
      <c r="BN667" s="55">
        <f t="shared" si="724"/>
        <v>0</v>
      </c>
      <c r="BO667" s="55">
        <f t="shared" si="724"/>
        <v>0</v>
      </c>
      <c r="BP667" s="55">
        <f t="shared" si="724"/>
        <v>0</v>
      </c>
      <c r="BQ667" s="55">
        <f t="shared" si="724"/>
        <v>0</v>
      </c>
      <c r="BR667" s="55">
        <f t="shared" si="724"/>
        <v>0</v>
      </c>
      <c r="BS667" s="55">
        <f t="shared" si="724"/>
        <v>0</v>
      </c>
      <c r="BT667" s="55">
        <f t="shared" si="724"/>
        <v>0</v>
      </c>
      <c r="BU667" s="55">
        <f t="shared" si="724"/>
        <v>0</v>
      </c>
      <c r="BV667" s="55">
        <f t="shared" si="724"/>
        <v>0</v>
      </c>
      <c r="CK667" s="11"/>
      <c r="CM667" s="11"/>
      <c r="DF667" s="11"/>
      <c r="EY667" s="10" t="str">
        <f t="shared" si="670"/>
        <v/>
      </c>
    </row>
    <row r="668" spans="1:155" x14ac:dyDescent="0.35">
      <c r="B668" s="69" t="str" cm="1">
        <f t="array" aca="1" ref="B668" ca="1">HYPERLINK(CONCATENATE("#",CELL("address",$D$417)),$D$417)</f>
        <v>Loan 20</v>
      </c>
      <c r="C668" s="211"/>
      <c r="D668" s="49">
        <f>D$32</f>
        <v>0</v>
      </c>
      <c r="E668" s="49" t="str">
        <f>F$32</f>
        <v/>
      </c>
      <c r="F668" s="49"/>
      <c r="G668" s="55">
        <f t="shared" si="705"/>
        <v>0</v>
      </c>
      <c r="H668" s="10">
        <f>L$32</f>
        <v>0</v>
      </c>
      <c r="I668" s="40" t="s">
        <v>1079</v>
      </c>
      <c r="AA668" s="55">
        <f t="shared" ref="AA668:BV668" si="725">IF($H668=0, $G668, AA32)</f>
        <v>0</v>
      </c>
      <c r="AB668" s="55">
        <f t="shared" si="725"/>
        <v>0</v>
      </c>
      <c r="AC668" s="55">
        <f t="shared" si="725"/>
        <v>0</v>
      </c>
      <c r="AD668" s="55">
        <f t="shared" si="725"/>
        <v>0</v>
      </c>
      <c r="AE668" s="55">
        <f t="shared" si="725"/>
        <v>0</v>
      </c>
      <c r="AF668" s="55">
        <f t="shared" si="725"/>
        <v>0</v>
      </c>
      <c r="AG668" s="55">
        <f t="shared" si="725"/>
        <v>0</v>
      </c>
      <c r="AH668" s="55">
        <f t="shared" si="725"/>
        <v>0</v>
      </c>
      <c r="AI668" s="55">
        <f t="shared" si="725"/>
        <v>0</v>
      </c>
      <c r="AJ668" s="55">
        <f t="shared" si="725"/>
        <v>0</v>
      </c>
      <c r="AK668" s="55">
        <f t="shared" si="725"/>
        <v>0</v>
      </c>
      <c r="AL668" s="55">
        <f t="shared" si="725"/>
        <v>0</v>
      </c>
      <c r="AM668" s="55">
        <f t="shared" si="725"/>
        <v>0</v>
      </c>
      <c r="AN668" s="55">
        <f t="shared" si="725"/>
        <v>0</v>
      </c>
      <c r="AO668" s="55">
        <f t="shared" si="725"/>
        <v>0</v>
      </c>
      <c r="AP668" s="55">
        <f t="shared" si="725"/>
        <v>0</v>
      </c>
      <c r="AQ668" s="55">
        <f t="shared" si="725"/>
        <v>0</v>
      </c>
      <c r="AR668" s="55">
        <f t="shared" si="725"/>
        <v>0</v>
      </c>
      <c r="AS668" s="55">
        <f t="shared" si="725"/>
        <v>0</v>
      </c>
      <c r="AT668" s="55">
        <f t="shared" si="725"/>
        <v>0</v>
      </c>
      <c r="AU668" s="55">
        <f t="shared" si="725"/>
        <v>0</v>
      </c>
      <c r="AV668" s="55">
        <f t="shared" si="725"/>
        <v>0</v>
      </c>
      <c r="AW668" s="55">
        <f t="shared" si="725"/>
        <v>0</v>
      </c>
      <c r="AX668" s="55">
        <f t="shared" si="725"/>
        <v>0</v>
      </c>
      <c r="AY668" s="55">
        <f t="shared" si="725"/>
        <v>0</v>
      </c>
      <c r="AZ668" s="55">
        <f t="shared" si="725"/>
        <v>0</v>
      </c>
      <c r="BA668" s="55">
        <f t="shared" si="725"/>
        <v>0</v>
      </c>
      <c r="BB668" s="55">
        <f t="shared" si="725"/>
        <v>0</v>
      </c>
      <c r="BC668" s="55">
        <f t="shared" si="725"/>
        <v>0</v>
      </c>
      <c r="BD668" s="55">
        <f t="shared" si="725"/>
        <v>0</v>
      </c>
      <c r="BE668" s="55">
        <f t="shared" si="725"/>
        <v>0</v>
      </c>
      <c r="BF668" s="55">
        <f t="shared" si="725"/>
        <v>0</v>
      </c>
      <c r="BG668" s="55">
        <f t="shared" si="725"/>
        <v>0</v>
      </c>
      <c r="BH668" s="55">
        <f t="shared" si="725"/>
        <v>0</v>
      </c>
      <c r="BI668" s="55">
        <f t="shared" si="725"/>
        <v>0</v>
      </c>
      <c r="BJ668" s="55">
        <f t="shared" si="725"/>
        <v>0</v>
      </c>
      <c r="BK668" s="55">
        <f t="shared" si="725"/>
        <v>0</v>
      </c>
      <c r="BL668" s="55">
        <f t="shared" si="725"/>
        <v>0</v>
      </c>
      <c r="BM668" s="55">
        <f t="shared" si="725"/>
        <v>0</v>
      </c>
      <c r="BN668" s="55">
        <f t="shared" si="725"/>
        <v>0</v>
      </c>
      <c r="BO668" s="55">
        <f t="shared" si="725"/>
        <v>0</v>
      </c>
      <c r="BP668" s="55">
        <f t="shared" si="725"/>
        <v>0</v>
      </c>
      <c r="BQ668" s="55">
        <f t="shared" si="725"/>
        <v>0</v>
      </c>
      <c r="BR668" s="55">
        <f t="shared" si="725"/>
        <v>0</v>
      </c>
      <c r="BS668" s="55">
        <f t="shared" si="725"/>
        <v>0</v>
      </c>
      <c r="BT668" s="55">
        <f t="shared" si="725"/>
        <v>0</v>
      </c>
      <c r="BU668" s="55">
        <f t="shared" si="725"/>
        <v>0</v>
      </c>
      <c r="BV668" s="55">
        <f t="shared" si="725"/>
        <v>0</v>
      </c>
      <c r="CK668" s="11"/>
      <c r="CM668" s="11"/>
      <c r="DF668" s="11"/>
      <c r="EY668" s="10" t="str">
        <f t="shared" si="670"/>
        <v/>
      </c>
    </row>
    <row r="669" spans="1:155" ht="6.75" customHeight="1" x14ac:dyDescent="0.35">
      <c r="C669" s="211"/>
      <c r="D669" s="1"/>
      <c r="E669"/>
      <c r="F669"/>
      <c r="BY669" s="6"/>
      <c r="CK669" s="35"/>
      <c r="CM669" s="35"/>
      <c r="DF669" s="35"/>
      <c r="EY669" s="10" t="str">
        <f t="shared" si="670"/>
        <v/>
      </c>
    </row>
    <row r="670" spans="1:155" x14ac:dyDescent="0.35">
      <c r="C670" s="211"/>
      <c r="D670" s="50" t="s">
        <v>1235</v>
      </c>
      <c r="E670"/>
      <c r="F670"/>
      <c r="CK670" s="11"/>
      <c r="CM670" s="11"/>
      <c r="DF670" s="11"/>
      <c r="EY670" s="10" t="str">
        <f t="shared" si="670"/>
        <v/>
      </c>
    </row>
    <row r="671" spans="1:155" ht="58" x14ac:dyDescent="0.35">
      <c r="B671" s="107" t="s">
        <v>1229</v>
      </c>
      <c r="C671" s="211"/>
      <c r="D671" s="107" t="str">
        <f>D$11</f>
        <v>Lender</v>
      </c>
      <c r="E671" s="61" t="str">
        <f>E$11</f>
        <v>Loan Category</v>
      </c>
      <c r="F671" s="61"/>
      <c r="G671" s="57" t="s">
        <v>1236</v>
      </c>
      <c r="AA671" s="126" t="s">
        <v>122</v>
      </c>
      <c r="CK671" s="11"/>
      <c r="CM671" s="11"/>
      <c r="DF671" s="11"/>
      <c r="EY671" s="10" t="str">
        <f t="shared" si="670"/>
        <v/>
      </c>
    </row>
    <row r="672" spans="1:155" x14ac:dyDescent="0.35">
      <c r="B672" s="69" t="str" cm="1">
        <f t="array" aca="1" ref="B672" ca="1">HYPERLINK(CONCATENATE("#",CELL("address",$D$56)),$D$56)</f>
        <v>Loan 1</v>
      </c>
      <c r="C672" s="211"/>
      <c r="D672" s="49">
        <f>D$13</f>
        <v>0</v>
      </c>
      <c r="E672" s="49" t="str">
        <f>F$13</f>
        <v/>
      </c>
      <c r="F672" s="49"/>
      <c r="G672" s="133">
        <f>IFERROR(INDEX(Parameters!$E$80:$E$84, MATCH(S13, Parameters!$D$80:$D$84,0)), 0)</f>
        <v>0</v>
      </c>
      <c r="I672" s="40" t="s">
        <v>1079</v>
      </c>
      <c r="J672" s="54"/>
      <c r="AA672" s="55">
        <f t="shared" ref="AA672:BV672" si="726">IF($G672=0, 0, (1+AA649)^(1/$G672)-1)</f>
        <v>0</v>
      </c>
      <c r="AB672" s="55">
        <f t="shared" si="726"/>
        <v>0</v>
      </c>
      <c r="AC672" s="55">
        <f t="shared" si="726"/>
        <v>0</v>
      </c>
      <c r="AD672" s="55">
        <f t="shared" si="726"/>
        <v>0</v>
      </c>
      <c r="AE672" s="55">
        <f t="shared" si="726"/>
        <v>0</v>
      </c>
      <c r="AF672" s="55">
        <f t="shared" si="726"/>
        <v>0</v>
      </c>
      <c r="AG672" s="55">
        <f t="shared" si="726"/>
        <v>0</v>
      </c>
      <c r="AH672" s="55">
        <f t="shared" si="726"/>
        <v>0</v>
      </c>
      <c r="AI672" s="55">
        <f t="shared" si="726"/>
        <v>0</v>
      </c>
      <c r="AJ672" s="55">
        <f t="shared" si="726"/>
        <v>0</v>
      </c>
      <c r="AK672" s="55">
        <f t="shared" si="726"/>
        <v>0</v>
      </c>
      <c r="AL672" s="55">
        <f t="shared" si="726"/>
        <v>0</v>
      </c>
      <c r="AM672" s="55">
        <f t="shared" si="726"/>
        <v>0</v>
      </c>
      <c r="AN672" s="55">
        <f t="shared" si="726"/>
        <v>0</v>
      </c>
      <c r="AO672" s="55">
        <f t="shared" si="726"/>
        <v>0</v>
      </c>
      <c r="AP672" s="55">
        <f t="shared" si="726"/>
        <v>0</v>
      </c>
      <c r="AQ672" s="55">
        <f t="shared" si="726"/>
        <v>0</v>
      </c>
      <c r="AR672" s="55">
        <f t="shared" si="726"/>
        <v>0</v>
      </c>
      <c r="AS672" s="55">
        <f t="shared" si="726"/>
        <v>0</v>
      </c>
      <c r="AT672" s="55">
        <f t="shared" si="726"/>
        <v>0</v>
      </c>
      <c r="AU672" s="55">
        <f t="shared" si="726"/>
        <v>0</v>
      </c>
      <c r="AV672" s="55">
        <f t="shared" si="726"/>
        <v>0</v>
      </c>
      <c r="AW672" s="55">
        <f t="shared" si="726"/>
        <v>0</v>
      </c>
      <c r="AX672" s="55">
        <f t="shared" si="726"/>
        <v>0</v>
      </c>
      <c r="AY672" s="55">
        <f t="shared" si="726"/>
        <v>0</v>
      </c>
      <c r="AZ672" s="55">
        <f t="shared" si="726"/>
        <v>0</v>
      </c>
      <c r="BA672" s="55">
        <f t="shared" si="726"/>
        <v>0</v>
      </c>
      <c r="BB672" s="55">
        <f t="shared" si="726"/>
        <v>0</v>
      </c>
      <c r="BC672" s="55">
        <f t="shared" si="726"/>
        <v>0</v>
      </c>
      <c r="BD672" s="55">
        <f t="shared" si="726"/>
        <v>0</v>
      </c>
      <c r="BE672" s="55">
        <f t="shared" si="726"/>
        <v>0</v>
      </c>
      <c r="BF672" s="55">
        <f t="shared" si="726"/>
        <v>0</v>
      </c>
      <c r="BG672" s="55">
        <f t="shared" si="726"/>
        <v>0</v>
      </c>
      <c r="BH672" s="55">
        <f t="shared" si="726"/>
        <v>0</v>
      </c>
      <c r="BI672" s="55">
        <f t="shared" si="726"/>
        <v>0</v>
      </c>
      <c r="BJ672" s="55">
        <f t="shared" si="726"/>
        <v>0</v>
      </c>
      <c r="BK672" s="55">
        <f t="shared" si="726"/>
        <v>0</v>
      </c>
      <c r="BL672" s="55">
        <f t="shared" si="726"/>
        <v>0</v>
      </c>
      <c r="BM672" s="55">
        <f t="shared" si="726"/>
        <v>0</v>
      </c>
      <c r="BN672" s="55">
        <f t="shared" si="726"/>
        <v>0</v>
      </c>
      <c r="BO672" s="55">
        <f t="shared" si="726"/>
        <v>0</v>
      </c>
      <c r="BP672" s="55">
        <f t="shared" si="726"/>
        <v>0</v>
      </c>
      <c r="BQ672" s="55">
        <f t="shared" si="726"/>
        <v>0</v>
      </c>
      <c r="BR672" s="55">
        <f t="shared" si="726"/>
        <v>0</v>
      </c>
      <c r="BS672" s="55">
        <f t="shared" si="726"/>
        <v>0</v>
      </c>
      <c r="BT672" s="55">
        <f t="shared" si="726"/>
        <v>0</v>
      </c>
      <c r="BU672" s="55">
        <f t="shared" si="726"/>
        <v>0</v>
      </c>
      <c r="BV672" s="55">
        <f t="shared" si="726"/>
        <v>0</v>
      </c>
      <c r="CK672" s="11"/>
      <c r="CM672" s="11"/>
      <c r="DF672" s="11"/>
      <c r="EY672" s="10" t="str">
        <f t="shared" si="670"/>
        <v/>
      </c>
    </row>
    <row r="673" spans="1:155" x14ac:dyDescent="0.35">
      <c r="B673" s="69" t="str" cm="1">
        <f t="array" aca="1" ref="B673" ca="1">HYPERLINK(CONCATENATE("#",CELL("address",$D$75)),$D$75)</f>
        <v>Loan 2</v>
      </c>
      <c r="C673" s="211"/>
      <c r="D673" s="49">
        <f>D$14</f>
        <v>0</v>
      </c>
      <c r="E673" s="49" t="str">
        <f>F$14</f>
        <v/>
      </c>
      <c r="F673" s="49"/>
      <c r="G673" s="133">
        <f>IFERROR(INDEX(Parameters!$E$80:$E$84, MATCH(S14, Parameters!$D$80:$D$84,0)), 0)</f>
        <v>0</v>
      </c>
      <c r="I673" s="40" t="s">
        <v>1079</v>
      </c>
      <c r="AA673" s="55">
        <f t="shared" ref="AA673:BV673" si="727">IF($G673=0, 0, (1+AA650)^(1/$G673)-1)</f>
        <v>0</v>
      </c>
      <c r="AB673" s="55">
        <f t="shared" si="727"/>
        <v>0</v>
      </c>
      <c r="AC673" s="55">
        <f t="shared" si="727"/>
        <v>0</v>
      </c>
      <c r="AD673" s="55">
        <f t="shared" si="727"/>
        <v>0</v>
      </c>
      <c r="AE673" s="55">
        <f t="shared" si="727"/>
        <v>0</v>
      </c>
      <c r="AF673" s="55">
        <f t="shared" si="727"/>
        <v>0</v>
      </c>
      <c r="AG673" s="55">
        <f t="shared" si="727"/>
        <v>0</v>
      </c>
      <c r="AH673" s="55">
        <f t="shared" si="727"/>
        <v>0</v>
      </c>
      <c r="AI673" s="55">
        <f t="shared" si="727"/>
        <v>0</v>
      </c>
      <c r="AJ673" s="55">
        <f t="shared" si="727"/>
        <v>0</v>
      </c>
      <c r="AK673" s="55">
        <f t="shared" si="727"/>
        <v>0</v>
      </c>
      <c r="AL673" s="55">
        <f t="shared" si="727"/>
        <v>0</v>
      </c>
      <c r="AM673" s="55">
        <f t="shared" si="727"/>
        <v>0</v>
      </c>
      <c r="AN673" s="55">
        <f t="shared" si="727"/>
        <v>0</v>
      </c>
      <c r="AO673" s="55">
        <f t="shared" si="727"/>
        <v>0</v>
      </c>
      <c r="AP673" s="55">
        <f t="shared" si="727"/>
        <v>0</v>
      </c>
      <c r="AQ673" s="55">
        <f t="shared" si="727"/>
        <v>0</v>
      </c>
      <c r="AR673" s="55">
        <f t="shared" si="727"/>
        <v>0</v>
      </c>
      <c r="AS673" s="55">
        <f t="shared" si="727"/>
        <v>0</v>
      </c>
      <c r="AT673" s="55">
        <f t="shared" si="727"/>
        <v>0</v>
      </c>
      <c r="AU673" s="55">
        <f t="shared" si="727"/>
        <v>0</v>
      </c>
      <c r="AV673" s="55">
        <f t="shared" si="727"/>
        <v>0</v>
      </c>
      <c r="AW673" s="55">
        <f t="shared" si="727"/>
        <v>0</v>
      </c>
      <c r="AX673" s="55">
        <f t="shared" si="727"/>
        <v>0</v>
      </c>
      <c r="AY673" s="55">
        <f t="shared" si="727"/>
        <v>0</v>
      </c>
      <c r="AZ673" s="55">
        <f t="shared" si="727"/>
        <v>0</v>
      </c>
      <c r="BA673" s="55">
        <f t="shared" si="727"/>
        <v>0</v>
      </c>
      <c r="BB673" s="55">
        <f t="shared" si="727"/>
        <v>0</v>
      </c>
      <c r="BC673" s="55">
        <f t="shared" si="727"/>
        <v>0</v>
      </c>
      <c r="BD673" s="55">
        <f t="shared" si="727"/>
        <v>0</v>
      </c>
      <c r="BE673" s="55">
        <f t="shared" si="727"/>
        <v>0</v>
      </c>
      <c r="BF673" s="55">
        <f t="shared" si="727"/>
        <v>0</v>
      </c>
      <c r="BG673" s="55">
        <f t="shared" si="727"/>
        <v>0</v>
      </c>
      <c r="BH673" s="55">
        <f t="shared" si="727"/>
        <v>0</v>
      </c>
      <c r="BI673" s="55">
        <f t="shared" si="727"/>
        <v>0</v>
      </c>
      <c r="BJ673" s="55">
        <f t="shared" si="727"/>
        <v>0</v>
      </c>
      <c r="BK673" s="55">
        <f t="shared" si="727"/>
        <v>0</v>
      </c>
      <c r="BL673" s="55">
        <f t="shared" si="727"/>
        <v>0</v>
      </c>
      <c r="BM673" s="55">
        <f t="shared" si="727"/>
        <v>0</v>
      </c>
      <c r="BN673" s="55">
        <f t="shared" si="727"/>
        <v>0</v>
      </c>
      <c r="BO673" s="55">
        <f t="shared" si="727"/>
        <v>0</v>
      </c>
      <c r="BP673" s="55">
        <f t="shared" si="727"/>
        <v>0</v>
      </c>
      <c r="BQ673" s="55">
        <f t="shared" si="727"/>
        <v>0</v>
      </c>
      <c r="BR673" s="55">
        <f t="shared" si="727"/>
        <v>0</v>
      </c>
      <c r="BS673" s="55">
        <f t="shared" si="727"/>
        <v>0</v>
      </c>
      <c r="BT673" s="55">
        <f t="shared" si="727"/>
        <v>0</v>
      </c>
      <c r="BU673" s="55">
        <f t="shared" si="727"/>
        <v>0</v>
      </c>
      <c r="BV673" s="55">
        <f t="shared" si="727"/>
        <v>0</v>
      </c>
      <c r="CK673" s="11"/>
      <c r="CM673" s="11"/>
      <c r="DF673" s="11"/>
      <c r="EY673" s="10" t="str">
        <f t="shared" si="670"/>
        <v/>
      </c>
    </row>
    <row r="674" spans="1:155" x14ac:dyDescent="0.35">
      <c r="B674" s="69" t="str" cm="1">
        <f t="array" aca="1" ref="B674" ca="1">HYPERLINK(CONCATENATE("#",CELL("address",$D$94)),$D$94)</f>
        <v>Loan 3</v>
      </c>
      <c r="C674" s="211"/>
      <c r="D674" s="49">
        <f>D$15</f>
        <v>0</v>
      </c>
      <c r="E674" s="49" t="str">
        <f>F$15</f>
        <v/>
      </c>
      <c r="F674" s="49"/>
      <c r="G674" s="133">
        <f>IFERROR(INDEX(Parameters!$E$80:$E$84, MATCH(S15, Parameters!$D$80:$D$84,0)), 0)</f>
        <v>0</v>
      </c>
      <c r="I674" s="40" t="s">
        <v>1079</v>
      </c>
      <c r="AA674" s="55">
        <f t="shared" ref="AA674:BV674" si="728">IF($G674=0, 0, (1+AA651)^(1/$G674)-1)</f>
        <v>0</v>
      </c>
      <c r="AB674" s="55">
        <f t="shared" si="728"/>
        <v>0</v>
      </c>
      <c r="AC674" s="55">
        <f t="shared" si="728"/>
        <v>0</v>
      </c>
      <c r="AD674" s="55">
        <f t="shared" si="728"/>
        <v>0</v>
      </c>
      <c r="AE674" s="55">
        <f t="shared" si="728"/>
        <v>0</v>
      </c>
      <c r="AF674" s="55">
        <f t="shared" si="728"/>
        <v>0</v>
      </c>
      <c r="AG674" s="55">
        <f t="shared" si="728"/>
        <v>0</v>
      </c>
      <c r="AH674" s="55">
        <f t="shared" si="728"/>
        <v>0</v>
      </c>
      <c r="AI674" s="55">
        <f t="shared" si="728"/>
        <v>0</v>
      </c>
      <c r="AJ674" s="55">
        <f t="shared" si="728"/>
        <v>0</v>
      </c>
      <c r="AK674" s="55">
        <f t="shared" si="728"/>
        <v>0</v>
      </c>
      <c r="AL674" s="55">
        <f t="shared" si="728"/>
        <v>0</v>
      </c>
      <c r="AM674" s="55">
        <f t="shared" si="728"/>
        <v>0</v>
      </c>
      <c r="AN674" s="55">
        <f t="shared" si="728"/>
        <v>0</v>
      </c>
      <c r="AO674" s="55">
        <f t="shared" si="728"/>
        <v>0</v>
      </c>
      <c r="AP674" s="55">
        <f t="shared" si="728"/>
        <v>0</v>
      </c>
      <c r="AQ674" s="55">
        <f t="shared" si="728"/>
        <v>0</v>
      </c>
      <c r="AR674" s="55">
        <f t="shared" si="728"/>
        <v>0</v>
      </c>
      <c r="AS674" s="55">
        <f t="shared" si="728"/>
        <v>0</v>
      </c>
      <c r="AT674" s="55">
        <f t="shared" si="728"/>
        <v>0</v>
      </c>
      <c r="AU674" s="55">
        <f t="shared" si="728"/>
        <v>0</v>
      </c>
      <c r="AV674" s="55">
        <f t="shared" si="728"/>
        <v>0</v>
      </c>
      <c r="AW674" s="55">
        <f t="shared" si="728"/>
        <v>0</v>
      </c>
      <c r="AX674" s="55">
        <f t="shared" si="728"/>
        <v>0</v>
      </c>
      <c r="AY674" s="55">
        <f t="shared" si="728"/>
        <v>0</v>
      </c>
      <c r="AZ674" s="55">
        <f t="shared" si="728"/>
        <v>0</v>
      </c>
      <c r="BA674" s="55">
        <f t="shared" si="728"/>
        <v>0</v>
      </c>
      <c r="BB674" s="55">
        <f t="shared" si="728"/>
        <v>0</v>
      </c>
      <c r="BC674" s="55">
        <f t="shared" si="728"/>
        <v>0</v>
      </c>
      <c r="BD674" s="55">
        <f t="shared" si="728"/>
        <v>0</v>
      </c>
      <c r="BE674" s="55">
        <f t="shared" si="728"/>
        <v>0</v>
      </c>
      <c r="BF674" s="55">
        <f t="shared" si="728"/>
        <v>0</v>
      </c>
      <c r="BG674" s="55">
        <f t="shared" si="728"/>
        <v>0</v>
      </c>
      <c r="BH674" s="55">
        <f t="shared" si="728"/>
        <v>0</v>
      </c>
      <c r="BI674" s="55">
        <f t="shared" si="728"/>
        <v>0</v>
      </c>
      <c r="BJ674" s="55">
        <f t="shared" si="728"/>
        <v>0</v>
      </c>
      <c r="BK674" s="55">
        <f t="shared" si="728"/>
        <v>0</v>
      </c>
      <c r="BL674" s="55">
        <f t="shared" si="728"/>
        <v>0</v>
      </c>
      <c r="BM674" s="55">
        <f t="shared" si="728"/>
        <v>0</v>
      </c>
      <c r="BN674" s="55">
        <f t="shared" si="728"/>
        <v>0</v>
      </c>
      <c r="BO674" s="55">
        <f t="shared" si="728"/>
        <v>0</v>
      </c>
      <c r="BP674" s="55">
        <f t="shared" si="728"/>
        <v>0</v>
      </c>
      <c r="BQ674" s="55">
        <f t="shared" si="728"/>
        <v>0</v>
      </c>
      <c r="BR674" s="55">
        <f t="shared" si="728"/>
        <v>0</v>
      </c>
      <c r="BS674" s="55">
        <f t="shared" si="728"/>
        <v>0</v>
      </c>
      <c r="BT674" s="55">
        <f t="shared" si="728"/>
        <v>0</v>
      </c>
      <c r="BU674" s="55">
        <f t="shared" si="728"/>
        <v>0</v>
      </c>
      <c r="BV674" s="55">
        <f t="shared" si="728"/>
        <v>0</v>
      </c>
      <c r="CK674" s="11"/>
      <c r="CM674" s="11"/>
      <c r="DF674" s="11"/>
      <c r="EY674" s="10" t="str">
        <f t="shared" si="670"/>
        <v/>
      </c>
    </row>
    <row r="675" spans="1:155" x14ac:dyDescent="0.35">
      <c r="B675" s="69" t="str" cm="1">
        <f t="array" aca="1" ref="B675" ca="1">HYPERLINK(CONCATENATE("#",CELL("address",$D$113)),$D$113)</f>
        <v>Loan 4</v>
      </c>
      <c r="C675" s="211"/>
      <c r="D675" s="49">
        <f>D$16</f>
        <v>0</v>
      </c>
      <c r="E675" s="49" t="str">
        <f>F$16</f>
        <v/>
      </c>
      <c r="F675" s="49"/>
      <c r="G675" s="133">
        <f>IFERROR(INDEX(Parameters!$E$80:$E$84, MATCH(S16, Parameters!$D$80:$D$84,0)), 0)</f>
        <v>0</v>
      </c>
      <c r="I675" s="40" t="s">
        <v>1079</v>
      </c>
      <c r="AA675" s="55">
        <f t="shared" ref="AA675:BV675" si="729">IF($G675=0, 0, (1+AA652)^(1/$G675)-1)</f>
        <v>0</v>
      </c>
      <c r="AB675" s="55">
        <f t="shared" si="729"/>
        <v>0</v>
      </c>
      <c r="AC675" s="55">
        <f t="shared" si="729"/>
        <v>0</v>
      </c>
      <c r="AD675" s="55">
        <f t="shared" si="729"/>
        <v>0</v>
      </c>
      <c r="AE675" s="55">
        <f t="shared" si="729"/>
        <v>0</v>
      </c>
      <c r="AF675" s="55">
        <f t="shared" si="729"/>
        <v>0</v>
      </c>
      <c r="AG675" s="55">
        <f t="shared" si="729"/>
        <v>0</v>
      </c>
      <c r="AH675" s="55">
        <f t="shared" si="729"/>
        <v>0</v>
      </c>
      <c r="AI675" s="55">
        <f t="shared" si="729"/>
        <v>0</v>
      </c>
      <c r="AJ675" s="55">
        <f t="shared" si="729"/>
        <v>0</v>
      </c>
      <c r="AK675" s="55">
        <f t="shared" si="729"/>
        <v>0</v>
      </c>
      <c r="AL675" s="55">
        <f t="shared" si="729"/>
        <v>0</v>
      </c>
      <c r="AM675" s="55">
        <f t="shared" si="729"/>
        <v>0</v>
      </c>
      <c r="AN675" s="55">
        <f t="shared" si="729"/>
        <v>0</v>
      </c>
      <c r="AO675" s="55">
        <f t="shared" si="729"/>
        <v>0</v>
      </c>
      <c r="AP675" s="55">
        <f t="shared" si="729"/>
        <v>0</v>
      </c>
      <c r="AQ675" s="55">
        <f t="shared" si="729"/>
        <v>0</v>
      </c>
      <c r="AR675" s="55">
        <f t="shared" si="729"/>
        <v>0</v>
      </c>
      <c r="AS675" s="55">
        <f t="shared" si="729"/>
        <v>0</v>
      </c>
      <c r="AT675" s="55">
        <f t="shared" si="729"/>
        <v>0</v>
      </c>
      <c r="AU675" s="55">
        <f t="shared" si="729"/>
        <v>0</v>
      </c>
      <c r="AV675" s="55">
        <f t="shared" si="729"/>
        <v>0</v>
      </c>
      <c r="AW675" s="55">
        <f t="shared" si="729"/>
        <v>0</v>
      </c>
      <c r="AX675" s="55">
        <f t="shared" si="729"/>
        <v>0</v>
      </c>
      <c r="AY675" s="55">
        <f t="shared" si="729"/>
        <v>0</v>
      </c>
      <c r="AZ675" s="55">
        <f t="shared" si="729"/>
        <v>0</v>
      </c>
      <c r="BA675" s="55">
        <f t="shared" si="729"/>
        <v>0</v>
      </c>
      <c r="BB675" s="55">
        <f t="shared" si="729"/>
        <v>0</v>
      </c>
      <c r="BC675" s="55">
        <f t="shared" si="729"/>
        <v>0</v>
      </c>
      <c r="BD675" s="55">
        <f t="shared" si="729"/>
        <v>0</v>
      </c>
      <c r="BE675" s="55">
        <f t="shared" si="729"/>
        <v>0</v>
      </c>
      <c r="BF675" s="55">
        <f t="shared" si="729"/>
        <v>0</v>
      </c>
      <c r="BG675" s="55">
        <f t="shared" si="729"/>
        <v>0</v>
      </c>
      <c r="BH675" s="55">
        <f t="shared" si="729"/>
        <v>0</v>
      </c>
      <c r="BI675" s="55">
        <f t="shared" si="729"/>
        <v>0</v>
      </c>
      <c r="BJ675" s="55">
        <f t="shared" si="729"/>
        <v>0</v>
      </c>
      <c r="BK675" s="55">
        <f t="shared" si="729"/>
        <v>0</v>
      </c>
      <c r="BL675" s="55">
        <f t="shared" si="729"/>
        <v>0</v>
      </c>
      <c r="BM675" s="55">
        <f t="shared" si="729"/>
        <v>0</v>
      </c>
      <c r="BN675" s="55">
        <f t="shared" si="729"/>
        <v>0</v>
      </c>
      <c r="BO675" s="55">
        <f t="shared" si="729"/>
        <v>0</v>
      </c>
      <c r="BP675" s="55">
        <f t="shared" si="729"/>
        <v>0</v>
      </c>
      <c r="BQ675" s="55">
        <f t="shared" si="729"/>
        <v>0</v>
      </c>
      <c r="BR675" s="55">
        <f t="shared" si="729"/>
        <v>0</v>
      </c>
      <c r="BS675" s="55">
        <f t="shared" si="729"/>
        <v>0</v>
      </c>
      <c r="BT675" s="55">
        <f t="shared" si="729"/>
        <v>0</v>
      </c>
      <c r="BU675" s="55">
        <f t="shared" si="729"/>
        <v>0</v>
      </c>
      <c r="BV675" s="55">
        <f t="shared" si="729"/>
        <v>0</v>
      </c>
      <c r="CK675" s="11"/>
      <c r="CM675" s="11"/>
      <c r="DF675" s="11"/>
      <c r="EY675" s="10" t="str">
        <f t="shared" si="670"/>
        <v/>
      </c>
    </row>
    <row r="676" spans="1:155" x14ac:dyDescent="0.35">
      <c r="B676" s="69" t="str" cm="1">
        <f t="array" aca="1" ref="B676" ca="1">HYPERLINK(CONCATENATE("#",CELL("address",$D$132)),$D$132)</f>
        <v>Loan 5</v>
      </c>
      <c r="C676" s="211"/>
      <c r="D676" s="49">
        <f>D$17</f>
        <v>0</v>
      </c>
      <c r="E676" s="49" t="str">
        <f>F$17</f>
        <v/>
      </c>
      <c r="F676" s="49"/>
      <c r="G676" s="133">
        <f>IFERROR(INDEX(Parameters!$E$80:$E$84, MATCH(S17, Parameters!$D$80:$D$84,0)), 0)</f>
        <v>0</v>
      </c>
      <c r="I676" s="40" t="s">
        <v>1079</v>
      </c>
      <c r="AA676" s="55">
        <f t="shared" ref="AA676:BV676" si="730">IF($G676=0, 0, (1+AA653)^(1/$G676)-1)</f>
        <v>0</v>
      </c>
      <c r="AB676" s="55">
        <f t="shared" si="730"/>
        <v>0</v>
      </c>
      <c r="AC676" s="55">
        <f t="shared" si="730"/>
        <v>0</v>
      </c>
      <c r="AD676" s="55">
        <f t="shared" si="730"/>
        <v>0</v>
      </c>
      <c r="AE676" s="55">
        <f t="shared" si="730"/>
        <v>0</v>
      </c>
      <c r="AF676" s="55">
        <f t="shared" si="730"/>
        <v>0</v>
      </c>
      <c r="AG676" s="55">
        <f t="shared" si="730"/>
        <v>0</v>
      </c>
      <c r="AH676" s="55">
        <f t="shared" si="730"/>
        <v>0</v>
      </c>
      <c r="AI676" s="55">
        <f t="shared" si="730"/>
        <v>0</v>
      </c>
      <c r="AJ676" s="55">
        <f t="shared" si="730"/>
        <v>0</v>
      </c>
      <c r="AK676" s="55">
        <f t="shared" si="730"/>
        <v>0</v>
      </c>
      <c r="AL676" s="55">
        <f t="shared" si="730"/>
        <v>0</v>
      </c>
      <c r="AM676" s="55">
        <f t="shared" si="730"/>
        <v>0</v>
      </c>
      <c r="AN676" s="55">
        <f t="shared" si="730"/>
        <v>0</v>
      </c>
      <c r="AO676" s="55">
        <f t="shared" si="730"/>
        <v>0</v>
      </c>
      <c r="AP676" s="55">
        <f t="shared" si="730"/>
        <v>0</v>
      </c>
      <c r="AQ676" s="55">
        <f t="shared" si="730"/>
        <v>0</v>
      </c>
      <c r="AR676" s="55">
        <f t="shared" si="730"/>
        <v>0</v>
      </c>
      <c r="AS676" s="55">
        <f t="shared" si="730"/>
        <v>0</v>
      </c>
      <c r="AT676" s="55">
        <f t="shared" si="730"/>
        <v>0</v>
      </c>
      <c r="AU676" s="55">
        <f t="shared" si="730"/>
        <v>0</v>
      </c>
      <c r="AV676" s="55">
        <f t="shared" si="730"/>
        <v>0</v>
      </c>
      <c r="AW676" s="55">
        <f t="shared" si="730"/>
        <v>0</v>
      </c>
      <c r="AX676" s="55">
        <f t="shared" si="730"/>
        <v>0</v>
      </c>
      <c r="AY676" s="55">
        <f t="shared" si="730"/>
        <v>0</v>
      </c>
      <c r="AZ676" s="55">
        <f t="shared" si="730"/>
        <v>0</v>
      </c>
      <c r="BA676" s="55">
        <f t="shared" si="730"/>
        <v>0</v>
      </c>
      <c r="BB676" s="55">
        <f t="shared" si="730"/>
        <v>0</v>
      </c>
      <c r="BC676" s="55">
        <f t="shared" si="730"/>
        <v>0</v>
      </c>
      <c r="BD676" s="55">
        <f t="shared" si="730"/>
        <v>0</v>
      </c>
      <c r="BE676" s="55">
        <f t="shared" si="730"/>
        <v>0</v>
      </c>
      <c r="BF676" s="55">
        <f t="shared" si="730"/>
        <v>0</v>
      </c>
      <c r="BG676" s="55">
        <f t="shared" si="730"/>
        <v>0</v>
      </c>
      <c r="BH676" s="55">
        <f t="shared" si="730"/>
        <v>0</v>
      </c>
      <c r="BI676" s="55">
        <f t="shared" si="730"/>
        <v>0</v>
      </c>
      <c r="BJ676" s="55">
        <f t="shared" si="730"/>
        <v>0</v>
      </c>
      <c r="BK676" s="55">
        <f t="shared" si="730"/>
        <v>0</v>
      </c>
      <c r="BL676" s="55">
        <f t="shared" si="730"/>
        <v>0</v>
      </c>
      <c r="BM676" s="55">
        <f t="shared" si="730"/>
        <v>0</v>
      </c>
      <c r="BN676" s="55">
        <f t="shared" si="730"/>
        <v>0</v>
      </c>
      <c r="BO676" s="55">
        <f t="shared" si="730"/>
        <v>0</v>
      </c>
      <c r="BP676" s="55">
        <f t="shared" si="730"/>
        <v>0</v>
      </c>
      <c r="BQ676" s="55">
        <f t="shared" si="730"/>
        <v>0</v>
      </c>
      <c r="BR676" s="55">
        <f t="shared" si="730"/>
        <v>0</v>
      </c>
      <c r="BS676" s="55">
        <f t="shared" si="730"/>
        <v>0</v>
      </c>
      <c r="BT676" s="55">
        <f t="shared" si="730"/>
        <v>0</v>
      </c>
      <c r="BU676" s="55">
        <f t="shared" si="730"/>
        <v>0</v>
      </c>
      <c r="BV676" s="55">
        <f t="shared" si="730"/>
        <v>0</v>
      </c>
      <c r="CK676" s="11"/>
      <c r="CM676" s="11"/>
      <c r="DF676" s="11"/>
      <c r="EY676" s="10" t="str">
        <f t="shared" si="670"/>
        <v/>
      </c>
    </row>
    <row r="677" spans="1:155" x14ac:dyDescent="0.35">
      <c r="B677" s="69" t="str" cm="1">
        <f t="array" aca="1" ref="B677" ca="1">HYPERLINK(CONCATENATE("#",CELL("address",$D$151)),$D$151)</f>
        <v>Loan 6</v>
      </c>
      <c r="C677" s="211"/>
      <c r="D677" s="49">
        <f>D$18</f>
        <v>0</v>
      </c>
      <c r="E677" s="49" t="str">
        <f>F$18</f>
        <v/>
      </c>
      <c r="F677" s="49"/>
      <c r="G677" s="133">
        <f>IFERROR(INDEX(Parameters!$E$80:$E$84, MATCH(S18, Parameters!$D$80:$D$84,0)), 0)</f>
        <v>0</v>
      </c>
      <c r="I677" s="40" t="s">
        <v>1079</v>
      </c>
      <c r="AA677" s="55">
        <f t="shared" ref="AA677:BV677" si="731">IF($G677=0, 0, (1+AA654)^(1/$G677)-1)</f>
        <v>0</v>
      </c>
      <c r="AB677" s="55">
        <f t="shared" si="731"/>
        <v>0</v>
      </c>
      <c r="AC677" s="55">
        <f t="shared" si="731"/>
        <v>0</v>
      </c>
      <c r="AD677" s="55">
        <f t="shared" si="731"/>
        <v>0</v>
      </c>
      <c r="AE677" s="55">
        <f t="shared" si="731"/>
        <v>0</v>
      </c>
      <c r="AF677" s="55">
        <f t="shared" si="731"/>
        <v>0</v>
      </c>
      <c r="AG677" s="55">
        <f t="shared" si="731"/>
        <v>0</v>
      </c>
      <c r="AH677" s="55">
        <f t="shared" si="731"/>
        <v>0</v>
      </c>
      <c r="AI677" s="55">
        <f t="shared" si="731"/>
        <v>0</v>
      </c>
      <c r="AJ677" s="55">
        <f t="shared" si="731"/>
        <v>0</v>
      </c>
      <c r="AK677" s="55">
        <f t="shared" si="731"/>
        <v>0</v>
      </c>
      <c r="AL677" s="55">
        <f t="shared" si="731"/>
        <v>0</v>
      </c>
      <c r="AM677" s="55">
        <f t="shared" si="731"/>
        <v>0</v>
      </c>
      <c r="AN677" s="55">
        <f t="shared" si="731"/>
        <v>0</v>
      </c>
      <c r="AO677" s="55">
        <f t="shared" si="731"/>
        <v>0</v>
      </c>
      <c r="AP677" s="55">
        <f t="shared" si="731"/>
        <v>0</v>
      </c>
      <c r="AQ677" s="55">
        <f t="shared" si="731"/>
        <v>0</v>
      </c>
      <c r="AR677" s="55">
        <f t="shared" si="731"/>
        <v>0</v>
      </c>
      <c r="AS677" s="55">
        <f t="shared" si="731"/>
        <v>0</v>
      </c>
      <c r="AT677" s="55">
        <f t="shared" si="731"/>
        <v>0</v>
      </c>
      <c r="AU677" s="55">
        <f t="shared" si="731"/>
        <v>0</v>
      </c>
      <c r="AV677" s="55">
        <f t="shared" si="731"/>
        <v>0</v>
      </c>
      <c r="AW677" s="55">
        <f t="shared" si="731"/>
        <v>0</v>
      </c>
      <c r="AX677" s="55">
        <f t="shared" si="731"/>
        <v>0</v>
      </c>
      <c r="AY677" s="55">
        <f t="shared" si="731"/>
        <v>0</v>
      </c>
      <c r="AZ677" s="55">
        <f t="shared" si="731"/>
        <v>0</v>
      </c>
      <c r="BA677" s="55">
        <f t="shared" si="731"/>
        <v>0</v>
      </c>
      <c r="BB677" s="55">
        <f t="shared" si="731"/>
        <v>0</v>
      </c>
      <c r="BC677" s="55">
        <f t="shared" si="731"/>
        <v>0</v>
      </c>
      <c r="BD677" s="55">
        <f t="shared" si="731"/>
        <v>0</v>
      </c>
      <c r="BE677" s="55">
        <f t="shared" si="731"/>
        <v>0</v>
      </c>
      <c r="BF677" s="55">
        <f t="shared" si="731"/>
        <v>0</v>
      </c>
      <c r="BG677" s="55">
        <f t="shared" si="731"/>
        <v>0</v>
      </c>
      <c r="BH677" s="55">
        <f t="shared" si="731"/>
        <v>0</v>
      </c>
      <c r="BI677" s="55">
        <f t="shared" si="731"/>
        <v>0</v>
      </c>
      <c r="BJ677" s="55">
        <f t="shared" si="731"/>
        <v>0</v>
      </c>
      <c r="BK677" s="55">
        <f t="shared" si="731"/>
        <v>0</v>
      </c>
      <c r="BL677" s="55">
        <f t="shared" si="731"/>
        <v>0</v>
      </c>
      <c r="BM677" s="55">
        <f t="shared" si="731"/>
        <v>0</v>
      </c>
      <c r="BN677" s="55">
        <f t="shared" si="731"/>
        <v>0</v>
      </c>
      <c r="BO677" s="55">
        <f t="shared" si="731"/>
        <v>0</v>
      </c>
      <c r="BP677" s="55">
        <f t="shared" si="731"/>
        <v>0</v>
      </c>
      <c r="BQ677" s="55">
        <f t="shared" si="731"/>
        <v>0</v>
      </c>
      <c r="BR677" s="55">
        <f t="shared" si="731"/>
        <v>0</v>
      </c>
      <c r="BS677" s="55">
        <f t="shared" si="731"/>
        <v>0</v>
      </c>
      <c r="BT677" s="55">
        <f t="shared" si="731"/>
        <v>0</v>
      </c>
      <c r="BU677" s="55">
        <f t="shared" si="731"/>
        <v>0</v>
      </c>
      <c r="BV677" s="55">
        <f t="shared" si="731"/>
        <v>0</v>
      </c>
      <c r="CK677" s="11"/>
      <c r="CM677" s="11"/>
      <c r="DF677" s="11"/>
      <c r="EY677" s="10" t="str">
        <f t="shared" si="670"/>
        <v/>
      </c>
    </row>
    <row r="678" spans="1:155" x14ac:dyDescent="0.35">
      <c r="B678" s="69" t="str" cm="1">
        <f t="array" aca="1" ref="B678" ca="1">HYPERLINK(CONCATENATE("#",CELL("address",$D$170)),$D$170)</f>
        <v>Loan 7</v>
      </c>
      <c r="C678" s="211"/>
      <c r="D678" s="49">
        <f>D$19</f>
        <v>0</v>
      </c>
      <c r="E678" s="49" t="str">
        <f>F$19</f>
        <v/>
      </c>
      <c r="F678" s="49"/>
      <c r="G678" s="133">
        <f>IFERROR(INDEX(Parameters!$E$80:$E$84, MATCH(S19, Parameters!$D$80:$D$84,0)), 0)</f>
        <v>0</v>
      </c>
      <c r="I678" s="40" t="s">
        <v>1079</v>
      </c>
      <c r="AA678" s="55">
        <f t="shared" ref="AA678:BV678" si="732">IF($G678=0, 0, (1+AA655)^(1/$G678)-1)</f>
        <v>0</v>
      </c>
      <c r="AB678" s="55">
        <f t="shared" si="732"/>
        <v>0</v>
      </c>
      <c r="AC678" s="55">
        <f t="shared" si="732"/>
        <v>0</v>
      </c>
      <c r="AD678" s="55">
        <f t="shared" si="732"/>
        <v>0</v>
      </c>
      <c r="AE678" s="55">
        <f t="shared" si="732"/>
        <v>0</v>
      </c>
      <c r="AF678" s="55">
        <f t="shared" si="732"/>
        <v>0</v>
      </c>
      <c r="AG678" s="55">
        <f t="shared" si="732"/>
        <v>0</v>
      </c>
      <c r="AH678" s="55">
        <f t="shared" si="732"/>
        <v>0</v>
      </c>
      <c r="AI678" s="55">
        <f t="shared" si="732"/>
        <v>0</v>
      </c>
      <c r="AJ678" s="55">
        <f t="shared" si="732"/>
        <v>0</v>
      </c>
      <c r="AK678" s="55">
        <f t="shared" si="732"/>
        <v>0</v>
      </c>
      <c r="AL678" s="55">
        <f t="shared" si="732"/>
        <v>0</v>
      </c>
      <c r="AM678" s="55">
        <f t="shared" si="732"/>
        <v>0</v>
      </c>
      <c r="AN678" s="55">
        <f t="shared" si="732"/>
        <v>0</v>
      </c>
      <c r="AO678" s="55">
        <f t="shared" si="732"/>
        <v>0</v>
      </c>
      <c r="AP678" s="55">
        <f t="shared" si="732"/>
        <v>0</v>
      </c>
      <c r="AQ678" s="55">
        <f t="shared" si="732"/>
        <v>0</v>
      </c>
      <c r="AR678" s="55">
        <f t="shared" si="732"/>
        <v>0</v>
      </c>
      <c r="AS678" s="55">
        <f t="shared" si="732"/>
        <v>0</v>
      </c>
      <c r="AT678" s="55">
        <f t="shared" si="732"/>
        <v>0</v>
      </c>
      <c r="AU678" s="55">
        <f t="shared" si="732"/>
        <v>0</v>
      </c>
      <c r="AV678" s="55">
        <f t="shared" si="732"/>
        <v>0</v>
      </c>
      <c r="AW678" s="55">
        <f t="shared" si="732"/>
        <v>0</v>
      </c>
      <c r="AX678" s="55">
        <f t="shared" si="732"/>
        <v>0</v>
      </c>
      <c r="AY678" s="55">
        <f t="shared" si="732"/>
        <v>0</v>
      </c>
      <c r="AZ678" s="55">
        <f t="shared" si="732"/>
        <v>0</v>
      </c>
      <c r="BA678" s="55">
        <f t="shared" si="732"/>
        <v>0</v>
      </c>
      <c r="BB678" s="55">
        <f t="shared" si="732"/>
        <v>0</v>
      </c>
      <c r="BC678" s="55">
        <f t="shared" si="732"/>
        <v>0</v>
      </c>
      <c r="BD678" s="55">
        <f t="shared" si="732"/>
        <v>0</v>
      </c>
      <c r="BE678" s="55">
        <f t="shared" si="732"/>
        <v>0</v>
      </c>
      <c r="BF678" s="55">
        <f t="shared" si="732"/>
        <v>0</v>
      </c>
      <c r="BG678" s="55">
        <f t="shared" si="732"/>
        <v>0</v>
      </c>
      <c r="BH678" s="55">
        <f t="shared" si="732"/>
        <v>0</v>
      </c>
      <c r="BI678" s="55">
        <f t="shared" si="732"/>
        <v>0</v>
      </c>
      <c r="BJ678" s="55">
        <f t="shared" si="732"/>
        <v>0</v>
      </c>
      <c r="BK678" s="55">
        <f t="shared" si="732"/>
        <v>0</v>
      </c>
      <c r="BL678" s="55">
        <f t="shared" si="732"/>
        <v>0</v>
      </c>
      <c r="BM678" s="55">
        <f t="shared" si="732"/>
        <v>0</v>
      </c>
      <c r="BN678" s="55">
        <f t="shared" si="732"/>
        <v>0</v>
      </c>
      <c r="BO678" s="55">
        <f t="shared" si="732"/>
        <v>0</v>
      </c>
      <c r="BP678" s="55">
        <f t="shared" si="732"/>
        <v>0</v>
      </c>
      <c r="BQ678" s="55">
        <f t="shared" si="732"/>
        <v>0</v>
      </c>
      <c r="BR678" s="55">
        <f t="shared" si="732"/>
        <v>0</v>
      </c>
      <c r="BS678" s="55">
        <f t="shared" si="732"/>
        <v>0</v>
      </c>
      <c r="BT678" s="55">
        <f t="shared" si="732"/>
        <v>0</v>
      </c>
      <c r="BU678" s="55">
        <f t="shared" si="732"/>
        <v>0</v>
      </c>
      <c r="BV678" s="55">
        <f t="shared" si="732"/>
        <v>0</v>
      </c>
      <c r="CK678" s="11"/>
      <c r="CM678" s="11"/>
      <c r="DF678" s="11"/>
      <c r="EY678" s="10" t="str">
        <f t="shared" si="670"/>
        <v/>
      </c>
    </row>
    <row r="679" spans="1:155" x14ac:dyDescent="0.35">
      <c r="B679" s="69" t="str" cm="1">
        <f t="array" aca="1" ref="B679" ca="1">HYPERLINK(CONCATENATE("#",CELL("address",$D$189)),$D$189)</f>
        <v>Loan 8</v>
      </c>
      <c r="C679" s="211"/>
      <c r="D679" s="49">
        <f>D$20</f>
        <v>0</v>
      </c>
      <c r="E679" s="49" t="str">
        <f>F$20</f>
        <v/>
      </c>
      <c r="F679" s="49"/>
      <c r="G679" s="133">
        <f>IFERROR(INDEX(Parameters!$E$80:$E$84, MATCH(S20, Parameters!$D$80:$D$84,0)), 0)</f>
        <v>0</v>
      </c>
      <c r="I679" s="40" t="s">
        <v>1079</v>
      </c>
      <c r="AA679" s="55">
        <f t="shared" ref="AA679:BV679" si="733">IF($G679=0, 0, (1+AA656)^(1/$G679)-1)</f>
        <v>0</v>
      </c>
      <c r="AB679" s="55">
        <f t="shared" si="733"/>
        <v>0</v>
      </c>
      <c r="AC679" s="55">
        <f t="shared" si="733"/>
        <v>0</v>
      </c>
      <c r="AD679" s="55">
        <f t="shared" si="733"/>
        <v>0</v>
      </c>
      <c r="AE679" s="55">
        <f t="shared" si="733"/>
        <v>0</v>
      </c>
      <c r="AF679" s="55">
        <f t="shared" si="733"/>
        <v>0</v>
      </c>
      <c r="AG679" s="55">
        <f t="shared" si="733"/>
        <v>0</v>
      </c>
      <c r="AH679" s="55">
        <f t="shared" si="733"/>
        <v>0</v>
      </c>
      <c r="AI679" s="55">
        <f t="shared" si="733"/>
        <v>0</v>
      </c>
      <c r="AJ679" s="55">
        <f t="shared" si="733"/>
        <v>0</v>
      </c>
      <c r="AK679" s="55">
        <f t="shared" si="733"/>
        <v>0</v>
      </c>
      <c r="AL679" s="55">
        <f t="shared" si="733"/>
        <v>0</v>
      </c>
      <c r="AM679" s="55">
        <f t="shared" si="733"/>
        <v>0</v>
      </c>
      <c r="AN679" s="55">
        <f t="shared" si="733"/>
        <v>0</v>
      </c>
      <c r="AO679" s="55">
        <f t="shared" si="733"/>
        <v>0</v>
      </c>
      <c r="AP679" s="55">
        <f t="shared" si="733"/>
        <v>0</v>
      </c>
      <c r="AQ679" s="55">
        <f t="shared" si="733"/>
        <v>0</v>
      </c>
      <c r="AR679" s="55">
        <f t="shared" si="733"/>
        <v>0</v>
      </c>
      <c r="AS679" s="55">
        <f t="shared" si="733"/>
        <v>0</v>
      </c>
      <c r="AT679" s="55">
        <f t="shared" si="733"/>
        <v>0</v>
      </c>
      <c r="AU679" s="55">
        <f t="shared" si="733"/>
        <v>0</v>
      </c>
      <c r="AV679" s="55">
        <f t="shared" si="733"/>
        <v>0</v>
      </c>
      <c r="AW679" s="55">
        <f t="shared" si="733"/>
        <v>0</v>
      </c>
      <c r="AX679" s="55">
        <f t="shared" si="733"/>
        <v>0</v>
      </c>
      <c r="AY679" s="55">
        <f t="shared" si="733"/>
        <v>0</v>
      </c>
      <c r="AZ679" s="55">
        <f t="shared" si="733"/>
        <v>0</v>
      </c>
      <c r="BA679" s="55">
        <f t="shared" si="733"/>
        <v>0</v>
      </c>
      <c r="BB679" s="55">
        <f t="shared" si="733"/>
        <v>0</v>
      </c>
      <c r="BC679" s="55">
        <f t="shared" si="733"/>
        <v>0</v>
      </c>
      <c r="BD679" s="55">
        <f t="shared" si="733"/>
        <v>0</v>
      </c>
      <c r="BE679" s="55">
        <f t="shared" si="733"/>
        <v>0</v>
      </c>
      <c r="BF679" s="55">
        <f t="shared" si="733"/>
        <v>0</v>
      </c>
      <c r="BG679" s="55">
        <f t="shared" si="733"/>
        <v>0</v>
      </c>
      <c r="BH679" s="55">
        <f t="shared" si="733"/>
        <v>0</v>
      </c>
      <c r="BI679" s="55">
        <f t="shared" si="733"/>
        <v>0</v>
      </c>
      <c r="BJ679" s="55">
        <f t="shared" si="733"/>
        <v>0</v>
      </c>
      <c r="BK679" s="55">
        <f t="shared" si="733"/>
        <v>0</v>
      </c>
      <c r="BL679" s="55">
        <f t="shared" si="733"/>
        <v>0</v>
      </c>
      <c r="BM679" s="55">
        <f t="shared" si="733"/>
        <v>0</v>
      </c>
      <c r="BN679" s="55">
        <f t="shared" si="733"/>
        <v>0</v>
      </c>
      <c r="BO679" s="55">
        <f t="shared" si="733"/>
        <v>0</v>
      </c>
      <c r="BP679" s="55">
        <f t="shared" si="733"/>
        <v>0</v>
      </c>
      <c r="BQ679" s="55">
        <f t="shared" si="733"/>
        <v>0</v>
      </c>
      <c r="BR679" s="55">
        <f t="shared" si="733"/>
        <v>0</v>
      </c>
      <c r="BS679" s="55">
        <f t="shared" si="733"/>
        <v>0</v>
      </c>
      <c r="BT679" s="55">
        <f t="shared" si="733"/>
        <v>0</v>
      </c>
      <c r="BU679" s="55">
        <f t="shared" si="733"/>
        <v>0</v>
      </c>
      <c r="BV679" s="55">
        <f t="shared" si="733"/>
        <v>0</v>
      </c>
      <c r="CK679" s="11"/>
      <c r="CM679" s="11"/>
      <c r="DF679" s="11"/>
      <c r="EY679" s="10" t="str">
        <f t="shared" si="670"/>
        <v/>
      </c>
    </row>
    <row r="680" spans="1:155" x14ac:dyDescent="0.35">
      <c r="B680" s="69" t="str" cm="1">
        <f t="array" aca="1" ref="B680" ca="1">HYPERLINK(CONCATENATE("#",CELL("address",$D$208)),$D$208)</f>
        <v>Loan 9</v>
      </c>
      <c r="C680" s="211"/>
      <c r="D680" s="49">
        <f>D$21</f>
        <v>0</v>
      </c>
      <c r="E680" s="49" t="str">
        <f>F$21</f>
        <v/>
      </c>
      <c r="F680" s="49"/>
      <c r="G680" s="133">
        <f>IFERROR(INDEX(Parameters!$E$80:$E$84, MATCH(S21, Parameters!$D$80:$D$84,0)), 0)</f>
        <v>0</v>
      </c>
      <c r="I680" s="40" t="s">
        <v>1079</v>
      </c>
      <c r="AA680" s="55">
        <f t="shared" ref="AA680:BV680" si="734">IF($G680=0, 0, (1+AA657)^(1/$G680)-1)</f>
        <v>0</v>
      </c>
      <c r="AB680" s="55">
        <f t="shared" si="734"/>
        <v>0</v>
      </c>
      <c r="AC680" s="55">
        <f t="shared" si="734"/>
        <v>0</v>
      </c>
      <c r="AD680" s="55">
        <f t="shared" si="734"/>
        <v>0</v>
      </c>
      <c r="AE680" s="55">
        <f t="shared" si="734"/>
        <v>0</v>
      </c>
      <c r="AF680" s="55">
        <f t="shared" si="734"/>
        <v>0</v>
      </c>
      <c r="AG680" s="55">
        <f t="shared" si="734"/>
        <v>0</v>
      </c>
      <c r="AH680" s="55">
        <f t="shared" si="734"/>
        <v>0</v>
      </c>
      <c r="AI680" s="55">
        <f t="shared" si="734"/>
        <v>0</v>
      </c>
      <c r="AJ680" s="55">
        <f t="shared" si="734"/>
        <v>0</v>
      </c>
      <c r="AK680" s="55">
        <f t="shared" si="734"/>
        <v>0</v>
      </c>
      <c r="AL680" s="55">
        <f t="shared" si="734"/>
        <v>0</v>
      </c>
      <c r="AM680" s="55">
        <f t="shared" si="734"/>
        <v>0</v>
      </c>
      <c r="AN680" s="55">
        <f t="shared" si="734"/>
        <v>0</v>
      </c>
      <c r="AO680" s="55">
        <f t="shared" si="734"/>
        <v>0</v>
      </c>
      <c r="AP680" s="55">
        <f t="shared" si="734"/>
        <v>0</v>
      </c>
      <c r="AQ680" s="55">
        <f t="shared" si="734"/>
        <v>0</v>
      </c>
      <c r="AR680" s="55">
        <f t="shared" si="734"/>
        <v>0</v>
      </c>
      <c r="AS680" s="55">
        <f t="shared" si="734"/>
        <v>0</v>
      </c>
      <c r="AT680" s="55">
        <f t="shared" si="734"/>
        <v>0</v>
      </c>
      <c r="AU680" s="55">
        <f t="shared" si="734"/>
        <v>0</v>
      </c>
      <c r="AV680" s="55">
        <f t="shared" si="734"/>
        <v>0</v>
      </c>
      <c r="AW680" s="55">
        <f t="shared" si="734"/>
        <v>0</v>
      </c>
      <c r="AX680" s="55">
        <f t="shared" si="734"/>
        <v>0</v>
      </c>
      <c r="AY680" s="55">
        <f t="shared" si="734"/>
        <v>0</v>
      </c>
      <c r="AZ680" s="55">
        <f t="shared" si="734"/>
        <v>0</v>
      </c>
      <c r="BA680" s="55">
        <f t="shared" si="734"/>
        <v>0</v>
      </c>
      <c r="BB680" s="55">
        <f t="shared" si="734"/>
        <v>0</v>
      </c>
      <c r="BC680" s="55">
        <f t="shared" si="734"/>
        <v>0</v>
      </c>
      <c r="BD680" s="55">
        <f t="shared" si="734"/>
        <v>0</v>
      </c>
      <c r="BE680" s="55">
        <f t="shared" si="734"/>
        <v>0</v>
      </c>
      <c r="BF680" s="55">
        <f t="shared" si="734"/>
        <v>0</v>
      </c>
      <c r="BG680" s="55">
        <f t="shared" si="734"/>
        <v>0</v>
      </c>
      <c r="BH680" s="55">
        <f t="shared" si="734"/>
        <v>0</v>
      </c>
      <c r="BI680" s="55">
        <f t="shared" si="734"/>
        <v>0</v>
      </c>
      <c r="BJ680" s="55">
        <f t="shared" si="734"/>
        <v>0</v>
      </c>
      <c r="BK680" s="55">
        <f t="shared" si="734"/>
        <v>0</v>
      </c>
      <c r="BL680" s="55">
        <f t="shared" si="734"/>
        <v>0</v>
      </c>
      <c r="BM680" s="55">
        <f t="shared" si="734"/>
        <v>0</v>
      </c>
      <c r="BN680" s="55">
        <f t="shared" si="734"/>
        <v>0</v>
      </c>
      <c r="BO680" s="55">
        <f t="shared" si="734"/>
        <v>0</v>
      </c>
      <c r="BP680" s="55">
        <f t="shared" si="734"/>
        <v>0</v>
      </c>
      <c r="BQ680" s="55">
        <f t="shared" si="734"/>
        <v>0</v>
      </c>
      <c r="BR680" s="55">
        <f t="shared" si="734"/>
        <v>0</v>
      </c>
      <c r="BS680" s="55">
        <f t="shared" si="734"/>
        <v>0</v>
      </c>
      <c r="BT680" s="55">
        <f t="shared" si="734"/>
        <v>0</v>
      </c>
      <c r="BU680" s="55">
        <f t="shared" si="734"/>
        <v>0</v>
      </c>
      <c r="BV680" s="55">
        <f t="shared" si="734"/>
        <v>0</v>
      </c>
      <c r="CK680" s="11"/>
      <c r="CM680" s="11"/>
      <c r="DF680" s="11"/>
      <c r="EY680" s="10" t="str">
        <f t="shared" si="670"/>
        <v/>
      </c>
    </row>
    <row r="681" spans="1:155" x14ac:dyDescent="0.35">
      <c r="B681" s="69" t="str" cm="1">
        <f t="array" aca="1" ref="B681" ca="1">HYPERLINK(CONCATENATE("#",CELL("address",$D$227)),$D$227)</f>
        <v>Loan 10</v>
      </c>
      <c r="C681" s="211"/>
      <c r="D681" s="49">
        <f>D$22</f>
        <v>0</v>
      </c>
      <c r="E681" s="49" t="str">
        <f>F$22</f>
        <v/>
      </c>
      <c r="F681" s="49"/>
      <c r="G681" s="133">
        <f>IFERROR(INDEX(Parameters!$E$80:$E$84, MATCH(S22, Parameters!$D$80:$D$84,0)), 0)</f>
        <v>0</v>
      </c>
      <c r="I681" s="40" t="s">
        <v>1079</v>
      </c>
      <c r="AA681" s="55">
        <f t="shared" ref="AA681:BV681" si="735">IF($G681=0, 0, (1+AA658)^(1/$G681)-1)</f>
        <v>0</v>
      </c>
      <c r="AB681" s="55">
        <f t="shared" si="735"/>
        <v>0</v>
      </c>
      <c r="AC681" s="55">
        <f t="shared" si="735"/>
        <v>0</v>
      </c>
      <c r="AD681" s="55">
        <f t="shared" si="735"/>
        <v>0</v>
      </c>
      <c r="AE681" s="55">
        <f t="shared" si="735"/>
        <v>0</v>
      </c>
      <c r="AF681" s="55">
        <f t="shared" si="735"/>
        <v>0</v>
      </c>
      <c r="AG681" s="55">
        <f t="shared" si="735"/>
        <v>0</v>
      </c>
      <c r="AH681" s="55">
        <f t="shared" si="735"/>
        <v>0</v>
      </c>
      <c r="AI681" s="55">
        <f t="shared" si="735"/>
        <v>0</v>
      </c>
      <c r="AJ681" s="55">
        <f t="shared" si="735"/>
        <v>0</v>
      </c>
      <c r="AK681" s="55">
        <f t="shared" si="735"/>
        <v>0</v>
      </c>
      <c r="AL681" s="55">
        <f t="shared" si="735"/>
        <v>0</v>
      </c>
      <c r="AM681" s="55">
        <f t="shared" si="735"/>
        <v>0</v>
      </c>
      <c r="AN681" s="55">
        <f t="shared" si="735"/>
        <v>0</v>
      </c>
      <c r="AO681" s="55">
        <f t="shared" si="735"/>
        <v>0</v>
      </c>
      <c r="AP681" s="55">
        <f t="shared" si="735"/>
        <v>0</v>
      </c>
      <c r="AQ681" s="55">
        <f t="shared" si="735"/>
        <v>0</v>
      </c>
      <c r="AR681" s="55">
        <f t="shared" si="735"/>
        <v>0</v>
      </c>
      <c r="AS681" s="55">
        <f t="shared" si="735"/>
        <v>0</v>
      </c>
      <c r="AT681" s="55">
        <f t="shared" si="735"/>
        <v>0</v>
      </c>
      <c r="AU681" s="55">
        <f t="shared" si="735"/>
        <v>0</v>
      </c>
      <c r="AV681" s="55">
        <f t="shared" si="735"/>
        <v>0</v>
      </c>
      <c r="AW681" s="55">
        <f t="shared" si="735"/>
        <v>0</v>
      </c>
      <c r="AX681" s="55">
        <f t="shared" si="735"/>
        <v>0</v>
      </c>
      <c r="AY681" s="55">
        <f t="shared" si="735"/>
        <v>0</v>
      </c>
      <c r="AZ681" s="55">
        <f t="shared" si="735"/>
        <v>0</v>
      </c>
      <c r="BA681" s="55">
        <f t="shared" si="735"/>
        <v>0</v>
      </c>
      <c r="BB681" s="55">
        <f t="shared" si="735"/>
        <v>0</v>
      </c>
      <c r="BC681" s="55">
        <f t="shared" si="735"/>
        <v>0</v>
      </c>
      <c r="BD681" s="55">
        <f t="shared" si="735"/>
        <v>0</v>
      </c>
      <c r="BE681" s="55">
        <f t="shared" si="735"/>
        <v>0</v>
      </c>
      <c r="BF681" s="55">
        <f t="shared" si="735"/>
        <v>0</v>
      </c>
      <c r="BG681" s="55">
        <f t="shared" si="735"/>
        <v>0</v>
      </c>
      <c r="BH681" s="55">
        <f t="shared" si="735"/>
        <v>0</v>
      </c>
      <c r="BI681" s="55">
        <f t="shared" si="735"/>
        <v>0</v>
      </c>
      <c r="BJ681" s="55">
        <f t="shared" si="735"/>
        <v>0</v>
      </c>
      <c r="BK681" s="55">
        <f t="shared" si="735"/>
        <v>0</v>
      </c>
      <c r="BL681" s="55">
        <f t="shared" si="735"/>
        <v>0</v>
      </c>
      <c r="BM681" s="55">
        <f t="shared" si="735"/>
        <v>0</v>
      </c>
      <c r="BN681" s="55">
        <f t="shared" si="735"/>
        <v>0</v>
      </c>
      <c r="BO681" s="55">
        <f t="shared" si="735"/>
        <v>0</v>
      </c>
      <c r="BP681" s="55">
        <f t="shared" si="735"/>
        <v>0</v>
      </c>
      <c r="BQ681" s="55">
        <f t="shared" si="735"/>
        <v>0</v>
      </c>
      <c r="BR681" s="55">
        <f t="shared" si="735"/>
        <v>0</v>
      </c>
      <c r="BS681" s="55">
        <f t="shared" si="735"/>
        <v>0</v>
      </c>
      <c r="BT681" s="55">
        <f t="shared" si="735"/>
        <v>0</v>
      </c>
      <c r="BU681" s="55">
        <f t="shared" si="735"/>
        <v>0</v>
      </c>
      <c r="BV681" s="55">
        <f t="shared" si="735"/>
        <v>0</v>
      </c>
      <c r="CK681" s="11"/>
      <c r="CM681" s="11"/>
      <c r="DF681" s="11"/>
      <c r="EY681" s="10" t="str">
        <f t="shared" si="670"/>
        <v/>
      </c>
    </row>
    <row r="682" spans="1:155" x14ac:dyDescent="0.35">
      <c r="B682" s="69" t="str" cm="1">
        <f t="array" aca="1" ref="B682" ca="1">HYPERLINK(CONCATENATE("#",CELL("address",$D$246)),$D$246)</f>
        <v>Loan 11</v>
      </c>
      <c r="C682" s="211"/>
      <c r="D682" s="49">
        <f>D$23</f>
        <v>0</v>
      </c>
      <c r="E682" s="49" t="str">
        <f>F$23</f>
        <v/>
      </c>
      <c r="F682" s="49"/>
      <c r="G682" s="133">
        <f>IFERROR(INDEX(Parameters!$E$80:$E$84, MATCH(S23, Parameters!$D$80:$D$84,0)), 0)</f>
        <v>0</v>
      </c>
      <c r="I682" s="40" t="s">
        <v>1079</v>
      </c>
      <c r="AA682" s="55">
        <f t="shared" ref="AA682:BV682" si="736">IF($G682=0, 0, (1+AA659)^(1/$G682)-1)</f>
        <v>0</v>
      </c>
      <c r="AB682" s="55">
        <f t="shared" si="736"/>
        <v>0</v>
      </c>
      <c r="AC682" s="55">
        <f t="shared" si="736"/>
        <v>0</v>
      </c>
      <c r="AD682" s="55">
        <f t="shared" si="736"/>
        <v>0</v>
      </c>
      <c r="AE682" s="55">
        <f t="shared" si="736"/>
        <v>0</v>
      </c>
      <c r="AF682" s="55">
        <f t="shared" si="736"/>
        <v>0</v>
      </c>
      <c r="AG682" s="55">
        <f t="shared" si="736"/>
        <v>0</v>
      </c>
      <c r="AH682" s="55">
        <f t="shared" si="736"/>
        <v>0</v>
      </c>
      <c r="AI682" s="55">
        <f t="shared" si="736"/>
        <v>0</v>
      </c>
      <c r="AJ682" s="55">
        <f t="shared" si="736"/>
        <v>0</v>
      </c>
      <c r="AK682" s="55">
        <f t="shared" si="736"/>
        <v>0</v>
      </c>
      <c r="AL682" s="55">
        <f t="shared" si="736"/>
        <v>0</v>
      </c>
      <c r="AM682" s="55">
        <f t="shared" si="736"/>
        <v>0</v>
      </c>
      <c r="AN682" s="55">
        <f t="shared" si="736"/>
        <v>0</v>
      </c>
      <c r="AO682" s="55">
        <f t="shared" si="736"/>
        <v>0</v>
      </c>
      <c r="AP682" s="55">
        <f t="shared" si="736"/>
        <v>0</v>
      </c>
      <c r="AQ682" s="55">
        <f t="shared" si="736"/>
        <v>0</v>
      </c>
      <c r="AR682" s="55">
        <f t="shared" si="736"/>
        <v>0</v>
      </c>
      <c r="AS682" s="55">
        <f t="shared" si="736"/>
        <v>0</v>
      </c>
      <c r="AT682" s="55">
        <f t="shared" si="736"/>
        <v>0</v>
      </c>
      <c r="AU682" s="55">
        <f t="shared" si="736"/>
        <v>0</v>
      </c>
      <c r="AV682" s="55">
        <f t="shared" si="736"/>
        <v>0</v>
      </c>
      <c r="AW682" s="55">
        <f t="shared" si="736"/>
        <v>0</v>
      </c>
      <c r="AX682" s="55">
        <f t="shared" si="736"/>
        <v>0</v>
      </c>
      <c r="AY682" s="55">
        <f t="shared" si="736"/>
        <v>0</v>
      </c>
      <c r="AZ682" s="55">
        <f t="shared" si="736"/>
        <v>0</v>
      </c>
      <c r="BA682" s="55">
        <f t="shared" si="736"/>
        <v>0</v>
      </c>
      <c r="BB682" s="55">
        <f t="shared" si="736"/>
        <v>0</v>
      </c>
      <c r="BC682" s="55">
        <f t="shared" si="736"/>
        <v>0</v>
      </c>
      <c r="BD682" s="55">
        <f t="shared" si="736"/>
        <v>0</v>
      </c>
      <c r="BE682" s="55">
        <f t="shared" si="736"/>
        <v>0</v>
      </c>
      <c r="BF682" s="55">
        <f t="shared" si="736"/>
        <v>0</v>
      </c>
      <c r="BG682" s="55">
        <f t="shared" si="736"/>
        <v>0</v>
      </c>
      <c r="BH682" s="55">
        <f t="shared" si="736"/>
        <v>0</v>
      </c>
      <c r="BI682" s="55">
        <f t="shared" si="736"/>
        <v>0</v>
      </c>
      <c r="BJ682" s="55">
        <f t="shared" si="736"/>
        <v>0</v>
      </c>
      <c r="BK682" s="55">
        <f t="shared" si="736"/>
        <v>0</v>
      </c>
      <c r="BL682" s="55">
        <f t="shared" si="736"/>
        <v>0</v>
      </c>
      <c r="BM682" s="55">
        <f t="shared" si="736"/>
        <v>0</v>
      </c>
      <c r="BN682" s="55">
        <f t="shared" si="736"/>
        <v>0</v>
      </c>
      <c r="BO682" s="55">
        <f t="shared" si="736"/>
        <v>0</v>
      </c>
      <c r="BP682" s="55">
        <f t="shared" si="736"/>
        <v>0</v>
      </c>
      <c r="BQ682" s="55">
        <f t="shared" si="736"/>
        <v>0</v>
      </c>
      <c r="BR682" s="55">
        <f t="shared" si="736"/>
        <v>0</v>
      </c>
      <c r="BS682" s="55">
        <f t="shared" si="736"/>
        <v>0</v>
      </c>
      <c r="BT682" s="55">
        <f t="shared" si="736"/>
        <v>0</v>
      </c>
      <c r="BU682" s="55">
        <f t="shared" si="736"/>
        <v>0</v>
      </c>
      <c r="BV682" s="55">
        <f t="shared" si="736"/>
        <v>0</v>
      </c>
      <c r="CK682" s="11"/>
      <c r="CM682" s="11"/>
      <c r="DF682" s="11"/>
      <c r="EY682" s="10" t="str">
        <f t="shared" si="670"/>
        <v/>
      </c>
    </row>
    <row r="683" spans="1:155" x14ac:dyDescent="0.35">
      <c r="B683" s="69" t="str" cm="1">
        <f t="array" aca="1" ref="B683" ca="1">HYPERLINK(CONCATENATE("#",CELL("address",$D$265)),$D$265)</f>
        <v>Loan 12</v>
      </c>
      <c r="C683" s="211"/>
      <c r="D683" s="49">
        <f>D$24</f>
        <v>0</v>
      </c>
      <c r="E683" s="49" t="str">
        <f>F$24</f>
        <v/>
      </c>
      <c r="F683" s="49"/>
      <c r="G683" s="133">
        <f>IFERROR(INDEX(Parameters!$E$80:$E$84, MATCH(S24, Parameters!$D$80:$D$84,0)), 0)</f>
        <v>0</v>
      </c>
      <c r="I683" s="40" t="s">
        <v>1079</v>
      </c>
      <c r="AA683" s="55">
        <f t="shared" ref="AA683:BV683" si="737">IF($G683=0, 0, (1+AA660)^(1/$G683)-1)</f>
        <v>0</v>
      </c>
      <c r="AB683" s="55">
        <f t="shared" si="737"/>
        <v>0</v>
      </c>
      <c r="AC683" s="55">
        <f t="shared" si="737"/>
        <v>0</v>
      </c>
      <c r="AD683" s="55">
        <f t="shared" si="737"/>
        <v>0</v>
      </c>
      <c r="AE683" s="55">
        <f t="shared" si="737"/>
        <v>0</v>
      </c>
      <c r="AF683" s="55">
        <f t="shared" si="737"/>
        <v>0</v>
      </c>
      <c r="AG683" s="55">
        <f t="shared" si="737"/>
        <v>0</v>
      </c>
      <c r="AH683" s="55">
        <f t="shared" si="737"/>
        <v>0</v>
      </c>
      <c r="AI683" s="55">
        <f t="shared" si="737"/>
        <v>0</v>
      </c>
      <c r="AJ683" s="55">
        <f t="shared" si="737"/>
        <v>0</v>
      </c>
      <c r="AK683" s="55">
        <f t="shared" si="737"/>
        <v>0</v>
      </c>
      <c r="AL683" s="55">
        <f t="shared" si="737"/>
        <v>0</v>
      </c>
      <c r="AM683" s="55">
        <f t="shared" si="737"/>
        <v>0</v>
      </c>
      <c r="AN683" s="55">
        <f t="shared" si="737"/>
        <v>0</v>
      </c>
      <c r="AO683" s="55">
        <f t="shared" si="737"/>
        <v>0</v>
      </c>
      <c r="AP683" s="55">
        <f t="shared" si="737"/>
        <v>0</v>
      </c>
      <c r="AQ683" s="55">
        <f t="shared" si="737"/>
        <v>0</v>
      </c>
      <c r="AR683" s="55">
        <f t="shared" si="737"/>
        <v>0</v>
      </c>
      <c r="AS683" s="55">
        <f t="shared" si="737"/>
        <v>0</v>
      </c>
      <c r="AT683" s="55">
        <f t="shared" si="737"/>
        <v>0</v>
      </c>
      <c r="AU683" s="55">
        <f t="shared" si="737"/>
        <v>0</v>
      </c>
      <c r="AV683" s="55">
        <f t="shared" si="737"/>
        <v>0</v>
      </c>
      <c r="AW683" s="55">
        <f t="shared" si="737"/>
        <v>0</v>
      </c>
      <c r="AX683" s="55">
        <f t="shared" si="737"/>
        <v>0</v>
      </c>
      <c r="AY683" s="55">
        <f t="shared" si="737"/>
        <v>0</v>
      </c>
      <c r="AZ683" s="55">
        <f t="shared" si="737"/>
        <v>0</v>
      </c>
      <c r="BA683" s="55">
        <f t="shared" si="737"/>
        <v>0</v>
      </c>
      <c r="BB683" s="55">
        <f t="shared" si="737"/>
        <v>0</v>
      </c>
      <c r="BC683" s="55">
        <f t="shared" si="737"/>
        <v>0</v>
      </c>
      <c r="BD683" s="55">
        <f t="shared" si="737"/>
        <v>0</v>
      </c>
      <c r="BE683" s="55">
        <f t="shared" si="737"/>
        <v>0</v>
      </c>
      <c r="BF683" s="55">
        <f t="shared" si="737"/>
        <v>0</v>
      </c>
      <c r="BG683" s="55">
        <f t="shared" si="737"/>
        <v>0</v>
      </c>
      <c r="BH683" s="55">
        <f t="shared" si="737"/>
        <v>0</v>
      </c>
      <c r="BI683" s="55">
        <f t="shared" si="737"/>
        <v>0</v>
      </c>
      <c r="BJ683" s="55">
        <f t="shared" si="737"/>
        <v>0</v>
      </c>
      <c r="BK683" s="55">
        <f t="shared" si="737"/>
        <v>0</v>
      </c>
      <c r="BL683" s="55">
        <f t="shared" si="737"/>
        <v>0</v>
      </c>
      <c r="BM683" s="55">
        <f t="shared" si="737"/>
        <v>0</v>
      </c>
      <c r="BN683" s="55">
        <f t="shared" si="737"/>
        <v>0</v>
      </c>
      <c r="BO683" s="55">
        <f t="shared" si="737"/>
        <v>0</v>
      </c>
      <c r="BP683" s="55">
        <f t="shared" si="737"/>
        <v>0</v>
      </c>
      <c r="BQ683" s="55">
        <f t="shared" si="737"/>
        <v>0</v>
      </c>
      <c r="BR683" s="55">
        <f t="shared" si="737"/>
        <v>0</v>
      </c>
      <c r="BS683" s="55">
        <f t="shared" si="737"/>
        <v>0</v>
      </c>
      <c r="BT683" s="55">
        <f t="shared" si="737"/>
        <v>0</v>
      </c>
      <c r="BU683" s="55">
        <f t="shared" si="737"/>
        <v>0</v>
      </c>
      <c r="BV683" s="55">
        <f t="shared" si="737"/>
        <v>0</v>
      </c>
      <c r="CK683" s="11"/>
      <c r="CM683" s="11"/>
      <c r="DF683" s="11"/>
      <c r="EY683" s="10" t="str">
        <f t="shared" si="670"/>
        <v/>
      </c>
    </row>
    <row r="684" spans="1:155" x14ac:dyDescent="0.35">
      <c r="B684" s="69" t="str" cm="1">
        <f t="array" aca="1" ref="B684" ca="1">HYPERLINK(CONCATENATE("#",CELL("address",$D$284)),$D$284)</f>
        <v>Loan 13</v>
      </c>
      <c r="C684" s="211"/>
      <c r="D684" s="49">
        <f>D$25</f>
        <v>0</v>
      </c>
      <c r="E684" s="49" t="str">
        <f>F$25</f>
        <v/>
      </c>
      <c r="F684" s="49"/>
      <c r="G684" s="133">
        <f>IFERROR(INDEX(Parameters!$E$80:$E$84, MATCH(S25, Parameters!$D$80:$D$84,0)), 0)</f>
        <v>0</v>
      </c>
      <c r="I684" s="40" t="s">
        <v>1079</v>
      </c>
      <c r="AA684" s="55">
        <f t="shared" ref="AA684:BV684" si="738">IF($G684=0, 0, (1+AA661)^(1/$G684)-1)</f>
        <v>0</v>
      </c>
      <c r="AB684" s="55">
        <f t="shared" si="738"/>
        <v>0</v>
      </c>
      <c r="AC684" s="55">
        <f t="shared" si="738"/>
        <v>0</v>
      </c>
      <c r="AD684" s="55">
        <f t="shared" si="738"/>
        <v>0</v>
      </c>
      <c r="AE684" s="55">
        <f t="shared" si="738"/>
        <v>0</v>
      </c>
      <c r="AF684" s="55">
        <f t="shared" si="738"/>
        <v>0</v>
      </c>
      <c r="AG684" s="55">
        <f t="shared" si="738"/>
        <v>0</v>
      </c>
      <c r="AH684" s="55">
        <f t="shared" si="738"/>
        <v>0</v>
      </c>
      <c r="AI684" s="55">
        <f t="shared" si="738"/>
        <v>0</v>
      </c>
      <c r="AJ684" s="55">
        <f t="shared" si="738"/>
        <v>0</v>
      </c>
      <c r="AK684" s="55">
        <f t="shared" si="738"/>
        <v>0</v>
      </c>
      <c r="AL684" s="55">
        <f t="shared" si="738"/>
        <v>0</v>
      </c>
      <c r="AM684" s="55">
        <f t="shared" si="738"/>
        <v>0</v>
      </c>
      <c r="AN684" s="55">
        <f t="shared" si="738"/>
        <v>0</v>
      </c>
      <c r="AO684" s="55">
        <f t="shared" si="738"/>
        <v>0</v>
      </c>
      <c r="AP684" s="55">
        <f t="shared" si="738"/>
        <v>0</v>
      </c>
      <c r="AQ684" s="55">
        <f t="shared" si="738"/>
        <v>0</v>
      </c>
      <c r="AR684" s="55">
        <f t="shared" si="738"/>
        <v>0</v>
      </c>
      <c r="AS684" s="55">
        <f t="shared" si="738"/>
        <v>0</v>
      </c>
      <c r="AT684" s="55">
        <f t="shared" si="738"/>
        <v>0</v>
      </c>
      <c r="AU684" s="55">
        <f t="shared" si="738"/>
        <v>0</v>
      </c>
      <c r="AV684" s="55">
        <f t="shared" si="738"/>
        <v>0</v>
      </c>
      <c r="AW684" s="55">
        <f t="shared" si="738"/>
        <v>0</v>
      </c>
      <c r="AX684" s="55">
        <f t="shared" si="738"/>
        <v>0</v>
      </c>
      <c r="AY684" s="55">
        <f t="shared" si="738"/>
        <v>0</v>
      </c>
      <c r="AZ684" s="55">
        <f t="shared" si="738"/>
        <v>0</v>
      </c>
      <c r="BA684" s="55">
        <f t="shared" si="738"/>
        <v>0</v>
      </c>
      <c r="BB684" s="55">
        <f t="shared" si="738"/>
        <v>0</v>
      </c>
      <c r="BC684" s="55">
        <f t="shared" si="738"/>
        <v>0</v>
      </c>
      <c r="BD684" s="55">
        <f t="shared" si="738"/>
        <v>0</v>
      </c>
      <c r="BE684" s="55">
        <f t="shared" si="738"/>
        <v>0</v>
      </c>
      <c r="BF684" s="55">
        <f t="shared" si="738"/>
        <v>0</v>
      </c>
      <c r="BG684" s="55">
        <f t="shared" si="738"/>
        <v>0</v>
      </c>
      <c r="BH684" s="55">
        <f t="shared" si="738"/>
        <v>0</v>
      </c>
      <c r="BI684" s="55">
        <f t="shared" si="738"/>
        <v>0</v>
      </c>
      <c r="BJ684" s="55">
        <f t="shared" si="738"/>
        <v>0</v>
      </c>
      <c r="BK684" s="55">
        <f t="shared" si="738"/>
        <v>0</v>
      </c>
      <c r="BL684" s="55">
        <f t="shared" si="738"/>
        <v>0</v>
      </c>
      <c r="BM684" s="55">
        <f t="shared" si="738"/>
        <v>0</v>
      </c>
      <c r="BN684" s="55">
        <f t="shared" si="738"/>
        <v>0</v>
      </c>
      <c r="BO684" s="55">
        <f t="shared" si="738"/>
        <v>0</v>
      </c>
      <c r="BP684" s="55">
        <f t="shared" si="738"/>
        <v>0</v>
      </c>
      <c r="BQ684" s="55">
        <f t="shared" si="738"/>
        <v>0</v>
      </c>
      <c r="BR684" s="55">
        <f t="shared" si="738"/>
        <v>0</v>
      </c>
      <c r="BS684" s="55">
        <f t="shared" si="738"/>
        <v>0</v>
      </c>
      <c r="BT684" s="55">
        <f t="shared" si="738"/>
        <v>0</v>
      </c>
      <c r="BU684" s="55">
        <f t="shared" si="738"/>
        <v>0</v>
      </c>
      <c r="BV684" s="55">
        <f t="shared" si="738"/>
        <v>0</v>
      </c>
      <c r="CK684" s="11"/>
      <c r="CM684" s="11"/>
      <c r="DF684" s="11"/>
      <c r="EY684" s="10" t="str">
        <f t="shared" si="670"/>
        <v/>
      </c>
    </row>
    <row r="685" spans="1:155" s="5" customFormat="1" x14ac:dyDescent="0.35">
      <c r="A685"/>
      <c r="B685" s="69" t="str" cm="1">
        <f t="array" aca="1" ref="B685" ca="1">HYPERLINK(CONCATENATE("#",CELL("address",$D$303)),$D$303)</f>
        <v>Loan 14</v>
      </c>
      <c r="C685" s="211"/>
      <c r="D685" s="49">
        <f>D$26</f>
        <v>0</v>
      </c>
      <c r="E685" s="49" t="str">
        <f>F$26</f>
        <v/>
      </c>
      <c r="F685" s="49"/>
      <c r="G685" s="133">
        <f>IFERROR(INDEX(Parameters!$E$80:$E$84, MATCH(S26, Parameters!$D$80:$D$84,0)), 0)</f>
        <v>0</v>
      </c>
      <c r="I685" s="40" t="s">
        <v>1079</v>
      </c>
      <c r="J685"/>
      <c r="K685"/>
      <c r="L685"/>
      <c r="M685"/>
      <c r="N685"/>
      <c r="O685"/>
      <c r="P685"/>
      <c r="Q685"/>
      <c r="R685"/>
      <c r="S685"/>
      <c r="T685"/>
      <c r="U685"/>
      <c r="V685"/>
      <c r="W685"/>
      <c r="X685"/>
      <c r="Y685"/>
      <c r="Z685"/>
      <c r="AA685" s="55">
        <f t="shared" ref="AA685:BV685" si="739">IF($G685=0, 0, (1+AA662)^(1/$G685)-1)</f>
        <v>0</v>
      </c>
      <c r="AB685" s="55">
        <f t="shared" si="739"/>
        <v>0</v>
      </c>
      <c r="AC685" s="55">
        <f t="shared" si="739"/>
        <v>0</v>
      </c>
      <c r="AD685" s="55">
        <f t="shared" si="739"/>
        <v>0</v>
      </c>
      <c r="AE685" s="55">
        <f t="shared" si="739"/>
        <v>0</v>
      </c>
      <c r="AF685" s="55">
        <f t="shared" si="739"/>
        <v>0</v>
      </c>
      <c r="AG685" s="55">
        <f t="shared" si="739"/>
        <v>0</v>
      </c>
      <c r="AH685" s="55">
        <f t="shared" si="739"/>
        <v>0</v>
      </c>
      <c r="AI685" s="55">
        <f t="shared" si="739"/>
        <v>0</v>
      </c>
      <c r="AJ685" s="55">
        <f t="shared" si="739"/>
        <v>0</v>
      </c>
      <c r="AK685" s="55">
        <f t="shared" si="739"/>
        <v>0</v>
      </c>
      <c r="AL685" s="55">
        <f t="shared" si="739"/>
        <v>0</v>
      </c>
      <c r="AM685" s="55">
        <f t="shared" si="739"/>
        <v>0</v>
      </c>
      <c r="AN685" s="55">
        <f t="shared" si="739"/>
        <v>0</v>
      </c>
      <c r="AO685" s="55">
        <f t="shared" si="739"/>
        <v>0</v>
      </c>
      <c r="AP685" s="55">
        <f t="shared" si="739"/>
        <v>0</v>
      </c>
      <c r="AQ685" s="55">
        <f t="shared" si="739"/>
        <v>0</v>
      </c>
      <c r="AR685" s="55">
        <f t="shared" si="739"/>
        <v>0</v>
      </c>
      <c r="AS685" s="55">
        <f t="shared" si="739"/>
        <v>0</v>
      </c>
      <c r="AT685" s="55">
        <f t="shared" si="739"/>
        <v>0</v>
      </c>
      <c r="AU685" s="55">
        <f t="shared" si="739"/>
        <v>0</v>
      </c>
      <c r="AV685" s="55">
        <f t="shared" si="739"/>
        <v>0</v>
      </c>
      <c r="AW685" s="55">
        <f t="shared" si="739"/>
        <v>0</v>
      </c>
      <c r="AX685" s="55">
        <f t="shared" si="739"/>
        <v>0</v>
      </c>
      <c r="AY685" s="55">
        <f t="shared" si="739"/>
        <v>0</v>
      </c>
      <c r="AZ685" s="55">
        <f t="shared" si="739"/>
        <v>0</v>
      </c>
      <c r="BA685" s="55">
        <f t="shared" si="739"/>
        <v>0</v>
      </c>
      <c r="BB685" s="55">
        <f t="shared" si="739"/>
        <v>0</v>
      </c>
      <c r="BC685" s="55">
        <f t="shared" si="739"/>
        <v>0</v>
      </c>
      <c r="BD685" s="55">
        <f t="shared" si="739"/>
        <v>0</v>
      </c>
      <c r="BE685" s="55">
        <f t="shared" si="739"/>
        <v>0</v>
      </c>
      <c r="BF685" s="55">
        <f t="shared" si="739"/>
        <v>0</v>
      </c>
      <c r="BG685" s="55">
        <f t="shared" si="739"/>
        <v>0</v>
      </c>
      <c r="BH685" s="55">
        <f t="shared" si="739"/>
        <v>0</v>
      </c>
      <c r="BI685" s="55">
        <f t="shared" si="739"/>
        <v>0</v>
      </c>
      <c r="BJ685" s="55">
        <f t="shared" si="739"/>
        <v>0</v>
      </c>
      <c r="BK685" s="55">
        <f t="shared" si="739"/>
        <v>0</v>
      </c>
      <c r="BL685" s="55">
        <f t="shared" si="739"/>
        <v>0</v>
      </c>
      <c r="BM685" s="55">
        <f t="shared" si="739"/>
        <v>0</v>
      </c>
      <c r="BN685" s="55">
        <f t="shared" si="739"/>
        <v>0</v>
      </c>
      <c r="BO685" s="55">
        <f t="shared" si="739"/>
        <v>0</v>
      </c>
      <c r="BP685" s="55">
        <f t="shared" si="739"/>
        <v>0</v>
      </c>
      <c r="BQ685" s="55">
        <f t="shared" si="739"/>
        <v>0</v>
      </c>
      <c r="BR685" s="55">
        <f t="shared" si="739"/>
        <v>0</v>
      </c>
      <c r="BS685" s="55">
        <f t="shared" si="739"/>
        <v>0</v>
      </c>
      <c r="BT685" s="55">
        <f t="shared" si="739"/>
        <v>0</v>
      </c>
      <c r="BU685" s="55">
        <f t="shared" si="739"/>
        <v>0</v>
      </c>
      <c r="BV685" s="55">
        <f t="shared" si="739"/>
        <v>0</v>
      </c>
      <c r="BW685"/>
      <c r="BX685"/>
      <c r="BY685"/>
      <c r="BZ685"/>
      <c r="CA685"/>
      <c r="CB685"/>
      <c r="CC685"/>
      <c r="CD685"/>
      <c r="CE685"/>
      <c r="CF685"/>
      <c r="CG685"/>
      <c r="CH685"/>
      <c r="CI685"/>
      <c r="CJ685"/>
      <c r="CK685" s="11"/>
      <c r="CL685"/>
      <c r="CM685" s="11"/>
      <c r="CN685"/>
      <c r="CO685"/>
      <c r="CP685"/>
      <c r="CQ685"/>
      <c r="CR685"/>
      <c r="CS685"/>
      <c r="CT685"/>
      <c r="CU685"/>
      <c r="CV685"/>
      <c r="CW685"/>
      <c r="CX685"/>
      <c r="CY685"/>
      <c r="CZ685"/>
      <c r="DA685"/>
      <c r="DB685"/>
      <c r="DC685"/>
      <c r="DD685"/>
      <c r="DE685"/>
      <c r="DF685" s="11"/>
      <c r="EY685" s="10" t="str">
        <f t="shared" si="670"/>
        <v/>
      </c>
    </row>
    <row r="686" spans="1:155" x14ac:dyDescent="0.35">
      <c r="B686" s="69" t="str" cm="1">
        <f t="array" aca="1" ref="B686" ca="1">HYPERLINK(CONCATENATE("#",CELL("address",$D$322)),$D$322)</f>
        <v>Loan 15</v>
      </c>
      <c r="C686" s="211"/>
      <c r="D686" s="49">
        <f>D$27</f>
        <v>0</v>
      </c>
      <c r="E686" s="49" t="str">
        <f>F$27</f>
        <v/>
      </c>
      <c r="F686" s="49"/>
      <c r="G686" s="133">
        <f>IFERROR(INDEX(Parameters!$E$80:$E$84, MATCH(S27, Parameters!$D$80:$D$84,0)), 0)</f>
        <v>0</v>
      </c>
      <c r="I686" s="40" t="s">
        <v>1079</v>
      </c>
      <c r="AA686" s="55">
        <f t="shared" ref="AA686:BV686" si="740">IF($G686=0, 0, (1+AA663)^(1/$G686)-1)</f>
        <v>0</v>
      </c>
      <c r="AB686" s="55">
        <f t="shared" si="740"/>
        <v>0</v>
      </c>
      <c r="AC686" s="55">
        <f t="shared" si="740"/>
        <v>0</v>
      </c>
      <c r="AD686" s="55">
        <f t="shared" si="740"/>
        <v>0</v>
      </c>
      <c r="AE686" s="55">
        <f t="shared" si="740"/>
        <v>0</v>
      </c>
      <c r="AF686" s="55">
        <f t="shared" si="740"/>
        <v>0</v>
      </c>
      <c r="AG686" s="55">
        <f t="shared" si="740"/>
        <v>0</v>
      </c>
      <c r="AH686" s="55">
        <f t="shared" si="740"/>
        <v>0</v>
      </c>
      <c r="AI686" s="55">
        <f t="shared" si="740"/>
        <v>0</v>
      </c>
      <c r="AJ686" s="55">
        <f t="shared" si="740"/>
        <v>0</v>
      </c>
      <c r="AK686" s="55">
        <f t="shared" si="740"/>
        <v>0</v>
      </c>
      <c r="AL686" s="55">
        <f t="shared" si="740"/>
        <v>0</v>
      </c>
      <c r="AM686" s="55">
        <f t="shared" si="740"/>
        <v>0</v>
      </c>
      <c r="AN686" s="55">
        <f t="shared" si="740"/>
        <v>0</v>
      </c>
      <c r="AO686" s="55">
        <f t="shared" si="740"/>
        <v>0</v>
      </c>
      <c r="AP686" s="55">
        <f t="shared" si="740"/>
        <v>0</v>
      </c>
      <c r="AQ686" s="55">
        <f t="shared" si="740"/>
        <v>0</v>
      </c>
      <c r="AR686" s="55">
        <f t="shared" si="740"/>
        <v>0</v>
      </c>
      <c r="AS686" s="55">
        <f t="shared" si="740"/>
        <v>0</v>
      </c>
      <c r="AT686" s="55">
        <f t="shared" si="740"/>
        <v>0</v>
      </c>
      <c r="AU686" s="55">
        <f t="shared" si="740"/>
        <v>0</v>
      </c>
      <c r="AV686" s="55">
        <f t="shared" si="740"/>
        <v>0</v>
      </c>
      <c r="AW686" s="55">
        <f t="shared" si="740"/>
        <v>0</v>
      </c>
      <c r="AX686" s="55">
        <f t="shared" si="740"/>
        <v>0</v>
      </c>
      <c r="AY686" s="55">
        <f t="shared" si="740"/>
        <v>0</v>
      </c>
      <c r="AZ686" s="55">
        <f t="shared" si="740"/>
        <v>0</v>
      </c>
      <c r="BA686" s="55">
        <f t="shared" si="740"/>
        <v>0</v>
      </c>
      <c r="BB686" s="55">
        <f t="shared" si="740"/>
        <v>0</v>
      </c>
      <c r="BC686" s="55">
        <f t="shared" si="740"/>
        <v>0</v>
      </c>
      <c r="BD686" s="55">
        <f t="shared" si="740"/>
        <v>0</v>
      </c>
      <c r="BE686" s="55">
        <f t="shared" si="740"/>
        <v>0</v>
      </c>
      <c r="BF686" s="55">
        <f t="shared" si="740"/>
        <v>0</v>
      </c>
      <c r="BG686" s="55">
        <f t="shared" si="740"/>
        <v>0</v>
      </c>
      <c r="BH686" s="55">
        <f t="shared" si="740"/>
        <v>0</v>
      </c>
      <c r="BI686" s="55">
        <f t="shared" si="740"/>
        <v>0</v>
      </c>
      <c r="BJ686" s="55">
        <f t="shared" si="740"/>
        <v>0</v>
      </c>
      <c r="BK686" s="55">
        <f t="shared" si="740"/>
        <v>0</v>
      </c>
      <c r="BL686" s="55">
        <f t="shared" si="740"/>
        <v>0</v>
      </c>
      <c r="BM686" s="55">
        <f t="shared" si="740"/>
        <v>0</v>
      </c>
      <c r="BN686" s="55">
        <f t="shared" si="740"/>
        <v>0</v>
      </c>
      <c r="BO686" s="55">
        <f t="shared" si="740"/>
        <v>0</v>
      </c>
      <c r="BP686" s="55">
        <f t="shared" si="740"/>
        <v>0</v>
      </c>
      <c r="BQ686" s="55">
        <f t="shared" si="740"/>
        <v>0</v>
      </c>
      <c r="BR686" s="55">
        <f t="shared" si="740"/>
        <v>0</v>
      </c>
      <c r="BS686" s="55">
        <f t="shared" si="740"/>
        <v>0</v>
      </c>
      <c r="BT686" s="55">
        <f t="shared" si="740"/>
        <v>0</v>
      </c>
      <c r="BU686" s="55">
        <f t="shared" si="740"/>
        <v>0</v>
      </c>
      <c r="BV686" s="55">
        <f t="shared" si="740"/>
        <v>0</v>
      </c>
      <c r="CK686" s="11"/>
      <c r="CM686" s="11"/>
      <c r="DF686" s="11"/>
      <c r="EY686" s="10" t="str">
        <f t="shared" si="670"/>
        <v/>
      </c>
    </row>
    <row r="687" spans="1:155" x14ac:dyDescent="0.35">
      <c r="B687" s="69" t="str" cm="1">
        <f t="array" aca="1" ref="B687" ca="1">HYPERLINK(CONCATENATE("#",CELL("address",$D$341)),$D$341)</f>
        <v>Loan 16</v>
      </c>
      <c r="C687" s="211"/>
      <c r="D687" s="49">
        <f>D$28</f>
        <v>0</v>
      </c>
      <c r="E687" s="49" t="str">
        <f>F$28</f>
        <v/>
      </c>
      <c r="F687" s="49"/>
      <c r="G687" s="133">
        <f>IFERROR(INDEX(Parameters!$E$80:$E$84, MATCH(S28, Parameters!$D$80:$D$84,0)), 0)</f>
        <v>0</v>
      </c>
      <c r="I687" s="40" t="s">
        <v>1079</v>
      </c>
      <c r="AA687" s="55">
        <f t="shared" ref="AA687:BV687" si="741">IF($G687=0, 0, (1+AA664)^(1/$G687)-1)</f>
        <v>0</v>
      </c>
      <c r="AB687" s="55">
        <f t="shared" si="741"/>
        <v>0</v>
      </c>
      <c r="AC687" s="55">
        <f t="shared" si="741"/>
        <v>0</v>
      </c>
      <c r="AD687" s="55">
        <f t="shared" si="741"/>
        <v>0</v>
      </c>
      <c r="AE687" s="55">
        <f t="shared" si="741"/>
        <v>0</v>
      </c>
      <c r="AF687" s="55">
        <f t="shared" si="741"/>
        <v>0</v>
      </c>
      <c r="AG687" s="55">
        <f t="shared" si="741"/>
        <v>0</v>
      </c>
      <c r="AH687" s="55">
        <f t="shared" si="741"/>
        <v>0</v>
      </c>
      <c r="AI687" s="55">
        <f t="shared" si="741"/>
        <v>0</v>
      </c>
      <c r="AJ687" s="55">
        <f t="shared" si="741"/>
        <v>0</v>
      </c>
      <c r="AK687" s="55">
        <f t="shared" si="741"/>
        <v>0</v>
      </c>
      <c r="AL687" s="55">
        <f t="shared" si="741"/>
        <v>0</v>
      </c>
      <c r="AM687" s="55">
        <f t="shared" si="741"/>
        <v>0</v>
      </c>
      <c r="AN687" s="55">
        <f t="shared" si="741"/>
        <v>0</v>
      </c>
      <c r="AO687" s="55">
        <f t="shared" si="741"/>
        <v>0</v>
      </c>
      <c r="AP687" s="55">
        <f t="shared" si="741"/>
        <v>0</v>
      </c>
      <c r="AQ687" s="55">
        <f t="shared" si="741"/>
        <v>0</v>
      </c>
      <c r="AR687" s="55">
        <f t="shared" si="741"/>
        <v>0</v>
      </c>
      <c r="AS687" s="55">
        <f t="shared" si="741"/>
        <v>0</v>
      </c>
      <c r="AT687" s="55">
        <f t="shared" si="741"/>
        <v>0</v>
      </c>
      <c r="AU687" s="55">
        <f t="shared" si="741"/>
        <v>0</v>
      </c>
      <c r="AV687" s="55">
        <f t="shared" si="741"/>
        <v>0</v>
      </c>
      <c r="AW687" s="55">
        <f t="shared" si="741"/>
        <v>0</v>
      </c>
      <c r="AX687" s="55">
        <f t="shared" si="741"/>
        <v>0</v>
      </c>
      <c r="AY687" s="55">
        <f t="shared" si="741"/>
        <v>0</v>
      </c>
      <c r="AZ687" s="55">
        <f t="shared" si="741"/>
        <v>0</v>
      </c>
      <c r="BA687" s="55">
        <f t="shared" si="741"/>
        <v>0</v>
      </c>
      <c r="BB687" s="55">
        <f t="shared" si="741"/>
        <v>0</v>
      </c>
      <c r="BC687" s="55">
        <f t="shared" si="741"/>
        <v>0</v>
      </c>
      <c r="BD687" s="55">
        <f t="shared" si="741"/>
        <v>0</v>
      </c>
      <c r="BE687" s="55">
        <f t="shared" si="741"/>
        <v>0</v>
      </c>
      <c r="BF687" s="55">
        <f t="shared" si="741"/>
        <v>0</v>
      </c>
      <c r="BG687" s="55">
        <f t="shared" si="741"/>
        <v>0</v>
      </c>
      <c r="BH687" s="55">
        <f t="shared" si="741"/>
        <v>0</v>
      </c>
      <c r="BI687" s="55">
        <f t="shared" si="741"/>
        <v>0</v>
      </c>
      <c r="BJ687" s="55">
        <f t="shared" si="741"/>
        <v>0</v>
      </c>
      <c r="BK687" s="55">
        <f t="shared" si="741"/>
        <v>0</v>
      </c>
      <c r="BL687" s="55">
        <f t="shared" si="741"/>
        <v>0</v>
      </c>
      <c r="BM687" s="55">
        <f t="shared" si="741"/>
        <v>0</v>
      </c>
      <c r="BN687" s="55">
        <f t="shared" si="741"/>
        <v>0</v>
      </c>
      <c r="BO687" s="55">
        <f t="shared" si="741"/>
        <v>0</v>
      </c>
      <c r="BP687" s="55">
        <f t="shared" si="741"/>
        <v>0</v>
      </c>
      <c r="BQ687" s="55">
        <f t="shared" si="741"/>
        <v>0</v>
      </c>
      <c r="BR687" s="55">
        <f t="shared" si="741"/>
        <v>0</v>
      </c>
      <c r="BS687" s="55">
        <f t="shared" si="741"/>
        <v>0</v>
      </c>
      <c r="BT687" s="55">
        <f t="shared" si="741"/>
        <v>0</v>
      </c>
      <c r="BU687" s="55">
        <f t="shared" si="741"/>
        <v>0</v>
      </c>
      <c r="BV687" s="55">
        <f t="shared" si="741"/>
        <v>0</v>
      </c>
      <c r="CK687" s="11"/>
      <c r="CM687" s="11"/>
      <c r="DF687" s="11"/>
      <c r="EY687" s="10" t="str">
        <f t="shared" si="670"/>
        <v/>
      </c>
    </row>
    <row r="688" spans="1:155" x14ac:dyDescent="0.35">
      <c r="B688" s="69" t="str" cm="1">
        <f t="array" aca="1" ref="B688" ca="1">HYPERLINK(CONCATENATE("#",CELL("address",$D$360)),$D$360)</f>
        <v>Loan 17</v>
      </c>
      <c r="C688" s="211"/>
      <c r="D688" s="49">
        <f>D$29</f>
        <v>0</v>
      </c>
      <c r="E688" s="49" t="str">
        <f>F$29</f>
        <v/>
      </c>
      <c r="F688" s="49"/>
      <c r="G688" s="133">
        <f>IFERROR(INDEX(Parameters!$E$80:$E$84, MATCH(S29, Parameters!$D$80:$D$84,0)), 0)</f>
        <v>0</v>
      </c>
      <c r="I688" s="40" t="s">
        <v>1079</v>
      </c>
      <c r="AA688" s="55">
        <f t="shared" ref="AA688:BV688" si="742">IF($G688=0, 0, (1+AA665)^(1/$G688)-1)</f>
        <v>0</v>
      </c>
      <c r="AB688" s="55">
        <f t="shared" si="742"/>
        <v>0</v>
      </c>
      <c r="AC688" s="55">
        <f t="shared" si="742"/>
        <v>0</v>
      </c>
      <c r="AD688" s="55">
        <f t="shared" si="742"/>
        <v>0</v>
      </c>
      <c r="AE688" s="55">
        <f t="shared" si="742"/>
        <v>0</v>
      </c>
      <c r="AF688" s="55">
        <f t="shared" si="742"/>
        <v>0</v>
      </c>
      <c r="AG688" s="55">
        <f t="shared" si="742"/>
        <v>0</v>
      </c>
      <c r="AH688" s="55">
        <f t="shared" si="742"/>
        <v>0</v>
      </c>
      <c r="AI688" s="55">
        <f t="shared" si="742"/>
        <v>0</v>
      </c>
      <c r="AJ688" s="55">
        <f t="shared" si="742"/>
        <v>0</v>
      </c>
      <c r="AK688" s="55">
        <f t="shared" si="742"/>
        <v>0</v>
      </c>
      <c r="AL688" s="55">
        <f t="shared" si="742"/>
        <v>0</v>
      </c>
      <c r="AM688" s="55">
        <f t="shared" si="742"/>
        <v>0</v>
      </c>
      <c r="AN688" s="55">
        <f t="shared" si="742"/>
        <v>0</v>
      </c>
      <c r="AO688" s="55">
        <f t="shared" si="742"/>
        <v>0</v>
      </c>
      <c r="AP688" s="55">
        <f t="shared" si="742"/>
        <v>0</v>
      </c>
      <c r="AQ688" s="55">
        <f t="shared" si="742"/>
        <v>0</v>
      </c>
      <c r="AR688" s="55">
        <f t="shared" si="742"/>
        <v>0</v>
      </c>
      <c r="AS688" s="55">
        <f t="shared" si="742"/>
        <v>0</v>
      </c>
      <c r="AT688" s="55">
        <f t="shared" si="742"/>
        <v>0</v>
      </c>
      <c r="AU688" s="55">
        <f t="shared" si="742"/>
        <v>0</v>
      </c>
      <c r="AV688" s="55">
        <f t="shared" si="742"/>
        <v>0</v>
      </c>
      <c r="AW688" s="55">
        <f t="shared" si="742"/>
        <v>0</v>
      </c>
      <c r="AX688" s="55">
        <f t="shared" si="742"/>
        <v>0</v>
      </c>
      <c r="AY688" s="55">
        <f t="shared" si="742"/>
        <v>0</v>
      </c>
      <c r="AZ688" s="55">
        <f t="shared" si="742"/>
        <v>0</v>
      </c>
      <c r="BA688" s="55">
        <f t="shared" si="742"/>
        <v>0</v>
      </c>
      <c r="BB688" s="55">
        <f t="shared" si="742"/>
        <v>0</v>
      </c>
      <c r="BC688" s="55">
        <f t="shared" si="742"/>
        <v>0</v>
      </c>
      <c r="BD688" s="55">
        <f t="shared" si="742"/>
        <v>0</v>
      </c>
      <c r="BE688" s="55">
        <f t="shared" si="742"/>
        <v>0</v>
      </c>
      <c r="BF688" s="55">
        <f t="shared" si="742"/>
        <v>0</v>
      </c>
      <c r="BG688" s="55">
        <f t="shared" si="742"/>
        <v>0</v>
      </c>
      <c r="BH688" s="55">
        <f t="shared" si="742"/>
        <v>0</v>
      </c>
      <c r="BI688" s="55">
        <f t="shared" si="742"/>
        <v>0</v>
      </c>
      <c r="BJ688" s="55">
        <f t="shared" si="742"/>
        <v>0</v>
      </c>
      <c r="BK688" s="55">
        <f t="shared" si="742"/>
        <v>0</v>
      </c>
      <c r="BL688" s="55">
        <f t="shared" si="742"/>
        <v>0</v>
      </c>
      <c r="BM688" s="55">
        <f t="shared" si="742"/>
        <v>0</v>
      </c>
      <c r="BN688" s="55">
        <f t="shared" si="742"/>
        <v>0</v>
      </c>
      <c r="BO688" s="55">
        <f t="shared" si="742"/>
        <v>0</v>
      </c>
      <c r="BP688" s="55">
        <f t="shared" si="742"/>
        <v>0</v>
      </c>
      <c r="BQ688" s="55">
        <f t="shared" si="742"/>
        <v>0</v>
      </c>
      <c r="BR688" s="55">
        <f t="shared" si="742"/>
        <v>0</v>
      </c>
      <c r="BS688" s="55">
        <f t="shared" si="742"/>
        <v>0</v>
      </c>
      <c r="BT688" s="55">
        <f t="shared" si="742"/>
        <v>0</v>
      </c>
      <c r="BU688" s="55">
        <f t="shared" si="742"/>
        <v>0</v>
      </c>
      <c r="BV688" s="55">
        <f t="shared" si="742"/>
        <v>0</v>
      </c>
      <c r="CK688" s="11"/>
      <c r="CM688" s="11"/>
      <c r="DF688" s="11"/>
      <c r="EY688" s="10" t="str">
        <f t="shared" si="670"/>
        <v/>
      </c>
    </row>
    <row r="689" spans="1:155" x14ac:dyDescent="0.35">
      <c r="B689" s="69" t="str" cm="1">
        <f t="array" aca="1" ref="B689" ca="1">HYPERLINK(CONCATENATE("#",CELL("address",$D$379)),$D$379)</f>
        <v>Loan 18</v>
      </c>
      <c r="C689" s="211"/>
      <c r="D689" s="49">
        <f>D$30</f>
        <v>0</v>
      </c>
      <c r="E689" s="49" t="str">
        <f>F$30</f>
        <v/>
      </c>
      <c r="F689" s="49"/>
      <c r="G689" s="133">
        <f>IFERROR(INDEX(Parameters!$E$80:$E$84, MATCH(S30, Parameters!$D$80:$D$84,0)), 0)</f>
        <v>0</v>
      </c>
      <c r="I689" s="40" t="s">
        <v>1079</v>
      </c>
      <c r="AA689" s="55">
        <f t="shared" ref="AA689:BV689" si="743">IF($G689=0, 0, (1+AA666)^(1/$G689)-1)</f>
        <v>0</v>
      </c>
      <c r="AB689" s="55">
        <f t="shared" si="743"/>
        <v>0</v>
      </c>
      <c r="AC689" s="55">
        <f t="shared" si="743"/>
        <v>0</v>
      </c>
      <c r="AD689" s="55">
        <f t="shared" si="743"/>
        <v>0</v>
      </c>
      <c r="AE689" s="55">
        <f t="shared" si="743"/>
        <v>0</v>
      </c>
      <c r="AF689" s="55">
        <f t="shared" si="743"/>
        <v>0</v>
      </c>
      <c r="AG689" s="55">
        <f t="shared" si="743"/>
        <v>0</v>
      </c>
      <c r="AH689" s="55">
        <f t="shared" si="743"/>
        <v>0</v>
      </c>
      <c r="AI689" s="55">
        <f t="shared" si="743"/>
        <v>0</v>
      </c>
      <c r="AJ689" s="55">
        <f t="shared" si="743"/>
        <v>0</v>
      </c>
      <c r="AK689" s="55">
        <f t="shared" si="743"/>
        <v>0</v>
      </c>
      <c r="AL689" s="55">
        <f t="shared" si="743"/>
        <v>0</v>
      </c>
      <c r="AM689" s="55">
        <f t="shared" si="743"/>
        <v>0</v>
      </c>
      <c r="AN689" s="55">
        <f t="shared" si="743"/>
        <v>0</v>
      </c>
      <c r="AO689" s="55">
        <f t="shared" si="743"/>
        <v>0</v>
      </c>
      <c r="AP689" s="55">
        <f t="shared" si="743"/>
        <v>0</v>
      </c>
      <c r="AQ689" s="55">
        <f t="shared" si="743"/>
        <v>0</v>
      </c>
      <c r="AR689" s="55">
        <f t="shared" si="743"/>
        <v>0</v>
      </c>
      <c r="AS689" s="55">
        <f t="shared" si="743"/>
        <v>0</v>
      </c>
      <c r="AT689" s="55">
        <f t="shared" si="743"/>
        <v>0</v>
      </c>
      <c r="AU689" s="55">
        <f t="shared" si="743"/>
        <v>0</v>
      </c>
      <c r="AV689" s="55">
        <f t="shared" si="743"/>
        <v>0</v>
      </c>
      <c r="AW689" s="55">
        <f t="shared" si="743"/>
        <v>0</v>
      </c>
      <c r="AX689" s="55">
        <f t="shared" si="743"/>
        <v>0</v>
      </c>
      <c r="AY689" s="55">
        <f t="shared" si="743"/>
        <v>0</v>
      </c>
      <c r="AZ689" s="55">
        <f t="shared" si="743"/>
        <v>0</v>
      </c>
      <c r="BA689" s="55">
        <f t="shared" si="743"/>
        <v>0</v>
      </c>
      <c r="BB689" s="55">
        <f t="shared" si="743"/>
        <v>0</v>
      </c>
      <c r="BC689" s="55">
        <f t="shared" si="743"/>
        <v>0</v>
      </c>
      <c r="BD689" s="55">
        <f t="shared" si="743"/>
        <v>0</v>
      </c>
      <c r="BE689" s="55">
        <f t="shared" si="743"/>
        <v>0</v>
      </c>
      <c r="BF689" s="55">
        <f t="shared" si="743"/>
        <v>0</v>
      </c>
      <c r="BG689" s="55">
        <f t="shared" si="743"/>
        <v>0</v>
      </c>
      <c r="BH689" s="55">
        <f t="shared" si="743"/>
        <v>0</v>
      </c>
      <c r="BI689" s="55">
        <f t="shared" si="743"/>
        <v>0</v>
      </c>
      <c r="BJ689" s="55">
        <f t="shared" si="743"/>
        <v>0</v>
      </c>
      <c r="BK689" s="55">
        <f t="shared" si="743"/>
        <v>0</v>
      </c>
      <c r="BL689" s="55">
        <f t="shared" si="743"/>
        <v>0</v>
      </c>
      <c r="BM689" s="55">
        <f t="shared" si="743"/>
        <v>0</v>
      </c>
      <c r="BN689" s="55">
        <f t="shared" si="743"/>
        <v>0</v>
      </c>
      <c r="BO689" s="55">
        <f t="shared" si="743"/>
        <v>0</v>
      </c>
      <c r="BP689" s="55">
        <f t="shared" si="743"/>
        <v>0</v>
      </c>
      <c r="BQ689" s="55">
        <f t="shared" si="743"/>
        <v>0</v>
      </c>
      <c r="BR689" s="55">
        <f t="shared" si="743"/>
        <v>0</v>
      </c>
      <c r="BS689" s="55">
        <f t="shared" si="743"/>
        <v>0</v>
      </c>
      <c r="BT689" s="55">
        <f t="shared" si="743"/>
        <v>0</v>
      </c>
      <c r="BU689" s="55">
        <f t="shared" si="743"/>
        <v>0</v>
      </c>
      <c r="BV689" s="55">
        <f t="shared" si="743"/>
        <v>0</v>
      </c>
      <c r="CK689" s="11"/>
      <c r="CM689" s="11"/>
      <c r="DF689" s="11"/>
      <c r="EY689" s="10" t="str">
        <f t="shared" si="670"/>
        <v/>
      </c>
    </row>
    <row r="690" spans="1:155" x14ac:dyDescent="0.35">
      <c r="B690" s="69" t="str" cm="1">
        <f t="array" aca="1" ref="B690" ca="1">HYPERLINK(CONCATENATE("#",CELL("address",$D$398)),$D$398)</f>
        <v>Loan 19</v>
      </c>
      <c r="C690" s="211"/>
      <c r="D690" s="49">
        <f>D$31</f>
        <v>0</v>
      </c>
      <c r="E690" s="49" t="str">
        <f>F$31</f>
        <v/>
      </c>
      <c r="F690" s="49"/>
      <c r="G690" s="133">
        <f>IFERROR(INDEX(Parameters!$E$80:$E$84, MATCH(S31, Parameters!$D$80:$D$84,0)), 0)</f>
        <v>0</v>
      </c>
      <c r="I690" s="40" t="s">
        <v>1079</v>
      </c>
      <c r="AA690" s="55">
        <f t="shared" ref="AA690:BV690" si="744">IF($G690=0, 0, (1+AA667)^(1/$G690)-1)</f>
        <v>0</v>
      </c>
      <c r="AB690" s="55">
        <f t="shared" si="744"/>
        <v>0</v>
      </c>
      <c r="AC690" s="55">
        <f t="shared" si="744"/>
        <v>0</v>
      </c>
      <c r="AD690" s="55">
        <f t="shared" si="744"/>
        <v>0</v>
      </c>
      <c r="AE690" s="55">
        <f t="shared" si="744"/>
        <v>0</v>
      </c>
      <c r="AF690" s="55">
        <f t="shared" si="744"/>
        <v>0</v>
      </c>
      <c r="AG690" s="55">
        <f t="shared" si="744"/>
        <v>0</v>
      </c>
      <c r="AH690" s="55">
        <f t="shared" si="744"/>
        <v>0</v>
      </c>
      <c r="AI690" s="55">
        <f t="shared" si="744"/>
        <v>0</v>
      </c>
      <c r="AJ690" s="55">
        <f t="shared" si="744"/>
        <v>0</v>
      </c>
      <c r="AK690" s="55">
        <f t="shared" si="744"/>
        <v>0</v>
      </c>
      <c r="AL690" s="55">
        <f t="shared" si="744"/>
        <v>0</v>
      </c>
      <c r="AM690" s="55">
        <f t="shared" si="744"/>
        <v>0</v>
      </c>
      <c r="AN690" s="55">
        <f t="shared" si="744"/>
        <v>0</v>
      </c>
      <c r="AO690" s="55">
        <f t="shared" si="744"/>
        <v>0</v>
      </c>
      <c r="AP690" s="55">
        <f t="shared" si="744"/>
        <v>0</v>
      </c>
      <c r="AQ690" s="55">
        <f t="shared" si="744"/>
        <v>0</v>
      </c>
      <c r="AR690" s="55">
        <f t="shared" si="744"/>
        <v>0</v>
      </c>
      <c r="AS690" s="55">
        <f t="shared" si="744"/>
        <v>0</v>
      </c>
      <c r="AT690" s="55">
        <f t="shared" si="744"/>
        <v>0</v>
      </c>
      <c r="AU690" s="55">
        <f t="shared" si="744"/>
        <v>0</v>
      </c>
      <c r="AV690" s="55">
        <f t="shared" si="744"/>
        <v>0</v>
      </c>
      <c r="AW690" s="55">
        <f t="shared" si="744"/>
        <v>0</v>
      </c>
      <c r="AX690" s="55">
        <f t="shared" si="744"/>
        <v>0</v>
      </c>
      <c r="AY690" s="55">
        <f t="shared" si="744"/>
        <v>0</v>
      </c>
      <c r="AZ690" s="55">
        <f t="shared" si="744"/>
        <v>0</v>
      </c>
      <c r="BA690" s="55">
        <f t="shared" si="744"/>
        <v>0</v>
      </c>
      <c r="BB690" s="55">
        <f t="shared" si="744"/>
        <v>0</v>
      </c>
      <c r="BC690" s="55">
        <f t="shared" si="744"/>
        <v>0</v>
      </c>
      <c r="BD690" s="55">
        <f t="shared" si="744"/>
        <v>0</v>
      </c>
      <c r="BE690" s="55">
        <f t="shared" si="744"/>
        <v>0</v>
      </c>
      <c r="BF690" s="55">
        <f t="shared" si="744"/>
        <v>0</v>
      </c>
      <c r="BG690" s="55">
        <f t="shared" si="744"/>
        <v>0</v>
      </c>
      <c r="BH690" s="55">
        <f t="shared" si="744"/>
        <v>0</v>
      </c>
      <c r="BI690" s="55">
        <f t="shared" si="744"/>
        <v>0</v>
      </c>
      <c r="BJ690" s="55">
        <f t="shared" si="744"/>
        <v>0</v>
      </c>
      <c r="BK690" s="55">
        <f t="shared" si="744"/>
        <v>0</v>
      </c>
      <c r="BL690" s="55">
        <f t="shared" si="744"/>
        <v>0</v>
      </c>
      <c r="BM690" s="55">
        <f t="shared" si="744"/>
        <v>0</v>
      </c>
      <c r="BN690" s="55">
        <f t="shared" si="744"/>
        <v>0</v>
      </c>
      <c r="BO690" s="55">
        <f t="shared" si="744"/>
        <v>0</v>
      </c>
      <c r="BP690" s="55">
        <f t="shared" si="744"/>
        <v>0</v>
      </c>
      <c r="BQ690" s="55">
        <f t="shared" si="744"/>
        <v>0</v>
      </c>
      <c r="BR690" s="55">
        <f t="shared" si="744"/>
        <v>0</v>
      </c>
      <c r="BS690" s="55">
        <f t="shared" si="744"/>
        <v>0</v>
      </c>
      <c r="BT690" s="55">
        <f t="shared" si="744"/>
        <v>0</v>
      </c>
      <c r="BU690" s="55">
        <f t="shared" si="744"/>
        <v>0</v>
      </c>
      <c r="BV690" s="55">
        <f t="shared" si="744"/>
        <v>0</v>
      </c>
      <c r="CK690" s="11"/>
      <c r="CM690" s="11"/>
      <c r="DF690" s="11"/>
      <c r="EY690" s="10" t="str">
        <f t="shared" si="670"/>
        <v/>
      </c>
    </row>
    <row r="691" spans="1:155" x14ac:dyDescent="0.35">
      <c r="B691" s="69" t="str" cm="1">
        <f t="array" aca="1" ref="B691" ca="1">HYPERLINK(CONCATENATE("#",CELL("address",$D$417)),$D$417)</f>
        <v>Loan 20</v>
      </c>
      <c r="C691" s="211"/>
      <c r="D691" s="49">
        <f>D$32</f>
        <v>0</v>
      </c>
      <c r="E691" s="49" t="str">
        <f>F$32</f>
        <v/>
      </c>
      <c r="F691" s="49"/>
      <c r="G691" s="133">
        <f>IFERROR(INDEX(Parameters!$E$80:$E$84, MATCH(S32, Parameters!$D$80:$D$84,0)), 0)</f>
        <v>0</v>
      </c>
      <c r="I691" s="40" t="s">
        <v>1079</v>
      </c>
      <c r="AA691" s="55">
        <f t="shared" ref="AA691:BV691" si="745">IF($G691=0, 0, (1+AA668)^(1/$G691)-1)</f>
        <v>0</v>
      </c>
      <c r="AB691" s="55">
        <f t="shared" si="745"/>
        <v>0</v>
      </c>
      <c r="AC691" s="55">
        <f t="shared" si="745"/>
        <v>0</v>
      </c>
      <c r="AD691" s="55">
        <f t="shared" si="745"/>
        <v>0</v>
      </c>
      <c r="AE691" s="55">
        <f t="shared" si="745"/>
        <v>0</v>
      </c>
      <c r="AF691" s="55">
        <f t="shared" si="745"/>
        <v>0</v>
      </c>
      <c r="AG691" s="55">
        <f t="shared" si="745"/>
        <v>0</v>
      </c>
      <c r="AH691" s="55">
        <f t="shared" si="745"/>
        <v>0</v>
      </c>
      <c r="AI691" s="55">
        <f t="shared" si="745"/>
        <v>0</v>
      </c>
      <c r="AJ691" s="55">
        <f t="shared" si="745"/>
        <v>0</v>
      </c>
      <c r="AK691" s="55">
        <f t="shared" si="745"/>
        <v>0</v>
      </c>
      <c r="AL691" s="55">
        <f t="shared" si="745"/>
        <v>0</v>
      </c>
      <c r="AM691" s="55">
        <f t="shared" si="745"/>
        <v>0</v>
      </c>
      <c r="AN691" s="55">
        <f t="shared" si="745"/>
        <v>0</v>
      </c>
      <c r="AO691" s="55">
        <f t="shared" si="745"/>
        <v>0</v>
      </c>
      <c r="AP691" s="55">
        <f t="shared" si="745"/>
        <v>0</v>
      </c>
      <c r="AQ691" s="55">
        <f t="shared" si="745"/>
        <v>0</v>
      </c>
      <c r="AR691" s="55">
        <f t="shared" si="745"/>
        <v>0</v>
      </c>
      <c r="AS691" s="55">
        <f t="shared" si="745"/>
        <v>0</v>
      </c>
      <c r="AT691" s="55">
        <f t="shared" si="745"/>
        <v>0</v>
      </c>
      <c r="AU691" s="55">
        <f t="shared" si="745"/>
        <v>0</v>
      </c>
      <c r="AV691" s="55">
        <f t="shared" si="745"/>
        <v>0</v>
      </c>
      <c r="AW691" s="55">
        <f t="shared" si="745"/>
        <v>0</v>
      </c>
      <c r="AX691" s="55">
        <f t="shared" si="745"/>
        <v>0</v>
      </c>
      <c r="AY691" s="55">
        <f t="shared" si="745"/>
        <v>0</v>
      </c>
      <c r="AZ691" s="55">
        <f t="shared" si="745"/>
        <v>0</v>
      </c>
      <c r="BA691" s="55">
        <f t="shared" si="745"/>
        <v>0</v>
      </c>
      <c r="BB691" s="55">
        <f t="shared" si="745"/>
        <v>0</v>
      </c>
      <c r="BC691" s="55">
        <f t="shared" si="745"/>
        <v>0</v>
      </c>
      <c r="BD691" s="55">
        <f t="shared" si="745"/>
        <v>0</v>
      </c>
      <c r="BE691" s="55">
        <f t="shared" si="745"/>
        <v>0</v>
      </c>
      <c r="BF691" s="55">
        <f t="shared" si="745"/>
        <v>0</v>
      </c>
      <c r="BG691" s="55">
        <f t="shared" si="745"/>
        <v>0</v>
      </c>
      <c r="BH691" s="55">
        <f t="shared" si="745"/>
        <v>0</v>
      </c>
      <c r="BI691" s="55">
        <f t="shared" si="745"/>
        <v>0</v>
      </c>
      <c r="BJ691" s="55">
        <f t="shared" si="745"/>
        <v>0</v>
      </c>
      <c r="BK691" s="55">
        <f t="shared" si="745"/>
        <v>0</v>
      </c>
      <c r="BL691" s="55">
        <f t="shared" si="745"/>
        <v>0</v>
      </c>
      <c r="BM691" s="55">
        <f t="shared" si="745"/>
        <v>0</v>
      </c>
      <c r="BN691" s="55">
        <f t="shared" si="745"/>
        <v>0</v>
      </c>
      <c r="BO691" s="55">
        <f t="shared" si="745"/>
        <v>0</v>
      </c>
      <c r="BP691" s="55">
        <f t="shared" si="745"/>
        <v>0</v>
      </c>
      <c r="BQ691" s="55">
        <f t="shared" si="745"/>
        <v>0</v>
      </c>
      <c r="BR691" s="55">
        <f t="shared" si="745"/>
        <v>0</v>
      </c>
      <c r="BS691" s="55">
        <f t="shared" si="745"/>
        <v>0</v>
      </c>
      <c r="BT691" s="55">
        <f t="shared" si="745"/>
        <v>0</v>
      </c>
      <c r="BU691" s="55">
        <f t="shared" si="745"/>
        <v>0</v>
      </c>
      <c r="BV691" s="55">
        <f t="shared" si="745"/>
        <v>0</v>
      </c>
      <c r="CK691" s="11"/>
      <c r="CM691" s="11"/>
      <c r="DF691" s="11"/>
      <c r="EY691" s="10" t="str">
        <f t="shared" ref="EY691:EY754" si="746">IF($C691="","",$D691)</f>
        <v/>
      </c>
    </row>
    <row r="692" spans="1:155" ht="6.75" customHeight="1" x14ac:dyDescent="0.35">
      <c r="C692" s="211"/>
      <c r="D692" s="1"/>
      <c r="E692"/>
      <c r="F692"/>
      <c r="BY692" s="6"/>
      <c r="CK692" s="35"/>
      <c r="CM692" s="35"/>
      <c r="DF692" s="35"/>
      <c r="EY692" s="10" t="str">
        <f t="shared" si="746"/>
        <v/>
      </c>
    </row>
    <row r="693" spans="1:155" x14ac:dyDescent="0.35">
      <c r="C693" s="211"/>
      <c r="D693" s="50" t="s">
        <v>1237</v>
      </c>
      <c r="E693"/>
      <c r="F693"/>
      <c r="CK693" s="11"/>
      <c r="CM693" s="11"/>
      <c r="DF693" s="11"/>
      <c r="EY693" s="10" t="str">
        <f t="shared" si="746"/>
        <v/>
      </c>
    </row>
    <row r="694" spans="1:155" s="120" customFormat="1" ht="43.5" x14ac:dyDescent="0.35">
      <c r="B694" s="107" t="s">
        <v>1229</v>
      </c>
      <c r="C694" s="211"/>
      <c r="D694" s="107" t="str">
        <f>D$11</f>
        <v>Lender</v>
      </c>
      <c r="E694" s="61" t="str">
        <f>E$11</f>
        <v>Loan Category</v>
      </c>
      <c r="F694" s="61"/>
      <c r="G694" s="57" t="s">
        <v>1238</v>
      </c>
      <c r="H694" s="57" t="s">
        <v>1239</v>
      </c>
      <c r="T694"/>
      <c r="U694"/>
      <c r="AA694" s="126" t="s">
        <v>122</v>
      </c>
      <c r="AI694" s="206"/>
      <c r="CK694" s="121"/>
      <c r="CM694" s="121"/>
      <c r="DF694" s="121"/>
      <c r="EY694" s="10" t="str">
        <f t="shared" si="746"/>
        <v/>
      </c>
    </row>
    <row r="695" spans="1:155" x14ac:dyDescent="0.35">
      <c r="A695" s="220" cm="1">
        <f t="array" aca="1" ref="A695" ca="1">HYPERLINK(CONCATENATE("#",CELL("address",IF(MAX($CM695:$DF695)=0,A695,INDEX($CM695:$DF695,MATCH(1,$CM695:$DF695,0))))),MAX($CM695:$DF695))</f>
        <v>0</v>
      </c>
      <c r="B695" s="69" t="str" cm="1">
        <f t="array" aca="1" ref="B695" ca="1">HYPERLINK(CONCATENATE("#",CELL("address",$D$56)),$D$56)</f>
        <v>Loan 1</v>
      </c>
      <c r="C695" s="211"/>
      <c r="D695" s="49">
        <f>D$13</f>
        <v>0</v>
      </c>
      <c r="E695" s="49" t="str">
        <f>F$13</f>
        <v/>
      </c>
      <c r="F695" s="49"/>
      <c r="G695" s="133">
        <f>U$13</f>
        <v>0</v>
      </c>
      <c r="H695" s="133">
        <f>Q$13</f>
        <v>0</v>
      </c>
      <c r="I695" s="40" t="s">
        <v>665</v>
      </c>
      <c r="J695" s="54"/>
      <c r="V695" s="12">
        <f t="shared" ref="V695:V714" si="747">V555</f>
        <v>0</v>
      </c>
      <c r="W695" s="133">
        <f t="shared" ref="W695:Y714" si="748" xml:space="preserve"> SUMIFS($AA695:$BV695, $AA$3:$BV$3, W$3)</f>
        <v>0</v>
      </c>
      <c r="X695" s="133">
        <f t="shared" si="748"/>
        <v>0</v>
      </c>
      <c r="Y695" s="133">
        <f t="shared" si="748"/>
        <v>0</v>
      </c>
      <c r="AA695" s="10">
        <f>IF(AA$4=0, AA555, IF($H695=0, 0, (AA440+AA463+AA486*$G695+Z741)*AA672))*Timeline!AA45</f>
        <v>0</v>
      </c>
      <c r="AB695" s="10">
        <f>IF(AB$4=0, AB555, IF($H695=0, 0, (AB440+AB463+AB486*$G695+AA741)*AB672))*Timeline!AB45</f>
        <v>0</v>
      </c>
      <c r="AC695" s="10">
        <f>IF(AC$4=0, AC555, IF($H695=0, 0, (AC440+AC463+AC486*$G695+AB741)*AC672))*Timeline!AC45</f>
        <v>0</v>
      </c>
      <c r="AD695" s="10">
        <f>IF(AD$4=0, AD555, IF($H695=0, 0, (AD440+AD463+AD486*$G695+AC741)*AD672))*Timeline!AD45</f>
        <v>0</v>
      </c>
      <c r="AE695" s="10">
        <f>IF(AE$4=0, AE555, IF($H695=0, 0, (AE440+AE463+AE486*$G695+AD741)*AE672))*Timeline!AE45</f>
        <v>0</v>
      </c>
      <c r="AF695" s="10">
        <f>IF(AF$4=0, AF555, IF($H695=0, 0, (AF440+AF463+AF486*$G695+AE741)*AF672))*Timeline!AF45</f>
        <v>0</v>
      </c>
      <c r="AG695" s="10">
        <f>IF(AG$4=0, AG555, IF($H695=0, 0, (AG440+AG463+AG486*$G695+AF741)*AG672))*Timeline!AG45</f>
        <v>0</v>
      </c>
      <c r="AH695" s="10">
        <f>IF(AH$4=0, AH555, IF($H695=0, 0, (AH440+AH463+AH486*$G695+AG741)*AH672))*Timeline!AH45</f>
        <v>0</v>
      </c>
      <c r="AI695" s="10">
        <f>IF(AI$4=0, AI555, IF($H695=0, 0, (AI440+AI463+AI486*$G695+AH741)*AI672))*Timeline!AI45</f>
        <v>0</v>
      </c>
      <c r="AJ695" s="10">
        <f>IF(AJ$4=0, AJ555, IF($H695=0, 0, (AJ440+AJ463+AJ486*$G695+AI741)*AJ672))*Timeline!AJ45</f>
        <v>0</v>
      </c>
      <c r="AK695" s="10">
        <f>IF(AK$4=0, AK555, IF($H695=0, 0, (AK440+AK463+AK486*$G695+AJ741)*AK672))*Timeline!AK45</f>
        <v>0</v>
      </c>
      <c r="AL695" s="10">
        <f>IF(AL$4=0, AL555, IF($H695=0, 0, (AL440+AL463+AL486*$G695+AK741)*AL672))*Timeline!AL45</f>
        <v>0</v>
      </c>
      <c r="AM695" s="10">
        <f>IF(AM$4=0, AM555, IF($H695=0, 0, (AM440+AM463+AM486*$G695+AL741)*AM672))*Timeline!AM45</f>
        <v>0</v>
      </c>
      <c r="AN695" s="10">
        <f>IF(AN$4=0, AN555, IF($H695=0, 0, (AN440+AN463+AN486*$G695+AM741)*AN672))*Timeline!AN45</f>
        <v>0</v>
      </c>
      <c r="AO695" s="10">
        <f>IF(AO$4=0, AO555, IF($H695=0, 0, (AO440+AO463+AO486*$G695+AN741)*AO672))*Timeline!AO45</f>
        <v>0</v>
      </c>
      <c r="AP695" s="10">
        <f>IF(AP$4=0, AP555, IF($H695=0, 0, (AP440+AP463+AP486*$G695+AO741)*AP672))*Timeline!AP45</f>
        <v>0</v>
      </c>
      <c r="AQ695" s="10">
        <f>IF(AQ$4=0, AQ555, IF($H695=0, 0, (AQ440+AQ463+AQ486*$G695+AP741)*AQ672))*Timeline!AQ45</f>
        <v>0</v>
      </c>
      <c r="AR695" s="10">
        <f>IF(AR$4=0, AR555, IF($H695=0, 0, (AR440+AR463+AR486*$G695+AQ741)*AR672))*Timeline!AR45</f>
        <v>0</v>
      </c>
      <c r="AS695" s="10">
        <f>IF(AS$4=0, AS555, IF($H695=0, 0, (AS440+AS463+AS486*$G695+AR741)*AS672))*Timeline!AS45</f>
        <v>0</v>
      </c>
      <c r="AT695" s="10">
        <f>IF(AT$4=0, AT555, IF($H695=0, 0, (AT440+AT463+AT486*$G695+AS741)*AT672))*Timeline!AT45</f>
        <v>0</v>
      </c>
      <c r="AU695" s="10">
        <f>IF(AU$4=0, AU555, IF($H695=0, 0, (AU440+AU463+AU486*$G695+AT741)*AU672))*Timeline!AU45</f>
        <v>0</v>
      </c>
      <c r="AV695" s="10">
        <f>IF(AV$4=0, AV555, IF($H695=0, 0, (AV440+AV463+AV486*$G695+AU741)*AV672))*Timeline!AV45</f>
        <v>0</v>
      </c>
      <c r="AW695" s="10">
        <f>IF(AW$4=0, AW555, IF($H695=0, 0, (AW440+AW463+AW486*$G695+AV741)*AW672))*Timeline!AW45</f>
        <v>0</v>
      </c>
      <c r="AX695" s="10">
        <f>IF(AX$4=0, AX555, IF($H695=0, 0, (AX440+AX463+AX486*$G695+AW741)*AX672))*Timeline!AX45</f>
        <v>0</v>
      </c>
      <c r="AY695" s="10">
        <f>IF(AY$4=0, AY555, IF($H695=0, 0, (AY440+AY463+AY486*$G695+AX741)*AY672))*Timeline!AY45</f>
        <v>0</v>
      </c>
      <c r="AZ695" s="10">
        <f>IF(AZ$4=0, AZ555, IF($H695=0, 0, (AZ440+AZ463+AZ486*$G695+AY741)*AZ672))*Timeline!AZ45</f>
        <v>0</v>
      </c>
      <c r="BA695" s="10">
        <f>IF(BA$4=0, BA555, IF($H695=0, 0, (BA440+BA463+BA486*$G695+AZ741)*BA672))*Timeline!BA45</f>
        <v>0</v>
      </c>
      <c r="BB695" s="10">
        <f>IF(BB$4=0, BB555, IF($H695=0, 0, (BB440+BB463+BB486*$G695+BA741)*BB672))*Timeline!BB45</f>
        <v>0</v>
      </c>
      <c r="BC695" s="10">
        <f>IF(BC$4=0, BC555, IF($H695=0, 0, (BC440+BC463+BC486*$G695+BB741)*BC672))*Timeline!BC45</f>
        <v>0</v>
      </c>
      <c r="BD695" s="10">
        <f>IF(BD$4=0, BD555, IF($H695=0, 0, (BD440+BD463+BD486*$G695+BC741)*BD672))*Timeline!BD45</f>
        <v>0</v>
      </c>
      <c r="BE695" s="10">
        <f>IF(BE$4=0, BE555, IF($H695=0, 0, (BE440+BE463+BE486*$G695+BD741)*BE672))*Timeline!BE45</f>
        <v>0</v>
      </c>
      <c r="BF695" s="10">
        <f>IF(BF$4=0, BF555, IF($H695=0, 0, (BF440+BF463+BF486*$G695+BE741)*BF672))*Timeline!BF45</f>
        <v>0</v>
      </c>
      <c r="BG695" s="10">
        <f>IF(BG$4=0, BG555, IF($H695=0, 0, (BG440+BG463+BG486*$G695+BF741)*BG672))*Timeline!BG45</f>
        <v>0</v>
      </c>
      <c r="BH695" s="10">
        <f>IF(BH$4=0, BH555, IF($H695=0, 0, (BH440+BH463+BH486*$G695+BG741)*BH672))*Timeline!BH45</f>
        <v>0</v>
      </c>
      <c r="BI695" s="10">
        <f>IF(BI$4=0, BI555, IF($H695=0, 0, (BI440+BI463+BI486*$G695+BH741)*BI672))*Timeline!BI45</f>
        <v>0</v>
      </c>
      <c r="BJ695" s="10">
        <f>IF(BJ$4=0, BJ555, IF($H695=0, 0, (BJ440+BJ463+BJ486*$G695+BI741)*BJ672))*Timeline!BJ45</f>
        <v>0</v>
      </c>
      <c r="BK695" s="10">
        <f>IF(BK$4=0, BK555, IF($H695=0, 0, (BK440+BK463+BK486*$G695+BJ741)*BK672))*Timeline!BK45</f>
        <v>0</v>
      </c>
      <c r="BL695" s="10">
        <f>IF(BL$4=0, BL555, IF($H695=0, 0, (BL440+BL463+BL486*$G695+BK741)*BL672))*Timeline!BL45</f>
        <v>0</v>
      </c>
      <c r="BM695" s="10">
        <f>IF(BM$4=0, BM555, IF($H695=0, 0, (BM440+BM463+BM486*$G695+BL741)*BM672))*Timeline!BM45</f>
        <v>0</v>
      </c>
      <c r="BN695" s="10">
        <f>IF(BN$4=0, BN555, IF($H695=0, 0, (BN440+BN463+BN486*$G695+BM741)*BN672))*Timeline!BN45</f>
        <v>0</v>
      </c>
      <c r="BO695" s="10">
        <f>IF(BO$4=0, BO555, IF($H695=0, 0, (BO440+BO463+BO486*$G695+BN741)*BO672))*Timeline!BO45</f>
        <v>0</v>
      </c>
      <c r="BP695" s="10">
        <f>IF(BP$4=0, BP555, IF($H695=0, 0, (BP440+BP463+BP486*$G695+BO741)*BP672))*Timeline!BP45</f>
        <v>0</v>
      </c>
      <c r="BQ695" s="10">
        <f>IF(BQ$4=0, BQ555, IF($H695=0, 0, (BQ440+BQ463+BQ486*$G695+BP741)*BQ672))*Timeline!BQ45</f>
        <v>0</v>
      </c>
      <c r="BR695" s="10">
        <f>IF(BR$4=0, BR555, IF($H695=0, 0, (BR440+BR463+BR486*$G695+BQ741)*BR672))*Timeline!BR45</f>
        <v>0</v>
      </c>
      <c r="BS695" s="10">
        <f>IF(BS$4=0, BS555, IF($H695=0, 0, (BS440+BS463+BS486*$G695+BR741)*BS672))*Timeline!BS45</f>
        <v>0</v>
      </c>
      <c r="BT695" s="10">
        <f>IF(BT$4=0, BT555, IF($H695=0, 0, (BT440+BT463+BT486*$G695+BS741)*BT672))*Timeline!BT45</f>
        <v>0</v>
      </c>
      <c r="BU695" s="10">
        <f>IF(BU$4=0, BU555, IF($H695=0, 0, (BU440+BU463+BU486*$G695+BT741)*BU672))*Timeline!BU45</f>
        <v>0</v>
      </c>
      <c r="BV695" s="10">
        <f>IF(BV$4=0, BV555, IF($H695=0, 0, (BV440+BV463+BV486*$G695+BU741)*BV672))*Timeline!BV45</f>
        <v>0</v>
      </c>
      <c r="BX695" s="12">
        <f t="shared" ref="BX695:BX714" si="749">V695</f>
        <v>0</v>
      </c>
      <c r="BY695" s="12">
        <f t="shared" ref="BY695:BY714" si="750">W695</f>
        <v>0</v>
      </c>
      <c r="BZ695" s="12">
        <f t="shared" ref="BZ695:BZ714" si="751">X695</f>
        <v>0</v>
      </c>
      <c r="CA695" s="12">
        <f t="shared" ref="CA695:CA714" si="752">Y695</f>
        <v>0</v>
      </c>
      <c r="CB695" s="133">
        <f t="shared" ref="CB695:CB714" si="753" xml:space="preserve"> SUMIFS($AA695:$BV695, $AA$3:$BV$3, CB$3)</f>
        <v>0</v>
      </c>
      <c r="CC695" s="106"/>
      <c r="CD695" s="106"/>
      <c r="CE695" s="106"/>
      <c r="CF695" s="106"/>
      <c r="CG695" s="106"/>
      <c r="CH695" s="106"/>
      <c r="CI695" s="106"/>
      <c r="CK695" s="11"/>
      <c r="CM695" s="11"/>
      <c r="CV695" s="120"/>
      <c r="CW695" s="7">
        <f t="shared" ref="CW695:CW714" si="754">IF(AND($Q13=1, H695=0), 1, 0)</f>
        <v>0</v>
      </c>
      <c r="DF695" s="11"/>
      <c r="EY695" s="10" t="str">
        <f t="shared" si="746"/>
        <v/>
      </c>
    </row>
    <row r="696" spans="1:155" x14ac:dyDescent="0.35">
      <c r="A696" s="220" cm="1">
        <f t="array" aca="1" ref="A696" ca="1">HYPERLINK(CONCATENATE("#",CELL("address",IF(MAX($CM696:$DF696)=0,A696,INDEX($CM696:$DF696,MATCH(1,$CM696:$DF696,0))))),MAX($CM696:$DF696))</f>
        <v>0</v>
      </c>
      <c r="B696" s="69" t="str" cm="1">
        <f t="array" aca="1" ref="B696" ca="1">HYPERLINK(CONCATENATE("#",CELL("address",$D$75)),$D$75)</f>
        <v>Loan 2</v>
      </c>
      <c r="C696" s="211"/>
      <c r="D696" s="49">
        <f>D$14</f>
        <v>0</v>
      </c>
      <c r="E696" s="49" t="str">
        <f>F$14</f>
        <v/>
      </c>
      <c r="F696" s="49"/>
      <c r="G696" s="10">
        <f>U$14</f>
        <v>0</v>
      </c>
      <c r="H696" s="10">
        <f>Q$14</f>
        <v>0</v>
      </c>
      <c r="I696" s="40" t="s">
        <v>665</v>
      </c>
      <c r="V696" s="12">
        <f t="shared" si="747"/>
        <v>0</v>
      </c>
      <c r="W696" s="133">
        <f t="shared" si="748"/>
        <v>0</v>
      </c>
      <c r="X696" s="133">
        <f t="shared" si="748"/>
        <v>0</v>
      </c>
      <c r="Y696" s="133">
        <f t="shared" si="748"/>
        <v>0</v>
      </c>
      <c r="AA696" s="10">
        <f>IF(AA$4=0, AA556, IF($H696=0, 0, (AA441+AA464+AA487*$G696+Z742)*AA673))*Timeline!AA46</f>
        <v>0</v>
      </c>
      <c r="AB696" s="10">
        <f>IF(AB$4=0, AB556, IF($H696=0, 0, (AB441+AB464+AB487*$G696+AA742)*AB673))*Timeline!AB46</f>
        <v>0</v>
      </c>
      <c r="AC696" s="10">
        <f>IF(AC$4=0, AC556, IF($H696=0, 0, (AC441+AC464+AC487*$G696+AB742)*AC673))*Timeline!AC46</f>
        <v>0</v>
      </c>
      <c r="AD696" s="10">
        <f>IF(AD$4=0, AD556, IF($H696=0, 0, (AD441+AD464+AD487*$G696+AC742)*AD673))*Timeline!AD46</f>
        <v>0</v>
      </c>
      <c r="AE696" s="10">
        <f>IF(AE$4=0, AE556, IF($H696=0, 0, (AE441+AE464+AE487*$G696+AD742)*AE673))*Timeline!AE46</f>
        <v>0</v>
      </c>
      <c r="AF696" s="10">
        <f>IF(AF$4=0, AF556, IF($H696=0, 0, (AF441+AF464+AF487*$G696+AE742)*AF673))*Timeline!AF46</f>
        <v>0</v>
      </c>
      <c r="AG696" s="10">
        <f>IF(AG$4=0, AG556, IF($H696=0, 0, (AG441+AG464+AG487*$G696+AF742)*AG673))*Timeline!AG46</f>
        <v>0</v>
      </c>
      <c r="AH696" s="10">
        <f>IF(AH$4=0, AH556, IF($H696=0, 0, (AH441+AH464+AH487*$G696+AG742)*AH673))*Timeline!AH46</f>
        <v>0</v>
      </c>
      <c r="AI696" s="10">
        <f>IF(AI$4=0, AI556, IF($H696=0, 0, (AI441+AI464+AI487*$G696+AH742)*AI673))*Timeline!AI46</f>
        <v>0</v>
      </c>
      <c r="AJ696" s="10">
        <f>IF(AJ$4=0, AJ556, IF($H696=0, 0, (AJ441+AJ464+AJ487*$G696+AI742)*AJ673))*Timeline!AJ46</f>
        <v>0</v>
      </c>
      <c r="AK696" s="10">
        <f>IF(AK$4=0, AK556, IF($H696=0, 0, (AK441+AK464+AK487*$G696+AJ742)*AK673))*Timeline!AK46</f>
        <v>0</v>
      </c>
      <c r="AL696" s="10">
        <f>IF(AL$4=0, AL556, IF($H696=0, 0, (AL441+AL464+AL487*$G696+AK742)*AL673))*Timeline!AL46</f>
        <v>0</v>
      </c>
      <c r="AM696" s="10">
        <f>IF(AM$4=0, AM556, IF($H696=0, 0, (AM441+AM464+AM487*$G696+AL742)*AM673))*Timeline!AM46</f>
        <v>0</v>
      </c>
      <c r="AN696" s="10">
        <f>IF(AN$4=0, AN556, IF($H696=0, 0, (AN441+AN464+AN487*$G696+AM742)*AN673))*Timeline!AN46</f>
        <v>0</v>
      </c>
      <c r="AO696" s="10">
        <f>IF(AO$4=0, AO556, IF($H696=0, 0, (AO441+AO464+AO487*$G696+AN742)*AO673))*Timeline!AO46</f>
        <v>0</v>
      </c>
      <c r="AP696" s="10">
        <f>IF(AP$4=0, AP556, IF($H696=0, 0, (AP441+AP464+AP487*$G696+AO742)*AP673))*Timeline!AP46</f>
        <v>0</v>
      </c>
      <c r="AQ696" s="10">
        <f>IF(AQ$4=0, AQ556, IF($H696=0, 0, (AQ441+AQ464+AQ487*$G696+AP742)*AQ673))*Timeline!AQ46</f>
        <v>0</v>
      </c>
      <c r="AR696" s="10">
        <f>IF(AR$4=0, AR556, IF($H696=0, 0, (AR441+AR464+AR487*$G696+AQ742)*AR673))*Timeline!AR46</f>
        <v>0</v>
      </c>
      <c r="AS696" s="10">
        <f>IF(AS$4=0, AS556, IF($H696=0, 0, (AS441+AS464+AS487*$G696+AR742)*AS673))*Timeline!AS46</f>
        <v>0</v>
      </c>
      <c r="AT696" s="10">
        <f>IF(AT$4=0, AT556, IF($H696=0, 0, (AT441+AT464+AT487*$G696+AS742)*AT673))*Timeline!AT46</f>
        <v>0</v>
      </c>
      <c r="AU696" s="10">
        <f>IF(AU$4=0, AU556, IF($H696=0, 0, (AU441+AU464+AU487*$G696+AT742)*AU673))*Timeline!AU46</f>
        <v>0</v>
      </c>
      <c r="AV696" s="10">
        <f>IF(AV$4=0, AV556, IF($H696=0, 0, (AV441+AV464+AV487*$G696+AU742)*AV673))*Timeline!AV46</f>
        <v>0</v>
      </c>
      <c r="AW696" s="10">
        <f>IF(AW$4=0, AW556, IF($H696=0, 0, (AW441+AW464+AW487*$G696+AV742)*AW673))*Timeline!AW46</f>
        <v>0</v>
      </c>
      <c r="AX696" s="10">
        <f>IF(AX$4=0, AX556, IF($H696=0, 0, (AX441+AX464+AX487*$G696+AW742)*AX673))*Timeline!AX46</f>
        <v>0</v>
      </c>
      <c r="AY696" s="10">
        <f>IF(AY$4=0, AY556, IF($H696=0, 0, (AY441+AY464+AY487*$G696+AX742)*AY673))*Timeline!AY46</f>
        <v>0</v>
      </c>
      <c r="AZ696" s="10">
        <f>IF(AZ$4=0, AZ556, IF($H696=0, 0, (AZ441+AZ464+AZ487*$G696+AY742)*AZ673))*Timeline!AZ46</f>
        <v>0</v>
      </c>
      <c r="BA696" s="10">
        <f>IF(BA$4=0, BA556, IF($H696=0, 0, (BA441+BA464+BA487*$G696+AZ742)*BA673))*Timeline!BA46</f>
        <v>0</v>
      </c>
      <c r="BB696" s="10">
        <f>IF(BB$4=0, BB556, IF($H696=0, 0, (BB441+BB464+BB487*$G696+BA742)*BB673))*Timeline!BB46</f>
        <v>0</v>
      </c>
      <c r="BC696" s="10">
        <f>IF(BC$4=0, BC556, IF($H696=0, 0, (BC441+BC464+BC487*$G696+BB742)*BC673))*Timeline!BC46</f>
        <v>0</v>
      </c>
      <c r="BD696" s="10">
        <f>IF(BD$4=0, BD556, IF($H696=0, 0, (BD441+BD464+BD487*$G696+BC742)*BD673))*Timeline!BD46</f>
        <v>0</v>
      </c>
      <c r="BE696" s="10">
        <f>IF(BE$4=0, BE556, IF($H696=0, 0, (BE441+BE464+BE487*$G696+BD742)*BE673))*Timeline!BE46</f>
        <v>0</v>
      </c>
      <c r="BF696" s="10">
        <f>IF(BF$4=0, BF556, IF($H696=0, 0, (BF441+BF464+BF487*$G696+BE742)*BF673))*Timeline!BF46</f>
        <v>0</v>
      </c>
      <c r="BG696" s="10">
        <f>IF(BG$4=0, BG556, IF($H696=0, 0, (BG441+BG464+BG487*$G696+BF742)*BG673))*Timeline!BG46</f>
        <v>0</v>
      </c>
      <c r="BH696" s="10">
        <f>IF(BH$4=0, BH556, IF($H696=0, 0, (BH441+BH464+BH487*$G696+BG742)*BH673))*Timeline!BH46</f>
        <v>0</v>
      </c>
      <c r="BI696" s="10">
        <f>IF(BI$4=0, BI556, IF($H696=0, 0, (BI441+BI464+BI487*$G696+BH742)*BI673))*Timeline!BI46</f>
        <v>0</v>
      </c>
      <c r="BJ696" s="10">
        <f>IF(BJ$4=0, BJ556, IF($H696=0, 0, (BJ441+BJ464+BJ487*$G696+BI742)*BJ673))*Timeline!BJ46</f>
        <v>0</v>
      </c>
      <c r="BK696" s="10">
        <f>IF(BK$4=0, BK556, IF($H696=0, 0, (BK441+BK464+BK487*$G696+BJ742)*BK673))*Timeline!BK46</f>
        <v>0</v>
      </c>
      <c r="BL696" s="10">
        <f>IF(BL$4=0, BL556, IF($H696=0, 0, (BL441+BL464+BL487*$G696+BK742)*BL673))*Timeline!BL46</f>
        <v>0</v>
      </c>
      <c r="BM696" s="10">
        <f>IF(BM$4=0, BM556, IF($H696=0, 0, (BM441+BM464+BM487*$G696+BL742)*BM673))*Timeline!BM46</f>
        <v>0</v>
      </c>
      <c r="BN696" s="10">
        <f>IF(BN$4=0, BN556, IF($H696=0, 0, (BN441+BN464+BN487*$G696+BM742)*BN673))*Timeline!BN46</f>
        <v>0</v>
      </c>
      <c r="BO696" s="10">
        <f>IF(BO$4=0, BO556, IF($H696=0, 0, (BO441+BO464+BO487*$G696+BN742)*BO673))*Timeline!BO46</f>
        <v>0</v>
      </c>
      <c r="BP696" s="10">
        <f>IF(BP$4=0, BP556, IF($H696=0, 0, (BP441+BP464+BP487*$G696+BO742)*BP673))*Timeline!BP46</f>
        <v>0</v>
      </c>
      <c r="BQ696" s="10">
        <f>IF(BQ$4=0, BQ556, IF($H696=0, 0, (BQ441+BQ464+BQ487*$G696+BP742)*BQ673))*Timeline!BQ46</f>
        <v>0</v>
      </c>
      <c r="BR696" s="10">
        <f>IF(BR$4=0, BR556, IF($H696=0, 0, (BR441+BR464+BR487*$G696+BQ742)*BR673))*Timeline!BR46</f>
        <v>0</v>
      </c>
      <c r="BS696" s="10">
        <f>IF(BS$4=0, BS556, IF($H696=0, 0, (BS441+BS464+BS487*$G696+BR742)*BS673))*Timeline!BS46</f>
        <v>0</v>
      </c>
      <c r="BT696" s="10">
        <f>IF(BT$4=0, BT556, IF($H696=0, 0, (BT441+BT464+BT487*$G696+BS742)*BT673))*Timeline!BT46</f>
        <v>0</v>
      </c>
      <c r="BU696" s="10">
        <f>IF(BU$4=0, BU556, IF($H696=0, 0, (BU441+BU464+BU487*$G696+BT742)*BU673))*Timeline!BU46</f>
        <v>0</v>
      </c>
      <c r="BV696" s="10">
        <f>IF(BV$4=0, BV556, IF($H696=0, 0, (BV441+BV464+BV487*$G696+BU742)*BV673))*Timeline!BV46</f>
        <v>0</v>
      </c>
      <c r="BX696" s="12">
        <f t="shared" si="749"/>
        <v>0</v>
      </c>
      <c r="BY696" s="12">
        <f t="shared" si="750"/>
        <v>0</v>
      </c>
      <c r="BZ696" s="12">
        <f t="shared" si="751"/>
        <v>0</v>
      </c>
      <c r="CA696" s="12">
        <f t="shared" si="752"/>
        <v>0</v>
      </c>
      <c r="CB696" s="133">
        <f t="shared" si="753"/>
        <v>0</v>
      </c>
      <c r="CC696" s="106"/>
      <c r="CD696" s="106"/>
      <c r="CE696" s="106"/>
      <c r="CF696" s="106"/>
      <c r="CG696" s="106"/>
      <c r="CH696" s="106"/>
      <c r="CI696" s="106"/>
      <c r="CK696" s="11"/>
      <c r="CM696" s="11"/>
      <c r="CV696" s="120"/>
      <c r="CW696" s="7">
        <f t="shared" si="754"/>
        <v>0</v>
      </c>
      <c r="DF696" s="11"/>
      <c r="EY696" s="10" t="str">
        <f t="shared" si="746"/>
        <v/>
      </c>
    </row>
    <row r="697" spans="1:155" x14ac:dyDescent="0.35">
      <c r="A697" s="220" cm="1">
        <f t="array" aca="1" ref="A697" ca="1">HYPERLINK(CONCATENATE("#",CELL("address",IF(MAX($CM697:$DF697)=0,A697,INDEX($CM697:$DF697,MATCH(1,$CM697:$DF697,0))))),MAX($CM697:$DF697))</f>
        <v>0</v>
      </c>
      <c r="B697" s="69" t="str" cm="1">
        <f t="array" aca="1" ref="B697" ca="1">HYPERLINK(CONCATENATE("#",CELL("address",$D$94)),$D$94)</f>
        <v>Loan 3</v>
      </c>
      <c r="C697" s="211"/>
      <c r="D697" s="49">
        <f>D$15</f>
        <v>0</v>
      </c>
      <c r="E697" s="49" t="str">
        <f>F$15</f>
        <v/>
      </c>
      <c r="F697" s="49"/>
      <c r="G697" s="10">
        <f>U$15</f>
        <v>0</v>
      </c>
      <c r="H697" s="10">
        <f>Q$15</f>
        <v>0</v>
      </c>
      <c r="I697" s="40" t="s">
        <v>665</v>
      </c>
      <c r="V697" s="12">
        <f t="shared" si="747"/>
        <v>0</v>
      </c>
      <c r="W697" s="133">
        <f t="shared" si="748"/>
        <v>0</v>
      </c>
      <c r="X697" s="133">
        <f t="shared" si="748"/>
        <v>0</v>
      </c>
      <c r="Y697" s="133">
        <f t="shared" si="748"/>
        <v>0</v>
      </c>
      <c r="AA697" s="10">
        <f>IF(AA$4=0, AA557, IF($H697=0, 0, (AA442+AA465+AA488*$G697+Z743)*AA674))*Timeline!AA47</f>
        <v>0</v>
      </c>
      <c r="AB697" s="10">
        <f>IF(AB$4=0, AB557, IF($H697=0, 0, (AB442+AB465+AB488*$G697+AA743)*AB674))*Timeline!AB47</f>
        <v>0</v>
      </c>
      <c r="AC697" s="10">
        <f>IF(AC$4=0, AC557, IF($H697=0, 0, (AC442+AC465+AC488*$G697+AB743)*AC674))*Timeline!AC47</f>
        <v>0</v>
      </c>
      <c r="AD697" s="10">
        <f>IF(AD$4=0, AD557, IF($H697=0, 0, (AD442+AD465+AD488*$G697+AC743)*AD674))*Timeline!AD47</f>
        <v>0</v>
      </c>
      <c r="AE697" s="10">
        <f>IF(AE$4=0, AE557, IF($H697=0, 0, (AE442+AE465+AE488*$G697+AD743)*AE674))*Timeline!AE47</f>
        <v>0</v>
      </c>
      <c r="AF697" s="10">
        <f>IF(AF$4=0, AF557, IF($H697=0, 0, (AF442+AF465+AF488*$G697+AE743)*AF674))*Timeline!AF47</f>
        <v>0</v>
      </c>
      <c r="AG697" s="10">
        <f>IF(AG$4=0, AG557, IF($H697=0, 0, (AG442+AG465+AG488*$G697+AF743)*AG674))*Timeline!AG47</f>
        <v>0</v>
      </c>
      <c r="AH697" s="10">
        <f>IF(AH$4=0, AH557, IF($H697=0, 0, (AH442+AH465+AH488*$G697+AG743)*AH674))*Timeline!AH47</f>
        <v>0</v>
      </c>
      <c r="AI697" s="10">
        <f>IF(AI$4=0, AI557, IF($H697=0, 0, (AI442+AI465+AI488*$G697+AH743)*AI674))*Timeline!AI47</f>
        <v>0</v>
      </c>
      <c r="AJ697" s="10">
        <f>IF(AJ$4=0, AJ557, IF($H697=0, 0, (AJ442+AJ465+AJ488*$G697+AI743)*AJ674))*Timeline!AJ47</f>
        <v>0</v>
      </c>
      <c r="AK697" s="10">
        <f>IF(AK$4=0, AK557, IF($H697=0, 0, (AK442+AK465+AK488*$G697+AJ743)*AK674))*Timeline!AK47</f>
        <v>0</v>
      </c>
      <c r="AL697" s="10">
        <f>IF(AL$4=0, AL557, IF($H697=0, 0, (AL442+AL465+AL488*$G697+AK743)*AL674))*Timeline!AL47</f>
        <v>0</v>
      </c>
      <c r="AM697" s="10">
        <f>IF(AM$4=0, AM557, IF($H697=0, 0, (AM442+AM465+AM488*$G697+AL743)*AM674))*Timeline!AM47</f>
        <v>0</v>
      </c>
      <c r="AN697" s="10">
        <f>IF(AN$4=0, AN557, IF($H697=0, 0, (AN442+AN465+AN488*$G697+AM743)*AN674))*Timeline!AN47</f>
        <v>0</v>
      </c>
      <c r="AO697" s="10">
        <f>IF(AO$4=0, AO557, IF($H697=0, 0, (AO442+AO465+AO488*$G697+AN743)*AO674))*Timeline!AO47</f>
        <v>0</v>
      </c>
      <c r="AP697" s="10">
        <f>IF(AP$4=0, AP557, IF($H697=0, 0, (AP442+AP465+AP488*$G697+AO743)*AP674))*Timeline!AP47</f>
        <v>0</v>
      </c>
      <c r="AQ697" s="10">
        <f>IF(AQ$4=0, AQ557, IF($H697=0, 0, (AQ442+AQ465+AQ488*$G697+AP743)*AQ674))*Timeline!AQ47</f>
        <v>0</v>
      </c>
      <c r="AR697" s="10">
        <f>IF(AR$4=0, AR557, IF($H697=0, 0, (AR442+AR465+AR488*$G697+AQ743)*AR674))*Timeline!AR47</f>
        <v>0</v>
      </c>
      <c r="AS697" s="10">
        <f>IF(AS$4=0, AS557, IF($H697=0, 0, (AS442+AS465+AS488*$G697+AR743)*AS674))*Timeline!AS47</f>
        <v>0</v>
      </c>
      <c r="AT697" s="10">
        <f>IF(AT$4=0, AT557, IF($H697=0, 0, (AT442+AT465+AT488*$G697+AS743)*AT674))*Timeline!AT47</f>
        <v>0</v>
      </c>
      <c r="AU697" s="10">
        <f>IF(AU$4=0, AU557, IF($H697=0, 0, (AU442+AU465+AU488*$G697+AT743)*AU674))*Timeline!AU47</f>
        <v>0</v>
      </c>
      <c r="AV697" s="10">
        <f>IF(AV$4=0, AV557, IF($H697=0, 0, (AV442+AV465+AV488*$G697+AU743)*AV674))*Timeline!AV47</f>
        <v>0</v>
      </c>
      <c r="AW697" s="10">
        <f>IF(AW$4=0, AW557, IF($H697=0, 0, (AW442+AW465+AW488*$G697+AV743)*AW674))*Timeline!AW47</f>
        <v>0</v>
      </c>
      <c r="AX697" s="10">
        <f>IF(AX$4=0, AX557, IF($H697=0, 0, (AX442+AX465+AX488*$G697+AW743)*AX674))*Timeline!AX47</f>
        <v>0</v>
      </c>
      <c r="AY697" s="10">
        <f>IF(AY$4=0, AY557, IF($H697=0, 0, (AY442+AY465+AY488*$G697+AX743)*AY674))*Timeline!AY47</f>
        <v>0</v>
      </c>
      <c r="AZ697" s="10">
        <f>IF(AZ$4=0, AZ557, IF($H697=0, 0, (AZ442+AZ465+AZ488*$G697+AY743)*AZ674))*Timeline!AZ47</f>
        <v>0</v>
      </c>
      <c r="BA697" s="10">
        <f>IF(BA$4=0, BA557, IF($H697=0, 0, (BA442+BA465+BA488*$G697+AZ743)*BA674))*Timeline!BA47</f>
        <v>0</v>
      </c>
      <c r="BB697" s="10">
        <f>IF(BB$4=0, BB557, IF($H697=0, 0, (BB442+BB465+BB488*$G697+BA743)*BB674))*Timeline!BB47</f>
        <v>0</v>
      </c>
      <c r="BC697" s="10">
        <f>IF(BC$4=0, BC557, IF($H697=0, 0, (BC442+BC465+BC488*$G697+BB743)*BC674))*Timeline!BC47</f>
        <v>0</v>
      </c>
      <c r="BD697" s="10">
        <f>IF(BD$4=0, BD557, IF($H697=0, 0, (BD442+BD465+BD488*$G697+BC743)*BD674))*Timeline!BD47</f>
        <v>0</v>
      </c>
      <c r="BE697" s="10">
        <f>IF(BE$4=0, BE557, IF($H697=0, 0, (BE442+BE465+BE488*$G697+BD743)*BE674))*Timeline!BE47</f>
        <v>0</v>
      </c>
      <c r="BF697" s="10">
        <f>IF(BF$4=0, BF557, IF($H697=0, 0, (BF442+BF465+BF488*$G697+BE743)*BF674))*Timeline!BF47</f>
        <v>0</v>
      </c>
      <c r="BG697" s="10">
        <f>IF(BG$4=0, BG557, IF($H697=0, 0, (BG442+BG465+BG488*$G697+BF743)*BG674))*Timeline!BG47</f>
        <v>0</v>
      </c>
      <c r="BH697" s="10">
        <f>IF(BH$4=0, BH557, IF($H697=0, 0, (BH442+BH465+BH488*$G697+BG743)*BH674))*Timeline!BH47</f>
        <v>0</v>
      </c>
      <c r="BI697" s="10">
        <f>IF(BI$4=0, BI557, IF($H697=0, 0, (BI442+BI465+BI488*$G697+BH743)*BI674))*Timeline!BI47</f>
        <v>0</v>
      </c>
      <c r="BJ697" s="10">
        <f>IF(BJ$4=0, BJ557, IF($H697=0, 0, (BJ442+BJ465+BJ488*$G697+BI743)*BJ674))*Timeline!BJ47</f>
        <v>0</v>
      </c>
      <c r="BK697" s="10">
        <f>IF(BK$4=0, BK557, IF($H697=0, 0, (BK442+BK465+BK488*$G697+BJ743)*BK674))*Timeline!BK47</f>
        <v>0</v>
      </c>
      <c r="BL697" s="10">
        <f>IF(BL$4=0, BL557, IF($H697=0, 0, (BL442+BL465+BL488*$G697+BK743)*BL674))*Timeline!BL47</f>
        <v>0</v>
      </c>
      <c r="BM697" s="10">
        <f>IF(BM$4=0, BM557, IF($H697=0, 0, (BM442+BM465+BM488*$G697+BL743)*BM674))*Timeline!BM47</f>
        <v>0</v>
      </c>
      <c r="BN697" s="10">
        <f>IF(BN$4=0, BN557, IF($H697=0, 0, (BN442+BN465+BN488*$G697+BM743)*BN674))*Timeline!BN47</f>
        <v>0</v>
      </c>
      <c r="BO697" s="10">
        <f>IF(BO$4=0, BO557, IF($H697=0, 0, (BO442+BO465+BO488*$G697+BN743)*BO674))*Timeline!BO47</f>
        <v>0</v>
      </c>
      <c r="BP697" s="10">
        <f>IF(BP$4=0, BP557, IF($H697=0, 0, (BP442+BP465+BP488*$G697+BO743)*BP674))*Timeline!BP47</f>
        <v>0</v>
      </c>
      <c r="BQ697" s="10">
        <f>IF(BQ$4=0, BQ557, IF($H697=0, 0, (BQ442+BQ465+BQ488*$G697+BP743)*BQ674))*Timeline!BQ47</f>
        <v>0</v>
      </c>
      <c r="BR697" s="10">
        <f>IF(BR$4=0, BR557, IF($H697=0, 0, (BR442+BR465+BR488*$G697+BQ743)*BR674))*Timeline!BR47</f>
        <v>0</v>
      </c>
      <c r="BS697" s="10">
        <f>IF(BS$4=0, BS557, IF($H697=0, 0, (BS442+BS465+BS488*$G697+BR743)*BS674))*Timeline!BS47</f>
        <v>0</v>
      </c>
      <c r="BT697" s="10">
        <f>IF(BT$4=0, BT557, IF($H697=0, 0, (BT442+BT465+BT488*$G697+BS743)*BT674))*Timeline!BT47</f>
        <v>0</v>
      </c>
      <c r="BU697" s="10">
        <f>IF(BU$4=0, BU557, IF($H697=0, 0, (BU442+BU465+BU488*$G697+BT743)*BU674))*Timeline!BU47</f>
        <v>0</v>
      </c>
      <c r="BV697" s="10">
        <f>IF(BV$4=0, BV557, IF($H697=0, 0, (BV442+BV465+BV488*$G697+BU743)*BV674))*Timeline!BV47</f>
        <v>0</v>
      </c>
      <c r="BX697" s="12">
        <f t="shared" si="749"/>
        <v>0</v>
      </c>
      <c r="BY697" s="12">
        <f t="shared" si="750"/>
        <v>0</v>
      </c>
      <c r="BZ697" s="12">
        <f t="shared" si="751"/>
        <v>0</v>
      </c>
      <c r="CA697" s="12">
        <f t="shared" si="752"/>
        <v>0</v>
      </c>
      <c r="CB697" s="133">
        <f t="shared" si="753"/>
        <v>0</v>
      </c>
      <c r="CC697" s="106"/>
      <c r="CD697" s="106"/>
      <c r="CE697" s="106"/>
      <c r="CF697" s="106"/>
      <c r="CG697" s="106"/>
      <c r="CH697" s="106"/>
      <c r="CI697" s="106"/>
      <c r="CK697" s="11"/>
      <c r="CM697" s="11"/>
      <c r="CV697" s="120"/>
      <c r="CW697" s="7">
        <f t="shared" si="754"/>
        <v>0</v>
      </c>
      <c r="DF697" s="11"/>
      <c r="EY697" s="10" t="str">
        <f t="shared" si="746"/>
        <v/>
      </c>
    </row>
    <row r="698" spans="1:155" x14ac:dyDescent="0.35">
      <c r="A698" s="220" cm="1">
        <f t="array" aca="1" ref="A698" ca="1">HYPERLINK(CONCATENATE("#",CELL("address",IF(MAX($CM698:$DF698)=0,A698,INDEX($CM698:$DF698,MATCH(1,$CM698:$DF698,0))))),MAX($CM698:$DF698))</f>
        <v>0</v>
      </c>
      <c r="B698" s="69" t="str" cm="1">
        <f t="array" aca="1" ref="B698" ca="1">HYPERLINK(CONCATENATE("#",CELL("address",$D$113)),$D$113)</f>
        <v>Loan 4</v>
      </c>
      <c r="C698" s="211"/>
      <c r="D698" s="49">
        <f>D$16</f>
        <v>0</v>
      </c>
      <c r="E698" s="49" t="str">
        <f>F$16</f>
        <v/>
      </c>
      <c r="F698" s="49"/>
      <c r="G698" s="10">
        <f>U$16</f>
        <v>0</v>
      </c>
      <c r="H698" s="10">
        <f>Q$16</f>
        <v>0</v>
      </c>
      <c r="I698" s="40" t="s">
        <v>665</v>
      </c>
      <c r="V698" s="12">
        <f t="shared" si="747"/>
        <v>0</v>
      </c>
      <c r="W698" s="133">
        <f t="shared" si="748"/>
        <v>0</v>
      </c>
      <c r="X698" s="133">
        <f t="shared" si="748"/>
        <v>0</v>
      </c>
      <c r="Y698" s="133">
        <f t="shared" si="748"/>
        <v>0</v>
      </c>
      <c r="AA698" s="10">
        <f>IF(AA$4=0, AA558, IF($H698=0, 0, (AA443+AA466+AA489*$G698+Z744)*AA675))*Timeline!AA48</f>
        <v>0</v>
      </c>
      <c r="AB698" s="10">
        <f>IF(AB$4=0, AB558, IF($H698=0, 0, (AB443+AB466+AB489*$G698+AA744)*AB675))*Timeline!AB48</f>
        <v>0</v>
      </c>
      <c r="AC698" s="10">
        <f>IF(AC$4=0, AC558, IF($H698=0, 0, (AC443+AC466+AC489*$G698+AB744)*AC675))*Timeline!AC48</f>
        <v>0</v>
      </c>
      <c r="AD698" s="10">
        <f>IF(AD$4=0, AD558, IF($H698=0, 0, (AD443+AD466+AD489*$G698+AC744)*AD675))*Timeline!AD48</f>
        <v>0</v>
      </c>
      <c r="AE698" s="10">
        <f>IF(AE$4=0, AE558, IF($H698=0, 0, (AE443+AE466+AE489*$G698+AD744)*AE675))*Timeline!AE48</f>
        <v>0</v>
      </c>
      <c r="AF698" s="10">
        <f>IF(AF$4=0, AF558, IF($H698=0, 0, (AF443+AF466+AF489*$G698+AE744)*AF675))*Timeline!AF48</f>
        <v>0</v>
      </c>
      <c r="AG698" s="10">
        <f>IF(AG$4=0, AG558, IF($H698=0, 0, (AG443+AG466+AG489*$G698+AF744)*AG675))*Timeline!AG48</f>
        <v>0</v>
      </c>
      <c r="AH698" s="10">
        <f>IF(AH$4=0, AH558, IF($H698=0, 0, (AH443+AH466+AH489*$G698+AG744)*AH675))*Timeline!AH48</f>
        <v>0</v>
      </c>
      <c r="AI698" s="10">
        <f>IF(AI$4=0, AI558, IF($H698=0, 0, (AI443+AI466+AI489*$G698+AH744)*AI675))*Timeline!AI48</f>
        <v>0</v>
      </c>
      <c r="AJ698" s="10">
        <f>IF(AJ$4=0, AJ558, IF($H698=0, 0, (AJ443+AJ466+AJ489*$G698+AI744)*AJ675))*Timeline!AJ48</f>
        <v>0</v>
      </c>
      <c r="AK698" s="10">
        <f>IF(AK$4=0, AK558, IF($H698=0, 0, (AK443+AK466+AK489*$G698+AJ744)*AK675))*Timeline!AK48</f>
        <v>0</v>
      </c>
      <c r="AL698" s="10">
        <f>IF(AL$4=0, AL558, IF($H698=0, 0, (AL443+AL466+AL489*$G698+AK744)*AL675))*Timeline!AL48</f>
        <v>0</v>
      </c>
      <c r="AM698" s="10">
        <f>IF(AM$4=0, AM558, IF($H698=0, 0, (AM443+AM466+AM489*$G698+AL744)*AM675))*Timeline!AM48</f>
        <v>0</v>
      </c>
      <c r="AN698" s="10">
        <f>IF(AN$4=0, AN558, IF($H698=0, 0, (AN443+AN466+AN489*$G698+AM744)*AN675))*Timeline!AN48</f>
        <v>0</v>
      </c>
      <c r="AO698" s="10">
        <f>IF(AO$4=0, AO558, IF($H698=0, 0, (AO443+AO466+AO489*$G698+AN744)*AO675))*Timeline!AO48</f>
        <v>0</v>
      </c>
      <c r="AP698" s="10">
        <f>IF(AP$4=0, AP558, IF($H698=0, 0, (AP443+AP466+AP489*$G698+AO744)*AP675))*Timeline!AP48</f>
        <v>0</v>
      </c>
      <c r="AQ698" s="10">
        <f>IF(AQ$4=0, AQ558, IF($H698=0, 0, (AQ443+AQ466+AQ489*$G698+AP744)*AQ675))*Timeline!AQ48</f>
        <v>0</v>
      </c>
      <c r="AR698" s="10">
        <f>IF(AR$4=0, AR558, IF($H698=0, 0, (AR443+AR466+AR489*$G698+AQ744)*AR675))*Timeline!AR48</f>
        <v>0</v>
      </c>
      <c r="AS698" s="10">
        <f>IF(AS$4=0, AS558, IF($H698=0, 0, (AS443+AS466+AS489*$G698+AR744)*AS675))*Timeline!AS48</f>
        <v>0</v>
      </c>
      <c r="AT698" s="10">
        <f>IF(AT$4=0, AT558, IF($H698=0, 0, (AT443+AT466+AT489*$G698+AS744)*AT675))*Timeline!AT48</f>
        <v>0</v>
      </c>
      <c r="AU698" s="10">
        <f>IF(AU$4=0, AU558, IF($H698=0, 0, (AU443+AU466+AU489*$G698+AT744)*AU675))*Timeline!AU48</f>
        <v>0</v>
      </c>
      <c r="AV698" s="10">
        <f>IF(AV$4=0, AV558, IF($H698=0, 0, (AV443+AV466+AV489*$G698+AU744)*AV675))*Timeline!AV48</f>
        <v>0</v>
      </c>
      <c r="AW698" s="10">
        <f>IF(AW$4=0, AW558, IF($H698=0, 0, (AW443+AW466+AW489*$G698+AV744)*AW675))*Timeline!AW48</f>
        <v>0</v>
      </c>
      <c r="AX698" s="10">
        <f>IF(AX$4=0, AX558, IF($H698=0, 0, (AX443+AX466+AX489*$G698+AW744)*AX675))*Timeline!AX48</f>
        <v>0</v>
      </c>
      <c r="AY698" s="10">
        <f>IF(AY$4=0, AY558, IF($H698=0, 0, (AY443+AY466+AY489*$G698+AX744)*AY675))*Timeline!AY48</f>
        <v>0</v>
      </c>
      <c r="AZ698" s="10">
        <f>IF(AZ$4=0, AZ558, IF($H698=0, 0, (AZ443+AZ466+AZ489*$G698+AY744)*AZ675))*Timeline!AZ48</f>
        <v>0</v>
      </c>
      <c r="BA698" s="10">
        <f>IF(BA$4=0, BA558, IF($H698=0, 0, (BA443+BA466+BA489*$G698+AZ744)*BA675))*Timeline!BA48</f>
        <v>0</v>
      </c>
      <c r="BB698" s="10">
        <f>IF(BB$4=0, BB558, IF($H698=0, 0, (BB443+BB466+BB489*$G698+BA744)*BB675))*Timeline!BB48</f>
        <v>0</v>
      </c>
      <c r="BC698" s="10">
        <f>IF(BC$4=0, BC558, IF($H698=0, 0, (BC443+BC466+BC489*$G698+BB744)*BC675))*Timeline!BC48</f>
        <v>0</v>
      </c>
      <c r="BD698" s="10">
        <f>IF(BD$4=0, BD558, IF($H698=0, 0, (BD443+BD466+BD489*$G698+BC744)*BD675))*Timeline!BD48</f>
        <v>0</v>
      </c>
      <c r="BE698" s="10">
        <f>IF(BE$4=0, BE558, IF($H698=0, 0, (BE443+BE466+BE489*$G698+BD744)*BE675))*Timeline!BE48</f>
        <v>0</v>
      </c>
      <c r="BF698" s="10">
        <f>IF(BF$4=0, BF558, IF($H698=0, 0, (BF443+BF466+BF489*$G698+BE744)*BF675))*Timeline!BF48</f>
        <v>0</v>
      </c>
      <c r="BG698" s="10">
        <f>IF(BG$4=0, BG558, IF($H698=0, 0, (BG443+BG466+BG489*$G698+BF744)*BG675))*Timeline!BG48</f>
        <v>0</v>
      </c>
      <c r="BH698" s="10">
        <f>IF(BH$4=0, BH558, IF($H698=0, 0, (BH443+BH466+BH489*$G698+BG744)*BH675))*Timeline!BH48</f>
        <v>0</v>
      </c>
      <c r="BI698" s="10">
        <f>IF(BI$4=0, BI558, IF($H698=0, 0, (BI443+BI466+BI489*$G698+BH744)*BI675))*Timeline!BI48</f>
        <v>0</v>
      </c>
      <c r="BJ698" s="10">
        <f>IF(BJ$4=0, BJ558, IF($H698=0, 0, (BJ443+BJ466+BJ489*$G698+BI744)*BJ675))*Timeline!BJ48</f>
        <v>0</v>
      </c>
      <c r="BK698" s="10">
        <f>IF(BK$4=0, BK558, IF($H698=0, 0, (BK443+BK466+BK489*$G698+BJ744)*BK675))*Timeline!BK48</f>
        <v>0</v>
      </c>
      <c r="BL698" s="10">
        <f>IF(BL$4=0, BL558, IF($H698=0, 0, (BL443+BL466+BL489*$G698+BK744)*BL675))*Timeline!BL48</f>
        <v>0</v>
      </c>
      <c r="BM698" s="10">
        <f>IF(BM$4=0, BM558, IF($H698=0, 0, (BM443+BM466+BM489*$G698+BL744)*BM675))*Timeline!BM48</f>
        <v>0</v>
      </c>
      <c r="BN698" s="10">
        <f>IF(BN$4=0, BN558, IF($H698=0, 0, (BN443+BN466+BN489*$G698+BM744)*BN675))*Timeline!BN48</f>
        <v>0</v>
      </c>
      <c r="BO698" s="10">
        <f>IF(BO$4=0, BO558, IF($H698=0, 0, (BO443+BO466+BO489*$G698+BN744)*BO675))*Timeline!BO48</f>
        <v>0</v>
      </c>
      <c r="BP698" s="10">
        <f>IF(BP$4=0, BP558, IF($H698=0, 0, (BP443+BP466+BP489*$G698+BO744)*BP675))*Timeline!BP48</f>
        <v>0</v>
      </c>
      <c r="BQ698" s="10">
        <f>IF(BQ$4=0, BQ558, IF($H698=0, 0, (BQ443+BQ466+BQ489*$G698+BP744)*BQ675))*Timeline!BQ48</f>
        <v>0</v>
      </c>
      <c r="BR698" s="10">
        <f>IF(BR$4=0, BR558, IF($H698=0, 0, (BR443+BR466+BR489*$G698+BQ744)*BR675))*Timeline!BR48</f>
        <v>0</v>
      </c>
      <c r="BS698" s="10">
        <f>IF(BS$4=0, BS558, IF($H698=0, 0, (BS443+BS466+BS489*$G698+BR744)*BS675))*Timeline!BS48</f>
        <v>0</v>
      </c>
      <c r="BT698" s="10">
        <f>IF(BT$4=0, BT558, IF($H698=0, 0, (BT443+BT466+BT489*$G698+BS744)*BT675))*Timeline!BT48</f>
        <v>0</v>
      </c>
      <c r="BU698" s="10">
        <f>IF(BU$4=0, BU558, IF($H698=0, 0, (BU443+BU466+BU489*$G698+BT744)*BU675))*Timeline!BU48</f>
        <v>0</v>
      </c>
      <c r="BV698" s="10">
        <f>IF(BV$4=0, BV558, IF($H698=0, 0, (BV443+BV466+BV489*$G698+BU744)*BV675))*Timeline!BV48</f>
        <v>0</v>
      </c>
      <c r="BX698" s="12">
        <f t="shared" si="749"/>
        <v>0</v>
      </c>
      <c r="BY698" s="12">
        <f t="shared" si="750"/>
        <v>0</v>
      </c>
      <c r="BZ698" s="12">
        <f t="shared" si="751"/>
        <v>0</v>
      </c>
      <c r="CA698" s="12">
        <f t="shared" si="752"/>
        <v>0</v>
      </c>
      <c r="CB698" s="133">
        <f t="shared" si="753"/>
        <v>0</v>
      </c>
      <c r="CC698" s="106"/>
      <c r="CD698" s="106"/>
      <c r="CE698" s="106"/>
      <c r="CF698" s="106"/>
      <c r="CG698" s="106"/>
      <c r="CH698" s="106"/>
      <c r="CI698" s="106"/>
      <c r="CK698" s="11"/>
      <c r="CM698" s="11"/>
      <c r="CV698" s="120"/>
      <c r="CW698" s="7">
        <f t="shared" si="754"/>
        <v>0</v>
      </c>
      <c r="DF698" s="11"/>
      <c r="EY698" s="10" t="str">
        <f t="shared" si="746"/>
        <v/>
      </c>
    </row>
    <row r="699" spans="1:155" x14ac:dyDescent="0.35">
      <c r="A699" s="220" cm="1">
        <f t="array" aca="1" ref="A699" ca="1">HYPERLINK(CONCATENATE("#",CELL("address",IF(MAX($CM699:$DF699)=0,A699,INDEX($CM699:$DF699,MATCH(1,$CM699:$DF699,0))))),MAX($CM699:$DF699))</f>
        <v>0</v>
      </c>
      <c r="B699" s="69" t="str" cm="1">
        <f t="array" aca="1" ref="B699" ca="1">HYPERLINK(CONCATENATE("#",CELL("address",$D$132)),$D$132)</f>
        <v>Loan 5</v>
      </c>
      <c r="C699" s="211"/>
      <c r="D699" s="49">
        <f>D$17</f>
        <v>0</v>
      </c>
      <c r="E699" s="49" t="str">
        <f>F$17</f>
        <v/>
      </c>
      <c r="F699" s="49"/>
      <c r="G699" s="10">
        <f>U$17</f>
        <v>0</v>
      </c>
      <c r="H699" s="10">
        <f>Q$17</f>
        <v>0</v>
      </c>
      <c r="I699" s="40" t="s">
        <v>665</v>
      </c>
      <c r="V699" s="12">
        <f t="shared" si="747"/>
        <v>0</v>
      </c>
      <c r="W699" s="133">
        <f t="shared" si="748"/>
        <v>0</v>
      </c>
      <c r="X699" s="133">
        <f t="shared" si="748"/>
        <v>0</v>
      </c>
      <c r="Y699" s="133">
        <f t="shared" si="748"/>
        <v>0</v>
      </c>
      <c r="AA699" s="10">
        <f>IF(AA$4=0, AA559, IF($H699=0, 0, (AA444+AA467+AA490*$G699+Z745)*AA676))*Timeline!AA49</f>
        <v>0</v>
      </c>
      <c r="AB699" s="10">
        <f>IF(AB$4=0, AB559, IF($H699=0, 0, (AB444+AB467+AB490*$G699+AA745)*AB676))*Timeline!AB49</f>
        <v>0</v>
      </c>
      <c r="AC699" s="10">
        <f>IF(AC$4=0, AC559, IF($H699=0, 0, (AC444+AC467+AC490*$G699+AB745)*AC676))*Timeline!AC49</f>
        <v>0</v>
      </c>
      <c r="AD699" s="10">
        <f>IF(AD$4=0, AD559, IF($H699=0, 0, (AD444+AD467+AD490*$G699+AC745)*AD676))*Timeline!AD49</f>
        <v>0</v>
      </c>
      <c r="AE699" s="10">
        <f>IF(AE$4=0, AE559, IF($H699=0, 0, (AE444+AE467+AE490*$G699+AD745)*AE676))*Timeline!AE49</f>
        <v>0</v>
      </c>
      <c r="AF699" s="10">
        <f>IF(AF$4=0, AF559, IF($H699=0, 0, (AF444+AF467+AF490*$G699+AE745)*AF676))*Timeline!AF49</f>
        <v>0</v>
      </c>
      <c r="AG699" s="10">
        <f>IF(AG$4=0, AG559, IF($H699=0, 0, (AG444+AG467+AG490*$G699+AF745)*AG676))*Timeline!AG49</f>
        <v>0</v>
      </c>
      <c r="AH699" s="10">
        <f>IF(AH$4=0, AH559, IF($H699=0, 0, (AH444+AH467+AH490*$G699+AG745)*AH676))*Timeline!AH49</f>
        <v>0</v>
      </c>
      <c r="AI699" s="10">
        <f>IF(AI$4=0, AI559, IF($H699=0, 0, (AI444+AI467+AI490*$G699+AH745)*AI676))*Timeline!AI49</f>
        <v>0</v>
      </c>
      <c r="AJ699" s="10">
        <f>IF(AJ$4=0, AJ559, IF($H699=0, 0, (AJ444+AJ467+AJ490*$G699+AI745)*AJ676))*Timeline!AJ49</f>
        <v>0</v>
      </c>
      <c r="AK699" s="10">
        <f>IF(AK$4=0, AK559, IF($H699=0, 0, (AK444+AK467+AK490*$G699+AJ745)*AK676))*Timeline!AK49</f>
        <v>0</v>
      </c>
      <c r="AL699" s="10">
        <f>IF(AL$4=0, AL559, IF($H699=0, 0, (AL444+AL467+AL490*$G699+AK745)*AL676))*Timeline!AL49</f>
        <v>0</v>
      </c>
      <c r="AM699" s="10">
        <f>IF(AM$4=0, AM559, IF($H699=0, 0, (AM444+AM467+AM490*$G699+AL745)*AM676))*Timeline!AM49</f>
        <v>0</v>
      </c>
      <c r="AN699" s="10">
        <f>IF(AN$4=0, AN559, IF($H699=0, 0, (AN444+AN467+AN490*$G699+AM745)*AN676))*Timeline!AN49</f>
        <v>0</v>
      </c>
      <c r="AO699" s="10">
        <f>IF(AO$4=0, AO559, IF($H699=0, 0, (AO444+AO467+AO490*$G699+AN745)*AO676))*Timeline!AO49</f>
        <v>0</v>
      </c>
      <c r="AP699" s="10">
        <f>IF(AP$4=0, AP559, IF($H699=0, 0, (AP444+AP467+AP490*$G699+AO745)*AP676))*Timeline!AP49</f>
        <v>0</v>
      </c>
      <c r="AQ699" s="10">
        <f>IF(AQ$4=0, AQ559, IF($H699=0, 0, (AQ444+AQ467+AQ490*$G699+AP745)*AQ676))*Timeline!AQ49</f>
        <v>0</v>
      </c>
      <c r="AR699" s="10">
        <f>IF(AR$4=0, AR559, IF($H699=0, 0, (AR444+AR467+AR490*$G699+AQ745)*AR676))*Timeline!AR49</f>
        <v>0</v>
      </c>
      <c r="AS699" s="10">
        <f>IF(AS$4=0, AS559, IF($H699=0, 0, (AS444+AS467+AS490*$G699+AR745)*AS676))*Timeline!AS49</f>
        <v>0</v>
      </c>
      <c r="AT699" s="10">
        <f>IF(AT$4=0, AT559, IF($H699=0, 0, (AT444+AT467+AT490*$G699+AS745)*AT676))*Timeline!AT49</f>
        <v>0</v>
      </c>
      <c r="AU699" s="10">
        <f>IF(AU$4=0, AU559, IF($H699=0, 0, (AU444+AU467+AU490*$G699+AT745)*AU676))*Timeline!AU49</f>
        <v>0</v>
      </c>
      <c r="AV699" s="10">
        <f>IF(AV$4=0, AV559, IF($H699=0, 0, (AV444+AV467+AV490*$G699+AU745)*AV676))*Timeline!AV49</f>
        <v>0</v>
      </c>
      <c r="AW699" s="10">
        <f>IF(AW$4=0, AW559, IF($H699=0, 0, (AW444+AW467+AW490*$G699+AV745)*AW676))*Timeline!AW49</f>
        <v>0</v>
      </c>
      <c r="AX699" s="10">
        <f>IF(AX$4=0, AX559, IF($H699=0, 0, (AX444+AX467+AX490*$G699+AW745)*AX676))*Timeline!AX49</f>
        <v>0</v>
      </c>
      <c r="AY699" s="10">
        <f>IF(AY$4=0, AY559, IF($H699=0, 0, (AY444+AY467+AY490*$G699+AX745)*AY676))*Timeline!AY49</f>
        <v>0</v>
      </c>
      <c r="AZ699" s="10">
        <f>IF(AZ$4=0, AZ559, IF($H699=0, 0, (AZ444+AZ467+AZ490*$G699+AY745)*AZ676))*Timeline!AZ49</f>
        <v>0</v>
      </c>
      <c r="BA699" s="10">
        <f>IF(BA$4=0, BA559, IF($H699=0, 0, (BA444+BA467+BA490*$G699+AZ745)*BA676))*Timeline!BA49</f>
        <v>0</v>
      </c>
      <c r="BB699" s="10">
        <f>IF(BB$4=0, BB559, IF($H699=0, 0, (BB444+BB467+BB490*$G699+BA745)*BB676))*Timeline!BB49</f>
        <v>0</v>
      </c>
      <c r="BC699" s="10">
        <f>IF(BC$4=0, BC559, IF($H699=0, 0, (BC444+BC467+BC490*$G699+BB745)*BC676))*Timeline!BC49</f>
        <v>0</v>
      </c>
      <c r="BD699" s="10">
        <f>IF(BD$4=0, BD559, IF($H699=0, 0, (BD444+BD467+BD490*$G699+BC745)*BD676))*Timeline!BD49</f>
        <v>0</v>
      </c>
      <c r="BE699" s="10">
        <f>IF(BE$4=0, BE559, IF($H699=0, 0, (BE444+BE467+BE490*$G699+BD745)*BE676))*Timeline!BE49</f>
        <v>0</v>
      </c>
      <c r="BF699" s="10">
        <f>IF(BF$4=0, BF559, IF($H699=0, 0, (BF444+BF467+BF490*$G699+BE745)*BF676))*Timeline!BF49</f>
        <v>0</v>
      </c>
      <c r="BG699" s="10">
        <f>IF(BG$4=0, BG559, IF($H699=0, 0, (BG444+BG467+BG490*$G699+BF745)*BG676))*Timeline!BG49</f>
        <v>0</v>
      </c>
      <c r="BH699" s="10">
        <f>IF(BH$4=0, BH559, IF($H699=0, 0, (BH444+BH467+BH490*$G699+BG745)*BH676))*Timeline!BH49</f>
        <v>0</v>
      </c>
      <c r="BI699" s="10">
        <f>IF(BI$4=0, BI559, IF($H699=0, 0, (BI444+BI467+BI490*$G699+BH745)*BI676))*Timeline!BI49</f>
        <v>0</v>
      </c>
      <c r="BJ699" s="10">
        <f>IF(BJ$4=0, BJ559, IF($H699=0, 0, (BJ444+BJ467+BJ490*$G699+BI745)*BJ676))*Timeline!BJ49</f>
        <v>0</v>
      </c>
      <c r="BK699" s="10">
        <f>IF(BK$4=0, BK559, IF($H699=0, 0, (BK444+BK467+BK490*$G699+BJ745)*BK676))*Timeline!BK49</f>
        <v>0</v>
      </c>
      <c r="BL699" s="10">
        <f>IF(BL$4=0, BL559, IF($H699=0, 0, (BL444+BL467+BL490*$G699+BK745)*BL676))*Timeline!BL49</f>
        <v>0</v>
      </c>
      <c r="BM699" s="10">
        <f>IF(BM$4=0, BM559, IF($H699=0, 0, (BM444+BM467+BM490*$G699+BL745)*BM676))*Timeline!BM49</f>
        <v>0</v>
      </c>
      <c r="BN699" s="10">
        <f>IF(BN$4=0, BN559, IF($H699=0, 0, (BN444+BN467+BN490*$G699+BM745)*BN676))*Timeline!BN49</f>
        <v>0</v>
      </c>
      <c r="BO699" s="10">
        <f>IF(BO$4=0, BO559, IF($H699=0, 0, (BO444+BO467+BO490*$G699+BN745)*BO676))*Timeline!BO49</f>
        <v>0</v>
      </c>
      <c r="BP699" s="10">
        <f>IF(BP$4=0, BP559, IF($H699=0, 0, (BP444+BP467+BP490*$G699+BO745)*BP676))*Timeline!BP49</f>
        <v>0</v>
      </c>
      <c r="BQ699" s="10">
        <f>IF(BQ$4=0, BQ559, IF($H699=0, 0, (BQ444+BQ467+BQ490*$G699+BP745)*BQ676))*Timeline!BQ49</f>
        <v>0</v>
      </c>
      <c r="BR699" s="10">
        <f>IF(BR$4=0, BR559, IF($H699=0, 0, (BR444+BR467+BR490*$G699+BQ745)*BR676))*Timeline!BR49</f>
        <v>0</v>
      </c>
      <c r="BS699" s="10">
        <f>IF(BS$4=0, BS559, IF($H699=0, 0, (BS444+BS467+BS490*$G699+BR745)*BS676))*Timeline!BS49</f>
        <v>0</v>
      </c>
      <c r="BT699" s="10">
        <f>IF(BT$4=0, BT559, IF($H699=0, 0, (BT444+BT467+BT490*$G699+BS745)*BT676))*Timeline!BT49</f>
        <v>0</v>
      </c>
      <c r="BU699" s="10">
        <f>IF(BU$4=0, BU559, IF($H699=0, 0, (BU444+BU467+BU490*$G699+BT745)*BU676))*Timeline!BU49</f>
        <v>0</v>
      </c>
      <c r="BV699" s="10">
        <f>IF(BV$4=0, BV559, IF($H699=0, 0, (BV444+BV467+BV490*$G699+BU745)*BV676))*Timeline!BV49</f>
        <v>0</v>
      </c>
      <c r="BX699" s="12">
        <f t="shared" si="749"/>
        <v>0</v>
      </c>
      <c r="BY699" s="12">
        <f t="shared" si="750"/>
        <v>0</v>
      </c>
      <c r="BZ699" s="12">
        <f t="shared" si="751"/>
        <v>0</v>
      </c>
      <c r="CA699" s="12">
        <f t="shared" si="752"/>
        <v>0</v>
      </c>
      <c r="CB699" s="133">
        <f t="shared" si="753"/>
        <v>0</v>
      </c>
      <c r="CC699" s="106"/>
      <c r="CD699" s="106"/>
      <c r="CE699" s="106"/>
      <c r="CF699" s="106"/>
      <c r="CG699" s="106"/>
      <c r="CH699" s="106"/>
      <c r="CI699" s="106"/>
      <c r="CK699" s="11"/>
      <c r="CM699" s="11"/>
      <c r="CV699" s="120"/>
      <c r="CW699" s="7">
        <f t="shared" si="754"/>
        <v>0</v>
      </c>
      <c r="DF699" s="11"/>
      <c r="EY699" s="10" t="str">
        <f t="shared" si="746"/>
        <v/>
      </c>
    </row>
    <row r="700" spans="1:155" x14ac:dyDescent="0.35">
      <c r="A700" s="220" cm="1">
        <f t="array" aca="1" ref="A700" ca="1">HYPERLINK(CONCATENATE("#",CELL("address",IF(MAX($CM700:$DF700)=0,A700,INDEX($CM700:$DF700,MATCH(1,$CM700:$DF700,0))))),MAX($CM700:$DF700))</f>
        <v>0</v>
      </c>
      <c r="B700" s="69" t="str" cm="1">
        <f t="array" aca="1" ref="B700" ca="1">HYPERLINK(CONCATENATE("#",CELL("address",$D$151)),$D$151)</f>
        <v>Loan 6</v>
      </c>
      <c r="C700" s="211"/>
      <c r="D700" s="49">
        <f>D$18</f>
        <v>0</v>
      </c>
      <c r="E700" s="49" t="str">
        <f>F$18</f>
        <v/>
      </c>
      <c r="F700" s="49"/>
      <c r="G700" s="10">
        <f>U$18</f>
        <v>0</v>
      </c>
      <c r="H700" s="10">
        <f>Q$18</f>
        <v>0</v>
      </c>
      <c r="I700" s="40" t="s">
        <v>665</v>
      </c>
      <c r="V700" s="12">
        <f t="shared" si="747"/>
        <v>0</v>
      </c>
      <c r="W700" s="133">
        <f t="shared" si="748"/>
        <v>0</v>
      </c>
      <c r="X700" s="133">
        <f t="shared" si="748"/>
        <v>0</v>
      </c>
      <c r="Y700" s="133">
        <f t="shared" si="748"/>
        <v>0</v>
      </c>
      <c r="AA700" s="10">
        <f>IF(AA$4=0, AA560, IF($H700=0, 0, (AA445+AA468+AA491*$G700+Z746)*AA677))*Timeline!AA50</f>
        <v>0</v>
      </c>
      <c r="AB700" s="10">
        <f>IF(AB$4=0, AB560, IF($H700=0, 0, (AB445+AB468+AB491*$G700+AA746)*AB677))*Timeline!AB50</f>
        <v>0</v>
      </c>
      <c r="AC700" s="10">
        <f>IF(AC$4=0, AC560, IF($H700=0, 0, (AC445+AC468+AC491*$G700+AB746)*AC677))*Timeline!AC50</f>
        <v>0</v>
      </c>
      <c r="AD700" s="10">
        <f>IF(AD$4=0, AD560, IF($H700=0, 0, (AD445+AD468+AD491*$G700+AC746)*AD677))*Timeline!AD50</f>
        <v>0</v>
      </c>
      <c r="AE700" s="10">
        <f>IF(AE$4=0, AE560, IF($H700=0, 0, (AE445+AE468+AE491*$G700+AD746)*AE677))*Timeline!AE50</f>
        <v>0</v>
      </c>
      <c r="AF700" s="10">
        <f>IF(AF$4=0, AF560, IF($H700=0, 0, (AF445+AF468+AF491*$G700+AE746)*AF677))*Timeline!AF50</f>
        <v>0</v>
      </c>
      <c r="AG700" s="10">
        <f>IF(AG$4=0, AG560, IF($H700=0, 0, (AG445+AG468+AG491*$G700+AF746)*AG677))*Timeline!AG50</f>
        <v>0</v>
      </c>
      <c r="AH700" s="10">
        <f>IF(AH$4=0, AH560, IF($H700=0, 0, (AH445+AH468+AH491*$G700+AG746)*AH677))*Timeline!AH50</f>
        <v>0</v>
      </c>
      <c r="AI700" s="10">
        <f>IF(AI$4=0, AI560, IF($H700=0, 0, (AI445+AI468+AI491*$G700+AH746)*AI677))*Timeline!AI50</f>
        <v>0</v>
      </c>
      <c r="AJ700" s="10">
        <f>IF(AJ$4=0, AJ560, IF($H700=0, 0, (AJ445+AJ468+AJ491*$G700+AI746)*AJ677))*Timeline!AJ50</f>
        <v>0</v>
      </c>
      <c r="AK700" s="10">
        <f>IF(AK$4=0, AK560, IF($H700=0, 0, (AK445+AK468+AK491*$G700+AJ746)*AK677))*Timeline!AK50</f>
        <v>0</v>
      </c>
      <c r="AL700" s="10">
        <f>IF(AL$4=0, AL560, IF($H700=0, 0, (AL445+AL468+AL491*$G700+AK746)*AL677))*Timeline!AL50</f>
        <v>0</v>
      </c>
      <c r="AM700" s="10">
        <f>IF(AM$4=0, AM560, IF($H700=0, 0, (AM445+AM468+AM491*$G700+AL746)*AM677))*Timeline!AM50</f>
        <v>0</v>
      </c>
      <c r="AN700" s="10">
        <f>IF(AN$4=0, AN560, IF($H700=0, 0, (AN445+AN468+AN491*$G700+AM746)*AN677))*Timeline!AN50</f>
        <v>0</v>
      </c>
      <c r="AO700" s="10">
        <f>IF(AO$4=0, AO560, IF($H700=0, 0, (AO445+AO468+AO491*$G700+AN746)*AO677))*Timeline!AO50</f>
        <v>0</v>
      </c>
      <c r="AP700" s="10">
        <f>IF(AP$4=0, AP560, IF($H700=0, 0, (AP445+AP468+AP491*$G700+AO746)*AP677))*Timeline!AP50</f>
        <v>0</v>
      </c>
      <c r="AQ700" s="10">
        <f>IF(AQ$4=0, AQ560, IF($H700=0, 0, (AQ445+AQ468+AQ491*$G700+AP746)*AQ677))*Timeline!AQ50</f>
        <v>0</v>
      </c>
      <c r="AR700" s="10">
        <f>IF(AR$4=0, AR560, IF($H700=0, 0, (AR445+AR468+AR491*$G700+AQ746)*AR677))*Timeline!AR50</f>
        <v>0</v>
      </c>
      <c r="AS700" s="10">
        <f>IF(AS$4=0, AS560, IF($H700=0, 0, (AS445+AS468+AS491*$G700+AR746)*AS677))*Timeline!AS50</f>
        <v>0</v>
      </c>
      <c r="AT700" s="10">
        <f>IF(AT$4=0, AT560, IF($H700=0, 0, (AT445+AT468+AT491*$G700+AS746)*AT677))*Timeline!AT50</f>
        <v>0</v>
      </c>
      <c r="AU700" s="10">
        <f>IF(AU$4=0, AU560, IF($H700=0, 0, (AU445+AU468+AU491*$G700+AT746)*AU677))*Timeline!AU50</f>
        <v>0</v>
      </c>
      <c r="AV700" s="10">
        <f>IF(AV$4=0, AV560, IF($H700=0, 0, (AV445+AV468+AV491*$G700+AU746)*AV677))*Timeline!AV50</f>
        <v>0</v>
      </c>
      <c r="AW700" s="10">
        <f>IF(AW$4=0, AW560, IF($H700=0, 0, (AW445+AW468+AW491*$G700+AV746)*AW677))*Timeline!AW50</f>
        <v>0</v>
      </c>
      <c r="AX700" s="10">
        <f>IF(AX$4=0, AX560, IF($H700=0, 0, (AX445+AX468+AX491*$G700+AW746)*AX677))*Timeline!AX50</f>
        <v>0</v>
      </c>
      <c r="AY700" s="10">
        <f>IF(AY$4=0, AY560, IF($H700=0, 0, (AY445+AY468+AY491*$G700+AX746)*AY677))*Timeline!AY50</f>
        <v>0</v>
      </c>
      <c r="AZ700" s="10">
        <f>IF(AZ$4=0, AZ560, IF($H700=0, 0, (AZ445+AZ468+AZ491*$G700+AY746)*AZ677))*Timeline!AZ50</f>
        <v>0</v>
      </c>
      <c r="BA700" s="10">
        <f>IF(BA$4=0, BA560, IF($H700=0, 0, (BA445+BA468+BA491*$G700+AZ746)*BA677))*Timeline!BA50</f>
        <v>0</v>
      </c>
      <c r="BB700" s="10">
        <f>IF(BB$4=0, BB560, IF($H700=0, 0, (BB445+BB468+BB491*$G700+BA746)*BB677))*Timeline!BB50</f>
        <v>0</v>
      </c>
      <c r="BC700" s="10">
        <f>IF(BC$4=0, BC560, IF($H700=0, 0, (BC445+BC468+BC491*$G700+BB746)*BC677))*Timeline!BC50</f>
        <v>0</v>
      </c>
      <c r="BD700" s="10">
        <f>IF(BD$4=0, BD560, IF($H700=0, 0, (BD445+BD468+BD491*$G700+BC746)*BD677))*Timeline!BD50</f>
        <v>0</v>
      </c>
      <c r="BE700" s="10">
        <f>IF(BE$4=0, BE560, IF($H700=0, 0, (BE445+BE468+BE491*$G700+BD746)*BE677))*Timeline!BE50</f>
        <v>0</v>
      </c>
      <c r="BF700" s="10">
        <f>IF(BF$4=0, BF560, IF($H700=0, 0, (BF445+BF468+BF491*$G700+BE746)*BF677))*Timeline!BF50</f>
        <v>0</v>
      </c>
      <c r="BG700" s="10">
        <f>IF(BG$4=0, BG560, IF($H700=0, 0, (BG445+BG468+BG491*$G700+BF746)*BG677))*Timeline!BG50</f>
        <v>0</v>
      </c>
      <c r="BH700" s="10">
        <f>IF(BH$4=0, BH560, IF($H700=0, 0, (BH445+BH468+BH491*$G700+BG746)*BH677))*Timeline!BH50</f>
        <v>0</v>
      </c>
      <c r="BI700" s="10">
        <f>IF(BI$4=0, BI560, IF($H700=0, 0, (BI445+BI468+BI491*$G700+BH746)*BI677))*Timeline!BI50</f>
        <v>0</v>
      </c>
      <c r="BJ700" s="10">
        <f>IF(BJ$4=0, BJ560, IF($H700=0, 0, (BJ445+BJ468+BJ491*$G700+BI746)*BJ677))*Timeline!BJ50</f>
        <v>0</v>
      </c>
      <c r="BK700" s="10">
        <f>IF(BK$4=0, BK560, IF($H700=0, 0, (BK445+BK468+BK491*$G700+BJ746)*BK677))*Timeline!BK50</f>
        <v>0</v>
      </c>
      <c r="BL700" s="10">
        <f>IF(BL$4=0, BL560, IF($H700=0, 0, (BL445+BL468+BL491*$G700+BK746)*BL677))*Timeline!BL50</f>
        <v>0</v>
      </c>
      <c r="BM700" s="10">
        <f>IF(BM$4=0, BM560, IF($H700=0, 0, (BM445+BM468+BM491*$G700+BL746)*BM677))*Timeline!BM50</f>
        <v>0</v>
      </c>
      <c r="BN700" s="10">
        <f>IF(BN$4=0, BN560, IF($H700=0, 0, (BN445+BN468+BN491*$G700+BM746)*BN677))*Timeline!BN50</f>
        <v>0</v>
      </c>
      <c r="BO700" s="10">
        <f>IF(BO$4=0, BO560, IF($H700=0, 0, (BO445+BO468+BO491*$G700+BN746)*BO677))*Timeline!BO50</f>
        <v>0</v>
      </c>
      <c r="BP700" s="10">
        <f>IF(BP$4=0, BP560, IF($H700=0, 0, (BP445+BP468+BP491*$G700+BO746)*BP677))*Timeline!BP50</f>
        <v>0</v>
      </c>
      <c r="BQ700" s="10">
        <f>IF(BQ$4=0, BQ560, IF($H700=0, 0, (BQ445+BQ468+BQ491*$G700+BP746)*BQ677))*Timeline!BQ50</f>
        <v>0</v>
      </c>
      <c r="BR700" s="10">
        <f>IF(BR$4=0, BR560, IF($H700=0, 0, (BR445+BR468+BR491*$G700+BQ746)*BR677))*Timeline!BR50</f>
        <v>0</v>
      </c>
      <c r="BS700" s="10">
        <f>IF(BS$4=0, BS560, IF($H700=0, 0, (BS445+BS468+BS491*$G700+BR746)*BS677))*Timeline!BS50</f>
        <v>0</v>
      </c>
      <c r="BT700" s="10">
        <f>IF(BT$4=0, BT560, IF($H700=0, 0, (BT445+BT468+BT491*$G700+BS746)*BT677))*Timeline!BT50</f>
        <v>0</v>
      </c>
      <c r="BU700" s="10">
        <f>IF(BU$4=0, BU560, IF($H700=0, 0, (BU445+BU468+BU491*$G700+BT746)*BU677))*Timeline!BU50</f>
        <v>0</v>
      </c>
      <c r="BV700" s="10">
        <f>IF(BV$4=0, BV560, IF($H700=0, 0, (BV445+BV468+BV491*$G700+BU746)*BV677))*Timeline!BV50</f>
        <v>0</v>
      </c>
      <c r="BX700" s="12">
        <f t="shared" si="749"/>
        <v>0</v>
      </c>
      <c r="BY700" s="12">
        <f t="shared" si="750"/>
        <v>0</v>
      </c>
      <c r="BZ700" s="12">
        <f t="shared" si="751"/>
        <v>0</v>
      </c>
      <c r="CA700" s="12">
        <f t="shared" si="752"/>
        <v>0</v>
      </c>
      <c r="CB700" s="133">
        <f t="shared" si="753"/>
        <v>0</v>
      </c>
      <c r="CC700" s="106"/>
      <c r="CD700" s="106"/>
      <c r="CE700" s="106"/>
      <c r="CF700" s="106"/>
      <c r="CG700" s="106"/>
      <c r="CH700" s="106"/>
      <c r="CI700" s="106"/>
      <c r="CK700" s="11"/>
      <c r="CM700" s="11"/>
      <c r="CV700" s="120"/>
      <c r="CW700" s="7">
        <f t="shared" si="754"/>
        <v>0</v>
      </c>
      <c r="DF700" s="11"/>
      <c r="EY700" s="10" t="str">
        <f t="shared" si="746"/>
        <v/>
      </c>
    </row>
    <row r="701" spans="1:155" x14ac:dyDescent="0.35">
      <c r="A701" s="220" cm="1">
        <f t="array" aca="1" ref="A701" ca="1">HYPERLINK(CONCATENATE("#",CELL("address",IF(MAX($CM701:$DF701)=0,A701,INDEX($CM701:$DF701,MATCH(1,$CM701:$DF701,0))))),MAX($CM701:$DF701))</f>
        <v>0</v>
      </c>
      <c r="B701" s="69" t="str" cm="1">
        <f t="array" aca="1" ref="B701" ca="1">HYPERLINK(CONCATENATE("#",CELL("address",$D$170)),$D$170)</f>
        <v>Loan 7</v>
      </c>
      <c r="C701" s="211"/>
      <c r="D701" s="49">
        <f>D$19</f>
        <v>0</v>
      </c>
      <c r="E701" s="49" t="str">
        <f>F$19</f>
        <v/>
      </c>
      <c r="F701" s="49"/>
      <c r="G701" s="10">
        <f>U$19</f>
        <v>0</v>
      </c>
      <c r="H701" s="10">
        <f>Q$19</f>
        <v>0</v>
      </c>
      <c r="I701" s="40" t="s">
        <v>665</v>
      </c>
      <c r="V701" s="12">
        <f t="shared" si="747"/>
        <v>0</v>
      </c>
      <c r="W701" s="133">
        <f t="shared" si="748"/>
        <v>0</v>
      </c>
      <c r="X701" s="133">
        <f t="shared" si="748"/>
        <v>0</v>
      </c>
      <c r="Y701" s="133">
        <f t="shared" si="748"/>
        <v>0</v>
      </c>
      <c r="AA701" s="10">
        <f>IF(AA$4=0, AA561, IF($H701=0, 0, (AA446+AA469+AA492*$G701+Z747)*AA678))*Timeline!AA51</f>
        <v>0</v>
      </c>
      <c r="AB701" s="10">
        <f>IF(AB$4=0, AB561, IF($H701=0, 0, (AB446+AB469+AB492*$G701+AA747)*AB678))*Timeline!AB51</f>
        <v>0</v>
      </c>
      <c r="AC701" s="10">
        <f>IF(AC$4=0, AC561, IF($H701=0, 0, (AC446+AC469+AC492*$G701+AB747)*AC678))*Timeline!AC51</f>
        <v>0</v>
      </c>
      <c r="AD701" s="10">
        <f>IF(AD$4=0, AD561, IF($H701=0, 0, (AD446+AD469+AD492*$G701+AC747)*AD678))*Timeline!AD51</f>
        <v>0</v>
      </c>
      <c r="AE701" s="10">
        <f>IF(AE$4=0, AE561, IF($H701=0, 0, (AE446+AE469+AE492*$G701+AD747)*AE678))*Timeline!AE51</f>
        <v>0</v>
      </c>
      <c r="AF701" s="10">
        <f>IF(AF$4=0, AF561, IF($H701=0, 0, (AF446+AF469+AF492*$G701+AE747)*AF678))*Timeline!AF51</f>
        <v>0</v>
      </c>
      <c r="AG701" s="10">
        <f>IF(AG$4=0, AG561, IF($H701=0, 0, (AG446+AG469+AG492*$G701+AF747)*AG678))*Timeline!AG51</f>
        <v>0</v>
      </c>
      <c r="AH701" s="10">
        <f>IF(AH$4=0, AH561, IF($H701=0, 0, (AH446+AH469+AH492*$G701+AG747)*AH678))*Timeline!AH51</f>
        <v>0</v>
      </c>
      <c r="AI701" s="10">
        <f>IF(AI$4=0, AI561, IF($H701=0, 0, (AI446+AI469+AI492*$G701+AH747)*AI678))*Timeline!AI51</f>
        <v>0</v>
      </c>
      <c r="AJ701" s="10">
        <f>IF(AJ$4=0, AJ561, IF($H701=0, 0, (AJ446+AJ469+AJ492*$G701+AI747)*AJ678))*Timeline!AJ51</f>
        <v>0</v>
      </c>
      <c r="AK701" s="10">
        <f>IF(AK$4=0, AK561, IF($H701=0, 0, (AK446+AK469+AK492*$G701+AJ747)*AK678))*Timeline!AK51</f>
        <v>0</v>
      </c>
      <c r="AL701" s="10">
        <f>IF(AL$4=0, AL561, IF($H701=0, 0, (AL446+AL469+AL492*$G701+AK747)*AL678))*Timeline!AL51</f>
        <v>0</v>
      </c>
      <c r="AM701" s="10">
        <f>IF(AM$4=0, AM561, IF($H701=0, 0, (AM446+AM469+AM492*$G701+AL747)*AM678))*Timeline!AM51</f>
        <v>0</v>
      </c>
      <c r="AN701" s="10">
        <f>IF(AN$4=0, AN561, IF($H701=0, 0, (AN446+AN469+AN492*$G701+AM747)*AN678))*Timeline!AN51</f>
        <v>0</v>
      </c>
      <c r="AO701" s="10">
        <f>IF(AO$4=0, AO561, IF($H701=0, 0, (AO446+AO469+AO492*$G701+AN747)*AO678))*Timeline!AO51</f>
        <v>0</v>
      </c>
      <c r="AP701" s="10">
        <f>IF(AP$4=0, AP561, IF($H701=0, 0, (AP446+AP469+AP492*$G701+AO747)*AP678))*Timeline!AP51</f>
        <v>0</v>
      </c>
      <c r="AQ701" s="10">
        <f>IF(AQ$4=0, AQ561, IF($H701=0, 0, (AQ446+AQ469+AQ492*$G701+AP747)*AQ678))*Timeline!AQ51</f>
        <v>0</v>
      </c>
      <c r="AR701" s="10">
        <f>IF(AR$4=0, AR561, IF($H701=0, 0, (AR446+AR469+AR492*$G701+AQ747)*AR678))*Timeline!AR51</f>
        <v>0</v>
      </c>
      <c r="AS701" s="10">
        <f>IF(AS$4=0, AS561, IF($H701=0, 0, (AS446+AS469+AS492*$G701+AR747)*AS678))*Timeline!AS51</f>
        <v>0</v>
      </c>
      <c r="AT701" s="10">
        <f>IF(AT$4=0, AT561, IF($H701=0, 0, (AT446+AT469+AT492*$G701+AS747)*AT678))*Timeline!AT51</f>
        <v>0</v>
      </c>
      <c r="AU701" s="10">
        <f>IF(AU$4=0, AU561, IF($H701=0, 0, (AU446+AU469+AU492*$G701+AT747)*AU678))*Timeline!AU51</f>
        <v>0</v>
      </c>
      <c r="AV701" s="10">
        <f>IF(AV$4=0, AV561, IF($H701=0, 0, (AV446+AV469+AV492*$G701+AU747)*AV678))*Timeline!AV51</f>
        <v>0</v>
      </c>
      <c r="AW701" s="10">
        <f>IF(AW$4=0, AW561, IF($H701=0, 0, (AW446+AW469+AW492*$G701+AV747)*AW678))*Timeline!AW51</f>
        <v>0</v>
      </c>
      <c r="AX701" s="10">
        <f>IF(AX$4=0, AX561, IF($H701=0, 0, (AX446+AX469+AX492*$G701+AW747)*AX678))*Timeline!AX51</f>
        <v>0</v>
      </c>
      <c r="AY701" s="10">
        <f>IF(AY$4=0, AY561, IF($H701=0, 0, (AY446+AY469+AY492*$G701+AX747)*AY678))*Timeline!AY51</f>
        <v>0</v>
      </c>
      <c r="AZ701" s="10">
        <f>IF(AZ$4=0, AZ561, IF($H701=0, 0, (AZ446+AZ469+AZ492*$G701+AY747)*AZ678))*Timeline!AZ51</f>
        <v>0</v>
      </c>
      <c r="BA701" s="10">
        <f>IF(BA$4=0, BA561, IF($H701=0, 0, (BA446+BA469+BA492*$G701+AZ747)*BA678))*Timeline!BA51</f>
        <v>0</v>
      </c>
      <c r="BB701" s="10">
        <f>IF(BB$4=0, BB561, IF($H701=0, 0, (BB446+BB469+BB492*$G701+BA747)*BB678))*Timeline!BB51</f>
        <v>0</v>
      </c>
      <c r="BC701" s="10">
        <f>IF(BC$4=0, BC561, IF($H701=0, 0, (BC446+BC469+BC492*$G701+BB747)*BC678))*Timeline!BC51</f>
        <v>0</v>
      </c>
      <c r="BD701" s="10">
        <f>IF(BD$4=0, BD561, IF($H701=0, 0, (BD446+BD469+BD492*$G701+BC747)*BD678))*Timeline!BD51</f>
        <v>0</v>
      </c>
      <c r="BE701" s="10">
        <f>IF(BE$4=0, BE561, IF($H701=0, 0, (BE446+BE469+BE492*$G701+BD747)*BE678))*Timeline!BE51</f>
        <v>0</v>
      </c>
      <c r="BF701" s="10">
        <f>IF(BF$4=0, BF561, IF($H701=0, 0, (BF446+BF469+BF492*$G701+BE747)*BF678))*Timeline!BF51</f>
        <v>0</v>
      </c>
      <c r="BG701" s="10">
        <f>IF(BG$4=0, BG561, IF($H701=0, 0, (BG446+BG469+BG492*$G701+BF747)*BG678))*Timeline!BG51</f>
        <v>0</v>
      </c>
      <c r="BH701" s="10">
        <f>IF(BH$4=0, BH561, IF($H701=0, 0, (BH446+BH469+BH492*$G701+BG747)*BH678))*Timeline!BH51</f>
        <v>0</v>
      </c>
      <c r="BI701" s="10">
        <f>IF(BI$4=0, BI561, IF($H701=0, 0, (BI446+BI469+BI492*$G701+BH747)*BI678))*Timeline!BI51</f>
        <v>0</v>
      </c>
      <c r="BJ701" s="10">
        <f>IF(BJ$4=0, BJ561, IF($H701=0, 0, (BJ446+BJ469+BJ492*$G701+BI747)*BJ678))*Timeline!BJ51</f>
        <v>0</v>
      </c>
      <c r="BK701" s="10">
        <f>IF(BK$4=0, BK561, IF($H701=0, 0, (BK446+BK469+BK492*$G701+BJ747)*BK678))*Timeline!BK51</f>
        <v>0</v>
      </c>
      <c r="BL701" s="10">
        <f>IF(BL$4=0, BL561, IF($H701=0, 0, (BL446+BL469+BL492*$G701+BK747)*BL678))*Timeline!BL51</f>
        <v>0</v>
      </c>
      <c r="BM701" s="10">
        <f>IF(BM$4=0, BM561, IF($H701=0, 0, (BM446+BM469+BM492*$G701+BL747)*BM678))*Timeline!BM51</f>
        <v>0</v>
      </c>
      <c r="BN701" s="10">
        <f>IF(BN$4=0, BN561, IF($H701=0, 0, (BN446+BN469+BN492*$G701+BM747)*BN678))*Timeline!BN51</f>
        <v>0</v>
      </c>
      <c r="BO701" s="10">
        <f>IF(BO$4=0, BO561, IF($H701=0, 0, (BO446+BO469+BO492*$G701+BN747)*BO678))*Timeline!BO51</f>
        <v>0</v>
      </c>
      <c r="BP701" s="10">
        <f>IF(BP$4=0, BP561, IF($H701=0, 0, (BP446+BP469+BP492*$G701+BO747)*BP678))*Timeline!BP51</f>
        <v>0</v>
      </c>
      <c r="BQ701" s="10">
        <f>IF(BQ$4=0, BQ561, IF($H701=0, 0, (BQ446+BQ469+BQ492*$G701+BP747)*BQ678))*Timeline!BQ51</f>
        <v>0</v>
      </c>
      <c r="BR701" s="10">
        <f>IF(BR$4=0, BR561, IF($H701=0, 0, (BR446+BR469+BR492*$G701+BQ747)*BR678))*Timeline!BR51</f>
        <v>0</v>
      </c>
      <c r="BS701" s="10">
        <f>IF(BS$4=0, BS561, IF($H701=0, 0, (BS446+BS469+BS492*$G701+BR747)*BS678))*Timeline!BS51</f>
        <v>0</v>
      </c>
      <c r="BT701" s="10">
        <f>IF(BT$4=0, BT561, IF($H701=0, 0, (BT446+BT469+BT492*$G701+BS747)*BT678))*Timeline!BT51</f>
        <v>0</v>
      </c>
      <c r="BU701" s="10">
        <f>IF(BU$4=0, BU561, IF($H701=0, 0, (BU446+BU469+BU492*$G701+BT747)*BU678))*Timeline!BU51</f>
        <v>0</v>
      </c>
      <c r="BV701" s="10">
        <f>IF(BV$4=0, BV561, IF($H701=0, 0, (BV446+BV469+BV492*$G701+BU747)*BV678))*Timeline!BV51</f>
        <v>0</v>
      </c>
      <c r="BX701" s="12">
        <f t="shared" si="749"/>
        <v>0</v>
      </c>
      <c r="BY701" s="12">
        <f t="shared" si="750"/>
        <v>0</v>
      </c>
      <c r="BZ701" s="12">
        <f t="shared" si="751"/>
        <v>0</v>
      </c>
      <c r="CA701" s="12">
        <f t="shared" si="752"/>
        <v>0</v>
      </c>
      <c r="CB701" s="133">
        <f t="shared" si="753"/>
        <v>0</v>
      </c>
      <c r="CC701" s="106"/>
      <c r="CD701" s="106"/>
      <c r="CE701" s="106"/>
      <c r="CF701" s="106"/>
      <c r="CG701" s="106"/>
      <c r="CH701" s="106"/>
      <c r="CI701" s="106"/>
      <c r="CK701" s="11"/>
      <c r="CM701" s="11"/>
      <c r="CV701" s="120"/>
      <c r="CW701" s="7">
        <f t="shared" si="754"/>
        <v>0</v>
      </c>
      <c r="DF701" s="11"/>
      <c r="EY701" s="10" t="str">
        <f t="shared" si="746"/>
        <v/>
      </c>
    </row>
    <row r="702" spans="1:155" x14ac:dyDescent="0.35">
      <c r="A702" s="220" cm="1">
        <f t="array" aca="1" ref="A702" ca="1">HYPERLINK(CONCATENATE("#",CELL("address",IF(MAX($CM702:$DF702)=0,A702,INDEX($CM702:$DF702,MATCH(1,$CM702:$DF702,0))))),MAX($CM702:$DF702))</f>
        <v>0</v>
      </c>
      <c r="B702" s="69" t="str" cm="1">
        <f t="array" aca="1" ref="B702" ca="1">HYPERLINK(CONCATENATE("#",CELL("address",$D$189)),$D$189)</f>
        <v>Loan 8</v>
      </c>
      <c r="C702" s="211"/>
      <c r="D702" s="49">
        <f>D$20</f>
        <v>0</v>
      </c>
      <c r="E702" s="49" t="str">
        <f>F$20</f>
        <v/>
      </c>
      <c r="F702" s="49"/>
      <c r="G702" s="10">
        <f>U$20</f>
        <v>0</v>
      </c>
      <c r="H702" s="10">
        <f>Q$20</f>
        <v>0</v>
      </c>
      <c r="I702" s="40" t="s">
        <v>665</v>
      </c>
      <c r="V702" s="12">
        <f t="shared" si="747"/>
        <v>0</v>
      </c>
      <c r="W702" s="133">
        <f t="shared" si="748"/>
        <v>0</v>
      </c>
      <c r="X702" s="133">
        <f t="shared" si="748"/>
        <v>0</v>
      </c>
      <c r="Y702" s="133">
        <f t="shared" si="748"/>
        <v>0</v>
      </c>
      <c r="AA702" s="10">
        <f>IF(AA$4=0, AA562, IF($H702=0, 0, (AA447+AA470+AA493*$G702+Z748)*AA679))*Timeline!AA52</f>
        <v>0</v>
      </c>
      <c r="AB702" s="10">
        <f>IF(AB$4=0, AB562, IF($H702=0, 0, (AB447+AB470+AB493*$G702+AA748)*AB679))*Timeline!AB52</f>
        <v>0</v>
      </c>
      <c r="AC702" s="10">
        <f>IF(AC$4=0, AC562, IF($H702=0, 0, (AC447+AC470+AC493*$G702+AB748)*AC679))*Timeline!AC52</f>
        <v>0</v>
      </c>
      <c r="AD702" s="10">
        <f>IF(AD$4=0, AD562, IF($H702=0, 0, (AD447+AD470+AD493*$G702+AC748)*AD679))*Timeline!AD52</f>
        <v>0</v>
      </c>
      <c r="AE702" s="10">
        <f>IF(AE$4=0, AE562, IF($H702=0, 0, (AE447+AE470+AE493*$G702+AD748)*AE679))*Timeline!AE52</f>
        <v>0</v>
      </c>
      <c r="AF702" s="10">
        <f>IF(AF$4=0, AF562, IF($H702=0, 0, (AF447+AF470+AF493*$G702+AE748)*AF679))*Timeline!AF52</f>
        <v>0</v>
      </c>
      <c r="AG702" s="10">
        <f>IF(AG$4=0, AG562, IF($H702=0, 0, (AG447+AG470+AG493*$G702+AF748)*AG679))*Timeline!AG52</f>
        <v>0</v>
      </c>
      <c r="AH702" s="10">
        <f>IF(AH$4=0, AH562, IF($H702=0, 0, (AH447+AH470+AH493*$G702+AG748)*AH679))*Timeline!AH52</f>
        <v>0</v>
      </c>
      <c r="AI702" s="10">
        <f>IF(AI$4=0, AI562, IF($H702=0, 0, (AI447+AI470+AI493*$G702+AH748)*AI679))*Timeline!AI52</f>
        <v>0</v>
      </c>
      <c r="AJ702" s="10">
        <f>IF(AJ$4=0, AJ562, IF($H702=0, 0, (AJ447+AJ470+AJ493*$G702+AI748)*AJ679))*Timeline!AJ52</f>
        <v>0</v>
      </c>
      <c r="AK702" s="10">
        <f>IF(AK$4=0, AK562, IF($H702=0, 0, (AK447+AK470+AK493*$G702+AJ748)*AK679))*Timeline!AK52</f>
        <v>0</v>
      </c>
      <c r="AL702" s="10">
        <f>IF(AL$4=0, AL562, IF($H702=0, 0, (AL447+AL470+AL493*$G702+AK748)*AL679))*Timeline!AL52</f>
        <v>0</v>
      </c>
      <c r="AM702" s="10">
        <f>IF(AM$4=0, AM562, IF($H702=0, 0, (AM447+AM470+AM493*$G702+AL748)*AM679))*Timeline!AM52</f>
        <v>0</v>
      </c>
      <c r="AN702" s="10">
        <f>IF(AN$4=0, AN562, IF($H702=0, 0, (AN447+AN470+AN493*$G702+AM748)*AN679))*Timeline!AN52</f>
        <v>0</v>
      </c>
      <c r="AO702" s="10">
        <f>IF(AO$4=0, AO562, IF($H702=0, 0, (AO447+AO470+AO493*$G702+AN748)*AO679))*Timeline!AO52</f>
        <v>0</v>
      </c>
      <c r="AP702" s="10">
        <f>IF(AP$4=0, AP562, IF($H702=0, 0, (AP447+AP470+AP493*$G702+AO748)*AP679))*Timeline!AP52</f>
        <v>0</v>
      </c>
      <c r="AQ702" s="10">
        <f>IF(AQ$4=0, AQ562, IF($H702=0, 0, (AQ447+AQ470+AQ493*$G702+AP748)*AQ679))*Timeline!AQ52</f>
        <v>0</v>
      </c>
      <c r="AR702" s="10">
        <f>IF(AR$4=0, AR562, IF($H702=0, 0, (AR447+AR470+AR493*$G702+AQ748)*AR679))*Timeline!AR52</f>
        <v>0</v>
      </c>
      <c r="AS702" s="10">
        <f>IF(AS$4=0, AS562, IF($H702=0, 0, (AS447+AS470+AS493*$G702+AR748)*AS679))*Timeline!AS52</f>
        <v>0</v>
      </c>
      <c r="AT702" s="10">
        <f>IF(AT$4=0, AT562, IF($H702=0, 0, (AT447+AT470+AT493*$G702+AS748)*AT679))*Timeline!AT52</f>
        <v>0</v>
      </c>
      <c r="AU702" s="10">
        <f>IF(AU$4=0, AU562, IF($H702=0, 0, (AU447+AU470+AU493*$G702+AT748)*AU679))*Timeline!AU52</f>
        <v>0</v>
      </c>
      <c r="AV702" s="10">
        <f>IF(AV$4=0, AV562, IF($H702=0, 0, (AV447+AV470+AV493*$G702+AU748)*AV679))*Timeline!AV52</f>
        <v>0</v>
      </c>
      <c r="AW702" s="10">
        <f>IF(AW$4=0, AW562, IF($H702=0, 0, (AW447+AW470+AW493*$G702+AV748)*AW679))*Timeline!AW52</f>
        <v>0</v>
      </c>
      <c r="AX702" s="10">
        <f>IF(AX$4=0, AX562, IF($H702=0, 0, (AX447+AX470+AX493*$G702+AW748)*AX679))*Timeline!AX52</f>
        <v>0</v>
      </c>
      <c r="AY702" s="10">
        <f>IF(AY$4=0, AY562, IF($H702=0, 0, (AY447+AY470+AY493*$G702+AX748)*AY679))*Timeline!AY52</f>
        <v>0</v>
      </c>
      <c r="AZ702" s="10">
        <f>IF(AZ$4=0, AZ562, IF($H702=0, 0, (AZ447+AZ470+AZ493*$G702+AY748)*AZ679))*Timeline!AZ52</f>
        <v>0</v>
      </c>
      <c r="BA702" s="10">
        <f>IF(BA$4=0, BA562, IF($H702=0, 0, (BA447+BA470+BA493*$G702+AZ748)*BA679))*Timeline!BA52</f>
        <v>0</v>
      </c>
      <c r="BB702" s="10">
        <f>IF(BB$4=0, BB562, IF($H702=0, 0, (BB447+BB470+BB493*$G702+BA748)*BB679))*Timeline!BB52</f>
        <v>0</v>
      </c>
      <c r="BC702" s="10">
        <f>IF(BC$4=0, BC562, IF($H702=0, 0, (BC447+BC470+BC493*$G702+BB748)*BC679))*Timeline!BC52</f>
        <v>0</v>
      </c>
      <c r="BD702" s="10">
        <f>IF(BD$4=0, BD562, IF($H702=0, 0, (BD447+BD470+BD493*$G702+BC748)*BD679))*Timeline!BD52</f>
        <v>0</v>
      </c>
      <c r="BE702" s="10">
        <f>IF(BE$4=0, BE562, IF($H702=0, 0, (BE447+BE470+BE493*$G702+BD748)*BE679))*Timeline!BE52</f>
        <v>0</v>
      </c>
      <c r="BF702" s="10">
        <f>IF(BF$4=0, BF562, IF($H702=0, 0, (BF447+BF470+BF493*$G702+BE748)*BF679))*Timeline!BF52</f>
        <v>0</v>
      </c>
      <c r="BG702" s="10">
        <f>IF(BG$4=0, BG562, IF($H702=0, 0, (BG447+BG470+BG493*$G702+BF748)*BG679))*Timeline!BG52</f>
        <v>0</v>
      </c>
      <c r="BH702" s="10">
        <f>IF(BH$4=0, BH562, IF($H702=0, 0, (BH447+BH470+BH493*$G702+BG748)*BH679))*Timeline!BH52</f>
        <v>0</v>
      </c>
      <c r="BI702" s="10">
        <f>IF(BI$4=0, BI562, IF($H702=0, 0, (BI447+BI470+BI493*$G702+BH748)*BI679))*Timeline!BI52</f>
        <v>0</v>
      </c>
      <c r="BJ702" s="10">
        <f>IF(BJ$4=0, BJ562, IF($H702=0, 0, (BJ447+BJ470+BJ493*$G702+BI748)*BJ679))*Timeline!BJ52</f>
        <v>0</v>
      </c>
      <c r="BK702" s="10">
        <f>IF(BK$4=0, BK562, IF($H702=0, 0, (BK447+BK470+BK493*$G702+BJ748)*BK679))*Timeline!BK52</f>
        <v>0</v>
      </c>
      <c r="BL702" s="10">
        <f>IF(BL$4=0, BL562, IF($H702=0, 0, (BL447+BL470+BL493*$G702+BK748)*BL679))*Timeline!BL52</f>
        <v>0</v>
      </c>
      <c r="BM702" s="10">
        <f>IF(BM$4=0, BM562, IF($H702=0, 0, (BM447+BM470+BM493*$G702+BL748)*BM679))*Timeline!BM52</f>
        <v>0</v>
      </c>
      <c r="BN702" s="10">
        <f>IF(BN$4=0, BN562, IF($H702=0, 0, (BN447+BN470+BN493*$G702+BM748)*BN679))*Timeline!BN52</f>
        <v>0</v>
      </c>
      <c r="BO702" s="10">
        <f>IF(BO$4=0, BO562, IF($H702=0, 0, (BO447+BO470+BO493*$G702+BN748)*BO679))*Timeline!BO52</f>
        <v>0</v>
      </c>
      <c r="BP702" s="10">
        <f>IF(BP$4=0, BP562, IF($H702=0, 0, (BP447+BP470+BP493*$G702+BO748)*BP679))*Timeline!BP52</f>
        <v>0</v>
      </c>
      <c r="BQ702" s="10">
        <f>IF(BQ$4=0, BQ562, IF($H702=0, 0, (BQ447+BQ470+BQ493*$G702+BP748)*BQ679))*Timeline!BQ52</f>
        <v>0</v>
      </c>
      <c r="BR702" s="10">
        <f>IF(BR$4=0, BR562, IF($H702=0, 0, (BR447+BR470+BR493*$G702+BQ748)*BR679))*Timeline!BR52</f>
        <v>0</v>
      </c>
      <c r="BS702" s="10">
        <f>IF(BS$4=0, BS562, IF($H702=0, 0, (BS447+BS470+BS493*$G702+BR748)*BS679))*Timeline!BS52</f>
        <v>0</v>
      </c>
      <c r="BT702" s="10">
        <f>IF(BT$4=0, BT562, IF($H702=0, 0, (BT447+BT470+BT493*$G702+BS748)*BT679))*Timeline!BT52</f>
        <v>0</v>
      </c>
      <c r="BU702" s="10">
        <f>IF(BU$4=0, BU562, IF($H702=0, 0, (BU447+BU470+BU493*$G702+BT748)*BU679))*Timeline!BU52</f>
        <v>0</v>
      </c>
      <c r="BV702" s="10">
        <f>IF(BV$4=0, BV562, IF($H702=0, 0, (BV447+BV470+BV493*$G702+BU748)*BV679))*Timeline!BV52</f>
        <v>0</v>
      </c>
      <c r="BX702" s="12">
        <f t="shared" si="749"/>
        <v>0</v>
      </c>
      <c r="BY702" s="12">
        <f t="shared" si="750"/>
        <v>0</v>
      </c>
      <c r="BZ702" s="12">
        <f t="shared" si="751"/>
        <v>0</v>
      </c>
      <c r="CA702" s="12">
        <f t="shared" si="752"/>
        <v>0</v>
      </c>
      <c r="CB702" s="133">
        <f t="shared" si="753"/>
        <v>0</v>
      </c>
      <c r="CC702" s="106"/>
      <c r="CD702" s="106"/>
      <c r="CE702" s="106"/>
      <c r="CF702" s="106"/>
      <c r="CG702" s="106"/>
      <c r="CH702" s="106"/>
      <c r="CI702" s="106"/>
      <c r="CK702" s="11"/>
      <c r="CM702" s="11"/>
      <c r="CV702" s="120"/>
      <c r="CW702" s="7">
        <f t="shared" si="754"/>
        <v>0</v>
      </c>
      <c r="DF702" s="11"/>
      <c r="EY702" s="10" t="str">
        <f t="shared" si="746"/>
        <v/>
      </c>
    </row>
    <row r="703" spans="1:155" x14ac:dyDescent="0.35">
      <c r="A703" s="220" cm="1">
        <f t="array" aca="1" ref="A703" ca="1">HYPERLINK(CONCATENATE("#",CELL("address",IF(MAX($CM703:$DF703)=0,A703,INDEX($CM703:$DF703,MATCH(1,$CM703:$DF703,0))))),MAX($CM703:$DF703))</f>
        <v>0</v>
      </c>
      <c r="B703" s="69" t="str" cm="1">
        <f t="array" aca="1" ref="B703" ca="1">HYPERLINK(CONCATENATE("#",CELL("address",$D$208)),$D$208)</f>
        <v>Loan 9</v>
      </c>
      <c r="C703" s="211"/>
      <c r="D703" s="49">
        <f>D$21</f>
        <v>0</v>
      </c>
      <c r="E703" s="49" t="str">
        <f>F$21</f>
        <v/>
      </c>
      <c r="F703" s="49"/>
      <c r="G703" s="10">
        <f>U$21</f>
        <v>0</v>
      </c>
      <c r="H703" s="10">
        <f>Q$21</f>
        <v>0</v>
      </c>
      <c r="I703" s="40" t="s">
        <v>665</v>
      </c>
      <c r="V703" s="12">
        <f t="shared" si="747"/>
        <v>0</v>
      </c>
      <c r="W703" s="133">
        <f t="shared" si="748"/>
        <v>0</v>
      </c>
      <c r="X703" s="133">
        <f t="shared" si="748"/>
        <v>0</v>
      </c>
      <c r="Y703" s="133">
        <f t="shared" si="748"/>
        <v>0</v>
      </c>
      <c r="AA703" s="10">
        <f>IF(AA$4=0, AA563, IF($H703=0, 0, (AA448+AA471+AA494*$G703+Z749)*AA680))*Timeline!AA53</f>
        <v>0</v>
      </c>
      <c r="AB703" s="10">
        <f>IF(AB$4=0, AB563, IF($H703=0, 0, (AB448+AB471+AB494*$G703+AA749)*AB680))*Timeline!AB53</f>
        <v>0</v>
      </c>
      <c r="AC703" s="10">
        <f>IF(AC$4=0, AC563, IF($H703=0, 0, (AC448+AC471+AC494*$G703+AB749)*AC680))*Timeline!AC53</f>
        <v>0</v>
      </c>
      <c r="AD703" s="10">
        <f>IF(AD$4=0, AD563, IF($H703=0, 0, (AD448+AD471+AD494*$G703+AC749)*AD680))*Timeline!AD53</f>
        <v>0</v>
      </c>
      <c r="AE703" s="10">
        <f>IF(AE$4=0, AE563, IF($H703=0, 0, (AE448+AE471+AE494*$G703+AD749)*AE680))*Timeline!AE53</f>
        <v>0</v>
      </c>
      <c r="AF703" s="10">
        <f>IF(AF$4=0, AF563, IF($H703=0, 0, (AF448+AF471+AF494*$G703+AE749)*AF680))*Timeline!AF53</f>
        <v>0</v>
      </c>
      <c r="AG703" s="10">
        <f>IF(AG$4=0, AG563, IF($H703=0, 0, (AG448+AG471+AG494*$G703+AF749)*AG680))*Timeline!AG53</f>
        <v>0</v>
      </c>
      <c r="AH703" s="10">
        <f>IF(AH$4=0, AH563, IF($H703=0, 0, (AH448+AH471+AH494*$G703+AG749)*AH680))*Timeline!AH53</f>
        <v>0</v>
      </c>
      <c r="AI703" s="10">
        <f>IF(AI$4=0, AI563, IF($H703=0, 0, (AI448+AI471+AI494*$G703+AH749)*AI680))*Timeline!AI53</f>
        <v>0</v>
      </c>
      <c r="AJ703" s="10">
        <f>IF(AJ$4=0, AJ563, IF($H703=0, 0, (AJ448+AJ471+AJ494*$G703+AI749)*AJ680))*Timeline!AJ53</f>
        <v>0</v>
      </c>
      <c r="AK703" s="10">
        <f>IF(AK$4=0, AK563, IF($H703=0, 0, (AK448+AK471+AK494*$G703+AJ749)*AK680))*Timeline!AK53</f>
        <v>0</v>
      </c>
      <c r="AL703" s="10">
        <f>IF(AL$4=0, AL563, IF($H703=0, 0, (AL448+AL471+AL494*$G703+AK749)*AL680))*Timeline!AL53</f>
        <v>0</v>
      </c>
      <c r="AM703" s="10">
        <f>IF(AM$4=0, AM563, IF($H703=0, 0, (AM448+AM471+AM494*$G703+AL749)*AM680))*Timeline!AM53</f>
        <v>0</v>
      </c>
      <c r="AN703" s="10">
        <f>IF(AN$4=0, AN563, IF($H703=0, 0, (AN448+AN471+AN494*$G703+AM749)*AN680))*Timeline!AN53</f>
        <v>0</v>
      </c>
      <c r="AO703" s="10">
        <f>IF(AO$4=0, AO563, IF($H703=0, 0, (AO448+AO471+AO494*$G703+AN749)*AO680))*Timeline!AO53</f>
        <v>0</v>
      </c>
      <c r="AP703" s="10">
        <f>IF(AP$4=0, AP563, IF($H703=0, 0, (AP448+AP471+AP494*$G703+AO749)*AP680))*Timeline!AP53</f>
        <v>0</v>
      </c>
      <c r="AQ703" s="10">
        <f>IF(AQ$4=0, AQ563, IF($H703=0, 0, (AQ448+AQ471+AQ494*$G703+AP749)*AQ680))*Timeline!AQ53</f>
        <v>0</v>
      </c>
      <c r="AR703" s="10">
        <f>IF(AR$4=0, AR563, IF($H703=0, 0, (AR448+AR471+AR494*$G703+AQ749)*AR680))*Timeline!AR53</f>
        <v>0</v>
      </c>
      <c r="AS703" s="10">
        <f>IF(AS$4=0, AS563, IF($H703=0, 0, (AS448+AS471+AS494*$G703+AR749)*AS680))*Timeline!AS53</f>
        <v>0</v>
      </c>
      <c r="AT703" s="10">
        <f>IF(AT$4=0, AT563, IF($H703=0, 0, (AT448+AT471+AT494*$G703+AS749)*AT680))*Timeline!AT53</f>
        <v>0</v>
      </c>
      <c r="AU703" s="10">
        <f>IF(AU$4=0, AU563, IF($H703=0, 0, (AU448+AU471+AU494*$G703+AT749)*AU680))*Timeline!AU53</f>
        <v>0</v>
      </c>
      <c r="AV703" s="10">
        <f>IF(AV$4=0, AV563, IF($H703=0, 0, (AV448+AV471+AV494*$G703+AU749)*AV680))*Timeline!AV53</f>
        <v>0</v>
      </c>
      <c r="AW703" s="10">
        <f>IF(AW$4=0, AW563, IF($H703=0, 0, (AW448+AW471+AW494*$G703+AV749)*AW680))*Timeline!AW53</f>
        <v>0</v>
      </c>
      <c r="AX703" s="10">
        <f>IF(AX$4=0, AX563, IF($H703=0, 0, (AX448+AX471+AX494*$G703+AW749)*AX680))*Timeline!AX53</f>
        <v>0</v>
      </c>
      <c r="AY703" s="10">
        <f>IF(AY$4=0, AY563, IF($H703=0, 0, (AY448+AY471+AY494*$G703+AX749)*AY680))*Timeline!AY53</f>
        <v>0</v>
      </c>
      <c r="AZ703" s="10">
        <f>IF(AZ$4=0, AZ563, IF($H703=0, 0, (AZ448+AZ471+AZ494*$G703+AY749)*AZ680))*Timeline!AZ53</f>
        <v>0</v>
      </c>
      <c r="BA703" s="10">
        <f>IF(BA$4=0, BA563, IF($H703=0, 0, (BA448+BA471+BA494*$G703+AZ749)*BA680))*Timeline!BA53</f>
        <v>0</v>
      </c>
      <c r="BB703" s="10">
        <f>IF(BB$4=0, BB563, IF($H703=0, 0, (BB448+BB471+BB494*$G703+BA749)*BB680))*Timeline!BB53</f>
        <v>0</v>
      </c>
      <c r="BC703" s="10">
        <f>IF(BC$4=0, BC563, IF($H703=0, 0, (BC448+BC471+BC494*$G703+BB749)*BC680))*Timeline!BC53</f>
        <v>0</v>
      </c>
      <c r="BD703" s="10">
        <f>IF(BD$4=0, BD563, IF($H703=0, 0, (BD448+BD471+BD494*$G703+BC749)*BD680))*Timeline!BD53</f>
        <v>0</v>
      </c>
      <c r="BE703" s="10">
        <f>IF(BE$4=0, BE563, IF($H703=0, 0, (BE448+BE471+BE494*$G703+BD749)*BE680))*Timeline!BE53</f>
        <v>0</v>
      </c>
      <c r="BF703" s="10">
        <f>IF(BF$4=0, BF563, IF($H703=0, 0, (BF448+BF471+BF494*$G703+BE749)*BF680))*Timeline!BF53</f>
        <v>0</v>
      </c>
      <c r="BG703" s="10">
        <f>IF(BG$4=0, BG563, IF($H703=0, 0, (BG448+BG471+BG494*$G703+BF749)*BG680))*Timeline!BG53</f>
        <v>0</v>
      </c>
      <c r="BH703" s="10">
        <f>IF(BH$4=0, BH563, IF($H703=0, 0, (BH448+BH471+BH494*$G703+BG749)*BH680))*Timeline!BH53</f>
        <v>0</v>
      </c>
      <c r="BI703" s="10">
        <f>IF(BI$4=0, BI563, IF($H703=0, 0, (BI448+BI471+BI494*$G703+BH749)*BI680))*Timeline!BI53</f>
        <v>0</v>
      </c>
      <c r="BJ703" s="10">
        <f>IF(BJ$4=0, BJ563, IF($H703=0, 0, (BJ448+BJ471+BJ494*$G703+BI749)*BJ680))*Timeline!BJ53</f>
        <v>0</v>
      </c>
      <c r="BK703" s="10">
        <f>IF(BK$4=0, BK563, IF($H703=0, 0, (BK448+BK471+BK494*$G703+BJ749)*BK680))*Timeline!BK53</f>
        <v>0</v>
      </c>
      <c r="BL703" s="10">
        <f>IF(BL$4=0, BL563, IF($H703=0, 0, (BL448+BL471+BL494*$G703+BK749)*BL680))*Timeline!BL53</f>
        <v>0</v>
      </c>
      <c r="BM703" s="10">
        <f>IF(BM$4=0, BM563, IF($H703=0, 0, (BM448+BM471+BM494*$G703+BL749)*BM680))*Timeline!BM53</f>
        <v>0</v>
      </c>
      <c r="BN703" s="10">
        <f>IF(BN$4=0, BN563, IF($H703=0, 0, (BN448+BN471+BN494*$G703+BM749)*BN680))*Timeline!BN53</f>
        <v>0</v>
      </c>
      <c r="BO703" s="10">
        <f>IF(BO$4=0, BO563, IF($H703=0, 0, (BO448+BO471+BO494*$G703+BN749)*BO680))*Timeline!BO53</f>
        <v>0</v>
      </c>
      <c r="BP703" s="10">
        <f>IF(BP$4=0, BP563, IF($H703=0, 0, (BP448+BP471+BP494*$G703+BO749)*BP680))*Timeline!BP53</f>
        <v>0</v>
      </c>
      <c r="BQ703" s="10">
        <f>IF(BQ$4=0, BQ563, IF($H703=0, 0, (BQ448+BQ471+BQ494*$G703+BP749)*BQ680))*Timeline!BQ53</f>
        <v>0</v>
      </c>
      <c r="BR703" s="10">
        <f>IF(BR$4=0, BR563, IF($H703=0, 0, (BR448+BR471+BR494*$G703+BQ749)*BR680))*Timeline!BR53</f>
        <v>0</v>
      </c>
      <c r="BS703" s="10">
        <f>IF(BS$4=0, BS563, IF($H703=0, 0, (BS448+BS471+BS494*$G703+BR749)*BS680))*Timeline!BS53</f>
        <v>0</v>
      </c>
      <c r="BT703" s="10">
        <f>IF(BT$4=0, BT563, IF($H703=0, 0, (BT448+BT471+BT494*$G703+BS749)*BT680))*Timeline!BT53</f>
        <v>0</v>
      </c>
      <c r="BU703" s="10">
        <f>IF(BU$4=0, BU563, IF($H703=0, 0, (BU448+BU471+BU494*$G703+BT749)*BU680))*Timeline!BU53</f>
        <v>0</v>
      </c>
      <c r="BV703" s="10">
        <f>IF(BV$4=0, BV563, IF($H703=0, 0, (BV448+BV471+BV494*$G703+BU749)*BV680))*Timeline!BV53</f>
        <v>0</v>
      </c>
      <c r="BX703" s="12">
        <f t="shared" si="749"/>
        <v>0</v>
      </c>
      <c r="BY703" s="12">
        <f t="shared" si="750"/>
        <v>0</v>
      </c>
      <c r="BZ703" s="12">
        <f t="shared" si="751"/>
        <v>0</v>
      </c>
      <c r="CA703" s="12">
        <f t="shared" si="752"/>
        <v>0</v>
      </c>
      <c r="CB703" s="133">
        <f t="shared" si="753"/>
        <v>0</v>
      </c>
      <c r="CC703" s="106"/>
      <c r="CD703" s="106"/>
      <c r="CE703" s="106"/>
      <c r="CF703" s="106"/>
      <c r="CG703" s="106"/>
      <c r="CH703" s="106"/>
      <c r="CI703" s="106"/>
      <c r="CK703" s="11"/>
      <c r="CM703" s="11"/>
      <c r="CV703" s="120"/>
      <c r="CW703" s="7">
        <f t="shared" si="754"/>
        <v>0</v>
      </c>
      <c r="DF703" s="11"/>
      <c r="EY703" s="10" t="str">
        <f t="shared" si="746"/>
        <v/>
      </c>
    </row>
    <row r="704" spans="1:155" x14ac:dyDescent="0.35">
      <c r="A704" s="220" cm="1">
        <f t="array" aca="1" ref="A704" ca="1">HYPERLINK(CONCATENATE("#",CELL("address",IF(MAX($CM704:$DF704)=0,A704,INDEX($CM704:$DF704,MATCH(1,$CM704:$DF704,0))))),MAX($CM704:$DF704))</f>
        <v>0</v>
      </c>
      <c r="B704" s="69" t="str" cm="1">
        <f t="array" aca="1" ref="B704" ca="1">HYPERLINK(CONCATENATE("#",CELL("address",$D$227)),$D$227)</f>
        <v>Loan 10</v>
      </c>
      <c r="C704" s="211"/>
      <c r="D704" s="49">
        <f>D$22</f>
        <v>0</v>
      </c>
      <c r="E704" s="49" t="str">
        <f>F$22</f>
        <v/>
      </c>
      <c r="F704" s="49"/>
      <c r="G704" s="10">
        <f>U$22</f>
        <v>0</v>
      </c>
      <c r="H704" s="10">
        <f>Q$22</f>
        <v>0</v>
      </c>
      <c r="I704" s="40" t="s">
        <v>665</v>
      </c>
      <c r="V704" s="12">
        <f t="shared" si="747"/>
        <v>0</v>
      </c>
      <c r="W704" s="133">
        <f t="shared" si="748"/>
        <v>0</v>
      </c>
      <c r="X704" s="133">
        <f t="shared" si="748"/>
        <v>0</v>
      </c>
      <c r="Y704" s="133">
        <f t="shared" si="748"/>
        <v>0</v>
      </c>
      <c r="AA704" s="10">
        <f>IF(AA$4=0, AA564, IF($H704=0, 0, (AA449+AA472+AA495*$G704+Z750)*AA681))*Timeline!AA54</f>
        <v>0</v>
      </c>
      <c r="AB704" s="10">
        <f>IF(AB$4=0, AB564, IF($H704=0, 0, (AB449+AB472+AB495*$G704+AA750)*AB681))*Timeline!AB54</f>
        <v>0</v>
      </c>
      <c r="AC704" s="10">
        <f>IF(AC$4=0, AC564, IF($H704=0, 0, (AC449+AC472+AC495*$G704+AB750)*AC681))*Timeline!AC54</f>
        <v>0</v>
      </c>
      <c r="AD704" s="10">
        <f>IF(AD$4=0, AD564, IF($H704=0, 0, (AD449+AD472+AD495*$G704+AC750)*AD681))*Timeline!AD54</f>
        <v>0</v>
      </c>
      <c r="AE704" s="10">
        <f>IF(AE$4=0, AE564, IF($H704=0, 0, (AE449+AE472+AE495*$G704+AD750)*AE681))*Timeline!AE54</f>
        <v>0</v>
      </c>
      <c r="AF704" s="10">
        <f>IF(AF$4=0, AF564, IF($H704=0, 0, (AF449+AF472+AF495*$G704+AE750)*AF681))*Timeline!AF54</f>
        <v>0</v>
      </c>
      <c r="AG704" s="10">
        <f>IF(AG$4=0, AG564, IF($H704=0, 0, (AG449+AG472+AG495*$G704+AF750)*AG681))*Timeline!AG54</f>
        <v>0</v>
      </c>
      <c r="AH704" s="10">
        <f>IF(AH$4=0, AH564, IF($H704=0, 0, (AH449+AH472+AH495*$G704+AG750)*AH681))*Timeline!AH54</f>
        <v>0</v>
      </c>
      <c r="AI704" s="10">
        <f>IF(AI$4=0, AI564, IF($H704=0, 0, (AI449+AI472+AI495*$G704+AH750)*AI681))*Timeline!AI54</f>
        <v>0</v>
      </c>
      <c r="AJ704" s="10">
        <f>IF(AJ$4=0, AJ564, IF($H704=0, 0, (AJ449+AJ472+AJ495*$G704+AI750)*AJ681))*Timeline!AJ54</f>
        <v>0</v>
      </c>
      <c r="AK704" s="10">
        <f>IF(AK$4=0, AK564, IF($H704=0, 0, (AK449+AK472+AK495*$G704+AJ750)*AK681))*Timeline!AK54</f>
        <v>0</v>
      </c>
      <c r="AL704" s="10">
        <f>IF(AL$4=0, AL564, IF($H704=0, 0, (AL449+AL472+AL495*$G704+AK750)*AL681))*Timeline!AL54</f>
        <v>0</v>
      </c>
      <c r="AM704" s="10">
        <f>IF(AM$4=0, AM564, IF($H704=0, 0, (AM449+AM472+AM495*$G704+AL750)*AM681))*Timeline!AM54</f>
        <v>0</v>
      </c>
      <c r="AN704" s="10">
        <f>IF(AN$4=0, AN564, IF($H704=0, 0, (AN449+AN472+AN495*$G704+AM750)*AN681))*Timeline!AN54</f>
        <v>0</v>
      </c>
      <c r="AO704" s="10">
        <f>IF(AO$4=0, AO564, IF($H704=0, 0, (AO449+AO472+AO495*$G704+AN750)*AO681))*Timeline!AO54</f>
        <v>0</v>
      </c>
      <c r="AP704" s="10">
        <f>IF(AP$4=0, AP564, IF($H704=0, 0, (AP449+AP472+AP495*$G704+AO750)*AP681))*Timeline!AP54</f>
        <v>0</v>
      </c>
      <c r="AQ704" s="10">
        <f>IF(AQ$4=0, AQ564, IF($H704=0, 0, (AQ449+AQ472+AQ495*$G704+AP750)*AQ681))*Timeline!AQ54</f>
        <v>0</v>
      </c>
      <c r="AR704" s="10">
        <f>IF(AR$4=0, AR564, IF($H704=0, 0, (AR449+AR472+AR495*$G704+AQ750)*AR681))*Timeline!AR54</f>
        <v>0</v>
      </c>
      <c r="AS704" s="10">
        <f>IF(AS$4=0, AS564, IF($H704=0, 0, (AS449+AS472+AS495*$G704+AR750)*AS681))*Timeline!AS54</f>
        <v>0</v>
      </c>
      <c r="AT704" s="10">
        <f>IF(AT$4=0, AT564, IF($H704=0, 0, (AT449+AT472+AT495*$G704+AS750)*AT681))*Timeline!AT54</f>
        <v>0</v>
      </c>
      <c r="AU704" s="10">
        <f>IF(AU$4=0, AU564, IF($H704=0, 0, (AU449+AU472+AU495*$G704+AT750)*AU681))*Timeline!AU54</f>
        <v>0</v>
      </c>
      <c r="AV704" s="10">
        <f>IF(AV$4=0, AV564, IF($H704=0, 0, (AV449+AV472+AV495*$G704+AU750)*AV681))*Timeline!AV54</f>
        <v>0</v>
      </c>
      <c r="AW704" s="10">
        <f>IF(AW$4=0, AW564, IF($H704=0, 0, (AW449+AW472+AW495*$G704+AV750)*AW681))*Timeline!AW54</f>
        <v>0</v>
      </c>
      <c r="AX704" s="10">
        <f>IF(AX$4=0, AX564, IF($H704=0, 0, (AX449+AX472+AX495*$G704+AW750)*AX681))*Timeline!AX54</f>
        <v>0</v>
      </c>
      <c r="AY704" s="10">
        <f>IF(AY$4=0, AY564, IF($H704=0, 0, (AY449+AY472+AY495*$G704+AX750)*AY681))*Timeline!AY54</f>
        <v>0</v>
      </c>
      <c r="AZ704" s="10">
        <f>IF(AZ$4=0, AZ564, IF($H704=0, 0, (AZ449+AZ472+AZ495*$G704+AY750)*AZ681))*Timeline!AZ54</f>
        <v>0</v>
      </c>
      <c r="BA704" s="10">
        <f>IF(BA$4=0, BA564, IF($H704=0, 0, (BA449+BA472+BA495*$G704+AZ750)*BA681))*Timeline!BA54</f>
        <v>0</v>
      </c>
      <c r="BB704" s="10">
        <f>IF(BB$4=0, BB564, IF($H704=0, 0, (BB449+BB472+BB495*$G704+BA750)*BB681))*Timeline!BB54</f>
        <v>0</v>
      </c>
      <c r="BC704" s="10">
        <f>IF(BC$4=0, BC564, IF($H704=0, 0, (BC449+BC472+BC495*$G704+BB750)*BC681))*Timeline!BC54</f>
        <v>0</v>
      </c>
      <c r="BD704" s="10">
        <f>IF(BD$4=0, BD564, IF($H704=0, 0, (BD449+BD472+BD495*$G704+BC750)*BD681))*Timeline!BD54</f>
        <v>0</v>
      </c>
      <c r="BE704" s="10">
        <f>IF(BE$4=0, BE564, IF($H704=0, 0, (BE449+BE472+BE495*$G704+BD750)*BE681))*Timeline!BE54</f>
        <v>0</v>
      </c>
      <c r="BF704" s="10">
        <f>IF(BF$4=0, BF564, IF($H704=0, 0, (BF449+BF472+BF495*$G704+BE750)*BF681))*Timeline!BF54</f>
        <v>0</v>
      </c>
      <c r="BG704" s="10">
        <f>IF(BG$4=0, BG564, IF($H704=0, 0, (BG449+BG472+BG495*$G704+BF750)*BG681))*Timeline!BG54</f>
        <v>0</v>
      </c>
      <c r="BH704" s="10">
        <f>IF(BH$4=0, BH564, IF($H704=0, 0, (BH449+BH472+BH495*$G704+BG750)*BH681))*Timeline!BH54</f>
        <v>0</v>
      </c>
      <c r="BI704" s="10">
        <f>IF(BI$4=0, BI564, IF($H704=0, 0, (BI449+BI472+BI495*$G704+BH750)*BI681))*Timeline!BI54</f>
        <v>0</v>
      </c>
      <c r="BJ704" s="10">
        <f>IF(BJ$4=0, BJ564, IF($H704=0, 0, (BJ449+BJ472+BJ495*$G704+BI750)*BJ681))*Timeline!BJ54</f>
        <v>0</v>
      </c>
      <c r="BK704" s="10">
        <f>IF(BK$4=0, BK564, IF($H704=0, 0, (BK449+BK472+BK495*$G704+BJ750)*BK681))*Timeline!BK54</f>
        <v>0</v>
      </c>
      <c r="BL704" s="10">
        <f>IF(BL$4=0, BL564, IF($H704=0, 0, (BL449+BL472+BL495*$G704+BK750)*BL681))*Timeline!BL54</f>
        <v>0</v>
      </c>
      <c r="BM704" s="10">
        <f>IF(BM$4=0, BM564, IF($H704=0, 0, (BM449+BM472+BM495*$G704+BL750)*BM681))*Timeline!BM54</f>
        <v>0</v>
      </c>
      <c r="BN704" s="10">
        <f>IF(BN$4=0, BN564, IF($H704=0, 0, (BN449+BN472+BN495*$G704+BM750)*BN681))*Timeline!BN54</f>
        <v>0</v>
      </c>
      <c r="BO704" s="10">
        <f>IF(BO$4=0, BO564, IF($H704=0, 0, (BO449+BO472+BO495*$G704+BN750)*BO681))*Timeline!BO54</f>
        <v>0</v>
      </c>
      <c r="BP704" s="10">
        <f>IF(BP$4=0, BP564, IF($H704=0, 0, (BP449+BP472+BP495*$G704+BO750)*BP681))*Timeline!BP54</f>
        <v>0</v>
      </c>
      <c r="BQ704" s="10">
        <f>IF(BQ$4=0, BQ564, IF($H704=0, 0, (BQ449+BQ472+BQ495*$G704+BP750)*BQ681))*Timeline!BQ54</f>
        <v>0</v>
      </c>
      <c r="BR704" s="10">
        <f>IF(BR$4=0, BR564, IF($H704=0, 0, (BR449+BR472+BR495*$G704+BQ750)*BR681))*Timeline!BR54</f>
        <v>0</v>
      </c>
      <c r="BS704" s="10">
        <f>IF(BS$4=0, BS564, IF($H704=0, 0, (BS449+BS472+BS495*$G704+BR750)*BS681))*Timeline!BS54</f>
        <v>0</v>
      </c>
      <c r="BT704" s="10">
        <f>IF(BT$4=0, BT564, IF($H704=0, 0, (BT449+BT472+BT495*$G704+BS750)*BT681))*Timeline!BT54</f>
        <v>0</v>
      </c>
      <c r="BU704" s="10">
        <f>IF(BU$4=0, BU564, IF($H704=0, 0, (BU449+BU472+BU495*$G704+BT750)*BU681))*Timeline!BU54</f>
        <v>0</v>
      </c>
      <c r="BV704" s="10">
        <f>IF(BV$4=0, BV564, IF($H704=0, 0, (BV449+BV472+BV495*$G704+BU750)*BV681))*Timeline!BV54</f>
        <v>0</v>
      </c>
      <c r="BX704" s="12">
        <f t="shared" si="749"/>
        <v>0</v>
      </c>
      <c r="BY704" s="12">
        <f t="shared" si="750"/>
        <v>0</v>
      </c>
      <c r="BZ704" s="12">
        <f t="shared" si="751"/>
        <v>0</v>
      </c>
      <c r="CA704" s="12">
        <f t="shared" si="752"/>
        <v>0</v>
      </c>
      <c r="CB704" s="133">
        <f t="shared" si="753"/>
        <v>0</v>
      </c>
      <c r="CC704" s="106"/>
      <c r="CD704" s="106"/>
      <c r="CE704" s="106"/>
      <c r="CF704" s="106"/>
      <c r="CG704" s="106"/>
      <c r="CH704" s="106"/>
      <c r="CI704" s="106"/>
      <c r="CK704" s="11"/>
      <c r="CM704" s="11"/>
      <c r="CV704" s="120"/>
      <c r="CW704" s="7">
        <f t="shared" si="754"/>
        <v>0</v>
      </c>
      <c r="DF704" s="11"/>
      <c r="EY704" s="10" t="str">
        <f t="shared" si="746"/>
        <v/>
      </c>
    </row>
    <row r="705" spans="1:155" x14ac:dyDescent="0.35">
      <c r="A705" s="220" cm="1">
        <f t="array" aca="1" ref="A705" ca="1">HYPERLINK(CONCATENATE("#",CELL("address",IF(MAX($CM705:$DF705)=0,A705,INDEX($CM705:$DF705,MATCH(1,$CM705:$DF705,0))))),MAX($CM705:$DF705))</f>
        <v>0</v>
      </c>
      <c r="B705" s="69" t="str" cm="1">
        <f t="array" aca="1" ref="B705" ca="1">HYPERLINK(CONCATENATE("#",CELL("address",$D$246)),$D$246)</f>
        <v>Loan 11</v>
      </c>
      <c r="C705" s="211"/>
      <c r="D705" s="49">
        <f>D$23</f>
        <v>0</v>
      </c>
      <c r="E705" s="49" t="str">
        <f>F$23</f>
        <v/>
      </c>
      <c r="F705" s="49"/>
      <c r="G705" s="10">
        <f>U$23</f>
        <v>0</v>
      </c>
      <c r="H705" s="10">
        <f>Q$23</f>
        <v>0</v>
      </c>
      <c r="I705" s="40" t="s">
        <v>665</v>
      </c>
      <c r="V705" s="12">
        <f t="shared" si="747"/>
        <v>0</v>
      </c>
      <c r="W705" s="133">
        <f t="shared" si="748"/>
        <v>0</v>
      </c>
      <c r="X705" s="133">
        <f t="shared" si="748"/>
        <v>0</v>
      </c>
      <c r="Y705" s="133">
        <f t="shared" si="748"/>
        <v>0</v>
      </c>
      <c r="AA705" s="10">
        <f>IF(AA$4=0, AA565, IF($H705=0, 0, (AA450+AA473+AA496*$G705+Z751)*AA682))*Timeline!AA55</f>
        <v>0</v>
      </c>
      <c r="AB705" s="10">
        <f>IF(AB$4=0, AB565, IF($H705=0, 0, (AB450+AB473+AB496*$G705+AA751)*AB682))*Timeline!AB55</f>
        <v>0</v>
      </c>
      <c r="AC705" s="10">
        <f>IF(AC$4=0, AC565, IF($H705=0, 0, (AC450+AC473+AC496*$G705+AB751)*AC682))*Timeline!AC55</f>
        <v>0</v>
      </c>
      <c r="AD705" s="10">
        <f>IF(AD$4=0, AD565, IF($H705=0, 0, (AD450+AD473+AD496*$G705+AC751)*AD682))*Timeline!AD55</f>
        <v>0</v>
      </c>
      <c r="AE705" s="10">
        <f>IF(AE$4=0, AE565, IF($H705=0, 0, (AE450+AE473+AE496*$G705+AD751)*AE682))*Timeline!AE55</f>
        <v>0</v>
      </c>
      <c r="AF705" s="10">
        <f>IF(AF$4=0, AF565, IF($H705=0, 0, (AF450+AF473+AF496*$G705+AE751)*AF682))*Timeline!AF55</f>
        <v>0</v>
      </c>
      <c r="AG705" s="10">
        <f>IF(AG$4=0, AG565, IF($H705=0, 0, (AG450+AG473+AG496*$G705+AF751)*AG682))*Timeline!AG55</f>
        <v>0</v>
      </c>
      <c r="AH705" s="10">
        <f>IF(AH$4=0, AH565, IF($H705=0, 0, (AH450+AH473+AH496*$G705+AG751)*AH682))*Timeline!AH55</f>
        <v>0</v>
      </c>
      <c r="AI705" s="10">
        <f>IF(AI$4=0, AI565, IF($H705=0, 0, (AI450+AI473+AI496*$G705+AH751)*AI682))*Timeline!AI55</f>
        <v>0</v>
      </c>
      <c r="AJ705" s="10">
        <f>IF(AJ$4=0, AJ565, IF($H705=0, 0, (AJ450+AJ473+AJ496*$G705+AI751)*AJ682))*Timeline!AJ55</f>
        <v>0</v>
      </c>
      <c r="AK705" s="10">
        <f>IF(AK$4=0, AK565, IF($H705=0, 0, (AK450+AK473+AK496*$G705+AJ751)*AK682))*Timeline!AK55</f>
        <v>0</v>
      </c>
      <c r="AL705" s="10">
        <f>IF(AL$4=0, AL565, IF($H705=0, 0, (AL450+AL473+AL496*$G705+AK751)*AL682))*Timeline!AL55</f>
        <v>0</v>
      </c>
      <c r="AM705" s="10">
        <f>IF(AM$4=0, AM565, IF($H705=0, 0, (AM450+AM473+AM496*$G705+AL751)*AM682))*Timeline!AM55</f>
        <v>0</v>
      </c>
      <c r="AN705" s="10">
        <f>IF(AN$4=0, AN565, IF($H705=0, 0, (AN450+AN473+AN496*$G705+AM751)*AN682))*Timeline!AN55</f>
        <v>0</v>
      </c>
      <c r="AO705" s="10">
        <f>IF(AO$4=0, AO565, IF($H705=0, 0, (AO450+AO473+AO496*$G705+AN751)*AO682))*Timeline!AO55</f>
        <v>0</v>
      </c>
      <c r="AP705" s="10">
        <f>IF(AP$4=0, AP565, IF($H705=0, 0, (AP450+AP473+AP496*$G705+AO751)*AP682))*Timeline!AP55</f>
        <v>0</v>
      </c>
      <c r="AQ705" s="10">
        <f>IF(AQ$4=0, AQ565, IF($H705=0, 0, (AQ450+AQ473+AQ496*$G705+AP751)*AQ682))*Timeline!AQ55</f>
        <v>0</v>
      </c>
      <c r="AR705" s="10">
        <f>IF(AR$4=0, AR565, IF($H705=0, 0, (AR450+AR473+AR496*$G705+AQ751)*AR682))*Timeline!AR55</f>
        <v>0</v>
      </c>
      <c r="AS705" s="10">
        <f>IF(AS$4=0, AS565, IF($H705=0, 0, (AS450+AS473+AS496*$G705+AR751)*AS682))*Timeline!AS55</f>
        <v>0</v>
      </c>
      <c r="AT705" s="10">
        <f>IF(AT$4=0, AT565, IF($H705=0, 0, (AT450+AT473+AT496*$G705+AS751)*AT682))*Timeline!AT55</f>
        <v>0</v>
      </c>
      <c r="AU705" s="10">
        <f>IF(AU$4=0, AU565, IF($H705=0, 0, (AU450+AU473+AU496*$G705+AT751)*AU682))*Timeline!AU55</f>
        <v>0</v>
      </c>
      <c r="AV705" s="10">
        <f>IF(AV$4=0, AV565, IF($H705=0, 0, (AV450+AV473+AV496*$G705+AU751)*AV682))*Timeline!AV55</f>
        <v>0</v>
      </c>
      <c r="AW705" s="10">
        <f>IF(AW$4=0, AW565, IF($H705=0, 0, (AW450+AW473+AW496*$G705+AV751)*AW682))*Timeline!AW55</f>
        <v>0</v>
      </c>
      <c r="AX705" s="10">
        <f>IF(AX$4=0, AX565, IF($H705=0, 0, (AX450+AX473+AX496*$G705+AW751)*AX682))*Timeline!AX55</f>
        <v>0</v>
      </c>
      <c r="AY705" s="10">
        <f>IF(AY$4=0, AY565, IF($H705=0, 0, (AY450+AY473+AY496*$G705+AX751)*AY682))*Timeline!AY55</f>
        <v>0</v>
      </c>
      <c r="AZ705" s="10">
        <f>IF(AZ$4=0, AZ565, IF($H705=0, 0, (AZ450+AZ473+AZ496*$G705+AY751)*AZ682))*Timeline!AZ55</f>
        <v>0</v>
      </c>
      <c r="BA705" s="10">
        <f>IF(BA$4=0, BA565, IF($H705=0, 0, (BA450+BA473+BA496*$G705+AZ751)*BA682))*Timeline!BA55</f>
        <v>0</v>
      </c>
      <c r="BB705" s="10">
        <f>IF(BB$4=0, BB565, IF($H705=0, 0, (BB450+BB473+BB496*$G705+BA751)*BB682))*Timeline!BB55</f>
        <v>0</v>
      </c>
      <c r="BC705" s="10">
        <f>IF(BC$4=0, BC565, IF($H705=0, 0, (BC450+BC473+BC496*$G705+BB751)*BC682))*Timeline!BC55</f>
        <v>0</v>
      </c>
      <c r="BD705" s="10">
        <f>IF(BD$4=0, BD565, IF($H705=0, 0, (BD450+BD473+BD496*$G705+BC751)*BD682))*Timeline!BD55</f>
        <v>0</v>
      </c>
      <c r="BE705" s="10">
        <f>IF(BE$4=0, BE565, IF($H705=0, 0, (BE450+BE473+BE496*$G705+BD751)*BE682))*Timeline!BE55</f>
        <v>0</v>
      </c>
      <c r="BF705" s="10">
        <f>IF(BF$4=0, BF565, IF($H705=0, 0, (BF450+BF473+BF496*$G705+BE751)*BF682))*Timeline!BF55</f>
        <v>0</v>
      </c>
      <c r="BG705" s="10">
        <f>IF(BG$4=0, BG565, IF($H705=0, 0, (BG450+BG473+BG496*$G705+BF751)*BG682))*Timeline!BG55</f>
        <v>0</v>
      </c>
      <c r="BH705" s="10">
        <f>IF(BH$4=0, BH565, IF($H705=0, 0, (BH450+BH473+BH496*$G705+BG751)*BH682))*Timeline!BH55</f>
        <v>0</v>
      </c>
      <c r="BI705" s="10">
        <f>IF(BI$4=0, BI565, IF($H705=0, 0, (BI450+BI473+BI496*$G705+BH751)*BI682))*Timeline!BI55</f>
        <v>0</v>
      </c>
      <c r="BJ705" s="10">
        <f>IF(BJ$4=0, BJ565, IF($H705=0, 0, (BJ450+BJ473+BJ496*$G705+BI751)*BJ682))*Timeline!BJ55</f>
        <v>0</v>
      </c>
      <c r="BK705" s="10">
        <f>IF(BK$4=0, BK565, IF($H705=0, 0, (BK450+BK473+BK496*$G705+BJ751)*BK682))*Timeline!BK55</f>
        <v>0</v>
      </c>
      <c r="BL705" s="10">
        <f>IF(BL$4=0, BL565, IF($H705=0, 0, (BL450+BL473+BL496*$G705+BK751)*BL682))*Timeline!BL55</f>
        <v>0</v>
      </c>
      <c r="BM705" s="10">
        <f>IF(BM$4=0, BM565, IF($H705=0, 0, (BM450+BM473+BM496*$G705+BL751)*BM682))*Timeline!BM55</f>
        <v>0</v>
      </c>
      <c r="BN705" s="10">
        <f>IF(BN$4=0, BN565, IF($H705=0, 0, (BN450+BN473+BN496*$G705+BM751)*BN682))*Timeline!BN55</f>
        <v>0</v>
      </c>
      <c r="BO705" s="10">
        <f>IF(BO$4=0, BO565, IF($H705=0, 0, (BO450+BO473+BO496*$G705+BN751)*BO682))*Timeline!BO55</f>
        <v>0</v>
      </c>
      <c r="BP705" s="10">
        <f>IF(BP$4=0, BP565, IF($H705=0, 0, (BP450+BP473+BP496*$G705+BO751)*BP682))*Timeline!BP55</f>
        <v>0</v>
      </c>
      <c r="BQ705" s="10">
        <f>IF(BQ$4=0, BQ565, IF($H705=0, 0, (BQ450+BQ473+BQ496*$G705+BP751)*BQ682))*Timeline!BQ55</f>
        <v>0</v>
      </c>
      <c r="BR705" s="10">
        <f>IF(BR$4=0, BR565, IF($H705=0, 0, (BR450+BR473+BR496*$G705+BQ751)*BR682))*Timeline!BR55</f>
        <v>0</v>
      </c>
      <c r="BS705" s="10">
        <f>IF(BS$4=0, BS565, IF($H705=0, 0, (BS450+BS473+BS496*$G705+BR751)*BS682))*Timeline!BS55</f>
        <v>0</v>
      </c>
      <c r="BT705" s="10">
        <f>IF(BT$4=0, BT565, IF($H705=0, 0, (BT450+BT473+BT496*$G705+BS751)*BT682))*Timeline!BT55</f>
        <v>0</v>
      </c>
      <c r="BU705" s="10">
        <f>IF(BU$4=0, BU565, IF($H705=0, 0, (BU450+BU473+BU496*$G705+BT751)*BU682))*Timeline!BU55</f>
        <v>0</v>
      </c>
      <c r="BV705" s="10">
        <f>IF(BV$4=0, BV565, IF($H705=0, 0, (BV450+BV473+BV496*$G705+BU751)*BV682))*Timeline!BV55</f>
        <v>0</v>
      </c>
      <c r="BX705" s="12">
        <f t="shared" si="749"/>
        <v>0</v>
      </c>
      <c r="BY705" s="12">
        <f t="shared" si="750"/>
        <v>0</v>
      </c>
      <c r="BZ705" s="12">
        <f t="shared" si="751"/>
        <v>0</v>
      </c>
      <c r="CA705" s="12">
        <f t="shared" si="752"/>
        <v>0</v>
      </c>
      <c r="CB705" s="133">
        <f t="shared" si="753"/>
        <v>0</v>
      </c>
      <c r="CC705" s="106"/>
      <c r="CD705" s="106"/>
      <c r="CE705" s="106"/>
      <c r="CF705" s="106"/>
      <c r="CG705" s="106"/>
      <c r="CH705" s="106"/>
      <c r="CI705" s="106"/>
      <c r="CK705" s="11"/>
      <c r="CM705" s="11"/>
      <c r="CV705" s="120"/>
      <c r="CW705" s="7">
        <f t="shared" si="754"/>
        <v>0</v>
      </c>
      <c r="DF705" s="11"/>
      <c r="EY705" s="10" t="str">
        <f t="shared" si="746"/>
        <v/>
      </c>
    </row>
    <row r="706" spans="1:155" x14ac:dyDescent="0.35">
      <c r="A706" s="220" cm="1">
        <f t="array" aca="1" ref="A706" ca="1">HYPERLINK(CONCATENATE("#",CELL("address",IF(MAX($CM706:$DF706)=0,A706,INDEX($CM706:$DF706,MATCH(1,$CM706:$DF706,0))))),MAX($CM706:$DF706))</f>
        <v>0</v>
      </c>
      <c r="B706" s="69" t="str" cm="1">
        <f t="array" aca="1" ref="B706" ca="1">HYPERLINK(CONCATENATE("#",CELL("address",$D$265)),$D$265)</f>
        <v>Loan 12</v>
      </c>
      <c r="C706" s="211"/>
      <c r="D706" s="49">
        <f>D$24</f>
        <v>0</v>
      </c>
      <c r="E706" s="49" t="str">
        <f>F$24</f>
        <v/>
      </c>
      <c r="F706" s="49"/>
      <c r="G706" s="10">
        <f>U$24</f>
        <v>0</v>
      </c>
      <c r="H706" s="10">
        <f>Q$24</f>
        <v>0</v>
      </c>
      <c r="I706" s="40" t="s">
        <v>665</v>
      </c>
      <c r="V706" s="12">
        <f t="shared" si="747"/>
        <v>0</v>
      </c>
      <c r="W706" s="133">
        <f t="shared" si="748"/>
        <v>0</v>
      </c>
      <c r="X706" s="133">
        <f t="shared" si="748"/>
        <v>0</v>
      </c>
      <c r="Y706" s="133">
        <f t="shared" si="748"/>
        <v>0</v>
      </c>
      <c r="AA706" s="10">
        <f>IF(AA$4=0, AA566, IF($H706=0, 0, (AA451+AA474+AA497*$G706+Z752)*AA683))*Timeline!AA56</f>
        <v>0</v>
      </c>
      <c r="AB706" s="10">
        <f>IF(AB$4=0, AB566, IF($H706=0, 0, (AB451+AB474+AB497*$G706+AA752)*AB683))*Timeline!AB56</f>
        <v>0</v>
      </c>
      <c r="AC706" s="10">
        <f>IF(AC$4=0, AC566, IF($H706=0, 0, (AC451+AC474+AC497*$G706+AB752)*AC683))*Timeline!AC56</f>
        <v>0</v>
      </c>
      <c r="AD706" s="10">
        <f>IF(AD$4=0, AD566, IF($H706=0, 0, (AD451+AD474+AD497*$G706+AC752)*AD683))*Timeline!AD56</f>
        <v>0</v>
      </c>
      <c r="AE706" s="10">
        <f>IF(AE$4=0, AE566, IF($H706=0, 0, (AE451+AE474+AE497*$G706+AD752)*AE683))*Timeline!AE56</f>
        <v>0</v>
      </c>
      <c r="AF706" s="10">
        <f>IF(AF$4=0, AF566, IF($H706=0, 0, (AF451+AF474+AF497*$G706+AE752)*AF683))*Timeline!AF56</f>
        <v>0</v>
      </c>
      <c r="AG706" s="10">
        <f>IF(AG$4=0, AG566, IF($H706=0, 0, (AG451+AG474+AG497*$G706+AF752)*AG683))*Timeline!AG56</f>
        <v>0</v>
      </c>
      <c r="AH706" s="10">
        <f>IF(AH$4=0, AH566, IF($H706=0, 0, (AH451+AH474+AH497*$G706+AG752)*AH683))*Timeline!AH56</f>
        <v>0</v>
      </c>
      <c r="AI706" s="10">
        <f>IF(AI$4=0, AI566, IF($H706=0, 0, (AI451+AI474+AI497*$G706+AH752)*AI683))*Timeline!AI56</f>
        <v>0</v>
      </c>
      <c r="AJ706" s="10">
        <f>IF(AJ$4=0, AJ566, IF($H706=0, 0, (AJ451+AJ474+AJ497*$G706+AI752)*AJ683))*Timeline!AJ56</f>
        <v>0</v>
      </c>
      <c r="AK706" s="10">
        <f>IF(AK$4=0, AK566, IF($H706=0, 0, (AK451+AK474+AK497*$G706+AJ752)*AK683))*Timeline!AK56</f>
        <v>0</v>
      </c>
      <c r="AL706" s="10">
        <f>IF(AL$4=0, AL566, IF($H706=0, 0, (AL451+AL474+AL497*$G706+AK752)*AL683))*Timeline!AL56</f>
        <v>0</v>
      </c>
      <c r="AM706" s="10">
        <f>IF(AM$4=0, AM566, IF($H706=0, 0, (AM451+AM474+AM497*$G706+AL752)*AM683))*Timeline!AM56</f>
        <v>0</v>
      </c>
      <c r="AN706" s="10">
        <f>IF(AN$4=0, AN566, IF($H706=0, 0, (AN451+AN474+AN497*$G706+AM752)*AN683))*Timeline!AN56</f>
        <v>0</v>
      </c>
      <c r="AO706" s="10">
        <f>IF(AO$4=0, AO566, IF($H706=0, 0, (AO451+AO474+AO497*$G706+AN752)*AO683))*Timeline!AO56</f>
        <v>0</v>
      </c>
      <c r="AP706" s="10">
        <f>IF(AP$4=0, AP566, IF($H706=0, 0, (AP451+AP474+AP497*$G706+AO752)*AP683))*Timeline!AP56</f>
        <v>0</v>
      </c>
      <c r="AQ706" s="10">
        <f>IF(AQ$4=0, AQ566, IF($H706=0, 0, (AQ451+AQ474+AQ497*$G706+AP752)*AQ683))*Timeline!AQ56</f>
        <v>0</v>
      </c>
      <c r="AR706" s="10">
        <f>IF(AR$4=0, AR566, IF($H706=0, 0, (AR451+AR474+AR497*$G706+AQ752)*AR683))*Timeline!AR56</f>
        <v>0</v>
      </c>
      <c r="AS706" s="10">
        <f>IF(AS$4=0, AS566, IF($H706=0, 0, (AS451+AS474+AS497*$G706+AR752)*AS683))*Timeline!AS56</f>
        <v>0</v>
      </c>
      <c r="AT706" s="10">
        <f>IF(AT$4=0, AT566, IF($H706=0, 0, (AT451+AT474+AT497*$G706+AS752)*AT683))*Timeline!AT56</f>
        <v>0</v>
      </c>
      <c r="AU706" s="10">
        <f>IF(AU$4=0, AU566, IF($H706=0, 0, (AU451+AU474+AU497*$G706+AT752)*AU683))*Timeline!AU56</f>
        <v>0</v>
      </c>
      <c r="AV706" s="10">
        <f>IF(AV$4=0, AV566, IF($H706=0, 0, (AV451+AV474+AV497*$G706+AU752)*AV683))*Timeline!AV56</f>
        <v>0</v>
      </c>
      <c r="AW706" s="10">
        <f>IF(AW$4=0, AW566, IF($H706=0, 0, (AW451+AW474+AW497*$G706+AV752)*AW683))*Timeline!AW56</f>
        <v>0</v>
      </c>
      <c r="AX706" s="10">
        <f>IF(AX$4=0, AX566, IF($H706=0, 0, (AX451+AX474+AX497*$G706+AW752)*AX683))*Timeline!AX56</f>
        <v>0</v>
      </c>
      <c r="AY706" s="10">
        <f>IF(AY$4=0, AY566, IF($H706=0, 0, (AY451+AY474+AY497*$G706+AX752)*AY683))*Timeline!AY56</f>
        <v>0</v>
      </c>
      <c r="AZ706" s="10">
        <f>IF(AZ$4=0, AZ566, IF($H706=0, 0, (AZ451+AZ474+AZ497*$G706+AY752)*AZ683))*Timeline!AZ56</f>
        <v>0</v>
      </c>
      <c r="BA706" s="10">
        <f>IF(BA$4=0, BA566, IF($H706=0, 0, (BA451+BA474+BA497*$G706+AZ752)*BA683))*Timeline!BA56</f>
        <v>0</v>
      </c>
      <c r="BB706" s="10">
        <f>IF(BB$4=0, BB566, IF($H706=0, 0, (BB451+BB474+BB497*$G706+BA752)*BB683))*Timeline!BB56</f>
        <v>0</v>
      </c>
      <c r="BC706" s="10">
        <f>IF(BC$4=0, BC566, IF($H706=0, 0, (BC451+BC474+BC497*$G706+BB752)*BC683))*Timeline!BC56</f>
        <v>0</v>
      </c>
      <c r="BD706" s="10">
        <f>IF(BD$4=0, BD566, IF($H706=0, 0, (BD451+BD474+BD497*$G706+BC752)*BD683))*Timeline!BD56</f>
        <v>0</v>
      </c>
      <c r="BE706" s="10">
        <f>IF(BE$4=0, BE566, IF($H706=0, 0, (BE451+BE474+BE497*$G706+BD752)*BE683))*Timeline!BE56</f>
        <v>0</v>
      </c>
      <c r="BF706" s="10">
        <f>IF(BF$4=0, BF566, IF($H706=0, 0, (BF451+BF474+BF497*$G706+BE752)*BF683))*Timeline!BF56</f>
        <v>0</v>
      </c>
      <c r="BG706" s="10">
        <f>IF(BG$4=0, BG566, IF($H706=0, 0, (BG451+BG474+BG497*$G706+BF752)*BG683))*Timeline!BG56</f>
        <v>0</v>
      </c>
      <c r="BH706" s="10">
        <f>IF(BH$4=0, BH566, IF($H706=0, 0, (BH451+BH474+BH497*$G706+BG752)*BH683))*Timeline!BH56</f>
        <v>0</v>
      </c>
      <c r="BI706" s="10">
        <f>IF(BI$4=0, BI566, IF($H706=0, 0, (BI451+BI474+BI497*$G706+BH752)*BI683))*Timeline!BI56</f>
        <v>0</v>
      </c>
      <c r="BJ706" s="10">
        <f>IF(BJ$4=0, BJ566, IF($H706=0, 0, (BJ451+BJ474+BJ497*$G706+BI752)*BJ683))*Timeline!BJ56</f>
        <v>0</v>
      </c>
      <c r="BK706" s="10">
        <f>IF(BK$4=0, BK566, IF($H706=0, 0, (BK451+BK474+BK497*$G706+BJ752)*BK683))*Timeline!BK56</f>
        <v>0</v>
      </c>
      <c r="BL706" s="10">
        <f>IF(BL$4=0, BL566, IF($H706=0, 0, (BL451+BL474+BL497*$G706+BK752)*BL683))*Timeline!BL56</f>
        <v>0</v>
      </c>
      <c r="BM706" s="10">
        <f>IF(BM$4=0, BM566, IF($H706=0, 0, (BM451+BM474+BM497*$G706+BL752)*BM683))*Timeline!BM56</f>
        <v>0</v>
      </c>
      <c r="BN706" s="10">
        <f>IF(BN$4=0, BN566, IF($H706=0, 0, (BN451+BN474+BN497*$G706+BM752)*BN683))*Timeline!BN56</f>
        <v>0</v>
      </c>
      <c r="BO706" s="10">
        <f>IF(BO$4=0, BO566, IF($H706=0, 0, (BO451+BO474+BO497*$G706+BN752)*BO683))*Timeline!BO56</f>
        <v>0</v>
      </c>
      <c r="BP706" s="10">
        <f>IF(BP$4=0, BP566, IF($H706=0, 0, (BP451+BP474+BP497*$G706+BO752)*BP683))*Timeline!BP56</f>
        <v>0</v>
      </c>
      <c r="BQ706" s="10">
        <f>IF(BQ$4=0, BQ566, IF($H706=0, 0, (BQ451+BQ474+BQ497*$G706+BP752)*BQ683))*Timeline!BQ56</f>
        <v>0</v>
      </c>
      <c r="BR706" s="10">
        <f>IF(BR$4=0, BR566, IF($H706=0, 0, (BR451+BR474+BR497*$G706+BQ752)*BR683))*Timeline!BR56</f>
        <v>0</v>
      </c>
      <c r="BS706" s="10">
        <f>IF(BS$4=0, BS566, IF($H706=0, 0, (BS451+BS474+BS497*$G706+BR752)*BS683))*Timeline!BS56</f>
        <v>0</v>
      </c>
      <c r="BT706" s="10">
        <f>IF(BT$4=0, BT566, IF($H706=0, 0, (BT451+BT474+BT497*$G706+BS752)*BT683))*Timeline!BT56</f>
        <v>0</v>
      </c>
      <c r="BU706" s="10">
        <f>IF(BU$4=0, BU566, IF($H706=0, 0, (BU451+BU474+BU497*$G706+BT752)*BU683))*Timeline!BU56</f>
        <v>0</v>
      </c>
      <c r="BV706" s="10">
        <f>IF(BV$4=0, BV566, IF($H706=0, 0, (BV451+BV474+BV497*$G706+BU752)*BV683))*Timeline!BV56</f>
        <v>0</v>
      </c>
      <c r="BX706" s="12">
        <f t="shared" si="749"/>
        <v>0</v>
      </c>
      <c r="BY706" s="12">
        <f t="shared" si="750"/>
        <v>0</v>
      </c>
      <c r="BZ706" s="12">
        <f t="shared" si="751"/>
        <v>0</v>
      </c>
      <c r="CA706" s="12">
        <f t="shared" si="752"/>
        <v>0</v>
      </c>
      <c r="CB706" s="133">
        <f t="shared" si="753"/>
        <v>0</v>
      </c>
      <c r="CC706" s="106"/>
      <c r="CD706" s="106"/>
      <c r="CE706" s="106"/>
      <c r="CF706" s="106"/>
      <c r="CG706" s="106"/>
      <c r="CH706" s="106"/>
      <c r="CI706" s="106"/>
      <c r="CK706" s="11"/>
      <c r="CM706" s="11"/>
      <c r="CV706" s="120"/>
      <c r="CW706" s="7">
        <f t="shared" si="754"/>
        <v>0</v>
      </c>
      <c r="DF706" s="11"/>
      <c r="EY706" s="10" t="str">
        <f t="shared" si="746"/>
        <v/>
      </c>
    </row>
    <row r="707" spans="1:155" x14ac:dyDescent="0.35">
      <c r="A707" s="220" cm="1">
        <f t="array" aca="1" ref="A707" ca="1">HYPERLINK(CONCATENATE("#",CELL("address",IF(MAX($CM707:$DF707)=0,A707,INDEX($CM707:$DF707,MATCH(1,$CM707:$DF707,0))))),MAX($CM707:$DF707))</f>
        <v>0</v>
      </c>
      <c r="B707" s="69" t="str" cm="1">
        <f t="array" aca="1" ref="B707" ca="1">HYPERLINK(CONCATENATE("#",CELL("address",$D$284)),$D$284)</f>
        <v>Loan 13</v>
      </c>
      <c r="C707" s="211"/>
      <c r="D707" s="49">
        <f>D$25</f>
        <v>0</v>
      </c>
      <c r="E707" s="49" t="str">
        <f>F$25</f>
        <v/>
      </c>
      <c r="F707" s="49"/>
      <c r="G707" s="10">
        <f>U$25</f>
        <v>0</v>
      </c>
      <c r="H707" s="10">
        <f>Q$25</f>
        <v>0</v>
      </c>
      <c r="I707" s="40" t="s">
        <v>665</v>
      </c>
      <c r="V707" s="12">
        <f t="shared" si="747"/>
        <v>0</v>
      </c>
      <c r="W707" s="133">
        <f t="shared" si="748"/>
        <v>0</v>
      </c>
      <c r="X707" s="133">
        <f t="shared" si="748"/>
        <v>0</v>
      </c>
      <c r="Y707" s="133">
        <f t="shared" si="748"/>
        <v>0</v>
      </c>
      <c r="AA707" s="10">
        <f>IF(AA$4=0, AA567, IF($H707=0, 0, (AA452+AA475+AA498*$G707+Z753)*AA684))*Timeline!AA57</f>
        <v>0</v>
      </c>
      <c r="AB707" s="10">
        <f>IF(AB$4=0, AB567, IF($H707=0, 0, (AB452+AB475+AB498*$G707+AA753)*AB684))*Timeline!AB57</f>
        <v>0</v>
      </c>
      <c r="AC707" s="10">
        <f>IF(AC$4=0, AC567, IF($H707=0, 0, (AC452+AC475+AC498*$G707+AB753)*AC684))*Timeline!AC57</f>
        <v>0</v>
      </c>
      <c r="AD707" s="10">
        <f>IF(AD$4=0, AD567, IF($H707=0, 0, (AD452+AD475+AD498*$G707+AC753)*AD684))*Timeline!AD57</f>
        <v>0</v>
      </c>
      <c r="AE707" s="10">
        <f>IF(AE$4=0, AE567, IF($H707=0, 0, (AE452+AE475+AE498*$G707+AD753)*AE684))*Timeline!AE57</f>
        <v>0</v>
      </c>
      <c r="AF707" s="10">
        <f>IF(AF$4=0, AF567, IF($H707=0, 0, (AF452+AF475+AF498*$G707+AE753)*AF684))*Timeline!AF57</f>
        <v>0</v>
      </c>
      <c r="AG707" s="10">
        <f>IF(AG$4=0, AG567, IF($H707=0, 0, (AG452+AG475+AG498*$G707+AF753)*AG684))*Timeline!AG57</f>
        <v>0</v>
      </c>
      <c r="AH707" s="10">
        <f>IF(AH$4=0, AH567, IF($H707=0, 0, (AH452+AH475+AH498*$G707+AG753)*AH684))*Timeline!AH57</f>
        <v>0</v>
      </c>
      <c r="AI707" s="10">
        <f>IF(AI$4=0, AI567, IF($H707=0, 0, (AI452+AI475+AI498*$G707+AH753)*AI684))*Timeline!AI57</f>
        <v>0</v>
      </c>
      <c r="AJ707" s="10">
        <f>IF(AJ$4=0, AJ567, IF($H707=0, 0, (AJ452+AJ475+AJ498*$G707+AI753)*AJ684))*Timeline!AJ57</f>
        <v>0</v>
      </c>
      <c r="AK707" s="10">
        <f>IF(AK$4=0, AK567, IF($H707=0, 0, (AK452+AK475+AK498*$G707+AJ753)*AK684))*Timeline!AK57</f>
        <v>0</v>
      </c>
      <c r="AL707" s="10">
        <f>IF(AL$4=0, AL567, IF($H707=0, 0, (AL452+AL475+AL498*$G707+AK753)*AL684))*Timeline!AL57</f>
        <v>0</v>
      </c>
      <c r="AM707" s="10">
        <f>IF(AM$4=0, AM567, IF($H707=0, 0, (AM452+AM475+AM498*$G707+AL753)*AM684))*Timeline!AM57</f>
        <v>0</v>
      </c>
      <c r="AN707" s="10">
        <f>IF(AN$4=0, AN567, IF($H707=0, 0, (AN452+AN475+AN498*$G707+AM753)*AN684))*Timeline!AN57</f>
        <v>0</v>
      </c>
      <c r="AO707" s="10">
        <f>IF(AO$4=0, AO567, IF($H707=0, 0, (AO452+AO475+AO498*$G707+AN753)*AO684))*Timeline!AO57</f>
        <v>0</v>
      </c>
      <c r="AP707" s="10">
        <f>IF(AP$4=0, AP567, IF($H707=0, 0, (AP452+AP475+AP498*$G707+AO753)*AP684))*Timeline!AP57</f>
        <v>0</v>
      </c>
      <c r="AQ707" s="10">
        <f>IF(AQ$4=0, AQ567, IF($H707=0, 0, (AQ452+AQ475+AQ498*$G707+AP753)*AQ684))*Timeline!AQ57</f>
        <v>0</v>
      </c>
      <c r="AR707" s="10">
        <f>IF(AR$4=0, AR567, IF($H707=0, 0, (AR452+AR475+AR498*$G707+AQ753)*AR684))*Timeline!AR57</f>
        <v>0</v>
      </c>
      <c r="AS707" s="10">
        <f>IF(AS$4=0, AS567, IF($H707=0, 0, (AS452+AS475+AS498*$G707+AR753)*AS684))*Timeline!AS57</f>
        <v>0</v>
      </c>
      <c r="AT707" s="10">
        <f>IF(AT$4=0, AT567, IF($H707=0, 0, (AT452+AT475+AT498*$G707+AS753)*AT684))*Timeline!AT57</f>
        <v>0</v>
      </c>
      <c r="AU707" s="10">
        <f>IF(AU$4=0, AU567, IF($H707=0, 0, (AU452+AU475+AU498*$G707+AT753)*AU684))*Timeline!AU57</f>
        <v>0</v>
      </c>
      <c r="AV707" s="10">
        <f>IF(AV$4=0, AV567, IF($H707=0, 0, (AV452+AV475+AV498*$G707+AU753)*AV684))*Timeline!AV57</f>
        <v>0</v>
      </c>
      <c r="AW707" s="10">
        <f>IF(AW$4=0, AW567, IF($H707=0, 0, (AW452+AW475+AW498*$G707+AV753)*AW684))*Timeline!AW57</f>
        <v>0</v>
      </c>
      <c r="AX707" s="10">
        <f>IF(AX$4=0, AX567, IF($H707=0, 0, (AX452+AX475+AX498*$G707+AW753)*AX684))*Timeline!AX57</f>
        <v>0</v>
      </c>
      <c r="AY707" s="10">
        <f>IF(AY$4=0, AY567, IF($H707=0, 0, (AY452+AY475+AY498*$G707+AX753)*AY684))*Timeline!AY57</f>
        <v>0</v>
      </c>
      <c r="AZ707" s="10">
        <f>IF(AZ$4=0, AZ567, IF($H707=0, 0, (AZ452+AZ475+AZ498*$G707+AY753)*AZ684))*Timeline!AZ57</f>
        <v>0</v>
      </c>
      <c r="BA707" s="10">
        <f>IF(BA$4=0, BA567, IF($H707=0, 0, (BA452+BA475+BA498*$G707+AZ753)*BA684))*Timeline!BA57</f>
        <v>0</v>
      </c>
      <c r="BB707" s="10">
        <f>IF(BB$4=0, BB567, IF($H707=0, 0, (BB452+BB475+BB498*$G707+BA753)*BB684))*Timeline!BB57</f>
        <v>0</v>
      </c>
      <c r="BC707" s="10">
        <f>IF(BC$4=0, BC567, IF($H707=0, 0, (BC452+BC475+BC498*$G707+BB753)*BC684))*Timeline!BC57</f>
        <v>0</v>
      </c>
      <c r="BD707" s="10">
        <f>IF(BD$4=0, BD567, IF($H707=0, 0, (BD452+BD475+BD498*$G707+BC753)*BD684))*Timeline!BD57</f>
        <v>0</v>
      </c>
      <c r="BE707" s="10">
        <f>IF(BE$4=0, BE567, IF($H707=0, 0, (BE452+BE475+BE498*$G707+BD753)*BE684))*Timeline!BE57</f>
        <v>0</v>
      </c>
      <c r="BF707" s="10">
        <f>IF(BF$4=0, BF567, IF($H707=0, 0, (BF452+BF475+BF498*$G707+BE753)*BF684))*Timeline!BF57</f>
        <v>0</v>
      </c>
      <c r="BG707" s="10">
        <f>IF(BG$4=0, BG567, IF($H707=0, 0, (BG452+BG475+BG498*$G707+BF753)*BG684))*Timeline!BG57</f>
        <v>0</v>
      </c>
      <c r="BH707" s="10">
        <f>IF(BH$4=0, BH567, IF($H707=0, 0, (BH452+BH475+BH498*$G707+BG753)*BH684))*Timeline!BH57</f>
        <v>0</v>
      </c>
      <c r="BI707" s="10">
        <f>IF(BI$4=0, BI567, IF($H707=0, 0, (BI452+BI475+BI498*$G707+BH753)*BI684))*Timeline!BI57</f>
        <v>0</v>
      </c>
      <c r="BJ707" s="10">
        <f>IF(BJ$4=0, BJ567, IF($H707=0, 0, (BJ452+BJ475+BJ498*$G707+BI753)*BJ684))*Timeline!BJ57</f>
        <v>0</v>
      </c>
      <c r="BK707" s="10">
        <f>IF(BK$4=0, BK567, IF($H707=0, 0, (BK452+BK475+BK498*$G707+BJ753)*BK684))*Timeline!BK57</f>
        <v>0</v>
      </c>
      <c r="BL707" s="10">
        <f>IF(BL$4=0, BL567, IF($H707=0, 0, (BL452+BL475+BL498*$G707+BK753)*BL684))*Timeline!BL57</f>
        <v>0</v>
      </c>
      <c r="BM707" s="10">
        <f>IF(BM$4=0, BM567, IF($H707=0, 0, (BM452+BM475+BM498*$G707+BL753)*BM684))*Timeline!BM57</f>
        <v>0</v>
      </c>
      <c r="BN707" s="10">
        <f>IF(BN$4=0, BN567, IF($H707=0, 0, (BN452+BN475+BN498*$G707+BM753)*BN684))*Timeline!BN57</f>
        <v>0</v>
      </c>
      <c r="BO707" s="10">
        <f>IF(BO$4=0, BO567, IF($H707=0, 0, (BO452+BO475+BO498*$G707+BN753)*BO684))*Timeline!BO57</f>
        <v>0</v>
      </c>
      <c r="BP707" s="10">
        <f>IF(BP$4=0, BP567, IF($H707=0, 0, (BP452+BP475+BP498*$G707+BO753)*BP684))*Timeline!BP57</f>
        <v>0</v>
      </c>
      <c r="BQ707" s="10">
        <f>IF(BQ$4=0, BQ567, IF($H707=0, 0, (BQ452+BQ475+BQ498*$G707+BP753)*BQ684))*Timeline!BQ57</f>
        <v>0</v>
      </c>
      <c r="BR707" s="10">
        <f>IF(BR$4=0, BR567, IF($H707=0, 0, (BR452+BR475+BR498*$G707+BQ753)*BR684))*Timeline!BR57</f>
        <v>0</v>
      </c>
      <c r="BS707" s="10">
        <f>IF(BS$4=0, BS567, IF($H707=0, 0, (BS452+BS475+BS498*$G707+BR753)*BS684))*Timeline!BS57</f>
        <v>0</v>
      </c>
      <c r="BT707" s="10">
        <f>IF(BT$4=0, BT567, IF($H707=0, 0, (BT452+BT475+BT498*$G707+BS753)*BT684))*Timeline!BT57</f>
        <v>0</v>
      </c>
      <c r="BU707" s="10">
        <f>IF(BU$4=0, BU567, IF($H707=0, 0, (BU452+BU475+BU498*$G707+BT753)*BU684))*Timeline!BU57</f>
        <v>0</v>
      </c>
      <c r="BV707" s="10">
        <f>IF(BV$4=0, BV567, IF($H707=0, 0, (BV452+BV475+BV498*$G707+BU753)*BV684))*Timeline!BV57</f>
        <v>0</v>
      </c>
      <c r="BX707" s="12">
        <f t="shared" si="749"/>
        <v>0</v>
      </c>
      <c r="BY707" s="12">
        <f t="shared" si="750"/>
        <v>0</v>
      </c>
      <c r="BZ707" s="12">
        <f t="shared" si="751"/>
        <v>0</v>
      </c>
      <c r="CA707" s="12">
        <f t="shared" si="752"/>
        <v>0</v>
      </c>
      <c r="CB707" s="133">
        <f t="shared" si="753"/>
        <v>0</v>
      </c>
      <c r="CC707" s="106"/>
      <c r="CD707" s="106"/>
      <c r="CE707" s="106"/>
      <c r="CF707" s="106"/>
      <c r="CG707" s="106"/>
      <c r="CH707" s="106"/>
      <c r="CI707" s="106"/>
      <c r="CK707" s="11"/>
      <c r="CM707" s="11"/>
      <c r="CV707" s="120"/>
      <c r="CW707" s="7">
        <f t="shared" si="754"/>
        <v>0</v>
      </c>
      <c r="DF707" s="11"/>
      <c r="EY707" s="10" t="str">
        <f t="shared" si="746"/>
        <v/>
      </c>
    </row>
    <row r="708" spans="1:155" s="5" customFormat="1" x14ac:dyDescent="0.35">
      <c r="A708" s="220" cm="1">
        <f t="array" aca="1" ref="A708" ca="1">HYPERLINK(CONCATENATE("#",CELL("address",IF(MAX($CM708:$DF708)=0,A708,INDEX($CM708:$DF708,MATCH(1,$CM708:$DF708,0))))),MAX($CM708:$DF708))</f>
        <v>0</v>
      </c>
      <c r="B708" s="69" t="str" cm="1">
        <f t="array" aca="1" ref="B708" ca="1">HYPERLINK(CONCATENATE("#",CELL("address",$D$303)),$D$303)</f>
        <v>Loan 14</v>
      </c>
      <c r="C708" s="211"/>
      <c r="D708" s="49">
        <f>D$26</f>
        <v>0</v>
      </c>
      <c r="E708" s="49" t="str">
        <f>F$26</f>
        <v/>
      </c>
      <c r="F708" s="49"/>
      <c r="G708" s="10">
        <f>U$26</f>
        <v>0</v>
      </c>
      <c r="H708" s="10">
        <f>Q$26</f>
        <v>0</v>
      </c>
      <c r="I708" s="40" t="s">
        <v>665</v>
      </c>
      <c r="J708"/>
      <c r="K708"/>
      <c r="L708"/>
      <c r="M708"/>
      <c r="N708"/>
      <c r="O708"/>
      <c r="P708"/>
      <c r="Q708"/>
      <c r="R708"/>
      <c r="S708"/>
      <c r="T708"/>
      <c r="U708"/>
      <c r="V708" s="12">
        <f t="shared" si="747"/>
        <v>0</v>
      </c>
      <c r="W708" s="133">
        <f t="shared" si="748"/>
        <v>0</v>
      </c>
      <c r="X708" s="133">
        <f t="shared" si="748"/>
        <v>0</v>
      </c>
      <c r="Y708" s="133">
        <f t="shared" si="748"/>
        <v>0</v>
      </c>
      <c r="Z708"/>
      <c r="AA708" s="10">
        <f>IF(AA$4=0, AA568, IF($H708=0, 0, (AA453+AA476+AA499*$G708+Z754)*AA685))*Timeline!AA58</f>
        <v>0</v>
      </c>
      <c r="AB708" s="10">
        <f>IF(AB$4=0, AB568, IF($H708=0, 0, (AB453+AB476+AB499*$G708+AA754)*AB685))*Timeline!AB58</f>
        <v>0</v>
      </c>
      <c r="AC708" s="10">
        <f>IF(AC$4=0, AC568, IF($H708=0, 0, (AC453+AC476+AC499*$G708+AB754)*AC685))*Timeline!AC58</f>
        <v>0</v>
      </c>
      <c r="AD708" s="10">
        <f>IF(AD$4=0, AD568, IF($H708=0, 0, (AD453+AD476+AD499*$G708+AC754)*AD685))*Timeline!AD58</f>
        <v>0</v>
      </c>
      <c r="AE708" s="10">
        <f>IF(AE$4=0, AE568, IF($H708=0, 0, (AE453+AE476+AE499*$G708+AD754)*AE685))*Timeline!AE58</f>
        <v>0</v>
      </c>
      <c r="AF708" s="10">
        <f>IF(AF$4=0, AF568, IF($H708=0, 0, (AF453+AF476+AF499*$G708+AE754)*AF685))*Timeline!AF58</f>
        <v>0</v>
      </c>
      <c r="AG708" s="10">
        <f>IF(AG$4=0, AG568, IF($H708=0, 0, (AG453+AG476+AG499*$G708+AF754)*AG685))*Timeline!AG58</f>
        <v>0</v>
      </c>
      <c r="AH708" s="10">
        <f>IF(AH$4=0, AH568, IF($H708=0, 0, (AH453+AH476+AH499*$G708+AG754)*AH685))*Timeline!AH58</f>
        <v>0</v>
      </c>
      <c r="AI708" s="10">
        <f>IF(AI$4=0, AI568, IF($H708=0, 0, (AI453+AI476+AI499*$G708+AH754)*AI685))*Timeline!AI58</f>
        <v>0</v>
      </c>
      <c r="AJ708" s="10">
        <f>IF(AJ$4=0, AJ568, IF($H708=0, 0, (AJ453+AJ476+AJ499*$G708+AI754)*AJ685))*Timeline!AJ58</f>
        <v>0</v>
      </c>
      <c r="AK708" s="10">
        <f>IF(AK$4=0, AK568, IF($H708=0, 0, (AK453+AK476+AK499*$G708+AJ754)*AK685))*Timeline!AK58</f>
        <v>0</v>
      </c>
      <c r="AL708" s="10">
        <f>IF(AL$4=0, AL568, IF($H708=0, 0, (AL453+AL476+AL499*$G708+AK754)*AL685))*Timeline!AL58</f>
        <v>0</v>
      </c>
      <c r="AM708" s="10">
        <f>IF(AM$4=0, AM568, IF($H708=0, 0, (AM453+AM476+AM499*$G708+AL754)*AM685))*Timeline!AM58</f>
        <v>0</v>
      </c>
      <c r="AN708" s="10">
        <f>IF(AN$4=0, AN568, IF($H708=0, 0, (AN453+AN476+AN499*$G708+AM754)*AN685))*Timeline!AN58</f>
        <v>0</v>
      </c>
      <c r="AO708" s="10">
        <f>IF(AO$4=0, AO568, IF($H708=0, 0, (AO453+AO476+AO499*$G708+AN754)*AO685))*Timeline!AO58</f>
        <v>0</v>
      </c>
      <c r="AP708" s="10">
        <f>IF(AP$4=0, AP568, IF($H708=0, 0, (AP453+AP476+AP499*$G708+AO754)*AP685))*Timeline!AP58</f>
        <v>0</v>
      </c>
      <c r="AQ708" s="10">
        <f>IF(AQ$4=0, AQ568, IF($H708=0, 0, (AQ453+AQ476+AQ499*$G708+AP754)*AQ685))*Timeline!AQ58</f>
        <v>0</v>
      </c>
      <c r="AR708" s="10">
        <f>IF(AR$4=0, AR568, IF($H708=0, 0, (AR453+AR476+AR499*$G708+AQ754)*AR685))*Timeline!AR58</f>
        <v>0</v>
      </c>
      <c r="AS708" s="10">
        <f>IF(AS$4=0, AS568, IF($H708=0, 0, (AS453+AS476+AS499*$G708+AR754)*AS685))*Timeline!AS58</f>
        <v>0</v>
      </c>
      <c r="AT708" s="10">
        <f>IF(AT$4=0, AT568, IF($H708=0, 0, (AT453+AT476+AT499*$G708+AS754)*AT685))*Timeline!AT58</f>
        <v>0</v>
      </c>
      <c r="AU708" s="10">
        <f>IF(AU$4=0, AU568, IF($H708=0, 0, (AU453+AU476+AU499*$G708+AT754)*AU685))*Timeline!AU58</f>
        <v>0</v>
      </c>
      <c r="AV708" s="10">
        <f>IF(AV$4=0, AV568, IF($H708=0, 0, (AV453+AV476+AV499*$G708+AU754)*AV685))*Timeline!AV58</f>
        <v>0</v>
      </c>
      <c r="AW708" s="10">
        <f>IF(AW$4=0, AW568, IF($H708=0, 0, (AW453+AW476+AW499*$G708+AV754)*AW685))*Timeline!AW58</f>
        <v>0</v>
      </c>
      <c r="AX708" s="10">
        <f>IF(AX$4=0, AX568, IF($H708=0, 0, (AX453+AX476+AX499*$G708+AW754)*AX685))*Timeline!AX58</f>
        <v>0</v>
      </c>
      <c r="AY708" s="10">
        <f>IF(AY$4=0, AY568, IF($H708=0, 0, (AY453+AY476+AY499*$G708+AX754)*AY685))*Timeline!AY58</f>
        <v>0</v>
      </c>
      <c r="AZ708" s="10">
        <f>IF(AZ$4=0, AZ568, IF($H708=0, 0, (AZ453+AZ476+AZ499*$G708+AY754)*AZ685))*Timeline!AZ58</f>
        <v>0</v>
      </c>
      <c r="BA708" s="10">
        <f>IF(BA$4=0, BA568, IF($H708=0, 0, (BA453+BA476+BA499*$G708+AZ754)*BA685))*Timeline!BA58</f>
        <v>0</v>
      </c>
      <c r="BB708" s="10">
        <f>IF(BB$4=0, BB568, IF($H708=0, 0, (BB453+BB476+BB499*$G708+BA754)*BB685))*Timeline!BB58</f>
        <v>0</v>
      </c>
      <c r="BC708" s="10">
        <f>IF(BC$4=0, BC568, IF($H708=0, 0, (BC453+BC476+BC499*$G708+BB754)*BC685))*Timeline!BC58</f>
        <v>0</v>
      </c>
      <c r="BD708" s="10">
        <f>IF(BD$4=0, BD568, IF($H708=0, 0, (BD453+BD476+BD499*$G708+BC754)*BD685))*Timeline!BD58</f>
        <v>0</v>
      </c>
      <c r="BE708" s="10">
        <f>IF(BE$4=0, BE568, IF($H708=0, 0, (BE453+BE476+BE499*$G708+BD754)*BE685))*Timeline!BE58</f>
        <v>0</v>
      </c>
      <c r="BF708" s="10">
        <f>IF(BF$4=0, BF568, IF($H708=0, 0, (BF453+BF476+BF499*$G708+BE754)*BF685))*Timeline!BF58</f>
        <v>0</v>
      </c>
      <c r="BG708" s="10">
        <f>IF(BG$4=0, BG568, IF($H708=0, 0, (BG453+BG476+BG499*$G708+BF754)*BG685))*Timeline!BG58</f>
        <v>0</v>
      </c>
      <c r="BH708" s="10">
        <f>IF(BH$4=0, BH568, IF($H708=0, 0, (BH453+BH476+BH499*$G708+BG754)*BH685))*Timeline!BH58</f>
        <v>0</v>
      </c>
      <c r="BI708" s="10">
        <f>IF(BI$4=0, BI568, IF($H708=0, 0, (BI453+BI476+BI499*$G708+BH754)*BI685))*Timeline!BI58</f>
        <v>0</v>
      </c>
      <c r="BJ708" s="10">
        <f>IF(BJ$4=0, BJ568, IF($H708=0, 0, (BJ453+BJ476+BJ499*$G708+BI754)*BJ685))*Timeline!BJ58</f>
        <v>0</v>
      </c>
      <c r="BK708" s="10">
        <f>IF(BK$4=0, BK568, IF($H708=0, 0, (BK453+BK476+BK499*$G708+BJ754)*BK685))*Timeline!BK58</f>
        <v>0</v>
      </c>
      <c r="BL708" s="10">
        <f>IF(BL$4=0, BL568, IF($H708=0, 0, (BL453+BL476+BL499*$G708+BK754)*BL685))*Timeline!BL58</f>
        <v>0</v>
      </c>
      <c r="BM708" s="10">
        <f>IF(BM$4=0, BM568, IF($H708=0, 0, (BM453+BM476+BM499*$G708+BL754)*BM685))*Timeline!BM58</f>
        <v>0</v>
      </c>
      <c r="BN708" s="10">
        <f>IF(BN$4=0, BN568, IF($H708=0, 0, (BN453+BN476+BN499*$G708+BM754)*BN685))*Timeline!BN58</f>
        <v>0</v>
      </c>
      <c r="BO708" s="10">
        <f>IF(BO$4=0, BO568, IF($H708=0, 0, (BO453+BO476+BO499*$G708+BN754)*BO685))*Timeline!BO58</f>
        <v>0</v>
      </c>
      <c r="BP708" s="10">
        <f>IF(BP$4=0, BP568, IF($H708=0, 0, (BP453+BP476+BP499*$G708+BO754)*BP685))*Timeline!BP58</f>
        <v>0</v>
      </c>
      <c r="BQ708" s="10">
        <f>IF(BQ$4=0, BQ568, IF($H708=0, 0, (BQ453+BQ476+BQ499*$G708+BP754)*BQ685))*Timeline!BQ58</f>
        <v>0</v>
      </c>
      <c r="BR708" s="10">
        <f>IF(BR$4=0, BR568, IF($H708=0, 0, (BR453+BR476+BR499*$G708+BQ754)*BR685))*Timeline!BR58</f>
        <v>0</v>
      </c>
      <c r="BS708" s="10">
        <f>IF(BS$4=0, BS568, IF($H708=0, 0, (BS453+BS476+BS499*$G708+BR754)*BS685))*Timeline!BS58</f>
        <v>0</v>
      </c>
      <c r="BT708" s="10">
        <f>IF(BT$4=0, BT568, IF($H708=0, 0, (BT453+BT476+BT499*$G708+BS754)*BT685))*Timeline!BT58</f>
        <v>0</v>
      </c>
      <c r="BU708" s="10">
        <f>IF(BU$4=0, BU568, IF($H708=0, 0, (BU453+BU476+BU499*$G708+BT754)*BU685))*Timeline!BU58</f>
        <v>0</v>
      </c>
      <c r="BV708" s="10">
        <f>IF(BV$4=0, BV568, IF($H708=0, 0, (BV453+BV476+BV499*$G708+BU754)*BV685))*Timeline!BV58</f>
        <v>0</v>
      </c>
      <c r="BW708"/>
      <c r="BX708" s="12">
        <f t="shared" si="749"/>
        <v>0</v>
      </c>
      <c r="BY708" s="12">
        <f t="shared" si="750"/>
        <v>0</v>
      </c>
      <c r="BZ708" s="12">
        <f t="shared" si="751"/>
        <v>0</v>
      </c>
      <c r="CA708" s="12">
        <f t="shared" si="752"/>
        <v>0</v>
      </c>
      <c r="CB708" s="133">
        <f t="shared" si="753"/>
        <v>0</v>
      </c>
      <c r="CC708" s="106"/>
      <c r="CD708" s="106"/>
      <c r="CE708" s="106"/>
      <c r="CF708" s="106"/>
      <c r="CG708" s="106"/>
      <c r="CH708" s="106"/>
      <c r="CI708" s="106"/>
      <c r="CJ708"/>
      <c r="CK708" s="11"/>
      <c r="CL708"/>
      <c r="CM708" s="11"/>
      <c r="CN708"/>
      <c r="CO708"/>
      <c r="CP708"/>
      <c r="CQ708"/>
      <c r="CR708"/>
      <c r="CS708"/>
      <c r="CT708"/>
      <c r="CU708"/>
      <c r="CV708" s="120"/>
      <c r="CW708" s="7">
        <f t="shared" si="754"/>
        <v>0</v>
      </c>
      <c r="CX708"/>
      <c r="CY708"/>
      <c r="CZ708"/>
      <c r="DA708"/>
      <c r="DB708"/>
      <c r="DC708"/>
      <c r="DD708"/>
      <c r="DE708"/>
      <c r="DF708" s="11"/>
      <c r="EY708" s="10" t="str">
        <f t="shared" si="746"/>
        <v/>
      </c>
    </row>
    <row r="709" spans="1:155" x14ac:dyDescent="0.35">
      <c r="A709" s="220" cm="1">
        <f t="array" aca="1" ref="A709" ca="1">HYPERLINK(CONCATENATE("#",CELL("address",IF(MAX($CM709:$DF709)=0,A709,INDEX($CM709:$DF709,MATCH(1,$CM709:$DF709,0))))),MAX($CM709:$DF709))</f>
        <v>0</v>
      </c>
      <c r="B709" s="69" t="str" cm="1">
        <f t="array" aca="1" ref="B709" ca="1">HYPERLINK(CONCATENATE("#",CELL("address",$D$322)),$D$322)</f>
        <v>Loan 15</v>
      </c>
      <c r="C709" s="211"/>
      <c r="D709" s="49">
        <f>D$27</f>
        <v>0</v>
      </c>
      <c r="E709" s="49" t="str">
        <f>F$27</f>
        <v/>
      </c>
      <c r="F709" s="49"/>
      <c r="G709" s="10">
        <f>U$27</f>
        <v>0</v>
      </c>
      <c r="H709" s="10">
        <f>Q$27</f>
        <v>0</v>
      </c>
      <c r="I709" s="40" t="s">
        <v>665</v>
      </c>
      <c r="V709" s="12">
        <f t="shared" si="747"/>
        <v>0</v>
      </c>
      <c r="W709" s="133">
        <f t="shared" si="748"/>
        <v>0</v>
      </c>
      <c r="X709" s="133">
        <f t="shared" si="748"/>
        <v>0</v>
      </c>
      <c r="Y709" s="133">
        <f t="shared" si="748"/>
        <v>0</v>
      </c>
      <c r="AA709" s="10">
        <f>IF(AA$4=0, AA569, IF($H709=0, 0, (AA454+AA477+AA500*$G709+Z755)*AA686))*Timeline!AA59</f>
        <v>0</v>
      </c>
      <c r="AB709" s="10">
        <f>IF(AB$4=0, AB569, IF($H709=0, 0, (AB454+AB477+AB500*$G709+AA755)*AB686))*Timeline!AB59</f>
        <v>0</v>
      </c>
      <c r="AC709" s="10">
        <f>IF(AC$4=0, AC569, IF($H709=0, 0, (AC454+AC477+AC500*$G709+AB755)*AC686))*Timeline!AC59</f>
        <v>0</v>
      </c>
      <c r="AD709" s="10">
        <f>IF(AD$4=0, AD569, IF($H709=0, 0, (AD454+AD477+AD500*$G709+AC755)*AD686))*Timeline!AD59</f>
        <v>0</v>
      </c>
      <c r="AE709" s="10">
        <f>IF(AE$4=0, AE569, IF($H709=0, 0, (AE454+AE477+AE500*$G709+AD755)*AE686))*Timeline!AE59</f>
        <v>0</v>
      </c>
      <c r="AF709" s="10">
        <f>IF(AF$4=0, AF569, IF($H709=0, 0, (AF454+AF477+AF500*$G709+AE755)*AF686))*Timeline!AF59</f>
        <v>0</v>
      </c>
      <c r="AG709" s="10">
        <f>IF(AG$4=0, AG569, IF($H709=0, 0, (AG454+AG477+AG500*$G709+AF755)*AG686))*Timeline!AG59</f>
        <v>0</v>
      </c>
      <c r="AH709" s="10">
        <f>IF(AH$4=0, AH569, IF($H709=0, 0, (AH454+AH477+AH500*$G709+AG755)*AH686))*Timeline!AH59</f>
        <v>0</v>
      </c>
      <c r="AI709" s="10">
        <f>IF(AI$4=0, AI569, IF($H709=0, 0, (AI454+AI477+AI500*$G709+AH755)*AI686))*Timeline!AI59</f>
        <v>0</v>
      </c>
      <c r="AJ709" s="10">
        <f>IF(AJ$4=0, AJ569, IF($H709=0, 0, (AJ454+AJ477+AJ500*$G709+AI755)*AJ686))*Timeline!AJ59</f>
        <v>0</v>
      </c>
      <c r="AK709" s="10">
        <f>IF(AK$4=0, AK569, IF($H709=0, 0, (AK454+AK477+AK500*$G709+AJ755)*AK686))*Timeline!AK59</f>
        <v>0</v>
      </c>
      <c r="AL709" s="10">
        <f>IF(AL$4=0, AL569, IF($H709=0, 0, (AL454+AL477+AL500*$G709+AK755)*AL686))*Timeline!AL59</f>
        <v>0</v>
      </c>
      <c r="AM709" s="10">
        <f>IF(AM$4=0, AM569, IF($H709=0, 0, (AM454+AM477+AM500*$G709+AL755)*AM686))*Timeline!AM59</f>
        <v>0</v>
      </c>
      <c r="AN709" s="10">
        <f>IF(AN$4=0, AN569, IF($H709=0, 0, (AN454+AN477+AN500*$G709+AM755)*AN686))*Timeline!AN59</f>
        <v>0</v>
      </c>
      <c r="AO709" s="10">
        <f>IF(AO$4=0, AO569, IF($H709=0, 0, (AO454+AO477+AO500*$G709+AN755)*AO686))*Timeline!AO59</f>
        <v>0</v>
      </c>
      <c r="AP709" s="10">
        <f>IF(AP$4=0, AP569, IF($H709=0, 0, (AP454+AP477+AP500*$G709+AO755)*AP686))*Timeline!AP59</f>
        <v>0</v>
      </c>
      <c r="AQ709" s="10">
        <f>IF(AQ$4=0, AQ569, IF($H709=0, 0, (AQ454+AQ477+AQ500*$G709+AP755)*AQ686))*Timeline!AQ59</f>
        <v>0</v>
      </c>
      <c r="AR709" s="10">
        <f>IF(AR$4=0, AR569, IF($H709=0, 0, (AR454+AR477+AR500*$G709+AQ755)*AR686))*Timeline!AR59</f>
        <v>0</v>
      </c>
      <c r="AS709" s="10">
        <f>IF(AS$4=0, AS569, IF($H709=0, 0, (AS454+AS477+AS500*$G709+AR755)*AS686))*Timeline!AS59</f>
        <v>0</v>
      </c>
      <c r="AT709" s="10">
        <f>IF(AT$4=0, AT569, IF($H709=0, 0, (AT454+AT477+AT500*$G709+AS755)*AT686))*Timeline!AT59</f>
        <v>0</v>
      </c>
      <c r="AU709" s="10">
        <f>IF(AU$4=0, AU569, IF($H709=0, 0, (AU454+AU477+AU500*$G709+AT755)*AU686))*Timeline!AU59</f>
        <v>0</v>
      </c>
      <c r="AV709" s="10">
        <f>IF(AV$4=0, AV569, IF($H709=0, 0, (AV454+AV477+AV500*$G709+AU755)*AV686))*Timeline!AV59</f>
        <v>0</v>
      </c>
      <c r="AW709" s="10">
        <f>IF(AW$4=0, AW569, IF($H709=0, 0, (AW454+AW477+AW500*$G709+AV755)*AW686))*Timeline!AW59</f>
        <v>0</v>
      </c>
      <c r="AX709" s="10">
        <f>IF(AX$4=0, AX569, IF($H709=0, 0, (AX454+AX477+AX500*$G709+AW755)*AX686))*Timeline!AX59</f>
        <v>0</v>
      </c>
      <c r="AY709" s="10">
        <f>IF(AY$4=0, AY569, IF($H709=0, 0, (AY454+AY477+AY500*$G709+AX755)*AY686))*Timeline!AY59</f>
        <v>0</v>
      </c>
      <c r="AZ709" s="10">
        <f>IF(AZ$4=0, AZ569, IF($H709=0, 0, (AZ454+AZ477+AZ500*$G709+AY755)*AZ686))*Timeline!AZ59</f>
        <v>0</v>
      </c>
      <c r="BA709" s="10">
        <f>IF(BA$4=0, BA569, IF($H709=0, 0, (BA454+BA477+BA500*$G709+AZ755)*BA686))*Timeline!BA59</f>
        <v>0</v>
      </c>
      <c r="BB709" s="10">
        <f>IF(BB$4=0, BB569, IF($H709=0, 0, (BB454+BB477+BB500*$G709+BA755)*BB686))*Timeline!BB59</f>
        <v>0</v>
      </c>
      <c r="BC709" s="10">
        <f>IF(BC$4=0, BC569, IF($H709=0, 0, (BC454+BC477+BC500*$G709+BB755)*BC686))*Timeline!BC59</f>
        <v>0</v>
      </c>
      <c r="BD709" s="10">
        <f>IF(BD$4=0, BD569, IF($H709=0, 0, (BD454+BD477+BD500*$G709+BC755)*BD686))*Timeline!BD59</f>
        <v>0</v>
      </c>
      <c r="BE709" s="10">
        <f>IF(BE$4=0, BE569, IF($H709=0, 0, (BE454+BE477+BE500*$G709+BD755)*BE686))*Timeline!BE59</f>
        <v>0</v>
      </c>
      <c r="BF709" s="10">
        <f>IF(BF$4=0, BF569, IF($H709=0, 0, (BF454+BF477+BF500*$G709+BE755)*BF686))*Timeline!BF59</f>
        <v>0</v>
      </c>
      <c r="BG709" s="10">
        <f>IF(BG$4=0, BG569, IF($H709=0, 0, (BG454+BG477+BG500*$G709+BF755)*BG686))*Timeline!BG59</f>
        <v>0</v>
      </c>
      <c r="BH709" s="10">
        <f>IF(BH$4=0, BH569, IF($H709=0, 0, (BH454+BH477+BH500*$G709+BG755)*BH686))*Timeline!BH59</f>
        <v>0</v>
      </c>
      <c r="BI709" s="10">
        <f>IF(BI$4=0, BI569, IF($H709=0, 0, (BI454+BI477+BI500*$G709+BH755)*BI686))*Timeline!BI59</f>
        <v>0</v>
      </c>
      <c r="BJ709" s="10">
        <f>IF(BJ$4=0, BJ569, IF($H709=0, 0, (BJ454+BJ477+BJ500*$G709+BI755)*BJ686))*Timeline!BJ59</f>
        <v>0</v>
      </c>
      <c r="BK709" s="10">
        <f>IF(BK$4=0, BK569, IF($H709=0, 0, (BK454+BK477+BK500*$G709+BJ755)*BK686))*Timeline!BK59</f>
        <v>0</v>
      </c>
      <c r="BL709" s="10">
        <f>IF(BL$4=0, BL569, IF($H709=0, 0, (BL454+BL477+BL500*$G709+BK755)*BL686))*Timeline!BL59</f>
        <v>0</v>
      </c>
      <c r="BM709" s="10">
        <f>IF(BM$4=0, BM569, IF($H709=0, 0, (BM454+BM477+BM500*$G709+BL755)*BM686))*Timeline!BM59</f>
        <v>0</v>
      </c>
      <c r="BN709" s="10">
        <f>IF(BN$4=0, BN569, IF($H709=0, 0, (BN454+BN477+BN500*$G709+BM755)*BN686))*Timeline!BN59</f>
        <v>0</v>
      </c>
      <c r="BO709" s="10">
        <f>IF(BO$4=0, BO569, IF($H709=0, 0, (BO454+BO477+BO500*$G709+BN755)*BO686))*Timeline!BO59</f>
        <v>0</v>
      </c>
      <c r="BP709" s="10">
        <f>IF(BP$4=0, BP569, IF($H709=0, 0, (BP454+BP477+BP500*$G709+BO755)*BP686))*Timeline!BP59</f>
        <v>0</v>
      </c>
      <c r="BQ709" s="10">
        <f>IF(BQ$4=0, BQ569, IF($H709=0, 0, (BQ454+BQ477+BQ500*$G709+BP755)*BQ686))*Timeline!BQ59</f>
        <v>0</v>
      </c>
      <c r="BR709" s="10">
        <f>IF(BR$4=0, BR569, IF($H709=0, 0, (BR454+BR477+BR500*$G709+BQ755)*BR686))*Timeline!BR59</f>
        <v>0</v>
      </c>
      <c r="BS709" s="10">
        <f>IF(BS$4=0, BS569, IF($H709=0, 0, (BS454+BS477+BS500*$G709+BR755)*BS686))*Timeline!BS59</f>
        <v>0</v>
      </c>
      <c r="BT709" s="10">
        <f>IF(BT$4=0, BT569, IF($H709=0, 0, (BT454+BT477+BT500*$G709+BS755)*BT686))*Timeline!BT59</f>
        <v>0</v>
      </c>
      <c r="BU709" s="10">
        <f>IF(BU$4=0, BU569, IF($H709=0, 0, (BU454+BU477+BU500*$G709+BT755)*BU686))*Timeline!BU59</f>
        <v>0</v>
      </c>
      <c r="BV709" s="10">
        <f>IF(BV$4=0, BV569, IF($H709=0, 0, (BV454+BV477+BV500*$G709+BU755)*BV686))*Timeline!BV59</f>
        <v>0</v>
      </c>
      <c r="BX709" s="12">
        <f t="shared" si="749"/>
        <v>0</v>
      </c>
      <c r="BY709" s="12">
        <f t="shared" si="750"/>
        <v>0</v>
      </c>
      <c r="BZ709" s="12">
        <f t="shared" si="751"/>
        <v>0</v>
      </c>
      <c r="CA709" s="12">
        <f t="shared" si="752"/>
        <v>0</v>
      </c>
      <c r="CB709" s="133">
        <f t="shared" si="753"/>
        <v>0</v>
      </c>
      <c r="CC709" s="106"/>
      <c r="CD709" s="106"/>
      <c r="CE709" s="106"/>
      <c r="CF709" s="106"/>
      <c r="CG709" s="106"/>
      <c r="CH709" s="106"/>
      <c r="CI709" s="106"/>
      <c r="CK709" s="11"/>
      <c r="CM709" s="11"/>
      <c r="CV709" s="120"/>
      <c r="CW709" s="7">
        <f t="shared" si="754"/>
        <v>0</v>
      </c>
      <c r="DF709" s="11"/>
      <c r="EY709" s="10" t="str">
        <f t="shared" si="746"/>
        <v/>
      </c>
    </row>
    <row r="710" spans="1:155" x14ac:dyDescent="0.35">
      <c r="A710" s="220" cm="1">
        <f t="array" aca="1" ref="A710" ca="1">HYPERLINK(CONCATENATE("#",CELL("address",IF(MAX($CM710:$DF710)=0,A710,INDEX($CM710:$DF710,MATCH(1,$CM710:$DF710,0))))),MAX($CM710:$DF710))</f>
        <v>0</v>
      </c>
      <c r="B710" s="69" t="str" cm="1">
        <f t="array" aca="1" ref="B710" ca="1">HYPERLINK(CONCATENATE("#",CELL("address",$D$341)),$D$341)</f>
        <v>Loan 16</v>
      </c>
      <c r="C710" s="211"/>
      <c r="D710" s="49">
        <f>D$28</f>
        <v>0</v>
      </c>
      <c r="E710" s="49" t="str">
        <f>F$28</f>
        <v/>
      </c>
      <c r="F710" s="49"/>
      <c r="G710" s="10">
        <f>U$28</f>
        <v>0</v>
      </c>
      <c r="H710" s="10">
        <f>Q$28</f>
        <v>0</v>
      </c>
      <c r="I710" s="40" t="s">
        <v>665</v>
      </c>
      <c r="V710" s="12">
        <f t="shared" si="747"/>
        <v>0</v>
      </c>
      <c r="W710" s="133">
        <f t="shared" si="748"/>
        <v>0</v>
      </c>
      <c r="X710" s="133">
        <f t="shared" si="748"/>
        <v>0</v>
      </c>
      <c r="Y710" s="133">
        <f t="shared" si="748"/>
        <v>0</v>
      </c>
      <c r="AA710" s="10">
        <f>IF(AA$4=0, AA570, IF($H710=0, 0, (AA455+AA478+AA501*$G710+Z756)*AA687))*Timeline!AA60</f>
        <v>0</v>
      </c>
      <c r="AB710" s="10">
        <f>IF(AB$4=0, AB570, IF($H710=0, 0, (AB455+AB478+AB501*$G710+AA756)*AB687))*Timeline!AB60</f>
        <v>0</v>
      </c>
      <c r="AC710" s="10">
        <f>IF(AC$4=0, AC570, IF($H710=0, 0, (AC455+AC478+AC501*$G710+AB756)*AC687))*Timeline!AC60</f>
        <v>0</v>
      </c>
      <c r="AD710" s="10">
        <f>IF(AD$4=0, AD570, IF($H710=0, 0, (AD455+AD478+AD501*$G710+AC756)*AD687))*Timeline!AD60</f>
        <v>0</v>
      </c>
      <c r="AE710" s="10">
        <f>IF(AE$4=0, AE570, IF($H710=0, 0, (AE455+AE478+AE501*$G710+AD756)*AE687))*Timeline!AE60</f>
        <v>0</v>
      </c>
      <c r="AF710" s="10">
        <f>IF(AF$4=0, AF570, IF($H710=0, 0, (AF455+AF478+AF501*$G710+AE756)*AF687))*Timeline!AF60</f>
        <v>0</v>
      </c>
      <c r="AG710" s="10">
        <f>IF(AG$4=0, AG570, IF($H710=0, 0, (AG455+AG478+AG501*$G710+AF756)*AG687))*Timeline!AG60</f>
        <v>0</v>
      </c>
      <c r="AH710" s="10">
        <f>IF(AH$4=0, AH570, IF($H710=0, 0, (AH455+AH478+AH501*$G710+AG756)*AH687))*Timeline!AH60</f>
        <v>0</v>
      </c>
      <c r="AI710" s="10">
        <f>IF(AI$4=0, AI570, IF($H710=0, 0, (AI455+AI478+AI501*$G710+AH756)*AI687))*Timeline!AI60</f>
        <v>0</v>
      </c>
      <c r="AJ710" s="10">
        <f>IF(AJ$4=0, AJ570, IF($H710=0, 0, (AJ455+AJ478+AJ501*$G710+AI756)*AJ687))*Timeline!AJ60</f>
        <v>0</v>
      </c>
      <c r="AK710" s="10">
        <f>IF(AK$4=0, AK570, IF($H710=0, 0, (AK455+AK478+AK501*$G710+AJ756)*AK687))*Timeline!AK60</f>
        <v>0</v>
      </c>
      <c r="AL710" s="10">
        <f>IF(AL$4=0, AL570, IF($H710=0, 0, (AL455+AL478+AL501*$G710+AK756)*AL687))*Timeline!AL60</f>
        <v>0</v>
      </c>
      <c r="AM710" s="10">
        <f>IF(AM$4=0, AM570, IF($H710=0, 0, (AM455+AM478+AM501*$G710+AL756)*AM687))*Timeline!AM60</f>
        <v>0</v>
      </c>
      <c r="AN710" s="10">
        <f>IF(AN$4=0, AN570, IF($H710=0, 0, (AN455+AN478+AN501*$G710+AM756)*AN687))*Timeline!AN60</f>
        <v>0</v>
      </c>
      <c r="AO710" s="10">
        <f>IF(AO$4=0, AO570, IF($H710=0, 0, (AO455+AO478+AO501*$G710+AN756)*AO687))*Timeline!AO60</f>
        <v>0</v>
      </c>
      <c r="AP710" s="10">
        <f>IF(AP$4=0, AP570, IF($H710=0, 0, (AP455+AP478+AP501*$G710+AO756)*AP687))*Timeline!AP60</f>
        <v>0</v>
      </c>
      <c r="AQ710" s="10">
        <f>IF(AQ$4=0, AQ570, IF($H710=0, 0, (AQ455+AQ478+AQ501*$G710+AP756)*AQ687))*Timeline!AQ60</f>
        <v>0</v>
      </c>
      <c r="AR710" s="10">
        <f>IF(AR$4=0, AR570, IF($H710=0, 0, (AR455+AR478+AR501*$G710+AQ756)*AR687))*Timeline!AR60</f>
        <v>0</v>
      </c>
      <c r="AS710" s="10">
        <f>IF(AS$4=0, AS570, IF($H710=0, 0, (AS455+AS478+AS501*$G710+AR756)*AS687))*Timeline!AS60</f>
        <v>0</v>
      </c>
      <c r="AT710" s="10">
        <f>IF(AT$4=0, AT570, IF($H710=0, 0, (AT455+AT478+AT501*$G710+AS756)*AT687))*Timeline!AT60</f>
        <v>0</v>
      </c>
      <c r="AU710" s="10">
        <f>IF(AU$4=0, AU570, IF($H710=0, 0, (AU455+AU478+AU501*$G710+AT756)*AU687))*Timeline!AU60</f>
        <v>0</v>
      </c>
      <c r="AV710" s="10">
        <f>IF(AV$4=0, AV570, IF($H710=0, 0, (AV455+AV478+AV501*$G710+AU756)*AV687))*Timeline!AV60</f>
        <v>0</v>
      </c>
      <c r="AW710" s="10">
        <f>IF(AW$4=0, AW570, IF($H710=0, 0, (AW455+AW478+AW501*$G710+AV756)*AW687))*Timeline!AW60</f>
        <v>0</v>
      </c>
      <c r="AX710" s="10">
        <f>IF(AX$4=0, AX570, IF($H710=0, 0, (AX455+AX478+AX501*$G710+AW756)*AX687))*Timeline!AX60</f>
        <v>0</v>
      </c>
      <c r="AY710" s="10">
        <f>IF(AY$4=0, AY570, IF($H710=0, 0, (AY455+AY478+AY501*$G710+AX756)*AY687))*Timeline!AY60</f>
        <v>0</v>
      </c>
      <c r="AZ710" s="10">
        <f>IF(AZ$4=0, AZ570, IF($H710=0, 0, (AZ455+AZ478+AZ501*$G710+AY756)*AZ687))*Timeline!AZ60</f>
        <v>0</v>
      </c>
      <c r="BA710" s="10">
        <f>IF(BA$4=0, BA570, IF($H710=0, 0, (BA455+BA478+BA501*$G710+AZ756)*BA687))*Timeline!BA60</f>
        <v>0</v>
      </c>
      <c r="BB710" s="10">
        <f>IF(BB$4=0, BB570, IF($H710=0, 0, (BB455+BB478+BB501*$G710+BA756)*BB687))*Timeline!BB60</f>
        <v>0</v>
      </c>
      <c r="BC710" s="10">
        <f>IF(BC$4=0, BC570, IF($H710=0, 0, (BC455+BC478+BC501*$G710+BB756)*BC687))*Timeline!BC60</f>
        <v>0</v>
      </c>
      <c r="BD710" s="10">
        <f>IF(BD$4=0, BD570, IF($H710=0, 0, (BD455+BD478+BD501*$G710+BC756)*BD687))*Timeline!BD60</f>
        <v>0</v>
      </c>
      <c r="BE710" s="10">
        <f>IF(BE$4=0, BE570, IF($H710=0, 0, (BE455+BE478+BE501*$G710+BD756)*BE687))*Timeline!BE60</f>
        <v>0</v>
      </c>
      <c r="BF710" s="10">
        <f>IF(BF$4=0, BF570, IF($H710=0, 0, (BF455+BF478+BF501*$G710+BE756)*BF687))*Timeline!BF60</f>
        <v>0</v>
      </c>
      <c r="BG710" s="10">
        <f>IF(BG$4=0, BG570, IF($H710=0, 0, (BG455+BG478+BG501*$G710+BF756)*BG687))*Timeline!BG60</f>
        <v>0</v>
      </c>
      <c r="BH710" s="10">
        <f>IF(BH$4=0, BH570, IF($H710=0, 0, (BH455+BH478+BH501*$G710+BG756)*BH687))*Timeline!BH60</f>
        <v>0</v>
      </c>
      <c r="BI710" s="10">
        <f>IF(BI$4=0, BI570, IF($H710=0, 0, (BI455+BI478+BI501*$G710+BH756)*BI687))*Timeline!BI60</f>
        <v>0</v>
      </c>
      <c r="BJ710" s="10">
        <f>IF(BJ$4=0, BJ570, IF($H710=0, 0, (BJ455+BJ478+BJ501*$G710+BI756)*BJ687))*Timeline!BJ60</f>
        <v>0</v>
      </c>
      <c r="BK710" s="10">
        <f>IF(BK$4=0, BK570, IF($H710=0, 0, (BK455+BK478+BK501*$G710+BJ756)*BK687))*Timeline!BK60</f>
        <v>0</v>
      </c>
      <c r="BL710" s="10">
        <f>IF(BL$4=0, BL570, IF($H710=0, 0, (BL455+BL478+BL501*$G710+BK756)*BL687))*Timeline!BL60</f>
        <v>0</v>
      </c>
      <c r="BM710" s="10">
        <f>IF(BM$4=0, BM570, IF($H710=0, 0, (BM455+BM478+BM501*$G710+BL756)*BM687))*Timeline!BM60</f>
        <v>0</v>
      </c>
      <c r="BN710" s="10">
        <f>IF(BN$4=0, BN570, IF($H710=0, 0, (BN455+BN478+BN501*$G710+BM756)*BN687))*Timeline!BN60</f>
        <v>0</v>
      </c>
      <c r="BO710" s="10">
        <f>IF(BO$4=0, BO570, IF($H710=0, 0, (BO455+BO478+BO501*$G710+BN756)*BO687))*Timeline!BO60</f>
        <v>0</v>
      </c>
      <c r="BP710" s="10">
        <f>IF(BP$4=0, BP570, IF($H710=0, 0, (BP455+BP478+BP501*$G710+BO756)*BP687))*Timeline!BP60</f>
        <v>0</v>
      </c>
      <c r="BQ710" s="10">
        <f>IF(BQ$4=0, BQ570, IF($H710=0, 0, (BQ455+BQ478+BQ501*$G710+BP756)*BQ687))*Timeline!BQ60</f>
        <v>0</v>
      </c>
      <c r="BR710" s="10">
        <f>IF(BR$4=0, BR570, IF($H710=0, 0, (BR455+BR478+BR501*$G710+BQ756)*BR687))*Timeline!BR60</f>
        <v>0</v>
      </c>
      <c r="BS710" s="10">
        <f>IF(BS$4=0, BS570, IF($H710=0, 0, (BS455+BS478+BS501*$G710+BR756)*BS687))*Timeline!BS60</f>
        <v>0</v>
      </c>
      <c r="BT710" s="10">
        <f>IF(BT$4=0, BT570, IF($H710=0, 0, (BT455+BT478+BT501*$G710+BS756)*BT687))*Timeline!BT60</f>
        <v>0</v>
      </c>
      <c r="BU710" s="10">
        <f>IF(BU$4=0, BU570, IF($H710=0, 0, (BU455+BU478+BU501*$G710+BT756)*BU687))*Timeline!BU60</f>
        <v>0</v>
      </c>
      <c r="BV710" s="10">
        <f>IF(BV$4=0, BV570, IF($H710=0, 0, (BV455+BV478+BV501*$G710+BU756)*BV687))*Timeline!BV60</f>
        <v>0</v>
      </c>
      <c r="BX710" s="12">
        <f t="shared" si="749"/>
        <v>0</v>
      </c>
      <c r="BY710" s="12">
        <f t="shared" si="750"/>
        <v>0</v>
      </c>
      <c r="BZ710" s="12">
        <f t="shared" si="751"/>
        <v>0</v>
      </c>
      <c r="CA710" s="12">
        <f t="shared" si="752"/>
        <v>0</v>
      </c>
      <c r="CB710" s="133">
        <f t="shared" si="753"/>
        <v>0</v>
      </c>
      <c r="CC710" s="106"/>
      <c r="CD710" s="106"/>
      <c r="CE710" s="106"/>
      <c r="CF710" s="106"/>
      <c r="CG710" s="106"/>
      <c r="CH710" s="106"/>
      <c r="CI710" s="106"/>
      <c r="CK710" s="11"/>
      <c r="CM710" s="11"/>
      <c r="CV710" s="120"/>
      <c r="CW710" s="7">
        <f t="shared" si="754"/>
        <v>0</v>
      </c>
      <c r="DF710" s="11"/>
      <c r="EY710" s="10" t="str">
        <f t="shared" si="746"/>
        <v/>
      </c>
    </row>
    <row r="711" spans="1:155" x14ac:dyDescent="0.35">
      <c r="A711" s="220" cm="1">
        <f t="array" aca="1" ref="A711" ca="1">HYPERLINK(CONCATENATE("#",CELL("address",IF(MAX($CM711:$DF711)=0,A711,INDEX($CM711:$DF711,MATCH(1,$CM711:$DF711,0))))),MAX($CM711:$DF711))</f>
        <v>0</v>
      </c>
      <c r="B711" s="69" t="str" cm="1">
        <f t="array" aca="1" ref="B711" ca="1">HYPERLINK(CONCATENATE("#",CELL("address",$D$360)),$D$360)</f>
        <v>Loan 17</v>
      </c>
      <c r="C711" s="211"/>
      <c r="D711" s="49">
        <f>D$29</f>
        <v>0</v>
      </c>
      <c r="E711" s="49" t="str">
        <f>F$29</f>
        <v/>
      </c>
      <c r="F711" s="49"/>
      <c r="G711" s="10">
        <f>U$29</f>
        <v>0</v>
      </c>
      <c r="H711" s="10">
        <f>Q$29</f>
        <v>0</v>
      </c>
      <c r="I711" s="40" t="s">
        <v>665</v>
      </c>
      <c r="V711" s="12">
        <f t="shared" si="747"/>
        <v>0</v>
      </c>
      <c r="W711" s="133">
        <f t="shared" si="748"/>
        <v>0</v>
      </c>
      <c r="X711" s="133">
        <f t="shared" si="748"/>
        <v>0</v>
      </c>
      <c r="Y711" s="133">
        <f t="shared" si="748"/>
        <v>0</v>
      </c>
      <c r="AA711" s="10">
        <f>IF(AA$4=0, AA571, IF($H711=0, 0, (AA456+AA479+AA502*$G711+Z757)*AA688))*Timeline!AA61</f>
        <v>0</v>
      </c>
      <c r="AB711" s="10">
        <f>IF(AB$4=0, AB571, IF($H711=0, 0, (AB456+AB479+AB502*$G711+AA757)*AB688))*Timeline!AB61</f>
        <v>0</v>
      </c>
      <c r="AC711" s="10">
        <f>IF(AC$4=0, AC571, IF($H711=0, 0, (AC456+AC479+AC502*$G711+AB757)*AC688))*Timeline!AC61</f>
        <v>0</v>
      </c>
      <c r="AD711" s="10">
        <f>IF(AD$4=0, AD571, IF($H711=0, 0, (AD456+AD479+AD502*$G711+AC757)*AD688))*Timeline!AD61</f>
        <v>0</v>
      </c>
      <c r="AE711" s="10">
        <f>IF(AE$4=0, AE571, IF($H711=0, 0, (AE456+AE479+AE502*$G711+AD757)*AE688))*Timeline!AE61</f>
        <v>0</v>
      </c>
      <c r="AF711" s="10">
        <f>IF(AF$4=0, AF571, IF($H711=0, 0, (AF456+AF479+AF502*$G711+AE757)*AF688))*Timeline!AF61</f>
        <v>0</v>
      </c>
      <c r="AG711" s="10">
        <f>IF(AG$4=0, AG571, IF($H711=0, 0, (AG456+AG479+AG502*$G711+AF757)*AG688))*Timeline!AG61</f>
        <v>0</v>
      </c>
      <c r="AH711" s="10">
        <f>IF(AH$4=0, AH571, IF($H711=0, 0, (AH456+AH479+AH502*$G711+AG757)*AH688))*Timeline!AH61</f>
        <v>0</v>
      </c>
      <c r="AI711" s="10">
        <f>IF(AI$4=0, AI571, IF($H711=0, 0, (AI456+AI479+AI502*$G711+AH757)*AI688))*Timeline!AI61</f>
        <v>0</v>
      </c>
      <c r="AJ711" s="10">
        <f>IF(AJ$4=0, AJ571, IF($H711=0, 0, (AJ456+AJ479+AJ502*$G711+AI757)*AJ688))*Timeline!AJ61</f>
        <v>0</v>
      </c>
      <c r="AK711" s="10">
        <f>IF(AK$4=0, AK571, IF($H711=0, 0, (AK456+AK479+AK502*$G711+AJ757)*AK688))*Timeline!AK61</f>
        <v>0</v>
      </c>
      <c r="AL711" s="10">
        <f>IF(AL$4=0, AL571, IF($H711=0, 0, (AL456+AL479+AL502*$G711+AK757)*AL688))*Timeline!AL61</f>
        <v>0</v>
      </c>
      <c r="AM711" s="10">
        <f>IF(AM$4=0, AM571, IF($H711=0, 0, (AM456+AM479+AM502*$G711+AL757)*AM688))*Timeline!AM61</f>
        <v>0</v>
      </c>
      <c r="AN711" s="10">
        <f>IF(AN$4=0, AN571, IF($H711=0, 0, (AN456+AN479+AN502*$G711+AM757)*AN688))*Timeline!AN61</f>
        <v>0</v>
      </c>
      <c r="AO711" s="10">
        <f>IF(AO$4=0, AO571, IF($H711=0, 0, (AO456+AO479+AO502*$G711+AN757)*AO688))*Timeline!AO61</f>
        <v>0</v>
      </c>
      <c r="AP711" s="10">
        <f>IF(AP$4=0, AP571, IF($H711=0, 0, (AP456+AP479+AP502*$G711+AO757)*AP688))*Timeline!AP61</f>
        <v>0</v>
      </c>
      <c r="AQ711" s="10">
        <f>IF(AQ$4=0, AQ571, IF($H711=0, 0, (AQ456+AQ479+AQ502*$G711+AP757)*AQ688))*Timeline!AQ61</f>
        <v>0</v>
      </c>
      <c r="AR711" s="10">
        <f>IF(AR$4=0, AR571, IF($H711=0, 0, (AR456+AR479+AR502*$G711+AQ757)*AR688))*Timeline!AR61</f>
        <v>0</v>
      </c>
      <c r="AS711" s="10">
        <f>IF(AS$4=0, AS571, IF($H711=0, 0, (AS456+AS479+AS502*$G711+AR757)*AS688))*Timeline!AS61</f>
        <v>0</v>
      </c>
      <c r="AT711" s="10">
        <f>IF(AT$4=0, AT571, IF($H711=0, 0, (AT456+AT479+AT502*$G711+AS757)*AT688))*Timeline!AT61</f>
        <v>0</v>
      </c>
      <c r="AU711" s="10">
        <f>IF(AU$4=0, AU571, IF($H711=0, 0, (AU456+AU479+AU502*$G711+AT757)*AU688))*Timeline!AU61</f>
        <v>0</v>
      </c>
      <c r="AV711" s="10">
        <f>IF(AV$4=0, AV571, IF($H711=0, 0, (AV456+AV479+AV502*$G711+AU757)*AV688))*Timeline!AV61</f>
        <v>0</v>
      </c>
      <c r="AW711" s="10">
        <f>IF(AW$4=0, AW571, IF($H711=0, 0, (AW456+AW479+AW502*$G711+AV757)*AW688))*Timeline!AW61</f>
        <v>0</v>
      </c>
      <c r="AX711" s="10">
        <f>IF(AX$4=0, AX571, IF($H711=0, 0, (AX456+AX479+AX502*$G711+AW757)*AX688))*Timeline!AX61</f>
        <v>0</v>
      </c>
      <c r="AY711" s="10">
        <f>IF(AY$4=0, AY571, IF($H711=0, 0, (AY456+AY479+AY502*$G711+AX757)*AY688))*Timeline!AY61</f>
        <v>0</v>
      </c>
      <c r="AZ711" s="10">
        <f>IF(AZ$4=0, AZ571, IF($H711=0, 0, (AZ456+AZ479+AZ502*$G711+AY757)*AZ688))*Timeline!AZ61</f>
        <v>0</v>
      </c>
      <c r="BA711" s="10">
        <f>IF(BA$4=0, BA571, IF($H711=0, 0, (BA456+BA479+BA502*$G711+AZ757)*BA688))*Timeline!BA61</f>
        <v>0</v>
      </c>
      <c r="BB711" s="10">
        <f>IF(BB$4=0, BB571, IF($H711=0, 0, (BB456+BB479+BB502*$G711+BA757)*BB688))*Timeline!BB61</f>
        <v>0</v>
      </c>
      <c r="BC711" s="10">
        <f>IF(BC$4=0, BC571, IF($H711=0, 0, (BC456+BC479+BC502*$G711+BB757)*BC688))*Timeline!BC61</f>
        <v>0</v>
      </c>
      <c r="BD711" s="10">
        <f>IF(BD$4=0, BD571, IF($H711=0, 0, (BD456+BD479+BD502*$G711+BC757)*BD688))*Timeline!BD61</f>
        <v>0</v>
      </c>
      <c r="BE711" s="10">
        <f>IF(BE$4=0, BE571, IF($H711=0, 0, (BE456+BE479+BE502*$G711+BD757)*BE688))*Timeline!BE61</f>
        <v>0</v>
      </c>
      <c r="BF711" s="10">
        <f>IF(BF$4=0, BF571, IF($H711=0, 0, (BF456+BF479+BF502*$G711+BE757)*BF688))*Timeline!BF61</f>
        <v>0</v>
      </c>
      <c r="BG711" s="10">
        <f>IF(BG$4=0, BG571, IF($H711=0, 0, (BG456+BG479+BG502*$G711+BF757)*BG688))*Timeline!BG61</f>
        <v>0</v>
      </c>
      <c r="BH711" s="10">
        <f>IF(BH$4=0, BH571, IF($H711=0, 0, (BH456+BH479+BH502*$G711+BG757)*BH688))*Timeline!BH61</f>
        <v>0</v>
      </c>
      <c r="BI711" s="10">
        <f>IF(BI$4=0, BI571, IF($H711=0, 0, (BI456+BI479+BI502*$G711+BH757)*BI688))*Timeline!BI61</f>
        <v>0</v>
      </c>
      <c r="BJ711" s="10">
        <f>IF(BJ$4=0, BJ571, IF($H711=0, 0, (BJ456+BJ479+BJ502*$G711+BI757)*BJ688))*Timeline!BJ61</f>
        <v>0</v>
      </c>
      <c r="BK711" s="10">
        <f>IF(BK$4=0, BK571, IF($H711=0, 0, (BK456+BK479+BK502*$G711+BJ757)*BK688))*Timeline!BK61</f>
        <v>0</v>
      </c>
      <c r="BL711" s="10">
        <f>IF(BL$4=0, BL571, IF($H711=0, 0, (BL456+BL479+BL502*$G711+BK757)*BL688))*Timeline!BL61</f>
        <v>0</v>
      </c>
      <c r="BM711" s="10">
        <f>IF(BM$4=0, BM571, IF($H711=0, 0, (BM456+BM479+BM502*$G711+BL757)*BM688))*Timeline!BM61</f>
        <v>0</v>
      </c>
      <c r="BN711" s="10">
        <f>IF(BN$4=0, BN571, IF($H711=0, 0, (BN456+BN479+BN502*$G711+BM757)*BN688))*Timeline!BN61</f>
        <v>0</v>
      </c>
      <c r="BO711" s="10">
        <f>IF(BO$4=0, BO571, IF($H711=0, 0, (BO456+BO479+BO502*$G711+BN757)*BO688))*Timeline!BO61</f>
        <v>0</v>
      </c>
      <c r="BP711" s="10">
        <f>IF(BP$4=0, BP571, IF($H711=0, 0, (BP456+BP479+BP502*$G711+BO757)*BP688))*Timeline!BP61</f>
        <v>0</v>
      </c>
      <c r="BQ711" s="10">
        <f>IF(BQ$4=0, BQ571, IF($H711=0, 0, (BQ456+BQ479+BQ502*$G711+BP757)*BQ688))*Timeline!BQ61</f>
        <v>0</v>
      </c>
      <c r="BR711" s="10">
        <f>IF(BR$4=0, BR571, IF($H711=0, 0, (BR456+BR479+BR502*$G711+BQ757)*BR688))*Timeline!BR61</f>
        <v>0</v>
      </c>
      <c r="BS711" s="10">
        <f>IF(BS$4=0, BS571, IF($H711=0, 0, (BS456+BS479+BS502*$G711+BR757)*BS688))*Timeline!BS61</f>
        <v>0</v>
      </c>
      <c r="BT711" s="10">
        <f>IF(BT$4=0, BT571, IF($H711=0, 0, (BT456+BT479+BT502*$G711+BS757)*BT688))*Timeline!BT61</f>
        <v>0</v>
      </c>
      <c r="BU711" s="10">
        <f>IF(BU$4=0, BU571, IF($H711=0, 0, (BU456+BU479+BU502*$G711+BT757)*BU688))*Timeline!BU61</f>
        <v>0</v>
      </c>
      <c r="BV711" s="10">
        <f>IF(BV$4=0, BV571, IF($H711=0, 0, (BV456+BV479+BV502*$G711+BU757)*BV688))*Timeline!BV61</f>
        <v>0</v>
      </c>
      <c r="BX711" s="12">
        <f t="shared" si="749"/>
        <v>0</v>
      </c>
      <c r="BY711" s="12">
        <f t="shared" si="750"/>
        <v>0</v>
      </c>
      <c r="BZ711" s="12">
        <f t="shared" si="751"/>
        <v>0</v>
      </c>
      <c r="CA711" s="12">
        <f t="shared" si="752"/>
        <v>0</v>
      </c>
      <c r="CB711" s="133">
        <f t="shared" si="753"/>
        <v>0</v>
      </c>
      <c r="CC711" s="106"/>
      <c r="CD711" s="106"/>
      <c r="CE711" s="106"/>
      <c r="CF711" s="106"/>
      <c r="CG711" s="106"/>
      <c r="CH711" s="106"/>
      <c r="CI711" s="106"/>
      <c r="CK711" s="11"/>
      <c r="CM711" s="11"/>
      <c r="CV711" s="120"/>
      <c r="CW711" s="7">
        <f t="shared" si="754"/>
        <v>0</v>
      </c>
      <c r="DF711" s="11"/>
      <c r="EY711" s="10" t="str">
        <f t="shared" si="746"/>
        <v/>
      </c>
    </row>
    <row r="712" spans="1:155" x14ac:dyDescent="0.35">
      <c r="A712" s="220" cm="1">
        <f t="array" aca="1" ref="A712" ca="1">HYPERLINK(CONCATENATE("#",CELL("address",IF(MAX($CM712:$DF712)=0,A712,INDEX($CM712:$DF712,MATCH(1,$CM712:$DF712,0))))),MAX($CM712:$DF712))</f>
        <v>0</v>
      </c>
      <c r="B712" s="69" t="str" cm="1">
        <f t="array" aca="1" ref="B712" ca="1">HYPERLINK(CONCATENATE("#",CELL("address",$D$379)),$D$379)</f>
        <v>Loan 18</v>
      </c>
      <c r="C712" s="211"/>
      <c r="D712" s="49">
        <f>D$30</f>
        <v>0</v>
      </c>
      <c r="E712" s="49" t="str">
        <f>F$30</f>
        <v/>
      </c>
      <c r="F712" s="49"/>
      <c r="G712" s="10">
        <f>U$30</f>
        <v>0</v>
      </c>
      <c r="H712" s="10">
        <f>Q$30</f>
        <v>0</v>
      </c>
      <c r="I712" s="40" t="s">
        <v>665</v>
      </c>
      <c r="V712" s="12">
        <f t="shared" si="747"/>
        <v>0</v>
      </c>
      <c r="W712" s="133">
        <f t="shared" si="748"/>
        <v>0</v>
      </c>
      <c r="X712" s="133">
        <f t="shared" si="748"/>
        <v>0</v>
      </c>
      <c r="Y712" s="133">
        <f t="shared" si="748"/>
        <v>0</v>
      </c>
      <c r="AA712" s="10">
        <f>IF(AA$4=0, AA572, IF($H712=0, 0, (AA457+AA480+AA503*$G712+Z758)*AA689))*Timeline!AA62</f>
        <v>0</v>
      </c>
      <c r="AB712" s="10">
        <f>IF(AB$4=0, AB572, IF($H712=0, 0, (AB457+AB480+AB503*$G712+AA758)*AB689))*Timeline!AB62</f>
        <v>0</v>
      </c>
      <c r="AC712" s="10">
        <f>IF(AC$4=0, AC572, IF($H712=0, 0, (AC457+AC480+AC503*$G712+AB758)*AC689))*Timeline!AC62</f>
        <v>0</v>
      </c>
      <c r="AD712" s="10">
        <f>IF(AD$4=0, AD572, IF($H712=0, 0, (AD457+AD480+AD503*$G712+AC758)*AD689))*Timeline!AD62</f>
        <v>0</v>
      </c>
      <c r="AE712" s="10">
        <f>IF(AE$4=0, AE572, IF($H712=0, 0, (AE457+AE480+AE503*$G712+AD758)*AE689))*Timeline!AE62</f>
        <v>0</v>
      </c>
      <c r="AF712" s="10">
        <f>IF(AF$4=0, AF572, IF($H712=0, 0, (AF457+AF480+AF503*$G712+AE758)*AF689))*Timeline!AF62</f>
        <v>0</v>
      </c>
      <c r="AG712" s="10">
        <f>IF(AG$4=0, AG572, IF($H712=0, 0, (AG457+AG480+AG503*$G712+AF758)*AG689))*Timeline!AG62</f>
        <v>0</v>
      </c>
      <c r="AH712" s="10">
        <f>IF(AH$4=0, AH572, IF($H712=0, 0, (AH457+AH480+AH503*$G712+AG758)*AH689))*Timeline!AH62</f>
        <v>0</v>
      </c>
      <c r="AI712" s="10">
        <f>IF(AI$4=0, AI572, IF($H712=0, 0, (AI457+AI480+AI503*$G712+AH758)*AI689))*Timeline!AI62</f>
        <v>0</v>
      </c>
      <c r="AJ712" s="10">
        <f>IF(AJ$4=0, AJ572, IF($H712=0, 0, (AJ457+AJ480+AJ503*$G712+AI758)*AJ689))*Timeline!AJ62</f>
        <v>0</v>
      </c>
      <c r="AK712" s="10">
        <f>IF(AK$4=0, AK572, IF($H712=0, 0, (AK457+AK480+AK503*$G712+AJ758)*AK689))*Timeline!AK62</f>
        <v>0</v>
      </c>
      <c r="AL712" s="10">
        <f>IF(AL$4=0, AL572, IF($H712=0, 0, (AL457+AL480+AL503*$G712+AK758)*AL689))*Timeline!AL62</f>
        <v>0</v>
      </c>
      <c r="AM712" s="10">
        <f>IF(AM$4=0, AM572, IF($H712=0, 0, (AM457+AM480+AM503*$G712+AL758)*AM689))*Timeline!AM62</f>
        <v>0</v>
      </c>
      <c r="AN712" s="10">
        <f>IF(AN$4=0, AN572, IF($H712=0, 0, (AN457+AN480+AN503*$G712+AM758)*AN689))*Timeline!AN62</f>
        <v>0</v>
      </c>
      <c r="AO712" s="10">
        <f>IF(AO$4=0, AO572, IF($H712=0, 0, (AO457+AO480+AO503*$G712+AN758)*AO689))*Timeline!AO62</f>
        <v>0</v>
      </c>
      <c r="AP712" s="10">
        <f>IF(AP$4=0, AP572, IF($H712=0, 0, (AP457+AP480+AP503*$G712+AO758)*AP689))*Timeline!AP62</f>
        <v>0</v>
      </c>
      <c r="AQ712" s="10">
        <f>IF(AQ$4=0, AQ572, IF($H712=0, 0, (AQ457+AQ480+AQ503*$G712+AP758)*AQ689))*Timeline!AQ62</f>
        <v>0</v>
      </c>
      <c r="AR712" s="10">
        <f>IF(AR$4=0, AR572, IF($H712=0, 0, (AR457+AR480+AR503*$G712+AQ758)*AR689))*Timeline!AR62</f>
        <v>0</v>
      </c>
      <c r="AS712" s="10">
        <f>IF(AS$4=0, AS572, IF($H712=0, 0, (AS457+AS480+AS503*$G712+AR758)*AS689))*Timeline!AS62</f>
        <v>0</v>
      </c>
      <c r="AT712" s="10">
        <f>IF(AT$4=0, AT572, IF($H712=0, 0, (AT457+AT480+AT503*$G712+AS758)*AT689))*Timeline!AT62</f>
        <v>0</v>
      </c>
      <c r="AU712" s="10">
        <f>IF(AU$4=0, AU572, IF($H712=0, 0, (AU457+AU480+AU503*$G712+AT758)*AU689))*Timeline!AU62</f>
        <v>0</v>
      </c>
      <c r="AV712" s="10">
        <f>IF(AV$4=0, AV572, IF($H712=0, 0, (AV457+AV480+AV503*$G712+AU758)*AV689))*Timeline!AV62</f>
        <v>0</v>
      </c>
      <c r="AW712" s="10">
        <f>IF(AW$4=0, AW572, IF($H712=0, 0, (AW457+AW480+AW503*$G712+AV758)*AW689))*Timeline!AW62</f>
        <v>0</v>
      </c>
      <c r="AX712" s="10">
        <f>IF(AX$4=0, AX572, IF($H712=0, 0, (AX457+AX480+AX503*$G712+AW758)*AX689))*Timeline!AX62</f>
        <v>0</v>
      </c>
      <c r="AY712" s="10">
        <f>IF(AY$4=0, AY572, IF($H712=0, 0, (AY457+AY480+AY503*$G712+AX758)*AY689))*Timeline!AY62</f>
        <v>0</v>
      </c>
      <c r="AZ712" s="10">
        <f>IF(AZ$4=0, AZ572, IF($H712=0, 0, (AZ457+AZ480+AZ503*$G712+AY758)*AZ689))*Timeline!AZ62</f>
        <v>0</v>
      </c>
      <c r="BA712" s="10">
        <f>IF(BA$4=0, BA572, IF($H712=0, 0, (BA457+BA480+BA503*$G712+AZ758)*BA689))*Timeline!BA62</f>
        <v>0</v>
      </c>
      <c r="BB712" s="10">
        <f>IF(BB$4=0, BB572, IF($H712=0, 0, (BB457+BB480+BB503*$G712+BA758)*BB689))*Timeline!BB62</f>
        <v>0</v>
      </c>
      <c r="BC712" s="10">
        <f>IF(BC$4=0, BC572, IF($H712=0, 0, (BC457+BC480+BC503*$G712+BB758)*BC689))*Timeline!BC62</f>
        <v>0</v>
      </c>
      <c r="BD712" s="10">
        <f>IF(BD$4=0, BD572, IF($H712=0, 0, (BD457+BD480+BD503*$G712+BC758)*BD689))*Timeline!BD62</f>
        <v>0</v>
      </c>
      <c r="BE712" s="10">
        <f>IF(BE$4=0, BE572, IF($H712=0, 0, (BE457+BE480+BE503*$G712+BD758)*BE689))*Timeline!BE62</f>
        <v>0</v>
      </c>
      <c r="BF712" s="10">
        <f>IF(BF$4=0, BF572, IF($H712=0, 0, (BF457+BF480+BF503*$G712+BE758)*BF689))*Timeline!BF62</f>
        <v>0</v>
      </c>
      <c r="BG712" s="10">
        <f>IF(BG$4=0, BG572, IF($H712=0, 0, (BG457+BG480+BG503*$G712+BF758)*BG689))*Timeline!BG62</f>
        <v>0</v>
      </c>
      <c r="BH712" s="10">
        <f>IF(BH$4=0, BH572, IF($H712=0, 0, (BH457+BH480+BH503*$G712+BG758)*BH689))*Timeline!BH62</f>
        <v>0</v>
      </c>
      <c r="BI712" s="10">
        <f>IF(BI$4=0, BI572, IF($H712=0, 0, (BI457+BI480+BI503*$G712+BH758)*BI689))*Timeline!BI62</f>
        <v>0</v>
      </c>
      <c r="BJ712" s="10">
        <f>IF(BJ$4=0, BJ572, IF($H712=0, 0, (BJ457+BJ480+BJ503*$G712+BI758)*BJ689))*Timeline!BJ62</f>
        <v>0</v>
      </c>
      <c r="BK712" s="10">
        <f>IF(BK$4=0, BK572, IF($H712=0, 0, (BK457+BK480+BK503*$G712+BJ758)*BK689))*Timeline!BK62</f>
        <v>0</v>
      </c>
      <c r="BL712" s="10">
        <f>IF(BL$4=0, BL572, IF($H712=0, 0, (BL457+BL480+BL503*$G712+BK758)*BL689))*Timeline!BL62</f>
        <v>0</v>
      </c>
      <c r="BM712" s="10">
        <f>IF(BM$4=0, BM572, IF($H712=0, 0, (BM457+BM480+BM503*$G712+BL758)*BM689))*Timeline!BM62</f>
        <v>0</v>
      </c>
      <c r="BN712" s="10">
        <f>IF(BN$4=0, BN572, IF($H712=0, 0, (BN457+BN480+BN503*$G712+BM758)*BN689))*Timeline!BN62</f>
        <v>0</v>
      </c>
      <c r="BO712" s="10">
        <f>IF(BO$4=0, BO572, IF($H712=0, 0, (BO457+BO480+BO503*$G712+BN758)*BO689))*Timeline!BO62</f>
        <v>0</v>
      </c>
      <c r="BP712" s="10">
        <f>IF(BP$4=0, BP572, IF($H712=0, 0, (BP457+BP480+BP503*$G712+BO758)*BP689))*Timeline!BP62</f>
        <v>0</v>
      </c>
      <c r="BQ712" s="10">
        <f>IF(BQ$4=0, BQ572, IF($H712=0, 0, (BQ457+BQ480+BQ503*$G712+BP758)*BQ689))*Timeline!BQ62</f>
        <v>0</v>
      </c>
      <c r="BR712" s="10">
        <f>IF(BR$4=0, BR572, IF($H712=0, 0, (BR457+BR480+BR503*$G712+BQ758)*BR689))*Timeline!BR62</f>
        <v>0</v>
      </c>
      <c r="BS712" s="10">
        <f>IF(BS$4=0, BS572, IF($H712=0, 0, (BS457+BS480+BS503*$G712+BR758)*BS689))*Timeline!BS62</f>
        <v>0</v>
      </c>
      <c r="BT712" s="10">
        <f>IF(BT$4=0, BT572, IF($H712=0, 0, (BT457+BT480+BT503*$G712+BS758)*BT689))*Timeline!BT62</f>
        <v>0</v>
      </c>
      <c r="BU712" s="10">
        <f>IF(BU$4=0, BU572, IF($H712=0, 0, (BU457+BU480+BU503*$G712+BT758)*BU689))*Timeline!BU62</f>
        <v>0</v>
      </c>
      <c r="BV712" s="10">
        <f>IF(BV$4=0, BV572, IF($H712=0, 0, (BV457+BV480+BV503*$G712+BU758)*BV689))*Timeline!BV62</f>
        <v>0</v>
      </c>
      <c r="BX712" s="12">
        <f t="shared" si="749"/>
        <v>0</v>
      </c>
      <c r="BY712" s="12">
        <f t="shared" si="750"/>
        <v>0</v>
      </c>
      <c r="BZ712" s="12">
        <f t="shared" si="751"/>
        <v>0</v>
      </c>
      <c r="CA712" s="12">
        <f t="shared" si="752"/>
        <v>0</v>
      </c>
      <c r="CB712" s="133">
        <f t="shared" si="753"/>
        <v>0</v>
      </c>
      <c r="CC712" s="106"/>
      <c r="CD712" s="106"/>
      <c r="CE712" s="106"/>
      <c r="CF712" s="106"/>
      <c r="CG712" s="106"/>
      <c r="CH712" s="106"/>
      <c r="CI712" s="106"/>
      <c r="CK712" s="11"/>
      <c r="CM712" s="11"/>
      <c r="CV712" s="120"/>
      <c r="CW712" s="7">
        <f t="shared" si="754"/>
        <v>0</v>
      </c>
      <c r="DF712" s="11"/>
      <c r="EY712" s="10" t="str">
        <f t="shared" si="746"/>
        <v/>
      </c>
    </row>
    <row r="713" spans="1:155" x14ac:dyDescent="0.35">
      <c r="A713" s="220" cm="1">
        <f t="array" aca="1" ref="A713" ca="1">HYPERLINK(CONCATENATE("#",CELL("address",IF(MAX($CM713:$DF713)=0,A713,INDEX($CM713:$DF713,MATCH(1,$CM713:$DF713,0))))),MAX($CM713:$DF713))</f>
        <v>0</v>
      </c>
      <c r="B713" s="69" t="str" cm="1">
        <f t="array" aca="1" ref="B713" ca="1">HYPERLINK(CONCATENATE("#",CELL("address",$D$398)),$D$398)</f>
        <v>Loan 19</v>
      </c>
      <c r="C713" s="211"/>
      <c r="D713" s="49">
        <f>D$31</f>
        <v>0</v>
      </c>
      <c r="E713" s="49" t="str">
        <f>F$31</f>
        <v/>
      </c>
      <c r="F713" s="49"/>
      <c r="G713" s="10">
        <f>U$31</f>
        <v>0</v>
      </c>
      <c r="H713" s="10">
        <f>Q$31</f>
        <v>0</v>
      </c>
      <c r="I713" s="40" t="s">
        <v>665</v>
      </c>
      <c r="V713" s="12">
        <f t="shared" si="747"/>
        <v>0</v>
      </c>
      <c r="W713" s="133">
        <f t="shared" si="748"/>
        <v>0</v>
      </c>
      <c r="X713" s="133">
        <f t="shared" si="748"/>
        <v>0</v>
      </c>
      <c r="Y713" s="133">
        <f t="shared" si="748"/>
        <v>0</v>
      </c>
      <c r="AA713" s="10">
        <f>IF(AA$4=0, AA573, IF($H713=0, 0, (AA458+AA481+AA504*$G713+Z759)*AA690))*Timeline!AA63</f>
        <v>0</v>
      </c>
      <c r="AB713" s="10">
        <f>IF(AB$4=0, AB573, IF($H713=0, 0, (AB458+AB481+AB504*$G713+AA759)*AB690))*Timeline!AB63</f>
        <v>0</v>
      </c>
      <c r="AC713" s="10">
        <f>IF(AC$4=0, AC573, IF($H713=0, 0, (AC458+AC481+AC504*$G713+AB759)*AC690))*Timeline!AC63</f>
        <v>0</v>
      </c>
      <c r="AD713" s="10">
        <f>IF(AD$4=0, AD573, IF($H713=0, 0, (AD458+AD481+AD504*$G713+AC759)*AD690))*Timeline!AD63</f>
        <v>0</v>
      </c>
      <c r="AE713" s="10">
        <f>IF(AE$4=0, AE573, IF($H713=0, 0, (AE458+AE481+AE504*$G713+AD759)*AE690))*Timeline!AE63</f>
        <v>0</v>
      </c>
      <c r="AF713" s="10">
        <f>IF(AF$4=0, AF573, IF($H713=0, 0, (AF458+AF481+AF504*$G713+AE759)*AF690))*Timeline!AF63</f>
        <v>0</v>
      </c>
      <c r="AG713" s="10">
        <f>IF(AG$4=0, AG573, IF($H713=0, 0, (AG458+AG481+AG504*$G713+AF759)*AG690))*Timeline!AG63</f>
        <v>0</v>
      </c>
      <c r="AH713" s="10">
        <f>IF(AH$4=0, AH573, IF($H713=0, 0, (AH458+AH481+AH504*$G713+AG759)*AH690))*Timeline!AH63</f>
        <v>0</v>
      </c>
      <c r="AI713" s="10">
        <f>IF(AI$4=0, AI573, IF($H713=0, 0, (AI458+AI481+AI504*$G713+AH759)*AI690))*Timeline!AI63</f>
        <v>0</v>
      </c>
      <c r="AJ713" s="10">
        <f>IF(AJ$4=0, AJ573, IF($H713=0, 0, (AJ458+AJ481+AJ504*$G713+AI759)*AJ690))*Timeline!AJ63</f>
        <v>0</v>
      </c>
      <c r="AK713" s="10">
        <f>IF(AK$4=0, AK573, IF($H713=0, 0, (AK458+AK481+AK504*$G713+AJ759)*AK690))*Timeline!AK63</f>
        <v>0</v>
      </c>
      <c r="AL713" s="10">
        <f>IF(AL$4=0, AL573, IF($H713=0, 0, (AL458+AL481+AL504*$G713+AK759)*AL690))*Timeline!AL63</f>
        <v>0</v>
      </c>
      <c r="AM713" s="10">
        <f>IF(AM$4=0, AM573, IF($H713=0, 0, (AM458+AM481+AM504*$G713+AL759)*AM690))*Timeline!AM63</f>
        <v>0</v>
      </c>
      <c r="AN713" s="10">
        <f>IF(AN$4=0, AN573, IF($H713=0, 0, (AN458+AN481+AN504*$G713+AM759)*AN690))*Timeline!AN63</f>
        <v>0</v>
      </c>
      <c r="AO713" s="10">
        <f>IF(AO$4=0, AO573, IF($H713=0, 0, (AO458+AO481+AO504*$G713+AN759)*AO690))*Timeline!AO63</f>
        <v>0</v>
      </c>
      <c r="AP713" s="10">
        <f>IF(AP$4=0, AP573, IF($H713=0, 0, (AP458+AP481+AP504*$G713+AO759)*AP690))*Timeline!AP63</f>
        <v>0</v>
      </c>
      <c r="AQ713" s="10">
        <f>IF(AQ$4=0, AQ573, IF($H713=0, 0, (AQ458+AQ481+AQ504*$G713+AP759)*AQ690))*Timeline!AQ63</f>
        <v>0</v>
      </c>
      <c r="AR713" s="10">
        <f>IF(AR$4=0, AR573, IF($H713=0, 0, (AR458+AR481+AR504*$G713+AQ759)*AR690))*Timeline!AR63</f>
        <v>0</v>
      </c>
      <c r="AS713" s="10">
        <f>IF(AS$4=0, AS573, IF($H713=0, 0, (AS458+AS481+AS504*$G713+AR759)*AS690))*Timeline!AS63</f>
        <v>0</v>
      </c>
      <c r="AT713" s="10">
        <f>IF(AT$4=0, AT573, IF($H713=0, 0, (AT458+AT481+AT504*$G713+AS759)*AT690))*Timeline!AT63</f>
        <v>0</v>
      </c>
      <c r="AU713" s="10">
        <f>IF(AU$4=0, AU573, IF($H713=0, 0, (AU458+AU481+AU504*$G713+AT759)*AU690))*Timeline!AU63</f>
        <v>0</v>
      </c>
      <c r="AV713" s="10">
        <f>IF(AV$4=0, AV573, IF($H713=0, 0, (AV458+AV481+AV504*$G713+AU759)*AV690))*Timeline!AV63</f>
        <v>0</v>
      </c>
      <c r="AW713" s="10">
        <f>IF(AW$4=0, AW573, IF($H713=0, 0, (AW458+AW481+AW504*$G713+AV759)*AW690))*Timeline!AW63</f>
        <v>0</v>
      </c>
      <c r="AX713" s="10">
        <f>IF(AX$4=0, AX573, IF($H713=0, 0, (AX458+AX481+AX504*$G713+AW759)*AX690))*Timeline!AX63</f>
        <v>0</v>
      </c>
      <c r="AY713" s="10">
        <f>IF(AY$4=0, AY573, IF($H713=0, 0, (AY458+AY481+AY504*$G713+AX759)*AY690))*Timeline!AY63</f>
        <v>0</v>
      </c>
      <c r="AZ713" s="10">
        <f>IF(AZ$4=0, AZ573, IF($H713=0, 0, (AZ458+AZ481+AZ504*$G713+AY759)*AZ690))*Timeline!AZ63</f>
        <v>0</v>
      </c>
      <c r="BA713" s="10">
        <f>IF(BA$4=0, BA573, IF($H713=0, 0, (BA458+BA481+BA504*$G713+AZ759)*BA690))*Timeline!BA63</f>
        <v>0</v>
      </c>
      <c r="BB713" s="10">
        <f>IF(BB$4=0, BB573, IF($H713=0, 0, (BB458+BB481+BB504*$G713+BA759)*BB690))*Timeline!BB63</f>
        <v>0</v>
      </c>
      <c r="BC713" s="10">
        <f>IF(BC$4=0, BC573, IF($H713=0, 0, (BC458+BC481+BC504*$G713+BB759)*BC690))*Timeline!BC63</f>
        <v>0</v>
      </c>
      <c r="BD713" s="10">
        <f>IF(BD$4=0, BD573, IF($H713=0, 0, (BD458+BD481+BD504*$G713+BC759)*BD690))*Timeline!BD63</f>
        <v>0</v>
      </c>
      <c r="BE713" s="10">
        <f>IF(BE$4=0, BE573, IF($H713=0, 0, (BE458+BE481+BE504*$G713+BD759)*BE690))*Timeline!BE63</f>
        <v>0</v>
      </c>
      <c r="BF713" s="10">
        <f>IF(BF$4=0, BF573, IF($H713=0, 0, (BF458+BF481+BF504*$G713+BE759)*BF690))*Timeline!BF63</f>
        <v>0</v>
      </c>
      <c r="BG713" s="10">
        <f>IF(BG$4=0, BG573, IF($H713=0, 0, (BG458+BG481+BG504*$G713+BF759)*BG690))*Timeline!BG63</f>
        <v>0</v>
      </c>
      <c r="BH713" s="10">
        <f>IF(BH$4=0, BH573, IF($H713=0, 0, (BH458+BH481+BH504*$G713+BG759)*BH690))*Timeline!BH63</f>
        <v>0</v>
      </c>
      <c r="BI713" s="10">
        <f>IF(BI$4=0, BI573, IF($H713=0, 0, (BI458+BI481+BI504*$G713+BH759)*BI690))*Timeline!BI63</f>
        <v>0</v>
      </c>
      <c r="BJ713" s="10">
        <f>IF(BJ$4=0, BJ573, IF($H713=0, 0, (BJ458+BJ481+BJ504*$G713+BI759)*BJ690))*Timeline!BJ63</f>
        <v>0</v>
      </c>
      <c r="BK713" s="10">
        <f>IF(BK$4=0, BK573, IF($H713=0, 0, (BK458+BK481+BK504*$G713+BJ759)*BK690))*Timeline!BK63</f>
        <v>0</v>
      </c>
      <c r="BL713" s="10">
        <f>IF(BL$4=0, BL573, IF($H713=0, 0, (BL458+BL481+BL504*$G713+BK759)*BL690))*Timeline!BL63</f>
        <v>0</v>
      </c>
      <c r="BM713" s="10">
        <f>IF(BM$4=0, BM573, IF($H713=0, 0, (BM458+BM481+BM504*$G713+BL759)*BM690))*Timeline!BM63</f>
        <v>0</v>
      </c>
      <c r="BN713" s="10">
        <f>IF(BN$4=0, BN573, IF($H713=0, 0, (BN458+BN481+BN504*$G713+BM759)*BN690))*Timeline!BN63</f>
        <v>0</v>
      </c>
      <c r="BO713" s="10">
        <f>IF(BO$4=0, BO573, IF($H713=0, 0, (BO458+BO481+BO504*$G713+BN759)*BO690))*Timeline!BO63</f>
        <v>0</v>
      </c>
      <c r="BP713" s="10">
        <f>IF(BP$4=0, BP573, IF($H713=0, 0, (BP458+BP481+BP504*$G713+BO759)*BP690))*Timeline!BP63</f>
        <v>0</v>
      </c>
      <c r="BQ713" s="10">
        <f>IF(BQ$4=0, BQ573, IF($H713=0, 0, (BQ458+BQ481+BQ504*$G713+BP759)*BQ690))*Timeline!BQ63</f>
        <v>0</v>
      </c>
      <c r="BR713" s="10">
        <f>IF(BR$4=0, BR573, IF($H713=0, 0, (BR458+BR481+BR504*$G713+BQ759)*BR690))*Timeline!BR63</f>
        <v>0</v>
      </c>
      <c r="BS713" s="10">
        <f>IF(BS$4=0, BS573, IF($H713=0, 0, (BS458+BS481+BS504*$G713+BR759)*BS690))*Timeline!BS63</f>
        <v>0</v>
      </c>
      <c r="BT713" s="10">
        <f>IF(BT$4=0, BT573, IF($H713=0, 0, (BT458+BT481+BT504*$G713+BS759)*BT690))*Timeline!BT63</f>
        <v>0</v>
      </c>
      <c r="BU713" s="10">
        <f>IF(BU$4=0, BU573, IF($H713=0, 0, (BU458+BU481+BU504*$G713+BT759)*BU690))*Timeline!BU63</f>
        <v>0</v>
      </c>
      <c r="BV713" s="10">
        <f>IF(BV$4=0, BV573, IF($H713=0, 0, (BV458+BV481+BV504*$G713+BU759)*BV690))*Timeline!BV63</f>
        <v>0</v>
      </c>
      <c r="BX713" s="12">
        <f t="shared" si="749"/>
        <v>0</v>
      </c>
      <c r="BY713" s="12">
        <f t="shared" si="750"/>
        <v>0</v>
      </c>
      <c r="BZ713" s="12">
        <f t="shared" si="751"/>
        <v>0</v>
      </c>
      <c r="CA713" s="12">
        <f t="shared" si="752"/>
        <v>0</v>
      </c>
      <c r="CB713" s="133">
        <f t="shared" si="753"/>
        <v>0</v>
      </c>
      <c r="CC713" s="106"/>
      <c r="CD713" s="106"/>
      <c r="CE713" s="106"/>
      <c r="CF713" s="106"/>
      <c r="CG713" s="106"/>
      <c r="CH713" s="106"/>
      <c r="CI713" s="106"/>
      <c r="CK713" s="11"/>
      <c r="CM713" s="11"/>
      <c r="CV713" s="120"/>
      <c r="CW713" s="7">
        <f t="shared" si="754"/>
        <v>0</v>
      </c>
      <c r="DF713" s="11"/>
      <c r="EY713" s="10" t="str">
        <f t="shared" si="746"/>
        <v/>
      </c>
    </row>
    <row r="714" spans="1:155" x14ac:dyDescent="0.35">
      <c r="A714" s="220" cm="1">
        <f t="array" aca="1" ref="A714" ca="1">HYPERLINK(CONCATENATE("#",CELL("address",IF(MAX($CM714:$DF714)=0,A714,INDEX($CM714:$DF714,MATCH(1,$CM714:$DF714,0))))),MAX($CM714:$DF714))</f>
        <v>0</v>
      </c>
      <c r="B714" s="69" t="str" cm="1">
        <f t="array" aca="1" ref="B714" ca="1">HYPERLINK(CONCATENATE("#",CELL("address",$D$417)),$D$417)</f>
        <v>Loan 20</v>
      </c>
      <c r="C714" s="211"/>
      <c r="D714" s="49">
        <f>D$32</f>
        <v>0</v>
      </c>
      <c r="E714" s="49" t="str">
        <f>F$32</f>
        <v/>
      </c>
      <c r="F714" s="49"/>
      <c r="G714" s="10">
        <f>U$32</f>
        <v>0</v>
      </c>
      <c r="H714" s="10">
        <f>Q$32</f>
        <v>0</v>
      </c>
      <c r="I714" s="40" t="s">
        <v>665</v>
      </c>
      <c r="V714" s="12">
        <f t="shared" si="747"/>
        <v>0</v>
      </c>
      <c r="W714" s="133">
        <f t="shared" si="748"/>
        <v>0</v>
      </c>
      <c r="X714" s="133">
        <f t="shared" si="748"/>
        <v>0</v>
      </c>
      <c r="Y714" s="133">
        <f t="shared" si="748"/>
        <v>0</v>
      </c>
      <c r="AA714" s="10">
        <f>IF(AA$4=0, AA574, IF($H714=0, 0, (AA459+AA482+AA505*$G714+Z760)*AA691))*Timeline!AA64</f>
        <v>0</v>
      </c>
      <c r="AB714" s="10">
        <f>IF(AB$4=0, AB574, IF($H714=0, 0, (AB459+AB482+AB505*$G714+AA760)*AB691))*Timeline!AB64</f>
        <v>0</v>
      </c>
      <c r="AC714" s="10">
        <f>IF(AC$4=0, AC574, IF($H714=0, 0, (AC459+AC482+AC505*$G714+AB760)*AC691))*Timeline!AC64</f>
        <v>0</v>
      </c>
      <c r="AD714" s="10">
        <f>IF(AD$4=0, AD574, IF($H714=0, 0, (AD459+AD482+AD505*$G714+AC760)*AD691))*Timeline!AD64</f>
        <v>0</v>
      </c>
      <c r="AE714" s="10">
        <f>IF(AE$4=0, AE574, IF($H714=0, 0, (AE459+AE482+AE505*$G714+AD760)*AE691))*Timeline!AE64</f>
        <v>0</v>
      </c>
      <c r="AF714" s="10">
        <f>IF(AF$4=0, AF574, IF($H714=0, 0, (AF459+AF482+AF505*$G714+AE760)*AF691))*Timeline!AF64</f>
        <v>0</v>
      </c>
      <c r="AG714" s="10">
        <f>IF(AG$4=0, AG574, IF($H714=0, 0, (AG459+AG482+AG505*$G714+AF760)*AG691))*Timeline!AG64</f>
        <v>0</v>
      </c>
      <c r="AH714" s="10">
        <f>IF(AH$4=0, AH574, IF($H714=0, 0, (AH459+AH482+AH505*$G714+AG760)*AH691))*Timeline!AH64</f>
        <v>0</v>
      </c>
      <c r="AI714" s="10">
        <f>IF(AI$4=0, AI574, IF($H714=0, 0, (AI459+AI482+AI505*$G714+AH760)*AI691))*Timeline!AI64</f>
        <v>0</v>
      </c>
      <c r="AJ714" s="10">
        <f>IF(AJ$4=0, AJ574, IF($H714=0, 0, (AJ459+AJ482+AJ505*$G714+AI760)*AJ691))*Timeline!AJ64</f>
        <v>0</v>
      </c>
      <c r="AK714" s="10">
        <f>IF(AK$4=0, AK574, IF($H714=0, 0, (AK459+AK482+AK505*$G714+AJ760)*AK691))*Timeline!AK64</f>
        <v>0</v>
      </c>
      <c r="AL714" s="10">
        <f>IF(AL$4=0, AL574, IF($H714=0, 0, (AL459+AL482+AL505*$G714+AK760)*AL691))*Timeline!AL64</f>
        <v>0</v>
      </c>
      <c r="AM714" s="10">
        <f>IF(AM$4=0, AM574, IF($H714=0, 0, (AM459+AM482+AM505*$G714+AL760)*AM691))*Timeline!AM64</f>
        <v>0</v>
      </c>
      <c r="AN714" s="10">
        <f>IF(AN$4=0, AN574, IF($H714=0, 0, (AN459+AN482+AN505*$G714+AM760)*AN691))*Timeline!AN64</f>
        <v>0</v>
      </c>
      <c r="AO714" s="10">
        <f>IF(AO$4=0, AO574, IF($H714=0, 0, (AO459+AO482+AO505*$G714+AN760)*AO691))*Timeline!AO64</f>
        <v>0</v>
      </c>
      <c r="AP714" s="10">
        <f>IF(AP$4=0, AP574, IF($H714=0, 0, (AP459+AP482+AP505*$G714+AO760)*AP691))*Timeline!AP64</f>
        <v>0</v>
      </c>
      <c r="AQ714" s="10">
        <f>IF(AQ$4=0, AQ574, IF($H714=0, 0, (AQ459+AQ482+AQ505*$G714+AP760)*AQ691))*Timeline!AQ64</f>
        <v>0</v>
      </c>
      <c r="AR714" s="10">
        <f>IF(AR$4=0, AR574, IF($H714=0, 0, (AR459+AR482+AR505*$G714+AQ760)*AR691))*Timeline!AR64</f>
        <v>0</v>
      </c>
      <c r="AS714" s="10">
        <f>IF(AS$4=0, AS574, IF($H714=0, 0, (AS459+AS482+AS505*$G714+AR760)*AS691))*Timeline!AS64</f>
        <v>0</v>
      </c>
      <c r="AT714" s="10">
        <f>IF(AT$4=0, AT574, IF($H714=0, 0, (AT459+AT482+AT505*$G714+AS760)*AT691))*Timeline!AT64</f>
        <v>0</v>
      </c>
      <c r="AU714" s="10">
        <f>IF(AU$4=0, AU574, IF($H714=0, 0, (AU459+AU482+AU505*$G714+AT760)*AU691))*Timeline!AU64</f>
        <v>0</v>
      </c>
      <c r="AV714" s="10">
        <f>IF(AV$4=0, AV574, IF($H714=0, 0, (AV459+AV482+AV505*$G714+AU760)*AV691))*Timeline!AV64</f>
        <v>0</v>
      </c>
      <c r="AW714" s="10">
        <f>IF(AW$4=0, AW574, IF($H714=0, 0, (AW459+AW482+AW505*$G714+AV760)*AW691))*Timeline!AW64</f>
        <v>0</v>
      </c>
      <c r="AX714" s="10">
        <f>IF(AX$4=0, AX574, IF($H714=0, 0, (AX459+AX482+AX505*$G714+AW760)*AX691))*Timeline!AX64</f>
        <v>0</v>
      </c>
      <c r="AY714" s="10">
        <f>IF(AY$4=0, AY574, IF($H714=0, 0, (AY459+AY482+AY505*$G714+AX760)*AY691))*Timeline!AY64</f>
        <v>0</v>
      </c>
      <c r="AZ714" s="10">
        <f>IF(AZ$4=0, AZ574, IF($H714=0, 0, (AZ459+AZ482+AZ505*$G714+AY760)*AZ691))*Timeline!AZ64</f>
        <v>0</v>
      </c>
      <c r="BA714" s="10">
        <f>IF(BA$4=0, BA574, IF($H714=0, 0, (BA459+BA482+BA505*$G714+AZ760)*BA691))*Timeline!BA64</f>
        <v>0</v>
      </c>
      <c r="BB714" s="10">
        <f>IF(BB$4=0, BB574, IF($H714=0, 0, (BB459+BB482+BB505*$G714+BA760)*BB691))*Timeline!BB64</f>
        <v>0</v>
      </c>
      <c r="BC714" s="10">
        <f>IF(BC$4=0, BC574, IF($H714=0, 0, (BC459+BC482+BC505*$G714+BB760)*BC691))*Timeline!BC64</f>
        <v>0</v>
      </c>
      <c r="BD714" s="10">
        <f>IF(BD$4=0, BD574, IF($H714=0, 0, (BD459+BD482+BD505*$G714+BC760)*BD691))*Timeline!BD64</f>
        <v>0</v>
      </c>
      <c r="BE714" s="10">
        <f>IF(BE$4=0, BE574, IF($H714=0, 0, (BE459+BE482+BE505*$G714+BD760)*BE691))*Timeline!BE64</f>
        <v>0</v>
      </c>
      <c r="BF714" s="10">
        <f>IF(BF$4=0, BF574, IF($H714=0, 0, (BF459+BF482+BF505*$G714+BE760)*BF691))*Timeline!BF64</f>
        <v>0</v>
      </c>
      <c r="BG714" s="10">
        <f>IF(BG$4=0, BG574, IF($H714=0, 0, (BG459+BG482+BG505*$G714+BF760)*BG691))*Timeline!BG64</f>
        <v>0</v>
      </c>
      <c r="BH714" s="10">
        <f>IF(BH$4=0, BH574, IF($H714=0, 0, (BH459+BH482+BH505*$G714+BG760)*BH691))*Timeline!BH64</f>
        <v>0</v>
      </c>
      <c r="BI714" s="10">
        <f>IF(BI$4=0, BI574, IF($H714=0, 0, (BI459+BI482+BI505*$G714+BH760)*BI691))*Timeline!BI64</f>
        <v>0</v>
      </c>
      <c r="BJ714" s="10">
        <f>IF(BJ$4=0, BJ574, IF($H714=0, 0, (BJ459+BJ482+BJ505*$G714+BI760)*BJ691))*Timeline!BJ64</f>
        <v>0</v>
      </c>
      <c r="BK714" s="10">
        <f>IF(BK$4=0, BK574, IF($H714=0, 0, (BK459+BK482+BK505*$G714+BJ760)*BK691))*Timeline!BK64</f>
        <v>0</v>
      </c>
      <c r="BL714" s="10">
        <f>IF(BL$4=0, BL574, IF($H714=0, 0, (BL459+BL482+BL505*$G714+BK760)*BL691))*Timeline!BL64</f>
        <v>0</v>
      </c>
      <c r="BM714" s="10">
        <f>IF(BM$4=0, BM574, IF($H714=0, 0, (BM459+BM482+BM505*$G714+BL760)*BM691))*Timeline!BM64</f>
        <v>0</v>
      </c>
      <c r="BN714" s="10">
        <f>IF(BN$4=0, BN574, IF($H714=0, 0, (BN459+BN482+BN505*$G714+BM760)*BN691))*Timeline!BN64</f>
        <v>0</v>
      </c>
      <c r="BO714" s="10">
        <f>IF(BO$4=0, BO574, IF($H714=0, 0, (BO459+BO482+BO505*$G714+BN760)*BO691))*Timeline!BO64</f>
        <v>0</v>
      </c>
      <c r="BP714" s="10">
        <f>IF(BP$4=0, BP574, IF($H714=0, 0, (BP459+BP482+BP505*$G714+BO760)*BP691))*Timeline!BP64</f>
        <v>0</v>
      </c>
      <c r="BQ714" s="10">
        <f>IF(BQ$4=0, BQ574, IF($H714=0, 0, (BQ459+BQ482+BQ505*$G714+BP760)*BQ691))*Timeline!BQ64</f>
        <v>0</v>
      </c>
      <c r="BR714" s="10">
        <f>IF(BR$4=0, BR574, IF($H714=0, 0, (BR459+BR482+BR505*$G714+BQ760)*BR691))*Timeline!BR64</f>
        <v>0</v>
      </c>
      <c r="BS714" s="10">
        <f>IF(BS$4=0, BS574, IF($H714=0, 0, (BS459+BS482+BS505*$G714+BR760)*BS691))*Timeline!BS64</f>
        <v>0</v>
      </c>
      <c r="BT714" s="10">
        <f>IF(BT$4=0, BT574, IF($H714=0, 0, (BT459+BT482+BT505*$G714+BS760)*BT691))*Timeline!BT64</f>
        <v>0</v>
      </c>
      <c r="BU714" s="10">
        <f>IF(BU$4=0, BU574, IF($H714=0, 0, (BU459+BU482+BU505*$G714+BT760)*BU691))*Timeline!BU64</f>
        <v>0</v>
      </c>
      <c r="BV714" s="10">
        <f>IF(BV$4=0, BV574, IF($H714=0, 0, (BV459+BV482+BV505*$G714+BU760)*BV691))*Timeline!BV64</f>
        <v>0</v>
      </c>
      <c r="BX714" s="12">
        <f t="shared" si="749"/>
        <v>0</v>
      </c>
      <c r="BY714" s="12">
        <f t="shared" si="750"/>
        <v>0</v>
      </c>
      <c r="BZ714" s="12">
        <f t="shared" si="751"/>
        <v>0</v>
      </c>
      <c r="CA714" s="12">
        <f t="shared" si="752"/>
        <v>0</v>
      </c>
      <c r="CB714" s="133">
        <f t="shared" si="753"/>
        <v>0</v>
      </c>
      <c r="CC714" s="106"/>
      <c r="CD714" s="106"/>
      <c r="CE714" s="106"/>
      <c r="CF714" s="106"/>
      <c r="CG714" s="106"/>
      <c r="CH714" s="106"/>
      <c r="CI714" s="106"/>
      <c r="CK714" s="11"/>
      <c r="CM714" s="11"/>
      <c r="CV714" s="120"/>
      <c r="CW714" s="7">
        <f t="shared" si="754"/>
        <v>0</v>
      </c>
      <c r="DF714" s="11"/>
      <c r="EY714" s="10" t="str">
        <f t="shared" si="746"/>
        <v/>
      </c>
    </row>
    <row r="715" spans="1:155" ht="6.75" customHeight="1" x14ac:dyDescent="0.35">
      <c r="C715" s="211"/>
      <c r="D715" s="1"/>
      <c r="E715"/>
      <c r="F715"/>
      <c r="BY715" s="6"/>
      <c r="CK715" s="35"/>
      <c r="CM715" s="35"/>
      <c r="CV715" s="120"/>
      <c r="DF715" s="35"/>
      <c r="EY715" s="10" t="str">
        <f t="shared" si="746"/>
        <v/>
      </c>
    </row>
    <row r="716" spans="1:155" x14ac:dyDescent="0.35">
      <c r="C716" s="211"/>
      <c r="D716" s="50" t="s">
        <v>1240</v>
      </c>
      <c r="E716"/>
      <c r="F716"/>
      <c r="CK716" s="11"/>
      <c r="CM716" s="11"/>
      <c r="CV716" s="120"/>
      <c r="DF716" s="11"/>
      <c r="EY716" s="10" t="str">
        <f t="shared" si="746"/>
        <v/>
      </c>
    </row>
    <row r="717" spans="1:155" s="120" customFormat="1" ht="29" x14ac:dyDescent="0.35">
      <c r="B717" s="107" t="s">
        <v>1229</v>
      </c>
      <c r="C717" s="211"/>
      <c r="D717" s="107" t="str">
        <f>D$11</f>
        <v>Lender</v>
      </c>
      <c r="E717" s="61" t="str">
        <f>E$11</f>
        <v>Loan Category</v>
      </c>
      <c r="F717" s="61"/>
      <c r="G717" s="57" t="s">
        <v>1241</v>
      </c>
      <c r="H717" s="57"/>
      <c r="T717"/>
      <c r="U717"/>
      <c r="AA717" s="126" t="s">
        <v>122</v>
      </c>
      <c r="CK717" s="121"/>
      <c r="CM717" s="121"/>
      <c r="DF717" s="121"/>
      <c r="EY717" s="10" t="str">
        <f t="shared" si="746"/>
        <v/>
      </c>
    </row>
    <row r="718" spans="1:155" x14ac:dyDescent="0.35">
      <c r="A718" s="120"/>
      <c r="B718" s="69" t="str" cm="1">
        <f t="array" aca="1" ref="B718" ca="1">HYPERLINK(CONCATENATE("#",CELL("address",$D$56)),$D$56)</f>
        <v>Loan 1</v>
      </c>
      <c r="C718" s="211"/>
      <c r="D718" s="49">
        <f>D$13</f>
        <v>0</v>
      </c>
      <c r="E718" s="49" t="str">
        <f>F$13</f>
        <v/>
      </c>
      <c r="F718" s="49"/>
      <c r="G718" s="133">
        <f t="shared" ref="G718:G737" si="755">S13</f>
        <v>0</v>
      </c>
      <c r="I718" s="40" t="s">
        <v>665</v>
      </c>
      <c r="J718" s="54"/>
      <c r="V718" s="106"/>
      <c r="W718" s="133">
        <f t="shared" ref="W718:Y737" si="756" xml:space="preserve"> SUMIFS($AA718:$BV718, $AA$3:$BV$3, W$3)</f>
        <v>0</v>
      </c>
      <c r="X718" s="133">
        <f t="shared" si="756"/>
        <v>0</v>
      </c>
      <c r="Y718" s="133">
        <f t="shared" si="756"/>
        <v>0</v>
      </c>
      <c r="Z718" s="120"/>
      <c r="AA718" s="133">
        <f>IF(Timeline!AA206=1, SUM($AA695:AA695)-SUM($Z718:Z718),0)</f>
        <v>0</v>
      </c>
      <c r="AB718" s="133">
        <f>IF(Timeline!AB206=1, SUM($AA695:AB695)-SUM($Z718:AA718),0)</f>
        <v>0</v>
      </c>
      <c r="AC718" s="133">
        <f>IF(Timeline!AC206=1, SUM($AA695:AC695)-SUM($Z718:AB718),0)</f>
        <v>0</v>
      </c>
      <c r="AD718" s="133">
        <f>IF(Timeline!AD206=1, SUM($AA695:AD695)-SUM($Z718:AC718),0)</f>
        <v>0</v>
      </c>
      <c r="AE718" s="133">
        <f>IF(Timeline!AE206=1, SUM($AA695:AE695)-SUM($Z718:AD718),0)</f>
        <v>0</v>
      </c>
      <c r="AF718" s="133">
        <f>IF(Timeline!AF206=1, SUM($AA695:AF695)-SUM($Z718:AE718),0)</f>
        <v>0</v>
      </c>
      <c r="AG718" s="133">
        <f>IF(Timeline!AG206=1, SUM($AA695:AG695)-SUM($Z718:AF718),0)</f>
        <v>0</v>
      </c>
      <c r="AH718" s="133">
        <f>IF(Timeline!AH206=1, SUM($AA695:AH695)-SUM($Z718:AG718),0)</f>
        <v>0</v>
      </c>
      <c r="AI718" s="133">
        <f>IF(Timeline!AI206=1, SUM($AA695:AI695)-SUM($Z718:AH718),0)</f>
        <v>0</v>
      </c>
      <c r="AJ718" s="133">
        <f>IF(Timeline!AJ206=1, SUM($AA695:AJ695)-SUM($Z718:AI718),0)</f>
        <v>0</v>
      </c>
      <c r="AK718" s="133">
        <f>IF(Timeline!AK206=1, SUM($AA695:AK695)-SUM($Z718:AJ718),0)</f>
        <v>0</v>
      </c>
      <c r="AL718" s="133">
        <f>IF(Timeline!AL206=1, SUM($AA695:AL695)-SUM($Z718:AK718),0)</f>
        <v>0</v>
      </c>
      <c r="AM718" s="10">
        <f>IF(Timeline!AM206=1, SUM($AA695:AM695)-SUM($Z718:AL718),0)</f>
        <v>0</v>
      </c>
      <c r="AN718" s="10">
        <f>IF(Timeline!AN206=1, SUM($AA695:AN695)-SUM($Z718:AM718),0)</f>
        <v>0</v>
      </c>
      <c r="AO718" s="10">
        <f>IF(Timeline!AO206=1, SUM($AA695:AO695)-SUM($Z718:AN718),0)</f>
        <v>0</v>
      </c>
      <c r="AP718" s="10">
        <f>IF(Timeline!AP206=1, SUM($AA695:AP695)-SUM($Z718:AO718),0)</f>
        <v>0</v>
      </c>
      <c r="AQ718" s="10">
        <f>IF(Timeline!AQ206=1, SUM($AA695:AQ695)-SUM($Z718:AP718),0)</f>
        <v>0</v>
      </c>
      <c r="AR718" s="10">
        <f>IF(Timeline!AR206=1, SUM($AA695:AR695)-SUM($Z718:AQ718),0)</f>
        <v>0</v>
      </c>
      <c r="AS718" s="10">
        <f>IF(Timeline!AS206=1, SUM($AA695:AS695)-SUM($Z718:AR718),0)</f>
        <v>0</v>
      </c>
      <c r="AT718" s="10">
        <f>IF(Timeline!AT206=1, SUM($AA695:AT695)-SUM($Z718:AS718),0)</f>
        <v>0</v>
      </c>
      <c r="AU718" s="10">
        <f>IF(Timeline!AU206=1, SUM($AA695:AU695)-SUM($Z718:AT718),0)</f>
        <v>0</v>
      </c>
      <c r="AV718" s="10">
        <f>IF(Timeline!AV206=1, SUM($AA695:AV695)-SUM($Z718:AU718),0)</f>
        <v>0</v>
      </c>
      <c r="AW718" s="10">
        <f>IF(Timeline!AW206=1, SUM($AA695:AW695)-SUM($Z718:AV718),0)</f>
        <v>0</v>
      </c>
      <c r="AX718" s="10">
        <f>IF(Timeline!AX206=1, SUM($AA695:AX695)-SUM($Z718:AW718),0)</f>
        <v>0</v>
      </c>
      <c r="AY718" s="10">
        <f>IF(Timeline!AY206=1, SUM($AA695:AY695)-SUM($Z718:AX718),0)</f>
        <v>0</v>
      </c>
      <c r="AZ718" s="10">
        <f>IF(Timeline!AZ206=1, SUM($AA695:AZ695)-SUM($Z718:AY718),0)</f>
        <v>0</v>
      </c>
      <c r="BA718" s="10">
        <f>IF(Timeline!BA206=1, SUM($AA695:BA695)-SUM($Z718:AZ718),0)</f>
        <v>0</v>
      </c>
      <c r="BB718" s="10">
        <f>IF(Timeline!BB206=1, SUM($AA695:BB695)-SUM($Z718:BA718),0)</f>
        <v>0</v>
      </c>
      <c r="BC718" s="10">
        <f>IF(Timeline!BC206=1, SUM($AA695:BC695)-SUM($Z718:BB718),0)</f>
        <v>0</v>
      </c>
      <c r="BD718" s="10">
        <f>IF(Timeline!BD206=1, SUM($AA695:BD695)-SUM($Z718:BC718),0)</f>
        <v>0</v>
      </c>
      <c r="BE718" s="10">
        <f>IF(Timeline!BE206=1, SUM($AA695:BE695)-SUM($Z718:BD718),0)</f>
        <v>0</v>
      </c>
      <c r="BF718" s="10">
        <f>IF(Timeline!BF206=1, SUM($AA695:BF695)-SUM($Z718:BE718),0)</f>
        <v>0</v>
      </c>
      <c r="BG718" s="10">
        <f>IF(Timeline!BG206=1, SUM($AA695:BG695)-SUM($Z718:BF718),0)</f>
        <v>0</v>
      </c>
      <c r="BH718" s="10">
        <f>IF(Timeline!BH206=1, SUM($AA695:BH695)-SUM($Z718:BG718),0)</f>
        <v>0</v>
      </c>
      <c r="BI718" s="10">
        <f>IF(Timeline!BI206=1, SUM($AA695:BI695)-SUM($Z718:BH718),0)</f>
        <v>0</v>
      </c>
      <c r="BJ718" s="10">
        <f>IF(Timeline!BJ206=1, SUM($AA695:BJ695)-SUM($Z718:BI718),0)</f>
        <v>0</v>
      </c>
      <c r="BK718" s="10">
        <f>IF(Timeline!BK206=1, SUM($AA695:BK695)-SUM($Z718:BJ718),0)</f>
        <v>0</v>
      </c>
      <c r="BL718" s="10">
        <f>IF(Timeline!BL206=1, SUM($AA695:BL695)-SUM($Z718:BK718),0)</f>
        <v>0</v>
      </c>
      <c r="BM718" s="10">
        <f>IF(Timeline!BM206=1, SUM($AA695:BM695)-SUM($Z718:BL718),0)</f>
        <v>0</v>
      </c>
      <c r="BN718" s="10">
        <f>IF(Timeline!BN206=1, SUM($AA695:BN695)-SUM($Z718:BM718),0)</f>
        <v>0</v>
      </c>
      <c r="BO718" s="10">
        <f>IF(Timeline!BO206=1, SUM($AA695:BO695)-SUM($Z718:BN718),0)</f>
        <v>0</v>
      </c>
      <c r="BP718" s="10">
        <f>IF(Timeline!BP206=1, SUM($AA695:BP695)-SUM($Z718:BO718),0)</f>
        <v>0</v>
      </c>
      <c r="BQ718" s="10">
        <f>IF(Timeline!BQ206=1, SUM($AA695:BQ695)-SUM($Z718:BP718),0)</f>
        <v>0</v>
      </c>
      <c r="BR718" s="10">
        <f>IF(Timeline!BR206=1, SUM($AA695:BR695)-SUM($Z718:BQ718),0)</f>
        <v>0</v>
      </c>
      <c r="BS718" s="10">
        <f>IF(Timeline!BS206=1, SUM($AA695:BS695)-SUM($Z718:BR718),0)</f>
        <v>0</v>
      </c>
      <c r="BT718" s="10">
        <f>IF(Timeline!BT206=1, SUM($AA695:BT695)-SUM($Z718:BS718),0)</f>
        <v>0</v>
      </c>
      <c r="BU718" s="10">
        <f>IF(Timeline!BU206=1, SUM($AA695:BU695)-SUM($Z718:BT718),0)</f>
        <v>0</v>
      </c>
      <c r="BV718" s="10">
        <f>IF(Timeline!BV206=1, SUM($AA695:BV695)-SUM($Z718:BU718),0)</f>
        <v>0</v>
      </c>
      <c r="BX718" s="106"/>
      <c r="BY718" s="12">
        <f t="shared" ref="BY718:BY737" si="757">W718</f>
        <v>0</v>
      </c>
      <c r="BZ718" s="12">
        <f t="shared" ref="BZ718:BZ737" si="758">X718</f>
        <v>0</v>
      </c>
      <c r="CA718" s="12">
        <f t="shared" ref="CA718:CA737" si="759">Y718</f>
        <v>0</v>
      </c>
      <c r="CB718" s="133">
        <f t="shared" ref="CB718:CB737" si="760" xml:space="preserve"> SUMIFS($AA718:$BV718, $AA$3:$BV$3, CB$3)</f>
        <v>0</v>
      </c>
      <c r="CC718" s="106"/>
      <c r="CD718" s="106"/>
      <c r="CE718" s="106"/>
      <c r="CF718" s="106"/>
      <c r="CG718" s="106"/>
      <c r="CH718" s="106"/>
      <c r="CI718" s="106"/>
      <c r="CK718" s="11"/>
      <c r="CM718" s="11"/>
      <c r="CV718" s="120"/>
      <c r="CW718" s="120"/>
      <c r="DF718" s="11"/>
      <c r="EY718" s="10" t="str">
        <f t="shared" si="746"/>
        <v/>
      </c>
    </row>
    <row r="719" spans="1:155" x14ac:dyDescent="0.35">
      <c r="A719" s="120"/>
      <c r="B719" s="69" t="str" cm="1">
        <f t="array" aca="1" ref="B719" ca="1">HYPERLINK(CONCATENATE("#",CELL("address",$D$75)),$D$75)</f>
        <v>Loan 2</v>
      </c>
      <c r="C719" s="211"/>
      <c r="D719" s="49">
        <f>D$14</f>
        <v>0</v>
      </c>
      <c r="E719" s="49" t="str">
        <f>F$14</f>
        <v/>
      </c>
      <c r="F719" s="49"/>
      <c r="G719" s="10">
        <f t="shared" si="755"/>
        <v>0</v>
      </c>
      <c r="I719" s="40" t="s">
        <v>665</v>
      </c>
      <c r="V719" s="106"/>
      <c r="W719" s="133">
        <f t="shared" si="756"/>
        <v>0</v>
      </c>
      <c r="X719" s="133">
        <f t="shared" si="756"/>
        <v>0</v>
      </c>
      <c r="Y719" s="133">
        <f t="shared" si="756"/>
        <v>0</v>
      </c>
      <c r="Z719" s="120"/>
      <c r="AA719" s="133">
        <f>IF(Timeline!AA207=1, SUM($AA696:AA696)-SUM($Z719:Z719),0)</f>
        <v>0</v>
      </c>
      <c r="AB719" s="10">
        <f>IF(Timeline!AB207=1, SUM($AA696:AB696)-SUM($Z719:AA719),0)</f>
        <v>0</v>
      </c>
      <c r="AC719" s="10">
        <f>IF(Timeline!AC207=1, SUM($AA696:AC696)-SUM($Z719:AB719),0)</f>
        <v>0</v>
      </c>
      <c r="AD719" s="10">
        <f>IF(Timeline!AD207=1, SUM($AA696:AD696)-SUM($Z719:AC719),0)</f>
        <v>0</v>
      </c>
      <c r="AE719" s="10">
        <f>IF(Timeline!AE207=1, SUM($AA696:AE696)-SUM($Z719:AD719),0)</f>
        <v>0</v>
      </c>
      <c r="AF719" s="10">
        <f>IF(Timeline!AF207=1, SUM($AA696:AF696)-SUM($Z719:AE719),0)</f>
        <v>0</v>
      </c>
      <c r="AG719" s="10">
        <f>IF(Timeline!AG207=1, SUM($AA696:AG696)-SUM($Z719:AF719),0)</f>
        <v>0</v>
      </c>
      <c r="AH719" s="10">
        <f>IF(Timeline!AH207=1, SUM($AA696:AH696)-SUM($Z719:AG719),0)</f>
        <v>0</v>
      </c>
      <c r="AI719" s="10">
        <f>IF(Timeline!AI207=1, SUM($AA696:AI696)-SUM($Z719:AH719),0)</f>
        <v>0</v>
      </c>
      <c r="AJ719" s="10">
        <f>IF(Timeline!AJ207=1, SUM($AA696:AJ696)-SUM($Z719:AI719),0)</f>
        <v>0</v>
      </c>
      <c r="AK719" s="10">
        <f>IF(Timeline!AK207=1, SUM($AA696:AK696)-SUM($Z719:AJ719),0)</f>
        <v>0</v>
      </c>
      <c r="AL719" s="10">
        <f>IF(Timeline!AL207=1, SUM($AA696:AL696)-SUM($Z719:AK719),0)</f>
        <v>0</v>
      </c>
      <c r="AM719" s="10">
        <f>IF(Timeline!AM207=1, SUM($AA696:AM696)-SUM($Z719:AL719),0)</f>
        <v>0</v>
      </c>
      <c r="AN719" s="10">
        <f>IF(Timeline!AN207=1, SUM($AA696:AN696)-SUM($Z719:AM719),0)</f>
        <v>0</v>
      </c>
      <c r="AO719" s="10">
        <f>IF(Timeline!AO207=1, SUM($AA696:AO696)-SUM($Z719:AN719),0)</f>
        <v>0</v>
      </c>
      <c r="AP719" s="10">
        <f>IF(Timeline!AP207=1, SUM($AA696:AP696)-SUM($Z719:AO719),0)</f>
        <v>0</v>
      </c>
      <c r="AQ719" s="10">
        <f>IF(Timeline!AQ207=1, SUM($AA696:AQ696)-SUM($Z719:AP719),0)</f>
        <v>0</v>
      </c>
      <c r="AR719" s="10">
        <f>IF(Timeline!AR207=1, SUM($AA696:AR696)-SUM($Z719:AQ719),0)</f>
        <v>0</v>
      </c>
      <c r="AS719" s="10">
        <f>IF(Timeline!AS207=1, SUM($AA696:AS696)-SUM($Z719:AR719),0)</f>
        <v>0</v>
      </c>
      <c r="AT719" s="10">
        <f>IF(Timeline!AT207=1, SUM($AA696:AT696)-SUM($Z719:AS719),0)</f>
        <v>0</v>
      </c>
      <c r="AU719" s="10">
        <f>IF(Timeline!AU207=1, SUM($AA696:AU696)-SUM($Z719:AT719),0)</f>
        <v>0</v>
      </c>
      <c r="AV719" s="10">
        <f>IF(Timeline!AV207=1, SUM($AA696:AV696)-SUM($Z719:AU719),0)</f>
        <v>0</v>
      </c>
      <c r="AW719" s="10">
        <f>IF(Timeline!AW207=1, SUM($AA696:AW696)-SUM($Z719:AV719),0)</f>
        <v>0</v>
      </c>
      <c r="AX719" s="10">
        <f>IF(Timeline!AX207=1, SUM($AA696:AX696)-SUM($Z719:AW719),0)</f>
        <v>0</v>
      </c>
      <c r="AY719" s="10">
        <f>IF(Timeline!AY207=1, SUM($AA696:AY696)-SUM($Z719:AX719),0)</f>
        <v>0</v>
      </c>
      <c r="AZ719" s="10">
        <f>IF(Timeline!AZ207=1, SUM($AA696:AZ696)-SUM($Z719:AY719),0)</f>
        <v>0</v>
      </c>
      <c r="BA719" s="10">
        <f>IF(Timeline!BA207=1, SUM($AA696:BA696)-SUM($Z719:AZ719),0)</f>
        <v>0</v>
      </c>
      <c r="BB719" s="10">
        <f>IF(Timeline!BB207=1, SUM($AA696:BB696)-SUM($Z719:BA719),0)</f>
        <v>0</v>
      </c>
      <c r="BC719" s="10">
        <f>IF(Timeline!BC207=1, SUM($AA696:BC696)-SUM($Z719:BB719),0)</f>
        <v>0</v>
      </c>
      <c r="BD719" s="10">
        <f>IF(Timeline!BD207=1, SUM($AA696:BD696)-SUM($Z719:BC719),0)</f>
        <v>0</v>
      </c>
      <c r="BE719" s="10">
        <f>IF(Timeline!BE207=1, SUM($AA696:BE696)-SUM($Z719:BD719),0)</f>
        <v>0</v>
      </c>
      <c r="BF719" s="10">
        <f>IF(Timeline!BF207=1, SUM($AA696:BF696)-SUM($Z719:BE719),0)</f>
        <v>0</v>
      </c>
      <c r="BG719" s="10">
        <f>IF(Timeline!BG207=1, SUM($AA696:BG696)-SUM($Z719:BF719),0)</f>
        <v>0</v>
      </c>
      <c r="BH719" s="10">
        <f>IF(Timeline!BH207=1, SUM($AA696:BH696)-SUM($Z719:BG719),0)</f>
        <v>0</v>
      </c>
      <c r="BI719" s="10">
        <f>IF(Timeline!BI207=1, SUM($AA696:BI696)-SUM($Z719:BH719),0)</f>
        <v>0</v>
      </c>
      <c r="BJ719" s="10">
        <f>IF(Timeline!BJ207=1, SUM($AA696:BJ696)-SUM($Z719:BI719),0)</f>
        <v>0</v>
      </c>
      <c r="BK719" s="10">
        <f>IF(Timeline!BK207=1, SUM($AA696:BK696)-SUM($Z719:BJ719),0)</f>
        <v>0</v>
      </c>
      <c r="BL719" s="10">
        <f>IF(Timeline!BL207=1, SUM($AA696:BL696)-SUM($Z719:BK719),0)</f>
        <v>0</v>
      </c>
      <c r="BM719" s="10">
        <f>IF(Timeline!BM207=1, SUM($AA696:BM696)-SUM($Z719:BL719),0)</f>
        <v>0</v>
      </c>
      <c r="BN719" s="10">
        <f>IF(Timeline!BN207=1, SUM($AA696:BN696)-SUM($Z719:BM719),0)</f>
        <v>0</v>
      </c>
      <c r="BO719" s="10">
        <f>IF(Timeline!BO207=1, SUM($AA696:BO696)-SUM($Z719:BN719),0)</f>
        <v>0</v>
      </c>
      <c r="BP719" s="10">
        <f>IF(Timeline!BP207=1, SUM($AA696:BP696)-SUM($Z719:BO719),0)</f>
        <v>0</v>
      </c>
      <c r="BQ719" s="10">
        <f>IF(Timeline!BQ207=1, SUM($AA696:BQ696)-SUM($Z719:BP719),0)</f>
        <v>0</v>
      </c>
      <c r="BR719" s="10">
        <f>IF(Timeline!BR207=1, SUM($AA696:BR696)-SUM($Z719:BQ719),0)</f>
        <v>0</v>
      </c>
      <c r="BS719" s="10">
        <f>IF(Timeline!BS207=1, SUM($AA696:BS696)-SUM($Z719:BR719),0)</f>
        <v>0</v>
      </c>
      <c r="BT719" s="10">
        <f>IF(Timeline!BT207=1, SUM($AA696:BT696)-SUM($Z719:BS719),0)</f>
        <v>0</v>
      </c>
      <c r="BU719" s="10">
        <f>IF(Timeline!BU207=1, SUM($AA696:BU696)-SUM($Z719:BT719),0)</f>
        <v>0</v>
      </c>
      <c r="BV719" s="10">
        <f>IF(Timeline!BV207=1, SUM($AA696:BV696)-SUM($Z719:BU719),0)</f>
        <v>0</v>
      </c>
      <c r="BX719" s="106"/>
      <c r="BY719" s="12">
        <f t="shared" si="757"/>
        <v>0</v>
      </c>
      <c r="BZ719" s="12">
        <f t="shared" si="758"/>
        <v>0</v>
      </c>
      <c r="CA719" s="12">
        <f t="shared" si="759"/>
        <v>0</v>
      </c>
      <c r="CB719" s="133">
        <f t="shared" si="760"/>
        <v>0</v>
      </c>
      <c r="CC719" s="106"/>
      <c r="CD719" s="106"/>
      <c r="CE719" s="106"/>
      <c r="CF719" s="106"/>
      <c r="CG719" s="106"/>
      <c r="CH719" s="106"/>
      <c r="CI719" s="106"/>
      <c r="CK719" s="11"/>
      <c r="CM719" s="11"/>
      <c r="CV719" s="120"/>
      <c r="CW719" s="120"/>
      <c r="DF719" s="11"/>
      <c r="EY719" s="10" t="str">
        <f t="shared" si="746"/>
        <v/>
      </c>
    </row>
    <row r="720" spans="1:155" x14ac:dyDescent="0.35">
      <c r="A720" s="120"/>
      <c r="B720" s="69" t="str" cm="1">
        <f t="array" aca="1" ref="B720" ca="1">HYPERLINK(CONCATENATE("#",CELL("address",$D$94)),$D$94)</f>
        <v>Loan 3</v>
      </c>
      <c r="C720" s="211"/>
      <c r="D720" s="49">
        <f>D$15</f>
        <v>0</v>
      </c>
      <c r="E720" s="49" t="str">
        <f>F$15</f>
        <v/>
      </c>
      <c r="F720" s="49"/>
      <c r="G720" s="10">
        <f t="shared" si="755"/>
        <v>0</v>
      </c>
      <c r="I720" s="40" t="s">
        <v>665</v>
      </c>
      <c r="V720" s="106"/>
      <c r="W720" s="133">
        <f t="shared" si="756"/>
        <v>0</v>
      </c>
      <c r="X720" s="133">
        <f t="shared" si="756"/>
        <v>0</v>
      </c>
      <c r="Y720" s="133">
        <f t="shared" si="756"/>
        <v>0</v>
      </c>
      <c r="AA720" s="133">
        <f>IF(Timeline!AA208=1, SUM($AA697:AA697)-SUM($Z720:Z720),0)</f>
        <v>0</v>
      </c>
      <c r="AB720" s="10">
        <f>IF(Timeline!AB208=1, SUM($AA697:AB697)-SUM($Z720:AA720),0)</f>
        <v>0</v>
      </c>
      <c r="AC720" s="10">
        <f>IF(Timeline!AC208=1, SUM($AA697:AC697)-SUM($Z720:AB720),0)</f>
        <v>0</v>
      </c>
      <c r="AD720" s="10">
        <f>IF(Timeline!AD208=1, SUM($AA697:AD697)-SUM($Z720:AC720),0)</f>
        <v>0</v>
      </c>
      <c r="AE720" s="10">
        <f>IF(Timeline!AE208=1, SUM($AA697:AE697)-SUM($Z720:AD720),0)</f>
        <v>0</v>
      </c>
      <c r="AF720" s="10">
        <f>IF(Timeline!AF208=1, SUM($AA697:AF697)-SUM($Z720:AE720),0)</f>
        <v>0</v>
      </c>
      <c r="AG720" s="10">
        <f>IF(Timeline!AG208=1, SUM($AA697:AG697)-SUM($Z720:AF720),0)</f>
        <v>0</v>
      </c>
      <c r="AH720" s="10">
        <f>IF(Timeline!AH208=1, SUM($AA697:AH697)-SUM($Z720:AG720),0)</f>
        <v>0</v>
      </c>
      <c r="AI720" s="10">
        <f>IF(Timeline!AI208=1, SUM($AA697:AI697)-SUM($Z720:AH720),0)</f>
        <v>0</v>
      </c>
      <c r="AJ720" s="10">
        <f>IF(Timeline!AJ208=1, SUM($AA697:AJ697)-SUM($Z720:AI720),0)</f>
        <v>0</v>
      </c>
      <c r="AK720" s="10">
        <f>IF(Timeline!AK208=1, SUM($AA697:AK697)-SUM($Z720:AJ720),0)</f>
        <v>0</v>
      </c>
      <c r="AL720" s="10">
        <f>IF(Timeline!AL208=1, SUM($AA697:AL697)-SUM($Z720:AK720),0)</f>
        <v>0</v>
      </c>
      <c r="AM720" s="10">
        <f>IF(Timeline!AM208=1, SUM($AA697:AM697)-SUM($Z720:AL720),0)</f>
        <v>0</v>
      </c>
      <c r="AN720" s="10">
        <f>IF(Timeline!AN208=1, SUM($AA697:AN697)-SUM($Z720:AM720),0)</f>
        <v>0</v>
      </c>
      <c r="AO720" s="10">
        <f>IF(Timeline!AO208=1, SUM($AA697:AO697)-SUM($Z720:AN720),0)</f>
        <v>0</v>
      </c>
      <c r="AP720" s="10">
        <f>IF(Timeline!AP208=1, SUM($AA697:AP697)-SUM($Z720:AO720),0)</f>
        <v>0</v>
      </c>
      <c r="AQ720" s="10">
        <f>IF(Timeline!AQ208=1, SUM($AA697:AQ697)-SUM($Z720:AP720),0)</f>
        <v>0</v>
      </c>
      <c r="AR720" s="10">
        <f>IF(Timeline!AR208=1, SUM($AA697:AR697)-SUM($Z720:AQ720),0)</f>
        <v>0</v>
      </c>
      <c r="AS720" s="10">
        <f>IF(Timeline!AS208=1, SUM($AA697:AS697)-SUM($Z720:AR720),0)</f>
        <v>0</v>
      </c>
      <c r="AT720" s="10">
        <f>IF(Timeline!AT208=1, SUM($AA697:AT697)-SUM($Z720:AS720),0)</f>
        <v>0</v>
      </c>
      <c r="AU720" s="10">
        <f>IF(Timeline!AU208=1, SUM($AA697:AU697)-SUM($Z720:AT720),0)</f>
        <v>0</v>
      </c>
      <c r="AV720" s="10">
        <f>IF(Timeline!AV208=1, SUM($AA697:AV697)-SUM($Z720:AU720),0)</f>
        <v>0</v>
      </c>
      <c r="AW720" s="10">
        <f>IF(Timeline!AW208=1, SUM($AA697:AW697)-SUM($Z720:AV720),0)</f>
        <v>0</v>
      </c>
      <c r="AX720" s="10">
        <f>IF(Timeline!AX208=1, SUM($AA697:AX697)-SUM($Z720:AW720),0)</f>
        <v>0</v>
      </c>
      <c r="AY720" s="10">
        <f>IF(Timeline!AY208=1, SUM($AA697:AY697)-SUM($Z720:AX720),0)</f>
        <v>0</v>
      </c>
      <c r="AZ720" s="10">
        <f>IF(Timeline!AZ208=1, SUM($AA697:AZ697)-SUM($Z720:AY720),0)</f>
        <v>0</v>
      </c>
      <c r="BA720" s="10">
        <f>IF(Timeline!BA208=1, SUM($AA697:BA697)-SUM($Z720:AZ720),0)</f>
        <v>0</v>
      </c>
      <c r="BB720" s="10">
        <f>IF(Timeline!BB208=1, SUM($AA697:BB697)-SUM($Z720:BA720),0)</f>
        <v>0</v>
      </c>
      <c r="BC720" s="10">
        <f>IF(Timeline!BC208=1, SUM($AA697:BC697)-SUM($Z720:BB720),0)</f>
        <v>0</v>
      </c>
      <c r="BD720" s="10">
        <f>IF(Timeline!BD208=1, SUM($AA697:BD697)-SUM($Z720:BC720),0)</f>
        <v>0</v>
      </c>
      <c r="BE720" s="10">
        <f>IF(Timeline!BE208=1, SUM($AA697:BE697)-SUM($Z720:BD720),0)</f>
        <v>0</v>
      </c>
      <c r="BF720" s="10">
        <f>IF(Timeline!BF208=1, SUM($AA697:BF697)-SUM($Z720:BE720),0)</f>
        <v>0</v>
      </c>
      <c r="BG720" s="10">
        <f>IF(Timeline!BG208=1, SUM($AA697:BG697)-SUM($Z720:BF720),0)</f>
        <v>0</v>
      </c>
      <c r="BH720" s="10">
        <f>IF(Timeline!BH208=1, SUM($AA697:BH697)-SUM($Z720:BG720),0)</f>
        <v>0</v>
      </c>
      <c r="BI720" s="10">
        <f>IF(Timeline!BI208=1, SUM($AA697:BI697)-SUM($Z720:BH720),0)</f>
        <v>0</v>
      </c>
      <c r="BJ720" s="10">
        <f>IF(Timeline!BJ208=1, SUM($AA697:BJ697)-SUM($Z720:BI720),0)</f>
        <v>0</v>
      </c>
      <c r="BK720" s="10">
        <f>IF(Timeline!BK208=1, SUM($AA697:BK697)-SUM($Z720:BJ720),0)</f>
        <v>0</v>
      </c>
      <c r="BL720" s="10">
        <f>IF(Timeline!BL208=1, SUM($AA697:BL697)-SUM($Z720:BK720),0)</f>
        <v>0</v>
      </c>
      <c r="BM720" s="10">
        <f>IF(Timeline!BM208=1, SUM($AA697:BM697)-SUM($Z720:BL720),0)</f>
        <v>0</v>
      </c>
      <c r="BN720" s="10">
        <f>IF(Timeline!BN208=1, SUM($AA697:BN697)-SUM($Z720:BM720),0)</f>
        <v>0</v>
      </c>
      <c r="BO720" s="10">
        <f>IF(Timeline!BO208=1, SUM($AA697:BO697)-SUM($Z720:BN720),0)</f>
        <v>0</v>
      </c>
      <c r="BP720" s="10">
        <f>IF(Timeline!BP208=1, SUM($AA697:BP697)-SUM($Z720:BO720),0)</f>
        <v>0</v>
      </c>
      <c r="BQ720" s="10">
        <f>IF(Timeline!BQ208=1, SUM($AA697:BQ697)-SUM($Z720:BP720),0)</f>
        <v>0</v>
      </c>
      <c r="BR720" s="10">
        <f>IF(Timeline!BR208=1, SUM($AA697:BR697)-SUM($Z720:BQ720),0)</f>
        <v>0</v>
      </c>
      <c r="BS720" s="10">
        <f>IF(Timeline!BS208=1, SUM($AA697:BS697)-SUM($Z720:BR720),0)</f>
        <v>0</v>
      </c>
      <c r="BT720" s="10">
        <f>IF(Timeline!BT208=1, SUM($AA697:BT697)-SUM($Z720:BS720),0)</f>
        <v>0</v>
      </c>
      <c r="BU720" s="10">
        <f>IF(Timeline!BU208=1, SUM($AA697:BU697)-SUM($Z720:BT720),0)</f>
        <v>0</v>
      </c>
      <c r="BV720" s="10">
        <f>IF(Timeline!BV208=1, SUM($AA697:BV697)-SUM($Z720:BU720),0)</f>
        <v>0</v>
      </c>
      <c r="BX720" s="106"/>
      <c r="BY720" s="12">
        <f t="shared" si="757"/>
        <v>0</v>
      </c>
      <c r="BZ720" s="12">
        <f t="shared" si="758"/>
        <v>0</v>
      </c>
      <c r="CA720" s="12">
        <f t="shared" si="759"/>
        <v>0</v>
      </c>
      <c r="CB720" s="133">
        <f t="shared" si="760"/>
        <v>0</v>
      </c>
      <c r="CC720" s="106"/>
      <c r="CD720" s="106"/>
      <c r="CE720" s="106"/>
      <c r="CF720" s="106"/>
      <c r="CG720" s="106"/>
      <c r="CH720" s="106"/>
      <c r="CI720" s="106"/>
      <c r="CK720" s="11"/>
      <c r="CM720" s="11"/>
      <c r="CV720" s="120"/>
      <c r="CW720" s="120"/>
      <c r="DF720" s="11"/>
      <c r="EY720" s="10" t="str">
        <f t="shared" si="746"/>
        <v/>
      </c>
    </row>
    <row r="721" spans="1:155" x14ac:dyDescent="0.35">
      <c r="A721" s="120"/>
      <c r="B721" s="69" t="str" cm="1">
        <f t="array" aca="1" ref="B721" ca="1">HYPERLINK(CONCATENATE("#",CELL("address",$D$113)),$D$113)</f>
        <v>Loan 4</v>
      </c>
      <c r="C721" s="211"/>
      <c r="D721" s="49">
        <f>D$16</f>
        <v>0</v>
      </c>
      <c r="E721" s="49" t="str">
        <f>F$16</f>
        <v/>
      </c>
      <c r="F721" s="49"/>
      <c r="G721" s="10">
        <f t="shared" si="755"/>
        <v>0</v>
      </c>
      <c r="I721" s="40" t="s">
        <v>665</v>
      </c>
      <c r="V721" s="106"/>
      <c r="W721" s="133">
        <f t="shared" si="756"/>
        <v>0</v>
      </c>
      <c r="X721" s="133">
        <f t="shared" si="756"/>
        <v>0</v>
      </c>
      <c r="Y721" s="133">
        <f t="shared" si="756"/>
        <v>0</v>
      </c>
      <c r="AA721" s="133">
        <f>IF(Timeline!AA209=1, SUM($AA698:AA698)-SUM($Z721:Z721),0)</f>
        <v>0</v>
      </c>
      <c r="AB721" s="10">
        <f>IF(Timeline!AB209=1, SUM($AA698:AB698)-SUM($Z721:AA721),0)</f>
        <v>0</v>
      </c>
      <c r="AC721" s="10">
        <f>IF(Timeline!AC209=1, SUM($AA698:AC698)-SUM($Z721:AB721),0)</f>
        <v>0</v>
      </c>
      <c r="AD721" s="10">
        <f>IF(Timeline!AD209=1, SUM($AA698:AD698)-SUM($Z721:AC721),0)</f>
        <v>0</v>
      </c>
      <c r="AE721" s="10">
        <f>IF(Timeline!AE209=1, SUM($AA698:AE698)-SUM($Z721:AD721),0)</f>
        <v>0</v>
      </c>
      <c r="AF721" s="10">
        <f>IF(Timeline!AF209=1, SUM($AA698:AF698)-SUM($Z721:AE721),0)</f>
        <v>0</v>
      </c>
      <c r="AG721" s="10">
        <f>IF(Timeline!AG209=1, SUM($AA698:AG698)-SUM($Z721:AF721),0)</f>
        <v>0</v>
      </c>
      <c r="AH721" s="10">
        <f>IF(Timeline!AH209=1, SUM($AA698:AH698)-SUM($Z721:AG721),0)</f>
        <v>0</v>
      </c>
      <c r="AI721" s="10">
        <f>IF(Timeline!AI209=1, SUM($AA698:AI698)-SUM($Z721:AH721),0)</f>
        <v>0</v>
      </c>
      <c r="AJ721" s="10">
        <f>IF(Timeline!AJ209=1, SUM($AA698:AJ698)-SUM($Z721:AI721),0)</f>
        <v>0</v>
      </c>
      <c r="AK721" s="10">
        <f>IF(Timeline!AK209=1, SUM($AA698:AK698)-SUM($Z721:AJ721),0)</f>
        <v>0</v>
      </c>
      <c r="AL721" s="10">
        <f>IF(Timeline!AL209=1, SUM($AA698:AL698)-SUM($Z721:AK721),0)</f>
        <v>0</v>
      </c>
      <c r="AM721" s="10">
        <f>IF(Timeline!AM209=1, SUM($AA698:AM698)-SUM($Z721:AL721),0)</f>
        <v>0</v>
      </c>
      <c r="AN721" s="10">
        <f>IF(Timeline!AN209=1, SUM($AA698:AN698)-SUM($Z721:AM721),0)</f>
        <v>0</v>
      </c>
      <c r="AO721" s="10">
        <f>IF(Timeline!AO209=1, SUM($AA698:AO698)-SUM($Z721:AN721),0)</f>
        <v>0</v>
      </c>
      <c r="AP721" s="10">
        <f>IF(Timeline!AP209=1, SUM($AA698:AP698)-SUM($Z721:AO721),0)</f>
        <v>0</v>
      </c>
      <c r="AQ721" s="10">
        <f>IF(Timeline!AQ209=1, SUM($AA698:AQ698)-SUM($Z721:AP721),0)</f>
        <v>0</v>
      </c>
      <c r="AR721" s="10">
        <f>IF(Timeline!AR209=1, SUM($AA698:AR698)-SUM($Z721:AQ721),0)</f>
        <v>0</v>
      </c>
      <c r="AS721" s="10">
        <f>IF(Timeline!AS209=1, SUM($AA698:AS698)-SUM($Z721:AR721),0)</f>
        <v>0</v>
      </c>
      <c r="AT721" s="10">
        <f>IF(Timeline!AT209=1, SUM($AA698:AT698)-SUM($Z721:AS721),0)</f>
        <v>0</v>
      </c>
      <c r="AU721" s="10">
        <f>IF(Timeline!AU209=1, SUM($AA698:AU698)-SUM($Z721:AT721),0)</f>
        <v>0</v>
      </c>
      <c r="AV721" s="10">
        <f>IF(Timeline!AV209=1, SUM($AA698:AV698)-SUM($Z721:AU721),0)</f>
        <v>0</v>
      </c>
      <c r="AW721" s="10">
        <f>IF(Timeline!AW209=1, SUM($AA698:AW698)-SUM($Z721:AV721),0)</f>
        <v>0</v>
      </c>
      <c r="AX721" s="10">
        <f>IF(Timeline!AX209=1, SUM($AA698:AX698)-SUM($Z721:AW721),0)</f>
        <v>0</v>
      </c>
      <c r="AY721" s="10">
        <f>IF(Timeline!AY209=1, SUM($AA698:AY698)-SUM($Z721:AX721),0)</f>
        <v>0</v>
      </c>
      <c r="AZ721" s="10">
        <f>IF(Timeline!AZ209=1, SUM($AA698:AZ698)-SUM($Z721:AY721),0)</f>
        <v>0</v>
      </c>
      <c r="BA721" s="10">
        <f>IF(Timeline!BA209=1, SUM($AA698:BA698)-SUM($Z721:AZ721),0)</f>
        <v>0</v>
      </c>
      <c r="BB721" s="10">
        <f>IF(Timeline!BB209=1, SUM($AA698:BB698)-SUM($Z721:BA721),0)</f>
        <v>0</v>
      </c>
      <c r="BC721" s="10">
        <f>IF(Timeline!BC209=1, SUM($AA698:BC698)-SUM($Z721:BB721),0)</f>
        <v>0</v>
      </c>
      <c r="BD721" s="10">
        <f>IF(Timeline!BD209=1, SUM($AA698:BD698)-SUM($Z721:BC721),0)</f>
        <v>0</v>
      </c>
      <c r="BE721" s="10">
        <f>IF(Timeline!BE209=1, SUM($AA698:BE698)-SUM($Z721:BD721),0)</f>
        <v>0</v>
      </c>
      <c r="BF721" s="10">
        <f>IF(Timeline!BF209=1, SUM($AA698:BF698)-SUM($Z721:BE721),0)</f>
        <v>0</v>
      </c>
      <c r="BG721" s="10">
        <f>IF(Timeline!BG209=1, SUM($AA698:BG698)-SUM($Z721:BF721),0)</f>
        <v>0</v>
      </c>
      <c r="BH721" s="10">
        <f>IF(Timeline!BH209=1, SUM($AA698:BH698)-SUM($Z721:BG721),0)</f>
        <v>0</v>
      </c>
      <c r="BI721" s="10">
        <f>IF(Timeline!BI209=1, SUM($AA698:BI698)-SUM($Z721:BH721),0)</f>
        <v>0</v>
      </c>
      <c r="BJ721" s="10">
        <f>IF(Timeline!BJ209=1, SUM($AA698:BJ698)-SUM($Z721:BI721),0)</f>
        <v>0</v>
      </c>
      <c r="BK721" s="10">
        <f>IF(Timeline!BK209=1, SUM($AA698:BK698)-SUM($Z721:BJ721),0)</f>
        <v>0</v>
      </c>
      <c r="BL721" s="10">
        <f>IF(Timeline!BL209=1, SUM($AA698:BL698)-SUM($Z721:BK721),0)</f>
        <v>0</v>
      </c>
      <c r="BM721" s="10">
        <f>IF(Timeline!BM209=1, SUM($AA698:BM698)-SUM($Z721:BL721),0)</f>
        <v>0</v>
      </c>
      <c r="BN721" s="10">
        <f>IF(Timeline!BN209=1, SUM($AA698:BN698)-SUM($Z721:BM721),0)</f>
        <v>0</v>
      </c>
      <c r="BO721" s="10">
        <f>IF(Timeline!BO209=1, SUM($AA698:BO698)-SUM($Z721:BN721),0)</f>
        <v>0</v>
      </c>
      <c r="BP721" s="10">
        <f>IF(Timeline!BP209=1, SUM($AA698:BP698)-SUM($Z721:BO721),0)</f>
        <v>0</v>
      </c>
      <c r="BQ721" s="10">
        <f>IF(Timeline!BQ209=1, SUM($AA698:BQ698)-SUM($Z721:BP721),0)</f>
        <v>0</v>
      </c>
      <c r="BR721" s="10">
        <f>IF(Timeline!BR209=1, SUM($AA698:BR698)-SUM($Z721:BQ721),0)</f>
        <v>0</v>
      </c>
      <c r="BS721" s="10">
        <f>IF(Timeline!BS209=1, SUM($AA698:BS698)-SUM($Z721:BR721),0)</f>
        <v>0</v>
      </c>
      <c r="BT721" s="10">
        <f>IF(Timeline!BT209=1, SUM($AA698:BT698)-SUM($Z721:BS721),0)</f>
        <v>0</v>
      </c>
      <c r="BU721" s="10">
        <f>IF(Timeline!BU209=1, SUM($AA698:BU698)-SUM($Z721:BT721),0)</f>
        <v>0</v>
      </c>
      <c r="BV721" s="10">
        <f>IF(Timeline!BV209=1, SUM($AA698:BV698)-SUM($Z721:BU721),0)</f>
        <v>0</v>
      </c>
      <c r="BX721" s="106"/>
      <c r="BY721" s="12">
        <f t="shared" si="757"/>
        <v>0</v>
      </c>
      <c r="BZ721" s="12">
        <f t="shared" si="758"/>
        <v>0</v>
      </c>
      <c r="CA721" s="12">
        <f t="shared" si="759"/>
        <v>0</v>
      </c>
      <c r="CB721" s="133">
        <f t="shared" si="760"/>
        <v>0</v>
      </c>
      <c r="CC721" s="106"/>
      <c r="CD721" s="106"/>
      <c r="CE721" s="106"/>
      <c r="CF721" s="106"/>
      <c r="CG721" s="106"/>
      <c r="CH721" s="106"/>
      <c r="CI721" s="106"/>
      <c r="CK721" s="11"/>
      <c r="CM721" s="11"/>
      <c r="CV721" s="120"/>
      <c r="CW721" s="120"/>
      <c r="DF721" s="11"/>
      <c r="EY721" s="10" t="str">
        <f t="shared" si="746"/>
        <v/>
      </c>
    </row>
    <row r="722" spans="1:155" x14ac:dyDescent="0.35">
      <c r="A722" s="120"/>
      <c r="B722" s="69" t="str" cm="1">
        <f t="array" aca="1" ref="B722" ca="1">HYPERLINK(CONCATENATE("#",CELL("address",$D$132)),$D$132)</f>
        <v>Loan 5</v>
      </c>
      <c r="C722" s="211"/>
      <c r="D722" s="49">
        <f>D$17</f>
        <v>0</v>
      </c>
      <c r="E722" s="49" t="str">
        <f>F$17</f>
        <v/>
      </c>
      <c r="F722" s="49"/>
      <c r="G722" s="10">
        <f t="shared" si="755"/>
        <v>0</v>
      </c>
      <c r="I722" s="40" t="s">
        <v>665</v>
      </c>
      <c r="V722" s="106"/>
      <c r="W722" s="133">
        <f t="shared" si="756"/>
        <v>0</v>
      </c>
      <c r="X722" s="133">
        <f t="shared" si="756"/>
        <v>0</v>
      </c>
      <c r="Y722" s="133">
        <f t="shared" si="756"/>
        <v>0</v>
      </c>
      <c r="AA722" s="133">
        <f>IF(Timeline!AA210=1, SUM($AA699:AA699)-SUM($Z722:Z722),0)</f>
        <v>0</v>
      </c>
      <c r="AB722" s="10">
        <f>IF(Timeline!AB210=1, SUM($AA699:AB699)-SUM($Z722:AA722),0)</f>
        <v>0</v>
      </c>
      <c r="AC722" s="10">
        <f>IF(Timeline!AC210=1, SUM($AA699:AC699)-SUM($Z722:AB722),0)</f>
        <v>0</v>
      </c>
      <c r="AD722" s="10">
        <f>IF(Timeline!AD210=1, SUM($AA699:AD699)-SUM($Z722:AC722),0)</f>
        <v>0</v>
      </c>
      <c r="AE722" s="10">
        <f>IF(Timeline!AE210=1, SUM($AA699:AE699)-SUM($Z722:AD722),0)</f>
        <v>0</v>
      </c>
      <c r="AF722" s="10">
        <f>IF(Timeline!AF210=1, SUM($AA699:AF699)-SUM($Z722:AE722),0)</f>
        <v>0</v>
      </c>
      <c r="AG722" s="10">
        <f>IF(Timeline!AG210=1, SUM($AA699:AG699)-SUM($Z722:AF722),0)</f>
        <v>0</v>
      </c>
      <c r="AH722" s="10">
        <f>IF(Timeline!AH210=1, SUM($AA699:AH699)-SUM($Z722:AG722),0)</f>
        <v>0</v>
      </c>
      <c r="AI722" s="10">
        <f>IF(Timeline!AI210=1, SUM($AA699:AI699)-SUM($Z722:AH722),0)</f>
        <v>0</v>
      </c>
      <c r="AJ722" s="10">
        <f>IF(Timeline!AJ210=1, SUM($AA699:AJ699)-SUM($Z722:AI722),0)</f>
        <v>0</v>
      </c>
      <c r="AK722" s="10">
        <f>IF(Timeline!AK210=1, SUM($AA699:AK699)-SUM($Z722:AJ722),0)</f>
        <v>0</v>
      </c>
      <c r="AL722" s="10">
        <f>IF(Timeline!AL210=1, SUM($AA699:AL699)-SUM($Z722:AK722),0)</f>
        <v>0</v>
      </c>
      <c r="AM722" s="10">
        <f>IF(Timeline!AM210=1, SUM($AA699:AM699)-SUM($Z722:AL722),0)</f>
        <v>0</v>
      </c>
      <c r="AN722" s="10">
        <f>IF(Timeline!AN210=1, SUM($AA699:AN699)-SUM($Z722:AM722),0)</f>
        <v>0</v>
      </c>
      <c r="AO722" s="10">
        <f>IF(Timeline!AO210=1, SUM($AA699:AO699)-SUM($Z722:AN722),0)</f>
        <v>0</v>
      </c>
      <c r="AP722" s="10">
        <f>IF(Timeline!AP210=1, SUM($AA699:AP699)-SUM($Z722:AO722),0)</f>
        <v>0</v>
      </c>
      <c r="AQ722" s="10">
        <f>IF(Timeline!AQ210=1, SUM($AA699:AQ699)-SUM($Z722:AP722),0)</f>
        <v>0</v>
      </c>
      <c r="AR722" s="10">
        <f>IF(Timeline!AR210=1, SUM($AA699:AR699)-SUM($Z722:AQ722),0)</f>
        <v>0</v>
      </c>
      <c r="AS722" s="10">
        <f>IF(Timeline!AS210=1, SUM($AA699:AS699)-SUM($Z722:AR722),0)</f>
        <v>0</v>
      </c>
      <c r="AT722" s="10">
        <f>IF(Timeline!AT210=1, SUM($AA699:AT699)-SUM($Z722:AS722),0)</f>
        <v>0</v>
      </c>
      <c r="AU722" s="10">
        <f>IF(Timeline!AU210=1, SUM($AA699:AU699)-SUM($Z722:AT722),0)</f>
        <v>0</v>
      </c>
      <c r="AV722" s="10">
        <f>IF(Timeline!AV210=1, SUM($AA699:AV699)-SUM($Z722:AU722),0)</f>
        <v>0</v>
      </c>
      <c r="AW722" s="10">
        <f>IF(Timeline!AW210=1, SUM($AA699:AW699)-SUM($Z722:AV722),0)</f>
        <v>0</v>
      </c>
      <c r="AX722" s="10">
        <f>IF(Timeline!AX210=1, SUM($AA699:AX699)-SUM($Z722:AW722),0)</f>
        <v>0</v>
      </c>
      <c r="AY722" s="10">
        <f>IF(Timeline!AY210=1, SUM($AA699:AY699)-SUM($Z722:AX722),0)</f>
        <v>0</v>
      </c>
      <c r="AZ722" s="10">
        <f>IF(Timeline!AZ210=1, SUM($AA699:AZ699)-SUM($Z722:AY722),0)</f>
        <v>0</v>
      </c>
      <c r="BA722" s="10">
        <f>IF(Timeline!BA210=1, SUM($AA699:BA699)-SUM($Z722:AZ722),0)</f>
        <v>0</v>
      </c>
      <c r="BB722" s="10">
        <f>IF(Timeline!BB210=1, SUM($AA699:BB699)-SUM($Z722:BA722),0)</f>
        <v>0</v>
      </c>
      <c r="BC722" s="10">
        <f>IF(Timeline!BC210=1, SUM($AA699:BC699)-SUM($Z722:BB722),0)</f>
        <v>0</v>
      </c>
      <c r="BD722" s="10">
        <f>IF(Timeline!BD210=1, SUM($AA699:BD699)-SUM($Z722:BC722),0)</f>
        <v>0</v>
      </c>
      <c r="BE722" s="10">
        <f>IF(Timeline!BE210=1, SUM($AA699:BE699)-SUM($Z722:BD722),0)</f>
        <v>0</v>
      </c>
      <c r="BF722" s="10">
        <f>IF(Timeline!BF210=1, SUM($AA699:BF699)-SUM($Z722:BE722),0)</f>
        <v>0</v>
      </c>
      <c r="BG722" s="10">
        <f>IF(Timeline!BG210=1, SUM($AA699:BG699)-SUM($Z722:BF722),0)</f>
        <v>0</v>
      </c>
      <c r="BH722" s="10">
        <f>IF(Timeline!BH210=1, SUM($AA699:BH699)-SUM($Z722:BG722),0)</f>
        <v>0</v>
      </c>
      <c r="BI722" s="10">
        <f>IF(Timeline!BI210=1, SUM($AA699:BI699)-SUM($Z722:BH722),0)</f>
        <v>0</v>
      </c>
      <c r="BJ722" s="10">
        <f>IF(Timeline!BJ210=1, SUM($AA699:BJ699)-SUM($Z722:BI722),0)</f>
        <v>0</v>
      </c>
      <c r="BK722" s="10">
        <f>IF(Timeline!BK210=1, SUM($AA699:BK699)-SUM($Z722:BJ722),0)</f>
        <v>0</v>
      </c>
      <c r="BL722" s="10">
        <f>IF(Timeline!BL210=1, SUM($AA699:BL699)-SUM($Z722:BK722),0)</f>
        <v>0</v>
      </c>
      <c r="BM722" s="10">
        <f>IF(Timeline!BM210=1, SUM($AA699:BM699)-SUM($Z722:BL722),0)</f>
        <v>0</v>
      </c>
      <c r="BN722" s="10">
        <f>IF(Timeline!BN210=1, SUM($AA699:BN699)-SUM($Z722:BM722),0)</f>
        <v>0</v>
      </c>
      <c r="BO722" s="10">
        <f>IF(Timeline!BO210=1, SUM($AA699:BO699)-SUM($Z722:BN722),0)</f>
        <v>0</v>
      </c>
      <c r="BP722" s="10">
        <f>IF(Timeline!BP210=1, SUM($AA699:BP699)-SUM($Z722:BO722),0)</f>
        <v>0</v>
      </c>
      <c r="BQ722" s="10">
        <f>IF(Timeline!BQ210=1, SUM($AA699:BQ699)-SUM($Z722:BP722),0)</f>
        <v>0</v>
      </c>
      <c r="BR722" s="10">
        <f>IF(Timeline!BR210=1, SUM($AA699:BR699)-SUM($Z722:BQ722),0)</f>
        <v>0</v>
      </c>
      <c r="BS722" s="10">
        <f>IF(Timeline!BS210=1, SUM($AA699:BS699)-SUM($Z722:BR722),0)</f>
        <v>0</v>
      </c>
      <c r="BT722" s="10">
        <f>IF(Timeline!BT210=1, SUM($AA699:BT699)-SUM($Z722:BS722),0)</f>
        <v>0</v>
      </c>
      <c r="BU722" s="10">
        <f>IF(Timeline!BU210=1, SUM($AA699:BU699)-SUM($Z722:BT722),0)</f>
        <v>0</v>
      </c>
      <c r="BV722" s="10">
        <f>IF(Timeline!BV210=1, SUM($AA699:BV699)-SUM($Z722:BU722),0)</f>
        <v>0</v>
      </c>
      <c r="BX722" s="106"/>
      <c r="BY722" s="12">
        <f t="shared" si="757"/>
        <v>0</v>
      </c>
      <c r="BZ722" s="12">
        <f t="shared" si="758"/>
        <v>0</v>
      </c>
      <c r="CA722" s="12">
        <f t="shared" si="759"/>
        <v>0</v>
      </c>
      <c r="CB722" s="133">
        <f t="shared" si="760"/>
        <v>0</v>
      </c>
      <c r="CC722" s="106"/>
      <c r="CD722" s="106"/>
      <c r="CE722" s="106"/>
      <c r="CF722" s="106"/>
      <c r="CG722" s="106"/>
      <c r="CH722" s="106"/>
      <c r="CI722" s="106"/>
      <c r="CK722" s="11"/>
      <c r="CM722" s="11"/>
      <c r="CV722" s="120"/>
      <c r="CW722" s="120"/>
      <c r="DF722" s="11"/>
      <c r="EY722" s="10" t="str">
        <f t="shared" si="746"/>
        <v/>
      </c>
    </row>
    <row r="723" spans="1:155" x14ac:dyDescent="0.35">
      <c r="A723" s="120"/>
      <c r="B723" s="69" t="str" cm="1">
        <f t="array" aca="1" ref="B723" ca="1">HYPERLINK(CONCATENATE("#",CELL("address",$D$151)),$D$151)</f>
        <v>Loan 6</v>
      </c>
      <c r="C723" s="211"/>
      <c r="D723" s="49">
        <f>D$18</f>
        <v>0</v>
      </c>
      <c r="E723" s="49" t="str">
        <f>F$18</f>
        <v/>
      </c>
      <c r="F723" s="49"/>
      <c r="G723" s="10">
        <f t="shared" si="755"/>
        <v>0</v>
      </c>
      <c r="I723" s="40" t="s">
        <v>665</v>
      </c>
      <c r="V723" s="106"/>
      <c r="W723" s="133">
        <f t="shared" si="756"/>
        <v>0</v>
      </c>
      <c r="X723" s="133">
        <f t="shared" si="756"/>
        <v>0</v>
      </c>
      <c r="Y723" s="133">
        <f t="shared" si="756"/>
        <v>0</v>
      </c>
      <c r="AA723" s="133">
        <f>IF(Timeline!AA211=1, SUM($AA700:AA700)-SUM($Z723:Z723),0)</f>
        <v>0</v>
      </c>
      <c r="AB723" s="10">
        <f>IF(Timeline!AB211=1, SUM($AA700:AB700)-SUM($Z723:AA723),0)</f>
        <v>0</v>
      </c>
      <c r="AC723" s="10">
        <f>IF(Timeline!AC211=1, SUM($AA700:AC700)-SUM($Z723:AB723),0)</f>
        <v>0</v>
      </c>
      <c r="AD723" s="10">
        <f>IF(Timeline!AD211=1, SUM($AA700:AD700)-SUM($Z723:AC723),0)</f>
        <v>0</v>
      </c>
      <c r="AE723" s="10">
        <f>IF(Timeline!AE211=1, SUM($AA700:AE700)-SUM($Z723:AD723),0)</f>
        <v>0</v>
      </c>
      <c r="AF723" s="10">
        <f>IF(Timeline!AF211=1, SUM($AA700:AF700)-SUM($Z723:AE723),0)</f>
        <v>0</v>
      </c>
      <c r="AG723" s="10">
        <f>IF(Timeline!AG211=1, SUM($AA700:AG700)-SUM($Z723:AF723),0)</f>
        <v>0</v>
      </c>
      <c r="AH723" s="10">
        <f>IF(Timeline!AH211=1, SUM($AA700:AH700)-SUM($Z723:AG723),0)</f>
        <v>0</v>
      </c>
      <c r="AI723" s="10">
        <f>IF(Timeline!AI211=1, SUM($AA700:AI700)-SUM($Z723:AH723),0)</f>
        <v>0</v>
      </c>
      <c r="AJ723" s="10">
        <f>IF(Timeline!AJ211=1, SUM($AA700:AJ700)-SUM($Z723:AI723),0)</f>
        <v>0</v>
      </c>
      <c r="AK723" s="10">
        <f>IF(Timeline!AK211=1, SUM($AA700:AK700)-SUM($Z723:AJ723),0)</f>
        <v>0</v>
      </c>
      <c r="AL723" s="10">
        <f>IF(Timeline!AL211=1, SUM($AA700:AL700)-SUM($Z723:AK723),0)</f>
        <v>0</v>
      </c>
      <c r="AM723" s="10">
        <f>IF(Timeline!AM211=1, SUM($AA700:AM700)-SUM($Z723:AL723),0)</f>
        <v>0</v>
      </c>
      <c r="AN723" s="10">
        <f>IF(Timeline!AN211=1, SUM($AA700:AN700)-SUM($Z723:AM723),0)</f>
        <v>0</v>
      </c>
      <c r="AO723" s="10">
        <f>IF(Timeline!AO211=1, SUM($AA700:AO700)-SUM($Z723:AN723),0)</f>
        <v>0</v>
      </c>
      <c r="AP723" s="10">
        <f>IF(Timeline!AP211=1, SUM($AA700:AP700)-SUM($Z723:AO723),0)</f>
        <v>0</v>
      </c>
      <c r="AQ723" s="10">
        <f>IF(Timeline!AQ211=1, SUM($AA700:AQ700)-SUM($Z723:AP723),0)</f>
        <v>0</v>
      </c>
      <c r="AR723" s="10">
        <f>IF(Timeline!AR211=1, SUM($AA700:AR700)-SUM($Z723:AQ723),0)</f>
        <v>0</v>
      </c>
      <c r="AS723" s="10">
        <f>IF(Timeline!AS211=1, SUM($AA700:AS700)-SUM($Z723:AR723),0)</f>
        <v>0</v>
      </c>
      <c r="AT723" s="10">
        <f>IF(Timeline!AT211=1, SUM($AA700:AT700)-SUM($Z723:AS723),0)</f>
        <v>0</v>
      </c>
      <c r="AU723" s="10">
        <f>IF(Timeline!AU211=1, SUM($AA700:AU700)-SUM($Z723:AT723),0)</f>
        <v>0</v>
      </c>
      <c r="AV723" s="10">
        <f>IF(Timeline!AV211=1, SUM($AA700:AV700)-SUM($Z723:AU723),0)</f>
        <v>0</v>
      </c>
      <c r="AW723" s="10">
        <f>IF(Timeline!AW211=1, SUM($AA700:AW700)-SUM($Z723:AV723),0)</f>
        <v>0</v>
      </c>
      <c r="AX723" s="10">
        <f>IF(Timeline!AX211=1, SUM($AA700:AX700)-SUM($Z723:AW723),0)</f>
        <v>0</v>
      </c>
      <c r="AY723" s="10">
        <f>IF(Timeline!AY211=1, SUM($AA700:AY700)-SUM($Z723:AX723),0)</f>
        <v>0</v>
      </c>
      <c r="AZ723" s="10">
        <f>IF(Timeline!AZ211=1, SUM($AA700:AZ700)-SUM($Z723:AY723),0)</f>
        <v>0</v>
      </c>
      <c r="BA723" s="10">
        <f>IF(Timeline!BA211=1, SUM($AA700:BA700)-SUM($Z723:AZ723),0)</f>
        <v>0</v>
      </c>
      <c r="BB723" s="10">
        <f>IF(Timeline!BB211=1, SUM($AA700:BB700)-SUM($Z723:BA723),0)</f>
        <v>0</v>
      </c>
      <c r="BC723" s="10">
        <f>IF(Timeline!BC211=1, SUM($AA700:BC700)-SUM($Z723:BB723),0)</f>
        <v>0</v>
      </c>
      <c r="BD723" s="10">
        <f>IF(Timeline!BD211=1, SUM($AA700:BD700)-SUM($Z723:BC723),0)</f>
        <v>0</v>
      </c>
      <c r="BE723" s="10">
        <f>IF(Timeline!BE211=1, SUM($AA700:BE700)-SUM($Z723:BD723),0)</f>
        <v>0</v>
      </c>
      <c r="BF723" s="10">
        <f>IF(Timeline!BF211=1, SUM($AA700:BF700)-SUM($Z723:BE723),0)</f>
        <v>0</v>
      </c>
      <c r="BG723" s="10">
        <f>IF(Timeline!BG211=1, SUM($AA700:BG700)-SUM($Z723:BF723),0)</f>
        <v>0</v>
      </c>
      <c r="BH723" s="10">
        <f>IF(Timeline!BH211=1, SUM($AA700:BH700)-SUM($Z723:BG723),0)</f>
        <v>0</v>
      </c>
      <c r="BI723" s="10">
        <f>IF(Timeline!BI211=1, SUM($AA700:BI700)-SUM($Z723:BH723),0)</f>
        <v>0</v>
      </c>
      <c r="BJ723" s="10">
        <f>IF(Timeline!BJ211=1, SUM($AA700:BJ700)-SUM($Z723:BI723),0)</f>
        <v>0</v>
      </c>
      <c r="BK723" s="10">
        <f>IF(Timeline!BK211=1, SUM($AA700:BK700)-SUM($Z723:BJ723),0)</f>
        <v>0</v>
      </c>
      <c r="BL723" s="10">
        <f>IF(Timeline!BL211=1, SUM($AA700:BL700)-SUM($Z723:BK723),0)</f>
        <v>0</v>
      </c>
      <c r="BM723" s="10">
        <f>IF(Timeline!BM211=1, SUM($AA700:BM700)-SUM($Z723:BL723),0)</f>
        <v>0</v>
      </c>
      <c r="BN723" s="10">
        <f>IF(Timeline!BN211=1, SUM($AA700:BN700)-SUM($Z723:BM723),0)</f>
        <v>0</v>
      </c>
      <c r="BO723" s="10">
        <f>IF(Timeline!BO211=1, SUM($AA700:BO700)-SUM($Z723:BN723),0)</f>
        <v>0</v>
      </c>
      <c r="BP723" s="10">
        <f>IF(Timeline!BP211=1, SUM($AA700:BP700)-SUM($Z723:BO723),0)</f>
        <v>0</v>
      </c>
      <c r="BQ723" s="10">
        <f>IF(Timeline!BQ211=1, SUM($AA700:BQ700)-SUM($Z723:BP723),0)</f>
        <v>0</v>
      </c>
      <c r="BR723" s="10">
        <f>IF(Timeline!BR211=1, SUM($AA700:BR700)-SUM($Z723:BQ723),0)</f>
        <v>0</v>
      </c>
      <c r="BS723" s="10">
        <f>IF(Timeline!BS211=1, SUM($AA700:BS700)-SUM($Z723:BR723),0)</f>
        <v>0</v>
      </c>
      <c r="BT723" s="10">
        <f>IF(Timeline!BT211=1, SUM($AA700:BT700)-SUM($Z723:BS723),0)</f>
        <v>0</v>
      </c>
      <c r="BU723" s="10">
        <f>IF(Timeline!BU211=1, SUM($AA700:BU700)-SUM($Z723:BT723),0)</f>
        <v>0</v>
      </c>
      <c r="BV723" s="10">
        <f>IF(Timeline!BV211=1, SUM($AA700:BV700)-SUM($Z723:BU723),0)</f>
        <v>0</v>
      </c>
      <c r="BX723" s="106"/>
      <c r="BY723" s="12">
        <f t="shared" si="757"/>
        <v>0</v>
      </c>
      <c r="BZ723" s="12">
        <f t="shared" si="758"/>
        <v>0</v>
      </c>
      <c r="CA723" s="12">
        <f t="shared" si="759"/>
        <v>0</v>
      </c>
      <c r="CB723" s="133">
        <f t="shared" si="760"/>
        <v>0</v>
      </c>
      <c r="CC723" s="106"/>
      <c r="CD723" s="106"/>
      <c r="CE723" s="106"/>
      <c r="CF723" s="106"/>
      <c r="CG723" s="106"/>
      <c r="CH723" s="106"/>
      <c r="CI723" s="106"/>
      <c r="CK723" s="11"/>
      <c r="CM723" s="11"/>
      <c r="CV723" s="120"/>
      <c r="CW723" s="120"/>
      <c r="DF723" s="11"/>
      <c r="EY723" s="10" t="str">
        <f t="shared" si="746"/>
        <v/>
      </c>
    </row>
    <row r="724" spans="1:155" x14ac:dyDescent="0.35">
      <c r="A724" s="120"/>
      <c r="B724" s="69" t="str" cm="1">
        <f t="array" aca="1" ref="B724" ca="1">HYPERLINK(CONCATENATE("#",CELL("address",$D$170)),$D$170)</f>
        <v>Loan 7</v>
      </c>
      <c r="C724" s="211"/>
      <c r="D724" s="49">
        <f>D$19</f>
        <v>0</v>
      </c>
      <c r="E724" s="49" t="str">
        <f>F$19</f>
        <v/>
      </c>
      <c r="F724" s="49"/>
      <c r="G724" s="10">
        <f t="shared" si="755"/>
        <v>0</v>
      </c>
      <c r="I724" s="40" t="s">
        <v>665</v>
      </c>
      <c r="V724" s="106"/>
      <c r="W724" s="133">
        <f t="shared" si="756"/>
        <v>0</v>
      </c>
      <c r="X724" s="133">
        <f t="shared" si="756"/>
        <v>0</v>
      </c>
      <c r="Y724" s="133">
        <f t="shared" si="756"/>
        <v>0</v>
      </c>
      <c r="AA724" s="133">
        <f>IF(Timeline!AA212=1, SUM($AA701:AA701)-SUM($Z724:Z724),0)</f>
        <v>0</v>
      </c>
      <c r="AB724" s="10">
        <f>IF(Timeline!AB212=1, SUM($AA701:AB701)-SUM($Z724:AA724),0)</f>
        <v>0</v>
      </c>
      <c r="AC724" s="10">
        <f>IF(Timeline!AC212=1, SUM($AA701:AC701)-SUM($Z724:AB724),0)</f>
        <v>0</v>
      </c>
      <c r="AD724" s="10">
        <f>IF(Timeline!AD212=1, SUM($AA701:AD701)-SUM($Z724:AC724),0)</f>
        <v>0</v>
      </c>
      <c r="AE724" s="10">
        <f>IF(Timeline!AE212=1, SUM($AA701:AE701)-SUM($Z724:AD724),0)</f>
        <v>0</v>
      </c>
      <c r="AF724" s="10">
        <f>IF(Timeline!AF212=1, SUM($AA701:AF701)-SUM($Z724:AE724),0)</f>
        <v>0</v>
      </c>
      <c r="AG724" s="10">
        <f>IF(Timeline!AG212=1, SUM($AA701:AG701)-SUM($Z724:AF724),0)</f>
        <v>0</v>
      </c>
      <c r="AH724" s="10">
        <f>IF(Timeline!AH212=1, SUM($AA701:AH701)-SUM($Z724:AG724),0)</f>
        <v>0</v>
      </c>
      <c r="AI724" s="10">
        <f>IF(Timeline!AI212=1, SUM($AA701:AI701)-SUM($Z724:AH724),0)</f>
        <v>0</v>
      </c>
      <c r="AJ724" s="10">
        <f>IF(Timeline!AJ212=1, SUM($AA701:AJ701)-SUM($Z724:AI724),0)</f>
        <v>0</v>
      </c>
      <c r="AK724" s="10">
        <f>IF(Timeline!AK212=1, SUM($AA701:AK701)-SUM($Z724:AJ724),0)</f>
        <v>0</v>
      </c>
      <c r="AL724" s="10">
        <f>IF(Timeline!AL212=1, SUM($AA701:AL701)-SUM($Z724:AK724),0)</f>
        <v>0</v>
      </c>
      <c r="AM724" s="10">
        <f>IF(Timeline!AM212=1, SUM($AA701:AM701)-SUM($Z724:AL724),0)</f>
        <v>0</v>
      </c>
      <c r="AN724" s="10">
        <f>IF(Timeline!AN212=1, SUM($AA701:AN701)-SUM($Z724:AM724),0)</f>
        <v>0</v>
      </c>
      <c r="AO724" s="10">
        <f>IF(Timeline!AO212=1, SUM($AA701:AO701)-SUM($Z724:AN724),0)</f>
        <v>0</v>
      </c>
      <c r="AP724" s="10">
        <f>IF(Timeline!AP212=1, SUM($AA701:AP701)-SUM($Z724:AO724),0)</f>
        <v>0</v>
      </c>
      <c r="AQ724" s="10">
        <f>IF(Timeline!AQ212=1, SUM($AA701:AQ701)-SUM($Z724:AP724),0)</f>
        <v>0</v>
      </c>
      <c r="AR724" s="10">
        <f>IF(Timeline!AR212=1, SUM($AA701:AR701)-SUM($Z724:AQ724),0)</f>
        <v>0</v>
      </c>
      <c r="AS724" s="10">
        <f>IF(Timeline!AS212=1, SUM($AA701:AS701)-SUM($Z724:AR724),0)</f>
        <v>0</v>
      </c>
      <c r="AT724" s="10">
        <f>IF(Timeline!AT212=1, SUM($AA701:AT701)-SUM($Z724:AS724),0)</f>
        <v>0</v>
      </c>
      <c r="AU724" s="10">
        <f>IF(Timeline!AU212=1, SUM($AA701:AU701)-SUM($Z724:AT724),0)</f>
        <v>0</v>
      </c>
      <c r="AV724" s="10">
        <f>IF(Timeline!AV212=1, SUM($AA701:AV701)-SUM($Z724:AU724),0)</f>
        <v>0</v>
      </c>
      <c r="AW724" s="10">
        <f>IF(Timeline!AW212=1, SUM($AA701:AW701)-SUM($Z724:AV724),0)</f>
        <v>0</v>
      </c>
      <c r="AX724" s="10">
        <f>IF(Timeline!AX212=1, SUM($AA701:AX701)-SUM($Z724:AW724),0)</f>
        <v>0</v>
      </c>
      <c r="AY724" s="10">
        <f>IF(Timeline!AY212=1, SUM($AA701:AY701)-SUM($Z724:AX724),0)</f>
        <v>0</v>
      </c>
      <c r="AZ724" s="10">
        <f>IF(Timeline!AZ212=1, SUM($AA701:AZ701)-SUM($Z724:AY724),0)</f>
        <v>0</v>
      </c>
      <c r="BA724" s="10">
        <f>IF(Timeline!BA212=1, SUM($AA701:BA701)-SUM($Z724:AZ724),0)</f>
        <v>0</v>
      </c>
      <c r="BB724" s="10">
        <f>IF(Timeline!BB212=1, SUM($AA701:BB701)-SUM($Z724:BA724),0)</f>
        <v>0</v>
      </c>
      <c r="BC724" s="10">
        <f>IF(Timeline!BC212=1, SUM($AA701:BC701)-SUM($Z724:BB724),0)</f>
        <v>0</v>
      </c>
      <c r="BD724" s="10">
        <f>IF(Timeline!BD212=1, SUM($AA701:BD701)-SUM($Z724:BC724),0)</f>
        <v>0</v>
      </c>
      <c r="BE724" s="10">
        <f>IF(Timeline!BE212=1, SUM($AA701:BE701)-SUM($Z724:BD724),0)</f>
        <v>0</v>
      </c>
      <c r="BF724" s="10">
        <f>IF(Timeline!BF212=1, SUM($AA701:BF701)-SUM($Z724:BE724),0)</f>
        <v>0</v>
      </c>
      <c r="BG724" s="10">
        <f>IF(Timeline!BG212=1, SUM($AA701:BG701)-SUM($Z724:BF724),0)</f>
        <v>0</v>
      </c>
      <c r="BH724" s="10">
        <f>IF(Timeline!BH212=1, SUM($AA701:BH701)-SUM($Z724:BG724),0)</f>
        <v>0</v>
      </c>
      <c r="BI724" s="10">
        <f>IF(Timeline!BI212=1, SUM($AA701:BI701)-SUM($Z724:BH724),0)</f>
        <v>0</v>
      </c>
      <c r="BJ724" s="10">
        <f>IF(Timeline!BJ212=1, SUM($AA701:BJ701)-SUM($Z724:BI724),0)</f>
        <v>0</v>
      </c>
      <c r="BK724" s="10">
        <f>IF(Timeline!BK212=1, SUM($AA701:BK701)-SUM($Z724:BJ724),0)</f>
        <v>0</v>
      </c>
      <c r="BL724" s="10">
        <f>IF(Timeline!BL212=1, SUM($AA701:BL701)-SUM($Z724:BK724),0)</f>
        <v>0</v>
      </c>
      <c r="BM724" s="10">
        <f>IF(Timeline!BM212=1, SUM($AA701:BM701)-SUM($Z724:BL724),0)</f>
        <v>0</v>
      </c>
      <c r="BN724" s="10">
        <f>IF(Timeline!BN212=1, SUM($AA701:BN701)-SUM($Z724:BM724),0)</f>
        <v>0</v>
      </c>
      <c r="BO724" s="10">
        <f>IF(Timeline!BO212=1, SUM($AA701:BO701)-SUM($Z724:BN724),0)</f>
        <v>0</v>
      </c>
      <c r="BP724" s="10">
        <f>IF(Timeline!BP212=1, SUM($AA701:BP701)-SUM($Z724:BO724),0)</f>
        <v>0</v>
      </c>
      <c r="BQ724" s="10">
        <f>IF(Timeline!BQ212=1, SUM($AA701:BQ701)-SUM($Z724:BP724),0)</f>
        <v>0</v>
      </c>
      <c r="BR724" s="10">
        <f>IF(Timeline!BR212=1, SUM($AA701:BR701)-SUM($Z724:BQ724),0)</f>
        <v>0</v>
      </c>
      <c r="BS724" s="10">
        <f>IF(Timeline!BS212=1, SUM($AA701:BS701)-SUM($Z724:BR724),0)</f>
        <v>0</v>
      </c>
      <c r="BT724" s="10">
        <f>IF(Timeline!BT212=1, SUM($AA701:BT701)-SUM($Z724:BS724),0)</f>
        <v>0</v>
      </c>
      <c r="BU724" s="10">
        <f>IF(Timeline!BU212=1, SUM($AA701:BU701)-SUM($Z724:BT724),0)</f>
        <v>0</v>
      </c>
      <c r="BV724" s="10">
        <f>IF(Timeline!BV212=1, SUM($AA701:BV701)-SUM($Z724:BU724),0)</f>
        <v>0</v>
      </c>
      <c r="BX724" s="106"/>
      <c r="BY724" s="12">
        <f t="shared" si="757"/>
        <v>0</v>
      </c>
      <c r="BZ724" s="12">
        <f t="shared" si="758"/>
        <v>0</v>
      </c>
      <c r="CA724" s="12">
        <f t="shared" si="759"/>
        <v>0</v>
      </c>
      <c r="CB724" s="133">
        <f t="shared" si="760"/>
        <v>0</v>
      </c>
      <c r="CC724" s="106"/>
      <c r="CD724" s="106"/>
      <c r="CE724" s="106"/>
      <c r="CF724" s="106"/>
      <c r="CG724" s="106"/>
      <c r="CH724" s="106"/>
      <c r="CI724" s="106"/>
      <c r="CK724" s="11"/>
      <c r="CM724" s="11"/>
      <c r="CV724" s="120"/>
      <c r="CW724" s="120"/>
      <c r="DF724" s="11"/>
      <c r="EY724" s="10" t="str">
        <f t="shared" si="746"/>
        <v/>
      </c>
    </row>
    <row r="725" spans="1:155" x14ac:dyDescent="0.35">
      <c r="A725" s="120"/>
      <c r="B725" s="69" t="str" cm="1">
        <f t="array" aca="1" ref="B725" ca="1">HYPERLINK(CONCATENATE("#",CELL("address",$D$189)),$D$189)</f>
        <v>Loan 8</v>
      </c>
      <c r="C725" s="211"/>
      <c r="D725" s="49">
        <f>D$20</f>
        <v>0</v>
      </c>
      <c r="E725" s="49" t="str">
        <f>F$20</f>
        <v/>
      </c>
      <c r="F725" s="49"/>
      <c r="G725" s="10">
        <f t="shared" si="755"/>
        <v>0</v>
      </c>
      <c r="I725" s="40" t="s">
        <v>665</v>
      </c>
      <c r="V725" s="106"/>
      <c r="W725" s="133">
        <f t="shared" si="756"/>
        <v>0</v>
      </c>
      <c r="X725" s="133">
        <f t="shared" si="756"/>
        <v>0</v>
      </c>
      <c r="Y725" s="133">
        <f t="shared" si="756"/>
        <v>0</v>
      </c>
      <c r="AA725" s="133">
        <f>IF(Timeline!AA213=1, SUM($AA702:AA702)-SUM($Z725:Z725),0)</f>
        <v>0</v>
      </c>
      <c r="AB725" s="10">
        <f>IF(Timeline!AB213=1, SUM($AA702:AB702)-SUM($Z725:AA725),0)</f>
        <v>0</v>
      </c>
      <c r="AC725" s="10">
        <f>IF(Timeline!AC213=1, SUM($AA702:AC702)-SUM($Z725:AB725),0)</f>
        <v>0</v>
      </c>
      <c r="AD725" s="10">
        <f>IF(Timeline!AD213=1, SUM($AA702:AD702)-SUM($Z725:AC725),0)</f>
        <v>0</v>
      </c>
      <c r="AE725" s="10">
        <f>IF(Timeline!AE213=1, SUM($AA702:AE702)-SUM($Z725:AD725),0)</f>
        <v>0</v>
      </c>
      <c r="AF725" s="10">
        <f>IF(Timeline!AF213=1, SUM($AA702:AF702)-SUM($Z725:AE725),0)</f>
        <v>0</v>
      </c>
      <c r="AG725" s="10">
        <f>IF(Timeline!AG213=1, SUM($AA702:AG702)-SUM($Z725:AF725),0)</f>
        <v>0</v>
      </c>
      <c r="AH725" s="10">
        <f>IF(Timeline!AH213=1, SUM($AA702:AH702)-SUM($Z725:AG725),0)</f>
        <v>0</v>
      </c>
      <c r="AI725" s="10">
        <f>IF(Timeline!AI213=1, SUM($AA702:AI702)-SUM($Z725:AH725),0)</f>
        <v>0</v>
      </c>
      <c r="AJ725" s="10">
        <f>IF(Timeline!AJ213=1, SUM($AA702:AJ702)-SUM($Z725:AI725),0)</f>
        <v>0</v>
      </c>
      <c r="AK725" s="10">
        <f>IF(Timeline!AK213=1, SUM($AA702:AK702)-SUM($Z725:AJ725),0)</f>
        <v>0</v>
      </c>
      <c r="AL725" s="10">
        <f>IF(Timeline!AL213=1, SUM($AA702:AL702)-SUM($Z725:AK725),0)</f>
        <v>0</v>
      </c>
      <c r="AM725" s="10">
        <f>IF(Timeline!AM213=1, SUM($AA702:AM702)-SUM($Z725:AL725),0)</f>
        <v>0</v>
      </c>
      <c r="AN725" s="10">
        <f>IF(Timeline!AN213=1, SUM($AA702:AN702)-SUM($Z725:AM725),0)</f>
        <v>0</v>
      </c>
      <c r="AO725" s="10">
        <f>IF(Timeline!AO213=1, SUM($AA702:AO702)-SUM($Z725:AN725),0)</f>
        <v>0</v>
      </c>
      <c r="AP725" s="10">
        <f>IF(Timeline!AP213=1, SUM($AA702:AP702)-SUM($Z725:AO725),0)</f>
        <v>0</v>
      </c>
      <c r="AQ725" s="10">
        <f>IF(Timeline!AQ213=1, SUM($AA702:AQ702)-SUM($Z725:AP725),0)</f>
        <v>0</v>
      </c>
      <c r="AR725" s="10">
        <f>IF(Timeline!AR213=1, SUM($AA702:AR702)-SUM($Z725:AQ725),0)</f>
        <v>0</v>
      </c>
      <c r="AS725" s="10">
        <f>IF(Timeline!AS213=1, SUM($AA702:AS702)-SUM($Z725:AR725),0)</f>
        <v>0</v>
      </c>
      <c r="AT725" s="10">
        <f>IF(Timeline!AT213=1, SUM($AA702:AT702)-SUM($Z725:AS725),0)</f>
        <v>0</v>
      </c>
      <c r="AU725" s="10">
        <f>IF(Timeline!AU213=1, SUM($AA702:AU702)-SUM($Z725:AT725),0)</f>
        <v>0</v>
      </c>
      <c r="AV725" s="10">
        <f>IF(Timeline!AV213=1, SUM($AA702:AV702)-SUM($Z725:AU725),0)</f>
        <v>0</v>
      </c>
      <c r="AW725" s="10">
        <f>IF(Timeline!AW213=1, SUM($AA702:AW702)-SUM($Z725:AV725),0)</f>
        <v>0</v>
      </c>
      <c r="AX725" s="10">
        <f>IF(Timeline!AX213=1, SUM($AA702:AX702)-SUM($Z725:AW725),0)</f>
        <v>0</v>
      </c>
      <c r="AY725" s="10">
        <f>IF(Timeline!AY213=1, SUM($AA702:AY702)-SUM($Z725:AX725),0)</f>
        <v>0</v>
      </c>
      <c r="AZ725" s="10">
        <f>IF(Timeline!AZ213=1, SUM($AA702:AZ702)-SUM($Z725:AY725),0)</f>
        <v>0</v>
      </c>
      <c r="BA725" s="10">
        <f>IF(Timeline!BA213=1, SUM($AA702:BA702)-SUM($Z725:AZ725),0)</f>
        <v>0</v>
      </c>
      <c r="BB725" s="10">
        <f>IF(Timeline!BB213=1, SUM($AA702:BB702)-SUM($Z725:BA725),0)</f>
        <v>0</v>
      </c>
      <c r="BC725" s="10">
        <f>IF(Timeline!BC213=1, SUM($AA702:BC702)-SUM($Z725:BB725),0)</f>
        <v>0</v>
      </c>
      <c r="BD725" s="10">
        <f>IF(Timeline!BD213=1, SUM($AA702:BD702)-SUM($Z725:BC725),0)</f>
        <v>0</v>
      </c>
      <c r="BE725" s="10">
        <f>IF(Timeline!BE213=1, SUM($AA702:BE702)-SUM($Z725:BD725),0)</f>
        <v>0</v>
      </c>
      <c r="BF725" s="10">
        <f>IF(Timeline!BF213=1, SUM($AA702:BF702)-SUM($Z725:BE725),0)</f>
        <v>0</v>
      </c>
      <c r="BG725" s="10">
        <f>IF(Timeline!BG213=1, SUM($AA702:BG702)-SUM($Z725:BF725),0)</f>
        <v>0</v>
      </c>
      <c r="BH725" s="10">
        <f>IF(Timeline!BH213=1, SUM($AA702:BH702)-SUM($Z725:BG725),0)</f>
        <v>0</v>
      </c>
      <c r="BI725" s="10">
        <f>IF(Timeline!BI213=1, SUM($AA702:BI702)-SUM($Z725:BH725),0)</f>
        <v>0</v>
      </c>
      <c r="BJ725" s="10">
        <f>IF(Timeline!BJ213=1, SUM($AA702:BJ702)-SUM($Z725:BI725),0)</f>
        <v>0</v>
      </c>
      <c r="BK725" s="10">
        <f>IF(Timeline!BK213=1, SUM($AA702:BK702)-SUM($Z725:BJ725),0)</f>
        <v>0</v>
      </c>
      <c r="BL725" s="10">
        <f>IF(Timeline!BL213=1, SUM($AA702:BL702)-SUM($Z725:BK725),0)</f>
        <v>0</v>
      </c>
      <c r="BM725" s="10">
        <f>IF(Timeline!BM213=1, SUM($AA702:BM702)-SUM($Z725:BL725),0)</f>
        <v>0</v>
      </c>
      <c r="BN725" s="10">
        <f>IF(Timeline!BN213=1, SUM($AA702:BN702)-SUM($Z725:BM725),0)</f>
        <v>0</v>
      </c>
      <c r="BO725" s="10">
        <f>IF(Timeline!BO213=1, SUM($AA702:BO702)-SUM($Z725:BN725),0)</f>
        <v>0</v>
      </c>
      <c r="BP725" s="10">
        <f>IF(Timeline!BP213=1, SUM($AA702:BP702)-SUM($Z725:BO725),0)</f>
        <v>0</v>
      </c>
      <c r="BQ725" s="10">
        <f>IF(Timeline!BQ213=1, SUM($AA702:BQ702)-SUM($Z725:BP725),0)</f>
        <v>0</v>
      </c>
      <c r="BR725" s="10">
        <f>IF(Timeline!BR213=1, SUM($AA702:BR702)-SUM($Z725:BQ725),0)</f>
        <v>0</v>
      </c>
      <c r="BS725" s="10">
        <f>IF(Timeline!BS213=1, SUM($AA702:BS702)-SUM($Z725:BR725),0)</f>
        <v>0</v>
      </c>
      <c r="BT725" s="10">
        <f>IF(Timeline!BT213=1, SUM($AA702:BT702)-SUM($Z725:BS725),0)</f>
        <v>0</v>
      </c>
      <c r="BU725" s="10">
        <f>IF(Timeline!BU213=1, SUM($AA702:BU702)-SUM($Z725:BT725),0)</f>
        <v>0</v>
      </c>
      <c r="BV725" s="10">
        <f>IF(Timeline!BV213=1, SUM($AA702:BV702)-SUM($Z725:BU725),0)</f>
        <v>0</v>
      </c>
      <c r="BX725" s="106"/>
      <c r="BY725" s="12">
        <f t="shared" si="757"/>
        <v>0</v>
      </c>
      <c r="BZ725" s="12">
        <f t="shared" si="758"/>
        <v>0</v>
      </c>
      <c r="CA725" s="12">
        <f t="shared" si="759"/>
        <v>0</v>
      </c>
      <c r="CB725" s="133">
        <f t="shared" si="760"/>
        <v>0</v>
      </c>
      <c r="CC725" s="106"/>
      <c r="CD725" s="106"/>
      <c r="CE725" s="106"/>
      <c r="CF725" s="106"/>
      <c r="CG725" s="106"/>
      <c r="CH725" s="106"/>
      <c r="CI725" s="106"/>
      <c r="CK725" s="11"/>
      <c r="CM725" s="11"/>
      <c r="CV725" s="120"/>
      <c r="CW725" s="120"/>
      <c r="DF725" s="11"/>
      <c r="EY725" s="10" t="str">
        <f t="shared" si="746"/>
        <v/>
      </c>
    </row>
    <row r="726" spans="1:155" x14ac:dyDescent="0.35">
      <c r="A726" s="120"/>
      <c r="B726" s="69" t="str" cm="1">
        <f t="array" aca="1" ref="B726" ca="1">HYPERLINK(CONCATENATE("#",CELL("address",$D$208)),$D$208)</f>
        <v>Loan 9</v>
      </c>
      <c r="C726" s="211"/>
      <c r="D726" s="49">
        <f>D$21</f>
        <v>0</v>
      </c>
      <c r="E726" s="49" t="str">
        <f>F$21</f>
        <v/>
      </c>
      <c r="F726" s="49"/>
      <c r="G726" s="10">
        <f t="shared" si="755"/>
        <v>0</v>
      </c>
      <c r="I726" s="40" t="s">
        <v>665</v>
      </c>
      <c r="V726" s="106"/>
      <c r="W726" s="133">
        <f t="shared" si="756"/>
        <v>0</v>
      </c>
      <c r="X726" s="133">
        <f t="shared" si="756"/>
        <v>0</v>
      </c>
      <c r="Y726" s="133">
        <f t="shared" si="756"/>
        <v>0</v>
      </c>
      <c r="AA726" s="133">
        <f>IF(Timeline!AA214=1, SUM($AA703:AA703)-SUM($Z726:Z726),0)</f>
        <v>0</v>
      </c>
      <c r="AB726" s="10">
        <f>IF(Timeline!AB214=1, SUM($AA703:AB703)-SUM($Z726:AA726),0)</f>
        <v>0</v>
      </c>
      <c r="AC726" s="10">
        <f>IF(Timeline!AC214=1, SUM($AA703:AC703)-SUM($Z726:AB726),0)</f>
        <v>0</v>
      </c>
      <c r="AD726" s="10">
        <f>IF(Timeline!AD214=1, SUM($AA703:AD703)-SUM($Z726:AC726),0)</f>
        <v>0</v>
      </c>
      <c r="AE726" s="10">
        <f>IF(Timeline!AE214=1, SUM($AA703:AE703)-SUM($Z726:AD726),0)</f>
        <v>0</v>
      </c>
      <c r="AF726" s="10">
        <f>IF(Timeline!AF214=1, SUM($AA703:AF703)-SUM($Z726:AE726),0)</f>
        <v>0</v>
      </c>
      <c r="AG726" s="10">
        <f>IF(Timeline!AG214=1, SUM($AA703:AG703)-SUM($Z726:AF726),0)</f>
        <v>0</v>
      </c>
      <c r="AH726" s="10">
        <f>IF(Timeline!AH214=1, SUM($AA703:AH703)-SUM($Z726:AG726),0)</f>
        <v>0</v>
      </c>
      <c r="AI726" s="10">
        <f>IF(Timeline!AI214=1, SUM($AA703:AI703)-SUM($Z726:AH726),0)</f>
        <v>0</v>
      </c>
      <c r="AJ726" s="10">
        <f>IF(Timeline!AJ214=1, SUM($AA703:AJ703)-SUM($Z726:AI726),0)</f>
        <v>0</v>
      </c>
      <c r="AK726" s="10">
        <f>IF(Timeline!AK214=1, SUM($AA703:AK703)-SUM($Z726:AJ726),0)</f>
        <v>0</v>
      </c>
      <c r="AL726" s="10">
        <f>IF(Timeline!AL214=1, SUM($AA703:AL703)-SUM($Z726:AK726),0)</f>
        <v>0</v>
      </c>
      <c r="AM726" s="10">
        <f>IF(Timeline!AM214=1, SUM($AA703:AM703)-SUM($Z726:AL726),0)</f>
        <v>0</v>
      </c>
      <c r="AN726" s="10">
        <f>IF(Timeline!AN214=1, SUM($AA703:AN703)-SUM($Z726:AM726),0)</f>
        <v>0</v>
      </c>
      <c r="AO726" s="10">
        <f>IF(Timeline!AO214=1, SUM($AA703:AO703)-SUM($Z726:AN726),0)</f>
        <v>0</v>
      </c>
      <c r="AP726" s="10">
        <f>IF(Timeline!AP214=1, SUM($AA703:AP703)-SUM($Z726:AO726),0)</f>
        <v>0</v>
      </c>
      <c r="AQ726" s="10">
        <f>IF(Timeline!AQ214=1, SUM($AA703:AQ703)-SUM($Z726:AP726),0)</f>
        <v>0</v>
      </c>
      <c r="AR726" s="10">
        <f>IF(Timeline!AR214=1, SUM($AA703:AR703)-SUM($Z726:AQ726),0)</f>
        <v>0</v>
      </c>
      <c r="AS726" s="10">
        <f>IF(Timeline!AS214=1, SUM($AA703:AS703)-SUM($Z726:AR726),0)</f>
        <v>0</v>
      </c>
      <c r="AT726" s="10">
        <f>IF(Timeline!AT214=1, SUM($AA703:AT703)-SUM($Z726:AS726),0)</f>
        <v>0</v>
      </c>
      <c r="AU726" s="10">
        <f>IF(Timeline!AU214=1, SUM($AA703:AU703)-SUM($Z726:AT726),0)</f>
        <v>0</v>
      </c>
      <c r="AV726" s="10">
        <f>IF(Timeline!AV214=1, SUM($AA703:AV703)-SUM($Z726:AU726),0)</f>
        <v>0</v>
      </c>
      <c r="AW726" s="10">
        <f>IF(Timeline!AW214=1, SUM($AA703:AW703)-SUM($Z726:AV726),0)</f>
        <v>0</v>
      </c>
      <c r="AX726" s="10">
        <f>IF(Timeline!AX214=1, SUM($AA703:AX703)-SUM($Z726:AW726),0)</f>
        <v>0</v>
      </c>
      <c r="AY726" s="10">
        <f>IF(Timeline!AY214=1, SUM($AA703:AY703)-SUM($Z726:AX726),0)</f>
        <v>0</v>
      </c>
      <c r="AZ726" s="10">
        <f>IF(Timeline!AZ214=1, SUM($AA703:AZ703)-SUM($Z726:AY726),0)</f>
        <v>0</v>
      </c>
      <c r="BA726" s="10">
        <f>IF(Timeline!BA214=1, SUM($AA703:BA703)-SUM($Z726:AZ726),0)</f>
        <v>0</v>
      </c>
      <c r="BB726" s="10">
        <f>IF(Timeline!BB214=1, SUM($AA703:BB703)-SUM($Z726:BA726),0)</f>
        <v>0</v>
      </c>
      <c r="BC726" s="10">
        <f>IF(Timeline!BC214=1, SUM($AA703:BC703)-SUM($Z726:BB726),0)</f>
        <v>0</v>
      </c>
      <c r="BD726" s="10">
        <f>IF(Timeline!BD214=1, SUM($AA703:BD703)-SUM($Z726:BC726),0)</f>
        <v>0</v>
      </c>
      <c r="BE726" s="10">
        <f>IF(Timeline!BE214=1, SUM($AA703:BE703)-SUM($Z726:BD726),0)</f>
        <v>0</v>
      </c>
      <c r="BF726" s="10">
        <f>IF(Timeline!BF214=1, SUM($AA703:BF703)-SUM($Z726:BE726),0)</f>
        <v>0</v>
      </c>
      <c r="BG726" s="10">
        <f>IF(Timeline!BG214=1, SUM($AA703:BG703)-SUM($Z726:BF726),0)</f>
        <v>0</v>
      </c>
      <c r="BH726" s="10">
        <f>IF(Timeline!BH214=1, SUM($AA703:BH703)-SUM($Z726:BG726),0)</f>
        <v>0</v>
      </c>
      <c r="BI726" s="10">
        <f>IF(Timeline!BI214=1, SUM($AA703:BI703)-SUM($Z726:BH726),0)</f>
        <v>0</v>
      </c>
      <c r="BJ726" s="10">
        <f>IF(Timeline!BJ214=1, SUM($AA703:BJ703)-SUM($Z726:BI726),0)</f>
        <v>0</v>
      </c>
      <c r="BK726" s="10">
        <f>IF(Timeline!BK214=1, SUM($AA703:BK703)-SUM($Z726:BJ726),0)</f>
        <v>0</v>
      </c>
      <c r="BL726" s="10">
        <f>IF(Timeline!BL214=1, SUM($AA703:BL703)-SUM($Z726:BK726),0)</f>
        <v>0</v>
      </c>
      <c r="BM726" s="10">
        <f>IF(Timeline!BM214=1, SUM($AA703:BM703)-SUM($Z726:BL726),0)</f>
        <v>0</v>
      </c>
      <c r="BN726" s="10">
        <f>IF(Timeline!BN214=1, SUM($AA703:BN703)-SUM($Z726:BM726),0)</f>
        <v>0</v>
      </c>
      <c r="BO726" s="10">
        <f>IF(Timeline!BO214=1, SUM($AA703:BO703)-SUM($Z726:BN726),0)</f>
        <v>0</v>
      </c>
      <c r="BP726" s="10">
        <f>IF(Timeline!BP214=1, SUM($AA703:BP703)-SUM($Z726:BO726),0)</f>
        <v>0</v>
      </c>
      <c r="BQ726" s="10">
        <f>IF(Timeline!BQ214=1, SUM($AA703:BQ703)-SUM($Z726:BP726),0)</f>
        <v>0</v>
      </c>
      <c r="BR726" s="10">
        <f>IF(Timeline!BR214=1, SUM($AA703:BR703)-SUM($Z726:BQ726),0)</f>
        <v>0</v>
      </c>
      <c r="BS726" s="10">
        <f>IF(Timeline!BS214=1, SUM($AA703:BS703)-SUM($Z726:BR726),0)</f>
        <v>0</v>
      </c>
      <c r="BT726" s="10">
        <f>IF(Timeline!BT214=1, SUM($AA703:BT703)-SUM($Z726:BS726),0)</f>
        <v>0</v>
      </c>
      <c r="BU726" s="10">
        <f>IF(Timeline!BU214=1, SUM($AA703:BU703)-SUM($Z726:BT726),0)</f>
        <v>0</v>
      </c>
      <c r="BV726" s="10">
        <f>IF(Timeline!BV214=1, SUM($AA703:BV703)-SUM($Z726:BU726),0)</f>
        <v>0</v>
      </c>
      <c r="BX726" s="106"/>
      <c r="BY726" s="12">
        <f t="shared" si="757"/>
        <v>0</v>
      </c>
      <c r="BZ726" s="12">
        <f t="shared" si="758"/>
        <v>0</v>
      </c>
      <c r="CA726" s="12">
        <f t="shared" si="759"/>
        <v>0</v>
      </c>
      <c r="CB726" s="133">
        <f t="shared" si="760"/>
        <v>0</v>
      </c>
      <c r="CC726" s="106"/>
      <c r="CD726" s="106"/>
      <c r="CE726" s="106"/>
      <c r="CF726" s="106"/>
      <c r="CG726" s="106"/>
      <c r="CH726" s="106"/>
      <c r="CI726" s="106"/>
      <c r="CK726" s="11"/>
      <c r="CM726" s="11"/>
      <c r="CV726" s="120"/>
      <c r="CW726" s="120"/>
      <c r="DF726" s="11"/>
      <c r="EY726" s="10" t="str">
        <f t="shared" si="746"/>
        <v/>
      </c>
    </row>
    <row r="727" spans="1:155" x14ac:dyDescent="0.35">
      <c r="A727" s="120"/>
      <c r="B727" s="69" t="str" cm="1">
        <f t="array" aca="1" ref="B727" ca="1">HYPERLINK(CONCATENATE("#",CELL("address",$D$227)),$D$227)</f>
        <v>Loan 10</v>
      </c>
      <c r="C727" s="211"/>
      <c r="D727" s="49">
        <f>D$22</f>
        <v>0</v>
      </c>
      <c r="E727" s="49" t="str">
        <f>F$22</f>
        <v/>
      </c>
      <c r="F727" s="49"/>
      <c r="G727" s="10">
        <f t="shared" si="755"/>
        <v>0</v>
      </c>
      <c r="I727" s="40" t="s">
        <v>665</v>
      </c>
      <c r="V727" s="106"/>
      <c r="W727" s="133">
        <f t="shared" si="756"/>
        <v>0</v>
      </c>
      <c r="X727" s="133">
        <f t="shared" si="756"/>
        <v>0</v>
      </c>
      <c r="Y727" s="133">
        <f t="shared" si="756"/>
        <v>0</v>
      </c>
      <c r="AA727" s="133">
        <f>IF(Timeline!AA215=1, SUM($AA704:AA704)-SUM($Z727:Z727),0)</f>
        <v>0</v>
      </c>
      <c r="AB727" s="10">
        <f>IF(Timeline!AB215=1, SUM($AA704:AB704)-SUM($Z727:AA727),0)</f>
        <v>0</v>
      </c>
      <c r="AC727" s="10">
        <f>IF(Timeline!AC215=1, SUM($AA704:AC704)-SUM($Z727:AB727),0)</f>
        <v>0</v>
      </c>
      <c r="AD727" s="10">
        <f>IF(Timeline!AD215=1, SUM($AA704:AD704)-SUM($Z727:AC727),0)</f>
        <v>0</v>
      </c>
      <c r="AE727" s="10">
        <f>IF(Timeline!AE215=1, SUM($AA704:AE704)-SUM($Z727:AD727),0)</f>
        <v>0</v>
      </c>
      <c r="AF727" s="10">
        <f>IF(Timeline!AF215=1, SUM($AA704:AF704)-SUM($Z727:AE727),0)</f>
        <v>0</v>
      </c>
      <c r="AG727" s="10">
        <f>IF(Timeline!AG215=1, SUM($AA704:AG704)-SUM($Z727:AF727),0)</f>
        <v>0</v>
      </c>
      <c r="AH727" s="10">
        <f>IF(Timeline!AH215=1, SUM($AA704:AH704)-SUM($Z727:AG727),0)</f>
        <v>0</v>
      </c>
      <c r="AI727" s="10">
        <f>IF(Timeline!AI215=1, SUM($AA704:AI704)-SUM($Z727:AH727),0)</f>
        <v>0</v>
      </c>
      <c r="AJ727" s="10">
        <f>IF(Timeline!AJ215=1, SUM($AA704:AJ704)-SUM($Z727:AI727),0)</f>
        <v>0</v>
      </c>
      <c r="AK727" s="10">
        <f>IF(Timeline!AK215=1, SUM($AA704:AK704)-SUM($Z727:AJ727),0)</f>
        <v>0</v>
      </c>
      <c r="AL727" s="10">
        <f>IF(Timeline!AL215=1, SUM($AA704:AL704)-SUM($Z727:AK727),0)</f>
        <v>0</v>
      </c>
      <c r="AM727" s="10">
        <f>IF(Timeline!AM215=1, SUM($AA704:AM704)-SUM($Z727:AL727),0)</f>
        <v>0</v>
      </c>
      <c r="AN727" s="10">
        <f>IF(Timeline!AN215=1, SUM($AA704:AN704)-SUM($Z727:AM727),0)</f>
        <v>0</v>
      </c>
      <c r="AO727" s="10">
        <f>IF(Timeline!AO215=1, SUM($AA704:AO704)-SUM($Z727:AN727),0)</f>
        <v>0</v>
      </c>
      <c r="AP727" s="10">
        <f>IF(Timeline!AP215=1, SUM($AA704:AP704)-SUM($Z727:AO727),0)</f>
        <v>0</v>
      </c>
      <c r="AQ727" s="10">
        <f>IF(Timeline!AQ215=1, SUM($AA704:AQ704)-SUM($Z727:AP727),0)</f>
        <v>0</v>
      </c>
      <c r="AR727" s="10">
        <f>IF(Timeline!AR215=1, SUM($AA704:AR704)-SUM($Z727:AQ727),0)</f>
        <v>0</v>
      </c>
      <c r="AS727" s="10">
        <f>IF(Timeline!AS215=1, SUM($AA704:AS704)-SUM($Z727:AR727),0)</f>
        <v>0</v>
      </c>
      <c r="AT727" s="10">
        <f>IF(Timeline!AT215=1, SUM($AA704:AT704)-SUM($Z727:AS727),0)</f>
        <v>0</v>
      </c>
      <c r="AU727" s="10">
        <f>IF(Timeline!AU215=1, SUM($AA704:AU704)-SUM($Z727:AT727),0)</f>
        <v>0</v>
      </c>
      <c r="AV727" s="10">
        <f>IF(Timeline!AV215=1, SUM($AA704:AV704)-SUM($Z727:AU727),0)</f>
        <v>0</v>
      </c>
      <c r="AW727" s="10">
        <f>IF(Timeline!AW215=1, SUM($AA704:AW704)-SUM($Z727:AV727),0)</f>
        <v>0</v>
      </c>
      <c r="AX727" s="10">
        <f>IF(Timeline!AX215=1, SUM($AA704:AX704)-SUM($Z727:AW727),0)</f>
        <v>0</v>
      </c>
      <c r="AY727" s="10">
        <f>IF(Timeline!AY215=1, SUM($AA704:AY704)-SUM($Z727:AX727),0)</f>
        <v>0</v>
      </c>
      <c r="AZ727" s="10">
        <f>IF(Timeline!AZ215=1, SUM($AA704:AZ704)-SUM($Z727:AY727),0)</f>
        <v>0</v>
      </c>
      <c r="BA727" s="10">
        <f>IF(Timeline!BA215=1, SUM($AA704:BA704)-SUM($Z727:AZ727),0)</f>
        <v>0</v>
      </c>
      <c r="BB727" s="10">
        <f>IF(Timeline!BB215=1, SUM($AA704:BB704)-SUM($Z727:BA727),0)</f>
        <v>0</v>
      </c>
      <c r="BC727" s="10">
        <f>IF(Timeline!BC215=1, SUM($AA704:BC704)-SUM($Z727:BB727),0)</f>
        <v>0</v>
      </c>
      <c r="BD727" s="10">
        <f>IF(Timeline!BD215=1, SUM($AA704:BD704)-SUM($Z727:BC727),0)</f>
        <v>0</v>
      </c>
      <c r="BE727" s="10">
        <f>IF(Timeline!BE215=1, SUM($AA704:BE704)-SUM($Z727:BD727),0)</f>
        <v>0</v>
      </c>
      <c r="BF727" s="10">
        <f>IF(Timeline!BF215=1, SUM($AA704:BF704)-SUM($Z727:BE727),0)</f>
        <v>0</v>
      </c>
      <c r="BG727" s="10">
        <f>IF(Timeline!BG215=1, SUM($AA704:BG704)-SUM($Z727:BF727),0)</f>
        <v>0</v>
      </c>
      <c r="BH727" s="10">
        <f>IF(Timeline!BH215=1, SUM($AA704:BH704)-SUM($Z727:BG727),0)</f>
        <v>0</v>
      </c>
      <c r="BI727" s="10">
        <f>IF(Timeline!BI215=1, SUM($AA704:BI704)-SUM($Z727:BH727),0)</f>
        <v>0</v>
      </c>
      <c r="BJ727" s="10">
        <f>IF(Timeline!BJ215=1, SUM($AA704:BJ704)-SUM($Z727:BI727),0)</f>
        <v>0</v>
      </c>
      <c r="BK727" s="10">
        <f>IF(Timeline!BK215=1, SUM($AA704:BK704)-SUM($Z727:BJ727),0)</f>
        <v>0</v>
      </c>
      <c r="BL727" s="10">
        <f>IF(Timeline!BL215=1, SUM($AA704:BL704)-SUM($Z727:BK727),0)</f>
        <v>0</v>
      </c>
      <c r="BM727" s="10">
        <f>IF(Timeline!BM215=1, SUM($AA704:BM704)-SUM($Z727:BL727),0)</f>
        <v>0</v>
      </c>
      <c r="BN727" s="10">
        <f>IF(Timeline!BN215=1, SUM($AA704:BN704)-SUM($Z727:BM727),0)</f>
        <v>0</v>
      </c>
      <c r="BO727" s="10">
        <f>IF(Timeline!BO215=1, SUM($AA704:BO704)-SUM($Z727:BN727),0)</f>
        <v>0</v>
      </c>
      <c r="BP727" s="10">
        <f>IF(Timeline!BP215=1, SUM($AA704:BP704)-SUM($Z727:BO727),0)</f>
        <v>0</v>
      </c>
      <c r="BQ727" s="10">
        <f>IF(Timeline!BQ215=1, SUM($AA704:BQ704)-SUM($Z727:BP727),0)</f>
        <v>0</v>
      </c>
      <c r="BR727" s="10">
        <f>IF(Timeline!BR215=1, SUM($AA704:BR704)-SUM($Z727:BQ727),0)</f>
        <v>0</v>
      </c>
      <c r="BS727" s="10">
        <f>IF(Timeline!BS215=1, SUM($AA704:BS704)-SUM($Z727:BR727),0)</f>
        <v>0</v>
      </c>
      <c r="BT727" s="10">
        <f>IF(Timeline!BT215=1, SUM($AA704:BT704)-SUM($Z727:BS727),0)</f>
        <v>0</v>
      </c>
      <c r="BU727" s="10">
        <f>IF(Timeline!BU215=1, SUM($AA704:BU704)-SUM($Z727:BT727),0)</f>
        <v>0</v>
      </c>
      <c r="BV727" s="10">
        <f>IF(Timeline!BV215=1, SUM($AA704:BV704)-SUM($Z727:BU727),0)</f>
        <v>0</v>
      </c>
      <c r="BX727" s="106"/>
      <c r="BY727" s="12">
        <f t="shared" si="757"/>
        <v>0</v>
      </c>
      <c r="BZ727" s="12">
        <f t="shared" si="758"/>
        <v>0</v>
      </c>
      <c r="CA727" s="12">
        <f t="shared" si="759"/>
        <v>0</v>
      </c>
      <c r="CB727" s="133">
        <f t="shared" si="760"/>
        <v>0</v>
      </c>
      <c r="CC727" s="106"/>
      <c r="CD727" s="106"/>
      <c r="CE727" s="106"/>
      <c r="CF727" s="106"/>
      <c r="CG727" s="106"/>
      <c r="CH727" s="106"/>
      <c r="CI727" s="106"/>
      <c r="CK727" s="11"/>
      <c r="CM727" s="11"/>
      <c r="CV727" s="120"/>
      <c r="CW727" s="120"/>
      <c r="DF727" s="11"/>
      <c r="EY727" s="10" t="str">
        <f t="shared" si="746"/>
        <v/>
      </c>
    </row>
    <row r="728" spans="1:155" x14ac:dyDescent="0.35">
      <c r="A728" s="120"/>
      <c r="B728" s="69" t="str" cm="1">
        <f t="array" aca="1" ref="B728" ca="1">HYPERLINK(CONCATENATE("#",CELL("address",$D$246)),$D$246)</f>
        <v>Loan 11</v>
      </c>
      <c r="C728" s="211"/>
      <c r="D728" s="49">
        <f>D$23</f>
        <v>0</v>
      </c>
      <c r="E728" s="49" t="str">
        <f>F$23</f>
        <v/>
      </c>
      <c r="F728" s="49"/>
      <c r="G728" s="10">
        <f t="shared" si="755"/>
        <v>0</v>
      </c>
      <c r="I728" s="40" t="s">
        <v>665</v>
      </c>
      <c r="V728" s="106"/>
      <c r="W728" s="133">
        <f t="shared" si="756"/>
        <v>0</v>
      </c>
      <c r="X728" s="133">
        <f t="shared" si="756"/>
        <v>0</v>
      </c>
      <c r="Y728" s="133">
        <f t="shared" si="756"/>
        <v>0</v>
      </c>
      <c r="AA728" s="133">
        <f>IF(Timeline!AA216=1, SUM($AA705:AA705)-SUM($Z728:Z728),0)</f>
        <v>0</v>
      </c>
      <c r="AB728" s="10">
        <f>IF(Timeline!AB216=1, SUM($AA705:AB705)-SUM($Z728:AA728),0)</f>
        <v>0</v>
      </c>
      <c r="AC728" s="10">
        <f>IF(Timeline!AC216=1, SUM($AA705:AC705)-SUM($Z728:AB728),0)</f>
        <v>0</v>
      </c>
      <c r="AD728" s="10">
        <f>IF(Timeline!AD216=1, SUM($AA705:AD705)-SUM($Z728:AC728),0)</f>
        <v>0</v>
      </c>
      <c r="AE728" s="10">
        <f>IF(Timeline!AE216=1, SUM($AA705:AE705)-SUM($Z728:AD728),0)</f>
        <v>0</v>
      </c>
      <c r="AF728" s="10">
        <f>IF(Timeline!AF216=1, SUM($AA705:AF705)-SUM($Z728:AE728),0)</f>
        <v>0</v>
      </c>
      <c r="AG728" s="10">
        <f>IF(Timeline!AG216=1, SUM($AA705:AG705)-SUM($Z728:AF728),0)</f>
        <v>0</v>
      </c>
      <c r="AH728" s="10">
        <f>IF(Timeline!AH216=1, SUM($AA705:AH705)-SUM($Z728:AG728),0)</f>
        <v>0</v>
      </c>
      <c r="AI728" s="10">
        <f>IF(Timeline!AI216=1, SUM($AA705:AI705)-SUM($Z728:AH728),0)</f>
        <v>0</v>
      </c>
      <c r="AJ728" s="10">
        <f>IF(Timeline!AJ216=1, SUM($AA705:AJ705)-SUM($Z728:AI728),0)</f>
        <v>0</v>
      </c>
      <c r="AK728" s="10">
        <f>IF(Timeline!AK216=1, SUM($AA705:AK705)-SUM($Z728:AJ728),0)</f>
        <v>0</v>
      </c>
      <c r="AL728" s="10">
        <f>IF(Timeline!AL216=1, SUM($AA705:AL705)-SUM($Z728:AK728),0)</f>
        <v>0</v>
      </c>
      <c r="AM728" s="10">
        <f>IF(Timeline!AM216=1, SUM($AA705:AM705)-SUM($Z728:AL728),0)</f>
        <v>0</v>
      </c>
      <c r="AN728" s="10">
        <f>IF(Timeline!AN216=1, SUM($AA705:AN705)-SUM($Z728:AM728),0)</f>
        <v>0</v>
      </c>
      <c r="AO728" s="10">
        <f>IF(Timeline!AO216=1, SUM($AA705:AO705)-SUM($Z728:AN728),0)</f>
        <v>0</v>
      </c>
      <c r="AP728" s="10">
        <f>IF(Timeline!AP216=1, SUM($AA705:AP705)-SUM($Z728:AO728),0)</f>
        <v>0</v>
      </c>
      <c r="AQ728" s="10">
        <f>IF(Timeline!AQ216=1, SUM($AA705:AQ705)-SUM($Z728:AP728),0)</f>
        <v>0</v>
      </c>
      <c r="AR728" s="10">
        <f>IF(Timeline!AR216=1, SUM($AA705:AR705)-SUM($Z728:AQ728),0)</f>
        <v>0</v>
      </c>
      <c r="AS728" s="10">
        <f>IF(Timeline!AS216=1, SUM($AA705:AS705)-SUM($Z728:AR728),0)</f>
        <v>0</v>
      </c>
      <c r="AT728" s="10">
        <f>IF(Timeline!AT216=1, SUM($AA705:AT705)-SUM($Z728:AS728),0)</f>
        <v>0</v>
      </c>
      <c r="AU728" s="10">
        <f>IF(Timeline!AU216=1, SUM($AA705:AU705)-SUM($Z728:AT728),0)</f>
        <v>0</v>
      </c>
      <c r="AV728" s="10">
        <f>IF(Timeline!AV216=1, SUM($AA705:AV705)-SUM($Z728:AU728),0)</f>
        <v>0</v>
      </c>
      <c r="AW728" s="10">
        <f>IF(Timeline!AW216=1, SUM($AA705:AW705)-SUM($Z728:AV728),0)</f>
        <v>0</v>
      </c>
      <c r="AX728" s="10">
        <f>IF(Timeline!AX216=1, SUM($AA705:AX705)-SUM($Z728:AW728),0)</f>
        <v>0</v>
      </c>
      <c r="AY728" s="10">
        <f>IF(Timeline!AY216=1, SUM($AA705:AY705)-SUM($Z728:AX728),0)</f>
        <v>0</v>
      </c>
      <c r="AZ728" s="10">
        <f>IF(Timeline!AZ216=1, SUM($AA705:AZ705)-SUM($Z728:AY728),0)</f>
        <v>0</v>
      </c>
      <c r="BA728" s="10">
        <f>IF(Timeline!BA216=1, SUM($AA705:BA705)-SUM($Z728:AZ728),0)</f>
        <v>0</v>
      </c>
      <c r="BB728" s="10">
        <f>IF(Timeline!BB216=1, SUM($AA705:BB705)-SUM($Z728:BA728),0)</f>
        <v>0</v>
      </c>
      <c r="BC728" s="10">
        <f>IF(Timeline!BC216=1, SUM($AA705:BC705)-SUM($Z728:BB728),0)</f>
        <v>0</v>
      </c>
      <c r="BD728" s="10">
        <f>IF(Timeline!BD216=1, SUM($AA705:BD705)-SUM($Z728:BC728),0)</f>
        <v>0</v>
      </c>
      <c r="BE728" s="10">
        <f>IF(Timeline!BE216=1, SUM($AA705:BE705)-SUM($Z728:BD728),0)</f>
        <v>0</v>
      </c>
      <c r="BF728" s="10">
        <f>IF(Timeline!BF216=1, SUM($AA705:BF705)-SUM($Z728:BE728),0)</f>
        <v>0</v>
      </c>
      <c r="BG728" s="10">
        <f>IF(Timeline!BG216=1, SUM($AA705:BG705)-SUM($Z728:BF728),0)</f>
        <v>0</v>
      </c>
      <c r="BH728" s="10">
        <f>IF(Timeline!BH216=1, SUM($AA705:BH705)-SUM($Z728:BG728),0)</f>
        <v>0</v>
      </c>
      <c r="BI728" s="10">
        <f>IF(Timeline!BI216=1, SUM($AA705:BI705)-SUM($Z728:BH728),0)</f>
        <v>0</v>
      </c>
      <c r="BJ728" s="10">
        <f>IF(Timeline!BJ216=1, SUM($AA705:BJ705)-SUM($Z728:BI728),0)</f>
        <v>0</v>
      </c>
      <c r="BK728" s="10">
        <f>IF(Timeline!BK216=1, SUM($AA705:BK705)-SUM($Z728:BJ728),0)</f>
        <v>0</v>
      </c>
      <c r="BL728" s="10">
        <f>IF(Timeline!BL216=1, SUM($AA705:BL705)-SUM($Z728:BK728),0)</f>
        <v>0</v>
      </c>
      <c r="BM728" s="10">
        <f>IF(Timeline!BM216=1, SUM($AA705:BM705)-SUM($Z728:BL728),0)</f>
        <v>0</v>
      </c>
      <c r="BN728" s="10">
        <f>IF(Timeline!BN216=1, SUM($AA705:BN705)-SUM($Z728:BM728),0)</f>
        <v>0</v>
      </c>
      <c r="BO728" s="10">
        <f>IF(Timeline!BO216=1, SUM($AA705:BO705)-SUM($Z728:BN728),0)</f>
        <v>0</v>
      </c>
      <c r="BP728" s="10">
        <f>IF(Timeline!BP216=1, SUM($AA705:BP705)-SUM($Z728:BO728),0)</f>
        <v>0</v>
      </c>
      <c r="BQ728" s="10">
        <f>IF(Timeline!BQ216=1, SUM($AA705:BQ705)-SUM($Z728:BP728),0)</f>
        <v>0</v>
      </c>
      <c r="BR728" s="10">
        <f>IF(Timeline!BR216=1, SUM($AA705:BR705)-SUM($Z728:BQ728),0)</f>
        <v>0</v>
      </c>
      <c r="BS728" s="10">
        <f>IF(Timeline!BS216=1, SUM($AA705:BS705)-SUM($Z728:BR728),0)</f>
        <v>0</v>
      </c>
      <c r="BT728" s="10">
        <f>IF(Timeline!BT216=1, SUM($AA705:BT705)-SUM($Z728:BS728),0)</f>
        <v>0</v>
      </c>
      <c r="BU728" s="10">
        <f>IF(Timeline!BU216=1, SUM($AA705:BU705)-SUM($Z728:BT728),0)</f>
        <v>0</v>
      </c>
      <c r="BV728" s="10">
        <f>IF(Timeline!BV216=1, SUM($AA705:BV705)-SUM($Z728:BU728),0)</f>
        <v>0</v>
      </c>
      <c r="BX728" s="106"/>
      <c r="BY728" s="12">
        <f t="shared" si="757"/>
        <v>0</v>
      </c>
      <c r="BZ728" s="12">
        <f t="shared" si="758"/>
        <v>0</v>
      </c>
      <c r="CA728" s="12">
        <f t="shared" si="759"/>
        <v>0</v>
      </c>
      <c r="CB728" s="133">
        <f t="shared" si="760"/>
        <v>0</v>
      </c>
      <c r="CC728" s="106"/>
      <c r="CD728" s="106"/>
      <c r="CE728" s="106"/>
      <c r="CF728" s="106"/>
      <c r="CG728" s="106"/>
      <c r="CH728" s="106"/>
      <c r="CI728" s="106"/>
      <c r="CK728" s="11"/>
      <c r="CM728" s="11"/>
      <c r="CV728" s="120"/>
      <c r="CW728" s="120"/>
      <c r="DF728" s="11"/>
      <c r="EY728" s="10" t="str">
        <f t="shared" si="746"/>
        <v/>
      </c>
    </row>
    <row r="729" spans="1:155" x14ac:dyDescent="0.35">
      <c r="A729" s="120"/>
      <c r="B729" s="69" t="str" cm="1">
        <f t="array" aca="1" ref="B729" ca="1">HYPERLINK(CONCATENATE("#",CELL("address",$D$265)),$D$265)</f>
        <v>Loan 12</v>
      </c>
      <c r="C729" s="211"/>
      <c r="D729" s="49">
        <f>D$24</f>
        <v>0</v>
      </c>
      <c r="E729" s="49" t="str">
        <f>F$24</f>
        <v/>
      </c>
      <c r="F729" s="49"/>
      <c r="G729" s="10">
        <f t="shared" si="755"/>
        <v>0</v>
      </c>
      <c r="I729" s="40" t="s">
        <v>665</v>
      </c>
      <c r="V729" s="106"/>
      <c r="W729" s="133">
        <f t="shared" si="756"/>
        <v>0</v>
      </c>
      <c r="X729" s="133">
        <f t="shared" si="756"/>
        <v>0</v>
      </c>
      <c r="Y729" s="133">
        <f t="shared" si="756"/>
        <v>0</v>
      </c>
      <c r="AA729" s="133">
        <f>IF(Timeline!AA217=1, SUM($AA706:AA706)-SUM($Z729:Z729),0)</f>
        <v>0</v>
      </c>
      <c r="AB729" s="10">
        <f>IF(Timeline!AB217=1, SUM($AA706:AB706)-SUM($Z729:AA729),0)</f>
        <v>0</v>
      </c>
      <c r="AC729" s="10">
        <f>IF(Timeline!AC217=1, SUM($AA706:AC706)-SUM($Z729:AB729),0)</f>
        <v>0</v>
      </c>
      <c r="AD729" s="10">
        <f>IF(Timeline!AD217=1, SUM($AA706:AD706)-SUM($Z729:AC729),0)</f>
        <v>0</v>
      </c>
      <c r="AE729" s="10">
        <f>IF(Timeline!AE217=1, SUM($AA706:AE706)-SUM($Z729:AD729),0)</f>
        <v>0</v>
      </c>
      <c r="AF729" s="10">
        <f>IF(Timeline!AF217=1, SUM($AA706:AF706)-SUM($Z729:AE729),0)</f>
        <v>0</v>
      </c>
      <c r="AG729" s="10">
        <f>IF(Timeline!AG217=1, SUM($AA706:AG706)-SUM($Z729:AF729),0)</f>
        <v>0</v>
      </c>
      <c r="AH729" s="10">
        <f>IF(Timeline!AH217=1, SUM($AA706:AH706)-SUM($Z729:AG729),0)</f>
        <v>0</v>
      </c>
      <c r="AI729" s="10">
        <f>IF(Timeline!AI217=1, SUM($AA706:AI706)-SUM($Z729:AH729),0)</f>
        <v>0</v>
      </c>
      <c r="AJ729" s="10">
        <f>IF(Timeline!AJ217=1, SUM($AA706:AJ706)-SUM($Z729:AI729),0)</f>
        <v>0</v>
      </c>
      <c r="AK729" s="10">
        <f>IF(Timeline!AK217=1, SUM($AA706:AK706)-SUM($Z729:AJ729),0)</f>
        <v>0</v>
      </c>
      <c r="AL729" s="10">
        <f>IF(Timeline!AL217=1, SUM($AA706:AL706)-SUM($Z729:AK729),0)</f>
        <v>0</v>
      </c>
      <c r="AM729" s="10">
        <f>IF(Timeline!AM217=1, SUM($AA706:AM706)-SUM($Z729:AL729),0)</f>
        <v>0</v>
      </c>
      <c r="AN729" s="10">
        <f>IF(Timeline!AN217=1, SUM($AA706:AN706)-SUM($Z729:AM729),0)</f>
        <v>0</v>
      </c>
      <c r="AO729" s="10">
        <f>IF(Timeline!AO217=1, SUM($AA706:AO706)-SUM($Z729:AN729),0)</f>
        <v>0</v>
      </c>
      <c r="AP729" s="10">
        <f>IF(Timeline!AP217=1, SUM($AA706:AP706)-SUM($Z729:AO729),0)</f>
        <v>0</v>
      </c>
      <c r="AQ729" s="10">
        <f>IF(Timeline!AQ217=1, SUM($AA706:AQ706)-SUM($Z729:AP729),0)</f>
        <v>0</v>
      </c>
      <c r="AR729" s="10">
        <f>IF(Timeline!AR217=1, SUM($AA706:AR706)-SUM($Z729:AQ729),0)</f>
        <v>0</v>
      </c>
      <c r="AS729" s="10">
        <f>IF(Timeline!AS217=1, SUM($AA706:AS706)-SUM($Z729:AR729),0)</f>
        <v>0</v>
      </c>
      <c r="AT729" s="10">
        <f>IF(Timeline!AT217=1, SUM($AA706:AT706)-SUM($Z729:AS729),0)</f>
        <v>0</v>
      </c>
      <c r="AU729" s="10">
        <f>IF(Timeline!AU217=1, SUM($AA706:AU706)-SUM($Z729:AT729),0)</f>
        <v>0</v>
      </c>
      <c r="AV729" s="10">
        <f>IF(Timeline!AV217=1, SUM($AA706:AV706)-SUM($Z729:AU729),0)</f>
        <v>0</v>
      </c>
      <c r="AW729" s="10">
        <f>IF(Timeline!AW217=1, SUM($AA706:AW706)-SUM($Z729:AV729),0)</f>
        <v>0</v>
      </c>
      <c r="AX729" s="10">
        <f>IF(Timeline!AX217=1, SUM($AA706:AX706)-SUM($Z729:AW729),0)</f>
        <v>0</v>
      </c>
      <c r="AY729" s="10">
        <f>IF(Timeline!AY217=1, SUM($AA706:AY706)-SUM($Z729:AX729),0)</f>
        <v>0</v>
      </c>
      <c r="AZ729" s="10">
        <f>IF(Timeline!AZ217=1, SUM($AA706:AZ706)-SUM($Z729:AY729),0)</f>
        <v>0</v>
      </c>
      <c r="BA729" s="10">
        <f>IF(Timeline!BA217=1, SUM($AA706:BA706)-SUM($Z729:AZ729),0)</f>
        <v>0</v>
      </c>
      <c r="BB729" s="10">
        <f>IF(Timeline!BB217=1, SUM($AA706:BB706)-SUM($Z729:BA729),0)</f>
        <v>0</v>
      </c>
      <c r="BC729" s="10">
        <f>IF(Timeline!BC217=1, SUM($AA706:BC706)-SUM($Z729:BB729),0)</f>
        <v>0</v>
      </c>
      <c r="BD729" s="10">
        <f>IF(Timeline!BD217=1, SUM($AA706:BD706)-SUM($Z729:BC729),0)</f>
        <v>0</v>
      </c>
      <c r="BE729" s="10">
        <f>IF(Timeline!BE217=1, SUM($AA706:BE706)-SUM($Z729:BD729),0)</f>
        <v>0</v>
      </c>
      <c r="BF729" s="10">
        <f>IF(Timeline!BF217=1, SUM($AA706:BF706)-SUM($Z729:BE729),0)</f>
        <v>0</v>
      </c>
      <c r="BG729" s="10">
        <f>IF(Timeline!BG217=1, SUM($AA706:BG706)-SUM($Z729:BF729),0)</f>
        <v>0</v>
      </c>
      <c r="BH729" s="10">
        <f>IF(Timeline!BH217=1, SUM($AA706:BH706)-SUM($Z729:BG729),0)</f>
        <v>0</v>
      </c>
      <c r="BI729" s="10">
        <f>IF(Timeline!BI217=1, SUM($AA706:BI706)-SUM($Z729:BH729),0)</f>
        <v>0</v>
      </c>
      <c r="BJ729" s="10">
        <f>IF(Timeline!BJ217=1, SUM($AA706:BJ706)-SUM($Z729:BI729),0)</f>
        <v>0</v>
      </c>
      <c r="BK729" s="10">
        <f>IF(Timeline!BK217=1, SUM($AA706:BK706)-SUM($Z729:BJ729),0)</f>
        <v>0</v>
      </c>
      <c r="BL729" s="10">
        <f>IF(Timeline!BL217=1, SUM($AA706:BL706)-SUM($Z729:BK729),0)</f>
        <v>0</v>
      </c>
      <c r="BM729" s="10">
        <f>IF(Timeline!BM217=1, SUM($AA706:BM706)-SUM($Z729:BL729),0)</f>
        <v>0</v>
      </c>
      <c r="BN729" s="10">
        <f>IF(Timeline!BN217=1, SUM($AA706:BN706)-SUM($Z729:BM729),0)</f>
        <v>0</v>
      </c>
      <c r="BO729" s="10">
        <f>IF(Timeline!BO217=1, SUM($AA706:BO706)-SUM($Z729:BN729),0)</f>
        <v>0</v>
      </c>
      <c r="BP729" s="10">
        <f>IF(Timeline!BP217=1, SUM($AA706:BP706)-SUM($Z729:BO729),0)</f>
        <v>0</v>
      </c>
      <c r="BQ729" s="10">
        <f>IF(Timeline!BQ217=1, SUM($AA706:BQ706)-SUM($Z729:BP729),0)</f>
        <v>0</v>
      </c>
      <c r="BR729" s="10">
        <f>IF(Timeline!BR217=1, SUM($AA706:BR706)-SUM($Z729:BQ729),0)</f>
        <v>0</v>
      </c>
      <c r="BS729" s="10">
        <f>IF(Timeline!BS217=1, SUM($AA706:BS706)-SUM($Z729:BR729),0)</f>
        <v>0</v>
      </c>
      <c r="BT729" s="10">
        <f>IF(Timeline!BT217=1, SUM($AA706:BT706)-SUM($Z729:BS729),0)</f>
        <v>0</v>
      </c>
      <c r="BU729" s="10">
        <f>IF(Timeline!BU217=1, SUM($AA706:BU706)-SUM($Z729:BT729),0)</f>
        <v>0</v>
      </c>
      <c r="BV729" s="10">
        <f>IF(Timeline!BV217=1, SUM($AA706:BV706)-SUM($Z729:BU729),0)</f>
        <v>0</v>
      </c>
      <c r="BX729" s="106"/>
      <c r="BY729" s="12">
        <f t="shared" si="757"/>
        <v>0</v>
      </c>
      <c r="BZ729" s="12">
        <f t="shared" si="758"/>
        <v>0</v>
      </c>
      <c r="CA729" s="12">
        <f t="shared" si="759"/>
        <v>0</v>
      </c>
      <c r="CB729" s="133">
        <f t="shared" si="760"/>
        <v>0</v>
      </c>
      <c r="CC729" s="106"/>
      <c r="CD729" s="106"/>
      <c r="CE729" s="106"/>
      <c r="CF729" s="106"/>
      <c r="CG729" s="106"/>
      <c r="CH729" s="106"/>
      <c r="CI729" s="106"/>
      <c r="CK729" s="11"/>
      <c r="CM729" s="11"/>
      <c r="CV729" s="120"/>
      <c r="CW729" s="120"/>
      <c r="DF729" s="11"/>
      <c r="EY729" s="10" t="str">
        <f t="shared" si="746"/>
        <v/>
      </c>
    </row>
    <row r="730" spans="1:155" x14ac:dyDescent="0.35">
      <c r="A730" s="120"/>
      <c r="B730" s="69" t="str" cm="1">
        <f t="array" aca="1" ref="B730" ca="1">HYPERLINK(CONCATENATE("#",CELL("address",$D$284)),$D$284)</f>
        <v>Loan 13</v>
      </c>
      <c r="C730" s="211"/>
      <c r="D730" s="49">
        <f>D$25</f>
        <v>0</v>
      </c>
      <c r="E730" s="49" t="str">
        <f>F$25</f>
        <v/>
      </c>
      <c r="F730" s="49"/>
      <c r="G730" s="10">
        <f t="shared" si="755"/>
        <v>0</v>
      </c>
      <c r="I730" s="40" t="s">
        <v>665</v>
      </c>
      <c r="V730" s="106"/>
      <c r="W730" s="133">
        <f t="shared" si="756"/>
        <v>0</v>
      </c>
      <c r="X730" s="133">
        <f t="shared" si="756"/>
        <v>0</v>
      </c>
      <c r="Y730" s="133">
        <f t="shared" si="756"/>
        <v>0</v>
      </c>
      <c r="AA730" s="133">
        <f>IF(Timeline!AA218=1, SUM($AA707:AA707)-SUM($Z730:Z730),0)</f>
        <v>0</v>
      </c>
      <c r="AB730" s="10">
        <f>IF(Timeline!AB218=1, SUM($AA707:AB707)-SUM($Z730:AA730),0)</f>
        <v>0</v>
      </c>
      <c r="AC730" s="10">
        <f>IF(Timeline!AC218=1, SUM($AA707:AC707)-SUM($Z730:AB730),0)</f>
        <v>0</v>
      </c>
      <c r="AD730" s="10">
        <f>IF(Timeline!AD218=1, SUM($AA707:AD707)-SUM($Z730:AC730),0)</f>
        <v>0</v>
      </c>
      <c r="AE730" s="10">
        <f>IF(Timeline!AE218=1, SUM($AA707:AE707)-SUM($Z730:AD730),0)</f>
        <v>0</v>
      </c>
      <c r="AF730" s="10">
        <f>IF(Timeline!AF218=1, SUM($AA707:AF707)-SUM($Z730:AE730),0)</f>
        <v>0</v>
      </c>
      <c r="AG730" s="10">
        <f>IF(Timeline!AG218=1, SUM($AA707:AG707)-SUM($Z730:AF730),0)</f>
        <v>0</v>
      </c>
      <c r="AH730" s="10">
        <f>IF(Timeline!AH218=1, SUM($AA707:AH707)-SUM($Z730:AG730),0)</f>
        <v>0</v>
      </c>
      <c r="AI730" s="10">
        <f>IF(Timeline!AI218=1, SUM($AA707:AI707)-SUM($Z730:AH730),0)</f>
        <v>0</v>
      </c>
      <c r="AJ730" s="10">
        <f>IF(Timeline!AJ218=1, SUM($AA707:AJ707)-SUM($Z730:AI730),0)</f>
        <v>0</v>
      </c>
      <c r="AK730" s="10">
        <f>IF(Timeline!AK218=1, SUM($AA707:AK707)-SUM($Z730:AJ730),0)</f>
        <v>0</v>
      </c>
      <c r="AL730" s="10">
        <f>IF(Timeline!AL218=1, SUM($AA707:AL707)-SUM($Z730:AK730),0)</f>
        <v>0</v>
      </c>
      <c r="AM730" s="10">
        <f>IF(Timeline!AM218=1, SUM($AA707:AM707)-SUM($Z730:AL730),0)</f>
        <v>0</v>
      </c>
      <c r="AN730" s="10">
        <f>IF(Timeline!AN218=1, SUM($AA707:AN707)-SUM($Z730:AM730),0)</f>
        <v>0</v>
      </c>
      <c r="AO730" s="10">
        <f>IF(Timeline!AO218=1, SUM($AA707:AO707)-SUM($Z730:AN730),0)</f>
        <v>0</v>
      </c>
      <c r="AP730" s="10">
        <f>IF(Timeline!AP218=1, SUM($AA707:AP707)-SUM($Z730:AO730),0)</f>
        <v>0</v>
      </c>
      <c r="AQ730" s="10">
        <f>IF(Timeline!AQ218=1, SUM($AA707:AQ707)-SUM($Z730:AP730),0)</f>
        <v>0</v>
      </c>
      <c r="AR730" s="10">
        <f>IF(Timeline!AR218=1, SUM($AA707:AR707)-SUM($Z730:AQ730),0)</f>
        <v>0</v>
      </c>
      <c r="AS730" s="10">
        <f>IF(Timeline!AS218=1, SUM($AA707:AS707)-SUM($Z730:AR730),0)</f>
        <v>0</v>
      </c>
      <c r="AT730" s="10">
        <f>IF(Timeline!AT218=1, SUM($AA707:AT707)-SUM($Z730:AS730),0)</f>
        <v>0</v>
      </c>
      <c r="AU730" s="10">
        <f>IF(Timeline!AU218=1, SUM($AA707:AU707)-SUM($Z730:AT730),0)</f>
        <v>0</v>
      </c>
      <c r="AV730" s="10">
        <f>IF(Timeline!AV218=1, SUM($AA707:AV707)-SUM($Z730:AU730),0)</f>
        <v>0</v>
      </c>
      <c r="AW730" s="10">
        <f>IF(Timeline!AW218=1, SUM($AA707:AW707)-SUM($Z730:AV730),0)</f>
        <v>0</v>
      </c>
      <c r="AX730" s="10">
        <f>IF(Timeline!AX218=1, SUM($AA707:AX707)-SUM($Z730:AW730),0)</f>
        <v>0</v>
      </c>
      <c r="AY730" s="10">
        <f>IF(Timeline!AY218=1, SUM($AA707:AY707)-SUM($Z730:AX730),0)</f>
        <v>0</v>
      </c>
      <c r="AZ730" s="10">
        <f>IF(Timeline!AZ218=1, SUM($AA707:AZ707)-SUM($Z730:AY730),0)</f>
        <v>0</v>
      </c>
      <c r="BA730" s="10">
        <f>IF(Timeline!BA218=1, SUM($AA707:BA707)-SUM($Z730:AZ730),0)</f>
        <v>0</v>
      </c>
      <c r="BB730" s="10">
        <f>IF(Timeline!BB218=1, SUM($AA707:BB707)-SUM($Z730:BA730),0)</f>
        <v>0</v>
      </c>
      <c r="BC730" s="10">
        <f>IF(Timeline!BC218=1, SUM($AA707:BC707)-SUM($Z730:BB730),0)</f>
        <v>0</v>
      </c>
      <c r="BD730" s="10">
        <f>IF(Timeline!BD218=1, SUM($AA707:BD707)-SUM($Z730:BC730),0)</f>
        <v>0</v>
      </c>
      <c r="BE730" s="10">
        <f>IF(Timeline!BE218=1, SUM($AA707:BE707)-SUM($Z730:BD730),0)</f>
        <v>0</v>
      </c>
      <c r="BF730" s="10">
        <f>IF(Timeline!BF218=1, SUM($AA707:BF707)-SUM($Z730:BE730),0)</f>
        <v>0</v>
      </c>
      <c r="BG730" s="10">
        <f>IF(Timeline!BG218=1, SUM($AA707:BG707)-SUM($Z730:BF730),0)</f>
        <v>0</v>
      </c>
      <c r="BH730" s="10">
        <f>IF(Timeline!BH218=1, SUM($AA707:BH707)-SUM($Z730:BG730),0)</f>
        <v>0</v>
      </c>
      <c r="BI730" s="10">
        <f>IF(Timeline!BI218=1, SUM($AA707:BI707)-SUM($Z730:BH730),0)</f>
        <v>0</v>
      </c>
      <c r="BJ730" s="10">
        <f>IF(Timeline!BJ218=1, SUM($AA707:BJ707)-SUM($Z730:BI730),0)</f>
        <v>0</v>
      </c>
      <c r="BK730" s="10">
        <f>IF(Timeline!BK218=1, SUM($AA707:BK707)-SUM($Z730:BJ730),0)</f>
        <v>0</v>
      </c>
      <c r="BL730" s="10">
        <f>IF(Timeline!BL218=1, SUM($AA707:BL707)-SUM($Z730:BK730),0)</f>
        <v>0</v>
      </c>
      <c r="BM730" s="10">
        <f>IF(Timeline!BM218=1, SUM($AA707:BM707)-SUM($Z730:BL730),0)</f>
        <v>0</v>
      </c>
      <c r="BN730" s="10">
        <f>IF(Timeline!BN218=1, SUM($AA707:BN707)-SUM($Z730:BM730),0)</f>
        <v>0</v>
      </c>
      <c r="BO730" s="10">
        <f>IF(Timeline!BO218=1, SUM($AA707:BO707)-SUM($Z730:BN730),0)</f>
        <v>0</v>
      </c>
      <c r="BP730" s="10">
        <f>IF(Timeline!BP218=1, SUM($AA707:BP707)-SUM($Z730:BO730),0)</f>
        <v>0</v>
      </c>
      <c r="BQ730" s="10">
        <f>IF(Timeline!BQ218=1, SUM($AA707:BQ707)-SUM($Z730:BP730),0)</f>
        <v>0</v>
      </c>
      <c r="BR730" s="10">
        <f>IF(Timeline!BR218=1, SUM($AA707:BR707)-SUM($Z730:BQ730),0)</f>
        <v>0</v>
      </c>
      <c r="BS730" s="10">
        <f>IF(Timeline!BS218=1, SUM($AA707:BS707)-SUM($Z730:BR730),0)</f>
        <v>0</v>
      </c>
      <c r="BT730" s="10">
        <f>IF(Timeline!BT218=1, SUM($AA707:BT707)-SUM($Z730:BS730),0)</f>
        <v>0</v>
      </c>
      <c r="BU730" s="10">
        <f>IF(Timeline!BU218=1, SUM($AA707:BU707)-SUM($Z730:BT730),0)</f>
        <v>0</v>
      </c>
      <c r="BV730" s="10">
        <f>IF(Timeline!BV218=1, SUM($AA707:BV707)-SUM($Z730:BU730),0)</f>
        <v>0</v>
      </c>
      <c r="BX730" s="106"/>
      <c r="BY730" s="12">
        <f t="shared" si="757"/>
        <v>0</v>
      </c>
      <c r="BZ730" s="12">
        <f t="shared" si="758"/>
        <v>0</v>
      </c>
      <c r="CA730" s="12">
        <f t="shared" si="759"/>
        <v>0</v>
      </c>
      <c r="CB730" s="133">
        <f t="shared" si="760"/>
        <v>0</v>
      </c>
      <c r="CC730" s="106"/>
      <c r="CD730" s="106"/>
      <c r="CE730" s="106"/>
      <c r="CF730" s="106"/>
      <c r="CG730" s="106"/>
      <c r="CH730" s="106"/>
      <c r="CI730" s="106"/>
      <c r="CK730" s="11"/>
      <c r="CM730" s="11"/>
      <c r="CV730" s="120"/>
      <c r="CW730" s="120"/>
      <c r="DF730" s="11"/>
      <c r="EY730" s="10" t="str">
        <f t="shared" si="746"/>
        <v/>
      </c>
    </row>
    <row r="731" spans="1:155" s="5" customFormat="1" x14ac:dyDescent="0.35">
      <c r="A731" s="120"/>
      <c r="B731" s="69" t="str" cm="1">
        <f t="array" aca="1" ref="B731" ca="1">HYPERLINK(CONCATENATE("#",CELL("address",$D$303)),$D$303)</f>
        <v>Loan 14</v>
      </c>
      <c r="C731" s="211"/>
      <c r="D731" s="49">
        <f>D$26</f>
        <v>0</v>
      </c>
      <c r="E731" s="49" t="str">
        <f>F$26</f>
        <v/>
      </c>
      <c r="F731" s="49"/>
      <c r="G731" s="10">
        <f t="shared" si="755"/>
        <v>0</v>
      </c>
      <c r="I731" s="40" t="s">
        <v>665</v>
      </c>
      <c r="J731"/>
      <c r="K731"/>
      <c r="L731"/>
      <c r="M731"/>
      <c r="N731"/>
      <c r="O731"/>
      <c r="P731"/>
      <c r="Q731"/>
      <c r="R731"/>
      <c r="S731"/>
      <c r="T731"/>
      <c r="U731"/>
      <c r="V731" s="106"/>
      <c r="W731" s="133">
        <f t="shared" si="756"/>
        <v>0</v>
      </c>
      <c r="X731" s="133">
        <f t="shared" si="756"/>
        <v>0</v>
      </c>
      <c r="Y731" s="133">
        <f t="shared" si="756"/>
        <v>0</v>
      </c>
      <c r="Z731"/>
      <c r="AA731" s="133">
        <f>IF(Timeline!AA219=1, SUM($AA708:AA708)-SUM($Z731:Z731),0)</f>
        <v>0</v>
      </c>
      <c r="AB731" s="10">
        <f>IF(Timeline!AB219=1, SUM($AA708:AB708)-SUM($Z731:AA731),0)</f>
        <v>0</v>
      </c>
      <c r="AC731" s="10">
        <f>IF(Timeline!AC219=1, SUM($AA708:AC708)-SUM($Z731:AB731),0)</f>
        <v>0</v>
      </c>
      <c r="AD731" s="10">
        <f>IF(Timeline!AD219=1, SUM($AA708:AD708)-SUM($Z731:AC731),0)</f>
        <v>0</v>
      </c>
      <c r="AE731" s="10">
        <f>IF(Timeline!AE219=1, SUM($AA708:AE708)-SUM($Z731:AD731),0)</f>
        <v>0</v>
      </c>
      <c r="AF731" s="10">
        <f>IF(Timeline!AF219=1, SUM($AA708:AF708)-SUM($Z731:AE731),0)</f>
        <v>0</v>
      </c>
      <c r="AG731" s="10">
        <f>IF(Timeline!AG219=1, SUM($AA708:AG708)-SUM($Z731:AF731),0)</f>
        <v>0</v>
      </c>
      <c r="AH731" s="10">
        <f>IF(Timeline!AH219=1, SUM($AA708:AH708)-SUM($Z731:AG731),0)</f>
        <v>0</v>
      </c>
      <c r="AI731" s="10">
        <f>IF(Timeline!AI219=1, SUM($AA708:AI708)-SUM($Z731:AH731),0)</f>
        <v>0</v>
      </c>
      <c r="AJ731" s="10">
        <f>IF(Timeline!AJ219=1, SUM($AA708:AJ708)-SUM($Z731:AI731),0)</f>
        <v>0</v>
      </c>
      <c r="AK731" s="10">
        <f>IF(Timeline!AK219=1, SUM($AA708:AK708)-SUM($Z731:AJ731),0)</f>
        <v>0</v>
      </c>
      <c r="AL731" s="10">
        <f>IF(Timeline!AL219=1, SUM($AA708:AL708)-SUM($Z731:AK731),0)</f>
        <v>0</v>
      </c>
      <c r="AM731" s="10">
        <f>IF(Timeline!AM219=1, SUM($AA708:AM708)-SUM($Z731:AL731),0)</f>
        <v>0</v>
      </c>
      <c r="AN731" s="10">
        <f>IF(Timeline!AN219=1, SUM($AA708:AN708)-SUM($Z731:AM731),0)</f>
        <v>0</v>
      </c>
      <c r="AO731" s="10">
        <f>IF(Timeline!AO219=1, SUM($AA708:AO708)-SUM($Z731:AN731),0)</f>
        <v>0</v>
      </c>
      <c r="AP731" s="10">
        <f>IF(Timeline!AP219=1, SUM($AA708:AP708)-SUM($Z731:AO731),0)</f>
        <v>0</v>
      </c>
      <c r="AQ731" s="10">
        <f>IF(Timeline!AQ219=1, SUM($AA708:AQ708)-SUM($Z731:AP731),0)</f>
        <v>0</v>
      </c>
      <c r="AR731" s="10">
        <f>IF(Timeline!AR219=1, SUM($AA708:AR708)-SUM($Z731:AQ731),0)</f>
        <v>0</v>
      </c>
      <c r="AS731" s="10">
        <f>IF(Timeline!AS219=1, SUM($AA708:AS708)-SUM($Z731:AR731),0)</f>
        <v>0</v>
      </c>
      <c r="AT731" s="10">
        <f>IF(Timeline!AT219=1, SUM($AA708:AT708)-SUM($Z731:AS731),0)</f>
        <v>0</v>
      </c>
      <c r="AU731" s="10">
        <f>IF(Timeline!AU219=1, SUM($AA708:AU708)-SUM($Z731:AT731),0)</f>
        <v>0</v>
      </c>
      <c r="AV731" s="10">
        <f>IF(Timeline!AV219=1, SUM($AA708:AV708)-SUM($Z731:AU731),0)</f>
        <v>0</v>
      </c>
      <c r="AW731" s="10">
        <f>IF(Timeline!AW219=1, SUM($AA708:AW708)-SUM($Z731:AV731),0)</f>
        <v>0</v>
      </c>
      <c r="AX731" s="10">
        <f>IF(Timeline!AX219=1, SUM($AA708:AX708)-SUM($Z731:AW731),0)</f>
        <v>0</v>
      </c>
      <c r="AY731" s="10">
        <f>IF(Timeline!AY219=1, SUM($AA708:AY708)-SUM($Z731:AX731),0)</f>
        <v>0</v>
      </c>
      <c r="AZ731" s="10">
        <f>IF(Timeline!AZ219=1, SUM($AA708:AZ708)-SUM($Z731:AY731),0)</f>
        <v>0</v>
      </c>
      <c r="BA731" s="10">
        <f>IF(Timeline!BA219=1, SUM($AA708:BA708)-SUM($Z731:AZ731),0)</f>
        <v>0</v>
      </c>
      <c r="BB731" s="10">
        <f>IF(Timeline!BB219=1, SUM($AA708:BB708)-SUM($Z731:BA731),0)</f>
        <v>0</v>
      </c>
      <c r="BC731" s="10">
        <f>IF(Timeline!BC219=1, SUM($AA708:BC708)-SUM($Z731:BB731),0)</f>
        <v>0</v>
      </c>
      <c r="BD731" s="10">
        <f>IF(Timeline!BD219=1, SUM($AA708:BD708)-SUM($Z731:BC731),0)</f>
        <v>0</v>
      </c>
      <c r="BE731" s="10">
        <f>IF(Timeline!BE219=1, SUM($AA708:BE708)-SUM($Z731:BD731),0)</f>
        <v>0</v>
      </c>
      <c r="BF731" s="10">
        <f>IF(Timeline!BF219=1, SUM($AA708:BF708)-SUM($Z731:BE731),0)</f>
        <v>0</v>
      </c>
      <c r="BG731" s="10">
        <f>IF(Timeline!BG219=1, SUM($AA708:BG708)-SUM($Z731:BF731),0)</f>
        <v>0</v>
      </c>
      <c r="BH731" s="10">
        <f>IF(Timeline!BH219=1, SUM($AA708:BH708)-SUM($Z731:BG731),0)</f>
        <v>0</v>
      </c>
      <c r="BI731" s="10">
        <f>IF(Timeline!BI219=1, SUM($AA708:BI708)-SUM($Z731:BH731),0)</f>
        <v>0</v>
      </c>
      <c r="BJ731" s="10">
        <f>IF(Timeline!BJ219=1, SUM($AA708:BJ708)-SUM($Z731:BI731),0)</f>
        <v>0</v>
      </c>
      <c r="BK731" s="10">
        <f>IF(Timeline!BK219=1, SUM($AA708:BK708)-SUM($Z731:BJ731),0)</f>
        <v>0</v>
      </c>
      <c r="BL731" s="10">
        <f>IF(Timeline!BL219=1, SUM($AA708:BL708)-SUM($Z731:BK731),0)</f>
        <v>0</v>
      </c>
      <c r="BM731" s="10">
        <f>IF(Timeline!BM219=1, SUM($AA708:BM708)-SUM($Z731:BL731),0)</f>
        <v>0</v>
      </c>
      <c r="BN731" s="10">
        <f>IF(Timeline!BN219=1, SUM($AA708:BN708)-SUM($Z731:BM731),0)</f>
        <v>0</v>
      </c>
      <c r="BO731" s="10">
        <f>IF(Timeline!BO219=1, SUM($AA708:BO708)-SUM($Z731:BN731),0)</f>
        <v>0</v>
      </c>
      <c r="BP731" s="10">
        <f>IF(Timeline!BP219=1, SUM($AA708:BP708)-SUM($Z731:BO731),0)</f>
        <v>0</v>
      </c>
      <c r="BQ731" s="10">
        <f>IF(Timeline!BQ219=1, SUM($AA708:BQ708)-SUM($Z731:BP731),0)</f>
        <v>0</v>
      </c>
      <c r="BR731" s="10">
        <f>IF(Timeline!BR219=1, SUM($AA708:BR708)-SUM($Z731:BQ731),0)</f>
        <v>0</v>
      </c>
      <c r="BS731" s="10">
        <f>IF(Timeline!BS219=1, SUM($AA708:BS708)-SUM($Z731:BR731),0)</f>
        <v>0</v>
      </c>
      <c r="BT731" s="10">
        <f>IF(Timeline!BT219=1, SUM($AA708:BT708)-SUM($Z731:BS731),0)</f>
        <v>0</v>
      </c>
      <c r="BU731" s="10">
        <f>IF(Timeline!BU219=1, SUM($AA708:BU708)-SUM($Z731:BT731),0)</f>
        <v>0</v>
      </c>
      <c r="BV731" s="10">
        <f>IF(Timeline!BV219=1, SUM($AA708:BV708)-SUM($Z731:BU731),0)</f>
        <v>0</v>
      </c>
      <c r="BW731"/>
      <c r="BX731" s="106"/>
      <c r="BY731" s="12">
        <f t="shared" si="757"/>
        <v>0</v>
      </c>
      <c r="BZ731" s="12">
        <f t="shared" si="758"/>
        <v>0</v>
      </c>
      <c r="CA731" s="12">
        <f t="shared" si="759"/>
        <v>0</v>
      </c>
      <c r="CB731" s="133">
        <f t="shared" si="760"/>
        <v>0</v>
      </c>
      <c r="CC731" s="106"/>
      <c r="CD731" s="106"/>
      <c r="CE731" s="106"/>
      <c r="CF731" s="106"/>
      <c r="CG731" s="106"/>
      <c r="CH731" s="106"/>
      <c r="CI731" s="106"/>
      <c r="CJ731"/>
      <c r="CK731" s="11"/>
      <c r="CL731"/>
      <c r="CM731" s="11"/>
      <c r="CN731"/>
      <c r="CO731"/>
      <c r="CP731"/>
      <c r="CQ731"/>
      <c r="CR731"/>
      <c r="CS731"/>
      <c r="CT731"/>
      <c r="CU731"/>
      <c r="CV731" s="120"/>
      <c r="CW731" s="120"/>
      <c r="CX731"/>
      <c r="CY731"/>
      <c r="CZ731"/>
      <c r="DA731"/>
      <c r="DB731"/>
      <c r="DC731"/>
      <c r="DD731"/>
      <c r="DE731"/>
      <c r="DF731" s="11"/>
      <c r="EY731" s="10" t="str">
        <f t="shared" si="746"/>
        <v/>
      </c>
    </row>
    <row r="732" spans="1:155" x14ac:dyDescent="0.35">
      <c r="A732" s="120"/>
      <c r="B732" s="69" t="str" cm="1">
        <f t="array" aca="1" ref="B732" ca="1">HYPERLINK(CONCATENATE("#",CELL("address",$D$322)),$D$322)</f>
        <v>Loan 15</v>
      </c>
      <c r="C732" s="211"/>
      <c r="D732" s="49">
        <f>D$27</f>
        <v>0</v>
      </c>
      <c r="E732" s="49" t="str">
        <f>F$27</f>
        <v/>
      </c>
      <c r="F732" s="49"/>
      <c r="G732" s="10">
        <f t="shared" si="755"/>
        <v>0</v>
      </c>
      <c r="I732" s="40" t="s">
        <v>665</v>
      </c>
      <c r="V732" s="106"/>
      <c r="W732" s="133">
        <f t="shared" si="756"/>
        <v>0</v>
      </c>
      <c r="X732" s="133">
        <f t="shared" si="756"/>
        <v>0</v>
      </c>
      <c r="Y732" s="133">
        <f t="shared" si="756"/>
        <v>0</v>
      </c>
      <c r="AA732" s="133">
        <f>IF(Timeline!AA220=1, SUM($AA709:AA709)-SUM($Z732:Z732),0)</f>
        <v>0</v>
      </c>
      <c r="AB732" s="10">
        <f>IF(Timeline!AB220=1, SUM($AA709:AB709)-SUM($Z732:AA732),0)</f>
        <v>0</v>
      </c>
      <c r="AC732" s="10">
        <f>IF(Timeline!AC220=1, SUM($AA709:AC709)-SUM($Z732:AB732),0)</f>
        <v>0</v>
      </c>
      <c r="AD732" s="10">
        <f>IF(Timeline!AD220=1, SUM($AA709:AD709)-SUM($Z732:AC732),0)</f>
        <v>0</v>
      </c>
      <c r="AE732" s="10">
        <f>IF(Timeline!AE220=1, SUM($AA709:AE709)-SUM($Z732:AD732),0)</f>
        <v>0</v>
      </c>
      <c r="AF732" s="10">
        <f>IF(Timeline!AF220=1, SUM($AA709:AF709)-SUM($Z732:AE732),0)</f>
        <v>0</v>
      </c>
      <c r="AG732" s="10">
        <f>IF(Timeline!AG220=1, SUM($AA709:AG709)-SUM($Z732:AF732),0)</f>
        <v>0</v>
      </c>
      <c r="AH732" s="10">
        <f>IF(Timeline!AH220=1, SUM($AA709:AH709)-SUM($Z732:AG732),0)</f>
        <v>0</v>
      </c>
      <c r="AI732" s="10">
        <f>IF(Timeline!AI220=1, SUM($AA709:AI709)-SUM($Z732:AH732),0)</f>
        <v>0</v>
      </c>
      <c r="AJ732" s="10">
        <f>IF(Timeline!AJ220=1, SUM($AA709:AJ709)-SUM($Z732:AI732),0)</f>
        <v>0</v>
      </c>
      <c r="AK732" s="10">
        <f>IF(Timeline!AK220=1, SUM($AA709:AK709)-SUM($Z732:AJ732),0)</f>
        <v>0</v>
      </c>
      <c r="AL732" s="10">
        <f>IF(Timeline!AL220=1, SUM($AA709:AL709)-SUM($Z732:AK732),0)</f>
        <v>0</v>
      </c>
      <c r="AM732" s="10">
        <f>IF(Timeline!AM220=1, SUM($AA709:AM709)-SUM($Z732:AL732),0)</f>
        <v>0</v>
      </c>
      <c r="AN732" s="10">
        <f>IF(Timeline!AN220=1, SUM($AA709:AN709)-SUM($Z732:AM732),0)</f>
        <v>0</v>
      </c>
      <c r="AO732" s="10">
        <f>IF(Timeline!AO220=1, SUM($AA709:AO709)-SUM($Z732:AN732),0)</f>
        <v>0</v>
      </c>
      <c r="AP732" s="10">
        <f>IF(Timeline!AP220=1, SUM($AA709:AP709)-SUM($Z732:AO732),0)</f>
        <v>0</v>
      </c>
      <c r="AQ732" s="10">
        <f>IF(Timeline!AQ220=1, SUM($AA709:AQ709)-SUM($Z732:AP732),0)</f>
        <v>0</v>
      </c>
      <c r="AR732" s="10">
        <f>IF(Timeline!AR220=1, SUM($AA709:AR709)-SUM($Z732:AQ732),0)</f>
        <v>0</v>
      </c>
      <c r="AS732" s="10">
        <f>IF(Timeline!AS220=1, SUM($AA709:AS709)-SUM($Z732:AR732),0)</f>
        <v>0</v>
      </c>
      <c r="AT732" s="10">
        <f>IF(Timeline!AT220=1, SUM($AA709:AT709)-SUM($Z732:AS732),0)</f>
        <v>0</v>
      </c>
      <c r="AU732" s="10">
        <f>IF(Timeline!AU220=1, SUM($AA709:AU709)-SUM($Z732:AT732),0)</f>
        <v>0</v>
      </c>
      <c r="AV732" s="10">
        <f>IF(Timeline!AV220=1, SUM($AA709:AV709)-SUM($Z732:AU732),0)</f>
        <v>0</v>
      </c>
      <c r="AW732" s="10">
        <f>IF(Timeline!AW220=1, SUM($AA709:AW709)-SUM($Z732:AV732),0)</f>
        <v>0</v>
      </c>
      <c r="AX732" s="10">
        <f>IF(Timeline!AX220=1, SUM($AA709:AX709)-SUM($Z732:AW732),0)</f>
        <v>0</v>
      </c>
      <c r="AY732" s="10">
        <f>IF(Timeline!AY220=1, SUM($AA709:AY709)-SUM($Z732:AX732),0)</f>
        <v>0</v>
      </c>
      <c r="AZ732" s="10">
        <f>IF(Timeline!AZ220=1, SUM($AA709:AZ709)-SUM($Z732:AY732),0)</f>
        <v>0</v>
      </c>
      <c r="BA732" s="10">
        <f>IF(Timeline!BA220=1, SUM($AA709:BA709)-SUM($Z732:AZ732),0)</f>
        <v>0</v>
      </c>
      <c r="BB732" s="10">
        <f>IF(Timeline!BB220=1, SUM($AA709:BB709)-SUM($Z732:BA732),0)</f>
        <v>0</v>
      </c>
      <c r="BC732" s="10">
        <f>IF(Timeline!BC220=1, SUM($AA709:BC709)-SUM($Z732:BB732),0)</f>
        <v>0</v>
      </c>
      <c r="BD732" s="10">
        <f>IF(Timeline!BD220=1, SUM($AA709:BD709)-SUM($Z732:BC732),0)</f>
        <v>0</v>
      </c>
      <c r="BE732" s="10">
        <f>IF(Timeline!BE220=1, SUM($AA709:BE709)-SUM($Z732:BD732),0)</f>
        <v>0</v>
      </c>
      <c r="BF732" s="10">
        <f>IF(Timeline!BF220=1, SUM($AA709:BF709)-SUM($Z732:BE732),0)</f>
        <v>0</v>
      </c>
      <c r="BG732" s="10">
        <f>IF(Timeline!BG220=1, SUM($AA709:BG709)-SUM($Z732:BF732),0)</f>
        <v>0</v>
      </c>
      <c r="BH732" s="10">
        <f>IF(Timeline!BH220=1, SUM($AA709:BH709)-SUM($Z732:BG732),0)</f>
        <v>0</v>
      </c>
      <c r="BI732" s="10">
        <f>IF(Timeline!BI220=1, SUM($AA709:BI709)-SUM($Z732:BH732),0)</f>
        <v>0</v>
      </c>
      <c r="BJ732" s="10">
        <f>IF(Timeline!BJ220=1, SUM($AA709:BJ709)-SUM($Z732:BI732),0)</f>
        <v>0</v>
      </c>
      <c r="BK732" s="10">
        <f>IF(Timeline!BK220=1, SUM($AA709:BK709)-SUM($Z732:BJ732),0)</f>
        <v>0</v>
      </c>
      <c r="BL732" s="10">
        <f>IF(Timeline!BL220=1, SUM($AA709:BL709)-SUM($Z732:BK732),0)</f>
        <v>0</v>
      </c>
      <c r="BM732" s="10">
        <f>IF(Timeline!BM220=1, SUM($AA709:BM709)-SUM($Z732:BL732),0)</f>
        <v>0</v>
      </c>
      <c r="BN732" s="10">
        <f>IF(Timeline!BN220=1, SUM($AA709:BN709)-SUM($Z732:BM732),0)</f>
        <v>0</v>
      </c>
      <c r="BO732" s="10">
        <f>IF(Timeline!BO220=1, SUM($AA709:BO709)-SUM($Z732:BN732),0)</f>
        <v>0</v>
      </c>
      <c r="BP732" s="10">
        <f>IF(Timeline!BP220=1, SUM($AA709:BP709)-SUM($Z732:BO732),0)</f>
        <v>0</v>
      </c>
      <c r="BQ732" s="10">
        <f>IF(Timeline!BQ220=1, SUM($AA709:BQ709)-SUM($Z732:BP732),0)</f>
        <v>0</v>
      </c>
      <c r="BR732" s="10">
        <f>IF(Timeline!BR220=1, SUM($AA709:BR709)-SUM($Z732:BQ732),0)</f>
        <v>0</v>
      </c>
      <c r="BS732" s="10">
        <f>IF(Timeline!BS220=1, SUM($AA709:BS709)-SUM($Z732:BR732),0)</f>
        <v>0</v>
      </c>
      <c r="BT732" s="10">
        <f>IF(Timeline!BT220=1, SUM($AA709:BT709)-SUM($Z732:BS732),0)</f>
        <v>0</v>
      </c>
      <c r="BU732" s="10">
        <f>IF(Timeline!BU220=1, SUM($AA709:BU709)-SUM($Z732:BT732),0)</f>
        <v>0</v>
      </c>
      <c r="BV732" s="10">
        <f>IF(Timeline!BV220=1, SUM($AA709:BV709)-SUM($Z732:BU732),0)</f>
        <v>0</v>
      </c>
      <c r="BX732" s="106"/>
      <c r="BY732" s="12">
        <f t="shared" si="757"/>
        <v>0</v>
      </c>
      <c r="BZ732" s="12">
        <f t="shared" si="758"/>
        <v>0</v>
      </c>
      <c r="CA732" s="12">
        <f t="shared" si="759"/>
        <v>0</v>
      </c>
      <c r="CB732" s="133">
        <f t="shared" si="760"/>
        <v>0</v>
      </c>
      <c r="CC732" s="106"/>
      <c r="CD732" s="106"/>
      <c r="CE732" s="106"/>
      <c r="CF732" s="106"/>
      <c r="CG732" s="106"/>
      <c r="CH732" s="106"/>
      <c r="CI732" s="106"/>
      <c r="CK732" s="11"/>
      <c r="CM732" s="11"/>
      <c r="CV732" s="120"/>
      <c r="CW732" s="120"/>
      <c r="DF732" s="11"/>
      <c r="EY732" s="10" t="str">
        <f t="shared" si="746"/>
        <v/>
      </c>
    </row>
    <row r="733" spans="1:155" x14ac:dyDescent="0.35">
      <c r="A733" s="120"/>
      <c r="B733" s="69" t="str" cm="1">
        <f t="array" aca="1" ref="B733" ca="1">HYPERLINK(CONCATENATE("#",CELL("address",$D$341)),$D$341)</f>
        <v>Loan 16</v>
      </c>
      <c r="C733" s="211"/>
      <c r="D733" s="49">
        <f>D$28</f>
        <v>0</v>
      </c>
      <c r="E733" s="49" t="str">
        <f>F$28</f>
        <v/>
      </c>
      <c r="F733" s="49"/>
      <c r="G733" s="10">
        <f t="shared" si="755"/>
        <v>0</v>
      </c>
      <c r="I733" s="40" t="s">
        <v>665</v>
      </c>
      <c r="V733" s="106"/>
      <c r="W733" s="133">
        <f t="shared" si="756"/>
        <v>0</v>
      </c>
      <c r="X733" s="133">
        <f t="shared" si="756"/>
        <v>0</v>
      </c>
      <c r="Y733" s="133">
        <f t="shared" si="756"/>
        <v>0</v>
      </c>
      <c r="AA733" s="133">
        <f>IF(Timeline!AA221=1, SUM($AA710:AA710)-SUM($Z733:Z733),0)</f>
        <v>0</v>
      </c>
      <c r="AB733" s="10">
        <f>IF(Timeline!AB221=1, SUM($AA710:AB710)-SUM($Z733:AA733),0)</f>
        <v>0</v>
      </c>
      <c r="AC733" s="10">
        <f>IF(Timeline!AC221=1, SUM($AA710:AC710)-SUM($Z733:AB733),0)</f>
        <v>0</v>
      </c>
      <c r="AD733" s="10">
        <f>IF(Timeline!AD221=1, SUM($AA710:AD710)-SUM($Z733:AC733),0)</f>
        <v>0</v>
      </c>
      <c r="AE733" s="10">
        <f>IF(Timeline!AE221=1, SUM($AA710:AE710)-SUM($Z733:AD733),0)</f>
        <v>0</v>
      </c>
      <c r="AF733" s="10">
        <f>IF(Timeline!AF221=1, SUM($AA710:AF710)-SUM($Z733:AE733),0)</f>
        <v>0</v>
      </c>
      <c r="AG733" s="10">
        <f>IF(Timeline!AG221=1, SUM($AA710:AG710)-SUM($Z733:AF733),0)</f>
        <v>0</v>
      </c>
      <c r="AH733" s="10">
        <f>IF(Timeline!AH221=1, SUM($AA710:AH710)-SUM($Z733:AG733),0)</f>
        <v>0</v>
      </c>
      <c r="AI733" s="10">
        <f>IF(Timeline!AI221=1, SUM($AA710:AI710)-SUM($Z733:AH733),0)</f>
        <v>0</v>
      </c>
      <c r="AJ733" s="10">
        <f>IF(Timeline!AJ221=1, SUM($AA710:AJ710)-SUM($Z733:AI733),0)</f>
        <v>0</v>
      </c>
      <c r="AK733" s="10">
        <f>IF(Timeline!AK221=1, SUM($AA710:AK710)-SUM($Z733:AJ733),0)</f>
        <v>0</v>
      </c>
      <c r="AL733" s="10">
        <f>IF(Timeline!AL221=1, SUM($AA710:AL710)-SUM($Z733:AK733),0)</f>
        <v>0</v>
      </c>
      <c r="AM733" s="10">
        <f>IF(Timeline!AM221=1, SUM($AA710:AM710)-SUM($Z733:AL733),0)</f>
        <v>0</v>
      </c>
      <c r="AN733" s="10">
        <f>IF(Timeline!AN221=1, SUM($AA710:AN710)-SUM($Z733:AM733),0)</f>
        <v>0</v>
      </c>
      <c r="AO733" s="10">
        <f>IF(Timeline!AO221=1, SUM($AA710:AO710)-SUM($Z733:AN733),0)</f>
        <v>0</v>
      </c>
      <c r="AP733" s="10">
        <f>IF(Timeline!AP221=1, SUM($AA710:AP710)-SUM($Z733:AO733),0)</f>
        <v>0</v>
      </c>
      <c r="AQ733" s="10">
        <f>IF(Timeline!AQ221=1, SUM($AA710:AQ710)-SUM($Z733:AP733),0)</f>
        <v>0</v>
      </c>
      <c r="AR733" s="10">
        <f>IF(Timeline!AR221=1, SUM($AA710:AR710)-SUM($Z733:AQ733),0)</f>
        <v>0</v>
      </c>
      <c r="AS733" s="10">
        <f>IF(Timeline!AS221=1, SUM($AA710:AS710)-SUM($Z733:AR733),0)</f>
        <v>0</v>
      </c>
      <c r="AT733" s="10">
        <f>IF(Timeline!AT221=1, SUM($AA710:AT710)-SUM($Z733:AS733),0)</f>
        <v>0</v>
      </c>
      <c r="AU733" s="10">
        <f>IF(Timeline!AU221=1, SUM($AA710:AU710)-SUM($Z733:AT733),0)</f>
        <v>0</v>
      </c>
      <c r="AV733" s="10">
        <f>IF(Timeline!AV221=1, SUM($AA710:AV710)-SUM($Z733:AU733),0)</f>
        <v>0</v>
      </c>
      <c r="AW733" s="10">
        <f>IF(Timeline!AW221=1, SUM($AA710:AW710)-SUM($Z733:AV733),0)</f>
        <v>0</v>
      </c>
      <c r="AX733" s="10">
        <f>IF(Timeline!AX221=1, SUM($AA710:AX710)-SUM($Z733:AW733),0)</f>
        <v>0</v>
      </c>
      <c r="AY733" s="10">
        <f>IF(Timeline!AY221=1, SUM($AA710:AY710)-SUM($Z733:AX733),0)</f>
        <v>0</v>
      </c>
      <c r="AZ733" s="10">
        <f>IF(Timeline!AZ221=1, SUM($AA710:AZ710)-SUM($Z733:AY733),0)</f>
        <v>0</v>
      </c>
      <c r="BA733" s="10">
        <f>IF(Timeline!BA221=1, SUM($AA710:BA710)-SUM($Z733:AZ733),0)</f>
        <v>0</v>
      </c>
      <c r="BB733" s="10">
        <f>IF(Timeline!BB221=1, SUM($AA710:BB710)-SUM($Z733:BA733),0)</f>
        <v>0</v>
      </c>
      <c r="BC733" s="10">
        <f>IF(Timeline!BC221=1, SUM($AA710:BC710)-SUM($Z733:BB733),0)</f>
        <v>0</v>
      </c>
      <c r="BD733" s="10">
        <f>IF(Timeline!BD221=1, SUM($AA710:BD710)-SUM($Z733:BC733),0)</f>
        <v>0</v>
      </c>
      <c r="BE733" s="10">
        <f>IF(Timeline!BE221=1, SUM($AA710:BE710)-SUM($Z733:BD733),0)</f>
        <v>0</v>
      </c>
      <c r="BF733" s="10">
        <f>IF(Timeline!BF221=1, SUM($AA710:BF710)-SUM($Z733:BE733),0)</f>
        <v>0</v>
      </c>
      <c r="BG733" s="10">
        <f>IF(Timeline!BG221=1, SUM($AA710:BG710)-SUM($Z733:BF733),0)</f>
        <v>0</v>
      </c>
      <c r="BH733" s="10">
        <f>IF(Timeline!BH221=1, SUM($AA710:BH710)-SUM($Z733:BG733),0)</f>
        <v>0</v>
      </c>
      <c r="BI733" s="10">
        <f>IF(Timeline!BI221=1, SUM($AA710:BI710)-SUM($Z733:BH733),0)</f>
        <v>0</v>
      </c>
      <c r="BJ733" s="10">
        <f>IF(Timeline!BJ221=1, SUM($AA710:BJ710)-SUM($Z733:BI733),0)</f>
        <v>0</v>
      </c>
      <c r="BK733" s="10">
        <f>IF(Timeline!BK221=1, SUM($AA710:BK710)-SUM($Z733:BJ733),0)</f>
        <v>0</v>
      </c>
      <c r="BL733" s="10">
        <f>IF(Timeline!BL221=1, SUM($AA710:BL710)-SUM($Z733:BK733),0)</f>
        <v>0</v>
      </c>
      <c r="BM733" s="10">
        <f>IF(Timeline!BM221=1, SUM($AA710:BM710)-SUM($Z733:BL733),0)</f>
        <v>0</v>
      </c>
      <c r="BN733" s="10">
        <f>IF(Timeline!BN221=1, SUM($AA710:BN710)-SUM($Z733:BM733),0)</f>
        <v>0</v>
      </c>
      <c r="BO733" s="10">
        <f>IF(Timeline!BO221=1, SUM($AA710:BO710)-SUM($Z733:BN733),0)</f>
        <v>0</v>
      </c>
      <c r="BP733" s="10">
        <f>IF(Timeline!BP221=1, SUM($AA710:BP710)-SUM($Z733:BO733),0)</f>
        <v>0</v>
      </c>
      <c r="BQ733" s="10">
        <f>IF(Timeline!BQ221=1, SUM($AA710:BQ710)-SUM($Z733:BP733),0)</f>
        <v>0</v>
      </c>
      <c r="BR733" s="10">
        <f>IF(Timeline!BR221=1, SUM($AA710:BR710)-SUM($Z733:BQ733),0)</f>
        <v>0</v>
      </c>
      <c r="BS733" s="10">
        <f>IF(Timeline!BS221=1, SUM($AA710:BS710)-SUM($Z733:BR733),0)</f>
        <v>0</v>
      </c>
      <c r="BT733" s="10">
        <f>IF(Timeline!BT221=1, SUM($AA710:BT710)-SUM($Z733:BS733),0)</f>
        <v>0</v>
      </c>
      <c r="BU733" s="10">
        <f>IF(Timeline!BU221=1, SUM($AA710:BU710)-SUM($Z733:BT733),0)</f>
        <v>0</v>
      </c>
      <c r="BV733" s="10">
        <f>IF(Timeline!BV221=1, SUM($AA710:BV710)-SUM($Z733:BU733),0)</f>
        <v>0</v>
      </c>
      <c r="BX733" s="106"/>
      <c r="BY733" s="12">
        <f t="shared" si="757"/>
        <v>0</v>
      </c>
      <c r="BZ733" s="12">
        <f t="shared" si="758"/>
        <v>0</v>
      </c>
      <c r="CA733" s="12">
        <f t="shared" si="759"/>
        <v>0</v>
      </c>
      <c r="CB733" s="133">
        <f t="shared" si="760"/>
        <v>0</v>
      </c>
      <c r="CC733" s="106"/>
      <c r="CD733" s="106"/>
      <c r="CE733" s="106"/>
      <c r="CF733" s="106"/>
      <c r="CG733" s="106"/>
      <c r="CH733" s="106"/>
      <c r="CI733" s="106"/>
      <c r="CK733" s="11"/>
      <c r="CM733" s="11"/>
      <c r="CV733" s="120"/>
      <c r="CW733" s="120"/>
      <c r="DF733" s="11"/>
      <c r="EY733" s="10" t="str">
        <f t="shared" si="746"/>
        <v/>
      </c>
    </row>
    <row r="734" spans="1:155" x14ac:dyDescent="0.35">
      <c r="A734" s="120"/>
      <c r="B734" s="69" t="str" cm="1">
        <f t="array" aca="1" ref="B734" ca="1">HYPERLINK(CONCATENATE("#",CELL("address",$D$360)),$D$360)</f>
        <v>Loan 17</v>
      </c>
      <c r="C734" s="211"/>
      <c r="D734" s="49">
        <f>D$29</f>
        <v>0</v>
      </c>
      <c r="E734" s="49" t="str">
        <f>F$29</f>
        <v/>
      </c>
      <c r="F734" s="49"/>
      <c r="G734" s="10">
        <f t="shared" si="755"/>
        <v>0</v>
      </c>
      <c r="I734" s="40" t="s">
        <v>665</v>
      </c>
      <c r="V734" s="106"/>
      <c r="W734" s="133">
        <f t="shared" si="756"/>
        <v>0</v>
      </c>
      <c r="X734" s="133">
        <f t="shared" si="756"/>
        <v>0</v>
      </c>
      <c r="Y734" s="133">
        <f t="shared" si="756"/>
        <v>0</v>
      </c>
      <c r="AA734" s="133">
        <f>IF(Timeline!AA222=1, SUM($AA711:AA711)-SUM($Z734:Z734),0)</f>
        <v>0</v>
      </c>
      <c r="AB734" s="10">
        <f>IF(Timeline!AB222=1, SUM($AA711:AB711)-SUM($Z734:AA734),0)</f>
        <v>0</v>
      </c>
      <c r="AC734" s="10">
        <f>IF(Timeline!AC222=1, SUM($AA711:AC711)-SUM($Z734:AB734),0)</f>
        <v>0</v>
      </c>
      <c r="AD734" s="10">
        <f>IF(Timeline!AD222=1, SUM($AA711:AD711)-SUM($Z734:AC734),0)</f>
        <v>0</v>
      </c>
      <c r="AE734" s="10">
        <f>IF(Timeline!AE222=1, SUM($AA711:AE711)-SUM($Z734:AD734),0)</f>
        <v>0</v>
      </c>
      <c r="AF734" s="10">
        <f>IF(Timeline!AF222=1, SUM($AA711:AF711)-SUM($Z734:AE734),0)</f>
        <v>0</v>
      </c>
      <c r="AG734" s="10">
        <f>IF(Timeline!AG222=1, SUM($AA711:AG711)-SUM($Z734:AF734),0)</f>
        <v>0</v>
      </c>
      <c r="AH734" s="10">
        <f>IF(Timeline!AH222=1, SUM($AA711:AH711)-SUM($Z734:AG734),0)</f>
        <v>0</v>
      </c>
      <c r="AI734" s="10">
        <f>IF(Timeline!AI222=1, SUM($AA711:AI711)-SUM($Z734:AH734),0)</f>
        <v>0</v>
      </c>
      <c r="AJ734" s="10">
        <f>IF(Timeline!AJ222=1, SUM($AA711:AJ711)-SUM($Z734:AI734),0)</f>
        <v>0</v>
      </c>
      <c r="AK734" s="10">
        <f>IF(Timeline!AK222=1, SUM($AA711:AK711)-SUM($Z734:AJ734),0)</f>
        <v>0</v>
      </c>
      <c r="AL734" s="10">
        <f>IF(Timeline!AL222=1, SUM($AA711:AL711)-SUM($Z734:AK734),0)</f>
        <v>0</v>
      </c>
      <c r="AM734" s="10">
        <f>IF(Timeline!AM222=1, SUM($AA711:AM711)-SUM($Z734:AL734),0)</f>
        <v>0</v>
      </c>
      <c r="AN734" s="10">
        <f>IF(Timeline!AN222=1, SUM($AA711:AN711)-SUM($Z734:AM734),0)</f>
        <v>0</v>
      </c>
      <c r="AO734" s="10">
        <f>IF(Timeline!AO222=1, SUM($AA711:AO711)-SUM($Z734:AN734),0)</f>
        <v>0</v>
      </c>
      <c r="AP734" s="10">
        <f>IF(Timeline!AP222=1, SUM($AA711:AP711)-SUM($Z734:AO734),0)</f>
        <v>0</v>
      </c>
      <c r="AQ734" s="10">
        <f>IF(Timeline!AQ222=1, SUM($AA711:AQ711)-SUM($Z734:AP734),0)</f>
        <v>0</v>
      </c>
      <c r="AR734" s="10">
        <f>IF(Timeline!AR222=1, SUM($AA711:AR711)-SUM($Z734:AQ734),0)</f>
        <v>0</v>
      </c>
      <c r="AS734" s="10">
        <f>IF(Timeline!AS222=1, SUM($AA711:AS711)-SUM($Z734:AR734),0)</f>
        <v>0</v>
      </c>
      <c r="AT734" s="10">
        <f>IF(Timeline!AT222=1, SUM($AA711:AT711)-SUM($Z734:AS734),0)</f>
        <v>0</v>
      </c>
      <c r="AU734" s="10">
        <f>IF(Timeline!AU222=1, SUM($AA711:AU711)-SUM($Z734:AT734),0)</f>
        <v>0</v>
      </c>
      <c r="AV734" s="10">
        <f>IF(Timeline!AV222=1, SUM($AA711:AV711)-SUM($Z734:AU734),0)</f>
        <v>0</v>
      </c>
      <c r="AW734" s="10">
        <f>IF(Timeline!AW222=1, SUM($AA711:AW711)-SUM($Z734:AV734),0)</f>
        <v>0</v>
      </c>
      <c r="AX734" s="10">
        <f>IF(Timeline!AX222=1, SUM($AA711:AX711)-SUM($Z734:AW734),0)</f>
        <v>0</v>
      </c>
      <c r="AY734" s="10">
        <f>IF(Timeline!AY222=1, SUM($AA711:AY711)-SUM($Z734:AX734),0)</f>
        <v>0</v>
      </c>
      <c r="AZ734" s="10">
        <f>IF(Timeline!AZ222=1, SUM($AA711:AZ711)-SUM($Z734:AY734),0)</f>
        <v>0</v>
      </c>
      <c r="BA734" s="10">
        <f>IF(Timeline!BA222=1, SUM($AA711:BA711)-SUM($Z734:AZ734),0)</f>
        <v>0</v>
      </c>
      <c r="BB734" s="10">
        <f>IF(Timeline!BB222=1, SUM($AA711:BB711)-SUM($Z734:BA734),0)</f>
        <v>0</v>
      </c>
      <c r="BC734" s="10">
        <f>IF(Timeline!BC222=1, SUM($AA711:BC711)-SUM($Z734:BB734),0)</f>
        <v>0</v>
      </c>
      <c r="BD734" s="10">
        <f>IF(Timeline!BD222=1, SUM($AA711:BD711)-SUM($Z734:BC734),0)</f>
        <v>0</v>
      </c>
      <c r="BE734" s="10">
        <f>IF(Timeline!BE222=1, SUM($AA711:BE711)-SUM($Z734:BD734),0)</f>
        <v>0</v>
      </c>
      <c r="BF734" s="10">
        <f>IF(Timeline!BF222=1, SUM($AA711:BF711)-SUM($Z734:BE734),0)</f>
        <v>0</v>
      </c>
      <c r="BG734" s="10">
        <f>IF(Timeline!BG222=1, SUM($AA711:BG711)-SUM($Z734:BF734),0)</f>
        <v>0</v>
      </c>
      <c r="BH734" s="10">
        <f>IF(Timeline!BH222=1, SUM($AA711:BH711)-SUM($Z734:BG734),0)</f>
        <v>0</v>
      </c>
      <c r="BI734" s="10">
        <f>IF(Timeline!BI222=1, SUM($AA711:BI711)-SUM($Z734:BH734),0)</f>
        <v>0</v>
      </c>
      <c r="BJ734" s="10">
        <f>IF(Timeline!BJ222=1, SUM($AA711:BJ711)-SUM($Z734:BI734),0)</f>
        <v>0</v>
      </c>
      <c r="BK734" s="10">
        <f>IF(Timeline!BK222=1, SUM($AA711:BK711)-SUM($Z734:BJ734),0)</f>
        <v>0</v>
      </c>
      <c r="BL734" s="10">
        <f>IF(Timeline!BL222=1, SUM($AA711:BL711)-SUM($Z734:BK734),0)</f>
        <v>0</v>
      </c>
      <c r="BM734" s="10">
        <f>IF(Timeline!BM222=1, SUM($AA711:BM711)-SUM($Z734:BL734),0)</f>
        <v>0</v>
      </c>
      <c r="BN734" s="10">
        <f>IF(Timeline!BN222=1, SUM($AA711:BN711)-SUM($Z734:BM734),0)</f>
        <v>0</v>
      </c>
      <c r="BO734" s="10">
        <f>IF(Timeline!BO222=1, SUM($AA711:BO711)-SUM($Z734:BN734),0)</f>
        <v>0</v>
      </c>
      <c r="BP734" s="10">
        <f>IF(Timeline!BP222=1, SUM($AA711:BP711)-SUM($Z734:BO734),0)</f>
        <v>0</v>
      </c>
      <c r="BQ734" s="10">
        <f>IF(Timeline!BQ222=1, SUM($AA711:BQ711)-SUM($Z734:BP734),0)</f>
        <v>0</v>
      </c>
      <c r="BR734" s="10">
        <f>IF(Timeline!BR222=1, SUM($AA711:BR711)-SUM($Z734:BQ734),0)</f>
        <v>0</v>
      </c>
      <c r="BS734" s="10">
        <f>IF(Timeline!BS222=1, SUM($AA711:BS711)-SUM($Z734:BR734),0)</f>
        <v>0</v>
      </c>
      <c r="BT734" s="10">
        <f>IF(Timeline!BT222=1, SUM($AA711:BT711)-SUM($Z734:BS734),0)</f>
        <v>0</v>
      </c>
      <c r="BU734" s="10">
        <f>IF(Timeline!BU222=1, SUM($AA711:BU711)-SUM($Z734:BT734),0)</f>
        <v>0</v>
      </c>
      <c r="BV734" s="10">
        <f>IF(Timeline!BV222=1, SUM($AA711:BV711)-SUM($Z734:BU734),0)</f>
        <v>0</v>
      </c>
      <c r="BX734" s="106"/>
      <c r="BY734" s="12">
        <f t="shared" si="757"/>
        <v>0</v>
      </c>
      <c r="BZ734" s="12">
        <f t="shared" si="758"/>
        <v>0</v>
      </c>
      <c r="CA734" s="12">
        <f t="shared" si="759"/>
        <v>0</v>
      </c>
      <c r="CB734" s="133">
        <f t="shared" si="760"/>
        <v>0</v>
      </c>
      <c r="CC734" s="106"/>
      <c r="CD734" s="106"/>
      <c r="CE734" s="106"/>
      <c r="CF734" s="106"/>
      <c r="CG734" s="106"/>
      <c r="CH734" s="106"/>
      <c r="CI734" s="106"/>
      <c r="CK734" s="11"/>
      <c r="CM734" s="11"/>
      <c r="CV734" s="120"/>
      <c r="CW734" s="120"/>
      <c r="DF734" s="11"/>
      <c r="EY734" s="10" t="str">
        <f t="shared" si="746"/>
        <v/>
      </c>
    </row>
    <row r="735" spans="1:155" x14ac:dyDescent="0.35">
      <c r="A735" s="120"/>
      <c r="B735" s="69" t="str" cm="1">
        <f t="array" aca="1" ref="B735" ca="1">HYPERLINK(CONCATENATE("#",CELL("address",$D$379)),$D$379)</f>
        <v>Loan 18</v>
      </c>
      <c r="C735" s="211"/>
      <c r="D735" s="49">
        <f>D$30</f>
        <v>0</v>
      </c>
      <c r="E735" s="49" t="str">
        <f>F$30</f>
        <v/>
      </c>
      <c r="F735" s="49"/>
      <c r="G735" s="10">
        <f t="shared" si="755"/>
        <v>0</v>
      </c>
      <c r="I735" s="40" t="s">
        <v>665</v>
      </c>
      <c r="V735" s="106"/>
      <c r="W735" s="133">
        <f t="shared" si="756"/>
        <v>0</v>
      </c>
      <c r="X735" s="133">
        <f t="shared" si="756"/>
        <v>0</v>
      </c>
      <c r="Y735" s="133">
        <f t="shared" si="756"/>
        <v>0</v>
      </c>
      <c r="AA735" s="133">
        <f>IF(Timeline!AA223=1, SUM($AA712:AA712)-SUM($Z735:Z735),0)</f>
        <v>0</v>
      </c>
      <c r="AB735" s="10">
        <f>IF(Timeline!AB223=1, SUM($AA712:AB712)-SUM($Z735:AA735),0)</f>
        <v>0</v>
      </c>
      <c r="AC735" s="10">
        <f>IF(Timeline!AC223=1, SUM($AA712:AC712)-SUM($Z735:AB735),0)</f>
        <v>0</v>
      </c>
      <c r="AD735" s="10">
        <f>IF(Timeline!AD223=1, SUM($AA712:AD712)-SUM($Z735:AC735),0)</f>
        <v>0</v>
      </c>
      <c r="AE735" s="10">
        <f>IF(Timeline!AE223=1, SUM($AA712:AE712)-SUM($Z735:AD735),0)</f>
        <v>0</v>
      </c>
      <c r="AF735" s="10">
        <f>IF(Timeline!AF223=1, SUM($AA712:AF712)-SUM($Z735:AE735),0)</f>
        <v>0</v>
      </c>
      <c r="AG735" s="10">
        <f>IF(Timeline!AG223=1, SUM($AA712:AG712)-SUM($Z735:AF735),0)</f>
        <v>0</v>
      </c>
      <c r="AH735" s="10">
        <f>IF(Timeline!AH223=1, SUM($AA712:AH712)-SUM($Z735:AG735),0)</f>
        <v>0</v>
      </c>
      <c r="AI735" s="10">
        <f>IF(Timeline!AI223=1, SUM($AA712:AI712)-SUM($Z735:AH735),0)</f>
        <v>0</v>
      </c>
      <c r="AJ735" s="10">
        <f>IF(Timeline!AJ223=1, SUM($AA712:AJ712)-SUM($Z735:AI735),0)</f>
        <v>0</v>
      </c>
      <c r="AK735" s="10">
        <f>IF(Timeline!AK223=1, SUM($AA712:AK712)-SUM($Z735:AJ735),0)</f>
        <v>0</v>
      </c>
      <c r="AL735" s="10">
        <f>IF(Timeline!AL223=1, SUM($AA712:AL712)-SUM($Z735:AK735),0)</f>
        <v>0</v>
      </c>
      <c r="AM735" s="10">
        <f>IF(Timeline!AM223=1, SUM($AA712:AM712)-SUM($Z735:AL735),0)</f>
        <v>0</v>
      </c>
      <c r="AN735" s="10">
        <f>IF(Timeline!AN223=1, SUM($AA712:AN712)-SUM($Z735:AM735),0)</f>
        <v>0</v>
      </c>
      <c r="AO735" s="10">
        <f>IF(Timeline!AO223=1, SUM($AA712:AO712)-SUM($Z735:AN735),0)</f>
        <v>0</v>
      </c>
      <c r="AP735" s="10">
        <f>IF(Timeline!AP223=1, SUM($AA712:AP712)-SUM($Z735:AO735),0)</f>
        <v>0</v>
      </c>
      <c r="AQ735" s="10">
        <f>IF(Timeline!AQ223=1, SUM($AA712:AQ712)-SUM($Z735:AP735),0)</f>
        <v>0</v>
      </c>
      <c r="AR735" s="10">
        <f>IF(Timeline!AR223=1, SUM($AA712:AR712)-SUM($Z735:AQ735),0)</f>
        <v>0</v>
      </c>
      <c r="AS735" s="10">
        <f>IF(Timeline!AS223=1, SUM($AA712:AS712)-SUM($Z735:AR735),0)</f>
        <v>0</v>
      </c>
      <c r="AT735" s="10">
        <f>IF(Timeline!AT223=1, SUM($AA712:AT712)-SUM($Z735:AS735),0)</f>
        <v>0</v>
      </c>
      <c r="AU735" s="10">
        <f>IF(Timeline!AU223=1, SUM($AA712:AU712)-SUM($Z735:AT735),0)</f>
        <v>0</v>
      </c>
      <c r="AV735" s="10">
        <f>IF(Timeline!AV223=1, SUM($AA712:AV712)-SUM($Z735:AU735),0)</f>
        <v>0</v>
      </c>
      <c r="AW735" s="10">
        <f>IF(Timeline!AW223=1, SUM($AA712:AW712)-SUM($Z735:AV735),0)</f>
        <v>0</v>
      </c>
      <c r="AX735" s="10">
        <f>IF(Timeline!AX223=1, SUM($AA712:AX712)-SUM($Z735:AW735),0)</f>
        <v>0</v>
      </c>
      <c r="AY735" s="10">
        <f>IF(Timeline!AY223=1, SUM($AA712:AY712)-SUM($Z735:AX735),0)</f>
        <v>0</v>
      </c>
      <c r="AZ735" s="10">
        <f>IF(Timeline!AZ223=1, SUM($AA712:AZ712)-SUM($Z735:AY735),0)</f>
        <v>0</v>
      </c>
      <c r="BA735" s="10">
        <f>IF(Timeline!BA223=1, SUM($AA712:BA712)-SUM($Z735:AZ735),0)</f>
        <v>0</v>
      </c>
      <c r="BB735" s="10">
        <f>IF(Timeline!BB223=1, SUM($AA712:BB712)-SUM($Z735:BA735),0)</f>
        <v>0</v>
      </c>
      <c r="BC735" s="10">
        <f>IF(Timeline!BC223=1, SUM($AA712:BC712)-SUM($Z735:BB735),0)</f>
        <v>0</v>
      </c>
      <c r="BD735" s="10">
        <f>IF(Timeline!BD223=1, SUM($AA712:BD712)-SUM($Z735:BC735),0)</f>
        <v>0</v>
      </c>
      <c r="BE735" s="10">
        <f>IF(Timeline!BE223=1, SUM($AA712:BE712)-SUM($Z735:BD735),0)</f>
        <v>0</v>
      </c>
      <c r="BF735" s="10">
        <f>IF(Timeline!BF223=1, SUM($AA712:BF712)-SUM($Z735:BE735),0)</f>
        <v>0</v>
      </c>
      <c r="BG735" s="10">
        <f>IF(Timeline!BG223=1, SUM($AA712:BG712)-SUM($Z735:BF735),0)</f>
        <v>0</v>
      </c>
      <c r="BH735" s="10">
        <f>IF(Timeline!BH223=1, SUM($AA712:BH712)-SUM($Z735:BG735),0)</f>
        <v>0</v>
      </c>
      <c r="BI735" s="10">
        <f>IF(Timeline!BI223=1, SUM($AA712:BI712)-SUM($Z735:BH735),0)</f>
        <v>0</v>
      </c>
      <c r="BJ735" s="10">
        <f>IF(Timeline!BJ223=1, SUM($AA712:BJ712)-SUM($Z735:BI735),0)</f>
        <v>0</v>
      </c>
      <c r="BK735" s="10">
        <f>IF(Timeline!BK223=1, SUM($AA712:BK712)-SUM($Z735:BJ735),0)</f>
        <v>0</v>
      </c>
      <c r="BL735" s="10">
        <f>IF(Timeline!BL223=1, SUM($AA712:BL712)-SUM($Z735:BK735),0)</f>
        <v>0</v>
      </c>
      <c r="BM735" s="10">
        <f>IF(Timeline!BM223=1, SUM($AA712:BM712)-SUM($Z735:BL735),0)</f>
        <v>0</v>
      </c>
      <c r="BN735" s="10">
        <f>IF(Timeline!BN223=1, SUM($AA712:BN712)-SUM($Z735:BM735),0)</f>
        <v>0</v>
      </c>
      <c r="BO735" s="10">
        <f>IF(Timeline!BO223=1, SUM($AA712:BO712)-SUM($Z735:BN735),0)</f>
        <v>0</v>
      </c>
      <c r="BP735" s="10">
        <f>IF(Timeline!BP223=1, SUM($AA712:BP712)-SUM($Z735:BO735),0)</f>
        <v>0</v>
      </c>
      <c r="BQ735" s="10">
        <f>IF(Timeline!BQ223=1, SUM($AA712:BQ712)-SUM($Z735:BP735),0)</f>
        <v>0</v>
      </c>
      <c r="BR735" s="10">
        <f>IF(Timeline!BR223=1, SUM($AA712:BR712)-SUM($Z735:BQ735),0)</f>
        <v>0</v>
      </c>
      <c r="BS735" s="10">
        <f>IF(Timeline!BS223=1, SUM($AA712:BS712)-SUM($Z735:BR735),0)</f>
        <v>0</v>
      </c>
      <c r="BT735" s="10">
        <f>IF(Timeline!BT223=1, SUM($AA712:BT712)-SUM($Z735:BS735),0)</f>
        <v>0</v>
      </c>
      <c r="BU735" s="10">
        <f>IF(Timeline!BU223=1, SUM($AA712:BU712)-SUM($Z735:BT735),0)</f>
        <v>0</v>
      </c>
      <c r="BV735" s="10">
        <f>IF(Timeline!BV223=1, SUM($AA712:BV712)-SUM($Z735:BU735),0)</f>
        <v>0</v>
      </c>
      <c r="BX735" s="106"/>
      <c r="BY735" s="12">
        <f t="shared" si="757"/>
        <v>0</v>
      </c>
      <c r="BZ735" s="12">
        <f t="shared" si="758"/>
        <v>0</v>
      </c>
      <c r="CA735" s="12">
        <f t="shared" si="759"/>
        <v>0</v>
      </c>
      <c r="CB735" s="133">
        <f t="shared" si="760"/>
        <v>0</v>
      </c>
      <c r="CC735" s="106"/>
      <c r="CD735" s="106"/>
      <c r="CE735" s="106"/>
      <c r="CF735" s="106"/>
      <c r="CG735" s="106"/>
      <c r="CH735" s="106"/>
      <c r="CI735" s="106"/>
      <c r="CK735" s="11"/>
      <c r="CM735" s="11"/>
      <c r="CV735" s="120"/>
      <c r="CW735" s="120"/>
      <c r="DF735" s="11"/>
      <c r="EY735" s="10" t="str">
        <f t="shared" si="746"/>
        <v/>
      </c>
    </row>
    <row r="736" spans="1:155" x14ac:dyDescent="0.35">
      <c r="A736" s="120"/>
      <c r="B736" s="69" t="str" cm="1">
        <f t="array" aca="1" ref="B736" ca="1">HYPERLINK(CONCATENATE("#",CELL("address",$D$398)),$D$398)</f>
        <v>Loan 19</v>
      </c>
      <c r="C736" s="211"/>
      <c r="D736" s="49">
        <f>D$31</f>
        <v>0</v>
      </c>
      <c r="E736" s="49" t="str">
        <f>F$31</f>
        <v/>
      </c>
      <c r="F736" s="49"/>
      <c r="G736" s="10">
        <f t="shared" si="755"/>
        <v>0</v>
      </c>
      <c r="I736" s="40" t="s">
        <v>665</v>
      </c>
      <c r="V736" s="106"/>
      <c r="W736" s="133">
        <f t="shared" si="756"/>
        <v>0</v>
      </c>
      <c r="X736" s="133">
        <f t="shared" si="756"/>
        <v>0</v>
      </c>
      <c r="Y736" s="133">
        <f t="shared" si="756"/>
        <v>0</v>
      </c>
      <c r="AA736" s="133">
        <f>IF(Timeline!AA224=1, SUM($AA713:AA713)-SUM($Z736:Z736),0)</f>
        <v>0</v>
      </c>
      <c r="AB736" s="10">
        <f>IF(Timeline!AB224=1, SUM($AA713:AB713)-SUM($Z736:AA736),0)</f>
        <v>0</v>
      </c>
      <c r="AC736" s="10">
        <f>IF(Timeline!AC224=1, SUM($AA713:AC713)-SUM($Z736:AB736),0)</f>
        <v>0</v>
      </c>
      <c r="AD736" s="10">
        <f>IF(Timeline!AD224=1, SUM($AA713:AD713)-SUM($Z736:AC736),0)</f>
        <v>0</v>
      </c>
      <c r="AE736" s="10">
        <f>IF(Timeline!AE224=1, SUM($AA713:AE713)-SUM($Z736:AD736),0)</f>
        <v>0</v>
      </c>
      <c r="AF736" s="10">
        <f>IF(Timeline!AF224=1, SUM($AA713:AF713)-SUM($Z736:AE736),0)</f>
        <v>0</v>
      </c>
      <c r="AG736" s="10">
        <f>IF(Timeline!AG224=1, SUM($AA713:AG713)-SUM($Z736:AF736),0)</f>
        <v>0</v>
      </c>
      <c r="AH736" s="10">
        <f>IF(Timeline!AH224=1, SUM($AA713:AH713)-SUM($Z736:AG736),0)</f>
        <v>0</v>
      </c>
      <c r="AI736" s="10">
        <f>IF(Timeline!AI224=1, SUM($AA713:AI713)-SUM($Z736:AH736),0)</f>
        <v>0</v>
      </c>
      <c r="AJ736" s="10">
        <f>IF(Timeline!AJ224=1, SUM($AA713:AJ713)-SUM($Z736:AI736),0)</f>
        <v>0</v>
      </c>
      <c r="AK736" s="10">
        <f>IF(Timeline!AK224=1, SUM($AA713:AK713)-SUM($Z736:AJ736),0)</f>
        <v>0</v>
      </c>
      <c r="AL736" s="10">
        <f>IF(Timeline!AL224=1, SUM($AA713:AL713)-SUM($Z736:AK736),0)</f>
        <v>0</v>
      </c>
      <c r="AM736" s="10">
        <f>IF(Timeline!AM224=1, SUM($AA713:AM713)-SUM($Z736:AL736),0)</f>
        <v>0</v>
      </c>
      <c r="AN736" s="10">
        <f>IF(Timeline!AN224=1, SUM($AA713:AN713)-SUM($Z736:AM736),0)</f>
        <v>0</v>
      </c>
      <c r="AO736" s="10">
        <f>IF(Timeline!AO224=1, SUM($AA713:AO713)-SUM($Z736:AN736),0)</f>
        <v>0</v>
      </c>
      <c r="AP736" s="10">
        <f>IF(Timeline!AP224=1, SUM($AA713:AP713)-SUM($Z736:AO736),0)</f>
        <v>0</v>
      </c>
      <c r="AQ736" s="10">
        <f>IF(Timeline!AQ224=1, SUM($AA713:AQ713)-SUM($Z736:AP736),0)</f>
        <v>0</v>
      </c>
      <c r="AR736" s="10">
        <f>IF(Timeline!AR224=1, SUM($AA713:AR713)-SUM($Z736:AQ736),0)</f>
        <v>0</v>
      </c>
      <c r="AS736" s="10">
        <f>IF(Timeline!AS224=1, SUM($AA713:AS713)-SUM($Z736:AR736),0)</f>
        <v>0</v>
      </c>
      <c r="AT736" s="10">
        <f>IF(Timeline!AT224=1, SUM($AA713:AT713)-SUM($Z736:AS736),0)</f>
        <v>0</v>
      </c>
      <c r="AU736" s="10">
        <f>IF(Timeline!AU224=1, SUM($AA713:AU713)-SUM($Z736:AT736),0)</f>
        <v>0</v>
      </c>
      <c r="AV736" s="10">
        <f>IF(Timeline!AV224=1, SUM($AA713:AV713)-SUM($Z736:AU736),0)</f>
        <v>0</v>
      </c>
      <c r="AW736" s="10">
        <f>IF(Timeline!AW224=1, SUM($AA713:AW713)-SUM($Z736:AV736),0)</f>
        <v>0</v>
      </c>
      <c r="AX736" s="10">
        <f>IF(Timeline!AX224=1, SUM($AA713:AX713)-SUM($Z736:AW736),0)</f>
        <v>0</v>
      </c>
      <c r="AY736" s="10">
        <f>IF(Timeline!AY224=1, SUM($AA713:AY713)-SUM($Z736:AX736),0)</f>
        <v>0</v>
      </c>
      <c r="AZ736" s="10">
        <f>IF(Timeline!AZ224=1, SUM($AA713:AZ713)-SUM($Z736:AY736),0)</f>
        <v>0</v>
      </c>
      <c r="BA736" s="10">
        <f>IF(Timeline!BA224=1, SUM($AA713:BA713)-SUM($Z736:AZ736),0)</f>
        <v>0</v>
      </c>
      <c r="BB736" s="10">
        <f>IF(Timeline!BB224=1, SUM($AA713:BB713)-SUM($Z736:BA736),0)</f>
        <v>0</v>
      </c>
      <c r="BC736" s="10">
        <f>IF(Timeline!BC224=1, SUM($AA713:BC713)-SUM($Z736:BB736),0)</f>
        <v>0</v>
      </c>
      <c r="BD736" s="10">
        <f>IF(Timeline!BD224=1, SUM($AA713:BD713)-SUM($Z736:BC736),0)</f>
        <v>0</v>
      </c>
      <c r="BE736" s="10">
        <f>IF(Timeline!BE224=1, SUM($AA713:BE713)-SUM($Z736:BD736),0)</f>
        <v>0</v>
      </c>
      <c r="BF736" s="10">
        <f>IF(Timeline!BF224=1, SUM($AA713:BF713)-SUM($Z736:BE736),0)</f>
        <v>0</v>
      </c>
      <c r="BG736" s="10">
        <f>IF(Timeline!BG224=1, SUM($AA713:BG713)-SUM($Z736:BF736),0)</f>
        <v>0</v>
      </c>
      <c r="BH736" s="10">
        <f>IF(Timeline!BH224=1, SUM($AA713:BH713)-SUM($Z736:BG736),0)</f>
        <v>0</v>
      </c>
      <c r="BI736" s="10">
        <f>IF(Timeline!BI224=1, SUM($AA713:BI713)-SUM($Z736:BH736),0)</f>
        <v>0</v>
      </c>
      <c r="BJ736" s="10">
        <f>IF(Timeline!BJ224=1, SUM($AA713:BJ713)-SUM($Z736:BI736),0)</f>
        <v>0</v>
      </c>
      <c r="BK736" s="10">
        <f>IF(Timeline!BK224=1, SUM($AA713:BK713)-SUM($Z736:BJ736),0)</f>
        <v>0</v>
      </c>
      <c r="BL736" s="10">
        <f>IF(Timeline!BL224=1, SUM($AA713:BL713)-SUM($Z736:BK736),0)</f>
        <v>0</v>
      </c>
      <c r="BM736" s="10">
        <f>IF(Timeline!BM224=1, SUM($AA713:BM713)-SUM($Z736:BL736),0)</f>
        <v>0</v>
      </c>
      <c r="BN736" s="10">
        <f>IF(Timeline!BN224=1, SUM($AA713:BN713)-SUM($Z736:BM736),0)</f>
        <v>0</v>
      </c>
      <c r="BO736" s="10">
        <f>IF(Timeline!BO224=1, SUM($AA713:BO713)-SUM($Z736:BN736),0)</f>
        <v>0</v>
      </c>
      <c r="BP736" s="10">
        <f>IF(Timeline!BP224=1, SUM($AA713:BP713)-SUM($Z736:BO736),0)</f>
        <v>0</v>
      </c>
      <c r="BQ736" s="10">
        <f>IF(Timeline!BQ224=1, SUM($AA713:BQ713)-SUM($Z736:BP736),0)</f>
        <v>0</v>
      </c>
      <c r="BR736" s="10">
        <f>IF(Timeline!BR224=1, SUM($AA713:BR713)-SUM($Z736:BQ736),0)</f>
        <v>0</v>
      </c>
      <c r="BS736" s="10">
        <f>IF(Timeline!BS224=1, SUM($AA713:BS713)-SUM($Z736:BR736),0)</f>
        <v>0</v>
      </c>
      <c r="BT736" s="10">
        <f>IF(Timeline!BT224=1, SUM($AA713:BT713)-SUM($Z736:BS736),0)</f>
        <v>0</v>
      </c>
      <c r="BU736" s="10">
        <f>IF(Timeline!BU224=1, SUM($AA713:BU713)-SUM($Z736:BT736),0)</f>
        <v>0</v>
      </c>
      <c r="BV736" s="10">
        <f>IF(Timeline!BV224=1, SUM($AA713:BV713)-SUM($Z736:BU736),0)</f>
        <v>0</v>
      </c>
      <c r="BX736" s="106"/>
      <c r="BY736" s="12">
        <f t="shared" si="757"/>
        <v>0</v>
      </c>
      <c r="BZ736" s="12">
        <f t="shared" si="758"/>
        <v>0</v>
      </c>
      <c r="CA736" s="12">
        <f t="shared" si="759"/>
        <v>0</v>
      </c>
      <c r="CB736" s="133">
        <f t="shared" si="760"/>
        <v>0</v>
      </c>
      <c r="CC736" s="106"/>
      <c r="CD736" s="106"/>
      <c r="CE736" s="106"/>
      <c r="CF736" s="106"/>
      <c r="CG736" s="106"/>
      <c r="CH736" s="106"/>
      <c r="CI736" s="106"/>
      <c r="CK736" s="11"/>
      <c r="CM736" s="11"/>
      <c r="CV736" s="120"/>
      <c r="CW736" s="120"/>
      <c r="DF736" s="11"/>
      <c r="EY736" s="10" t="str">
        <f t="shared" si="746"/>
        <v/>
      </c>
    </row>
    <row r="737" spans="1:155" x14ac:dyDescent="0.35">
      <c r="A737" s="120"/>
      <c r="B737" s="69" t="str" cm="1">
        <f t="array" aca="1" ref="B737" ca="1">HYPERLINK(CONCATENATE("#",CELL("address",$D$417)),$D$417)</f>
        <v>Loan 20</v>
      </c>
      <c r="C737" s="211"/>
      <c r="D737" s="49">
        <f>D$32</f>
        <v>0</v>
      </c>
      <c r="E737" s="49" t="str">
        <f>F$32</f>
        <v/>
      </c>
      <c r="F737" s="49"/>
      <c r="G737" s="10">
        <f t="shared" si="755"/>
        <v>0</v>
      </c>
      <c r="I737" s="40" t="s">
        <v>665</v>
      </c>
      <c r="V737" s="106"/>
      <c r="W737" s="133">
        <f t="shared" si="756"/>
        <v>0</v>
      </c>
      <c r="X737" s="133">
        <f t="shared" si="756"/>
        <v>0</v>
      </c>
      <c r="Y737" s="133">
        <f t="shared" si="756"/>
        <v>0</v>
      </c>
      <c r="AA737" s="133">
        <f>IF(Timeline!AA225=1, SUM($AA714:AA714)-SUM($Z737:Z737),0)</f>
        <v>0</v>
      </c>
      <c r="AB737" s="10">
        <f>IF(Timeline!AB225=1, SUM($AA714:AB714)-SUM($Z737:AA737),0)</f>
        <v>0</v>
      </c>
      <c r="AC737" s="10">
        <f>IF(Timeline!AC225=1, SUM($AA714:AC714)-SUM($Z737:AB737),0)</f>
        <v>0</v>
      </c>
      <c r="AD737" s="10">
        <f>IF(Timeline!AD225=1, SUM($AA714:AD714)-SUM($Z737:AC737),0)</f>
        <v>0</v>
      </c>
      <c r="AE737" s="10">
        <f>IF(Timeline!AE225=1, SUM($AA714:AE714)-SUM($Z737:AD737),0)</f>
        <v>0</v>
      </c>
      <c r="AF737" s="10">
        <f>IF(Timeline!AF225=1, SUM($AA714:AF714)-SUM($Z737:AE737),0)</f>
        <v>0</v>
      </c>
      <c r="AG737" s="10">
        <f>IF(Timeline!AG225=1, SUM($AA714:AG714)-SUM($Z737:AF737),0)</f>
        <v>0</v>
      </c>
      <c r="AH737" s="10">
        <f>IF(Timeline!AH225=1, SUM($AA714:AH714)-SUM($Z737:AG737),0)</f>
        <v>0</v>
      </c>
      <c r="AI737" s="10">
        <f>IF(Timeline!AI225=1, SUM($AA714:AI714)-SUM($Z737:AH737),0)</f>
        <v>0</v>
      </c>
      <c r="AJ737" s="10">
        <f>IF(Timeline!AJ225=1, SUM($AA714:AJ714)-SUM($Z737:AI737),0)</f>
        <v>0</v>
      </c>
      <c r="AK737" s="10">
        <f>IF(Timeline!AK225=1, SUM($AA714:AK714)-SUM($Z737:AJ737),0)</f>
        <v>0</v>
      </c>
      <c r="AL737" s="10">
        <f>IF(Timeline!AL225=1, SUM($AA714:AL714)-SUM($Z737:AK737),0)</f>
        <v>0</v>
      </c>
      <c r="AM737" s="10">
        <f>IF(Timeline!AM225=1, SUM($AA714:AM714)-SUM($Z737:AL737),0)</f>
        <v>0</v>
      </c>
      <c r="AN737" s="10">
        <f>IF(Timeline!AN225=1, SUM($AA714:AN714)-SUM($Z737:AM737),0)</f>
        <v>0</v>
      </c>
      <c r="AO737" s="10">
        <f>IF(Timeline!AO225=1, SUM($AA714:AO714)-SUM($Z737:AN737),0)</f>
        <v>0</v>
      </c>
      <c r="AP737" s="10">
        <f>IF(Timeline!AP225=1, SUM($AA714:AP714)-SUM($Z737:AO737),0)</f>
        <v>0</v>
      </c>
      <c r="AQ737" s="10">
        <f>IF(Timeline!AQ225=1, SUM($AA714:AQ714)-SUM($Z737:AP737),0)</f>
        <v>0</v>
      </c>
      <c r="AR737" s="10">
        <f>IF(Timeline!AR225=1, SUM($AA714:AR714)-SUM($Z737:AQ737),0)</f>
        <v>0</v>
      </c>
      <c r="AS737" s="10">
        <f>IF(Timeline!AS225=1, SUM($AA714:AS714)-SUM($Z737:AR737),0)</f>
        <v>0</v>
      </c>
      <c r="AT737" s="10">
        <f>IF(Timeline!AT225=1, SUM($AA714:AT714)-SUM($Z737:AS737),0)</f>
        <v>0</v>
      </c>
      <c r="AU737" s="10">
        <f>IF(Timeline!AU225=1, SUM($AA714:AU714)-SUM($Z737:AT737),0)</f>
        <v>0</v>
      </c>
      <c r="AV737" s="10">
        <f>IF(Timeline!AV225=1, SUM($AA714:AV714)-SUM($Z737:AU737),0)</f>
        <v>0</v>
      </c>
      <c r="AW737" s="10">
        <f>IF(Timeline!AW225=1, SUM($AA714:AW714)-SUM($Z737:AV737),0)</f>
        <v>0</v>
      </c>
      <c r="AX737" s="10">
        <f>IF(Timeline!AX225=1, SUM($AA714:AX714)-SUM($Z737:AW737),0)</f>
        <v>0</v>
      </c>
      <c r="AY737" s="10">
        <f>IF(Timeline!AY225=1, SUM($AA714:AY714)-SUM($Z737:AX737),0)</f>
        <v>0</v>
      </c>
      <c r="AZ737" s="10">
        <f>IF(Timeline!AZ225=1, SUM($AA714:AZ714)-SUM($Z737:AY737),0)</f>
        <v>0</v>
      </c>
      <c r="BA737" s="10">
        <f>IF(Timeline!BA225=1, SUM($AA714:BA714)-SUM($Z737:AZ737),0)</f>
        <v>0</v>
      </c>
      <c r="BB737" s="10">
        <f>IF(Timeline!BB225=1, SUM($AA714:BB714)-SUM($Z737:BA737),0)</f>
        <v>0</v>
      </c>
      <c r="BC737" s="10">
        <f>IF(Timeline!BC225=1, SUM($AA714:BC714)-SUM($Z737:BB737),0)</f>
        <v>0</v>
      </c>
      <c r="BD737" s="10">
        <f>IF(Timeline!BD225=1, SUM($AA714:BD714)-SUM($Z737:BC737),0)</f>
        <v>0</v>
      </c>
      <c r="BE737" s="10">
        <f>IF(Timeline!BE225=1, SUM($AA714:BE714)-SUM($Z737:BD737),0)</f>
        <v>0</v>
      </c>
      <c r="BF737" s="10">
        <f>IF(Timeline!BF225=1, SUM($AA714:BF714)-SUM($Z737:BE737),0)</f>
        <v>0</v>
      </c>
      <c r="BG737" s="10">
        <f>IF(Timeline!BG225=1, SUM($AA714:BG714)-SUM($Z737:BF737),0)</f>
        <v>0</v>
      </c>
      <c r="BH737" s="10">
        <f>IF(Timeline!BH225=1, SUM($AA714:BH714)-SUM($Z737:BG737),0)</f>
        <v>0</v>
      </c>
      <c r="BI737" s="10">
        <f>IF(Timeline!BI225=1, SUM($AA714:BI714)-SUM($Z737:BH737),0)</f>
        <v>0</v>
      </c>
      <c r="BJ737" s="10">
        <f>IF(Timeline!BJ225=1, SUM($AA714:BJ714)-SUM($Z737:BI737),0)</f>
        <v>0</v>
      </c>
      <c r="BK737" s="10">
        <f>IF(Timeline!BK225=1, SUM($AA714:BK714)-SUM($Z737:BJ737),0)</f>
        <v>0</v>
      </c>
      <c r="BL737" s="10">
        <f>IF(Timeline!BL225=1, SUM($AA714:BL714)-SUM($Z737:BK737),0)</f>
        <v>0</v>
      </c>
      <c r="BM737" s="10">
        <f>IF(Timeline!BM225=1, SUM($AA714:BM714)-SUM($Z737:BL737),0)</f>
        <v>0</v>
      </c>
      <c r="BN737" s="10">
        <f>IF(Timeline!BN225=1, SUM($AA714:BN714)-SUM($Z737:BM737),0)</f>
        <v>0</v>
      </c>
      <c r="BO737" s="10">
        <f>IF(Timeline!BO225=1, SUM($AA714:BO714)-SUM($Z737:BN737),0)</f>
        <v>0</v>
      </c>
      <c r="BP737" s="10">
        <f>IF(Timeline!BP225=1, SUM($AA714:BP714)-SUM($Z737:BO737),0)</f>
        <v>0</v>
      </c>
      <c r="BQ737" s="10">
        <f>IF(Timeline!BQ225=1, SUM($AA714:BQ714)-SUM($Z737:BP737),0)</f>
        <v>0</v>
      </c>
      <c r="BR737" s="10">
        <f>IF(Timeline!BR225=1, SUM($AA714:BR714)-SUM($Z737:BQ737),0)</f>
        <v>0</v>
      </c>
      <c r="BS737" s="10">
        <f>IF(Timeline!BS225=1, SUM($AA714:BS714)-SUM($Z737:BR737),0)</f>
        <v>0</v>
      </c>
      <c r="BT737" s="10">
        <f>IF(Timeline!BT225=1, SUM($AA714:BT714)-SUM($Z737:BS737),0)</f>
        <v>0</v>
      </c>
      <c r="BU737" s="10">
        <f>IF(Timeline!BU225=1, SUM($AA714:BU714)-SUM($Z737:BT737),0)</f>
        <v>0</v>
      </c>
      <c r="BV737" s="10">
        <f>IF(Timeline!BV225=1, SUM($AA714:BV714)-SUM($Z737:BU737),0)</f>
        <v>0</v>
      </c>
      <c r="BX737" s="106"/>
      <c r="BY737" s="12">
        <f t="shared" si="757"/>
        <v>0</v>
      </c>
      <c r="BZ737" s="12">
        <f t="shared" si="758"/>
        <v>0</v>
      </c>
      <c r="CA737" s="12">
        <f t="shared" si="759"/>
        <v>0</v>
      </c>
      <c r="CB737" s="133">
        <f t="shared" si="760"/>
        <v>0</v>
      </c>
      <c r="CC737" s="106"/>
      <c r="CD737" s="106"/>
      <c r="CE737" s="106"/>
      <c r="CF737" s="106"/>
      <c r="CG737" s="106"/>
      <c r="CH737" s="106"/>
      <c r="CI737" s="106"/>
      <c r="CK737" s="11"/>
      <c r="CM737" s="11"/>
      <c r="CV737" s="120"/>
      <c r="CW737" s="120"/>
      <c r="DF737" s="11"/>
      <c r="EY737" s="10" t="str">
        <f t="shared" si="746"/>
        <v/>
      </c>
    </row>
    <row r="738" spans="1:155" ht="6.75" customHeight="1" x14ac:dyDescent="0.35">
      <c r="C738" s="211"/>
      <c r="D738" s="1"/>
      <c r="E738"/>
      <c r="F738"/>
      <c r="BY738" s="6"/>
      <c r="CK738" s="35"/>
      <c r="CM738" s="35"/>
      <c r="CV738" s="120"/>
      <c r="DF738" s="35"/>
      <c r="EY738" s="10" t="str">
        <f t="shared" si="746"/>
        <v/>
      </c>
    </row>
    <row r="739" spans="1:155" x14ac:dyDescent="0.35">
      <c r="C739" s="211"/>
      <c r="D739" s="50" t="s">
        <v>1242</v>
      </c>
      <c r="E739"/>
      <c r="F739"/>
      <c r="CK739" s="11"/>
      <c r="CM739" s="11"/>
      <c r="CV739" s="120"/>
      <c r="DF739" s="11"/>
      <c r="EY739" s="10" t="str">
        <f t="shared" si="746"/>
        <v/>
      </c>
    </row>
    <row r="740" spans="1:155" s="120" customFormat="1" x14ac:dyDescent="0.35">
      <c r="B740" s="107" t="s">
        <v>1229</v>
      </c>
      <c r="C740" s="211"/>
      <c r="D740" s="107" t="str">
        <f>D$11</f>
        <v>Lender</v>
      </c>
      <c r="E740" s="61" t="str">
        <f>E$11</f>
        <v>Loan Category</v>
      </c>
      <c r="F740" s="61"/>
      <c r="G740"/>
      <c r="T740"/>
      <c r="U740"/>
      <c r="AA740" s="126" t="s">
        <v>122</v>
      </c>
      <c r="CK740" s="121"/>
      <c r="CM740" s="121"/>
      <c r="DF740" s="121"/>
      <c r="EY740" s="10" t="str">
        <f t="shared" si="746"/>
        <v/>
      </c>
    </row>
    <row r="741" spans="1:155" x14ac:dyDescent="0.35">
      <c r="A741" s="120"/>
      <c r="B741" s="69" t="str" cm="1">
        <f t="array" aca="1" ref="B741" ca="1">HYPERLINK(CONCATENATE("#",CELL("address",$D$56)),$D$56)</f>
        <v>Loan 1</v>
      </c>
      <c r="C741" s="211"/>
      <c r="D741" s="49">
        <f>D$13</f>
        <v>0</v>
      </c>
      <c r="E741" s="49" t="str">
        <f>F$13</f>
        <v/>
      </c>
      <c r="F741" s="49"/>
      <c r="I741" s="40" t="s">
        <v>665</v>
      </c>
      <c r="J741" s="54"/>
      <c r="V741" s="106"/>
      <c r="W741" s="133">
        <f t="shared" ref="W741:Y760" si="761" xml:space="preserve"> SUMIFS($AA741:$BV741, $AA$3:$BV$3, W$3)</f>
        <v>0</v>
      </c>
      <c r="X741" s="133">
        <f t="shared" si="761"/>
        <v>0</v>
      </c>
      <c r="Y741" s="133">
        <f t="shared" si="761"/>
        <v>0</v>
      </c>
      <c r="Z741" s="120"/>
      <c r="AA741" s="10">
        <f>AA718+IF(Timeline!AA229=1,Z810,0)</f>
        <v>0</v>
      </c>
      <c r="AB741" s="10">
        <f>AB718+IF(Timeline!AB229=1,AA810,0)</f>
        <v>0</v>
      </c>
      <c r="AC741" s="10">
        <f>AC718+IF(Timeline!AC229=1,AB810,0)</f>
        <v>0</v>
      </c>
      <c r="AD741" s="10">
        <f>AD718+IF(Timeline!AD229=1,AC810,0)</f>
        <v>0</v>
      </c>
      <c r="AE741" s="10">
        <f>AE718+IF(Timeline!AE229=1,AD810,0)</f>
        <v>0</v>
      </c>
      <c r="AF741" s="10">
        <f>AF718+IF(Timeline!AF229=1,AE810,0)</f>
        <v>0</v>
      </c>
      <c r="AG741" s="10">
        <f>AG718+IF(Timeline!AG229=1,AF810,0)</f>
        <v>0</v>
      </c>
      <c r="AH741" s="10">
        <f>AH718+IF(Timeline!AH229=1,AG810,0)</f>
        <v>0</v>
      </c>
      <c r="AI741" s="10">
        <f>AI718+IF(Timeline!AI229=1,AH810,0)</f>
        <v>0</v>
      </c>
      <c r="AJ741" s="10">
        <f>AJ718+IF(Timeline!AJ229=1,AI810,0)</f>
        <v>0</v>
      </c>
      <c r="AK741" s="10">
        <f>AK718+IF(Timeline!AK229=1,AJ810,0)</f>
        <v>0</v>
      </c>
      <c r="AL741" s="10">
        <f>AL718+IF(Timeline!AL229=1,AK810,0)</f>
        <v>0</v>
      </c>
      <c r="AM741" s="10">
        <f>AM718+IF(Timeline!AM229=1,AL810,0)</f>
        <v>0</v>
      </c>
      <c r="AN741" s="10">
        <f>AN718+IF(Timeline!AN229=1,AM810,0)</f>
        <v>0</v>
      </c>
      <c r="AO741" s="10">
        <f>AO718+IF(Timeline!AO229=1,AN810,0)</f>
        <v>0</v>
      </c>
      <c r="AP741" s="10">
        <f>AP718+IF(Timeline!AP229=1,AO810,0)</f>
        <v>0</v>
      </c>
      <c r="AQ741" s="10">
        <f>AQ718+IF(Timeline!AQ229=1,AP810,0)</f>
        <v>0</v>
      </c>
      <c r="AR741" s="10">
        <f>AR718+IF(Timeline!AR229=1,AQ810,0)</f>
        <v>0</v>
      </c>
      <c r="AS741" s="10">
        <f>AS718+IF(Timeline!AS229=1,AR810,0)</f>
        <v>0</v>
      </c>
      <c r="AT741" s="10">
        <f>AT718+IF(Timeline!AT229=1,AS810,0)</f>
        <v>0</v>
      </c>
      <c r="AU741" s="10">
        <f>AU718+IF(Timeline!AU229=1,AT810,0)</f>
        <v>0</v>
      </c>
      <c r="AV741" s="10">
        <f>AV718+IF(Timeline!AV229=1,AU810,0)</f>
        <v>0</v>
      </c>
      <c r="AW741" s="10">
        <f>AW718+IF(Timeline!AW229=1,AV810,0)</f>
        <v>0</v>
      </c>
      <c r="AX741" s="10">
        <f>AX718+IF(Timeline!AX229=1,AW810,0)</f>
        <v>0</v>
      </c>
      <c r="AY741" s="10">
        <f>AY718+IF(Timeline!AY229=1,AX810,0)</f>
        <v>0</v>
      </c>
      <c r="AZ741" s="10">
        <f>AZ718+IF(Timeline!AZ229=1,AY810,0)</f>
        <v>0</v>
      </c>
      <c r="BA741" s="10">
        <f>BA718+IF(Timeline!BA229=1,AZ810,0)</f>
        <v>0</v>
      </c>
      <c r="BB741" s="10">
        <f>BB718+IF(Timeline!BB229=1,BA810,0)</f>
        <v>0</v>
      </c>
      <c r="BC741" s="10">
        <f>BC718+IF(Timeline!BC229=1,BB810,0)</f>
        <v>0</v>
      </c>
      <c r="BD741" s="10">
        <f>BD718+IF(Timeline!BD229=1,BC810,0)</f>
        <v>0</v>
      </c>
      <c r="BE741" s="10">
        <f>BE718+IF(Timeline!BE229=1,BD810,0)</f>
        <v>0</v>
      </c>
      <c r="BF741" s="10">
        <f>BF718+IF(Timeline!BF229=1,BE810,0)</f>
        <v>0</v>
      </c>
      <c r="BG741" s="10">
        <f>BG718+IF(Timeline!BG229=1,BF810,0)</f>
        <v>0</v>
      </c>
      <c r="BH741" s="10">
        <f>BH718+IF(Timeline!BH229=1,BG810,0)</f>
        <v>0</v>
      </c>
      <c r="BI741" s="10">
        <f>BI718+IF(Timeline!BI229=1,BH810,0)</f>
        <v>0</v>
      </c>
      <c r="BJ741" s="10">
        <f>BJ718+IF(Timeline!BJ229=1,BI810,0)</f>
        <v>0</v>
      </c>
      <c r="BK741" s="10">
        <f>BK718+IF(Timeline!BK229=1,BJ810,0)</f>
        <v>0</v>
      </c>
      <c r="BL741" s="10">
        <f>BL718+IF(Timeline!BL229=1,BK810,0)</f>
        <v>0</v>
      </c>
      <c r="BM741" s="10">
        <f>BM718+IF(Timeline!BM229=1,BL810,0)</f>
        <v>0</v>
      </c>
      <c r="BN741" s="10">
        <f>BN718+IF(Timeline!BN229=1,BM810,0)</f>
        <v>0</v>
      </c>
      <c r="BO741" s="10">
        <f>BO718+IF(Timeline!BO229=1,BN810,0)</f>
        <v>0</v>
      </c>
      <c r="BP741" s="10">
        <f>BP718+IF(Timeline!BP229=1,BO810,0)</f>
        <v>0</v>
      </c>
      <c r="BQ741" s="10">
        <f>BQ718+IF(Timeline!BQ229=1,BP810,0)</f>
        <v>0</v>
      </c>
      <c r="BR741" s="10">
        <f>BR718+IF(Timeline!BR229=1,BQ810,0)</f>
        <v>0</v>
      </c>
      <c r="BS741" s="10">
        <f>BS718+IF(Timeline!BS229=1,BR810,0)</f>
        <v>0</v>
      </c>
      <c r="BT741" s="10">
        <f>BT718+IF(Timeline!BT229=1,BS810,0)</f>
        <v>0</v>
      </c>
      <c r="BU741" s="10">
        <f>BU718+IF(Timeline!BU229=1,BT810,0)</f>
        <v>0</v>
      </c>
      <c r="BV741" s="10">
        <f>BV718+IF(Timeline!BV229=1,BU810,0)</f>
        <v>0</v>
      </c>
      <c r="BX741" s="106"/>
      <c r="BY741" s="12">
        <f t="shared" ref="BY741:BY760" si="762">W741</f>
        <v>0</v>
      </c>
      <c r="BZ741" s="12">
        <f t="shared" ref="BZ741:BZ760" si="763">X741</f>
        <v>0</v>
      </c>
      <c r="CA741" s="12">
        <f t="shared" ref="CA741:CA760" si="764">Y741</f>
        <v>0</v>
      </c>
      <c r="CB741" s="133">
        <f t="shared" ref="CB741:CB760" si="765" xml:space="preserve"> SUMIFS($AA741:$BV741, $AA$3:$BV$3, CB$3)</f>
        <v>0</v>
      </c>
      <c r="CC741" s="106"/>
      <c r="CD741" s="106"/>
      <c r="CE741" s="106"/>
      <c r="CF741" s="106"/>
      <c r="CG741" s="106"/>
      <c r="CH741" s="106"/>
      <c r="CI741" s="106"/>
      <c r="CK741" s="11"/>
      <c r="CM741" s="11"/>
      <c r="CV741" s="120"/>
      <c r="CW741" s="120"/>
      <c r="DF741" s="11"/>
      <c r="EY741" s="10" t="str">
        <f t="shared" si="746"/>
        <v/>
      </c>
    </row>
    <row r="742" spans="1:155" x14ac:dyDescent="0.35">
      <c r="A742" s="120"/>
      <c r="B742" s="69" t="str" cm="1">
        <f t="array" aca="1" ref="B742" ca="1">HYPERLINK(CONCATENATE("#",CELL("address",$D$75)),$D$75)</f>
        <v>Loan 2</v>
      </c>
      <c r="C742" s="211"/>
      <c r="D742" s="49">
        <f>D$14</f>
        <v>0</v>
      </c>
      <c r="E742" s="49" t="str">
        <f>F$14</f>
        <v/>
      </c>
      <c r="F742" s="49"/>
      <c r="I742" s="40" t="s">
        <v>665</v>
      </c>
      <c r="V742" s="106"/>
      <c r="W742" s="133">
        <f t="shared" si="761"/>
        <v>0</v>
      </c>
      <c r="X742" s="133">
        <f t="shared" si="761"/>
        <v>0</v>
      </c>
      <c r="Y742" s="133">
        <f t="shared" si="761"/>
        <v>0</v>
      </c>
      <c r="AA742" s="10">
        <f>AA719+IF(Timeline!AA230=1,Z811,0)</f>
        <v>0</v>
      </c>
      <c r="AB742" s="10">
        <f>AB719+IF(Timeline!AB230=1,AA811,0)</f>
        <v>0</v>
      </c>
      <c r="AC742" s="10">
        <f>AC719+IF(Timeline!AC230=1,AB811,0)</f>
        <v>0</v>
      </c>
      <c r="AD742" s="10">
        <f>AD719+IF(Timeline!AD230=1,AC811,0)</f>
        <v>0</v>
      </c>
      <c r="AE742" s="10">
        <f>AE719+IF(Timeline!AE230=1,AD811,0)</f>
        <v>0</v>
      </c>
      <c r="AF742" s="10">
        <f>AF719+IF(Timeline!AF230=1,AE811,0)</f>
        <v>0</v>
      </c>
      <c r="AG742" s="10">
        <f>AG719+IF(Timeline!AG230=1,AF811,0)</f>
        <v>0</v>
      </c>
      <c r="AH742" s="10">
        <f>AH719+IF(Timeline!AH230=1,AG811,0)</f>
        <v>0</v>
      </c>
      <c r="AI742" s="10">
        <f>AI719+IF(Timeline!AI230=1,AH811,0)</f>
        <v>0</v>
      </c>
      <c r="AJ742" s="10">
        <f>AJ719+IF(Timeline!AJ230=1,AI811,0)</f>
        <v>0</v>
      </c>
      <c r="AK742" s="10">
        <f>AK719+IF(Timeline!AK230=1,AJ811,0)</f>
        <v>0</v>
      </c>
      <c r="AL742" s="10">
        <f>AL719+IF(Timeline!AL230=1,AK811,0)</f>
        <v>0</v>
      </c>
      <c r="AM742" s="10">
        <f>AM719+IF(Timeline!AM230=1,AL811,0)</f>
        <v>0</v>
      </c>
      <c r="AN742" s="10">
        <f>AN719+IF(Timeline!AN230=1,AM811,0)</f>
        <v>0</v>
      </c>
      <c r="AO742" s="10">
        <f>AO719+IF(Timeline!AO230=1,AN811,0)</f>
        <v>0</v>
      </c>
      <c r="AP742" s="10">
        <f>AP719+IF(Timeline!AP230=1,AO811,0)</f>
        <v>0</v>
      </c>
      <c r="AQ742" s="10">
        <f>AQ719+IF(Timeline!AQ230=1,AP811,0)</f>
        <v>0</v>
      </c>
      <c r="AR742" s="10">
        <f>AR719+IF(Timeline!AR230=1,AQ811,0)</f>
        <v>0</v>
      </c>
      <c r="AS742" s="10">
        <f>AS719+IF(Timeline!AS230=1,AR811,0)</f>
        <v>0</v>
      </c>
      <c r="AT742" s="10">
        <f>AT719+IF(Timeline!AT230=1,AS811,0)</f>
        <v>0</v>
      </c>
      <c r="AU742" s="10">
        <f>AU719+IF(Timeline!AU230=1,AT811,0)</f>
        <v>0</v>
      </c>
      <c r="AV742" s="10">
        <f>AV719+IF(Timeline!AV230=1,AU811,0)</f>
        <v>0</v>
      </c>
      <c r="AW742" s="10">
        <f>AW719+IF(Timeline!AW230=1,AV811,0)</f>
        <v>0</v>
      </c>
      <c r="AX742" s="10">
        <f>AX719+IF(Timeline!AX230=1,AW811,0)</f>
        <v>0</v>
      </c>
      <c r="AY742" s="10">
        <f>AY719+IF(Timeline!AY230=1,AX811,0)</f>
        <v>0</v>
      </c>
      <c r="AZ742" s="10">
        <f>AZ719+IF(Timeline!AZ230=1,AY811,0)</f>
        <v>0</v>
      </c>
      <c r="BA742" s="10">
        <f>BA719+IF(Timeline!BA230=1,AZ811,0)</f>
        <v>0</v>
      </c>
      <c r="BB742" s="10">
        <f>BB719+IF(Timeline!BB230=1,BA811,0)</f>
        <v>0</v>
      </c>
      <c r="BC742" s="10">
        <f>BC719+IF(Timeline!BC230=1,BB811,0)</f>
        <v>0</v>
      </c>
      <c r="BD742" s="10">
        <f>BD719+IF(Timeline!BD230=1,BC811,0)</f>
        <v>0</v>
      </c>
      <c r="BE742" s="10">
        <f>BE719+IF(Timeline!BE230=1,BD811,0)</f>
        <v>0</v>
      </c>
      <c r="BF742" s="10">
        <f>BF719+IF(Timeline!BF230=1,BE811,0)</f>
        <v>0</v>
      </c>
      <c r="BG742" s="10">
        <f>BG719+IF(Timeline!BG230=1,BF811,0)</f>
        <v>0</v>
      </c>
      <c r="BH742" s="10">
        <f>BH719+IF(Timeline!BH230=1,BG811,0)</f>
        <v>0</v>
      </c>
      <c r="BI742" s="10">
        <f>BI719+IF(Timeline!BI230=1,BH811,0)</f>
        <v>0</v>
      </c>
      <c r="BJ742" s="10">
        <f>BJ719+IF(Timeline!BJ230=1,BI811,0)</f>
        <v>0</v>
      </c>
      <c r="BK742" s="10">
        <f>BK719+IF(Timeline!BK230=1,BJ811,0)</f>
        <v>0</v>
      </c>
      <c r="BL742" s="10">
        <f>BL719+IF(Timeline!BL230=1,BK811,0)</f>
        <v>0</v>
      </c>
      <c r="BM742" s="10">
        <f>BM719+IF(Timeline!BM230=1,BL811,0)</f>
        <v>0</v>
      </c>
      <c r="BN742" s="10">
        <f>BN719+IF(Timeline!BN230=1,BM811,0)</f>
        <v>0</v>
      </c>
      <c r="BO742" s="10">
        <f>BO719+IF(Timeline!BO230=1,BN811,0)</f>
        <v>0</v>
      </c>
      <c r="BP742" s="10">
        <f>BP719+IF(Timeline!BP230=1,BO811,0)</f>
        <v>0</v>
      </c>
      <c r="BQ742" s="10">
        <f>BQ719+IF(Timeline!BQ230=1,BP811,0)</f>
        <v>0</v>
      </c>
      <c r="BR742" s="10">
        <f>BR719+IF(Timeline!BR230=1,BQ811,0)</f>
        <v>0</v>
      </c>
      <c r="BS742" s="10">
        <f>BS719+IF(Timeline!BS230=1,BR811,0)</f>
        <v>0</v>
      </c>
      <c r="BT742" s="10">
        <f>BT719+IF(Timeline!BT230=1,BS811,0)</f>
        <v>0</v>
      </c>
      <c r="BU742" s="10">
        <f>BU719+IF(Timeline!BU230=1,BT811,0)</f>
        <v>0</v>
      </c>
      <c r="BV742" s="10">
        <f>BV719+IF(Timeline!BV230=1,BU811,0)</f>
        <v>0</v>
      </c>
      <c r="BX742" s="106"/>
      <c r="BY742" s="12">
        <f t="shared" si="762"/>
        <v>0</v>
      </c>
      <c r="BZ742" s="12">
        <f t="shared" si="763"/>
        <v>0</v>
      </c>
      <c r="CA742" s="12">
        <f t="shared" si="764"/>
        <v>0</v>
      </c>
      <c r="CB742" s="133">
        <f t="shared" si="765"/>
        <v>0</v>
      </c>
      <c r="CC742" s="106"/>
      <c r="CD742" s="106"/>
      <c r="CE742" s="106"/>
      <c r="CF742" s="106"/>
      <c r="CG742" s="106"/>
      <c r="CH742" s="106"/>
      <c r="CI742" s="106"/>
      <c r="CK742" s="11"/>
      <c r="CM742" s="11"/>
      <c r="CV742" s="120"/>
      <c r="CW742" s="120"/>
      <c r="DF742" s="11"/>
      <c r="EY742" s="10" t="str">
        <f t="shared" si="746"/>
        <v/>
      </c>
    </row>
    <row r="743" spans="1:155" x14ac:dyDescent="0.35">
      <c r="A743" s="120"/>
      <c r="B743" s="69" t="str" cm="1">
        <f t="array" aca="1" ref="B743" ca="1">HYPERLINK(CONCATENATE("#",CELL("address",$D$94)),$D$94)</f>
        <v>Loan 3</v>
      </c>
      <c r="C743" s="211"/>
      <c r="D743" s="49">
        <f>D$15</f>
        <v>0</v>
      </c>
      <c r="E743" s="49" t="str">
        <f>F$15</f>
        <v/>
      </c>
      <c r="F743" s="49"/>
      <c r="I743" s="40" t="s">
        <v>665</v>
      </c>
      <c r="V743" s="106"/>
      <c r="W743" s="133">
        <f t="shared" si="761"/>
        <v>0</v>
      </c>
      <c r="X743" s="133">
        <f t="shared" si="761"/>
        <v>0</v>
      </c>
      <c r="Y743" s="133">
        <f t="shared" si="761"/>
        <v>0</v>
      </c>
      <c r="AA743" s="10">
        <f>AA720+IF(Timeline!AA231=1,Z812,0)</f>
        <v>0</v>
      </c>
      <c r="AB743" s="10">
        <f>AB720+IF(Timeline!AB231=1,AA812,0)</f>
        <v>0</v>
      </c>
      <c r="AC743" s="10">
        <f>AC720+IF(Timeline!AC231=1,AB812,0)</f>
        <v>0</v>
      </c>
      <c r="AD743" s="10">
        <f>AD720+IF(Timeline!AD231=1,AC812,0)</f>
        <v>0</v>
      </c>
      <c r="AE743" s="10">
        <f>AE720+IF(Timeline!AE231=1,AD812,0)</f>
        <v>0</v>
      </c>
      <c r="AF743" s="10">
        <f>AF720+IF(Timeline!AF231=1,AE812,0)</f>
        <v>0</v>
      </c>
      <c r="AG743" s="10">
        <f>AG720+IF(Timeline!AG231=1,AF812,0)</f>
        <v>0</v>
      </c>
      <c r="AH743" s="10">
        <f>AH720+IF(Timeline!AH231=1,AG812,0)</f>
        <v>0</v>
      </c>
      <c r="AI743" s="10">
        <f>AI720+IF(Timeline!AI231=1,AH812,0)</f>
        <v>0</v>
      </c>
      <c r="AJ743" s="10">
        <f>AJ720+IF(Timeline!AJ231=1,AI812,0)</f>
        <v>0</v>
      </c>
      <c r="AK743" s="10">
        <f>AK720+IF(Timeline!AK231=1,AJ812,0)</f>
        <v>0</v>
      </c>
      <c r="AL743" s="10">
        <f>AL720+IF(Timeline!AL231=1,AK812,0)</f>
        <v>0</v>
      </c>
      <c r="AM743" s="10">
        <f>AM720+IF(Timeline!AM231=1,AL812,0)</f>
        <v>0</v>
      </c>
      <c r="AN743" s="10">
        <f>AN720+IF(Timeline!AN231=1,AM812,0)</f>
        <v>0</v>
      </c>
      <c r="AO743" s="10">
        <f>AO720+IF(Timeline!AO231=1,AN812,0)</f>
        <v>0</v>
      </c>
      <c r="AP743" s="10">
        <f>AP720+IF(Timeline!AP231=1,AO812,0)</f>
        <v>0</v>
      </c>
      <c r="AQ743" s="10">
        <f>AQ720+IF(Timeline!AQ231=1,AP812,0)</f>
        <v>0</v>
      </c>
      <c r="AR743" s="10">
        <f>AR720+IF(Timeline!AR231=1,AQ812,0)</f>
        <v>0</v>
      </c>
      <c r="AS743" s="10">
        <f>AS720+IF(Timeline!AS231=1,AR812,0)</f>
        <v>0</v>
      </c>
      <c r="AT743" s="10">
        <f>AT720+IF(Timeline!AT231=1,AS812,0)</f>
        <v>0</v>
      </c>
      <c r="AU743" s="10">
        <f>AU720+IF(Timeline!AU231=1,AT812,0)</f>
        <v>0</v>
      </c>
      <c r="AV743" s="10">
        <f>AV720+IF(Timeline!AV231=1,AU812,0)</f>
        <v>0</v>
      </c>
      <c r="AW743" s="10">
        <f>AW720+IF(Timeline!AW231=1,AV812,0)</f>
        <v>0</v>
      </c>
      <c r="AX743" s="10">
        <f>AX720+IF(Timeline!AX231=1,AW812,0)</f>
        <v>0</v>
      </c>
      <c r="AY743" s="10">
        <f>AY720+IF(Timeline!AY231=1,AX812,0)</f>
        <v>0</v>
      </c>
      <c r="AZ743" s="10">
        <f>AZ720+IF(Timeline!AZ231=1,AY812,0)</f>
        <v>0</v>
      </c>
      <c r="BA743" s="10">
        <f>BA720+IF(Timeline!BA231=1,AZ812,0)</f>
        <v>0</v>
      </c>
      <c r="BB743" s="10">
        <f>BB720+IF(Timeline!BB231=1,BA812,0)</f>
        <v>0</v>
      </c>
      <c r="BC743" s="10">
        <f>BC720+IF(Timeline!BC231=1,BB812,0)</f>
        <v>0</v>
      </c>
      <c r="BD743" s="10">
        <f>BD720+IF(Timeline!BD231=1,BC812,0)</f>
        <v>0</v>
      </c>
      <c r="BE743" s="10">
        <f>BE720+IF(Timeline!BE231=1,BD812,0)</f>
        <v>0</v>
      </c>
      <c r="BF743" s="10">
        <f>BF720+IF(Timeline!BF231=1,BE812,0)</f>
        <v>0</v>
      </c>
      <c r="BG743" s="10">
        <f>BG720+IF(Timeline!BG231=1,BF812,0)</f>
        <v>0</v>
      </c>
      <c r="BH743" s="10">
        <f>BH720+IF(Timeline!BH231=1,BG812,0)</f>
        <v>0</v>
      </c>
      <c r="BI743" s="10">
        <f>BI720+IF(Timeline!BI231=1,BH812,0)</f>
        <v>0</v>
      </c>
      <c r="BJ743" s="10">
        <f>BJ720+IF(Timeline!BJ231=1,BI812,0)</f>
        <v>0</v>
      </c>
      <c r="BK743" s="10">
        <f>BK720+IF(Timeline!BK231=1,BJ812,0)</f>
        <v>0</v>
      </c>
      <c r="BL743" s="10">
        <f>BL720+IF(Timeline!BL231=1,BK812,0)</f>
        <v>0</v>
      </c>
      <c r="BM743" s="10">
        <f>BM720+IF(Timeline!BM231=1,BL812,0)</f>
        <v>0</v>
      </c>
      <c r="BN743" s="10">
        <f>BN720+IF(Timeline!BN231=1,BM812,0)</f>
        <v>0</v>
      </c>
      <c r="BO743" s="10">
        <f>BO720+IF(Timeline!BO231=1,BN812,0)</f>
        <v>0</v>
      </c>
      <c r="BP743" s="10">
        <f>BP720+IF(Timeline!BP231=1,BO812,0)</f>
        <v>0</v>
      </c>
      <c r="BQ743" s="10">
        <f>BQ720+IF(Timeline!BQ231=1,BP812,0)</f>
        <v>0</v>
      </c>
      <c r="BR743" s="10">
        <f>BR720+IF(Timeline!BR231=1,BQ812,0)</f>
        <v>0</v>
      </c>
      <c r="BS743" s="10">
        <f>BS720+IF(Timeline!BS231=1,BR812,0)</f>
        <v>0</v>
      </c>
      <c r="BT743" s="10">
        <f>BT720+IF(Timeline!BT231=1,BS812,0)</f>
        <v>0</v>
      </c>
      <c r="BU743" s="10">
        <f>BU720+IF(Timeline!BU231=1,BT812,0)</f>
        <v>0</v>
      </c>
      <c r="BV743" s="10">
        <f>BV720+IF(Timeline!BV231=1,BU812,0)</f>
        <v>0</v>
      </c>
      <c r="BX743" s="106"/>
      <c r="BY743" s="12">
        <f t="shared" si="762"/>
        <v>0</v>
      </c>
      <c r="BZ743" s="12">
        <f t="shared" si="763"/>
        <v>0</v>
      </c>
      <c r="CA743" s="12">
        <f t="shared" si="764"/>
        <v>0</v>
      </c>
      <c r="CB743" s="133">
        <f t="shared" si="765"/>
        <v>0</v>
      </c>
      <c r="CC743" s="106"/>
      <c r="CD743" s="106"/>
      <c r="CE743" s="106"/>
      <c r="CF743" s="106"/>
      <c r="CG743" s="106"/>
      <c r="CH743" s="106"/>
      <c r="CI743" s="106"/>
      <c r="CK743" s="11"/>
      <c r="CM743" s="11"/>
      <c r="CV743" s="120"/>
      <c r="CW743" s="120"/>
      <c r="DF743" s="11"/>
      <c r="EY743" s="10" t="str">
        <f t="shared" si="746"/>
        <v/>
      </c>
    </row>
    <row r="744" spans="1:155" x14ac:dyDescent="0.35">
      <c r="A744" s="120"/>
      <c r="B744" s="69" t="str" cm="1">
        <f t="array" aca="1" ref="B744" ca="1">HYPERLINK(CONCATENATE("#",CELL("address",$D$113)),$D$113)</f>
        <v>Loan 4</v>
      </c>
      <c r="C744" s="211"/>
      <c r="D744" s="49">
        <f>D$16</f>
        <v>0</v>
      </c>
      <c r="E744" s="49" t="str">
        <f>F$16</f>
        <v/>
      </c>
      <c r="F744" s="49"/>
      <c r="I744" s="40" t="s">
        <v>665</v>
      </c>
      <c r="V744" s="106"/>
      <c r="W744" s="133">
        <f t="shared" si="761"/>
        <v>0</v>
      </c>
      <c r="X744" s="133">
        <f t="shared" si="761"/>
        <v>0</v>
      </c>
      <c r="Y744" s="133">
        <f t="shared" si="761"/>
        <v>0</v>
      </c>
      <c r="AA744" s="10">
        <f>AA721+IF(Timeline!AA232=1,Z813,0)</f>
        <v>0</v>
      </c>
      <c r="AB744" s="10">
        <f>AB721+IF(Timeline!AB232=1,AA813,0)</f>
        <v>0</v>
      </c>
      <c r="AC744" s="10">
        <f>AC721+IF(Timeline!AC232=1,AB813,0)</f>
        <v>0</v>
      </c>
      <c r="AD744" s="10">
        <f>AD721+IF(Timeline!AD232=1,AC813,0)</f>
        <v>0</v>
      </c>
      <c r="AE744" s="10">
        <f>AE721+IF(Timeline!AE232=1,AD813,0)</f>
        <v>0</v>
      </c>
      <c r="AF744" s="10">
        <f>AF721+IF(Timeline!AF232=1,AE813,0)</f>
        <v>0</v>
      </c>
      <c r="AG744" s="10">
        <f>AG721+IF(Timeline!AG232=1,AF813,0)</f>
        <v>0</v>
      </c>
      <c r="AH744" s="10">
        <f>AH721+IF(Timeline!AH232=1,AG813,0)</f>
        <v>0</v>
      </c>
      <c r="AI744" s="10">
        <f>AI721+IF(Timeline!AI232=1,AH813,0)</f>
        <v>0</v>
      </c>
      <c r="AJ744" s="10">
        <f>AJ721+IF(Timeline!AJ232=1,AI813,0)</f>
        <v>0</v>
      </c>
      <c r="AK744" s="10">
        <f>AK721+IF(Timeline!AK232=1,AJ813,0)</f>
        <v>0</v>
      </c>
      <c r="AL744" s="10">
        <f>AL721+IF(Timeline!AL232=1,AK813,0)</f>
        <v>0</v>
      </c>
      <c r="AM744" s="10">
        <f>AM721+IF(Timeline!AM232=1,AL813,0)</f>
        <v>0</v>
      </c>
      <c r="AN744" s="10">
        <f>AN721+IF(Timeline!AN232=1,AM813,0)</f>
        <v>0</v>
      </c>
      <c r="AO744" s="10">
        <f>AO721+IF(Timeline!AO232=1,AN813,0)</f>
        <v>0</v>
      </c>
      <c r="AP744" s="10">
        <f>AP721+IF(Timeline!AP232=1,AO813,0)</f>
        <v>0</v>
      </c>
      <c r="AQ744" s="10">
        <f>AQ721+IF(Timeline!AQ232=1,AP813,0)</f>
        <v>0</v>
      </c>
      <c r="AR744" s="10">
        <f>AR721+IF(Timeline!AR232=1,AQ813,0)</f>
        <v>0</v>
      </c>
      <c r="AS744" s="10">
        <f>AS721+IF(Timeline!AS232=1,AR813,0)</f>
        <v>0</v>
      </c>
      <c r="AT744" s="10">
        <f>AT721+IF(Timeline!AT232=1,AS813,0)</f>
        <v>0</v>
      </c>
      <c r="AU744" s="10">
        <f>AU721+IF(Timeline!AU232=1,AT813,0)</f>
        <v>0</v>
      </c>
      <c r="AV744" s="10">
        <f>AV721+IF(Timeline!AV232=1,AU813,0)</f>
        <v>0</v>
      </c>
      <c r="AW744" s="10">
        <f>AW721+IF(Timeline!AW232=1,AV813,0)</f>
        <v>0</v>
      </c>
      <c r="AX744" s="10">
        <f>AX721+IF(Timeline!AX232=1,AW813,0)</f>
        <v>0</v>
      </c>
      <c r="AY744" s="10">
        <f>AY721+IF(Timeline!AY232=1,AX813,0)</f>
        <v>0</v>
      </c>
      <c r="AZ744" s="10">
        <f>AZ721+IF(Timeline!AZ232=1,AY813,0)</f>
        <v>0</v>
      </c>
      <c r="BA744" s="10">
        <f>BA721+IF(Timeline!BA232=1,AZ813,0)</f>
        <v>0</v>
      </c>
      <c r="BB744" s="10">
        <f>BB721+IF(Timeline!BB232=1,BA813,0)</f>
        <v>0</v>
      </c>
      <c r="BC744" s="10">
        <f>BC721+IF(Timeline!BC232=1,BB813,0)</f>
        <v>0</v>
      </c>
      <c r="BD744" s="10">
        <f>BD721+IF(Timeline!BD232=1,BC813,0)</f>
        <v>0</v>
      </c>
      <c r="BE744" s="10">
        <f>BE721+IF(Timeline!BE232=1,BD813,0)</f>
        <v>0</v>
      </c>
      <c r="BF744" s="10">
        <f>BF721+IF(Timeline!BF232=1,BE813,0)</f>
        <v>0</v>
      </c>
      <c r="BG744" s="10">
        <f>BG721+IF(Timeline!BG232=1,BF813,0)</f>
        <v>0</v>
      </c>
      <c r="BH744" s="10">
        <f>BH721+IF(Timeline!BH232=1,BG813,0)</f>
        <v>0</v>
      </c>
      <c r="BI744" s="10">
        <f>BI721+IF(Timeline!BI232=1,BH813,0)</f>
        <v>0</v>
      </c>
      <c r="BJ744" s="10">
        <f>BJ721+IF(Timeline!BJ232=1,BI813,0)</f>
        <v>0</v>
      </c>
      <c r="BK744" s="10">
        <f>BK721+IF(Timeline!BK232=1,BJ813,0)</f>
        <v>0</v>
      </c>
      <c r="BL744" s="10">
        <f>BL721+IF(Timeline!BL232=1,BK813,0)</f>
        <v>0</v>
      </c>
      <c r="BM744" s="10">
        <f>BM721+IF(Timeline!BM232=1,BL813,0)</f>
        <v>0</v>
      </c>
      <c r="BN744" s="10">
        <f>BN721+IF(Timeline!BN232=1,BM813,0)</f>
        <v>0</v>
      </c>
      <c r="BO744" s="10">
        <f>BO721+IF(Timeline!BO232=1,BN813,0)</f>
        <v>0</v>
      </c>
      <c r="BP744" s="10">
        <f>BP721+IF(Timeline!BP232=1,BO813,0)</f>
        <v>0</v>
      </c>
      <c r="BQ744" s="10">
        <f>BQ721+IF(Timeline!BQ232=1,BP813,0)</f>
        <v>0</v>
      </c>
      <c r="BR744" s="10">
        <f>BR721+IF(Timeline!BR232=1,BQ813,0)</f>
        <v>0</v>
      </c>
      <c r="BS744" s="10">
        <f>BS721+IF(Timeline!BS232=1,BR813,0)</f>
        <v>0</v>
      </c>
      <c r="BT744" s="10">
        <f>BT721+IF(Timeline!BT232=1,BS813,0)</f>
        <v>0</v>
      </c>
      <c r="BU744" s="10">
        <f>BU721+IF(Timeline!BU232=1,BT813,0)</f>
        <v>0</v>
      </c>
      <c r="BV744" s="10">
        <f>BV721+IF(Timeline!BV232=1,BU813,0)</f>
        <v>0</v>
      </c>
      <c r="BX744" s="106"/>
      <c r="BY744" s="12">
        <f t="shared" si="762"/>
        <v>0</v>
      </c>
      <c r="BZ744" s="12">
        <f t="shared" si="763"/>
        <v>0</v>
      </c>
      <c r="CA744" s="12">
        <f t="shared" si="764"/>
        <v>0</v>
      </c>
      <c r="CB744" s="133">
        <f t="shared" si="765"/>
        <v>0</v>
      </c>
      <c r="CC744" s="106"/>
      <c r="CD744" s="106"/>
      <c r="CE744" s="106"/>
      <c r="CF744" s="106"/>
      <c r="CG744" s="106"/>
      <c r="CH744" s="106"/>
      <c r="CI744" s="106"/>
      <c r="CK744" s="11"/>
      <c r="CM744" s="11"/>
      <c r="CV744" s="120"/>
      <c r="CW744" s="120"/>
      <c r="DF744" s="11"/>
      <c r="EY744" s="10" t="str">
        <f t="shared" si="746"/>
        <v/>
      </c>
    </row>
    <row r="745" spans="1:155" x14ac:dyDescent="0.35">
      <c r="A745" s="120"/>
      <c r="B745" s="69" t="str" cm="1">
        <f t="array" aca="1" ref="B745" ca="1">HYPERLINK(CONCATENATE("#",CELL("address",$D$132)),$D$132)</f>
        <v>Loan 5</v>
      </c>
      <c r="C745" s="211"/>
      <c r="D745" s="49">
        <f>D$17</f>
        <v>0</v>
      </c>
      <c r="E745" s="49" t="str">
        <f>F$17</f>
        <v/>
      </c>
      <c r="F745" s="49"/>
      <c r="I745" s="40" t="s">
        <v>665</v>
      </c>
      <c r="V745" s="106"/>
      <c r="W745" s="133">
        <f t="shared" si="761"/>
        <v>0</v>
      </c>
      <c r="X745" s="133">
        <f t="shared" si="761"/>
        <v>0</v>
      </c>
      <c r="Y745" s="133">
        <f t="shared" si="761"/>
        <v>0</v>
      </c>
      <c r="AA745" s="10">
        <f>AA722+IF(Timeline!AA233=1,Z814,0)</f>
        <v>0</v>
      </c>
      <c r="AB745" s="10">
        <f>AB722+IF(Timeline!AB233=1,AA814,0)</f>
        <v>0</v>
      </c>
      <c r="AC745" s="10">
        <f>AC722+IF(Timeline!AC233=1,AB814,0)</f>
        <v>0</v>
      </c>
      <c r="AD745" s="10">
        <f>AD722+IF(Timeline!AD233=1,AC814,0)</f>
        <v>0</v>
      </c>
      <c r="AE745" s="10">
        <f>AE722+IF(Timeline!AE233=1,AD814,0)</f>
        <v>0</v>
      </c>
      <c r="AF745" s="10">
        <f>AF722+IF(Timeline!AF233=1,AE814,0)</f>
        <v>0</v>
      </c>
      <c r="AG745" s="10">
        <f>AG722+IF(Timeline!AG233=1,AF814,0)</f>
        <v>0</v>
      </c>
      <c r="AH745" s="10">
        <f>AH722+IF(Timeline!AH233=1,AG814,0)</f>
        <v>0</v>
      </c>
      <c r="AI745" s="10">
        <f>AI722+IF(Timeline!AI233=1,AH814,0)</f>
        <v>0</v>
      </c>
      <c r="AJ745" s="10">
        <f>AJ722+IF(Timeline!AJ233=1,AI814,0)</f>
        <v>0</v>
      </c>
      <c r="AK745" s="10">
        <f>AK722+IF(Timeline!AK233=1,AJ814,0)</f>
        <v>0</v>
      </c>
      <c r="AL745" s="10">
        <f>AL722+IF(Timeline!AL233=1,AK814,0)</f>
        <v>0</v>
      </c>
      <c r="AM745" s="10">
        <f>AM722+IF(Timeline!AM233=1,AL814,0)</f>
        <v>0</v>
      </c>
      <c r="AN745" s="10">
        <f>AN722+IF(Timeline!AN233=1,AM814,0)</f>
        <v>0</v>
      </c>
      <c r="AO745" s="10">
        <f>AO722+IF(Timeline!AO233=1,AN814,0)</f>
        <v>0</v>
      </c>
      <c r="AP745" s="10">
        <f>AP722+IF(Timeline!AP233=1,AO814,0)</f>
        <v>0</v>
      </c>
      <c r="AQ745" s="10">
        <f>AQ722+IF(Timeline!AQ233=1,AP814,0)</f>
        <v>0</v>
      </c>
      <c r="AR745" s="10">
        <f>AR722+IF(Timeline!AR233=1,AQ814,0)</f>
        <v>0</v>
      </c>
      <c r="AS745" s="10">
        <f>AS722+IF(Timeline!AS233=1,AR814,0)</f>
        <v>0</v>
      </c>
      <c r="AT745" s="10">
        <f>AT722+IF(Timeline!AT233=1,AS814,0)</f>
        <v>0</v>
      </c>
      <c r="AU745" s="10">
        <f>AU722+IF(Timeline!AU233=1,AT814,0)</f>
        <v>0</v>
      </c>
      <c r="AV745" s="10">
        <f>AV722+IF(Timeline!AV233=1,AU814,0)</f>
        <v>0</v>
      </c>
      <c r="AW745" s="10">
        <f>AW722+IF(Timeline!AW233=1,AV814,0)</f>
        <v>0</v>
      </c>
      <c r="AX745" s="10">
        <f>AX722+IF(Timeline!AX233=1,AW814,0)</f>
        <v>0</v>
      </c>
      <c r="AY745" s="10">
        <f>AY722+IF(Timeline!AY233=1,AX814,0)</f>
        <v>0</v>
      </c>
      <c r="AZ745" s="10">
        <f>AZ722+IF(Timeline!AZ233=1,AY814,0)</f>
        <v>0</v>
      </c>
      <c r="BA745" s="10">
        <f>BA722+IF(Timeline!BA233=1,AZ814,0)</f>
        <v>0</v>
      </c>
      <c r="BB745" s="10">
        <f>BB722+IF(Timeline!BB233=1,BA814,0)</f>
        <v>0</v>
      </c>
      <c r="BC745" s="10">
        <f>BC722+IF(Timeline!BC233=1,BB814,0)</f>
        <v>0</v>
      </c>
      <c r="BD745" s="10">
        <f>BD722+IF(Timeline!BD233=1,BC814,0)</f>
        <v>0</v>
      </c>
      <c r="BE745" s="10">
        <f>BE722+IF(Timeline!BE233=1,BD814,0)</f>
        <v>0</v>
      </c>
      <c r="BF745" s="10">
        <f>BF722+IF(Timeline!BF233=1,BE814,0)</f>
        <v>0</v>
      </c>
      <c r="BG745" s="10">
        <f>BG722+IF(Timeline!BG233=1,BF814,0)</f>
        <v>0</v>
      </c>
      <c r="BH745" s="10">
        <f>BH722+IF(Timeline!BH233=1,BG814,0)</f>
        <v>0</v>
      </c>
      <c r="BI745" s="10">
        <f>BI722+IF(Timeline!BI233=1,BH814,0)</f>
        <v>0</v>
      </c>
      <c r="BJ745" s="10">
        <f>BJ722+IF(Timeline!BJ233=1,BI814,0)</f>
        <v>0</v>
      </c>
      <c r="BK745" s="10">
        <f>BK722+IF(Timeline!BK233=1,BJ814,0)</f>
        <v>0</v>
      </c>
      <c r="BL745" s="10">
        <f>BL722+IF(Timeline!BL233=1,BK814,0)</f>
        <v>0</v>
      </c>
      <c r="BM745" s="10">
        <f>BM722+IF(Timeline!BM233=1,BL814,0)</f>
        <v>0</v>
      </c>
      <c r="BN745" s="10">
        <f>BN722+IF(Timeline!BN233=1,BM814,0)</f>
        <v>0</v>
      </c>
      <c r="BO745" s="10">
        <f>BO722+IF(Timeline!BO233=1,BN814,0)</f>
        <v>0</v>
      </c>
      <c r="BP745" s="10">
        <f>BP722+IF(Timeline!BP233=1,BO814,0)</f>
        <v>0</v>
      </c>
      <c r="BQ745" s="10">
        <f>BQ722+IF(Timeline!BQ233=1,BP814,0)</f>
        <v>0</v>
      </c>
      <c r="BR745" s="10">
        <f>BR722+IF(Timeline!BR233=1,BQ814,0)</f>
        <v>0</v>
      </c>
      <c r="BS745" s="10">
        <f>BS722+IF(Timeline!BS233=1,BR814,0)</f>
        <v>0</v>
      </c>
      <c r="BT745" s="10">
        <f>BT722+IF(Timeline!BT233=1,BS814,0)</f>
        <v>0</v>
      </c>
      <c r="BU745" s="10">
        <f>BU722+IF(Timeline!BU233=1,BT814,0)</f>
        <v>0</v>
      </c>
      <c r="BV745" s="10">
        <f>BV722+IF(Timeline!BV233=1,BU814,0)</f>
        <v>0</v>
      </c>
      <c r="BX745" s="106"/>
      <c r="BY745" s="12">
        <f t="shared" si="762"/>
        <v>0</v>
      </c>
      <c r="BZ745" s="12">
        <f t="shared" si="763"/>
        <v>0</v>
      </c>
      <c r="CA745" s="12">
        <f t="shared" si="764"/>
        <v>0</v>
      </c>
      <c r="CB745" s="133">
        <f t="shared" si="765"/>
        <v>0</v>
      </c>
      <c r="CC745" s="106"/>
      <c r="CD745" s="106"/>
      <c r="CE745" s="106"/>
      <c r="CF745" s="106"/>
      <c r="CG745" s="106"/>
      <c r="CH745" s="106"/>
      <c r="CI745" s="106"/>
      <c r="CK745" s="11"/>
      <c r="CM745" s="11"/>
      <c r="CV745" s="120"/>
      <c r="CW745" s="120"/>
      <c r="DF745" s="11"/>
      <c r="EY745" s="10" t="str">
        <f t="shared" si="746"/>
        <v/>
      </c>
    </row>
    <row r="746" spans="1:155" x14ac:dyDescent="0.35">
      <c r="A746" s="120"/>
      <c r="B746" s="69" t="str" cm="1">
        <f t="array" aca="1" ref="B746" ca="1">HYPERLINK(CONCATENATE("#",CELL("address",$D$151)),$D$151)</f>
        <v>Loan 6</v>
      </c>
      <c r="C746" s="211"/>
      <c r="D746" s="49">
        <f>D$18</f>
        <v>0</v>
      </c>
      <c r="E746" s="49" t="str">
        <f>F$18</f>
        <v/>
      </c>
      <c r="F746" s="49"/>
      <c r="I746" s="40" t="s">
        <v>665</v>
      </c>
      <c r="V746" s="106"/>
      <c r="W746" s="133">
        <f t="shared" si="761"/>
        <v>0</v>
      </c>
      <c r="X746" s="133">
        <f t="shared" si="761"/>
        <v>0</v>
      </c>
      <c r="Y746" s="133">
        <f t="shared" si="761"/>
        <v>0</v>
      </c>
      <c r="AA746" s="10">
        <f>AA723+IF(Timeline!AA234=1,Z815,0)</f>
        <v>0</v>
      </c>
      <c r="AB746" s="10">
        <f>AB723+IF(Timeline!AB234=1,AA815,0)</f>
        <v>0</v>
      </c>
      <c r="AC746" s="10">
        <f>AC723+IF(Timeline!AC234=1,AB815,0)</f>
        <v>0</v>
      </c>
      <c r="AD746" s="10">
        <f>AD723+IF(Timeline!AD234=1,AC815,0)</f>
        <v>0</v>
      </c>
      <c r="AE746" s="10">
        <f>AE723+IF(Timeline!AE234=1,AD815,0)</f>
        <v>0</v>
      </c>
      <c r="AF746" s="10">
        <f>AF723+IF(Timeline!AF234=1,AE815,0)</f>
        <v>0</v>
      </c>
      <c r="AG746" s="10">
        <f>AG723+IF(Timeline!AG234=1,AF815,0)</f>
        <v>0</v>
      </c>
      <c r="AH746" s="10">
        <f>AH723+IF(Timeline!AH234=1,AG815,0)</f>
        <v>0</v>
      </c>
      <c r="AI746" s="10">
        <f>AI723+IF(Timeline!AI234=1,AH815,0)</f>
        <v>0</v>
      </c>
      <c r="AJ746" s="10">
        <f>AJ723+IF(Timeline!AJ234=1,AI815,0)</f>
        <v>0</v>
      </c>
      <c r="AK746" s="10">
        <f>AK723+IF(Timeline!AK234=1,AJ815,0)</f>
        <v>0</v>
      </c>
      <c r="AL746" s="10">
        <f>AL723+IF(Timeline!AL234=1,AK815,0)</f>
        <v>0</v>
      </c>
      <c r="AM746" s="10">
        <f>AM723+IF(Timeline!AM234=1,AL815,0)</f>
        <v>0</v>
      </c>
      <c r="AN746" s="10">
        <f>AN723+IF(Timeline!AN234=1,AM815,0)</f>
        <v>0</v>
      </c>
      <c r="AO746" s="10">
        <f>AO723+IF(Timeline!AO234=1,AN815,0)</f>
        <v>0</v>
      </c>
      <c r="AP746" s="10">
        <f>AP723+IF(Timeline!AP234=1,AO815,0)</f>
        <v>0</v>
      </c>
      <c r="AQ746" s="10">
        <f>AQ723+IF(Timeline!AQ234=1,AP815,0)</f>
        <v>0</v>
      </c>
      <c r="AR746" s="10">
        <f>AR723+IF(Timeline!AR234=1,AQ815,0)</f>
        <v>0</v>
      </c>
      <c r="AS746" s="10">
        <f>AS723+IF(Timeline!AS234=1,AR815,0)</f>
        <v>0</v>
      </c>
      <c r="AT746" s="10">
        <f>AT723+IF(Timeline!AT234=1,AS815,0)</f>
        <v>0</v>
      </c>
      <c r="AU746" s="10">
        <f>AU723+IF(Timeline!AU234=1,AT815,0)</f>
        <v>0</v>
      </c>
      <c r="AV746" s="10">
        <f>AV723+IF(Timeline!AV234=1,AU815,0)</f>
        <v>0</v>
      </c>
      <c r="AW746" s="10">
        <f>AW723+IF(Timeline!AW234=1,AV815,0)</f>
        <v>0</v>
      </c>
      <c r="AX746" s="10">
        <f>AX723+IF(Timeline!AX234=1,AW815,0)</f>
        <v>0</v>
      </c>
      <c r="AY746" s="10">
        <f>AY723+IF(Timeline!AY234=1,AX815,0)</f>
        <v>0</v>
      </c>
      <c r="AZ746" s="10">
        <f>AZ723+IF(Timeline!AZ234=1,AY815,0)</f>
        <v>0</v>
      </c>
      <c r="BA746" s="10">
        <f>BA723+IF(Timeline!BA234=1,AZ815,0)</f>
        <v>0</v>
      </c>
      <c r="BB746" s="10">
        <f>BB723+IF(Timeline!BB234=1,BA815,0)</f>
        <v>0</v>
      </c>
      <c r="BC746" s="10">
        <f>BC723+IF(Timeline!BC234=1,BB815,0)</f>
        <v>0</v>
      </c>
      <c r="BD746" s="10">
        <f>BD723+IF(Timeline!BD234=1,BC815,0)</f>
        <v>0</v>
      </c>
      <c r="BE746" s="10">
        <f>BE723+IF(Timeline!BE234=1,BD815,0)</f>
        <v>0</v>
      </c>
      <c r="BF746" s="10">
        <f>BF723+IF(Timeline!BF234=1,BE815,0)</f>
        <v>0</v>
      </c>
      <c r="BG746" s="10">
        <f>BG723+IF(Timeline!BG234=1,BF815,0)</f>
        <v>0</v>
      </c>
      <c r="BH746" s="10">
        <f>BH723+IF(Timeline!BH234=1,BG815,0)</f>
        <v>0</v>
      </c>
      <c r="BI746" s="10">
        <f>BI723+IF(Timeline!BI234=1,BH815,0)</f>
        <v>0</v>
      </c>
      <c r="BJ746" s="10">
        <f>BJ723+IF(Timeline!BJ234=1,BI815,0)</f>
        <v>0</v>
      </c>
      <c r="BK746" s="10">
        <f>BK723+IF(Timeline!BK234=1,BJ815,0)</f>
        <v>0</v>
      </c>
      <c r="BL746" s="10">
        <f>BL723+IF(Timeline!BL234=1,BK815,0)</f>
        <v>0</v>
      </c>
      <c r="BM746" s="10">
        <f>BM723+IF(Timeline!BM234=1,BL815,0)</f>
        <v>0</v>
      </c>
      <c r="BN746" s="10">
        <f>BN723+IF(Timeline!BN234=1,BM815,0)</f>
        <v>0</v>
      </c>
      <c r="BO746" s="10">
        <f>BO723+IF(Timeline!BO234=1,BN815,0)</f>
        <v>0</v>
      </c>
      <c r="BP746" s="10">
        <f>BP723+IF(Timeline!BP234=1,BO815,0)</f>
        <v>0</v>
      </c>
      <c r="BQ746" s="10">
        <f>BQ723+IF(Timeline!BQ234=1,BP815,0)</f>
        <v>0</v>
      </c>
      <c r="BR746" s="10">
        <f>BR723+IF(Timeline!BR234=1,BQ815,0)</f>
        <v>0</v>
      </c>
      <c r="BS746" s="10">
        <f>BS723+IF(Timeline!BS234=1,BR815,0)</f>
        <v>0</v>
      </c>
      <c r="BT746" s="10">
        <f>BT723+IF(Timeline!BT234=1,BS815,0)</f>
        <v>0</v>
      </c>
      <c r="BU746" s="10">
        <f>BU723+IF(Timeline!BU234=1,BT815,0)</f>
        <v>0</v>
      </c>
      <c r="BV746" s="10">
        <f>BV723+IF(Timeline!BV234=1,BU815,0)</f>
        <v>0</v>
      </c>
      <c r="BX746" s="106"/>
      <c r="BY746" s="12">
        <f t="shared" si="762"/>
        <v>0</v>
      </c>
      <c r="BZ746" s="12">
        <f t="shared" si="763"/>
        <v>0</v>
      </c>
      <c r="CA746" s="12">
        <f t="shared" si="764"/>
        <v>0</v>
      </c>
      <c r="CB746" s="133">
        <f t="shared" si="765"/>
        <v>0</v>
      </c>
      <c r="CC746" s="106"/>
      <c r="CD746" s="106"/>
      <c r="CE746" s="106"/>
      <c r="CF746" s="106"/>
      <c r="CG746" s="106"/>
      <c r="CH746" s="106"/>
      <c r="CI746" s="106"/>
      <c r="CK746" s="11"/>
      <c r="CM746" s="11"/>
      <c r="CV746" s="120"/>
      <c r="CW746" s="120"/>
      <c r="DF746" s="11"/>
      <c r="EY746" s="10" t="str">
        <f t="shared" si="746"/>
        <v/>
      </c>
    </row>
    <row r="747" spans="1:155" x14ac:dyDescent="0.35">
      <c r="A747" s="120"/>
      <c r="B747" s="69" t="str" cm="1">
        <f t="array" aca="1" ref="B747" ca="1">HYPERLINK(CONCATENATE("#",CELL("address",$D$170)),$D$170)</f>
        <v>Loan 7</v>
      </c>
      <c r="C747" s="211"/>
      <c r="D747" s="49">
        <f>D$19</f>
        <v>0</v>
      </c>
      <c r="E747" s="49" t="str">
        <f>F$19</f>
        <v/>
      </c>
      <c r="F747" s="49"/>
      <c r="I747" s="40" t="s">
        <v>665</v>
      </c>
      <c r="V747" s="106"/>
      <c r="W747" s="133">
        <f t="shared" si="761"/>
        <v>0</v>
      </c>
      <c r="X747" s="133">
        <f t="shared" si="761"/>
        <v>0</v>
      </c>
      <c r="Y747" s="133">
        <f t="shared" si="761"/>
        <v>0</v>
      </c>
      <c r="AA747" s="10">
        <f>AA724+IF(Timeline!AA235=1,Z816,0)</f>
        <v>0</v>
      </c>
      <c r="AB747" s="10">
        <f>AB724+IF(Timeline!AB235=1,AA816,0)</f>
        <v>0</v>
      </c>
      <c r="AC747" s="10">
        <f>AC724+IF(Timeline!AC235=1,AB816,0)</f>
        <v>0</v>
      </c>
      <c r="AD747" s="10">
        <f>AD724+IF(Timeline!AD235=1,AC816,0)</f>
        <v>0</v>
      </c>
      <c r="AE747" s="10">
        <f>AE724+IF(Timeline!AE235=1,AD816,0)</f>
        <v>0</v>
      </c>
      <c r="AF747" s="10">
        <f>AF724+IF(Timeline!AF235=1,AE816,0)</f>
        <v>0</v>
      </c>
      <c r="AG747" s="10">
        <f>AG724+IF(Timeline!AG235=1,AF816,0)</f>
        <v>0</v>
      </c>
      <c r="AH747" s="10">
        <f>AH724+IF(Timeline!AH235=1,AG816,0)</f>
        <v>0</v>
      </c>
      <c r="AI747" s="10">
        <f>AI724+IF(Timeline!AI235=1,AH816,0)</f>
        <v>0</v>
      </c>
      <c r="AJ747" s="10">
        <f>AJ724+IF(Timeline!AJ235=1,AI816,0)</f>
        <v>0</v>
      </c>
      <c r="AK747" s="10">
        <f>AK724+IF(Timeline!AK235=1,AJ816,0)</f>
        <v>0</v>
      </c>
      <c r="AL747" s="10">
        <f>AL724+IF(Timeline!AL235=1,AK816,0)</f>
        <v>0</v>
      </c>
      <c r="AM747" s="10">
        <f>AM724+IF(Timeline!AM235=1,AL816,0)</f>
        <v>0</v>
      </c>
      <c r="AN747" s="10">
        <f>AN724+IF(Timeline!AN235=1,AM816,0)</f>
        <v>0</v>
      </c>
      <c r="AO747" s="10">
        <f>AO724+IF(Timeline!AO235=1,AN816,0)</f>
        <v>0</v>
      </c>
      <c r="AP747" s="10">
        <f>AP724+IF(Timeline!AP235=1,AO816,0)</f>
        <v>0</v>
      </c>
      <c r="AQ747" s="10">
        <f>AQ724+IF(Timeline!AQ235=1,AP816,0)</f>
        <v>0</v>
      </c>
      <c r="AR747" s="10">
        <f>AR724+IF(Timeline!AR235=1,AQ816,0)</f>
        <v>0</v>
      </c>
      <c r="AS747" s="10">
        <f>AS724+IF(Timeline!AS235=1,AR816,0)</f>
        <v>0</v>
      </c>
      <c r="AT747" s="10">
        <f>AT724+IF(Timeline!AT235=1,AS816,0)</f>
        <v>0</v>
      </c>
      <c r="AU747" s="10">
        <f>AU724+IF(Timeline!AU235=1,AT816,0)</f>
        <v>0</v>
      </c>
      <c r="AV747" s="10">
        <f>AV724+IF(Timeline!AV235=1,AU816,0)</f>
        <v>0</v>
      </c>
      <c r="AW747" s="10">
        <f>AW724+IF(Timeline!AW235=1,AV816,0)</f>
        <v>0</v>
      </c>
      <c r="AX747" s="10">
        <f>AX724+IF(Timeline!AX235=1,AW816,0)</f>
        <v>0</v>
      </c>
      <c r="AY747" s="10">
        <f>AY724+IF(Timeline!AY235=1,AX816,0)</f>
        <v>0</v>
      </c>
      <c r="AZ747" s="10">
        <f>AZ724+IF(Timeline!AZ235=1,AY816,0)</f>
        <v>0</v>
      </c>
      <c r="BA747" s="10">
        <f>BA724+IF(Timeline!BA235=1,AZ816,0)</f>
        <v>0</v>
      </c>
      <c r="BB747" s="10">
        <f>BB724+IF(Timeline!BB235=1,BA816,0)</f>
        <v>0</v>
      </c>
      <c r="BC747" s="10">
        <f>BC724+IF(Timeline!BC235=1,BB816,0)</f>
        <v>0</v>
      </c>
      <c r="BD747" s="10">
        <f>BD724+IF(Timeline!BD235=1,BC816,0)</f>
        <v>0</v>
      </c>
      <c r="BE747" s="10">
        <f>BE724+IF(Timeline!BE235=1,BD816,0)</f>
        <v>0</v>
      </c>
      <c r="BF747" s="10">
        <f>BF724+IF(Timeline!BF235=1,BE816,0)</f>
        <v>0</v>
      </c>
      <c r="BG747" s="10">
        <f>BG724+IF(Timeline!BG235=1,BF816,0)</f>
        <v>0</v>
      </c>
      <c r="BH747" s="10">
        <f>BH724+IF(Timeline!BH235=1,BG816,0)</f>
        <v>0</v>
      </c>
      <c r="BI747" s="10">
        <f>BI724+IF(Timeline!BI235=1,BH816,0)</f>
        <v>0</v>
      </c>
      <c r="BJ747" s="10">
        <f>BJ724+IF(Timeline!BJ235=1,BI816,0)</f>
        <v>0</v>
      </c>
      <c r="BK747" s="10">
        <f>BK724+IF(Timeline!BK235=1,BJ816,0)</f>
        <v>0</v>
      </c>
      <c r="BL747" s="10">
        <f>BL724+IF(Timeline!BL235=1,BK816,0)</f>
        <v>0</v>
      </c>
      <c r="BM747" s="10">
        <f>BM724+IF(Timeline!BM235=1,BL816,0)</f>
        <v>0</v>
      </c>
      <c r="BN747" s="10">
        <f>BN724+IF(Timeline!BN235=1,BM816,0)</f>
        <v>0</v>
      </c>
      <c r="BO747" s="10">
        <f>BO724+IF(Timeline!BO235=1,BN816,0)</f>
        <v>0</v>
      </c>
      <c r="BP747" s="10">
        <f>BP724+IF(Timeline!BP235=1,BO816,0)</f>
        <v>0</v>
      </c>
      <c r="BQ747" s="10">
        <f>BQ724+IF(Timeline!BQ235=1,BP816,0)</f>
        <v>0</v>
      </c>
      <c r="BR747" s="10">
        <f>BR724+IF(Timeline!BR235=1,BQ816,0)</f>
        <v>0</v>
      </c>
      <c r="BS747" s="10">
        <f>BS724+IF(Timeline!BS235=1,BR816,0)</f>
        <v>0</v>
      </c>
      <c r="BT747" s="10">
        <f>BT724+IF(Timeline!BT235=1,BS816,0)</f>
        <v>0</v>
      </c>
      <c r="BU747" s="10">
        <f>BU724+IF(Timeline!BU235=1,BT816,0)</f>
        <v>0</v>
      </c>
      <c r="BV747" s="10">
        <f>BV724+IF(Timeline!BV235=1,BU816,0)</f>
        <v>0</v>
      </c>
      <c r="BX747" s="106"/>
      <c r="BY747" s="12">
        <f t="shared" si="762"/>
        <v>0</v>
      </c>
      <c r="BZ747" s="12">
        <f t="shared" si="763"/>
        <v>0</v>
      </c>
      <c r="CA747" s="12">
        <f t="shared" si="764"/>
        <v>0</v>
      </c>
      <c r="CB747" s="133">
        <f t="shared" si="765"/>
        <v>0</v>
      </c>
      <c r="CC747" s="106"/>
      <c r="CD747" s="106"/>
      <c r="CE747" s="106"/>
      <c r="CF747" s="106"/>
      <c r="CG747" s="106"/>
      <c r="CH747" s="106"/>
      <c r="CI747" s="106"/>
      <c r="CK747" s="11"/>
      <c r="CM747" s="11"/>
      <c r="CV747" s="120"/>
      <c r="CW747" s="120"/>
      <c r="DF747" s="11"/>
      <c r="EY747" s="10" t="str">
        <f t="shared" si="746"/>
        <v/>
      </c>
    </row>
    <row r="748" spans="1:155" x14ac:dyDescent="0.35">
      <c r="A748" s="120"/>
      <c r="B748" s="69" t="str" cm="1">
        <f t="array" aca="1" ref="B748" ca="1">HYPERLINK(CONCATENATE("#",CELL("address",$D$189)),$D$189)</f>
        <v>Loan 8</v>
      </c>
      <c r="C748" s="211"/>
      <c r="D748" s="49">
        <f>D$20</f>
        <v>0</v>
      </c>
      <c r="E748" s="49" t="str">
        <f>F$20</f>
        <v/>
      </c>
      <c r="F748" s="49"/>
      <c r="I748" s="40" t="s">
        <v>665</v>
      </c>
      <c r="V748" s="106"/>
      <c r="W748" s="133">
        <f t="shared" si="761"/>
        <v>0</v>
      </c>
      <c r="X748" s="133">
        <f t="shared" si="761"/>
        <v>0</v>
      </c>
      <c r="Y748" s="133">
        <f t="shared" si="761"/>
        <v>0</v>
      </c>
      <c r="AA748" s="10">
        <f>AA725+IF(Timeline!AA236=1,Z817,0)</f>
        <v>0</v>
      </c>
      <c r="AB748" s="10">
        <f>AB725+IF(Timeline!AB236=1,AA817,0)</f>
        <v>0</v>
      </c>
      <c r="AC748" s="10">
        <f>AC725+IF(Timeline!AC236=1,AB817,0)</f>
        <v>0</v>
      </c>
      <c r="AD748" s="10">
        <f>AD725+IF(Timeline!AD236=1,AC817,0)</f>
        <v>0</v>
      </c>
      <c r="AE748" s="10">
        <f>AE725+IF(Timeline!AE236=1,AD817,0)</f>
        <v>0</v>
      </c>
      <c r="AF748" s="10">
        <f>AF725+IF(Timeline!AF236=1,AE817,0)</f>
        <v>0</v>
      </c>
      <c r="AG748" s="10">
        <f>AG725+IF(Timeline!AG236=1,AF817,0)</f>
        <v>0</v>
      </c>
      <c r="AH748" s="10">
        <f>AH725+IF(Timeline!AH236=1,AG817,0)</f>
        <v>0</v>
      </c>
      <c r="AI748" s="10">
        <f>AI725+IF(Timeline!AI236=1,AH817,0)</f>
        <v>0</v>
      </c>
      <c r="AJ748" s="10">
        <f>AJ725+IF(Timeline!AJ236=1,AI817,0)</f>
        <v>0</v>
      </c>
      <c r="AK748" s="10">
        <f>AK725+IF(Timeline!AK236=1,AJ817,0)</f>
        <v>0</v>
      </c>
      <c r="AL748" s="10">
        <f>AL725+IF(Timeline!AL236=1,AK817,0)</f>
        <v>0</v>
      </c>
      <c r="AM748" s="10">
        <f>AM725+IF(Timeline!AM236=1,AL817,0)</f>
        <v>0</v>
      </c>
      <c r="AN748" s="10">
        <f>AN725+IF(Timeline!AN236=1,AM817,0)</f>
        <v>0</v>
      </c>
      <c r="AO748" s="10">
        <f>AO725+IF(Timeline!AO236=1,AN817,0)</f>
        <v>0</v>
      </c>
      <c r="AP748" s="10">
        <f>AP725+IF(Timeline!AP236=1,AO817,0)</f>
        <v>0</v>
      </c>
      <c r="AQ748" s="10">
        <f>AQ725+IF(Timeline!AQ236=1,AP817,0)</f>
        <v>0</v>
      </c>
      <c r="AR748" s="10">
        <f>AR725+IF(Timeline!AR236=1,AQ817,0)</f>
        <v>0</v>
      </c>
      <c r="AS748" s="10">
        <f>AS725+IF(Timeline!AS236=1,AR817,0)</f>
        <v>0</v>
      </c>
      <c r="AT748" s="10">
        <f>AT725+IF(Timeline!AT236=1,AS817,0)</f>
        <v>0</v>
      </c>
      <c r="AU748" s="10">
        <f>AU725+IF(Timeline!AU236=1,AT817,0)</f>
        <v>0</v>
      </c>
      <c r="AV748" s="10">
        <f>AV725+IF(Timeline!AV236=1,AU817,0)</f>
        <v>0</v>
      </c>
      <c r="AW748" s="10">
        <f>AW725+IF(Timeline!AW236=1,AV817,0)</f>
        <v>0</v>
      </c>
      <c r="AX748" s="10">
        <f>AX725+IF(Timeline!AX236=1,AW817,0)</f>
        <v>0</v>
      </c>
      <c r="AY748" s="10">
        <f>AY725+IF(Timeline!AY236=1,AX817,0)</f>
        <v>0</v>
      </c>
      <c r="AZ748" s="10">
        <f>AZ725+IF(Timeline!AZ236=1,AY817,0)</f>
        <v>0</v>
      </c>
      <c r="BA748" s="10">
        <f>BA725+IF(Timeline!BA236=1,AZ817,0)</f>
        <v>0</v>
      </c>
      <c r="BB748" s="10">
        <f>BB725+IF(Timeline!BB236=1,BA817,0)</f>
        <v>0</v>
      </c>
      <c r="BC748" s="10">
        <f>BC725+IF(Timeline!BC236=1,BB817,0)</f>
        <v>0</v>
      </c>
      <c r="BD748" s="10">
        <f>BD725+IF(Timeline!BD236=1,BC817,0)</f>
        <v>0</v>
      </c>
      <c r="BE748" s="10">
        <f>BE725+IF(Timeline!BE236=1,BD817,0)</f>
        <v>0</v>
      </c>
      <c r="BF748" s="10">
        <f>BF725+IF(Timeline!BF236=1,BE817,0)</f>
        <v>0</v>
      </c>
      <c r="BG748" s="10">
        <f>BG725+IF(Timeline!BG236=1,BF817,0)</f>
        <v>0</v>
      </c>
      <c r="BH748" s="10">
        <f>BH725+IF(Timeline!BH236=1,BG817,0)</f>
        <v>0</v>
      </c>
      <c r="BI748" s="10">
        <f>BI725+IF(Timeline!BI236=1,BH817,0)</f>
        <v>0</v>
      </c>
      <c r="BJ748" s="10">
        <f>BJ725+IF(Timeline!BJ236=1,BI817,0)</f>
        <v>0</v>
      </c>
      <c r="BK748" s="10">
        <f>BK725+IF(Timeline!BK236=1,BJ817,0)</f>
        <v>0</v>
      </c>
      <c r="BL748" s="10">
        <f>BL725+IF(Timeline!BL236=1,BK817,0)</f>
        <v>0</v>
      </c>
      <c r="BM748" s="10">
        <f>BM725+IF(Timeline!BM236=1,BL817,0)</f>
        <v>0</v>
      </c>
      <c r="BN748" s="10">
        <f>BN725+IF(Timeline!BN236=1,BM817,0)</f>
        <v>0</v>
      </c>
      <c r="BO748" s="10">
        <f>BO725+IF(Timeline!BO236=1,BN817,0)</f>
        <v>0</v>
      </c>
      <c r="BP748" s="10">
        <f>BP725+IF(Timeline!BP236=1,BO817,0)</f>
        <v>0</v>
      </c>
      <c r="BQ748" s="10">
        <f>BQ725+IF(Timeline!BQ236=1,BP817,0)</f>
        <v>0</v>
      </c>
      <c r="BR748" s="10">
        <f>BR725+IF(Timeline!BR236=1,BQ817,0)</f>
        <v>0</v>
      </c>
      <c r="BS748" s="10">
        <f>BS725+IF(Timeline!BS236=1,BR817,0)</f>
        <v>0</v>
      </c>
      <c r="BT748" s="10">
        <f>BT725+IF(Timeline!BT236=1,BS817,0)</f>
        <v>0</v>
      </c>
      <c r="BU748" s="10">
        <f>BU725+IF(Timeline!BU236=1,BT817,0)</f>
        <v>0</v>
      </c>
      <c r="BV748" s="10">
        <f>BV725+IF(Timeline!BV236=1,BU817,0)</f>
        <v>0</v>
      </c>
      <c r="BX748" s="106"/>
      <c r="BY748" s="12">
        <f t="shared" si="762"/>
        <v>0</v>
      </c>
      <c r="BZ748" s="12">
        <f t="shared" si="763"/>
        <v>0</v>
      </c>
      <c r="CA748" s="12">
        <f t="shared" si="764"/>
        <v>0</v>
      </c>
      <c r="CB748" s="133">
        <f t="shared" si="765"/>
        <v>0</v>
      </c>
      <c r="CC748" s="106"/>
      <c r="CD748" s="106"/>
      <c r="CE748" s="106"/>
      <c r="CF748" s="106"/>
      <c r="CG748" s="106"/>
      <c r="CH748" s="106"/>
      <c r="CI748" s="106"/>
      <c r="CK748" s="11"/>
      <c r="CM748" s="11"/>
      <c r="CV748" s="120"/>
      <c r="CW748" s="120"/>
      <c r="DF748" s="11"/>
      <c r="EY748" s="10" t="str">
        <f t="shared" si="746"/>
        <v/>
      </c>
    </row>
    <row r="749" spans="1:155" x14ac:dyDescent="0.35">
      <c r="A749" s="120"/>
      <c r="B749" s="69" t="str" cm="1">
        <f t="array" aca="1" ref="B749" ca="1">HYPERLINK(CONCATENATE("#",CELL("address",$D$208)),$D$208)</f>
        <v>Loan 9</v>
      </c>
      <c r="C749" s="211"/>
      <c r="D749" s="49">
        <f>D$21</f>
        <v>0</v>
      </c>
      <c r="E749" s="49" t="str">
        <f>F$21</f>
        <v/>
      </c>
      <c r="F749" s="49"/>
      <c r="I749" s="40" t="s">
        <v>665</v>
      </c>
      <c r="V749" s="106"/>
      <c r="W749" s="133">
        <f t="shared" si="761"/>
        <v>0</v>
      </c>
      <c r="X749" s="133">
        <f t="shared" si="761"/>
        <v>0</v>
      </c>
      <c r="Y749" s="133">
        <f t="shared" si="761"/>
        <v>0</v>
      </c>
      <c r="AA749" s="10">
        <f>AA726+IF(Timeline!AA237=1,Z818,0)</f>
        <v>0</v>
      </c>
      <c r="AB749" s="10">
        <f>AB726+IF(Timeline!AB237=1,AA818,0)</f>
        <v>0</v>
      </c>
      <c r="AC749" s="10">
        <f>AC726+IF(Timeline!AC237=1,AB818,0)</f>
        <v>0</v>
      </c>
      <c r="AD749" s="10">
        <f>AD726+IF(Timeline!AD237=1,AC818,0)</f>
        <v>0</v>
      </c>
      <c r="AE749" s="10">
        <f>AE726+IF(Timeline!AE237=1,AD818,0)</f>
        <v>0</v>
      </c>
      <c r="AF749" s="10">
        <f>AF726+IF(Timeline!AF237=1,AE818,0)</f>
        <v>0</v>
      </c>
      <c r="AG749" s="10">
        <f>AG726+IF(Timeline!AG237=1,AF818,0)</f>
        <v>0</v>
      </c>
      <c r="AH749" s="10">
        <f>AH726+IF(Timeline!AH237=1,AG818,0)</f>
        <v>0</v>
      </c>
      <c r="AI749" s="10">
        <f>AI726+IF(Timeline!AI237=1,AH818,0)</f>
        <v>0</v>
      </c>
      <c r="AJ749" s="10">
        <f>AJ726+IF(Timeline!AJ237=1,AI818,0)</f>
        <v>0</v>
      </c>
      <c r="AK749" s="10">
        <f>AK726+IF(Timeline!AK237=1,AJ818,0)</f>
        <v>0</v>
      </c>
      <c r="AL749" s="10">
        <f>AL726+IF(Timeline!AL237=1,AK818,0)</f>
        <v>0</v>
      </c>
      <c r="AM749" s="10">
        <f>AM726+IF(Timeline!AM237=1,AL818,0)</f>
        <v>0</v>
      </c>
      <c r="AN749" s="10">
        <f>AN726+IF(Timeline!AN237=1,AM818,0)</f>
        <v>0</v>
      </c>
      <c r="AO749" s="10">
        <f>AO726+IF(Timeline!AO237=1,AN818,0)</f>
        <v>0</v>
      </c>
      <c r="AP749" s="10">
        <f>AP726+IF(Timeline!AP237=1,AO818,0)</f>
        <v>0</v>
      </c>
      <c r="AQ749" s="10">
        <f>AQ726+IF(Timeline!AQ237=1,AP818,0)</f>
        <v>0</v>
      </c>
      <c r="AR749" s="10">
        <f>AR726+IF(Timeline!AR237=1,AQ818,0)</f>
        <v>0</v>
      </c>
      <c r="AS749" s="10">
        <f>AS726+IF(Timeline!AS237=1,AR818,0)</f>
        <v>0</v>
      </c>
      <c r="AT749" s="10">
        <f>AT726+IF(Timeline!AT237=1,AS818,0)</f>
        <v>0</v>
      </c>
      <c r="AU749" s="10">
        <f>AU726+IF(Timeline!AU237=1,AT818,0)</f>
        <v>0</v>
      </c>
      <c r="AV749" s="10">
        <f>AV726+IF(Timeline!AV237=1,AU818,0)</f>
        <v>0</v>
      </c>
      <c r="AW749" s="10">
        <f>AW726+IF(Timeline!AW237=1,AV818,0)</f>
        <v>0</v>
      </c>
      <c r="AX749" s="10">
        <f>AX726+IF(Timeline!AX237=1,AW818,0)</f>
        <v>0</v>
      </c>
      <c r="AY749" s="10">
        <f>AY726+IF(Timeline!AY237=1,AX818,0)</f>
        <v>0</v>
      </c>
      <c r="AZ749" s="10">
        <f>AZ726+IF(Timeline!AZ237=1,AY818,0)</f>
        <v>0</v>
      </c>
      <c r="BA749" s="10">
        <f>BA726+IF(Timeline!BA237=1,AZ818,0)</f>
        <v>0</v>
      </c>
      <c r="BB749" s="10">
        <f>BB726+IF(Timeline!BB237=1,BA818,0)</f>
        <v>0</v>
      </c>
      <c r="BC749" s="10">
        <f>BC726+IF(Timeline!BC237=1,BB818,0)</f>
        <v>0</v>
      </c>
      <c r="BD749" s="10">
        <f>BD726+IF(Timeline!BD237=1,BC818,0)</f>
        <v>0</v>
      </c>
      <c r="BE749" s="10">
        <f>BE726+IF(Timeline!BE237=1,BD818,0)</f>
        <v>0</v>
      </c>
      <c r="BF749" s="10">
        <f>BF726+IF(Timeline!BF237=1,BE818,0)</f>
        <v>0</v>
      </c>
      <c r="BG749" s="10">
        <f>BG726+IF(Timeline!BG237=1,BF818,0)</f>
        <v>0</v>
      </c>
      <c r="BH749" s="10">
        <f>BH726+IF(Timeline!BH237=1,BG818,0)</f>
        <v>0</v>
      </c>
      <c r="BI749" s="10">
        <f>BI726+IF(Timeline!BI237=1,BH818,0)</f>
        <v>0</v>
      </c>
      <c r="BJ749" s="10">
        <f>BJ726+IF(Timeline!BJ237=1,BI818,0)</f>
        <v>0</v>
      </c>
      <c r="BK749" s="10">
        <f>BK726+IF(Timeline!BK237=1,BJ818,0)</f>
        <v>0</v>
      </c>
      <c r="BL749" s="10">
        <f>BL726+IF(Timeline!BL237=1,BK818,0)</f>
        <v>0</v>
      </c>
      <c r="BM749" s="10">
        <f>BM726+IF(Timeline!BM237=1,BL818,0)</f>
        <v>0</v>
      </c>
      <c r="BN749" s="10">
        <f>BN726+IF(Timeline!BN237=1,BM818,0)</f>
        <v>0</v>
      </c>
      <c r="BO749" s="10">
        <f>BO726+IF(Timeline!BO237=1,BN818,0)</f>
        <v>0</v>
      </c>
      <c r="BP749" s="10">
        <f>BP726+IF(Timeline!BP237=1,BO818,0)</f>
        <v>0</v>
      </c>
      <c r="BQ749" s="10">
        <f>BQ726+IF(Timeline!BQ237=1,BP818,0)</f>
        <v>0</v>
      </c>
      <c r="BR749" s="10">
        <f>BR726+IF(Timeline!BR237=1,BQ818,0)</f>
        <v>0</v>
      </c>
      <c r="BS749" s="10">
        <f>BS726+IF(Timeline!BS237=1,BR818,0)</f>
        <v>0</v>
      </c>
      <c r="BT749" s="10">
        <f>BT726+IF(Timeline!BT237=1,BS818,0)</f>
        <v>0</v>
      </c>
      <c r="BU749" s="10">
        <f>BU726+IF(Timeline!BU237=1,BT818,0)</f>
        <v>0</v>
      </c>
      <c r="BV749" s="10">
        <f>BV726+IF(Timeline!BV237=1,BU818,0)</f>
        <v>0</v>
      </c>
      <c r="BX749" s="106"/>
      <c r="BY749" s="12">
        <f t="shared" si="762"/>
        <v>0</v>
      </c>
      <c r="BZ749" s="12">
        <f t="shared" si="763"/>
        <v>0</v>
      </c>
      <c r="CA749" s="12">
        <f t="shared" si="764"/>
        <v>0</v>
      </c>
      <c r="CB749" s="133">
        <f t="shared" si="765"/>
        <v>0</v>
      </c>
      <c r="CC749" s="106"/>
      <c r="CD749" s="106"/>
      <c r="CE749" s="106"/>
      <c r="CF749" s="106"/>
      <c r="CG749" s="106"/>
      <c r="CH749" s="106"/>
      <c r="CI749" s="106"/>
      <c r="CK749" s="11"/>
      <c r="CM749" s="11"/>
      <c r="CV749" s="120"/>
      <c r="CW749" s="120"/>
      <c r="DF749" s="11"/>
      <c r="EY749" s="10" t="str">
        <f t="shared" si="746"/>
        <v/>
      </c>
    </row>
    <row r="750" spans="1:155" x14ac:dyDescent="0.35">
      <c r="A750" s="120"/>
      <c r="B750" s="69" t="str" cm="1">
        <f t="array" aca="1" ref="B750" ca="1">HYPERLINK(CONCATENATE("#",CELL("address",$D$227)),$D$227)</f>
        <v>Loan 10</v>
      </c>
      <c r="C750" s="211"/>
      <c r="D750" s="49">
        <f>D$22</f>
        <v>0</v>
      </c>
      <c r="E750" s="49" t="str">
        <f>F$22</f>
        <v/>
      </c>
      <c r="F750" s="49"/>
      <c r="I750" s="40" t="s">
        <v>665</v>
      </c>
      <c r="V750" s="106"/>
      <c r="W750" s="133">
        <f t="shared" si="761"/>
        <v>0</v>
      </c>
      <c r="X750" s="133">
        <f t="shared" si="761"/>
        <v>0</v>
      </c>
      <c r="Y750" s="133">
        <f t="shared" si="761"/>
        <v>0</v>
      </c>
      <c r="AA750" s="10">
        <f>AA727+IF(Timeline!AA238=1,Z819,0)</f>
        <v>0</v>
      </c>
      <c r="AB750" s="10">
        <f>AB727+IF(Timeline!AB238=1,AA819,0)</f>
        <v>0</v>
      </c>
      <c r="AC750" s="10">
        <f>AC727+IF(Timeline!AC238=1,AB819,0)</f>
        <v>0</v>
      </c>
      <c r="AD750" s="10">
        <f>AD727+IF(Timeline!AD238=1,AC819,0)</f>
        <v>0</v>
      </c>
      <c r="AE750" s="10">
        <f>AE727+IF(Timeline!AE238=1,AD819,0)</f>
        <v>0</v>
      </c>
      <c r="AF750" s="10">
        <f>AF727+IF(Timeline!AF238=1,AE819,0)</f>
        <v>0</v>
      </c>
      <c r="AG750" s="10">
        <f>AG727+IF(Timeline!AG238=1,AF819,0)</f>
        <v>0</v>
      </c>
      <c r="AH750" s="10">
        <f>AH727+IF(Timeline!AH238=1,AG819,0)</f>
        <v>0</v>
      </c>
      <c r="AI750" s="10">
        <f>AI727+IF(Timeline!AI238=1,AH819,0)</f>
        <v>0</v>
      </c>
      <c r="AJ750" s="10">
        <f>AJ727+IF(Timeline!AJ238=1,AI819,0)</f>
        <v>0</v>
      </c>
      <c r="AK750" s="10">
        <f>AK727+IF(Timeline!AK238=1,AJ819,0)</f>
        <v>0</v>
      </c>
      <c r="AL750" s="10">
        <f>AL727+IF(Timeline!AL238=1,AK819,0)</f>
        <v>0</v>
      </c>
      <c r="AM750" s="10">
        <f>AM727+IF(Timeline!AM238=1,AL819,0)</f>
        <v>0</v>
      </c>
      <c r="AN750" s="10">
        <f>AN727+IF(Timeline!AN238=1,AM819,0)</f>
        <v>0</v>
      </c>
      <c r="AO750" s="10">
        <f>AO727+IF(Timeline!AO238=1,AN819,0)</f>
        <v>0</v>
      </c>
      <c r="AP750" s="10">
        <f>AP727+IF(Timeline!AP238=1,AO819,0)</f>
        <v>0</v>
      </c>
      <c r="AQ750" s="10">
        <f>AQ727+IF(Timeline!AQ238=1,AP819,0)</f>
        <v>0</v>
      </c>
      <c r="AR750" s="10">
        <f>AR727+IF(Timeline!AR238=1,AQ819,0)</f>
        <v>0</v>
      </c>
      <c r="AS750" s="10">
        <f>AS727+IF(Timeline!AS238=1,AR819,0)</f>
        <v>0</v>
      </c>
      <c r="AT750" s="10">
        <f>AT727+IF(Timeline!AT238=1,AS819,0)</f>
        <v>0</v>
      </c>
      <c r="AU750" s="10">
        <f>AU727+IF(Timeline!AU238=1,AT819,0)</f>
        <v>0</v>
      </c>
      <c r="AV750" s="10">
        <f>AV727+IF(Timeline!AV238=1,AU819,0)</f>
        <v>0</v>
      </c>
      <c r="AW750" s="10">
        <f>AW727+IF(Timeline!AW238=1,AV819,0)</f>
        <v>0</v>
      </c>
      <c r="AX750" s="10">
        <f>AX727+IF(Timeline!AX238=1,AW819,0)</f>
        <v>0</v>
      </c>
      <c r="AY750" s="10">
        <f>AY727+IF(Timeline!AY238=1,AX819,0)</f>
        <v>0</v>
      </c>
      <c r="AZ750" s="10">
        <f>AZ727+IF(Timeline!AZ238=1,AY819,0)</f>
        <v>0</v>
      </c>
      <c r="BA750" s="10">
        <f>BA727+IF(Timeline!BA238=1,AZ819,0)</f>
        <v>0</v>
      </c>
      <c r="BB750" s="10">
        <f>BB727+IF(Timeline!BB238=1,BA819,0)</f>
        <v>0</v>
      </c>
      <c r="BC750" s="10">
        <f>BC727+IF(Timeline!BC238=1,BB819,0)</f>
        <v>0</v>
      </c>
      <c r="BD750" s="10">
        <f>BD727+IF(Timeline!BD238=1,BC819,0)</f>
        <v>0</v>
      </c>
      <c r="BE750" s="10">
        <f>BE727+IF(Timeline!BE238=1,BD819,0)</f>
        <v>0</v>
      </c>
      <c r="BF750" s="10">
        <f>BF727+IF(Timeline!BF238=1,BE819,0)</f>
        <v>0</v>
      </c>
      <c r="BG750" s="10">
        <f>BG727+IF(Timeline!BG238=1,BF819,0)</f>
        <v>0</v>
      </c>
      <c r="BH750" s="10">
        <f>BH727+IF(Timeline!BH238=1,BG819,0)</f>
        <v>0</v>
      </c>
      <c r="BI750" s="10">
        <f>BI727+IF(Timeline!BI238=1,BH819,0)</f>
        <v>0</v>
      </c>
      <c r="BJ750" s="10">
        <f>BJ727+IF(Timeline!BJ238=1,BI819,0)</f>
        <v>0</v>
      </c>
      <c r="BK750" s="10">
        <f>BK727+IF(Timeline!BK238=1,BJ819,0)</f>
        <v>0</v>
      </c>
      <c r="BL750" s="10">
        <f>BL727+IF(Timeline!BL238=1,BK819,0)</f>
        <v>0</v>
      </c>
      <c r="BM750" s="10">
        <f>BM727+IF(Timeline!BM238=1,BL819,0)</f>
        <v>0</v>
      </c>
      <c r="BN750" s="10">
        <f>BN727+IF(Timeline!BN238=1,BM819,0)</f>
        <v>0</v>
      </c>
      <c r="BO750" s="10">
        <f>BO727+IF(Timeline!BO238=1,BN819,0)</f>
        <v>0</v>
      </c>
      <c r="BP750" s="10">
        <f>BP727+IF(Timeline!BP238=1,BO819,0)</f>
        <v>0</v>
      </c>
      <c r="BQ750" s="10">
        <f>BQ727+IF(Timeline!BQ238=1,BP819,0)</f>
        <v>0</v>
      </c>
      <c r="BR750" s="10">
        <f>BR727+IF(Timeline!BR238=1,BQ819,0)</f>
        <v>0</v>
      </c>
      <c r="BS750" s="10">
        <f>BS727+IF(Timeline!BS238=1,BR819,0)</f>
        <v>0</v>
      </c>
      <c r="BT750" s="10">
        <f>BT727+IF(Timeline!BT238=1,BS819,0)</f>
        <v>0</v>
      </c>
      <c r="BU750" s="10">
        <f>BU727+IF(Timeline!BU238=1,BT819,0)</f>
        <v>0</v>
      </c>
      <c r="BV750" s="10">
        <f>BV727+IF(Timeline!BV238=1,BU819,0)</f>
        <v>0</v>
      </c>
      <c r="BX750" s="106"/>
      <c r="BY750" s="12">
        <f t="shared" si="762"/>
        <v>0</v>
      </c>
      <c r="BZ750" s="12">
        <f t="shared" si="763"/>
        <v>0</v>
      </c>
      <c r="CA750" s="12">
        <f t="shared" si="764"/>
        <v>0</v>
      </c>
      <c r="CB750" s="133">
        <f t="shared" si="765"/>
        <v>0</v>
      </c>
      <c r="CC750" s="106"/>
      <c r="CD750" s="106"/>
      <c r="CE750" s="106"/>
      <c r="CF750" s="106"/>
      <c r="CG750" s="106"/>
      <c r="CH750" s="106"/>
      <c r="CI750" s="106"/>
      <c r="CK750" s="11"/>
      <c r="CM750" s="11"/>
      <c r="CV750" s="120"/>
      <c r="CW750" s="120"/>
      <c r="DF750" s="11"/>
      <c r="EY750" s="10" t="str">
        <f t="shared" si="746"/>
        <v/>
      </c>
    </row>
    <row r="751" spans="1:155" x14ac:dyDescent="0.35">
      <c r="A751" s="120"/>
      <c r="B751" s="69" t="str" cm="1">
        <f t="array" aca="1" ref="B751" ca="1">HYPERLINK(CONCATENATE("#",CELL("address",$D$246)),$D$246)</f>
        <v>Loan 11</v>
      </c>
      <c r="C751" s="211"/>
      <c r="D751" s="49">
        <f>D$23</f>
        <v>0</v>
      </c>
      <c r="E751" s="49" t="str">
        <f>F$23</f>
        <v/>
      </c>
      <c r="F751" s="49"/>
      <c r="I751" s="40" t="s">
        <v>665</v>
      </c>
      <c r="V751" s="106"/>
      <c r="W751" s="133">
        <f t="shared" si="761"/>
        <v>0</v>
      </c>
      <c r="X751" s="133">
        <f t="shared" si="761"/>
        <v>0</v>
      </c>
      <c r="Y751" s="133">
        <f t="shared" si="761"/>
        <v>0</v>
      </c>
      <c r="AA751" s="10">
        <f>AA728+IF(Timeline!AA239=1,Z820,0)</f>
        <v>0</v>
      </c>
      <c r="AB751" s="10">
        <f>AB728+IF(Timeline!AB239=1,AA820,0)</f>
        <v>0</v>
      </c>
      <c r="AC751" s="10">
        <f>AC728+IF(Timeline!AC239=1,AB820,0)</f>
        <v>0</v>
      </c>
      <c r="AD751" s="10">
        <f>AD728+IF(Timeline!AD239=1,AC820,0)</f>
        <v>0</v>
      </c>
      <c r="AE751" s="10">
        <f>AE728+IF(Timeline!AE239=1,AD820,0)</f>
        <v>0</v>
      </c>
      <c r="AF751" s="10">
        <f>AF728+IF(Timeline!AF239=1,AE820,0)</f>
        <v>0</v>
      </c>
      <c r="AG751" s="10">
        <f>AG728+IF(Timeline!AG239=1,AF820,0)</f>
        <v>0</v>
      </c>
      <c r="AH751" s="10">
        <f>AH728+IF(Timeline!AH239=1,AG820,0)</f>
        <v>0</v>
      </c>
      <c r="AI751" s="10">
        <f>AI728+IF(Timeline!AI239=1,AH820,0)</f>
        <v>0</v>
      </c>
      <c r="AJ751" s="10">
        <f>AJ728+IF(Timeline!AJ239=1,AI820,0)</f>
        <v>0</v>
      </c>
      <c r="AK751" s="10">
        <f>AK728+IF(Timeline!AK239=1,AJ820,0)</f>
        <v>0</v>
      </c>
      <c r="AL751" s="10">
        <f>AL728+IF(Timeline!AL239=1,AK820,0)</f>
        <v>0</v>
      </c>
      <c r="AM751" s="10">
        <f>AM728+IF(Timeline!AM239=1,AL820,0)</f>
        <v>0</v>
      </c>
      <c r="AN751" s="10">
        <f>AN728+IF(Timeline!AN239=1,AM820,0)</f>
        <v>0</v>
      </c>
      <c r="AO751" s="10">
        <f>AO728+IF(Timeline!AO239=1,AN820,0)</f>
        <v>0</v>
      </c>
      <c r="AP751" s="10">
        <f>AP728+IF(Timeline!AP239=1,AO820,0)</f>
        <v>0</v>
      </c>
      <c r="AQ751" s="10">
        <f>AQ728+IF(Timeline!AQ239=1,AP820,0)</f>
        <v>0</v>
      </c>
      <c r="AR751" s="10">
        <f>AR728+IF(Timeline!AR239=1,AQ820,0)</f>
        <v>0</v>
      </c>
      <c r="AS751" s="10">
        <f>AS728+IF(Timeline!AS239=1,AR820,0)</f>
        <v>0</v>
      </c>
      <c r="AT751" s="10">
        <f>AT728+IF(Timeline!AT239=1,AS820,0)</f>
        <v>0</v>
      </c>
      <c r="AU751" s="10">
        <f>AU728+IF(Timeline!AU239=1,AT820,0)</f>
        <v>0</v>
      </c>
      <c r="AV751" s="10">
        <f>AV728+IF(Timeline!AV239=1,AU820,0)</f>
        <v>0</v>
      </c>
      <c r="AW751" s="10">
        <f>AW728+IF(Timeline!AW239=1,AV820,0)</f>
        <v>0</v>
      </c>
      <c r="AX751" s="10">
        <f>AX728+IF(Timeline!AX239=1,AW820,0)</f>
        <v>0</v>
      </c>
      <c r="AY751" s="10">
        <f>AY728+IF(Timeline!AY239=1,AX820,0)</f>
        <v>0</v>
      </c>
      <c r="AZ751" s="10">
        <f>AZ728+IF(Timeline!AZ239=1,AY820,0)</f>
        <v>0</v>
      </c>
      <c r="BA751" s="10">
        <f>BA728+IF(Timeline!BA239=1,AZ820,0)</f>
        <v>0</v>
      </c>
      <c r="BB751" s="10">
        <f>BB728+IF(Timeline!BB239=1,BA820,0)</f>
        <v>0</v>
      </c>
      <c r="BC751" s="10">
        <f>BC728+IF(Timeline!BC239=1,BB820,0)</f>
        <v>0</v>
      </c>
      <c r="BD751" s="10">
        <f>BD728+IF(Timeline!BD239=1,BC820,0)</f>
        <v>0</v>
      </c>
      <c r="BE751" s="10">
        <f>BE728+IF(Timeline!BE239=1,BD820,0)</f>
        <v>0</v>
      </c>
      <c r="BF751" s="10">
        <f>BF728+IF(Timeline!BF239=1,BE820,0)</f>
        <v>0</v>
      </c>
      <c r="BG751" s="10">
        <f>BG728+IF(Timeline!BG239=1,BF820,0)</f>
        <v>0</v>
      </c>
      <c r="BH751" s="10">
        <f>BH728+IF(Timeline!BH239=1,BG820,0)</f>
        <v>0</v>
      </c>
      <c r="BI751" s="10">
        <f>BI728+IF(Timeline!BI239=1,BH820,0)</f>
        <v>0</v>
      </c>
      <c r="BJ751" s="10">
        <f>BJ728+IF(Timeline!BJ239=1,BI820,0)</f>
        <v>0</v>
      </c>
      <c r="BK751" s="10">
        <f>BK728+IF(Timeline!BK239=1,BJ820,0)</f>
        <v>0</v>
      </c>
      <c r="BL751" s="10">
        <f>BL728+IF(Timeline!BL239=1,BK820,0)</f>
        <v>0</v>
      </c>
      <c r="BM751" s="10">
        <f>BM728+IF(Timeline!BM239=1,BL820,0)</f>
        <v>0</v>
      </c>
      <c r="BN751" s="10">
        <f>BN728+IF(Timeline!BN239=1,BM820,0)</f>
        <v>0</v>
      </c>
      <c r="BO751" s="10">
        <f>BO728+IF(Timeline!BO239=1,BN820,0)</f>
        <v>0</v>
      </c>
      <c r="BP751" s="10">
        <f>BP728+IF(Timeline!BP239=1,BO820,0)</f>
        <v>0</v>
      </c>
      <c r="BQ751" s="10">
        <f>BQ728+IF(Timeline!BQ239=1,BP820,0)</f>
        <v>0</v>
      </c>
      <c r="BR751" s="10">
        <f>BR728+IF(Timeline!BR239=1,BQ820,0)</f>
        <v>0</v>
      </c>
      <c r="BS751" s="10">
        <f>BS728+IF(Timeline!BS239=1,BR820,0)</f>
        <v>0</v>
      </c>
      <c r="BT751" s="10">
        <f>BT728+IF(Timeline!BT239=1,BS820,0)</f>
        <v>0</v>
      </c>
      <c r="BU751" s="10">
        <f>BU728+IF(Timeline!BU239=1,BT820,0)</f>
        <v>0</v>
      </c>
      <c r="BV751" s="10">
        <f>BV728+IF(Timeline!BV239=1,BU820,0)</f>
        <v>0</v>
      </c>
      <c r="BX751" s="106"/>
      <c r="BY751" s="12">
        <f t="shared" si="762"/>
        <v>0</v>
      </c>
      <c r="BZ751" s="12">
        <f t="shared" si="763"/>
        <v>0</v>
      </c>
      <c r="CA751" s="12">
        <f t="shared" si="764"/>
        <v>0</v>
      </c>
      <c r="CB751" s="133">
        <f t="shared" si="765"/>
        <v>0</v>
      </c>
      <c r="CC751" s="106"/>
      <c r="CD751" s="106"/>
      <c r="CE751" s="106"/>
      <c r="CF751" s="106"/>
      <c r="CG751" s="106"/>
      <c r="CH751" s="106"/>
      <c r="CI751" s="106"/>
      <c r="CK751" s="11"/>
      <c r="CM751" s="11"/>
      <c r="CV751" s="120"/>
      <c r="CW751" s="120"/>
      <c r="DF751" s="11"/>
      <c r="EY751" s="10" t="str">
        <f t="shared" si="746"/>
        <v/>
      </c>
    </row>
    <row r="752" spans="1:155" x14ac:dyDescent="0.35">
      <c r="A752" s="120"/>
      <c r="B752" s="69" t="str" cm="1">
        <f t="array" aca="1" ref="B752" ca="1">HYPERLINK(CONCATENATE("#",CELL("address",$D$265)),$D$265)</f>
        <v>Loan 12</v>
      </c>
      <c r="C752" s="211"/>
      <c r="D752" s="49">
        <f>D$24</f>
        <v>0</v>
      </c>
      <c r="E752" s="49" t="str">
        <f>F$24</f>
        <v/>
      </c>
      <c r="F752" s="49"/>
      <c r="I752" s="40" t="s">
        <v>665</v>
      </c>
      <c r="V752" s="106"/>
      <c r="W752" s="133">
        <f t="shared" si="761"/>
        <v>0</v>
      </c>
      <c r="X752" s="133">
        <f t="shared" si="761"/>
        <v>0</v>
      </c>
      <c r="Y752" s="133">
        <f t="shared" si="761"/>
        <v>0</v>
      </c>
      <c r="AA752" s="10">
        <f>AA729+IF(Timeline!AA240=1,Z821,0)</f>
        <v>0</v>
      </c>
      <c r="AB752" s="10">
        <f>AB729+IF(Timeline!AB240=1,AA821,0)</f>
        <v>0</v>
      </c>
      <c r="AC752" s="10">
        <f>AC729+IF(Timeline!AC240=1,AB821,0)</f>
        <v>0</v>
      </c>
      <c r="AD752" s="10">
        <f>AD729+IF(Timeline!AD240=1,AC821,0)</f>
        <v>0</v>
      </c>
      <c r="AE752" s="10">
        <f>AE729+IF(Timeline!AE240=1,AD821,0)</f>
        <v>0</v>
      </c>
      <c r="AF752" s="10">
        <f>AF729+IF(Timeline!AF240=1,AE821,0)</f>
        <v>0</v>
      </c>
      <c r="AG752" s="10">
        <f>AG729+IF(Timeline!AG240=1,AF821,0)</f>
        <v>0</v>
      </c>
      <c r="AH752" s="10">
        <f>AH729+IF(Timeline!AH240=1,AG821,0)</f>
        <v>0</v>
      </c>
      <c r="AI752" s="10">
        <f>AI729+IF(Timeline!AI240=1,AH821,0)</f>
        <v>0</v>
      </c>
      <c r="AJ752" s="10">
        <f>AJ729+IF(Timeline!AJ240=1,AI821,0)</f>
        <v>0</v>
      </c>
      <c r="AK752" s="10">
        <f>AK729+IF(Timeline!AK240=1,AJ821,0)</f>
        <v>0</v>
      </c>
      <c r="AL752" s="10">
        <f>AL729+IF(Timeline!AL240=1,AK821,0)</f>
        <v>0</v>
      </c>
      <c r="AM752" s="10">
        <f>AM729+IF(Timeline!AM240=1,AL821,0)</f>
        <v>0</v>
      </c>
      <c r="AN752" s="10">
        <f>AN729+IF(Timeline!AN240=1,AM821,0)</f>
        <v>0</v>
      </c>
      <c r="AO752" s="10">
        <f>AO729+IF(Timeline!AO240=1,AN821,0)</f>
        <v>0</v>
      </c>
      <c r="AP752" s="10">
        <f>AP729+IF(Timeline!AP240=1,AO821,0)</f>
        <v>0</v>
      </c>
      <c r="AQ752" s="10">
        <f>AQ729+IF(Timeline!AQ240=1,AP821,0)</f>
        <v>0</v>
      </c>
      <c r="AR752" s="10">
        <f>AR729+IF(Timeline!AR240=1,AQ821,0)</f>
        <v>0</v>
      </c>
      <c r="AS752" s="10">
        <f>AS729+IF(Timeline!AS240=1,AR821,0)</f>
        <v>0</v>
      </c>
      <c r="AT752" s="10">
        <f>AT729+IF(Timeline!AT240=1,AS821,0)</f>
        <v>0</v>
      </c>
      <c r="AU752" s="10">
        <f>AU729+IF(Timeline!AU240=1,AT821,0)</f>
        <v>0</v>
      </c>
      <c r="AV752" s="10">
        <f>AV729+IF(Timeline!AV240=1,AU821,0)</f>
        <v>0</v>
      </c>
      <c r="AW752" s="10">
        <f>AW729+IF(Timeline!AW240=1,AV821,0)</f>
        <v>0</v>
      </c>
      <c r="AX752" s="10">
        <f>AX729+IF(Timeline!AX240=1,AW821,0)</f>
        <v>0</v>
      </c>
      <c r="AY752" s="10">
        <f>AY729+IF(Timeline!AY240=1,AX821,0)</f>
        <v>0</v>
      </c>
      <c r="AZ752" s="10">
        <f>AZ729+IF(Timeline!AZ240=1,AY821,0)</f>
        <v>0</v>
      </c>
      <c r="BA752" s="10">
        <f>BA729+IF(Timeline!BA240=1,AZ821,0)</f>
        <v>0</v>
      </c>
      <c r="BB752" s="10">
        <f>BB729+IF(Timeline!BB240=1,BA821,0)</f>
        <v>0</v>
      </c>
      <c r="BC752" s="10">
        <f>BC729+IF(Timeline!BC240=1,BB821,0)</f>
        <v>0</v>
      </c>
      <c r="BD752" s="10">
        <f>BD729+IF(Timeline!BD240=1,BC821,0)</f>
        <v>0</v>
      </c>
      <c r="BE752" s="10">
        <f>BE729+IF(Timeline!BE240=1,BD821,0)</f>
        <v>0</v>
      </c>
      <c r="BF752" s="10">
        <f>BF729+IF(Timeline!BF240=1,BE821,0)</f>
        <v>0</v>
      </c>
      <c r="BG752" s="10">
        <f>BG729+IF(Timeline!BG240=1,BF821,0)</f>
        <v>0</v>
      </c>
      <c r="BH752" s="10">
        <f>BH729+IF(Timeline!BH240=1,BG821,0)</f>
        <v>0</v>
      </c>
      <c r="BI752" s="10">
        <f>BI729+IF(Timeline!BI240=1,BH821,0)</f>
        <v>0</v>
      </c>
      <c r="BJ752" s="10">
        <f>BJ729+IF(Timeline!BJ240=1,BI821,0)</f>
        <v>0</v>
      </c>
      <c r="BK752" s="10">
        <f>BK729+IF(Timeline!BK240=1,BJ821,0)</f>
        <v>0</v>
      </c>
      <c r="BL752" s="10">
        <f>BL729+IF(Timeline!BL240=1,BK821,0)</f>
        <v>0</v>
      </c>
      <c r="BM752" s="10">
        <f>BM729+IF(Timeline!BM240=1,BL821,0)</f>
        <v>0</v>
      </c>
      <c r="BN752" s="10">
        <f>BN729+IF(Timeline!BN240=1,BM821,0)</f>
        <v>0</v>
      </c>
      <c r="BO752" s="10">
        <f>BO729+IF(Timeline!BO240=1,BN821,0)</f>
        <v>0</v>
      </c>
      <c r="BP752" s="10">
        <f>BP729+IF(Timeline!BP240=1,BO821,0)</f>
        <v>0</v>
      </c>
      <c r="BQ752" s="10">
        <f>BQ729+IF(Timeline!BQ240=1,BP821,0)</f>
        <v>0</v>
      </c>
      <c r="BR752" s="10">
        <f>BR729+IF(Timeline!BR240=1,BQ821,0)</f>
        <v>0</v>
      </c>
      <c r="BS752" s="10">
        <f>BS729+IF(Timeline!BS240=1,BR821,0)</f>
        <v>0</v>
      </c>
      <c r="BT752" s="10">
        <f>BT729+IF(Timeline!BT240=1,BS821,0)</f>
        <v>0</v>
      </c>
      <c r="BU752" s="10">
        <f>BU729+IF(Timeline!BU240=1,BT821,0)</f>
        <v>0</v>
      </c>
      <c r="BV752" s="10">
        <f>BV729+IF(Timeline!BV240=1,BU821,0)</f>
        <v>0</v>
      </c>
      <c r="BX752" s="106"/>
      <c r="BY752" s="12">
        <f t="shared" si="762"/>
        <v>0</v>
      </c>
      <c r="BZ752" s="12">
        <f t="shared" si="763"/>
        <v>0</v>
      </c>
      <c r="CA752" s="12">
        <f t="shared" si="764"/>
        <v>0</v>
      </c>
      <c r="CB752" s="133">
        <f t="shared" si="765"/>
        <v>0</v>
      </c>
      <c r="CC752" s="106"/>
      <c r="CD752" s="106"/>
      <c r="CE752" s="106"/>
      <c r="CF752" s="106"/>
      <c r="CG752" s="106"/>
      <c r="CH752" s="106"/>
      <c r="CI752" s="106"/>
      <c r="CK752" s="11"/>
      <c r="CM752" s="11"/>
      <c r="CV752" s="120"/>
      <c r="CW752" s="120"/>
      <c r="DF752" s="11"/>
      <c r="EY752" s="10" t="str">
        <f t="shared" si="746"/>
        <v/>
      </c>
    </row>
    <row r="753" spans="1:155" x14ac:dyDescent="0.35">
      <c r="A753" s="120"/>
      <c r="B753" s="69" t="str" cm="1">
        <f t="array" aca="1" ref="B753" ca="1">HYPERLINK(CONCATENATE("#",CELL("address",$D$284)),$D$284)</f>
        <v>Loan 13</v>
      </c>
      <c r="C753" s="211"/>
      <c r="D753" s="49">
        <f>D$25</f>
        <v>0</v>
      </c>
      <c r="E753" s="49" t="str">
        <f>F$25</f>
        <v/>
      </c>
      <c r="F753" s="49"/>
      <c r="I753" s="40" t="s">
        <v>665</v>
      </c>
      <c r="V753" s="106"/>
      <c r="W753" s="133">
        <f t="shared" si="761"/>
        <v>0</v>
      </c>
      <c r="X753" s="133">
        <f t="shared" si="761"/>
        <v>0</v>
      </c>
      <c r="Y753" s="133">
        <f t="shared" si="761"/>
        <v>0</v>
      </c>
      <c r="AA753" s="10">
        <f>AA730+IF(Timeline!AA241=1,Z822,0)</f>
        <v>0</v>
      </c>
      <c r="AB753" s="10">
        <f>AB730+IF(Timeline!AB241=1,AA822,0)</f>
        <v>0</v>
      </c>
      <c r="AC753" s="10">
        <f>AC730+IF(Timeline!AC241=1,AB822,0)</f>
        <v>0</v>
      </c>
      <c r="AD753" s="10">
        <f>AD730+IF(Timeline!AD241=1,AC822,0)</f>
        <v>0</v>
      </c>
      <c r="AE753" s="10">
        <f>AE730+IF(Timeline!AE241=1,AD822,0)</f>
        <v>0</v>
      </c>
      <c r="AF753" s="10">
        <f>AF730+IF(Timeline!AF241=1,AE822,0)</f>
        <v>0</v>
      </c>
      <c r="AG753" s="10">
        <f>AG730+IF(Timeline!AG241=1,AF822,0)</f>
        <v>0</v>
      </c>
      <c r="AH753" s="10">
        <f>AH730+IF(Timeline!AH241=1,AG822,0)</f>
        <v>0</v>
      </c>
      <c r="AI753" s="10">
        <f>AI730+IF(Timeline!AI241=1,AH822,0)</f>
        <v>0</v>
      </c>
      <c r="AJ753" s="10">
        <f>AJ730+IF(Timeline!AJ241=1,AI822,0)</f>
        <v>0</v>
      </c>
      <c r="AK753" s="10">
        <f>AK730+IF(Timeline!AK241=1,AJ822,0)</f>
        <v>0</v>
      </c>
      <c r="AL753" s="10">
        <f>AL730+IF(Timeline!AL241=1,AK822,0)</f>
        <v>0</v>
      </c>
      <c r="AM753" s="10">
        <f>AM730+IF(Timeline!AM241=1,AL822,0)</f>
        <v>0</v>
      </c>
      <c r="AN753" s="10">
        <f>AN730+IF(Timeline!AN241=1,AM822,0)</f>
        <v>0</v>
      </c>
      <c r="AO753" s="10">
        <f>AO730+IF(Timeline!AO241=1,AN822,0)</f>
        <v>0</v>
      </c>
      <c r="AP753" s="10">
        <f>AP730+IF(Timeline!AP241=1,AO822,0)</f>
        <v>0</v>
      </c>
      <c r="AQ753" s="10">
        <f>AQ730+IF(Timeline!AQ241=1,AP822,0)</f>
        <v>0</v>
      </c>
      <c r="AR753" s="10">
        <f>AR730+IF(Timeline!AR241=1,AQ822,0)</f>
        <v>0</v>
      </c>
      <c r="AS753" s="10">
        <f>AS730+IF(Timeline!AS241=1,AR822,0)</f>
        <v>0</v>
      </c>
      <c r="AT753" s="10">
        <f>AT730+IF(Timeline!AT241=1,AS822,0)</f>
        <v>0</v>
      </c>
      <c r="AU753" s="10">
        <f>AU730+IF(Timeline!AU241=1,AT822,0)</f>
        <v>0</v>
      </c>
      <c r="AV753" s="10">
        <f>AV730+IF(Timeline!AV241=1,AU822,0)</f>
        <v>0</v>
      </c>
      <c r="AW753" s="10">
        <f>AW730+IF(Timeline!AW241=1,AV822,0)</f>
        <v>0</v>
      </c>
      <c r="AX753" s="10">
        <f>AX730+IF(Timeline!AX241=1,AW822,0)</f>
        <v>0</v>
      </c>
      <c r="AY753" s="10">
        <f>AY730+IF(Timeline!AY241=1,AX822,0)</f>
        <v>0</v>
      </c>
      <c r="AZ753" s="10">
        <f>AZ730+IF(Timeline!AZ241=1,AY822,0)</f>
        <v>0</v>
      </c>
      <c r="BA753" s="10">
        <f>BA730+IF(Timeline!BA241=1,AZ822,0)</f>
        <v>0</v>
      </c>
      <c r="BB753" s="10">
        <f>BB730+IF(Timeline!BB241=1,BA822,0)</f>
        <v>0</v>
      </c>
      <c r="BC753" s="10">
        <f>BC730+IF(Timeline!BC241=1,BB822,0)</f>
        <v>0</v>
      </c>
      <c r="BD753" s="10">
        <f>BD730+IF(Timeline!BD241=1,BC822,0)</f>
        <v>0</v>
      </c>
      <c r="BE753" s="10">
        <f>BE730+IF(Timeline!BE241=1,BD822,0)</f>
        <v>0</v>
      </c>
      <c r="BF753" s="10">
        <f>BF730+IF(Timeline!BF241=1,BE822,0)</f>
        <v>0</v>
      </c>
      <c r="BG753" s="10">
        <f>BG730+IF(Timeline!BG241=1,BF822,0)</f>
        <v>0</v>
      </c>
      <c r="BH753" s="10">
        <f>BH730+IF(Timeline!BH241=1,BG822,0)</f>
        <v>0</v>
      </c>
      <c r="BI753" s="10">
        <f>BI730+IF(Timeline!BI241=1,BH822,0)</f>
        <v>0</v>
      </c>
      <c r="BJ753" s="10">
        <f>BJ730+IF(Timeline!BJ241=1,BI822,0)</f>
        <v>0</v>
      </c>
      <c r="BK753" s="10">
        <f>BK730+IF(Timeline!BK241=1,BJ822,0)</f>
        <v>0</v>
      </c>
      <c r="BL753" s="10">
        <f>BL730+IF(Timeline!BL241=1,BK822,0)</f>
        <v>0</v>
      </c>
      <c r="BM753" s="10">
        <f>BM730+IF(Timeline!BM241=1,BL822,0)</f>
        <v>0</v>
      </c>
      <c r="BN753" s="10">
        <f>BN730+IF(Timeline!BN241=1,BM822,0)</f>
        <v>0</v>
      </c>
      <c r="BO753" s="10">
        <f>BO730+IF(Timeline!BO241=1,BN822,0)</f>
        <v>0</v>
      </c>
      <c r="BP753" s="10">
        <f>BP730+IF(Timeline!BP241=1,BO822,0)</f>
        <v>0</v>
      </c>
      <c r="BQ753" s="10">
        <f>BQ730+IF(Timeline!BQ241=1,BP822,0)</f>
        <v>0</v>
      </c>
      <c r="BR753" s="10">
        <f>BR730+IF(Timeline!BR241=1,BQ822,0)</f>
        <v>0</v>
      </c>
      <c r="BS753" s="10">
        <f>BS730+IF(Timeline!BS241=1,BR822,0)</f>
        <v>0</v>
      </c>
      <c r="BT753" s="10">
        <f>BT730+IF(Timeline!BT241=1,BS822,0)</f>
        <v>0</v>
      </c>
      <c r="BU753" s="10">
        <f>BU730+IF(Timeline!BU241=1,BT822,0)</f>
        <v>0</v>
      </c>
      <c r="BV753" s="10">
        <f>BV730+IF(Timeline!BV241=1,BU822,0)</f>
        <v>0</v>
      </c>
      <c r="BX753" s="106"/>
      <c r="BY753" s="12">
        <f t="shared" si="762"/>
        <v>0</v>
      </c>
      <c r="BZ753" s="12">
        <f t="shared" si="763"/>
        <v>0</v>
      </c>
      <c r="CA753" s="12">
        <f t="shared" si="764"/>
        <v>0</v>
      </c>
      <c r="CB753" s="133">
        <f t="shared" si="765"/>
        <v>0</v>
      </c>
      <c r="CC753" s="106"/>
      <c r="CD753" s="106"/>
      <c r="CE753" s="106"/>
      <c r="CF753" s="106"/>
      <c r="CG753" s="106"/>
      <c r="CH753" s="106"/>
      <c r="CI753" s="106"/>
      <c r="CK753" s="11"/>
      <c r="CM753" s="11"/>
      <c r="CV753" s="120"/>
      <c r="CW753" s="120"/>
      <c r="DF753" s="11"/>
      <c r="EY753" s="10" t="str">
        <f t="shared" si="746"/>
        <v/>
      </c>
    </row>
    <row r="754" spans="1:155" s="5" customFormat="1" x14ac:dyDescent="0.35">
      <c r="A754" s="120"/>
      <c r="B754" s="69" t="str" cm="1">
        <f t="array" aca="1" ref="B754" ca="1">HYPERLINK(CONCATENATE("#",CELL("address",$D$303)),$D$303)</f>
        <v>Loan 14</v>
      </c>
      <c r="C754" s="211"/>
      <c r="D754" s="49">
        <f>D$26</f>
        <v>0</v>
      </c>
      <c r="E754" s="49" t="str">
        <f>F$26</f>
        <v/>
      </c>
      <c r="F754" s="49"/>
      <c r="G754"/>
      <c r="I754" s="40" t="s">
        <v>665</v>
      </c>
      <c r="J754"/>
      <c r="K754"/>
      <c r="L754"/>
      <c r="M754"/>
      <c r="N754"/>
      <c r="O754"/>
      <c r="P754"/>
      <c r="Q754"/>
      <c r="R754"/>
      <c r="S754"/>
      <c r="T754"/>
      <c r="U754"/>
      <c r="V754" s="106"/>
      <c r="W754" s="133">
        <f t="shared" si="761"/>
        <v>0</v>
      </c>
      <c r="X754" s="133">
        <f t="shared" si="761"/>
        <v>0</v>
      </c>
      <c r="Y754" s="133">
        <f t="shared" si="761"/>
        <v>0</v>
      </c>
      <c r="Z754"/>
      <c r="AA754" s="10">
        <f>AA731+IF(Timeline!AA242=1,Z823,0)</f>
        <v>0</v>
      </c>
      <c r="AB754" s="10">
        <f>AB731+IF(Timeline!AB242=1,AA823,0)</f>
        <v>0</v>
      </c>
      <c r="AC754" s="10">
        <f>AC731+IF(Timeline!AC242=1,AB823,0)</f>
        <v>0</v>
      </c>
      <c r="AD754" s="10">
        <f>AD731+IF(Timeline!AD242=1,AC823,0)</f>
        <v>0</v>
      </c>
      <c r="AE754" s="10">
        <f>AE731+IF(Timeline!AE242=1,AD823,0)</f>
        <v>0</v>
      </c>
      <c r="AF754" s="10">
        <f>AF731+IF(Timeline!AF242=1,AE823,0)</f>
        <v>0</v>
      </c>
      <c r="AG754" s="10">
        <f>AG731+IF(Timeline!AG242=1,AF823,0)</f>
        <v>0</v>
      </c>
      <c r="AH754" s="10">
        <f>AH731+IF(Timeline!AH242=1,AG823,0)</f>
        <v>0</v>
      </c>
      <c r="AI754" s="10">
        <f>AI731+IF(Timeline!AI242=1,AH823,0)</f>
        <v>0</v>
      </c>
      <c r="AJ754" s="10">
        <f>AJ731+IF(Timeline!AJ242=1,AI823,0)</f>
        <v>0</v>
      </c>
      <c r="AK754" s="10">
        <f>AK731+IF(Timeline!AK242=1,AJ823,0)</f>
        <v>0</v>
      </c>
      <c r="AL754" s="10">
        <f>AL731+IF(Timeline!AL242=1,AK823,0)</f>
        <v>0</v>
      </c>
      <c r="AM754" s="10">
        <f>AM731+IF(Timeline!AM242=1,AL823,0)</f>
        <v>0</v>
      </c>
      <c r="AN754" s="10">
        <f>AN731+IF(Timeline!AN242=1,AM823,0)</f>
        <v>0</v>
      </c>
      <c r="AO754" s="10">
        <f>AO731+IF(Timeline!AO242=1,AN823,0)</f>
        <v>0</v>
      </c>
      <c r="AP754" s="10">
        <f>AP731+IF(Timeline!AP242=1,AO823,0)</f>
        <v>0</v>
      </c>
      <c r="AQ754" s="10">
        <f>AQ731+IF(Timeline!AQ242=1,AP823,0)</f>
        <v>0</v>
      </c>
      <c r="AR754" s="10">
        <f>AR731+IF(Timeline!AR242=1,AQ823,0)</f>
        <v>0</v>
      </c>
      <c r="AS754" s="10">
        <f>AS731+IF(Timeline!AS242=1,AR823,0)</f>
        <v>0</v>
      </c>
      <c r="AT754" s="10">
        <f>AT731+IF(Timeline!AT242=1,AS823,0)</f>
        <v>0</v>
      </c>
      <c r="AU754" s="10">
        <f>AU731+IF(Timeline!AU242=1,AT823,0)</f>
        <v>0</v>
      </c>
      <c r="AV754" s="10">
        <f>AV731+IF(Timeline!AV242=1,AU823,0)</f>
        <v>0</v>
      </c>
      <c r="AW754" s="10">
        <f>AW731+IF(Timeline!AW242=1,AV823,0)</f>
        <v>0</v>
      </c>
      <c r="AX754" s="10">
        <f>AX731+IF(Timeline!AX242=1,AW823,0)</f>
        <v>0</v>
      </c>
      <c r="AY754" s="10">
        <f>AY731+IF(Timeline!AY242=1,AX823,0)</f>
        <v>0</v>
      </c>
      <c r="AZ754" s="10">
        <f>AZ731+IF(Timeline!AZ242=1,AY823,0)</f>
        <v>0</v>
      </c>
      <c r="BA754" s="10">
        <f>BA731+IF(Timeline!BA242=1,AZ823,0)</f>
        <v>0</v>
      </c>
      <c r="BB754" s="10">
        <f>BB731+IF(Timeline!BB242=1,BA823,0)</f>
        <v>0</v>
      </c>
      <c r="BC754" s="10">
        <f>BC731+IF(Timeline!BC242=1,BB823,0)</f>
        <v>0</v>
      </c>
      <c r="BD754" s="10">
        <f>BD731+IF(Timeline!BD242=1,BC823,0)</f>
        <v>0</v>
      </c>
      <c r="BE754" s="10">
        <f>BE731+IF(Timeline!BE242=1,BD823,0)</f>
        <v>0</v>
      </c>
      <c r="BF754" s="10">
        <f>BF731+IF(Timeline!BF242=1,BE823,0)</f>
        <v>0</v>
      </c>
      <c r="BG754" s="10">
        <f>BG731+IF(Timeline!BG242=1,BF823,0)</f>
        <v>0</v>
      </c>
      <c r="BH754" s="10">
        <f>BH731+IF(Timeline!BH242=1,BG823,0)</f>
        <v>0</v>
      </c>
      <c r="BI754" s="10">
        <f>BI731+IF(Timeline!BI242=1,BH823,0)</f>
        <v>0</v>
      </c>
      <c r="BJ754" s="10">
        <f>BJ731+IF(Timeline!BJ242=1,BI823,0)</f>
        <v>0</v>
      </c>
      <c r="BK754" s="10">
        <f>BK731+IF(Timeline!BK242=1,BJ823,0)</f>
        <v>0</v>
      </c>
      <c r="BL754" s="10">
        <f>BL731+IF(Timeline!BL242=1,BK823,0)</f>
        <v>0</v>
      </c>
      <c r="BM754" s="10">
        <f>BM731+IF(Timeline!BM242=1,BL823,0)</f>
        <v>0</v>
      </c>
      <c r="BN754" s="10">
        <f>BN731+IF(Timeline!BN242=1,BM823,0)</f>
        <v>0</v>
      </c>
      <c r="BO754" s="10">
        <f>BO731+IF(Timeline!BO242=1,BN823,0)</f>
        <v>0</v>
      </c>
      <c r="BP754" s="10">
        <f>BP731+IF(Timeline!BP242=1,BO823,0)</f>
        <v>0</v>
      </c>
      <c r="BQ754" s="10">
        <f>BQ731+IF(Timeline!BQ242=1,BP823,0)</f>
        <v>0</v>
      </c>
      <c r="BR754" s="10">
        <f>BR731+IF(Timeline!BR242=1,BQ823,0)</f>
        <v>0</v>
      </c>
      <c r="BS754" s="10">
        <f>BS731+IF(Timeline!BS242=1,BR823,0)</f>
        <v>0</v>
      </c>
      <c r="BT754" s="10">
        <f>BT731+IF(Timeline!BT242=1,BS823,0)</f>
        <v>0</v>
      </c>
      <c r="BU754" s="10">
        <f>BU731+IF(Timeline!BU242=1,BT823,0)</f>
        <v>0</v>
      </c>
      <c r="BV754" s="10">
        <f>BV731+IF(Timeline!BV242=1,BU823,0)</f>
        <v>0</v>
      </c>
      <c r="BW754"/>
      <c r="BX754" s="106"/>
      <c r="BY754" s="12">
        <f t="shared" si="762"/>
        <v>0</v>
      </c>
      <c r="BZ754" s="12">
        <f t="shared" si="763"/>
        <v>0</v>
      </c>
      <c r="CA754" s="12">
        <f t="shared" si="764"/>
        <v>0</v>
      </c>
      <c r="CB754" s="133">
        <f t="shared" si="765"/>
        <v>0</v>
      </c>
      <c r="CC754" s="106"/>
      <c r="CD754" s="106"/>
      <c r="CE754" s="106"/>
      <c r="CF754" s="106"/>
      <c r="CG754" s="106"/>
      <c r="CH754" s="106"/>
      <c r="CI754" s="106"/>
      <c r="CJ754"/>
      <c r="CK754" s="11"/>
      <c r="CL754"/>
      <c r="CM754" s="11"/>
      <c r="CN754"/>
      <c r="CO754"/>
      <c r="CP754"/>
      <c r="CQ754"/>
      <c r="CR754"/>
      <c r="CS754"/>
      <c r="CT754"/>
      <c r="CU754"/>
      <c r="CV754" s="120"/>
      <c r="CW754" s="120"/>
      <c r="CX754"/>
      <c r="CY754"/>
      <c r="CZ754"/>
      <c r="DA754"/>
      <c r="DB754"/>
      <c r="DC754"/>
      <c r="DD754"/>
      <c r="DE754"/>
      <c r="DF754" s="11"/>
      <c r="EY754" s="10" t="str">
        <f t="shared" si="746"/>
        <v/>
      </c>
    </row>
    <row r="755" spans="1:155" x14ac:dyDescent="0.35">
      <c r="A755" s="120"/>
      <c r="B755" s="69" t="str" cm="1">
        <f t="array" aca="1" ref="B755" ca="1">HYPERLINK(CONCATENATE("#",CELL("address",$D$322)),$D$322)</f>
        <v>Loan 15</v>
      </c>
      <c r="C755" s="211"/>
      <c r="D755" s="49">
        <f>D$27</f>
        <v>0</v>
      </c>
      <c r="E755" s="49" t="str">
        <f>F$27</f>
        <v/>
      </c>
      <c r="F755" s="49"/>
      <c r="I755" s="40" t="s">
        <v>665</v>
      </c>
      <c r="V755" s="106"/>
      <c r="W755" s="133">
        <f t="shared" si="761"/>
        <v>0</v>
      </c>
      <c r="X755" s="133">
        <f t="shared" si="761"/>
        <v>0</v>
      </c>
      <c r="Y755" s="133">
        <f t="shared" si="761"/>
        <v>0</v>
      </c>
      <c r="AA755" s="10">
        <f>AA732+IF(Timeline!AA243=1,Z824,0)</f>
        <v>0</v>
      </c>
      <c r="AB755" s="10">
        <f>AB732+IF(Timeline!AB243=1,AA824,0)</f>
        <v>0</v>
      </c>
      <c r="AC755" s="10">
        <f>AC732+IF(Timeline!AC243=1,AB824,0)</f>
        <v>0</v>
      </c>
      <c r="AD755" s="10">
        <f>AD732+IF(Timeline!AD243=1,AC824,0)</f>
        <v>0</v>
      </c>
      <c r="AE755" s="10">
        <f>AE732+IF(Timeline!AE243=1,AD824,0)</f>
        <v>0</v>
      </c>
      <c r="AF755" s="10">
        <f>AF732+IF(Timeline!AF243=1,AE824,0)</f>
        <v>0</v>
      </c>
      <c r="AG755" s="10">
        <f>AG732+IF(Timeline!AG243=1,AF824,0)</f>
        <v>0</v>
      </c>
      <c r="AH755" s="10">
        <f>AH732+IF(Timeline!AH243=1,AG824,0)</f>
        <v>0</v>
      </c>
      <c r="AI755" s="10">
        <f>AI732+IF(Timeline!AI243=1,AH824,0)</f>
        <v>0</v>
      </c>
      <c r="AJ755" s="10">
        <f>AJ732+IF(Timeline!AJ243=1,AI824,0)</f>
        <v>0</v>
      </c>
      <c r="AK755" s="10">
        <f>AK732+IF(Timeline!AK243=1,AJ824,0)</f>
        <v>0</v>
      </c>
      <c r="AL755" s="10">
        <f>AL732+IF(Timeline!AL243=1,AK824,0)</f>
        <v>0</v>
      </c>
      <c r="AM755" s="10">
        <f>AM732+IF(Timeline!AM243=1,AL824,0)</f>
        <v>0</v>
      </c>
      <c r="AN755" s="10">
        <f>AN732+IF(Timeline!AN243=1,AM824,0)</f>
        <v>0</v>
      </c>
      <c r="AO755" s="10">
        <f>AO732+IF(Timeline!AO243=1,AN824,0)</f>
        <v>0</v>
      </c>
      <c r="AP755" s="10">
        <f>AP732+IF(Timeline!AP243=1,AO824,0)</f>
        <v>0</v>
      </c>
      <c r="AQ755" s="10">
        <f>AQ732+IF(Timeline!AQ243=1,AP824,0)</f>
        <v>0</v>
      </c>
      <c r="AR755" s="10">
        <f>AR732+IF(Timeline!AR243=1,AQ824,0)</f>
        <v>0</v>
      </c>
      <c r="AS755" s="10">
        <f>AS732+IF(Timeline!AS243=1,AR824,0)</f>
        <v>0</v>
      </c>
      <c r="AT755" s="10">
        <f>AT732+IF(Timeline!AT243=1,AS824,0)</f>
        <v>0</v>
      </c>
      <c r="AU755" s="10">
        <f>AU732+IF(Timeline!AU243=1,AT824,0)</f>
        <v>0</v>
      </c>
      <c r="AV755" s="10">
        <f>AV732+IF(Timeline!AV243=1,AU824,0)</f>
        <v>0</v>
      </c>
      <c r="AW755" s="10">
        <f>AW732+IF(Timeline!AW243=1,AV824,0)</f>
        <v>0</v>
      </c>
      <c r="AX755" s="10">
        <f>AX732+IF(Timeline!AX243=1,AW824,0)</f>
        <v>0</v>
      </c>
      <c r="AY755" s="10">
        <f>AY732+IF(Timeline!AY243=1,AX824,0)</f>
        <v>0</v>
      </c>
      <c r="AZ755" s="10">
        <f>AZ732+IF(Timeline!AZ243=1,AY824,0)</f>
        <v>0</v>
      </c>
      <c r="BA755" s="10">
        <f>BA732+IF(Timeline!BA243=1,AZ824,0)</f>
        <v>0</v>
      </c>
      <c r="BB755" s="10">
        <f>BB732+IF(Timeline!BB243=1,BA824,0)</f>
        <v>0</v>
      </c>
      <c r="BC755" s="10">
        <f>BC732+IF(Timeline!BC243=1,BB824,0)</f>
        <v>0</v>
      </c>
      <c r="BD755" s="10">
        <f>BD732+IF(Timeline!BD243=1,BC824,0)</f>
        <v>0</v>
      </c>
      <c r="BE755" s="10">
        <f>BE732+IF(Timeline!BE243=1,BD824,0)</f>
        <v>0</v>
      </c>
      <c r="BF755" s="10">
        <f>BF732+IF(Timeline!BF243=1,BE824,0)</f>
        <v>0</v>
      </c>
      <c r="BG755" s="10">
        <f>BG732+IF(Timeline!BG243=1,BF824,0)</f>
        <v>0</v>
      </c>
      <c r="BH755" s="10">
        <f>BH732+IF(Timeline!BH243=1,BG824,0)</f>
        <v>0</v>
      </c>
      <c r="BI755" s="10">
        <f>BI732+IF(Timeline!BI243=1,BH824,0)</f>
        <v>0</v>
      </c>
      <c r="BJ755" s="10">
        <f>BJ732+IF(Timeline!BJ243=1,BI824,0)</f>
        <v>0</v>
      </c>
      <c r="BK755" s="10">
        <f>BK732+IF(Timeline!BK243=1,BJ824,0)</f>
        <v>0</v>
      </c>
      <c r="BL755" s="10">
        <f>BL732+IF(Timeline!BL243=1,BK824,0)</f>
        <v>0</v>
      </c>
      <c r="BM755" s="10">
        <f>BM732+IF(Timeline!BM243=1,BL824,0)</f>
        <v>0</v>
      </c>
      <c r="BN755" s="10">
        <f>BN732+IF(Timeline!BN243=1,BM824,0)</f>
        <v>0</v>
      </c>
      <c r="BO755" s="10">
        <f>BO732+IF(Timeline!BO243=1,BN824,0)</f>
        <v>0</v>
      </c>
      <c r="BP755" s="10">
        <f>BP732+IF(Timeline!BP243=1,BO824,0)</f>
        <v>0</v>
      </c>
      <c r="BQ755" s="10">
        <f>BQ732+IF(Timeline!BQ243=1,BP824,0)</f>
        <v>0</v>
      </c>
      <c r="BR755" s="10">
        <f>BR732+IF(Timeline!BR243=1,BQ824,0)</f>
        <v>0</v>
      </c>
      <c r="BS755" s="10">
        <f>BS732+IF(Timeline!BS243=1,BR824,0)</f>
        <v>0</v>
      </c>
      <c r="BT755" s="10">
        <f>BT732+IF(Timeline!BT243=1,BS824,0)</f>
        <v>0</v>
      </c>
      <c r="BU755" s="10">
        <f>BU732+IF(Timeline!BU243=1,BT824,0)</f>
        <v>0</v>
      </c>
      <c r="BV755" s="10">
        <f>BV732+IF(Timeline!BV243=1,BU824,0)</f>
        <v>0</v>
      </c>
      <c r="BX755" s="106"/>
      <c r="BY755" s="12">
        <f t="shared" si="762"/>
        <v>0</v>
      </c>
      <c r="BZ755" s="12">
        <f t="shared" si="763"/>
        <v>0</v>
      </c>
      <c r="CA755" s="12">
        <f t="shared" si="764"/>
        <v>0</v>
      </c>
      <c r="CB755" s="133">
        <f t="shared" si="765"/>
        <v>0</v>
      </c>
      <c r="CC755" s="106"/>
      <c r="CD755" s="106"/>
      <c r="CE755" s="106"/>
      <c r="CF755" s="106"/>
      <c r="CG755" s="106"/>
      <c r="CH755" s="106"/>
      <c r="CI755" s="106"/>
      <c r="CK755" s="11"/>
      <c r="CM755" s="11"/>
      <c r="CV755" s="120"/>
      <c r="CW755" s="120"/>
      <c r="DF755" s="11"/>
      <c r="EY755" s="10" t="str">
        <f t="shared" ref="EY755:EY818" si="766">IF($C755="","",$D755)</f>
        <v/>
      </c>
    </row>
    <row r="756" spans="1:155" x14ac:dyDescent="0.35">
      <c r="A756" s="120"/>
      <c r="B756" s="69" t="str" cm="1">
        <f t="array" aca="1" ref="B756" ca="1">HYPERLINK(CONCATENATE("#",CELL("address",$D$341)),$D$341)</f>
        <v>Loan 16</v>
      </c>
      <c r="C756" s="211"/>
      <c r="D756" s="49">
        <f>D$28</f>
        <v>0</v>
      </c>
      <c r="E756" s="49" t="str">
        <f>F$28</f>
        <v/>
      </c>
      <c r="F756" s="49"/>
      <c r="I756" s="40" t="s">
        <v>665</v>
      </c>
      <c r="V756" s="106"/>
      <c r="W756" s="133">
        <f t="shared" si="761"/>
        <v>0</v>
      </c>
      <c r="X756" s="133">
        <f t="shared" si="761"/>
        <v>0</v>
      </c>
      <c r="Y756" s="133">
        <f t="shared" si="761"/>
        <v>0</v>
      </c>
      <c r="AA756" s="10">
        <f>AA733+IF(Timeline!AA244=1,Z825,0)</f>
        <v>0</v>
      </c>
      <c r="AB756" s="10">
        <f>AB733+IF(Timeline!AB244=1,AA825,0)</f>
        <v>0</v>
      </c>
      <c r="AC756" s="10">
        <f>AC733+IF(Timeline!AC244=1,AB825,0)</f>
        <v>0</v>
      </c>
      <c r="AD756" s="10">
        <f>AD733+IF(Timeline!AD244=1,AC825,0)</f>
        <v>0</v>
      </c>
      <c r="AE756" s="10">
        <f>AE733+IF(Timeline!AE244=1,AD825,0)</f>
        <v>0</v>
      </c>
      <c r="AF756" s="10">
        <f>AF733+IF(Timeline!AF244=1,AE825,0)</f>
        <v>0</v>
      </c>
      <c r="AG756" s="10">
        <f>AG733+IF(Timeline!AG244=1,AF825,0)</f>
        <v>0</v>
      </c>
      <c r="AH756" s="10">
        <f>AH733+IF(Timeline!AH244=1,AG825,0)</f>
        <v>0</v>
      </c>
      <c r="AI756" s="10">
        <f>AI733+IF(Timeline!AI244=1,AH825,0)</f>
        <v>0</v>
      </c>
      <c r="AJ756" s="10">
        <f>AJ733+IF(Timeline!AJ244=1,AI825,0)</f>
        <v>0</v>
      </c>
      <c r="AK756" s="10">
        <f>AK733+IF(Timeline!AK244=1,AJ825,0)</f>
        <v>0</v>
      </c>
      <c r="AL756" s="10">
        <f>AL733+IF(Timeline!AL244=1,AK825,0)</f>
        <v>0</v>
      </c>
      <c r="AM756" s="10">
        <f>AM733+IF(Timeline!AM244=1,AL825,0)</f>
        <v>0</v>
      </c>
      <c r="AN756" s="10">
        <f>AN733+IF(Timeline!AN244=1,AM825,0)</f>
        <v>0</v>
      </c>
      <c r="AO756" s="10">
        <f>AO733+IF(Timeline!AO244=1,AN825,0)</f>
        <v>0</v>
      </c>
      <c r="AP756" s="10">
        <f>AP733+IF(Timeline!AP244=1,AO825,0)</f>
        <v>0</v>
      </c>
      <c r="AQ756" s="10">
        <f>AQ733+IF(Timeline!AQ244=1,AP825,0)</f>
        <v>0</v>
      </c>
      <c r="AR756" s="10">
        <f>AR733+IF(Timeline!AR244=1,AQ825,0)</f>
        <v>0</v>
      </c>
      <c r="AS756" s="10">
        <f>AS733+IF(Timeline!AS244=1,AR825,0)</f>
        <v>0</v>
      </c>
      <c r="AT756" s="10">
        <f>AT733+IF(Timeline!AT244=1,AS825,0)</f>
        <v>0</v>
      </c>
      <c r="AU756" s="10">
        <f>AU733+IF(Timeline!AU244=1,AT825,0)</f>
        <v>0</v>
      </c>
      <c r="AV756" s="10">
        <f>AV733+IF(Timeline!AV244=1,AU825,0)</f>
        <v>0</v>
      </c>
      <c r="AW756" s="10">
        <f>AW733+IF(Timeline!AW244=1,AV825,0)</f>
        <v>0</v>
      </c>
      <c r="AX756" s="10">
        <f>AX733+IF(Timeline!AX244=1,AW825,0)</f>
        <v>0</v>
      </c>
      <c r="AY756" s="10">
        <f>AY733+IF(Timeline!AY244=1,AX825,0)</f>
        <v>0</v>
      </c>
      <c r="AZ756" s="10">
        <f>AZ733+IF(Timeline!AZ244=1,AY825,0)</f>
        <v>0</v>
      </c>
      <c r="BA756" s="10">
        <f>BA733+IF(Timeline!BA244=1,AZ825,0)</f>
        <v>0</v>
      </c>
      <c r="BB756" s="10">
        <f>BB733+IF(Timeline!BB244=1,BA825,0)</f>
        <v>0</v>
      </c>
      <c r="BC756" s="10">
        <f>BC733+IF(Timeline!BC244=1,BB825,0)</f>
        <v>0</v>
      </c>
      <c r="BD756" s="10">
        <f>BD733+IF(Timeline!BD244=1,BC825,0)</f>
        <v>0</v>
      </c>
      <c r="BE756" s="10">
        <f>BE733+IF(Timeline!BE244=1,BD825,0)</f>
        <v>0</v>
      </c>
      <c r="BF756" s="10">
        <f>BF733+IF(Timeline!BF244=1,BE825,0)</f>
        <v>0</v>
      </c>
      <c r="BG756" s="10">
        <f>BG733+IF(Timeline!BG244=1,BF825,0)</f>
        <v>0</v>
      </c>
      <c r="BH756" s="10">
        <f>BH733+IF(Timeline!BH244=1,BG825,0)</f>
        <v>0</v>
      </c>
      <c r="BI756" s="10">
        <f>BI733+IF(Timeline!BI244=1,BH825,0)</f>
        <v>0</v>
      </c>
      <c r="BJ756" s="10">
        <f>BJ733+IF(Timeline!BJ244=1,BI825,0)</f>
        <v>0</v>
      </c>
      <c r="BK756" s="10">
        <f>BK733+IF(Timeline!BK244=1,BJ825,0)</f>
        <v>0</v>
      </c>
      <c r="BL756" s="10">
        <f>BL733+IF(Timeline!BL244=1,BK825,0)</f>
        <v>0</v>
      </c>
      <c r="BM756" s="10">
        <f>BM733+IF(Timeline!BM244=1,BL825,0)</f>
        <v>0</v>
      </c>
      <c r="BN756" s="10">
        <f>BN733+IF(Timeline!BN244=1,BM825,0)</f>
        <v>0</v>
      </c>
      <c r="BO756" s="10">
        <f>BO733+IF(Timeline!BO244=1,BN825,0)</f>
        <v>0</v>
      </c>
      <c r="BP756" s="10">
        <f>BP733+IF(Timeline!BP244=1,BO825,0)</f>
        <v>0</v>
      </c>
      <c r="BQ756" s="10">
        <f>BQ733+IF(Timeline!BQ244=1,BP825,0)</f>
        <v>0</v>
      </c>
      <c r="BR756" s="10">
        <f>BR733+IF(Timeline!BR244=1,BQ825,0)</f>
        <v>0</v>
      </c>
      <c r="BS756" s="10">
        <f>BS733+IF(Timeline!BS244=1,BR825,0)</f>
        <v>0</v>
      </c>
      <c r="BT756" s="10">
        <f>BT733+IF(Timeline!BT244=1,BS825,0)</f>
        <v>0</v>
      </c>
      <c r="BU756" s="10">
        <f>BU733+IF(Timeline!BU244=1,BT825,0)</f>
        <v>0</v>
      </c>
      <c r="BV756" s="10">
        <f>BV733+IF(Timeline!BV244=1,BU825,0)</f>
        <v>0</v>
      </c>
      <c r="BX756" s="106"/>
      <c r="BY756" s="12">
        <f t="shared" si="762"/>
        <v>0</v>
      </c>
      <c r="BZ756" s="12">
        <f t="shared" si="763"/>
        <v>0</v>
      </c>
      <c r="CA756" s="12">
        <f t="shared" si="764"/>
        <v>0</v>
      </c>
      <c r="CB756" s="133">
        <f t="shared" si="765"/>
        <v>0</v>
      </c>
      <c r="CC756" s="106"/>
      <c r="CD756" s="106"/>
      <c r="CE756" s="106"/>
      <c r="CF756" s="106"/>
      <c r="CG756" s="106"/>
      <c r="CH756" s="106"/>
      <c r="CI756" s="106"/>
      <c r="CK756" s="11"/>
      <c r="CM756" s="11"/>
      <c r="CV756" s="120"/>
      <c r="CW756" s="120"/>
      <c r="DF756" s="11"/>
      <c r="EY756" s="10" t="str">
        <f t="shared" si="766"/>
        <v/>
      </c>
    </row>
    <row r="757" spans="1:155" x14ac:dyDescent="0.35">
      <c r="A757" s="120"/>
      <c r="B757" s="69" t="str" cm="1">
        <f t="array" aca="1" ref="B757" ca="1">HYPERLINK(CONCATENATE("#",CELL("address",$D$360)),$D$360)</f>
        <v>Loan 17</v>
      </c>
      <c r="C757" s="211"/>
      <c r="D757" s="49">
        <f>D$29</f>
        <v>0</v>
      </c>
      <c r="E757" s="49" t="str">
        <f>F$29</f>
        <v/>
      </c>
      <c r="F757" s="49"/>
      <c r="I757" s="40" t="s">
        <v>665</v>
      </c>
      <c r="V757" s="106"/>
      <c r="W757" s="133">
        <f t="shared" si="761"/>
        <v>0</v>
      </c>
      <c r="X757" s="133">
        <f t="shared" si="761"/>
        <v>0</v>
      </c>
      <c r="Y757" s="133">
        <f t="shared" si="761"/>
        <v>0</v>
      </c>
      <c r="AA757" s="10">
        <f>AA734+IF(Timeline!AA245=1,Z826,0)</f>
        <v>0</v>
      </c>
      <c r="AB757" s="10">
        <f>AB734+IF(Timeline!AB245=1,AA826,0)</f>
        <v>0</v>
      </c>
      <c r="AC757" s="10">
        <f>AC734+IF(Timeline!AC245=1,AB826,0)</f>
        <v>0</v>
      </c>
      <c r="AD757" s="10">
        <f>AD734+IF(Timeline!AD245=1,AC826,0)</f>
        <v>0</v>
      </c>
      <c r="AE757" s="10">
        <f>AE734+IF(Timeline!AE245=1,AD826,0)</f>
        <v>0</v>
      </c>
      <c r="AF757" s="10">
        <f>AF734+IF(Timeline!AF245=1,AE826,0)</f>
        <v>0</v>
      </c>
      <c r="AG757" s="10">
        <f>AG734+IF(Timeline!AG245=1,AF826,0)</f>
        <v>0</v>
      </c>
      <c r="AH757" s="10">
        <f>AH734+IF(Timeline!AH245=1,AG826,0)</f>
        <v>0</v>
      </c>
      <c r="AI757" s="10">
        <f>AI734+IF(Timeline!AI245=1,AH826,0)</f>
        <v>0</v>
      </c>
      <c r="AJ757" s="10">
        <f>AJ734+IF(Timeline!AJ245=1,AI826,0)</f>
        <v>0</v>
      </c>
      <c r="AK757" s="10">
        <f>AK734+IF(Timeline!AK245=1,AJ826,0)</f>
        <v>0</v>
      </c>
      <c r="AL757" s="10">
        <f>AL734+IF(Timeline!AL245=1,AK826,0)</f>
        <v>0</v>
      </c>
      <c r="AM757" s="10">
        <f>AM734+IF(Timeline!AM245=1,AL826,0)</f>
        <v>0</v>
      </c>
      <c r="AN757" s="10">
        <f>AN734+IF(Timeline!AN245=1,AM826,0)</f>
        <v>0</v>
      </c>
      <c r="AO757" s="10">
        <f>AO734+IF(Timeline!AO245=1,AN826,0)</f>
        <v>0</v>
      </c>
      <c r="AP757" s="10">
        <f>AP734+IF(Timeline!AP245=1,AO826,0)</f>
        <v>0</v>
      </c>
      <c r="AQ757" s="10">
        <f>AQ734+IF(Timeline!AQ245=1,AP826,0)</f>
        <v>0</v>
      </c>
      <c r="AR757" s="10">
        <f>AR734+IF(Timeline!AR245=1,AQ826,0)</f>
        <v>0</v>
      </c>
      <c r="AS757" s="10">
        <f>AS734+IF(Timeline!AS245=1,AR826,0)</f>
        <v>0</v>
      </c>
      <c r="AT757" s="10">
        <f>AT734+IF(Timeline!AT245=1,AS826,0)</f>
        <v>0</v>
      </c>
      <c r="AU757" s="10">
        <f>AU734+IF(Timeline!AU245=1,AT826,0)</f>
        <v>0</v>
      </c>
      <c r="AV757" s="10">
        <f>AV734+IF(Timeline!AV245=1,AU826,0)</f>
        <v>0</v>
      </c>
      <c r="AW757" s="10">
        <f>AW734+IF(Timeline!AW245=1,AV826,0)</f>
        <v>0</v>
      </c>
      <c r="AX757" s="10">
        <f>AX734+IF(Timeline!AX245=1,AW826,0)</f>
        <v>0</v>
      </c>
      <c r="AY757" s="10">
        <f>AY734+IF(Timeline!AY245=1,AX826,0)</f>
        <v>0</v>
      </c>
      <c r="AZ757" s="10">
        <f>AZ734+IF(Timeline!AZ245=1,AY826,0)</f>
        <v>0</v>
      </c>
      <c r="BA757" s="10">
        <f>BA734+IF(Timeline!BA245=1,AZ826,0)</f>
        <v>0</v>
      </c>
      <c r="BB757" s="10">
        <f>BB734+IF(Timeline!BB245=1,BA826,0)</f>
        <v>0</v>
      </c>
      <c r="BC757" s="10">
        <f>BC734+IF(Timeline!BC245=1,BB826,0)</f>
        <v>0</v>
      </c>
      <c r="BD757" s="10">
        <f>BD734+IF(Timeline!BD245=1,BC826,0)</f>
        <v>0</v>
      </c>
      <c r="BE757" s="10">
        <f>BE734+IF(Timeline!BE245=1,BD826,0)</f>
        <v>0</v>
      </c>
      <c r="BF757" s="10">
        <f>BF734+IF(Timeline!BF245=1,BE826,0)</f>
        <v>0</v>
      </c>
      <c r="BG757" s="10">
        <f>BG734+IF(Timeline!BG245=1,BF826,0)</f>
        <v>0</v>
      </c>
      <c r="BH757" s="10">
        <f>BH734+IF(Timeline!BH245=1,BG826,0)</f>
        <v>0</v>
      </c>
      <c r="BI757" s="10">
        <f>BI734+IF(Timeline!BI245=1,BH826,0)</f>
        <v>0</v>
      </c>
      <c r="BJ757" s="10">
        <f>BJ734+IF(Timeline!BJ245=1,BI826,0)</f>
        <v>0</v>
      </c>
      <c r="BK757" s="10">
        <f>BK734+IF(Timeline!BK245=1,BJ826,0)</f>
        <v>0</v>
      </c>
      <c r="BL757" s="10">
        <f>BL734+IF(Timeline!BL245=1,BK826,0)</f>
        <v>0</v>
      </c>
      <c r="BM757" s="10">
        <f>BM734+IF(Timeline!BM245=1,BL826,0)</f>
        <v>0</v>
      </c>
      <c r="BN757" s="10">
        <f>BN734+IF(Timeline!BN245=1,BM826,0)</f>
        <v>0</v>
      </c>
      <c r="BO757" s="10">
        <f>BO734+IF(Timeline!BO245=1,BN826,0)</f>
        <v>0</v>
      </c>
      <c r="BP757" s="10">
        <f>BP734+IF(Timeline!BP245=1,BO826,0)</f>
        <v>0</v>
      </c>
      <c r="BQ757" s="10">
        <f>BQ734+IF(Timeline!BQ245=1,BP826,0)</f>
        <v>0</v>
      </c>
      <c r="BR757" s="10">
        <f>BR734+IF(Timeline!BR245=1,BQ826,0)</f>
        <v>0</v>
      </c>
      <c r="BS757" s="10">
        <f>BS734+IF(Timeline!BS245=1,BR826,0)</f>
        <v>0</v>
      </c>
      <c r="BT757" s="10">
        <f>BT734+IF(Timeline!BT245=1,BS826,0)</f>
        <v>0</v>
      </c>
      <c r="BU757" s="10">
        <f>BU734+IF(Timeline!BU245=1,BT826,0)</f>
        <v>0</v>
      </c>
      <c r="BV757" s="10">
        <f>BV734+IF(Timeline!BV245=1,BU826,0)</f>
        <v>0</v>
      </c>
      <c r="BX757" s="106"/>
      <c r="BY757" s="12">
        <f t="shared" si="762"/>
        <v>0</v>
      </c>
      <c r="BZ757" s="12">
        <f t="shared" si="763"/>
        <v>0</v>
      </c>
      <c r="CA757" s="12">
        <f t="shared" si="764"/>
        <v>0</v>
      </c>
      <c r="CB757" s="133">
        <f t="shared" si="765"/>
        <v>0</v>
      </c>
      <c r="CC757" s="106"/>
      <c r="CD757" s="106"/>
      <c r="CE757" s="106"/>
      <c r="CF757" s="106"/>
      <c r="CG757" s="106"/>
      <c r="CH757" s="106"/>
      <c r="CI757" s="106"/>
      <c r="CK757" s="11"/>
      <c r="CM757" s="11"/>
      <c r="CV757" s="120"/>
      <c r="CW757" s="120"/>
      <c r="DF757" s="11"/>
      <c r="EY757" s="10" t="str">
        <f t="shared" si="766"/>
        <v/>
      </c>
    </row>
    <row r="758" spans="1:155" x14ac:dyDescent="0.35">
      <c r="A758" s="120"/>
      <c r="B758" s="69" t="str" cm="1">
        <f t="array" aca="1" ref="B758" ca="1">HYPERLINK(CONCATENATE("#",CELL("address",$D$379)),$D$379)</f>
        <v>Loan 18</v>
      </c>
      <c r="C758" s="211"/>
      <c r="D758" s="49">
        <f>D$30</f>
        <v>0</v>
      </c>
      <c r="E758" s="49" t="str">
        <f>F$30</f>
        <v/>
      </c>
      <c r="F758" s="49"/>
      <c r="I758" s="40" t="s">
        <v>665</v>
      </c>
      <c r="V758" s="106"/>
      <c r="W758" s="133">
        <f t="shared" si="761"/>
        <v>0</v>
      </c>
      <c r="X758" s="133">
        <f t="shared" si="761"/>
        <v>0</v>
      </c>
      <c r="Y758" s="133">
        <f t="shared" si="761"/>
        <v>0</v>
      </c>
      <c r="AA758" s="10">
        <f>AA735+IF(Timeline!AA246=1,Z827,0)</f>
        <v>0</v>
      </c>
      <c r="AB758" s="10">
        <f>AB735+IF(Timeline!AB246=1,AA827,0)</f>
        <v>0</v>
      </c>
      <c r="AC758" s="10">
        <f>AC735+IF(Timeline!AC246=1,AB827,0)</f>
        <v>0</v>
      </c>
      <c r="AD758" s="10">
        <f>AD735+IF(Timeline!AD246=1,AC827,0)</f>
        <v>0</v>
      </c>
      <c r="AE758" s="10">
        <f>AE735+IF(Timeline!AE246=1,AD827,0)</f>
        <v>0</v>
      </c>
      <c r="AF758" s="10">
        <f>AF735+IF(Timeline!AF246=1,AE827,0)</f>
        <v>0</v>
      </c>
      <c r="AG758" s="10">
        <f>AG735+IF(Timeline!AG246=1,AF827,0)</f>
        <v>0</v>
      </c>
      <c r="AH758" s="10">
        <f>AH735+IF(Timeline!AH246=1,AG827,0)</f>
        <v>0</v>
      </c>
      <c r="AI758" s="10">
        <f>AI735+IF(Timeline!AI246=1,AH827,0)</f>
        <v>0</v>
      </c>
      <c r="AJ758" s="10">
        <f>AJ735+IF(Timeline!AJ246=1,AI827,0)</f>
        <v>0</v>
      </c>
      <c r="AK758" s="10">
        <f>AK735+IF(Timeline!AK246=1,AJ827,0)</f>
        <v>0</v>
      </c>
      <c r="AL758" s="10">
        <f>AL735+IF(Timeline!AL246=1,AK827,0)</f>
        <v>0</v>
      </c>
      <c r="AM758" s="10">
        <f>AM735+IF(Timeline!AM246=1,AL827,0)</f>
        <v>0</v>
      </c>
      <c r="AN758" s="10">
        <f>AN735+IF(Timeline!AN246=1,AM827,0)</f>
        <v>0</v>
      </c>
      <c r="AO758" s="10">
        <f>AO735+IF(Timeline!AO246=1,AN827,0)</f>
        <v>0</v>
      </c>
      <c r="AP758" s="10">
        <f>AP735+IF(Timeline!AP246=1,AO827,0)</f>
        <v>0</v>
      </c>
      <c r="AQ758" s="10">
        <f>AQ735+IF(Timeline!AQ246=1,AP827,0)</f>
        <v>0</v>
      </c>
      <c r="AR758" s="10">
        <f>AR735+IF(Timeline!AR246=1,AQ827,0)</f>
        <v>0</v>
      </c>
      <c r="AS758" s="10">
        <f>AS735+IF(Timeline!AS246=1,AR827,0)</f>
        <v>0</v>
      </c>
      <c r="AT758" s="10">
        <f>AT735+IF(Timeline!AT246=1,AS827,0)</f>
        <v>0</v>
      </c>
      <c r="AU758" s="10">
        <f>AU735+IF(Timeline!AU246=1,AT827,0)</f>
        <v>0</v>
      </c>
      <c r="AV758" s="10">
        <f>AV735+IF(Timeline!AV246=1,AU827,0)</f>
        <v>0</v>
      </c>
      <c r="AW758" s="10">
        <f>AW735+IF(Timeline!AW246=1,AV827,0)</f>
        <v>0</v>
      </c>
      <c r="AX758" s="10">
        <f>AX735+IF(Timeline!AX246=1,AW827,0)</f>
        <v>0</v>
      </c>
      <c r="AY758" s="10">
        <f>AY735+IF(Timeline!AY246=1,AX827,0)</f>
        <v>0</v>
      </c>
      <c r="AZ758" s="10">
        <f>AZ735+IF(Timeline!AZ246=1,AY827,0)</f>
        <v>0</v>
      </c>
      <c r="BA758" s="10">
        <f>BA735+IF(Timeline!BA246=1,AZ827,0)</f>
        <v>0</v>
      </c>
      <c r="BB758" s="10">
        <f>BB735+IF(Timeline!BB246=1,BA827,0)</f>
        <v>0</v>
      </c>
      <c r="BC758" s="10">
        <f>BC735+IF(Timeline!BC246=1,BB827,0)</f>
        <v>0</v>
      </c>
      <c r="BD758" s="10">
        <f>BD735+IF(Timeline!BD246=1,BC827,0)</f>
        <v>0</v>
      </c>
      <c r="BE758" s="10">
        <f>BE735+IF(Timeline!BE246=1,BD827,0)</f>
        <v>0</v>
      </c>
      <c r="BF758" s="10">
        <f>BF735+IF(Timeline!BF246=1,BE827,0)</f>
        <v>0</v>
      </c>
      <c r="BG758" s="10">
        <f>BG735+IF(Timeline!BG246=1,BF827,0)</f>
        <v>0</v>
      </c>
      <c r="BH758" s="10">
        <f>BH735+IF(Timeline!BH246=1,BG827,0)</f>
        <v>0</v>
      </c>
      <c r="BI758" s="10">
        <f>BI735+IF(Timeline!BI246=1,BH827,0)</f>
        <v>0</v>
      </c>
      <c r="BJ758" s="10">
        <f>BJ735+IF(Timeline!BJ246=1,BI827,0)</f>
        <v>0</v>
      </c>
      <c r="BK758" s="10">
        <f>BK735+IF(Timeline!BK246=1,BJ827,0)</f>
        <v>0</v>
      </c>
      <c r="BL758" s="10">
        <f>BL735+IF(Timeline!BL246=1,BK827,0)</f>
        <v>0</v>
      </c>
      <c r="BM758" s="10">
        <f>BM735+IF(Timeline!BM246=1,BL827,0)</f>
        <v>0</v>
      </c>
      <c r="BN758" s="10">
        <f>BN735+IF(Timeline!BN246=1,BM827,0)</f>
        <v>0</v>
      </c>
      <c r="BO758" s="10">
        <f>BO735+IF(Timeline!BO246=1,BN827,0)</f>
        <v>0</v>
      </c>
      <c r="BP758" s="10">
        <f>BP735+IF(Timeline!BP246=1,BO827,0)</f>
        <v>0</v>
      </c>
      <c r="BQ758" s="10">
        <f>BQ735+IF(Timeline!BQ246=1,BP827,0)</f>
        <v>0</v>
      </c>
      <c r="BR758" s="10">
        <f>BR735+IF(Timeline!BR246=1,BQ827,0)</f>
        <v>0</v>
      </c>
      <c r="BS758" s="10">
        <f>BS735+IF(Timeline!BS246=1,BR827,0)</f>
        <v>0</v>
      </c>
      <c r="BT758" s="10">
        <f>BT735+IF(Timeline!BT246=1,BS827,0)</f>
        <v>0</v>
      </c>
      <c r="BU758" s="10">
        <f>BU735+IF(Timeline!BU246=1,BT827,0)</f>
        <v>0</v>
      </c>
      <c r="BV758" s="10">
        <f>BV735+IF(Timeline!BV246=1,BU827,0)</f>
        <v>0</v>
      </c>
      <c r="BX758" s="106"/>
      <c r="BY758" s="12">
        <f t="shared" si="762"/>
        <v>0</v>
      </c>
      <c r="BZ758" s="12">
        <f t="shared" si="763"/>
        <v>0</v>
      </c>
      <c r="CA758" s="12">
        <f t="shared" si="764"/>
        <v>0</v>
      </c>
      <c r="CB758" s="133">
        <f t="shared" si="765"/>
        <v>0</v>
      </c>
      <c r="CC758" s="106"/>
      <c r="CD758" s="106"/>
      <c r="CE758" s="106"/>
      <c r="CF758" s="106"/>
      <c r="CG758" s="106"/>
      <c r="CH758" s="106"/>
      <c r="CI758" s="106"/>
      <c r="CK758" s="11"/>
      <c r="CM758" s="11"/>
      <c r="CV758" s="120"/>
      <c r="CW758" s="120"/>
      <c r="DF758" s="11"/>
      <c r="EY758" s="10" t="str">
        <f t="shared" si="766"/>
        <v/>
      </c>
    </row>
    <row r="759" spans="1:155" x14ac:dyDescent="0.35">
      <c r="A759" s="120"/>
      <c r="B759" s="69" t="str" cm="1">
        <f t="array" aca="1" ref="B759" ca="1">HYPERLINK(CONCATENATE("#",CELL("address",$D$398)),$D$398)</f>
        <v>Loan 19</v>
      </c>
      <c r="C759" s="211"/>
      <c r="D759" s="49">
        <f>D$31</f>
        <v>0</v>
      </c>
      <c r="E759" s="49" t="str">
        <f>F$31</f>
        <v/>
      </c>
      <c r="F759" s="49"/>
      <c r="I759" s="40" t="s">
        <v>665</v>
      </c>
      <c r="V759" s="106"/>
      <c r="W759" s="133">
        <f t="shared" si="761"/>
        <v>0</v>
      </c>
      <c r="X759" s="133">
        <f t="shared" si="761"/>
        <v>0</v>
      </c>
      <c r="Y759" s="133">
        <f t="shared" si="761"/>
        <v>0</v>
      </c>
      <c r="AA759" s="10">
        <f>AA736+IF(Timeline!AA247=1,Z828,0)</f>
        <v>0</v>
      </c>
      <c r="AB759" s="10">
        <f>AB736+IF(Timeline!AB247=1,AA828,0)</f>
        <v>0</v>
      </c>
      <c r="AC759" s="10">
        <f>AC736+IF(Timeline!AC247=1,AB828,0)</f>
        <v>0</v>
      </c>
      <c r="AD759" s="10">
        <f>AD736+IF(Timeline!AD247=1,AC828,0)</f>
        <v>0</v>
      </c>
      <c r="AE759" s="10">
        <f>AE736+IF(Timeline!AE247=1,AD828,0)</f>
        <v>0</v>
      </c>
      <c r="AF759" s="10">
        <f>AF736+IF(Timeline!AF247=1,AE828,0)</f>
        <v>0</v>
      </c>
      <c r="AG759" s="10">
        <f>AG736+IF(Timeline!AG247=1,AF828,0)</f>
        <v>0</v>
      </c>
      <c r="AH759" s="10">
        <f>AH736+IF(Timeline!AH247=1,AG828,0)</f>
        <v>0</v>
      </c>
      <c r="AI759" s="10">
        <f>AI736+IF(Timeline!AI247=1,AH828,0)</f>
        <v>0</v>
      </c>
      <c r="AJ759" s="10">
        <f>AJ736+IF(Timeline!AJ247=1,AI828,0)</f>
        <v>0</v>
      </c>
      <c r="AK759" s="10">
        <f>AK736+IF(Timeline!AK247=1,AJ828,0)</f>
        <v>0</v>
      </c>
      <c r="AL759" s="10">
        <f>AL736+IF(Timeline!AL247=1,AK828,0)</f>
        <v>0</v>
      </c>
      <c r="AM759" s="10">
        <f>AM736+IF(Timeline!AM247=1,AL828,0)</f>
        <v>0</v>
      </c>
      <c r="AN759" s="10">
        <f>AN736+IF(Timeline!AN247=1,AM828,0)</f>
        <v>0</v>
      </c>
      <c r="AO759" s="10">
        <f>AO736+IF(Timeline!AO247=1,AN828,0)</f>
        <v>0</v>
      </c>
      <c r="AP759" s="10">
        <f>AP736+IF(Timeline!AP247=1,AO828,0)</f>
        <v>0</v>
      </c>
      <c r="AQ759" s="10">
        <f>AQ736+IF(Timeline!AQ247=1,AP828,0)</f>
        <v>0</v>
      </c>
      <c r="AR759" s="10">
        <f>AR736+IF(Timeline!AR247=1,AQ828,0)</f>
        <v>0</v>
      </c>
      <c r="AS759" s="10">
        <f>AS736+IF(Timeline!AS247=1,AR828,0)</f>
        <v>0</v>
      </c>
      <c r="AT759" s="10">
        <f>AT736+IF(Timeline!AT247=1,AS828,0)</f>
        <v>0</v>
      </c>
      <c r="AU759" s="10">
        <f>AU736+IF(Timeline!AU247=1,AT828,0)</f>
        <v>0</v>
      </c>
      <c r="AV759" s="10">
        <f>AV736+IF(Timeline!AV247=1,AU828,0)</f>
        <v>0</v>
      </c>
      <c r="AW759" s="10">
        <f>AW736+IF(Timeline!AW247=1,AV828,0)</f>
        <v>0</v>
      </c>
      <c r="AX759" s="10">
        <f>AX736+IF(Timeline!AX247=1,AW828,0)</f>
        <v>0</v>
      </c>
      <c r="AY759" s="10">
        <f>AY736+IF(Timeline!AY247=1,AX828,0)</f>
        <v>0</v>
      </c>
      <c r="AZ759" s="10">
        <f>AZ736+IF(Timeline!AZ247=1,AY828,0)</f>
        <v>0</v>
      </c>
      <c r="BA759" s="10">
        <f>BA736+IF(Timeline!BA247=1,AZ828,0)</f>
        <v>0</v>
      </c>
      <c r="BB759" s="10">
        <f>BB736+IF(Timeline!BB247=1,BA828,0)</f>
        <v>0</v>
      </c>
      <c r="BC759" s="10">
        <f>BC736+IF(Timeline!BC247=1,BB828,0)</f>
        <v>0</v>
      </c>
      <c r="BD759" s="10">
        <f>BD736+IF(Timeline!BD247=1,BC828,0)</f>
        <v>0</v>
      </c>
      <c r="BE759" s="10">
        <f>BE736+IF(Timeline!BE247=1,BD828,0)</f>
        <v>0</v>
      </c>
      <c r="BF759" s="10">
        <f>BF736+IF(Timeline!BF247=1,BE828,0)</f>
        <v>0</v>
      </c>
      <c r="BG759" s="10">
        <f>BG736+IF(Timeline!BG247=1,BF828,0)</f>
        <v>0</v>
      </c>
      <c r="BH759" s="10">
        <f>BH736+IF(Timeline!BH247=1,BG828,0)</f>
        <v>0</v>
      </c>
      <c r="BI759" s="10">
        <f>BI736+IF(Timeline!BI247=1,BH828,0)</f>
        <v>0</v>
      </c>
      <c r="BJ759" s="10">
        <f>BJ736+IF(Timeline!BJ247=1,BI828,0)</f>
        <v>0</v>
      </c>
      <c r="BK759" s="10">
        <f>BK736+IF(Timeline!BK247=1,BJ828,0)</f>
        <v>0</v>
      </c>
      <c r="BL759" s="10">
        <f>BL736+IF(Timeline!BL247=1,BK828,0)</f>
        <v>0</v>
      </c>
      <c r="BM759" s="10">
        <f>BM736+IF(Timeline!BM247=1,BL828,0)</f>
        <v>0</v>
      </c>
      <c r="BN759" s="10">
        <f>BN736+IF(Timeline!BN247=1,BM828,0)</f>
        <v>0</v>
      </c>
      <c r="BO759" s="10">
        <f>BO736+IF(Timeline!BO247=1,BN828,0)</f>
        <v>0</v>
      </c>
      <c r="BP759" s="10">
        <f>BP736+IF(Timeline!BP247=1,BO828,0)</f>
        <v>0</v>
      </c>
      <c r="BQ759" s="10">
        <f>BQ736+IF(Timeline!BQ247=1,BP828,0)</f>
        <v>0</v>
      </c>
      <c r="BR759" s="10">
        <f>BR736+IF(Timeline!BR247=1,BQ828,0)</f>
        <v>0</v>
      </c>
      <c r="BS759" s="10">
        <f>BS736+IF(Timeline!BS247=1,BR828,0)</f>
        <v>0</v>
      </c>
      <c r="BT759" s="10">
        <f>BT736+IF(Timeline!BT247=1,BS828,0)</f>
        <v>0</v>
      </c>
      <c r="BU759" s="10">
        <f>BU736+IF(Timeline!BU247=1,BT828,0)</f>
        <v>0</v>
      </c>
      <c r="BV759" s="10">
        <f>BV736+IF(Timeline!BV247=1,BU828,0)</f>
        <v>0</v>
      </c>
      <c r="BX759" s="106"/>
      <c r="BY759" s="12">
        <f t="shared" si="762"/>
        <v>0</v>
      </c>
      <c r="BZ759" s="12">
        <f t="shared" si="763"/>
        <v>0</v>
      </c>
      <c r="CA759" s="12">
        <f t="shared" si="764"/>
        <v>0</v>
      </c>
      <c r="CB759" s="133">
        <f t="shared" si="765"/>
        <v>0</v>
      </c>
      <c r="CC759" s="106"/>
      <c r="CD759" s="106"/>
      <c r="CE759" s="106"/>
      <c r="CF759" s="106"/>
      <c r="CG759" s="106"/>
      <c r="CH759" s="106"/>
      <c r="CI759" s="106"/>
      <c r="CK759" s="11"/>
      <c r="CM759" s="11"/>
      <c r="CV759" s="120"/>
      <c r="CW759" s="120"/>
      <c r="DF759" s="11"/>
      <c r="EY759" s="10" t="str">
        <f t="shared" si="766"/>
        <v/>
      </c>
    </row>
    <row r="760" spans="1:155" x14ac:dyDescent="0.35">
      <c r="A760" s="120"/>
      <c r="B760" s="69" t="str" cm="1">
        <f t="array" aca="1" ref="B760" ca="1">HYPERLINK(CONCATENATE("#",CELL("address",$D$417)),$D$417)</f>
        <v>Loan 20</v>
      </c>
      <c r="C760" s="211"/>
      <c r="D760" s="49">
        <f>D$32</f>
        <v>0</v>
      </c>
      <c r="E760" s="49" t="str">
        <f>F$32</f>
        <v/>
      </c>
      <c r="F760" s="49"/>
      <c r="I760" s="40" t="s">
        <v>665</v>
      </c>
      <c r="V760" s="106"/>
      <c r="W760" s="133">
        <f t="shared" si="761"/>
        <v>0</v>
      </c>
      <c r="X760" s="133">
        <f t="shared" si="761"/>
        <v>0</v>
      </c>
      <c r="Y760" s="133">
        <f t="shared" si="761"/>
        <v>0</v>
      </c>
      <c r="AA760" s="10">
        <f>AA737+IF(Timeline!AA248=1,Z829,0)</f>
        <v>0</v>
      </c>
      <c r="AB760" s="10">
        <f>AB737+IF(Timeline!AB248=1,AA829,0)</f>
        <v>0</v>
      </c>
      <c r="AC760" s="10">
        <f>AC737+IF(Timeline!AC248=1,AB829,0)</f>
        <v>0</v>
      </c>
      <c r="AD760" s="10">
        <f>AD737+IF(Timeline!AD248=1,AC829,0)</f>
        <v>0</v>
      </c>
      <c r="AE760" s="10">
        <f>AE737+IF(Timeline!AE248=1,AD829,0)</f>
        <v>0</v>
      </c>
      <c r="AF760" s="10">
        <f>AF737+IF(Timeline!AF248=1,AE829,0)</f>
        <v>0</v>
      </c>
      <c r="AG760" s="10">
        <f>AG737+IF(Timeline!AG248=1,AF829,0)</f>
        <v>0</v>
      </c>
      <c r="AH760" s="10">
        <f>AH737+IF(Timeline!AH248=1,AG829,0)</f>
        <v>0</v>
      </c>
      <c r="AI760" s="10">
        <f>AI737+IF(Timeline!AI248=1,AH829,0)</f>
        <v>0</v>
      </c>
      <c r="AJ760" s="10">
        <f>AJ737+IF(Timeline!AJ248=1,AI829,0)</f>
        <v>0</v>
      </c>
      <c r="AK760" s="10">
        <f>AK737+IF(Timeline!AK248=1,AJ829,0)</f>
        <v>0</v>
      </c>
      <c r="AL760" s="10">
        <f>AL737+IF(Timeline!AL248=1,AK829,0)</f>
        <v>0</v>
      </c>
      <c r="AM760" s="10">
        <f>AM737+IF(Timeline!AM248=1,AL829,0)</f>
        <v>0</v>
      </c>
      <c r="AN760" s="10">
        <f>AN737+IF(Timeline!AN248=1,AM829,0)</f>
        <v>0</v>
      </c>
      <c r="AO760" s="10">
        <f>AO737+IF(Timeline!AO248=1,AN829,0)</f>
        <v>0</v>
      </c>
      <c r="AP760" s="10">
        <f>AP737+IF(Timeline!AP248=1,AO829,0)</f>
        <v>0</v>
      </c>
      <c r="AQ760" s="10">
        <f>AQ737+IF(Timeline!AQ248=1,AP829,0)</f>
        <v>0</v>
      </c>
      <c r="AR760" s="10">
        <f>AR737+IF(Timeline!AR248=1,AQ829,0)</f>
        <v>0</v>
      </c>
      <c r="AS760" s="10">
        <f>AS737+IF(Timeline!AS248=1,AR829,0)</f>
        <v>0</v>
      </c>
      <c r="AT760" s="10">
        <f>AT737+IF(Timeline!AT248=1,AS829,0)</f>
        <v>0</v>
      </c>
      <c r="AU760" s="10">
        <f>AU737+IF(Timeline!AU248=1,AT829,0)</f>
        <v>0</v>
      </c>
      <c r="AV760" s="10">
        <f>AV737+IF(Timeline!AV248=1,AU829,0)</f>
        <v>0</v>
      </c>
      <c r="AW760" s="10">
        <f>AW737+IF(Timeline!AW248=1,AV829,0)</f>
        <v>0</v>
      </c>
      <c r="AX760" s="10">
        <f>AX737+IF(Timeline!AX248=1,AW829,0)</f>
        <v>0</v>
      </c>
      <c r="AY760" s="10">
        <f>AY737+IF(Timeline!AY248=1,AX829,0)</f>
        <v>0</v>
      </c>
      <c r="AZ760" s="10">
        <f>AZ737+IF(Timeline!AZ248=1,AY829,0)</f>
        <v>0</v>
      </c>
      <c r="BA760" s="10">
        <f>BA737+IF(Timeline!BA248=1,AZ829,0)</f>
        <v>0</v>
      </c>
      <c r="BB760" s="10">
        <f>BB737+IF(Timeline!BB248=1,BA829,0)</f>
        <v>0</v>
      </c>
      <c r="BC760" s="10">
        <f>BC737+IF(Timeline!BC248=1,BB829,0)</f>
        <v>0</v>
      </c>
      <c r="BD760" s="10">
        <f>BD737+IF(Timeline!BD248=1,BC829,0)</f>
        <v>0</v>
      </c>
      <c r="BE760" s="10">
        <f>BE737+IF(Timeline!BE248=1,BD829,0)</f>
        <v>0</v>
      </c>
      <c r="BF760" s="10">
        <f>BF737+IF(Timeline!BF248=1,BE829,0)</f>
        <v>0</v>
      </c>
      <c r="BG760" s="10">
        <f>BG737+IF(Timeline!BG248=1,BF829,0)</f>
        <v>0</v>
      </c>
      <c r="BH760" s="10">
        <f>BH737+IF(Timeline!BH248=1,BG829,0)</f>
        <v>0</v>
      </c>
      <c r="BI760" s="10">
        <f>BI737+IF(Timeline!BI248=1,BH829,0)</f>
        <v>0</v>
      </c>
      <c r="BJ760" s="10">
        <f>BJ737+IF(Timeline!BJ248=1,BI829,0)</f>
        <v>0</v>
      </c>
      <c r="BK760" s="10">
        <f>BK737+IF(Timeline!BK248=1,BJ829,0)</f>
        <v>0</v>
      </c>
      <c r="BL760" s="10">
        <f>BL737+IF(Timeline!BL248=1,BK829,0)</f>
        <v>0</v>
      </c>
      <c r="BM760" s="10">
        <f>BM737+IF(Timeline!BM248=1,BL829,0)</f>
        <v>0</v>
      </c>
      <c r="BN760" s="10">
        <f>BN737+IF(Timeline!BN248=1,BM829,0)</f>
        <v>0</v>
      </c>
      <c r="BO760" s="10">
        <f>BO737+IF(Timeline!BO248=1,BN829,0)</f>
        <v>0</v>
      </c>
      <c r="BP760" s="10">
        <f>BP737+IF(Timeline!BP248=1,BO829,0)</f>
        <v>0</v>
      </c>
      <c r="BQ760" s="10">
        <f>BQ737+IF(Timeline!BQ248=1,BP829,0)</f>
        <v>0</v>
      </c>
      <c r="BR760" s="10">
        <f>BR737+IF(Timeline!BR248=1,BQ829,0)</f>
        <v>0</v>
      </c>
      <c r="BS760" s="10">
        <f>BS737+IF(Timeline!BS248=1,BR829,0)</f>
        <v>0</v>
      </c>
      <c r="BT760" s="10">
        <f>BT737+IF(Timeline!BT248=1,BS829,0)</f>
        <v>0</v>
      </c>
      <c r="BU760" s="10">
        <f>BU737+IF(Timeline!BU248=1,BT829,0)</f>
        <v>0</v>
      </c>
      <c r="BV760" s="10">
        <f>BV737+IF(Timeline!BV248=1,BU829,0)</f>
        <v>0</v>
      </c>
      <c r="BX760" s="106"/>
      <c r="BY760" s="12">
        <f t="shared" si="762"/>
        <v>0</v>
      </c>
      <c r="BZ760" s="12">
        <f t="shared" si="763"/>
        <v>0</v>
      </c>
      <c r="CA760" s="12">
        <f t="shared" si="764"/>
        <v>0</v>
      </c>
      <c r="CB760" s="133">
        <f t="shared" si="765"/>
        <v>0</v>
      </c>
      <c r="CC760" s="106"/>
      <c r="CD760" s="106"/>
      <c r="CE760" s="106"/>
      <c r="CF760" s="106"/>
      <c r="CG760" s="106"/>
      <c r="CH760" s="106"/>
      <c r="CI760" s="106"/>
      <c r="CK760" s="11"/>
      <c r="CM760" s="11"/>
      <c r="CV760" s="120"/>
      <c r="CW760" s="120"/>
      <c r="DF760" s="11"/>
      <c r="EY760" s="10" t="str">
        <f t="shared" si="766"/>
        <v/>
      </c>
    </row>
    <row r="761" spans="1:155" ht="6.75" customHeight="1" x14ac:dyDescent="0.35">
      <c r="A761" s="120"/>
      <c r="C761" s="211"/>
      <c r="D761" s="1"/>
      <c r="E761"/>
      <c r="F761"/>
      <c r="BY761" s="6"/>
      <c r="CK761" s="35"/>
      <c r="CM761" s="35"/>
      <c r="CV761" s="120"/>
      <c r="DF761" s="35"/>
      <c r="EY761" s="10" t="str">
        <f t="shared" si="766"/>
        <v/>
      </c>
    </row>
    <row r="762" spans="1:155" x14ac:dyDescent="0.35">
      <c r="C762" s="211"/>
      <c r="D762" s="50" t="s">
        <v>1243</v>
      </c>
      <c r="E762"/>
      <c r="F762"/>
      <c r="AT762" s="207"/>
      <c r="AU762" s="207"/>
      <c r="CK762" s="11"/>
      <c r="CM762" s="11"/>
      <c r="CV762" s="120"/>
      <c r="DF762" s="11"/>
      <c r="EY762" s="10" t="str">
        <f t="shared" si="766"/>
        <v/>
      </c>
    </row>
    <row r="763" spans="1:155" x14ac:dyDescent="0.35">
      <c r="B763" s="107" t="s">
        <v>1229</v>
      </c>
      <c r="C763" s="211"/>
      <c r="D763" s="107" t="str">
        <f>D$11</f>
        <v>Lender</v>
      </c>
      <c r="E763" s="61" t="str">
        <f>E$11</f>
        <v>Loan Category</v>
      </c>
      <c r="F763" s="61"/>
      <c r="G763" s="57"/>
      <c r="AA763" s="126" t="s">
        <v>122</v>
      </c>
      <c r="CK763" s="11"/>
      <c r="CM763" s="11"/>
      <c r="CV763" s="120"/>
      <c r="DF763" s="11"/>
      <c r="EY763" s="10" t="str">
        <f t="shared" si="766"/>
        <v/>
      </c>
    </row>
    <row r="764" spans="1:155" x14ac:dyDescent="0.35">
      <c r="B764" s="69" t="str" cm="1">
        <f t="array" aca="1" ref="B764" ca="1">HYPERLINK(CONCATENATE("#",CELL("address",$D$56)),$D$56)</f>
        <v>Loan 1</v>
      </c>
      <c r="C764" s="211"/>
      <c r="D764" s="49">
        <f>D$13</f>
        <v>0</v>
      </c>
      <c r="E764" s="49" t="str">
        <f>F$13</f>
        <v/>
      </c>
      <c r="F764" s="49"/>
      <c r="I764" s="40" t="s">
        <v>1079</v>
      </c>
      <c r="J764" s="54"/>
      <c r="V764" s="12">
        <f t="shared" ref="V764:V783" si="767">V578</f>
        <v>0</v>
      </c>
      <c r="W764" s="133">
        <f t="shared" ref="W764:Y783" si="768" xml:space="preserve"> SUMIFS($AA764:$BV764, $AA$3:$BV$3, W$3)</f>
        <v>0</v>
      </c>
      <c r="X764" s="133">
        <f t="shared" si="768"/>
        <v>0</v>
      </c>
      <c r="Y764" s="133">
        <f t="shared" si="768"/>
        <v>0</v>
      </c>
      <c r="AA764" s="10">
        <f t="shared" ref="AA764:BV764" si="769">IF(AA$4=0, AA578, 0-(Z810+AA695))</f>
        <v>0</v>
      </c>
      <c r="AB764" s="10">
        <f t="shared" si="769"/>
        <v>0</v>
      </c>
      <c r="AC764" s="10">
        <f t="shared" si="769"/>
        <v>0</v>
      </c>
      <c r="AD764" s="10">
        <f t="shared" si="769"/>
        <v>0</v>
      </c>
      <c r="AE764" s="10">
        <f t="shared" si="769"/>
        <v>0</v>
      </c>
      <c r="AF764" s="10">
        <f t="shared" si="769"/>
        <v>0</v>
      </c>
      <c r="AG764" s="10">
        <f t="shared" si="769"/>
        <v>0</v>
      </c>
      <c r="AH764" s="10">
        <f t="shared" si="769"/>
        <v>0</v>
      </c>
      <c r="AI764" s="10">
        <f t="shared" si="769"/>
        <v>0</v>
      </c>
      <c r="AJ764" s="10">
        <f t="shared" si="769"/>
        <v>0</v>
      </c>
      <c r="AK764" s="10">
        <f t="shared" si="769"/>
        <v>0</v>
      </c>
      <c r="AL764" s="10">
        <f t="shared" si="769"/>
        <v>0</v>
      </c>
      <c r="AM764" s="10">
        <f t="shared" si="769"/>
        <v>0</v>
      </c>
      <c r="AN764" s="10">
        <f t="shared" si="769"/>
        <v>0</v>
      </c>
      <c r="AO764" s="10">
        <f t="shared" si="769"/>
        <v>0</v>
      </c>
      <c r="AP764" s="10">
        <f t="shared" si="769"/>
        <v>0</v>
      </c>
      <c r="AQ764" s="10">
        <f t="shared" si="769"/>
        <v>0</v>
      </c>
      <c r="AR764" s="10">
        <f t="shared" si="769"/>
        <v>0</v>
      </c>
      <c r="AS764" s="10">
        <f t="shared" si="769"/>
        <v>0</v>
      </c>
      <c r="AT764" s="10">
        <f t="shared" si="769"/>
        <v>0</v>
      </c>
      <c r="AU764" s="10">
        <f t="shared" si="769"/>
        <v>0</v>
      </c>
      <c r="AV764" s="10">
        <f t="shared" si="769"/>
        <v>0</v>
      </c>
      <c r="AW764" s="10">
        <f t="shared" si="769"/>
        <v>0</v>
      </c>
      <c r="AX764" s="10">
        <f t="shared" si="769"/>
        <v>0</v>
      </c>
      <c r="AY764" s="10">
        <f t="shared" si="769"/>
        <v>0</v>
      </c>
      <c r="AZ764" s="10">
        <f t="shared" si="769"/>
        <v>0</v>
      </c>
      <c r="BA764" s="10">
        <f t="shared" si="769"/>
        <v>0</v>
      </c>
      <c r="BB764" s="10">
        <f t="shared" si="769"/>
        <v>0</v>
      </c>
      <c r="BC764" s="10">
        <f t="shared" si="769"/>
        <v>0</v>
      </c>
      <c r="BD764" s="10">
        <f t="shared" si="769"/>
        <v>0</v>
      </c>
      <c r="BE764" s="10">
        <f t="shared" si="769"/>
        <v>0</v>
      </c>
      <c r="BF764" s="10">
        <f t="shared" si="769"/>
        <v>0</v>
      </c>
      <c r="BG764" s="10">
        <f t="shared" si="769"/>
        <v>0</v>
      </c>
      <c r="BH764" s="10">
        <f t="shared" si="769"/>
        <v>0</v>
      </c>
      <c r="BI764" s="10">
        <f t="shared" si="769"/>
        <v>0</v>
      </c>
      <c r="BJ764" s="10">
        <f t="shared" si="769"/>
        <v>0</v>
      </c>
      <c r="BK764" s="10">
        <f t="shared" si="769"/>
        <v>0</v>
      </c>
      <c r="BL764" s="10">
        <f t="shared" si="769"/>
        <v>0</v>
      </c>
      <c r="BM764" s="10">
        <f t="shared" si="769"/>
        <v>0</v>
      </c>
      <c r="BN764" s="10">
        <f t="shared" si="769"/>
        <v>0</v>
      </c>
      <c r="BO764" s="10">
        <f t="shared" si="769"/>
        <v>0</v>
      </c>
      <c r="BP764" s="10">
        <f t="shared" si="769"/>
        <v>0</v>
      </c>
      <c r="BQ764" s="10">
        <f t="shared" si="769"/>
        <v>0</v>
      </c>
      <c r="BR764" s="10">
        <f t="shared" si="769"/>
        <v>0</v>
      </c>
      <c r="BS764" s="10">
        <f t="shared" si="769"/>
        <v>0</v>
      </c>
      <c r="BT764" s="10">
        <f t="shared" si="769"/>
        <v>0</v>
      </c>
      <c r="BU764" s="10">
        <f t="shared" si="769"/>
        <v>0</v>
      </c>
      <c r="BV764" s="10">
        <f t="shared" si="769"/>
        <v>0</v>
      </c>
      <c r="BX764" s="12">
        <f t="shared" ref="BX764:BX783" si="770">V764</f>
        <v>0</v>
      </c>
      <c r="BY764" s="12">
        <f t="shared" ref="BY764:BY783" si="771">W764</f>
        <v>0</v>
      </c>
      <c r="BZ764" s="12">
        <f t="shared" ref="BZ764:BZ783" si="772">X764</f>
        <v>0</v>
      </c>
      <c r="CA764" s="12">
        <f t="shared" ref="CA764:CA783" si="773">Y764</f>
        <v>0</v>
      </c>
      <c r="CB764" s="133">
        <f t="shared" ref="CB764:CB783" si="774" xml:space="preserve"> SUMIFS($AA764:$BV764, $AA$3:$BV$3, CB$3)</f>
        <v>0</v>
      </c>
      <c r="CC764" s="106"/>
      <c r="CD764" s="106"/>
      <c r="CE764" s="106"/>
      <c r="CF764" s="106"/>
      <c r="CG764" s="106"/>
      <c r="CH764" s="106"/>
      <c r="CI764" s="106"/>
      <c r="CK764" s="11"/>
      <c r="CM764" s="11"/>
      <c r="CV764" s="120"/>
      <c r="DF764" s="11"/>
      <c r="EY764" s="10" t="str">
        <f t="shared" si="766"/>
        <v/>
      </c>
    </row>
    <row r="765" spans="1:155" x14ac:dyDescent="0.35">
      <c r="B765" s="69" t="str" cm="1">
        <f t="array" aca="1" ref="B765" ca="1">HYPERLINK(CONCATENATE("#",CELL("address",$D$75)),$D$75)</f>
        <v>Loan 2</v>
      </c>
      <c r="C765" s="211"/>
      <c r="D765" s="49">
        <f>D$14</f>
        <v>0</v>
      </c>
      <c r="E765" s="49" t="str">
        <f>F$14</f>
        <v/>
      </c>
      <c r="F765" s="49"/>
      <c r="I765" s="40" t="s">
        <v>1079</v>
      </c>
      <c r="V765" s="12">
        <f t="shared" si="767"/>
        <v>0</v>
      </c>
      <c r="W765" s="133">
        <f t="shared" si="768"/>
        <v>0</v>
      </c>
      <c r="X765" s="133">
        <f t="shared" si="768"/>
        <v>0</v>
      </c>
      <c r="Y765" s="133">
        <f t="shared" si="768"/>
        <v>0</v>
      </c>
      <c r="AA765" s="10">
        <f t="shared" ref="AA765:BV765" si="775">IF(AA$4=0, AA579, 0-(Z811+AA696))</f>
        <v>0</v>
      </c>
      <c r="AB765" s="10">
        <f t="shared" si="775"/>
        <v>0</v>
      </c>
      <c r="AC765" s="10">
        <f t="shared" si="775"/>
        <v>0</v>
      </c>
      <c r="AD765" s="10">
        <f t="shared" si="775"/>
        <v>0</v>
      </c>
      <c r="AE765" s="10">
        <f t="shared" si="775"/>
        <v>0</v>
      </c>
      <c r="AF765" s="10">
        <f t="shared" si="775"/>
        <v>0</v>
      </c>
      <c r="AG765" s="10">
        <f t="shared" si="775"/>
        <v>0</v>
      </c>
      <c r="AH765" s="10">
        <f t="shared" si="775"/>
        <v>0</v>
      </c>
      <c r="AI765" s="10">
        <f t="shared" si="775"/>
        <v>0</v>
      </c>
      <c r="AJ765" s="10">
        <f t="shared" si="775"/>
        <v>0</v>
      </c>
      <c r="AK765" s="10">
        <f t="shared" si="775"/>
        <v>0</v>
      </c>
      <c r="AL765" s="10">
        <f t="shared" si="775"/>
        <v>0</v>
      </c>
      <c r="AM765" s="10">
        <f t="shared" si="775"/>
        <v>0</v>
      </c>
      <c r="AN765" s="10">
        <f t="shared" si="775"/>
        <v>0</v>
      </c>
      <c r="AO765" s="10">
        <f t="shared" si="775"/>
        <v>0</v>
      </c>
      <c r="AP765" s="10">
        <f t="shared" si="775"/>
        <v>0</v>
      </c>
      <c r="AQ765" s="10">
        <f t="shared" si="775"/>
        <v>0</v>
      </c>
      <c r="AR765" s="10">
        <f t="shared" si="775"/>
        <v>0</v>
      </c>
      <c r="AS765" s="10">
        <f t="shared" si="775"/>
        <v>0</v>
      </c>
      <c r="AT765" s="10">
        <f t="shared" si="775"/>
        <v>0</v>
      </c>
      <c r="AU765" s="10">
        <f t="shared" si="775"/>
        <v>0</v>
      </c>
      <c r="AV765" s="10">
        <f t="shared" si="775"/>
        <v>0</v>
      </c>
      <c r="AW765" s="10">
        <f t="shared" si="775"/>
        <v>0</v>
      </c>
      <c r="AX765" s="10">
        <f t="shared" si="775"/>
        <v>0</v>
      </c>
      <c r="AY765" s="10">
        <f t="shared" si="775"/>
        <v>0</v>
      </c>
      <c r="AZ765" s="10">
        <f t="shared" si="775"/>
        <v>0</v>
      </c>
      <c r="BA765" s="10">
        <f t="shared" si="775"/>
        <v>0</v>
      </c>
      <c r="BB765" s="10">
        <f t="shared" si="775"/>
        <v>0</v>
      </c>
      <c r="BC765" s="10">
        <f t="shared" si="775"/>
        <v>0</v>
      </c>
      <c r="BD765" s="10">
        <f t="shared" si="775"/>
        <v>0</v>
      </c>
      <c r="BE765" s="10">
        <f t="shared" si="775"/>
        <v>0</v>
      </c>
      <c r="BF765" s="10">
        <f t="shared" si="775"/>
        <v>0</v>
      </c>
      <c r="BG765" s="10">
        <f t="shared" si="775"/>
        <v>0</v>
      </c>
      <c r="BH765" s="10">
        <f t="shared" si="775"/>
        <v>0</v>
      </c>
      <c r="BI765" s="10">
        <f t="shared" si="775"/>
        <v>0</v>
      </c>
      <c r="BJ765" s="10">
        <f t="shared" si="775"/>
        <v>0</v>
      </c>
      <c r="BK765" s="10">
        <f t="shared" si="775"/>
        <v>0</v>
      </c>
      <c r="BL765" s="10">
        <f t="shared" si="775"/>
        <v>0</v>
      </c>
      <c r="BM765" s="10">
        <f t="shared" si="775"/>
        <v>0</v>
      </c>
      <c r="BN765" s="10">
        <f t="shared" si="775"/>
        <v>0</v>
      </c>
      <c r="BO765" s="10">
        <f t="shared" si="775"/>
        <v>0</v>
      </c>
      <c r="BP765" s="10">
        <f t="shared" si="775"/>
        <v>0</v>
      </c>
      <c r="BQ765" s="10">
        <f t="shared" si="775"/>
        <v>0</v>
      </c>
      <c r="BR765" s="10">
        <f t="shared" si="775"/>
        <v>0</v>
      </c>
      <c r="BS765" s="10">
        <f t="shared" si="775"/>
        <v>0</v>
      </c>
      <c r="BT765" s="10">
        <f t="shared" si="775"/>
        <v>0</v>
      </c>
      <c r="BU765" s="10">
        <f t="shared" si="775"/>
        <v>0</v>
      </c>
      <c r="BV765" s="10">
        <f t="shared" si="775"/>
        <v>0</v>
      </c>
      <c r="BX765" s="12">
        <f t="shared" si="770"/>
        <v>0</v>
      </c>
      <c r="BY765" s="12">
        <f t="shared" si="771"/>
        <v>0</v>
      </c>
      <c r="BZ765" s="12">
        <f t="shared" si="772"/>
        <v>0</v>
      </c>
      <c r="CA765" s="12">
        <f t="shared" si="773"/>
        <v>0</v>
      </c>
      <c r="CB765" s="133">
        <f t="shared" si="774"/>
        <v>0</v>
      </c>
      <c r="CC765" s="106"/>
      <c r="CD765" s="106"/>
      <c r="CE765" s="106"/>
      <c r="CF765" s="106"/>
      <c r="CG765" s="106"/>
      <c r="CH765" s="106"/>
      <c r="CI765" s="106"/>
      <c r="CK765" s="11"/>
      <c r="CM765" s="11"/>
      <c r="CV765" s="120"/>
      <c r="DF765" s="11"/>
      <c r="EY765" s="10" t="str">
        <f t="shared" si="766"/>
        <v/>
      </c>
    </row>
    <row r="766" spans="1:155" x14ac:dyDescent="0.35">
      <c r="B766" s="69" t="str" cm="1">
        <f t="array" aca="1" ref="B766" ca="1">HYPERLINK(CONCATENATE("#",CELL("address",$D$94)),$D$94)</f>
        <v>Loan 3</v>
      </c>
      <c r="C766" s="211"/>
      <c r="D766" s="49">
        <f>D$15</f>
        <v>0</v>
      </c>
      <c r="E766" s="49" t="str">
        <f>F$15</f>
        <v/>
      </c>
      <c r="F766" s="49"/>
      <c r="I766" s="40" t="s">
        <v>1079</v>
      </c>
      <c r="V766" s="12">
        <f t="shared" si="767"/>
        <v>0</v>
      </c>
      <c r="W766" s="133">
        <f t="shared" si="768"/>
        <v>0</v>
      </c>
      <c r="X766" s="133">
        <f t="shared" si="768"/>
        <v>0</v>
      </c>
      <c r="Y766" s="133">
        <f t="shared" si="768"/>
        <v>0</v>
      </c>
      <c r="AA766" s="10">
        <f t="shared" ref="AA766:BV766" si="776">IF(AA$4=0, AA580, 0-(Z812+AA697))</f>
        <v>0</v>
      </c>
      <c r="AB766" s="10">
        <f t="shared" si="776"/>
        <v>0</v>
      </c>
      <c r="AC766" s="10">
        <f t="shared" si="776"/>
        <v>0</v>
      </c>
      <c r="AD766" s="10">
        <f t="shared" si="776"/>
        <v>0</v>
      </c>
      <c r="AE766" s="10">
        <f t="shared" si="776"/>
        <v>0</v>
      </c>
      <c r="AF766" s="10">
        <f t="shared" si="776"/>
        <v>0</v>
      </c>
      <c r="AG766" s="10">
        <f t="shared" si="776"/>
        <v>0</v>
      </c>
      <c r="AH766" s="10">
        <f t="shared" si="776"/>
        <v>0</v>
      </c>
      <c r="AI766" s="10">
        <f t="shared" si="776"/>
        <v>0</v>
      </c>
      <c r="AJ766" s="10">
        <f t="shared" si="776"/>
        <v>0</v>
      </c>
      <c r="AK766" s="10">
        <f t="shared" si="776"/>
        <v>0</v>
      </c>
      <c r="AL766" s="10">
        <f t="shared" si="776"/>
        <v>0</v>
      </c>
      <c r="AM766" s="10">
        <f t="shared" si="776"/>
        <v>0</v>
      </c>
      <c r="AN766" s="10">
        <f t="shared" si="776"/>
        <v>0</v>
      </c>
      <c r="AO766" s="10">
        <f t="shared" si="776"/>
        <v>0</v>
      </c>
      <c r="AP766" s="10">
        <f t="shared" si="776"/>
        <v>0</v>
      </c>
      <c r="AQ766" s="10">
        <f t="shared" si="776"/>
        <v>0</v>
      </c>
      <c r="AR766" s="10">
        <f t="shared" si="776"/>
        <v>0</v>
      </c>
      <c r="AS766" s="10">
        <f t="shared" si="776"/>
        <v>0</v>
      </c>
      <c r="AT766" s="10">
        <f t="shared" si="776"/>
        <v>0</v>
      </c>
      <c r="AU766" s="10">
        <f t="shared" si="776"/>
        <v>0</v>
      </c>
      <c r="AV766" s="10">
        <f t="shared" si="776"/>
        <v>0</v>
      </c>
      <c r="AW766" s="10">
        <f t="shared" si="776"/>
        <v>0</v>
      </c>
      <c r="AX766" s="10">
        <f t="shared" si="776"/>
        <v>0</v>
      </c>
      <c r="AY766" s="10">
        <f t="shared" si="776"/>
        <v>0</v>
      </c>
      <c r="AZ766" s="10">
        <f t="shared" si="776"/>
        <v>0</v>
      </c>
      <c r="BA766" s="10">
        <f t="shared" si="776"/>
        <v>0</v>
      </c>
      <c r="BB766" s="10">
        <f t="shared" si="776"/>
        <v>0</v>
      </c>
      <c r="BC766" s="10">
        <f t="shared" si="776"/>
        <v>0</v>
      </c>
      <c r="BD766" s="10">
        <f t="shared" si="776"/>
        <v>0</v>
      </c>
      <c r="BE766" s="10">
        <f t="shared" si="776"/>
        <v>0</v>
      </c>
      <c r="BF766" s="10">
        <f t="shared" si="776"/>
        <v>0</v>
      </c>
      <c r="BG766" s="10">
        <f t="shared" si="776"/>
        <v>0</v>
      </c>
      <c r="BH766" s="10">
        <f t="shared" si="776"/>
        <v>0</v>
      </c>
      <c r="BI766" s="10">
        <f t="shared" si="776"/>
        <v>0</v>
      </c>
      <c r="BJ766" s="10">
        <f t="shared" si="776"/>
        <v>0</v>
      </c>
      <c r="BK766" s="10">
        <f t="shared" si="776"/>
        <v>0</v>
      </c>
      <c r="BL766" s="10">
        <f t="shared" si="776"/>
        <v>0</v>
      </c>
      <c r="BM766" s="10">
        <f t="shared" si="776"/>
        <v>0</v>
      </c>
      <c r="BN766" s="10">
        <f t="shared" si="776"/>
        <v>0</v>
      </c>
      <c r="BO766" s="10">
        <f t="shared" si="776"/>
        <v>0</v>
      </c>
      <c r="BP766" s="10">
        <f t="shared" si="776"/>
        <v>0</v>
      </c>
      <c r="BQ766" s="10">
        <f t="shared" si="776"/>
        <v>0</v>
      </c>
      <c r="BR766" s="10">
        <f t="shared" si="776"/>
        <v>0</v>
      </c>
      <c r="BS766" s="10">
        <f t="shared" si="776"/>
        <v>0</v>
      </c>
      <c r="BT766" s="10">
        <f t="shared" si="776"/>
        <v>0</v>
      </c>
      <c r="BU766" s="10">
        <f t="shared" si="776"/>
        <v>0</v>
      </c>
      <c r="BV766" s="10">
        <f t="shared" si="776"/>
        <v>0</v>
      </c>
      <c r="BX766" s="12">
        <f t="shared" si="770"/>
        <v>0</v>
      </c>
      <c r="BY766" s="12">
        <f t="shared" si="771"/>
        <v>0</v>
      </c>
      <c r="BZ766" s="12">
        <f t="shared" si="772"/>
        <v>0</v>
      </c>
      <c r="CA766" s="12">
        <f t="shared" si="773"/>
        <v>0</v>
      </c>
      <c r="CB766" s="133">
        <f t="shared" si="774"/>
        <v>0</v>
      </c>
      <c r="CC766" s="106"/>
      <c r="CD766" s="106"/>
      <c r="CE766" s="106"/>
      <c r="CF766" s="106"/>
      <c r="CG766" s="106"/>
      <c r="CH766" s="106"/>
      <c r="CI766" s="106"/>
      <c r="CK766" s="11"/>
      <c r="CM766" s="11"/>
      <c r="CV766" s="120"/>
      <c r="DF766" s="11"/>
      <c r="EY766" s="10" t="str">
        <f t="shared" si="766"/>
        <v/>
      </c>
    </row>
    <row r="767" spans="1:155" x14ac:dyDescent="0.35">
      <c r="B767" s="69" t="str" cm="1">
        <f t="array" aca="1" ref="B767" ca="1">HYPERLINK(CONCATENATE("#",CELL("address",$D$113)),$D$113)</f>
        <v>Loan 4</v>
      </c>
      <c r="C767" s="211"/>
      <c r="D767" s="49">
        <f>D$16</f>
        <v>0</v>
      </c>
      <c r="E767" s="49" t="str">
        <f>F$16</f>
        <v/>
      </c>
      <c r="F767" s="49"/>
      <c r="I767" s="40" t="s">
        <v>1079</v>
      </c>
      <c r="V767" s="12">
        <f t="shared" si="767"/>
        <v>0</v>
      </c>
      <c r="W767" s="133">
        <f t="shared" si="768"/>
        <v>0</v>
      </c>
      <c r="X767" s="133">
        <f t="shared" si="768"/>
        <v>0</v>
      </c>
      <c r="Y767" s="133">
        <f t="shared" si="768"/>
        <v>0</v>
      </c>
      <c r="AA767" s="10">
        <f t="shared" ref="AA767:BV767" si="777">IF(AA$4=0, AA581, 0-(Z813+AA698))</f>
        <v>0</v>
      </c>
      <c r="AB767" s="10">
        <f t="shared" si="777"/>
        <v>0</v>
      </c>
      <c r="AC767" s="10">
        <f t="shared" si="777"/>
        <v>0</v>
      </c>
      <c r="AD767" s="10">
        <f t="shared" si="777"/>
        <v>0</v>
      </c>
      <c r="AE767" s="10">
        <f t="shared" si="777"/>
        <v>0</v>
      </c>
      <c r="AF767" s="10">
        <f t="shared" si="777"/>
        <v>0</v>
      </c>
      <c r="AG767" s="10">
        <f t="shared" si="777"/>
        <v>0</v>
      </c>
      <c r="AH767" s="10">
        <f t="shared" si="777"/>
        <v>0</v>
      </c>
      <c r="AI767" s="10">
        <f t="shared" si="777"/>
        <v>0</v>
      </c>
      <c r="AJ767" s="10">
        <f t="shared" si="777"/>
        <v>0</v>
      </c>
      <c r="AK767" s="10">
        <f t="shared" si="777"/>
        <v>0</v>
      </c>
      <c r="AL767" s="10">
        <f t="shared" si="777"/>
        <v>0</v>
      </c>
      <c r="AM767" s="10">
        <f t="shared" si="777"/>
        <v>0</v>
      </c>
      <c r="AN767" s="10">
        <f t="shared" si="777"/>
        <v>0</v>
      </c>
      <c r="AO767" s="10">
        <f t="shared" si="777"/>
        <v>0</v>
      </c>
      <c r="AP767" s="10">
        <f t="shared" si="777"/>
        <v>0</v>
      </c>
      <c r="AQ767" s="10">
        <f t="shared" si="777"/>
        <v>0</v>
      </c>
      <c r="AR767" s="10">
        <f t="shared" si="777"/>
        <v>0</v>
      </c>
      <c r="AS767" s="10">
        <f t="shared" si="777"/>
        <v>0</v>
      </c>
      <c r="AT767" s="10">
        <f t="shared" si="777"/>
        <v>0</v>
      </c>
      <c r="AU767" s="10">
        <f t="shared" si="777"/>
        <v>0</v>
      </c>
      <c r="AV767" s="10">
        <f t="shared" si="777"/>
        <v>0</v>
      </c>
      <c r="AW767" s="10">
        <f t="shared" si="777"/>
        <v>0</v>
      </c>
      <c r="AX767" s="10">
        <f t="shared" si="777"/>
        <v>0</v>
      </c>
      <c r="AY767" s="10">
        <f t="shared" si="777"/>
        <v>0</v>
      </c>
      <c r="AZ767" s="10">
        <f t="shared" si="777"/>
        <v>0</v>
      </c>
      <c r="BA767" s="10">
        <f t="shared" si="777"/>
        <v>0</v>
      </c>
      <c r="BB767" s="10">
        <f t="shared" si="777"/>
        <v>0</v>
      </c>
      <c r="BC767" s="10">
        <f t="shared" si="777"/>
        <v>0</v>
      </c>
      <c r="BD767" s="10">
        <f t="shared" si="777"/>
        <v>0</v>
      </c>
      <c r="BE767" s="10">
        <f t="shared" si="777"/>
        <v>0</v>
      </c>
      <c r="BF767" s="10">
        <f t="shared" si="777"/>
        <v>0</v>
      </c>
      <c r="BG767" s="10">
        <f t="shared" si="777"/>
        <v>0</v>
      </c>
      <c r="BH767" s="10">
        <f t="shared" si="777"/>
        <v>0</v>
      </c>
      <c r="BI767" s="10">
        <f t="shared" si="777"/>
        <v>0</v>
      </c>
      <c r="BJ767" s="10">
        <f t="shared" si="777"/>
        <v>0</v>
      </c>
      <c r="BK767" s="10">
        <f t="shared" si="777"/>
        <v>0</v>
      </c>
      <c r="BL767" s="10">
        <f t="shared" si="777"/>
        <v>0</v>
      </c>
      <c r="BM767" s="10">
        <f t="shared" si="777"/>
        <v>0</v>
      </c>
      <c r="BN767" s="10">
        <f t="shared" si="777"/>
        <v>0</v>
      </c>
      <c r="BO767" s="10">
        <f t="shared" si="777"/>
        <v>0</v>
      </c>
      <c r="BP767" s="10">
        <f t="shared" si="777"/>
        <v>0</v>
      </c>
      <c r="BQ767" s="10">
        <f t="shared" si="777"/>
        <v>0</v>
      </c>
      <c r="BR767" s="10">
        <f t="shared" si="777"/>
        <v>0</v>
      </c>
      <c r="BS767" s="10">
        <f t="shared" si="777"/>
        <v>0</v>
      </c>
      <c r="BT767" s="10">
        <f t="shared" si="777"/>
        <v>0</v>
      </c>
      <c r="BU767" s="10">
        <f t="shared" si="777"/>
        <v>0</v>
      </c>
      <c r="BV767" s="10">
        <f t="shared" si="777"/>
        <v>0</v>
      </c>
      <c r="BX767" s="12">
        <f t="shared" si="770"/>
        <v>0</v>
      </c>
      <c r="BY767" s="12">
        <f t="shared" si="771"/>
        <v>0</v>
      </c>
      <c r="BZ767" s="12">
        <f t="shared" si="772"/>
        <v>0</v>
      </c>
      <c r="CA767" s="12">
        <f t="shared" si="773"/>
        <v>0</v>
      </c>
      <c r="CB767" s="133">
        <f t="shared" si="774"/>
        <v>0</v>
      </c>
      <c r="CC767" s="106"/>
      <c r="CD767" s="106"/>
      <c r="CE767" s="106"/>
      <c r="CF767" s="106"/>
      <c r="CG767" s="106"/>
      <c r="CH767" s="106"/>
      <c r="CI767" s="106"/>
      <c r="CK767" s="11"/>
      <c r="CM767" s="11"/>
      <c r="CV767" s="120"/>
      <c r="DF767" s="11"/>
      <c r="EY767" s="10" t="str">
        <f t="shared" si="766"/>
        <v/>
      </c>
    </row>
    <row r="768" spans="1:155" x14ac:dyDescent="0.35">
      <c r="B768" s="69" t="str" cm="1">
        <f t="array" aca="1" ref="B768" ca="1">HYPERLINK(CONCATENATE("#",CELL("address",$D$132)),$D$132)</f>
        <v>Loan 5</v>
      </c>
      <c r="C768" s="211"/>
      <c r="D768" s="49">
        <f>D$17</f>
        <v>0</v>
      </c>
      <c r="E768" s="49" t="str">
        <f>F$17</f>
        <v/>
      </c>
      <c r="F768" s="49"/>
      <c r="I768" s="40" t="s">
        <v>1079</v>
      </c>
      <c r="V768" s="12">
        <f t="shared" si="767"/>
        <v>0</v>
      </c>
      <c r="W768" s="133">
        <f t="shared" si="768"/>
        <v>0</v>
      </c>
      <c r="X768" s="133">
        <f t="shared" si="768"/>
        <v>0</v>
      </c>
      <c r="Y768" s="133">
        <f t="shared" si="768"/>
        <v>0</v>
      </c>
      <c r="AA768" s="10">
        <f t="shared" ref="AA768:BV768" si="778">IF(AA$4=0, AA582, 0-(Z814+AA699))</f>
        <v>0</v>
      </c>
      <c r="AB768" s="10">
        <f t="shared" si="778"/>
        <v>0</v>
      </c>
      <c r="AC768" s="10">
        <f t="shared" si="778"/>
        <v>0</v>
      </c>
      <c r="AD768" s="10">
        <f t="shared" si="778"/>
        <v>0</v>
      </c>
      <c r="AE768" s="10">
        <f t="shared" si="778"/>
        <v>0</v>
      </c>
      <c r="AF768" s="10">
        <f t="shared" si="778"/>
        <v>0</v>
      </c>
      <c r="AG768" s="10">
        <f t="shared" si="778"/>
        <v>0</v>
      </c>
      <c r="AH768" s="10">
        <f t="shared" si="778"/>
        <v>0</v>
      </c>
      <c r="AI768" s="10">
        <f t="shared" si="778"/>
        <v>0</v>
      </c>
      <c r="AJ768" s="10">
        <f t="shared" si="778"/>
        <v>0</v>
      </c>
      <c r="AK768" s="10">
        <f t="shared" si="778"/>
        <v>0</v>
      </c>
      <c r="AL768" s="10">
        <f t="shared" si="778"/>
        <v>0</v>
      </c>
      <c r="AM768" s="10">
        <f t="shared" si="778"/>
        <v>0</v>
      </c>
      <c r="AN768" s="10">
        <f t="shared" si="778"/>
        <v>0</v>
      </c>
      <c r="AO768" s="10">
        <f t="shared" si="778"/>
        <v>0</v>
      </c>
      <c r="AP768" s="10">
        <f t="shared" si="778"/>
        <v>0</v>
      </c>
      <c r="AQ768" s="10">
        <f t="shared" si="778"/>
        <v>0</v>
      </c>
      <c r="AR768" s="10">
        <f t="shared" si="778"/>
        <v>0</v>
      </c>
      <c r="AS768" s="10">
        <f t="shared" si="778"/>
        <v>0</v>
      </c>
      <c r="AT768" s="10">
        <f t="shared" si="778"/>
        <v>0</v>
      </c>
      <c r="AU768" s="10">
        <f t="shared" si="778"/>
        <v>0</v>
      </c>
      <c r="AV768" s="10">
        <f t="shared" si="778"/>
        <v>0</v>
      </c>
      <c r="AW768" s="10">
        <f t="shared" si="778"/>
        <v>0</v>
      </c>
      <c r="AX768" s="10">
        <f t="shared" si="778"/>
        <v>0</v>
      </c>
      <c r="AY768" s="10">
        <f t="shared" si="778"/>
        <v>0</v>
      </c>
      <c r="AZ768" s="10">
        <f t="shared" si="778"/>
        <v>0</v>
      </c>
      <c r="BA768" s="10">
        <f t="shared" si="778"/>
        <v>0</v>
      </c>
      <c r="BB768" s="10">
        <f t="shared" si="778"/>
        <v>0</v>
      </c>
      <c r="BC768" s="10">
        <f t="shared" si="778"/>
        <v>0</v>
      </c>
      <c r="BD768" s="10">
        <f t="shared" si="778"/>
        <v>0</v>
      </c>
      <c r="BE768" s="10">
        <f t="shared" si="778"/>
        <v>0</v>
      </c>
      <c r="BF768" s="10">
        <f t="shared" si="778"/>
        <v>0</v>
      </c>
      <c r="BG768" s="10">
        <f t="shared" si="778"/>
        <v>0</v>
      </c>
      <c r="BH768" s="10">
        <f t="shared" si="778"/>
        <v>0</v>
      </c>
      <c r="BI768" s="10">
        <f t="shared" si="778"/>
        <v>0</v>
      </c>
      <c r="BJ768" s="10">
        <f t="shared" si="778"/>
        <v>0</v>
      </c>
      <c r="BK768" s="10">
        <f t="shared" si="778"/>
        <v>0</v>
      </c>
      <c r="BL768" s="10">
        <f t="shared" si="778"/>
        <v>0</v>
      </c>
      <c r="BM768" s="10">
        <f t="shared" si="778"/>
        <v>0</v>
      </c>
      <c r="BN768" s="10">
        <f t="shared" si="778"/>
        <v>0</v>
      </c>
      <c r="BO768" s="10">
        <f t="shared" si="778"/>
        <v>0</v>
      </c>
      <c r="BP768" s="10">
        <f t="shared" si="778"/>
        <v>0</v>
      </c>
      <c r="BQ768" s="10">
        <f t="shared" si="778"/>
        <v>0</v>
      </c>
      <c r="BR768" s="10">
        <f t="shared" si="778"/>
        <v>0</v>
      </c>
      <c r="BS768" s="10">
        <f t="shared" si="778"/>
        <v>0</v>
      </c>
      <c r="BT768" s="10">
        <f t="shared" si="778"/>
        <v>0</v>
      </c>
      <c r="BU768" s="10">
        <f t="shared" si="778"/>
        <v>0</v>
      </c>
      <c r="BV768" s="10">
        <f t="shared" si="778"/>
        <v>0</v>
      </c>
      <c r="BX768" s="12">
        <f t="shared" si="770"/>
        <v>0</v>
      </c>
      <c r="BY768" s="12">
        <f t="shared" si="771"/>
        <v>0</v>
      </c>
      <c r="BZ768" s="12">
        <f t="shared" si="772"/>
        <v>0</v>
      </c>
      <c r="CA768" s="12">
        <f t="shared" si="773"/>
        <v>0</v>
      </c>
      <c r="CB768" s="133">
        <f t="shared" si="774"/>
        <v>0</v>
      </c>
      <c r="CC768" s="106"/>
      <c r="CD768" s="106"/>
      <c r="CE768" s="106"/>
      <c r="CF768" s="106"/>
      <c r="CG768" s="106"/>
      <c r="CH768" s="106"/>
      <c r="CI768" s="106"/>
      <c r="CK768" s="11"/>
      <c r="CM768" s="11"/>
      <c r="CV768" s="120"/>
      <c r="DF768" s="11"/>
      <c r="EY768" s="10" t="str">
        <f t="shared" si="766"/>
        <v/>
      </c>
    </row>
    <row r="769" spans="1:155" x14ac:dyDescent="0.35">
      <c r="B769" s="69" t="str" cm="1">
        <f t="array" aca="1" ref="B769" ca="1">HYPERLINK(CONCATENATE("#",CELL("address",$D$151)),$D$151)</f>
        <v>Loan 6</v>
      </c>
      <c r="C769" s="211"/>
      <c r="D769" s="49">
        <f>D$18</f>
        <v>0</v>
      </c>
      <c r="E769" s="49" t="str">
        <f>F$18</f>
        <v/>
      </c>
      <c r="F769" s="49"/>
      <c r="I769" s="40" t="s">
        <v>1079</v>
      </c>
      <c r="V769" s="12">
        <f t="shared" si="767"/>
        <v>0</v>
      </c>
      <c r="W769" s="133">
        <f t="shared" si="768"/>
        <v>0</v>
      </c>
      <c r="X769" s="133">
        <f t="shared" si="768"/>
        <v>0</v>
      </c>
      <c r="Y769" s="133">
        <f t="shared" si="768"/>
        <v>0</v>
      </c>
      <c r="AA769" s="10">
        <f t="shared" ref="AA769:BV769" si="779">IF(AA$4=0, AA583, 0-(Z815+AA700))</f>
        <v>0</v>
      </c>
      <c r="AB769" s="10">
        <f t="shared" si="779"/>
        <v>0</v>
      </c>
      <c r="AC769" s="10">
        <f t="shared" si="779"/>
        <v>0</v>
      </c>
      <c r="AD769" s="10">
        <f t="shared" si="779"/>
        <v>0</v>
      </c>
      <c r="AE769" s="10">
        <f t="shared" si="779"/>
        <v>0</v>
      </c>
      <c r="AF769" s="10">
        <f t="shared" si="779"/>
        <v>0</v>
      </c>
      <c r="AG769" s="10">
        <f t="shared" si="779"/>
        <v>0</v>
      </c>
      <c r="AH769" s="10">
        <f t="shared" si="779"/>
        <v>0</v>
      </c>
      <c r="AI769" s="10">
        <f t="shared" si="779"/>
        <v>0</v>
      </c>
      <c r="AJ769" s="10">
        <f t="shared" si="779"/>
        <v>0</v>
      </c>
      <c r="AK769" s="10">
        <f t="shared" si="779"/>
        <v>0</v>
      </c>
      <c r="AL769" s="10">
        <f t="shared" si="779"/>
        <v>0</v>
      </c>
      <c r="AM769" s="10">
        <f t="shared" si="779"/>
        <v>0</v>
      </c>
      <c r="AN769" s="10">
        <f t="shared" si="779"/>
        <v>0</v>
      </c>
      <c r="AO769" s="10">
        <f t="shared" si="779"/>
        <v>0</v>
      </c>
      <c r="AP769" s="10">
        <f t="shared" si="779"/>
        <v>0</v>
      </c>
      <c r="AQ769" s="10">
        <f t="shared" si="779"/>
        <v>0</v>
      </c>
      <c r="AR769" s="10">
        <f t="shared" si="779"/>
        <v>0</v>
      </c>
      <c r="AS769" s="10">
        <f t="shared" si="779"/>
        <v>0</v>
      </c>
      <c r="AT769" s="10">
        <f t="shared" si="779"/>
        <v>0</v>
      </c>
      <c r="AU769" s="10">
        <f t="shared" si="779"/>
        <v>0</v>
      </c>
      <c r="AV769" s="10">
        <f t="shared" si="779"/>
        <v>0</v>
      </c>
      <c r="AW769" s="10">
        <f t="shared" si="779"/>
        <v>0</v>
      </c>
      <c r="AX769" s="10">
        <f t="shared" si="779"/>
        <v>0</v>
      </c>
      <c r="AY769" s="10">
        <f t="shared" si="779"/>
        <v>0</v>
      </c>
      <c r="AZ769" s="10">
        <f t="shared" si="779"/>
        <v>0</v>
      </c>
      <c r="BA769" s="10">
        <f t="shared" si="779"/>
        <v>0</v>
      </c>
      <c r="BB769" s="10">
        <f t="shared" si="779"/>
        <v>0</v>
      </c>
      <c r="BC769" s="10">
        <f t="shared" si="779"/>
        <v>0</v>
      </c>
      <c r="BD769" s="10">
        <f t="shared" si="779"/>
        <v>0</v>
      </c>
      <c r="BE769" s="10">
        <f t="shared" si="779"/>
        <v>0</v>
      </c>
      <c r="BF769" s="10">
        <f t="shared" si="779"/>
        <v>0</v>
      </c>
      <c r="BG769" s="10">
        <f t="shared" si="779"/>
        <v>0</v>
      </c>
      <c r="BH769" s="10">
        <f t="shared" si="779"/>
        <v>0</v>
      </c>
      <c r="BI769" s="10">
        <f t="shared" si="779"/>
        <v>0</v>
      </c>
      <c r="BJ769" s="10">
        <f t="shared" si="779"/>
        <v>0</v>
      </c>
      <c r="BK769" s="10">
        <f t="shared" si="779"/>
        <v>0</v>
      </c>
      <c r="BL769" s="10">
        <f t="shared" si="779"/>
        <v>0</v>
      </c>
      <c r="BM769" s="10">
        <f t="shared" si="779"/>
        <v>0</v>
      </c>
      <c r="BN769" s="10">
        <f t="shared" si="779"/>
        <v>0</v>
      </c>
      <c r="BO769" s="10">
        <f t="shared" si="779"/>
        <v>0</v>
      </c>
      <c r="BP769" s="10">
        <f t="shared" si="779"/>
        <v>0</v>
      </c>
      <c r="BQ769" s="10">
        <f t="shared" si="779"/>
        <v>0</v>
      </c>
      <c r="BR769" s="10">
        <f t="shared" si="779"/>
        <v>0</v>
      </c>
      <c r="BS769" s="10">
        <f t="shared" si="779"/>
        <v>0</v>
      </c>
      <c r="BT769" s="10">
        <f t="shared" si="779"/>
        <v>0</v>
      </c>
      <c r="BU769" s="10">
        <f t="shared" si="779"/>
        <v>0</v>
      </c>
      <c r="BV769" s="10">
        <f t="shared" si="779"/>
        <v>0</v>
      </c>
      <c r="BX769" s="12">
        <f t="shared" si="770"/>
        <v>0</v>
      </c>
      <c r="BY769" s="12">
        <f t="shared" si="771"/>
        <v>0</v>
      </c>
      <c r="BZ769" s="12">
        <f t="shared" si="772"/>
        <v>0</v>
      </c>
      <c r="CA769" s="12">
        <f t="shared" si="773"/>
        <v>0</v>
      </c>
      <c r="CB769" s="133">
        <f t="shared" si="774"/>
        <v>0</v>
      </c>
      <c r="CC769" s="106"/>
      <c r="CD769" s="106"/>
      <c r="CE769" s="106"/>
      <c r="CF769" s="106"/>
      <c r="CG769" s="106"/>
      <c r="CH769" s="106"/>
      <c r="CI769" s="106"/>
      <c r="CK769" s="11"/>
      <c r="CM769" s="11"/>
      <c r="CV769" s="120"/>
      <c r="DF769" s="11"/>
      <c r="EY769" s="10" t="str">
        <f t="shared" si="766"/>
        <v/>
      </c>
    </row>
    <row r="770" spans="1:155" x14ac:dyDescent="0.35">
      <c r="B770" s="69" t="str" cm="1">
        <f t="array" aca="1" ref="B770" ca="1">HYPERLINK(CONCATENATE("#",CELL("address",$D$170)),$D$170)</f>
        <v>Loan 7</v>
      </c>
      <c r="C770" s="211"/>
      <c r="D770" s="49">
        <f>D$19</f>
        <v>0</v>
      </c>
      <c r="E770" s="49" t="str">
        <f>F$19</f>
        <v/>
      </c>
      <c r="F770" s="49"/>
      <c r="I770" s="40" t="s">
        <v>1079</v>
      </c>
      <c r="V770" s="12">
        <f t="shared" si="767"/>
        <v>0</v>
      </c>
      <c r="W770" s="133">
        <f t="shared" si="768"/>
        <v>0</v>
      </c>
      <c r="X770" s="133">
        <f t="shared" si="768"/>
        <v>0</v>
      </c>
      <c r="Y770" s="133">
        <f t="shared" si="768"/>
        <v>0</v>
      </c>
      <c r="AA770" s="10">
        <f t="shared" ref="AA770:BV770" si="780">IF(AA$4=0, AA584, 0-(Z816+AA701))</f>
        <v>0</v>
      </c>
      <c r="AB770" s="10">
        <f t="shared" si="780"/>
        <v>0</v>
      </c>
      <c r="AC770" s="10">
        <f t="shared" si="780"/>
        <v>0</v>
      </c>
      <c r="AD770" s="10">
        <f t="shared" si="780"/>
        <v>0</v>
      </c>
      <c r="AE770" s="10">
        <f t="shared" si="780"/>
        <v>0</v>
      </c>
      <c r="AF770" s="10">
        <f t="shared" si="780"/>
        <v>0</v>
      </c>
      <c r="AG770" s="10">
        <f t="shared" si="780"/>
        <v>0</v>
      </c>
      <c r="AH770" s="10">
        <f t="shared" si="780"/>
        <v>0</v>
      </c>
      <c r="AI770" s="10">
        <f t="shared" si="780"/>
        <v>0</v>
      </c>
      <c r="AJ770" s="10">
        <f t="shared" si="780"/>
        <v>0</v>
      </c>
      <c r="AK770" s="10">
        <f t="shared" si="780"/>
        <v>0</v>
      </c>
      <c r="AL770" s="10">
        <f t="shared" si="780"/>
        <v>0</v>
      </c>
      <c r="AM770" s="10">
        <f t="shared" si="780"/>
        <v>0</v>
      </c>
      <c r="AN770" s="10">
        <f t="shared" si="780"/>
        <v>0</v>
      </c>
      <c r="AO770" s="10">
        <f t="shared" si="780"/>
        <v>0</v>
      </c>
      <c r="AP770" s="10">
        <f t="shared" si="780"/>
        <v>0</v>
      </c>
      <c r="AQ770" s="10">
        <f t="shared" si="780"/>
        <v>0</v>
      </c>
      <c r="AR770" s="10">
        <f t="shared" si="780"/>
        <v>0</v>
      </c>
      <c r="AS770" s="10">
        <f t="shared" si="780"/>
        <v>0</v>
      </c>
      <c r="AT770" s="10">
        <f t="shared" si="780"/>
        <v>0</v>
      </c>
      <c r="AU770" s="10">
        <f t="shared" si="780"/>
        <v>0</v>
      </c>
      <c r="AV770" s="10">
        <f t="shared" si="780"/>
        <v>0</v>
      </c>
      <c r="AW770" s="10">
        <f t="shared" si="780"/>
        <v>0</v>
      </c>
      <c r="AX770" s="10">
        <f t="shared" si="780"/>
        <v>0</v>
      </c>
      <c r="AY770" s="10">
        <f t="shared" si="780"/>
        <v>0</v>
      </c>
      <c r="AZ770" s="10">
        <f t="shared" si="780"/>
        <v>0</v>
      </c>
      <c r="BA770" s="10">
        <f t="shared" si="780"/>
        <v>0</v>
      </c>
      <c r="BB770" s="10">
        <f t="shared" si="780"/>
        <v>0</v>
      </c>
      <c r="BC770" s="10">
        <f t="shared" si="780"/>
        <v>0</v>
      </c>
      <c r="BD770" s="10">
        <f t="shared" si="780"/>
        <v>0</v>
      </c>
      <c r="BE770" s="10">
        <f t="shared" si="780"/>
        <v>0</v>
      </c>
      <c r="BF770" s="10">
        <f t="shared" si="780"/>
        <v>0</v>
      </c>
      <c r="BG770" s="10">
        <f t="shared" si="780"/>
        <v>0</v>
      </c>
      <c r="BH770" s="10">
        <f t="shared" si="780"/>
        <v>0</v>
      </c>
      <c r="BI770" s="10">
        <f t="shared" si="780"/>
        <v>0</v>
      </c>
      <c r="BJ770" s="10">
        <f t="shared" si="780"/>
        <v>0</v>
      </c>
      <c r="BK770" s="10">
        <f t="shared" si="780"/>
        <v>0</v>
      </c>
      <c r="BL770" s="10">
        <f t="shared" si="780"/>
        <v>0</v>
      </c>
      <c r="BM770" s="10">
        <f t="shared" si="780"/>
        <v>0</v>
      </c>
      <c r="BN770" s="10">
        <f t="shared" si="780"/>
        <v>0</v>
      </c>
      <c r="BO770" s="10">
        <f t="shared" si="780"/>
        <v>0</v>
      </c>
      <c r="BP770" s="10">
        <f t="shared" si="780"/>
        <v>0</v>
      </c>
      <c r="BQ770" s="10">
        <f t="shared" si="780"/>
        <v>0</v>
      </c>
      <c r="BR770" s="10">
        <f t="shared" si="780"/>
        <v>0</v>
      </c>
      <c r="BS770" s="10">
        <f t="shared" si="780"/>
        <v>0</v>
      </c>
      <c r="BT770" s="10">
        <f t="shared" si="780"/>
        <v>0</v>
      </c>
      <c r="BU770" s="10">
        <f t="shared" si="780"/>
        <v>0</v>
      </c>
      <c r="BV770" s="10">
        <f t="shared" si="780"/>
        <v>0</v>
      </c>
      <c r="BX770" s="12">
        <f t="shared" si="770"/>
        <v>0</v>
      </c>
      <c r="BY770" s="12">
        <f t="shared" si="771"/>
        <v>0</v>
      </c>
      <c r="BZ770" s="12">
        <f t="shared" si="772"/>
        <v>0</v>
      </c>
      <c r="CA770" s="12">
        <f t="shared" si="773"/>
        <v>0</v>
      </c>
      <c r="CB770" s="133">
        <f t="shared" si="774"/>
        <v>0</v>
      </c>
      <c r="CC770" s="106"/>
      <c r="CD770" s="106"/>
      <c r="CE770" s="106"/>
      <c r="CF770" s="106"/>
      <c r="CG770" s="106"/>
      <c r="CH770" s="106"/>
      <c r="CI770" s="106"/>
      <c r="CK770" s="11"/>
      <c r="CM770" s="11"/>
      <c r="CV770" s="120"/>
      <c r="DF770" s="11"/>
      <c r="EY770" s="10" t="str">
        <f t="shared" si="766"/>
        <v/>
      </c>
    </row>
    <row r="771" spans="1:155" x14ac:dyDescent="0.35">
      <c r="B771" s="69" t="str" cm="1">
        <f t="array" aca="1" ref="B771" ca="1">HYPERLINK(CONCATENATE("#",CELL("address",$D$189)),$D$189)</f>
        <v>Loan 8</v>
      </c>
      <c r="C771" s="211"/>
      <c r="D771" s="49">
        <f>D$20</f>
        <v>0</v>
      </c>
      <c r="E771" s="49" t="str">
        <f>F$20</f>
        <v/>
      </c>
      <c r="F771" s="49"/>
      <c r="I771" s="40" t="s">
        <v>1079</v>
      </c>
      <c r="V771" s="12">
        <f t="shared" si="767"/>
        <v>0</v>
      </c>
      <c r="W771" s="133">
        <f t="shared" si="768"/>
        <v>0</v>
      </c>
      <c r="X771" s="133">
        <f t="shared" si="768"/>
        <v>0</v>
      </c>
      <c r="Y771" s="133">
        <f t="shared" si="768"/>
        <v>0</v>
      </c>
      <c r="AA771" s="10">
        <f t="shared" ref="AA771:BV771" si="781">IF(AA$4=0, AA585, 0-(Z817+AA702))</f>
        <v>0</v>
      </c>
      <c r="AB771" s="10">
        <f t="shared" si="781"/>
        <v>0</v>
      </c>
      <c r="AC771" s="10">
        <f t="shared" si="781"/>
        <v>0</v>
      </c>
      <c r="AD771" s="10">
        <f t="shared" si="781"/>
        <v>0</v>
      </c>
      <c r="AE771" s="10">
        <f t="shared" si="781"/>
        <v>0</v>
      </c>
      <c r="AF771" s="10">
        <f t="shared" si="781"/>
        <v>0</v>
      </c>
      <c r="AG771" s="10">
        <f t="shared" si="781"/>
        <v>0</v>
      </c>
      <c r="AH771" s="10">
        <f t="shared" si="781"/>
        <v>0</v>
      </c>
      <c r="AI771" s="10">
        <f t="shared" si="781"/>
        <v>0</v>
      </c>
      <c r="AJ771" s="10">
        <f t="shared" si="781"/>
        <v>0</v>
      </c>
      <c r="AK771" s="10">
        <f t="shared" si="781"/>
        <v>0</v>
      </c>
      <c r="AL771" s="10">
        <f t="shared" si="781"/>
        <v>0</v>
      </c>
      <c r="AM771" s="10">
        <f t="shared" si="781"/>
        <v>0</v>
      </c>
      <c r="AN771" s="10">
        <f t="shared" si="781"/>
        <v>0</v>
      </c>
      <c r="AO771" s="10">
        <f t="shared" si="781"/>
        <v>0</v>
      </c>
      <c r="AP771" s="10">
        <f t="shared" si="781"/>
        <v>0</v>
      </c>
      <c r="AQ771" s="10">
        <f t="shared" si="781"/>
        <v>0</v>
      </c>
      <c r="AR771" s="10">
        <f t="shared" si="781"/>
        <v>0</v>
      </c>
      <c r="AS771" s="10">
        <f t="shared" si="781"/>
        <v>0</v>
      </c>
      <c r="AT771" s="10">
        <f t="shared" si="781"/>
        <v>0</v>
      </c>
      <c r="AU771" s="10">
        <f t="shared" si="781"/>
        <v>0</v>
      </c>
      <c r="AV771" s="10">
        <f t="shared" si="781"/>
        <v>0</v>
      </c>
      <c r="AW771" s="10">
        <f t="shared" si="781"/>
        <v>0</v>
      </c>
      <c r="AX771" s="10">
        <f t="shared" si="781"/>
        <v>0</v>
      </c>
      <c r="AY771" s="10">
        <f t="shared" si="781"/>
        <v>0</v>
      </c>
      <c r="AZ771" s="10">
        <f t="shared" si="781"/>
        <v>0</v>
      </c>
      <c r="BA771" s="10">
        <f t="shared" si="781"/>
        <v>0</v>
      </c>
      <c r="BB771" s="10">
        <f t="shared" si="781"/>
        <v>0</v>
      </c>
      <c r="BC771" s="10">
        <f t="shared" si="781"/>
        <v>0</v>
      </c>
      <c r="BD771" s="10">
        <f t="shared" si="781"/>
        <v>0</v>
      </c>
      <c r="BE771" s="10">
        <f t="shared" si="781"/>
        <v>0</v>
      </c>
      <c r="BF771" s="10">
        <f t="shared" si="781"/>
        <v>0</v>
      </c>
      <c r="BG771" s="10">
        <f t="shared" si="781"/>
        <v>0</v>
      </c>
      <c r="BH771" s="10">
        <f t="shared" si="781"/>
        <v>0</v>
      </c>
      <c r="BI771" s="10">
        <f t="shared" si="781"/>
        <v>0</v>
      </c>
      <c r="BJ771" s="10">
        <f t="shared" si="781"/>
        <v>0</v>
      </c>
      <c r="BK771" s="10">
        <f t="shared" si="781"/>
        <v>0</v>
      </c>
      <c r="BL771" s="10">
        <f t="shared" si="781"/>
        <v>0</v>
      </c>
      <c r="BM771" s="10">
        <f t="shared" si="781"/>
        <v>0</v>
      </c>
      <c r="BN771" s="10">
        <f t="shared" si="781"/>
        <v>0</v>
      </c>
      <c r="BO771" s="10">
        <f t="shared" si="781"/>
        <v>0</v>
      </c>
      <c r="BP771" s="10">
        <f t="shared" si="781"/>
        <v>0</v>
      </c>
      <c r="BQ771" s="10">
        <f t="shared" si="781"/>
        <v>0</v>
      </c>
      <c r="BR771" s="10">
        <f t="shared" si="781"/>
        <v>0</v>
      </c>
      <c r="BS771" s="10">
        <f t="shared" si="781"/>
        <v>0</v>
      </c>
      <c r="BT771" s="10">
        <f t="shared" si="781"/>
        <v>0</v>
      </c>
      <c r="BU771" s="10">
        <f t="shared" si="781"/>
        <v>0</v>
      </c>
      <c r="BV771" s="10">
        <f t="shared" si="781"/>
        <v>0</v>
      </c>
      <c r="BX771" s="12">
        <f t="shared" si="770"/>
        <v>0</v>
      </c>
      <c r="BY771" s="12">
        <f t="shared" si="771"/>
        <v>0</v>
      </c>
      <c r="BZ771" s="12">
        <f t="shared" si="772"/>
        <v>0</v>
      </c>
      <c r="CA771" s="12">
        <f t="shared" si="773"/>
        <v>0</v>
      </c>
      <c r="CB771" s="133">
        <f t="shared" si="774"/>
        <v>0</v>
      </c>
      <c r="CC771" s="106"/>
      <c r="CD771" s="106"/>
      <c r="CE771" s="106"/>
      <c r="CF771" s="106"/>
      <c r="CG771" s="106"/>
      <c r="CH771" s="106"/>
      <c r="CI771" s="106"/>
      <c r="CK771" s="11"/>
      <c r="CM771" s="11"/>
      <c r="CV771" s="120"/>
      <c r="DF771" s="11"/>
      <c r="EY771" s="10" t="str">
        <f t="shared" si="766"/>
        <v/>
      </c>
    </row>
    <row r="772" spans="1:155" x14ac:dyDescent="0.35">
      <c r="B772" s="69" t="str" cm="1">
        <f t="array" aca="1" ref="B772" ca="1">HYPERLINK(CONCATENATE("#",CELL("address",$D$208)),$D$208)</f>
        <v>Loan 9</v>
      </c>
      <c r="C772" s="211"/>
      <c r="D772" s="49">
        <f>D$21</f>
        <v>0</v>
      </c>
      <c r="E772" s="49" t="str">
        <f>F$21</f>
        <v/>
      </c>
      <c r="F772" s="49"/>
      <c r="I772" s="40" t="s">
        <v>1079</v>
      </c>
      <c r="V772" s="12">
        <f t="shared" si="767"/>
        <v>0</v>
      </c>
      <c r="W772" s="133">
        <f t="shared" si="768"/>
        <v>0</v>
      </c>
      <c r="X772" s="133">
        <f t="shared" si="768"/>
        <v>0</v>
      </c>
      <c r="Y772" s="133">
        <f t="shared" si="768"/>
        <v>0</v>
      </c>
      <c r="AA772" s="10">
        <f t="shared" ref="AA772:BV772" si="782">IF(AA$4=0, AA586, 0-(Z818+AA703))</f>
        <v>0</v>
      </c>
      <c r="AB772" s="10">
        <f t="shared" si="782"/>
        <v>0</v>
      </c>
      <c r="AC772" s="10">
        <f t="shared" si="782"/>
        <v>0</v>
      </c>
      <c r="AD772" s="10">
        <f t="shared" si="782"/>
        <v>0</v>
      </c>
      <c r="AE772" s="10">
        <f t="shared" si="782"/>
        <v>0</v>
      </c>
      <c r="AF772" s="10">
        <f t="shared" si="782"/>
        <v>0</v>
      </c>
      <c r="AG772" s="10">
        <f t="shared" si="782"/>
        <v>0</v>
      </c>
      <c r="AH772" s="10">
        <f t="shared" si="782"/>
        <v>0</v>
      </c>
      <c r="AI772" s="10">
        <f t="shared" si="782"/>
        <v>0</v>
      </c>
      <c r="AJ772" s="10">
        <f t="shared" si="782"/>
        <v>0</v>
      </c>
      <c r="AK772" s="10">
        <f t="shared" si="782"/>
        <v>0</v>
      </c>
      <c r="AL772" s="10">
        <f t="shared" si="782"/>
        <v>0</v>
      </c>
      <c r="AM772" s="10">
        <f t="shared" si="782"/>
        <v>0</v>
      </c>
      <c r="AN772" s="10">
        <f t="shared" si="782"/>
        <v>0</v>
      </c>
      <c r="AO772" s="10">
        <f t="shared" si="782"/>
        <v>0</v>
      </c>
      <c r="AP772" s="10">
        <f t="shared" si="782"/>
        <v>0</v>
      </c>
      <c r="AQ772" s="10">
        <f t="shared" si="782"/>
        <v>0</v>
      </c>
      <c r="AR772" s="10">
        <f t="shared" si="782"/>
        <v>0</v>
      </c>
      <c r="AS772" s="10">
        <f t="shared" si="782"/>
        <v>0</v>
      </c>
      <c r="AT772" s="10">
        <f t="shared" si="782"/>
        <v>0</v>
      </c>
      <c r="AU772" s="10">
        <f t="shared" si="782"/>
        <v>0</v>
      </c>
      <c r="AV772" s="10">
        <f t="shared" si="782"/>
        <v>0</v>
      </c>
      <c r="AW772" s="10">
        <f t="shared" si="782"/>
        <v>0</v>
      </c>
      <c r="AX772" s="10">
        <f t="shared" si="782"/>
        <v>0</v>
      </c>
      <c r="AY772" s="10">
        <f t="shared" si="782"/>
        <v>0</v>
      </c>
      <c r="AZ772" s="10">
        <f t="shared" si="782"/>
        <v>0</v>
      </c>
      <c r="BA772" s="10">
        <f t="shared" si="782"/>
        <v>0</v>
      </c>
      <c r="BB772" s="10">
        <f t="shared" si="782"/>
        <v>0</v>
      </c>
      <c r="BC772" s="10">
        <f t="shared" si="782"/>
        <v>0</v>
      </c>
      <c r="BD772" s="10">
        <f t="shared" si="782"/>
        <v>0</v>
      </c>
      <c r="BE772" s="10">
        <f t="shared" si="782"/>
        <v>0</v>
      </c>
      <c r="BF772" s="10">
        <f t="shared" si="782"/>
        <v>0</v>
      </c>
      <c r="BG772" s="10">
        <f t="shared" si="782"/>
        <v>0</v>
      </c>
      <c r="BH772" s="10">
        <f t="shared" si="782"/>
        <v>0</v>
      </c>
      <c r="BI772" s="10">
        <f t="shared" si="782"/>
        <v>0</v>
      </c>
      <c r="BJ772" s="10">
        <f t="shared" si="782"/>
        <v>0</v>
      </c>
      <c r="BK772" s="10">
        <f t="shared" si="782"/>
        <v>0</v>
      </c>
      <c r="BL772" s="10">
        <f t="shared" si="782"/>
        <v>0</v>
      </c>
      <c r="BM772" s="10">
        <f t="shared" si="782"/>
        <v>0</v>
      </c>
      <c r="BN772" s="10">
        <f t="shared" si="782"/>
        <v>0</v>
      </c>
      <c r="BO772" s="10">
        <f t="shared" si="782"/>
        <v>0</v>
      </c>
      <c r="BP772" s="10">
        <f t="shared" si="782"/>
        <v>0</v>
      </c>
      <c r="BQ772" s="10">
        <f t="shared" si="782"/>
        <v>0</v>
      </c>
      <c r="BR772" s="10">
        <f t="shared" si="782"/>
        <v>0</v>
      </c>
      <c r="BS772" s="10">
        <f t="shared" si="782"/>
        <v>0</v>
      </c>
      <c r="BT772" s="10">
        <f t="shared" si="782"/>
        <v>0</v>
      </c>
      <c r="BU772" s="10">
        <f t="shared" si="782"/>
        <v>0</v>
      </c>
      <c r="BV772" s="10">
        <f t="shared" si="782"/>
        <v>0</v>
      </c>
      <c r="BX772" s="12">
        <f t="shared" si="770"/>
        <v>0</v>
      </c>
      <c r="BY772" s="12">
        <f t="shared" si="771"/>
        <v>0</v>
      </c>
      <c r="BZ772" s="12">
        <f t="shared" si="772"/>
        <v>0</v>
      </c>
      <c r="CA772" s="12">
        <f t="shared" si="773"/>
        <v>0</v>
      </c>
      <c r="CB772" s="133">
        <f t="shared" si="774"/>
        <v>0</v>
      </c>
      <c r="CC772" s="106"/>
      <c r="CD772" s="106"/>
      <c r="CE772" s="106"/>
      <c r="CF772" s="106"/>
      <c r="CG772" s="106"/>
      <c r="CH772" s="106"/>
      <c r="CI772" s="106"/>
      <c r="CK772" s="11"/>
      <c r="CM772" s="11"/>
      <c r="CV772" s="120"/>
      <c r="DF772" s="11"/>
      <c r="EY772" s="10" t="str">
        <f t="shared" si="766"/>
        <v/>
      </c>
    </row>
    <row r="773" spans="1:155" x14ac:dyDescent="0.35">
      <c r="B773" s="69" t="str" cm="1">
        <f t="array" aca="1" ref="B773" ca="1">HYPERLINK(CONCATENATE("#",CELL("address",$D$227)),$D$227)</f>
        <v>Loan 10</v>
      </c>
      <c r="C773" s="211"/>
      <c r="D773" s="49">
        <f>D$22</f>
        <v>0</v>
      </c>
      <c r="E773" s="49" t="str">
        <f>F$22</f>
        <v/>
      </c>
      <c r="F773" s="49"/>
      <c r="I773" s="40" t="s">
        <v>1079</v>
      </c>
      <c r="V773" s="12">
        <f t="shared" si="767"/>
        <v>0</v>
      </c>
      <c r="W773" s="133">
        <f t="shared" si="768"/>
        <v>0</v>
      </c>
      <c r="X773" s="133">
        <f t="shared" si="768"/>
        <v>0</v>
      </c>
      <c r="Y773" s="133">
        <f t="shared" si="768"/>
        <v>0</v>
      </c>
      <c r="AA773" s="10">
        <f t="shared" ref="AA773:BV773" si="783">IF(AA$4=0, AA587, 0-(Z819+AA704))</f>
        <v>0</v>
      </c>
      <c r="AB773" s="10">
        <f t="shared" si="783"/>
        <v>0</v>
      </c>
      <c r="AC773" s="10">
        <f t="shared" si="783"/>
        <v>0</v>
      </c>
      <c r="AD773" s="10">
        <f t="shared" si="783"/>
        <v>0</v>
      </c>
      <c r="AE773" s="10">
        <f t="shared" si="783"/>
        <v>0</v>
      </c>
      <c r="AF773" s="10">
        <f t="shared" si="783"/>
        <v>0</v>
      </c>
      <c r="AG773" s="10">
        <f t="shared" si="783"/>
        <v>0</v>
      </c>
      <c r="AH773" s="10">
        <f t="shared" si="783"/>
        <v>0</v>
      </c>
      <c r="AI773" s="10">
        <f t="shared" si="783"/>
        <v>0</v>
      </c>
      <c r="AJ773" s="10">
        <f t="shared" si="783"/>
        <v>0</v>
      </c>
      <c r="AK773" s="10">
        <f t="shared" si="783"/>
        <v>0</v>
      </c>
      <c r="AL773" s="10">
        <f t="shared" si="783"/>
        <v>0</v>
      </c>
      <c r="AM773" s="10">
        <f t="shared" si="783"/>
        <v>0</v>
      </c>
      <c r="AN773" s="10">
        <f t="shared" si="783"/>
        <v>0</v>
      </c>
      <c r="AO773" s="10">
        <f t="shared" si="783"/>
        <v>0</v>
      </c>
      <c r="AP773" s="10">
        <f t="shared" si="783"/>
        <v>0</v>
      </c>
      <c r="AQ773" s="10">
        <f t="shared" si="783"/>
        <v>0</v>
      </c>
      <c r="AR773" s="10">
        <f t="shared" si="783"/>
        <v>0</v>
      </c>
      <c r="AS773" s="10">
        <f t="shared" si="783"/>
        <v>0</v>
      </c>
      <c r="AT773" s="10">
        <f t="shared" si="783"/>
        <v>0</v>
      </c>
      <c r="AU773" s="10">
        <f t="shared" si="783"/>
        <v>0</v>
      </c>
      <c r="AV773" s="10">
        <f t="shared" si="783"/>
        <v>0</v>
      </c>
      <c r="AW773" s="10">
        <f t="shared" si="783"/>
        <v>0</v>
      </c>
      <c r="AX773" s="10">
        <f t="shared" si="783"/>
        <v>0</v>
      </c>
      <c r="AY773" s="10">
        <f t="shared" si="783"/>
        <v>0</v>
      </c>
      <c r="AZ773" s="10">
        <f t="shared" si="783"/>
        <v>0</v>
      </c>
      <c r="BA773" s="10">
        <f t="shared" si="783"/>
        <v>0</v>
      </c>
      <c r="BB773" s="10">
        <f t="shared" si="783"/>
        <v>0</v>
      </c>
      <c r="BC773" s="10">
        <f t="shared" si="783"/>
        <v>0</v>
      </c>
      <c r="BD773" s="10">
        <f t="shared" si="783"/>
        <v>0</v>
      </c>
      <c r="BE773" s="10">
        <f t="shared" si="783"/>
        <v>0</v>
      </c>
      <c r="BF773" s="10">
        <f t="shared" si="783"/>
        <v>0</v>
      </c>
      <c r="BG773" s="10">
        <f t="shared" si="783"/>
        <v>0</v>
      </c>
      <c r="BH773" s="10">
        <f t="shared" si="783"/>
        <v>0</v>
      </c>
      <c r="BI773" s="10">
        <f t="shared" si="783"/>
        <v>0</v>
      </c>
      <c r="BJ773" s="10">
        <f t="shared" si="783"/>
        <v>0</v>
      </c>
      <c r="BK773" s="10">
        <f t="shared" si="783"/>
        <v>0</v>
      </c>
      <c r="BL773" s="10">
        <f t="shared" si="783"/>
        <v>0</v>
      </c>
      <c r="BM773" s="10">
        <f t="shared" si="783"/>
        <v>0</v>
      </c>
      <c r="BN773" s="10">
        <f t="shared" si="783"/>
        <v>0</v>
      </c>
      <c r="BO773" s="10">
        <f t="shared" si="783"/>
        <v>0</v>
      </c>
      <c r="BP773" s="10">
        <f t="shared" si="783"/>
        <v>0</v>
      </c>
      <c r="BQ773" s="10">
        <f t="shared" si="783"/>
        <v>0</v>
      </c>
      <c r="BR773" s="10">
        <f t="shared" si="783"/>
        <v>0</v>
      </c>
      <c r="BS773" s="10">
        <f t="shared" si="783"/>
        <v>0</v>
      </c>
      <c r="BT773" s="10">
        <f t="shared" si="783"/>
        <v>0</v>
      </c>
      <c r="BU773" s="10">
        <f t="shared" si="783"/>
        <v>0</v>
      </c>
      <c r="BV773" s="10">
        <f t="shared" si="783"/>
        <v>0</v>
      </c>
      <c r="BX773" s="12">
        <f t="shared" si="770"/>
        <v>0</v>
      </c>
      <c r="BY773" s="12">
        <f t="shared" si="771"/>
        <v>0</v>
      </c>
      <c r="BZ773" s="12">
        <f t="shared" si="772"/>
        <v>0</v>
      </c>
      <c r="CA773" s="12">
        <f t="shared" si="773"/>
        <v>0</v>
      </c>
      <c r="CB773" s="133">
        <f t="shared" si="774"/>
        <v>0</v>
      </c>
      <c r="CC773" s="106"/>
      <c r="CD773" s="106"/>
      <c r="CE773" s="106"/>
      <c r="CF773" s="106"/>
      <c r="CG773" s="106"/>
      <c r="CH773" s="106"/>
      <c r="CI773" s="106"/>
      <c r="CK773" s="11"/>
      <c r="CM773" s="11"/>
      <c r="CV773" s="120"/>
      <c r="DF773" s="11"/>
      <c r="EY773" s="10" t="str">
        <f t="shared" si="766"/>
        <v/>
      </c>
    </row>
    <row r="774" spans="1:155" x14ac:dyDescent="0.35">
      <c r="B774" s="69" t="str" cm="1">
        <f t="array" aca="1" ref="B774" ca="1">HYPERLINK(CONCATENATE("#",CELL("address",$D$246)),$D$246)</f>
        <v>Loan 11</v>
      </c>
      <c r="C774" s="211"/>
      <c r="D774" s="49">
        <f>D$23</f>
        <v>0</v>
      </c>
      <c r="E774" s="49" t="str">
        <f>F$23</f>
        <v/>
      </c>
      <c r="F774" s="49"/>
      <c r="I774" s="40" t="s">
        <v>1079</v>
      </c>
      <c r="V774" s="12">
        <f t="shared" si="767"/>
        <v>0</v>
      </c>
      <c r="W774" s="133">
        <f t="shared" si="768"/>
        <v>0</v>
      </c>
      <c r="X774" s="133">
        <f t="shared" si="768"/>
        <v>0</v>
      </c>
      <c r="Y774" s="133">
        <f t="shared" si="768"/>
        <v>0</v>
      </c>
      <c r="AA774" s="10">
        <f t="shared" ref="AA774:BV774" si="784">IF(AA$4=0, AA588, 0-(Z820+AA705))</f>
        <v>0</v>
      </c>
      <c r="AB774" s="10">
        <f t="shared" si="784"/>
        <v>0</v>
      </c>
      <c r="AC774" s="10">
        <f t="shared" si="784"/>
        <v>0</v>
      </c>
      <c r="AD774" s="10">
        <f t="shared" si="784"/>
        <v>0</v>
      </c>
      <c r="AE774" s="10">
        <f t="shared" si="784"/>
        <v>0</v>
      </c>
      <c r="AF774" s="10">
        <f t="shared" si="784"/>
        <v>0</v>
      </c>
      <c r="AG774" s="10">
        <f t="shared" si="784"/>
        <v>0</v>
      </c>
      <c r="AH774" s="10">
        <f t="shared" si="784"/>
        <v>0</v>
      </c>
      <c r="AI774" s="10">
        <f t="shared" si="784"/>
        <v>0</v>
      </c>
      <c r="AJ774" s="10">
        <f t="shared" si="784"/>
        <v>0</v>
      </c>
      <c r="AK774" s="10">
        <f t="shared" si="784"/>
        <v>0</v>
      </c>
      <c r="AL774" s="10">
        <f t="shared" si="784"/>
        <v>0</v>
      </c>
      <c r="AM774" s="10">
        <f t="shared" si="784"/>
        <v>0</v>
      </c>
      <c r="AN774" s="10">
        <f t="shared" si="784"/>
        <v>0</v>
      </c>
      <c r="AO774" s="10">
        <f t="shared" si="784"/>
        <v>0</v>
      </c>
      <c r="AP774" s="10">
        <f t="shared" si="784"/>
        <v>0</v>
      </c>
      <c r="AQ774" s="10">
        <f t="shared" si="784"/>
        <v>0</v>
      </c>
      <c r="AR774" s="10">
        <f t="shared" si="784"/>
        <v>0</v>
      </c>
      <c r="AS774" s="10">
        <f t="shared" si="784"/>
        <v>0</v>
      </c>
      <c r="AT774" s="10">
        <f t="shared" si="784"/>
        <v>0</v>
      </c>
      <c r="AU774" s="10">
        <f t="shared" si="784"/>
        <v>0</v>
      </c>
      <c r="AV774" s="10">
        <f t="shared" si="784"/>
        <v>0</v>
      </c>
      <c r="AW774" s="10">
        <f t="shared" si="784"/>
        <v>0</v>
      </c>
      <c r="AX774" s="10">
        <f t="shared" si="784"/>
        <v>0</v>
      </c>
      <c r="AY774" s="10">
        <f t="shared" si="784"/>
        <v>0</v>
      </c>
      <c r="AZ774" s="10">
        <f t="shared" si="784"/>
        <v>0</v>
      </c>
      <c r="BA774" s="10">
        <f t="shared" si="784"/>
        <v>0</v>
      </c>
      <c r="BB774" s="10">
        <f t="shared" si="784"/>
        <v>0</v>
      </c>
      <c r="BC774" s="10">
        <f t="shared" si="784"/>
        <v>0</v>
      </c>
      <c r="BD774" s="10">
        <f t="shared" si="784"/>
        <v>0</v>
      </c>
      <c r="BE774" s="10">
        <f t="shared" si="784"/>
        <v>0</v>
      </c>
      <c r="BF774" s="10">
        <f t="shared" si="784"/>
        <v>0</v>
      </c>
      <c r="BG774" s="10">
        <f t="shared" si="784"/>
        <v>0</v>
      </c>
      <c r="BH774" s="10">
        <f t="shared" si="784"/>
        <v>0</v>
      </c>
      <c r="BI774" s="10">
        <f t="shared" si="784"/>
        <v>0</v>
      </c>
      <c r="BJ774" s="10">
        <f t="shared" si="784"/>
        <v>0</v>
      </c>
      <c r="BK774" s="10">
        <f t="shared" si="784"/>
        <v>0</v>
      </c>
      <c r="BL774" s="10">
        <f t="shared" si="784"/>
        <v>0</v>
      </c>
      <c r="BM774" s="10">
        <f t="shared" si="784"/>
        <v>0</v>
      </c>
      <c r="BN774" s="10">
        <f t="shared" si="784"/>
        <v>0</v>
      </c>
      <c r="BO774" s="10">
        <f t="shared" si="784"/>
        <v>0</v>
      </c>
      <c r="BP774" s="10">
        <f t="shared" si="784"/>
        <v>0</v>
      </c>
      <c r="BQ774" s="10">
        <f t="shared" si="784"/>
        <v>0</v>
      </c>
      <c r="BR774" s="10">
        <f t="shared" si="784"/>
        <v>0</v>
      </c>
      <c r="BS774" s="10">
        <f t="shared" si="784"/>
        <v>0</v>
      </c>
      <c r="BT774" s="10">
        <f t="shared" si="784"/>
        <v>0</v>
      </c>
      <c r="BU774" s="10">
        <f t="shared" si="784"/>
        <v>0</v>
      </c>
      <c r="BV774" s="10">
        <f t="shared" si="784"/>
        <v>0</v>
      </c>
      <c r="BX774" s="12">
        <f t="shared" si="770"/>
        <v>0</v>
      </c>
      <c r="BY774" s="12">
        <f t="shared" si="771"/>
        <v>0</v>
      </c>
      <c r="BZ774" s="12">
        <f t="shared" si="772"/>
        <v>0</v>
      </c>
      <c r="CA774" s="12">
        <f t="shared" si="773"/>
        <v>0</v>
      </c>
      <c r="CB774" s="133">
        <f t="shared" si="774"/>
        <v>0</v>
      </c>
      <c r="CC774" s="106"/>
      <c r="CD774" s="106"/>
      <c r="CE774" s="106"/>
      <c r="CF774" s="106"/>
      <c r="CG774" s="106"/>
      <c r="CH774" s="106"/>
      <c r="CI774" s="106"/>
      <c r="CK774" s="11"/>
      <c r="CM774" s="11"/>
      <c r="CV774" s="120"/>
      <c r="DF774" s="11"/>
      <c r="EY774" s="10" t="str">
        <f t="shared" si="766"/>
        <v/>
      </c>
    </row>
    <row r="775" spans="1:155" x14ac:dyDescent="0.35">
      <c r="B775" s="69" t="str" cm="1">
        <f t="array" aca="1" ref="B775" ca="1">HYPERLINK(CONCATENATE("#",CELL("address",$D$265)),$D$265)</f>
        <v>Loan 12</v>
      </c>
      <c r="C775" s="211"/>
      <c r="D775" s="49">
        <f>D$24</f>
        <v>0</v>
      </c>
      <c r="E775" s="49" t="str">
        <f>F$24</f>
        <v/>
      </c>
      <c r="F775" s="49"/>
      <c r="I775" s="40" t="s">
        <v>1079</v>
      </c>
      <c r="V775" s="12">
        <f t="shared" si="767"/>
        <v>0</v>
      </c>
      <c r="W775" s="133">
        <f t="shared" si="768"/>
        <v>0</v>
      </c>
      <c r="X775" s="133">
        <f t="shared" si="768"/>
        <v>0</v>
      </c>
      <c r="Y775" s="133">
        <f t="shared" si="768"/>
        <v>0</v>
      </c>
      <c r="AA775" s="10">
        <f t="shared" ref="AA775:BV775" si="785">IF(AA$4=0, AA589, 0-(Z821+AA706))</f>
        <v>0</v>
      </c>
      <c r="AB775" s="10">
        <f t="shared" si="785"/>
        <v>0</v>
      </c>
      <c r="AC775" s="10">
        <f t="shared" si="785"/>
        <v>0</v>
      </c>
      <c r="AD775" s="10">
        <f t="shared" si="785"/>
        <v>0</v>
      </c>
      <c r="AE775" s="10">
        <f t="shared" si="785"/>
        <v>0</v>
      </c>
      <c r="AF775" s="10">
        <f t="shared" si="785"/>
        <v>0</v>
      </c>
      <c r="AG775" s="10">
        <f t="shared" si="785"/>
        <v>0</v>
      </c>
      <c r="AH775" s="10">
        <f t="shared" si="785"/>
        <v>0</v>
      </c>
      <c r="AI775" s="10">
        <f t="shared" si="785"/>
        <v>0</v>
      </c>
      <c r="AJ775" s="10">
        <f t="shared" si="785"/>
        <v>0</v>
      </c>
      <c r="AK775" s="10">
        <f t="shared" si="785"/>
        <v>0</v>
      </c>
      <c r="AL775" s="10">
        <f t="shared" si="785"/>
        <v>0</v>
      </c>
      <c r="AM775" s="10">
        <f t="shared" si="785"/>
        <v>0</v>
      </c>
      <c r="AN775" s="10">
        <f t="shared" si="785"/>
        <v>0</v>
      </c>
      <c r="AO775" s="10">
        <f t="shared" si="785"/>
        <v>0</v>
      </c>
      <c r="AP775" s="10">
        <f t="shared" si="785"/>
        <v>0</v>
      </c>
      <c r="AQ775" s="10">
        <f t="shared" si="785"/>
        <v>0</v>
      </c>
      <c r="AR775" s="10">
        <f t="shared" si="785"/>
        <v>0</v>
      </c>
      <c r="AS775" s="10">
        <f t="shared" si="785"/>
        <v>0</v>
      </c>
      <c r="AT775" s="10">
        <f t="shared" si="785"/>
        <v>0</v>
      </c>
      <c r="AU775" s="10">
        <f t="shared" si="785"/>
        <v>0</v>
      </c>
      <c r="AV775" s="10">
        <f t="shared" si="785"/>
        <v>0</v>
      </c>
      <c r="AW775" s="10">
        <f t="shared" si="785"/>
        <v>0</v>
      </c>
      <c r="AX775" s="10">
        <f t="shared" si="785"/>
        <v>0</v>
      </c>
      <c r="AY775" s="10">
        <f t="shared" si="785"/>
        <v>0</v>
      </c>
      <c r="AZ775" s="10">
        <f t="shared" si="785"/>
        <v>0</v>
      </c>
      <c r="BA775" s="10">
        <f t="shared" si="785"/>
        <v>0</v>
      </c>
      <c r="BB775" s="10">
        <f t="shared" si="785"/>
        <v>0</v>
      </c>
      <c r="BC775" s="10">
        <f t="shared" si="785"/>
        <v>0</v>
      </c>
      <c r="BD775" s="10">
        <f t="shared" si="785"/>
        <v>0</v>
      </c>
      <c r="BE775" s="10">
        <f t="shared" si="785"/>
        <v>0</v>
      </c>
      <c r="BF775" s="10">
        <f t="shared" si="785"/>
        <v>0</v>
      </c>
      <c r="BG775" s="10">
        <f t="shared" si="785"/>
        <v>0</v>
      </c>
      <c r="BH775" s="10">
        <f t="shared" si="785"/>
        <v>0</v>
      </c>
      <c r="BI775" s="10">
        <f t="shared" si="785"/>
        <v>0</v>
      </c>
      <c r="BJ775" s="10">
        <f t="shared" si="785"/>
        <v>0</v>
      </c>
      <c r="BK775" s="10">
        <f t="shared" si="785"/>
        <v>0</v>
      </c>
      <c r="BL775" s="10">
        <f t="shared" si="785"/>
        <v>0</v>
      </c>
      <c r="BM775" s="10">
        <f t="shared" si="785"/>
        <v>0</v>
      </c>
      <c r="BN775" s="10">
        <f t="shared" si="785"/>
        <v>0</v>
      </c>
      <c r="BO775" s="10">
        <f t="shared" si="785"/>
        <v>0</v>
      </c>
      <c r="BP775" s="10">
        <f t="shared" si="785"/>
        <v>0</v>
      </c>
      <c r="BQ775" s="10">
        <f t="shared" si="785"/>
        <v>0</v>
      </c>
      <c r="BR775" s="10">
        <f t="shared" si="785"/>
        <v>0</v>
      </c>
      <c r="BS775" s="10">
        <f t="shared" si="785"/>
        <v>0</v>
      </c>
      <c r="BT775" s="10">
        <f t="shared" si="785"/>
        <v>0</v>
      </c>
      <c r="BU775" s="10">
        <f t="shared" si="785"/>
        <v>0</v>
      </c>
      <c r="BV775" s="10">
        <f t="shared" si="785"/>
        <v>0</v>
      </c>
      <c r="BX775" s="12">
        <f t="shared" si="770"/>
        <v>0</v>
      </c>
      <c r="BY775" s="12">
        <f t="shared" si="771"/>
        <v>0</v>
      </c>
      <c r="BZ775" s="12">
        <f t="shared" si="772"/>
        <v>0</v>
      </c>
      <c r="CA775" s="12">
        <f t="shared" si="773"/>
        <v>0</v>
      </c>
      <c r="CB775" s="133">
        <f t="shared" si="774"/>
        <v>0</v>
      </c>
      <c r="CC775" s="106"/>
      <c r="CD775" s="106"/>
      <c r="CE775" s="106"/>
      <c r="CF775" s="106"/>
      <c r="CG775" s="106"/>
      <c r="CH775" s="106"/>
      <c r="CI775" s="106"/>
      <c r="CK775" s="11"/>
      <c r="CM775" s="11"/>
      <c r="CV775" s="120"/>
      <c r="DF775" s="11"/>
      <c r="EY775" s="10" t="str">
        <f t="shared" si="766"/>
        <v/>
      </c>
    </row>
    <row r="776" spans="1:155" x14ac:dyDescent="0.35">
      <c r="B776" s="69" t="str" cm="1">
        <f t="array" aca="1" ref="B776" ca="1">HYPERLINK(CONCATENATE("#",CELL("address",$D$284)),$D$284)</f>
        <v>Loan 13</v>
      </c>
      <c r="C776" s="211"/>
      <c r="D776" s="49">
        <f>D$25</f>
        <v>0</v>
      </c>
      <c r="E776" s="49" t="str">
        <f>F$25</f>
        <v/>
      </c>
      <c r="F776" s="49"/>
      <c r="I776" s="40" t="s">
        <v>1079</v>
      </c>
      <c r="V776" s="12">
        <f t="shared" si="767"/>
        <v>0</v>
      </c>
      <c r="W776" s="133">
        <f t="shared" si="768"/>
        <v>0</v>
      </c>
      <c r="X776" s="133">
        <f t="shared" si="768"/>
        <v>0</v>
      </c>
      <c r="Y776" s="133">
        <f t="shared" si="768"/>
        <v>0</v>
      </c>
      <c r="AA776" s="10">
        <f t="shared" ref="AA776:BV776" si="786">IF(AA$4=0, AA590, 0-(Z822+AA707))</f>
        <v>0</v>
      </c>
      <c r="AB776" s="10">
        <f t="shared" si="786"/>
        <v>0</v>
      </c>
      <c r="AC776" s="10">
        <f t="shared" si="786"/>
        <v>0</v>
      </c>
      <c r="AD776" s="10">
        <f t="shared" si="786"/>
        <v>0</v>
      </c>
      <c r="AE776" s="10">
        <f t="shared" si="786"/>
        <v>0</v>
      </c>
      <c r="AF776" s="10">
        <f t="shared" si="786"/>
        <v>0</v>
      </c>
      <c r="AG776" s="10">
        <f t="shared" si="786"/>
        <v>0</v>
      </c>
      <c r="AH776" s="10">
        <f t="shared" si="786"/>
        <v>0</v>
      </c>
      <c r="AI776" s="10">
        <f t="shared" si="786"/>
        <v>0</v>
      </c>
      <c r="AJ776" s="10">
        <f t="shared" si="786"/>
        <v>0</v>
      </c>
      <c r="AK776" s="10">
        <f t="shared" si="786"/>
        <v>0</v>
      </c>
      <c r="AL776" s="10">
        <f t="shared" si="786"/>
        <v>0</v>
      </c>
      <c r="AM776" s="10">
        <f t="shared" si="786"/>
        <v>0</v>
      </c>
      <c r="AN776" s="10">
        <f t="shared" si="786"/>
        <v>0</v>
      </c>
      <c r="AO776" s="10">
        <f t="shared" si="786"/>
        <v>0</v>
      </c>
      <c r="AP776" s="10">
        <f t="shared" si="786"/>
        <v>0</v>
      </c>
      <c r="AQ776" s="10">
        <f t="shared" si="786"/>
        <v>0</v>
      </c>
      <c r="AR776" s="10">
        <f t="shared" si="786"/>
        <v>0</v>
      </c>
      <c r="AS776" s="10">
        <f t="shared" si="786"/>
        <v>0</v>
      </c>
      <c r="AT776" s="10">
        <f t="shared" si="786"/>
        <v>0</v>
      </c>
      <c r="AU776" s="10">
        <f t="shared" si="786"/>
        <v>0</v>
      </c>
      <c r="AV776" s="10">
        <f t="shared" si="786"/>
        <v>0</v>
      </c>
      <c r="AW776" s="10">
        <f t="shared" si="786"/>
        <v>0</v>
      </c>
      <c r="AX776" s="10">
        <f t="shared" si="786"/>
        <v>0</v>
      </c>
      <c r="AY776" s="10">
        <f t="shared" si="786"/>
        <v>0</v>
      </c>
      <c r="AZ776" s="10">
        <f t="shared" si="786"/>
        <v>0</v>
      </c>
      <c r="BA776" s="10">
        <f t="shared" si="786"/>
        <v>0</v>
      </c>
      <c r="BB776" s="10">
        <f t="shared" si="786"/>
        <v>0</v>
      </c>
      <c r="BC776" s="10">
        <f t="shared" si="786"/>
        <v>0</v>
      </c>
      <c r="BD776" s="10">
        <f t="shared" si="786"/>
        <v>0</v>
      </c>
      <c r="BE776" s="10">
        <f t="shared" si="786"/>
        <v>0</v>
      </c>
      <c r="BF776" s="10">
        <f t="shared" si="786"/>
        <v>0</v>
      </c>
      <c r="BG776" s="10">
        <f t="shared" si="786"/>
        <v>0</v>
      </c>
      <c r="BH776" s="10">
        <f t="shared" si="786"/>
        <v>0</v>
      </c>
      <c r="BI776" s="10">
        <f t="shared" si="786"/>
        <v>0</v>
      </c>
      <c r="BJ776" s="10">
        <f t="shared" si="786"/>
        <v>0</v>
      </c>
      <c r="BK776" s="10">
        <f t="shared" si="786"/>
        <v>0</v>
      </c>
      <c r="BL776" s="10">
        <f t="shared" si="786"/>
        <v>0</v>
      </c>
      <c r="BM776" s="10">
        <f t="shared" si="786"/>
        <v>0</v>
      </c>
      <c r="BN776" s="10">
        <f t="shared" si="786"/>
        <v>0</v>
      </c>
      <c r="BO776" s="10">
        <f t="shared" si="786"/>
        <v>0</v>
      </c>
      <c r="BP776" s="10">
        <f t="shared" si="786"/>
        <v>0</v>
      </c>
      <c r="BQ776" s="10">
        <f t="shared" si="786"/>
        <v>0</v>
      </c>
      <c r="BR776" s="10">
        <f t="shared" si="786"/>
        <v>0</v>
      </c>
      <c r="BS776" s="10">
        <f t="shared" si="786"/>
        <v>0</v>
      </c>
      <c r="BT776" s="10">
        <f t="shared" si="786"/>
        <v>0</v>
      </c>
      <c r="BU776" s="10">
        <f t="shared" si="786"/>
        <v>0</v>
      </c>
      <c r="BV776" s="10">
        <f t="shared" si="786"/>
        <v>0</v>
      </c>
      <c r="BX776" s="12">
        <f t="shared" si="770"/>
        <v>0</v>
      </c>
      <c r="BY776" s="12">
        <f t="shared" si="771"/>
        <v>0</v>
      </c>
      <c r="BZ776" s="12">
        <f t="shared" si="772"/>
        <v>0</v>
      </c>
      <c r="CA776" s="12">
        <f t="shared" si="773"/>
        <v>0</v>
      </c>
      <c r="CB776" s="133">
        <f t="shared" si="774"/>
        <v>0</v>
      </c>
      <c r="CC776" s="106"/>
      <c r="CD776" s="106"/>
      <c r="CE776" s="106"/>
      <c r="CF776" s="106"/>
      <c r="CG776" s="106"/>
      <c r="CH776" s="106"/>
      <c r="CI776" s="106"/>
      <c r="CK776" s="11"/>
      <c r="CM776" s="11"/>
      <c r="CV776" s="120"/>
      <c r="DF776" s="11"/>
      <c r="EY776" s="10" t="str">
        <f t="shared" si="766"/>
        <v/>
      </c>
    </row>
    <row r="777" spans="1:155" s="5" customFormat="1" x14ac:dyDescent="0.35">
      <c r="A777"/>
      <c r="B777" s="69" t="str" cm="1">
        <f t="array" aca="1" ref="B777" ca="1">HYPERLINK(CONCATENATE("#",CELL("address",$D$303)),$D$303)</f>
        <v>Loan 14</v>
      </c>
      <c r="C777" s="211"/>
      <c r="D777" s="49">
        <f>D$26</f>
        <v>0</v>
      </c>
      <c r="E777" s="49" t="str">
        <f>F$26</f>
        <v/>
      </c>
      <c r="F777" s="49"/>
      <c r="G777"/>
      <c r="H777"/>
      <c r="I777" s="40" t="s">
        <v>1079</v>
      </c>
      <c r="J777"/>
      <c r="K777"/>
      <c r="L777"/>
      <c r="M777"/>
      <c r="N777"/>
      <c r="O777"/>
      <c r="P777"/>
      <c r="Q777"/>
      <c r="R777"/>
      <c r="S777"/>
      <c r="T777"/>
      <c r="U777"/>
      <c r="V777" s="12">
        <f t="shared" si="767"/>
        <v>0</v>
      </c>
      <c r="W777" s="133">
        <f t="shared" si="768"/>
        <v>0</v>
      </c>
      <c r="X777" s="133">
        <f t="shared" si="768"/>
        <v>0</v>
      </c>
      <c r="Y777" s="133">
        <f t="shared" si="768"/>
        <v>0</v>
      </c>
      <c r="Z777"/>
      <c r="AA777" s="10">
        <f t="shared" ref="AA777:BV777" si="787">IF(AA$4=0, AA591, 0-(Z823+AA708))</f>
        <v>0</v>
      </c>
      <c r="AB777" s="10">
        <f t="shared" si="787"/>
        <v>0</v>
      </c>
      <c r="AC777" s="10">
        <f t="shared" si="787"/>
        <v>0</v>
      </c>
      <c r="AD777" s="10">
        <f t="shared" si="787"/>
        <v>0</v>
      </c>
      <c r="AE777" s="10">
        <f t="shared" si="787"/>
        <v>0</v>
      </c>
      <c r="AF777" s="10">
        <f t="shared" si="787"/>
        <v>0</v>
      </c>
      <c r="AG777" s="10">
        <f t="shared" si="787"/>
        <v>0</v>
      </c>
      <c r="AH777" s="10">
        <f t="shared" si="787"/>
        <v>0</v>
      </c>
      <c r="AI777" s="10">
        <f t="shared" si="787"/>
        <v>0</v>
      </c>
      <c r="AJ777" s="10">
        <f t="shared" si="787"/>
        <v>0</v>
      </c>
      <c r="AK777" s="10">
        <f t="shared" si="787"/>
        <v>0</v>
      </c>
      <c r="AL777" s="10">
        <f t="shared" si="787"/>
        <v>0</v>
      </c>
      <c r="AM777" s="10">
        <f t="shared" si="787"/>
        <v>0</v>
      </c>
      <c r="AN777" s="10">
        <f t="shared" si="787"/>
        <v>0</v>
      </c>
      <c r="AO777" s="10">
        <f t="shared" si="787"/>
        <v>0</v>
      </c>
      <c r="AP777" s="10">
        <f t="shared" si="787"/>
        <v>0</v>
      </c>
      <c r="AQ777" s="10">
        <f t="shared" si="787"/>
        <v>0</v>
      </c>
      <c r="AR777" s="10">
        <f t="shared" si="787"/>
        <v>0</v>
      </c>
      <c r="AS777" s="10">
        <f t="shared" si="787"/>
        <v>0</v>
      </c>
      <c r="AT777" s="10">
        <f t="shared" si="787"/>
        <v>0</v>
      </c>
      <c r="AU777" s="10">
        <f t="shared" si="787"/>
        <v>0</v>
      </c>
      <c r="AV777" s="10">
        <f t="shared" si="787"/>
        <v>0</v>
      </c>
      <c r="AW777" s="10">
        <f t="shared" si="787"/>
        <v>0</v>
      </c>
      <c r="AX777" s="10">
        <f t="shared" si="787"/>
        <v>0</v>
      </c>
      <c r="AY777" s="10">
        <f t="shared" si="787"/>
        <v>0</v>
      </c>
      <c r="AZ777" s="10">
        <f t="shared" si="787"/>
        <v>0</v>
      </c>
      <c r="BA777" s="10">
        <f t="shared" si="787"/>
        <v>0</v>
      </c>
      <c r="BB777" s="10">
        <f t="shared" si="787"/>
        <v>0</v>
      </c>
      <c r="BC777" s="10">
        <f t="shared" si="787"/>
        <v>0</v>
      </c>
      <c r="BD777" s="10">
        <f t="shared" si="787"/>
        <v>0</v>
      </c>
      <c r="BE777" s="10">
        <f t="shared" si="787"/>
        <v>0</v>
      </c>
      <c r="BF777" s="10">
        <f t="shared" si="787"/>
        <v>0</v>
      </c>
      <c r="BG777" s="10">
        <f t="shared" si="787"/>
        <v>0</v>
      </c>
      <c r="BH777" s="10">
        <f t="shared" si="787"/>
        <v>0</v>
      </c>
      <c r="BI777" s="10">
        <f t="shared" si="787"/>
        <v>0</v>
      </c>
      <c r="BJ777" s="10">
        <f t="shared" si="787"/>
        <v>0</v>
      </c>
      <c r="BK777" s="10">
        <f t="shared" si="787"/>
        <v>0</v>
      </c>
      <c r="BL777" s="10">
        <f t="shared" si="787"/>
        <v>0</v>
      </c>
      <c r="BM777" s="10">
        <f t="shared" si="787"/>
        <v>0</v>
      </c>
      <c r="BN777" s="10">
        <f t="shared" si="787"/>
        <v>0</v>
      </c>
      <c r="BO777" s="10">
        <f t="shared" si="787"/>
        <v>0</v>
      </c>
      <c r="BP777" s="10">
        <f t="shared" si="787"/>
        <v>0</v>
      </c>
      <c r="BQ777" s="10">
        <f t="shared" si="787"/>
        <v>0</v>
      </c>
      <c r="BR777" s="10">
        <f t="shared" si="787"/>
        <v>0</v>
      </c>
      <c r="BS777" s="10">
        <f t="shared" si="787"/>
        <v>0</v>
      </c>
      <c r="BT777" s="10">
        <f t="shared" si="787"/>
        <v>0</v>
      </c>
      <c r="BU777" s="10">
        <f t="shared" si="787"/>
        <v>0</v>
      </c>
      <c r="BV777" s="10">
        <f t="shared" si="787"/>
        <v>0</v>
      </c>
      <c r="BW777"/>
      <c r="BX777" s="12">
        <f t="shared" si="770"/>
        <v>0</v>
      </c>
      <c r="BY777" s="12">
        <f t="shared" si="771"/>
        <v>0</v>
      </c>
      <c r="BZ777" s="12">
        <f t="shared" si="772"/>
        <v>0</v>
      </c>
      <c r="CA777" s="12">
        <f t="shared" si="773"/>
        <v>0</v>
      </c>
      <c r="CB777" s="133">
        <f t="shared" si="774"/>
        <v>0</v>
      </c>
      <c r="CC777" s="106"/>
      <c r="CD777" s="106"/>
      <c r="CE777" s="106"/>
      <c r="CF777" s="106"/>
      <c r="CG777" s="106"/>
      <c r="CH777" s="106"/>
      <c r="CI777" s="106"/>
      <c r="CJ777"/>
      <c r="CK777" s="11"/>
      <c r="CL777"/>
      <c r="CM777" s="11"/>
      <c r="CN777"/>
      <c r="CO777"/>
      <c r="CP777"/>
      <c r="CQ777"/>
      <c r="CR777"/>
      <c r="CS777"/>
      <c r="CT777"/>
      <c r="CU777"/>
      <c r="CV777" s="120"/>
      <c r="CW777"/>
      <c r="CX777"/>
      <c r="CY777"/>
      <c r="CZ777"/>
      <c r="DA777"/>
      <c r="DB777"/>
      <c r="DC777"/>
      <c r="DD777"/>
      <c r="DE777"/>
      <c r="DF777" s="11"/>
      <c r="EY777" s="10" t="str">
        <f t="shared" si="766"/>
        <v/>
      </c>
    </row>
    <row r="778" spans="1:155" x14ac:dyDescent="0.35">
      <c r="B778" s="69" t="str" cm="1">
        <f t="array" aca="1" ref="B778" ca="1">HYPERLINK(CONCATENATE("#",CELL("address",$D$322)),$D$322)</f>
        <v>Loan 15</v>
      </c>
      <c r="C778" s="211"/>
      <c r="D778" s="49">
        <f>D$27</f>
        <v>0</v>
      </c>
      <c r="E778" s="49" t="str">
        <f>F$27</f>
        <v/>
      </c>
      <c r="F778" s="49"/>
      <c r="I778" s="40" t="s">
        <v>1079</v>
      </c>
      <c r="V778" s="12">
        <f t="shared" si="767"/>
        <v>0</v>
      </c>
      <c r="W778" s="133">
        <f t="shared" si="768"/>
        <v>0</v>
      </c>
      <c r="X778" s="133">
        <f t="shared" si="768"/>
        <v>0</v>
      </c>
      <c r="Y778" s="133">
        <f t="shared" si="768"/>
        <v>0</v>
      </c>
      <c r="AA778" s="10">
        <f t="shared" ref="AA778:BV778" si="788">IF(AA$4=0, AA592, 0-(Z824+AA709))</f>
        <v>0</v>
      </c>
      <c r="AB778" s="10">
        <f t="shared" si="788"/>
        <v>0</v>
      </c>
      <c r="AC778" s="10">
        <f t="shared" si="788"/>
        <v>0</v>
      </c>
      <c r="AD778" s="10">
        <f t="shared" si="788"/>
        <v>0</v>
      </c>
      <c r="AE778" s="10">
        <f t="shared" si="788"/>
        <v>0</v>
      </c>
      <c r="AF778" s="10">
        <f t="shared" si="788"/>
        <v>0</v>
      </c>
      <c r="AG778" s="10">
        <f t="shared" si="788"/>
        <v>0</v>
      </c>
      <c r="AH778" s="10">
        <f t="shared" si="788"/>
        <v>0</v>
      </c>
      <c r="AI778" s="10">
        <f t="shared" si="788"/>
        <v>0</v>
      </c>
      <c r="AJ778" s="10">
        <f t="shared" si="788"/>
        <v>0</v>
      </c>
      <c r="AK778" s="10">
        <f t="shared" si="788"/>
        <v>0</v>
      </c>
      <c r="AL778" s="10">
        <f t="shared" si="788"/>
        <v>0</v>
      </c>
      <c r="AM778" s="10">
        <f t="shared" si="788"/>
        <v>0</v>
      </c>
      <c r="AN778" s="10">
        <f t="shared" si="788"/>
        <v>0</v>
      </c>
      <c r="AO778" s="10">
        <f t="shared" si="788"/>
        <v>0</v>
      </c>
      <c r="AP778" s="10">
        <f t="shared" si="788"/>
        <v>0</v>
      </c>
      <c r="AQ778" s="10">
        <f t="shared" si="788"/>
        <v>0</v>
      </c>
      <c r="AR778" s="10">
        <f t="shared" si="788"/>
        <v>0</v>
      </c>
      <c r="AS778" s="10">
        <f t="shared" si="788"/>
        <v>0</v>
      </c>
      <c r="AT778" s="10">
        <f t="shared" si="788"/>
        <v>0</v>
      </c>
      <c r="AU778" s="10">
        <f t="shared" si="788"/>
        <v>0</v>
      </c>
      <c r="AV778" s="10">
        <f t="shared" si="788"/>
        <v>0</v>
      </c>
      <c r="AW778" s="10">
        <f t="shared" si="788"/>
        <v>0</v>
      </c>
      <c r="AX778" s="10">
        <f t="shared" si="788"/>
        <v>0</v>
      </c>
      <c r="AY778" s="10">
        <f t="shared" si="788"/>
        <v>0</v>
      </c>
      <c r="AZ778" s="10">
        <f t="shared" si="788"/>
        <v>0</v>
      </c>
      <c r="BA778" s="10">
        <f t="shared" si="788"/>
        <v>0</v>
      </c>
      <c r="BB778" s="10">
        <f t="shared" si="788"/>
        <v>0</v>
      </c>
      <c r="BC778" s="10">
        <f t="shared" si="788"/>
        <v>0</v>
      </c>
      <c r="BD778" s="10">
        <f t="shared" si="788"/>
        <v>0</v>
      </c>
      <c r="BE778" s="10">
        <f t="shared" si="788"/>
        <v>0</v>
      </c>
      <c r="BF778" s="10">
        <f t="shared" si="788"/>
        <v>0</v>
      </c>
      <c r="BG778" s="10">
        <f t="shared" si="788"/>
        <v>0</v>
      </c>
      <c r="BH778" s="10">
        <f t="shared" si="788"/>
        <v>0</v>
      </c>
      <c r="BI778" s="10">
        <f t="shared" si="788"/>
        <v>0</v>
      </c>
      <c r="BJ778" s="10">
        <f t="shared" si="788"/>
        <v>0</v>
      </c>
      <c r="BK778" s="10">
        <f t="shared" si="788"/>
        <v>0</v>
      </c>
      <c r="BL778" s="10">
        <f t="shared" si="788"/>
        <v>0</v>
      </c>
      <c r="BM778" s="10">
        <f t="shared" si="788"/>
        <v>0</v>
      </c>
      <c r="BN778" s="10">
        <f t="shared" si="788"/>
        <v>0</v>
      </c>
      <c r="BO778" s="10">
        <f t="shared" si="788"/>
        <v>0</v>
      </c>
      <c r="BP778" s="10">
        <f t="shared" si="788"/>
        <v>0</v>
      </c>
      <c r="BQ778" s="10">
        <f t="shared" si="788"/>
        <v>0</v>
      </c>
      <c r="BR778" s="10">
        <f t="shared" si="788"/>
        <v>0</v>
      </c>
      <c r="BS778" s="10">
        <f t="shared" si="788"/>
        <v>0</v>
      </c>
      <c r="BT778" s="10">
        <f t="shared" si="788"/>
        <v>0</v>
      </c>
      <c r="BU778" s="10">
        <f t="shared" si="788"/>
        <v>0</v>
      </c>
      <c r="BV778" s="10">
        <f t="shared" si="788"/>
        <v>0</v>
      </c>
      <c r="BX778" s="12">
        <f t="shared" si="770"/>
        <v>0</v>
      </c>
      <c r="BY778" s="12">
        <f t="shared" si="771"/>
        <v>0</v>
      </c>
      <c r="BZ778" s="12">
        <f t="shared" si="772"/>
        <v>0</v>
      </c>
      <c r="CA778" s="12">
        <f t="shared" si="773"/>
        <v>0</v>
      </c>
      <c r="CB778" s="133">
        <f t="shared" si="774"/>
        <v>0</v>
      </c>
      <c r="CC778" s="106"/>
      <c r="CD778" s="106"/>
      <c r="CE778" s="106"/>
      <c r="CF778" s="106"/>
      <c r="CG778" s="106"/>
      <c r="CH778" s="106"/>
      <c r="CI778" s="106"/>
      <c r="CK778" s="11"/>
      <c r="CM778" s="11"/>
      <c r="CV778" s="120"/>
      <c r="DF778" s="11"/>
      <c r="EY778" s="10" t="str">
        <f t="shared" si="766"/>
        <v/>
      </c>
    </row>
    <row r="779" spans="1:155" x14ac:dyDescent="0.35">
      <c r="B779" s="69" t="str" cm="1">
        <f t="array" aca="1" ref="B779" ca="1">HYPERLINK(CONCATENATE("#",CELL("address",$D$341)),$D$341)</f>
        <v>Loan 16</v>
      </c>
      <c r="C779" s="211"/>
      <c r="D779" s="49">
        <f>D$28</f>
        <v>0</v>
      </c>
      <c r="E779" s="49" t="str">
        <f>F$28</f>
        <v/>
      </c>
      <c r="F779" s="49"/>
      <c r="I779" s="40" t="s">
        <v>1079</v>
      </c>
      <c r="V779" s="12">
        <f t="shared" si="767"/>
        <v>0</v>
      </c>
      <c r="W779" s="133">
        <f t="shared" si="768"/>
        <v>0</v>
      </c>
      <c r="X779" s="133">
        <f t="shared" si="768"/>
        <v>0</v>
      </c>
      <c r="Y779" s="133">
        <f t="shared" si="768"/>
        <v>0</v>
      </c>
      <c r="AA779" s="10">
        <f t="shared" ref="AA779:BV779" si="789">IF(AA$4=0, AA593, 0-(Z825+AA710))</f>
        <v>0</v>
      </c>
      <c r="AB779" s="10">
        <f t="shared" si="789"/>
        <v>0</v>
      </c>
      <c r="AC779" s="10">
        <f t="shared" si="789"/>
        <v>0</v>
      </c>
      <c r="AD779" s="10">
        <f t="shared" si="789"/>
        <v>0</v>
      </c>
      <c r="AE779" s="10">
        <f t="shared" si="789"/>
        <v>0</v>
      </c>
      <c r="AF779" s="10">
        <f t="shared" si="789"/>
        <v>0</v>
      </c>
      <c r="AG779" s="10">
        <f t="shared" si="789"/>
        <v>0</v>
      </c>
      <c r="AH779" s="10">
        <f t="shared" si="789"/>
        <v>0</v>
      </c>
      <c r="AI779" s="10">
        <f t="shared" si="789"/>
        <v>0</v>
      </c>
      <c r="AJ779" s="10">
        <f t="shared" si="789"/>
        <v>0</v>
      </c>
      <c r="AK779" s="10">
        <f t="shared" si="789"/>
        <v>0</v>
      </c>
      <c r="AL779" s="10">
        <f t="shared" si="789"/>
        <v>0</v>
      </c>
      <c r="AM779" s="10">
        <f t="shared" si="789"/>
        <v>0</v>
      </c>
      <c r="AN779" s="10">
        <f t="shared" si="789"/>
        <v>0</v>
      </c>
      <c r="AO779" s="10">
        <f t="shared" si="789"/>
        <v>0</v>
      </c>
      <c r="AP779" s="10">
        <f t="shared" si="789"/>
        <v>0</v>
      </c>
      <c r="AQ779" s="10">
        <f t="shared" si="789"/>
        <v>0</v>
      </c>
      <c r="AR779" s="10">
        <f t="shared" si="789"/>
        <v>0</v>
      </c>
      <c r="AS779" s="10">
        <f t="shared" si="789"/>
        <v>0</v>
      </c>
      <c r="AT779" s="10">
        <f t="shared" si="789"/>
        <v>0</v>
      </c>
      <c r="AU779" s="10">
        <f t="shared" si="789"/>
        <v>0</v>
      </c>
      <c r="AV779" s="10">
        <f t="shared" si="789"/>
        <v>0</v>
      </c>
      <c r="AW779" s="10">
        <f t="shared" si="789"/>
        <v>0</v>
      </c>
      <c r="AX779" s="10">
        <f t="shared" si="789"/>
        <v>0</v>
      </c>
      <c r="AY779" s="10">
        <f t="shared" si="789"/>
        <v>0</v>
      </c>
      <c r="AZ779" s="10">
        <f t="shared" si="789"/>
        <v>0</v>
      </c>
      <c r="BA779" s="10">
        <f t="shared" si="789"/>
        <v>0</v>
      </c>
      <c r="BB779" s="10">
        <f t="shared" si="789"/>
        <v>0</v>
      </c>
      <c r="BC779" s="10">
        <f t="shared" si="789"/>
        <v>0</v>
      </c>
      <c r="BD779" s="10">
        <f t="shared" si="789"/>
        <v>0</v>
      </c>
      <c r="BE779" s="10">
        <f t="shared" si="789"/>
        <v>0</v>
      </c>
      <c r="BF779" s="10">
        <f t="shared" si="789"/>
        <v>0</v>
      </c>
      <c r="BG779" s="10">
        <f t="shared" si="789"/>
        <v>0</v>
      </c>
      <c r="BH779" s="10">
        <f t="shared" si="789"/>
        <v>0</v>
      </c>
      <c r="BI779" s="10">
        <f t="shared" si="789"/>
        <v>0</v>
      </c>
      <c r="BJ779" s="10">
        <f t="shared" si="789"/>
        <v>0</v>
      </c>
      <c r="BK779" s="10">
        <f t="shared" si="789"/>
        <v>0</v>
      </c>
      <c r="BL779" s="10">
        <f t="shared" si="789"/>
        <v>0</v>
      </c>
      <c r="BM779" s="10">
        <f t="shared" si="789"/>
        <v>0</v>
      </c>
      <c r="BN779" s="10">
        <f t="shared" si="789"/>
        <v>0</v>
      </c>
      <c r="BO779" s="10">
        <f t="shared" si="789"/>
        <v>0</v>
      </c>
      <c r="BP779" s="10">
        <f t="shared" si="789"/>
        <v>0</v>
      </c>
      <c r="BQ779" s="10">
        <f t="shared" si="789"/>
        <v>0</v>
      </c>
      <c r="BR779" s="10">
        <f t="shared" si="789"/>
        <v>0</v>
      </c>
      <c r="BS779" s="10">
        <f t="shared" si="789"/>
        <v>0</v>
      </c>
      <c r="BT779" s="10">
        <f t="shared" si="789"/>
        <v>0</v>
      </c>
      <c r="BU779" s="10">
        <f t="shared" si="789"/>
        <v>0</v>
      </c>
      <c r="BV779" s="10">
        <f t="shared" si="789"/>
        <v>0</v>
      </c>
      <c r="BX779" s="12">
        <f t="shared" si="770"/>
        <v>0</v>
      </c>
      <c r="BY779" s="12">
        <f t="shared" si="771"/>
        <v>0</v>
      </c>
      <c r="BZ779" s="12">
        <f t="shared" si="772"/>
        <v>0</v>
      </c>
      <c r="CA779" s="12">
        <f t="shared" si="773"/>
        <v>0</v>
      </c>
      <c r="CB779" s="133">
        <f t="shared" si="774"/>
        <v>0</v>
      </c>
      <c r="CC779" s="106"/>
      <c r="CD779" s="106"/>
      <c r="CE779" s="106"/>
      <c r="CF779" s="106"/>
      <c r="CG779" s="106"/>
      <c r="CH779" s="106"/>
      <c r="CI779" s="106"/>
      <c r="CK779" s="11"/>
      <c r="CM779" s="11"/>
      <c r="CV779" s="120"/>
      <c r="DF779" s="11"/>
      <c r="EY779" s="10" t="str">
        <f t="shared" si="766"/>
        <v/>
      </c>
    </row>
    <row r="780" spans="1:155" x14ac:dyDescent="0.35">
      <c r="B780" s="69" t="str" cm="1">
        <f t="array" aca="1" ref="B780" ca="1">HYPERLINK(CONCATENATE("#",CELL("address",$D$360)),$D$360)</f>
        <v>Loan 17</v>
      </c>
      <c r="C780" s="211"/>
      <c r="D780" s="49">
        <f>D$29</f>
        <v>0</v>
      </c>
      <c r="E780" s="49" t="str">
        <f>F$29</f>
        <v/>
      </c>
      <c r="F780" s="49"/>
      <c r="I780" s="40" t="s">
        <v>1079</v>
      </c>
      <c r="V780" s="12">
        <f t="shared" si="767"/>
        <v>0</v>
      </c>
      <c r="W780" s="133">
        <f t="shared" si="768"/>
        <v>0</v>
      </c>
      <c r="X780" s="133">
        <f t="shared" si="768"/>
        <v>0</v>
      </c>
      <c r="Y780" s="133">
        <f t="shared" si="768"/>
        <v>0</v>
      </c>
      <c r="AA780" s="10">
        <f t="shared" ref="AA780:BV780" si="790">IF(AA$4=0, AA594, 0-(Z826+AA711))</f>
        <v>0</v>
      </c>
      <c r="AB780" s="10">
        <f t="shared" si="790"/>
        <v>0</v>
      </c>
      <c r="AC780" s="10">
        <f t="shared" si="790"/>
        <v>0</v>
      </c>
      <c r="AD780" s="10">
        <f t="shared" si="790"/>
        <v>0</v>
      </c>
      <c r="AE780" s="10">
        <f t="shared" si="790"/>
        <v>0</v>
      </c>
      <c r="AF780" s="10">
        <f t="shared" si="790"/>
        <v>0</v>
      </c>
      <c r="AG780" s="10">
        <f t="shared" si="790"/>
        <v>0</v>
      </c>
      <c r="AH780" s="10">
        <f t="shared" si="790"/>
        <v>0</v>
      </c>
      <c r="AI780" s="10">
        <f t="shared" si="790"/>
        <v>0</v>
      </c>
      <c r="AJ780" s="10">
        <f t="shared" si="790"/>
        <v>0</v>
      </c>
      <c r="AK780" s="10">
        <f t="shared" si="790"/>
        <v>0</v>
      </c>
      <c r="AL780" s="10">
        <f t="shared" si="790"/>
        <v>0</v>
      </c>
      <c r="AM780" s="10">
        <f t="shared" si="790"/>
        <v>0</v>
      </c>
      <c r="AN780" s="10">
        <f t="shared" si="790"/>
        <v>0</v>
      </c>
      <c r="AO780" s="10">
        <f t="shared" si="790"/>
        <v>0</v>
      </c>
      <c r="AP780" s="10">
        <f t="shared" si="790"/>
        <v>0</v>
      </c>
      <c r="AQ780" s="10">
        <f t="shared" si="790"/>
        <v>0</v>
      </c>
      <c r="AR780" s="10">
        <f t="shared" si="790"/>
        <v>0</v>
      </c>
      <c r="AS780" s="10">
        <f t="shared" si="790"/>
        <v>0</v>
      </c>
      <c r="AT780" s="10">
        <f t="shared" si="790"/>
        <v>0</v>
      </c>
      <c r="AU780" s="10">
        <f t="shared" si="790"/>
        <v>0</v>
      </c>
      <c r="AV780" s="10">
        <f t="shared" si="790"/>
        <v>0</v>
      </c>
      <c r="AW780" s="10">
        <f t="shared" si="790"/>
        <v>0</v>
      </c>
      <c r="AX780" s="10">
        <f t="shared" si="790"/>
        <v>0</v>
      </c>
      <c r="AY780" s="10">
        <f t="shared" si="790"/>
        <v>0</v>
      </c>
      <c r="AZ780" s="10">
        <f t="shared" si="790"/>
        <v>0</v>
      </c>
      <c r="BA780" s="10">
        <f t="shared" si="790"/>
        <v>0</v>
      </c>
      <c r="BB780" s="10">
        <f t="shared" si="790"/>
        <v>0</v>
      </c>
      <c r="BC780" s="10">
        <f t="shared" si="790"/>
        <v>0</v>
      </c>
      <c r="BD780" s="10">
        <f t="shared" si="790"/>
        <v>0</v>
      </c>
      <c r="BE780" s="10">
        <f t="shared" si="790"/>
        <v>0</v>
      </c>
      <c r="BF780" s="10">
        <f t="shared" si="790"/>
        <v>0</v>
      </c>
      <c r="BG780" s="10">
        <f t="shared" si="790"/>
        <v>0</v>
      </c>
      <c r="BH780" s="10">
        <f t="shared" si="790"/>
        <v>0</v>
      </c>
      <c r="BI780" s="10">
        <f t="shared" si="790"/>
        <v>0</v>
      </c>
      <c r="BJ780" s="10">
        <f t="shared" si="790"/>
        <v>0</v>
      </c>
      <c r="BK780" s="10">
        <f t="shared" si="790"/>
        <v>0</v>
      </c>
      <c r="BL780" s="10">
        <f t="shared" si="790"/>
        <v>0</v>
      </c>
      <c r="BM780" s="10">
        <f t="shared" si="790"/>
        <v>0</v>
      </c>
      <c r="BN780" s="10">
        <f t="shared" si="790"/>
        <v>0</v>
      </c>
      <c r="BO780" s="10">
        <f t="shared" si="790"/>
        <v>0</v>
      </c>
      <c r="BP780" s="10">
        <f t="shared" si="790"/>
        <v>0</v>
      </c>
      <c r="BQ780" s="10">
        <f t="shared" si="790"/>
        <v>0</v>
      </c>
      <c r="BR780" s="10">
        <f t="shared" si="790"/>
        <v>0</v>
      </c>
      <c r="BS780" s="10">
        <f t="shared" si="790"/>
        <v>0</v>
      </c>
      <c r="BT780" s="10">
        <f t="shared" si="790"/>
        <v>0</v>
      </c>
      <c r="BU780" s="10">
        <f t="shared" si="790"/>
        <v>0</v>
      </c>
      <c r="BV780" s="10">
        <f t="shared" si="790"/>
        <v>0</v>
      </c>
      <c r="BX780" s="12">
        <f t="shared" si="770"/>
        <v>0</v>
      </c>
      <c r="BY780" s="12">
        <f t="shared" si="771"/>
        <v>0</v>
      </c>
      <c r="BZ780" s="12">
        <f t="shared" si="772"/>
        <v>0</v>
      </c>
      <c r="CA780" s="12">
        <f t="shared" si="773"/>
        <v>0</v>
      </c>
      <c r="CB780" s="133">
        <f t="shared" si="774"/>
        <v>0</v>
      </c>
      <c r="CC780" s="106"/>
      <c r="CD780" s="106"/>
      <c r="CE780" s="106"/>
      <c r="CF780" s="106"/>
      <c r="CG780" s="106"/>
      <c r="CH780" s="106"/>
      <c r="CI780" s="106"/>
      <c r="CK780" s="11"/>
      <c r="CM780" s="11"/>
      <c r="CV780" s="120"/>
      <c r="DF780" s="11"/>
      <c r="EY780" s="10" t="str">
        <f t="shared" si="766"/>
        <v/>
      </c>
    </row>
    <row r="781" spans="1:155" x14ac:dyDescent="0.35">
      <c r="B781" s="69" t="str" cm="1">
        <f t="array" aca="1" ref="B781" ca="1">HYPERLINK(CONCATENATE("#",CELL("address",$D$379)),$D$379)</f>
        <v>Loan 18</v>
      </c>
      <c r="C781" s="211"/>
      <c r="D781" s="49">
        <f>D$30</f>
        <v>0</v>
      </c>
      <c r="E781" s="49" t="str">
        <f>F$30</f>
        <v/>
      </c>
      <c r="F781" s="49"/>
      <c r="I781" s="40" t="s">
        <v>1079</v>
      </c>
      <c r="V781" s="12">
        <f t="shared" si="767"/>
        <v>0</v>
      </c>
      <c r="W781" s="133">
        <f t="shared" si="768"/>
        <v>0</v>
      </c>
      <c r="X781" s="133">
        <f t="shared" si="768"/>
        <v>0</v>
      </c>
      <c r="Y781" s="133">
        <f t="shared" si="768"/>
        <v>0</v>
      </c>
      <c r="AA781" s="10">
        <f t="shared" ref="AA781:BV781" si="791">IF(AA$4=0, AA595, 0-(Z827+AA712))</f>
        <v>0</v>
      </c>
      <c r="AB781" s="10">
        <f t="shared" si="791"/>
        <v>0</v>
      </c>
      <c r="AC781" s="10">
        <f t="shared" si="791"/>
        <v>0</v>
      </c>
      <c r="AD781" s="10">
        <f t="shared" si="791"/>
        <v>0</v>
      </c>
      <c r="AE781" s="10">
        <f t="shared" si="791"/>
        <v>0</v>
      </c>
      <c r="AF781" s="10">
        <f t="shared" si="791"/>
        <v>0</v>
      </c>
      <c r="AG781" s="10">
        <f t="shared" si="791"/>
        <v>0</v>
      </c>
      <c r="AH781" s="10">
        <f t="shared" si="791"/>
        <v>0</v>
      </c>
      <c r="AI781" s="10">
        <f t="shared" si="791"/>
        <v>0</v>
      </c>
      <c r="AJ781" s="10">
        <f t="shared" si="791"/>
        <v>0</v>
      </c>
      <c r="AK781" s="10">
        <f t="shared" si="791"/>
        <v>0</v>
      </c>
      <c r="AL781" s="10">
        <f t="shared" si="791"/>
        <v>0</v>
      </c>
      <c r="AM781" s="10">
        <f t="shared" si="791"/>
        <v>0</v>
      </c>
      <c r="AN781" s="10">
        <f t="shared" si="791"/>
        <v>0</v>
      </c>
      <c r="AO781" s="10">
        <f t="shared" si="791"/>
        <v>0</v>
      </c>
      <c r="AP781" s="10">
        <f t="shared" si="791"/>
        <v>0</v>
      </c>
      <c r="AQ781" s="10">
        <f t="shared" si="791"/>
        <v>0</v>
      </c>
      <c r="AR781" s="10">
        <f t="shared" si="791"/>
        <v>0</v>
      </c>
      <c r="AS781" s="10">
        <f t="shared" si="791"/>
        <v>0</v>
      </c>
      <c r="AT781" s="10">
        <f t="shared" si="791"/>
        <v>0</v>
      </c>
      <c r="AU781" s="10">
        <f t="shared" si="791"/>
        <v>0</v>
      </c>
      <c r="AV781" s="10">
        <f t="shared" si="791"/>
        <v>0</v>
      </c>
      <c r="AW781" s="10">
        <f t="shared" si="791"/>
        <v>0</v>
      </c>
      <c r="AX781" s="10">
        <f t="shared" si="791"/>
        <v>0</v>
      </c>
      <c r="AY781" s="10">
        <f t="shared" si="791"/>
        <v>0</v>
      </c>
      <c r="AZ781" s="10">
        <f t="shared" si="791"/>
        <v>0</v>
      </c>
      <c r="BA781" s="10">
        <f t="shared" si="791"/>
        <v>0</v>
      </c>
      <c r="BB781" s="10">
        <f t="shared" si="791"/>
        <v>0</v>
      </c>
      <c r="BC781" s="10">
        <f t="shared" si="791"/>
        <v>0</v>
      </c>
      <c r="BD781" s="10">
        <f t="shared" si="791"/>
        <v>0</v>
      </c>
      <c r="BE781" s="10">
        <f t="shared" si="791"/>
        <v>0</v>
      </c>
      <c r="BF781" s="10">
        <f t="shared" si="791"/>
        <v>0</v>
      </c>
      <c r="BG781" s="10">
        <f t="shared" si="791"/>
        <v>0</v>
      </c>
      <c r="BH781" s="10">
        <f t="shared" si="791"/>
        <v>0</v>
      </c>
      <c r="BI781" s="10">
        <f t="shared" si="791"/>
        <v>0</v>
      </c>
      <c r="BJ781" s="10">
        <f t="shared" si="791"/>
        <v>0</v>
      </c>
      <c r="BK781" s="10">
        <f t="shared" si="791"/>
        <v>0</v>
      </c>
      <c r="BL781" s="10">
        <f t="shared" si="791"/>
        <v>0</v>
      </c>
      <c r="BM781" s="10">
        <f t="shared" si="791"/>
        <v>0</v>
      </c>
      <c r="BN781" s="10">
        <f t="shared" si="791"/>
        <v>0</v>
      </c>
      <c r="BO781" s="10">
        <f t="shared" si="791"/>
        <v>0</v>
      </c>
      <c r="BP781" s="10">
        <f t="shared" si="791"/>
        <v>0</v>
      </c>
      <c r="BQ781" s="10">
        <f t="shared" si="791"/>
        <v>0</v>
      </c>
      <c r="BR781" s="10">
        <f t="shared" si="791"/>
        <v>0</v>
      </c>
      <c r="BS781" s="10">
        <f t="shared" si="791"/>
        <v>0</v>
      </c>
      <c r="BT781" s="10">
        <f t="shared" si="791"/>
        <v>0</v>
      </c>
      <c r="BU781" s="10">
        <f t="shared" si="791"/>
        <v>0</v>
      </c>
      <c r="BV781" s="10">
        <f t="shared" si="791"/>
        <v>0</v>
      </c>
      <c r="BX781" s="12">
        <f t="shared" si="770"/>
        <v>0</v>
      </c>
      <c r="BY781" s="12">
        <f t="shared" si="771"/>
        <v>0</v>
      </c>
      <c r="BZ781" s="12">
        <f t="shared" si="772"/>
        <v>0</v>
      </c>
      <c r="CA781" s="12">
        <f t="shared" si="773"/>
        <v>0</v>
      </c>
      <c r="CB781" s="133">
        <f t="shared" si="774"/>
        <v>0</v>
      </c>
      <c r="CC781" s="106"/>
      <c r="CD781" s="106"/>
      <c r="CE781" s="106"/>
      <c r="CF781" s="106"/>
      <c r="CG781" s="106"/>
      <c r="CH781" s="106"/>
      <c r="CI781" s="106"/>
      <c r="CK781" s="11"/>
      <c r="CM781" s="11"/>
      <c r="CV781" s="120"/>
      <c r="DF781" s="11"/>
      <c r="EY781" s="10" t="str">
        <f t="shared" si="766"/>
        <v/>
      </c>
    </row>
    <row r="782" spans="1:155" x14ac:dyDescent="0.35">
      <c r="B782" s="69" t="str" cm="1">
        <f t="array" aca="1" ref="B782" ca="1">HYPERLINK(CONCATENATE("#",CELL("address",$D$398)),$D$398)</f>
        <v>Loan 19</v>
      </c>
      <c r="C782" s="211"/>
      <c r="D782" s="49">
        <f>D$31</f>
        <v>0</v>
      </c>
      <c r="E782" s="49" t="str">
        <f>F$31</f>
        <v/>
      </c>
      <c r="F782" s="49"/>
      <c r="I782" s="40" t="s">
        <v>1079</v>
      </c>
      <c r="V782" s="12">
        <f t="shared" si="767"/>
        <v>0</v>
      </c>
      <c r="W782" s="133">
        <f t="shared" si="768"/>
        <v>0</v>
      </c>
      <c r="X782" s="133">
        <f t="shared" si="768"/>
        <v>0</v>
      </c>
      <c r="Y782" s="133">
        <f t="shared" si="768"/>
        <v>0</v>
      </c>
      <c r="AA782" s="10">
        <f t="shared" ref="AA782:BV782" si="792">IF(AA$4=0, AA596, 0-(Z828+AA713))</f>
        <v>0</v>
      </c>
      <c r="AB782" s="10">
        <f t="shared" si="792"/>
        <v>0</v>
      </c>
      <c r="AC782" s="10">
        <f t="shared" si="792"/>
        <v>0</v>
      </c>
      <c r="AD782" s="10">
        <f t="shared" si="792"/>
        <v>0</v>
      </c>
      <c r="AE782" s="10">
        <f t="shared" si="792"/>
        <v>0</v>
      </c>
      <c r="AF782" s="10">
        <f t="shared" si="792"/>
        <v>0</v>
      </c>
      <c r="AG782" s="10">
        <f t="shared" si="792"/>
        <v>0</v>
      </c>
      <c r="AH782" s="10">
        <f t="shared" si="792"/>
        <v>0</v>
      </c>
      <c r="AI782" s="10">
        <f t="shared" si="792"/>
        <v>0</v>
      </c>
      <c r="AJ782" s="10">
        <f t="shared" si="792"/>
        <v>0</v>
      </c>
      <c r="AK782" s="10">
        <f t="shared" si="792"/>
        <v>0</v>
      </c>
      <c r="AL782" s="10">
        <f t="shared" si="792"/>
        <v>0</v>
      </c>
      <c r="AM782" s="10">
        <f t="shared" si="792"/>
        <v>0</v>
      </c>
      <c r="AN782" s="10">
        <f t="shared" si="792"/>
        <v>0</v>
      </c>
      <c r="AO782" s="10">
        <f t="shared" si="792"/>
        <v>0</v>
      </c>
      <c r="AP782" s="10">
        <f t="shared" si="792"/>
        <v>0</v>
      </c>
      <c r="AQ782" s="10">
        <f t="shared" si="792"/>
        <v>0</v>
      </c>
      <c r="AR782" s="10">
        <f t="shared" si="792"/>
        <v>0</v>
      </c>
      <c r="AS782" s="10">
        <f t="shared" si="792"/>
        <v>0</v>
      </c>
      <c r="AT782" s="10">
        <f t="shared" si="792"/>
        <v>0</v>
      </c>
      <c r="AU782" s="10">
        <f t="shared" si="792"/>
        <v>0</v>
      </c>
      <c r="AV782" s="10">
        <f t="shared" si="792"/>
        <v>0</v>
      </c>
      <c r="AW782" s="10">
        <f t="shared" si="792"/>
        <v>0</v>
      </c>
      <c r="AX782" s="10">
        <f t="shared" si="792"/>
        <v>0</v>
      </c>
      <c r="AY782" s="10">
        <f t="shared" si="792"/>
        <v>0</v>
      </c>
      <c r="AZ782" s="10">
        <f t="shared" si="792"/>
        <v>0</v>
      </c>
      <c r="BA782" s="10">
        <f t="shared" si="792"/>
        <v>0</v>
      </c>
      <c r="BB782" s="10">
        <f t="shared" si="792"/>
        <v>0</v>
      </c>
      <c r="BC782" s="10">
        <f t="shared" si="792"/>
        <v>0</v>
      </c>
      <c r="BD782" s="10">
        <f t="shared" si="792"/>
        <v>0</v>
      </c>
      <c r="BE782" s="10">
        <f t="shared" si="792"/>
        <v>0</v>
      </c>
      <c r="BF782" s="10">
        <f t="shared" si="792"/>
        <v>0</v>
      </c>
      <c r="BG782" s="10">
        <f t="shared" si="792"/>
        <v>0</v>
      </c>
      <c r="BH782" s="10">
        <f t="shared" si="792"/>
        <v>0</v>
      </c>
      <c r="BI782" s="10">
        <f t="shared" si="792"/>
        <v>0</v>
      </c>
      <c r="BJ782" s="10">
        <f t="shared" si="792"/>
        <v>0</v>
      </c>
      <c r="BK782" s="10">
        <f t="shared" si="792"/>
        <v>0</v>
      </c>
      <c r="BL782" s="10">
        <f t="shared" si="792"/>
        <v>0</v>
      </c>
      <c r="BM782" s="10">
        <f t="shared" si="792"/>
        <v>0</v>
      </c>
      <c r="BN782" s="10">
        <f t="shared" si="792"/>
        <v>0</v>
      </c>
      <c r="BO782" s="10">
        <f t="shared" si="792"/>
        <v>0</v>
      </c>
      <c r="BP782" s="10">
        <f t="shared" si="792"/>
        <v>0</v>
      </c>
      <c r="BQ782" s="10">
        <f t="shared" si="792"/>
        <v>0</v>
      </c>
      <c r="BR782" s="10">
        <f t="shared" si="792"/>
        <v>0</v>
      </c>
      <c r="BS782" s="10">
        <f t="shared" si="792"/>
        <v>0</v>
      </c>
      <c r="BT782" s="10">
        <f t="shared" si="792"/>
        <v>0</v>
      </c>
      <c r="BU782" s="10">
        <f t="shared" si="792"/>
        <v>0</v>
      </c>
      <c r="BV782" s="10">
        <f t="shared" si="792"/>
        <v>0</v>
      </c>
      <c r="BX782" s="12">
        <f t="shared" si="770"/>
        <v>0</v>
      </c>
      <c r="BY782" s="12">
        <f t="shared" si="771"/>
        <v>0</v>
      </c>
      <c r="BZ782" s="12">
        <f t="shared" si="772"/>
        <v>0</v>
      </c>
      <c r="CA782" s="12">
        <f t="shared" si="773"/>
        <v>0</v>
      </c>
      <c r="CB782" s="133">
        <f t="shared" si="774"/>
        <v>0</v>
      </c>
      <c r="CC782" s="106"/>
      <c r="CD782" s="106"/>
      <c r="CE782" s="106"/>
      <c r="CF782" s="106"/>
      <c r="CG782" s="106"/>
      <c r="CH782" s="106"/>
      <c r="CI782" s="106"/>
      <c r="CK782" s="11"/>
      <c r="CM782" s="11"/>
      <c r="CV782" s="120"/>
      <c r="DF782" s="11"/>
      <c r="EY782" s="10" t="str">
        <f t="shared" si="766"/>
        <v/>
      </c>
    </row>
    <row r="783" spans="1:155" x14ac:dyDescent="0.35">
      <c r="B783" s="69" t="str" cm="1">
        <f t="array" aca="1" ref="B783" ca="1">HYPERLINK(CONCATENATE("#",CELL("address",$D$417)),$D$417)</f>
        <v>Loan 20</v>
      </c>
      <c r="C783" s="211"/>
      <c r="D783" s="49">
        <f>D$32</f>
        <v>0</v>
      </c>
      <c r="E783" s="49" t="str">
        <f>F$32</f>
        <v/>
      </c>
      <c r="F783" s="49"/>
      <c r="I783" s="40" t="s">
        <v>1079</v>
      </c>
      <c r="V783" s="12">
        <f t="shared" si="767"/>
        <v>0</v>
      </c>
      <c r="W783" s="133">
        <f t="shared" si="768"/>
        <v>0</v>
      </c>
      <c r="X783" s="133">
        <f t="shared" si="768"/>
        <v>0</v>
      </c>
      <c r="Y783" s="133">
        <f t="shared" si="768"/>
        <v>0</v>
      </c>
      <c r="AA783" s="10">
        <f t="shared" ref="AA783:BV783" si="793">IF(AA$4=0, AA597, 0-(Z829+AA714))</f>
        <v>0</v>
      </c>
      <c r="AB783" s="10">
        <f t="shared" si="793"/>
        <v>0</v>
      </c>
      <c r="AC783" s="10">
        <f t="shared" si="793"/>
        <v>0</v>
      </c>
      <c r="AD783" s="10">
        <f t="shared" si="793"/>
        <v>0</v>
      </c>
      <c r="AE783" s="10">
        <f t="shared" si="793"/>
        <v>0</v>
      </c>
      <c r="AF783" s="10">
        <f t="shared" si="793"/>
        <v>0</v>
      </c>
      <c r="AG783" s="10">
        <f t="shared" si="793"/>
        <v>0</v>
      </c>
      <c r="AH783" s="10">
        <f t="shared" si="793"/>
        <v>0</v>
      </c>
      <c r="AI783" s="10">
        <f t="shared" si="793"/>
        <v>0</v>
      </c>
      <c r="AJ783" s="10">
        <f t="shared" si="793"/>
        <v>0</v>
      </c>
      <c r="AK783" s="10">
        <f t="shared" si="793"/>
        <v>0</v>
      </c>
      <c r="AL783" s="10">
        <f t="shared" si="793"/>
        <v>0</v>
      </c>
      <c r="AM783" s="10">
        <f t="shared" si="793"/>
        <v>0</v>
      </c>
      <c r="AN783" s="10">
        <f t="shared" si="793"/>
        <v>0</v>
      </c>
      <c r="AO783" s="10">
        <f t="shared" si="793"/>
        <v>0</v>
      </c>
      <c r="AP783" s="10">
        <f t="shared" si="793"/>
        <v>0</v>
      </c>
      <c r="AQ783" s="10">
        <f t="shared" si="793"/>
        <v>0</v>
      </c>
      <c r="AR783" s="10">
        <f t="shared" si="793"/>
        <v>0</v>
      </c>
      <c r="AS783" s="10">
        <f t="shared" si="793"/>
        <v>0</v>
      </c>
      <c r="AT783" s="10">
        <f t="shared" si="793"/>
        <v>0</v>
      </c>
      <c r="AU783" s="10">
        <f t="shared" si="793"/>
        <v>0</v>
      </c>
      <c r="AV783" s="10">
        <f t="shared" si="793"/>
        <v>0</v>
      </c>
      <c r="AW783" s="10">
        <f t="shared" si="793"/>
        <v>0</v>
      </c>
      <c r="AX783" s="10">
        <f t="shared" si="793"/>
        <v>0</v>
      </c>
      <c r="AY783" s="10">
        <f t="shared" si="793"/>
        <v>0</v>
      </c>
      <c r="AZ783" s="10">
        <f t="shared" si="793"/>
        <v>0</v>
      </c>
      <c r="BA783" s="10">
        <f t="shared" si="793"/>
        <v>0</v>
      </c>
      <c r="BB783" s="10">
        <f t="shared" si="793"/>
        <v>0</v>
      </c>
      <c r="BC783" s="10">
        <f t="shared" si="793"/>
        <v>0</v>
      </c>
      <c r="BD783" s="10">
        <f t="shared" si="793"/>
        <v>0</v>
      </c>
      <c r="BE783" s="10">
        <f t="shared" si="793"/>
        <v>0</v>
      </c>
      <c r="BF783" s="10">
        <f t="shared" si="793"/>
        <v>0</v>
      </c>
      <c r="BG783" s="10">
        <f t="shared" si="793"/>
        <v>0</v>
      </c>
      <c r="BH783" s="10">
        <f t="shared" si="793"/>
        <v>0</v>
      </c>
      <c r="BI783" s="10">
        <f t="shared" si="793"/>
        <v>0</v>
      </c>
      <c r="BJ783" s="10">
        <f t="shared" si="793"/>
        <v>0</v>
      </c>
      <c r="BK783" s="10">
        <f t="shared" si="793"/>
        <v>0</v>
      </c>
      <c r="BL783" s="10">
        <f t="shared" si="793"/>
        <v>0</v>
      </c>
      <c r="BM783" s="10">
        <f t="shared" si="793"/>
        <v>0</v>
      </c>
      <c r="BN783" s="10">
        <f t="shared" si="793"/>
        <v>0</v>
      </c>
      <c r="BO783" s="10">
        <f t="shared" si="793"/>
        <v>0</v>
      </c>
      <c r="BP783" s="10">
        <f t="shared" si="793"/>
        <v>0</v>
      </c>
      <c r="BQ783" s="10">
        <f t="shared" si="793"/>
        <v>0</v>
      </c>
      <c r="BR783" s="10">
        <f t="shared" si="793"/>
        <v>0</v>
      </c>
      <c r="BS783" s="10">
        <f t="shared" si="793"/>
        <v>0</v>
      </c>
      <c r="BT783" s="10">
        <f t="shared" si="793"/>
        <v>0</v>
      </c>
      <c r="BU783" s="10">
        <f t="shared" si="793"/>
        <v>0</v>
      </c>
      <c r="BV783" s="10">
        <f t="shared" si="793"/>
        <v>0</v>
      </c>
      <c r="BX783" s="12">
        <f t="shared" si="770"/>
        <v>0</v>
      </c>
      <c r="BY783" s="12">
        <f t="shared" si="771"/>
        <v>0</v>
      </c>
      <c r="BZ783" s="12">
        <f t="shared" si="772"/>
        <v>0</v>
      </c>
      <c r="CA783" s="12">
        <f t="shared" si="773"/>
        <v>0</v>
      </c>
      <c r="CB783" s="133">
        <f t="shared" si="774"/>
        <v>0</v>
      </c>
      <c r="CC783" s="106"/>
      <c r="CD783" s="106"/>
      <c r="CE783" s="106"/>
      <c r="CF783" s="106"/>
      <c r="CG783" s="106"/>
      <c r="CH783" s="106"/>
      <c r="CI783" s="106"/>
      <c r="CK783" s="11"/>
      <c r="CM783" s="11"/>
      <c r="CV783" s="120"/>
      <c r="DF783" s="11"/>
      <c r="EY783" s="10" t="str">
        <f t="shared" si="766"/>
        <v/>
      </c>
    </row>
    <row r="784" spans="1:155" ht="6.75" customHeight="1" x14ac:dyDescent="0.35">
      <c r="A784" s="120"/>
      <c r="C784" s="211"/>
      <c r="D784" s="1"/>
      <c r="E784"/>
      <c r="F784"/>
      <c r="BY784" s="6"/>
      <c r="CK784" s="35"/>
      <c r="CM784" s="35"/>
      <c r="CV784" s="120"/>
      <c r="DF784" s="35"/>
      <c r="EY784" s="10" t="str">
        <f t="shared" si="766"/>
        <v/>
      </c>
    </row>
    <row r="785" spans="1:155" x14ac:dyDescent="0.35">
      <c r="C785" s="211"/>
      <c r="D785" s="50" t="s">
        <v>1244</v>
      </c>
      <c r="E785"/>
      <c r="F785"/>
      <c r="CK785" s="11"/>
      <c r="CM785" s="11"/>
      <c r="CV785" s="120"/>
      <c r="DF785" s="11"/>
      <c r="EY785" s="10" t="str">
        <f t="shared" si="766"/>
        <v/>
      </c>
    </row>
    <row r="786" spans="1:155" ht="29" x14ac:dyDescent="0.35">
      <c r="B786" s="107" t="s">
        <v>1229</v>
      </c>
      <c r="C786" s="211"/>
      <c r="D786" s="107" t="str">
        <f>D$11</f>
        <v>Lender</v>
      </c>
      <c r="E786" s="61" t="str">
        <f>E$11</f>
        <v>Loan Category</v>
      </c>
      <c r="F786" s="61"/>
      <c r="G786" s="57"/>
      <c r="H786" s="57" t="s">
        <v>1245</v>
      </c>
      <c r="AA786" s="126" t="s">
        <v>122</v>
      </c>
      <c r="CK786" s="11"/>
      <c r="CM786" s="11"/>
      <c r="CV786" s="120"/>
      <c r="DF786" s="11"/>
      <c r="EY786" s="10" t="str">
        <f t="shared" si="766"/>
        <v/>
      </c>
    </row>
    <row r="787" spans="1:155" x14ac:dyDescent="0.35">
      <c r="B787" s="69" t="str" cm="1">
        <f t="array" aca="1" ref="B787" ca="1">HYPERLINK(CONCATENATE("#",CELL("address",$D$56)),$D$56)</f>
        <v>Loan 1</v>
      </c>
      <c r="C787" s="211"/>
      <c r="D787" s="49">
        <f>D$13</f>
        <v>0</v>
      </c>
      <c r="E787" s="49" t="str">
        <f>F$13</f>
        <v/>
      </c>
      <c r="F787" s="49"/>
      <c r="H787" s="10">
        <f t="shared" ref="H787:H806" si="794">T13</f>
        <v>0</v>
      </c>
      <c r="I787" s="40" t="s">
        <v>1079</v>
      </c>
      <c r="J787" s="54"/>
      <c r="V787" s="12">
        <f t="shared" ref="V787:V806" si="795">V578</f>
        <v>0</v>
      </c>
      <c r="W787" s="133">
        <f t="shared" ref="W787:Y806" si="796" xml:space="preserve"> SUMIFS($AA787:$BV787, $AA$3:$BV$3, W$3)</f>
        <v>0</v>
      </c>
      <c r="X787" s="133">
        <f t="shared" si="796"/>
        <v>0</v>
      </c>
      <c r="Y787" s="133">
        <f t="shared" si="796"/>
        <v>0</v>
      </c>
      <c r="AA787" s="10">
        <f>IF(Timeline!AA114=1, -(Z810+AA695), MAX(-Z810, IF(AA$4&lt;=0, AA578,(SUM($AA764:AA764)-SUM($Z787:Z787))*Timeline!AA252)))</f>
        <v>0</v>
      </c>
      <c r="AB787" s="10">
        <f>IF(Timeline!AB114=1, -(AA810+AB695), MAX(-AA810, IF(AB$4&lt;=0, AB578,(SUM($AA764:AB764)-SUM($Z787:AA787))*Timeline!AB252)))</f>
        <v>0</v>
      </c>
      <c r="AC787" s="10">
        <f>IF(Timeline!AC114=1, -(AB810+AC695), MAX(-AB810, IF(AC$4&lt;=0, AC578,(SUM($AA764:AC764)-SUM($Z787:AB787))*Timeline!AC252)))</f>
        <v>0</v>
      </c>
      <c r="AD787" s="10">
        <f>IF(Timeline!AD114=1, -(AC810+AD695), MAX(-AC810, IF(AD$4&lt;=0, AD578,(SUM($AA764:AD764)-SUM($Z787:AC787))*Timeline!AD252)))</f>
        <v>0</v>
      </c>
      <c r="AE787" s="10">
        <f>IF(Timeline!AE114=1, -(AD810+AE695), MAX(-AD810, IF(AE$4&lt;=0, AE578,(SUM($AA764:AE764)-SUM($Z787:AD787))*Timeline!AE252)))</f>
        <v>0</v>
      </c>
      <c r="AF787" s="10">
        <f>IF(Timeline!AF114=1, -(AE810+AF695), MAX(-AE810, IF(AF$4&lt;=0, AF578,(SUM($AA764:AF764)-SUM($Z787:AE787))*Timeline!AF252)))</f>
        <v>0</v>
      </c>
      <c r="AG787" s="10">
        <f>IF(Timeline!AG114=1, -(AF810+AG695), MAX(-AF810, IF(AG$4&lt;=0, AG578,(SUM($AA764:AG764)-SUM($Z787:AF787))*Timeline!AG252)))</f>
        <v>0</v>
      </c>
      <c r="AH787" s="10">
        <f>IF(Timeline!AH114=1, -(AG810+AH695), MAX(-AG810, IF(AH$4&lt;=0, AH578,(SUM($AA764:AH764)-SUM($Z787:AG787))*Timeline!AH252)))</f>
        <v>0</v>
      </c>
      <c r="AI787" s="10">
        <f>IF(Timeline!AI114=1, -(AH810+AI695), MAX(-AH810, IF(AI$4&lt;=0, AI578,(SUM($AA764:AI764)-SUM($Z787:AH787))*Timeline!AI252)))</f>
        <v>0</v>
      </c>
      <c r="AJ787" s="10">
        <f>IF(Timeline!AJ114=1, -(AI810+AJ695), MAX(-AI810, IF(AJ$4&lt;=0, AJ578,(SUM($AA764:AJ764)-SUM($Z787:AI787))*Timeline!AJ252)))</f>
        <v>0</v>
      </c>
      <c r="AK787" s="10">
        <f>IF(Timeline!AK114=1, -(AJ810+AK695), MAX(-AJ810, IF(AK$4&lt;=0, AK578,(SUM($AA764:AK764)-SUM($Z787:AJ787))*Timeline!AK252)))</f>
        <v>0</v>
      </c>
      <c r="AL787" s="10">
        <f>IF(Timeline!AL114=1, -(AK810+AL695), MAX(-AK810, IF(AL$4&lt;=0, AL578,(SUM($AA764:AL764)-SUM($Z787:AK787))*Timeline!AL252)))</f>
        <v>0</v>
      </c>
      <c r="AM787" s="10">
        <f>IF(Timeline!AM114=1, -(AL810+AM695), MAX(-AL810, IF(AM$4&lt;=0, AM578,(SUM($AA764:AM764)-SUM($Z787:AL787))*Timeline!AM252)))</f>
        <v>0</v>
      </c>
      <c r="AN787" s="10">
        <f>IF(Timeline!AN114=1, -(AM810+AN695), MAX(-AM810, IF(AN$4&lt;=0, AN578,(SUM($AA764:AN764)-SUM($Z787:AM787))*Timeline!AN252)))</f>
        <v>0</v>
      </c>
      <c r="AO787" s="10">
        <f>IF(Timeline!AO114=1, -(AN810+AO695), MAX(-AN810, IF(AO$4&lt;=0, AO578,(SUM($AA764:AO764)-SUM($Z787:AN787))*Timeline!AO252)))</f>
        <v>0</v>
      </c>
      <c r="AP787" s="10">
        <f>IF(Timeline!AP114=1, -(AO810+AP695), MAX(-AO810, IF(AP$4&lt;=0, AP578,(SUM($AA764:AP764)-SUM($Z787:AO787))*Timeline!AP252)))</f>
        <v>0</v>
      </c>
      <c r="AQ787" s="10">
        <f>IF(Timeline!AQ114=1, -(AP810+AQ695), MAX(-AP810, IF(AQ$4&lt;=0, AQ578,(SUM($AA764:AQ764)-SUM($Z787:AP787))*Timeline!AQ252)))</f>
        <v>0</v>
      </c>
      <c r="AR787" s="10">
        <f>IF(Timeline!AR114=1, -(AQ810+AR695), MAX(-AQ810, IF(AR$4&lt;=0, AR578,(SUM($AA764:AR764)-SUM($Z787:AQ787))*Timeline!AR252)))</f>
        <v>0</v>
      </c>
      <c r="AS787" s="10">
        <f>IF(Timeline!AS114=1, -(AR810+AS695), MAX(-AR810, IF(AS$4&lt;=0, AS578,(SUM($AA764:AS764)-SUM($Z787:AR787))*Timeline!AS252)))</f>
        <v>0</v>
      </c>
      <c r="AT787" s="10">
        <f>IF(Timeline!AT114=1, -(AS810+AT695), MAX(-AS810, IF(AT$4&lt;=0, AT578,(SUM($AA764:AT764)-SUM($Z787:AS787))*Timeline!AT252)))</f>
        <v>0</v>
      </c>
      <c r="AU787" s="10">
        <f>IF(Timeline!AU114=1, -(AT810+AU695), MAX(-AT810, IF(AU$4&lt;=0, AU578,(SUM($AA764:AU764)-SUM($Z787:AT787))*Timeline!AU252)))</f>
        <v>0</v>
      </c>
      <c r="AV787" s="10">
        <f>IF(Timeline!AV114=1, -(AU810+AV695), MAX(-AU810, IF(AV$4&lt;=0, AV578,(SUM($AA764:AV764)-SUM($Z787:AU787))*Timeline!AV252)))</f>
        <v>0</v>
      </c>
      <c r="AW787" s="10">
        <f>IF(Timeline!AW114=1, -(AV810+AW695), MAX(-AV810, IF(AW$4&lt;=0, AW578,(SUM($AA764:AW764)-SUM($Z787:AV787))*Timeline!AW252)))</f>
        <v>0</v>
      </c>
      <c r="AX787" s="10">
        <f>IF(Timeline!AX114=1, -(AW810+AX695), MAX(-AW810, IF(AX$4&lt;=0, AX578,(SUM($AA764:AX764)-SUM($Z787:AW787))*Timeline!AX252)))</f>
        <v>0</v>
      </c>
      <c r="AY787" s="10">
        <f>IF(Timeline!AY114=1, -(AX810+AY695), MAX(-AX810, IF(AY$4&lt;=0, AY578,(SUM($AA764:AY764)-SUM($Z787:AX787))*Timeline!AY252)))</f>
        <v>0</v>
      </c>
      <c r="AZ787" s="10">
        <f>IF(Timeline!AZ114=1, -(AY810+AZ695), MAX(-AY810, IF(AZ$4&lt;=0, AZ578,(SUM($AA764:AZ764)-SUM($Z787:AY787))*Timeline!AZ252)))</f>
        <v>0</v>
      </c>
      <c r="BA787" s="10">
        <f>IF(Timeline!BA114=1, -(AZ810+BA695), MAX(-AZ810, IF(BA$4&lt;=0, BA578,(SUM($AA764:BA764)-SUM($Z787:AZ787))*Timeline!BA252)))</f>
        <v>0</v>
      </c>
      <c r="BB787" s="10">
        <f>IF(Timeline!BB114=1, -(BA810+BB695), MAX(-BA810, IF(BB$4&lt;=0, BB578,(SUM($AA764:BB764)-SUM($Z787:BA787))*Timeline!BB252)))</f>
        <v>0</v>
      </c>
      <c r="BC787" s="10">
        <f>IF(Timeline!BC114=1, -(BB810+BC695), MAX(-BB810, IF(BC$4&lt;=0, BC578,(SUM($AA764:BC764)-SUM($Z787:BB787))*Timeline!BC252)))</f>
        <v>0</v>
      </c>
      <c r="BD787" s="10">
        <f>IF(Timeline!BD114=1, -(BC810+BD695), MAX(-BC810, IF(BD$4&lt;=0, BD578,(SUM($AA764:BD764)-SUM($Z787:BC787))*Timeline!BD252)))</f>
        <v>0</v>
      </c>
      <c r="BE787" s="10">
        <f>IF(Timeline!BE114=1, -(BD810+BE695), MAX(-BD810, IF(BE$4&lt;=0, BE578,(SUM($AA764:BE764)-SUM($Z787:BD787))*Timeline!BE252)))</f>
        <v>0</v>
      </c>
      <c r="BF787" s="10">
        <f>IF(Timeline!BF114=1, -(BE810+BF695), MAX(-BE810, IF(BF$4&lt;=0, BF578,(SUM($AA764:BF764)-SUM($Z787:BE787))*Timeline!BF252)))</f>
        <v>0</v>
      </c>
      <c r="BG787" s="10">
        <f>IF(Timeline!BG114=1, -(BF810+BG695), MAX(-BF810, IF(BG$4&lt;=0, BG578,(SUM($AA764:BG764)-SUM($Z787:BF787))*Timeline!BG252)))</f>
        <v>0</v>
      </c>
      <c r="BH787" s="10">
        <f>IF(Timeline!BH114=1, -(BG810+BH695), MAX(-BG810, IF(BH$4&lt;=0, BH578,(SUM($AA764:BH764)-SUM($Z787:BG787))*Timeline!BH252)))</f>
        <v>0</v>
      </c>
      <c r="BI787" s="10">
        <f>IF(Timeline!BI114=1, -(BH810+BI695), MAX(-BH810, IF(BI$4&lt;=0, BI578,(SUM($AA764:BI764)-SUM($Z787:BH787))*Timeline!BI252)))</f>
        <v>0</v>
      </c>
      <c r="BJ787" s="10">
        <f>IF(Timeline!BJ114=1, -(BI810+BJ695), MAX(-BI810, IF(BJ$4&lt;=0, BJ578,(SUM($AA764:BJ764)-SUM($Z787:BI787))*Timeline!BJ252)))</f>
        <v>0</v>
      </c>
      <c r="BK787" s="10">
        <f>IF(Timeline!BK114=1, -(BJ810+BK695), MAX(-BJ810, IF(BK$4&lt;=0, BK578,(SUM($AA764:BK764)-SUM($Z787:BJ787))*Timeline!BK252)))</f>
        <v>0</v>
      </c>
      <c r="BL787" s="10">
        <f>IF(Timeline!BL114=1, -(BK810+BL695), MAX(-BK810, IF(BL$4&lt;=0, BL578,(SUM($AA764:BL764)-SUM($Z787:BK787))*Timeline!BL252)))</f>
        <v>0</v>
      </c>
      <c r="BM787" s="10">
        <f>IF(Timeline!BM114=1, -(BL810+BM695), MAX(-BL810, IF(BM$4&lt;=0, BM578,(SUM($AA764:BM764)-SUM($Z787:BL787))*Timeline!BM252)))</f>
        <v>0</v>
      </c>
      <c r="BN787" s="10">
        <f>IF(Timeline!BN114=1, -(BM810+BN695), MAX(-BM810, IF(BN$4&lt;=0, BN578,(SUM($AA764:BN764)-SUM($Z787:BM787))*Timeline!BN252)))</f>
        <v>0</v>
      </c>
      <c r="BO787" s="10">
        <f>IF(Timeline!BO114=1, -(BN810+BO695), MAX(-BN810, IF(BO$4&lt;=0, BO578,(SUM($AA764:BO764)-SUM($Z787:BN787))*Timeline!BO252)))</f>
        <v>0</v>
      </c>
      <c r="BP787" s="10">
        <f>IF(Timeline!BP114=1, -(BO810+BP695), MAX(-BO810, IF(BP$4&lt;=0, BP578,(SUM($AA764:BP764)-SUM($Z787:BO787))*Timeline!BP252)))</f>
        <v>0</v>
      </c>
      <c r="BQ787" s="10">
        <f>IF(Timeline!BQ114=1, -(BP810+BQ695), MAX(-BP810, IF(BQ$4&lt;=0, BQ578,(SUM($AA764:BQ764)-SUM($Z787:BP787))*Timeline!BQ252)))</f>
        <v>0</v>
      </c>
      <c r="BR787" s="10">
        <f>IF(Timeline!BR114=1, -(BQ810+BR695), MAX(-BQ810, IF(BR$4&lt;=0, BR578,(SUM($AA764:BR764)-SUM($Z787:BQ787))*Timeline!BR252)))</f>
        <v>0</v>
      </c>
      <c r="BS787" s="10">
        <f>IF(Timeline!BS114=1, -(BR810+BS695), MAX(-BR810, IF(BS$4&lt;=0, BS578,(SUM($AA764:BS764)-SUM($Z787:BR787))*Timeline!BS252)))</f>
        <v>0</v>
      </c>
      <c r="BT787" s="10">
        <f>IF(Timeline!BT114=1, -(BS810+BT695), MAX(-BS810, IF(BT$4&lt;=0, BT578,(SUM($AA764:BT764)-SUM($Z787:BS787))*Timeline!BT252)))</f>
        <v>0</v>
      </c>
      <c r="BU787" s="10">
        <f>IF(Timeline!BU114=1, -(BT810+BU695), MAX(-BT810, IF(BU$4&lt;=0, BU578,(SUM($AA764:BU764)-SUM($Z787:BT787))*Timeline!BU252)))</f>
        <v>0</v>
      </c>
      <c r="BV787" s="10">
        <f>IF(Timeline!BV114=1, -(BU810+BV695), MAX(-BU810, IF(BV$4&lt;=0, BV578,(SUM($AA764:BV764)-SUM($Z787:BU787))*Timeline!BV252)))</f>
        <v>0</v>
      </c>
      <c r="BX787" s="12">
        <f t="shared" ref="BX787:BX806" si="797">V787</f>
        <v>0</v>
      </c>
      <c r="BY787" s="12">
        <f t="shared" ref="BY787:BY806" si="798">W787</f>
        <v>0</v>
      </c>
      <c r="BZ787" s="12">
        <f t="shared" ref="BZ787:BZ806" si="799">X787</f>
        <v>0</v>
      </c>
      <c r="CA787" s="12">
        <f t="shared" ref="CA787:CA806" si="800">Y787</f>
        <v>0</v>
      </c>
      <c r="CB787" s="133">
        <f t="shared" ref="CB787:CB806" si="801" xml:space="preserve"> SUMIFS($AA787:$BV787, $AA$3:$BV$3, CB$3)</f>
        <v>0</v>
      </c>
      <c r="CC787" s="106"/>
      <c r="CD787" s="106"/>
      <c r="CE787" s="106"/>
      <c r="CF787" s="106"/>
      <c r="CG787" s="106"/>
      <c r="CH787" s="106"/>
      <c r="CI787" s="106"/>
      <c r="CK787" s="11"/>
      <c r="CM787" s="11"/>
      <c r="CV787" s="120"/>
      <c r="DF787" s="11"/>
      <c r="EY787" s="10" t="str">
        <f t="shared" si="766"/>
        <v/>
      </c>
    </row>
    <row r="788" spans="1:155" x14ac:dyDescent="0.35">
      <c r="B788" s="69" t="str" cm="1">
        <f t="array" aca="1" ref="B788" ca="1">HYPERLINK(CONCATENATE("#",CELL("address",$D$75)),$D$75)</f>
        <v>Loan 2</v>
      </c>
      <c r="C788" s="211"/>
      <c r="D788" s="49">
        <f>D$14</f>
        <v>0</v>
      </c>
      <c r="E788" s="49" t="str">
        <f>F$14</f>
        <v/>
      </c>
      <c r="F788" s="49"/>
      <c r="H788" s="10">
        <f t="shared" si="794"/>
        <v>0</v>
      </c>
      <c r="I788" s="40" t="s">
        <v>1079</v>
      </c>
      <c r="V788" s="12">
        <f t="shared" si="795"/>
        <v>0</v>
      </c>
      <c r="W788" s="133">
        <f t="shared" si="796"/>
        <v>0</v>
      </c>
      <c r="X788" s="133">
        <f t="shared" si="796"/>
        <v>0</v>
      </c>
      <c r="Y788" s="133">
        <f t="shared" si="796"/>
        <v>0</v>
      </c>
      <c r="AA788" s="10">
        <f>IF(Timeline!AA115=1, -(Z811+AA696), MAX(-Z811, IF(AA$4&lt;=0, AA579,(SUM($AA765:AA765)-SUM($Z788:Z788))*Timeline!AA253)))</f>
        <v>0</v>
      </c>
      <c r="AB788" s="10">
        <f>IF(Timeline!AB115=1, -(AA811+AB696), MAX(-AA811, IF(AB$4&lt;=0, AB579,(SUM($AA765:AB765)-SUM($Z788:AA788))*Timeline!AB253)))</f>
        <v>0</v>
      </c>
      <c r="AC788" s="10">
        <f>IF(Timeline!AC115=1, -(AB811+AC696), MAX(-AB811, IF(AC$4&lt;=0, AC579,(SUM($AA765:AC765)-SUM($Z788:AB788))*Timeline!AC253)))</f>
        <v>0</v>
      </c>
      <c r="AD788" s="10">
        <f>IF(Timeline!AD115=1, -(AC811+AD696), MAX(-AC811, IF(AD$4&lt;=0, AD579,(SUM($AA765:AD765)-SUM($Z788:AC788))*Timeline!AD253)))</f>
        <v>0</v>
      </c>
      <c r="AE788" s="10">
        <f>IF(Timeline!AE115=1, -(AD811+AE696), MAX(-AD811, IF(AE$4&lt;=0, AE579,(SUM($AA765:AE765)-SUM($Z788:AD788))*Timeline!AE253)))</f>
        <v>0</v>
      </c>
      <c r="AF788" s="10">
        <f>IF(Timeline!AF115=1, -(AE811+AF696), MAX(-AE811, IF(AF$4&lt;=0, AF579,(SUM($AA765:AF765)-SUM($Z788:AE788))*Timeline!AF253)))</f>
        <v>0</v>
      </c>
      <c r="AG788" s="10">
        <f>IF(Timeline!AG115=1, -(AF811+AG696), MAX(-AF811, IF(AG$4&lt;=0, AG579,(SUM($AA765:AG765)-SUM($Z788:AF788))*Timeline!AG253)))</f>
        <v>0</v>
      </c>
      <c r="AH788" s="10">
        <f>IF(Timeline!AH115=1, -(AG811+AH696), MAX(-AG811, IF(AH$4&lt;=0, AH579,(SUM($AA765:AH765)-SUM($Z788:AG788))*Timeline!AH253)))</f>
        <v>0</v>
      </c>
      <c r="AI788" s="10">
        <f>IF(Timeline!AI115=1, -(AH811+AI696), MAX(-AH811, IF(AI$4&lt;=0, AI579,(SUM($AA765:AI765)-SUM($Z788:AH788))*Timeline!AI253)))</f>
        <v>0</v>
      </c>
      <c r="AJ788" s="10">
        <f>IF(Timeline!AJ115=1, -(AI811+AJ696), MAX(-AI811, IF(AJ$4&lt;=0, AJ579,(SUM($AA765:AJ765)-SUM($Z788:AI788))*Timeline!AJ253)))</f>
        <v>0</v>
      </c>
      <c r="AK788" s="10">
        <f>IF(Timeline!AK115=1, -(AJ811+AK696), MAX(-AJ811, IF(AK$4&lt;=0, AK579,(SUM($AA765:AK765)-SUM($Z788:AJ788))*Timeline!AK253)))</f>
        <v>0</v>
      </c>
      <c r="AL788" s="10">
        <f>IF(Timeline!AL115=1, -(AK811+AL696), MAX(-AK811, IF(AL$4&lt;=0, AL579,(SUM($AA765:AL765)-SUM($Z788:AK788))*Timeline!AL253)))</f>
        <v>0</v>
      </c>
      <c r="AM788" s="10">
        <f>IF(Timeline!AM115=1, -(AL811+AM696), MAX(-AL811, IF(AM$4&lt;=0, AM579,(SUM($AA765:AM765)-SUM($Z788:AL788))*Timeline!AM253)))</f>
        <v>0</v>
      </c>
      <c r="AN788" s="10">
        <f>IF(Timeline!AN115=1, -(AM811+AN696), MAX(-AM811, IF(AN$4&lt;=0, AN579,(SUM($AA765:AN765)-SUM($Z788:AM788))*Timeline!AN253)))</f>
        <v>0</v>
      </c>
      <c r="AO788" s="10">
        <f>IF(Timeline!AO115=1, -(AN811+AO696), MAX(-AN811, IF(AO$4&lt;=0, AO579,(SUM($AA765:AO765)-SUM($Z788:AN788))*Timeline!AO253)))</f>
        <v>0</v>
      </c>
      <c r="AP788" s="10">
        <f>IF(Timeline!AP115=1, -(AO811+AP696), MAX(-AO811, IF(AP$4&lt;=0, AP579,(SUM($AA765:AP765)-SUM($Z788:AO788))*Timeline!AP253)))</f>
        <v>0</v>
      </c>
      <c r="AQ788" s="10">
        <f>IF(Timeline!AQ115=1, -(AP811+AQ696), MAX(-AP811, IF(AQ$4&lt;=0, AQ579,(SUM($AA765:AQ765)-SUM($Z788:AP788))*Timeline!AQ253)))</f>
        <v>0</v>
      </c>
      <c r="AR788" s="10">
        <f>IF(Timeline!AR115=1, -(AQ811+AR696), MAX(-AQ811, IF(AR$4&lt;=0, AR579,(SUM($AA765:AR765)-SUM($Z788:AQ788))*Timeline!AR253)))</f>
        <v>0</v>
      </c>
      <c r="AS788" s="10">
        <f>IF(Timeline!AS115=1, -(AR811+AS696), MAX(-AR811, IF(AS$4&lt;=0, AS579,(SUM($AA765:AS765)-SUM($Z788:AR788))*Timeline!AS253)))</f>
        <v>0</v>
      </c>
      <c r="AT788" s="10">
        <f>IF(Timeline!AT115=1, -(AS811+AT696), MAX(-AS811, IF(AT$4&lt;=0, AT579,(SUM($AA765:AT765)-SUM($Z788:AS788))*Timeline!AT253)))</f>
        <v>0</v>
      </c>
      <c r="AU788" s="10">
        <f>IF(Timeline!AU115=1, -(AT811+AU696), MAX(-AT811, IF(AU$4&lt;=0, AU579,(SUM($AA765:AU765)-SUM($Z788:AT788))*Timeline!AU253)))</f>
        <v>0</v>
      </c>
      <c r="AV788" s="10">
        <f>IF(Timeline!AV115=1, -(AU811+AV696), MAX(-AU811, IF(AV$4&lt;=0, AV579,(SUM($AA765:AV765)-SUM($Z788:AU788))*Timeline!AV253)))</f>
        <v>0</v>
      </c>
      <c r="AW788" s="10">
        <f>IF(Timeline!AW115=1, -(AV811+AW696), MAX(-AV811, IF(AW$4&lt;=0, AW579,(SUM($AA765:AW765)-SUM($Z788:AV788))*Timeline!AW253)))</f>
        <v>0</v>
      </c>
      <c r="AX788" s="10">
        <f>IF(Timeline!AX115=1, -(AW811+AX696), MAX(-AW811, IF(AX$4&lt;=0, AX579,(SUM($AA765:AX765)-SUM($Z788:AW788))*Timeline!AX253)))</f>
        <v>0</v>
      </c>
      <c r="AY788" s="10">
        <f>IF(Timeline!AY115=1, -(AX811+AY696), MAX(-AX811, IF(AY$4&lt;=0, AY579,(SUM($AA765:AY765)-SUM($Z788:AX788))*Timeline!AY253)))</f>
        <v>0</v>
      </c>
      <c r="AZ788" s="10">
        <f>IF(Timeline!AZ115=1, -(AY811+AZ696), MAX(-AY811, IF(AZ$4&lt;=0, AZ579,(SUM($AA765:AZ765)-SUM($Z788:AY788))*Timeline!AZ253)))</f>
        <v>0</v>
      </c>
      <c r="BA788" s="10">
        <f>IF(Timeline!BA115=1, -(AZ811+BA696), MAX(-AZ811, IF(BA$4&lt;=0, BA579,(SUM($AA765:BA765)-SUM($Z788:AZ788))*Timeline!BA253)))</f>
        <v>0</v>
      </c>
      <c r="BB788" s="10">
        <f>IF(Timeline!BB115=1, -(BA811+BB696), MAX(-BA811, IF(BB$4&lt;=0, BB579,(SUM($AA765:BB765)-SUM($Z788:BA788))*Timeline!BB253)))</f>
        <v>0</v>
      </c>
      <c r="BC788" s="10">
        <f>IF(Timeline!BC115=1, -(BB811+BC696), MAX(-BB811, IF(BC$4&lt;=0, BC579,(SUM($AA765:BC765)-SUM($Z788:BB788))*Timeline!BC253)))</f>
        <v>0</v>
      </c>
      <c r="BD788" s="10">
        <f>IF(Timeline!BD115=1, -(BC811+BD696), MAX(-BC811, IF(BD$4&lt;=0, BD579,(SUM($AA765:BD765)-SUM($Z788:BC788))*Timeline!BD253)))</f>
        <v>0</v>
      </c>
      <c r="BE788" s="10">
        <f>IF(Timeline!BE115=1, -(BD811+BE696), MAX(-BD811, IF(BE$4&lt;=0, BE579,(SUM($AA765:BE765)-SUM($Z788:BD788))*Timeline!BE253)))</f>
        <v>0</v>
      </c>
      <c r="BF788" s="10">
        <f>IF(Timeline!BF115=1, -(BE811+BF696), MAX(-BE811, IF(BF$4&lt;=0, BF579,(SUM($AA765:BF765)-SUM($Z788:BE788))*Timeline!BF253)))</f>
        <v>0</v>
      </c>
      <c r="BG788" s="10">
        <f>IF(Timeline!BG115=1, -(BF811+BG696), MAX(-BF811, IF(BG$4&lt;=0, BG579,(SUM($AA765:BG765)-SUM($Z788:BF788))*Timeline!BG253)))</f>
        <v>0</v>
      </c>
      <c r="BH788" s="10">
        <f>IF(Timeline!BH115=1, -(BG811+BH696), MAX(-BG811, IF(BH$4&lt;=0, BH579,(SUM($AA765:BH765)-SUM($Z788:BG788))*Timeline!BH253)))</f>
        <v>0</v>
      </c>
      <c r="BI788" s="10">
        <f>IF(Timeline!BI115=1, -(BH811+BI696), MAX(-BH811, IF(BI$4&lt;=0, BI579,(SUM($AA765:BI765)-SUM($Z788:BH788))*Timeline!BI253)))</f>
        <v>0</v>
      </c>
      <c r="BJ788" s="10">
        <f>IF(Timeline!BJ115=1, -(BI811+BJ696), MAX(-BI811, IF(BJ$4&lt;=0, BJ579,(SUM($AA765:BJ765)-SUM($Z788:BI788))*Timeline!BJ253)))</f>
        <v>0</v>
      </c>
      <c r="BK788" s="10">
        <f>IF(Timeline!BK115=1, -(BJ811+BK696), MAX(-BJ811, IF(BK$4&lt;=0, BK579,(SUM($AA765:BK765)-SUM($Z788:BJ788))*Timeline!BK253)))</f>
        <v>0</v>
      </c>
      <c r="BL788" s="10">
        <f>IF(Timeline!BL115=1, -(BK811+BL696), MAX(-BK811, IF(BL$4&lt;=0, BL579,(SUM($AA765:BL765)-SUM($Z788:BK788))*Timeline!BL253)))</f>
        <v>0</v>
      </c>
      <c r="BM788" s="10">
        <f>IF(Timeline!BM115=1, -(BL811+BM696), MAX(-BL811, IF(BM$4&lt;=0, BM579,(SUM($AA765:BM765)-SUM($Z788:BL788))*Timeline!BM253)))</f>
        <v>0</v>
      </c>
      <c r="BN788" s="10">
        <f>IF(Timeline!BN115=1, -(BM811+BN696), MAX(-BM811, IF(BN$4&lt;=0, BN579,(SUM($AA765:BN765)-SUM($Z788:BM788))*Timeline!BN253)))</f>
        <v>0</v>
      </c>
      <c r="BO788" s="10">
        <f>IF(Timeline!BO115=1, -(BN811+BO696), MAX(-BN811, IF(BO$4&lt;=0, BO579,(SUM($AA765:BO765)-SUM($Z788:BN788))*Timeline!BO253)))</f>
        <v>0</v>
      </c>
      <c r="BP788" s="10">
        <f>IF(Timeline!BP115=1, -(BO811+BP696), MAX(-BO811, IF(BP$4&lt;=0, BP579,(SUM($AA765:BP765)-SUM($Z788:BO788))*Timeline!BP253)))</f>
        <v>0</v>
      </c>
      <c r="BQ788" s="10">
        <f>IF(Timeline!BQ115=1, -(BP811+BQ696), MAX(-BP811, IF(BQ$4&lt;=0, BQ579,(SUM($AA765:BQ765)-SUM($Z788:BP788))*Timeline!BQ253)))</f>
        <v>0</v>
      </c>
      <c r="BR788" s="10">
        <f>IF(Timeline!BR115=1, -(BQ811+BR696), MAX(-BQ811, IF(BR$4&lt;=0, BR579,(SUM($AA765:BR765)-SUM($Z788:BQ788))*Timeline!BR253)))</f>
        <v>0</v>
      </c>
      <c r="BS788" s="10">
        <f>IF(Timeline!BS115=1, -(BR811+BS696), MAX(-BR811, IF(BS$4&lt;=0, BS579,(SUM($AA765:BS765)-SUM($Z788:BR788))*Timeline!BS253)))</f>
        <v>0</v>
      </c>
      <c r="BT788" s="10">
        <f>IF(Timeline!BT115=1, -(BS811+BT696), MAX(-BS811, IF(BT$4&lt;=0, BT579,(SUM($AA765:BT765)-SUM($Z788:BS788))*Timeline!BT253)))</f>
        <v>0</v>
      </c>
      <c r="BU788" s="10">
        <f>IF(Timeline!BU115=1, -(BT811+BU696), MAX(-BT811, IF(BU$4&lt;=0, BU579,(SUM($AA765:BU765)-SUM($Z788:BT788))*Timeline!BU253)))</f>
        <v>0</v>
      </c>
      <c r="BV788" s="10">
        <f>IF(Timeline!BV115=1, -(BU811+BV696), MAX(-BU811, IF(BV$4&lt;=0, BV579,(SUM($AA765:BV765)-SUM($Z788:BU788))*Timeline!BV253)))</f>
        <v>0</v>
      </c>
      <c r="BX788" s="12">
        <f t="shared" si="797"/>
        <v>0</v>
      </c>
      <c r="BY788" s="12">
        <f t="shared" si="798"/>
        <v>0</v>
      </c>
      <c r="BZ788" s="12">
        <f t="shared" si="799"/>
        <v>0</v>
      </c>
      <c r="CA788" s="12">
        <f t="shared" si="800"/>
        <v>0</v>
      </c>
      <c r="CB788" s="133">
        <f t="shared" si="801"/>
        <v>0</v>
      </c>
      <c r="CC788" s="106"/>
      <c r="CD788" s="106"/>
      <c r="CE788" s="106"/>
      <c r="CF788" s="106"/>
      <c r="CG788" s="106"/>
      <c r="CH788" s="106"/>
      <c r="CI788" s="106"/>
      <c r="CK788" s="11"/>
      <c r="CM788" s="11"/>
      <c r="CV788" s="120"/>
      <c r="DF788" s="11"/>
      <c r="EY788" s="10" t="str">
        <f t="shared" si="766"/>
        <v/>
      </c>
    </row>
    <row r="789" spans="1:155" x14ac:dyDescent="0.35">
      <c r="B789" s="69" t="str" cm="1">
        <f t="array" aca="1" ref="B789" ca="1">HYPERLINK(CONCATENATE("#",CELL("address",$D$94)),$D$94)</f>
        <v>Loan 3</v>
      </c>
      <c r="C789" s="211"/>
      <c r="D789" s="49">
        <f>D$15</f>
        <v>0</v>
      </c>
      <c r="E789" s="49" t="str">
        <f>F$15</f>
        <v/>
      </c>
      <c r="F789" s="49"/>
      <c r="H789" s="10">
        <f t="shared" si="794"/>
        <v>0</v>
      </c>
      <c r="I789" s="40" t="s">
        <v>1079</v>
      </c>
      <c r="V789" s="12">
        <f t="shared" si="795"/>
        <v>0</v>
      </c>
      <c r="W789" s="133">
        <f t="shared" si="796"/>
        <v>0</v>
      </c>
      <c r="X789" s="133">
        <f t="shared" si="796"/>
        <v>0</v>
      </c>
      <c r="Y789" s="133">
        <f t="shared" si="796"/>
        <v>0</v>
      </c>
      <c r="AA789" s="10">
        <f>IF(Timeline!AA116=1, -(Z812+AA697), MAX(-Z812, IF(AA$4&lt;=0, AA580,(SUM($AA766:AA766)-SUM($Z789:Z789))*Timeline!AA254)))</f>
        <v>0</v>
      </c>
      <c r="AB789" s="10">
        <f>IF(Timeline!AB116=1, -(AA812+AB697), MAX(-AA812, IF(AB$4&lt;=0, AB580,(SUM($AA766:AB766)-SUM($Z789:AA789))*Timeline!AB254)))</f>
        <v>0</v>
      </c>
      <c r="AC789" s="10">
        <f>IF(Timeline!AC116=1, -(AB812+AC697), MAX(-AB812, IF(AC$4&lt;=0, AC580,(SUM($AA766:AC766)-SUM($Z789:AB789))*Timeline!AC254)))</f>
        <v>0</v>
      </c>
      <c r="AD789" s="10">
        <f>IF(Timeline!AD116=1, -(AC812+AD697), MAX(-AC812, IF(AD$4&lt;=0, AD580,(SUM($AA766:AD766)-SUM($Z789:AC789))*Timeline!AD254)))</f>
        <v>0</v>
      </c>
      <c r="AE789" s="10">
        <f>IF(Timeline!AE116=1, -(AD812+AE697), MAX(-AD812, IF(AE$4&lt;=0, AE580,(SUM($AA766:AE766)-SUM($Z789:AD789))*Timeline!AE254)))</f>
        <v>0</v>
      </c>
      <c r="AF789" s="10">
        <f>IF(Timeline!AF116=1, -(AE812+AF697), MAX(-AE812, IF(AF$4&lt;=0, AF580,(SUM($AA766:AF766)-SUM($Z789:AE789))*Timeline!AF254)))</f>
        <v>0</v>
      </c>
      <c r="AG789" s="10">
        <f>IF(Timeline!AG116=1, -(AF812+AG697), MAX(-AF812, IF(AG$4&lt;=0, AG580,(SUM($AA766:AG766)-SUM($Z789:AF789))*Timeline!AG254)))</f>
        <v>0</v>
      </c>
      <c r="AH789" s="10">
        <f>IF(Timeline!AH116=1, -(AG812+AH697), MAX(-AG812, IF(AH$4&lt;=0, AH580,(SUM($AA766:AH766)-SUM($Z789:AG789))*Timeline!AH254)))</f>
        <v>0</v>
      </c>
      <c r="AI789" s="10">
        <f>IF(Timeline!AI116=1, -(AH812+AI697), MAX(-AH812, IF(AI$4&lt;=0, AI580,(SUM($AA766:AI766)-SUM($Z789:AH789))*Timeline!AI254)))</f>
        <v>0</v>
      </c>
      <c r="AJ789" s="10">
        <f>IF(Timeline!AJ116=1, -(AI812+AJ697), MAX(-AI812, IF(AJ$4&lt;=0, AJ580,(SUM($AA766:AJ766)-SUM($Z789:AI789))*Timeline!AJ254)))</f>
        <v>0</v>
      </c>
      <c r="AK789" s="10">
        <f>IF(Timeline!AK116=1, -(AJ812+AK697), MAX(-AJ812, IF(AK$4&lt;=0, AK580,(SUM($AA766:AK766)-SUM($Z789:AJ789))*Timeline!AK254)))</f>
        <v>0</v>
      </c>
      <c r="AL789" s="10">
        <f>IF(Timeline!AL116=1, -(AK812+AL697), MAX(-AK812, IF(AL$4&lt;=0, AL580,(SUM($AA766:AL766)-SUM($Z789:AK789))*Timeline!AL254)))</f>
        <v>0</v>
      </c>
      <c r="AM789" s="10">
        <f>IF(Timeline!AM116=1, -(AL812+AM697), MAX(-AL812, IF(AM$4&lt;=0, AM580,(SUM($AA766:AM766)-SUM($Z789:AL789))*Timeline!AM254)))</f>
        <v>0</v>
      </c>
      <c r="AN789" s="10">
        <f>IF(Timeline!AN116=1, -(AM812+AN697), MAX(-AM812, IF(AN$4&lt;=0, AN580,(SUM($AA766:AN766)-SUM($Z789:AM789))*Timeline!AN254)))</f>
        <v>0</v>
      </c>
      <c r="AO789" s="10">
        <f>IF(Timeline!AO116=1, -(AN812+AO697), MAX(-AN812, IF(AO$4&lt;=0, AO580,(SUM($AA766:AO766)-SUM($Z789:AN789))*Timeline!AO254)))</f>
        <v>0</v>
      </c>
      <c r="AP789" s="10">
        <f>IF(Timeline!AP116=1, -(AO812+AP697), MAX(-AO812, IF(AP$4&lt;=0, AP580,(SUM($AA766:AP766)-SUM($Z789:AO789))*Timeline!AP254)))</f>
        <v>0</v>
      </c>
      <c r="AQ789" s="10">
        <f>IF(Timeline!AQ116=1, -(AP812+AQ697), MAX(-AP812, IF(AQ$4&lt;=0, AQ580,(SUM($AA766:AQ766)-SUM($Z789:AP789))*Timeline!AQ254)))</f>
        <v>0</v>
      </c>
      <c r="AR789" s="10">
        <f>IF(Timeline!AR116=1, -(AQ812+AR697), MAX(-AQ812, IF(AR$4&lt;=0, AR580,(SUM($AA766:AR766)-SUM($Z789:AQ789))*Timeline!AR254)))</f>
        <v>0</v>
      </c>
      <c r="AS789" s="10">
        <f>IF(Timeline!AS116=1, -(AR812+AS697), MAX(-AR812, IF(AS$4&lt;=0, AS580,(SUM($AA766:AS766)-SUM($Z789:AR789))*Timeline!AS254)))</f>
        <v>0</v>
      </c>
      <c r="AT789" s="10">
        <f>IF(Timeline!AT116=1, -(AS812+AT697), MAX(-AS812, IF(AT$4&lt;=0, AT580,(SUM($AA766:AT766)-SUM($Z789:AS789))*Timeline!AT254)))</f>
        <v>0</v>
      </c>
      <c r="AU789" s="10">
        <f>IF(Timeline!AU116=1, -(AT812+AU697), MAX(-AT812, IF(AU$4&lt;=0, AU580,(SUM($AA766:AU766)-SUM($Z789:AT789))*Timeline!AU254)))</f>
        <v>0</v>
      </c>
      <c r="AV789" s="10">
        <f>IF(Timeline!AV116=1, -(AU812+AV697), MAX(-AU812, IF(AV$4&lt;=0, AV580,(SUM($AA766:AV766)-SUM($Z789:AU789))*Timeline!AV254)))</f>
        <v>0</v>
      </c>
      <c r="AW789" s="10">
        <f>IF(Timeline!AW116=1, -(AV812+AW697), MAX(-AV812, IF(AW$4&lt;=0, AW580,(SUM($AA766:AW766)-SUM($Z789:AV789))*Timeline!AW254)))</f>
        <v>0</v>
      </c>
      <c r="AX789" s="10">
        <f>IF(Timeline!AX116=1, -(AW812+AX697), MAX(-AW812, IF(AX$4&lt;=0, AX580,(SUM($AA766:AX766)-SUM($Z789:AW789))*Timeline!AX254)))</f>
        <v>0</v>
      </c>
      <c r="AY789" s="10">
        <f>IF(Timeline!AY116=1, -(AX812+AY697), MAX(-AX812, IF(AY$4&lt;=0, AY580,(SUM($AA766:AY766)-SUM($Z789:AX789))*Timeline!AY254)))</f>
        <v>0</v>
      </c>
      <c r="AZ789" s="10">
        <f>IF(Timeline!AZ116=1, -(AY812+AZ697), MAX(-AY812, IF(AZ$4&lt;=0, AZ580,(SUM($AA766:AZ766)-SUM($Z789:AY789))*Timeline!AZ254)))</f>
        <v>0</v>
      </c>
      <c r="BA789" s="10">
        <f>IF(Timeline!BA116=1, -(AZ812+BA697), MAX(-AZ812, IF(BA$4&lt;=0, BA580,(SUM($AA766:BA766)-SUM($Z789:AZ789))*Timeline!BA254)))</f>
        <v>0</v>
      </c>
      <c r="BB789" s="10">
        <f>IF(Timeline!BB116=1, -(BA812+BB697), MAX(-BA812, IF(BB$4&lt;=0, BB580,(SUM($AA766:BB766)-SUM($Z789:BA789))*Timeline!BB254)))</f>
        <v>0</v>
      </c>
      <c r="BC789" s="10">
        <f>IF(Timeline!BC116=1, -(BB812+BC697), MAX(-BB812, IF(BC$4&lt;=0, BC580,(SUM($AA766:BC766)-SUM($Z789:BB789))*Timeline!BC254)))</f>
        <v>0</v>
      </c>
      <c r="BD789" s="10">
        <f>IF(Timeline!BD116=1, -(BC812+BD697), MAX(-BC812, IF(BD$4&lt;=0, BD580,(SUM($AA766:BD766)-SUM($Z789:BC789))*Timeline!BD254)))</f>
        <v>0</v>
      </c>
      <c r="BE789" s="10">
        <f>IF(Timeline!BE116=1, -(BD812+BE697), MAX(-BD812, IF(BE$4&lt;=0, BE580,(SUM($AA766:BE766)-SUM($Z789:BD789))*Timeline!BE254)))</f>
        <v>0</v>
      </c>
      <c r="BF789" s="10">
        <f>IF(Timeline!BF116=1, -(BE812+BF697), MAX(-BE812, IF(BF$4&lt;=0, BF580,(SUM($AA766:BF766)-SUM($Z789:BE789))*Timeline!BF254)))</f>
        <v>0</v>
      </c>
      <c r="BG789" s="10">
        <f>IF(Timeline!BG116=1, -(BF812+BG697), MAX(-BF812, IF(BG$4&lt;=0, BG580,(SUM($AA766:BG766)-SUM($Z789:BF789))*Timeline!BG254)))</f>
        <v>0</v>
      </c>
      <c r="BH789" s="10">
        <f>IF(Timeline!BH116=1, -(BG812+BH697), MAX(-BG812, IF(BH$4&lt;=0, BH580,(SUM($AA766:BH766)-SUM($Z789:BG789))*Timeline!BH254)))</f>
        <v>0</v>
      </c>
      <c r="BI789" s="10">
        <f>IF(Timeline!BI116=1, -(BH812+BI697), MAX(-BH812, IF(BI$4&lt;=0, BI580,(SUM($AA766:BI766)-SUM($Z789:BH789))*Timeline!BI254)))</f>
        <v>0</v>
      </c>
      <c r="BJ789" s="10">
        <f>IF(Timeline!BJ116=1, -(BI812+BJ697), MAX(-BI812, IF(BJ$4&lt;=0, BJ580,(SUM($AA766:BJ766)-SUM($Z789:BI789))*Timeline!BJ254)))</f>
        <v>0</v>
      </c>
      <c r="BK789" s="10">
        <f>IF(Timeline!BK116=1, -(BJ812+BK697), MAX(-BJ812, IF(BK$4&lt;=0, BK580,(SUM($AA766:BK766)-SUM($Z789:BJ789))*Timeline!BK254)))</f>
        <v>0</v>
      </c>
      <c r="BL789" s="10">
        <f>IF(Timeline!BL116=1, -(BK812+BL697), MAX(-BK812, IF(BL$4&lt;=0, BL580,(SUM($AA766:BL766)-SUM($Z789:BK789))*Timeline!BL254)))</f>
        <v>0</v>
      </c>
      <c r="BM789" s="10">
        <f>IF(Timeline!BM116=1, -(BL812+BM697), MAX(-BL812, IF(BM$4&lt;=0, BM580,(SUM($AA766:BM766)-SUM($Z789:BL789))*Timeline!BM254)))</f>
        <v>0</v>
      </c>
      <c r="BN789" s="10">
        <f>IF(Timeline!BN116=1, -(BM812+BN697), MAX(-BM812, IF(BN$4&lt;=0, BN580,(SUM($AA766:BN766)-SUM($Z789:BM789))*Timeline!BN254)))</f>
        <v>0</v>
      </c>
      <c r="BO789" s="10">
        <f>IF(Timeline!BO116=1, -(BN812+BO697), MAX(-BN812, IF(BO$4&lt;=0, BO580,(SUM($AA766:BO766)-SUM($Z789:BN789))*Timeline!BO254)))</f>
        <v>0</v>
      </c>
      <c r="BP789" s="10">
        <f>IF(Timeline!BP116=1, -(BO812+BP697), MAX(-BO812, IF(BP$4&lt;=0, BP580,(SUM($AA766:BP766)-SUM($Z789:BO789))*Timeline!BP254)))</f>
        <v>0</v>
      </c>
      <c r="BQ789" s="10">
        <f>IF(Timeline!BQ116=1, -(BP812+BQ697), MAX(-BP812, IF(BQ$4&lt;=0, BQ580,(SUM($AA766:BQ766)-SUM($Z789:BP789))*Timeline!BQ254)))</f>
        <v>0</v>
      </c>
      <c r="BR789" s="10">
        <f>IF(Timeline!BR116=1, -(BQ812+BR697), MAX(-BQ812, IF(BR$4&lt;=0, BR580,(SUM($AA766:BR766)-SUM($Z789:BQ789))*Timeline!BR254)))</f>
        <v>0</v>
      </c>
      <c r="BS789" s="10">
        <f>IF(Timeline!BS116=1, -(BR812+BS697), MAX(-BR812, IF(BS$4&lt;=0, BS580,(SUM($AA766:BS766)-SUM($Z789:BR789))*Timeline!BS254)))</f>
        <v>0</v>
      </c>
      <c r="BT789" s="10">
        <f>IF(Timeline!BT116=1, -(BS812+BT697), MAX(-BS812, IF(BT$4&lt;=0, BT580,(SUM($AA766:BT766)-SUM($Z789:BS789))*Timeline!BT254)))</f>
        <v>0</v>
      </c>
      <c r="BU789" s="10">
        <f>IF(Timeline!BU116=1, -(BT812+BU697), MAX(-BT812, IF(BU$4&lt;=0, BU580,(SUM($AA766:BU766)-SUM($Z789:BT789))*Timeline!BU254)))</f>
        <v>0</v>
      </c>
      <c r="BV789" s="10">
        <f>IF(Timeline!BV116=1, -(BU812+BV697), MAX(-BU812, IF(BV$4&lt;=0, BV580,(SUM($AA766:BV766)-SUM($Z789:BU789))*Timeline!BV254)))</f>
        <v>0</v>
      </c>
      <c r="BX789" s="12">
        <f t="shared" si="797"/>
        <v>0</v>
      </c>
      <c r="BY789" s="12">
        <f t="shared" si="798"/>
        <v>0</v>
      </c>
      <c r="BZ789" s="12">
        <f t="shared" si="799"/>
        <v>0</v>
      </c>
      <c r="CA789" s="12">
        <f t="shared" si="800"/>
        <v>0</v>
      </c>
      <c r="CB789" s="133">
        <f t="shared" si="801"/>
        <v>0</v>
      </c>
      <c r="CC789" s="106"/>
      <c r="CD789" s="106"/>
      <c r="CE789" s="106"/>
      <c r="CF789" s="106"/>
      <c r="CG789" s="106"/>
      <c r="CH789" s="106"/>
      <c r="CI789" s="106"/>
      <c r="CK789" s="11"/>
      <c r="CM789" s="11"/>
      <c r="CV789" s="120"/>
      <c r="DF789" s="11"/>
      <c r="EY789" s="10" t="str">
        <f t="shared" si="766"/>
        <v/>
      </c>
    </row>
    <row r="790" spans="1:155" x14ac:dyDescent="0.35">
      <c r="B790" s="69" t="str" cm="1">
        <f t="array" aca="1" ref="B790" ca="1">HYPERLINK(CONCATENATE("#",CELL("address",$D$113)),$D$113)</f>
        <v>Loan 4</v>
      </c>
      <c r="C790" s="211"/>
      <c r="D790" s="49">
        <f>D$16</f>
        <v>0</v>
      </c>
      <c r="E790" s="49" t="str">
        <f>F$16</f>
        <v/>
      </c>
      <c r="F790" s="49"/>
      <c r="H790" s="10">
        <f t="shared" si="794"/>
        <v>0</v>
      </c>
      <c r="I790" s="40" t="s">
        <v>1079</v>
      </c>
      <c r="V790" s="12">
        <f t="shared" si="795"/>
        <v>0</v>
      </c>
      <c r="W790" s="133">
        <f t="shared" si="796"/>
        <v>0</v>
      </c>
      <c r="X790" s="133">
        <f t="shared" si="796"/>
        <v>0</v>
      </c>
      <c r="Y790" s="133">
        <f t="shared" si="796"/>
        <v>0</v>
      </c>
      <c r="AA790" s="10">
        <f>IF(Timeline!AA117=1, -(Z813+AA698), MAX(-Z813, IF(AA$4&lt;=0, AA581,(SUM($AA767:AA767)-SUM($Z790:Z790))*Timeline!AA255)))</f>
        <v>0</v>
      </c>
      <c r="AB790" s="10">
        <f>IF(Timeline!AB117=1, -(AA813+AB698), MAX(-AA813, IF(AB$4&lt;=0, AB581,(SUM($AA767:AB767)-SUM($Z790:AA790))*Timeline!AB255)))</f>
        <v>0</v>
      </c>
      <c r="AC790" s="10">
        <f>IF(Timeline!AC117=1, -(AB813+AC698), MAX(-AB813, IF(AC$4&lt;=0, AC581,(SUM($AA767:AC767)-SUM($Z790:AB790))*Timeline!AC255)))</f>
        <v>0</v>
      </c>
      <c r="AD790" s="10">
        <f>IF(Timeline!AD117=1, -(AC813+AD698), MAX(-AC813, IF(AD$4&lt;=0, AD581,(SUM($AA767:AD767)-SUM($Z790:AC790))*Timeline!AD255)))</f>
        <v>0</v>
      </c>
      <c r="AE790" s="10">
        <f>IF(Timeline!AE117=1, -(AD813+AE698), MAX(-AD813, IF(AE$4&lt;=0, AE581,(SUM($AA767:AE767)-SUM($Z790:AD790))*Timeline!AE255)))</f>
        <v>0</v>
      </c>
      <c r="AF790" s="10">
        <f>IF(Timeline!AF117=1, -(AE813+AF698), MAX(-AE813, IF(AF$4&lt;=0, AF581,(SUM($AA767:AF767)-SUM($Z790:AE790))*Timeline!AF255)))</f>
        <v>0</v>
      </c>
      <c r="AG790" s="10">
        <f>IF(Timeline!AG117=1, -(AF813+AG698), MAX(-AF813, IF(AG$4&lt;=0, AG581,(SUM($AA767:AG767)-SUM($Z790:AF790))*Timeline!AG255)))</f>
        <v>0</v>
      </c>
      <c r="AH790" s="10">
        <f>IF(Timeline!AH117=1, -(AG813+AH698), MAX(-AG813, IF(AH$4&lt;=0, AH581,(SUM($AA767:AH767)-SUM($Z790:AG790))*Timeline!AH255)))</f>
        <v>0</v>
      </c>
      <c r="AI790" s="10">
        <f>IF(Timeline!AI117=1, -(AH813+AI698), MAX(-AH813, IF(AI$4&lt;=0, AI581,(SUM($AA767:AI767)-SUM($Z790:AH790))*Timeline!AI255)))</f>
        <v>0</v>
      </c>
      <c r="AJ790" s="10">
        <f>IF(Timeline!AJ117=1, -(AI813+AJ698), MAX(-AI813, IF(AJ$4&lt;=0, AJ581,(SUM($AA767:AJ767)-SUM($Z790:AI790))*Timeline!AJ255)))</f>
        <v>0</v>
      </c>
      <c r="AK790" s="10">
        <f>IF(Timeline!AK117=1, -(AJ813+AK698), MAX(-AJ813, IF(AK$4&lt;=0, AK581,(SUM($AA767:AK767)-SUM($Z790:AJ790))*Timeline!AK255)))</f>
        <v>0</v>
      </c>
      <c r="AL790" s="10">
        <f>IF(Timeline!AL117=1, -(AK813+AL698), MAX(-AK813, IF(AL$4&lt;=0, AL581,(SUM($AA767:AL767)-SUM($Z790:AK790))*Timeline!AL255)))</f>
        <v>0</v>
      </c>
      <c r="AM790" s="10">
        <f>IF(Timeline!AM117=1, -(AL813+AM698), MAX(-AL813, IF(AM$4&lt;=0, AM581,(SUM($AA767:AM767)-SUM($Z790:AL790))*Timeline!AM255)))</f>
        <v>0</v>
      </c>
      <c r="AN790" s="10">
        <f>IF(Timeline!AN117=1, -(AM813+AN698), MAX(-AM813, IF(AN$4&lt;=0, AN581,(SUM($AA767:AN767)-SUM($Z790:AM790))*Timeline!AN255)))</f>
        <v>0</v>
      </c>
      <c r="AO790" s="10">
        <f>IF(Timeline!AO117=1, -(AN813+AO698), MAX(-AN813, IF(AO$4&lt;=0, AO581,(SUM($AA767:AO767)-SUM($Z790:AN790))*Timeline!AO255)))</f>
        <v>0</v>
      </c>
      <c r="AP790" s="10">
        <f>IF(Timeline!AP117=1, -(AO813+AP698), MAX(-AO813, IF(AP$4&lt;=0, AP581,(SUM($AA767:AP767)-SUM($Z790:AO790))*Timeline!AP255)))</f>
        <v>0</v>
      </c>
      <c r="AQ790" s="10">
        <f>IF(Timeline!AQ117=1, -(AP813+AQ698), MAX(-AP813, IF(AQ$4&lt;=0, AQ581,(SUM($AA767:AQ767)-SUM($Z790:AP790))*Timeline!AQ255)))</f>
        <v>0</v>
      </c>
      <c r="AR790" s="10">
        <f>IF(Timeline!AR117=1, -(AQ813+AR698), MAX(-AQ813, IF(AR$4&lt;=0, AR581,(SUM($AA767:AR767)-SUM($Z790:AQ790))*Timeline!AR255)))</f>
        <v>0</v>
      </c>
      <c r="AS790" s="10">
        <f>IF(Timeline!AS117=1, -(AR813+AS698), MAX(-AR813, IF(AS$4&lt;=0, AS581,(SUM($AA767:AS767)-SUM($Z790:AR790))*Timeline!AS255)))</f>
        <v>0</v>
      </c>
      <c r="AT790" s="10">
        <f>IF(Timeline!AT117=1, -(AS813+AT698), MAX(-AS813, IF(AT$4&lt;=0, AT581,(SUM($AA767:AT767)-SUM($Z790:AS790))*Timeline!AT255)))</f>
        <v>0</v>
      </c>
      <c r="AU790" s="10">
        <f>IF(Timeline!AU117=1, -(AT813+AU698), MAX(-AT813, IF(AU$4&lt;=0, AU581,(SUM($AA767:AU767)-SUM($Z790:AT790))*Timeline!AU255)))</f>
        <v>0</v>
      </c>
      <c r="AV790" s="10">
        <f>IF(Timeline!AV117=1, -(AU813+AV698), MAX(-AU813, IF(AV$4&lt;=0, AV581,(SUM($AA767:AV767)-SUM($Z790:AU790))*Timeline!AV255)))</f>
        <v>0</v>
      </c>
      <c r="AW790" s="10">
        <f>IF(Timeline!AW117=1, -(AV813+AW698), MAX(-AV813, IF(AW$4&lt;=0, AW581,(SUM($AA767:AW767)-SUM($Z790:AV790))*Timeline!AW255)))</f>
        <v>0</v>
      </c>
      <c r="AX790" s="10">
        <f>IF(Timeline!AX117=1, -(AW813+AX698), MAX(-AW813, IF(AX$4&lt;=0, AX581,(SUM($AA767:AX767)-SUM($Z790:AW790))*Timeline!AX255)))</f>
        <v>0</v>
      </c>
      <c r="AY790" s="10">
        <f>IF(Timeline!AY117=1, -(AX813+AY698), MAX(-AX813, IF(AY$4&lt;=0, AY581,(SUM($AA767:AY767)-SUM($Z790:AX790))*Timeline!AY255)))</f>
        <v>0</v>
      </c>
      <c r="AZ790" s="10">
        <f>IF(Timeline!AZ117=1, -(AY813+AZ698), MAX(-AY813, IF(AZ$4&lt;=0, AZ581,(SUM($AA767:AZ767)-SUM($Z790:AY790))*Timeline!AZ255)))</f>
        <v>0</v>
      </c>
      <c r="BA790" s="10">
        <f>IF(Timeline!BA117=1, -(AZ813+BA698), MAX(-AZ813, IF(BA$4&lt;=0, BA581,(SUM($AA767:BA767)-SUM($Z790:AZ790))*Timeline!BA255)))</f>
        <v>0</v>
      </c>
      <c r="BB790" s="10">
        <f>IF(Timeline!BB117=1, -(BA813+BB698), MAX(-BA813, IF(BB$4&lt;=0, BB581,(SUM($AA767:BB767)-SUM($Z790:BA790))*Timeline!BB255)))</f>
        <v>0</v>
      </c>
      <c r="BC790" s="10">
        <f>IF(Timeline!BC117=1, -(BB813+BC698), MAX(-BB813, IF(BC$4&lt;=0, BC581,(SUM($AA767:BC767)-SUM($Z790:BB790))*Timeline!BC255)))</f>
        <v>0</v>
      </c>
      <c r="BD790" s="10">
        <f>IF(Timeline!BD117=1, -(BC813+BD698), MAX(-BC813, IF(BD$4&lt;=0, BD581,(SUM($AA767:BD767)-SUM($Z790:BC790))*Timeline!BD255)))</f>
        <v>0</v>
      </c>
      <c r="BE790" s="10">
        <f>IF(Timeline!BE117=1, -(BD813+BE698), MAX(-BD813, IF(BE$4&lt;=0, BE581,(SUM($AA767:BE767)-SUM($Z790:BD790))*Timeline!BE255)))</f>
        <v>0</v>
      </c>
      <c r="BF790" s="10">
        <f>IF(Timeline!BF117=1, -(BE813+BF698), MAX(-BE813, IF(BF$4&lt;=0, BF581,(SUM($AA767:BF767)-SUM($Z790:BE790))*Timeline!BF255)))</f>
        <v>0</v>
      </c>
      <c r="BG790" s="10">
        <f>IF(Timeline!BG117=1, -(BF813+BG698), MAX(-BF813, IF(BG$4&lt;=0, BG581,(SUM($AA767:BG767)-SUM($Z790:BF790))*Timeline!BG255)))</f>
        <v>0</v>
      </c>
      <c r="BH790" s="10">
        <f>IF(Timeline!BH117=1, -(BG813+BH698), MAX(-BG813, IF(BH$4&lt;=0, BH581,(SUM($AA767:BH767)-SUM($Z790:BG790))*Timeline!BH255)))</f>
        <v>0</v>
      </c>
      <c r="BI790" s="10">
        <f>IF(Timeline!BI117=1, -(BH813+BI698), MAX(-BH813, IF(BI$4&lt;=0, BI581,(SUM($AA767:BI767)-SUM($Z790:BH790))*Timeline!BI255)))</f>
        <v>0</v>
      </c>
      <c r="BJ790" s="10">
        <f>IF(Timeline!BJ117=1, -(BI813+BJ698), MAX(-BI813, IF(BJ$4&lt;=0, BJ581,(SUM($AA767:BJ767)-SUM($Z790:BI790))*Timeline!BJ255)))</f>
        <v>0</v>
      </c>
      <c r="BK790" s="10">
        <f>IF(Timeline!BK117=1, -(BJ813+BK698), MAX(-BJ813, IF(BK$4&lt;=0, BK581,(SUM($AA767:BK767)-SUM($Z790:BJ790))*Timeline!BK255)))</f>
        <v>0</v>
      </c>
      <c r="BL790" s="10">
        <f>IF(Timeline!BL117=1, -(BK813+BL698), MAX(-BK813, IF(BL$4&lt;=0, BL581,(SUM($AA767:BL767)-SUM($Z790:BK790))*Timeline!BL255)))</f>
        <v>0</v>
      </c>
      <c r="BM790" s="10">
        <f>IF(Timeline!BM117=1, -(BL813+BM698), MAX(-BL813, IF(BM$4&lt;=0, BM581,(SUM($AA767:BM767)-SUM($Z790:BL790))*Timeline!BM255)))</f>
        <v>0</v>
      </c>
      <c r="BN790" s="10">
        <f>IF(Timeline!BN117=1, -(BM813+BN698), MAX(-BM813, IF(BN$4&lt;=0, BN581,(SUM($AA767:BN767)-SUM($Z790:BM790))*Timeline!BN255)))</f>
        <v>0</v>
      </c>
      <c r="BO790" s="10">
        <f>IF(Timeline!BO117=1, -(BN813+BO698), MAX(-BN813, IF(BO$4&lt;=0, BO581,(SUM($AA767:BO767)-SUM($Z790:BN790))*Timeline!BO255)))</f>
        <v>0</v>
      </c>
      <c r="BP790" s="10">
        <f>IF(Timeline!BP117=1, -(BO813+BP698), MAX(-BO813, IF(BP$4&lt;=0, BP581,(SUM($AA767:BP767)-SUM($Z790:BO790))*Timeline!BP255)))</f>
        <v>0</v>
      </c>
      <c r="BQ790" s="10">
        <f>IF(Timeline!BQ117=1, -(BP813+BQ698), MAX(-BP813, IF(BQ$4&lt;=0, BQ581,(SUM($AA767:BQ767)-SUM($Z790:BP790))*Timeline!BQ255)))</f>
        <v>0</v>
      </c>
      <c r="BR790" s="10">
        <f>IF(Timeline!BR117=1, -(BQ813+BR698), MAX(-BQ813, IF(BR$4&lt;=0, BR581,(SUM($AA767:BR767)-SUM($Z790:BQ790))*Timeline!BR255)))</f>
        <v>0</v>
      </c>
      <c r="BS790" s="10">
        <f>IF(Timeline!BS117=1, -(BR813+BS698), MAX(-BR813, IF(BS$4&lt;=0, BS581,(SUM($AA767:BS767)-SUM($Z790:BR790))*Timeline!BS255)))</f>
        <v>0</v>
      </c>
      <c r="BT790" s="10">
        <f>IF(Timeline!BT117=1, -(BS813+BT698), MAX(-BS813, IF(BT$4&lt;=0, BT581,(SUM($AA767:BT767)-SUM($Z790:BS790))*Timeline!BT255)))</f>
        <v>0</v>
      </c>
      <c r="BU790" s="10">
        <f>IF(Timeline!BU117=1, -(BT813+BU698), MAX(-BT813, IF(BU$4&lt;=0, BU581,(SUM($AA767:BU767)-SUM($Z790:BT790))*Timeline!BU255)))</f>
        <v>0</v>
      </c>
      <c r="BV790" s="10">
        <f>IF(Timeline!BV117=1, -(BU813+BV698), MAX(-BU813, IF(BV$4&lt;=0, BV581,(SUM($AA767:BV767)-SUM($Z790:BU790))*Timeline!BV255)))</f>
        <v>0</v>
      </c>
      <c r="BX790" s="12">
        <f t="shared" si="797"/>
        <v>0</v>
      </c>
      <c r="BY790" s="12">
        <f t="shared" si="798"/>
        <v>0</v>
      </c>
      <c r="BZ790" s="12">
        <f t="shared" si="799"/>
        <v>0</v>
      </c>
      <c r="CA790" s="12">
        <f t="shared" si="800"/>
        <v>0</v>
      </c>
      <c r="CB790" s="133">
        <f t="shared" si="801"/>
        <v>0</v>
      </c>
      <c r="CC790" s="106"/>
      <c r="CD790" s="106"/>
      <c r="CE790" s="106"/>
      <c r="CF790" s="106"/>
      <c r="CG790" s="106"/>
      <c r="CH790" s="106"/>
      <c r="CI790" s="106"/>
      <c r="CK790" s="11"/>
      <c r="CM790" s="11"/>
      <c r="CV790" s="120"/>
      <c r="DF790" s="11"/>
      <c r="EY790" s="10" t="str">
        <f t="shared" si="766"/>
        <v/>
      </c>
    </row>
    <row r="791" spans="1:155" x14ac:dyDescent="0.35">
      <c r="B791" s="69" t="str" cm="1">
        <f t="array" aca="1" ref="B791" ca="1">HYPERLINK(CONCATENATE("#",CELL("address",$D$132)),$D$132)</f>
        <v>Loan 5</v>
      </c>
      <c r="C791" s="211"/>
      <c r="D791" s="49">
        <f>D$17</f>
        <v>0</v>
      </c>
      <c r="E791" s="49" t="str">
        <f>F$17</f>
        <v/>
      </c>
      <c r="F791" s="49"/>
      <c r="H791" s="10">
        <f t="shared" si="794"/>
        <v>0</v>
      </c>
      <c r="I791" s="40" t="s">
        <v>1079</v>
      </c>
      <c r="V791" s="12">
        <f t="shared" si="795"/>
        <v>0</v>
      </c>
      <c r="W791" s="133">
        <f t="shared" si="796"/>
        <v>0</v>
      </c>
      <c r="X791" s="133">
        <f t="shared" si="796"/>
        <v>0</v>
      </c>
      <c r="Y791" s="133">
        <f t="shared" si="796"/>
        <v>0</v>
      </c>
      <c r="AA791" s="10">
        <f>IF(Timeline!AA118=1, -(Z814+AA699), MAX(-Z814, IF(AA$4&lt;=0, AA582,(SUM($AA768:AA768)-SUM($Z791:Z791))*Timeline!AA256)))</f>
        <v>0</v>
      </c>
      <c r="AB791" s="10">
        <f>IF(Timeline!AB118=1, -(AA814+AB699), MAX(-AA814, IF(AB$4&lt;=0, AB582,(SUM($AA768:AB768)-SUM($Z791:AA791))*Timeline!AB256)))</f>
        <v>0</v>
      </c>
      <c r="AC791" s="10">
        <f>IF(Timeline!AC118=1, -(AB814+AC699), MAX(-AB814, IF(AC$4&lt;=0, AC582,(SUM($AA768:AC768)-SUM($Z791:AB791))*Timeline!AC256)))</f>
        <v>0</v>
      </c>
      <c r="AD791" s="10">
        <f>IF(Timeline!AD118=1, -(AC814+AD699), MAX(-AC814, IF(AD$4&lt;=0, AD582,(SUM($AA768:AD768)-SUM($Z791:AC791))*Timeline!AD256)))</f>
        <v>0</v>
      </c>
      <c r="AE791" s="10">
        <f>IF(Timeline!AE118=1, -(AD814+AE699), MAX(-AD814, IF(AE$4&lt;=0, AE582,(SUM($AA768:AE768)-SUM($Z791:AD791))*Timeline!AE256)))</f>
        <v>0</v>
      </c>
      <c r="AF791" s="10">
        <f>IF(Timeline!AF118=1, -(AE814+AF699), MAX(-AE814, IF(AF$4&lt;=0, AF582,(SUM($AA768:AF768)-SUM($Z791:AE791))*Timeline!AF256)))</f>
        <v>0</v>
      </c>
      <c r="AG791" s="10">
        <f>IF(Timeline!AG118=1, -(AF814+AG699), MAX(-AF814, IF(AG$4&lt;=0, AG582,(SUM($AA768:AG768)-SUM($Z791:AF791))*Timeline!AG256)))</f>
        <v>0</v>
      </c>
      <c r="AH791" s="10">
        <f>IF(Timeline!AH118=1, -(AG814+AH699), MAX(-AG814, IF(AH$4&lt;=0, AH582,(SUM($AA768:AH768)-SUM($Z791:AG791))*Timeline!AH256)))</f>
        <v>0</v>
      </c>
      <c r="AI791" s="10">
        <f>IF(Timeline!AI118=1, -(AH814+AI699), MAX(-AH814, IF(AI$4&lt;=0, AI582,(SUM($AA768:AI768)-SUM($Z791:AH791))*Timeline!AI256)))</f>
        <v>0</v>
      </c>
      <c r="AJ791" s="10">
        <f>IF(Timeline!AJ118=1, -(AI814+AJ699), MAX(-AI814, IF(AJ$4&lt;=0, AJ582,(SUM($AA768:AJ768)-SUM($Z791:AI791))*Timeline!AJ256)))</f>
        <v>0</v>
      </c>
      <c r="AK791" s="10">
        <f>IF(Timeline!AK118=1, -(AJ814+AK699), MAX(-AJ814, IF(AK$4&lt;=0, AK582,(SUM($AA768:AK768)-SUM($Z791:AJ791))*Timeline!AK256)))</f>
        <v>0</v>
      </c>
      <c r="AL791" s="10">
        <f>IF(Timeline!AL118=1, -(AK814+AL699), MAX(-AK814, IF(AL$4&lt;=0, AL582,(SUM($AA768:AL768)-SUM($Z791:AK791))*Timeline!AL256)))</f>
        <v>0</v>
      </c>
      <c r="AM791" s="10">
        <f>IF(Timeline!AM118=1, -(AL814+AM699), MAX(-AL814, IF(AM$4&lt;=0, AM582,(SUM($AA768:AM768)-SUM($Z791:AL791))*Timeline!AM256)))</f>
        <v>0</v>
      </c>
      <c r="AN791" s="10">
        <f>IF(Timeline!AN118=1, -(AM814+AN699), MAX(-AM814, IF(AN$4&lt;=0, AN582,(SUM($AA768:AN768)-SUM($Z791:AM791))*Timeline!AN256)))</f>
        <v>0</v>
      </c>
      <c r="AO791" s="10">
        <f>IF(Timeline!AO118=1, -(AN814+AO699), MAX(-AN814, IF(AO$4&lt;=0, AO582,(SUM($AA768:AO768)-SUM($Z791:AN791))*Timeline!AO256)))</f>
        <v>0</v>
      </c>
      <c r="AP791" s="10">
        <f>IF(Timeline!AP118=1, -(AO814+AP699), MAX(-AO814, IF(AP$4&lt;=0, AP582,(SUM($AA768:AP768)-SUM($Z791:AO791))*Timeline!AP256)))</f>
        <v>0</v>
      </c>
      <c r="AQ791" s="10">
        <f>IF(Timeline!AQ118=1, -(AP814+AQ699), MAX(-AP814, IF(AQ$4&lt;=0, AQ582,(SUM($AA768:AQ768)-SUM($Z791:AP791))*Timeline!AQ256)))</f>
        <v>0</v>
      </c>
      <c r="AR791" s="10">
        <f>IF(Timeline!AR118=1, -(AQ814+AR699), MAX(-AQ814, IF(AR$4&lt;=0, AR582,(SUM($AA768:AR768)-SUM($Z791:AQ791))*Timeline!AR256)))</f>
        <v>0</v>
      </c>
      <c r="AS791" s="10">
        <f>IF(Timeline!AS118=1, -(AR814+AS699), MAX(-AR814, IF(AS$4&lt;=0, AS582,(SUM($AA768:AS768)-SUM($Z791:AR791))*Timeline!AS256)))</f>
        <v>0</v>
      </c>
      <c r="AT791" s="10">
        <f>IF(Timeline!AT118=1, -(AS814+AT699), MAX(-AS814, IF(AT$4&lt;=0, AT582,(SUM($AA768:AT768)-SUM($Z791:AS791))*Timeline!AT256)))</f>
        <v>0</v>
      </c>
      <c r="AU791" s="10">
        <f>IF(Timeline!AU118=1, -(AT814+AU699), MAX(-AT814, IF(AU$4&lt;=0, AU582,(SUM($AA768:AU768)-SUM($Z791:AT791))*Timeline!AU256)))</f>
        <v>0</v>
      </c>
      <c r="AV791" s="10">
        <f>IF(Timeline!AV118=1, -(AU814+AV699), MAX(-AU814, IF(AV$4&lt;=0, AV582,(SUM($AA768:AV768)-SUM($Z791:AU791))*Timeline!AV256)))</f>
        <v>0</v>
      </c>
      <c r="AW791" s="10">
        <f>IF(Timeline!AW118=1, -(AV814+AW699), MAX(-AV814, IF(AW$4&lt;=0, AW582,(SUM($AA768:AW768)-SUM($Z791:AV791))*Timeline!AW256)))</f>
        <v>0</v>
      </c>
      <c r="AX791" s="10">
        <f>IF(Timeline!AX118=1, -(AW814+AX699), MAX(-AW814, IF(AX$4&lt;=0, AX582,(SUM($AA768:AX768)-SUM($Z791:AW791))*Timeline!AX256)))</f>
        <v>0</v>
      </c>
      <c r="AY791" s="10">
        <f>IF(Timeline!AY118=1, -(AX814+AY699), MAX(-AX814, IF(AY$4&lt;=0, AY582,(SUM($AA768:AY768)-SUM($Z791:AX791))*Timeline!AY256)))</f>
        <v>0</v>
      </c>
      <c r="AZ791" s="10">
        <f>IF(Timeline!AZ118=1, -(AY814+AZ699), MAX(-AY814, IF(AZ$4&lt;=0, AZ582,(SUM($AA768:AZ768)-SUM($Z791:AY791))*Timeline!AZ256)))</f>
        <v>0</v>
      </c>
      <c r="BA791" s="10">
        <f>IF(Timeline!BA118=1, -(AZ814+BA699), MAX(-AZ814, IF(BA$4&lt;=0, BA582,(SUM($AA768:BA768)-SUM($Z791:AZ791))*Timeline!BA256)))</f>
        <v>0</v>
      </c>
      <c r="BB791" s="10">
        <f>IF(Timeline!BB118=1, -(BA814+BB699), MAX(-BA814, IF(BB$4&lt;=0, BB582,(SUM($AA768:BB768)-SUM($Z791:BA791))*Timeline!BB256)))</f>
        <v>0</v>
      </c>
      <c r="BC791" s="10">
        <f>IF(Timeline!BC118=1, -(BB814+BC699), MAX(-BB814, IF(BC$4&lt;=0, BC582,(SUM($AA768:BC768)-SUM($Z791:BB791))*Timeline!BC256)))</f>
        <v>0</v>
      </c>
      <c r="BD791" s="10">
        <f>IF(Timeline!BD118=1, -(BC814+BD699), MAX(-BC814, IF(BD$4&lt;=0, BD582,(SUM($AA768:BD768)-SUM($Z791:BC791))*Timeline!BD256)))</f>
        <v>0</v>
      </c>
      <c r="BE791" s="10">
        <f>IF(Timeline!BE118=1, -(BD814+BE699), MAX(-BD814, IF(BE$4&lt;=0, BE582,(SUM($AA768:BE768)-SUM($Z791:BD791))*Timeline!BE256)))</f>
        <v>0</v>
      </c>
      <c r="BF791" s="10">
        <f>IF(Timeline!BF118=1, -(BE814+BF699), MAX(-BE814, IF(BF$4&lt;=0, BF582,(SUM($AA768:BF768)-SUM($Z791:BE791))*Timeline!BF256)))</f>
        <v>0</v>
      </c>
      <c r="BG791" s="10">
        <f>IF(Timeline!BG118=1, -(BF814+BG699), MAX(-BF814, IF(BG$4&lt;=0, BG582,(SUM($AA768:BG768)-SUM($Z791:BF791))*Timeline!BG256)))</f>
        <v>0</v>
      </c>
      <c r="BH791" s="10">
        <f>IF(Timeline!BH118=1, -(BG814+BH699), MAX(-BG814, IF(BH$4&lt;=0, BH582,(SUM($AA768:BH768)-SUM($Z791:BG791))*Timeline!BH256)))</f>
        <v>0</v>
      </c>
      <c r="BI791" s="10">
        <f>IF(Timeline!BI118=1, -(BH814+BI699), MAX(-BH814, IF(BI$4&lt;=0, BI582,(SUM($AA768:BI768)-SUM($Z791:BH791))*Timeline!BI256)))</f>
        <v>0</v>
      </c>
      <c r="BJ791" s="10">
        <f>IF(Timeline!BJ118=1, -(BI814+BJ699), MAX(-BI814, IF(BJ$4&lt;=0, BJ582,(SUM($AA768:BJ768)-SUM($Z791:BI791))*Timeline!BJ256)))</f>
        <v>0</v>
      </c>
      <c r="BK791" s="10">
        <f>IF(Timeline!BK118=1, -(BJ814+BK699), MAX(-BJ814, IF(BK$4&lt;=0, BK582,(SUM($AA768:BK768)-SUM($Z791:BJ791))*Timeline!BK256)))</f>
        <v>0</v>
      </c>
      <c r="BL791" s="10">
        <f>IF(Timeline!BL118=1, -(BK814+BL699), MAX(-BK814, IF(BL$4&lt;=0, BL582,(SUM($AA768:BL768)-SUM($Z791:BK791))*Timeline!BL256)))</f>
        <v>0</v>
      </c>
      <c r="BM791" s="10">
        <f>IF(Timeline!BM118=1, -(BL814+BM699), MAX(-BL814, IF(BM$4&lt;=0, BM582,(SUM($AA768:BM768)-SUM($Z791:BL791))*Timeline!BM256)))</f>
        <v>0</v>
      </c>
      <c r="BN791" s="10">
        <f>IF(Timeline!BN118=1, -(BM814+BN699), MAX(-BM814, IF(BN$4&lt;=0, BN582,(SUM($AA768:BN768)-SUM($Z791:BM791))*Timeline!BN256)))</f>
        <v>0</v>
      </c>
      <c r="BO791" s="10">
        <f>IF(Timeline!BO118=1, -(BN814+BO699), MAX(-BN814, IF(BO$4&lt;=0, BO582,(SUM($AA768:BO768)-SUM($Z791:BN791))*Timeline!BO256)))</f>
        <v>0</v>
      </c>
      <c r="BP791" s="10">
        <f>IF(Timeline!BP118=1, -(BO814+BP699), MAX(-BO814, IF(BP$4&lt;=0, BP582,(SUM($AA768:BP768)-SUM($Z791:BO791))*Timeline!BP256)))</f>
        <v>0</v>
      </c>
      <c r="BQ791" s="10">
        <f>IF(Timeline!BQ118=1, -(BP814+BQ699), MAX(-BP814, IF(BQ$4&lt;=0, BQ582,(SUM($AA768:BQ768)-SUM($Z791:BP791))*Timeline!BQ256)))</f>
        <v>0</v>
      </c>
      <c r="BR791" s="10">
        <f>IF(Timeline!BR118=1, -(BQ814+BR699), MAX(-BQ814, IF(BR$4&lt;=0, BR582,(SUM($AA768:BR768)-SUM($Z791:BQ791))*Timeline!BR256)))</f>
        <v>0</v>
      </c>
      <c r="BS791" s="10">
        <f>IF(Timeline!BS118=1, -(BR814+BS699), MAX(-BR814, IF(BS$4&lt;=0, BS582,(SUM($AA768:BS768)-SUM($Z791:BR791))*Timeline!BS256)))</f>
        <v>0</v>
      </c>
      <c r="BT791" s="10">
        <f>IF(Timeline!BT118=1, -(BS814+BT699), MAX(-BS814, IF(BT$4&lt;=0, BT582,(SUM($AA768:BT768)-SUM($Z791:BS791))*Timeline!BT256)))</f>
        <v>0</v>
      </c>
      <c r="BU791" s="10">
        <f>IF(Timeline!BU118=1, -(BT814+BU699), MAX(-BT814, IF(BU$4&lt;=0, BU582,(SUM($AA768:BU768)-SUM($Z791:BT791))*Timeline!BU256)))</f>
        <v>0</v>
      </c>
      <c r="BV791" s="10">
        <f>IF(Timeline!BV118=1, -(BU814+BV699), MAX(-BU814, IF(BV$4&lt;=0, BV582,(SUM($AA768:BV768)-SUM($Z791:BU791))*Timeline!BV256)))</f>
        <v>0</v>
      </c>
      <c r="BX791" s="12">
        <f t="shared" si="797"/>
        <v>0</v>
      </c>
      <c r="BY791" s="12">
        <f t="shared" si="798"/>
        <v>0</v>
      </c>
      <c r="BZ791" s="12">
        <f t="shared" si="799"/>
        <v>0</v>
      </c>
      <c r="CA791" s="12">
        <f t="shared" si="800"/>
        <v>0</v>
      </c>
      <c r="CB791" s="133">
        <f t="shared" si="801"/>
        <v>0</v>
      </c>
      <c r="CC791" s="106"/>
      <c r="CD791" s="106"/>
      <c r="CE791" s="106"/>
      <c r="CF791" s="106"/>
      <c r="CG791" s="106"/>
      <c r="CH791" s="106"/>
      <c r="CI791" s="106"/>
      <c r="CK791" s="11"/>
      <c r="CM791" s="11"/>
      <c r="CV791" s="120"/>
      <c r="DF791" s="11"/>
      <c r="EY791" s="10" t="str">
        <f t="shared" si="766"/>
        <v/>
      </c>
    </row>
    <row r="792" spans="1:155" x14ac:dyDescent="0.35">
      <c r="B792" s="69" t="str" cm="1">
        <f t="array" aca="1" ref="B792" ca="1">HYPERLINK(CONCATENATE("#",CELL("address",$D$151)),$D$151)</f>
        <v>Loan 6</v>
      </c>
      <c r="C792" s="211"/>
      <c r="D792" s="49">
        <f>D$18</f>
        <v>0</v>
      </c>
      <c r="E792" s="49" t="str">
        <f>F$18</f>
        <v/>
      </c>
      <c r="F792" s="49"/>
      <c r="H792" s="10">
        <f t="shared" si="794"/>
        <v>0</v>
      </c>
      <c r="I792" s="40" t="s">
        <v>1079</v>
      </c>
      <c r="V792" s="12">
        <f t="shared" si="795"/>
        <v>0</v>
      </c>
      <c r="W792" s="133">
        <f t="shared" si="796"/>
        <v>0</v>
      </c>
      <c r="X792" s="133">
        <f t="shared" si="796"/>
        <v>0</v>
      </c>
      <c r="Y792" s="133">
        <f t="shared" si="796"/>
        <v>0</v>
      </c>
      <c r="AA792" s="10">
        <f>IF(Timeline!AA119=1, -(Z815+AA700), MAX(-Z815, IF(AA$4&lt;=0, AA583,(SUM($AA769:AA769)-SUM($Z792:Z792))*Timeline!AA257)))</f>
        <v>0</v>
      </c>
      <c r="AB792" s="10">
        <f>IF(Timeline!AB119=1, -(AA815+AB700), MAX(-AA815, IF(AB$4&lt;=0, AB583,(SUM($AA769:AB769)-SUM($Z792:AA792))*Timeline!AB257)))</f>
        <v>0</v>
      </c>
      <c r="AC792" s="10">
        <f>IF(Timeline!AC119=1, -(AB815+AC700), MAX(-AB815, IF(AC$4&lt;=0, AC583,(SUM($AA769:AC769)-SUM($Z792:AB792))*Timeline!AC257)))</f>
        <v>0</v>
      </c>
      <c r="AD792" s="10">
        <f>IF(Timeline!AD119=1, -(AC815+AD700), MAX(-AC815, IF(AD$4&lt;=0, AD583,(SUM($AA769:AD769)-SUM($Z792:AC792))*Timeline!AD257)))</f>
        <v>0</v>
      </c>
      <c r="AE792" s="10">
        <f>IF(Timeline!AE119=1, -(AD815+AE700), MAX(-AD815, IF(AE$4&lt;=0, AE583,(SUM($AA769:AE769)-SUM($Z792:AD792))*Timeline!AE257)))</f>
        <v>0</v>
      </c>
      <c r="AF792" s="10">
        <f>IF(Timeline!AF119=1, -(AE815+AF700), MAX(-AE815, IF(AF$4&lt;=0, AF583,(SUM($AA769:AF769)-SUM($Z792:AE792))*Timeline!AF257)))</f>
        <v>0</v>
      </c>
      <c r="AG792" s="10">
        <f>IF(Timeline!AG119=1, -(AF815+AG700), MAX(-AF815, IF(AG$4&lt;=0, AG583,(SUM($AA769:AG769)-SUM($Z792:AF792))*Timeline!AG257)))</f>
        <v>0</v>
      </c>
      <c r="AH792" s="10">
        <f>IF(Timeline!AH119=1, -(AG815+AH700), MAX(-AG815, IF(AH$4&lt;=0, AH583,(SUM($AA769:AH769)-SUM($Z792:AG792))*Timeline!AH257)))</f>
        <v>0</v>
      </c>
      <c r="AI792" s="10">
        <f>IF(Timeline!AI119=1, -(AH815+AI700), MAX(-AH815, IF(AI$4&lt;=0, AI583,(SUM($AA769:AI769)-SUM($Z792:AH792))*Timeline!AI257)))</f>
        <v>0</v>
      </c>
      <c r="AJ792" s="10">
        <f>IF(Timeline!AJ119=1, -(AI815+AJ700), MAX(-AI815, IF(AJ$4&lt;=0, AJ583,(SUM($AA769:AJ769)-SUM($Z792:AI792))*Timeline!AJ257)))</f>
        <v>0</v>
      </c>
      <c r="AK792" s="10">
        <f>IF(Timeline!AK119=1, -(AJ815+AK700), MAX(-AJ815, IF(AK$4&lt;=0, AK583,(SUM($AA769:AK769)-SUM($Z792:AJ792))*Timeline!AK257)))</f>
        <v>0</v>
      </c>
      <c r="AL792" s="10">
        <f>IF(Timeline!AL119=1, -(AK815+AL700), MAX(-AK815, IF(AL$4&lt;=0, AL583,(SUM($AA769:AL769)-SUM($Z792:AK792))*Timeline!AL257)))</f>
        <v>0</v>
      </c>
      <c r="AM792" s="10">
        <f>IF(Timeline!AM119=1, -(AL815+AM700), MAX(-AL815, IF(AM$4&lt;=0, AM583,(SUM($AA769:AM769)-SUM($Z792:AL792))*Timeline!AM257)))</f>
        <v>0</v>
      </c>
      <c r="AN792" s="10">
        <f>IF(Timeline!AN119=1, -(AM815+AN700), MAX(-AM815, IF(AN$4&lt;=0, AN583,(SUM($AA769:AN769)-SUM($Z792:AM792))*Timeline!AN257)))</f>
        <v>0</v>
      </c>
      <c r="AO792" s="10">
        <f>IF(Timeline!AO119=1, -(AN815+AO700), MAX(-AN815, IF(AO$4&lt;=0, AO583,(SUM($AA769:AO769)-SUM($Z792:AN792))*Timeline!AO257)))</f>
        <v>0</v>
      </c>
      <c r="AP792" s="10">
        <f>IF(Timeline!AP119=1, -(AO815+AP700), MAX(-AO815, IF(AP$4&lt;=0, AP583,(SUM($AA769:AP769)-SUM($Z792:AO792))*Timeline!AP257)))</f>
        <v>0</v>
      </c>
      <c r="AQ792" s="10">
        <f>IF(Timeline!AQ119=1, -(AP815+AQ700), MAX(-AP815, IF(AQ$4&lt;=0, AQ583,(SUM($AA769:AQ769)-SUM($Z792:AP792))*Timeline!AQ257)))</f>
        <v>0</v>
      </c>
      <c r="AR792" s="10">
        <f>IF(Timeline!AR119=1, -(AQ815+AR700), MAX(-AQ815, IF(AR$4&lt;=0, AR583,(SUM($AA769:AR769)-SUM($Z792:AQ792))*Timeline!AR257)))</f>
        <v>0</v>
      </c>
      <c r="AS792" s="10">
        <f>IF(Timeline!AS119=1, -(AR815+AS700), MAX(-AR815, IF(AS$4&lt;=0, AS583,(SUM($AA769:AS769)-SUM($Z792:AR792))*Timeline!AS257)))</f>
        <v>0</v>
      </c>
      <c r="AT792" s="10">
        <f>IF(Timeline!AT119=1, -(AS815+AT700), MAX(-AS815, IF(AT$4&lt;=0, AT583,(SUM($AA769:AT769)-SUM($Z792:AS792))*Timeline!AT257)))</f>
        <v>0</v>
      </c>
      <c r="AU792" s="10">
        <f>IF(Timeline!AU119=1, -(AT815+AU700), MAX(-AT815, IF(AU$4&lt;=0, AU583,(SUM($AA769:AU769)-SUM($Z792:AT792))*Timeline!AU257)))</f>
        <v>0</v>
      </c>
      <c r="AV792" s="10">
        <f>IF(Timeline!AV119=1, -(AU815+AV700), MAX(-AU815, IF(AV$4&lt;=0, AV583,(SUM($AA769:AV769)-SUM($Z792:AU792))*Timeline!AV257)))</f>
        <v>0</v>
      </c>
      <c r="AW792" s="10">
        <f>IF(Timeline!AW119=1, -(AV815+AW700), MAX(-AV815, IF(AW$4&lt;=0, AW583,(SUM($AA769:AW769)-SUM($Z792:AV792))*Timeline!AW257)))</f>
        <v>0</v>
      </c>
      <c r="AX792" s="10">
        <f>IF(Timeline!AX119=1, -(AW815+AX700), MAX(-AW815, IF(AX$4&lt;=0, AX583,(SUM($AA769:AX769)-SUM($Z792:AW792))*Timeline!AX257)))</f>
        <v>0</v>
      </c>
      <c r="AY792" s="10">
        <f>IF(Timeline!AY119=1, -(AX815+AY700), MAX(-AX815, IF(AY$4&lt;=0, AY583,(SUM($AA769:AY769)-SUM($Z792:AX792))*Timeline!AY257)))</f>
        <v>0</v>
      </c>
      <c r="AZ792" s="10">
        <f>IF(Timeline!AZ119=1, -(AY815+AZ700), MAX(-AY815, IF(AZ$4&lt;=0, AZ583,(SUM($AA769:AZ769)-SUM($Z792:AY792))*Timeline!AZ257)))</f>
        <v>0</v>
      </c>
      <c r="BA792" s="10">
        <f>IF(Timeline!BA119=1, -(AZ815+BA700), MAX(-AZ815, IF(BA$4&lt;=0, BA583,(SUM($AA769:BA769)-SUM($Z792:AZ792))*Timeline!BA257)))</f>
        <v>0</v>
      </c>
      <c r="BB792" s="10">
        <f>IF(Timeline!BB119=1, -(BA815+BB700), MAX(-BA815, IF(BB$4&lt;=0, BB583,(SUM($AA769:BB769)-SUM($Z792:BA792))*Timeline!BB257)))</f>
        <v>0</v>
      </c>
      <c r="BC792" s="10">
        <f>IF(Timeline!BC119=1, -(BB815+BC700), MAX(-BB815, IF(BC$4&lt;=0, BC583,(SUM($AA769:BC769)-SUM($Z792:BB792))*Timeline!BC257)))</f>
        <v>0</v>
      </c>
      <c r="BD792" s="10">
        <f>IF(Timeline!BD119=1, -(BC815+BD700), MAX(-BC815, IF(BD$4&lt;=0, BD583,(SUM($AA769:BD769)-SUM($Z792:BC792))*Timeline!BD257)))</f>
        <v>0</v>
      </c>
      <c r="BE792" s="10">
        <f>IF(Timeline!BE119=1, -(BD815+BE700), MAX(-BD815, IF(BE$4&lt;=0, BE583,(SUM($AA769:BE769)-SUM($Z792:BD792))*Timeline!BE257)))</f>
        <v>0</v>
      </c>
      <c r="BF792" s="10">
        <f>IF(Timeline!BF119=1, -(BE815+BF700), MAX(-BE815, IF(BF$4&lt;=0, BF583,(SUM($AA769:BF769)-SUM($Z792:BE792))*Timeline!BF257)))</f>
        <v>0</v>
      </c>
      <c r="BG792" s="10">
        <f>IF(Timeline!BG119=1, -(BF815+BG700), MAX(-BF815, IF(BG$4&lt;=0, BG583,(SUM($AA769:BG769)-SUM($Z792:BF792))*Timeline!BG257)))</f>
        <v>0</v>
      </c>
      <c r="BH792" s="10">
        <f>IF(Timeline!BH119=1, -(BG815+BH700), MAX(-BG815, IF(BH$4&lt;=0, BH583,(SUM($AA769:BH769)-SUM($Z792:BG792))*Timeline!BH257)))</f>
        <v>0</v>
      </c>
      <c r="BI792" s="10">
        <f>IF(Timeline!BI119=1, -(BH815+BI700), MAX(-BH815, IF(BI$4&lt;=0, BI583,(SUM($AA769:BI769)-SUM($Z792:BH792))*Timeline!BI257)))</f>
        <v>0</v>
      </c>
      <c r="BJ792" s="10">
        <f>IF(Timeline!BJ119=1, -(BI815+BJ700), MAX(-BI815, IF(BJ$4&lt;=0, BJ583,(SUM($AA769:BJ769)-SUM($Z792:BI792))*Timeline!BJ257)))</f>
        <v>0</v>
      </c>
      <c r="BK792" s="10">
        <f>IF(Timeline!BK119=1, -(BJ815+BK700), MAX(-BJ815, IF(BK$4&lt;=0, BK583,(SUM($AA769:BK769)-SUM($Z792:BJ792))*Timeline!BK257)))</f>
        <v>0</v>
      </c>
      <c r="BL792" s="10">
        <f>IF(Timeline!BL119=1, -(BK815+BL700), MAX(-BK815, IF(BL$4&lt;=0, BL583,(SUM($AA769:BL769)-SUM($Z792:BK792))*Timeline!BL257)))</f>
        <v>0</v>
      </c>
      <c r="BM792" s="10">
        <f>IF(Timeline!BM119=1, -(BL815+BM700), MAX(-BL815, IF(BM$4&lt;=0, BM583,(SUM($AA769:BM769)-SUM($Z792:BL792))*Timeline!BM257)))</f>
        <v>0</v>
      </c>
      <c r="BN792" s="10">
        <f>IF(Timeline!BN119=1, -(BM815+BN700), MAX(-BM815, IF(BN$4&lt;=0, BN583,(SUM($AA769:BN769)-SUM($Z792:BM792))*Timeline!BN257)))</f>
        <v>0</v>
      </c>
      <c r="BO792" s="10">
        <f>IF(Timeline!BO119=1, -(BN815+BO700), MAX(-BN815, IF(BO$4&lt;=0, BO583,(SUM($AA769:BO769)-SUM($Z792:BN792))*Timeline!BO257)))</f>
        <v>0</v>
      </c>
      <c r="BP792" s="10">
        <f>IF(Timeline!BP119=1, -(BO815+BP700), MAX(-BO815, IF(BP$4&lt;=0, BP583,(SUM($AA769:BP769)-SUM($Z792:BO792))*Timeline!BP257)))</f>
        <v>0</v>
      </c>
      <c r="BQ792" s="10">
        <f>IF(Timeline!BQ119=1, -(BP815+BQ700), MAX(-BP815, IF(BQ$4&lt;=0, BQ583,(SUM($AA769:BQ769)-SUM($Z792:BP792))*Timeline!BQ257)))</f>
        <v>0</v>
      </c>
      <c r="BR792" s="10">
        <f>IF(Timeline!BR119=1, -(BQ815+BR700), MAX(-BQ815, IF(BR$4&lt;=0, BR583,(SUM($AA769:BR769)-SUM($Z792:BQ792))*Timeline!BR257)))</f>
        <v>0</v>
      </c>
      <c r="BS792" s="10">
        <f>IF(Timeline!BS119=1, -(BR815+BS700), MAX(-BR815, IF(BS$4&lt;=0, BS583,(SUM($AA769:BS769)-SUM($Z792:BR792))*Timeline!BS257)))</f>
        <v>0</v>
      </c>
      <c r="BT792" s="10">
        <f>IF(Timeline!BT119=1, -(BS815+BT700), MAX(-BS815, IF(BT$4&lt;=0, BT583,(SUM($AA769:BT769)-SUM($Z792:BS792))*Timeline!BT257)))</f>
        <v>0</v>
      </c>
      <c r="BU792" s="10">
        <f>IF(Timeline!BU119=1, -(BT815+BU700), MAX(-BT815, IF(BU$4&lt;=0, BU583,(SUM($AA769:BU769)-SUM($Z792:BT792))*Timeline!BU257)))</f>
        <v>0</v>
      </c>
      <c r="BV792" s="10">
        <f>IF(Timeline!BV119=1, -(BU815+BV700), MAX(-BU815, IF(BV$4&lt;=0, BV583,(SUM($AA769:BV769)-SUM($Z792:BU792))*Timeline!BV257)))</f>
        <v>0</v>
      </c>
      <c r="BX792" s="12">
        <f t="shared" si="797"/>
        <v>0</v>
      </c>
      <c r="BY792" s="12">
        <f t="shared" si="798"/>
        <v>0</v>
      </c>
      <c r="BZ792" s="12">
        <f t="shared" si="799"/>
        <v>0</v>
      </c>
      <c r="CA792" s="12">
        <f t="shared" si="800"/>
        <v>0</v>
      </c>
      <c r="CB792" s="133">
        <f t="shared" si="801"/>
        <v>0</v>
      </c>
      <c r="CC792" s="106"/>
      <c r="CD792" s="106"/>
      <c r="CE792" s="106"/>
      <c r="CF792" s="106"/>
      <c r="CG792" s="106"/>
      <c r="CH792" s="106"/>
      <c r="CI792" s="106"/>
      <c r="CK792" s="11"/>
      <c r="CM792" s="11"/>
      <c r="CV792" s="120"/>
      <c r="DF792" s="11"/>
      <c r="EY792" s="10" t="str">
        <f t="shared" si="766"/>
        <v/>
      </c>
    </row>
    <row r="793" spans="1:155" x14ac:dyDescent="0.35">
      <c r="B793" s="69" t="str" cm="1">
        <f t="array" aca="1" ref="B793" ca="1">HYPERLINK(CONCATENATE("#",CELL("address",$D$170)),$D$170)</f>
        <v>Loan 7</v>
      </c>
      <c r="C793" s="211"/>
      <c r="D793" s="49">
        <f>D$19</f>
        <v>0</v>
      </c>
      <c r="E793" s="49" t="str">
        <f>F$19</f>
        <v/>
      </c>
      <c r="F793" s="49"/>
      <c r="H793" s="10">
        <f t="shared" si="794"/>
        <v>0</v>
      </c>
      <c r="I793" s="40" t="s">
        <v>1079</v>
      </c>
      <c r="V793" s="12">
        <f t="shared" si="795"/>
        <v>0</v>
      </c>
      <c r="W793" s="133">
        <f t="shared" si="796"/>
        <v>0</v>
      </c>
      <c r="X793" s="133">
        <f t="shared" si="796"/>
        <v>0</v>
      </c>
      <c r="Y793" s="133">
        <f t="shared" si="796"/>
        <v>0</v>
      </c>
      <c r="AA793" s="10">
        <f>IF(Timeline!AA120=1, -(Z816+AA701), MAX(-Z816, IF(AA$4&lt;=0, AA584,(SUM($AA770:AA770)-SUM($Z793:Z793))*Timeline!AA258)))</f>
        <v>0</v>
      </c>
      <c r="AB793" s="10">
        <f>IF(Timeline!AB120=1, -(AA816+AB701), MAX(-AA816, IF(AB$4&lt;=0, AB584,(SUM($AA770:AB770)-SUM($Z793:AA793))*Timeline!AB258)))</f>
        <v>0</v>
      </c>
      <c r="AC793" s="10">
        <f>IF(Timeline!AC120=1, -(AB816+AC701), MAX(-AB816, IF(AC$4&lt;=0, AC584,(SUM($AA770:AC770)-SUM($Z793:AB793))*Timeline!AC258)))</f>
        <v>0</v>
      </c>
      <c r="AD793" s="10">
        <f>IF(Timeline!AD120=1, -(AC816+AD701), MAX(-AC816, IF(AD$4&lt;=0, AD584,(SUM($AA770:AD770)-SUM($Z793:AC793))*Timeline!AD258)))</f>
        <v>0</v>
      </c>
      <c r="AE793" s="10">
        <f>IF(Timeline!AE120=1, -(AD816+AE701), MAX(-AD816, IF(AE$4&lt;=0, AE584,(SUM($AA770:AE770)-SUM($Z793:AD793))*Timeline!AE258)))</f>
        <v>0</v>
      </c>
      <c r="AF793" s="10">
        <f>IF(Timeline!AF120=1, -(AE816+AF701), MAX(-AE816, IF(AF$4&lt;=0, AF584,(SUM($AA770:AF770)-SUM($Z793:AE793))*Timeline!AF258)))</f>
        <v>0</v>
      </c>
      <c r="AG793" s="10">
        <f>IF(Timeline!AG120=1, -(AF816+AG701), MAX(-AF816, IF(AG$4&lt;=0, AG584,(SUM($AA770:AG770)-SUM($Z793:AF793))*Timeline!AG258)))</f>
        <v>0</v>
      </c>
      <c r="AH793" s="10">
        <f>IF(Timeline!AH120=1, -(AG816+AH701), MAX(-AG816, IF(AH$4&lt;=0, AH584,(SUM($AA770:AH770)-SUM($Z793:AG793))*Timeline!AH258)))</f>
        <v>0</v>
      </c>
      <c r="AI793" s="10">
        <f>IF(Timeline!AI120=1, -(AH816+AI701), MAX(-AH816, IF(AI$4&lt;=0, AI584,(SUM($AA770:AI770)-SUM($Z793:AH793))*Timeline!AI258)))</f>
        <v>0</v>
      </c>
      <c r="AJ793" s="10">
        <f>IF(Timeline!AJ120=1, -(AI816+AJ701), MAX(-AI816, IF(AJ$4&lt;=0, AJ584,(SUM($AA770:AJ770)-SUM($Z793:AI793))*Timeline!AJ258)))</f>
        <v>0</v>
      </c>
      <c r="AK793" s="10">
        <f>IF(Timeline!AK120=1, -(AJ816+AK701), MAX(-AJ816, IF(AK$4&lt;=0, AK584,(SUM($AA770:AK770)-SUM($Z793:AJ793))*Timeline!AK258)))</f>
        <v>0</v>
      </c>
      <c r="AL793" s="10">
        <f>IF(Timeline!AL120=1, -(AK816+AL701), MAX(-AK816, IF(AL$4&lt;=0, AL584,(SUM($AA770:AL770)-SUM($Z793:AK793))*Timeline!AL258)))</f>
        <v>0</v>
      </c>
      <c r="AM793" s="10">
        <f>IF(Timeline!AM120=1, -(AL816+AM701), MAX(-AL816, IF(AM$4&lt;=0, AM584,(SUM($AA770:AM770)-SUM($Z793:AL793))*Timeline!AM258)))</f>
        <v>0</v>
      </c>
      <c r="AN793" s="10">
        <f>IF(Timeline!AN120=1, -(AM816+AN701), MAX(-AM816, IF(AN$4&lt;=0, AN584,(SUM($AA770:AN770)-SUM($Z793:AM793))*Timeline!AN258)))</f>
        <v>0</v>
      </c>
      <c r="AO793" s="10">
        <f>IF(Timeline!AO120=1, -(AN816+AO701), MAX(-AN816, IF(AO$4&lt;=0, AO584,(SUM($AA770:AO770)-SUM($Z793:AN793))*Timeline!AO258)))</f>
        <v>0</v>
      </c>
      <c r="AP793" s="10">
        <f>IF(Timeline!AP120=1, -(AO816+AP701), MAX(-AO816, IF(AP$4&lt;=0, AP584,(SUM($AA770:AP770)-SUM($Z793:AO793))*Timeline!AP258)))</f>
        <v>0</v>
      </c>
      <c r="AQ793" s="10">
        <f>IF(Timeline!AQ120=1, -(AP816+AQ701), MAX(-AP816, IF(AQ$4&lt;=0, AQ584,(SUM($AA770:AQ770)-SUM($Z793:AP793))*Timeline!AQ258)))</f>
        <v>0</v>
      </c>
      <c r="AR793" s="10">
        <f>IF(Timeline!AR120=1, -(AQ816+AR701), MAX(-AQ816, IF(AR$4&lt;=0, AR584,(SUM($AA770:AR770)-SUM($Z793:AQ793))*Timeline!AR258)))</f>
        <v>0</v>
      </c>
      <c r="AS793" s="10">
        <f>IF(Timeline!AS120=1, -(AR816+AS701), MAX(-AR816, IF(AS$4&lt;=0, AS584,(SUM($AA770:AS770)-SUM($Z793:AR793))*Timeline!AS258)))</f>
        <v>0</v>
      </c>
      <c r="AT793" s="10">
        <f>IF(Timeline!AT120=1, -(AS816+AT701), MAX(-AS816, IF(AT$4&lt;=0, AT584,(SUM($AA770:AT770)-SUM($Z793:AS793))*Timeline!AT258)))</f>
        <v>0</v>
      </c>
      <c r="AU793" s="10">
        <f>IF(Timeline!AU120=1, -(AT816+AU701), MAX(-AT816, IF(AU$4&lt;=0, AU584,(SUM($AA770:AU770)-SUM($Z793:AT793))*Timeline!AU258)))</f>
        <v>0</v>
      </c>
      <c r="AV793" s="10">
        <f>IF(Timeline!AV120=1, -(AU816+AV701), MAX(-AU816, IF(AV$4&lt;=0, AV584,(SUM($AA770:AV770)-SUM($Z793:AU793))*Timeline!AV258)))</f>
        <v>0</v>
      </c>
      <c r="AW793" s="10">
        <f>IF(Timeline!AW120=1, -(AV816+AW701), MAX(-AV816, IF(AW$4&lt;=0, AW584,(SUM($AA770:AW770)-SUM($Z793:AV793))*Timeline!AW258)))</f>
        <v>0</v>
      </c>
      <c r="AX793" s="10">
        <f>IF(Timeline!AX120=1, -(AW816+AX701), MAX(-AW816, IF(AX$4&lt;=0, AX584,(SUM($AA770:AX770)-SUM($Z793:AW793))*Timeline!AX258)))</f>
        <v>0</v>
      </c>
      <c r="AY793" s="10">
        <f>IF(Timeline!AY120=1, -(AX816+AY701), MAX(-AX816, IF(AY$4&lt;=0, AY584,(SUM($AA770:AY770)-SUM($Z793:AX793))*Timeline!AY258)))</f>
        <v>0</v>
      </c>
      <c r="AZ793" s="10">
        <f>IF(Timeline!AZ120=1, -(AY816+AZ701), MAX(-AY816, IF(AZ$4&lt;=0, AZ584,(SUM($AA770:AZ770)-SUM($Z793:AY793))*Timeline!AZ258)))</f>
        <v>0</v>
      </c>
      <c r="BA793" s="10">
        <f>IF(Timeline!BA120=1, -(AZ816+BA701), MAX(-AZ816, IF(BA$4&lt;=0, BA584,(SUM($AA770:BA770)-SUM($Z793:AZ793))*Timeline!BA258)))</f>
        <v>0</v>
      </c>
      <c r="BB793" s="10">
        <f>IF(Timeline!BB120=1, -(BA816+BB701), MAX(-BA816, IF(BB$4&lt;=0, BB584,(SUM($AA770:BB770)-SUM($Z793:BA793))*Timeline!BB258)))</f>
        <v>0</v>
      </c>
      <c r="BC793" s="10">
        <f>IF(Timeline!BC120=1, -(BB816+BC701), MAX(-BB816, IF(BC$4&lt;=0, BC584,(SUM($AA770:BC770)-SUM($Z793:BB793))*Timeline!BC258)))</f>
        <v>0</v>
      </c>
      <c r="BD793" s="10">
        <f>IF(Timeline!BD120=1, -(BC816+BD701), MAX(-BC816, IF(BD$4&lt;=0, BD584,(SUM($AA770:BD770)-SUM($Z793:BC793))*Timeline!BD258)))</f>
        <v>0</v>
      </c>
      <c r="BE793" s="10">
        <f>IF(Timeline!BE120=1, -(BD816+BE701), MAX(-BD816, IF(BE$4&lt;=0, BE584,(SUM($AA770:BE770)-SUM($Z793:BD793))*Timeline!BE258)))</f>
        <v>0</v>
      </c>
      <c r="BF793" s="10">
        <f>IF(Timeline!BF120=1, -(BE816+BF701), MAX(-BE816, IF(BF$4&lt;=0, BF584,(SUM($AA770:BF770)-SUM($Z793:BE793))*Timeline!BF258)))</f>
        <v>0</v>
      </c>
      <c r="BG793" s="10">
        <f>IF(Timeline!BG120=1, -(BF816+BG701), MAX(-BF816, IF(BG$4&lt;=0, BG584,(SUM($AA770:BG770)-SUM($Z793:BF793))*Timeline!BG258)))</f>
        <v>0</v>
      </c>
      <c r="BH793" s="10">
        <f>IF(Timeline!BH120=1, -(BG816+BH701), MAX(-BG816, IF(BH$4&lt;=0, BH584,(SUM($AA770:BH770)-SUM($Z793:BG793))*Timeline!BH258)))</f>
        <v>0</v>
      </c>
      <c r="BI793" s="10">
        <f>IF(Timeline!BI120=1, -(BH816+BI701), MAX(-BH816, IF(BI$4&lt;=0, BI584,(SUM($AA770:BI770)-SUM($Z793:BH793))*Timeline!BI258)))</f>
        <v>0</v>
      </c>
      <c r="BJ793" s="10">
        <f>IF(Timeline!BJ120=1, -(BI816+BJ701), MAX(-BI816, IF(BJ$4&lt;=0, BJ584,(SUM($AA770:BJ770)-SUM($Z793:BI793))*Timeline!BJ258)))</f>
        <v>0</v>
      </c>
      <c r="BK793" s="10">
        <f>IF(Timeline!BK120=1, -(BJ816+BK701), MAX(-BJ816, IF(BK$4&lt;=0, BK584,(SUM($AA770:BK770)-SUM($Z793:BJ793))*Timeline!BK258)))</f>
        <v>0</v>
      </c>
      <c r="BL793" s="10">
        <f>IF(Timeline!BL120=1, -(BK816+BL701), MAX(-BK816, IF(BL$4&lt;=0, BL584,(SUM($AA770:BL770)-SUM($Z793:BK793))*Timeline!BL258)))</f>
        <v>0</v>
      </c>
      <c r="BM793" s="10">
        <f>IF(Timeline!BM120=1, -(BL816+BM701), MAX(-BL816, IF(BM$4&lt;=0, BM584,(SUM($AA770:BM770)-SUM($Z793:BL793))*Timeline!BM258)))</f>
        <v>0</v>
      </c>
      <c r="BN793" s="10">
        <f>IF(Timeline!BN120=1, -(BM816+BN701), MAX(-BM816, IF(BN$4&lt;=0, BN584,(SUM($AA770:BN770)-SUM($Z793:BM793))*Timeline!BN258)))</f>
        <v>0</v>
      </c>
      <c r="BO793" s="10">
        <f>IF(Timeline!BO120=1, -(BN816+BO701), MAX(-BN816, IF(BO$4&lt;=0, BO584,(SUM($AA770:BO770)-SUM($Z793:BN793))*Timeline!BO258)))</f>
        <v>0</v>
      </c>
      <c r="BP793" s="10">
        <f>IF(Timeline!BP120=1, -(BO816+BP701), MAX(-BO816, IF(BP$4&lt;=0, BP584,(SUM($AA770:BP770)-SUM($Z793:BO793))*Timeline!BP258)))</f>
        <v>0</v>
      </c>
      <c r="BQ793" s="10">
        <f>IF(Timeline!BQ120=1, -(BP816+BQ701), MAX(-BP816, IF(BQ$4&lt;=0, BQ584,(SUM($AA770:BQ770)-SUM($Z793:BP793))*Timeline!BQ258)))</f>
        <v>0</v>
      </c>
      <c r="BR793" s="10">
        <f>IF(Timeline!BR120=1, -(BQ816+BR701), MAX(-BQ816, IF(BR$4&lt;=0, BR584,(SUM($AA770:BR770)-SUM($Z793:BQ793))*Timeline!BR258)))</f>
        <v>0</v>
      </c>
      <c r="BS793" s="10">
        <f>IF(Timeline!BS120=1, -(BR816+BS701), MAX(-BR816, IF(BS$4&lt;=0, BS584,(SUM($AA770:BS770)-SUM($Z793:BR793))*Timeline!BS258)))</f>
        <v>0</v>
      </c>
      <c r="BT793" s="10">
        <f>IF(Timeline!BT120=1, -(BS816+BT701), MAX(-BS816, IF(BT$4&lt;=0, BT584,(SUM($AA770:BT770)-SUM($Z793:BS793))*Timeline!BT258)))</f>
        <v>0</v>
      </c>
      <c r="BU793" s="10">
        <f>IF(Timeline!BU120=1, -(BT816+BU701), MAX(-BT816, IF(BU$4&lt;=0, BU584,(SUM($AA770:BU770)-SUM($Z793:BT793))*Timeline!BU258)))</f>
        <v>0</v>
      </c>
      <c r="BV793" s="10">
        <f>IF(Timeline!BV120=1, -(BU816+BV701), MAX(-BU816, IF(BV$4&lt;=0, BV584,(SUM($AA770:BV770)-SUM($Z793:BU793))*Timeline!BV258)))</f>
        <v>0</v>
      </c>
      <c r="BX793" s="12">
        <f t="shared" si="797"/>
        <v>0</v>
      </c>
      <c r="BY793" s="12">
        <f t="shared" si="798"/>
        <v>0</v>
      </c>
      <c r="BZ793" s="12">
        <f t="shared" si="799"/>
        <v>0</v>
      </c>
      <c r="CA793" s="12">
        <f t="shared" si="800"/>
        <v>0</v>
      </c>
      <c r="CB793" s="133">
        <f t="shared" si="801"/>
        <v>0</v>
      </c>
      <c r="CC793" s="106"/>
      <c r="CD793" s="106"/>
      <c r="CE793" s="106"/>
      <c r="CF793" s="106"/>
      <c r="CG793" s="106"/>
      <c r="CH793" s="106"/>
      <c r="CI793" s="106"/>
      <c r="CK793" s="11"/>
      <c r="CM793" s="11"/>
      <c r="CV793" s="120"/>
      <c r="DF793" s="11"/>
      <c r="EY793" s="10" t="str">
        <f t="shared" si="766"/>
        <v/>
      </c>
    </row>
    <row r="794" spans="1:155" x14ac:dyDescent="0.35">
      <c r="B794" s="69" t="str" cm="1">
        <f t="array" aca="1" ref="B794" ca="1">HYPERLINK(CONCATENATE("#",CELL("address",$D$189)),$D$189)</f>
        <v>Loan 8</v>
      </c>
      <c r="C794" s="211"/>
      <c r="D794" s="49">
        <f>D$20</f>
        <v>0</v>
      </c>
      <c r="E794" s="49" t="str">
        <f>F$20</f>
        <v/>
      </c>
      <c r="F794" s="49"/>
      <c r="H794" s="10">
        <f t="shared" si="794"/>
        <v>0</v>
      </c>
      <c r="I794" s="40" t="s">
        <v>1079</v>
      </c>
      <c r="V794" s="12">
        <f t="shared" si="795"/>
        <v>0</v>
      </c>
      <c r="W794" s="133">
        <f t="shared" si="796"/>
        <v>0</v>
      </c>
      <c r="X794" s="133">
        <f t="shared" si="796"/>
        <v>0</v>
      </c>
      <c r="Y794" s="133">
        <f t="shared" si="796"/>
        <v>0</v>
      </c>
      <c r="AA794" s="10">
        <f>IF(Timeline!AA121=1, -(Z817+AA702), MAX(-Z817, IF(AA$4&lt;=0, AA585,(SUM($AA771:AA771)-SUM($Z794:Z794))*Timeline!AA259)))</f>
        <v>0</v>
      </c>
      <c r="AB794" s="10">
        <f>IF(Timeline!AB121=1, -(AA817+AB702), MAX(-AA817, IF(AB$4&lt;=0, AB585,(SUM($AA771:AB771)-SUM($Z794:AA794))*Timeline!AB259)))</f>
        <v>0</v>
      </c>
      <c r="AC794" s="10">
        <f>IF(Timeline!AC121=1, -(AB817+AC702), MAX(-AB817, IF(AC$4&lt;=0, AC585,(SUM($AA771:AC771)-SUM($Z794:AB794))*Timeline!AC259)))</f>
        <v>0</v>
      </c>
      <c r="AD794" s="10">
        <f>IF(Timeline!AD121=1, -(AC817+AD702), MAX(-AC817, IF(AD$4&lt;=0, AD585,(SUM($AA771:AD771)-SUM($Z794:AC794))*Timeline!AD259)))</f>
        <v>0</v>
      </c>
      <c r="AE794" s="10">
        <f>IF(Timeline!AE121=1, -(AD817+AE702), MAX(-AD817, IF(AE$4&lt;=0, AE585,(SUM($AA771:AE771)-SUM($Z794:AD794))*Timeline!AE259)))</f>
        <v>0</v>
      </c>
      <c r="AF794" s="10">
        <f>IF(Timeline!AF121=1, -(AE817+AF702), MAX(-AE817, IF(AF$4&lt;=0, AF585,(SUM($AA771:AF771)-SUM($Z794:AE794))*Timeline!AF259)))</f>
        <v>0</v>
      </c>
      <c r="AG794" s="10">
        <f>IF(Timeline!AG121=1, -(AF817+AG702), MAX(-AF817, IF(AG$4&lt;=0, AG585,(SUM($AA771:AG771)-SUM($Z794:AF794))*Timeline!AG259)))</f>
        <v>0</v>
      </c>
      <c r="AH794" s="10">
        <f>IF(Timeline!AH121=1, -(AG817+AH702), MAX(-AG817, IF(AH$4&lt;=0, AH585,(SUM($AA771:AH771)-SUM($Z794:AG794))*Timeline!AH259)))</f>
        <v>0</v>
      </c>
      <c r="AI794" s="10">
        <f>IF(Timeline!AI121=1, -(AH817+AI702), MAX(-AH817, IF(AI$4&lt;=0, AI585,(SUM($AA771:AI771)-SUM($Z794:AH794))*Timeline!AI259)))</f>
        <v>0</v>
      </c>
      <c r="AJ794" s="10">
        <f>IF(Timeline!AJ121=1, -(AI817+AJ702), MAX(-AI817, IF(AJ$4&lt;=0, AJ585,(SUM($AA771:AJ771)-SUM($Z794:AI794))*Timeline!AJ259)))</f>
        <v>0</v>
      </c>
      <c r="AK794" s="10">
        <f>IF(Timeline!AK121=1, -(AJ817+AK702), MAX(-AJ817, IF(AK$4&lt;=0, AK585,(SUM($AA771:AK771)-SUM($Z794:AJ794))*Timeline!AK259)))</f>
        <v>0</v>
      </c>
      <c r="AL794" s="10">
        <f>IF(Timeline!AL121=1, -(AK817+AL702), MAX(-AK817, IF(AL$4&lt;=0, AL585,(SUM($AA771:AL771)-SUM($Z794:AK794))*Timeline!AL259)))</f>
        <v>0</v>
      </c>
      <c r="AM794" s="10">
        <f>IF(Timeline!AM121=1, -(AL817+AM702), MAX(-AL817, IF(AM$4&lt;=0, AM585,(SUM($AA771:AM771)-SUM($Z794:AL794))*Timeline!AM259)))</f>
        <v>0</v>
      </c>
      <c r="AN794" s="10">
        <f>IF(Timeline!AN121=1, -(AM817+AN702), MAX(-AM817, IF(AN$4&lt;=0, AN585,(SUM($AA771:AN771)-SUM($Z794:AM794))*Timeline!AN259)))</f>
        <v>0</v>
      </c>
      <c r="AO794" s="10">
        <f>IF(Timeline!AO121=1, -(AN817+AO702), MAX(-AN817, IF(AO$4&lt;=0, AO585,(SUM($AA771:AO771)-SUM($Z794:AN794))*Timeline!AO259)))</f>
        <v>0</v>
      </c>
      <c r="AP794" s="10">
        <f>IF(Timeline!AP121=1, -(AO817+AP702), MAX(-AO817, IF(AP$4&lt;=0, AP585,(SUM($AA771:AP771)-SUM($Z794:AO794))*Timeline!AP259)))</f>
        <v>0</v>
      </c>
      <c r="AQ794" s="10">
        <f>IF(Timeline!AQ121=1, -(AP817+AQ702), MAX(-AP817, IF(AQ$4&lt;=0, AQ585,(SUM($AA771:AQ771)-SUM($Z794:AP794))*Timeline!AQ259)))</f>
        <v>0</v>
      </c>
      <c r="AR794" s="10">
        <f>IF(Timeline!AR121=1, -(AQ817+AR702), MAX(-AQ817, IF(AR$4&lt;=0, AR585,(SUM($AA771:AR771)-SUM($Z794:AQ794))*Timeline!AR259)))</f>
        <v>0</v>
      </c>
      <c r="AS794" s="10">
        <f>IF(Timeline!AS121=1, -(AR817+AS702), MAX(-AR817, IF(AS$4&lt;=0, AS585,(SUM($AA771:AS771)-SUM($Z794:AR794))*Timeline!AS259)))</f>
        <v>0</v>
      </c>
      <c r="AT794" s="10">
        <f>IF(Timeline!AT121=1, -(AS817+AT702), MAX(-AS817, IF(AT$4&lt;=0, AT585,(SUM($AA771:AT771)-SUM($Z794:AS794))*Timeline!AT259)))</f>
        <v>0</v>
      </c>
      <c r="AU794" s="10">
        <f>IF(Timeline!AU121=1, -(AT817+AU702), MAX(-AT817, IF(AU$4&lt;=0, AU585,(SUM($AA771:AU771)-SUM($Z794:AT794))*Timeline!AU259)))</f>
        <v>0</v>
      </c>
      <c r="AV794" s="10">
        <f>IF(Timeline!AV121=1, -(AU817+AV702), MAX(-AU817, IF(AV$4&lt;=0, AV585,(SUM($AA771:AV771)-SUM($Z794:AU794))*Timeline!AV259)))</f>
        <v>0</v>
      </c>
      <c r="AW794" s="10">
        <f>IF(Timeline!AW121=1, -(AV817+AW702), MAX(-AV817, IF(AW$4&lt;=0, AW585,(SUM($AA771:AW771)-SUM($Z794:AV794))*Timeline!AW259)))</f>
        <v>0</v>
      </c>
      <c r="AX794" s="10">
        <f>IF(Timeline!AX121=1, -(AW817+AX702), MAX(-AW817, IF(AX$4&lt;=0, AX585,(SUM($AA771:AX771)-SUM($Z794:AW794))*Timeline!AX259)))</f>
        <v>0</v>
      </c>
      <c r="AY794" s="10">
        <f>IF(Timeline!AY121=1, -(AX817+AY702), MAX(-AX817, IF(AY$4&lt;=0, AY585,(SUM($AA771:AY771)-SUM($Z794:AX794))*Timeline!AY259)))</f>
        <v>0</v>
      </c>
      <c r="AZ794" s="10">
        <f>IF(Timeline!AZ121=1, -(AY817+AZ702), MAX(-AY817, IF(AZ$4&lt;=0, AZ585,(SUM($AA771:AZ771)-SUM($Z794:AY794))*Timeline!AZ259)))</f>
        <v>0</v>
      </c>
      <c r="BA794" s="10">
        <f>IF(Timeline!BA121=1, -(AZ817+BA702), MAX(-AZ817, IF(BA$4&lt;=0, BA585,(SUM($AA771:BA771)-SUM($Z794:AZ794))*Timeline!BA259)))</f>
        <v>0</v>
      </c>
      <c r="BB794" s="10">
        <f>IF(Timeline!BB121=1, -(BA817+BB702), MAX(-BA817, IF(BB$4&lt;=0, BB585,(SUM($AA771:BB771)-SUM($Z794:BA794))*Timeline!BB259)))</f>
        <v>0</v>
      </c>
      <c r="BC794" s="10">
        <f>IF(Timeline!BC121=1, -(BB817+BC702), MAX(-BB817, IF(BC$4&lt;=0, BC585,(SUM($AA771:BC771)-SUM($Z794:BB794))*Timeline!BC259)))</f>
        <v>0</v>
      </c>
      <c r="BD794" s="10">
        <f>IF(Timeline!BD121=1, -(BC817+BD702), MAX(-BC817, IF(BD$4&lt;=0, BD585,(SUM($AA771:BD771)-SUM($Z794:BC794))*Timeline!BD259)))</f>
        <v>0</v>
      </c>
      <c r="BE794" s="10">
        <f>IF(Timeline!BE121=1, -(BD817+BE702), MAX(-BD817, IF(BE$4&lt;=0, BE585,(SUM($AA771:BE771)-SUM($Z794:BD794))*Timeline!BE259)))</f>
        <v>0</v>
      </c>
      <c r="BF794" s="10">
        <f>IF(Timeline!BF121=1, -(BE817+BF702), MAX(-BE817, IF(BF$4&lt;=0, BF585,(SUM($AA771:BF771)-SUM($Z794:BE794))*Timeline!BF259)))</f>
        <v>0</v>
      </c>
      <c r="BG794" s="10">
        <f>IF(Timeline!BG121=1, -(BF817+BG702), MAX(-BF817, IF(BG$4&lt;=0, BG585,(SUM($AA771:BG771)-SUM($Z794:BF794))*Timeline!BG259)))</f>
        <v>0</v>
      </c>
      <c r="BH794" s="10">
        <f>IF(Timeline!BH121=1, -(BG817+BH702), MAX(-BG817, IF(BH$4&lt;=0, BH585,(SUM($AA771:BH771)-SUM($Z794:BG794))*Timeline!BH259)))</f>
        <v>0</v>
      </c>
      <c r="BI794" s="10">
        <f>IF(Timeline!BI121=1, -(BH817+BI702), MAX(-BH817, IF(BI$4&lt;=0, BI585,(SUM($AA771:BI771)-SUM($Z794:BH794))*Timeline!BI259)))</f>
        <v>0</v>
      </c>
      <c r="BJ794" s="10">
        <f>IF(Timeline!BJ121=1, -(BI817+BJ702), MAX(-BI817, IF(BJ$4&lt;=0, BJ585,(SUM($AA771:BJ771)-SUM($Z794:BI794))*Timeline!BJ259)))</f>
        <v>0</v>
      </c>
      <c r="BK794" s="10">
        <f>IF(Timeline!BK121=1, -(BJ817+BK702), MAX(-BJ817, IF(BK$4&lt;=0, BK585,(SUM($AA771:BK771)-SUM($Z794:BJ794))*Timeline!BK259)))</f>
        <v>0</v>
      </c>
      <c r="BL794" s="10">
        <f>IF(Timeline!BL121=1, -(BK817+BL702), MAX(-BK817, IF(BL$4&lt;=0, BL585,(SUM($AA771:BL771)-SUM($Z794:BK794))*Timeline!BL259)))</f>
        <v>0</v>
      </c>
      <c r="BM794" s="10">
        <f>IF(Timeline!BM121=1, -(BL817+BM702), MAX(-BL817, IF(BM$4&lt;=0, BM585,(SUM($AA771:BM771)-SUM($Z794:BL794))*Timeline!BM259)))</f>
        <v>0</v>
      </c>
      <c r="BN794" s="10">
        <f>IF(Timeline!BN121=1, -(BM817+BN702), MAX(-BM817, IF(BN$4&lt;=0, BN585,(SUM($AA771:BN771)-SUM($Z794:BM794))*Timeline!BN259)))</f>
        <v>0</v>
      </c>
      <c r="BO794" s="10">
        <f>IF(Timeline!BO121=1, -(BN817+BO702), MAX(-BN817, IF(BO$4&lt;=0, BO585,(SUM($AA771:BO771)-SUM($Z794:BN794))*Timeline!BO259)))</f>
        <v>0</v>
      </c>
      <c r="BP794" s="10">
        <f>IF(Timeline!BP121=1, -(BO817+BP702), MAX(-BO817, IF(BP$4&lt;=0, BP585,(SUM($AA771:BP771)-SUM($Z794:BO794))*Timeline!BP259)))</f>
        <v>0</v>
      </c>
      <c r="BQ794" s="10">
        <f>IF(Timeline!BQ121=1, -(BP817+BQ702), MAX(-BP817, IF(BQ$4&lt;=0, BQ585,(SUM($AA771:BQ771)-SUM($Z794:BP794))*Timeline!BQ259)))</f>
        <v>0</v>
      </c>
      <c r="BR794" s="10">
        <f>IF(Timeline!BR121=1, -(BQ817+BR702), MAX(-BQ817, IF(BR$4&lt;=0, BR585,(SUM($AA771:BR771)-SUM($Z794:BQ794))*Timeline!BR259)))</f>
        <v>0</v>
      </c>
      <c r="BS794" s="10">
        <f>IF(Timeline!BS121=1, -(BR817+BS702), MAX(-BR817, IF(BS$4&lt;=0, BS585,(SUM($AA771:BS771)-SUM($Z794:BR794))*Timeline!BS259)))</f>
        <v>0</v>
      </c>
      <c r="BT794" s="10">
        <f>IF(Timeline!BT121=1, -(BS817+BT702), MAX(-BS817, IF(BT$4&lt;=0, BT585,(SUM($AA771:BT771)-SUM($Z794:BS794))*Timeline!BT259)))</f>
        <v>0</v>
      </c>
      <c r="BU794" s="10">
        <f>IF(Timeline!BU121=1, -(BT817+BU702), MAX(-BT817, IF(BU$4&lt;=0, BU585,(SUM($AA771:BU771)-SUM($Z794:BT794))*Timeline!BU259)))</f>
        <v>0</v>
      </c>
      <c r="BV794" s="10">
        <f>IF(Timeline!BV121=1, -(BU817+BV702), MAX(-BU817, IF(BV$4&lt;=0, BV585,(SUM($AA771:BV771)-SUM($Z794:BU794))*Timeline!BV259)))</f>
        <v>0</v>
      </c>
      <c r="BX794" s="12">
        <f t="shared" si="797"/>
        <v>0</v>
      </c>
      <c r="BY794" s="12">
        <f t="shared" si="798"/>
        <v>0</v>
      </c>
      <c r="BZ794" s="12">
        <f t="shared" si="799"/>
        <v>0</v>
      </c>
      <c r="CA794" s="12">
        <f t="shared" si="800"/>
        <v>0</v>
      </c>
      <c r="CB794" s="133">
        <f t="shared" si="801"/>
        <v>0</v>
      </c>
      <c r="CC794" s="106"/>
      <c r="CD794" s="106"/>
      <c r="CE794" s="106"/>
      <c r="CF794" s="106"/>
      <c r="CG794" s="106"/>
      <c r="CH794" s="106"/>
      <c r="CI794" s="106"/>
      <c r="CK794" s="11"/>
      <c r="CM794" s="11"/>
      <c r="CV794" s="120"/>
      <c r="DF794" s="11"/>
      <c r="EY794" s="10" t="str">
        <f t="shared" si="766"/>
        <v/>
      </c>
    </row>
    <row r="795" spans="1:155" x14ac:dyDescent="0.35">
      <c r="B795" s="69" t="str" cm="1">
        <f t="array" aca="1" ref="B795" ca="1">HYPERLINK(CONCATENATE("#",CELL("address",$D$208)),$D$208)</f>
        <v>Loan 9</v>
      </c>
      <c r="C795" s="211"/>
      <c r="D795" s="49">
        <f>D$21</f>
        <v>0</v>
      </c>
      <c r="E795" s="49" t="str">
        <f>F$21</f>
        <v/>
      </c>
      <c r="F795" s="49"/>
      <c r="H795" s="10">
        <f t="shared" si="794"/>
        <v>0</v>
      </c>
      <c r="I795" s="40" t="s">
        <v>1079</v>
      </c>
      <c r="V795" s="12">
        <f t="shared" si="795"/>
        <v>0</v>
      </c>
      <c r="W795" s="133">
        <f t="shared" si="796"/>
        <v>0</v>
      </c>
      <c r="X795" s="133">
        <f t="shared" si="796"/>
        <v>0</v>
      </c>
      <c r="Y795" s="133">
        <f t="shared" si="796"/>
        <v>0</v>
      </c>
      <c r="AA795" s="10">
        <f>IF(Timeline!AA122=1, -(Z818+AA703), MAX(-Z818, IF(AA$4&lt;=0, AA586,(SUM($AA772:AA772)-SUM($Z795:Z795))*Timeline!AA260)))</f>
        <v>0</v>
      </c>
      <c r="AB795" s="10">
        <f>IF(Timeline!AB122=1, -(AA818+AB703), MAX(-AA818, IF(AB$4&lt;=0, AB586,(SUM($AA772:AB772)-SUM($Z795:AA795))*Timeline!AB260)))</f>
        <v>0</v>
      </c>
      <c r="AC795" s="10">
        <f>IF(Timeline!AC122=1, -(AB818+AC703), MAX(-AB818, IF(AC$4&lt;=0, AC586,(SUM($AA772:AC772)-SUM($Z795:AB795))*Timeline!AC260)))</f>
        <v>0</v>
      </c>
      <c r="AD795" s="10">
        <f>IF(Timeline!AD122=1, -(AC818+AD703), MAX(-AC818, IF(AD$4&lt;=0, AD586,(SUM($AA772:AD772)-SUM($Z795:AC795))*Timeline!AD260)))</f>
        <v>0</v>
      </c>
      <c r="AE795" s="10">
        <f>IF(Timeline!AE122=1, -(AD818+AE703), MAX(-AD818, IF(AE$4&lt;=0, AE586,(SUM($AA772:AE772)-SUM($Z795:AD795))*Timeline!AE260)))</f>
        <v>0</v>
      </c>
      <c r="AF795" s="10">
        <f>IF(Timeline!AF122=1, -(AE818+AF703), MAX(-AE818, IF(AF$4&lt;=0, AF586,(SUM($AA772:AF772)-SUM($Z795:AE795))*Timeline!AF260)))</f>
        <v>0</v>
      </c>
      <c r="AG795" s="10">
        <f>IF(Timeline!AG122=1, -(AF818+AG703), MAX(-AF818, IF(AG$4&lt;=0, AG586,(SUM($AA772:AG772)-SUM($Z795:AF795))*Timeline!AG260)))</f>
        <v>0</v>
      </c>
      <c r="AH795" s="10">
        <f>IF(Timeline!AH122=1, -(AG818+AH703), MAX(-AG818, IF(AH$4&lt;=0, AH586,(SUM($AA772:AH772)-SUM($Z795:AG795))*Timeline!AH260)))</f>
        <v>0</v>
      </c>
      <c r="AI795" s="10">
        <f>IF(Timeline!AI122=1, -(AH818+AI703), MAX(-AH818, IF(AI$4&lt;=0, AI586,(SUM($AA772:AI772)-SUM($Z795:AH795))*Timeline!AI260)))</f>
        <v>0</v>
      </c>
      <c r="AJ795" s="10">
        <f>IF(Timeline!AJ122=1, -(AI818+AJ703), MAX(-AI818, IF(AJ$4&lt;=0, AJ586,(SUM($AA772:AJ772)-SUM($Z795:AI795))*Timeline!AJ260)))</f>
        <v>0</v>
      </c>
      <c r="AK795" s="10">
        <f>IF(Timeline!AK122=1, -(AJ818+AK703), MAX(-AJ818, IF(AK$4&lt;=0, AK586,(SUM($AA772:AK772)-SUM($Z795:AJ795))*Timeline!AK260)))</f>
        <v>0</v>
      </c>
      <c r="AL795" s="10">
        <f>IF(Timeline!AL122=1, -(AK818+AL703), MAX(-AK818, IF(AL$4&lt;=0, AL586,(SUM($AA772:AL772)-SUM($Z795:AK795))*Timeline!AL260)))</f>
        <v>0</v>
      </c>
      <c r="AM795" s="10">
        <f>IF(Timeline!AM122=1, -(AL818+AM703), MAX(-AL818, IF(AM$4&lt;=0, AM586,(SUM($AA772:AM772)-SUM($Z795:AL795))*Timeline!AM260)))</f>
        <v>0</v>
      </c>
      <c r="AN795" s="10">
        <f>IF(Timeline!AN122=1, -(AM818+AN703), MAX(-AM818, IF(AN$4&lt;=0, AN586,(SUM($AA772:AN772)-SUM($Z795:AM795))*Timeline!AN260)))</f>
        <v>0</v>
      </c>
      <c r="AO795" s="10">
        <f>IF(Timeline!AO122=1, -(AN818+AO703), MAX(-AN818, IF(AO$4&lt;=0, AO586,(SUM($AA772:AO772)-SUM($Z795:AN795))*Timeline!AO260)))</f>
        <v>0</v>
      </c>
      <c r="AP795" s="10">
        <f>IF(Timeline!AP122=1, -(AO818+AP703), MAX(-AO818, IF(AP$4&lt;=0, AP586,(SUM($AA772:AP772)-SUM($Z795:AO795))*Timeline!AP260)))</f>
        <v>0</v>
      </c>
      <c r="AQ795" s="10">
        <f>IF(Timeline!AQ122=1, -(AP818+AQ703), MAX(-AP818, IF(AQ$4&lt;=0, AQ586,(SUM($AA772:AQ772)-SUM($Z795:AP795))*Timeline!AQ260)))</f>
        <v>0</v>
      </c>
      <c r="AR795" s="10">
        <f>IF(Timeline!AR122=1, -(AQ818+AR703), MAX(-AQ818, IF(AR$4&lt;=0, AR586,(SUM($AA772:AR772)-SUM($Z795:AQ795))*Timeline!AR260)))</f>
        <v>0</v>
      </c>
      <c r="AS795" s="10">
        <f>IF(Timeline!AS122=1, -(AR818+AS703), MAX(-AR818, IF(AS$4&lt;=0, AS586,(SUM($AA772:AS772)-SUM($Z795:AR795))*Timeline!AS260)))</f>
        <v>0</v>
      </c>
      <c r="AT795" s="10">
        <f>IF(Timeline!AT122=1, -(AS818+AT703), MAX(-AS818, IF(AT$4&lt;=0, AT586,(SUM($AA772:AT772)-SUM($Z795:AS795))*Timeline!AT260)))</f>
        <v>0</v>
      </c>
      <c r="AU795" s="10">
        <f>IF(Timeline!AU122=1, -(AT818+AU703), MAX(-AT818, IF(AU$4&lt;=0, AU586,(SUM($AA772:AU772)-SUM($Z795:AT795))*Timeline!AU260)))</f>
        <v>0</v>
      </c>
      <c r="AV795" s="10">
        <f>IF(Timeline!AV122=1, -(AU818+AV703), MAX(-AU818, IF(AV$4&lt;=0, AV586,(SUM($AA772:AV772)-SUM($Z795:AU795))*Timeline!AV260)))</f>
        <v>0</v>
      </c>
      <c r="AW795" s="10">
        <f>IF(Timeline!AW122=1, -(AV818+AW703), MAX(-AV818, IF(AW$4&lt;=0, AW586,(SUM($AA772:AW772)-SUM($Z795:AV795))*Timeline!AW260)))</f>
        <v>0</v>
      </c>
      <c r="AX795" s="10">
        <f>IF(Timeline!AX122=1, -(AW818+AX703), MAX(-AW818, IF(AX$4&lt;=0, AX586,(SUM($AA772:AX772)-SUM($Z795:AW795))*Timeline!AX260)))</f>
        <v>0</v>
      </c>
      <c r="AY795" s="10">
        <f>IF(Timeline!AY122=1, -(AX818+AY703), MAX(-AX818, IF(AY$4&lt;=0, AY586,(SUM($AA772:AY772)-SUM($Z795:AX795))*Timeline!AY260)))</f>
        <v>0</v>
      </c>
      <c r="AZ795" s="10">
        <f>IF(Timeline!AZ122=1, -(AY818+AZ703), MAX(-AY818, IF(AZ$4&lt;=0, AZ586,(SUM($AA772:AZ772)-SUM($Z795:AY795))*Timeline!AZ260)))</f>
        <v>0</v>
      </c>
      <c r="BA795" s="10">
        <f>IF(Timeline!BA122=1, -(AZ818+BA703), MAX(-AZ818, IF(BA$4&lt;=0, BA586,(SUM($AA772:BA772)-SUM($Z795:AZ795))*Timeline!BA260)))</f>
        <v>0</v>
      </c>
      <c r="BB795" s="10">
        <f>IF(Timeline!BB122=1, -(BA818+BB703), MAX(-BA818, IF(BB$4&lt;=0, BB586,(SUM($AA772:BB772)-SUM($Z795:BA795))*Timeline!BB260)))</f>
        <v>0</v>
      </c>
      <c r="BC795" s="10">
        <f>IF(Timeline!BC122=1, -(BB818+BC703), MAX(-BB818, IF(BC$4&lt;=0, BC586,(SUM($AA772:BC772)-SUM($Z795:BB795))*Timeline!BC260)))</f>
        <v>0</v>
      </c>
      <c r="BD795" s="10">
        <f>IF(Timeline!BD122=1, -(BC818+BD703), MAX(-BC818, IF(BD$4&lt;=0, BD586,(SUM($AA772:BD772)-SUM($Z795:BC795))*Timeline!BD260)))</f>
        <v>0</v>
      </c>
      <c r="BE795" s="10">
        <f>IF(Timeline!BE122=1, -(BD818+BE703), MAX(-BD818, IF(BE$4&lt;=0, BE586,(SUM($AA772:BE772)-SUM($Z795:BD795))*Timeline!BE260)))</f>
        <v>0</v>
      </c>
      <c r="BF795" s="10">
        <f>IF(Timeline!BF122=1, -(BE818+BF703), MAX(-BE818, IF(BF$4&lt;=0, BF586,(SUM($AA772:BF772)-SUM($Z795:BE795))*Timeline!BF260)))</f>
        <v>0</v>
      </c>
      <c r="BG795" s="10">
        <f>IF(Timeline!BG122=1, -(BF818+BG703), MAX(-BF818, IF(BG$4&lt;=0, BG586,(SUM($AA772:BG772)-SUM($Z795:BF795))*Timeline!BG260)))</f>
        <v>0</v>
      </c>
      <c r="BH795" s="10">
        <f>IF(Timeline!BH122=1, -(BG818+BH703), MAX(-BG818, IF(BH$4&lt;=0, BH586,(SUM($AA772:BH772)-SUM($Z795:BG795))*Timeline!BH260)))</f>
        <v>0</v>
      </c>
      <c r="BI795" s="10">
        <f>IF(Timeline!BI122=1, -(BH818+BI703), MAX(-BH818, IF(BI$4&lt;=0, BI586,(SUM($AA772:BI772)-SUM($Z795:BH795))*Timeline!BI260)))</f>
        <v>0</v>
      </c>
      <c r="BJ795" s="10">
        <f>IF(Timeline!BJ122=1, -(BI818+BJ703), MAX(-BI818, IF(BJ$4&lt;=0, BJ586,(SUM($AA772:BJ772)-SUM($Z795:BI795))*Timeline!BJ260)))</f>
        <v>0</v>
      </c>
      <c r="BK795" s="10">
        <f>IF(Timeline!BK122=1, -(BJ818+BK703), MAX(-BJ818, IF(BK$4&lt;=0, BK586,(SUM($AA772:BK772)-SUM($Z795:BJ795))*Timeline!BK260)))</f>
        <v>0</v>
      </c>
      <c r="BL795" s="10">
        <f>IF(Timeline!BL122=1, -(BK818+BL703), MAX(-BK818, IF(BL$4&lt;=0, BL586,(SUM($AA772:BL772)-SUM($Z795:BK795))*Timeline!BL260)))</f>
        <v>0</v>
      </c>
      <c r="BM795" s="10">
        <f>IF(Timeline!BM122=1, -(BL818+BM703), MAX(-BL818, IF(BM$4&lt;=0, BM586,(SUM($AA772:BM772)-SUM($Z795:BL795))*Timeline!BM260)))</f>
        <v>0</v>
      </c>
      <c r="BN795" s="10">
        <f>IF(Timeline!BN122=1, -(BM818+BN703), MAX(-BM818, IF(BN$4&lt;=0, BN586,(SUM($AA772:BN772)-SUM($Z795:BM795))*Timeline!BN260)))</f>
        <v>0</v>
      </c>
      <c r="BO795" s="10">
        <f>IF(Timeline!BO122=1, -(BN818+BO703), MAX(-BN818, IF(BO$4&lt;=0, BO586,(SUM($AA772:BO772)-SUM($Z795:BN795))*Timeline!BO260)))</f>
        <v>0</v>
      </c>
      <c r="BP795" s="10">
        <f>IF(Timeline!BP122=1, -(BO818+BP703), MAX(-BO818, IF(BP$4&lt;=0, BP586,(SUM($AA772:BP772)-SUM($Z795:BO795))*Timeline!BP260)))</f>
        <v>0</v>
      </c>
      <c r="BQ795" s="10">
        <f>IF(Timeline!BQ122=1, -(BP818+BQ703), MAX(-BP818, IF(BQ$4&lt;=0, BQ586,(SUM($AA772:BQ772)-SUM($Z795:BP795))*Timeline!BQ260)))</f>
        <v>0</v>
      </c>
      <c r="BR795" s="10">
        <f>IF(Timeline!BR122=1, -(BQ818+BR703), MAX(-BQ818, IF(BR$4&lt;=0, BR586,(SUM($AA772:BR772)-SUM($Z795:BQ795))*Timeline!BR260)))</f>
        <v>0</v>
      </c>
      <c r="BS795" s="10">
        <f>IF(Timeline!BS122=1, -(BR818+BS703), MAX(-BR818, IF(BS$4&lt;=0, BS586,(SUM($AA772:BS772)-SUM($Z795:BR795))*Timeline!BS260)))</f>
        <v>0</v>
      </c>
      <c r="BT795" s="10">
        <f>IF(Timeline!BT122=1, -(BS818+BT703), MAX(-BS818, IF(BT$4&lt;=0, BT586,(SUM($AA772:BT772)-SUM($Z795:BS795))*Timeline!BT260)))</f>
        <v>0</v>
      </c>
      <c r="BU795" s="10">
        <f>IF(Timeline!BU122=1, -(BT818+BU703), MAX(-BT818, IF(BU$4&lt;=0, BU586,(SUM($AA772:BU772)-SUM($Z795:BT795))*Timeline!BU260)))</f>
        <v>0</v>
      </c>
      <c r="BV795" s="10">
        <f>IF(Timeline!BV122=1, -(BU818+BV703), MAX(-BU818, IF(BV$4&lt;=0, BV586,(SUM($AA772:BV772)-SUM($Z795:BU795))*Timeline!BV260)))</f>
        <v>0</v>
      </c>
      <c r="BX795" s="12">
        <f t="shared" si="797"/>
        <v>0</v>
      </c>
      <c r="BY795" s="12">
        <f t="shared" si="798"/>
        <v>0</v>
      </c>
      <c r="BZ795" s="12">
        <f t="shared" si="799"/>
        <v>0</v>
      </c>
      <c r="CA795" s="12">
        <f t="shared" si="800"/>
        <v>0</v>
      </c>
      <c r="CB795" s="133">
        <f t="shared" si="801"/>
        <v>0</v>
      </c>
      <c r="CC795" s="106"/>
      <c r="CD795" s="106"/>
      <c r="CE795" s="106"/>
      <c r="CF795" s="106"/>
      <c r="CG795" s="106"/>
      <c r="CH795" s="106"/>
      <c r="CI795" s="106"/>
      <c r="CK795" s="11"/>
      <c r="CM795" s="11"/>
      <c r="CV795" s="120"/>
      <c r="DF795" s="11"/>
      <c r="EY795" s="10" t="str">
        <f t="shared" si="766"/>
        <v/>
      </c>
    </row>
    <row r="796" spans="1:155" x14ac:dyDescent="0.35">
      <c r="B796" s="69" t="str" cm="1">
        <f t="array" aca="1" ref="B796" ca="1">HYPERLINK(CONCATENATE("#",CELL("address",$D$227)),$D$227)</f>
        <v>Loan 10</v>
      </c>
      <c r="C796" s="211"/>
      <c r="D796" s="49">
        <f>D$22</f>
        <v>0</v>
      </c>
      <c r="E796" s="49" t="str">
        <f>F$22</f>
        <v/>
      </c>
      <c r="F796" s="49"/>
      <c r="H796" s="10">
        <f t="shared" si="794"/>
        <v>0</v>
      </c>
      <c r="I796" s="40" t="s">
        <v>1079</v>
      </c>
      <c r="V796" s="12">
        <f t="shared" si="795"/>
        <v>0</v>
      </c>
      <c r="W796" s="133">
        <f t="shared" si="796"/>
        <v>0</v>
      </c>
      <c r="X796" s="133">
        <f t="shared" si="796"/>
        <v>0</v>
      </c>
      <c r="Y796" s="133">
        <f t="shared" si="796"/>
        <v>0</v>
      </c>
      <c r="AA796" s="10">
        <f>IF(Timeline!AA123=1, -(Z819+AA704), MAX(-Z819, IF(AA$4&lt;=0, AA587,(SUM($AA773:AA773)-SUM($Z796:Z796))*Timeline!AA261)))</f>
        <v>0</v>
      </c>
      <c r="AB796" s="10">
        <f>IF(Timeline!AB123=1, -(AA819+AB704), MAX(-AA819, IF(AB$4&lt;=0, AB587,(SUM($AA773:AB773)-SUM($Z796:AA796))*Timeline!AB261)))</f>
        <v>0</v>
      </c>
      <c r="AC796" s="10">
        <f>IF(Timeline!AC123=1, -(AB819+AC704), MAX(-AB819, IF(AC$4&lt;=0, AC587,(SUM($AA773:AC773)-SUM($Z796:AB796))*Timeline!AC261)))</f>
        <v>0</v>
      </c>
      <c r="AD796" s="10">
        <f>IF(Timeline!AD123=1, -(AC819+AD704), MAX(-AC819, IF(AD$4&lt;=0, AD587,(SUM($AA773:AD773)-SUM($Z796:AC796))*Timeline!AD261)))</f>
        <v>0</v>
      </c>
      <c r="AE796" s="10">
        <f>IF(Timeline!AE123=1, -(AD819+AE704), MAX(-AD819, IF(AE$4&lt;=0, AE587,(SUM($AA773:AE773)-SUM($Z796:AD796))*Timeline!AE261)))</f>
        <v>0</v>
      </c>
      <c r="AF796" s="10">
        <f>IF(Timeline!AF123=1, -(AE819+AF704), MAX(-AE819, IF(AF$4&lt;=0, AF587,(SUM($AA773:AF773)-SUM($Z796:AE796))*Timeline!AF261)))</f>
        <v>0</v>
      </c>
      <c r="AG796" s="10">
        <f>IF(Timeline!AG123=1, -(AF819+AG704), MAX(-AF819, IF(AG$4&lt;=0, AG587,(SUM($AA773:AG773)-SUM($Z796:AF796))*Timeline!AG261)))</f>
        <v>0</v>
      </c>
      <c r="AH796" s="10">
        <f>IF(Timeline!AH123=1, -(AG819+AH704), MAX(-AG819, IF(AH$4&lt;=0, AH587,(SUM($AA773:AH773)-SUM($Z796:AG796))*Timeline!AH261)))</f>
        <v>0</v>
      </c>
      <c r="AI796" s="10">
        <f>IF(Timeline!AI123=1, -(AH819+AI704), MAX(-AH819, IF(AI$4&lt;=0, AI587,(SUM($AA773:AI773)-SUM($Z796:AH796))*Timeline!AI261)))</f>
        <v>0</v>
      </c>
      <c r="AJ796" s="10">
        <f>IF(Timeline!AJ123=1, -(AI819+AJ704), MAX(-AI819, IF(AJ$4&lt;=0, AJ587,(SUM($AA773:AJ773)-SUM($Z796:AI796))*Timeline!AJ261)))</f>
        <v>0</v>
      </c>
      <c r="AK796" s="10">
        <f>IF(Timeline!AK123=1, -(AJ819+AK704), MAX(-AJ819, IF(AK$4&lt;=0, AK587,(SUM($AA773:AK773)-SUM($Z796:AJ796))*Timeline!AK261)))</f>
        <v>0</v>
      </c>
      <c r="AL796" s="10">
        <f>IF(Timeline!AL123=1, -(AK819+AL704), MAX(-AK819, IF(AL$4&lt;=0, AL587,(SUM($AA773:AL773)-SUM($Z796:AK796))*Timeline!AL261)))</f>
        <v>0</v>
      </c>
      <c r="AM796" s="10">
        <f>IF(Timeline!AM123=1, -(AL819+AM704), MAX(-AL819, IF(AM$4&lt;=0, AM587,(SUM($AA773:AM773)-SUM($Z796:AL796))*Timeline!AM261)))</f>
        <v>0</v>
      </c>
      <c r="AN796" s="10">
        <f>IF(Timeline!AN123=1, -(AM819+AN704), MAX(-AM819, IF(AN$4&lt;=0, AN587,(SUM($AA773:AN773)-SUM($Z796:AM796))*Timeline!AN261)))</f>
        <v>0</v>
      </c>
      <c r="AO796" s="10">
        <f>IF(Timeline!AO123=1, -(AN819+AO704), MAX(-AN819, IF(AO$4&lt;=0, AO587,(SUM($AA773:AO773)-SUM($Z796:AN796))*Timeline!AO261)))</f>
        <v>0</v>
      </c>
      <c r="AP796" s="10">
        <f>IF(Timeline!AP123=1, -(AO819+AP704), MAX(-AO819, IF(AP$4&lt;=0, AP587,(SUM($AA773:AP773)-SUM($Z796:AO796))*Timeline!AP261)))</f>
        <v>0</v>
      </c>
      <c r="AQ796" s="10">
        <f>IF(Timeline!AQ123=1, -(AP819+AQ704), MAX(-AP819, IF(AQ$4&lt;=0, AQ587,(SUM($AA773:AQ773)-SUM($Z796:AP796))*Timeline!AQ261)))</f>
        <v>0</v>
      </c>
      <c r="AR796" s="10">
        <f>IF(Timeline!AR123=1, -(AQ819+AR704), MAX(-AQ819, IF(AR$4&lt;=0, AR587,(SUM($AA773:AR773)-SUM($Z796:AQ796))*Timeline!AR261)))</f>
        <v>0</v>
      </c>
      <c r="AS796" s="10">
        <f>IF(Timeline!AS123=1, -(AR819+AS704), MAX(-AR819, IF(AS$4&lt;=0, AS587,(SUM($AA773:AS773)-SUM($Z796:AR796))*Timeline!AS261)))</f>
        <v>0</v>
      </c>
      <c r="AT796" s="10">
        <f>IF(Timeline!AT123=1, -(AS819+AT704), MAX(-AS819, IF(AT$4&lt;=0, AT587,(SUM($AA773:AT773)-SUM($Z796:AS796))*Timeline!AT261)))</f>
        <v>0</v>
      </c>
      <c r="AU796" s="10">
        <f>IF(Timeline!AU123=1, -(AT819+AU704), MAX(-AT819, IF(AU$4&lt;=0, AU587,(SUM($AA773:AU773)-SUM($Z796:AT796))*Timeline!AU261)))</f>
        <v>0</v>
      </c>
      <c r="AV796" s="10">
        <f>IF(Timeline!AV123=1, -(AU819+AV704), MAX(-AU819, IF(AV$4&lt;=0, AV587,(SUM($AA773:AV773)-SUM($Z796:AU796))*Timeline!AV261)))</f>
        <v>0</v>
      </c>
      <c r="AW796" s="10">
        <f>IF(Timeline!AW123=1, -(AV819+AW704), MAX(-AV819, IF(AW$4&lt;=0, AW587,(SUM($AA773:AW773)-SUM($Z796:AV796))*Timeline!AW261)))</f>
        <v>0</v>
      </c>
      <c r="AX796" s="10">
        <f>IF(Timeline!AX123=1, -(AW819+AX704), MAX(-AW819, IF(AX$4&lt;=0, AX587,(SUM($AA773:AX773)-SUM($Z796:AW796))*Timeline!AX261)))</f>
        <v>0</v>
      </c>
      <c r="AY796" s="10">
        <f>IF(Timeline!AY123=1, -(AX819+AY704), MAX(-AX819, IF(AY$4&lt;=0, AY587,(SUM($AA773:AY773)-SUM($Z796:AX796))*Timeline!AY261)))</f>
        <v>0</v>
      </c>
      <c r="AZ796" s="10">
        <f>IF(Timeline!AZ123=1, -(AY819+AZ704), MAX(-AY819, IF(AZ$4&lt;=0, AZ587,(SUM($AA773:AZ773)-SUM($Z796:AY796))*Timeline!AZ261)))</f>
        <v>0</v>
      </c>
      <c r="BA796" s="10">
        <f>IF(Timeline!BA123=1, -(AZ819+BA704), MAX(-AZ819, IF(BA$4&lt;=0, BA587,(SUM($AA773:BA773)-SUM($Z796:AZ796))*Timeline!BA261)))</f>
        <v>0</v>
      </c>
      <c r="BB796" s="10">
        <f>IF(Timeline!BB123=1, -(BA819+BB704), MAX(-BA819, IF(BB$4&lt;=0, BB587,(SUM($AA773:BB773)-SUM($Z796:BA796))*Timeline!BB261)))</f>
        <v>0</v>
      </c>
      <c r="BC796" s="10">
        <f>IF(Timeline!BC123=1, -(BB819+BC704), MAX(-BB819, IF(BC$4&lt;=0, BC587,(SUM($AA773:BC773)-SUM($Z796:BB796))*Timeline!BC261)))</f>
        <v>0</v>
      </c>
      <c r="BD796" s="10">
        <f>IF(Timeline!BD123=1, -(BC819+BD704), MAX(-BC819, IF(BD$4&lt;=0, BD587,(SUM($AA773:BD773)-SUM($Z796:BC796))*Timeline!BD261)))</f>
        <v>0</v>
      </c>
      <c r="BE796" s="10">
        <f>IF(Timeline!BE123=1, -(BD819+BE704), MAX(-BD819, IF(BE$4&lt;=0, BE587,(SUM($AA773:BE773)-SUM($Z796:BD796))*Timeline!BE261)))</f>
        <v>0</v>
      </c>
      <c r="BF796" s="10">
        <f>IF(Timeline!BF123=1, -(BE819+BF704), MAX(-BE819, IF(BF$4&lt;=0, BF587,(SUM($AA773:BF773)-SUM($Z796:BE796))*Timeline!BF261)))</f>
        <v>0</v>
      </c>
      <c r="BG796" s="10">
        <f>IF(Timeline!BG123=1, -(BF819+BG704), MAX(-BF819, IF(BG$4&lt;=0, BG587,(SUM($AA773:BG773)-SUM($Z796:BF796))*Timeline!BG261)))</f>
        <v>0</v>
      </c>
      <c r="BH796" s="10">
        <f>IF(Timeline!BH123=1, -(BG819+BH704), MAX(-BG819, IF(BH$4&lt;=0, BH587,(SUM($AA773:BH773)-SUM($Z796:BG796))*Timeline!BH261)))</f>
        <v>0</v>
      </c>
      <c r="BI796" s="10">
        <f>IF(Timeline!BI123=1, -(BH819+BI704), MAX(-BH819, IF(BI$4&lt;=0, BI587,(SUM($AA773:BI773)-SUM($Z796:BH796))*Timeline!BI261)))</f>
        <v>0</v>
      </c>
      <c r="BJ796" s="10">
        <f>IF(Timeline!BJ123=1, -(BI819+BJ704), MAX(-BI819, IF(BJ$4&lt;=0, BJ587,(SUM($AA773:BJ773)-SUM($Z796:BI796))*Timeline!BJ261)))</f>
        <v>0</v>
      </c>
      <c r="BK796" s="10">
        <f>IF(Timeline!BK123=1, -(BJ819+BK704), MAX(-BJ819, IF(BK$4&lt;=0, BK587,(SUM($AA773:BK773)-SUM($Z796:BJ796))*Timeline!BK261)))</f>
        <v>0</v>
      </c>
      <c r="BL796" s="10">
        <f>IF(Timeline!BL123=1, -(BK819+BL704), MAX(-BK819, IF(BL$4&lt;=0, BL587,(SUM($AA773:BL773)-SUM($Z796:BK796))*Timeline!BL261)))</f>
        <v>0</v>
      </c>
      <c r="BM796" s="10">
        <f>IF(Timeline!BM123=1, -(BL819+BM704), MAX(-BL819, IF(BM$4&lt;=0, BM587,(SUM($AA773:BM773)-SUM($Z796:BL796))*Timeline!BM261)))</f>
        <v>0</v>
      </c>
      <c r="BN796" s="10">
        <f>IF(Timeline!BN123=1, -(BM819+BN704), MAX(-BM819, IF(BN$4&lt;=0, BN587,(SUM($AA773:BN773)-SUM($Z796:BM796))*Timeline!BN261)))</f>
        <v>0</v>
      </c>
      <c r="BO796" s="10">
        <f>IF(Timeline!BO123=1, -(BN819+BO704), MAX(-BN819, IF(BO$4&lt;=0, BO587,(SUM($AA773:BO773)-SUM($Z796:BN796))*Timeline!BO261)))</f>
        <v>0</v>
      </c>
      <c r="BP796" s="10">
        <f>IF(Timeline!BP123=1, -(BO819+BP704), MAX(-BO819, IF(BP$4&lt;=0, BP587,(SUM($AA773:BP773)-SUM($Z796:BO796))*Timeline!BP261)))</f>
        <v>0</v>
      </c>
      <c r="BQ796" s="10">
        <f>IF(Timeline!BQ123=1, -(BP819+BQ704), MAX(-BP819, IF(BQ$4&lt;=0, BQ587,(SUM($AA773:BQ773)-SUM($Z796:BP796))*Timeline!BQ261)))</f>
        <v>0</v>
      </c>
      <c r="BR796" s="10">
        <f>IF(Timeline!BR123=1, -(BQ819+BR704), MAX(-BQ819, IF(BR$4&lt;=0, BR587,(SUM($AA773:BR773)-SUM($Z796:BQ796))*Timeline!BR261)))</f>
        <v>0</v>
      </c>
      <c r="BS796" s="10">
        <f>IF(Timeline!BS123=1, -(BR819+BS704), MAX(-BR819, IF(BS$4&lt;=0, BS587,(SUM($AA773:BS773)-SUM($Z796:BR796))*Timeline!BS261)))</f>
        <v>0</v>
      </c>
      <c r="BT796" s="10">
        <f>IF(Timeline!BT123=1, -(BS819+BT704), MAX(-BS819, IF(BT$4&lt;=0, BT587,(SUM($AA773:BT773)-SUM($Z796:BS796))*Timeline!BT261)))</f>
        <v>0</v>
      </c>
      <c r="BU796" s="10">
        <f>IF(Timeline!BU123=1, -(BT819+BU704), MAX(-BT819, IF(BU$4&lt;=0, BU587,(SUM($AA773:BU773)-SUM($Z796:BT796))*Timeline!BU261)))</f>
        <v>0</v>
      </c>
      <c r="BV796" s="10">
        <f>IF(Timeline!BV123=1, -(BU819+BV704), MAX(-BU819, IF(BV$4&lt;=0, BV587,(SUM($AA773:BV773)-SUM($Z796:BU796))*Timeline!BV261)))</f>
        <v>0</v>
      </c>
      <c r="BX796" s="12">
        <f t="shared" si="797"/>
        <v>0</v>
      </c>
      <c r="BY796" s="12">
        <f t="shared" si="798"/>
        <v>0</v>
      </c>
      <c r="BZ796" s="12">
        <f t="shared" si="799"/>
        <v>0</v>
      </c>
      <c r="CA796" s="12">
        <f t="shared" si="800"/>
        <v>0</v>
      </c>
      <c r="CB796" s="133">
        <f t="shared" si="801"/>
        <v>0</v>
      </c>
      <c r="CC796" s="106"/>
      <c r="CD796" s="106"/>
      <c r="CE796" s="106"/>
      <c r="CF796" s="106"/>
      <c r="CG796" s="106"/>
      <c r="CH796" s="106"/>
      <c r="CI796" s="106"/>
      <c r="CK796" s="11"/>
      <c r="CM796" s="11"/>
      <c r="CV796" s="120"/>
      <c r="DF796" s="11"/>
      <c r="EY796" s="10" t="str">
        <f t="shared" si="766"/>
        <v/>
      </c>
    </row>
    <row r="797" spans="1:155" x14ac:dyDescent="0.35">
      <c r="B797" s="69" t="str" cm="1">
        <f t="array" aca="1" ref="B797" ca="1">HYPERLINK(CONCATENATE("#",CELL("address",$D$246)),$D$246)</f>
        <v>Loan 11</v>
      </c>
      <c r="C797" s="211"/>
      <c r="D797" s="49">
        <f>D$23</f>
        <v>0</v>
      </c>
      <c r="E797" s="49" t="str">
        <f>F$23</f>
        <v/>
      </c>
      <c r="F797" s="49"/>
      <c r="H797" s="10">
        <f t="shared" si="794"/>
        <v>0</v>
      </c>
      <c r="I797" s="40" t="s">
        <v>1079</v>
      </c>
      <c r="V797" s="12">
        <f t="shared" si="795"/>
        <v>0</v>
      </c>
      <c r="W797" s="133">
        <f t="shared" si="796"/>
        <v>0</v>
      </c>
      <c r="X797" s="133">
        <f t="shared" si="796"/>
        <v>0</v>
      </c>
      <c r="Y797" s="133">
        <f t="shared" si="796"/>
        <v>0</v>
      </c>
      <c r="AA797" s="10">
        <f>IF(Timeline!AA124=1, -(Z820+AA705), MAX(-Z820, IF(AA$4&lt;=0, AA588,(SUM($AA774:AA774)-SUM($Z797:Z797))*Timeline!AA262)))</f>
        <v>0</v>
      </c>
      <c r="AB797" s="10">
        <f>IF(Timeline!AB124=1, -(AA820+AB705), MAX(-AA820, IF(AB$4&lt;=0, AB588,(SUM($AA774:AB774)-SUM($Z797:AA797))*Timeline!AB262)))</f>
        <v>0</v>
      </c>
      <c r="AC797" s="10">
        <f>IF(Timeline!AC124=1, -(AB820+AC705), MAX(-AB820, IF(AC$4&lt;=0, AC588,(SUM($AA774:AC774)-SUM($Z797:AB797))*Timeline!AC262)))</f>
        <v>0</v>
      </c>
      <c r="AD797" s="10">
        <f>IF(Timeline!AD124=1, -(AC820+AD705), MAX(-AC820, IF(AD$4&lt;=0, AD588,(SUM($AA774:AD774)-SUM($Z797:AC797))*Timeline!AD262)))</f>
        <v>0</v>
      </c>
      <c r="AE797" s="10">
        <f>IF(Timeline!AE124=1, -(AD820+AE705), MAX(-AD820, IF(AE$4&lt;=0, AE588,(SUM($AA774:AE774)-SUM($Z797:AD797))*Timeline!AE262)))</f>
        <v>0</v>
      </c>
      <c r="AF797" s="10">
        <f>IF(Timeline!AF124=1, -(AE820+AF705), MAX(-AE820, IF(AF$4&lt;=0, AF588,(SUM($AA774:AF774)-SUM($Z797:AE797))*Timeline!AF262)))</f>
        <v>0</v>
      </c>
      <c r="AG797" s="10">
        <f>IF(Timeline!AG124=1, -(AF820+AG705), MAX(-AF820, IF(AG$4&lt;=0, AG588,(SUM($AA774:AG774)-SUM($Z797:AF797))*Timeline!AG262)))</f>
        <v>0</v>
      </c>
      <c r="AH797" s="10">
        <f>IF(Timeline!AH124=1, -(AG820+AH705), MAX(-AG820, IF(AH$4&lt;=0, AH588,(SUM($AA774:AH774)-SUM($Z797:AG797))*Timeline!AH262)))</f>
        <v>0</v>
      </c>
      <c r="AI797" s="10">
        <f>IF(Timeline!AI124=1, -(AH820+AI705), MAX(-AH820, IF(AI$4&lt;=0, AI588,(SUM($AA774:AI774)-SUM($Z797:AH797))*Timeline!AI262)))</f>
        <v>0</v>
      </c>
      <c r="AJ797" s="10">
        <f>IF(Timeline!AJ124=1, -(AI820+AJ705), MAX(-AI820, IF(AJ$4&lt;=0, AJ588,(SUM($AA774:AJ774)-SUM($Z797:AI797))*Timeline!AJ262)))</f>
        <v>0</v>
      </c>
      <c r="AK797" s="10">
        <f>IF(Timeline!AK124=1, -(AJ820+AK705), MAX(-AJ820, IF(AK$4&lt;=0, AK588,(SUM($AA774:AK774)-SUM($Z797:AJ797))*Timeline!AK262)))</f>
        <v>0</v>
      </c>
      <c r="AL797" s="10">
        <f>IF(Timeline!AL124=1, -(AK820+AL705), MAX(-AK820, IF(AL$4&lt;=0, AL588,(SUM($AA774:AL774)-SUM($Z797:AK797))*Timeline!AL262)))</f>
        <v>0</v>
      </c>
      <c r="AM797" s="10">
        <f>IF(Timeline!AM124=1, -(AL820+AM705), MAX(-AL820, IF(AM$4&lt;=0, AM588,(SUM($AA774:AM774)-SUM($Z797:AL797))*Timeline!AM262)))</f>
        <v>0</v>
      </c>
      <c r="AN797" s="10">
        <f>IF(Timeline!AN124=1, -(AM820+AN705), MAX(-AM820, IF(AN$4&lt;=0, AN588,(SUM($AA774:AN774)-SUM($Z797:AM797))*Timeline!AN262)))</f>
        <v>0</v>
      </c>
      <c r="AO797" s="10">
        <f>IF(Timeline!AO124=1, -(AN820+AO705), MAX(-AN820, IF(AO$4&lt;=0, AO588,(SUM($AA774:AO774)-SUM($Z797:AN797))*Timeline!AO262)))</f>
        <v>0</v>
      </c>
      <c r="AP797" s="10">
        <f>IF(Timeline!AP124=1, -(AO820+AP705), MAX(-AO820, IF(AP$4&lt;=0, AP588,(SUM($AA774:AP774)-SUM($Z797:AO797))*Timeline!AP262)))</f>
        <v>0</v>
      </c>
      <c r="AQ797" s="10">
        <f>IF(Timeline!AQ124=1, -(AP820+AQ705), MAX(-AP820, IF(AQ$4&lt;=0, AQ588,(SUM($AA774:AQ774)-SUM($Z797:AP797))*Timeline!AQ262)))</f>
        <v>0</v>
      </c>
      <c r="AR797" s="10">
        <f>IF(Timeline!AR124=1, -(AQ820+AR705), MAX(-AQ820, IF(AR$4&lt;=0, AR588,(SUM($AA774:AR774)-SUM($Z797:AQ797))*Timeline!AR262)))</f>
        <v>0</v>
      </c>
      <c r="AS797" s="10">
        <f>IF(Timeline!AS124=1, -(AR820+AS705), MAX(-AR820, IF(AS$4&lt;=0, AS588,(SUM($AA774:AS774)-SUM($Z797:AR797))*Timeline!AS262)))</f>
        <v>0</v>
      </c>
      <c r="AT797" s="10">
        <f>IF(Timeline!AT124=1, -(AS820+AT705), MAX(-AS820, IF(AT$4&lt;=0, AT588,(SUM($AA774:AT774)-SUM($Z797:AS797))*Timeline!AT262)))</f>
        <v>0</v>
      </c>
      <c r="AU797" s="10">
        <f>IF(Timeline!AU124=1, -(AT820+AU705), MAX(-AT820, IF(AU$4&lt;=0, AU588,(SUM($AA774:AU774)-SUM($Z797:AT797))*Timeline!AU262)))</f>
        <v>0</v>
      </c>
      <c r="AV797" s="10">
        <f>IF(Timeline!AV124=1, -(AU820+AV705), MAX(-AU820, IF(AV$4&lt;=0, AV588,(SUM($AA774:AV774)-SUM($Z797:AU797))*Timeline!AV262)))</f>
        <v>0</v>
      </c>
      <c r="AW797" s="10">
        <f>IF(Timeline!AW124=1, -(AV820+AW705), MAX(-AV820, IF(AW$4&lt;=0, AW588,(SUM($AA774:AW774)-SUM($Z797:AV797))*Timeline!AW262)))</f>
        <v>0</v>
      </c>
      <c r="AX797" s="10">
        <f>IF(Timeline!AX124=1, -(AW820+AX705), MAX(-AW820, IF(AX$4&lt;=0, AX588,(SUM($AA774:AX774)-SUM($Z797:AW797))*Timeline!AX262)))</f>
        <v>0</v>
      </c>
      <c r="AY797" s="10">
        <f>IF(Timeline!AY124=1, -(AX820+AY705), MAX(-AX820, IF(AY$4&lt;=0, AY588,(SUM($AA774:AY774)-SUM($Z797:AX797))*Timeline!AY262)))</f>
        <v>0</v>
      </c>
      <c r="AZ797" s="10">
        <f>IF(Timeline!AZ124=1, -(AY820+AZ705), MAX(-AY820, IF(AZ$4&lt;=0, AZ588,(SUM($AA774:AZ774)-SUM($Z797:AY797))*Timeline!AZ262)))</f>
        <v>0</v>
      </c>
      <c r="BA797" s="10">
        <f>IF(Timeline!BA124=1, -(AZ820+BA705), MAX(-AZ820, IF(BA$4&lt;=0, BA588,(SUM($AA774:BA774)-SUM($Z797:AZ797))*Timeline!BA262)))</f>
        <v>0</v>
      </c>
      <c r="BB797" s="10">
        <f>IF(Timeline!BB124=1, -(BA820+BB705), MAX(-BA820, IF(BB$4&lt;=0, BB588,(SUM($AA774:BB774)-SUM($Z797:BA797))*Timeline!BB262)))</f>
        <v>0</v>
      </c>
      <c r="BC797" s="10">
        <f>IF(Timeline!BC124=1, -(BB820+BC705), MAX(-BB820, IF(BC$4&lt;=0, BC588,(SUM($AA774:BC774)-SUM($Z797:BB797))*Timeline!BC262)))</f>
        <v>0</v>
      </c>
      <c r="BD797" s="10">
        <f>IF(Timeline!BD124=1, -(BC820+BD705), MAX(-BC820, IF(BD$4&lt;=0, BD588,(SUM($AA774:BD774)-SUM($Z797:BC797))*Timeline!BD262)))</f>
        <v>0</v>
      </c>
      <c r="BE797" s="10">
        <f>IF(Timeline!BE124=1, -(BD820+BE705), MAX(-BD820, IF(BE$4&lt;=0, BE588,(SUM($AA774:BE774)-SUM($Z797:BD797))*Timeline!BE262)))</f>
        <v>0</v>
      </c>
      <c r="BF797" s="10">
        <f>IF(Timeline!BF124=1, -(BE820+BF705), MAX(-BE820, IF(BF$4&lt;=0, BF588,(SUM($AA774:BF774)-SUM($Z797:BE797))*Timeline!BF262)))</f>
        <v>0</v>
      </c>
      <c r="BG797" s="10">
        <f>IF(Timeline!BG124=1, -(BF820+BG705), MAX(-BF820, IF(BG$4&lt;=0, BG588,(SUM($AA774:BG774)-SUM($Z797:BF797))*Timeline!BG262)))</f>
        <v>0</v>
      </c>
      <c r="BH797" s="10">
        <f>IF(Timeline!BH124=1, -(BG820+BH705), MAX(-BG820, IF(BH$4&lt;=0, BH588,(SUM($AA774:BH774)-SUM($Z797:BG797))*Timeline!BH262)))</f>
        <v>0</v>
      </c>
      <c r="BI797" s="10">
        <f>IF(Timeline!BI124=1, -(BH820+BI705), MAX(-BH820, IF(BI$4&lt;=0, BI588,(SUM($AA774:BI774)-SUM($Z797:BH797))*Timeline!BI262)))</f>
        <v>0</v>
      </c>
      <c r="BJ797" s="10">
        <f>IF(Timeline!BJ124=1, -(BI820+BJ705), MAX(-BI820, IF(BJ$4&lt;=0, BJ588,(SUM($AA774:BJ774)-SUM($Z797:BI797))*Timeline!BJ262)))</f>
        <v>0</v>
      </c>
      <c r="BK797" s="10">
        <f>IF(Timeline!BK124=1, -(BJ820+BK705), MAX(-BJ820, IF(BK$4&lt;=0, BK588,(SUM($AA774:BK774)-SUM($Z797:BJ797))*Timeline!BK262)))</f>
        <v>0</v>
      </c>
      <c r="BL797" s="10">
        <f>IF(Timeline!BL124=1, -(BK820+BL705), MAX(-BK820, IF(BL$4&lt;=0, BL588,(SUM($AA774:BL774)-SUM($Z797:BK797))*Timeline!BL262)))</f>
        <v>0</v>
      </c>
      <c r="BM797" s="10">
        <f>IF(Timeline!BM124=1, -(BL820+BM705), MAX(-BL820, IF(BM$4&lt;=0, BM588,(SUM($AA774:BM774)-SUM($Z797:BL797))*Timeline!BM262)))</f>
        <v>0</v>
      </c>
      <c r="BN797" s="10">
        <f>IF(Timeline!BN124=1, -(BM820+BN705), MAX(-BM820, IF(BN$4&lt;=0, BN588,(SUM($AA774:BN774)-SUM($Z797:BM797))*Timeline!BN262)))</f>
        <v>0</v>
      </c>
      <c r="BO797" s="10">
        <f>IF(Timeline!BO124=1, -(BN820+BO705), MAX(-BN820, IF(BO$4&lt;=0, BO588,(SUM($AA774:BO774)-SUM($Z797:BN797))*Timeline!BO262)))</f>
        <v>0</v>
      </c>
      <c r="BP797" s="10">
        <f>IF(Timeline!BP124=1, -(BO820+BP705), MAX(-BO820, IF(BP$4&lt;=0, BP588,(SUM($AA774:BP774)-SUM($Z797:BO797))*Timeline!BP262)))</f>
        <v>0</v>
      </c>
      <c r="BQ797" s="10">
        <f>IF(Timeline!BQ124=1, -(BP820+BQ705), MAX(-BP820, IF(BQ$4&lt;=0, BQ588,(SUM($AA774:BQ774)-SUM($Z797:BP797))*Timeline!BQ262)))</f>
        <v>0</v>
      </c>
      <c r="BR797" s="10">
        <f>IF(Timeline!BR124=1, -(BQ820+BR705), MAX(-BQ820, IF(BR$4&lt;=0, BR588,(SUM($AA774:BR774)-SUM($Z797:BQ797))*Timeline!BR262)))</f>
        <v>0</v>
      </c>
      <c r="BS797" s="10">
        <f>IF(Timeline!BS124=1, -(BR820+BS705), MAX(-BR820, IF(BS$4&lt;=0, BS588,(SUM($AA774:BS774)-SUM($Z797:BR797))*Timeline!BS262)))</f>
        <v>0</v>
      </c>
      <c r="BT797" s="10">
        <f>IF(Timeline!BT124=1, -(BS820+BT705), MAX(-BS820, IF(BT$4&lt;=0, BT588,(SUM($AA774:BT774)-SUM($Z797:BS797))*Timeline!BT262)))</f>
        <v>0</v>
      </c>
      <c r="BU797" s="10">
        <f>IF(Timeline!BU124=1, -(BT820+BU705), MAX(-BT820, IF(BU$4&lt;=0, BU588,(SUM($AA774:BU774)-SUM($Z797:BT797))*Timeline!BU262)))</f>
        <v>0</v>
      </c>
      <c r="BV797" s="10">
        <f>IF(Timeline!BV124=1, -(BU820+BV705), MAX(-BU820, IF(BV$4&lt;=0, BV588,(SUM($AA774:BV774)-SUM($Z797:BU797))*Timeline!BV262)))</f>
        <v>0</v>
      </c>
      <c r="BX797" s="12">
        <f t="shared" si="797"/>
        <v>0</v>
      </c>
      <c r="BY797" s="12">
        <f t="shared" si="798"/>
        <v>0</v>
      </c>
      <c r="BZ797" s="12">
        <f t="shared" si="799"/>
        <v>0</v>
      </c>
      <c r="CA797" s="12">
        <f t="shared" si="800"/>
        <v>0</v>
      </c>
      <c r="CB797" s="133">
        <f t="shared" si="801"/>
        <v>0</v>
      </c>
      <c r="CC797" s="106"/>
      <c r="CD797" s="106"/>
      <c r="CE797" s="106"/>
      <c r="CF797" s="106"/>
      <c r="CG797" s="106"/>
      <c r="CH797" s="106"/>
      <c r="CI797" s="106"/>
      <c r="CK797" s="11"/>
      <c r="CM797" s="11"/>
      <c r="CV797" s="120"/>
      <c r="DF797" s="11"/>
      <c r="EY797" s="10" t="str">
        <f t="shared" si="766"/>
        <v/>
      </c>
    </row>
    <row r="798" spans="1:155" x14ac:dyDescent="0.35">
      <c r="B798" s="69" t="str" cm="1">
        <f t="array" aca="1" ref="B798" ca="1">HYPERLINK(CONCATENATE("#",CELL("address",$D$265)),$D$265)</f>
        <v>Loan 12</v>
      </c>
      <c r="C798" s="211"/>
      <c r="D798" s="49">
        <f>D$24</f>
        <v>0</v>
      </c>
      <c r="E798" s="49" t="str">
        <f>F$24</f>
        <v/>
      </c>
      <c r="F798" s="49"/>
      <c r="H798" s="10">
        <f t="shared" si="794"/>
        <v>0</v>
      </c>
      <c r="I798" s="40" t="s">
        <v>1079</v>
      </c>
      <c r="V798" s="12">
        <f t="shared" si="795"/>
        <v>0</v>
      </c>
      <c r="W798" s="133">
        <f t="shared" si="796"/>
        <v>0</v>
      </c>
      <c r="X798" s="133">
        <f t="shared" si="796"/>
        <v>0</v>
      </c>
      <c r="Y798" s="133">
        <f t="shared" si="796"/>
        <v>0</v>
      </c>
      <c r="AA798" s="10">
        <f>IF(Timeline!AA125=1, -(Z821+AA706), MAX(-Z821, IF(AA$4&lt;=0, AA589,(SUM($AA775:AA775)-SUM($Z798:Z798))*Timeline!AA263)))</f>
        <v>0</v>
      </c>
      <c r="AB798" s="10">
        <f>IF(Timeline!AB125=1, -(AA821+AB706), MAX(-AA821, IF(AB$4&lt;=0, AB589,(SUM($AA775:AB775)-SUM($Z798:AA798))*Timeline!AB263)))</f>
        <v>0</v>
      </c>
      <c r="AC798" s="10">
        <f>IF(Timeline!AC125=1, -(AB821+AC706), MAX(-AB821, IF(AC$4&lt;=0, AC589,(SUM($AA775:AC775)-SUM($Z798:AB798))*Timeline!AC263)))</f>
        <v>0</v>
      </c>
      <c r="AD798" s="10">
        <f>IF(Timeline!AD125=1, -(AC821+AD706), MAX(-AC821, IF(AD$4&lt;=0, AD589,(SUM($AA775:AD775)-SUM($Z798:AC798))*Timeline!AD263)))</f>
        <v>0</v>
      </c>
      <c r="AE798" s="10">
        <f>IF(Timeline!AE125=1, -(AD821+AE706), MAX(-AD821, IF(AE$4&lt;=0, AE589,(SUM($AA775:AE775)-SUM($Z798:AD798))*Timeline!AE263)))</f>
        <v>0</v>
      </c>
      <c r="AF798" s="10">
        <f>IF(Timeline!AF125=1, -(AE821+AF706), MAX(-AE821, IF(AF$4&lt;=0, AF589,(SUM($AA775:AF775)-SUM($Z798:AE798))*Timeline!AF263)))</f>
        <v>0</v>
      </c>
      <c r="AG798" s="10">
        <f>IF(Timeline!AG125=1, -(AF821+AG706), MAX(-AF821, IF(AG$4&lt;=0, AG589,(SUM($AA775:AG775)-SUM($Z798:AF798))*Timeline!AG263)))</f>
        <v>0</v>
      </c>
      <c r="AH798" s="10">
        <f>IF(Timeline!AH125=1, -(AG821+AH706), MAX(-AG821, IF(AH$4&lt;=0, AH589,(SUM($AA775:AH775)-SUM($Z798:AG798))*Timeline!AH263)))</f>
        <v>0</v>
      </c>
      <c r="AI798" s="10">
        <f>IF(Timeline!AI125=1, -(AH821+AI706), MAX(-AH821, IF(AI$4&lt;=0, AI589,(SUM($AA775:AI775)-SUM($Z798:AH798))*Timeline!AI263)))</f>
        <v>0</v>
      </c>
      <c r="AJ798" s="10">
        <f>IF(Timeline!AJ125=1, -(AI821+AJ706), MAX(-AI821, IF(AJ$4&lt;=0, AJ589,(SUM($AA775:AJ775)-SUM($Z798:AI798))*Timeline!AJ263)))</f>
        <v>0</v>
      </c>
      <c r="AK798" s="10">
        <f>IF(Timeline!AK125=1, -(AJ821+AK706), MAX(-AJ821, IF(AK$4&lt;=0, AK589,(SUM($AA775:AK775)-SUM($Z798:AJ798))*Timeline!AK263)))</f>
        <v>0</v>
      </c>
      <c r="AL798" s="10">
        <f>IF(Timeline!AL125=1, -(AK821+AL706), MAX(-AK821, IF(AL$4&lt;=0, AL589,(SUM($AA775:AL775)-SUM($Z798:AK798))*Timeline!AL263)))</f>
        <v>0</v>
      </c>
      <c r="AM798" s="10">
        <f>IF(Timeline!AM125=1, -(AL821+AM706), MAX(-AL821, IF(AM$4&lt;=0, AM589,(SUM($AA775:AM775)-SUM($Z798:AL798))*Timeline!AM263)))</f>
        <v>0</v>
      </c>
      <c r="AN798" s="10">
        <f>IF(Timeline!AN125=1, -(AM821+AN706), MAX(-AM821, IF(AN$4&lt;=0, AN589,(SUM($AA775:AN775)-SUM($Z798:AM798))*Timeline!AN263)))</f>
        <v>0</v>
      </c>
      <c r="AO798" s="10">
        <f>IF(Timeline!AO125=1, -(AN821+AO706), MAX(-AN821, IF(AO$4&lt;=0, AO589,(SUM($AA775:AO775)-SUM($Z798:AN798))*Timeline!AO263)))</f>
        <v>0</v>
      </c>
      <c r="AP798" s="10">
        <f>IF(Timeline!AP125=1, -(AO821+AP706), MAX(-AO821, IF(AP$4&lt;=0, AP589,(SUM($AA775:AP775)-SUM($Z798:AO798))*Timeline!AP263)))</f>
        <v>0</v>
      </c>
      <c r="AQ798" s="10">
        <f>IF(Timeline!AQ125=1, -(AP821+AQ706), MAX(-AP821, IF(AQ$4&lt;=0, AQ589,(SUM($AA775:AQ775)-SUM($Z798:AP798))*Timeline!AQ263)))</f>
        <v>0</v>
      </c>
      <c r="AR798" s="10">
        <f>IF(Timeline!AR125=1, -(AQ821+AR706), MAX(-AQ821, IF(AR$4&lt;=0, AR589,(SUM($AA775:AR775)-SUM($Z798:AQ798))*Timeline!AR263)))</f>
        <v>0</v>
      </c>
      <c r="AS798" s="10">
        <f>IF(Timeline!AS125=1, -(AR821+AS706), MAX(-AR821, IF(AS$4&lt;=0, AS589,(SUM($AA775:AS775)-SUM($Z798:AR798))*Timeline!AS263)))</f>
        <v>0</v>
      </c>
      <c r="AT798" s="10">
        <f>IF(Timeline!AT125=1, -(AS821+AT706), MAX(-AS821, IF(AT$4&lt;=0, AT589,(SUM($AA775:AT775)-SUM($Z798:AS798))*Timeline!AT263)))</f>
        <v>0</v>
      </c>
      <c r="AU798" s="10">
        <f>IF(Timeline!AU125=1, -(AT821+AU706), MAX(-AT821, IF(AU$4&lt;=0, AU589,(SUM($AA775:AU775)-SUM($Z798:AT798))*Timeline!AU263)))</f>
        <v>0</v>
      </c>
      <c r="AV798" s="10">
        <f>IF(Timeline!AV125=1, -(AU821+AV706), MAX(-AU821, IF(AV$4&lt;=0, AV589,(SUM($AA775:AV775)-SUM($Z798:AU798))*Timeline!AV263)))</f>
        <v>0</v>
      </c>
      <c r="AW798" s="10">
        <f>IF(Timeline!AW125=1, -(AV821+AW706), MAX(-AV821, IF(AW$4&lt;=0, AW589,(SUM($AA775:AW775)-SUM($Z798:AV798))*Timeline!AW263)))</f>
        <v>0</v>
      </c>
      <c r="AX798" s="10">
        <f>IF(Timeline!AX125=1, -(AW821+AX706), MAX(-AW821, IF(AX$4&lt;=0, AX589,(SUM($AA775:AX775)-SUM($Z798:AW798))*Timeline!AX263)))</f>
        <v>0</v>
      </c>
      <c r="AY798" s="10">
        <f>IF(Timeline!AY125=1, -(AX821+AY706), MAX(-AX821, IF(AY$4&lt;=0, AY589,(SUM($AA775:AY775)-SUM($Z798:AX798))*Timeline!AY263)))</f>
        <v>0</v>
      </c>
      <c r="AZ798" s="10">
        <f>IF(Timeline!AZ125=1, -(AY821+AZ706), MAX(-AY821, IF(AZ$4&lt;=0, AZ589,(SUM($AA775:AZ775)-SUM($Z798:AY798))*Timeline!AZ263)))</f>
        <v>0</v>
      </c>
      <c r="BA798" s="10">
        <f>IF(Timeline!BA125=1, -(AZ821+BA706), MAX(-AZ821, IF(BA$4&lt;=0, BA589,(SUM($AA775:BA775)-SUM($Z798:AZ798))*Timeline!BA263)))</f>
        <v>0</v>
      </c>
      <c r="BB798" s="10">
        <f>IF(Timeline!BB125=1, -(BA821+BB706), MAX(-BA821, IF(BB$4&lt;=0, BB589,(SUM($AA775:BB775)-SUM($Z798:BA798))*Timeline!BB263)))</f>
        <v>0</v>
      </c>
      <c r="BC798" s="10">
        <f>IF(Timeline!BC125=1, -(BB821+BC706), MAX(-BB821, IF(BC$4&lt;=0, BC589,(SUM($AA775:BC775)-SUM($Z798:BB798))*Timeline!BC263)))</f>
        <v>0</v>
      </c>
      <c r="BD798" s="10">
        <f>IF(Timeline!BD125=1, -(BC821+BD706), MAX(-BC821, IF(BD$4&lt;=0, BD589,(SUM($AA775:BD775)-SUM($Z798:BC798))*Timeline!BD263)))</f>
        <v>0</v>
      </c>
      <c r="BE798" s="10">
        <f>IF(Timeline!BE125=1, -(BD821+BE706), MAX(-BD821, IF(BE$4&lt;=0, BE589,(SUM($AA775:BE775)-SUM($Z798:BD798))*Timeline!BE263)))</f>
        <v>0</v>
      </c>
      <c r="BF798" s="10">
        <f>IF(Timeline!BF125=1, -(BE821+BF706), MAX(-BE821, IF(BF$4&lt;=0, BF589,(SUM($AA775:BF775)-SUM($Z798:BE798))*Timeline!BF263)))</f>
        <v>0</v>
      </c>
      <c r="BG798" s="10">
        <f>IF(Timeline!BG125=1, -(BF821+BG706), MAX(-BF821, IF(BG$4&lt;=0, BG589,(SUM($AA775:BG775)-SUM($Z798:BF798))*Timeline!BG263)))</f>
        <v>0</v>
      </c>
      <c r="BH798" s="10">
        <f>IF(Timeline!BH125=1, -(BG821+BH706), MAX(-BG821, IF(BH$4&lt;=0, BH589,(SUM($AA775:BH775)-SUM($Z798:BG798))*Timeline!BH263)))</f>
        <v>0</v>
      </c>
      <c r="BI798" s="10">
        <f>IF(Timeline!BI125=1, -(BH821+BI706), MAX(-BH821, IF(BI$4&lt;=0, BI589,(SUM($AA775:BI775)-SUM($Z798:BH798))*Timeline!BI263)))</f>
        <v>0</v>
      </c>
      <c r="BJ798" s="10">
        <f>IF(Timeline!BJ125=1, -(BI821+BJ706), MAX(-BI821, IF(BJ$4&lt;=0, BJ589,(SUM($AA775:BJ775)-SUM($Z798:BI798))*Timeline!BJ263)))</f>
        <v>0</v>
      </c>
      <c r="BK798" s="10">
        <f>IF(Timeline!BK125=1, -(BJ821+BK706), MAX(-BJ821, IF(BK$4&lt;=0, BK589,(SUM($AA775:BK775)-SUM($Z798:BJ798))*Timeline!BK263)))</f>
        <v>0</v>
      </c>
      <c r="BL798" s="10">
        <f>IF(Timeline!BL125=1, -(BK821+BL706), MAX(-BK821, IF(BL$4&lt;=0, BL589,(SUM($AA775:BL775)-SUM($Z798:BK798))*Timeline!BL263)))</f>
        <v>0</v>
      </c>
      <c r="BM798" s="10">
        <f>IF(Timeline!BM125=1, -(BL821+BM706), MAX(-BL821, IF(BM$4&lt;=0, BM589,(SUM($AA775:BM775)-SUM($Z798:BL798))*Timeline!BM263)))</f>
        <v>0</v>
      </c>
      <c r="BN798" s="10">
        <f>IF(Timeline!BN125=1, -(BM821+BN706), MAX(-BM821, IF(BN$4&lt;=0, BN589,(SUM($AA775:BN775)-SUM($Z798:BM798))*Timeline!BN263)))</f>
        <v>0</v>
      </c>
      <c r="BO798" s="10">
        <f>IF(Timeline!BO125=1, -(BN821+BO706), MAX(-BN821, IF(BO$4&lt;=0, BO589,(SUM($AA775:BO775)-SUM($Z798:BN798))*Timeline!BO263)))</f>
        <v>0</v>
      </c>
      <c r="BP798" s="10">
        <f>IF(Timeline!BP125=1, -(BO821+BP706), MAX(-BO821, IF(BP$4&lt;=0, BP589,(SUM($AA775:BP775)-SUM($Z798:BO798))*Timeline!BP263)))</f>
        <v>0</v>
      </c>
      <c r="BQ798" s="10">
        <f>IF(Timeline!BQ125=1, -(BP821+BQ706), MAX(-BP821, IF(BQ$4&lt;=0, BQ589,(SUM($AA775:BQ775)-SUM($Z798:BP798))*Timeline!BQ263)))</f>
        <v>0</v>
      </c>
      <c r="BR798" s="10">
        <f>IF(Timeline!BR125=1, -(BQ821+BR706), MAX(-BQ821, IF(BR$4&lt;=0, BR589,(SUM($AA775:BR775)-SUM($Z798:BQ798))*Timeline!BR263)))</f>
        <v>0</v>
      </c>
      <c r="BS798" s="10">
        <f>IF(Timeline!BS125=1, -(BR821+BS706), MAX(-BR821, IF(BS$4&lt;=0, BS589,(SUM($AA775:BS775)-SUM($Z798:BR798))*Timeline!BS263)))</f>
        <v>0</v>
      </c>
      <c r="BT798" s="10">
        <f>IF(Timeline!BT125=1, -(BS821+BT706), MAX(-BS821, IF(BT$4&lt;=0, BT589,(SUM($AA775:BT775)-SUM($Z798:BS798))*Timeline!BT263)))</f>
        <v>0</v>
      </c>
      <c r="BU798" s="10">
        <f>IF(Timeline!BU125=1, -(BT821+BU706), MAX(-BT821, IF(BU$4&lt;=0, BU589,(SUM($AA775:BU775)-SUM($Z798:BT798))*Timeline!BU263)))</f>
        <v>0</v>
      </c>
      <c r="BV798" s="10">
        <f>IF(Timeline!BV125=1, -(BU821+BV706), MAX(-BU821, IF(BV$4&lt;=0, BV589,(SUM($AA775:BV775)-SUM($Z798:BU798))*Timeline!BV263)))</f>
        <v>0</v>
      </c>
      <c r="BX798" s="12">
        <f t="shared" si="797"/>
        <v>0</v>
      </c>
      <c r="BY798" s="12">
        <f t="shared" si="798"/>
        <v>0</v>
      </c>
      <c r="BZ798" s="12">
        <f t="shared" si="799"/>
        <v>0</v>
      </c>
      <c r="CA798" s="12">
        <f t="shared" si="800"/>
        <v>0</v>
      </c>
      <c r="CB798" s="133">
        <f t="shared" si="801"/>
        <v>0</v>
      </c>
      <c r="CC798" s="106"/>
      <c r="CD798" s="106"/>
      <c r="CE798" s="106"/>
      <c r="CF798" s="106"/>
      <c r="CG798" s="106"/>
      <c r="CH798" s="106"/>
      <c r="CI798" s="106"/>
      <c r="CK798" s="11"/>
      <c r="CM798" s="11"/>
      <c r="CV798" s="120"/>
      <c r="DF798" s="11"/>
      <c r="EY798" s="10" t="str">
        <f t="shared" si="766"/>
        <v/>
      </c>
    </row>
    <row r="799" spans="1:155" x14ac:dyDescent="0.35">
      <c r="B799" s="69" t="str" cm="1">
        <f t="array" aca="1" ref="B799" ca="1">HYPERLINK(CONCATENATE("#",CELL("address",$D$284)),$D$284)</f>
        <v>Loan 13</v>
      </c>
      <c r="C799" s="211"/>
      <c r="D799" s="49">
        <f>D$25</f>
        <v>0</v>
      </c>
      <c r="E799" s="49" t="str">
        <f>F$25</f>
        <v/>
      </c>
      <c r="F799" s="49"/>
      <c r="H799" s="10">
        <f t="shared" si="794"/>
        <v>0</v>
      </c>
      <c r="I799" s="40" t="s">
        <v>1079</v>
      </c>
      <c r="V799" s="12">
        <f t="shared" si="795"/>
        <v>0</v>
      </c>
      <c r="W799" s="133">
        <f t="shared" si="796"/>
        <v>0</v>
      </c>
      <c r="X799" s="133">
        <f t="shared" si="796"/>
        <v>0</v>
      </c>
      <c r="Y799" s="133">
        <f t="shared" si="796"/>
        <v>0</v>
      </c>
      <c r="AA799" s="10">
        <f>IF(Timeline!AA126=1, -(Z822+AA707), MAX(-Z822, IF(AA$4&lt;=0, AA590,(SUM($AA776:AA776)-SUM($Z799:Z799))*Timeline!AA264)))</f>
        <v>0</v>
      </c>
      <c r="AB799" s="10">
        <f>IF(Timeline!AB126=1, -(AA822+AB707), MAX(-AA822, IF(AB$4&lt;=0, AB590,(SUM($AA776:AB776)-SUM($Z799:AA799))*Timeline!AB264)))</f>
        <v>0</v>
      </c>
      <c r="AC799" s="10">
        <f>IF(Timeline!AC126=1, -(AB822+AC707), MAX(-AB822, IF(AC$4&lt;=0, AC590,(SUM($AA776:AC776)-SUM($Z799:AB799))*Timeline!AC264)))</f>
        <v>0</v>
      </c>
      <c r="AD799" s="10">
        <f>IF(Timeline!AD126=1, -(AC822+AD707), MAX(-AC822, IF(AD$4&lt;=0, AD590,(SUM($AA776:AD776)-SUM($Z799:AC799))*Timeline!AD264)))</f>
        <v>0</v>
      </c>
      <c r="AE799" s="10">
        <f>IF(Timeline!AE126=1, -(AD822+AE707), MAX(-AD822, IF(AE$4&lt;=0, AE590,(SUM($AA776:AE776)-SUM($Z799:AD799))*Timeline!AE264)))</f>
        <v>0</v>
      </c>
      <c r="AF799" s="10">
        <f>IF(Timeline!AF126=1, -(AE822+AF707), MAX(-AE822, IF(AF$4&lt;=0, AF590,(SUM($AA776:AF776)-SUM($Z799:AE799))*Timeline!AF264)))</f>
        <v>0</v>
      </c>
      <c r="AG799" s="10">
        <f>IF(Timeline!AG126=1, -(AF822+AG707), MAX(-AF822, IF(AG$4&lt;=0, AG590,(SUM($AA776:AG776)-SUM($Z799:AF799))*Timeline!AG264)))</f>
        <v>0</v>
      </c>
      <c r="AH799" s="10">
        <f>IF(Timeline!AH126=1, -(AG822+AH707), MAX(-AG822, IF(AH$4&lt;=0, AH590,(SUM($AA776:AH776)-SUM($Z799:AG799))*Timeline!AH264)))</f>
        <v>0</v>
      </c>
      <c r="AI799" s="10">
        <f>IF(Timeline!AI126=1, -(AH822+AI707), MAX(-AH822, IF(AI$4&lt;=0, AI590,(SUM($AA776:AI776)-SUM($Z799:AH799))*Timeline!AI264)))</f>
        <v>0</v>
      </c>
      <c r="AJ799" s="10">
        <f>IF(Timeline!AJ126=1, -(AI822+AJ707), MAX(-AI822, IF(AJ$4&lt;=0, AJ590,(SUM($AA776:AJ776)-SUM($Z799:AI799))*Timeline!AJ264)))</f>
        <v>0</v>
      </c>
      <c r="AK799" s="10">
        <f>IF(Timeline!AK126=1, -(AJ822+AK707), MAX(-AJ822, IF(AK$4&lt;=0, AK590,(SUM($AA776:AK776)-SUM($Z799:AJ799))*Timeline!AK264)))</f>
        <v>0</v>
      </c>
      <c r="AL799" s="10">
        <f>IF(Timeline!AL126=1, -(AK822+AL707), MAX(-AK822, IF(AL$4&lt;=0, AL590,(SUM($AA776:AL776)-SUM($Z799:AK799))*Timeline!AL264)))</f>
        <v>0</v>
      </c>
      <c r="AM799" s="10">
        <f>IF(Timeline!AM126=1, -(AL822+AM707), MAX(-AL822, IF(AM$4&lt;=0, AM590,(SUM($AA776:AM776)-SUM($Z799:AL799))*Timeline!AM264)))</f>
        <v>0</v>
      </c>
      <c r="AN799" s="10">
        <f>IF(Timeline!AN126=1, -(AM822+AN707), MAX(-AM822, IF(AN$4&lt;=0, AN590,(SUM($AA776:AN776)-SUM($Z799:AM799))*Timeline!AN264)))</f>
        <v>0</v>
      </c>
      <c r="AO799" s="10">
        <f>IF(Timeline!AO126=1, -(AN822+AO707), MAX(-AN822, IF(AO$4&lt;=0, AO590,(SUM($AA776:AO776)-SUM($Z799:AN799))*Timeline!AO264)))</f>
        <v>0</v>
      </c>
      <c r="AP799" s="10">
        <f>IF(Timeline!AP126=1, -(AO822+AP707), MAX(-AO822, IF(AP$4&lt;=0, AP590,(SUM($AA776:AP776)-SUM($Z799:AO799))*Timeline!AP264)))</f>
        <v>0</v>
      </c>
      <c r="AQ799" s="10">
        <f>IF(Timeline!AQ126=1, -(AP822+AQ707), MAX(-AP822, IF(AQ$4&lt;=0, AQ590,(SUM($AA776:AQ776)-SUM($Z799:AP799))*Timeline!AQ264)))</f>
        <v>0</v>
      </c>
      <c r="AR799" s="10">
        <f>IF(Timeline!AR126=1, -(AQ822+AR707), MAX(-AQ822, IF(AR$4&lt;=0, AR590,(SUM($AA776:AR776)-SUM($Z799:AQ799))*Timeline!AR264)))</f>
        <v>0</v>
      </c>
      <c r="AS799" s="10">
        <f>IF(Timeline!AS126=1, -(AR822+AS707), MAX(-AR822, IF(AS$4&lt;=0, AS590,(SUM($AA776:AS776)-SUM($Z799:AR799))*Timeline!AS264)))</f>
        <v>0</v>
      </c>
      <c r="AT799" s="10">
        <f>IF(Timeline!AT126=1, -(AS822+AT707), MAX(-AS822, IF(AT$4&lt;=0, AT590,(SUM($AA776:AT776)-SUM($Z799:AS799))*Timeline!AT264)))</f>
        <v>0</v>
      </c>
      <c r="AU799" s="10">
        <f>IF(Timeline!AU126=1, -(AT822+AU707), MAX(-AT822, IF(AU$4&lt;=0, AU590,(SUM($AA776:AU776)-SUM($Z799:AT799))*Timeline!AU264)))</f>
        <v>0</v>
      </c>
      <c r="AV799" s="10">
        <f>IF(Timeline!AV126=1, -(AU822+AV707), MAX(-AU822, IF(AV$4&lt;=0, AV590,(SUM($AA776:AV776)-SUM($Z799:AU799))*Timeline!AV264)))</f>
        <v>0</v>
      </c>
      <c r="AW799" s="10">
        <f>IF(Timeline!AW126=1, -(AV822+AW707), MAX(-AV822, IF(AW$4&lt;=0, AW590,(SUM($AA776:AW776)-SUM($Z799:AV799))*Timeline!AW264)))</f>
        <v>0</v>
      </c>
      <c r="AX799" s="10">
        <f>IF(Timeline!AX126=1, -(AW822+AX707), MAX(-AW822, IF(AX$4&lt;=0, AX590,(SUM($AA776:AX776)-SUM($Z799:AW799))*Timeline!AX264)))</f>
        <v>0</v>
      </c>
      <c r="AY799" s="10">
        <f>IF(Timeline!AY126=1, -(AX822+AY707), MAX(-AX822, IF(AY$4&lt;=0, AY590,(SUM($AA776:AY776)-SUM($Z799:AX799))*Timeline!AY264)))</f>
        <v>0</v>
      </c>
      <c r="AZ799" s="10">
        <f>IF(Timeline!AZ126=1, -(AY822+AZ707), MAX(-AY822, IF(AZ$4&lt;=0, AZ590,(SUM($AA776:AZ776)-SUM($Z799:AY799))*Timeline!AZ264)))</f>
        <v>0</v>
      </c>
      <c r="BA799" s="10">
        <f>IF(Timeline!BA126=1, -(AZ822+BA707), MAX(-AZ822, IF(BA$4&lt;=0, BA590,(SUM($AA776:BA776)-SUM($Z799:AZ799))*Timeline!BA264)))</f>
        <v>0</v>
      </c>
      <c r="BB799" s="10">
        <f>IF(Timeline!BB126=1, -(BA822+BB707), MAX(-BA822, IF(BB$4&lt;=0, BB590,(SUM($AA776:BB776)-SUM($Z799:BA799))*Timeline!BB264)))</f>
        <v>0</v>
      </c>
      <c r="BC799" s="10">
        <f>IF(Timeline!BC126=1, -(BB822+BC707), MAX(-BB822, IF(BC$4&lt;=0, BC590,(SUM($AA776:BC776)-SUM($Z799:BB799))*Timeline!BC264)))</f>
        <v>0</v>
      </c>
      <c r="BD799" s="10">
        <f>IF(Timeline!BD126=1, -(BC822+BD707), MAX(-BC822, IF(BD$4&lt;=0, BD590,(SUM($AA776:BD776)-SUM($Z799:BC799))*Timeline!BD264)))</f>
        <v>0</v>
      </c>
      <c r="BE799" s="10">
        <f>IF(Timeline!BE126=1, -(BD822+BE707), MAX(-BD822, IF(BE$4&lt;=0, BE590,(SUM($AA776:BE776)-SUM($Z799:BD799))*Timeline!BE264)))</f>
        <v>0</v>
      </c>
      <c r="BF799" s="10">
        <f>IF(Timeline!BF126=1, -(BE822+BF707), MAX(-BE822, IF(BF$4&lt;=0, BF590,(SUM($AA776:BF776)-SUM($Z799:BE799))*Timeline!BF264)))</f>
        <v>0</v>
      </c>
      <c r="BG799" s="10">
        <f>IF(Timeline!BG126=1, -(BF822+BG707), MAX(-BF822, IF(BG$4&lt;=0, BG590,(SUM($AA776:BG776)-SUM($Z799:BF799))*Timeline!BG264)))</f>
        <v>0</v>
      </c>
      <c r="BH799" s="10">
        <f>IF(Timeline!BH126=1, -(BG822+BH707), MAX(-BG822, IF(BH$4&lt;=0, BH590,(SUM($AA776:BH776)-SUM($Z799:BG799))*Timeline!BH264)))</f>
        <v>0</v>
      </c>
      <c r="BI799" s="10">
        <f>IF(Timeline!BI126=1, -(BH822+BI707), MAX(-BH822, IF(BI$4&lt;=0, BI590,(SUM($AA776:BI776)-SUM($Z799:BH799))*Timeline!BI264)))</f>
        <v>0</v>
      </c>
      <c r="BJ799" s="10">
        <f>IF(Timeline!BJ126=1, -(BI822+BJ707), MAX(-BI822, IF(BJ$4&lt;=0, BJ590,(SUM($AA776:BJ776)-SUM($Z799:BI799))*Timeline!BJ264)))</f>
        <v>0</v>
      </c>
      <c r="BK799" s="10">
        <f>IF(Timeline!BK126=1, -(BJ822+BK707), MAX(-BJ822, IF(BK$4&lt;=0, BK590,(SUM($AA776:BK776)-SUM($Z799:BJ799))*Timeline!BK264)))</f>
        <v>0</v>
      </c>
      <c r="BL799" s="10">
        <f>IF(Timeline!BL126=1, -(BK822+BL707), MAX(-BK822, IF(BL$4&lt;=0, BL590,(SUM($AA776:BL776)-SUM($Z799:BK799))*Timeline!BL264)))</f>
        <v>0</v>
      </c>
      <c r="BM799" s="10">
        <f>IF(Timeline!BM126=1, -(BL822+BM707), MAX(-BL822, IF(BM$4&lt;=0, BM590,(SUM($AA776:BM776)-SUM($Z799:BL799))*Timeline!BM264)))</f>
        <v>0</v>
      </c>
      <c r="BN799" s="10">
        <f>IF(Timeline!BN126=1, -(BM822+BN707), MAX(-BM822, IF(BN$4&lt;=0, BN590,(SUM($AA776:BN776)-SUM($Z799:BM799))*Timeline!BN264)))</f>
        <v>0</v>
      </c>
      <c r="BO799" s="10">
        <f>IF(Timeline!BO126=1, -(BN822+BO707), MAX(-BN822, IF(BO$4&lt;=0, BO590,(SUM($AA776:BO776)-SUM($Z799:BN799))*Timeline!BO264)))</f>
        <v>0</v>
      </c>
      <c r="BP799" s="10">
        <f>IF(Timeline!BP126=1, -(BO822+BP707), MAX(-BO822, IF(BP$4&lt;=0, BP590,(SUM($AA776:BP776)-SUM($Z799:BO799))*Timeline!BP264)))</f>
        <v>0</v>
      </c>
      <c r="BQ799" s="10">
        <f>IF(Timeline!BQ126=1, -(BP822+BQ707), MAX(-BP822, IF(BQ$4&lt;=0, BQ590,(SUM($AA776:BQ776)-SUM($Z799:BP799))*Timeline!BQ264)))</f>
        <v>0</v>
      </c>
      <c r="BR799" s="10">
        <f>IF(Timeline!BR126=1, -(BQ822+BR707), MAX(-BQ822, IF(BR$4&lt;=0, BR590,(SUM($AA776:BR776)-SUM($Z799:BQ799))*Timeline!BR264)))</f>
        <v>0</v>
      </c>
      <c r="BS799" s="10">
        <f>IF(Timeline!BS126=1, -(BR822+BS707), MAX(-BR822, IF(BS$4&lt;=0, BS590,(SUM($AA776:BS776)-SUM($Z799:BR799))*Timeline!BS264)))</f>
        <v>0</v>
      </c>
      <c r="BT799" s="10">
        <f>IF(Timeline!BT126=1, -(BS822+BT707), MAX(-BS822, IF(BT$4&lt;=0, BT590,(SUM($AA776:BT776)-SUM($Z799:BS799))*Timeline!BT264)))</f>
        <v>0</v>
      </c>
      <c r="BU799" s="10">
        <f>IF(Timeline!BU126=1, -(BT822+BU707), MAX(-BT822, IF(BU$4&lt;=0, BU590,(SUM($AA776:BU776)-SUM($Z799:BT799))*Timeline!BU264)))</f>
        <v>0</v>
      </c>
      <c r="BV799" s="10">
        <f>IF(Timeline!BV126=1, -(BU822+BV707), MAX(-BU822, IF(BV$4&lt;=0, BV590,(SUM($AA776:BV776)-SUM($Z799:BU799))*Timeline!BV264)))</f>
        <v>0</v>
      </c>
      <c r="BX799" s="12">
        <f t="shared" si="797"/>
        <v>0</v>
      </c>
      <c r="BY799" s="12">
        <f t="shared" si="798"/>
        <v>0</v>
      </c>
      <c r="BZ799" s="12">
        <f t="shared" si="799"/>
        <v>0</v>
      </c>
      <c r="CA799" s="12">
        <f t="shared" si="800"/>
        <v>0</v>
      </c>
      <c r="CB799" s="133">
        <f t="shared" si="801"/>
        <v>0</v>
      </c>
      <c r="CC799" s="106"/>
      <c r="CD799" s="106"/>
      <c r="CE799" s="106"/>
      <c r="CF799" s="106"/>
      <c r="CG799" s="106"/>
      <c r="CH799" s="106"/>
      <c r="CI799" s="106"/>
      <c r="CK799" s="11"/>
      <c r="CM799" s="11"/>
      <c r="CV799" s="120"/>
      <c r="DF799" s="11"/>
      <c r="EY799" s="10" t="str">
        <f t="shared" si="766"/>
        <v/>
      </c>
    </row>
    <row r="800" spans="1:155" s="5" customFormat="1" x14ac:dyDescent="0.35">
      <c r="A800"/>
      <c r="B800" s="69" t="str" cm="1">
        <f t="array" aca="1" ref="B800" ca="1">HYPERLINK(CONCATENATE("#",CELL("address",$D$303)),$D$303)</f>
        <v>Loan 14</v>
      </c>
      <c r="C800" s="211"/>
      <c r="D800" s="49">
        <f>D$26</f>
        <v>0</v>
      </c>
      <c r="E800" s="49" t="str">
        <f>F$26</f>
        <v/>
      </c>
      <c r="F800" s="49"/>
      <c r="G800"/>
      <c r="H800" s="10">
        <f t="shared" si="794"/>
        <v>0</v>
      </c>
      <c r="I800" s="40" t="s">
        <v>1079</v>
      </c>
      <c r="J800"/>
      <c r="K800"/>
      <c r="L800"/>
      <c r="M800"/>
      <c r="N800"/>
      <c r="O800"/>
      <c r="P800"/>
      <c r="Q800"/>
      <c r="R800"/>
      <c r="S800"/>
      <c r="T800"/>
      <c r="U800"/>
      <c r="V800" s="12">
        <f t="shared" si="795"/>
        <v>0</v>
      </c>
      <c r="W800" s="133">
        <f t="shared" si="796"/>
        <v>0</v>
      </c>
      <c r="X800" s="133">
        <f t="shared" si="796"/>
        <v>0</v>
      </c>
      <c r="Y800" s="133">
        <f t="shared" si="796"/>
        <v>0</v>
      </c>
      <c r="Z800"/>
      <c r="AA800" s="10">
        <f>IF(Timeline!AA127=1, -(Z823+AA708), MAX(-Z823, IF(AA$4&lt;=0, AA591,(SUM($AA777:AA777)-SUM($Z800:Z800))*Timeline!AA265)))</f>
        <v>0</v>
      </c>
      <c r="AB800" s="10">
        <f>IF(Timeline!AB127=1, -(AA823+AB708), MAX(-AA823, IF(AB$4&lt;=0, AB591,(SUM($AA777:AB777)-SUM($Z800:AA800))*Timeline!AB265)))</f>
        <v>0</v>
      </c>
      <c r="AC800" s="10">
        <f>IF(Timeline!AC127=1, -(AB823+AC708), MAX(-AB823, IF(AC$4&lt;=0, AC591,(SUM($AA777:AC777)-SUM($Z800:AB800))*Timeline!AC265)))</f>
        <v>0</v>
      </c>
      <c r="AD800" s="10">
        <f>IF(Timeline!AD127=1, -(AC823+AD708), MAX(-AC823, IF(AD$4&lt;=0, AD591,(SUM($AA777:AD777)-SUM($Z800:AC800))*Timeline!AD265)))</f>
        <v>0</v>
      </c>
      <c r="AE800" s="10">
        <f>IF(Timeline!AE127=1, -(AD823+AE708), MAX(-AD823, IF(AE$4&lt;=0, AE591,(SUM($AA777:AE777)-SUM($Z800:AD800))*Timeline!AE265)))</f>
        <v>0</v>
      </c>
      <c r="AF800" s="10">
        <f>IF(Timeline!AF127=1, -(AE823+AF708), MAX(-AE823, IF(AF$4&lt;=0, AF591,(SUM($AA777:AF777)-SUM($Z800:AE800))*Timeline!AF265)))</f>
        <v>0</v>
      </c>
      <c r="AG800" s="10">
        <f>IF(Timeline!AG127=1, -(AF823+AG708), MAX(-AF823, IF(AG$4&lt;=0, AG591,(SUM($AA777:AG777)-SUM($Z800:AF800))*Timeline!AG265)))</f>
        <v>0</v>
      </c>
      <c r="AH800" s="10">
        <f>IF(Timeline!AH127=1, -(AG823+AH708), MAX(-AG823, IF(AH$4&lt;=0, AH591,(SUM($AA777:AH777)-SUM($Z800:AG800))*Timeline!AH265)))</f>
        <v>0</v>
      </c>
      <c r="AI800" s="10">
        <f>IF(Timeline!AI127=1, -(AH823+AI708), MAX(-AH823, IF(AI$4&lt;=0, AI591,(SUM($AA777:AI777)-SUM($Z800:AH800))*Timeline!AI265)))</f>
        <v>0</v>
      </c>
      <c r="AJ800" s="10">
        <f>IF(Timeline!AJ127=1, -(AI823+AJ708), MAX(-AI823, IF(AJ$4&lt;=0, AJ591,(SUM($AA777:AJ777)-SUM($Z800:AI800))*Timeline!AJ265)))</f>
        <v>0</v>
      </c>
      <c r="AK800" s="10">
        <f>IF(Timeline!AK127=1, -(AJ823+AK708), MAX(-AJ823, IF(AK$4&lt;=0, AK591,(SUM($AA777:AK777)-SUM($Z800:AJ800))*Timeline!AK265)))</f>
        <v>0</v>
      </c>
      <c r="AL800" s="10">
        <f>IF(Timeline!AL127=1, -(AK823+AL708), MAX(-AK823, IF(AL$4&lt;=0, AL591,(SUM($AA777:AL777)-SUM($Z800:AK800))*Timeline!AL265)))</f>
        <v>0</v>
      </c>
      <c r="AM800" s="10">
        <f>IF(Timeline!AM127=1, -(AL823+AM708), MAX(-AL823, IF(AM$4&lt;=0, AM591,(SUM($AA777:AM777)-SUM($Z800:AL800))*Timeline!AM265)))</f>
        <v>0</v>
      </c>
      <c r="AN800" s="10">
        <f>IF(Timeline!AN127=1, -(AM823+AN708), MAX(-AM823, IF(AN$4&lt;=0, AN591,(SUM($AA777:AN777)-SUM($Z800:AM800))*Timeline!AN265)))</f>
        <v>0</v>
      </c>
      <c r="AO800" s="10">
        <f>IF(Timeline!AO127=1, -(AN823+AO708), MAX(-AN823, IF(AO$4&lt;=0, AO591,(SUM($AA777:AO777)-SUM($Z800:AN800))*Timeline!AO265)))</f>
        <v>0</v>
      </c>
      <c r="AP800" s="10">
        <f>IF(Timeline!AP127=1, -(AO823+AP708), MAX(-AO823, IF(AP$4&lt;=0, AP591,(SUM($AA777:AP777)-SUM($Z800:AO800))*Timeline!AP265)))</f>
        <v>0</v>
      </c>
      <c r="AQ800" s="10">
        <f>IF(Timeline!AQ127=1, -(AP823+AQ708), MAX(-AP823, IF(AQ$4&lt;=0, AQ591,(SUM($AA777:AQ777)-SUM($Z800:AP800))*Timeline!AQ265)))</f>
        <v>0</v>
      </c>
      <c r="AR800" s="10">
        <f>IF(Timeline!AR127=1, -(AQ823+AR708), MAX(-AQ823, IF(AR$4&lt;=0, AR591,(SUM($AA777:AR777)-SUM($Z800:AQ800))*Timeline!AR265)))</f>
        <v>0</v>
      </c>
      <c r="AS800" s="10">
        <f>IF(Timeline!AS127=1, -(AR823+AS708), MAX(-AR823, IF(AS$4&lt;=0, AS591,(SUM($AA777:AS777)-SUM($Z800:AR800))*Timeline!AS265)))</f>
        <v>0</v>
      </c>
      <c r="AT800" s="10">
        <f>IF(Timeline!AT127=1, -(AS823+AT708), MAX(-AS823, IF(AT$4&lt;=0, AT591,(SUM($AA777:AT777)-SUM($Z800:AS800))*Timeline!AT265)))</f>
        <v>0</v>
      </c>
      <c r="AU800" s="10">
        <f>IF(Timeline!AU127=1, -(AT823+AU708), MAX(-AT823, IF(AU$4&lt;=0, AU591,(SUM($AA777:AU777)-SUM($Z800:AT800))*Timeline!AU265)))</f>
        <v>0</v>
      </c>
      <c r="AV800" s="10">
        <f>IF(Timeline!AV127=1, -(AU823+AV708), MAX(-AU823, IF(AV$4&lt;=0, AV591,(SUM($AA777:AV777)-SUM($Z800:AU800))*Timeline!AV265)))</f>
        <v>0</v>
      </c>
      <c r="AW800" s="10">
        <f>IF(Timeline!AW127=1, -(AV823+AW708), MAX(-AV823, IF(AW$4&lt;=0, AW591,(SUM($AA777:AW777)-SUM($Z800:AV800))*Timeline!AW265)))</f>
        <v>0</v>
      </c>
      <c r="AX800" s="10">
        <f>IF(Timeline!AX127=1, -(AW823+AX708), MAX(-AW823, IF(AX$4&lt;=0, AX591,(SUM($AA777:AX777)-SUM($Z800:AW800))*Timeline!AX265)))</f>
        <v>0</v>
      </c>
      <c r="AY800" s="10">
        <f>IF(Timeline!AY127=1, -(AX823+AY708), MAX(-AX823, IF(AY$4&lt;=0, AY591,(SUM($AA777:AY777)-SUM($Z800:AX800))*Timeline!AY265)))</f>
        <v>0</v>
      </c>
      <c r="AZ800" s="10">
        <f>IF(Timeline!AZ127=1, -(AY823+AZ708), MAX(-AY823, IF(AZ$4&lt;=0, AZ591,(SUM($AA777:AZ777)-SUM($Z800:AY800))*Timeline!AZ265)))</f>
        <v>0</v>
      </c>
      <c r="BA800" s="10">
        <f>IF(Timeline!BA127=1, -(AZ823+BA708), MAX(-AZ823, IF(BA$4&lt;=0, BA591,(SUM($AA777:BA777)-SUM($Z800:AZ800))*Timeline!BA265)))</f>
        <v>0</v>
      </c>
      <c r="BB800" s="10">
        <f>IF(Timeline!BB127=1, -(BA823+BB708), MAX(-BA823, IF(BB$4&lt;=0, BB591,(SUM($AA777:BB777)-SUM($Z800:BA800))*Timeline!BB265)))</f>
        <v>0</v>
      </c>
      <c r="BC800" s="10">
        <f>IF(Timeline!BC127=1, -(BB823+BC708), MAX(-BB823, IF(BC$4&lt;=0, BC591,(SUM($AA777:BC777)-SUM($Z800:BB800))*Timeline!BC265)))</f>
        <v>0</v>
      </c>
      <c r="BD800" s="10">
        <f>IF(Timeline!BD127=1, -(BC823+BD708), MAX(-BC823, IF(BD$4&lt;=0, BD591,(SUM($AA777:BD777)-SUM($Z800:BC800))*Timeline!BD265)))</f>
        <v>0</v>
      </c>
      <c r="BE800" s="10">
        <f>IF(Timeline!BE127=1, -(BD823+BE708), MAX(-BD823, IF(BE$4&lt;=0, BE591,(SUM($AA777:BE777)-SUM($Z800:BD800))*Timeline!BE265)))</f>
        <v>0</v>
      </c>
      <c r="BF800" s="10">
        <f>IF(Timeline!BF127=1, -(BE823+BF708), MAX(-BE823, IF(BF$4&lt;=0, BF591,(SUM($AA777:BF777)-SUM($Z800:BE800))*Timeline!BF265)))</f>
        <v>0</v>
      </c>
      <c r="BG800" s="10">
        <f>IF(Timeline!BG127=1, -(BF823+BG708), MAX(-BF823, IF(BG$4&lt;=0, BG591,(SUM($AA777:BG777)-SUM($Z800:BF800))*Timeline!BG265)))</f>
        <v>0</v>
      </c>
      <c r="BH800" s="10">
        <f>IF(Timeline!BH127=1, -(BG823+BH708), MAX(-BG823, IF(BH$4&lt;=0, BH591,(SUM($AA777:BH777)-SUM($Z800:BG800))*Timeline!BH265)))</f>
        <v>0</v>
      </c>
      <c r="BI800" s="10">
        <f>IF(Timeline!BI127=1, -(BH823+BI708), MAX(-BH823, IF(BI$4&lt;=0, BI591,(SUM($AA777:BI777)-SUM($Z800:BH800))*Timeline!BI265)))</f>
        <v>0</v>
      </c>
      <c r="BJ800" s="10">
        <f>IF(Timeline!BJ127=1, -(BI823+BJ708), MAX(-BI823, IF(BJ$4&lt;=0, BJ591,(SUM($AA777:BJ777)-SUM($Z800:BI800))*Timeline!BJ265)))</f>
        <v>0</v>
      </c>
      <c r="BK800" s="10">
        <f>IF(Timeline!BK127=1, -(BJ823+BK708), MAX(-BJ823, IF(BK$4&lt;=0, BK591,(SUM($AA777:BK777)-SUM($Z800:BJ800))*Timeline!BK265)))</f>
        <v>0</v>
      </c>
      <c r="BL800" s="10">
        <f>IF(Timeline!BL127=1, -(BK823+BL708), MAX(-BK823, IF(BL$4&lt;=0, BL591,(SUM($AA777:BL777)-SUM($Z800:BK800))*Timeline!BL265)))</f>
        <v>0</v>
      </c>
      <c r="BM800" s="10">
        <f>IF(Timeline!BM127=1, -(BL823+BM708), MAX(-BL823, IF(BM$4&lt;=0, BM591,(SUM($AA777:BM777)-SUM($Z800:BL800))*Timeline!BM265)))</f>
        <v>0</v>
      </c>
      <c r="BN800" s="10">
        <f>IF(Timeline!BN127=1, -(BM823+BN708), MAX(-BM823, IF(BN$4&lt;=0, BN591,(SUM($AA777:BN777)-SUM($Z800:BM800))*Timeline!BN265)))</f>
        <v>0</v>
      </c>
      <c r="BO800" s="10">
        <f>IF(Timeline!BO127=1, -(BN823+BO708), MAX(-BN823, IF(BO$4&lt;=0, BO591,(SUM($AA777:BO777)-SUM($Z800:BN800))*Timeline!BO265)))</f>
        <v>0</v>
      </c>
      <c r="BP800" s="10">
        <f>IF(Timeline!BP127=1, -(BO823+BP708), MAX(-BO823, IF(BP$4&lt;=0, BP591,(SUM($AA777:BP777)-SUM($Z800:BO800))*Timeline!BP265)))</f>
        <v>0</v>
      </c>
      <c r="BQ800" s="10">
        <f>IF(Timeline!BQ127=1, -(BP823+BQ708), MAX(-BP823, IF(BQ$4&lt;=0, BQ591,(SUM($AA777:BQ777)-SUM($Z800:BP800))*Timeline!BQ265)))</f>
        <v>0</v>
      </c>
      <c r="BR800" s="10">
        <f>IF(Timeline!BR127=1, -(BQ823+BR708), MAX(-BQ823, IF(BR$4&lt;=0, BR591,(SUM($AA777:BR777)-SUM($Z800:BQ800))*Timeline!BR265)))</f>
        <v>0</v>
      </c>
      <c r="BS800" s="10">
        <f>IF(Timeline!BS127=1, -(BR823+BS708), MAX(-BR823, IF(BS$4&lt;=0, BS591,(SUM($AA777:BS777)-SUM($Z800:BR800))*Timeline!BS265)))</f>
        <v>0</v>
      </c>
      <c r="BT800" s="10">
        <f>IF(Timeline!BT127=1, -(BS823+BT708), MAX(-BS823, IF(BT$4&lt;=0, BT591,(SUM($AA777:BT777)-SUM($Z800:BS800))*Timeline!BT265)))</f>
        <v>0</v>
      </c>
      <c r="BU800" s="10">
        <f>IF(Timeline!BU127=1, -(BT823+BU708), MAX(-BT823, IF(BU$4&lt;=0, BU591,(SUM($AA777:BU777)-SUM($Z800:BT800))*Timeline!BU265)))</f>
        <v>0</v>
      </c>
      <c r="BV800" s="10">
        <f>IF(Timeline!BV127=1, -(BU823+BV708), MAX(-BU823, IF(BV$4&lt;=0, BV591,(SUM($AA777:BV777)-SUM($Z800:BU800))*Timeline!BV265)))</f>
        <v>0</v>
      </c>
      <c r="BW800"/>
      <c r="BX800" s="12">
        <f t="shared" si="797"/>
        <v>0</v>
      </c>
      <c r="BY800" s="12">
        <f t="shared" si="798"/>
        <v>0</v>
      </c>
      <c r="BZ800" s="12">
        <f t="shared" si="799"/>
        <v>0</v>
      </c>
      <c r="CA800" s="12">
        <f t="shared" si="800"/>
        <v>0</v>
      </c>
      <c r="CB800" s="133">
        <f t="shared" si="801"/>
        <v>0</v>
      </c>
      <c r="CC800" s="106"/>
      <c r="CD800" s="106"/>
      <c r="CE800" s="106"/>
      <c r="CF800" s="106"/>
      <c r="CG800" s="106"/>
      <c r="CH800" s="106"/>
      <c r="CI800" s="106"/>
      <c r="CJ800"/>
      <c r="CK800" s="11"/>
      <c r="CL800"/>
      <c r="CM800" s="11"/>
      <c r="CN800"/>
      <c r="CO800"/>
      <c r="CP800"/>
      <c r="CQ800"/>
      <c r="CR800"/>
      <c r="CS800"/>
      <c r="CT800"/>
      <c r="CU800"/>
      <c r="CV800" s="120"/>
      <c r="CW800"/>
      <c r="CX800"/>
      <c r="CY800"/>
      <c r="CZ800"/>
      <c r="DA800"/>
      <c r="DB800"/>
      <c r="DC800"/>
      <c r="DD800"/>
      <c r="DE800"/>
      <c r="DF800" s="11"/>
      <c r="EY800" s="10" t="str">
        <f t="shared" si="766"/>
        <v/>
      </c>
    </row>
    <row r="801" spans="2:155" x14ac:dyDescent="0.35">
      <c r="B801" s="69" t="str" cm="1">
        <f t="array" aca="1" ref="B801" ca="1">HYPERLINK(CONCATENATE("#",CELL("address",$D$322)),$D$322)</f>
        <v>Loan 15</v>
      </c>
      <c r="C801" s="211"/>
      <c r="D801" s="49">
        <f>D$27</f>
        <v>0</v>
      </c>
      <c r="E801" s="49" t="str">
        <f>F$27</f>
        <v/>
      </c>
      <c r="F801" s="49"/>
      <c r="H801" s="10">
        <f t="shared" si="794"/>
        <v>0</v>
      </c>
      <c r="I801" s="40" t="s">
        <v>1079</v>
      </c>
      <c r="V801" s="12">
        <f t="shared" si="795"/>
        <v>0</v>
      </c>
      <c r="W801" s="133">
        <f t="shared" si="796"/>
        <v>0</v>
      </c>
      <c r="X801" s="133">
        <f t="shared" si="796"/>
        <v>0</v>
      </c>
      <c r="Y801" s="133">
        <f t="shared" si="796"/>
        <v>0</v>
      </c>
      <c r="AA801" s="10">
        <f>IF(Timeline!AA128=1, -(Z824+AA709), MAX(-Z824, IF(AA$4&lt;=0, AA592,(SUM($AA778:AA778)-SUM($Z801:Z801))*Timeline!AA266)))</f>
        <v>0</v>
      </c>
      <c r="AB801" s="10">
        <f>IF(Timeline!AB128=1, -(AA824+AB709), MAX(-AA824, IF(AB$4&lt;=0, AB592,(SUM($AA778:AB778)-SUM($Z801:AA801))*Timeline!AB266)))</f>
        <v>0</v>
      </c>
      <c r="AC801" s="10">
        <f>IF(Timeline!AC128=1, -(AB824+AC709), MAX(-AB824, IF(AC$4&lt;=0, AC592,(SUM($AA778:AC778)-SUM($Z801:AB801))*Timeline!AC266)))</f>
        <v>0</v>
      </c>
      <c r="AD801" s="10">
        <f>IF(Timeline!AD128=1, -(AC824+AD709), MAX(-AC824, IF(AD$4&lt;=0, AD592,(SUM($AA778:AD778)-SUM($Z801:AC801))*Timeline!AD266)))</f>
        <v>0</v>
      </c>
      <c r="AE801" s="10">
        <f>IF(Timeline!AE128=1, -(AD824+AE709), MAX(-AD824, IF(AE$4&lt;=0, AE592,(SUM($AA778:AE778)-SUM($Z801:AD801))*Timeline!AE266)))</f>
        <v>0</v>
      </c>
      <c r="AF801" s="10">
        <f>IF(Timeline!AF128=1, -(AE824+AF709), MAX(-AE824, IF(AF$4&lt;=0, AF592,(SUM($AA778:AF778)-SUM($Z801:AE801))*Timeline!AF266)))</f>
        <v>0</v>
      </c>
      <c r="AG801" s="10">
        <f>IF(Timeline!AG128=1, -(AF824+AG709), MAX(-AF824, IF(AG$4&lt;=0, AG592,(SUM($AA778:AG778)-SUM($Z801:AF801))*Timeline!AG266)))</f>
        <v>0</v>
      </c>
      <c r="AH801" s="10">
        <f>IF(Timeline!AH128=1, -(AG824+AH709), MAX(-AG824, IF(AH$4&lt;=0, AH592,(SUM($AA778:AH778)-SUM($Z801:AG801))*Timeline!AH266)))</f>
        <v>0</v>
      </c>
      <c r="AI801" s="10">
        <f>IF(Timeline!AI128=1, -(AH824+AI709), MAX(-AH824, IF(AI$4&lt;=0, AI592,(SUM($AA778:AI778)-SUM($Z801:AH801))*Timeline!AI266)))</f>
        <v>0</v>
      </c>
      <c r="AJ801" s="10">
        <f>IF(Timeline!AJ128=1, -(AI824+AJ709), MAX(-AI824, IF(AJ$4&lt;=0, AJ592,(SUM($AA778:AJ778)-SUM($Z801:AI801))*Timeline!AJ266)))</f>
        <v>0</v>
      </c>
      <c r="AK801" s="10">
        <f>IF(Timeline!AK128=1, -(AJ824+AK709), MAX(-AJ824, IF(AK$4&lt;=0, AK592,(SUM($AA778:AK778)-SUM($Z801:AJ801))*Timeline!AK266)))</f>
        <v>0</v>
      </c>
      <c r="AL801" s="10">
        <f>IF(Timeline!AL128=1, -(AK824+AL709), MAX(-AK824, IF(AL$4&lt;=0, AL592,(SUM($AA778:AL778)-SUM($Z801:AK801))*Timeline!AL266)))</f>
        <v>0</v>
      </c>
      <c r="AM801" s="10">
        <f>IF(Timeline!AM128=1, -(AL824+AM709), MAX(-AL824, IF(AM$4&lt;=0, AM592,(SUM($AA778:AM778)-SUM($Z801:AL801))*Timeline!AM266)))</f>
        <v>0</v>
      </c>
      <c r="AN801" s="10">
        <f>IF(Timeline!AN128=1, -(AM824+AN709), MAX(-AM824, IF(AN$4&lt;=0, AN592,(SUM($AA778:AN778)-SUM($Z801:AM801))*Timeline!AN266)))</f>
        <v>0</v>
      </c>
      <c r="AO801" s="10">
        <f>IF(Timeline!AO128=1, -(AN824+AO709), MAX(-AN824, IF(AO$4&lt;=0, AO592,(SUM($AA778:AO778)-SUM($Z801:AN801))*Timeline!AO266)))</f>
        <v>0</v>
      </c>
      <c r="AP801" s="10">
        <f>IF(Timeline!AP128=1, -(AO824+AP709), MAX(-AO824, IF(AP$4&lt;=0, AP592,(SUM($AA778:AP778)-SUM($Z801:AO801))*Timeline!AP266)))</f>
        <v>0</v>
      </c>
      <c r="AQ801" s="10">
        <f>IF(Timeline!AQ128=1, -(AP824+AQ709), MAX(-AP824, IF(AQ$4&lt;=0, AQ592,(SUM($AA778:AQ778)-SUM($Z801:AP801))*Timeline!AQ266)))</f>
        <v>0</v>
      </c>
      <c r="AR801" s="10">
        <f>IF(Timeline!AR128=1, -(AQ824+AR709), MAX(-AQ824, IF(AR$4&lt;=0, AR592,(SUM($AA778:AR778)-SUM($Z801:AQ801))*Timeline!AR266)))</f>
        <v>0</v>
      </c>
      <c r="AS801" s="10">
        <f>IF(Timeline!AS128=1, -(AR824+AS709), MAX(-AR824, IF(AS$4&lt;=0, AS592,(SUM($AA778:AS778)-SUM($Z801:AR801))*Timeline!AS266)))</f>
        <v>0</v>
      </c>
      <c r="AT801" s="10">
        <f>IF(Timeline!AT128=1, -(AS824+AT709), MAX(-AS824, IF(AT$4&lt;=0, AT592,(SUM($AA778:AT778)-SUM($Z801:AS801))*Timeline!AT266)))</f>
        <v>0</v>
      </c>
      <c r="AU801" s="10">
        <f>IF(Timeline!AU128=1, -(AT824+AU709), MAX(-AT824, IF(AU$4&lt;=0, AU592,(SUM($AA778:AU778)-SUM($Z801:AT801))*Timeline!AU266)))</f>
        <v>0</v>
      </c>
      <c r="AV801" s="10">
        <f>IF(Timeline!AV128=1, -(AU824+AV709), MAX(-AU824, IF(AV$4&lt;=0, AV592,(SUM($AA778:AV778)-SUM($Z801:AU801))*Timeline!AV266)))</f>
        <v>0</v>
      </c>
      <c r="AW801" s="10">
        <f>IF(Timeline!AW128=1, -(AV824+AW709), MAX(-AV824, IF(AW$4&lt;=0, AW592,(SUM($AA778:AW778)-SUM($Z801:AV801))*Timeline!AW266)))</f>
        <v>0</v>
      </c>
      <c r="AX801" s="10">
        <f>IF(Timeline!AX128=1, -(AW824+AX709), MAX(-AW824, IF(AX$4&lt;=0, AX592,(SUM($AA778:AX778)-SUM($Z801:AW801))*Timeline!AX266)))</f>
        <v>0</v>
      </c>
      <c r="AY801" s="10">
        <f>IF(Timeline!AY128=1, -(AX824+AY709), MAX(-AX824, IF(AY$4&lt;=0, AY592,(SUM($AA778:AY778)-SUM($Z801:AX801))*Timeline!AY266)))</f>
        <v>0</v>
      </c>
      <c r="AZ801" s="10">
        <f>IF(Timeline!AZ128=1, -(AY824+AZ709), MAX(-AY824, IF(AZ$4&lt;=0, AZ592,(SUM($AA778:AZ778)-SUM($Z801:AY801))*Timeline!AZ266)))</f>
        <v>0</v>
      </c>
      <c r="BA801" s="10">
        <f>IF(Timeline!BA128=1, -(AZ824+BA709), MAX(-AZ824, IF(BA$4&lt;=0, BA592,(SUM($AA778:BA778)-SUM($Z801:AZ801))*Timeline!BA266)))</f>
        <v>0</v>
      </c>
      <c r="BB801" s="10">
        <f>IF(Timeline!BB128=1, -(BA824+BB709), MAX(-BA824, IF(BB$4&lt;=0, BB592,(SUM($AA778:BB778)-SUM($Z801:BA801))*Timeline!BB266)))</f>
        <v>0</v>
      </c>
      <c r="BC801" s="10">
        <f>IF(Timeline!BC128=1, -(BB824+BC709), MAX(-BB824, IF(BC$4&lt;=0, BC592,(SUM($AA778:BC778)-SUM($Z801:BB801))*Timeline!BC266)))</f>
        <v>0</v>
      </c>
      <c r="BD801" s="10">
        <f>IF(Timeline!BD128=1, -(BC824+BD709), MAX(-BC824, IF(BD$4&lt;=0, BD592,(SUM($AA778:BD778)-SUM($Z801:BC801))*Timeline!BD266)))</f>
        <v>0</v>
      </c>
      <c r="BE801" s="10">
        <f>IF(Timeline!BE128=1, -(BD824+BE709), MAX(-BD824, IF(BE$4&lt;=0, BE592,(SUM($AA778:BE778)-SUM($Z801:BD801))*Timeline!BE266)))</f>
        <v>0</v>
      </c>
      <c r="BF801" s="10">
        <f>IF(Timeline!BF128=1, -(BE824+BF709), MAX(-BE824, IF(BF$4&lt;=0, BF592,(SUM($AA778:BF778)-SUM($Z801:BE801))*Timeline!BF266)))</f>
        <v>0</v>
      </c>
      <c r="BG801" s="10">
        <f>IF(Timeline!BG128=1, -(BF824+BG709), MAX(-BF824, IF(BG$4&lt;=0, BG592,(SUM($AA778:BG778)-SUM($Z801:BF801))*Timeline!BG266)))</f>
        <v>0</v>
      </c>
      <c r="BH801" s="10">
        <f>IF(Timeline!BH128=1, -(BG824+BH709), MAX(-BG824, IF(BH$4&lt;=0, BH592,(SUM($AA778:BH778)-SUM($Z801:BG801))*Timeline!BH266)))</f>
        <v>0</v>
      </c>
      <c r="BI801" s="10">
        <f>IF(Timeline!BI128=1, -(BH824+BI709), MAX(-BH824, IF(BI$4&lt;=0, BI592,(SUM($AA778:BI778)-SUM($Z801:BH801))*Timeline!BI266)))</f>
        <v>0</v>
      </c>
      <c r="BJ801" s="10">
        <f>IF(Timeline!BJ128=1, -(BI824+BJ709), MAX(-BI824, IF(BJ$4&lt;=0, BJ592,(SUM($AA778:BJ778)-SUM($Z801:BI801))*Timeline!BJ266)))</f>
        <v>0</v>
      </c>
      <c r="BK801" s="10">
        <f>IF(Timeline!BK128=1, -(BJ824+BK709), MAX(-BJ824, IF(BK$4&lt;=0, BK592,(SUM($AA778:BK778)-SUM($Z801:BJ801))*Timeline!BK266)))</f>
        <v>0</v>
      </c>
      <c r="BL801" s="10">
        <f>IF(Timeline!BL128=1, -(BK824+BL709), MAX(-BK824, IF(BL$4&lt;=0, BL592,(SUM($AA778:BL778)-SUM($Z801:BK801))*Timeline!BL266)))</f>
        <v>0</v>
      </c>
      <c r="BM801" s="10">
        <f>IF(Timeline!BM128=1, -(BL824+BM709), MAX(-BL824, IF(BM$4&lt;=0, BM592,(SUM($AA778:BM778)-SUM($Z801:BL801))*Timeline!BM266)))</f>
        <v>0</v>
      </c>
      <c r="BN801" s="10">
        <f>IF(Timeline!BN128=1, -(BM824+BN709), MAX(-BM824, IF(BN$4&lt;=0, BN592,(SUM($AA778:BN778)-SUM($Z801:BM801))*Timeline!BN266)))</f>
        <v>0</v>
      </c>
      <c r="BO801" s="10">
        <f>IF(Timeline!BO128=1, -(BN824+BO709), MAX(-BN824, IF(BO$4&lt;=0, BO592,(SUM($AA778:BO778)-SUM($Z801:BN801))*Timeline!BO266)))</f>
        <v>0</v>
      </c>
      <c r="BP801" s="10">
        <f>IF(Timeline!BP128=1, -(BO824+BP709), MAX(-BO824, IF(BP$4&lt;=0, BP592,(SUM($AA778:BP778)-SUM($Z801:BO801))*Timeline!BP266)))</f>
        <v>0</v>
      </c>
      <c r="BQ801" s="10">
        <f>IF(Timeline!BQ128=1, -(BP824+BQ709), MAX(-BP824, IF(BQ$4&lt;=0, BQ592,(SUM($AA778:BQ778)-SUM($Z801:BP801))*Timeline!BQ266)))</f>
        <v>0</v>
      </c>
      <c r="BR801" s="10">
        <f>IF(Timeline!BR128=1, -(BQ824+BR709), MAX(-BQ824, IF(BR$4&lt;=0, BR592,(SUM($AA778:BR778)-SUM($Z801:BQ801))*Timeline!BR266)))</f>
        <v>0</v>
      </c>
      <c r="BS801" s="10">
        <f>IF(Timeline!BS128=1, -(BR824+BS709), MAX(-BR824, IF(BS$4&lt;=0, BS592,(SUM($AA778:BS778)-SUM($Z801:BR801))*Timeline!BS266)))</f>
        <v>0</v>
      </c>
      <c r="BT801" s="10">
        <f>IF(Timeline!BT128=1, -(BS824+BT709), MAX(-BS824, IF(BT$4&lt;=0, BT592,(SUM($AA778:BT778)-SUM($Z801:BS801))*Timeline!BT266)))</f>
        <v>0</v>
      </c>
      <c r="BU801" s="10">
        <f>IF(Timeline!BU128=1, -(BT824+BU709), MAX(-BT824, IF(BU$4&lt;=0, BU592,(SUM($AA778:BU778)-SUM($Z801:BT801))*Timeline!BU266)))</f>
        <v>0</v>
      </c>
      <c r="BV801" s="10">
        <f>IF(Timeline!BV128=1, -(BU824+BV709), MAX(-BU824, IF(BV$4&lt;=0, BV592,(SUM($AA778:BV778)-SUM($Z801:BU801))*Timeline!BV266)))</f>
        <v>0</v>
      </c>
      <c r="BX801" s="12">
        <f t="shared" si="797"/>
        <v>0</v>
      </c>
      <c r="BY801" s="12">
        <f t="shared" si="798"/>
        <v>0</v>
      </c>
      <c r="BZ801" s="12">
        <f t="shared" si="799"/>
        <v>0</v>
      </c>
      <c r="CA801" s="12">
        <f t="shared" si="800"/>
        <v>0</v>
      </c>
      <c r="CB801" s="133">
        <f t="shared" si="801"/>
        <v>0</v>
      </c>
      <c r="CC801" s="106"/>
      <c r="CD801" s="106"/>
      <c r="CE801" s="106"/>
      <c r="CF801" s="106"/>
      <c r="CG801" s="106"/>
      <c r="CH801" s="106"/>
      <c r="CI801" s="106"/>
      <c r="CK801" s="11"/>
      <c r="CM801" s="11"/>
      <c r="CV801" s="120"/>
      <c r="DF801" s="11"/>
      <c r="EY801" s="10" t="str">
        <f t="shared" si="766"/>
        <v/>
      </c>
    </row>
    <row r="802" spans="2:155" x14ac:dyDescent="0.35">
      <c r="B802" s="69" t="str" cm="1">
        <f t="array" aca="1" ref="B802" ca="1">HYPERLINK(CONCATENATE("#",CELL("address",$D$341)),$D$341)</f>
        <v>Loan 16</v>
      </c>
      <c r="C802" s="211"/>
      <c r="D802" s="49">
        <f>D$28</f>
        <v>0</v>
      </c>
      <c r="E802" s="49" t="str">
        <f>F$28</f>
        <v/>
      </c>
      <c r="F802" s="49"/>
      <c r="H802" s="10">
        <f t="shared" si="794"/>
        <v>0</v>
      </c>
      <c r="I802" s="40" t="s">
        <v>1079</v>
      </c>
      <c r="V802" s="12">
        <f t="shared" si="795"/>
        <v>0</v>
      </c>
      <c r="W802" s="133">
        <f t="shared" si="796"/>
        <v>0</v>
      </c>
      <c r="X802" s="133">
        <f t="shared" si="796"/>
        <v>0</v>
      </c>
      <c r="Y802" s="133">
        <f t="shared" si="796"/>
        <v>0</v>
      </c>
      <c r="AA802" s="10">
        <f>IF(Timeline!AA129=1, -(Z825+AA710), MAX(-Z825, IF(AA$4&lt;=0, AA593,(SUM($AA779:AA779)-SUM($Z802:Z802))*Timeline!AA267)))</f>
        <v>0</v>
      </c>
      <c r="AB802" s="10">
        <f>IF(Timeline!AB129=1, -(AA825+AB710), MAX(-AA825, IF(AB$4&lt;=0, AB593,(SUM($AA779:AB779)-SUM($Z802:AA802))*Timeline!AB267)))</f>
        <v>0</v>
      </c>
      <c r="AC802" s="10">
        <f>IF(Timeline!AC129=1, -(AB825+AC710), MAX(-AB825, IF(AC$4&lt;=0, AC593,(SUM($AA779:AC779)-SUM($Z802:AB802))*Timeline!AC267)))</f>
        <v>0</v>
      </c>
      <c r="AD802" s="10">
        <f>IF(Timeline!AD129=1, -(AC825+AD710), MAX(-AC825, IF(AD$4&lt;=0, AD593,(SUM($AA779:AD779)-SUM($Z802:AC802))*Timeline!AD267)))</f>
        <v>0</v>
      </c>
      <c r="AE802" s="10">
        <f>IF(Timeline!AE129=1, -(AD825+AE710), MAX(-AD825, IF(AE$4&lt;=0, AE593,(SUM($AA779:AE779)-SUM($Z802:AD802))*Timeline!AE267)))</f>
        <v>0</v>
      </c>
      <c r="AF802" s="10">
        <f>IF(Timeline!AF129=1, -(AE825+AF710), MAX(-AE825, IF(AF$4&lt;=0, AF593,(SUM($AA779:AF779)-SUM($Z802:AE802))*Timeline!AF267)))</f>
        <v>0</v>
      </c>
      <c r="AG802" s="10">
        <f>IF(Timeline!AG129=1, -(AF825+AG710), MAX(-AF825, IF(AG$4&lt;=0, AG593,(SUM($AA779:AG779)-SUM($Z802:AF802))*Timeline!AG267)))</f>
        <v>0</v>
      </c>
      <c r="AH802" s="10">
        <f>IF(Timeline!AH129=1, -(AG825+AH710), MAX(-AG825, IF(AH$4&lt;=0, AH593,(SUM($AA779:AH779)-SUM($Z802:AG802))*Timeline!AH267)))</f>
        <v>0</v>
      </c>
      <c r="AI802" s="10">
        <f>IF(Timeline!AI129=1, -(AH825+AI710), MAX(-AH825, IF(AI$4&lt;=0, AI593,(SUM($AA779:AI779)-SUM($Z802:AH802))*Timeline!AI267)))</f>
        <v>0</v>
      </c>
      <c r="AJ802" s="10">
        <f>IF(Timeline!AJ129=1, -(AI825+AJ710), MAX(-AI825, IF(AJ$4&lt;=0, AJ593,(SUM($AA779:AJ779)-SUM($Z802:AI802))*Timeline!AJ267)))</f>
        <v>0</v>
      </c>
      <c r="AK802" s="10">
        <f>IF(Timeline!AK129=1, -(AJ825+AK710), MAX(-AJ825, IF(AK$4&lt;=0, AK593,(SUM($AA779:AK779)-SUM($Z802:AJ802))*Timeline!AK267)))</f>
        <v>0</v>
      </c>
      <c r="AL802" s="10">
        <f>IF(Timeline!AL129=1, -(AK825+AL710), MAX(-AK825, IF(AL$4&lt;=0, AL593,(SUM($AA779:AL779)-SUM($Z802:AK802))*Timeline!AL267)))</f>
        <v>0</v>
      </c>
      <c r="AM802" s="10">
        <f>IF(Timeline!AM129=1, -(AL825+AM710), MAX(-AL825, IF(AM$4&lt;=0, AM593,(SUM($AA779:AM779)-SUM($Z802:AL802))*Timeline!AM267)))</f>
        <v>0</v>
      </c>
      <c r="AN802" s="10">
        <f>IF(Timeline!AN129=1, -(AM825+AN710), MAX(-AM825, IF(AN$4&lt;=0, AN593,(SUM($AA779:AN779)-SUM($Z802:AM802))*Timeline!AN267)))</f>
        <v>0</v>
      </c>
      <c r="AO802" s="10">
        <f>IF(Timeline!AO129=1, -(AN825+AO710), MAX(-AN825, IF(AO$4&lt;=0, AO593,(SUM($AA779:AO779)-SUM($Z802:AN802))*Timeline!AO267)))</f>
        <v>0</v>
      </c>
      <c r="AP802" s="10">
        <f>IF(Timeline!AP129=1, -(AO825+AP710), MAX(-AO825, IF(AP$4&lt;=0, AP593,(SUM($AA779:AP779)-SUM($Z802:AO802))*Timeline!AP267)))</f>
        <v>0</v>
      </c>
      <c r="AQ802" s="10">
        <f>IF(Timeline!AQ129=1, -(AP825+AQ710), MAX(-AP825, IF(AQ$4&lt;=0, AQ593,(SUM($AA779:AQ779)-SUM($Z802:AP802))*Timeline!AQ267)))</f>
        <v>0</v>
      </c>
      <c r="AR802" s="10">
        <f>IF(Timeline!AR129=1, -(AQ825+AR710), MAX(-AQ825, IF(AR$4&lt;=0, AR593,(SUM($AA779:AR779)-SUM($Z802:AQ802))*Timeline!AR267)))</f>
        <v>0</v>
      </c>
      <c r="AS802" s="10">
        <f>IF(Timeline!AS129=1, -(AR825+AS710), MAX(-AR825, IF(AS$4&lt;=0, AS593,(SUM($AA779:AS779)-SUM($Z802:AR802))*Timeline!AS267)))</f>
        <v>0</v>
      </c>
      <c r="AT802" s="10">
        <f>IF(Timeline!AT129=1, -(AS825+AT710), MAX(-AS825, IF(AT$4&lt;=0, AT593,(SUM($AA779:AT779)-SUM($Z802:AS802))*Timeline!AT267)))</f>
        <v>0</v>
      </c>
      <c r="AU802" s="10">
        <f>IF(Timeline!AU129=1, -(AT825+AU710), MAX(-AT825, IF(AU$4&lt;=0, AU593,(SUM($AA779:AU779)-SUM($Z802:AT802))*Timeline!AU267)))</f>
        <v>0</v>
      </c>
      <c r="AV802" s="10">
        <f>IF(Timeline!AV129=1, -(AU825+AV710), MAX(-AU825, IF(AV$4&lt;=0, AV593,(SUM($AA779:AV779)-SUM($Z802:AU802))*Timeline!AV267)))</f>
        <v>0</v>
      </c>
      <c r="AW802" s="10">
        <f>IF(Timeline!AW129=1, -(AV825+AW710), MAX(-AV825, IF(AW$4&lt;=0, AW593,(SUM($AA779:AW779)-SUM($Z802:AV802))*Timeline!AW267)))</f>
        <v>0</v>
      </c>
      <c r="AX802" s="10">
        <f>IF(Timeline!AX129=1, -(AW825+AX710), MAX(-AW825, IF(AX$4&lt;=0, AX593,(SUM($AA779:AX779)-SUM($Z802:AW802))*Timeline!AX267)))</f>
        <v>0</v>
      </c>
      <c r="AY802" s="10">
        <f>IF(Timeline!AY129=1, -(AX825+AY710), MAX(-AX825, IF(AY$4&lt;=0, AY593,(SUM($AA779:AY779)-SUM($Z802:AX802))*Timeline!AY267)))</f>
        <v>0</v>
      </c>
      <c r="AZ802" s="10">
        <f>IF(Timeline!AZ129=1, -(AY825+AZ710), MAX(-AY825, IF(AZ$4&lt;=0, AZ593,(SUM($AA779:AZ779)-SUM($Z802:AY802))*Timeline!AZ267)))</f>
        <v>0</v>
      </c>
      <c r="BA802" s="10">
        <f>IF(Timeline!BA129=1, -(AZ825+BA710), MAX(-AZ825, IF(BA$4&lt;=0, BA593,(SUM($AA779:BA779)-SUM($Z802:AZ802))*Timeline!BA267)))</f>
        <v>0</v>
      </c>
      <c r="BB802" s="10">
        <f>IF(Timeline!BB129=1, -(BA825+BB710), MAX(-BA825, IF(BB$4&lt;=0, BB593,(SUM($AA779:BB779)-SUM($Z802:BA802))*Timeline!BB267)))</f>
        <v>0</v>
      </c>
      <c r="BC802" s="10">
        <f>IF(Timeline!BC129=1, -(BB825+BC710), MAX(-BB825, IF(BC$4&lt;=0, BC593,(SUM($AA779:BC779)-SUM($Z802:BB802))*Timeline!BC267)))</f>
        <v>0</v>
      </c>
      <c r="BD802" s="10">
        <f>IF(Timeline!BD129=1, -(BC825+BD710), MAX(-BC825, IF(BD$4&lt;=0, BD593,(SUM($AA779:BD779)-SUM($Z802:BC802))*Timeline!BD267)))</f>
        <v>0</v>
      </c>
      <c r="BE802" s="10">
        <f>IF(Timeline!BE129=1, -(BD825+BE710), MAX(-BD825, IF(BE$4&lt;=0, BE593,(SUM($AA779:BE779)-SUM($Z802:BD802))*Timeline!BE267)))</f>
        <v>0</v>
      </c>
      <c r="BF802" s="10">
        <f>IF(Timeline!BF129=1, -(BE825+BF710), MAX(-BE825, IF(BF$4&lt;=0, BF593,(SUM($AA779:BF779)-SUM($Z802:BE802))*Timeline!BF267)))</f>
        <v>0</v>
      </c>
      <c r="BG802" s="10">
        <f>IF(Timeline!BG129=1, -(BF825+BG710), MAX(-BF825, IF(BG$4&lt;=0, BG593,(SUM($AA779:BG779)-SUM($Z802:BF802))*Timeline!BG267)))</f>
        <v>0</v>
      </c>
      <c r="BH802" s="10">
        <f>IF(Timeline!BH129=1, -(BG825+BH710), MAX(-BG825, IF(BH$4&lt;=0, BH593,(SUM($AA779:BH779)-SUM($Z802:BG802))*Timeline!BH267)))</f>
        <v>0</v>
      </c>
      <c r="BI802" s="10">
        <f>IF(Timeline!BI129=1, -(BH825+BI710), MAX(-BH825, IF(BI$4&lt;=0, BI593,(SUM($AA779:BI779)-SUM($Z802:BH802))*Timeline!BI267)))</f>
        <v>0</v>
      </c>
      <c r="BJ802" s="10">
        <f>IF(Timeline!BJ129=1, -(BI825+BJ710), MAX(-BI825, IF(BJ$4&lt;=0, BJ593,(SUM($AA779:BJ779)-SUM($Z802:BI802))*Timeline!BJ267)))</f>
        <v>0</v>
      </c>
      <c r="BK802" s="10">
        <f>IF(Timeline!BK129=1, -(BJ825+BK710), MAX(-BJ825, IF(BK$4&lt;=0, BK593,(SUM($AA779:BK779)-SUM($Z802:BJ802))*Timeline!BK267)))</f>
        <v>0</v>
      </c>
      <c r="BL802" s="10">
        <f>IF(Timeline!BL129=1, -(BK825+BL710), MAX(-BK825, IF(BL$4&lt;=0, BL593,(SUM($AA779:BL779)-SUM($Z802:BK802))*Timeline!BL267)))</f>
        <v>0</v>
      </c>
      <c r="BM802" s="10">
        <f>IF(Timeline!BM129=1, -(BL825+BM710), MAX(-BL825, IF(BM$4&lt;=0, BM593,(SUM($AA779:BM779)-SUM($Z802:BL802))*Timeline!BM267)))</f>
        <v>0</v>
      </c>
      <c r="BN802" s="10">
        <f>IF(Timeline!BN129=1, -(BM825+BN710), MAX(-BM825, IF(BN$4&lt;=0, BN593,(SUM($AA779:BN779)-SUM($Z802:BM802))*Timeline!BN267)))</f>
        <v>0</v>
      </c>
      <c r="BO802" s="10">
        <f>IF(Timeline!BO129=1, -(BN825+BO710), MAX(-BN825, IF(BO$4&lt;=0, BO593,(SUM($AA779:BO779)-SUM($Z802:BN802))*Timeline!BO267)))</f>
        <v>0</v>
      </c>
      <c r="BP802" s="10">
        <f>IF(Timeline!BP129=1, -(BO825+BP710), MAX(-BO825, IF(BP$4&lt;=0, BP593,(SUM($AA779:BP779)-SUM($Z802:BO802))*Timeline!BP267)))</f>
        <v>0</v>
      </c>
      <c r="BQ802" s="10">
        <f>IF(Timeline!BQ129=1, -(BP825+BQ710), MAX(-BP825, IF(BQ$4&lt;=0, BQ593,(SUM($AA779:BQ779)-SUM($Z802:BP802))*Timeline!BQ267)))</f>
        <v>0</v>
      </c>
      <c r="BR802" s="10">
        <f>IF(Timeline!BR129=1, -(BQ825+BR710), MAX(-BQ825, IF(BR$4&lt;=0, BR593,(SUM($AA779:BR779)-SUM($Z802:BQ802))*Timeline!BR267)))</f>
        <v>0</v>
      </c>
      <c r="BS802" s="10">
        <f>IF(Timeline!BS129=1, -(BR825+BS710), MAX(-BR825, IF(BS$4&lt;=0, BS593,(SUM($AA779:BS779)-SUM($Z802:BR802))*Timeline!BS267)))</f>
        <v>0</v>
      </c>
      <c r="BT802" s="10">
        <f>IF(Timeline!BT129=1, -(BS825+BT710), MAX(-BS825, IF(BT$4&lt;=0, BT593,(SUM($AA779:BT779)-SUM($Z802:BS802))*Timeline!BT267)))</f>
        <v>0</v>
      </c>
      <c r="BU802" s="10">
        <f>IF(Timeline!BU129=1, -(BT825+BU710), MAX(-BT825, IF(BU$4&lt;=0, BU593,(SUM($AA779:BU779)-SUM($Z802:BT802))*Timeline!BU267)))</f>
        <v>0</v>
      </c>
      <c r="BV802" s="10">
        <f>IF(Timeline!BV129=1, -(BU825+BV710), MAX(-BU825, IF(BV$4&lt;=0, BV593,(SUM($AA779:BV779)-SUM($Z802:BU802))*Timeline!BV267)))</f>
        <v>0</v>
      </c>
      <c r="BX802" s="12">
        <f t="shared" si="797"/>
        <v>0</v>
      </c>
      <c r="BY802" s="12">
        <f t="shared" si="798"/>
        <v>0</v>
      </c>
      <c r="BZ802" s="12">
        <f t="shared" si="799"/>
        <v>0</v>
      </c>
      <c r="CA802" s="12">
        <f t="shared" si="800"/>
        <v>0</v>
      </c>
      <c r="CB802" s="133">
        <f t="shared" si="801"/>
        <v>0</v>
      </c>
      <c r="CC802" s="106"/>
      <c r="CD802" s="106"/>
      <c r="CE802" s="106"/>
      <c r="CF802" s="106"/>
      <c r="CG802" s="106"/>
      <c r="CH802" s="106"/>
      <c r="CI802" s="106"/>
      <c r="CK802" s="11"/>
      <c r="CM802" s="11"/>
      <c r="CV802" s="120"/>
      <c r="DF802" s="11"/>
      <c r="EY802" s="10" t="str">
        <f t="shared" si="766"/>
        <v/>
      </c>
    </row>
    <row r="803" spans="2:155" x14ac:dyDescent="0.35">
      <c r="B803" s="69" t="str" cm="1">
        <f t="array" aca="1" ref="B803" ca="1">HYPERLINK(CONCATENATE("#",CELL("address",$D$360)),$D$360)</f>
        <v>Loan 17</v>
      </c>
      <c r="C803" s="211"/>
      <c r="D803" s="49">
        <f>D$29</f>
        <v>0</v>
      </c>
      <c r="E803" s="49" t="str">
        <f>F$29</f>
        <v/>
      </c>
      <c r="F803" s="49"/>
      <c r="H803" s="10">
        <f t="shared" si="794"/>
        <v>0</v>
      </c>
      <c r="I803" s="40" t="s">
        <v>1079</v>
      </c>
      <c r="V803" s="12">
        <f t="shared" si="795"/>
        <v>0</v>
      </c>
      <c r="W803" s="133">
        <f t="shared" si="796"/>
        <v>0</v>
      </c>
      <c r="X803" s="133">
        <f t="shared" si="796"/>
        <v>0</v>
      </c>
      <c r="Y803" s="133">
        <f t="shared" si="796"/>
        <v>0</v>
      </c>
      <c r="AA803" s="10">
        <f>IF(Timeline!AA130=1, -(Z826+AA711), MAX(-Z826, IF(AA$4&lt;=0, AA594,(SUM($AA780:AA780)-SUM($Z803:Z803))*Timeline!AA268)))</f>
        <v>0</v>
      </c>
      <c r="AB803" s="10">
        <f>IF(Timeline!AB130=1, -(AA826+AB711), MAX(-AA826, IF(AB$4&lt;=0, AB594,(SUM($AA780:AB780)-SUM($Z803:AA803))*Timeline!AB268)))</f>
        <v>0</v>
      </c>
      <c r="AC803" s="10">
        <f>IF(Timeline!AC130=1, -(AB826+AC711), MAX(-AB826, IF(AC$4&lt;=0, AC594,(SUM($AA780:AC780)-SUM($Z803:AB803))*Timeline!AC268)))</f>
        <v>0</v>
      </c>
      <c r="AD803" s="10">
        <f>IF(Timeline!AD130=1, -(AC826+AD711), MAX(-AC826, IF(AD$4&lt;=0, AD594,(SUM($AA780:AD780)-SUM($Z803:AC803))*Timeline!AD268)))</f>
        <v>0</v>
      </c>
      <c r="AE803" s="10">
        <f>IF(Timeline!AE130=1, -(AD826+AE711), MAX(-AD826, IF(AE$4&lt;=0, AE594,(SUM($AA780:AE780)-SUM($Z803:AD803))*Timeline!AE268)))</f>
        <v>0</v>
      </c>
      <c r="AF803" s="10">
        <f>IF(Timeline!AF130=1, -(AE826+AF711), MAX(-AE826, IF(AF$4&lt;=0, AF594,(SUM($AA780:AF780)-SUM($Z803:AE803))*Timeline!AF268)))</f>
        <v>0</v>
      </c>
      <c r="AG803" s="10">
        <f>IF(Timeline!AG130=1, -(AF826+AG711), MAX(-AF826, IF(AG$4&lt;=0, AG594,(SUM($AA780:AG780)-SUM($Z803:AF803))*Timeline!AG268)))</f>
        <v>0</v>
      </c>
      <c r="AH803" s="10">
        <f>IF(Timeline!AH130=1, -(AG826+AH711), MAX(-AG826, IF(AH$4&lt;=0, AH594,(SUM($AA780:AH780)-SUM($Z803:AG803))*Timeline!AH268)))</f>
        <v>0</v>
      </c>
      <c r="AI803" s="10">
        <f>IF(Timeline!AI130=1, -(AH826+AI711), MAX(-AH826, IF(AI$4&lt;=0, AI594,(SUM($AA780:AI780)-SUM($Z803:AH803))*Timeline!AI268)))</f>
        <v>0</v>
      </c>
      <c r="AJ803" s="10">
        <f>IF(Timeline!AJ130=1, -(AI826+AJ711), MAX(-AI826, IF(AJ$4&lt;=0, AJ594,(SUM($AA780:AJ780)-SUM($Z803:AI803))*Timeline!AJ268)))</f>
        <v>0</v>
      </c>
      <c r="AK803" s="10">
        <f>IF(Timeline!AK130=1, -(AJ826+AK711), MAX(-AJ826, IF(AK$4&lt;=0, AK594,(SUM($AA780:AK780)-SUM($Z803:AJ803))*Timeline!AK268)))</f>
        <v>0</v>
      </c>
      <c r="AL803" s="10">
        <f>IF(Timeline!AL130=1, -(AK826+AL711), MAX(-AK826, IF(AL$4&lt;=0, AL594,(SUM($AA780:AL780)-SUM($Z803:AK803))*Timeline!AL268)))</f>
        <v>0</v>
      </c>
      <c r="AM803" s="10">
        <f>IF(Timeline!AM130=1, -(AL826+AM711), MAX(-AL826, IF(AM$4&lt;=0, AM594,(SUM($AA780:AM780)-SUM($Z803:AL803))*Timeline!AM268)))</f>
        <v>0</v>
      </c>
      <c r="AN803" s="10">
        <f>IF(Timeline!AN130=1, -(AM826+AN711), MAX(-AM826, IF(AN$4&lt;=0, AN594,(SUM($AA780:AN780)-SUM($Z803:AM803))*Timeline!AN268)))</f>
        <v>0</v>
      </c>
      <c r="AO803" s="10">
        <f>IF(Timeline!AO130=1, -(AN826+AO711), MAX(-AN826, IF(AO$4&lt;=0, AO594,(SUM($AA780:AO780)-SUM($Z803:AN803))*Timeline!AO268)))</f>
        <v>0</v>
      </c>
      <c r="AP803" s="10">
        <f>IF(Timeline!AP130=1, -(AO826+AP711), MAX(-AO826, IF(AP$4&lt;=0, AP594,(SUM($AA780:AP780)-SUM($Z803:AO803))*Timeline!AP268)))</f>
        <v>0</v>
      </c>
      <c r="AQ803" s="10">
        <f>IF(Timeline!AQ130=1, -(AP826+AQ711), MAX(-AP826, IF(AQ$4&lt;=0, AQ594,(SUM($AA780:AQ780)-SUM($Z803:AP803))*Timeline!AQ268)))</f>
        <v>0</v>
      </c>
      <c r="AR803" s="10">
        <f>IF(Timeline!AR130=1, -(AQ826+AR711), MAX(-AQ826, IF(AR$4&lt;=0, AR594,(SUM($AA780:AR780)-SUM($Z803:AQ803))*Timeline!AR268)))</f>
        <v>0</v>
      </c>
      <c r="AS803" s="10">
        <f>IF(Timeline!AS130=1, -(AR826+AS711), MAX(-AR826, IF(AS$4&lt;=0, AS594,(SUM($AA780:AS780)-SUM($Z803:AR803))*Timeline!AS268)))</f>
        <v>0</v>
      </c>
      <c r="AT803" s="10">
        <f>IF(Timeline!AT130=1, -(AS826+AT711), MAX(-AS826, IF(AT$4&lt;=0, AT594,(SUM($AA780:AT780)-SUM($Z803:AS803))*Timeline!AT268)))</f>
        <v>0</v>
      </c>
      <c r="AU803" s="10">
        <f>IF(Timeline!AU130=1, -(AT826+AU711), MAX(-AT826, IF(AU$4&lt;=0, AU594,(SUM($AA780:AU780)-SUM($Z803:AT803))*Timeline!AU268)))</f>
        <v>0</v>
      </c>
      <c r="AV803" s="10">
        <f>IF(Timeline!AV130=1, -(AU826+AV711), MAX(-AU826, IF(AV$4&lt;=0, AV594,(SUM($AA780:AV780)-SUM($Z803:AU803))*Timeline!AV268)))</f>
        <v>0</v>
      </c>
      <c r="AW803" s="10">
        <f>IF(Timeline!AW130=1, -(AV826+AW711), MAX(-AV826, IF(AW$4&lt;=0, AW594,(SUM($AA780:AW780)-SUM($Z803:AV803))*Timeline!AW268)))</f>
        <v>0</v>
      </c>
      <c r="AX803" s="10">
        <f>IF(Timeline!AX130=1, -(AW826+AX711), MAX(-AW826, IF(AX$4&lt;=0, AX594,(SUM($AA780:AX780)-SUM($Z803:AW803))*Timeline!AX268)))</f>
        <v>0</v>
      </c>
      <c r="AY803" s="10">
        <f>IF(Timeline!AY130=1, -(AX826+AY711), MAX(-AX826, IF(AY$4&lt;=0, AY594,(SUM($AA780:AY780)-SUM($Z803:AX803))*Timeline!AY268)))</f>
        <v>0</v>
      </c>
      <c r="AZ803" s="10">
        <f>IF(Timeline!AZ130=1, -(AY826+AZ711), MAX(-AY826, IF(AZ$4&lt;=0, AZ594,(SUM($AA780:AZ780)-SUM($Z803:AY803))*Timeline!AZ268)))</f>
        <v>0</v>
      </c>
      <c r="BA803" s="10">
        <f>IF(Timeline!BA130=1, -(AZ826+BA711), MAX(-AZ826, IF(BA$4&lt;=0, BA594,(SUM($AA780:BA780)-SUM($Z803:AZ803))*Timeline!BA268)))</f>
        <v>0</v>
      </c>
      <c r="BB803" s="10">
        <f>IF(Timeline!BB130=1, -(BA826+BB711), MAX(-BA826, IF(BB$4&lt;=0, BB594,(SUM($AA780:BB780)-SUM($Z803:BA803))*Timeline!BB268)))</f>
        <v>0</v>
      </c>
      <c r="BC803" s="10">
        <f>IF(Timeline!BC130=1, -(BB826+BC711), MAX(-BB826, IF(BC$4&lt;=0, BC594,(SUM($AA780:BC780)-SUM($Z803:BB803))*Timeline!BC268)))</f>
        <v>0</v>
      </c>
      <c r="BD803" s="10">
        <f>IF(Timeline!BD130=1, -(BC826+BD711), MAX(-BC826, IF(BD$4&lt;=0, BD594,(SUM($AA780:BD780)-SUM($Z803:BC803))*Timeline!BD268)))</f>
        <v>0</v>
      </c>
      <c r="BE803" s="10">
        <f>IF(Timeline!BE130=1, -(BD826+BE711), MAX(-BD826, IF(BE$4&lt;=0, BE594,(SUM($AA780:BE780)-SUM($Z803:BD803))*Timeline!BE268)))</f>
        <v>0</v>
      </c>
      <c r="BF803" s="10">
        <f>IF(Timeline!BF130=1, -(BE826+BF711), MAX(-BE826, IF(BF$4&lt;=0, BF594,(SUM($AA780:BF780)-SUM($Z803:BE803))*Timeline!BF268)))</f>
        <v>0</v>
      </c>
      <c r="BG803" s="10">
        <f>IF(Timeline!BG130=1, -(BF826+BG711), MAX(-BF826, IF(BG$4&lt;=0, BG594,(SUM($AA780:BG780)-SUM($Z803:BF803))*Timeline!BG268)))</f>
        <v>0</v>
      </c>
      <c r="BH803" s="10">
        <f>IF(Timeline!BH130=1, -(BG826+BH711), MAX(-BG826, IF(BH$4&lt;=0, BH594,(SUM($AA780:BH780)-SUM($Z803:BG803))*Timeline!BH268)))</f>
        <v>0</v>
      </c>
      <c r="BI803" s="10">
        <f>IF(Timeline!BI130=1, -(BH826+BI711), MAX(-BH826, IF(BI$4&lt;=0, BI594,(SUM($AA780:BI780)-SUM($Z803:BH803))*Timeline!BI268)))</f>
        <v>0</v>
      </c>
      <c r="BJ803" s="10">
        <f>IF(Timeline!BJ130=1, -(BI826+BJ711), MAX(-BI826, IF(BJ$4&lt;=0, BJ594,(SUM($AA780:BJ780)-SUM($Z803:BI803))*Timeline!BJ268)))</f>
        <v>0</v>
      </c>
      <c r="BK803" s="10">
        <f>IF(Timeline!BK130=1, -(BJ826+BK711), MAX(-BJ826, IF(BK$4&lt;=0, BK594,(SUM($AA780:BK780)-SUM($Z803:BJ803))*Timeline!BK268)))</f>
        <v>0</v>
      </c>
      <c r="BL803" s="10">
        <f>IF(Timeline!BL130=1, -(BK826+BL711), MAX(-BK826, IF(BL$4&lt;=0, BL594,(SUM($AA780:BL780)-SUM($Z803:BK803))*Timeline!BL268)))</f>
        <v>0</v>
      </c>
      <c r="BM803" s="10">
        <f>IF(Timeline!BM130=1, -(BL826+BM711), MAX(-BL826, IF(BM$4&lt;=0, BM594,(SUM($AA780:BM780)-SUM($Z803:BL803))*Timeline!BM268)))</f>
        <v>0</v>
      </c>
      <c r="BN803" s="10">
        <f>IF(Timeline!BN130=1, -(BM826+BN711), MAX(-BM826, IF(BN$4&lt;=0, BN594,(SUM($AA780:BN780)-SUM($Z803:BM803))*Timeline!BN268)))</f>
        <v>0</v>
      </c>
      <c r="BO803" s="10">
        <f>IF(Timeline!BO130=1, -(BN826+BO711), MAX(-BN826, IF(BO$4&lt;=0, BO594,(SUM($AA780:BO780)-SUM($Z803:BN803))*Timeline!BO268)))</f>
        <v>0</v>
      </c>
      <c r="BP803" s="10">
        <f>IF(Timeline!BP130=1, -(BO826+BP711), MAX(-BO826, IF(BP$4&lt;=0, BP594,(SUM($AA780:BP780)-SUM($Z803:BO803))*Timeline!BP268)))</f>
        <v>0</v>
      </c>
      <c r="BQ803" s="10">
        <f>IF(Timeline!BQ130=1, -(BP826+BQ711), MAX(-BP826, IF(BQ$4&lt;=0, BQ594,(SUM($AA780:BQ780)-SUM($Z803:BP803))*Timeline!BQ268)))</f>
        <v>0</v>
      </c>
      <c r="BR803" s="10">
        <f>IF(Timeline!BR130=1, -(BQ826+BR711), MAX(-BQ826, IF(BR$4&lt;=0, BR594,(SUM($AA780:BR780)-SUM($Z803:BQ803))*Timeline!BR268)))</f>
        <v>0</v>
      </c>
      <c r="BS803" s="10">
        <f>IF(Timeline!BS130=1, -(BR826+BS711), MAX(-BR826, IF(BS$4&lt;=0, BS594,(SUM($AA780:BS780)-SUM($Z803:BR803))*Timeline!BS268)))</f>
        <v>0</v>
      </c>
      <c r="BT803" s="10">
        <f>IF(Timeline!BT130=1, -(BS826+BT711), MAX(-BS826, IF(BT$4&lt;=0, BT594,(SUM($AA780:BT780)-SUM($Z803:BS803))*Timeline!BT268)))</f>
        <v>0</v>
      </c>
      <c r="BU803" s="10">
        <f>IF(Timeline!BU130=1, -(BT826+BU711), MAX(-BT826, IF(BU$4&lt;=0, BU594,(SUM($AA780:BU780)-SUM($Z803:BT803))*Timeline!BU268)))</f>
        <v>0</v>
      </c>
      <c r="BV803" s="10">
        <f>IF(Timeline!BV130=1, -(BU826+BV711), MAX(-BU826, IF(BV$4&lt;=0, BV594,(SUM($AA780:BV780)-SUM($Z803:BU803))*Timeline!BV268)))</f>
        <v>0</v>
      </c>
      <c r="BX803" s="12">
        <f t="shared" si="797"/>
        <v>0</v>
      </c>
      <c r="BY803" s="12">
        <f t="shared" si="798"/>
        <v>0</v>
      </c>
      <c r="BZ803" s="12">
        <f t="shared" si="799"/>
        <v>0</v>
      </c>
      <c r="CA803" s="12">
        <f t="shared" si="800"/>
        <v>0</v>
      </c>
      <c r="CB803" s="133">
        <f t="shared" si="801"/>
        <v>0</v>
      </c>
      <c r="CC803" s="106"/>
      <c r="CD803" s="106"/>
      <c r="CE803" s="106"/>
      <c r="CF803" s="106"/>
      <c r="CG803" s="106"/>
      <c r="CH803" s="106"/>
      <c r="CI803" s="106"/>
      <c r="CK803" s="11"/>
      <c r="CM803" s="11"/>
      <c r="CV803" s="120"/>
      <c r="DF803" s="11"/>
      <c r="EY803" s="10" t="str">
        <f t="shared" si="766"/>
        <v/>
      </c>
    </row>
    <row r="804" spans="2:155" x14ac:dyDescent="0.35">
      <c r="B804" s="69" t="str" cm="1">
        <f t="array" aca="1" ref="B804" ca="1">HYPERLINK(CONCATENATE("#",CELL("address",$D$379)),$D$379)</f>
        <v>Loan 18</v>
      </c>
      <c r="C804" s="211"/>
      <c r="D804" s="49">
        <f>D$30</f>
        <v>0</v>
      </c>
      <c r="E804" s="49" t="str">
        <f>F$30</f>
        <v/>
      </c>
      <c r="F804" s="49"/>
      <c r="H804" s="10">
        <f t="shared" si="794"/>
        <v>0</v>
      </c>
      <c r="I804" s="40" t="s">
        <v>1079</v>
      </c>
      <c r="V804" s="12">
        <f t="shared" si="795"/>
        <v>0</v>
      </c>
      <c r="W804" s="133">
        <f t="shared" si="796"/>
        <v>0</v>
      </c>
      <c r="X804" s="133">
        <f t="shared" si="796"/>
        <v>0</v>
      </c>
      <c r="Y804" s="133">
        <f t="shared" si="796"/>
        <v>0</v>
      </c>
      <c r="AA804" s="10">
        <f>IF(Timeline!AA131=1, -(Z827+AA712), MAX(-Z827, IF(AA$4&lt;=0, AA595,(SUM($AA781:AA781)-SUM($Z804:Z804))*Timeline!AA269)))</f>
        <v>0</v>
      </c>
      <c r="AB804" s="10">
        <f>IF(Timeline!AB131=1, -(AA827+AB712), MAX(-AA827, IF(AB$4&lt;=0, AB595,(SUM($AA781:AB781)-SUM($Z804:AA804))*Timeline!AB269)))</f>
        <v>0</v>
      </c>
      <c r="AC804" s="10">
        <f>IF(Timeline!AC131=1, -(AB827+AC712), MAX(-AB827, IF(AC$4&lt;=0, AC595,(SUM($AA781:AC781)-SUM($Z804:AB804))*Timeline!AC269)))</f>
        <v>0</v>
      </c>
      <c r="AD804" s="10">
        <f>IF(Timeline!AD131=1, -(AC827+AD712), MAX(-AC827, IF(AD$4&lt;=0, AD595,(SUM($AA781:AD781)-SUM($Z804:AC804))*Timeline!AD269)))</f>
        <v>0</v>
      </c>
      <c r="AE804" s="10">
        <f>IF(Timeline!AE131=1, -(AD827+AE712), MAX(-AD827, IF(AE$4&lt;=0, AE595,(SUM($AA781:AE781)-SUM($Z804:AD804))*Timeline!AE269)))</f>
        <v>0</v>
      </c>
      <c r="AF804" s="10">
        <f>IF(Timeline!AF131=1, -(AE827+AF712), MAX(-AE827, IF(AF$4&lt;=0, AF595,(SUM($AA781:AF781)-SUM($Z804:AE804))*Timeline!AF269)))</f>
        <v>0</v>
      </c>
      <c r="AG804" s="10">
        <f>IF(Timeline!AG131=1, -(AF827+AG712), MAX(-AF827, IF(AG$4&lt;=0, AG595,(SUM($AA781:AG781)-SUM($Z804:AF804))*Timeline!AG269)))</f>
        <v>0</v>
      </c>
      <c r="AH804" s="10">
        <f>IF(Timeline!AH131=1, -(AG827+AH712), MAX(-AG827, IF(AH$4&lt;=0, AH595,(SUM($AA781:AH781)-SUM($Z804:AG804))*Timeline!AH269)))</f>
        <v>0</v>
      </c>
      <c r="AI804" s="10">
        <f>IF(Timeline!AI131=1, -(AH827+AI712), MAX(-AH827, IF(AI$4&lt;=0, AI595,(SUM($AA781:AI781)-SUM($Z804:AH804))*Timeline!AI269)))</f>
        <v>0</v>
      </c>
      <c r="AJ804" s="10">
        <f>IF(Timeline!AJ131=1, -(AI827+AJ712), MAX(-AI827, IF(AJ$4&lt;=0, AJ595,(SUM($AA781:AJ781)-SUM($Z804:AI804))*Timeline!AJ269)))</f>
        <v>0</v>
      </c>
      <c r="AK804" s="10">
        <f>IF(Timeline!AK131=1, -(AJ827+AK712), MAX(-AJ827, IF(AK$4&lt;=0, AK595,(SUM($AA781:AK781)-SUM($Z804:AJ804))*Timeline!AK269)))</f>
        <v>0</v>
      </c>
      <c r="AL804" s="10">
        <f>IF(Timeline!AL131=1, -(AK827+AL712), MAX(-AK827, IF(AL$4&lt;=0, AL595,(SUM($AA781:AL781)-SUM($Z804:AK804))*Timeline!AL269)))</f>
        <v>0</v>
      </c>
      <c r="AM804" s="10">
        <f>IF(Timeline!AM131=1, -(AL827+AM712), MAX(-AL827, IF(AM$4&lt;=0, AM595,(SUM($AA781:AM781)-SUM($Z804:AL804))*Timeline!AM269)))</f>
        <v>0</v>
      </c>
      <c r="AN804" s="10">
        <f>IF(Timeline!AN131=1, -(AM827+AN712), MAX(-AM827, IF(AN$4&lt;=0, AN595,(SUM($AA781:AN781)-SUM($Z804:AM804))*Timeline!AN269)))</f>
        <v>0</v>
      </c>
      <c r="AO804" s="10">
        <f>IF(Timeline!AO131=1, -(AN827+AO712), MAX(-AN827, IF(AO$4&lt;=0, AO595,(SUM($AA781:AO781)-SUM($Z804:AN804))*Timeline!AO269)))</f>
        <v>0</v>
      </c>
      <c r="AP804" s="10">
        <f>IF(Timeline!AP131=1, -(AO827+AP712), MAX(-AO827, IF(AP$4&lt;=0, AP595,(SUM($AA781:AP781)-SUM($Z804:AO804))*Timeline!AP269)))</f>
        <v>0</v>
      </c>
      <c r="AQ804" s="10">
        <f>IF(Timeline!AQ131=1, -(AP827+AQ712), MAX(-AP827, IF(AQ$4&lt;=0, AQ595,(SUM($AA781:AQ781)-SUM($Z804:AP804))*Timeline!AQ269)))</f>
        <v>0</v>
      </c>
      <c r="AR804" s="10">
        <f>IF(Timeline!AR131=1, -(AQ827+AR712), MAX(-AQ827, IF(AR$4&lt;=0, AR595,(SUM($AA781:AR781)-SUM($Z804:AQ804))*Timeline!AR269)))</f>
        <v>0</v>
      </c>
      <c r="AS804" s="10">
        <f>IF(Timeline!AS131=1, -(AR827+AS712), MAX(-AR827, IF(AS$4&lt;=0, AS595,(SUM($AA781:AS781)-SUM($Z804:AR804))*Timeline!AS269)))</f>
        <v>0</v>
      </c>
      <c r="AT804" s="10">
        <f>IF(Timeline!AT131=1, -(AS827+AT712), MAX(-AS827, IF(AT$4&lt;=0, AT595,(SUM($AA781:AT781)-SUM($Z804:AS804))*Timeline!AT269)))</f>
        <v>0</v>
      </c>
      <c r="AU804" s="10">
        <f>IF(Timeline!AU131=1, -(AT827+AU712), MAX(-AT827, IF(AU$4&lt;=0, AU595,(SUM($AA781:AU781)-SUM($Z804:AT804))*Timeline!AU269)))</f>
        <v>0</v>
      </c>
      <c r="AV804" s="10">
        <f>IF(Timeline!AV131=1, -(AU827+AV712), MAX(-AU827, IF(AV$4&lt;=0, AV595,(SUM($AA781:AV781)-SUM($Z804:AU804))*Timeline!AV269)))</f>
        <v>0</v>
      </c>
      <c r="AW804" s="10">
        <f>IF(Timeline!AW131=1, -(AV827+AW712), MAX(-AV827, IF(AW$4&lt;=0, AW595,(SUM($AA781:AW781)-SUM($Z804:AV804))*Timeline!AW269)))</f>
        <v>0</v>
      </c>
      <c r="AX804" s="10">
        <f>IF(Timeline!AX131=1, -(AW827+AX712), MAX(-AW827, IF(AX$4&lt;=0, AX595,(SUM($AA781:AX781)-SUM($Z804:AW804))*Timeline!AX269)))</f>
        <v>0</v>
      </c>
      <c r="AY804" s="10">
        <f>IF(Timeline!AY131=1, -(AX827+AY712), MAX(-AX827, IF(AY$4&lt;=0, AY595,(SUM($AA781:AY781)-SUM($Z804:AX804))*Timeline!AY269)))</f>
        <v>0</v>
      </c>
      <c r="AZ804" s="10">
        <f>IF(Timeline!AZ131=1, -(AY827+AZ712), MAX(-AY827, IF(AZ$4&lt;=0, AZ595,(SUM($AA781:AZ781)-SUM($Z804:AY804))*Timeline!AZ269)))</f>
        <v>0</v>
      </c>
      <c r="BA804" s="10">
        <f>IF(Timeline!BA131=1, -(AZ827+BA712), MAX(-AZ827, IF(BA$4&lt;=0, BA595,(SUM($AA781:BA781)-SUM($Z804:AZ804))*Timeline!BA269)))</f>
        <v>0</v>
      </c>
      <c r="BB804" s="10">
        <f>IF(Timeline!BB131=1, -(BA827+BB712), MAX(-BA827, IF(BB$4&lt;=0, BB595,(SUM($AA781:BB781)-SUM($Z804:BA804))*Timeline!BB269)))</f>
        <v>0</v>
      </c>
      <c r="BC804" s="10">
        <f>IF(Timeline!BC131=1, -(BB827+BC712), MAX(-BB827, IF(BC$4&lt;=0, BC595,(SUM($AA781:BC781)-SUM($Z804:BB804))*Timeline!BC269)))</f>
        <v>0</v>
      </c>
      <c r="BD804" s="10">
        <f>IF(Timeline!BD131=1, -(BC827+BD712), MAX(-BC827, IF(BD$4&lt;=0, BD595,(SUM($AA781:BD781)-SUM($Z804:BC804))*Timeline!BD269)))</f>
        <v>0</v>
      </c>
      <c r="BE804" s="10">
        <f>IF(Timeline!BE131=1, -(BD827+BE712), MAX(-BD827, IF(BE$4&lt;=0, BE595,(SUM($AA781:BE781)-SUM($Z804:BD804))*Timeline!BE269)))</f>
        <v>0</v>
      </c>
      <c r="BF804" s="10">
        <f>IF(Timeline!BF131=1, -(BE827+BF712), MAX(-BE827, IF(BF$4&lt;=0, BF595,(SUM($AA781:BF781)-SUM($Z804:BE804))*Timeline!BF269)))</f>
        <v>0</v>
      </c>
      <c r="BG804" s="10">
        <f>IF(Timeline!BG131=1, -(BF827+BG712), MAX(-BF827, IF(BG$4&lt;=0, BG595,(SUM($AA781:BG781)-SUM($Z804:BF804))*Timeline!BG269)))</f>
        <v>0</v>
      </c>
      <c r="BH804" s="10">
        <f>IF(Timeline!BH131=1, -(BG827+BH712), MAX(-BG827, IF(BH$4&lt;=0, BH595,(SUM($AA781:BH781)-SUM($Z804:BG804))*Timeline!BH269)))</f>
        <v>0</v>
      </c>
      <c r="BI804" s="10">
        <f>IF(Timeline!BI131=1, -(BH827+BI712), MAX(-BH827, IF(BI$4&lt;=0, BI595,(SUM($AA781:BI781)-SUM($Z804:BH804))*Timeline!BI269)))</f>
        <v>0</v>
      </c>
      <c r="BJ804" s="10">
        <f>IF(Timeline!BJ131=1, -(BI827+BJ712), MAX(-BI827, IF(BJ$4&lt;=0, BJ595,(SUM($AA781:BJ781)-SUM($Z804:BI804))*Timeline!BJ269)))</f>
        <v>0</v>
      </c>
      <c r="BK804" s="10">
        <f>IF(Timeline!BK131=1, -(BJ827+BK712), MAX(-BJ827, IF(BK$4&lt;=0, BK595,(SUM($AA781:BK781)-SUM($Z804:BJ804))*Timeline!BK269)))</f>
        <v>0</v>
      </c>
      <c r="BL804" s="10">
        <f>IF(Timeline!BL131=1, -(BK827+BL712), MAX(-BK827, IF(BL$4&lt;=0, BL595,(SUM($AA781:BL781)-SUM($Z804:BK804))*Timeline!BL269)))</f>
        <v>0</v>
      </c>
      <c r="BM804" s="10">
        <f>IF(Timeline!BM131=1, -(BL827+BM712), MAX(-BL827, IF(BM$4&lt;=0, BM595,(SUM($AA781:BM781)-SUM($Z804:BL804))*Timeline!BM269)))</f>
        <v>0</v>
      </c>
      <c r="BN804" s="10">
        <f>IF(Timeline!BN131=1, -(BM827+BN712), MAX(-BM827, IF(BN$4&lt;=0, BN595,(SUM($AA781:BN781)-SUM($Z804:BM804))*Timeline!BN269)))</f>
        <v>0</v>
      </c>
      <c r="BO804" s="10">
        <f>IF(Timeline!BO131=1, -(BN827+BO712), MAX(-BN827, IF(BO$4&lt;=0, BO595,(SUM($AA781:BO781)-SUM($Z804:BN804))*Timeline!BO269)))</f>
        <v>0</v>
      </c>
      <c r="BP804" s="10">
        <f>IF(Timeline!BP131=1, -(BO827+BP712), MAX(-BO827, IF(BP$4&lt;=0, BP595,(SUM($AA781:BP781)-SUM($Z804:BO804))*Timeline!BP269)))</f>
        <v>0</v>
      </c>
      <c r="BQ804" s="10">
        <f>IF(Timeline!BQ131=1, -(BP827+BQ712), MAX(-BP827, IF(BQ$4&lt;=0, BQ595,(SUM($AA781:BQ781)-SUM($Z804:BP804))*Timeline!BQ269)))</f>
        <v>0</v>
      </c>
      <c r="BR804" s="10">
        <f>IF(Timeline!BR131=1, -(BQ827+BR712), MAX(-BQ827, IF(BR$4&lt;=0, BR595,(SUM($AA781:BR781)-SUM($Z804:BQ804))*Timeline!BR269)))</f>
        <v>0</v>
      </c>
      <c r="BS804" s="10">
        <f>IF(Timeline!BS131=1, -(BR827+BS712), MAX(-BR827, IF(BS$4&lt;=0, BS595,(SUM($AA781:BS781)-SUM($Z804:BR804))*Timeline!BS269)))</f>
        <v>0</v>
      </c>
      <c r="BT804" s="10">
        <f>IF(Timeline!BT131=1, -(BS827+BT712), MAX(-BS827, IF(BT$4&lt;=0, BT595,(SUM($AA781:BT781)-SUM($Z804:BS804))*Timeline!BT269)))</f>
        <v>0</v>
      </c>
      <c r="BU804" s="10">
        <f>IF(Timeline!BU131=1, -(BT827+BU712), MAX(-BT827, IF(BU$4&lt;=0, BU595,(SUM($AA781:BU781)-SUM($Z804:BT804))*Timeline!BU269)))</f>
        <v>0</v>
      </c>
      <c r="BV804" s="10">
        <f>IF(Timeline!BV131=1, -(BU827+BV712), MAX(-BU827, IF(BV$4&lt;=0, BV595,(SUM($AA781:BV781)-SUM($Z804:BU804))*Timeline!BV269)))</f>
        <v>0</v>
      </c>
      <c r="BX804" s="12">
        <f t="shared" si="797"/>
        <v>0</v>
      </c>
      <c r="BY804" s="12">
        <f t="shared" si="798"/>
        <v>0</v>
      </c>
      <c r="BZ804" s="12">
        <f t="shared" si="799"/>
        <v>0</v>
      </c>
      <c r="CA804" s="12">
        <f t="shared" si="800"/>
        <v>0</v>
      </c>
      <c r="CB804" s="133">
        <f t="shared" si="801"/>
        <v>0</v>
      </c>
      <c r="CC804" s="106"/>
      <c r="CD804" s="106"/>
      <c r="CE804" s="106"/>
      <c r="CF804" s="106"/>
      <c r="CG804" s="106"/>
      <c r="CH804" s="106"/>
      <c r="CI804" s="106"/>
      <c r="CK804" s="11"/>
      <c r="CM804" s="11"/>
      <c r="CV804" s="120"/>
      <c r="DF804" s="11"/>
      <c r="EY804" s="10" t="str">
        <f t="shared" si="766"/>
        <v/>
      </c>
    </row>
    <row r="805" spans="2:155" x14ac:dyDescent="0.35">
      <c r="B805" s="69" t="str" cm="1">
        <f t="array" aca="1" ref="B805" ca="1">HYPERLINK(CONCATENATE("#",CELL("address",$D$398)),$D$398)</f>
        <v>Loan 19</v>
      </c>
      <c r="C805" s="211"/>
      <c r="D805" s="49">
        <f>D$31</f>
        <v>0</v>
      </c>
      <c r="E805" s="49" t="str">
        <f>F$31</f>
        <v/>
      </c>
      <c r="F805" s="49"/>
      <c r="H805" s="10">
        <f t="shared" si="794"/>
        <v>0</v>
      </c>
      <c r="I805" s="40" t="s">
        <v>1079</v>
      </c>
      <c r="V805" s="12">
        <f t="shared" si="795"/>
        <v>0</v>
      </c>
      <c r="W805" s="133">
        <f t="shared" si="796"/>
        <v>0</v>
      </c>
      <c r="X805" s="133">
        <f t="shared" si="796"/>
        <v>0</v>
      </c>
      <c r="Y805" s="133">
        <f t="shared" si="796"/>
        <v>0</v>
      </c>
      <c r="AA805" s="10">
        <f>IF(Timeline!AA132=1, -(Z828+AA713), MAX(-Z828, IF(AA$4&lt;=0, AA596,(SUM($AA782:AA782)-SUM($Z805:Z805))*Timeline!AA270)))</f>
        <v>0</v>
      </c>
      <c r="AB805" s="10">
        <f>IF(Timeline!AB132=1, -(AA828+AB713), MAX(-AA828, IF(AB$4&lt;=0, AB596,(SUM($AA782:AB782)-SUM($Z805:AA805))*Timeline!AB270)))</f>
        <v>0</v>
      </c>
      <c r="AC805" s="10">
        <f>IF(Timeline!AC132=1, -(AB828+AC713), MAX(-AB828, IF(AC$4&lt;=0, AC596,(SUM($AA782:AC782)-SUM($Z805:AB805))*Timeline!AC270)))</f>
        <v>0</v>
      </c>
      <c r="AD805" s="10">
        <f>IF(Timeline!AD132=1, -(AC828+AD713), MAX(-AC828, IF(AD$4&lt;=0, AD596,(SUM($AA782:AD782)-SUM($Z805:AC805))*Timeline!AD270)))</f>
        <v>0</v>
      </c>
      <c r="AE805" s="10">
        <f>IF(Timeline!AE132=1, -(AD828+AE713), MAX(-AD828, IF(AE$4&lt;=0, AE596,(SUM($AA782:AE782)-SUM($Z805:AD805))*Timeline!AE270)))</f>
        <v>0</v>
      </c>
      <c r="AF805" s="10">
        <f>IF(Timeline!AF132=1, -(AE828+AF713), MAX(-AE828, IF(AF$4&lt;=0, AF596,(SUM($AA782:AF782)-SUM($Z805:AE805))*Timeline!AF270)))</f>
        <v>0</v>
      </c>
      <c r="AG805" s="10">
        <f>IF(Timeline!AG132=1, -(AF828+AG713), MAX(-AF828, IF(AG$4&lt;=0, AG596,(SUM($AA782:AG782)-SUM($Z805:AF805))*Timeline!AG270)))</f>
        <v>0</v>
      </c>
      <c r="AH805" s="10">
        <f>IF(Timeline!AH132=1, -(AG828+AH713), MAX(-AG828, IF(AH$4&lt;=0, AH596,(SUM($AA782:AH782)-SUM($Z805:AG805))*Timeline!AH270)))</f>
        <v>0</v>
      </c>
      <c r="AI805" s="10">
        <f>IF(Timeline!AI132=1, -(AH828+AI713), MAX(-AH828, IF(AI$4&lt;=0, AI596,(SUM($AA782:AI782)-SUM($Z805:AH805))*Timeline!AI270)))</f>
        <v>0</v>
      </c>
      <c r="AJ805" s="10">
        <f>IF(Timeline!AJ132=1, -(AI828+AJ713), MAX(-AI828, IF(AJ$4&lt;=0, AJ596,(SUM($AA782:AJ782)-SUM($Z805:AI805))*Timeline!AJ270)))</f>
        <v>0</v>
      </c>
      <c r="AK805" s="10">
        <f>IF(Timeline!AK132=1, -(AJ828+AK713), MAX(-AJ828, IF(AK$4&lt;=0, AK596,(SUM($AA782:AK782)-SUM($Z805:AJ805))*Timeline!AK270)))</f>
        <v>0</v>
      </c>
      <c r="AL805" s="10">
        <f>IF(Timeline!AL132=1, -(AK828+AL713), MAX(-AK828, IF(AL$4&lt;=0, AL596,(SUM($AA782:AL782)-SUM($Z805:AK805))*Timeline!AL270)))</f>
        <v>0</v>
      </c>
      <c r="AM805" s="10">
        <f>IF(Timeline!AM132=1, -(AL828+AM713), MAX(-AL828, IF(AM$4&lt;=0, AM596,(SUM($AA782:AM782)-SUM($Z805:AL805))*Timeline!AM270)))</f>
        <v>0</v>
      </c>
      <c r="AN805" s="10">
        <f>IF(Timeline!AN132=1, -(AM828+AN713), MAX(-AM828, IF(AN$4&lt;=0, AN596,(SUM($AA782:AN782)-SUM($Z805:AM805))*Timeline!AN270)))</f>
        <v>0</v>
      </c>
      <c r="AO805" s="10">
        <f>IF(Timeline!AO132=1, -(AN828+AO713), MAX(-AN828, IF(AO$4&lt;=0, AO596,(SUM($AA782:AO782)-SUM($Z805:AN805))*Timeline!AO270)))</f>
        <v>0</v>
      </c>
      <c r="AP805" s="10">
        <f>IF(Timeline!AP132=1, -(AO828+AP713), MAX(-AO828, IF(AP$4&lt;=0, AP596,(SUM($AA782:AP782)-SUM($Z805:AO805))*Timeline!AP270)))</f>
        <v>0</v>
      </c>
      <c r="AQ805" s="10">
        <f>IF(Timeline!AQ132=1, -(AP828+AQ713), MAX(-AP828, IF(AQ$4&lt;=0, AQ596,(SUM($AA782:AQ782)-SUM($Z805:AP805))*Timeline!AQ270)))</f>
        <v>0</v>
      </c>
      <c r="AR805" s="10">
        <f>IF(Timeline!AR132=1, -(AQ828+AR713), MAX(-AQ828, IF(AR$4&lt;=0, AR596,(SUM($AA782:AR782)-SUM($Z805:AQ805))*Timeline!AR270)))</f>
        <v>0</v>
      </c>
      <c r="AS805" s="10">
        <f>IF(Timeline!AS132=1, -(AR828+AS713), MAX(-AR828, IF(AS$4&lt;=0, AS596,(SUM($AA782:AS782)-SUM($Z805:AR805))*Timeline!AS270)))</f>
        <v>0</v>
      </c>
      <c r="AT805" s="10">
        <f>IF(Timeline!AT132=1, -(AS828+AT713), MAX(-AS828, IF(AT$4&lt;=0, AT596,(SUM($AA782:AT782)-SUM($Z805:AS805))*Timeline!AT270)))</f>
        <v>0</v>
      </c>
      <c r="AU805" s="10">
        <f>IF(Timeline!AU132=1, -(AT828+AU713), MAX(-AT828, IF(AU$4&lt;=0, AU596,(SUM($AA782:AU782)-SUM($Z805:AT805))*Timeline!AU270)))</f>
        <v>0</v>
      </c>
      <c r="AV805" s="10">
        <f>IF(Timeline!AV132=1, -(AU828+AV713), MAX(-AU828, IF(AV$4&lt;=0, AV596,(SUM($AA782:AV782)-SUM($Z805:AU805))*Timeline!AV270)))</f>
        <v>0</v>
      </c>
      <c r="AW805" s="10">
        <f>IF(Timeline!AW132=1, -(AV828+AW713), MAX(-AV828, IF(AW$4&lt;=0, AW596,(SUM($AA782:AW782)-SUM($Z805:AV805))*Timeline!AW270)))</f>
        <v>0</v>
      </c>
      <c r="AX805" s="10">
        <f>IF(Timeline!AX132=1, -(AW828+AX713), MAX(-AW828, IF(AX$4&lt;=0, AX596,(SUM($AA782:AX782)-SUM($Z805:AW805))*Timeline!AX270)))</f>
        <v>0</v>
      </c>
      <c r="AY805" s="10">
        <f>IF(Timeline!AY132=1, -(AX828+AY713), MAX(-AX828, IF(AY$4&lt;=0, AY596,(SUM($AA782:AY782)-SUM($Z805:AX805))*Timeline!AY270)))</f>
        <v>0</v>
      </c>
      <c r="AZ805" s="10">
        <f>IF(Timeline!AZ132=1, -(AY828+AZ713), MAX(-AY828, IF(AZ$4&lt;=0, AZ596,(SUM($AA782:AZ782)-SUM($Z805:AY805))*Timeline!AZ270)))</f>
        <v>0</v>
      </c>
      <c r="BA805" s="10">
        <f>IF(Timeline!BA132=1, -(AZ828+BA713), MAX(-AZ828, IF(BA$4&lt;=0, BA596,(SUM($AA782:BA782)-SUM($Z805:AZ805))*Timeline!BA270)))</f>
        <v>0</v>
      </c>
      <c r="BB805" s="10">
        <f>IF(Timeline!BB132=1, -(BA828+BB713), MAX(-BA828, IF(BB$4&lt;=0, BB596,(SUM($AA782:BB782)-SUM($Z805:BA805))*Timeline!BB270)))</f>
        <v>0</v>
      </c>
      <c r="BC805" s="10">
        <f>IF(Timeline!BC132=1, -(BB828+BC713), MAX(-BB828, IF(BC$4&lt;=0, BC596,(SUM($AA782:BC782)-SUM($Z805:BB805))*Timeline!BC270)))</f>
        <v>0</v>
      </c>
      <c r="BD805" s="10">
        <f>IF(Timeline!BD132=1, -(BC828+BD713), MAX(-BC828, IF(BD$4&lt;=0, BD596,(SUM($AA782:BD782)-SUM($Z805:BC805))*Timeline!BD270)))</f>
        <v>0</v>
      </c>
      <c r="BE805" s="10">
        <f>IF(Timeline!BE132=1, -(BD828+BE713), MAX(-BD828, IF(BE$4&lt;=0, BE596,(SUM($AA782:BE782)-SUM($Z805:BD805))*Timeline!BE270)))</f>
        <v>0</v>
      </c>
      <c r="BF805" s="10">
        <f>IF(Timeline!BF132=1, -(BE828+BF713), MAX(-BE828, IF(BF$4&lt;=0, BF596,(SUM($AA782:BF782)-SUM($Z805:BE805))*Timeline!BF270)))</f>
        <v>0</v>
      </c>
      <c r="BG805" s="10">
        <f>IF(Timeline!BG132=1, -(BF828+BG713), MAX(-BF828, IF(BG$4&lt;=0, BG596,(SUM($AA782:BG782)-SUM($Z805:BF805))*Timeline!BG270)))</f>
        <v>0</v>
      </c>
      <c r="BH805" s="10">
        <f>IF(Timeline!BH132=1, -(BG828+BH713), MAX(-BG828, IF(BH$4&lt;=0, BH596,(SUM($AA782:BH782)-SUM($Z805:BG805))*Timeline!BH270)))</f>
        <v>0</v>
      </c>
      <c r="BI805" s="10">
        <f>IF(Timeline!BI132=1, -(BH828+BI713), MAX(-BH828, IF(BI$4&lt;=0, BI596,(SUM($AA782:BI782)-SUM($Z805:BH805))*Timeline!BI270)))</f>
        <v>0</v>
      </c>
      <c r="BJ805" s="10">
        <f>IF(Timeline!BJ132=1, -(BI828+BJ713), MAX(-BI828, IF(BJ$4&lt;=0, BJ596,(SUM($AA782:BJ782)-SUM($Z805:BI805))*Timeline!BJ270)))</f>
        <v>0</v>
      </c>
      <c r="BK805" s="10">
        <f>IF(Timeline!BK132=1, -(BJ828+BK713), MAX(-BJ828, IF(BK$4&lt;=0, BK596,(SUM($AA782:BK782)-SUM($Z805:BJ805))*Timeline!BK270)))</f>
        <v>0</v>
      </c>
      <c r="BL805" s="10">
        <f>IF(Timeline!BL132=1, -(BK828+BL713), MAX(-BK828, IF(BL$4&lt;=0, BL596,(SUM($AA782:BL782)-SUM($Z805:BK805))*Timeline!BL270)))</f>
        <v>0</v>
      </c>
      <c r="BM805" s="10">
        <f>IF(Timeline!BM132=1, -(BL828+BM713), MAX(-BL828, IF(BM$4&lt;=0, BM596,(SUM($AA782:BM782)-SUM($Z805:BL805))*Timeline!BM270)))</f>
        <v>0</v>
      </c>
      <c r="BN805" s="10">
        <f>IF(Timeline!BN132=1, -(BM828+BN713), MAX(-BM828, IF(BN$4&lt;=0, BN596,(SUM($AA782:BN782)-SUM($Z805:BM805))*Timeline!BN270)))</f>
        <v>0</v>
      </c>
      <c r="BO805" s="10">
        <f>IF(Timeline!BO132=1, -(BN828+BO713), MAX(-BN828, IF(BO$4&lt;=0, BO596,(SUM($AA782:BO782)-SUM($Z805:BN805))*Timeline!BO270)))</f>
        <v>0</v>
      </c>
      <c r="BP805" s="10">
        <f>IF(Timeline!BP132=1, -(BO828+BP713), MAX(-BO828, IF(BP$4&lt;=0, BP596,(SUM($AA782:BP782)-SUM($Z805:BO805))*Timeline!BP270)))</f>
        <v>0</v>
      </c>
      <c r="BQ805" s="10">
        <f>IF(Timeline!BQ132=1, -(BP828+BQ713), MAX(-BP828, IF(BQ$4&lt;=0, BQ596,(SUM($AA782:BQ782)-SUM($Z805:BP805))*Timeline!BQ270)))</f>
        <v>0</v>
      </c>
      <c r="BR805" s="10">
        <f>IF(Timeline!BR132=1, -(BQ828+BR713), MAX(-BQ828, IF(BR$4&lt;=0, BR596,(SUM($AA782:BR782)-SUM($Z805:BQ805))*Timeline!BR270)))</f>
        <v>0</v>
      </c>
      <c r="BS805" s="10">
        <f>IF(Timeline!BS132=1, -(BR828+BS713), MAX(-BR828, IF(BS$4&lt;=0, BS596,(SUM($AA782:BS782)-SUM($Z805:BR805))*Timeline!BS270)))</f>
        <v>0</v>
      </c>
      <c r="BT805" s="10">
        <f>IF(Timeline!BT132=1, -(BS828+BT713), MAX(-BS828, IF(BT$4&lt;=0, BT596,(SUM($AA782:BT782)-SUM($Z805:BS805))*Timeline!BT270)))</f>
        <v>0</v>
      </c>
      <c r="BU805" s="10">
        <f>IF(Timeline!BU132=1, -(BT828+BU713), MAX(-BT828, IF(BU$4&lt;=0, BU596,(SUM($AA782:BU782)-SUM($Z805:BT805))*Timeline!BU270)))</f>
        <v>0</v>
      </c>
      <c r="BV805" s="10">
        <f>IF(Timeline!BV132=1, -(BU828+BV713), MAX(-BU828, IF(BV$4&lt;=0, BV596,(SUM($AA782:BV782)-SUM($Z805:BU805))*Timeline!BV270)))</f>
        <v>0</v>
      </c>
      <c r="BX805" s="12">
        <f t="shared" si="797"/>
        <v>0</v>
      </c>
      <c r="BY805" s="12">
        <f t="shared" si="798"/>
        <v>0</v>
      </c>
      <c r="BZ805" s="12">
        <f t="shared" si="799"/>
        <v>0</v>
      </c>
      <c r="CA805" s="12">
        <f t="shared" si="800"/>
        <v>0</v>
      </c>
      <c r="CB805" s="133">
        <f t="shared" si="801"/>
        <v>0</v>
      </c>
      <c r="CC805" s="106"/>
      <c r="CD805" s="106"/>
      <c r="CE805" s="106"/>
      <c r="CF805" s="106"/>
      <c r="CG805" s="106"/>
      <c r="CH805" s="106"/>
      <c r="CI805" s="106"/>
      <c r="CK805" s="11"/>
      <c r="CM805" s="11"/>
      <c r="CV805" s="120"/>
      <c r="DF805" s="11"/>
      <c r="EY805" s="10" t="str">
        <f t="shared" si="766"/>
        <v/>
      </c>
    </row>
    <row r="806" spans="2:155" x14ac:dyDescent="0.35">
      <c r="B806" s="69" t="str" cm="1">
        <f t="array" aca="1" ref="B806" ca="1">HYPERLINK(CONCATENATE("#",CELL("address",$D$417)),$D$417)</f>
        <v>Loan 20</v>
      </c>
      <c r="C806" s="211"/>
      <c r="D806" s="49">
        <f>D$32</f>
        <v>0</v>
      </c>
      <c r="E806" s="49" t="str">
        <f>F$32</f>
        <v/>
      </c>
      <c r="F806" s="49"/>
      <c r="H806" s="10">
        <f t="shared" si="794"/>
        <v>0</v>
      </c>
      <c r="I806" s="40" t="s">
        <v>1079</v>
      </c>
      <c r="V806" s="12">
        <f t="shared" si="795"/>
        <v>0</v>
      </c>
      <c r="W806" s="133">
        <f t="shared" si="796"/>
        <v>0</v>
      </c>
      <c r="X806" s="133">
        <f t="shared" si="796"/>
        <v>0</v>
      </c>
      <c r="Y806" s="133">
        <f t="shared" si="796"/>
        <v>0</v>
      </c>
      <c r="AA806" s="10">
        <f>IF(Timeline!AA133=1, -(Z829+AA714), MAX(-Z829, IF(AA$4&lt;=0, AA597,(SUM($AA783:AA783)-SUM($Z806:Z806))*Timeline!AA271)))</f>
        <v>0</v>
      </c>
      <c r="AB806" s="10">
        <f>IF(Timeline!AB133=1, -(AA829+AB714), MAX(-AA829, IF(AB$4&lt;=0, AB597,(SUM($AA783:AB783)-SUM($Z806:AA806))*Timeline!AB271)))</f>
        <v>0</v>
      </c>
      <c r="AC806" s="10">
        <f>IF(Timeline!AC133=1, -(AB829+AC714), MAX(-AB829, IF(AC$4&lt;=0, AC597,(SUM($AA783:AC783)-SUM($Z806:AB806))*Timeline!AC271)))</f>
        <v>0</v>
      </c>
      <c r="AD806" s="10">
        <f>IF(Timeline!AD133=1, -(AC829+AD714), MAX(-AC829, IF(AD$4&lt;=0, AD597,(SUM($AA783:AD783)-SUM($Z806:AC806))*Timeline!AD271)))</f>
        <v>0</v>
      </c>
      <c r="AE806" s="10">
        <f>IF(Timeline!AE133=1, -(AD829+AE714), MAX(-AD829, IF(AE$4&lt;=0, AE597,(SUM($AA783:AE783)-SUM($Z806:AD806))*Timeline!AE271)))</f>
        <v>0</v>
      </c>
      <c r="AF806" s="10">
        <f>IF(Timeline!AF133=1, -(AE829+AF714), MAX(-AE829, IF(AF$4&lt;=0, AF597,(SUM($AA783:AF783)-SUM($Z806:AE806))*Timeline!AF271)))</f>
        <v>0</v>
      </c>
      <c r="AG806" s="10">
        <f>IF(Timeline!AG133=1, -(AF829+AG714), MAX(-AF829, IF(AG$4&lt;=0, AG597,(SUM($AA783:AG783)-SUM($Z806:AF806))*Timeline!AG271)))</f>
        <v>0</v>
      </c>
      <c r="AH806" s="10">
        <f>IF(Timeline!AH133=1, -(AG829+AH714), MAX(-AG829, IF(AH$4&lt;=0, AH597,(SUM($AA783:AH783)-SUM($Z806:AG806))*Timeline!AH271)))</f>
        <v>0</v>
      </c>
      <c r="AI806" s="10">
        <f>IF(Timeline!AI133=1, -(AH829+AI714), MAX(-AH829, IF(AI$4&lt;=0, AI597,(SUM($AA783:AI783)-SUM($Z806:AH806))*Timeline!AI271)))</f>
        <v>0</v>
      </c>
      <c r="AJ806" s="10">
        <f>IF(Timeline!AJ133=1, -(AI829+AJ714), MAX(-AI829, IF(AJ$4&lt;=0, AJ597,(SUM($AA783:AJ783)-SUM($Z806:AI806))*Timeline!AJ271)))</f>
        <v>0</v>
      </c>
      <c r="AK806" s="10">
        <f>IF(Timeline!AK133=1, -(AJ829+AK714), MAX(-AJ829, IF(AK$4&lt;=0, AK597,(SUM($AA783:AK783)-SUM($Z806:AJ806))*Timeline!AK271)))</f>
        <v>0</v>
      </c>
      <c r="AL806" s="10">
        <f>IF(Timeline!AL133=1, -(AK829+AL714), MAX(-AK829, IF(AL$4&lt;=0, AL597,(SUM($AA783:AL783)-SUM($Z806:AK806))*Timeline!AL271)))</f>
        <v>0</v>
      </c>
      <c r="AM806" s="10">
        <f>IF(Timeline!AM133=1, -(AL829+AM714), MAX(-AL829, IF(AM$4&lt;=0, AM597,(SUM($AA783:AM783)-SUM($Z806:AL806))*Timeline!AM271)))</f>
        <v>0</v>
      </c>
      <c r="AN806" s="10">
        <f>IF(Timeline!AN133=1, -(AM829+AN714), MAX(-AM829, IF(AN$4&lt;=0, AN597,(SUM($AA783:AN783)-SUM($Z806:AM806))*Timeline!AN271)))</f>
        <v>0</v>
      </c>
      <c r="AO806" s="10">
        <f>IF(Timeline!AO133=1, -(AN829+AO714), MAX(-AN829, IF(AO$4&lt;=0, AO597,(SUM($AA783:AO783)-SUM($Z806:AN806))*Timeline!AO271)))</f>
        <v>0</v>
      </c>
      <c r="AP806" s="10">
        <f>IF(Timeline!AP133=1, -(AO829+AP714), MAX(-AO829, IF(AP$4&lt;=0, AP597,(SUM($AA783:AP783)-SUM($Z806:AO806))*Timeline!AP271)))</f>
        <v>0</v>
      </c>
      <c r="AQ806" s="10">
        <f>IF(Timeline!AQ133=1, -(AP829+AQ714), MAX(-AP829, IF(AQ$4&lt;=0, AQ597,(SUM($AA783:AQ783)-SUM($Z806:AP806))*Timeline!AQ271)))</f>
        <v>0</v>
      </c>
      <c r="AR806" s="10">
        <f>IF(Timeline!AR133=1, -(AQ829+AR714), MAX(-AQ829, IF(AR$4&lt;=0, AR597,(SUM($AA783:AR783)-SUM($Z806:AQ806))*Timeline!AR271)))</f>
        <v>0</v>
      </c>
      <c r="AS806" s="10">
        <f>IF(Timeline!AS133=1, -(AR829+AS714), MAX(-AR829, IF(AS$4&lt;=0, AS597,(SUM($AA783:AS783)-SUM($Z806:AR806))*Timeline!AS271)))</f>
        <v>0</v>
      </c>
      <c r="AT806" s="10">
        <f>IF(Timeline!AT133=1, -(AS829+AT714), MAX(-AS829, IF(AT$4&lt;=0, AT597,(SUM($AA783:AT783)-SUM($Z806:AS806))*Timeline!AT271)))</f>
        <v>0</v>
      </c>
      <c r="AU806" s="10">
        <f>IF(Timeline!AU133=1, -(AT829+AU714), MAX(-AT829, IF(AU$4&lt;=0, AU597,(SUM($AA783:AU783)-SUM($Z806:AT806))*Timeline!AU271)))</f>
        <v>0</v>
      </c>
      <c r="AV806" s="10">
        <f>IF(Timeline!AV133=1, -(AU829+AV714), MAX(-AU829, IF(AV$4&lt;=0, AV597,(SUM($AA783:AV783)-SUM($Z806:AU806))*Timeline!AV271)))</f>
        <v>0</v>
      </c>
      <c r="AW806" s="10">
        <f>IF(Timeline!AW133=1, -(AV829+AW714), MAX(-AV829, IF(AW$4&lt;=0, AW597,(SUM($AA783:AW783)-SUM($Z806:AV806))*Timeline!AW271)))</f>
        <v>0</v>
      </c>
      <c r="AX806" s="10">
        <f>IF(Timeline!AX133=1, -(AW829+AX714), MAX(-AW829, IF(AX$4&lt;=0, AX597,(SUM($AA783:AX783)-SUM($Z806:AW806))*Timeline!AX271)))</f>
        <v>0</v>
      </c>
      <c r="AY806" s="10">
        <f>IF(Timeline!AY133=1, -(AX829+AY714), MAX(-AX829, IF(AY$4&lt;=0, AY597,(SUM($AA783:AY783)-SUM($Z806:AX806))*Timeline!AY271)))</f>
        <v>0</v>
      </c>
      <c r="AZ806" s="10">
        <f>IF(Timeline!AZ133=1, -(AY829+AZ714), MAX(-AY829, IF(AZ$4&lt;=0, AZ597,(SUM($AA783:AZ783)-SUM($Z806:AY806))*Timeline!AZ271)))</f>
        <v>0</v>
      </c>
      <c r="BA806" s="10">
        <f>IF(Timeline!BA133=1, -(AZ829+BA714), MAX(-AZ829, IF(BA$4&lt;=0, BA597,(SUM($AA783:BA783)-SUM($Z806:AZ806))*Timeline!BA271)))</f>
        <v>0</v>
      </c>
      <c r="BB806" s="10">
        <f>IF(Timeline!BB133=1, -(BA829+BB714), MAX(-BA829, IF(BB$4&lt;=0, BB597,(SUM($AA783:BB783)-SUM($Z806:BA806))*Timeline!BB271)))</f>
        <v>0</v>
      </c>
      <c r="BC806" s="10">
        <f>IF(Timeline!BC133=1, -(BB829+BC714), MAX(-BB829, IF(BC$4&lt;=0, BC597,(SUM($AA783:BC783)-SUM($Z806:BB806))*Timeline!BC271)))</f>
        <v>0</v>
      </c>
      <c r="BD806" s="10">
        <f>IF(Timeline!BD133=1, -(BC829+BD714), MAX(-BC829, IF(BD$4&lt;=0, BD597,(SUM($AA783:BD783)-SUM($Z806:BC806))*Timeline!BD271)))</f>
        <v>0</v>
      </c>
      <c r="BE806" s="10">
        <f>IF(Timeline!BE133=1, -(BD829+BE714), MAX(-BD829, IF(BE$4&lt;=0, BE597,(SUM($AA783:BE783)-SUM($Z806:BD806))*Timeline!BE271)))</f>
        <v>0</v>
      </c>
      <c r="BF806" s="10">
        <f>IF(Timeline!BF133=1, -(BE829+BF714), MAX(-BE829, IF(BF$4&lt;=0, BF597,(SUM($AA783:BF783)-SUM($Z806:BE806))*Timeline!BF271)))</f>
        <v>0</v>
      </c>
      <c r="BG806" s="10">
        <f>IF(Timeline!BG133=1, -(BF829+BG714), MAX(-BF829, IF(BG$4&lt;=0, BG597,(SUM($AA783:BG783)-SUM($Z806:BF806))*Timeline!BG271)))</f>
        <v>0</v>
      </c>
      <c r="BH806" s="10">
        <f>IF(Timeline!BH133=1, -(BG829+BH714), MAX(-BG829, IF(BH$4&lt;=0, BH597,(SUM($AA783:BH783)-SUM($Z806:BG806))*Timeline!BH271)))</f>
        <v>0</v>
      </c>
      <c r="BI806" s="10">
        <f>IF(Timeline!BI133=1, -(BH829+BI714), MAX(-BH829, IF(BI$4&lt;=0, BI597,(SUM($AA783:BI783)-SUM($Z806:BH806))*Timeline!BI271)))</f>
        <v>0</v>
      </c>
      <c r="BJ806" s="10">
        <f>IF(Timeline!BJ133=1, -(BI829+BJ714), MAX(-BI829, IF(BJ$4&lt;=0, BJ597,(SUM($AA783:BJ783)-SUM($Z806:BI806))*Timeline!BJ271)))</f>
        <v>0</v>
      </c>
      <c r="BK806" s="10">
        <f>IF(Timeline!BK133=1, -(BJ829+BK714), MAX(-BJ829, IF(BK$4&lt;=0, BK597,(SUM($AA783:BK783)-SUM($Z806:BJ806))*Timeline!BK271)))</f>
        <v>0</v>
      </c>
      <c r="BL806" s="10">
        <f>IF(Timeline!BL133=1, -(BK829+BL714), MAX(-BK829, IF(BL$4&lt;=0, BL597,(SUM($AA783:BL783)-SUM($Z806:BK806))*Timeline!BL271)))</f>
        <v>0</v>
      </c>
      <c r="BM806" s="10">
        <f>IF(Timeline!BM133=1, -(BL829+BM714), MAX(-BL829, IF(BM$4&lt;=0, BM597,(SUM($AA783:BM783)-SUM($Z806:BL806))*Timeline!BM271)))</f>
        <v>0</v>
      </c>
      <c r="BN806" s="10">
        <f>IF(Timeline!BN133=1, -(BM829+BN714), MAX(-BM829, IF(BN$4&lt;=0, BN597,(SUM($AA783:BN783)-SUM($Z806:BM806))*Timeline!BN271)))</f>
        <v>0</v>
      </c>
      <c r="BO806" s="10">
        <f>IF(Timeline!BO133=1, -(BN829+BO714), MAX(-BN829, IF(BO$4&lt;=0, BO597,(SUM($AA783:BO783)-SUM($Z806:BN806))*Timeline!BO271)))</f>
        <v>0</v>
      </c>
      <c r="BP806" s="10">
        <f>IF(Timeline!BP133=1, -(BO829+BP714), MAX(-BO829, IF(BP$4&lt;=0, BP597,(SUM($AA783:BP783)-SUM($Z806:BO806))*Timeline!BP271)))</f>
        <v>0</v>
      </c>
      <c r="BQ806" s="10">
        <f>IF(Timeline!BQ133=1, -(BP829+BQ714), MAX(-BP829, IF(BQ$4&lt;=0, BQ597,(SUM($AA783:BQ783)-SUM($Z806:BP806))*Timeline!BQ271)))</f>
        <v>0</v>
      </c>
      <c r="BR806" s="10">
        <f>IF(Timeline!BR133=1, -(BQ829+BR714), MAX(-BQ829, IF(BR$4&lt;=0, BR597,(SUM($AA783:BR783)-SUM($Z806:BQ806))*Timeline!BR271)))</f>
        <v>0</v>
      </c>
      <c r="BS806" s="10">
        <f>IF(Timeline!BS133=1, -(BR829+BS714), MAX(-BR829, IF(BS$4&lt;=0, BS597,(SUM($AA783:BS783)-SUM($Z806:BR806))*Timeline!BS271)))</f>
        <v>0</v>
      </c>
      <c r="BT806" s="10">
        <f>IF(Timeline!BT133=1, -(BS829+BT714), MAX(-BS829, IF(BT$4&lt;=0, BT597,(SUM($AA783:BT783)-SUM($Z806:BS806))*Timeline!BT271)))</f>
        <v>0</v>
      </c>
      <c r="BU806" s="10">
        <f>IF(Timeline!BU133=1, -(BT829+BU714), MAX(-BT829, IF(BU$4&lt;=0, BU597,(SUM($AA783:BU783)-SUM($Z806:BT806))*Timeline!BU271)))</f>
        <v>0</v>
      </c>
      <c r="BV806" s="10">
        <f>IF(Timeline!BV133=1, -(BU829+BV714), MAX(-BU829, IF(BV$4&lt;=0, BV597,(SUM($AA783:BV783)-SUM($Z806:BU806))*Timeline!BV271)))</f>
        <v>0</v>
      </c>
      <c r="BX806" s="12">
        <f t="shared" si="797"/>
        <v>0</v>
      </c>
      <c r="BY806" s="12">
        <f t="shared" si="798"/>
        <v>0</v>
      </c>
      <c r="BZ806" s="12">
        <f t="shared" si="799"/>
        <v>0</v>
      </c>
      <c r="CA806" s="12">
        <f t="shared" si="800"/>
        <v>0</v>
      </c>
      <c r="CB806" s="133">
        <f t="shared" si="801"/>
        <v>0</v>
      </c>
      <c r="CC806" s="106"/>
      <c r="CD806" s="106"/>
      <c r="CE806" s="106"/>
      <c r="CF806" s="106"/>
      <c r="CG806" s="106"/>
      <c r="CH806" s="106"/>
      <c r="CI806" s="106"/>
      <c r="CK806" s="11"/>
      <c r="CM806" s="11"/>
      <c r="CV806" s="120"/>
      <c r="DF806" s="11"/>
      <c r="EY806" s="10" t="str">
        <f t="shared" si="766"/>
        <v/>
      </c>
    </row>
    <row r="807" spans="2:155" ht="6.75" customHeight="1" x14ac:dyDescent="0.35">
      <c r="C807" s="211"/>
      <c r="D807" s="1"/>
      <c r="E807"/>
      <c r="F807"/>
      <c r="BY807" s="6"/>
      <c r="CK807" s="35"/>
      <c r="CM807" s="35"/>
      <c r="CV807" s="120"/>
      <c r="DF807" s="35"/>
      <c r="EY807" s="10" t="str">
        <f t="shared" si="766"/>
        <v/>
      </c>
    </row>
    <row r="808" spans="2:155" x14ac:dyDescent="0.35">
      <c r="C808" s="211"/>
      <c r="D808" s="50" t="s">
        <v>1246</v>
      </c>
      <c r="E808"/>
      <c r="F808"/>
      <c r="CK808" s="11"/>
      <c r="CM808" s="11"/>
      <c r="CV808" s="120"/>
      <c r="DF808" s="11"/>
      <c r="EY808" s="10" t="str">
        <f t="shared" si="766"/>
        <v/>
      </c>
    </row>
    <row r="809" spans="2:155" ht="58" x14ac:dyDescent="0.35">
      <c r="B809" s="107" t="s">
        <v>1229</v>
      </c>
      <c r="C809" s="211"/>
      <c r="D809" s="107" t="str">
        <f>D$11</f>
        <v>Lender</v>
      </c>
      <c r="E809" s="61" t="str">
        <f>E$11</f>
        <v>Loan Category</v>
      </c>
      <c r="F809" s="61"/>
      <c r="G809" s="61" t="s">
        <v>1024</v>
      </c>
      <c r="H809" s="57"/>
      <c r="AA809" s="126" t="s">
        <v>122</v>
      </c>
      <c r="AU809" s="207"/>
      <c r="CK809" s="11"/>
      <c r="CM809" s="11"/>
      <c r="CV809" s="120"/>
      <c r="DF809" s="11"/>
      <c r="EY809" s="10" t="str">
        <f t="shared" si="766"/>
        <v/>
      </c>
    </row>
    <row r="810" spans="2:155" x14ac:dyDescent="0.35">
      <c r="B810" s="69" t="str" cm="1">
        <f t="array" aca="1" ref="B810" ca="1">HYPERLINK(CONCATENATE("#",CELL("address",$D$56)),$D$56)</f>
        <v>Loan 1</v>
      </c>
      <c r="C810" s="211"/>
      <c r="D810" s="49">
        <f>D$13</f>
        <v>0</v>
      </c>
      <c r="E810" s="49" t="str">
        <f>F$13</f>
        <v/>
      </c>
      <c r="F810" s="49"/>
      <c r="G810" s="133">
        <f t="shared" ref="G810:G829" si="802">I13</f>
        <v>0</v>
      </c>
      <c r="H810" s="9"/>
      <c r="I810" s="40" t="s">
        <v>1079</v>
      </c>
      <c r="J810" s="54"/>
      <c r="V810" s="12">
        <f t="shared" ref="V810:V829" si="803">G810</f>
        <v>0</v>
      </c>
      <c r="W810" s="10">
        <f t="shared" ref="W810:Y829" si="804">INDEX($AA810:$BV810, MATCH(W$5, $AA$5:$BV$5))</f>
        <v>0</v>
      </c>
      <c r="X810" s="10">
        <f t="shared" si="804"/>
        <v>0</v>
      </c>
      <c r="Y810" s="10">
        <f t="shared" si="804"/>
        <v>0</v>
      </c>
      <c r="AA810" s="10">
        <f>IF(Timeline!AA$18=1, $G810, Z810)+AA695+AA787</f>
        <v>0</v>
      </c>
      <c r="AB810" s="10">
        <f>IF(Timeline!AB$18=1, $G810, AA810)+AB695+AB787</f>
        <v>0</v>
      </c>
      <c r="AC810" s="10">
        <f>IF(Timeline!AC$18=1, $G810, AB810)+AC695+AC787</f>
        <v>0</v>
      </c>
      <c r="AD810" s="10">
        <f>IF(Timeline!AD$18=1, $G810, AC810)+AD695+AD787</f>
        <v>0</v>
      </c>
      <c r="AE810" s="10">
        <f>IF(Timeline!AE$18=1, $G810, AD810)+AE695+AE787</f>
        <v>0</v>
      </c>
      <c r="AF810" s="10">
        <f>IF(Timeline!AF$18=1, $G810, AE810)+AF695+AF787</f>
        <v>0</v>
      </c>
      <c r="AG810" s="10">
        <f>IF(Timeline!AG$18=1, $G810, AF810)+AG695+AG787</f>
        <v>0</v>
      </c>
      <c r="AH810" s="10">
        <f>IF(Timeline!AH$18=1, $G810, AG810)+AH695+AH787</f>
        <v>0</v>
      </c>
      <c r="AI810" s="10">
        <f>IF(Timeline!AI$18=1, $G810, AH810)+AI695+AI787</f>
        <v>0</v>
      </c>
      <c r="AJ810" s="10">
        <f>IF(Timeline!AJ$18=1, $G810, AI810)+AJ695+AJ787</f>
        <v>0</v>
      </c>
      <c r="AK810" s="10">
        <f>IF(Timeline!AK$18=1, $G810, AJ810)+AK695+AK787</f>
        <v>0</v>
      </c>
      <c r="AL810" s="10">
        <f>IF(Timeline!AL$18=1, $G810, AK810)+AL695+AL787</f>
        <v>0</v>
      </c>
      <c r="AM810" s="10">
        <f>IF(Timeline!AM$18=1, $G810, AL810)+AM695+AM787</f>
        <v>0</v>
      </c>
      <c r="AN810" s="10">
        <f>IF(Timeline!AN$18=1, $G810, AM810)+AN695+AN787</f>
        <v>0</v>
      </c>
      <c r="AO810" s="10">
        <f>IF(Timeline!AO$18=1, $G810, AN810)+AO695+AO787</f>
        <v>0</v>
      </c>
      <c r="AP810" s="10">
        <f>IF(Timeline!AP$18=1, $G810, AO810)+AP695+AP787</f>
        <v>0</v>
      </c>
      <c r="AQ810" s="10">
        <f>IF(Timeline!AQ$18=1, $G810, AP810)+AQ695+AQ787</f>
        <v>0</v>
      </c>
      <c r="AR810" s="10">
        <f>IF(Timeline!AR$18=1, $G810, AQ810)+AR695+AR787</f>
        <v>0</v>
      </c>
      <c r="AS810" s="10">
        <f>IF(Timeline!AS$18=1, $G810, AR810)+AS695+AS787</f>
        <v>0</v>
      </c>
      <c r="AT810" s="10">
        <f>IF(Timeline!AT$18=1, $G810, AS810)+AT695+AT787</f>
        <v>0</v>
      </c>
      <c r="AU810" s="10">
        <f>IF(Timeline!AU$18=1, $G810, AT810)+AU695+AU787</f>
        <v>0</v>
      </c>
      <c r="AV810" s="10">
        <f>IF(Timeline!AV$18=1, $G810, AU810)+AV695+AV787</f>
        <v>0</v>
      </c>
      <c r="AW810" s="10">
        <f>IF(Timeline!AW$18=1, $G810, AV810)+AW695+AW787</f>
        <v>0</v>
      </c>
      <c r="AX810" s="10">
        <f>IF(Timeline!AX$18=1, $G810, AW810)+AX695+AX787</f>
        <v>0</v>
      </c>
      <c r="AY810" s="10">
        <f>IF(Timeline!AY$18=1, $G810, AX810)+AY695+AY787</f>
        <v>0</v>
      </c>
      <c r="AZ810" s="10">
        <f>IF(Timeline!AZ$18=1, $G810, AY810)+AZ695+AZ787</f>
        <v>0</v>
      </c>
      <c r="BA810" s="10">
        <f>IF(Timeline!BA$18=1, $G810, AZ810)+BA695+BA787</f>
        <v>0</v>
      </c>
      <c r="BB810" s="10">
        <f>IF(Timeline!BB$18=1, $G810, BA810)+BB695+BB787</f>
        <v>0</v>
      </c>
      <c r="BC810" s="10">
        <f>IF(Timeline!BC$18=1, $G810, BB810)+BC695+BC787</f>
        <v>0</v>
      </c>
      <c r="BD810" s="10">
        <f>IF(Timeline!BD$18=1, $G810, BC810)+BD695+BD787</f>
        <v>0</v>
      </c>
      <c r="BE810" s="10">
        <f>IF(Timeline!BE$18=1, $G810, BD810)+BE695+BE787</f>
        <v>0</v>
      </c>
      <c r="BF810" s="10">
        <f>IF(Timeline!BF$18=1, $G810, BE810)+BF695+BF787</f>
        <v>0</v>
      </c>
      <c r="BG810" s="10">
        <f>IF(Timeline!BG$18=1, $G810, BF810)+BG695+BG787</f>
        <v>0</v>
      </c>
      <c r="BH810" s="10">
        <f>IF(Timeline!BH$18=1, $G810, BG810)+BH695+BH787</f>
        <v>0</v>
      </c>
      <c r="BI810" s="10">
        <f>IF(Timeline!BI$18=1, $G810, BH810)+BI695+BI787</f>
        <v>0</v>
      </c>
      <c r="BJ810" s="10">
        <f>IF(Timeline!BJ$18=1, $G810, BI810)+BJ695+BJ787</f>
        <v>0</v>
      </c>
      <c r="BK810" s="10">
        <f>IF(Timeline!BK$18=1, $G810, BJ810)+BK695+BK787</f>
        <v>0</v>
      </c>
      <c r="BL810" s="10">
        <f>IF(Timeline!BL$18=1, $G810, BK810)+BL695+BL787</f>
        <v>0</v>
      </c>
      <c r="BM810" s="10">
        <f>IF(Timeline!BM$18=1, $G810, BL810)+BM695+BM787</f>
        <v>0</v>
      </c>
      <c r="BN810" s="10">
        <f>IF(Timeline!BN$18=1, $G810, BM810)+BN695+BN787</f>
        <v>0</v>
      </c>
      <c r="BO810" s="10">
        <f>IF(Timeline!BO$18=1, $G810, BN810)+BO695+BO787</f>
        <v>0</v>
      </c>
      <c r="BP810" s="10">
        <f>IF(Timeline!BP$18=1, $G810, BO810)+BP695+BP787</f>
        <v>0</v>
      </c>
      <c r="BQ810" s="10">
        <f>IF(Timeline!BQ$18=1, $G810, BP810)+BQ695+BQ787</f>
        <v>0</v>
      </c>
      <c r="BR810" s="10">
        <f>IF(Timeline!BR$18=1, $G810, BQ810)+BR695+BR787</f>
        <v>0</v>
      </c>
      <c r="BS810" s="10">
        <f>IF(Timeline!BS$18=1, $G810, BR810)+BS695+BS787</f>
        <v>0</v>
      </c>
      <c r="BT810" s="10">
        <f>IF(Timeline!BT$18=1, $G810, BS810)+BT695+BT787</f>
        <v>0</v>
      </c>
      <c r="BU810" s="10">
        <f>IF(Timeline!BU$18=1, $G810, BT810)+BU695+BU787</f>
        <v>0</v>
      </c>
      <c r="BV810" s="10">
        <f>IF(Timeline!BV$18=1, $G810, BU810)+BV695+BV787</f>
        <v>0</v>
      </c>
      <c r="BX810" s="12">
        <f t="shared" ref="BX810:BX829" si="805">V810</f>
        <v>0</v>
      </c>
      <c r="BY810" s="12">
        <f t="shared" ref="BY810:BY829" si="806">W810</f>
        <v>0</v>
      </c>
      <c r="BZ810" s="12">
        <f t="shared" ref="BZ810:BZ829" si="807">X810</f>
        <v>0</v>
      </c>
      <c r="CA810" s="12">
        <f t="shared" ref="CA810:CA829" si="808">Y810</f>
        <v>0</v>
      </c>
      <c r="CB810" s="10">
        <f t="shared" ref="CB810:CB829" si="809">INDEX($AA810:$BV810, MATCH(CB$5, $AA$5:$BV$5))</f>
        <v>0</v>
      </c>
      <c r="CC810" s="106"/>
      <c r="CD810" s="106"/>
      <c r="CE810" s="106"/>
      <c r="CF810" s="106"/>
      <c r="CG810" s="106"/>
      <c r="CH810" s="106"/>
      <c r="CI810" s="106"/>
      <c r="CK810" s="11"/>
      <c r="CM810" s="11"/>
      <c r="CV810" s="120"/>
      <c r="DF810" s="11"/>
      <c r="EY810" s="10" t="str">
        <f t="shared" si="766"/>
        <v/>
      </c>
    </row>
    <row r="811" spans="2:155" x14ac:dyDescent="0.35">
      <c r="B811" s="69" t="str" cm="1">
        <f t="array" aca="1" ref="B811" ca="1">HYPERLINK(CONCATENATE("#",CELL("address",$D$75)),$D$75)</f>
        <v>Loan 2</v>
      </c>
      <c r="C811" s="211"/>
      <c r="D811" s="49">
        <f>D$14</f>
        <v>0</v>
      </c>
      <c r="E811" s="49" t="str">
        <f>F$14</f>
        <v/>
      </c>
      <c r="F811" s="49"/>
      <c r="G811" s="10">
        <f t="shared" si="802"/>
        <v>0</v>
      </c>
      <c r="H811" s="9"/>
      <c r="I811" s="40" t="s">
        <v>1079</v>
      </c>
      <c r="V811" s="12">
        <f t="shared" si="803"/>
        <v>0</v>
      </c>
      <c r="W811" s="10">
        <f t="shared" si="804"/>
        <v>0</v>
      </c>
      <c r="X811" s="10">
        <f t="shared" si="804"/>
        <v>0</v>
      </c>
      <c r="Y811" s="10">
        <f t="shared" si="804"/>
        <v>0</v>
      </c>
      <c r="AA811" s="10">
        <f>IF(Timeline!AA$18=1, $G811, Z811)+AA696+AA788</f>
        <v>0</v>
      </c>
      <c r="AB811" s="10">
        <f>IF(Timeline!AB$18=1, $G811, AA811)+AB696+AB788</f>
        <v>0</v>
      </c>
      <c r="AC811" s="10">
        <f>IF(Timeline!AC$18=1, $G811, AB811)+AC696+AC788</f>
        <v>0</v>
      </c>
      <c r="AD811" s="10">
        <f>IF(Timeline!AD$18=1, $G811, AC811)+AD696+AD788</f>
        <v>0</v>
      </c>
      <c r="AE811" s="10">
        <f>IF(Timeline!AE$18=1, $G811, AD811)+AE696+AE788</f>
        <v>0</v>
      </c>
      <c r="AF811" s="10">
        <f>IF(Timeline!AF$18=1, $G811, AE811)+AF696+AF788</f>
        <v>0</v>
      </c>
      <c r="AG811" s="10">
        <f>IF(Timeline!AG$18=1, $G811, AF811)+AG696+AG788</f>
        <v>0</v>
      </c>
      <c r="AH811" s="10">
        <f>IF(Timeline!AH$18=1, $G811, AG811)+AH696+AH788</f>
        <v>0</v>
      </c>
      <c r="AI811" s="10">
        <f>IF(Timeline!AI$18=1, $G811, AH811)+AI696+AI788</f>
        <v>0</v>
      </c>
      <c r="AJ811" s="10">
        <f>IF(Timeline!AJ$18=1, $G811, AI811)+AJ696+AJ788</f>
        <v>0</v>
      </c>
      <c r="AK811" s="10">
        <f>IF(Timeline!AK$18=1, $G811, AJ811)+AK696+AK788</f>
        <v>0</v>
      </c>
      <c r="AL811" s="10">
        <f>IF(Timeline!AL$18=1, $G811, AK811)+AL696+AL788</f>
        <v>0</v>
      </c>
      <c r="AM811" s="10">
        <f>IF(Timeline!AM$18=1, $G811, AL811)+AM696+AM788</f>
        <v>0</v>
      </c>
      <c r="AN811" s="10">
        <f>IF(Timeline!AN$18=1, $G811, AM811)+AN696+AN788</f>
        <v>0</v>
      </c>
      <c r="AO811" s="10">
        <f>IF(Timeline!AO$18=1, $G811, AN811)+AO696+AO788</f>
        <v>0</v>
      </c>
      <c r="AP811" s="10">
        <f>IF(Timeline!AP$18=1, $G811, AO811)+AP696+AP788</f>
        <v>0</v>
      </c>
      <c r="AQ811" s="10">
        <f>IF(Timeline!AQ$18=1, $G811, AP811)+AQ696+AQ788</f>
        <v>0</v>
      </c>
      <c r="AR811" s="10">
        <f>IF(Timeline!AR$18=1, $G811, AQ811)+AR696+AR788</f>
        <v>0</v>
      </c>
      <c r="AS811" s="10">
        <f>IF(Timeline!AS$18=1, $G811, AR811)+AS696+AS788</f>
        <v>0</v>
      </c>
      <c r="AT811" s="10">
        <f>IF(Timeline!AT$18=1, $G811, AS811)+AT696+AT788</f>
        <v>0</v>
      </c>
      <c r="AU811" s="10">
        <f>IF(Timeline!AU$18=1, $G811, AT811)+AU696+AU788</f>
        <v>0</v>
      </c>
      <c r="AV811" s="10">
        <f>IF(Timeline!AV$18=1, $G811, AU811)+AV696+AV788</f>
        <v>0</v>
      </c>
      <c r="AW811" s="10">
        <f>IF(Timeline!AW$18=1, $G811, AV811)+AW696+AW788</f>
        <v>0</v>
      </c>
      <c r="AX811" s="10">
        <f>IF(Timeline!AX$18=1, $G811, AW811)+AX696+AX788</f>
        <v>0</v>
      </c>
      <c r="AY811" s="10">
        <f>IF(Timeline!AY$18=1, $G811, AX811)+AY696+AY788</f>
        <v>0</v>
      </c>
      <c r="AZ811" s="10">
        <f>IF(Timeline!AZ$18=1, $G811, AY811)+AZ696+AZ788</f>
        <v>0</v>
      </c>
      <c r="BA811" s="10">
        <f>IF(Timeline!BA$18=1, $G811, AZ811)+BA696+BA788</f>
        <v>0</v>
      </c>
      <c r="BB811" s="10">
        <f>IF(Timeline!BB$18=1, $G811, BA811)+BB696+BB788</f>
        <v>0</v>
      </c>
      <c r="BC811" s="10">
        <f>IF(Timeline!BC$18=1, $G811, BB811)+BC696+BC788</f>
        <v>0</v>
      </c>
      <c r="BD811" s="10">
        <f>IF(Timeline!BD$18=1, $G811, BC811)+BD696+BD788</f>
        <v>0</v>
      </c>
      <c r="BE811" s="10">
        <f>IF(Timeline!BE$18=1, $G811, BD811)+BE696+BE788</f>
        <v>0</v>
      </c>
      <c r="BF811" s="10">
        <f>IF(Timeline!BF$18=1, $G811, BE811)+BF696+BF788</f>
        <v>0</v>
      </c>
      <c r="BG811" s="10">
        <f>IF(Timeline!BG$18=1, $G811, BF811)+BG696+BG788</f>
        <v>0</v>
      </c>
      <c r="BH811" s="10">
        <f>IF(Timeline!BH$18=1, $G811, BG811)+BH696+BH788</f>
        <v>0</v>
      </c>
      <c r="BI811" s="10">
        <f>IF(Timeline!BI$18=1, $G811, BH811)+BI696+BI788</f>
        <v>0</v>
      </c>
      <c r="BJ811" s="10">
        <f>IF(Timeline!BJ$18=1, $G811, BI811)+BJ696+BJ788</f>
        <v>0</v>
      </c>
      <c r="BK811" s="10">
        <f>IF(Timeline!BK$18=1, $G811, BJ811)+BK696+BK788</f>
        <v>0</v>
      </c>
      <c r="BL811" s="10">
        <f>IF(Timeline!BL$18=1, $G811, BK811)+BL696+BL788</f>
        <v>0</v>
      </c>
      <c r="BM811" s="10">
        <f>IF(Timeline!BM$18=1, $G811, BL811)+BM696+BM788</f>
        <v>0</v>
      </c>
      <c r="BN811" s="10">
        <f>IF(Timeline!BN$18=1, $G811, BM811)+BN696+BN788</f>
        <v>0</v>
      </c>
      <c r="BO811" s="10">
        <f>IF(Timeline!BO$18=1, $G811, BN811)+BO696+BO788</f>
        <v>0</v>
      </c>
      <c r="BP811" s="10">
        <f>IF(Timeline!BP$18=1, $G811, BO811)+BP696+BP788</f>
        <v>0</v>
      </c>
      <c r="BQ811" s="10">
        <f>IF(Timeline!BQ$18=1, $G811, BP811)+BQ696+BQ788</f>
        <v>0</v>
      </c>
      <c r="BR811" s="10">
        <f>IF(Timeline!BR$18=1, $G811, BQ811)+BR696+BR788</f>
        <v>0</v>
      </c>
      <c r="BS811" s="10">
        <f>IF(Timeline!BS$18=1, $G811, BR811)+BS696+BS788</f>
        <v>0</v>
      </c>
      <c r="BT811" s="10">
        <f>IF(Timeline!BT$18=1, $G811, BS811)+BT696+BT788</f>
        <v>0</v>
      </c>
      <c r="BU811" s="10">
        <f>IF(Timeline!BU$18=1, $G811, BT811)+BU696+BU788</f>
        <v>0</v>
      </c>
      <c r="BV811" s="10">
        <f>IF(Timeline!BV$18=1, $G811, BU811)+BV696+BV788</f>
        <v>0</v>
      </c>
      <c r="BX811" s="12">
        <f t="shared" si="805"/>
        <v>0</v>
      </c>
      <c r="BY811" s="12">
        <f t="shared" si="806"/>
        <v>0</v>
      </c>
      <c r="BZ811" s="12">
        <f t="shared" si="807"/>
        <v>0</v>
      </c>
      <c r="CA811" s="12">
        <f t="shared" si="808"/>
        <v>0</v>
      </c>
      <c r="CB811" s="10">
        <f t="shared" si="809"/>
        <v>0</v>
      </c>
      <c r="CC811" s="106"/>
      <c r="CD811" s="106"/>
      <c r="CE811" s="106"/>
      <c r="CF811" s="106"/>
      <c r="CG811" s="106"/>
      <c r="CH811" s="106"/>
      <c r="CI811" s="106"/>
      <c r="CK811" s="11"/>
      <c r="CM811" s="11"/>
      <c r="CV811" s="120"/>
      <c r="DF811" s="11"/>
      <c r="EY811" s="10" t="str">
        <f t="shared" si="766"/>
        <v/>
      </c>
    </row>
    <row r="812" spans="2:155" x14ac:dyDescent="0.35">
      <c r="B812" s="69" t="str" cm="1">
        <f t="array" aca="1" ref="B812" ca="1">HYPERLINK(CONCATENATE("#",CELL("address",$D$94)),$D$94)</f>
        <v>Loan 3</v>
      </c>
      <c r="C812" s="211"/>
      <c r="D812" s="49">
        <f>D$15</f>
        <v>0</v>
      </c>
      <c r="E812" s="49" t="str">
        <f>F$15</f>
        <v/>
      </c>
      <c r="F812" s="49"/>
      <c r="G812" s="10">
        <f t="shared" si="802"/>
        <v>0</v>
      </c>
      <c r="H812" s="9"/>
      <c r="I812" s="40" t="s">
        <v>1079</v>
      </c>
      <c r="V812" s="12">
        <f t="shared" si="803"/>
        <v>0</v>
      </c>
      <c r="W812" s="10">
        <f t="shared" si="804"/>
        <v>0</v>
      </c>
      <c r="X812" s="10">
        <f t="shared" si="804"/>
        <v>0</v>
      </c>
      <c r="Y812" s="10">
        <f t="shared" si="804"/>
        <v>0</v>
      </c>
      <c r="AA812" s="10">
        <f>IF(Timeline!AA$18=1, $G812, Z812)+AA697+AA789</f>
        <v>0</v>
      </c>
      <c r="AB812" s="10">
        <f>IF(Timeline!AB$18=1, $G812, AA812)+AB697+AB789</f>
        <v>0</v>
      </c>
      <c r="AC812" s="10">
        <f>IF(Timeline!AC$18=1, $G812, AB812)+AC697+AC789</f>
        <v>0</v>
      </c>
      <c r="AD812" s="10">
        <f>IF(Timeline!AD$18=1, $G812, AC812)+AD697+AD789</f>
        <v>0</v>
      </c>
      <c r="AE812" s="10">
        <f>IF(Timeline!AE$18=1, $G812, AD812)+AE697+AE789</f>
        <v>0</v>
      </c>
      <c r="AF812" s="10">
        <f>IF(Timeline!AF$18=1, $G812, AE812)+AF697+AF789</f>
        <v>0</v>
      </c>
      <c r="AG812" s="10">
        <f>IF(Timeline!AG$18=1, $G812, AF812)+AG697+AG789</f>
        <v>0</v>
      </c>
      <c r="AH812" s="10">
        <f>IF(Timeline!AH$18=1, $G812, AG812)+AH697+AH789</f>
        <v>0</v>
      </c>
      <c r="AI812" s="10">
        <f>IF(Timeline!AI$18=1, $G812, AH812)+AI697+AI789</f>
        <v>0</v>
      </c>
      <c r="AJ812" s="10">
        <f>IF(Timeline!AJ$18=1, $G812, AI812)+AJ697+AJ789</f>
        <v>0</v>
      </c>
      <c r="AK812" s="10">
        <f>IF(Timeline!AK$18=1, $G812, AJ812)+AK697+AK789</f>
        <v>0</v>
      </c>
      <c r="AL812" s="10">
        <f>IF(Timeline!AL$18=1, $G812, AK812)+AL697+AL789</f>
        <v>0</v>
      </c>
      <c r="AM812" s="10">
        <f>IF(Timeline!AM$18=1, $G812, AL812)+AM697+AM789</f>
        <v>0</v>
      </c>
      <c r="AN812" s="10">
        <f>IF(Timeline!AN$18=1, $G812, AM812)+AN697+AN789</f>
        <v>0</v>
      </c>
      <c r="AO812" s="10">
        <f>IF(Timeline!AO$18=1, $G812, AN812)+AO697+AO789</f>
        <v>0</v>
      </c>
      <c r="AP812" s="10">
        <f>IF(Timeline!AP$18=1, $G812, AO812)+AP697+AP789</f>
        <v>0</v>
      </c>
      <c r="AQ812" s="10">
        <f>IF(Timeline!AQ$18=1, $G812, AP812)+AQ697+AQ789</f>
        <v>0</v>
      </c>
      <c r="AR812" s="10">
        <f>IF(Timeline!AR$18=1, $G812, AQ812)+AR697+AR789</f>
        <v>0</v>
      </c>
      <c r="AS812" s="10">
        <f>IF(Timeline!AS$18=1, $G812, AR812)+AS697+AS789</f>
        <v>0</v>
      </c>
      <c r="AT812" s="10">
        <f>IF(Timeline!AT$18=1, $G812, AS812)+AT697+AT789</f>
        <v>0</v>
      </c>
      <c r="AU812" s="10">
        <f>IF(Timeline!AU$18=1, $G812, AT812)+AU697+AU789</f>
        <v>0</v>
      </c>
      <c r="AV812" s="10">
        <f>IF(Timeline!AV$18=1, $G812, AU812)+AV697+AV789</f>
        <v>0</v>
      </c>
      <c r="AW812" s="10">
        <f>IF(Timeline!AW$18=1, $G812, AV812)+AW697+AW789</f>
        <v>0</v>
      </c>
      <c r="AX812" s="10">
        <f>IF(Timeline!AX$18=1, $G812, AW812)+AX697+AX789</f>
        <v>0</v>
      </c>
      <c r="AY812" s="10">
        <f>IF(Timeline!AY$18=1, $G812, AX812)+AY697+AY789</f>
        <v>0</v>
      </c>
      <c r="AZ812" s="10">
        <f>IF(Timeline!AZ$18=1, $G812, AY812)+AZ697+AZ789</f>
        <v>0</v>
      </c>
      <c r="BA812" s="10">
        <f>IF(Timeline!BA$18=1, $G812, AZ812)+BA697+BA789</f>
        <v>0</v>
      </c>
      <c r="BB812" s="10">
        <f>IF(Timeline!BB$18=1, $G812, BA812)+BB697+BB789</f>
        <v>0</v>
      </c>
      <c r="BC812" s="10">
        <f>IF(Timeline!BC$18=1, $G812, BB812)+BC697+BC789</f>
        <v>0</v>
      </c>
      <c r="BD812" s="10">
        <f>IF(Timeline!BD$18=1, $G812, BC812)+BD697+BD789</f>
        <v>0</v>
      </c>
      <c r="BE812" s="10">
        <f>IF(Timeline!BE$18=1, $G812, BD812)+BE697+BE789</f>
        <v>0</v>
      </c>
      <c r="BF812" s="10">
        <f>IF(Timeline!BF$18=1, $G812, BE812)+BF697+BF789</f>
        <v>0</v>
      </c>
      <c r="BG812" s="10">
        <f>IF(Timeline!BG$18=1, $G812, BF812)+BG697+BG789</f>
        <v>0</v>
      </c>
      <c r="BH812" s="10">
        <f>IF(Timeline!BH$18=1, $G812, BG812)+BH697+BH789</f>
        <v>0</v>
      </c>
      <c r="BI812" s="10">
        <f>IF(Timeline!BI$18=1, $G812, BH812)+BI697+BI789</f>
        <v>0</v>
      </c>
      <c r="BJ812" s="10">
        <f>IF(Timeline!BJ$18=1, $G812, BI812)+BJ697+BJ789</f>
        <v>0</v>
      </c>
      <c r="BK812" s="10">
        <f>IF(Timeline!BK$18=1, $G812, BJ812)+BK697+BK789</f>
        <v>0</v>
      </c>
      <c r="BL812" s="10">
        <f>IF(Timeline!BL$18=1, $G812, BK812)+BL697+BL789</f>
        <v>0</v>
      </c>
      <c r="BM812" s="10">
        <f>IF(Timeline!BM$18=1, $G812, BL812)+BM697+BM789</f>
        <v>0</v>
      </c>
      <c r="BN812" s="10">
        <f>IF(Timeline!BN$18=1, $G812, BM812)+BN697+BN789</f>
        <v>0</v>
      </c>
      <c r="BO812" s="10">
        <f>IF(Timeline!BO$18=1, $G812, BN812)+BO697+BO789</f>
        <v>0</v>
      </c>
      <c r="BP812" s="10">
        <f>IF(Timeline!BP$18=1, $G812, BO812)+BP697+BP789</f>
        <v>0</v>
      </c>
      <c r="BQ812" s="10">
        <f>IF(Timeline!BQ$18=1, $G812, BP812)+BQ697+BQ789</f>
        <v>0</v>
      </c>
      <c r="BR812" s="10">
        <f>IF(Timeline!BR$18=1, $G812, BQ812)+BR697+BR789</f>
        <v>0</v>
      </c>
      <c r="BS812" s="10">
        <f>IF(Timeline!BS$18=1, $G812, BR812)+BS697+BS789</f>
        <v>0</v>
      </c>
      <c r="BT812" s="10">
        <f>IF(Timeline!BT$18=1, $G812, BS812)+BT697+BT789</f>
        <v>0</v>
      </c>
      <c r="BU812" s="10">
        <f>IF(Timeline!BU$18=1, $G812, BT812)+BU697+BU789</f>
        <v>0</v>
      </c>
      <c r="BV812" s="10">
        <f>IF(Timeline!BV$18=1, $G812, BU812)+BV697+BV789</f>
        <v>0</v>
      </c>
      <c r="BX812" s="12">
        <f t="shared" si="805"/>
        <v>0</v>
      </c>
      <c r="BY812" s="12">
        <f t="shared" si="806"/>
        <v>0</v>
      </c>
      <c r="BZ812" s="12">
        <f t="shared" si="807"/>
        <v>0</v>
      </c>
      <c r="CA812" s="12">
        <f t="shared" si="808"/>
        <v>0</v>
      </c>
      <c r="CB812" s="10">
        <f t="shared" si="809"/>
        <v>0</v>
      </c>
      <c r="CC812" s="106"/>
      <c r="CD812" s="106"/>
      <c r="CE812" s="106"/>
      <c r="CF812" s="106"/>
      <c r="CG812" s="106"/>
      <c r="CH812" s="106"/>
      <c r="CI812" s="106"/>
      <c r="CK812" s="11"/>
      <c r="CM812" s="11"/>
      <c r="CV812" s="120"/>
      <c r="DF812" s="11"/>
      <c r="EY812" s="10" t="str">
        <f t="shared" si="766"/>
        <v/>
      </c>
    </row>
    <row r="813" spans="2:155" x14ac:dyDescent="0.35">
      <c r="B813" s="69" t="str" cm="1">
        <f t="array" aca="1" ref="B813" ca="1">HYPERLINK(CONCATENATE("#",CELL("address",$D$113)),$D$113)</f>
        <v>Loan 4</v>
      </c>
      <c r="C813" s="211"/>
      <c r="D813" s="49">
        <f>D$16</f>
        <v>0</v>
      </c>
      <c r="E813" s="49" t="str">
        <f>F$16</f>
        <v/>
      </c>
      <c r="F813" s="49"/>
      <c r="G813" s="10">
        <f t="shared" si="802"/>
        <v>0</v>
      </c>
      <c r="H813" s="9"/>
      <c r="I813" s="40" t="s">
        <v>1079</v>
      </c>
      <c r="V813" s="12">
        <f t="shared" si="803"/>
        <v>0</v>
      </c>
      <c r="W813" s="10">
        <f t="shared" si="804"/>
        <v>0</v>
      </c>
      <c r="X813" s="10">
        <f t="shared" si="804"/>
        <v>0</v>
      </c>
      <c r="Y813" s="10">
        <f t="shared" si="804"/>
        <v>0</v>
      </c>
      <c r="AA813" s="10">
        <f>IF(Timeline!AA$18=1, $G813, Z813)+AA698+AA790</f>
        <v>0</v>
      </c>
      <c r="AB813" s="10">
        <f>IF(Timeline!AB$18=1, $G813, AA813)+AB698+AB790</f>
        <v>0</v>
      </c>
      <c r="AC813" s="10">
        <f>IF(Timeline!AC$18=1, $G813, AB813)+AC698+AC790</f>
        <v>0</v>
      </c>
      <c r="AD813" s="10">
        <f>IF(Timeline!AD$18=1, $G813, AC813)+AD698+AD790</f>
        <v>0</v>
      </c>
      <c r="AE813" s="10">
        <f>IF(Timeline!AE$18=1, $G813, AD813)+AE698+AE790</f>
        <v>0</v>
      </c>
      <c r="AF813" s="10">
        <f>IF(Timeline!AF$18=1, $G813, AE813)+AF698+AF790</f>
        <v>0</v>
      </c>
      <c r="AG813" s="10">
        <f>IF(Timeline!AG$18=1, $G813, AF813)+AG698+AG790</f>
        <v>0</v>
      </c>
      <c r="AH813" s="10">
        <f>IF(Timeline!AH$18=1, $G813, AG813)+AH698+AH790</f>
        <v>0</v>
      </c>
      <c r="AI813" s="10">
        <f>IF(Timeline!AI$18=1, $G813, AH813)+AI698+AI790</f>
        <v>0</v>
      </c>
      <c r="AJ813" s="10">
        <f>IF(Timeline!AJ$18=1, $G813, AI813)+AJ698+AJ790</f>
        <v>0</v>
      </c>
      <c r="AK813" s="10">
        <f>IF(Timeline!AK$18=1, $G813, AJ813)+AK698+AK790</f>
        <v>0</v>
      </c>
      <c r="AL813" s="10">
        <f>IF(Timeline!AL$18=1, $G813, AK813)+AL698+AL790</f>
        <v>0</v>
      </c>
      <c r="AM813" s="10">
        <f>IF(Timeline!AM$18=1, $G813, AL813)+AM698+AM790</f>
        <v>0</v>
      </c>
      <c r="AN813" s="10">
        <f>IF(Timeline!AN$18=1, $G813, AM813)+AN698+AN790</f>
        <v>0</v>
      </c>
      <c r="AO813" s="10">
        <f>IF(Timeline!AO$18=1, $G813, AN813)+AO698+AO790</f>
        <v>0</v>
      </c>
      <c r="AP813" s="10">
        <f>IF(Timeline!AP$18=1, $G813, AO813)+AP698+AP790</f>
        <v>0</v>
      </c>
      <c r="AQ813" s="10">
        <f>IF(Timeline!AQ$18=1, $G813, AP813)+AQ698+AQ790</f>
        <v>0</v>
      </c>
      <c r="AR813" s="10">
        <f>IF(Timeline!AR$18=1, $G813, AQ813)+AR698+AR790</f>
        <v>0</v>
      </c>
      <c r="AS813" s="10">
        <f>IF(Timeline!AS$18=1, $G813, AR813)+AS698+AS790</f>
        <v>0</v>
      </c>
      <c r="AT813" s="10">
        <f>IF(Timeline!AT$18=1, $G813, AS813)+AT698+AT790</f>
        <v>0</v>
      </c>
      <c r="AU813" s="10">
        <f>IF(Timeline!AU$18=1, $G813, AT813)+AU698+AU790</f>
        <v>0</v>
      </c>
      <c r="AV813" s="10">
        <f>IF(Timeline!AV$18=1, $G813, AU813)+AV698+AV790</f>
        <v>0</v>
      </c>
      <c r="AW813" s="10">
        <f>IF(Timeline!AW$18=1, $G813, AV813)+AW698+AW790</f>
        <v>0</v>
      </c>
      <c r="AX813" s="10">
        <f>IF(Timeline!AX$18=1, $G813, AW813)+AX698+AX790</f>
        <v>0</v>
      </c>
      <c r="AY813" s="10">
        <f>IF(Timeline!AY$18=1, $G813, AX813)+AY698+AY790</f>
        <v>0</v>
      </c>
      <c r="AZ813" s="10">
        <f>IF(Timeline!AZ$18=1, $G813, AY813)+AZ698+AZ790</f>
        <v>0</v>
      </c>
      <c r="BA813" s="10">
        <f>IF(Timeline!BA$18=1, $G813, AZ813)+BA698+BA790</f>
        <v>0</v>
      </c>
      <c r="BB813" s="10">
        <f>IF(Timeline!BB$18=1, $G813, BA813)+BB698+BB790</f>
        <v>0</v>
      </c>
      <c r="BC813" s="10">
        <f>IF(Timeline!BC$18=1, $G813, BB813)+BC698+BC790</f>
        <v>0</v>
      </c>
      <c r="BD813" s="10">
        <f>IF(Timeline!BD$18=1, $G813, BC813)+BD698+BD790</f>
        <v>0</v>
      </c>
      <c r="BE813" s="10">
        <f>IF(Timeline!BE$18=1, $G813, BD813)+BE698+BE790</f>
        <v>0</v>
      </c>
      <c r="BF813" s="10">
        <f>IF(Timeline!BF$18=1, $G813, BE813)+BF698+BF790</f>
        <v>0</v>
      </c>
      <c r="BG813" s="10">
        <f>IF(Timeline!BG$18=1, $G813, BF813)+BG698+BG790</f>
        <v>0</v>
      </c>
      <c r="BH813" s="10">
        <f>IF(Timeline!BH$18=1, $G813, BG813)+BH698+BH790</f>
        <v>0</v>
      </c>
      <c r="BI813" s="10">
        <f>IF(Timeline!BI$18=1, $G813, BH813)+BI698+BI790</f>
        <v>0</v>
      </c>
      <c r="BJ813" s="10">
        <f>IF(Timeline!BJ$18=1, $G813, BI813)+BJ698+BJ790</f>
        <v>0</v>
      </c>
      <c r="BK813" s="10">
        <f>IF(Timeline!BK$18=1, $G813, BJ813)+BK698+BK790</f>
        <v>0</v>
      </c>
      <c r="BL813" s="10">
        <f>IF(Timeline!BL$18=1, $G813, BK813)+BL698+BL790</f>
        <v>0</v>
      </c>
      <c r="BM813" s="10">
        <f>IF(Timeline!BM$18=1, $G813, BL813)+BM698+BM790</f>
        <v>0</v>
      </c>
      <c r="BN813" s="10">
        <f>IF(Timeline!BN$18=1, $G813, BM813)+BN698+BN790</f>
        <v>0</v>
      </c>
      <c r="BO813" s="10">
        <f>IF(Timeline!BO$18=1, $G813, BN813)+BO698+BO790</f>
        <v>0</v>
      </c>
      <c r="BP813" s="10">
        <f>IF(Timeline!BP$18=1, $G813, BO813)+BP698+BP790</f>
        <v>0</v>
      </c>
      <c r="BQ813" s="10">
        <f>IF(Timeline!BQ$18=1, $G813, BP813)+BQ698+BQ790</f>
        <v>0</v>
      </c>
      <c r="BR813" s="10">
        <f>IF(Timeline!BR$18=1, $G813, BQ813)+BR698+BR790</f>
        <v>0</v>
      </c>
      <c r="BS813" s="10">
        <f>IF(Timeline!BS$18=1, $G813, BR813)+BS698+BS790</f>
        <v>0</v>
      </c>
      <c r="BT813" s="10">
        <f>IF(Timeline!BT$18=1, $G813, BS813)+BT698+BT790</f>
        <v>0</v>
      </c>
      <c r="BU813" s="10">
        <f>IF(Timeline!BU$18=1, $G813, BT813)+BU698+BU790</f>
        <v>0</v>
      </c>
      <c r="BV813" s="10">
        <f>IF(Timeline!BV$18=1, $G813, BU813)+BV698+BV790</f>
        <v>0</v>
      </c>
      <c r="BX813" s="12">
        <f t="shared" si="805"/>
        <v>0</v>
      </c>
      <c r="BY813" s="12">
        <f t="shared" si="806"/>
        <v>0</v>
      </c>
      <c r="BZ813" s="12">
        <f t="shared" si="807"/>
        <v>0</v>
      </c>
      <c r="CA813" s="12">
        <f t="shared" si="808"/>
        <v>0</v>
      </c>
      <c r="CB813" s="10">
        <f t="shared" si="809"/>
        <v>0</v>
      </c>
      <c r="CC813" s="106"/>
      <c r="CD813" s="106"/>
      <c r="CE813" s="106"/>
      <c r="CF813" s="106"/>
      <c r="CG813" s="106"/>
      <c r="CH813" s="106"/>
      <c r="CI813" s="106"/>
      <c r="CK813" s="11"/>
      <c r="CM813" s="11"/>
      <c r="CV813" s="120"/>
      <c r="DF813" s="11"/>
      <c r="EY813" s="10" t="str">
        <f t="shared" si="766"/>
        <v/>
      </c>
    </row>
    <row r="814" spans="2:155" x14ac:dyDescent="0.35">
      <c r="B814" s="69" t="str" cm="1">
        <f t="array" aca="1" ref="B814" ca="1">HYPERLINK(CONCATENATE("#",CELL("address",$D$132)),$D$132)</f>
        <v>Loan 5</v>
      </c>
      <c r="C814" s="211"/>
      <c r="D814" s="49">
        <f>D$17</f>
        <v>0</v>
      </c>
      <c r="E814" s="49" t="str">
        <f>F$17</f>
        <v/>
      </c>
      <c r="F814" s="49"/>
      <c r="G814" s="10">
        <f t="shared" si="802"/>
        <v>0</v>
      </c>
      <c r="H814" s="242"/>
      <c r="I814" s="40" t="s">
        <v>1079</v>
      </c>
      <c r="V814" s="12">
        <f t="shared" si="803"/>
        <v>0</v>
      </c>
      <c r="W814" s="10">
        <f t="shared" si="804"/>
        <v>0</v>
      </c>
      <c r="X814" s="10">
        <f t="shared" si="804"/>
        <v>0</v>
      </c>
      <c r="Y814" s="10">
        <f t="shared" si="804"/>
        <v>0</v>
      </c>
      <c r="AA814" s="10">
        <f>IF(Timeline!AA$18=1, $G814, Z814)+AA699+AA791</f>
        <v>0</v>
      </c>
      <c r="AB814" s="10">
        <f>IF(Timeline!AB$18=1, $G814, AA814)+AB699+AB791</f>
        <v>0</v>
      </c>
      <c r="AC814" s="10">
        <f>IF(Timeline!AC$18=1, $G814, AB814)+AC699+AC791</f>
        <v>0</v>
      </c>
      <c r="AD814" s="10">
        <f>IF(Timeline!AD$18=1, $G814, AC814)+AD699+AD791</f>
        <v>0</v>
      </c>
      <c r="AE814" s="10">
        <f>IF(Timeline!AE$18=1, $G814, AD814)+AE699+AE791</f>
        <v>0</v>
      </c>
      <c r="AF814" s="10">
        <f>IF(Timeline!AF$18=1, $G814, AE814)+AF699+AF791</f>
        <v>0</v>
      </c>
      <c r="AG814" s="10">
        <f>IF(Timeline!AG$18=1, $G814, AF814)+AG699+AG791</f>
        <v>0</v>
      </c>
      <c r="AH814" s="10">
        <f>IF(Timeline!AH$18=1, $G814, AG814)+AH699+AH791</f>
        <v>0</v>
      </c>
      <c r="AI814" s="10">
        <f>IF(Timeline!AI$18=1, $G814, AH814)+AI699+AI791</f>
        <v>0</v>
      </c>
      <c r="AJ814" s="10">
        <f>IF(Timeline!AJ$18=1, $G814, AI814)+AJ699+AJ791</f>
        <v>0</v>
      </c>
      <c r="AK814" s="10">
        <f>IF(Timeline!AK$18=1, $G814, AJ814)+AK699+AK791</f>
        <v>0</v>
      </c>
      <c r="AL814" s="10">
        <f>IF(Timeline!AL$18=1, $G814, AK814)+AL699+AL791</f>
        <v>0</v>
      </c>
      <c r="AM814" s="10">
        <f>IF(Timeline!AM$18=1, $G814, AL814)+AM699+AM791</f>
        <v>0</v>
      </c>
      <c r="AN814" s="10">
        <f>IF(Timeline!AN$18=1, $G814, AM814)+AN699+AN791</f>
        <v>0</v>
      </c>
      <c r="AO814" s="10">
        <f>IF(Timeline!AO$18=1, $G814, AN814)+AO699+AO791</f>
        <v>0</v>
      </c>
      <c r="AP814" s="10">
        <f>IF(Timeline!AP$18=1, $G814, AO814)+AP699+AP791</f>
        <v>0</v>
      </c>
      <c r="AQ814" s="10">
        <f>IF(Timeline!AQ$18=1, $G814, AP814)+AQ699+AQ791</f>
        <v>0</v>
      </c>
      <c r="AR814" s="10">
        <f>IF(Timeline!AR$18=1, $G814, AQ814)+AR699+AR791</f>
        <v>0</v>
      </c>
      <c r="AS814" s="10">
        <f>IF(Timeline!AS$18=1, $G814, AR814)+AS699+AS791</f>
        <v>0</v>
      </c>
      <c r="AT814" s="10">
        <f>IF(Timeline!AT$18=1, $G814, AS814)+AT699+AT791</f>
        <v>0</v>
      </c>
      <c r="AU814" s="10">
        <f>IF(Timeline!AU$18=1, $G814, AT814)+AU699+AU791</f>
        <v>0</v>
      </c>
      <c r="AV814" s="10">
        <f>IF(Timeline!AV$18=1, $G814, AU814)+AV699+AV791</f>
        <v>0</v>
      </c>
      <c r="AW814" s="10">
        <f>IF(Timeline!AW$18=1, $G814, AV814)+AW699+AW791</f>
        <v>0</v>
      </c>
      <c r="AX814" s="10">
        <f>IF(Timeline!AX$18=1, $G814, AW814)+AX699+AX791</f>
        <v>0</v>
      </c>
      <c r="AY814" s="10">
        <f>IF(Timeline!AY$18=1, $G814, AX814)+AY699+AY791</f>
        <v>0</v>
      </c>
      <c r="AZ814" s="10">
        <f>IF(Timeline!AZ$18=1, $G814, AY814)+AZ699+AZ791</f>
        <v>0</v>
      </c>
      <c r="BA814" s="10">
        <f>IF(Timeline!BA$18=1, $G814, AZ814)+BA699+BA791</f>
        <v>0</v>
      </c>
      <c r="BB814" s="10">
        <f>IF(Timeline!BB$18=1, $G814, BA814)+BB699+BB791</f>
        <v>0</v>
      </c>
      <c r="BC814" s="10">
        <f>IF(Timeline!BC$18=1, $G814, BB814)+BC699+BC791</f>
        <v>0</v>
      </c>
      <c r="BD814" s="10">
        <f>IF(Timeline!BD$18=1, $G814, BC814)+BD699+BD791</f>
        <v>0</v>
      </c>
      <c r="BE814" s="10">
        <f>IF(Timeline!BE$18=1, $G814, BD814)+BE699+BE791</f>
        <v>0</v>
      </c>
      <c r="BF814" s="10">
        <f>IF(Timeline!BF$18=1, $G814, BE814)+BF699+BF791</f>
        <v>0</v>
      </c>
      <c r="BG814" s="10">
        <f>IF(Timeline!BG$18=1, $G814, BF814)+BG699+BG791</f>
        <v>0</v>
      </c>
      <c r="BH814" s="10">
        <f>IF(Timeline!BH$18=1, $G814, BG814)+BH699+BH791</f>
        <v>0</v>
      </c>
      <c r="BI814" s="10">
        <f>IF(Timeline!BI$18=1, $G814, BH814)+BI699+BI791</f>
        <v>0</v>
      </c>
      <c r="BJ814" s="10">
        <f>IF(Timeline!BJ$18=1, $G814, BI814)+BJ699+BJ791</f>
        <v>0</v>
      </c>
      <c r="BK814" s="10">
        <f>IF(Timeline!BK$18=1, $G814, BJ814)+BK699+BK791</f>
        <v>0</v>
      </c>
      <c r="BL814" s="10">
        <f>IF(Timeline!BL$18=1, $G814, BK814)+BL699+BL791</f>
        <v>0</v>
      </c>
      <c r="BM814" s="10">
        <f>IF(Timeline!BM$18=1, $G814, BL814)+BM699+BM791</f>
        <v>0</v>
      </c>
      <c r="BN814" s="10">
        <f>IF(Timeline!BN$18=1, $G814, BM814)+BN699+BN791</f>
        <v>0</v>
      </c>
      <c r="BO814" s="10">
        <f>IF(Timeline!BO$18=1, $G814, BN814)+BO699+BO791</f>
        <v>0</v>
      </c>
      <c r="BP814" s="10">
        <f>IF(Timeline!BP$18=1, $G814, BO814)+BP699+BP791</f>
        <v>0</v>
      </c>
      <c r="BQ814" s="10">
        <f>IF(Timeline!BQ$18=1, $G814, BP814)+BQ699+BQ791</f>
        <v>0</v>
      </c>
      <c r="BR814" s="10">
        <f>IF(Timeline!BR$18=1, $G814, BQ814)+BR699+BR791</f>
        <v>0</v>
      </c>
      <c r="BS814" s="10">
        <f>IF(Timeline!BS$18=1, $G814, BR814)+BS699+BS791</f>
        <v>0</v>
      </c>
      <c r="BT814" s="10">
        <f>IF(Timeline!BT$18=1, $G814, BS814)+BT699+BT791</f>
        <v>0</v>
      </c>
      <c r="BU814" s="10">
        <f>IF(Timeline!BU$18=1, $G814, BT814)+BU699+BU791</f>
        <v>0</v>
      </c>
      <c r="BV814" s="10">
        <f>IF(Timeline!BV$18=1, $G814, BU814)+BV699+BV791</f>
        <v>0</v>
      </c>
      <c r="BX814" s="12">
        <f t="shared" si="805"/>
        <v>0</v>
      </c>
      <c r="BY814" s="12">
        <f t="shared" si="806"/>
        <v>0</v>
      </c>
      <c r="BZ814" s="12">
        <f t="shared" si="807"/>
        <v>0</v>
      </c>
      <c r="CA814" s="12">
        <f t="shared" si="808"/>
        <v>0</v>
      </c>
      <c r="CB814" s="10">
        <f t="shared" si="809"/>
        <v>0</v>
      </c>
      <c r="CC814" s="106"/>
      <c r="CD814" s="106"/>
      <c r="CE814" s="106"/>
      <c r="CF814" s="106"/>
      <c r="CG814" s="106"/>
      <c r="CH814" s="106"/>
      <c r="CI814" s="106"/>
      <c r="CK814" s="11"/>
      <c r="CM814" s="11"/>
      <c r="CV814" s="120"/>
      <c r="DF814" s="11"/>
      <c r="EY814" s="10" t="str">
        <f t="shared" si="766"/>
        <v/>
      </c>
    </row>
    <row r="815" spans="2:155" x14ac:dyDescent="0.35">
      <c r="B815" s="69" t="str" cm="1">
        <f t="array" aca="1" ref="B815" ca="1">HYPERLINK(CONCATENATE("#",CELL("address",$D$151)),$D$151)</f>
        <v>Loan 6</v>
      </c>
      <c r="C815" s="211"/>
      <c r="D815" s="49">
        <f>D$18</f>
        <v>0</v>
      </c>
      <c r="E815" s="49" t="str">
        <f>F$18</f>
        <v/>
      </c>
      <c r="F815" s="49"/>
      <c r="G815" s="10">
        <f t="shared" si="802"/>
        <v>0</v>
      </c>
      <c r="H815" s="9"/>
      <c r="I815" s="40" t="s">
        <v>1079</v>
      </c>
      <c r="V815" s="12">
        <f t="shared" si="803"/>
        <v>0</v>
      </c>
      <c r="W815" s="10">
        <f t="shared" si="804"/>
        <v>0</v>
      </c>
      <c r="X815" s="10">
        <f t="shared" si="804"/>
        <v>0</v>
      </c>
      <c r="Y815" s="10">
        <f t="shared" si="804"/>
        <v>0</v>
      </c>
      <c r="AA815" s="10">
        <f>IF(Timeline!AA$18=1, $G815, Z815)+AA700+AA792</f>
        <v>0</v>
      </c>
      <c r="AB815" s="10">
        <f>IF(Timeline!AB$18=1, $G815, AA815)+AB700+AB792</f>
        <v>0</v>
      </c>
      <c r="AC815" s="10">
        <f>IF(Timeline!AC$18=1, $G815, AB815)+AC700+AC792</f>
        <v>0</v>
      </c>
      <c r="AD815" s="10">
        <f>IF(Timeline!AD$18=1, $G815, AC815)+AD700+AD792</f>
        <v>0</v>
      </c>
      <c r="AE815" s="10">
        <f>IF(Timeline!AE$18=1, $G815, AD815)+AE700+AE792</f>
        <v>0</v>
      </c>
      <c r="AF815" s="10">
        <f>IF(Timeline!AF$18=1, $G815, AE815)+AF700+AF792</f>
        <v>0</v>
      </c>
      <c r="AG815" s="10">
        <f>IF(Timeline!AG$18=1, $G815, AF815)+AG700+AG792</f>
        <v>0</v>
      </c>
      <c r="AH815" s="10">
        <f>IF(Timeline!AH$18=1, $G815, AG815)+AH700+AH792</f>
        <v>0</v>
      </c>
      <c r="AI815" s="10">
        <f>IF(Timeline!AI$18=1, $G815, AH815)+AI700+AI792</f>
        <v>0</v>
      </c>
      <c r="AJ815" s="10">
        <f>IF(Timeline!AJ$18=1, $G815, AI815)+AJ700+AJ792</f>
        <v>0</v>
      </c>
      <c r="AK815" s="10">
        <f>IF(Timeline!AK$18=1, $G815, AJ815)+AK700+AK792</f>
        <v>0</v>
      </c>
      <c r="AL815" s="10">
        <f>IF(Timeline!AL$18=1, $G815, AK815)+AL700+AL792</f>
        <v>0</v>
      </c>
      <c r="AM815" s="10">
        <f>IF(Timeline!AM$18=1, $G815, AL815)+AM700+AM792</f>
        <v>0</v>
      </c>
      <c r="AN815" s="10">
        <f>IF(Timeline!AN$18=1, $G815, AM815)+AN700+AN792</f>
        <v>0</v>
      </c>
      <c r="AO815" s="10">
        <f>IF(Timeline!AO$18=1, $G815, AN815)+AO700+AO792</f>
        <v>0</v>
      </c>
      <c r="AP815" s="10">
        <f>IF(Timeline!AP$18=1, $G815, AO815)+AP700+AP792</f>
        <v>0</v>
      </c>
      <c r="AQ815" s="10">
        <f>IF(Timeline!AQ$18=1, $G815, AP815)+AQ700+AQ792</f>
        <v>0</v>
      </c>
      <c r="AR815" s="10">
        <f>IF(Timeline!AR$18=1, $G815, AQ815)+AR700+AR792</f>
        <v>0</v>
      </c>
      <c r="AS815" s="10">
        <f>IF(Timeline!AS$18=1, $G815, AR815)+AS700+AS792</f>
        <v>0</v>
      </c>
      <c r="AT815" s="10">
        <f>IF(Timeline!AT$18=1, $G815, AS815)+AT700+AT792</f>
        <v>0</v>
      </c>
      <c r="AU815" s="10">
        <f>IF(Timeline!AU$18=1, $G815, AT815)+AU700+AU792</f>
        <v>0</v>
      </c>
      <c r="AV815" s="10">
        <f>IF(Timeline!AV$18=1, $G815, AU815)+AV700+AV792</f>
        <v>0</v>
      </c>
      <c r="AW815" s="10">
        <f>IF(Timeline!AW$18=1, $G815, AV815)+AW700+AW792</f>
        <v>0</v>
      </c>
      <c r="AX815" s="10">
        <f>IF(Timeline!AX$18=1, $G815, AW815)+AX700+AX792</f>
        <v>0</v>
      </c>
      <c r="AY815" s="10">
        <f>IF(Timeline!AY$18=1, $G815, AX815)+AY700+AY792</f>
        <v>0</v>
      </c>
      <c r="AZ815" s="10">
        <f>IF(Timeline!AZ$18=1, $G815, AY815)+AZ700+AZ792</f>
        <v>0</v>
      </c>
      <c r="BA815" s="10">
        <f>IF(Timeline!BA$18=1, $G815, AZ815)+BA700+BA792</f>
        <v>0</v>
      </c>
      <c r="BB815" s="10">
        <f>IF(Timeline!BB$18=1, $G815, BA815)+BB700+BB792</f>
        <v>0</v>
      </c>
      <c r="BC815" s="10">
        <f>IF(Timeline!BC$18=1, $G815, BB815)+BC700+BC792</f>
        <v>0</v>
      </c>
      <c r="BD815" s="10">
        <f>IF(Timeline!BD$18=1, $G815, BC815)+BD700+BD792</f>
        <v>0</v>
      </c>
      <c r="BE815" s="10">
        <f>IF(Timeline!BE$18=1, $G815, BD815)+BE700+BE792</f>
        <v>0</v>
      </c>
      <c r="BF815" s="10">
        <f>IF(Timeline!BF$18=1, $G815, BE815)+BF700+BF792</f>
        <v>0</v>
      </c>
      <c r="BG815" s="10">
        <f>IF(Timeline!BG$18=1, $G815, BF815)+BG700+BG792</f>
        <v>0</v>
      </c>
      <c r="BH815" s="10">
        <f>IF(Timeline!BH$18=1, $G815, BG815)+BH700+BH792</f>
        <v>0</v>
      </c>
      <c r="BI815" s="10">
        <f>IF(Timeline!BI$18=1, $G815, BH815)+BI700+BI792</f>
        <v>0</v>
      </c>
      <c r="BJ815" s="10">
        <f>IF(Timeline!BJ$18=1, $G815, BI815)+BJ700+BJ792</f>
        <v>0</v>
      </c>
      <c r="BK815" s="10">
        <f>IF(Timeline!BK$18=1, $G815, BJ815)+BK700+BK792</f>
        <v>0</v>
      </c>
      <c r="BL815" s="10">
        <f>IF(Timeline!BL$18=1, $G815, BK815)+BL700+BL792</f>
        <v>0</v>
      </c>
      <c r="BM815" s="10">
        <f>IF(Timeline!BM$18=1, $G815, BL815)+BM700+BM792</f>
        <v>0</v>
      </c>
      <c r="BN815" s="10">
        <f>IF(Timeline!BN$18=1, $G815, BM815)+BN700+BN792</f>
        <v>0</v>
      </c>
      <c r="BO815" s="10">
        <f>IF(Timeline!BO$18=1, $G815, BN815)+BO700+BO792</f>
        <v>0</v>
      </c>
      <c r="BP815" s="10">
        <f>IF(Timeline!BP$18=1, $G815, BO815)+BP700+BP792</f>
        <v>0</v>
      </c>
      <c r="BQ815" s="10">
        <f>IF(Timeline!BQ$18=1, $G815, BP815)+BQ700+BQ792</f>
        <v>0</v>
      </c>
      <c r="BR815" s="10">
        <f>IF(Timeline!BR$18=1, $G815, BQ815)+BR700+BR792</f>
        <v>0</v>
      </c>
      <c r="BS815" s="10">
        <f>IF(Timeline!BS$18=1, $G815, BR815)+BS700+BS792</f>
        <v>0</v>
      </c>
      <c r="BT815" s="10">
        <f>IF(Timeline!BT$18=1, $G815, BS815)+BT700+BT792</f>
        <v>0</v>
      </c>
      <c r="BU815" s="10">
        <f>IF(Timeline!BU$18=1, $G815, BT815)+BU700+BU792</f>
        <v>0</v>
      </c>
      <c r="BV815" s="10">
        <f>IF(Timeline!BV$18=1, $G815, BU815)+BV700+BV792</f>
        <v>0</v>
      </c>
      <c r="BX815" s="12">
        <f t="shared" si="805"/>
        <v>0</v>
      </c>
      <c r="BY815" s="12">
        <f t="shared" si="806"/>
        <v>0</v>
      </c>
      <c r="BZ815" s="12">
        <f t="shared" si="807"/>
        <v>0</v>
      </c>
      <c r="CA815" s="12">
        <f t="shared" si="808"/>
        <v>0</v>
      </c>
      <c r="CB815" s="10">
        <f t="shared" si="809"/>
        <v>0</v>
      </c>
      <c r="CC815" s="106"/>
      <c r="CD815" s="106"/>
      <c r="CE815" s="106"/>
      <c r="CF815" s="106"/>
      <c r="CG815" s="106"/>
      <c r="CH815" s="106"/>
      <c r="CI815" s="106"/>
      <c r="CK815" s="11"/>
      <c r="CM815" s="11"/>
      <c r="CV815" s="120"/>
      <c r="DF815" s="11"/>
      <c r="EY815" s="10" t="str">
        <f t="shared" si="766"/>
        <v/>
      </c>
    </row>
    <row r="816" spans="2:155" x14ac:dyDescent="0.35">
      <c r="B816" s="69" t="str" cm="1">
        <f t="array" aca="1" ref="B816" ca="1">HYPERLINK(CONCATENATE("#",CELL("address",$D$170)),$D$170)</f>
        <v>Loan 7</v>
      </c>
      <c r="C816" s="211"/>
      <c r="D816" s="49">
        <f>D$19</f>
        <v>0</v>
      </c>
      <c r="E816" s="49" t="str">
        <f>F$19</f>
        <v/>
      </c>
      <c r="F816" s="49"/>
      <c r="G816" s="10">
        <f t="shared" si="802"/>
        <v>0</v>
      </c>
      <c r="H816" s="9"/>
      <c r="I816" s="40" t="s">
        <v>1079</v>
      </c>
      <c r="V816" s="12">
        <f t="shared" si="803"/>
        <v>0</v>
      </c>
      <c r="W816" s="10">
        <f t="shared" si="804"/>
        <v>0</v>
      </c>
      <c r="X816" s="10">
        <f t="shared" si="804"/>
        <v>0</v>
      </c>
      <c r="Y816" s="10">
        <f t="shared" si="804"/>
        <v>0</v>
      </c>
      <c r="AA816" s="10">
        <f>IF(Timeline!AA$18=1, $G816, Z816)+AA701+AA793</f>
        <v>0</v>
      </c>
      <c r="AB816" s="10">
        <f>IF(Timeline!AB$18=1, $G816, AA816)+AB701+AB793</f>
        <v>0</v>
      </c>
      <c r="AC816" s="10">
        <f>IF(Timeline!AC$18=1, $G816, AB816)+AC701+AC793</f>
        <v>0</v>
      </c>
      <c r="AD816" s="10">
        <f>IF(Timeline!AD$18=1, $G816, AC816)+AD701+AD793</f>
        <v>0</v>
      </c>
      <c r="AE816" s="10">
        <f>IF(Timeline!AE$18=1, $G816, AD816)+AE701+AE793</f>
        <v>0</v>
      </c>
      <c r="AF816" s="10">
        <f>IF(Timeline!AF$18=1, $G816, AE816)+AF701+AF793</f>
        <v>0</v>
      </c>
      <c r="AG816" s="10">
        <f>IF(Timeline!AG$18=1, $G816, AF816)+AG701+AG793</f>
        <v>0</v>
      </c>
      <c r="AH816" s="10">
        <f>IF(Timeline!AH$18=1, $G816, AG816)+AH701+AH793</f>
        <v>0</v>
      </c>
      <c r="AI816" s="10">
        <f>IF(Timeline!AI$18=1, $G816, AH816)+AI701+AI793</f>
        <v>0</v>
      </c>
      <c r="AJ816" s="10">
        <f>IF(Timeline!AJ$18=1, $G816, AI816)+AJ701+AJ793</f>
        <v>0</v>
      </c>
      <c r="AK816" s="10">
        <f>IF(Timeline!AK$18=1, $G816, AJ816)+AK701+AK793</f>
        <v>0</v>
      </c>
      <c r="AL816" s="10">
        <f>IF(Timeline!AL$18=1, $G816, AK816)+AL701+AL793</f>
        <v>0</v>
      </c>
      <c r="AM816" s="10">
        <f>IF(Timeline!AM$18=1, $G816, AL816)+AM701+AM793</f>
        <v>0</v>
      </c>
      <c r="AN816" s="10">
        <f>IF(Timeline!AN$18=1, $G816, AM816)+AN701+AN793</f>
        <v>0</v>
      </c>
      <c r="AO816" s="10">
        <f>IF(Timeline!AO$18=1, $G816, AN816)+AO701+AO793</f>
        <v>0</v>
      </c>
      <c r="AP816" s="10">
        <f>IF(Timeline!AP$18=1, $G816, AO816)+AP701+AP793</f>
        <v>0</v>
      </c>
      <c r="AQ816" s="10">
        <f>IF(Timeline!AQ$18=1, $G816, AP816)+AQ701+AQ793</f>
        <v>0</v>
      </c>
      <c r="AR816" s="10">
        <f>IF(Timeline!AR$18=1, $G816, AQ816)+AR701+AR793</f>
        <v>0</v>
      </c>
      <c r="AS816" s="10">
        <f>IF(Timeline!AS$18=1, $G816, AR816)+AS701+AS793</f>
        <v>0</v>
      </c>
      <c r="AT816" s="10">
        <f>IF(Timeline!AT$18=1, $G816, AS816)+AT701+AT793</f>
        <v>0</v>
      </c>
      <c r="AU816" s="10">
        <f>IF(Timeline!AU$18=1, $G816, AT816)+AU701+AU793</f>
        <v>0</v>
      </c>
      <c r="AV816" s="10">
        <f>IF(Timeline!AV$18=1, $G816, AU816)+AV701+AV793</f>
        <v>0</v>
      </c>
      <c r="AW816" s="10">
        <f>IF(Timeline!AW$18=1, $G816, AV816)+AW701+AW793</f>
        <v>0</v>
      </c>
      <c r="AX816" s="10">
        <f>IF(Timeline!AX$18=1, $G816, AW816)+AX701+AX793</f>
        <v>0</v>
      </c>
      <c r="AY816" s="10">
        <f>IF(Timeline!AY$18=1, $G816, AX816)+AY701+AY793</f>
        <v>0</v>
      </c>
      <c r="AZ816" s="10">
        <f>IF(Timeline!AZ$18=1, $G816, AY816)+AZ701+AZ793</f>
        <v>0</v>
      </c>
      <c r="BA816" s="10">
        <f>IF(Timeline!BA$18=1, $G816, AZ816)+BA701+BA793</f>
        <v>0</v>
      </c>
      <c r="BB816" s="10">
        <f>IF(Timeline!BB$18=1, $G816, BA816)+BB701+BB793</f>
        <v>0</v>
      </c>
      <c r="BC816" s="10">
        <f>IF(Timeline!BC$18=1, $G816, BB816)+BC701+BC793</f>
        <v>0</v>
      </c>
      <c r="BD816" s="10">
        <f>IF(Timeline!BD$18=1, $G816, BC816)+BD701+BD793</f>
        <v>0</v>
      </c>
      <c r="BE816" s="10">
        <f>IF(Timeline!BE$18=1, $G816, BD816)+BE701+BE793</f>
        <v>0</v>
      </c>
      <c r="BF816" s="10">
        <f>IF(Timeline!BF$18=1, $G816, BE816)+BF701+BF793</f>
        <v>0</v>
      </c>
      <c r="BG816" s="10">
        <f>IF(Timeline!BG$18=1, $G816, BF816)+BG701+BG793</f>
        <v>0</v>
      </c>
      <c r="BH816" s="10">
        <f>IF(Timeline!BH$18=1, $G816, BG816)+BH701+BH793</f>
        <v>0</v>
      </c>
      <c r="BI816" s="10">
        <f>IF(Timeline!BI$18=1, $G816, BH816)+BI701+BI793</f>
        <v>0</v>
      </c>
      <c r="BJ816" s="10">
        <f>IF(Timeline!BJ$18=1, $G816, BI816)+BJ701+BJ793</f>
        <v>0</v>
      </c>
      <c r="BK816" s="10">
        <f>IF(Timeline!BK$18=1, $G816, BJ816)+BK701+BK793</f>
        <v>0</v>
      </c>
      <c r="BL816" s="10">
        <f>IF(Timeline!BL$18=1, $G816, BK816)+BL701+BL793</f>
        <v>0</v>
      </c>
      <c r="BM816" s="10">
        <f>IF(Timeline!BM$18=1, $G816, BL816)+BM701+BM793</f>
        <v>0</v>
      </c>
      <c r="BN816" s="10">
        <f>IF(Timeline!BN$18=1, $G816, BM816)+BN701+BN793</f>
        <v>0</v>
      </c>
      <c r="BO816" s="10">
        <f>IF(Timeline!BO$18=1, $G816, BN816)+BO701+BO793</f>
        <v>0</v>
      </c>
      <c r="BP816" s="10">
        <f>IF(Timeline!BP$18=1, $G816, BO816)+BP701+BP793</f>
        <v>0</v>
      </c>
      <c r="BQ816" s="10">
        <f>IF(Timeline!BQ$18=1, $G816, BP816)+BQ701+BQ793</f>
        <v>0</v>
      </c>
      <c r="BR816" s="10">
        <f>IF(Timeline!BR$18=1, $G816, BQ816)+BR701+BR793</f>
        <v>0</v>
      </c>
      <c r="BS816" s="10">
        <f>IF(Timeline!BS$18=1, $G816, BR816)+BS701+BS793</f>
        <v>0</v>
      </c>
      <c r="BT816" s="10">
        <f>IF(Timeline!BT$18=1, $G816, BS816)+BT701+BT793</f>
        <v>0</v>
      </c>
      <c r="BU816" s="10">
        <f>IF(Timeline!BU$18=1, $G816, BT816)+BU701+BU793</f>
        <v>0</v>
      </c>
      <c r="BV816" s="10">
        <f>IF(Timeline!BV$18=1, $G816, BU816)+BV701+BV793</f>
        <v>0</v>
      </c>
      <c r="BX816" s="12">
        <f t="shared" si="805"/>
        <v>0</v>
      </c>
      <c r="BY816" s="12">
        <f t="shared" si="806"/>
        <v>0</v>
      </c>
      <c r="BZ816" s="12">
        <f t="shared" si="807"/>
        <v>0</v>
      </c>
      <c r="CA816" s="12">
        <f t="shared" si="808"/>
        <v>0</v>
      </c>
      <c r="CB816" s="10">
        <f t="shared" si="809"/>
        <v>0</v>
      </c>
      <c r="CC816" s="106"/>
      <c r="CD816" s="106"/>
      <c r="CE816" s="106"/>
      <c r="CF816" s="106"/>
      <c r="CG816" s="106"/>
      <c r="CH816" s="106"/>
      <c r="CI816" s="106"/>
      <c r="CK816" s="11"/>
      <c r="CM816" s="11"/>
      <c r="CV816" s="120"/>
      <c r="DF816" s="11"/>
      <c r="EY816" s="10" t="str">
        <f t="shared" si="766"/>
        <v/>
      </c>
    </row>
    <row r="817" spans="1:155" x14ac:dyDescent="0.35">
      <c r="B817" s="69" t="str" cm="1">
        <f t="array" aca="1" ref="B817" ca="1">HYPERLINK(CONCATENATE("#",CELL("address",$D$189)),$D$189)</f>
        <v>Loan 8</v>
      </c>
      <c r="C817" s="211"/>
      <c r="D817" s="49">
        <f>D$20</f>
        <v>0</v>
      </c>
      <c r="E817" s="49" t="str">
        <f>F$20</f>
        <v/>
      </c>
      <c r="F817" s="49"/>
      <c r="G817" s="10">
        <f t="shared" si="802"/>
        <v>0</v>
      </c>
      <c r="H817" s="9"/>
      <c r="I817" s="40" t="s">
        <v>1079</v>
      </c>
      <c r="V817" s="12">
        <f t="shared" si="803"/>
        <v>0</v>
      </c>
      <c r="W817" s="10">
        <f t="shared" si="804"/>
        <v>0</v>
      </c>
      <c r="X817" s="10">
        <f t="shared" si="804"/>
        <v>0</v>
      </c>
      <c r="Y817" s="10">
        <f t="shared" si="804"/>
        <v>0</v>
      </c>
      <c r="AA817" s="10">
        <f>IF(Timeline!AA$18=1, $G817, Z817)+AA702+AA794</f>
        <v>0</v>
      </c>
      <c r="AB817" s="10">
        <f>IF(Timeline!AB$18=1, $G817, AA817)+AB702+AB794</f>
        <v>0</v>
      </c>
      <c r="AC817" s="10">
        <f>IF(Timeline!AC$18=1, $G817, AB817)+AC702+AC794</f>
        <v>0</v>
      </c>
      <c r="AD817" s="10">
        <f>IF(Timeline!AD$18=1, $G817, AC817)+AD702+AD794</f>
        <v>0</v>
      </c>
      <c r="AE817" s="10">
        <f>IF(Timeline!AE$18=1, $G817, AD817)+AE702+AE794</f>
        <v>0</v>
      </c>
      <c r="AF817" s="10">
        <f>IF(Timeline!AF$18=1, $G817, AE817)+AF702+AF794</f>
        <v>0</v>
      </c>
      <c r="AG817" s="10">
        <f>IF(Timeline!AG$18=1, $G817, AF817)+AG702+AG794</f>
        <v>0</v>
      </c>
      <c r="AH817" s="10">
        <f>IF(Timeline!AH$18=1, $G817, AG817)+AH702+AH794</f>
        <v>0</v>
      </c>
      <c r="AI817" s="10">
        <f>IF(Timeline!AI$18=1, $G817, AH817)+AI702+AI794</f>
        <v>0</v>
      </c>
      <c r="AJ817" s="10">
        <f>IF(Timeline!AJ$18=1, $G817, AI817)+AJ702+AJ794</f>
        <v>0</v>
      </c>
      <c r="AK817" s="10">
        <f>IF(Timeline!AK$18=1, $G817, AJ817)+AK702+AK794</f>
        <v>0</v>
      </c>
      <c r="AL817" s="10">
        <f>IF(Timeline!AL$18=1, $G817, AK817)+AL702+AL794</f>
        <v>0</v>
      </c>
      <c r="AM817" s="10">
        <f>IF(Timeline!AM$18=1, $G817, AL817)+AM702+AM794</f>
        <v>0</v>
      </c>
      <c r="AN817" s="10">
        <f>IF(Timeline!AN$18=1, $G817, AM817)+AN702+AN794</f>
        <v>0</v>
      </c>
      <c r="AO817" s="10">
        <f>IF(Timeline!AO$18=1, $G817, AN817)+AO702+AO794</f>
        <v>0</v>
      </c>
      <c r="AP817" s="10">
        <f>IF(Timeline!AP$18=1, $G817, AO817)+AP702+AP794</f>
        <v>0</v>
      </c>
      <c r="AQ817" s="10">
        <f>IF(Timeline!AQ$18=1, $G817, AP817)+AQ702+AQ794</f>
        <v>0</v>
      </c>
      <c r="AR817" s="10">
        <f>IF(Timeline!AR$18=1, $G817, AQ817)+AR702+AR794</f>
        <v>0</v>
      </c>
      <c r="AS817" s="10">
        <f>IF(Timeline!AS$18=1, $G817, AR817)+AS702+AS794</f>
        <v>0</v>
      </c>
      <c r="AT817" s="10">
        <f>IF(Timeline!AT$18=1, $G817, AS817)+AT702+AT794</f>
        <v>0</v>
      </c>
      <c r="AU817" s="10">
        <f>IF(Timeline!AU$18=1, $G817, AT817)+AU702+AU794</f>
        <v>0</v>
      </c>
      <c r="AV817" s="10">
        <f>IF(Timeline!AV$18=1, $G817, AU817)+AV702+AV794</f>
        <v>0</v>
      </c>
      <c r="AW817" s="10">
        <f>IF(Timeline!AW$18=1, $G817, AV817)+AW702+AW794</f>
        <v>0</v>
      </c>
      <c r="AX817" s="10">
        <f>IF(Timeline!AX$18=1, $G817, AW817)+AX702+AX794</f>
        <v>0</v>
      </c>
      <c r="AY817" s="10">
        <f>IF(Timeline!AY$18=1, $G817, AX817)+AY702+AY794</f>
        <v>0</v>
      </c>
      <c r="AZ817" s="10">
        <f>IF(Timeline!AZ$18=1, $G817, AY817)+AZ702+AZ794</f>
        <v>0</v>
      </c>
      <c r="BA817" s="10">
        <f>IF(Timeline!BA$18=1, $G817, AZ817)+BA702+BA794</f>
        <v>0</v>
      </c>
      <c r="BB817" s="10">
        <f>IF(Timeline!BB$18=1, $G817, BA817)+BB702+BB794</f>
        <v>0</v>
      </c>
      <c r="BC817" s="10">
        <f>IF(Timeline!BC$18=1, $G817, BB817)+BC702+BC794</f>
        <v>0</v>
      </c>
      <c r="BD817" s="10">
        <f>IF(Timeline!BD$18=1, $G817, BC817)+BD702+BD794</f>
        <v>0</v>
      </c>
      <c r="BE817" s="10">
        <f>IF(Timeline!BE$18=1, $G817, BD817)+BE702+BE794</f>
        <v>0</v>
      </c>
      <c r="BF817" s="10">
        <f>IF(Timeline!BF$18=1, $G817, BE817)+BF702+BF794</f>
        <v>0</v>
      </c>
      <c r="BG817" s="10">
        <f>IF(Timeline!BG$18=1, $G817, BF817)+BG702+BG794</f>
        <v>0</v>
      </c>
      <c r="BH817" s="10">
        <f>IF(Timeline!BH$18=1, $G817, BG817)+BH702+BH794</f>
        <v>0</v>
      </c>
      <c r="BI817" s="10">
        <f>IF(Timeline!BI$18=1, $G817, BH817)+BI702+BI794</f>
        <v>0</v>
      </c>
      <c r="BJ817" s="10">
        <f>IF(Timeline!BJ$18=1, $G817, BI817)+BJ702+BJ794</f>
        <v>0</v>
      </c>
      <c r="BK817" s="10">
        <f>IF(Timeline!BK$18=1, $G817, BJ817)+BK702+BK794</f>
        <v>0</v>
      </c>
      <c r="BL817" s="10">
        <f>IF(Timeline!BL$18=1, $G817, BK817)+BL702+BL794</f>
        <v>0</v>
      </c>
      <c r="BM817" s="10">
        <f>IF(Timeline!BM$18=1, $G817, BL817)+BM702+BM794</f>
        <v>0</v>
      </c>
      <c r="BN817" s="10">
        <f>IF(Timeline!BN$18=1, $G817, BM817)+BN702+BN794</f>
        <v>0</v>
      </c>
      <c r="BO817" s="10">
        <f>IF(Timeline!BO$18=1, $G817, BN817)+BO702+BO794</f>
        <v>0</v>
      </c>
      <c r="BP817" s="10">
        <f>IF(Timeline!BP$18=1, $G817, BO817)+BP702+BP794</f>
        <v>0</v>
      </c>
      <c r="BQ817" s="10">
        <f>IF(Timeline!BQ$18=1, $G817, BP817)+BQ702+BQ794</f>
        <v>0</v>
      </c>
      <c r="BR817" s="10">
        <f>IF(Timeline!BR$18=1, $G817, BQ817)+BR702+BR794</f>
        <v>0</v>
      </c>
      <c r="BS817" s="10">
        <f>IF(Timeline!BS$18=1, $G817, BR817)+BS702+BS794</f>
        <v>0</v>
      </c>
      <c r="BT817" s="10">
        <f>IF(Timeline!BT$18=1, $G817, BS817)+BT702+BT794</f>
        <v>0</v>
      </c>
      <c r="BU817" s="10">
        <f>IF(Timeline!BU$18=1, $G817, BT817)+BU702+BU794</f>
        <v>0</v>
      </c>
      <c r="BV817" s="10">
        <f>IF(Timeline!BV$18=1, $G817, BU817)+BV702+BV794</f>
        <v>0</v>
      </c>
      <c r="BX817" s="12">
        <f t="shared" si="805"/>
        <v>0</v>
      </c>
      <c r="BY817" s="12">
        <f t="shared" si="806"/>
        <v>0</v>
      </c>
      <c r="BZ817" s="12">
        <f t="shared" si="807"/>
        <v>0</v>
      </c>
      <c r="CA817" s="12">
        <f t="shared" si="808"/>
        <v>0</v>
      </c>
      <c r="CB817" s="10">
        <f t="shared" si="809"/>
        <v>0</v>
      </c>
      <c r="CC817" s="106"/>
      <c r="CD817" s="106"/>
      <c r="CE817" s="106"/>
      <c r="CF817" s="106"/>
      <c r="CG817" s="106"/>
      <c r="CH817" s="106"/>
      <c r="CI817" s="106"/>
      <c r="CK817" s="11"/>
      <c r="CM817" s="11"/>
      <c r="CV817" s="120"/>
      <c r="DF817" s="11"/>
      <c r="EY817" s="10" t="str">
        <f t="shared" si="766"/>
        <v/>
      </c>
    </row>
    <row r="818" spans="1:155" x14ac:dyDescent="0.35">
      <c r="B818" s="69" t="str" cm="1">
        <f t="array" aca="1" ref="B818" ca="1">HYPERLINK(CONCATENATE("#",CELL("address",$D$208)),$D$208)</f>
        <v>Loan 9</v>
      </c>
      <c r="C818" s="211"/>
      <c r="D818" s="49">
        <f>D$21</f>
        <v>0</v>
      </c>
      <c r="E818" s="49" t="str">
        <f>F$21</f>
        <v/>
      </c>
      <c r="F818" s="49"/>
      <c r="G818" s="10">
        <f t="shared" si="802"/>
        <v>0</v>
      </c>
      <c r="H818" s="9"/>
      <c r="I818" s="40" t="s">
        <v>1079</v>
      </c>
      <c r="V818" s="12">
        <f t="shared" si="803"/>
        <v>0</v>
      </c>
      <c r="W818" s="10">
        <f t="shared" si="804"/>
        <v>0</v>
      </c>
      <c r="X818" s="10">
        <f t="shared" si="804"/>
        <v>0</v>
      </c>
      <c r="Y818" s="10">
        <f t="shared" si="804"/>
        <v>0</v>
      </c>
      <c r="AA818" s="10">
        <f>IF(Timeline!AA$18=1, $G818, Z818)+AA703+AA795</f>
        <v>0</v>
      </c>
      <c r="AB818" s="10">
        <f>IF(Timeline!AB$18=1, $G818, AA818)+AB703+AB795</f>
        <v>0</v>
      </c>
      <c r="AC818" s="10">
        <f>IF(Timeline!AC$18=1, $G818, AB818)+AC703+AC795</f>
        <v>0</v>
      </c>
      <c r="AD818" s="10">
        <f>IF(Timeline!AD$18=1, $G818, AC818)+AD703+AD795</f>
        <v>0</v>
      </c>
      <c r="AE818" s="10">
        <f>IF(Timeline!AE$18=1, $G818, AD818)+AE703+AE795</f>
        <v>0</v>
      </c>
      <c r="AF818" s="10">
        <f>IF(Timeline!AF$18=1, $G818, AE818)+AF703+AF795</f>
        <v>0</v>
      </c>
      <c r="AG818" s="10">
        <f>IF(Timeline!AG$18=1, $G818, AF818)+AG703+AG795</f>
        <v>0</v>
      </c>
      <c r="AH818" s="10">
        <f>IF(Timeline!AH$18=1, $G818, AG818)+AH703+AH795</f>
        <v>0</v>
      </c>
      <c r="AI818" s="10">
        <f>IF(Timeline!AI$18=1, $G818, AH818)+AI703+AI795</f>
        <v>0</v>
      </c>
      <c r="AJ818" s="10">
        <f>IF(Timeline!AJ$18=1, $G818, AI818)+AJ703+AJ795</f>
        <v>0</v>
      </c>
      <c r="AK818" s="10">
        <f>IF(Timeline!AK$18=1, $G818, AJ818)+AK703+AK795</f>
        <v>0</v>
      </c>
      <c r="AL818" s="10">
        <f>IF(Timeline!AL$18=1, $G818, AK818)+AL703+AL795</f>
        <v>0</v>
      </c>
      <c r="AM818" s="10">
        <f>IF(Timeline!AM$18=1, $G818, AL818)+AM703+AM795</f>
        <v>0</v>
      </c>
      <c r="AN818" s="10">
        <f>IF(Timeline!AN$18=1, $G818, AM818)+AN703+AN795</f>
        <v>0</v>
      </c>
      <c r="AO818" s="10">
        <f>IF(Timeline!AO$18=1, $G818, AN818)+AO703+AO795</f>
        <v>0</v>
      </c>
      <c r="AP818" s="10">
        <f>IF(Timeline!AP$18=1, $G818, AO818)+AP703+AP795</f>
        <v>0</v>
      </c>
      <c r="AQ818" s="10">
        <f>IF(Timeline!AQ$18=1, $G818, AP818)+AQ703+AQ795</f>
        <v>0</v>
      </c>
      <c r="AR818" s="10">
        <f>IF(Timeline!AR$18=1, $G818, AQ818)+AR703+AR795</f>
        <v>0</v>
      </c>
      <c r="AS818" s="10">
        <f>IF(Timeline!AS$18=1, $G818, AR818)+AS703+AS795</f>
        <v>0</v>
      </c>
      <c r="AT818" s="10">
        <f>IF(Timeline!AT$18=1, $G818, AS818)+AT703+AT795</f>
        <v>0</v>
      </c>
      <c r="AU818" s="10">
        <f>IF(Timeline!AU$18=1, $G818, AT818)+AU703+AU795</f>
        <v>0</v>
      </c>
      <c r="AV818" s="10">
        <f>IF(Timeline!AV$18=1, $G818, AU818)+AV703+AV795</f>
        <v>0</v>
      </c>
      <c r="AW818" s="10">
        <f>IF(Timeline!AW$18=1, $G818, AV818)+AW703+AW795</f>
        <v>0</v>
      </c>
      <c r="AX818" s="10">
        <f>IF(Timeline!AX$18=1, $G818, AW818)+AX703+AX795</f>
        <v>0</v>
      </c>
      <c r="AY818" s="10">
        <f>IF(Timeline!AY$18=1, $G818, AX818)+AY703+AY795</f>
        <v>0</v>
      </c>
      <c r="AZ818" s="10">
        <f>IF(Timeline!AZ$18=1, $G818, AY818)+AZ703+AZ795</f>
        <v>0</v>
      </c>
      <c r="BA818" s="10">
        <f>IF(Timeline!BA$18=1, $G818, AZ818)+BA703+BA795</f>
        <v>0</v>
      </c>
      <c r="BB818" s="10">
        <f>IF(Timeline!BB$18=1, $G818, BA818)+BB703+BB795</f>
        <v>0</v>
      </c>
      <c r="BC818" s="10">
        <f>IF(Timeline!BC$18=1, $G818, BB818)+BC703+BC795</f>
        <v>0</v>
      </c>
      <c r="BD818" s="10">
        <f>IF(Timeline!BD$18=1, $G818, BC818)+BD703+BD795</f>
        <v>0</v>
      </c>
      <c r="BE818" s="10">
        <f>IF(Timeline!BE$18=1, $G818, BD818)+BE703+BE795</f>
        <v>0</v>
      </c>
      <c r="BF818" s="10">
        <f>IF(Timeline!BF$18=1, $G818, BE818)+BF703+BF795</f>
        <v>0</v>
      </c>
      <c r="BG818" s="10">
        <f>IF(Timeline!BG$18=1, $G818, BF818)+BG703+BG795</f>
        <v>0</v>
      </c>
      <c r="BH818" s="10">
        <f>IF(Timeline!BH$18=1, $G818, BG818)+BH703+BH795</f>
        <v>0</v>
      </c>
      <c r="BI818" s="10">
        <f>IF(Timeline!BI$18=1, $G818, BH818)+BI703+BI795</f>
        <v>0</v>
      </c>
      <c r="BJ818" s="10">
        <f>IF(Timeline!BJ$18=1, $G818, BI818)+BJ703+BJ795</f>
        <v>0</v>
      </c>
      <c r="BK818" s="10">
        <f>IF(Timeline!BK$18=1, $G818, BJ818)+BK703+BK795</f>
        <v>0</v>
      </c>
      <c r="BL818" s="10">
        <f>IF(Timeline!BL$18=1, $G818, BK818)+BL703+BL795</f>
        <v>0</v>
      </c>
      <c r="BM818" s="10">
        <f>IF(Timeline!BM$18=1, $G818, BL818)+BM703+BM795</f>
        <v>0</v>
      </c>
      <c r="BN818" s="10">
        <f>IF(Timeline!BN$18=1, $G818, BM818)+BN703+BN795</f>
        <v>0</v>
      </c>
      <c r="BO818" s="10">
        <f>IF(Timeline!BO$18=1, $G818, BN818)+BO703+BO795</f>
        <v>0</v>
      </c>
      <c r="BP818" s="10">
        <f>IF(Timeline!BP$18=1, $G818, BO818)+BP703+BP795</f>
        <v>0</v>
      </c>
      <c r="BQ818" s="10">
        <f>IF(Timeline!BQ$18=1, $G818, BP818)+BQ703+BQ795</f>
        <v>0</v>
      </c>
      <c r="BR818" s="10">
        <f>IF(Timeline!BR$18=1, $G818, BQ818)+BR703+BR795</f>
        <v>0</v>
      </c>
      <c r="BS818" s="10">
        <f>IF(Timeline!BS$18=1, $G818, BR818)+BS703+BS795</f>
        <v>0</v>
      </c>
      <c r="BT818" s="10">
        <f>IF(Timeline!BT$18=1, $G818, BS818)+BT703+BT795</f>
        <v>0</v>
      </c>
      <c r="BU818" s="10">
        <f>IF(Timeline!BU$18=1, $G818, BT818)+BU703+BU795</f>
        <v>0</v>
      </c>
      <c r="BV818" s="10">
        <f>IF(Timeline!BV$18=1, $G818, BU818)+BV703+BV795</f>
        <v>0</v>
      </c>
      <c r="BX818" s="12">
        <f t="shared" si="805"/>
        <v>0</v>
      </c>
      <c r="BY818" s="12">
        <f t="shared" si="806"/>
        <v>0</v>
      </c>
      <c r="BZ818" s="12">
        <f t="shared" si="807"/>
        <v>0</v>
      </c>
      <c r="CA818" s="12">
        <f t="shared" si="808"/>
        <v>0</v>
      </c>
      <c r="CB818" s="10">
        <f t="shared" si="809"/>
        <v>0</v>
      </c>
      <c r="CC818" s="106"/>
      <c r="CD818" s="106"/>
      <c r="CE818" s="106"/>
      <c r="CF818" s="106"/>
      <c r="CG818" s="106"/>
      <c r="CH818" s="106"/>
      <c r="CI818" s="106"/>
      <c r="CK818" s="11"/>
      <c r="CM818" s="11"/>
      <c r="CV818" s="120"/>
      <c r="DF818" s="11"/>
      <c r="EY818" s="10" t="str">
        <f t="shared" si="766"/>
        <v/>
      </c>
    </row>
    <row r="819" spans="1:155" x14ac:dyDescent="0.35">
      <c r="B819" s="69" t="str" cm="1">
        <f t="array" aca="1" ref="B819" ca="1">HYPERLINK(CONCATENATE("#",CELL("address",$D$227)),$D$227)</f>
        <v>Loan 10</v>
      </c>
      <c r="C819" s="211"/>
      <c r="D819" s="49">
        <f>D$22</f>
        <v>0</v>
      </c>
      <c r="E819" s="49" t="str">
        <f>F$22</f>
        <v/>
      </c>
      <c r="F819" s="49"/>
      <c r="G819" s="10">
        <f t="shared" si="802"/>
        <v>0</v>
      </c>
      <c r="H819" s="9"/>
      <c r="I819" s="40" t="s">
        <v>1079</v>
      </c>
      <c r="V819" s="12">
        <f t="shared" si="803"/>
        <v>0</v>
      </c>
      <c r="W819" s="10">
        <f t="shared" si="804"/>
        <v>0</v>
      </c>
      <c r="X819" s="10">
        <f t="shared" si="804"/>
        <v>0</v>
      </c>
      <c r="Y819" s="10">
        <f t="shared" si="804"/>
        <v>0</v>
      </c>
      <c r="AA819" s="10">
        <f>IF(Timeline!AA$18=1, $G819, Z819)+AA704+AA796</f>
        <v>0</v>
      </c>
      <c r="AB819" s="10">
        <f>IF(Timeline!AB$18=1, $G819, AA819)+AB704+AB796</f>
        <v>0</v>
      </c>
      <c r="AC819" s="10">
        <f>IF(Timeline!AC$18=1, $G819, AB819)+AC704+AC796</f>
        <v>0</v>
      </c>
      <c r="AD819" s="10">
        <f>IF(Timeline!AD$18=1, $G819, AC819)+AD704+AD796</f>
        <v>0</v>
      </c>
      <c r="AE819" s="10">
        <f>IF(Timeline!AE$18=1, $G819, AD819)+AE704+AE796</f>
        <v>0</v>
      </c>
      <c r="AF819" s="10">
        <f>IF(Timeline!AF$18=1, $G819, AE819)+AF704+AF796</f>
        <v>0</v>
      </c>
      <c r="AG819" s="10">
        <f>IF(Timeline!AG$18=1, $G819, AF819)+AG704+AG796</f>
        <v>0</v>
      </c>
      <c r="AH819" s="10">
        <f>IF(Timeline!AH$18=1, $G819, AG819)+AH704+AH796</f>
        <v>0</v>
      </c>
      <c r="AI819" s="10">
        <f>IF(Timeline!AI$18=1, $G819, AH819)+AI704+AI796</f>
        <v>0</v>
      </c>
      <c r="AJ819" s="10">
        <f>IF(Timeline!AJ$18=1, $G819, AI819)+AJ704+AJ796</f>
        <v>0</v>
      </c>
      <c r="AK819" s="10">
        <f>IF(Timeline!AK$18=1, $G819, AJ819)+AK704+AK796</f>
        <v>0</v>
      </c>
      <c r="AL819" s="10">
        <f>IF(Timeline!AL$18=1, $G819, AK819)+AL704+AL796</f>
        <v>0</v>
      </c>
      <c r="AM819" s="10">
        <f>IF(Timeline!AM$18=1, $G819, AL819)+AM704+AM796</f>
        <v>0</v>
      </c>
      <c r="AN819" s="10">
        <f>IF(Timeline!AN$18=1, $G819, AM819)+AN704+AN796</f>
        <v>0</v>
      </c>
      <c r="AO819" s="10">
        <f>IF(Timeline!AO$18=1, $G819, AN819)+AO704+AO796</f>
        <v>0</v>
      </c>
      <c r="AP819" s="10">
        <f>IF(Timeline!AP$18=1, $G819, AO819)+AP704+AP796</f>
        <v>0</v>
      </c>
      <c r="AQ819" s="10">
        <f>IF(Timeline!AQ$18=1, $G819, AP819)+AQ704+AQ796</f>
        <v>0</v>
      </c>
      <c r="AR819" s="10">
        <f>IF(Timeline!AR$18=1, $G819, AQ819)+AR704+AR796</f>
        <v>0</v>
      </c>
      <c r="AS819" s="10">
        <f>IF(Timeline!AS$18=1, $G819, AR819)+AS704+AS796</f>
        <v>0</v>
      </c>
      <c r="AT819" s="10">
        <f>IF(Timeline!AT$18=1, $G819, AS819)+AT704+AT796</f>
        <v>0</v>
      </c>
      <c r="AU819" s="10">
        <f>IF(Timeline!AU$18=1, $G819, AT819)+AU704+AU796</f>
        <v>0</v>
      </c>
      <c r="AV819" s="10">
        <f>IF(Timeline!AV$18=1, $G819, AU819)+AV704+AV796</f>
        <v>0</v>
      </c>
      <c r="AW819" s="10">
        <f>IF(Timeline!AW$18=1, $G819, AV819)+AW704+AW796</f>
        <v>0</v>
      </c>
      <c r="AX819" s="10">
        <f>IF(Timeline!AX$18=1, $G819, AW819)+AX704+AX796</f>
        <v>0</v>
      </c>
      <c r="AY819" s="10">
        <f>IF(Timeline!AY$18=1, $G819, AX819)+AY704+AY796</f>
        <v>0</v>
      </c>
      <c r="AZ819" s="10">
        <f>IF(Timeline!AZ$18=1, $G819, AY819)+AZ704+AZ796</f>
        <v>0</v>
      </c>
      <c r="BA819" s="10">
        <f>IF(Timeline!BA$18=1, $G819, AZ819)+BA704+BA796</f>
        <v>0</v>
      </c>
      <c r="BB819" s="10">
        <f>IF(Timeline!BB$18=1, $G819, BA819)+BB704+BB796</f>
        <v>0</v>
      </c>
      <c r="BC819" s="10">
        <f>IF(Timeline!BC$18=1, $G819, BB819)+BC704+BC796</f>
        <v>0</v>
      </c>
      <c r="BD819" s="10">
        <f>IF(Timeline!BD$18=1, $G819, BC819)+BD704+BD796</f>
        <v>0</v>
      </c>
      <c r="BE819" s="10">
        <f>IF(Timeline!BE$18=1, $G819, BD819)+BE704+BE796</f>
        <v>0</v>
      </c>
      <c r="BF819" s="10">
        <f>IF(Timeline!BF$18=1, $G819, BE819)+BF704+BF796</f>
        <v>0</v>
      </c>
      <c r="BG819" s="10">
        <f>IF(Timeline!BG$18=1, $G819, BF819)+BG704+BG796</f>
        <v>0</v>
      </c>
      <c r="BH819" s="10">
        <f>IF(Timeline!BH$18=1, $G819, BG819)+BH704+BH796</f>
        <v>0</v>
      </c>
      <c r="BI819" s="10">
        <f>IF(Timeline!BI$18=1, $G819, BH819)+BI704+BI796</f>
        <v>0</v>
      </c>
      <c r="BJ819" s="10">
        <f>IF(Timeline!BJ$18=1, $G819, BI819)+BJ704+BJ796</f>
        <v>0</v>
      </c>
      <c r="BK819" s="10">
        <f>IF(Timeline!BK$18=1, $G819, BJ819)+BK704+BK796</f>
        <v>0</v>
      </c>
      <c r="BL819" s="10">
        <f>IF(Timeline!BL$18=1, $G819, BK819)+BL704+BL796</f>
        <v>0</v>
      </c>
      <c r="BM819" s="10">
        <f>IF(Timeline!BM$18=1, $G819, BL819)+BM704+BM796</f>
        <v>0</v>
      </c>
      <c r="BN819" s="10">
        <f>IF(Timeline!BN$18=1, $G819, BM819)+BN704+BN796</f>
        <v>0</v>
      </c>
      <c r="BO819" s="10">
        <f>IF(Timeline!BO$18=1, $G819, BN819)+BO704+BO796</f>
        <v>0</v>
      </c>
      <c r="BP819" s="10">
        <f>IF(Timeline!BP$18=1, $G819, BO819)+BP704+BP796</f>
        <v>0</v>
      </c>
      <c r="BQ819" s="10">
        <f>IF(Timeline!BQ$18=1, $G819, BP819)+BQ704+BQ796</f>
        <v>0</v>
      </c>
      <c r="BR819" s="10">
        <f>IF(Timeline!BR$18=1, $G819, BQ819)+BR704+BR796</f>
        <v>0</v>
      </c>
      <c r="BS819" s="10">
        <f>IF(Timeline!BS$18=1, $G819, BR819)+BS704+BS796</f>
        <v>0</v>
      </c>
      <c r="BT819" s="10">
        <f>IF(Timeline!BT$18=1, $G819, BS819)+BT704+BT796</f>
        <v>0</v>
      </c>
      <c r="BU819" s="10">
        <f>IF(Timeline!BU$18=1, $G819, BT819)+BU704+BU796</f>
        <v>0</v>
      </c>
      <c r="BV819" s="10">
        <f>IF(Timeline!BV$18=1, $G819, BU819)+BV704+BV796</f>
        <v>0</v>
      </c>
      <c r="BX819" s="12">
        <f t="shared" si="805"/>
        <v>0</v>
      </c>
      <c r="BY819" s="12">
        <f t="shared" si="806"/>
        <v>0</v>
      </c>
      <c r="BZ819" s="12">
        <f t="shared" si="807"/>
        <v>0</v>
      </c>
      <c r="CA819" s="12">
        <f t="shared" si="808"/>
        <v>0</v>
      </c>
      <c r="CB819" s="10">
        <f t="shared" si="809"/>
        <v>0</v>
      </c>
      <c r="CC819" s="106"/>
      <c r="CD819" s="106"/>
      <c r="CE819" s="106"/>
      <c r="CF819" s="106"/>
      <c r="CG819" s="106"/>
      <c r="CH819" s="106"/>
      <c r="CI819" s="106"/>
      <c r="CK819" s="11"/>
      <c r="CM819" s="11"/>
      <c r="CV819" s="120"/>
      <c r="DF819" s="11"/>
      <c r="EY819" s="10" t="str">
        <f t="shared" ref="EY819:EY836" si="810">IF($C819="","",$D819)</f>
        <v/>
      </c>
    </row>
    <row r="820" spans="1:155" x14ac:dyDescent="0.35">
      <c r="B820" s="69" t="str" cm="1">
        <f t="array" aca="1" ref="B820" ca="1">HYPERLINK(CONCATENATE("#",CELL("address",$D$246)),$D$246)</f>
        <v>Loan 11</v>
      </c>
      <c r="C820" s="211"/>
      <c r="D820" s="49">
        <f>D$23</f>
        <v>0</v>
      </c>
      <c r="E820" s="49" t="str">
        <f>F$23</f>
        <v/>
      </c>
      <c r="F820" s="49"/>
      <c r="G820" s="10">
        <f t="shared" si="802"/>
        <v>0</v>
      </c>
      <c r="H820" s="9"/>
      <c r="I820" s="40" t="s">
        <v>1079</v>
      </c>
      <c r="V820" s="12">
        <f t="shared" si="803"/>
        <v>0</v>
      </c>
      <c r="W820" s="10">
        <f t="shared" si="804"/>
        <v>0</v>
      </c>
      <c r="X820" s="10">
        <f t="shared" si="804"/>
        <v>0</v>
      </c>
      <c r="Y820" s="10">
        <f t="shared" si="804"/>
        <v>0</v>
      </c>
      <c r="AA820" s="10">
        <f>IF(Timeline!AA$18=1, $G820, Z820)+AA705+AA797</f>
        <v>0</v>
      </c>
      <c r="AB820" s="10">
        <f>IF(Timeline!AB$18=1, $G820, AA820)+AB705+AB797</f>
        <v>0</v>
      </c>
      <c r="AC820" s="10">
        <f>IF(Timeline!AC$18=1, $G820, AB820)+AC705+AC797</f>
        <v>0</v>
      </c>
      <c r="AD820" s="10">
        <f>IF(Timeline!AD$18=1, $G820, AC820)+AD705+AD797</f>
        <v>0</v>
      </c>
      <c r="AE820" s="10">
        <f>IF(Timeline!AE$18=1, $G820, AD820)+AE705+AE797</f>
        <v>0</v>
      </c>
      <c r="AF820" s="10">
        <f>IF(Timeline!AF$18=1, $G820, AE820)+AF705+AF797</f>
        <v>0</v>
      </c>
      <c r="AG820" s="10">
        <f>IF(Timeline!AG$18=1, $G820, AF820)+AG705+AG797</f>
        <v>0</v>
      </c>
      <c r="AH820" s="10">
        <f>IF(Timeline!AH$18=1, $G820, AG820)+AH705+AH797</f>
        <v>0</v>
      </c>
      <c r="AI820" s="10">
        <f>IF(Timeline!AI$18=1, $G820, AH820)+AI705+AI797</f>
        <v>0</v>
      </c>
      <c r="AJ820" s="10">
        <f>IF(Timeline!AJ$18=1, $G820, AI820)+AJ705+AJ797</f>
        <v>0</v>
      </c>
      <c r="AK820" s="10">
        <f>IF(Timeline!AK$18=1, $G820, AJ820)+AK705+AK797</f>
        <v>0</v>
      </c>
      <c r="AL820" s="10">
        <f>IF(Timeline!AL$18=1, $G820, AK820)+AL705+AL797</f>
        <v>0</v>
      </c>
      <c r="AM820" s="10">
        <f>IF(Timeline!AM$18=1, $G820, AL820)+AM705+AM797</f>
        <v>0</v>
      </c>
      <c r="AN820" s="10">
        <f>IF(Timeline!AN$18=1, $G820, AM820)+AN705+AN797</f>
        <v>0</v>
      </c>
      <c r="AO820" s="10">
        <f>IF(Timeline!AO$18=1, $G820, AN820)+AO705+AO797</f>
        <v>0</v>
      </c>
      <c r="AP820" s="10">
        <f>IF(Timeline!AP$18=1, $G820, AO820)+AP705+AP797</f>
        <v>0</v>
      </c>
      <c r="AQ820" s="10">
        <f>IF(Timeline!AQ$18=1, $G820, AP820)+AQ705+AQ797</f>
        <v>0</v>
      </c>
      <c r="AR820" s="10">
        <f>IF(Timeline!AR$18=1, $G820, AQ820)+AR705+AR797</f>
        <v>0</v>
      </c>
      <c r="AS820" s="10">
        <f>IF(Timeline!AS$18=1, $G820, AR820)+AS705+AS797</f>
        <v>0</v>
      </c>
      <c r="AT820" s="10">
        <f>IF(Timeline!AT$18=1, $G820, AS820)+AT705+AT797</f>
        <v>0</v>
      </c>
      <c r="AU820" s="10">
        <f>IF(Timeline!AU$18=1, $G820, AT820)+AU705+AU797</f>
        <v>0</v>
      </c>
      <c r="AV820" s="10">
        <f>IF(Timeline!AV$18=1, $G820, AU820)+AV705+AV797</f>
        <v>0</v>
      </c>
      <c r="AW820" s="10">
        <f>IF(Timeline!AW$18=1, $G820, AV820)+AW705+AW797</f>
        <v>0</v>
      </c>
      <c r="AX820" s="10">
        <f>IF(Timeline!AX$18=1, $G820, AW820)+AX705+AX797</f>
        <v>0</v>
      </c>
      <c r="AY820" s="10">
        <f>IF(Timeline!AY$18=1, $G820, AX820)+AY705+AY797</f>
        <v>0</v>
      </c>
      <c r="AZ820" s="10">
        <f>IF(Timeline!AZ$18=1, $G820, AY820)+AZ705+AZ797</f>
        <v>0</v>
      </c>
      <c r="BA820" s="10">
        <f>IF(Timeline!BA$18=1, $G820, AZ820)+BA705+BA797</f>
        <v>0</v>
      </c>
      <c r="BB820" s="10">
        <f>IF(Timeline!BB$18=1, $G820, BA820)+BB705+BB797</f>
        <v>0</v>
      </c>
      <c r="BC820" s="10">
        <f>IF(Timeline!BC$18=1, $G820, BB820)+BC705+BC797</f>
        <v>0</v>
      </c>
      <c r="BD820" s="10">
        <f>IF(Timeline!BD$18=1, $G820, BC820)+BD705+BD797</f>
        <v>0</v>
      </c>
      <c r="BE820" s="10">
        <f>IF(Timeline!BE$18=1, $G820, BD820)+BE705+BE797</f>
        <v>0</v>
      </c>
      <c r="BF820" s="10">
        <f>IF(Timeline!BF$18=1, $G820, BE820)+BF705+BF797</f>
        <v>0</v>
      </c>
      <c r="BG820" s="10">
        <f>IF(Timeline!BG$18=1, $G820, BF820)+BG705+BG797</f>
        <v>0</v>
      </c>
      <c r="BH820" s="10">
        <f>IF(Timeline!BH$18=1, $G820, BG820)+BH705+BH797</f>
        <v>0</v>
      </c>
      <c r="BI820" s="10">
        <f>IF(Timeline!BI$18=1, $G820, BH820)+BI705+BI797</f>
        <v>0</v>
      </c>
      <c r="BJ820" s="10">
        <f>IF(Timeline!BJ$18=1, $G820, BI820)+BJ705+BJ797</f>
        <v>0</v>
      </c>
      <c r="BK820" s="10">
        <f>IF(Timeline!BK$18=1, $G820, BJ820)+BK705+BK797</f>
        <v>0</v>
      </c>
      <c r="BL820" s="10">
        <f>IF(Timeline!BL$18=1, $G820, BK820)+BL705+BL797</f>
        <v>0</v>
      </c>
      <c r="BM820" s="10">
        <f>IF(Timeline!BM$18=1, $G820, BL820)+BM705+BM797</f>
        <v>0</v>
      </c>
      <c r="BN820" s="10">
        <f>IF(Timeline!BN$18=1, $G820, BM820)+BN705+BN797</f>
        <v>0</v>
      </c>
      <c r="BO820" s="10">
        <f>IF(Timeline!BO$18=1, $G820, BN820)+BO705+BO797</f>
        <v>0</v>
      </c>
      <c r="BP820" s="10">
        <f>IF(Timeline!BP$18=1, $G820, BO820)+BP705+BP797</f>
        <v>0</v>
      </c>
      <c r="BQ820" s="10">
        <f>IF(Timeline!BQ$18=1, $G820, BP820)+BQ705+BQ797</f>
        <v>0</v>
      </c>
      <c r="BR820" s="10">
        <f>IF(Timeline!BR$18=1, $G820, BQ820)+BR705+BR797</f>
        <v>0</v>
      </c>
      <c r="BS820" s="10">
        <f>IF(Timeline!BS$18=1, $G820, BR820)+BS705+BS797</f>
        <v>0</v>
      </c>
      <c r="BT820" s="10">
        <f>IF(Timeline!BT$18=1, $G820, BS820)+BT705+BT797</f>
        <v>0</v>
      </c>
      <c r="BU820" s="10">
        <f>IF(Timeline!BU$18=1, $G820, BT820)+BU705+BU797</f>
        <v>0</v>
      </c>
      <c r="BV820" s="10">
        <f>IF(Timeline!BV$18=1, $G820, BU820)+BV705+BV797</f>
        <v>0</v>
      </c>
      <c r="BX820" s="12">
        <f t="shared" si="805"/>
        <v>0</v>
      </c>
      <c r="BY820" s="12">
        <f t="shared" si="806"/>
        <v>0</v>
      </c>
      <c r="BZ820" s="12">
        <f t="shared" si="807"/>
        <v>0</v>
      </c>
      <c r="CA820" s="12">
        <f t="shared" si="808"/>
        <v>0</v>
      </c>
      <c r="CB820" s="10">
        <f t="shared" si="809"/>
        <v>0</v>
      </c>
      <c r="CC820" s="106"/>
      <c r="CD820" s="106"/>
      <c r="CE820" s="106"/>
      <c r="CF820" s="106"/>
      <c r="CG820" s="106"/>
      <c r="CH820" s="106"/>
      <c r="CI820" s="106"/>
      <c r="CK820" s="11"/>
      <c r="CM820" s="11"/>
      <c r="CV820" s="120"/>
      <c r="DF820" s="11"/>
      <c r="EY820" s="10" t="str">
        <f t="shared" si="810"/>
        <v/>
      </c>
    </row>
    <row r="821" spans="1:155" x14ac:dyDescent="0.35">
      <c r="B821" s="69" t="str" cm="1">
        <f t="array" aca="1" ref="B821" ca="1">HYPERLINK(CONCATENATE("#",CELL("address",$D$265)),$D$265)</f>
        <v>Loan 12</v>
      </c>
      <c r="C821" s="211"/>
      <c r="D821" s="49">
        <f>D$24</f>
        <v>0</v>
      </c>
      <c r="E821" s="49" t="str">
        <f>F$24</f>
        <v/>
      </c>
      <c r="F821" s="49"/>
      <c r="G821" s="10">
        <f t="shared" si="802"/>
        <v>0</v>
      </c>
      <c r="H821" s="9"/>
      <c r="I821" s="40" t="s">
        <v>1079</v>
      </c>
      <c r="V821" s="12">
        <f t="shared" si="803"/>
        <v>0</v>
      </c>
      <c r="W821" s="10">
        <f t="shared" si="804"/>
        <v>0</v>
      </c>
      <c r="X821" s="10">
        <f t="shared" si="804"/>
        <v>0</v>
      </c>
      <c r="Y821" s="10">
        <f t="shared" si="804"/>
        <v>0</v>
      </c>
      <c r="AA821" s="10">
        <f>IF(Timeline!AA$18=1, $G821, Z821)+AA706+AA798</f>
        <v>0</v>
      </c>
      <c r="AB821" s="10">
        <f>IF(Timeline!AB$18=1, $G821, AA821)+AB706+AB798</f>
        <v>0</v>
      </c>
      <c r="AC821" s="10">
        <f>IF(Timeline!AC$18=1, $G821, AB821)+AC706+AC798</f>
        <v>0</v>
      </c>
      <c r="AD821" s="10">
        <f>IF(Timeline!AD$18=1, $G821, AC821)+AD706+AD798</f>
        <v>0</v>
      </c>
      <c r="AE821" s="10">
        <f>IF(Timeline!AE$18=1, $G821, AD821)+AE706+AE798</f>
        <v>0</v>
      </c>
      <c r="AF821" s="10">
        <f>IF(Timeline!AF$18=1, $G821, AE821)+AF706+AF798</f>
        <v>0</v>
      </c>
      <c r="AG821" s="10">
        <f>IF(Timeline!AG$18=1, $G821, AF821)+AG706+AG798</f>
        <v>0</v>
      </c>
      <c r="AH821" s="10">
        <f>IF(Timeline!AH$18=1, $G821, AG821)+AH706+AH798</f>
        <v>0</v>
      </c>
      <c r="AI821" s="10">
        <f>IF(Timeline!AI$18=1, $G821, AH821)+AI706+AI798</f>
        <v>0</v>
      </c>
      <c r="AJ821" s="10">
        <f>IF(Timeline!AJ$18=1, $G821, AI821)+AJ706+AJ798</f>
        <v>0</v>
      </c>
      <c r="AK821" s="10">
        <f>IF(Timeline!AK$18=1, $G821, AJ821)+AK706+AK798</f>
        <v>0</v>
      </c>
      <c r="AL821" s="10">
        <f>IF(Timeline!AL$18=1, $G821, AK821)+AL706+AL798</f>
        <v>0</v>
      </c>
      <c r="AM821" s="10">
        <f>IF(Timeline!AM$18=1, $G821, AL821)+AM706+AM798</f>
        <v>0</v>
      </c>
      <c r="AN821" s="10">
        <f>IF(Timeline!AN$18=1, $G821, AM821)+AN706+AN798</f>
        <v>0</v>
      </c>
      <c r="AO821" s="10">
        <f>IF(Timeline!AO$18=1, $G821, AN821)+AO706+AO798</f>
        <v>0</v>
      </c>
      <c r="AP821" s="10">
        <f>IF(Timeline!AP$18=1, $G821, AO821)+AP706+AP798</f>
        <v>0</v>
      </c>
      <c r="AQ821" s="10">
        <f>IF(Timeline!AQ$18=1, $G821, AP821)+AQ706+AQ798</f>
        <v>0</v>
      </c>
      <c r="AR821" s="10">
        <f>IF(Timeline!AR$18=1, $G821, AQ821)+AR706+AR798</f>
        <v>0</v>
      </c>
      <c r="AS821" s="10">
        <f>IF(Timeline!AS$18=1, $G821, AR821)+AS706+AS798</f>
        <v>0</v>
      </c>
      <c r="AT821" s="10">
        <f>IF(Timeline!AT$18=1, $G821, AS821)+AT706+AT798</f>
        <v>0</v>
      </c>
      <c r="AU821" s="10">
        <f>IF(Timeline!AU$18=1, $G821, AT821)+AU706+AU798</f>
        <v>0</v>
      </c>
      <c r="AV821" s="10">
        <f>IF(Timeline!AV$18=1, $G821, AU821)+AV706+AV798</f>
        <v>0</v>
      </c>
      <c r="AW821" s="10">
        <f>IF(Timeline!AW$18=1, $G821, AV821)+AW706+AW798</f>
        <v>0</v>
      </c>
      <c r="AX821" s="10">
        <f>IF(Timeline!AX$18=1, $G821, AW821)+AX706+AX798</f>
        <v>0</v>
      </c>
      <c r="AY821" s="10">
        <f>IF(Timeline!AY$18=1, $G821, AX821)+AY706+AY798</f>
        <v>0</v>
      </c>
      <c r="AZ821" s="10">
        <f>IF(Timeline!AZ$18=1, $G821, AY821)+AZ706+AZ798</f>
        <v>0</v>
      </c>
      <c r="BA821" s="10">
        <f>IF(Timeline!BA$18=1, $G821, AZ821)+BA706+BA798</f>
        <v>0</v>
      </c>
      <c r="BB821" s="10">
        <f>IF(Timeline!BB$18=1, $G821, BA821)+BB706+BB798</f>
        <v>0</v>
      </c>
      <c r="BC821" s="10">
        <f>IF(Timeline!BC$18=1, $G821, BB821)+BC706+BC798</f>
        <v>0</v>
      </c>
      <c r="BD821" s="10">
        <f>IF(Timeline!BD$18=1, $G821, BC821)+BD706+BD798</f>
        <v>0</v>
      </c>
      <c r="BE821" s="10">
        <f>IF(Timeline!BE$18=1, $G821, BD821)+BE706+BE798</f>
        <v>0</v>
      </c>
      <c r="BF821" s="10">
        <f>IF(Timeline!BF$18=1, $G821, BE821)+BF706+BF798</f>
        <v>0</v>
      </c>
      <c r="BG821" s="10">
        <f>IF(Timeline!BG$18=1, $G821, BF821)+BG706+BG798</f>
        <v>0</v>
      </c>
      <c r="BH821" s="10">
        <f>IF(Timeline!BH$18=1, $G821, BG821)+BH706+BH798</f>
        <v>0</v>
      </c>
      <c r="BI821" s="10">
        <f>IF(Timeline!BI$18=1, $G821, BH821)+BI706+BI798</f>
        <v>0</v>
      </c>
      <c r="BJ821" s="10">
        <f>IF(Timeline!BJ$18=1, $G821, BI821)+BJ706+BJ798</f>
        <v>0</v>
      </c>
      <c r="BK821" s="10">
        <f>IF(Timeline!BK$18=1, $G821, BJ821)+BK706+BK798</f>
        <v>0</v>
      </c>
      <c r="BL821" s="10">
        <f>IF(Timeline!BL$18=1, $G821, BK821)+BL706+BL798</f>
        <v>0</v>
      </c>
      <c r="BM821" s="10">
        <f>IF(Timeline!BM$18=1, $G821, BL821)+BM706+BM798</f>
        <v>0</v>
      </c>
      <c r="BN821" s="10">
        <f>IF(Timeline!BN$18=1, $G821, BM821)+BN706+BN798</f>
        <v>0</v>
      </c>
      <c r="BO821" s="10">
        <f>IF(Timeline!BO$18=1, $G821, BN821)+BO706+BO798</f>
        <v>0</v>
      </c>
      <c r="BP821" s="10">
        <f>IF(Timeline!BP$18=1, $G821, BO821)+BP706+BP798</f>
        <v>0</v>
      </c>
      <c r="BQ821" s="10">
        <f>IF(Timeline!BQ$18=1, $G821, BP821)+BQ706+BQ798</f>
        <v>0</v>
      </c>
      <c r="BR821" s="10">
        <f>IF(Timeline!BR$18=1, $G821, BQ821)+BR706+BR798</f>
        <v>0</v>
      </c>
      <c r="BS821" s="10">
        <f>IF(Timeline!BS$18=1, $G821, BR821)+BS706+BS798</f>
        <v>0</v>
      </c>
      <c r="BT821" s="10">
        <f>IF(Timeline!BT$18=1, $G821, BS821)+BT706+BT798</f>
        <v>0</v>
      </c>
      <c r="BU821" s="10">
        <f>IF(Timeline!BU$18=1, $G821, BT821)+BU706+BU798</f>
        <v>0</v>
      </c>
      <c r="BV821" s="10">
        <f>IF(Timeline!BV$18=1, $G821, BU821)+BV706+BV798</f>
        <v>0</v>
      </c>
      <c r="BX821" s="12">
        <f t="shared" si="805"/>
        <v>0</v>
      </c>
      <c r="BY821" s="12">
        <f t="shared" si="806"/>
        <v>0</v>
      </c>
      <c r="BZ821" s="12">
        <f t="shared" si="807"/>
        <v>0</v>
      </c>
      <c r="CA821" s="12">
        <f t="shared" si="808"/>
        <v>0</v>
      </c>
      <c r="CB821" s="10">
        <f t="shared" si="809"/>
        <v>0</v>
      </c>
      <c r="CC821" s="106"/>
      <c r="CD821" s="106"/>
      <c r="CE821" s="106"/>
      <c r="CF821" s="106"/>
      <c r="CG821" s="106"/>
      <c r="CH821" s="106"/>
      <c r="CI821" s="106"/>
      <c r="CK821" s="11"/>
      <c r="CM821" s="11"/>
      <c r="CV821" s="120"/>
      <c r="DF821" s="11"/>
      <c r="EY821" s="10" t="str">
        <f t="shared" si="810"/>
        <v/>
      </c>
    </row>
    <row r="822" spans="1:155" x14ac:dyDescent="0.35">
      <c r="B822" s="69" t="str" cm="1">
        <f t="array" aca="1" ref="B822" ca="1">HYPERLINK(CONCATENATE("#",CELL("address",$D$284)),$D$284)</f>
        <v>Loan 13</v>
      </c>
      <c r="C822" s="211"/>
      <c r="D822" s="49">
        <f>D$25</f>
        <v>0</v>
      </c>
      <c r="E822" s="49" t="str">
        <f>F$25</f>
        <v/>
      </c>
      <c r="F822" s="49"/>
      <c r="G822" s="10">
        <f t="shared" si="802"/>
        <v>0</v>
      </c>
      <c r="H822" s="9"/>
      <c r="I822" s="40" t="s">
        <v>1079</v>
      </c>
      <c r="V822" s="12">
        <f t="shared" si="803"/>
        <v>0</v>
      </c>
      <c r="W822" s="10">
        <f t="shared" si="804"/>
        <v>0</v>
      </c>
      <c r="X822" s="10">
        <f t="shared" si="804"/>
        <v>0</v>
      </c>
      <c r="Y822" s="10">
        <f t="shared" si="804"/>
        <v>0</v>
      </c>
      <c r="AA822" s="10">
        <f>IF(Timeline!AA$18=1, $G822, Z822)+AA707+AA799</f>
        <v>0</v>
      </c>
      <c r="AB822" s="10">
        <f>IF(Timeline!AB$18=1, $G822, AA822)+AB707+AB799</f>
        <v>0</v>
      </c>
      <c r="AC822" s="10">
        <f>IF(Timeline!AC$18=1, $G822, AB822)+AC707+AC799</f>
        <v>0</v>
      </c>
      <c r="AD822" s="10">
        <f>IF(Timeline!AD$18=1, $G822, AC822)+AD707+AD799</f>
        <v>0</v>
      </c>
      <c r="AE822" s="10">
        <f>IF(Timeline!AE$18=1, $G822, AD822)+AE707+AE799</f>
        <v>0</v>
      </c>
      <c r="AF822" s="10">
        <f>IF(Timeline!AF$18=1, $G822, AE822)+AF707+AF799</f>
        <v>0</v>
      </c>
      <c r="AG822" s="10">
        <f>IF(Timeline!AG$18=1, $G822, AF822)+AG707+AG799</f>
        <v>0</v>
      </c>
      <c r="AH822" s="10">
        <f>IF(Timeline!AH$18=1, $G822, AG822)+AH707+AH799</f>
        <v>0</v>
      </c>
      <c r="AI822" s="10">
        <f>IF(Timeline!AI$18=1, $G822, AH822)+AI707+AI799</f>
        <v>0</v>
      </c>
      <c r="AJ822" s="10">
        <f>IF(Timeline!AJ$18=1, $G822, AI822)+AJ707+AJ799</f>
        <v>0</v>
      </c>
      <c r="AK822" s="10">
        <f>IF(Timeline!AK$18=1, $G822, AJ822)+AK707+AK799</f>
        <v>0</v>
      </c>
      <c r="AL822" s="10">
        <f>IF(Timeline!AL$18=1, $G822, AK822)+AL707+AL799</f>
        <v>0</v>
      </c>
      <c r="AM822" s="10">
        <f>IF(Timeline!AM$18=1, $G822, AL822)+AM707+AM799</f>
        <v>0</v>
      </c>
      <c r="AN822" s="10">
        <f>IF(Timeline!AN$18=1, $G822, AM822)+AN707+AN799</f>
        <v>0</v>
      </c>
      <c r="AO822" s="10">
        <f>IF(Timeline!AO$18=1, $G822, AN822)+AO707+AO799</f>
        <v>0</v>
      </c>
      <c r="AP822" s="10">
        <f>IF(Timeline!AP$18=1, $G822, AO822)+AP707+AP799</f>
        <v>0</v>
      </c>
      <c r="AQ822" s="10">
        <f>IF(Timeline!AQ$18=1, $G822, AP822)+AQ707+AQ799</f>
        <v>0</v>
      </c>
      <c r="AR822" s="10">
        <f>IF(Timeline!AR$18=1, $G822, AQ822)+AR707+AR799</f>
        <v>0</v>
      </c>
      <c r="AS822" s="10">
        <f>IF(Timeline!AS$18=1, $G822, AR822)+AS707+AS799</f>
        <v>0</v>
      </c>
      <c r="AT822" s="10">
        <f>IF(Timeline!AT$18=1, $G822, AS822)+AT707+AT799</f>
        <v>0</v>
      </c>
      <c r="AU822" s="10">
        <f>IF(Timeline!AU$18=1, $G822, AT822)+AU707+AU799</f>
        <v>0</v>
      </c>
      <c r="AV822" s="10">
        <f>IF(Timeline!AV$18=1, $G822, AU822)+AV707+AV799</f>
        <v>0</v>
      </c>
      <c r="AW822" s="10">
        <f>IF(Timeline!AW$18=1, $G822, AV822)+AW707+AW799</f>
        <v>0</v>
      </c>
      <c r="AX822" s="10">
        <f>IF(Timeline!AX$18=1, $G822, AW822)+AX707+AX799</f>
        <v>0</v>
      </c>
      <c r="AY822" s="10">
        <f>IF(Timeline!AY$18=1, $G822, AX822)+AY707+AY799</f>
        <v>0</v>
      </c>
      <c r="AZ822" s="10">
        <f>IF(Timeline!AZ$18=1, $G822, AY822)+AZ707+AZ799</f>
        <v>0</v>
      </c>
      <c r="BA822" s="10">
        <f>IF(Timeline!BA$18=1, $G822, AZ822)+BA707+BA799</f>
        <v>0</v>
      </c>
      <c r="BB822" s="10">
        <f>IF(Timeline!BB$18=1, $G822, BA822)+BB707+BB799</f>
        <v>0</v>
      </c>
      <c r="BC822" s="10">
        <f>IF(Timeline!BC$18=1, $G822, BB822)+BC707+BC799</f>
        <v>0</v>
      </c>
      <c r="BD822" s="10">
        <f>IF(Timeline!BD$18=1, $G822, BC822)+BD707+BD799</f>
        <v>0</v>
      </c>
      <c r="BE822" s="10">
        <f>IF(Timeline!BE$18=1, $G822, BD822)+BE707+BE799</f>
        <v>0</v>
      </c>
      <c r="BF822" s="10">
        <f>IF(Timeline!BF$18=1, $G822, BE822)+BF707+BF799</f>
        <v>0</v>
      </c>
      <c r="BG822" s="10">
        <f>IF(Timeline!BG$18=1, $G822, BF822)+BG707+BG799</f>
        <v>0</v>
      </c>
      <c r="BH822" s="10">
        <f>IF(Timeline!BH$18=1, $G822, BG822)+BH707+BH799</f>
        <v>0</v>
      </c>
      <c r="BI822" s="10">
        <f>IF(Timeline!BI$18=1, $G822, BH822)+BI707+BI799</f>
        <v>0</v>
      </c>
      <c r="BJ822" s="10">
        <f>IF(Timeline!BJ$18=1, $G822, BI822)+BJ707+BJ799</f>
        <v>0</v>
      </c>
      <c r="BK822" s="10">
        <f>IF(Timeline!BK$18=1, $G822, BJ822)+BK707+BK799</f>
        <v>0</v>
      </c>
      <c r="BL822" s="10">
        <f>IF(Timeline!BL$18=1, $G822, BK822)+BL707+BL799</f>
        <v>0</v>
      </c>
      <c r="BM822" s="10">
        <f>IF(Timeline!BM$18=1, $G822, BL822)+BM707+BM799</f>
        <v>0</v>
      </c>
      <c r="BN822" s="10">
        <f>IF(Timeline!BN$18=1, $G822, BM822)+BN707+BN799</f>
        <v>0</v>
      </c>
      <c r="BO822" s="10">
        <f>IF(Timeline!BO$18=1, $G822, BN822)+BO707+BO799</f>
        <v>0</v>
      </c>
      <c r="BP822" s="10">
        <f>IF(Timeline!BP$18=1, $G822, BO822)+BP707+BP799</f>
        <v>0</v>
      </c>
      <c r="BQ822" s="10">
        <f>IF(Timeline!BQ$18=1, $G822, BP822)+BQ707+BQ799</f>
        <v>0</v>
      </c>
      <c r="BR822" s="10">
        <f>IF(Timeline!BR$18=1, $G822, BQ822)+BR707+BR799</f>
        <v>0</v>
      </c>
      <c r="BS822" s="10">
        <f>IF(Timeline!BS$18=1, $G822, BR822)+BS707+BS799</f>
        <v>0</v>
      </c>
      <c r="BT822" s="10">
        <f>IF(Timeline!BT$18=1, $G822, BS822)+BT707+BT799</f>
        <v>0</v>
      </c>
      <c r="BU822" s="10">
        <f>IF(Timeline!BU$18=1, $G822, BT822)+BU707+BU799</f>
        <v>0</v>
      </c>
      <c r="BV822" s="10">
        <f>IF(Timeline!BV$18=1, $G822, BU822)+BV707+BV799</f>
        <v>0</v>
      </c>
      <c r="BX822" s="12">
        <f t="shared" si="805"/>
        <v>0</v>
      </c>
      <c r="BY822" s="12">
        <f t="shared" si="806"/>
        <v>0</v>
      </c>
      <c r="BZ822" s="12">
        <f t="shared" si="807"/>
        <v>0</v>
      </c>
      <c r="CA822" s="12">
        <f t="shared" si="808"/>
        <v>0</v>
      </c>
      <c r="CB822" s="10">
        <f t="shared" si="809"/>
        <v>0</v>
      </c>
      <c r="CC822" s="106"/>
      <c r="CD822" s="106"/>
      <c r="CE822" s="106"/>
      <c r="CF822" s="106"/>
      <c r="CG822" s="106"/>
      <c r="CH822" s="106"/>
      <c r="CI822" s="106"/>
      <c r="CK822" s="11"/>
      <c r="CM822" s="11"/>
      <c r="CV822" s="120"/>
      <c r="DF822" s="11"/>
      <c r="EY822" s="10" t="str">
        <f t="shared" si="810"/>
        <v/>
      </c>
    </row>
    <row r="823" spans="1:155" s="5" customFormat="1" x14ac:dyDescent="0.35">
      <c r="A823"/>
      <c r="B823" s="69" t="str" cm="1">
        <f t="array" aca="1" ref="B823" ca="1">HYPERLINK(CONCATENATE("#",CELL("address",$D$303)),$D$303)</f>
        <v>Loan 14</v>
      </c>
      <c r="C823" s="211"/>
      <c r="D823" s="49">
        <f>D$26</f>
        <v>0</v>
      </c>
      <c r="E823" s="49" t="str">
        <f>F$26</f>
        <v/>
      </c>
      <c r="F823" s="49"/>
      <c r="G823" s="10">
        <f t="shared" si="802"/>
        <v>0</v>
      </c>
      <c r="H823" s="9"/>
      <c r="I823" s="40" t="s">
        <v>1079</v>
      </c>
      <c r="J823"/>
      <c r="K823"/>
      <c r="L823"/>
      <c r="M823"/>
      <c r="N823"/>
      <c r="O823"/>
      <c r="P823"/>
      <c r="Q823"/>
      <c r="R823"/>
      <c r="S823"/>
      <c r="T823"/>
      <c r="U823"/>
      <c r="V823" s="12">
        <f t="shared" si="803"/>
        <v>0</v>
      </c>
      <c r="W823" s="10">
        <f t="shared" si="804"/>
        <v>0</v>
      </c>
      <c r="X823" s="10">
        <f t="shared" si="804"/>
        <v>0</v>
      </c>
      <c r="Y823" s="10">
        <f t="shared" si="804"/>
        <v>0</v>
      </c>
      <c r="Z823"/>
      <c r="AA823" s="10">
        <f>IF(Timeline!AA$18=1, $G823, Z823)+AA708+AA800</f>
        <v>0</v>
      </c>
      <c r="AB823" s="10">
        <f>IF(Timeline!AB$18=1, $G823, AA823)+AB708+AB800</f>
        <v>0</v>
      </c>
      <c r="AC823" s="10">
        <f>IF(Timeline!AC$18=1, $G823, AB823)+AC708+AC800</f>
        <v>0</v>
      </c>
      <c r="AD823" s="10">
        <f>IF(Timeline!AD$18=1, $G823, AC823)+AD708+AD800</f>
        <v>0</v>
      </c>
      <c r="AE823" s="10">
        <f>IF(Timeline!AE$18=1, $G823, AD823)+AE708+AE800</f>
        <v>0</v>
      </c>
      <c r="AF823" s="10">
        <f>IF(Timeline!AF$18=1, $G823, AE823)+AF708+AF800</f>
        <v>0</v>
      </c>
      <c r="AG823" s="10">
        <f>IF(Timeline!AG$18=1, $G823, AF823)+AG708+AG800</f>
        <v>0</v>
      </c>
      <c r="AH823" s="10">
        <f>IF(Timeline!AH$18=1, $G823, AG823)+AH708+AH800</f>
        <v>0</v>
      </c>
      <c r="AI823" s="10">
        <f>IF(Timeline!AI$18=1, $G823, AH823)+AI708+AI800</f>
        <v>0</v>
      </c>
      <c r="AJ823" s="10">
        <f>IF(Timeline!AJ$18=1, $G823, AI823)+AJ708+AJ800</f>
        <v>0</v>
      </c>
      <c r="AK823" s="10">
        <f>IF(Timeline!AK$18=1, $G823, AJ823)+AK708+AK800</f>
        <v>0</v>
      </c>
      <c r="AL823" s="10">
        <f>IF(Timeline!AL$18=1, $G823, AK823)+AL708+AL800</f>
        <v>0</v>
      </c>
      <c r="AM823" s="10">
        <f>IF(Timeline!AM$18=1, $G823, AL823)+AM708+AM800</f>
        <v>0</v>
      </c>
      <c r="AN823" s="10">
        <f>IF(Timeline!AN$18=1, $G823, AM823)+AN708+AN800</f>
        <v>0</v>
      </c>
      <c r="AO823" s="10">
        <f>IF(Timeline!AO$18=1, $G823, AN823)+AO708+AO800</f>
        <v>0</v>
      </c>
      <c r="AP823" s="10">
        <f>IF(Timeline!AP$18=1, $G823, AO823)+AP708+AP800</f>
        <v>0</v>
      </c>
      <c r="AQ823" s="10">
        <f>IF(Timeline!AQ$18=1, $G823, AP823)+AQ708+AQ800</f>
        <v>0</v>
      </c>
      <c r="AR823" s="10">
        <f>IF(Timeline!AR$18=1, $G823, AQ823)+AR708+AR800</f>
        <v>0</v>
      </c>
      <c r="AS823" s="10">
        <f>IF(Timeline!AS$18=1, $G823, AR823)+AS708+AS800</f>
        <v>0</v>
      </c>
      <c r="AT823" s="10">
        <f>IF(Timeline!AT$18=1, $G823, AS823)+AT708+AT800</f>
        <v>0</v>
      </c>
      <c r="AU823" s="10">
        <f>IF(Timeline!AU$18=1, $G823, AT823)+AU708+AU800</f>
        <v>0</v>
      </c>
      <c r="AV823" s="10">
        <f>IF(Timeline!AV$18=1, $G823, AU823)+AV708+AV800</f>
        <v>0</v>
      </c>
      <c r="AW823" s="10">
        <f>IF(Timeline!AW$18=1, $G823, AV823)+AW708+AW800</f>
        <v>0</v>
      </c>
      <c r="AX823" s="10">
        <f>IF(Timeline!AX$18=1, $G823, AW823)+AX708+AX800</f>
        <v>0</v>
      </c>
      <c r="AY823" s="10">
        <f>IF(Timeline!AY$18=1, $G823, AX823)+AY708+AY800</f>
        <v>0</v>
      </c>
      <c r="AZ823" s="10">
        <f>IF(Timeline!AZ$18=1, $G823, AY823)+AZ708+AZ800</f>
        <v>0</v>
      </c>
      <c r="BA823" s="10">
        <f>IF(Timeline!BA$18=1, $G823, AZ823)+BA708+BA800</f>
        <v>0</v>
      </c>
      <c r="BB823" s="10">
        <f>IF(Timeline!BB$18=1, $G823, BA823)+BB708+BB800</f>
        <v>0</v>
      </c>
      <c r="BC823" s="10">
        <f>IF(Timeline!BC$18=1, $G823, BB823)+BC708+BC800</f>
        <v>0</v>
      </c>
      <c r="BD823" s="10">
        <f>IF(Timeline!BD$18=1, $G823, BC823)+BD708+BD800</f>
        <v>0</v>
      </c>
      <c r="BE823" s="10">
        <f>IF(Timeline!BE$18=1, $G823, BD823)+BE708+BE800</f>
        <v>0</v>
      </c>
      <c r="BF823" s="10">
        <f>IF(Timeline!BF$18=1, $G823, BE823)+BF708+BF800</f>
        <v>0</v>
      </c>
      <c r="BG823" s="10">
        <f>IF(Timeline!BG$18=1, $G823, BF823)+BG708+BG800</f>
        <v>0</v>
      </c>
      <c r="BH823" s="10">
        <f>IF(Timeline!BH$18=1, $G823, BG823)+BH708+BH800</f>
        <v>0</v>
      </c>
      <c r="BI823" s="10">
        <f>IF(Timeline!BI$18=1, $G823, BH823)+BI708+BI800</f>
        <v>0</v>
      </c>
      <c r="BJ823" s="10">
        <f>IF(Timeline!BJ$18=1, $G823, BI823)+BJ708+BJ800</f>
        <v>0</v>
      </c>
      <c r="BK823" s="10">
        <f>IF(Timeline!BK$18=1, $G823, BJ823)+BK708+BK800</f>
        <v>0</v>
      </c>
      <c r="BL823" s="10">
        <f>IF(Timeline!BL$18=1, $G823, BK823)+BL708+BL800</f>
        <v>0</v>
      </c>
      <c r="BM823" s="10">
        <f>IF(Timeline!BM$18=1, $G823, BL823)+BM708+BM800</f>
        <v>0</v>
      </c>
      <c r="BN823" s="10">
        <f>IF(Timeline!BN$18=1, $G823, BM823)+BN708+BN800</f>
        <v>0</v>
      </c>
      <c r="BO823" s="10">
        <f>IF(Timeline!BO$18=1, $G823, BN823)+BO708+BO800</f>
        <v>0</v>
      </c>
      <c r="BP823" s="10">
        <f>IF(Timeline!BP$18=1, $G823, BO823)+BP708+BP800</f>
        <v>0</v>
      </c>
      <c r="BQ823" s="10">
        <f>IF(Timeline!BQ$18=1, $G823, BP823)+BQ708+BQ800</f>
        <v>0</v>
      </c>
      <c r="BR823" s="10">
        <f>IF(Timeline!BR$18=1, $G823, BQ823)+BR708+BR800</f>
        <v>0</v>
      </c>
      <c r="BS823" s="10">
        <f>IF(Timeline!BS$18=1, $G823, BR823)+BS708+BS800</f>
        <v>0</v>
      </c>
      <c r="BT823" s="10">
        <f>IF(Timeline!BT$18=1, $G823, BS823)+BT708+BT800</f>
        <v>0</v>
      </c>
      <c r="BU823" s="10">
        <f>IF(Timeline!BU$18=1, $G823, BT823)+BU708+BU800</f>
        <v>0</v>
      </c>
      <c r="BV823" s="10">
        <f>IF(Timeline!BV$18=1, $G823, BU823)+BV708+BV800</f>
        <v>0</v>
      </c>
      <c r="BW823"/>
      <c r="BX823" s="12">
        <f t="shared" si="805"/>
        <v>0</v>
      </c>
      <c r="BY823" s="12">
        <f t="shared" si="806"/>
        <v>0</v>
      </c>
      <c r="BZ823" s="12">
        <f t="shared" si="807"/>
        <v>0</v>
      </c>
      <c r="CA823" s="12">
        <f t="shared" si="808"/>
        <v>0</v>
      </c>
      <c r="CB823" s="10">
        <f t="shared" si="809"/>
        <v>0</v>
      </c>
      <c r="CC823" s="106"/>
      <c r="CD823" s="106"/>
      <c r="CE823" s="106"/>
      <c r="CF823" s="106"/>
      <c r="CG823" s="106"/>
      <c r="CH823" s="106"/>
      <c r="CI823" s="106"/>
      <c r="CJ823"/>
      <c r="CK823" s="11"/>
      <c r="CL823"/>
      <c r="CM823" s="11"/>
      <c r="CN823"/>
      <c r="CO823"/>
      <c r="CP823"/>
      <c r="CQ823"/>
      <c r="CR823"/>
      <c r="CS823"/>
      <c r="CT823"/>
      <c r="CU823"/>
      <c r="CV823" s="120"/>
      <c r="CW823"/>
      <c r="CX823"/>
      <c r="CY823"/>
      <c r="CZ823"/>
      <c r="DA823"/>
      <c r="DB823"/>
      <c r="DC823"/>
      <c r="DD823"/>
      <c r="DE823"/>
      <c r="DF823" s="11"/>
      <c r="EY823" s="10" t="str">
        <f t="shared" si="810"/>
        <v/>
      </c>
    </row>
    <row r="824" spans="1:155" x14ac:dyDescent="0.35">
      <c r="B824" s="69" t="str" cm="1">
        <f t="array" aca="1" ref="B824" ca="1">HYPERLINK(CONCATENATE("#",CELL("address",$D$322)),$D$322)</f>
        <v>Loan 15</v>
      </c>
      <c r="C824" s="211"/>
      <c r="D824" s="49">
        <f>D$27</f>
        <v>0</v>
      </c>
      <c r="E824" s="49" t="str">
        <f>F$27</f>
        <v/>
      </c>
      <c r="F824" s="49"/>
      <c r="G824" s="10">
        <f t="shared" si="802"/>
        <v>0</v>
      </c>
      <c r="H824" s="9"/>
      <c r="I824" s="40" t="s">
        <v>1079</v>
      </c>
      <c r="V824" s="12">
        <f t="shared" si="803"/>
        <v>0</v>
      </c>
      <c r="W824" s="10">
        <f t="shared" si="804"/>
        <v>0</v>
      </c>
      <c r="X824" s="10">
        <f t="shared" si="804"/>
        <v>0</v>
      </c>
      <c r="Y824" s="10">
        <f t="shared" si="804"/>
        <v>0</v>
      </c>
      <c r="AA824" s="10">
        <f>IF(Timeline!AA$18=1, $G824, Z824)+AA709+AA801</f>
        <v>0</v>
      </c>
      <c r="AB824" s="10">
        <f>IF(Timeline!AB$18=1, $G824, AA824)+AB709+AB801</f>
        <v>0</v>
      </c>
      <c r="AC824" s="10">
        <f>IF(Timeline!AC$18=1, $G824, AB824)+AC709+AC801</f>
        <v>0</v>
      </c>
      <c r="AD824" s="10">
        <f>IF(Timeline!AD$18=1, $G824, AC824)+AD709+AD801</f>
        <v>0</v>
      </c>
      <c r="AE824" s="10">
        <f>IF(Timeline!AE$18=1, $G824, AD824)+AE709+AE801</f>
        <v>0</v>
      </c>
      <c r="AF824" s="10">
        <f>IF(Timeline!AF$18=1, $G824, AE824)+AF709+AF801</f>
        <v>0</v>
      </c>
      <c r="AG824" s="10">
        <f>IF(Timeline!AG$18=1, $G824, AF824)+AG709+AG801</f>
        <v>0</v>
      </c>
      <c r="AH824" s="10">
        <f>IF(Timeline!AH$18=1, $G824, AG824)+AH709+AH801</f>
        <v>0</v>
      </c>
      <c r="AI824" s="10">
        <f>IF(Timeline!AI$18=1, $G824, AH824)+AI709+AI801</f>
        <v>0</v>
      </c>
      <c r="AJ824" s="10">
        <f>IF(Timeline!AJ$18=1, $G824, AI824)+AJ709+AJ801</f>
        <v>0</v>
      </c>
      <c r="AK824" s="10">
        <f>IF(Timeline!AK$18=1, $G824, AJ824)+AK709+AK801</f>
        <v>0</v>
      </c>
      <c r="AL824" s="10">
        <f>IF(Timeline!AL$18=1, $G824, AK824)+AL709+AL801</f>
        <v>0</v>
      </c>
      <c r="AM824" s="10">
        <f>IF(Timeline!AM$18=1, $G824, AL824)+AM709+AM801</f>
        <v>0</v>
      </c>
      <c r="AN824" s="10">
        <f>IF(Timeline!AN$18=1, $G824, AM824)+AN709+AN801</f>
        <v>0</v>
      </c>
      <c r="AO824" s="10">
        <f>IF(Timeline!AO$18=1, $G824, AN824)+AO709+AO801</f>
        <v>0</v>
      </c>
      <c r="AP824" s="10">
        <f>IF(Timeline!AP$18=1, $G824, AO824)+AP709+AP801</f>
        <v>0</v>
      </c>
      <c r="AQ824" s="10">
        <f>IF(Timeline!AQ$18=1, $G824, AP824)+AQ709+AQ801</f>
        <v>0</v>
      </c>
      <c r="AR824" s="10">
        <f>IF(Timeline!AR$18=1, $G824, AQ824)+AR709+AR801</f>
        <v>0</v>
      </c>
      <c r="AS824" s="10">
        <f>IF(Timeline!AS$18=1, $G824, AR824)+AS709+AS801</f>
        <v>0</v>
      </c>
      <c r="AT824" s="10">
        <f>IF(Timeline!AT$18=1, $G824, AS824)+AT709+AT801</f>
        <v>0</v>
      </c>
      <c r="AU824" s="10">
        <f>IF(Timeline!AU$18=1, $G824, AT824)+AU709+AU801</f>
        <v>0</v>
      </c>
      <c r="AV824" s="10">
        <f>IF(Timeline!AV$18=1, $G824, AU824)+AV709+AV801</f>
        <v>0</v>
      </c>
      <c r="AW824" s="10">
        <f>IF(Timeline!AW$18=1, $G824, AV824)+AW709+AW801</f>
        <v>0</v>
      </c>
      <c r="AX824" s="10">
        <f>IF(Timeline!AX$18=1, $G824, AW824)+AX709+AX801</f>
        <v>0</v>
      </c>
      <c r="AY824" s="10">
        <f>IF(Timeline!AY$18=1, $G824, AX824)+AY709+AY801</f>
        <v>0</v>
      </c>
      <c r="AZ824" s="10">
        <f>IF(Timeline!AZ$18=1, $G824, AY824)+AZ709+AZ801</f>
        <v>0</v>
      </c>
      <c r="BA824" s="10">
        <f>IF(Timeline!BA$18=1, $G824, AZ824)+BA709+BA801</f>
        <v>0</v>
      </c>
      <c r="BB824" s="10">
        <f>IF(Timeline!BB$18=1, $G824, BA824)+BB709+BB801</f>
        <v>0</v>
      </c>
      <c r="BC824" s="10">
        <f>IF(Timeline!BC$18=1, $G824, BB824)+BC709+BC801</f>
        <v>0</v>
      </c>
      <c r="BD824" s="10">
        <f>IF(Timeline!BD$18=1, $G824, BC824)+BD709+BD801</f>
        <v>0</v>
      </c>
      <c r="BE824" s="10">
        <f>IF(Timeline!BE$18=1, $G824, BD824)+BE709+BE801</f>
        <v>0</v>
      </c>
      <c r="BF824" s="10">
        <f>IF(Timeline!BF$18=1, $G824, BE824)+BF709+BF801</f>
        <v>0</v>
      </c>
      <c r="BG824" s="10">
        <f>IF(Timeline!BG$18=1, $G824, BF824)+BG709+BG801</f>
        <v>0</v>
      </c>
      <c r="BH824" s="10">
        <f>IF(Timeline!BH$18=1, $G824, BG824)+BH709+BH801</f>
        <v>0</v>
      </c>
      <c r="BI824" s="10">
        <f>IF(Timeline!BI$18=1, $G824, BH824)+BI709+BI801</f>
        <v>0</v>
      </c>
      <c r="BJ824" s="10">
        <f>IF(Timeline!BJ$18=1, $G824, BI824)+BJ709+BJ801</f>
        <v>0</v>
      </c>
      <c r="BK824" s="10">
        <f>IF(Timeline!BK$18=1, $G824, BJ824)+BK709+BK801</f>
        <v>0</v>
      </c>
      <c r="BL824" s="10">
        <f>IF(Timeline!BL$18=1, $G824, BK824)+BL709+BL801</f>
        <v>0</v>
      </c>
      <c r="BM824" s="10">
        <f>IF(Timeline!BM$18=1, $G824, BL824)+BM709+BM801</f>
        <v>0</v>
      </c>
      <c r="BN824" s="10">
        <f>IF(Timeline!BN$18=1, $G824, BM824)+BN709+BN801</f>
        <v>0</v>
      </c>
      <c r="BO824" s="10">
        <f>IF(Timeline!BO$18=1, $G824, BN824)+BO709+BO801</f>
        <v>0</v>
      </c>
      <c r="BP824" s="10">
        <f>IF(Timeline!BP$18=1, $G824, BO824)+BP709+BP801</f>
        <v>0</v>
      </c>
      <c r="BQ824" s="10">
        <f>IF(Timeline!BQ$18=1, $G824, BP824)+BQ709+BQ801</f>
        <v>0</v>
      </c>
      <c r="BR824" s="10">
        <f>IF(Timeline!BR$18=1, $G824, BQ824)+BR709+BR801</f>
        <v>0</v>
      </c>
      <c r="BS824" s="10">
        <f>IF(Timeline!BS$18=1, $G824, BR824)+BS709+BS801</f>
        <v>0</v>
      </c>
      <c r="BT824" s="10">
        <f>IF(Timeline!BT$18=1, $G824, BS824)+BT709+BT801</f>
        <v>0</v>
      </c>
      <c r="BU824" s="10">
        <f>IF(Timeline!BU$18=1, $G824, BT824)+BU709+BU801</f>
        <v>0</v>
      </c>
      <c r="BV824" s="10">
        <f>IF(Timeline!BV$18=1, $G824, BU824)+BV709+BV801</f>
        <v>0</v>
      </c>
      <c r="BX824" s="12">
        <f t="shared" si="805"/>
        <v>0</v>
      </c>
      <c r="BY824" s="12">
        <f t="shared" si="806"/>
        <v>0</v>
      </c>
      <c r="BZ824" s="12">
        <f t="shared" si="807"/>
        <v>0</v>
      </c>
      <c r="CA824" s="12">
        <f t="shared" si="808"/>
        <v>0</v>
      </c>
      <c r="CB824" s="10">
        <f t="shared" si="809"/>
        <v>0</v>
      </c>
      <c r="CC824" s="106"/>
      <c r="CD824" s="106"/>
      <c r="CE824" s="106"/>
      <c r="CF824" s="106"/>
      <c r="CG824" s="106"/>
      <c r="CH824" s="106"/>
      <c r="CI824" s="106"/>
      <c r="CK824" s="11"/>
      <c r="CM824" s="11"/>
      <c r="CV824" s="120"/>
      <c r="DF824" s="11"/>
      <c r="EY824" s="10" t="str">
        <f t="shared" si="810"/>
        <v/>
      </c>
    </row>
    <row r="825" spans="1:155" x14ac:dyDescent="0.35">
      <c r="B825" s="69" t="str" cm="1">
        <f t="array" aca="1" ref="B825" ca="1">HYPERLINK(CONCATENATE("#",CELL("address",$D$341)),$D$341)</f>
        <v>Loan 16</v>
      </c>
      <c r="C825" s="211"/>
      <c r="D825" s="49">
        <f>D$28</f>
        <v>0</v>
      </c>
      <c r="E825" s="49" t="str">
        <f>F$28</f>
        <v/>
      </c>
      <c r="F825" s="49"/>
      <c r="G825" s="10">
        <f t="shared" si="802"/>
        <v>0</v>
      </c>
      <c r="H825" s="9"/>
      <c r="I825" s="40" t="s">
        <v>1079</v>
      </c>
      <c r="V825" s="12">
        <f t="shared" si="803"/>
        <v>0</v>
      </c>
      <c r="W825" s="10">
        <f t="shared" si="804"/>
        <v>0</v>
      </c>
      <c r="X825" s="10">
        <f t="shared" si="804"/>
        <v>0</v>
      </c>
      <c r="Y825" s="10">
        <f t="shared" si="804"/>
        <v>0</v>
      </c>
      <c r="AA825" s="10">
        <f>IF(Timeline!AA$18=1, $G825, Z825)+AA710+AA802</f>
        <v>0</v>
      </c>
      <c r="AB825" s="10">
        <f>IF(Timeline!AB$18=1, $G825, AA825)+AB710+AB802</f>
        <v>0</v>
      </c>
      <c r="AC825" s="10">
        <f>IF(Timeline!AC$18=1, $G825, AB825)+AC710+AC802</f>
        <v>0</v>
      </c>
      <c r="AD825" s="10">
        <f>IF(Timeline!AD$18=1, $G825, AC825)+AD710+AD802</f>
        <v>0</v>
      </c>
      <c r="AE825" s="10">
        <f>IF(Timeline!AE$18=1, $G825, AD825)+AE710+AE802</f>
        <v>0</v>
      </c>
      <c r="AF825" s="10">
        <f>IF(Timeline!AF$18=1, $G825, AE825)+AF710+AF802</f>
        <v>0</v>
      </c>
      <c r="AG825" s="10">
        <f>IF(Timeline!AG$18=1, $G825, AF825)+AG710+AG802</f>
        <v>0</v>
      </c>
      <c r="AH825" s="10">
        <f>IF(Timeline!AH$18=1, $G825, AG825)+AH710+AH802</f>
        <v>0</v>
      </c>
      <c r="AI825" s="10">
        <f>IF(Timeline!AI$18=1, $G825, AH825)+AI710+AI802</f>
        <v>0</v>
      </c>
      <c r="AJ825" s="10">
        <f>IF(Timeline!AJ$18=1, $G825, AI825)+AJ710+AJ802</f>
        <v>0</v>
      </c>
      <c r="AK825" s="10">
        <f>IF(Timeline!AK$18=1, $G825, AJ825)+AK710+AK802</f>
        <v>0</v>
      </c>
      <c r="AL825" s="10">
        <f>IF(Timeline!AL$18=1, $G825, AK825)+AL710+AL802</f>
        <v>0</v>
      </c>
      <c r="AM825" s="10">
        <f>IF(Timeline!AM$18=1, $G825, AL825)+AM710+AM802</f>
        <v>0</v>
      </c>
      <c r="AN825" s="10">
        <f>IF(Timeline!AN$18=1, $G825, AM825)+AN710+AN802</f>
        <v>0</v>
      </c>
      <c r="AO825" s="10">
        <f>IF(Timeline!AO$18=1, $G825, AN825)+AO710+AO802</f>
        <v>0</v>
      </c>
      <c r="AP825" s="10">
        <f>IF(Timeline!AP$18=1, $G825, AO825)+AP710+AP802</f>
        <v>0</v>
      </c>
      <c r="AQ825" s="10">
        <f>IF(Timeline!AQ$18=1, $G825, AP825)+AQ710+AQ802</f>
        <v>0</v>
      </c>
      <c r="AR825" s="10">
        <f>IF(Timeline!AR$18=1, $G825, AQ825)+AR710+AR802</f>
        <v>0</v>
      </c>
      <c r="AS825" s="10">
        <f>IF(Timeline!AS$18=1, $G825, AR825)+AS710+AS802</f>
        <v>0</v>
      </c>
      <c r="AT825" s="10">
        <f>IF(Timeline!AT$18=1, $G825, AS825)+AT710+AT802</f>
        <v>0</v>
      </c>
      <c r="AU825" s="10">
        <f>IF(Timeline!AU$18=1, $G825, AT825)+AU710+AU802</f>
        <v>0</v>
      </c>
      <c r="AV825" s="10">
        <f>IF(Timeline!AV$18=1, $G825, AU825)+AV710+AV802</f>
        <v>0</v>
      </c>
      <c r="AW825" s="10">
        <f>IF(Timeline!AW$18=1, $G825, AV825)+AW710+AW802</f>
        <v>0</v>
      </c>
      <c r="AX825" s="10">
        <f>IF(Timeline!AX$18=1, $G825, AW825)+AX710+AX802</f>
        <v>0</v>
      </c>
      <c r="AY825" s="10">
        <f>IF(Timeline!AY$18=1, $G825, AX825)+AY710+AY802</f>
        <v>0</v>
      </c>
      <c r="AZ825" s="10">
        <f>IF(Timeline!AZ$18=1, $G825, AY825)+AZ710+AZ802</f>
        <v>0</v>
      </c>
      <c r="BA825" s="10">
        <f>IF(Timeline!BA$18=1, $G825, AZ825)+BA710+BA802</f>
        <v>0</v>
      </c>
      <c r="BB825" s="10">
        <f>IF(Timeline!BB$18=1, $G825, BA825)+BB710+BB802</f>
        <v>0</v>
      </c>
      <c r="BC825" s="10">
        <f>IF(Timeline!BC$18=1, $G825, BB825)+BC710+BC802</f>
        <v>0</v>
      </c>
      <c r="BD825" s="10">
        <f>IF(Timeline!BD$18=1, $G825, BC825)+BD710+BD802</f>
        <v>0</v>
      </c>
      <c r="BE825" s="10">
        <f>IF(Timeline!BE$18=1, $G825, BD825)+BE710+BE802</f>
        <v>0</v>
      </c>
      <c r="BF825" s="10">
        <f>IF(Timeline!BF$18=1, $G825, BE825)+BF710+BF802</f>
        <v>0</v>
      </c>
      <c r="BG825" s="10">
        <f>IF(Timeline!BG$18=1, $G825, BF825)+BG710+BG802</f>
        <v>0</v>
      </c>
      <c r="BH825" s="10">
        <f>IF(Timeline!BH$18=1, $G825, BG825)+BH710+BH802</f>
        <v>0</v>
      </c>
      <c r="BI825" s="10">
        <f>IF(Timeline!BI$18=1, $G825, BH825)+BI710+BI802</f>
        <v>0</v>
      </c>
      <c r="BJ825" s="10">
        <f>IF(Timeline!BJ$18=1, $G825, BI825)+BJ710+BJ802</f>
        <v>0</v>
      </c>
      <c r="BK825" s="10">
        <f>IF(Timeline!BK$18=1, $G825, BJ825)+BK710+BK802</f>
        <v>0</v>
      </c>
      <c r="BL825" s="10">
        <f>IF(Timeline!BL$18=1, $G825, BK825)+BL710+BL802</f>
        <v>0</v>
      </c>
      <c r="BM825" s="10">
        <f>IF(Timeline!BM$18=1, $G825, BL825)+BM710+BM802</f>
        <v>0</v>
      </c>
      <c r="BN825" s="10">
        <f>IF(Timeline!BN$18=1, $G825, BM825)+BN710+BN802</f>
        <v>0</v>
      </c>
      <c r="BO825" s="10">
        <f>IF(Timeline!BO$18=1, $G825, BN825)+BO710+BO802</f>
        <v>0</v>
      </c>
      <c r="BP825" s="10">
        <f>IF(Timeline!BP$18=1, $G825, BO825)+BP710+BP802</f>
        <v>0</v>
      </c>
      <c r="BQ825" s="10">
        <f>IF(Timeline!BQ$18=1, $G825, BP825)+BQ710+BQ802</f>
        <v>0</v>
      </c>
      <c r="BR825" s="10">
        <f>IF(Timeline!BR$18=1, $G825, BQ825)+BR710+BR802</f>
        <v>0</v>
      </c>
      <c r="BS825" s="10">
        <f>IF(Timeline!BS$18=1, $G825, BR825)+BS710+BS802</f>
        <v>0</v>
      </c>
      <c r="BT825" s="10">
        <f>IF(Timeline!BT$18=1, $G825, BS825)+BT710+BT802</f>
        <v>0</v>
      </c>
      <c r="BU825" s="10">
        <f>IF(Timeline!BU$18=1, $G825, BT825)+BU710+BU802</f>
        <v>0</v>
      </c>
      <c r="BV825" s="10">
        <f>IF(Timeline!BV$18=1, $G825, BU825)+BV710+BV802</f>
        <v>0</v>
      </c>
      <c r="BX825" s="12">
        <f t="shared" si="805"/>
        <v>0</v>
      </c>
      <c r="BY825" s="12">
        <f t="shared" si="806"/>
        <v>0</v>
      </c>
      <c r="BZ825" s="12">
        <f t="shared" si="807"/>
        <v>0</v>
      </c>
      <c r="CA825" s="12">
        <f t="shared" si="808"/>
        <v>0</v>
      </c>
      <c r="CB825" s="10">
        <f t="shared" si="809"/>
        <v>0</v>
      </c>
      <c r="CC825" s="106"/>
      <c r="CD825" s="106"/>
      <c r="CE825" s="106"/>
      <c r="CF825" s="106"/>
      <c r="CG825" s="106"/>
      <c r="CH825" s="106"/>
      <c r="CI825" s="106"/>
      <c r="CK825" s="11"/>
      <c r="CM825" s="11"/>
      <c r="CV825" s="120"/>
      <c r="DF825" s="11"/>
      <c r="EY825" s="10" t="str">
        <f t="shared" si="810"/>
        <v/>
      </c>
    </row>
    <row r="826" spans="1:155" x14ac:dyDescent="0.35">
      <c r="B826" s="69" t="str" cm="1">
        <f t="array" aca="1" ref="B826" ca="1">HYPERLINK(CONCATENATE("#",CELL("address",$D$360)),$D$360)</f>
        <v>Loan 17</v>
      </c>
      <c r="C826" s="211"/>
      <c r="D826" s="49">
        <f>D$29</f>
        <v>0</v>
      </c>
      <c r="E826" s="49" t="str">
        <f>F$29</f>
        <v/>
      </c>
      <c r="F826" s="49"/>
      <c r="G826" s="10">
        <f t="shared" si="802"/>
        <v>0</v>
      </c>
      <c r="H826" s="9"/>
      <c r="I826" s="40" t="s">
        <v>1079</v>
      </c>
      <c r="V826" s="12">
        <f t="shared" si="803"/>
        <v>0</v>
      </c>
      <c r="W826" s="10">
        <f t="shared" si="804"/>
        <v>0</v>
      </c>
      <c r="X826" s="10">
        <f t="shared" si="804"/>
        <v>0</v>
      </c>
      <c r="Y826" s="10">
        <f t="shared" si="804"/>
        <v>0</v>
      </c>
      <c r="AA826" s="10">
        <f>IF(Timeline!AA$18=1, $G826, Z826)+AA711+AA803</f>
        <v>0</v>
      </c>
      <c r="AB826" s="10">
        <f>IF(Timeline!AB$18=1, $G826, AA826)+AB711+AB803</f>
        <v>0</v>
      </c>
      <c r="AC826" s="10">
        <f>IF(Timeline!AC$18=1, $G826, AB826)+AC711+AC803</f>
        <v>0</v>
      </c>
      <c r="AD826" s="10">
        <f>IF(Timeline!AD$18=1, $G826, AC826)+AD711+AD803</f>
        <v>0</v>
      </c>
      <c r="AE826" s="10">
        <f>IF(Timeline!AE$18=1, $G826, AD826)+AE711+AE803</f>
        <v>0</v>
      </c>
      <c r="AF826" s="10">
        <f>IF(Timeline!AF$18=1, $G826, AE826)+AF711+AF803</f>
        <v>0</v>
      </c>
      <c r="AG826" s="10">
        <f>IF(Timeline!AG$18=1, $G826, AF826)+AG711+AG803</f>
        <v>0</v>
      </c>
      <c r="AH826" s="10">
        <f>IF(Timeline!AH$18=1, $G826, AG826)+AH711+AH803</f>
        <v>0</v>
      </c>
      <c r="AI826" s="10">
        <f>IF(Timeline!AI$18=1, $G826, AH826)+AI711+AI803</f>
        <v>0</v>
      </c>
      <c r="AJ826" s="10">
        <f>IF(Timeline!AJ$18=1, $G826, AI826)+AJ711+AJ803</f>
        <v>0</v>
      </c>
      <c r="AK826" s="10">
        <f>IF(Timeline!AK$18=1, $G826, AJ826)+AK711+AK803</f>
        <v>0</v>
      </c>
      <c r="AL826" s="10">
        <f>IF(Timeline!AL$18=1, $G826, AK826)+AL711+AL803</f>
        <v>0</v>
      </c>
      <c r="AM826" s="10">
        <f>IF(Timeline!AM$18=1, $G826, AL826)+AM711+AM803</f>
        <v>0</v>
      </c>
      <c r="AN826" s="10">
        <f>IF(Timeline!AN$18=1, $G826, AM826)+AN711+AN803</f>
        <v>0</v>
      </c>
      <c r="AO826" s="10">
        <f>IF(Timeline!AO$18=1, $G826, AN826)+AO711+AO803</f>
        <v>0</v>
      </c>
      <c r="AP826" s="10">
        <f>IF(Timeline!AP$18=1, $G826, AO826)+AP711+AP803</f>
        <v>0</v>
      </c>
      <c r="AQ826" s="10">
        <f>IF(Timeline!AQ$18=1, $G826, AP826)+AQ711+AQ803</f>
        <v>0</v>
      </c>
      <c r="AR826" s="10">
        <f>IF(Timeline!AR$18=1, $G826, AQ826)+AR711+AR803</f>
        <v>0</v>
      </c>
      <c r="AS826" s="10">
        <f>IF(Timeline!AS$18=1, $G826, AR826)+AS711+AS803</f>
        <v>0</v>
      </c>
      <c r="AT826" s="10">
        <f>IF(Timeline!AT$18=1, $G826, AS826)+AT711+AT803</f>
        <v>0</v>
      </c>
      <c r="AU826" s="10">
        <f>IF(Timeline!AU$18=1, $G826, AT826)+AU711+AU803</f>
        <v>0</v>
      </c>
      <c r="AV826" s="10">
        <f>IF(Timeline!AV$18=1, $G826, AU826)+AV711+AV803</f>
        <v>0</v>
      </c>
      <c r="AW826" s="10">
        <f>IF(Timeline!AW$18=1, $G826, AV826)+AW711+AW803</f>
        <v>0</v>
      </c>
      <c r="AX826" s="10">
        <f>IF(Timeline!AX$18=1, $G826, AW826)+AX711+AX803</f>
        <v>0</v>
      </c>
      <c r="AY826" s="10">
        <f>IF(Timeline!AY$18=1, $G826, AX826)+AY711+AY803</f>
        <v>0</v>
      </c>
      <c r="AZ826" s="10">
        <f>IF(Timeline!AZ$18=1, $G826, AY826)+AZ711+AZ803</f>
        <v>0</v>
      </c>
      <c r="BA826" s="10">
        <f>IF(Timeline!BA$18=1, $G826, AZ826)+BA711+BA803</f>
        <v>0</v>
      </c>
      <c r="BB826" s="10">
        <f>IF(Timeline!BB$18=1, $G826, BA826)+BB711+BB803</f>
        <v>0</v>
      </c>
      <c r="BC826" s="10">
        <f>IF(Timeline!BC$18=1, $G826, BB826)+BC711+BC803</f>
        <v>0</v>
      </c>
      <c r="BD826" s="10">
        <f>IF(Timeline!BD$18=1, $G826, BC826)+BD711+BD803</f>
        <v>0</v>
      </c>
      <c r="BE826" s="10">
        <f>IF(Timeline!BE$18=1, $G826, BD826)+BE711+BE803</f>
        <v>0</v>
      </c>
      <c r="BF826" s="10">
        <f>IF(Timeline!BF$18=1, $G826, BE826)+BF711+BF803</f>
        <v>0</v>
      </c>
      <c r="BG826" s="10">
        <f>IF(Timeline!BG$18=1, $G826, BF826)+BG711+BG803</f>
        <v>0</v>
      </c>
      <c r="BH826" s="10">
        <f>IF(Timeline!BH$18=1, $G826, BG826)+BH711+BH803</f>
        <v>0</v>
      </c>
      <c r="BI826" s="10">
        <f>IF(Timeline!BI$18=1, $G826, BH826)+BI711+BI803</f>
        <v>0</v>
      </c>
      <c r="BJ826" s="10">
        <f>IF(Timeline!BJ$18=1, $G826, BI826)+BJ711+BJ803</f>
        <v>0</v>
      </c>
      <c r="BK826" s="10">
        <f>IF(Timeline!BK$18=1, $G826, BJ826)+BK711+BK803</f>
        <v>0</v>
      </c>
      <c r="BL826" s="10">
        <f>IF(Timeline!BL$18=1, $G826, BK826)+BL711+BL803</f>
        <v>0</v>
      </c>
      <c r="BM826" s="10">
        <f>IF(Timeline!BM$18=1, $G826, BL826)+BM711+BM803</f>
        <v>0</v>
      </c>
      <c r="BN826" s="10">
        <f>IF(Timeline!BN$18=1, $G826, BM826)+BN711+BN803</f>
        <v>0</v>
      </c>
      <c r="BO826" s="10">
        <f>IF(Timeline!BO$18=1, $G826, BN826)+BO711+BO803</f>
        <v>0</v>
      </c>
      <c r="BP826" s="10">
        <f>IF(Timeline!BP$18=1, $G826, BO826)+BP711+BP803</f>
        <v>0</v>
      </c>
      <c r="BQ826" s="10">
        <f>IF(Timeline!BQ$18=1, $G826, BP826)+BQ711+BQ803</f>
        <v>0</v>
      </c>
      <c r="BR826" s="10">
        <f>IF(Timeline!BR$18=1, $G826, BQ826)+BR711+BR803</f>
        <v>0</v>
      </c>
      <c r="BS826" s="10">
        <f>IF(Timeline!BS$18=1, $G826, BR826)+BS711+BS803</f>
        <v>0</v>
      </c>
      <c r="BT826" s="10">
        <f>IF(Timeline!BT$18=1, $G826, BS826)+BT711+BT803</f>
        <v>0</v>
      </c>
      <c r="BU826" s="10">
        <f>IF(Timeline!BU$18=1, $G826, BT826)+BU711+BU803</f>
        <v>0</v>
      </c>
      <c r="BV826" s="10">
        <f>IF(Timeline!BV$18=1, $G826, BU826)+BV711+BV803</f>
        <v>0</v>
      </c>
      <c r="BX826" s="12">
        <f t="shared" si="805"/>
        <v>0</v>
      </c>
      <c r="BY826" s="12">
        <f t="shared" si="806"/>
        <v>0</v>
      </c>
      <c r="BZ826" s="12">
        <f t="shared" si="807"/>
        <v>0</v>
      </c>
      <c r="CA826" s="12">
        <f t="shared" si="808"/>
        <v>0</v>
      </c>
      <c r="CB826" s="10">
        <f t="shared" si="809"/>
        <v>0</v>
      </c>
      <c r="CC826" s="106"/>
      <c r="CD826" s="106"/>
      <c r="CE826" s="106"/>
      <c r="CF826" s="106"/>
      <c r="CG826" s="106"/>
      <c r="CH826" s="106"/>
      <c r="CI826" s="106"/>
      <c r="CK826" s="11"/>
      <c r="CM826" s="11"/>
      <c r="CV826" s="120"/>
      <c r="DF826" s="11"/>
      <c r="EY826" s="10" t="str">
        <f t="shared" si="810"/>
        <v/>
      </c>
    </row>
    <row r="827" spans="1:155" x14ac:dyDescent="0.35">
      <c r="B827" s="69" t="str" cm="1">
        <f t="array" aca="1" ref="B827" ca="1">HYPERLINK(CONCATENATE("#",CELL("address",$D$379)),$D$379)</f>
        <v>Loan 18</v>
      </c>
      <c r="C827" s="211"/>
      <c r="D827" s="49">
        <f>D$30</f>
        <v>0</v>
      </c>
      <c r="E827" s="49" t="str">
        <f>F$30</f>
        <v/>
      </c>
      <c r="F827" s="49"/>
      <c r="G827" s="10">
        <f t="shared" si="802"/>
        <v>0</v>
      </c>
      <c r="H827" s="9"/>
      <c r="I827" s="40" t="s">
        <v>1079</v>
      </c>
      <c r="V827" s="12">
        <f t="shared" si="803"/>
        <v>0</v>
      </c>
      <c r="W827" s="10">
        <f t="shared" si="804"/>
        <v>0</v>
      </c>
      <c r="X827" s="10">
        <f t="shared" si="804"/>
        <v>0</v>
      </c>
      <c r="Y827" s="10">
        <f t="shared" si="804"/>
        <v>0</v>
      </c>
      <c r="AA827" s="10">
        <f>IF(Timeline!AA$18=1, $G827, Z827)+AA712+AA804</f>
        <v>0</v>
      </c>
      <c r="AB827" s="10">
        <f>IF(Timeline!AB$18=1, $G827, AA827)+AB712+AB804</f>
        <v>0</v>
      </c>
      <c r="AC827" s="10">
        <f>IF(Timeline!AC$18=1, $G827, AB827)+AC712+AC804</f>
        <v>0</v>
      </c>
      <c r="AD827" s="10">
        <f>IF(Timeline!AD$18=1, $G827, AC827)+AD712+AD804</f>
        <v>0</v>
      </c>
      <c r="AE827" s="10">
        <f>IF(Timeline!AE$18=1, $G827, AD827)+AE712+AE804</f>
        <v>0</v>
      </c>
      <c r="AF827" s="10">
        <f>IF(Timeline!AF$18=1, $G827, AE827)+AF712+AF804</f>
        <v>0</v>
      </c>
      <c r="AG827" s="10">
        <f>IF(Timeline!AG$18=1, $G827, AF827)+AG712+AG804</f>
        <v>0</v>
      </c>
      <c r="AH827" s="10">
        <f>IF(Timeline!AH$18=1, $G827, AG827)+AH712+AH804</f>
        <v>0</v>
      </c>
      <c r="AI827" s="10">
        <f>IF(Timeline!AI$18=1, $G827, AH827)+AI712+AI804</f>
        <v>0</v>
      </c>
      <c r="AJ827" s="10">
        <f>IF(Timeline!AJ$18=1, $G827, AI827)+AJ712+AJ804</f>
        <v>0</v>
      </c>
      <c r="AK827" s="10">
        <f>IF(Timeline!AK$18=1, $G827, AJ827)+AK712+AK804</f>
        <v>0</v>
      </c>
      <c r="AL827" s="10">
        <f>IF(Timeline!AL$18=1, $G827, AK827)+AL712+AL804</f>
        <v>0</v>
      </c>
      <c r="AM827" s="10">
        <f>IF(Timeline!AM$18=1, $G827, AL827)+AM712+AM804</f>
        <v>0</v>
      </c>
      <c r="AN827" s="10">
        <f>IF(Timeline!AN$18=1, $G827, AM827)+AN712+AN804</f>
        <v>0</v>
      </c>
      <c r="AO827" s="10">
        <f>IF(Timeline!AO$18=1, $G827, AN827)+AO712+AO804</f>
        <v>0</v>
      </c>
      <c r="AP827" s="10">
        <f>IF(Timeline!AP$18=1, $G827, AO827)+AP712+AP804</f>
        <v>0</v>
      </c>
      <c r="AQ827" s="10">
        <f>IF(Timeline!AQ$18=1, $G827, AP827)+AQ712+AQ804</f>
        <v>0</v>
      </c>
      <c r="AR827" s="10">
        <f>IF(Timeline!AR$18=1, $G827, AQ827)+AR712+AR804</f>
        <v>0</v>
      </c>
      <c r="AS827" s="10">
        <f>IF(Timeline!AS$18=1, $G827, AR827)+AS712+AS804</f>
        <v>0</v>
      </c>
      <c r="AT827" s="10">
        <f>IF(Timeline!AT$18=1, $G827, AS827)+AT712+AT804</f>
        <v>0</v>
      </c>
      <c r="AU827" s="10">
        <f>IF(Timeline!AU$18=1, $G827, AT827)+AU712+AU804</f>
        <v>0</v>
      </c>
      <c r="AV827" s="10">
        <f>IF(Timeline!AV$18=1, $G827, AU827)+AV712+AV804</f>
        <v>0</v>
      </c>
      <c r="AW827" s="10">
        <f>IF(Timeline!AW$18=1, $G827, AV827)+AW712+AW804</f>
        <v>0</v>
      </c>
      <c r="AX827" s="10">
        <f>IF(Timeline!AX$18=1, $G827, AW827)+AX712+AX804</f>
        <v>0</v>
      </c>
      <c r="AY827" s="10">
        <f>IF(Timeline!AY$18=1, $G827, AX827)+AY712+AY804</f>
        <v>0</v>
      </c>
      <c r="AZ827" s="10">
        <f>IF(Timeline!AZ$18=1, $G827, AY827)+AZ712+AZ804</f>
        <v>0</v>
      </c>
      <c r="BA827" s="10">
        <f>IF(Timeline!BA$18=1, $G827, AZ827)+BA712+BA804</f>
        <v>0</v>
      </c>
      <c r="BB827" s="10">
        <f>IF(Timeline!BB$18=1, $G827, BA827)+BB712+BB804</f>
        <v>0</v>
      </c>
      <c r="BC827" s="10">
        <f>IF(Timeline!BC$18=1, $G827, BB827)+BC712+BC804</f>
        <v>0</v>
      </c>
      <c r="BD827" s="10">
        <f>IF(Timeline!BD$18=1, $G827, BC827)+BD712+BD804</f>
        <v>0</v>
      </c>
      <c r="BE827" s="10">
        <f>IF(Timeline!BE$18=1, $G827, BD827)+BE712+BE804</f>
        <v>0</v>
      </c>
      <c r="BF827" s="10">
        <f>IF(Timeline!BF$18=1, $G827, BE827)+BF712+BF804</f>
        <v>0</v>
      </c>
      <c r="BG827" s="10">
        <f>IF(Timeline!BG$18=1, $G827, BF827)+BG712+BG804</f>
        <v>0</v>
      </c>
      <c r="BH827" s="10">
        <f>IF(Timeline!BH$18=1, $G827, BG827)+BH712+BH804</f>
        <v>0</v>
      </c>
      <c r="BI827" s="10">
        <f>IF(Timeline!BI$18=1, $G827, BH827)+BI712+BI804</f>
        <v>0</v>
      </c>
      <c r="BJ827" s="10">
        <f>IF(Timeline!BJ$18=1, $G827, BI827)+BJ712+BJ804</f>
        <v>0</v>
      </c>
      <c r="BK827" s="10">
        <f>IF(Timeline!BK$18=1, $G827, BJ827)+BK712+BK804</f>
        <v>0</v>
      </c>
      <c r="BL827" s="10">
        <f>IF(Timeline!BL$18=1, $G827, BK827)+BL712+BL804</f>
        <v>0</v>
      </c>
      <c r="BM827" s="10">
        <f>IF(Timeline!BM$18=1, $G827, BL827)+BM712+BM804</f>
        <v>0</v>
      </c>
      <c r="BN827" s="10">
        <f>IF(Timeline!BN$18=1, $G827, BM827)+BN712+BN804</f>
        <v>0</v>
      </c>
      <c r="BO827" s="10">
        <f>IF(Timeline!BO$18=1, $G827, BN827)+BO712+BO804</f>
        <v>0</v>
      </c>
      <c r="BP827" s="10">
        <f>IF(Timeline!BP$18=1, $G827, BO827)+BP712+BP804</f>
        <v>0</v>
      </c>
      <c r="BQ827" s="10">
        <f>IF(Timeline!BQ$18=1, $G827, BP827)+BQ712+BQ804</f>
        <v>0</v>
      </c>
      <c r="BR827" s="10">
        <f>IF(Timeline!BR$18=1, $G827, BQ827)+BR712+BR804</f>
        <v>0</v>
      </c>
      <c r="BS827" s="10">
        <f>IF(Timeline!BS$18=1, $G827, BR827)+BS712+BS804</f>
        <v>0</v>
      </c>
      <c r="BT827" s="10">
        <f>IF(Timeline!BT$18=1, $G827, BS827)+BT712+BT804</f>
        <v>0</v>
      </c>
      <c r="BU827" s="10">
        <f>IF(Timeline!BU$18=1, $G827, BT827)+BU712+BU804</f>
        <v>0</v>
      </c>
      <c r="BV827" s="10">
        <f>IF(Timeline!BV$18=1, $G827, BU827)+BV712+BV804</f>
        <v>0</v>
      </c>
      <c r="BX827" s="12">
        <f t="shared" si="805"/>
        <v>0</v>
      </c>
      <c r="BY827" s="12">
        <f t="shared" si="806"/>
        <v>0</v>
      </c>
      <c r="BZ827" s="12">
        <f t="shared" si="807"/>
        <v>0</v>
      </c>
      <c r="CA827" s="12">
        <f t="shared" si="808"/>
        <v>0</v>
      </c>
      <c r="CB827" s="10">
        <f t="shared" si="809"/>
        <v>0</v>
      </c>
      <c r="CC827" s="106"/>
      <c r="CD827" s="106"/>
      <c r="CE827" s="106"/>
      <c r="CF827" s="106"/>
      <c r="CG827" s="106"/>
      <c r="CH827" s="106"/>
      <c r="CI827" s="106"/>
      <c r="CK827" s="11"/>
      <c r="CM827" s="11"/>
      <c r="CV827" s="120"/>
      <c r="DF827" s="11"/>
      <c r="EY827" s="10" t="str">
        <f t="shared" si="810"/>
        <v/>
      </c>
    </row>
    <row r="828" spans="1:155" x14ac:dyDescent="0.35">
      <c r="B828" s="69" t="str" cm="1">
        <f t="array" aca="1" ref="B828" ca="1">HYPERLINK(CONCATENATE("#",CELL("address",$D$398)),$D$398)</f>
        <v>Loan 19</v>
      </c>
      <c r="C828" s="211"/>
      <c r="D828" s="49">
        <f>D$31</f>
        <v>0</v>
      </c>
      <c r="E828" s="49" t="str">
        <f>F$31</f>
        <v/>
      </c>
      <c r="F828" s="49"/>
      <c r="G828" s="10">
        <f t="shared" si="802"/>
        <v>0</v>
      </c>
      <c r="H828" s="9"/>
      <c r="I828" s="40" t="s">
        <v>1079</v>
      </c>
      <c r="V828" s="12">
        <f t="shared" si="803"/>
        <v>0</v>
      </c>
      <c r="W828" s="10">
        <f t="shared" si="804"/>
        <v>0</v>
      </c>
      <c r="X828" s="10">
        <f t="shared" si="804"/>
        <v>0</v>
      </c>
      <c r="Y828" s="10">
        <f t="shared" si="804"/>
        <v>0</v>
      </c>
      <c r="AA828" s="10">
        <f>IF(Timeline!AA$18=1, $G828, Z828)+AA713+AA805</f>
        <v>0</v>
      </c>
      <c r="AB828" s="10">
        <f>IF(Timeline!AB$18=1, $G828, AA828)+AB713+AB805</f>
        <v>0</v>
      </c>
      <c r="AC828" s="10">
        <f>IF(Timeline!AC$18=1, $G828, AB828)+AC713+AC805</f>
        <v>0</v>
      </c>
      <c r="AD828" s="10">
        <f>IF(Timeline!AD$18=1, $G828, AC828)+AD713+AD805</f>
        <v>0</v>
      </c>
      <c r="AE828" s="10">
        <f>IF(Timeline!AE$18=1, $G828, AD828)+AE713+AE805</f>
        <v>0</v>
      </c>
      <c r="AF828" s="10">
        <f>IF(Timeline!AF$18=1, $G828, AE828)+AF713+AF805</f>
        <v>0</v>
      </c>
      <c r="AG828" s="10">
        <f>IF(Timeline!AG$18=1, $G828, AF828)+AG713+AG805</f>
        <v>0</v>
      </c>
      <c r="AH828" s="10">
        <f>IF(Timeline!AH$18=1, $G828, AG828)+AH713+AH805</f>
        <v>0</v>
      </c>
      <c r="AI828" s="10">
        <f>IF(Timeline!AI$18=1, $G828, AH828)+AI713+AI805</f>
        <v>0</v>
      </c>
      <c r="AJ828" s="10">
        <f>IF(Timeline!AJ$18=1, $G828, AI828)+AJ713+AJ805</f>
        <v>0</v>
      </c>
      <c r="AK828" s="10">
        <f>IF(Timeline!AK$18=1, $G828, AJ828)+AK713+AK805</f>
        <v>0</v>
      </c>
      <c r="AL828" s="10">
        <f>IF(Timeline!AL$18=1, $G828, AK828)+AL713+AL805</f>
        <v>0</v>
      </c>
      <c r="AM828" s="10">
        <f>IF(Timeline!AM$18=1, $G828, AL828)+AM713+AM805</f>
        <v>0</v>
      </c>
      <c r="AN828" s="10">
        <f>IF(Timeline!AN$18=1, $G828, AM828)+AN713+AN805</f>
        <v>0</v>
      </c>
      <c r="AO828" s="10">
        <f>IF(Timeline!AO$18=1, $G828, AN828)+AO713+AO805</f>
        <v>0</v>
      </c>
      <c r="AP828" s="10">
        <f>IF(Timeline!AP$18=1, $G828, AO828)+AP713+AP805</f>
        <v>0</v>
      </c>
      <c r="AQ828" s="10">
        <f>IF(Timeline!AQ$18=1, $G828, AP828)+AQ713+AQ805</f>
        <v>0</v>
      </c>
      <c r="AR828" s="10">
        <f>IF(Timeline!AR$18=1, $G828, AQ828)+AR713+AR805</f>
        <v>0</v>
      </c>
      <c r="AS828" s="10">
        <f>IF(Timeline!AS$18=1, $G828, AR828)+AS713+AS805</f>
        <v>0</v>
      </c>
      <c r="AT828" s="10">
        <f>IF(Timeline!AT$18=1, $G828, AS828)+AT713+AT805</f>
        <v>0</v>
      </c>
      <c r="AU828" s="10">
        <f>IF(Timeline!AU$18=1, $G828, AT828)+AU713+AU805</f>
        <v>0</v>
      </c>
      <c r="AV828" s="10">
        <f>IF(Timeline!AV$18=1, $G828, AU828)+AV713+AV805</f>
        <v>0</v>
      </c>
      <c r="AW828" s="10">
        <f>IF(Timeline!AW$18=1, $G828, AV828)+AW713+AW805</f>
        <v>0</v>
      </c>
      <c r="AX828" s="10">
        <f>IF(Timeline!AX$18=1, $G828, AW828)+AX713+AX805</f>
        <v>0</v>
      </c>
      <c r="AY828" s="10">
        <f>IF(Timeline!AY$18=1, $G828, AX828)+AY713+AY805</f>
        <v>0</v>
      </c>
      <c r="AZ828" s="10">
        <f>IF(Timeline!AZ$18=1, $G828, AY828)+AZ713+AZ805</f>
        <v>0</v>
      </c>
      <c r="BA828" s="10">
        <f>IF(Timeline!BA$18=1, $G828, AZ828)+BA713+BA805</f>
        <v>0</v>
      </c>
      <c r="BB828" s="10">
        <f>IF(Timeline!BB$18=1, $G828, BA828)+BB713+BB805</f>
        <v>0</v>
      </c>
      <c r="BC828" s="10">
        <f>IF(Timeline!BC$18=1, $G828, BB828)+BC713+BC805</f>
        <v>0</v>
      </c>
      <c r="BD828" s="10">
        <f>IF(Timeline!BD$18=1, $G828, BC828)+BD713+BD805</f>
        <v>0</v>
      </c>
      <c r="BE828" s="10">
        <f>IF(Timeline!BE$18=1, $G828, BD828)+BE713+BE805</f>
        <v>0</v>
      </c>
      <c r="BF828" s="10">
        <f>IF(Timeline!BF$18=1, $G828, BE828)+BF713+BF805</f>
        <v>0</v>
      </c>
      <c r="BG828" s="10">
        <f>IF(Timeline!BG$18=1, $G828, BF828)+BG713+BG805</f>
        <v>0</v>
      </c>
      <c r="BH828" s="10">
        <f>IF(Timeline!BH$18=1, $G828, BG828)+BH713+BH805</f>
        <v>0</v>
      </c>
      <c r="BI828" s="10">
        <f>IF(Timeline!BI$18=1, $G828, BH828)+BI713+BI805</f>
        <v>0</v>
      </c>
      <c r="BJ828" s="10">
        <f>IF(Timeline!BJ$18=1, $G828, BI828)+BJ713+BJ805</f>
        <v>0</v>
      </c>
      <c r="BK828" s="10">
        <f>IF(Timeline!BK$18=1, $G828, BJ828)+BK713+BK805</f>
        <v>0</v>
      </c>
      <c r="BL828" s="10">
        <f>IF(Timeline!BL$18=1, $G828, BK828)+BL713+BL805</f>
        <v>0</v>
      </c>
      <c r="BM828" s="10">
        <f>IF(Timeline!BM$18=1, $G828, BL828)+BM713+BM805</f>
        <v>0</v>
      </c>
      <c r="BN828" s="10">
        <f>IF(Timeline!BN$18=1, $G828, BM828)+BN713+BN805</f>
        <v>0</v>
      </c>
      <c r="BO828" s="10">
        <f>IF(Timeline!BO$18=1, $G828, BN828)+BO713+BO805</f>
        <v>0</v>
      </c>
      <c r="BP828" s="10">
        <f>IF(Timeline!BP$18=1, $G828, BO828)+BP713+BP805</f>
        <v>0</v>
      </c>
      <c r="BQ828" s="10">
        <f>IF(Timeline!BQ$18=1, $G828, BP828)+BQ713+BQ805</f>
        <v>0</v>
      </c>
      <c r="BR828" s="10">
        <f>IF(Timeline!BR$18=1, $G828, BQ828)+BR713+BR805</f>
        <v>0</v>
      </c>
      <c r="BS828" s="10">
        <f>IF(Timeline!BS$18=1, $G828, BR828)+BS713+BS805</f>
        <v>0</v>
      </c>
      <c r="BT828" s="10">
        <f>IF(Timeline!BT$18=1, $G828, BS828)+BT713+BT805</f>
        <v>0</v>
      </c>
      <c r="BU828" s="10">
        <f>IF(Timeline!BU$18=1, $G828, BT828)+BU713+BU805</f>
        <v>0</v>
      </c>
      <c r="BV828" s="10">
        <f>IF(Timeline!BV$18=1, $G828, BU828)+BV713+BV805</f>
        <v>0</v>
      </c>
      <c r="BX828" s="12">
        <f t="shared" si="805"/>
        <v>0</v>
      </c>
      <c r="BY828" s="12">
        <f t="shared" si="806"/>
        <v>0</v>
      </c>
      <c r="BZ828" s="12">
        <f t="shared" si="807"/>
        <v>0</v>
      </c>
      <c r="CA828" s="12">
        <f t="shared" si="808"/>
        <v>0</v>
      </c>
      <c r="CB828" s="10">
        <f t="shared" si="809"/>
        <v>0</v>
      </c>
      <c r="CC828" s="106"/>
      <c r="CD828" s="106"/>
      <c r="CE828" s="106"/>
      <c r="CF828" s="106"/>
      <c r="CG828" s="106"/>
      <c r="CH828" s="106"/>
      <c r="CI828" s="106"/>
      <c r="CK828" s="11"/>
      <c r="CM828" s="11"/>
      <c r="CV828" s="120"/>
      <c r="DF828" s="11"/>
      <c r="EY828" s="10" t="str">
        <f t="shared" si="810"/>
        <v/>
      </c>
    </row>
    <row r="829" spans="1:155" x14ac:dyDescent="0.35">
      <c r="B829" s="69" t="str" cm="1">
        <f t="array" aca="1" ref="B829" ca="1">HYPERLINK(CONCATENATE("#",CELL("address",$D$417)),$D$417)</f>
        <v>Loan 20</v>
      </c>
      <c r="C829" s="211"/>
      <c r="D829" s="49">
        <f>D$32</f>
        <v>0</v>
      </c>
      <c r="E829" s="49" t="str">
        <f>F$32</f>
        <v/>
      </c>
      <c r="F829" s="49"/>
      <c r="G829" s="133">
        <f t="shared" si="802"/>
        <v>0</v>
      </c>
      <c r="H829" s="9"/>
      <c r="I829" s="40" t="s">
        <v>1079</v>
      </c>
      <c r="V829" s="12">
        <f t="shared" si="803"/>
        <v>0</v>
      </c>
      <c r="W829" s="10">
        <f t="shared" si="804"/>
        <v>0</v>
      </c>
      <c r="X829" s="10">
        <f t="shared" si="804"/>
        <v>0</v>
      </c>
      <c r="Y829" s="10">
        <f t="shared" si="804"/>
        <v>0</v>
      </c>
      <c r="AA829" s="10">
        <f>IF(Timeline!AA$18=1, $G829, Z829)+AA714+AA806</f>
        <v>0</v>
      </c>
      <c r="AB829" s="10">
        <f>IF(Timeline!AB$18=1, $G829, AA829)+AB714+AB806</f>
        <v>0</v>
      </c>
      <c r="AC829" s="10">
        <f>IF(Timeline!AC$18=1, $G829, AB829)+AC714+AC806</f>
        <v>0</v>
      </c>
      <c r="AD829" s="10">
        <f>IF(Timeline!AD$18=1, $G829, AC829)+AD714+AD806</f>
        <v>0</v>
      </c>
      <c r="AE829" s="10">
        <f>IF(Timeline!AE$18=1, $G829, AD829)+AE714+AE806</f>
        <v>0</v>
      </c>
      <c r="AF829" s="10">
        <f>IF(Timeline!AF$18=1, $G829, AE829)+AF714+AF806</f>
        <v>0</v>
      </c>
      <c r="AG829" s="10">
        <f>IF(Timeline!AG$18=1, $G829, AF829)+AG714+AG806</f>
        <v>0</v>
      </c>
      <c r="AH829" s="10">
        <f>IF(Timeline!AH$18=1, $G829, AG829)+AH714+AH806</f>
        <v>0</v>
      </c>
      <c r="AI829" s="10">
        <f>IF(Timeline!AI$18=1, $G829, AH829)+AI714+AI806</f>
        <v>0</v>
      </c>
      <c r="AJ829" s="10">
        <f>IF(Timeline!AJ$18=1, $G829, AI829)+AJ714+AJ806</f>
        <v>0</v>
      </c>
      <c r="AK829" s="10">
        <f>IF(Timeline!AK$18=1, $G829, AJ829)+AK714+AK806</f>
        <v>0</v>
      </c>
      <c r="AL829" s="10">
        <f>IF(Timeline!AL$18=1, $G829, AK829)+AL714+AL806</f>
        <v>0</v>
      </c>
      <c r="AM829" s="10">
        <f>IF(Timeline!AM$18=1, $G829, AL829)+AM714+AM806</f>
        <v>0</v>
      </c>
      <c r="AN829" s="10">
        <f>IF(Timeline!AN$18=1, $G829, AM829)+AN714+AN806</f>
        <v>0</v>
      </c>
      <c r="AO829" s="10">
        <f>IF(Timeline!AO$18=1, $G829, AN829)+AO714+AO806</f>
        <v>0</v>
      </c>
      <c r="AP829" s="10">
        <f>IF(Timeline!AP$18=1, $G829, AO829)+AP714+AP806</f>
        <v>0</v>
      </c>
      <c r="AQ829" s="10">
        <f>IF(Timeline!AQ$18=1, $G829, AP829)+AQ714+AQ806</f>
        <v>0</v>
      </c>
      <c r="AR829" s="10">
        <f>IF(Timeline!AR$18=1, $G829, AQ829)+AR714+AR806</f>
        <v>0</v>
      </c>
      <c r="AS829" s="10">
        <f>IF(Timeline!AS$18=1, $G829, AR829)+AS714+AS806</f>
        <v>0</v>
      </c>
      <c r="AT829" s="10">
        <f>IF(Timeline!AT$18=1, $G829, AS829)+AT714+AT806</f>
        <v>0</v>
      </c>
      <c r="AU829" s="10">
        <f>IF(Timeline!AU$18=1, $G829, AT829)+AU714+AU806</f>
        <v>0</v>
      </c>
      <c r="AV829" s="10">
        <f>IF(Timeline!AV$18=1, $G829, AU829)+AV714+AV806</f>
        <v>0</v>
      </c>
      <c r="AW829" s="10">
        <f>IF(Timeline!AW$18=1, $G829, AV829)+AW714+AW806</f>
        <v>0</v>
      </c>
      <c r="AX829" s="10">
        <f>IF(Timeline!AX$18=1, $G829, AW829)+AX714+AX806</f>
        <v>0</v>
      </c>
      <c r="AY829" s="10">
        <f>IF(Timeline!AY$18=1, $G829, AX829)+AY714+AY806</f>
        <v>0</v>
      </c>
      <c r="AZ829" s="10">
        <f>IF(Timeline!AZ$18=1, $G829, AY829)+AZ714+AZ806</f>
        <v>0</v>
      </c>
      <c r="BA829" s="10">
        <f>IF(Timeline!BA$18=1, $G829, AZ829)+BA714+BA806</f>
        <v>0</v>
      </c>
      <c r="BB829" s="10">
        <f>IF(Timeline!BB$18=1, $G829, BA829)+BB714+BB806</f>
        <v>0</v>
      </c>
      <c r="BC829" s="10">
        <f>IF(Timeline!BC$18=1, $G829, BB829)+BC714+BC806</f>
        <v>0</v>
      </c>
      <c r="BD829" s="10">
        <f>IF(Timeline!BD$18=1, $G829, BC829)+BD714+BD806</f>
        <v>0</v>
      </c>
      <c r="BE829" s="10">
        <f>IF(Timeline!BE$18=1, $G829, BD829)+BE714+BE806</f>
        <v>0</v>
      </c>
      <c r="BF829" s="10">
        <f>IF(Timeline!BF$18=1, $G829, BE829)+BF714+BF806</f>
        <v>0</v>
      </c>
      <c r="BG829" s="10">
        <f>IF(Timeline!BG$18=1, $G829, BF829)+BG714+BG806</f>
        <v>0</v>
      </c>
      <c r="BH829" s="10">
        <f>IF(Timeline!BH$18=1, $G829, BG829)+BH714+BH806</f>
        <v>0</v>
      </c>
      <c r="BI829" s="10">
        <f>IF(Timeline!BI$18=1, $G829, BH829)+BI714+BI806</f>
        <v>0</v>
      </c>
      <c r="BJ829" s="10">
        <f>IF(Timeline!BJ$18=1, $G829, BI829)+BJ714+BJ806</f>
        <v>0</v>
      </c>
      <c r="BK829" s="10">
        <f>IF(Timeline!BK$18=1, $G829, BJ829)+BK714+BK806</f>
        <v>0</v>
      </c>
      <c r="BL829" s="10">
        <f>IF(Timeline!BL$18=1, $G829, BK829)+BL714+BL806</f>
        <v>0</v>
      </c>
      <c r="BM829" s="10">
        <f>IF(Timeline!BM$18=1, $G829, BL829)+BM714+BM806</f>
        <v>0</v>
      </c>
      <c r="BN829" s="10">
        <f>IF(Timeline!BN$18=1, $G829, BM829)+BN714+BN806</f>
        <v>0</v>
      </c>
      <c r="BO829" s="10">
        <f>IF(Timeline!BO$18=1, $G829, BN829)+BO714+BO806</f>
        <v>0</v>
      </c>
      <c r="BP829" s="10">
        <f>IF(Timeline!BP$18=1, $G829, BO829)+BP714+BP806</f>
        <v>0</v>
      </c>
      <c r="BQ829" s="10">
        <f>IF(Timeline!BQ$18=1, $G829, BP829)+BQ714+BQ806</f>
        <v>0</v>
      </c>
      <c r="BR829" s="10">
        <f>IF(Timeline!BR$18=1, $G829, BQ829)+BR714+BR806</f>
        <v>0</v>
      </c>
      <c r="BS829" s="10">
        <f>IF(Timeline!BS$18=1, $G829, BR829)+BS714+BS806</f>
        <v>0</v>
      </c>
      <c r="BT829" s="10">
        <f>IF(Timeline!BT$18=1, $G829, BS829)+BT714+BT806</f>
        <v>0</v>
      </c>
      <c r="BU829" s="10">
        <f>IF(Timeline!BU$18=1, $G829, BT829)+BU714+BU806</f>
        <v>0</v>
      </c>
      <c r="BV829" s="10">
        <f>IF(Timeline!BV$18=1, $G829, BU829)+BV714+BV806</f>
        <v>0</v>
      </c>
      <c r="BX829" s="12">
        <f t="shared" si="805"/>
        <v>0</v>
      </c>
      <c r="BY829" s="12">
        <f t="shared" si="806"/>
        <v>0</v>
      </c>
      <c r="BZ829" s="12">
        <f t="shared" si="807"/>
        <v>0</v>
      </c>
      <c r="CA829" s="12">
        <f t="shared" si="808"/>
        <v>0</v>
      </c>
      <c r="CB829" s="10">
        <f t="shared" si="809"/>
        <v>0</v>
      </c>
      <c r="CC829" s="106"/>
      <c r="CD829" s="106"/>
      <c r="CE829" s="106"/>
      <c r="CF829" s="106"/>
      <c r="CG829" s="106"/>
      <c r="CH829" s="106"/>
      <c r="CI829" s="106"/>
      <c r="CK829" s="11"/>
      <c r="CM829" s="11"/>
      <c r="CV829" s="120"/>
      <c r="DF829" s="11"/>
      <c r="EY829" s="10" t="str">
        <f t="shared" si="810"/>
        <v/>
      </c>
    </row>
    <row r="830" spans="1:155" x14ac:dyDescent="0.35">
      <c r="C830" s="211"/>
      <c r="CK830" s="11"/>
      <c r="CM830" s="11"/>
      <c r="CV830" s="120"/>
      <c r="DF830" s="11"/>
      <c r="EY830" s="10" t="str">
        <f t="shared" si="810"/>
        <v/>
      </c>
    </row>
    <row r="831" spans="1:155" x14ac:dyDescent="0.35">
      <c r="C831" s="211"/>
      <c r="CK831" s="11"/>
      <c r="CM831" s="11"/>
      <c r="CV831" s="120"/>
      <c r="DF831" s="11"/>
      <c r="EY831" s="10" t="str">
        <f t="shared" si="810"/>
        <v/>
      </c>
    </row>
    <row r="832" spans="1:155" ht="6.75" customHeight="1" x14ac:dyDescent="0.35">
      <c r="C832" s="211"/>
      <c r="D832" s="1"/>
      <c r="E832"/>
      <c r="F832"/>
      <c r="BY832" s="6"/>
      <c r="CK832" s="35"/>
      <c r="CM832" s="35"/>
      <c r="CV832" s="120"/>
      <c r="DF832" s="35"/>
      <c r="EY832" s="10" t="str">
        <f t="shared" si="810"/>
        <v/>
      </c>
    </row>
    <row r="833" spans="1:155" x14ac:dyDescent="0.35">
      <c r="A833" s="34"/>
      <c r="B833" s="34"/>
      <c r="C833" s="238"/>
      <c r="D833" s="34" t="s">
        <v>1247</v>
      </c>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11"/>
      <c r="CM833" s="11"/>
      <c r="CV833" s="120"/>
      <c r="DF833" s="11"/>
      <c r="EY833" s="10" t="str">
        <f t="shared" si="810"/>
        <v/>
      </c>
    </row>
    <row r="834" spans="1:155" ht="6.75" customHeight="1" x14ac:dyDescent="0.35">
      <c r="C834" s="211"/>
      <c r="D834" s="1"/>
      <c r="E834"/>
      <c r="F834"/>
      <c r="BY834" s="6"/>
      <c r="CK834" s="35"/>
      <c r="CM834" s="35"/>
      <c r="CV834" s="120"/>
      <c r="DF834" s="35"/>
      <c r="EY834" s="10" t="str">
        <f t="shared" si="810"/>
        <v/>
      </c>
    </row>
    <row r="835" spans="1:155" x14ac:dyDescent="0.35">
      <c r="C835" s="211"/>
      <c r="D835" s="50" t="s">
        <v>1089</v>
      </c>
      <c r="E835"/>
      <c r="F835"/>
      <c r="AA835" s="126" t="s">
        <v>122</v>
      </c>
      <c r="CK835" s="11"/>
      <c r="CM835" s="11"/>
      <c r="CV835" s="120"/>
      <c r="DF835" s="11"/>
      <c r="EY835" s="10" t="str">
        <f t="shared" si="810"/>
        <v/>
      </c>
    </row>
    <row r="836" spans="1:155" ht="32.25" customHeight="1" x14ac:dyDescent="0.35">
      <c r="B836" s="5" t="s">
        <v>1229</v>
      </c>
      <c r="C836" s="211"/>
      <c r="D836" s="5" t="s">
        <v>1020</v>
      </c>
      <c r="E836" s="5" t="s">
        <v>1248</v>
      </c>
      <c r="F836" s="5"/>
      <c r="G836" s="24" t="s">
        <v>1249</v>
      </c>
      <c r="CK836" s="11"/>
      <c r="CM836" s="11"/>
      <c r="CV836" s="120"/>
      <c r="DF836" s="11"/>
      <c r="EY836" s="10" t="str">
        <f t="shared" si="810"/>
        <v/>
      </c>
    </row>
    <row r="837" spans="1:155" x14ac:dyDescent="0.35">
      <c r="B837" s="69" t="str" cm="1">
        <f t="array" aca="1" ref="B837" ca="1">HYPERLINK(CONCATENATE("#",CELL("address",$D$56)),$D$56)</f>
        <v>Loan 1</v>
      </c>
      <c r="C837" s="211" t="s">
        <v>1250</v>
      </c>
      <c r="D837" s="49">
        <f>D$13</f>
        <v>0</v>
      </c>
      <c r="E837" s="49" t="str">
        <f>F$13</f>
        <v/>
      </c>
      <c r="F837" s="49"/>
      <c r="G837" s="133">
        <f>Q$13</f>
        <v>0</v>
      </c>
      <c r="H837" s="9"/>
      <c r="I837" s="40" t="s">
        <v>665</v>
      </c>
      <c r="J837" s="54"/>
      <c r="V837" s="133">
        <f t="shared" ref="V837:Y856" si="811">IF($G837=1, V695, V555)</f>
        <v>0</v>
      </c>
      <c r="W837" s="133">
        <f t="shared" si="811"/>
        <v>0</v>
      </c>
      <c r="X837" s="133">
        <f t="shared" si="811"/>
        <v>0</v>
      </c>
      <c r="Y837" s="10">
        <f t="shared" si="811"/>
        <v>0</v>
      </c>
      <c r="AA837" s="133">
        <f t="shared" ref="AA837:BV837" si="812">IF($G837=1, AA695, AA555)</f>
        <v>0</v>
      </c>
      <c r="AB837" s="10">
        <f t="shared" si="812"/>
        <v>0</v>
      </c>
      <c r="AC837" s="10">
        <f t="shared" si="812"/>
        <v>0</v>
      </c>
      <c r="AD837" s="10">
        <f t="shared" si="812"/>
        <v>0</v>
      </c>
      <c r="AE837" s="10">
        <f t="shared" si="812"/>
        <v>0</v>
      </c>
      <c r="AF837" s="10">
        <f t="shared" si="812"/>
        <v>0</v>
      </c>
      <c r="AG837" s="10">
        <f t="shared" si="812"/>
        <v>0</v>
      </c>
      <c r="AH837" s="10">
        <f t="shared" si="812"/>
        <v>0</v>
      </c>
      <c r="AI837" s="10">
        <f t="shared" si="812"/>
        <v>0</v>
      </c>
      <c r="AJ837" s="10">
        <f t="shared" si="812"/>
        <v>0</v>
      </c>
      <c r="AK837" s="10">
        <f t="shared" si="812"/>
        <v>0</v>
      </c>
      <c r="AL837" s="10">
        <f t="shared" si="812"/>
        <v>0</v>
      </c>
      <c r="AM837" s="10">
        <f t="shared" si="812"/>
        <v>0</v>
      </c>
      <c r="AN837" s="10">
        <f t="shared" si="812"/>
        <v>0</v>
      </c>
      <c r="AO837" s="10">
        <f t="shared" si="812"/>
        <v>0</v>
      </c>
      <c r="AP837" s="10">
        <f t="shared" si="812"/>
        <v>0</v>
      </c>
      <c r="AQ837" s="10">
        <f t="shared" si="812"/>
        <v>0</v>
      </c>
      <c r="AR837" s="10">
        <f t="shared" si="812"/>
        <v>0</v>
      </c>
      <c r="AS837" s="10">
        <f t="shared" si="812"/>
        <v>0</v>
      </c>
      <c r="AT837" s="10">
        <f t="shared" si="812"/>
        <v>0</v>
      </c>
      <c r="AU837" s="10">
        <f t="shared" si="812"/>
        <v>0</v>
      </c>
      <c r="AV837" s="10">
        <f t="shared" si="812"/>
        <v>0</v>
      </c>
      <c r="AW837" s="10">
        <f t="shared" si="812"/>
        <v>0</v>
      </c>
      <c r="AX837" s="10">
        <f t="shared" si="812"/>
        <v>0</v>
      </c>
      <c r="AY837" s="10">
        <f t="shared" si="812"/>
        <v>0</v>
      </c>
      <c r="AZ837" s="10">
        <f t="shared" si="812"/>
        <v>0</v>
      </c>
      <c r="BA837" s="10">
        <f t="shared" si="812"/>
        <v>0</v>
      </c>
      <c r="BB837" s="10">
        <f t="shared" si="812"/>
        <v>0</v>
      </c>
      <c r="BC837" s="10">
        <f t="shared" si="812"/>
        <v>0</v>
      </c>
      <c r="BD837" s="10">
        <f t="shared" si="812"/>
        <v>0</v>
      </c>
      <c r="BE837" s="10">
        <f t="shared" si="812"/>
        <v>0</v>
      </c>
      <c r="BF837" s="10">
        <f t="shared" si="812"/>
        <v>0</v>
      </c>
      <c r="BG837" s="10">
        <f t="shared" si="812"/>
        <v>0</v>
      </c>
      <c r="BH837" s="10">
        <f t="shared" si="812"/>
        <v>0</v>
      </c>
      <c r="BI837" s="10">
        <f t="shared" si="812"/>
        <v>0</v>
      </c>
      <c r="BJ837" s="10">
        <f t="shared" si="812"/>
        <v>0</v>
      </c>
      <c r="BK837" s="10">
        <f t="shared" si="812"/>
        <v>0</v>
      </c>
      <c r="BL837" s="10">
        <f t="shared" si="812"/>
        <v>0</v>
      </c>
      <c r="BM837" s="10">
        <f t="shared" si="812"/>
        <v>0</v>
      </c>
      <c r="BN837" s="10">
        <f t="shared" si="812"/>
        <v>0</v>
      </c>
      <c r="BO837" s="10">
        <f t="shared" si="812"/>
        <v>0</v>
      </c>
      <c r="BP837" s="10">
        <f t="shared" si="812"/>
        <v>0</v>
      </c>
      <c r="BQ837" s="10">
        <f t="shared" si="812"/>
        <v>0</v>
      </c>
      <c r="BR837" s="10">
        <f t="shared" si="812"/>
        <v>0</v>
      </c>
      <c r="BS837" s="10">
        <f t="shared" si="812"/>
        <v>0</v>
      </c>
      <c r="BT837" s="10">
        <f t="shared" si="812"/>
        <v>0</v>
      </c>
      <c r="BU837" s="10">
        <f t="shared" si="812"/>
        <v>0</v>
      </c>
      <c r="BV837" s="10">
        <f t="shared" si="812"/>
        <v>0</v>
      </c>
      <c r="BX837" s="10">
        <f t="shared" ref="BX837:CB846" si="813">IF($G837=1, BX695, BX555)</f>
        <v>0</v>
      </c>
      <c r="BY837" s="10">
        <f t="shared" si="813"/>
        <v>0</v>
      </c>
      <c r="BZ837" s="10">
        <f t="shared" si="813"/>
        <v>0</v>
      </c>
      <c r="CA837" s="10">
        <f t="shared" si="813"/>
        <v>0</v>
      </c>
      <c r="CB837" s="10">
        <f t="shared" si="813"/>
        <v>0</v>
      </c>
      <c r="CC837" s="12">
        <f t="shared" ref="CC837:CI846" si="814">CC555</f>
        <v>0</v>
      </c>
      <c r="CD837" s="12">
        <f t="shared" si="814"/>
        <v>0</v>
      </c>
      <c r="CE837" s="12">
        <f t="shared" si="814"/>
        <v>0</v>
      </c>
      <c r="CF837" s="12">
        <f t="shared" si="814"/>
        <v>0</v>
      </c>
      <c r="CG837" s="12">
        <f t="shared" si="814"/>
        <v>0</v>
      </c>
      <c r="CH837" s="12">
        <f t="shared" si="814"/>
        <v>0</v>
      </c>
      <c r="CI837" s="12">
        <f t="shared" si="814"/>
        <v>0</v>
      </c>
      <c r="CK837" s="11"/>
      <c r="CM837" s="11"/>
      <c r="CV837" s="120"/>
      <c r="DF837" s="11"/>
      <c r="EY837" s="12" t="str">
        <f t="shared" ref="EY837:EY856" ca="1" si="815">IF($C837="","",CONCATENATE(D$835," ", $B837))</f>
        <v>Accrued Interest Expense Loan 1</v>
      </c>
    </row>
    <row r="838" spans="1:155" x14ac:dyDescent="0.35">
      <c r="B838" s="69" t="str" cm="1">
        <f t="array" aca="1" ref="B838" ca="1">HYPERLINK(CONCATENATE("#",CELL("address",$D$75)),$D$75)</f>
        <v>Loan 2</v>
      </c>
      <c r="C838" s="211" t="s">
        <v>1251</v>
      </c>
      <c r="D838" s="49">
        <f>D$14</f>
        <v>0</v>
      </c>
      <c r="E838" s="49" t="str">
        <f>F$14</f>
        <v/>
      </c>
      <c r="F838" s="49"/>
      <c r="G838" s="10">
        <f>Q$14</f>
        <v>0</v>
      </c>
      <c r="H838" s="9"/>
      <c r="I838" s="40" t="s">
        <v>665</v>
      </c>
      <c r="V838" s="133">
        <f t="shared" si="811"/>
        <v>0</v>
      </c>
      <c r="W838" s="10">
        <f t="shared" si="811"/>
        <v>0</v>
      </c>
      <c r="X838" s="133">
        <f t="shared" si="811"/>
        <v>0</v>
      </c>
      <c r="Y838" s="10">
        <f t="shared" si="811"/>
        <v>0</v>
      </c>
      <c r="AA838" s="10">
        <f t="shared" ref="AA838:BV838" si="816">IF($G838=1, AA696, AA556)</f>
        <v>0</v>
      </c>
      <c r="AB838" s="10">
        <f t="shared" si="816"/>
        <v>0</v>
      </c>
      <c r="AC838" s="10">
        <f t="shared" si="816"/>
        <v>0</v>
      </c>
      <c r="AD838" s="10">
        <f t="shared" si="816"/>
        <v>0</v>
      </c>
      <c r="AE838" s="10">
        <f t="shared" si="816"/>
        <v>0</v>
      </c>
      <c r="AF838" s="10">
        <f t="shared" si="816"/>
        <v>0</v>
      </c>
      <c r="AG838" s="10">
        <f t="shared" si="816"/>
        <v>0</v>
      </c>
      <c r="AH838" s="10">
        <f t="shared" si="816"/>
        <v>0</v>
      </c>
      <c r="AI838" s="10">
        <f t="shared" si="816"/>
        <v>0</v>
      </c>
      <c r="AJ838" s="10">
        <f t="shared" si="816"/>
        <v>0</v>
      </c>
      <c r="AK838" s="10">
        <f t="shared" si="816"/>
        <v>0</v>
      </c>
      <c r="AL838" s="10">
        <f t="shared" si="816"/>
        <v>0</v>
      </c>
      <c r="AM838" s="10">
        <f t="shared" si="816"/>
        <v>0</v>
      </c>
      <c r="AN838" s="10">
        <f t="shared" si="816"/>
        <v>0</v>
      </c>
      <c r="AO838" s="10">
        <f t="shared" si="816"/>
        <v>0</v>
      </c>
      <c r="AP838" s="10">
        <f t="shared" si="816"/>
        <v>0</v>
      </c>
      <c r="AQ838" s="10">
        <f t="shared" si="816"/>
        <v>0</v>
      </c>
      <c r="AR838" s="10">
        <f t="shared" si="816"/>
        <v>0</v>
      </c>
      <c r="AS838" s="10">
        <f t="shared" si="816"/>
        <v>0</v>
      </c>
      <c r="AT838" s="10">
        <f t="shared" si="816"/>
        <v>0</v>
      </c>
      <c r="AU838" s="10">
        <f t="shared" si="816"/>
        <v>0</v>
      </c>
      <c r="AV838" s="10">
        <f t="shared" si="816"/>
        <v>0</v>
      </c>
      <c r="AW838" s="10">
        <f t="shared" si="816"/>
        <v>0</v>
      </c>
      <c r="AX838" s="10">
        <f t="shared" si="816"/>
        <v>0</v>
      </c>
      <c r="AY838" s="10">
        <f t="shared" si="816"/>
        <v>0</v>
      </c>
      <c r="AZ838" s="10">
        <f t="shared" si="816"/>
        <v>0</v>
      </c>
      <c r="BA838" s="10">
        <f t="shared" si="816"/>
        <v>0</v>
      </c>
      <c r="BB838" s="10">
        <f t="shared" si="816"/>
        <v>0</v>
      </c>
      <c r="BC838" s="10">
        <f t="shared" si="816"/>
        <v>0</v>
      </c>
      <c r="BD838" s="10">
        <f t="shared" si="816"/>
        <v>0</v>
      </c>
      <c r="BE838" s="10">
        <f t="shared" si="816"/>
        <v>0</v>
      </c>
      <c r="BF838" s="10">
        <f t="shared" si="816"/>
        <v>0</v>
      </c>
      <c r="BG838" s="10">
        <f t="shared" si="816"/>
        <v>0</v>
      </c>
      <c r="BH838" s="10">
        <f t="shared" si="816"/>
        <v>0</v>
      </c>
      <c r="BI838" s="10">
        <f t="shared" si="816"/>
        <v>0</v>
      </c>
      <c r="BJ838" s="10">
        <f t="shared" si="816"/>
        <v>0</v>
      </c>
      <c r="BK838" s="10">
        <f t="shared" si="816"/>
        <v>0</v>
      </c>
      <c r="BL838" s="10">
        <f t="shared" si="816"/>
        <v>0</v>
      </c>
      <c r="BM838" s="10">
        <f t="shared" si="816"/>
        <v>0</v>
      </c>
      <c r="BN838" s="10">
        <f t="shared" si="816"/>
        <v>0</v>
      </c>
      <c r="BO838" s="10">
        <f t="shared" si="816"/>
        <v>0</v>
      </c>
      <c r="BP838" s="10">
        <f t="shared" si="816"/>
        <v>0</v>
      </c>
      <c r="BQ838" s="10">
        <f t="shared" si="816"/>
        <v>0</v>
      </c>
      <c r="BR838" s="10">
        <f t="shared" si="816"/>
        <v>0</v>
      </c>
      <c r="BS838" s="10">
        <f t="shared" si="816"/>
        <v>0</v>
      </c>
      <c r="BT838" s="10">
        <f t="shared" si="816"/>
        <v>0</v>
      </c>
      <c r="BU838" s="10">
        <f t="shared" si="816"/>
        <v>0</v>
      </c>
      <c r="BV838" s="10">
        <f t="shared" si="816"/>
        <v>0</v>
      </c>
      <c r="BX838" s="10">
        <f t="shared" si="813"/>
        <v>0</v>
      </c>
      <c r="BY838" s="10">
        <f t="shared" si="813"/>
        <v>0</v>
      </c>
      <c r="BZ838" s="10">
        <f t="shared" si="813"/>
        <v>0</v>
      </c>
      <c r="CA838" s="10">
        <f t="shared" si="813"/>
        <v>0</v>
      </c>
      <c r="CB838" s="10">
        <f t="shared" si="813"/>
        <v>0</v>
      </c>
      <c r="CC838" s="12">
        <f t="shared" si="814"/>
        <v>0</v>
      </c>
      <c r="CD838" s="12">
        <f t="shared" si="814"/>
        <v>0</v>
      </c>
      <c r="CE838" s="12">
        <f t="shared" si="814"/>
        <v>0</v>
      </c>
      <c r="CF838" s="12">
        <f t="shared" si="814"/>
        <v>0</v>
      </c>
      <c r="CG838" s="12">
        <f t="shared" si="814"/>
        <v>0</v>
      </c>
      <c r="CH838" s="12">
        <f t="shared" si="814"/>
        <v>0</v>
      </c>
      <c r="CI838" s="12">
        <f t="shared" si="814"/>
        <v>0</v>
      </c>
      <c r="CK838" s="11"/>
      <c r="CM838" s="11"/>
      <c r="CV838" s="120"/>
      <c r="DF838" s="11"/>
      <c r="EY838" s="12" t="str">
        <f t="shared" ca="1" si="815"/>
        <v>Accrued Interest Expense Loan 2</v>
      </c>
    </row>
    <row r="839" spans="1:155" x14ac:dyDescent="0.35">
      <c r="B839" s="69" t="str" cm="1">
        <f t="array" aca="1" ref="B839" ca="1">HYPERLINK(CONCATENATE("#",CELL("address",$D$94)),$D$94)</f>
        <v>Loan 3</v>
      </c>
      <c r="C839" s="211" t="s">
        <v>1252</v>
      </c>
      <c r="D839" s="49">
        <f>D$15</f>
        <v>0</v>
      </c>
      <c r="E839" s="49" t="str">
        <f>F$15</f>
        <v/>
      </c>
      <c r="F839" s="49"/>
      <c r="G839" s="10">
        <f>Q$15</f>
        <v>0</v>
      </c>
      <c r="H839" s="9"/>
      <c r="I839" s="40" t="s">
        <v>665</v>
      </c>
      <c r="V839" s="133">
        <f t="shared" si="811"/>
        <v>0</v>
      </c>
      <c r="W839" s="10">
        <f t="shared" si="811"/>
        <v>0</v>
      </c>
      <c r="X839" s="133">
        <f t="shared" si="811"/>
        <v>0</v>
      </c>
      <c r="Y839" s="10">
        <f t="shared" si="811"/>
        <v>0</v>
      </c>
      <c r="AA839" s="10">
        <f t="shared" ref="AA839:BV839" si="817">IF($G839=1, AA697, AA557)</f>
        <v>0</v>
      </c>
      <c r="AB839" s="10">
        <f t="shared" si="817"/>
        <v>0</v>
      </c>
      <c r="AC839" s="10">
        <f t="shared" si="817"/>
        <v>0</v>
      </c>
      <c r="AD839" s="10">
        <f t="shared" si="817"/>
        <v>0</v>
      </c>
      <c r="AE839" s="10">
        <f t="shared" si="817"/>
        <v>0</v>
      </c>
      <c r="AF839" s="10">
        <f t="shared" si="817"/>
        <v>0</v>
      </c>
      <c r="AG839" s="10">
        <f t="shared" si="817"/>
        <v>0</v>
      </c>
      <c r="AH839" s="10">
        <f t="shared" si="817"/>
        <v>0</v>
      </c>
      <c r="AI839" s="10">
        <f t="shared" si="817"/>
        <v>0</v>
      </c>
      <c r="AJ839" s="10">
        <f t="shared" si="817"/>
        <v>0</v>
      </c>
      <c r="AK839" s="10">
        <f t="shared" si="817"/>
        <v>0</v>
      </c>
      <c r="AL839" s="10">
        <f t="shared" si="817"/>
        <v>0</v>
      </c>
      <c r="AM839" s="10">
        <f t="shared" si="817"/>
        <v>0</v>
      </c>
      <c r="AN839" s="10">
        <f t="shared" si="817"/>
        <v>0</v>
      </c>
      <c r="AO839" s="10">
        <f t="shared" si="817"/>
        <v>0</v>
      </c>
      <c r="AP839" s="10">
        <f t="shared" si="817"/>
        <v>0</v>
      </c>
      <c r="AQ839" s="10">
        <f t="shared" si="817"/>
        <v>0</v>
      </c>
      <c r="AR839" s="10">
        <f t="shared" si="817"/>
        <v>0</v>
      </c>
      <c r="AS839" s="10">
        <f t="shared" si="817"/>
        <v>0</v>
      </c>
      <c r="AT839" s="10">
        <f t="shared" si="817"/>
        <v>0</v>
      </c>
      <c r="AU839" s="10">
        <f t="shared" si="817"/>
        <v>0</v>
      </c>
      <c r="AV839" s="10">
        <f t="shared" si="817"/>
        <v>0</v>
      </c>
      <c r="AW839" s="10">
        <f t="shared" si="817"/>
        <v>0</v>
      </c>
      <c r="AX839" s="10">
        <f t="shared" si="817"/>
        <v>0</v>
      </c>
      <c r="AY839" s="10">
        <f t="shared" si="817"/>
        <v>0</v>
      </c>
      <c r="AZ839" s="10">
        <f t="shared" si="817"/>
        <v>0</v>
      </c>
      <c r="BA839" s="10">
        <f t="shared" si="817"/>
        <v>0</v>
      </c>
      <c r="BB839" s="10">
        <f t="shared" si="817"/>
        <v>0</v>
      </c>
      <c r="BC839" s="10">
        <f t="shared" si="817"/>
        <v>0</v>
      </c>
      <c r="BD839" s="10">
        <f t="shared" si="817"/>
        <v>0</v>
      </c>
      <c r="BE839" s="10">
        <f t="shared" si="817"/>
        <v>0</v>
      </c>
      <c r="BF839" s="10">
        <f t="shared" si="817"/>
        <v>0</v>
      </c>
      <c r="BG839" s="10">
        <f t="shared" si="817"/>
        <v>0</v>
      </c>
      <c r="BH839" s="10">
        <f t="shared" si="817"/>
        <v>0</v>
      </c>
      <c r="BI839" s="10">
        <f t="shared" si="817"/>
        <v>0</v>
      </c>
      <c r="BJ839" s="10">
        <f t="shared" si="817"/>
        <v>0</v>
      </c>
      <c r="BK839" s="10">
        <f t="shared" si="817"/>
        <v>0</v>
      </c>
      <c r="BL839" s="10">
        <f t="shared" si="817"/>
        <v>0</v>
      </c>
      <c r="BM839" s="10">
        <f t="shared" si="817"/>
        <v>0</v>
      </c>
      <c r="BN839" s="10">
        <f t="shared" si="817"/>
        <v>0</v>
      </c>
      <c r="BO839" s="10">
        <f t="shared" si="817"/>
        <v>0</v>
      </c>
      <c r="BP839" s="10">
        <f t="shared" si="817"/>
        <v>0</v>
      </c>
      <c r="BQ839" s="10">
        <f t="shared" si="817"/>
        <v>0</v>
      </c>
      <c r="BR839" s="10">
        <f t="shared" si="817"/>
        <v>0</v>
      </c>
      <c r="BS839" s="10">
        <f t="shared" si="817"/>
        <v>0</v>
      </c>
      <c r="BT839" s="10">
        <f t="shared" si="817"/>
        <v>0</v>
      </c>
      <c r="BU839" s="10">
        <f t="shared" si="817"/>
        <v>0</v>
      </c>
      <c r="BV839" s="10">
        <f t="shared" si="817"/>
        <v>0</v>
      </c>
      <c r="BX839" s="10">
        <f t="shared" si="813"/>
        <v>0</v>
      </c>
      <c r="BY839" s="10">
        <f t="shared" si="813"/>
        <v>0</v>
      </c>
      <c r="BZ839" s="10">
        <f t="shared" si="813"/>
        <v>0</v>
      </c>
      <c r="CA839" s="10">
        <f t="shared" si="813"/>
        <v>0</v>
      </c>
      <c r="CB839" s="10">
        <f t="shared" si="813"/>
        <v>0</v>
      </c>
      <c r="CC839" s="12">
        <f t="shared" si="814"/>
        <v>0</v>
      </c>
      <c r="CD839" s="12">
        <f t="shared" si="814"/>
        <v>0</v>
      </c>
      <c r="CE839" s="12">
        <f t="shared" si="814"/>
        <v>0</v>
      </c>
      <c r="CF839" s="12">
        <f t="shared" si="814"/>
        <v>0</v>
      </c>
      <c r="CG839" s="12">
        <f t="shared" si="814"/>
        <v>0</v>
      </c>
      <c r="CH839" s="12">
        <f t="shared" si="814"/>
        <v>0</v>
      </c>
      <c r="CI839" s="12">
        <f t="shared" si="814"/>
        <v>0</v>
      </c>
      <c r="CK839" s="11"/>
      <c r="CM839" s="11"/>
      <c r="CV839" s="120"/>
      <c r="DF839" s="11"/>
      <c r="EY839" s="12" t="str">
        <f t="shared" ca="1" si="815"/>
        <v>Accrued Interest Expense Loan 3</v>
      </c>
    </row>
    <row r="840" spans="1:155" x14ac:dyDescent="0.35">
      <c r="B840" s="69" t="str" cm="1">
        <f t="array" aca="1" ref="B840" ca="1">HYPERLINK(CONCATENATE("#",CELL("address",$D$113)),$D$113)</f>
        <v>Loan 4</v>
      </c>
      <c r="C840" s="211" t="s">
        <v>1253</v>
      </c>
      <c r="D840" s="49">
        <f>D$16</f>
        <v>0</v>
      </c>
      <c r="E840" s="49" t="str">
        <f>F$16</f>
        <v/>
      </c>
      <c r="F840" s="49"/>
      <c r="G840" s="10">
        <f>Q$16</f>
        <v>0</v>
      </c>
      <c r="H840" s="9"/>
      <c r="I840" s="40" t="s">
        <v>665</v>
      </c>
      <c r="V840" s="133">
        <f t="shared" si="811"/>
        <v>0</v>
      </c>
      <c r="W840" s="10">
        <f t="shared" si="811"/>
        <v>0</v>
      </c>
      <c r="X840" s="133">
        <f t="shared" si="811"/>
        <v>0</v>
      </c>
      <c r="Y840" s="10">
        <f t="shared" si="811"/>
        <v>0</v>
      </c>
      <c r="AA840" s="10">
        <f t="shared" ref="AA840:BV840" si="818">IF($G840=1, AA698, AA558)</f>
        <v>0</v>
      </c>
      <c r="AB840" s="10">
        <f t="shared" si="818"/>
        <v>0</v>
      </c>
      <c r="AC840" s="10">
        <f t="shared" si="818"/>
        <v>0</v>
      </c>
      <c r="AD840" s="10">
        <f t="shared" si="818"/>
        <v>0</v>
      </c>
      <c r="AE840" s="10">
        <f t="shared" si="818"/>
        <v>0</v>
      </c>
      <c r="AF840" s="10">
        <f t="shared" si="818"/>
        <v>0</v>
      </c>
      <c r="AG840" s="10">
        <f t="shared" si="818"/>
        <v>0</v>
      </c>
      <c r="AH840" s="10">
        <f t="shared" si="818"/>
        <v>0</v>
      </c>
      <c r="AI840" s="10">
        <f t="shared" si="818"/>
        <v>0</v>
      </c>
      <c r="AJ840" s="10">
        <f t="shared" si="818"/>
        <v>0</v>
      </c>
      <c r="AK840" s="10">
        <f t="shared" si="818"/>
        <v>0</v>
      </c>
      <c r="AL840" s="10">
        <f t="shared" si="818"/>
        <v>0</v>
      </c>
      <c r="AM840" s="10">
        <f t="shared" si="818"/>
        <v>0</v>
      </c>
      <c r="AN840" s="10">
        <f t="shared" si="818"/>
        <v>0</v>
      </c>
      <c r="AO840" s="10">
        <f t="shared" si="818"/>
        <v>0</v>
      </c>
      <c r="AP840" s="10">
        <f t="shared" si="818"/>
        <v>0</v>
      </c>
      <c r="AQ840" s="10">
        <f t="shared" si="818"/>
        <v>0</v>
      </c>
      <c r="AR840" s="10">
        <f t="shared" si="818"/>
        <v>0</v>
      </c>
      <c r="AS840" s="10">
        <f t="shared" si="818"/>
        <v>0</v>
      </c>
      <c r="AT840" s="10">
        <f t="shared" si="818"/>
        <v>0</v>
      </c>
      <c r="AU840" s="10">
        <f t="shared" si="818"/>
        <v>0</v>
      </c>
      <c r="AV840" s="10">
        <f t="shared" si="818"/>
        <v>0</v>
      </c>
      <c r="AW840" s="10">
        <f t="shared" si="818"/>
        <v>0</v>
      </c>
      <c r="AX840" s="10">
        <f t="shared" si="818"/>
        <v>0</v>
      </c>
      <c r="AY840" s="10">
        <f t="shared" si="818"/>
        <v>0</v>
      </c>
      <c r="AZ840" s="10">
        <f t="shared" si="818"/>
        <v>0</v>
      </c>
      <c r="BA840" s="10">
        <f t="shared" si="818"/>
        <v>0</v>
      </c>
      <c r="BB840" s="10">
        <f t="shared" si="818"/>
        <v>0</v>
      </c>
      <c r="BC840" s="10">
        <f t="shared" si="818"/>
        <v>0</v>
      </c>
      <c r="BD840" s="10">
        <f t="shared" si="818"/>
        <v>0</v>
      </c>
      <c r="BE840" s="10">
        <f t="shared" si="818"/>
        <v>0</v>
      </c>
      <c r="BF840" s="10">
        <f t="shared" si="818"/>
        <v>0</v>
      </c>
      <c r="BG840" s="10">
        <f t="shared" si="818"/>
        <v>0</v>
      </c>
      <c r="BH840" s="10">
        <f t="shared" si="818"/>
        <v>0</v>
      </c>
      <c r="BI840" s="10">
        <f t="shared" si="818"/>
        <v>0</v>
      </c>
      <c r="BJ840" s="10">
        <f t="shared" si="818"/>
        <v>0</v>
      </c>
      <c r="BK840" s="10">
        <f t="shared" si="818"/>
        <v>0</v>
      </c>
      <c r="BL840" s="10">
        <f t="shared" si="818"/>
        <v>0</v>
      </c>
      <c r="BM840" s="10">
        <f t="shared" si="818"/>
        <v>0</v>
      </c>
      <c r="BN840" s="10">
        <f t="shared" si="818"/>
        <v>0</v>
      </c>
      <c r="BO840" s="10">
        <f t="shared" si="818"/>
        <v>0</v>
      </c>
      <c r="BP840" s="10">
        <f t="shared" si="818"/>
        <v>0</v>
      </c>
      <c r="BQ840" s="10">
        <f t="shared" si="818"/>
        <v>0</v>
      </c>
      <c r="BR840" s="10">
        <f t="shared" si="818"/>
        <v>0</v>
      </c>
      <c r="BS840" s="10">
        <f t="shared" si="818"/>
        <v>0</v>
      </c>
      <c r="BT840" s="10">
        <f t="shared" si="818"/>
        <v>0</v>
      </c>
      <c r="BU840" s="10">
        <f t="shared" si="818"/>
        <v>0</v>
      </c>
      <c r="BV840" s="10">
        <f t="shared" si="818"/>
        <v>0</v>
      </c>
      <c r="BX840" s="10">
        <f t="shared" si="813"/>
        <v>0</v>
      </c>
      <c r="BY840" s="10">
        <f t="shared" si="813"/>
        <v>0</v>
      </c>
      <c r="BZ840" s="10">
        <f t="shared" si="813"/>
        <v>0</v>
      </c>
      <c r="CA840" s="10">
        <f t="shared" si="813"/>
        <v>0</v>
      </c>
      <c r="CB840" s="10">
        <f t="shared" si="813"/>
        <v>0</v>
      </c>
      <c r="CC840" s="12">
        <f t="shared" si="814"/>
        <v>0</v>
      </c>
      <c r="CD840" s="12">
        <f t="shared" si="814"/>
        <v>0</v>
      </c>
      <c r="CE840" s="12">
        <f t="shared" si="814"/>
        <v>0</v>
      </c>
      <c r="CF840" s="12">
        <f t="shared" si="814"/>
        <v>0</v>
      </c>
      <c r="CG840" s="12">
        <f t="shared" si="814"/>
        <v>0</v>
      </c>
      <c r="CH840" s="12">
        <f t="shared" si="814"/>
        <v>0</v>
      </c>
      <c r="CI840" s="12">
        <f t="shared" si="814"/>
        <v>0</v>
      </c>
      <c r="CK840" s="11"/>
      <c r="CM840" s="11"/>
      <c r="CV840" s="120"/>
      <c r="DF840" s="11"/>
      <c r="EY840" s="12" t="str">
        <f t="shared" ca="1" si="815"/>
        <v>Accrued Interest Expense Loan 4</v>
      </c>
    </row>
    <row r="841" spans="1:155" x14ac:dyDescent="0.35">
      <c r="B841" s="69" t="str" cm="1">
        <f t="array" aca="1" ref="B841" ca="1">HYPERLINK(CONCATENATE("#",CELL("address",$D$132)),$D$132)</f>
        <v>Loan 5</v>
      </c>
      <c r="C841" s="211" t="s">
        <v>1254</v>
      </c>
      <c r="D841" s="49">
        <f>D$17</f>
        <v>0</v>
      </c>
      <c r="E841" s="49" t="str">
        <f>F$17</f>
        <v/>
      </c>
      <c r="F841" s="49"/>
      <c r="G841" s="10">
        <f>Q$17</f>
        <v>0</v>
      </c>
      <c r="H841" s="9"/>
      <c r="I841" s="40" t="s">
        <v>665</v>
      </c>
      <c r="V841" s="133">
        <f t="shared" si="811"/>
        <v>0</v>
      </c>
      <c r="W841" s="133">
        <f t="shared" si="811"/>
        <v>0</v>
      </c>
      <c r="X841" s="133">
        <f t="shared" si="811"/>
        <v>0</v>
      </c>
      <c r="Y841" s="10">
        <f t="shared" si="811"/>
        <v>0</v>
      </c>
      <c r="AA841" s="10">
        <f t="shared" ref="AA841:BV841" si="819">IF($G841=1, AA699, AA559)</f>
        <v>0</v>
      </c>
      <c r="AB841" s="10">
        <f t="shared" si="819"/>
        <v>0</v>
      </c>
      <c r="AC841" s="10">
        <f t="shared" si="819"/>
        <v>0</v>
      </c>
      <c r="AD841" s="10">
        <f t="shared" si="819"/>
        <v>0</v>
      </c>
      <c r="AE841" s="10">
        <f t="shared" si="819"/>
        <v>0</v>
      </c>
      <c r="AF841" s="10">
        <f t="shared" si="819"/>
        <v>0</v>
      </c>
      <c r="AG841" s="10">
        <f t="shared" si="819"/>
        <v>0</v>
      </c>
      <c r="AH841" s="10">
        <f t="shared" si="819"/>
        <v>0</v>
      </c>
      <c r="AI841" s="10">
        <f t="shared" si="819"/>
        <v>0</v>
      </c>
      <c r="AJ841" s="10">
        <f t="shared" si="819"/>
        <v>0</v>
      </c>
      <c r="AK841" s="10">
        <f t="shared" si="819"/>
        <v>0</v>
      </c>
      <c r="AL841" s="10">
        <f t="shared" si="819"/>
        <v>0</v>
      </c>
      <c r="AM841" s="10">
        <f t="shared" si="819"/>
        <v>0</v>
      </c>
      <c r="AN841" s="10">
        <f t="shared" si="819"/>
        <v>0</v>
      </c>
      <c r="AO841" s="10">
        <f t="shared" si="819"/>
        <v>0</v>
      </c>
      <c r="AP841" s="10">
        <f t="shared" si="819"/>
        <v>0</v>
      </c>
      <c r="AQ841" s="10">
        <f t="shared" si="819"/>
        <v>0</v>
      </c>
      <c r="AR841" s="10">
        <f t="shared" si="819"/>
        <v>0</v>
      </c>
      <c r="AS841" s="10">
        <f t="shared" si="819"/>
        <v>0</v>
      </c>
      <c r="AT841" s="10">
        <f t="shared" si="819"/>
        <v>0</v>
      </c>
      <c r="AU841" s="10">
        <f t="shared" si="819"/>
        <v>0</v>
      </c>
      <c r="AV841" s="10">
        <f t="shared" si="819"/>
        <v>0</v>
      </c>
      <c r="AW841" s="10">
        <f t="shared" si="819"/>
        <v>0</v>
      </c>
      <c r="AX841" s="10">
        <f t="shared" si="819"/>
        <v>0</v>
      </c>
      <c r="AY841" s="10">
        <f t="shared" si="819"/>
        <v>0</v>
      </c>
      <c r="AZ841" s="10">
        <f t="shared" si="819"/>
        <v>0</v>
      </c>
      <c r="BA841" s="10">
        <f t="shared" si="819"/>
        <v>0</v>
      </c>
      <c r="BB841" s="10">
        <f t="shared" si="819"/>
        <v>0</v>
      </c>
      <c r="BC841" s="10">
        <f t="shared" si="819"/>
        <v>0</v>
      </c>
      <c r="BD841" s="10">
        <f t="shared" si="819"/>
        <v>0</v>
      </c>
      <c r="BE841" s="10">
        <f t="shared" si="819"/>
        <v>0</v>
      </c>
      <c r="BF841" s="10">
        <f t="shared" si="819"/>
        <v>0</v>
      </c>
      <c r="BG841" s="10">
        <f t="shared" si="819"/>
        <v>0</v>
      </c>
      <c r="BH841" s="10">
        <f t="shared" si="819"/>
        <v>0</v>
      </c>
      <c r="BI841" s="10">
        <f t="shared" si="819"/>
        <v>0</v>
      </c>
      <c r="BJ841" s="10">
        <f t="shared" si="819"/>
        <v>0</v>
      </c>
      <c r="BK841" s="10">
        <f t="shared" si="819"/>
        <v>0</v>
      </c>
      <c r="BL841" s="10">
        <f t="shared" si="819"/>
        <v>0</v>
      </c>
      <c r="BM841" s="10">
        <f t="shared" si="819"/>
        <v>0</v>
      </c>
      <c r="BN841" s="10">
        <f t="shared" si="819"/>
        <v>0</v>
      </c>
      <c r="BO841" s="10">
        <f t="shared" si="819"/>
        <v>0</v>
      </c>
      <c r="BP841" s="10">
        <f t="shared" si="819"/>
        <v>0</v>
      </c>
      <c r="BQ841" s="10">
        <f t="shared" si="819"/>
        <v>0</v>
      </c>
      <c r="BR841" s="10">
        <f t="shared" si="819"/>
        <v>0</v>
      </c>
      <c r="BS841" s="10">
        <f t="shared" si="819"/>
        <v>0</v>
      </c>
      <c r="BT841" s="10">
        <f t="shared" si="819"/>
        <v>0</v>
      </c>
      <c r="BU841" s="10">
        <f t="shared" si="819"/>
        <v>0</v>
      </c>
      <c r="BV841" s="10">
        <f t="shared" si="819"/>
        <v>0</v>
      </c>
      <c r="BX841" s="10">
        <f t="shared" si="813"/>
        <v>0</v>
      </c>
      <c r="BY841" s="10">
        <f t="shared" si="813"/>
        <v>0</v>
      </c>
      <c r="BZ841" s="10">
        <f t="shared" si="813"/>
        <v>0</v>
      </c>
      <c r="CA841" s="10">
        <f t="shared" si="813"/>
        <v>0</v>
      </c>
      <c r="CB841" s="10">
        <f t="shared" si="813"/>
        <v>0</v>
      </c>
      <c r="CC841" s="12">
        <f t="shared" si="814"/>
        <v>0</v>
      </c>
      <c r="CD841" s="12">
        <f t="shared" si="814"/>
        <v>0</v>
      </c>
      <c r="CE841" s="12">
        <f t="shared" si="814"/>
        <v>0</v>
      </c>
      <c r="CF841" s="12">
        <f t="shared" si="814"/>
        <v>0</v>
      </c>
      <c r="CG841" s="12">
        <f t="shared" si="814"/>
        <v>0</v>
      </c>
      <c r="CH841" s="12">
        <f t="shared" si="814"/>
        <v>0</v>
      </c>
      <c r="CI841" s="12">
        <f t="shared" si="814"/>
        <v>0</v>
      </c>
      <c r="CK841" s="11"/>
      <c r="CM841" s="11"/>
      <c r="CV841" s="120"/>
      <c r="DF841" s="11"/>
      <c r="EY841" s="12" t="str">
        <f t="shared" ca="1" si="815"/>
        <v>Accrued Interest Expense Loan 5</v>
      </c>
    </row>
    <row r="842" spans="1:155" x14ac:dyDescent="0.35">
      <c r="B842" s="69" t="str" cm="1">
        <f t="array" aca="1" ref="B842" ca="1">HYPERLINK(CONCATENATE("#",CELL("address",$D$151)),$D$151)</f>
        <v>Loan 6</v>
      </c>
      <c r="C842" s="211" t="s">
        <v>1255</v>
      </c>
      <c r="D842" s="49">
        <f>D$18</f>
        <v>0</v>
      </c>
      <c r="E842" s="49" t="str">
        <f>F$18</f>
        <v/>
      </c>
      <c r="F842" s="49"/>
      <c r="G842" s="10">
        <f>Q$18</f>
        <v>0</v>
      </c>
      <c r="H842" s="9"/>
      <c r="I842" s="40" t="s">
        <v>665</v>
      </c>
      <c r="V842" s="133">
        <f t="shared" si="811"/>
        <v>0</v>
      </c>
      <c r="W842" s="133">
        <f t="shared" si="811"/>
        <v>0</v>
      </c>
      <c r="X842" s="133">
        <f t="shared" si="811"/>
        <v>0</v>
      </c>
      <c r="Y842" s="10">
        <f t="shared" si="811"/>
        <v>0</v>
      </c>
      <c r="AA842" s="10">
        <f t="shared" ref="AA842:BV842" si="820">IF($G842=1, AA700, AA560)</f>
        <v>0</v>
      </c>
      <c r="AB842" s="10">
        <f t="shared" si="820"/>
        <v>0</v>
      </c>
      <c r="AC842" s="10">
        <f t="shared" si="820"/>
        <v>0</v>
      </c>
      <c r="AD842" s="10">
        <f t="shared" si="820"/>
        <v>0</v>
      </c>
      <c r="AE842" s="10">
        <f t="shared" si="820"/>
        <v>0</v>
      </c>
      <c r="AF842" s="10">
        <f t="shared" si="820"/>
        <v>0</v>
      </c>
      <c r="AG842" s="10">
        <f t="shared" si="820"/>
        <v>0</v>
      </c>
      <c r="AH842" s="10">
        <f t="shared" si="820"/>
        <v>0</v>
      </c>
      <c r="AI842" s="10">
        <f t="shared" si="820"/>
        <v>0</v>
      </c>
      <c r="AJ842" s="10">
        <f t="shared" si="820"/>
        <v>0</v>
      </c>
      <c r="AK842" s="10">
        <f t="shared" si="820"/>
        <v>0</v>
      </c>
      <c r="AL842" s="10">
        <f t="shared" si="820"/>
        <v>0</v>
      </c>
      <c r="AM842" s="10">
        <f t="shared" si="820"/>
        <v>0</v>
      </c>
      <c r="AN842" s="10">
        <f t="shared" si="820"/>
        <v>0</v>
      </c>
      <c r="AO842" s="10">
        <f t="shared" si="820"/>
        <v>0</v>
      </c>
      <c r="AP842" s="10">
        <f t="shared" si="820"/>
        <v>0</v>
      </c>
      <c r="AQ842" s="10">
        <f t="shared" si="820"/>
        <v>0</v>
      </c>
      <c r="AR842" s="10">
        <f t="shared" si="820"/>
        <v>0</v>
      </c>
      <c r="AS842" s="10">
        <f t="shared" si="820"/>
        <v>0</v>
      </c>
      <c r="AT842" s="10">
        <f t="shared" si="820"/>
        <v>0</v>
      </c>
      <c r="AU842" s="10">
        <f t="shared" si="820"/>
        <v>0</v>
      </c>
      <c r="AV842" s="10">
        <f t="shared" si="820"/>
        <v>0</v>
      </c>
      <c r="AW842" s="10">
        <f t="shared" si="820"/>
        <v>0</v>
      </c>
      <c r="AX842" s="10">
        <f t="shared" si="820"/>
        <v>0</v>
      </c>
      <c r="AY842" s="10">
        <f t="shared" si="820"/>
        <v>0</v>
      </c>
      <c r="AZ842" s="10">
        <f t="shared" si="820"/>
        <v>0</v>
      </c>
      <c r="BA842" s="10">
        <f t="shared" si="820"/>
        <v>0</v>
      </c>
      <c r="BB842" s="10">
        <f t="shared" si="820"/>
        <v>0</v>
      </c>
      <c r="BC842" s="10">
        <f t="shared" si="820"/>
        <v>0</v>
      </c>
      <c r="BD842" s="10">
        <f t="shared" si="820"/>
        <v>0</v>
      </c>
      <c r="BE842" s="10">
        <f t="shared" si="820"/>
        <v>0</v>
      </c>
      <c r="BF842" s="10">
        <f t="shared" si="820"/>
        <v>0</v>
      </c>
      <c r="BG842" s="10">
        <f t="shared" si="820"/>
        <v>0</v>
      </c>
      <c r="BH842" s="10">
        <f t="shared" si="820"/>
        <v>0</v>
      </c>
      <c r="BI842" s="10">
        <f t="shared" si="820"/>
        <v>0</v>
      </c>
      <c r="BJ842" s="10">
        <f t="shared" si="820"/>
        <v>0</v>
      </c>
      <c r="BK842" s="10">
        <f t="shared" si="820"/>
        <v>0</v>
      </c>
      <c r="BL842" s="10">
        <f t="shared" si="820"/>
        <v>0</v>
      </c>
      <c r="BM842" s="10">
        <f t="shared" si="820"/>
        <v>0</v>
      </c>
      <c r="BN842" s="10">
        <f t="shared" si="820"/>
        <v>0</v>
      </c>
      <c r="BO842" s="10">
        <f t="shared" si="820"/>
        <v>0</v>
      </c>
      <c r="BP842" s="10">
        <f t="shared" si="820"/>
        <v>0</v>
      </c>
      <c r="BQ842" s="10">
        <f t="shared" si="820"/>
        <v>0</v>
      </c>
      <c r="BR842" s="10">
        <f t="shared" si="820"/>
        <v>0</v>
      </c>
      <c r="BS842" s="10">
        <f t="shared" si="820"/>
        <v>0</v>
      </c>
      <c r="BT842" s="10">
        <f t="shared" si="820"/>
        <v>0</v>
      </c>
      <c r="BU842" s="10">
        <f t="shared" si="820"/>
        <v>0</v>
      </c>
      <c r="BV842" s="10">
        <f t="shared" si="820"/>
        <v>0</v>
      </c>
      <c r="BX842" s="10">
        <f t="shared" si="813"/>
        <v>0</v>
      </c>
      <c r="BY842" s="10">
        <f t="shared" si="813"/>
        <v>0</v>
      </c>
      <c r="BZ842" s="10">
        <f t="shared" si="813"/>
        <v>0</v>
      </c>
      <c r="CA842" s="10">
        <f t="shared" si="813"/>
        <v>0</v>
      </c>
      <c r="CB842" s="10">
        <f t="shared" si="813"/>
        <v>0</v>
      </c>
      <c r="CC842" s="12">
        <f t="shared" si="814"/>
        <v>0</v>
      </c>
      <c r="CD842" s="12">
        <f t="shared" si="814"/>
        <v>0</v>
      </c>
      <c r="CE842" s="12">
        <f t="shared" si="814"/>
        <v>0</v>
      </c>
      <c r="CF842" s="12">
        <f t="shared" si="814"/>
        <v>0</v>
      </c>
      <c r="CG842" s="12">
        <f t="shared" si="814"/>
        <v>0</v>
      </c>
      <c r="CH842" s="12">
        <f t="shared" si="814"/>
        <v>0</v>
      </c>
      <c r="CI842" s="12">
        <f t="shared" si="814"/>
        <v>0</v>
      </c>
      <c r="CK842" s="11"/>
      <c r="CM842" s="11"/>
      <c r="CV842" s="120"/>
      <c r="DF842" s="11"/>
      <c r="EY842" s="12" t="str">
        <f t="shared" ca="1" si="815"/>
        <v>Accrued Interest Expense Loan 6</v>
      </c>
    </row>
    <row r="843" spans="1:155" x14ac:dyDescent="0.35">
      <c r="B843" s="69" t="str" cm="1">
        <f t="array" aca="1" ref="B843" ca="1">HYPERLINK(CONCATENATE("#",CELL("address",$D$170)),$D$170)</f>
        <v>Loan 7</v>
      </c>
      <c r="C843" s="211" t="s">
        <v>1256</v>
      </c>
      <c r="D843" s="49">
        <f>D$19</f>
        <v>0</v>
      </c>
      <c r="E843" s="49" t="str">
        <f>F$19</f>
        <v/>
      </c>
      <c r="F843" s="49"/>
      <c r="G843" s="10">
        <f>Q$19</f>
        <v>0</v>
      </c>
      <c r="H843" s="9"/>
      <c r="I843" s="40" t="s">
        <v>665</v>
      </c>
      <c r="V843" s="133">
        <f t="shared" si="811"/>
        <v>0</v>
      </c>
      <c r="W843" s="133">
        <f t="shared" si="811"/>
        <v>0</v>
      </c>
      <c r="X843" s="133">
        <f t="shared" si="811"/>
        <v>0</v>
      </c>
      <c r="Y843" s="10">
        <f t="shared" si="811"/>
        <v>0</v>
      </c>
      <c r="AA843" s="10">
        <f t="shared" ref="AA843:BV843" si="821">IF($G843=1, AA701, AA561)</f>
        <v>0</v>
      </c>
      <c r="AB843" s="10">
        <f t="shared" si="821"/>
        <v>0</v>
      </c>
      <c r="AC843" s="10">
        <f t="shared" si="821"/>
        <v>0</v>
      </c>
      <c r="AD843" s="10">
        <f t="shared" si="821"/>
        <v>0</v>
      </c>
      <c r="AE843" s="10">
        <f t="shared" si="821"/>
        <v>0</v>
      </c>
      <c r="AF843" s="10">
        <f t="shared" si="821"/>
        <v>0</v>
      </c>
      <c r="AG843" s="10">
        <f t="shared" si="821"/>
        <v>0</v>
      </c>
      <c r="AH843" s="10">
        <f t="shared" si="821"/>
        <v>0</v>
      </c>
      <c r="AI843" s="10">
        <f t="shared" si="821"/>
        <v>0</v>
      </c>
      <c r="AJ843" s="10">
        <f t="shared" si="821"/>
        <v>0</v>
      </c>
      <c r="AK843" s="10">
        <f t="shared" si="821"/>
        <v>0</v>
      </c>
      <c r="AL843" s="10">
        <f t="shared" si="821"/>
        <v>0</v>
      </c>
      <c r="AM843" s="10">
        <f t="shared" si="821"/>
        <v>0</v>
      </c>
      <c r="AN843" s="10">
        <f t="shared" si="821"/>
        <v>0</v>
      </c>
      <c r="AO843" s="10">
        <f t="shared" si="821"/>
        <v>0</v>
      </c>
      <c r="AP843" s="10">
        <f t="shared" si="821"/>
        <v>0</v>
      </c>
      <c r="AQ843" s="10">
        <f t="shared" si="821"/>
        <v>0</v>
      </c>
      <c r="AR843" s="10">
        <f t="shared" si="821"/>
        <v>0</v>
      </c>
      <c r="AS843" s="10">
        <f t="shared" si="821"/>
        <v>0</v>
      </c>
      <c r="AT843" s="10">
        <f t="shared" si="821"/>
        <v>0</v>
      </c>
      <c r="AU843" s="10">
        <f t="shared" si="821"/>
        <v>0</v>
      </c>
      <c r="AV843" s="10">
        <f t="shared" si="821"/>
        <v>0</v>
      </c>
      <c r="AW843" s="10">
        <f t="shared" si="821"/>
        <v>0</v>
      </c>
      <c r="AX843" s="10">
        <f t="shared" si="821"/>
        <v>0</v>
      </c>
      <c r="AY843" s="10">
        <f t="shared" si="821"/>
        <v>0</v>
      </c>
      <c r="AZ843" s="10">
        <f t="shared" si="821"/>
        <v>0</v>
      </c>
      <c r="BA843" s="10">
        <f t="shared" si="821"/>
        <v>0</v>
      </c>
      <c r="BB843" s="10">
        <f t="shared" si="821"/>
        <v>0</v>
      </c>
      <c r="BC843" s="10">
        <f t="shared" si="821"/>
        <v>0</v>
      </c>
      <c r="BD843" s="10">
        <f t="shared" si="821"/>
        <v>0</v>
      </c>
      <c r="BE843" s="10">
        <f t="shared" si="821"/>
        <v>0</v>
      </c>
      <c r="BF843" s="10">
        <f t="shared" si="821"/>
        <v>0</v>
      </c>
      <c r="BG843" s="10">
        <f t="shared" si="821"/>
        <v>0</v>
      </c>
      <c r="BH843" s="10">
        <f t="shared" si="821"/>
        <v>0</v>
      </c>
      <c r="BI843" s="10">
        <f t="shared" si="821"/>
        <v>0</v>
      </c>
      <c r="BJ843" s="10">
        <f t="shared" si="821"/>
        <v>0</v>
      </c>
      <c r="BK843" s="10">
        <f t="shared" si="821"/>
        <v>0</v>
      </c>
      <c r="BL843" s="10">
        <f t="shared" si="821"/>
        <v>0</v>
      </c>
      <c r="BM843" s="10">
        <f t="shared" si="821"/>
        <v>0</v>
      </c>
      <c r="BN843" s="10">
        <f t="shared" si="821"/>
        <v>0</v>
      </c>
      <c r="BO843" s="10">
        <f t="shared" si="821"/>
        <v>0</v>
      </c>
      <c r="BP843" s="10">
        <f t="shared" si="821"/>
        <v>0</v>
      </c>
      <c r="BQ843" s="10">
        <f t="shared" si="821"/>
        <v>0</v>
      </c>
      <c r="BR843" s="10">
        <f t="shared" si="821"/>
        <v>0</v>
      </c>
      <c r="BS843" s="10">
        <f t="shared" si="821"/>
        <v>0</v>
      </c>
      <c r="BT843" s="10">
        <f t="shared" si="821"/>
        <v>0</v>
      </c>
      <c r="BU843" s="10">
        <f t="shared" si="821"/>
        <v>0</v>
      </c>
      <c r="BV843" s="10">
        <f t="shared" si="821"/>
        <v>0</v>
      </c>
      <c r="BX843" s="10">
        <f t="shared" si="813"/>
        <v>0</v>
      </c>
      <c r="BY843" s="10">
        <f t="shared" si="813"/>
        <v>0</v>
      </c>
      <c r="BZ843" s="10">
        <f t="shared" si="813"/>
        <v>0</v>
      </c>
      <c r="CA843" s="10">
        <f t="shared" si="813"/>
        <v>0</v>
      </c>
      <c r="CB843" s="10">
        <f t="shared" si="813"/>
        <v>0</v>
      </c>
      <c r="CC843" s="12">
        <f t="shared" si="814"/>
        <v>0</v>
      </c>
      <c r="CD843" s="12">
        <f t="shared" si="814"/>
        <v>0</v>
      </c>
      <c r="CE843" s="12">
        <f t="shared" si="814"/>
        <v>0</v>
      </c>
      <c r="CF843" s="12">
        <f t="shared" si="814"/>
        <v>0</v>
      </c>
      <c r="CG843" s="12">
        <f t="shared" si="814"/>
        <v>0</v>
      </c>
      <c r="CH843" s="12">
        <f t="shared" si="814"/>
        <v>0</v>
      </c>
      <c r="CI843" s="12">
        <f t="shared" si="814"/>
        <v>0</v>
      </c>
      <c r="CK843" s="11"/>
      <c r="CM843" s="11"/>
      <c r="CV843" s="120"/>
      <c r="DF843" s="11"/>
      <c r="EY843" s="12" t="str">
        <f t="shared" ca="1" si="815"/>
        <v>Accrued Interest Expense Loan 7</v>
      </c>
    </row>
    <row r="844" spans="1:155" x14ac:dyDescent="0.35">
      <c r="B844" s="69" t="str" cm="1">
        <f t="array" aca="1" ref="B844" ca="1">HYPERLINK(CONCATENATE("#",CELL("address",$D$189)),$D$189)</f>
        <v>Loan 8</v>
      </c>
      <c r="C844" s="211" t="s">
        <v>1257</v>
      </c>
      <c r="D844" s="49">
        <f>D$20</f>
        <v>0</v>
      </c>
      <c r="E844" s="49" t="str">
        <f>F$20</f>
        <v/>
      </c>
      <c r="F844" s="49"/>
      <c r="G844" s="10">
        <f>Q$20</f>
        <v>0</v>
      </c>
      <c r="H844" s="9"/>
      <c r="I844" s="40" t="s">
        <v>665</v>
      </c>
      <c r="V844" s="133">
        <f t="shared" si="811"/>
        <v>0</v>
      </c>
      <c r="W844" s="10">
        <f t="shared" si="811"/>
        <v>0</v>
      </c>
      <c r="X844" s="133">
        <f t="shared" si="811"/>
        <v>0</v>
      </c>
      <c r="Y844" s="10">
        <f t="shared" si="811"/>
        <v>0</v>
      </c>
      <c r="AA844" s="10">
        <f t="shared" ref="AA844:BV844" si="822">IF($G844=1, AA702, AA562)</f>
        <v>0</v>
      </c>
      <c r="AB844" s="10">
        <f t="shared" si="822"/>
        <v>0</v>
      </c>
      <c r="AC844" s="10">
        <f t="shared" si="822"/>
        <v>0</v>
      </c>
      <c r="AD844" s="10">
        <f t="shared" si="822"/>
        <v>0</v>
      </c>
      <c r="AE844" s="10">
        <f t="shared" si="822"/>
        <v>0</v>
      </c>
      <c r="AF844" s="10">
        <f t="shared" si="822"/>
        <v>0</v>
      </c>
      <c r="AG844" s="10">
        <f t="shared" si="822"/>
        <v>0</v>
      </c>
      <c r="AH844" s="10">
        <f t="shared" si="822"/>
        <v>0</v>
      </c>
      <c r="AI844" s="10">
        <f t="shared" si="822"/>
        <v>0</v>
      </c>
      <c r="AJ844" s="10">
        <f t="shared" si="822"/>
        <v>0</v>
      </c>
      <c r="AK844" s="10">
        <f t="shared" si="822"/>
        <v>0</v>
      </c>
      <c r="AL844" s="10">
        <f t="shared" si="822"/>
        <v>0</v>
      </c>
      <c r="AM844" s="10">
        <f t="shared" si="822"/>
        <v>0</v>
      </c>
      <c r="AN844" s="10">
        <f t="shared" si="822"/>
        <v>0</v>
      </c>
      <c r="AO844" s="10">
        <f t="shared" si="822"/>
        <v>0</v>
      </c>
      <c r="AP844" s="10">
        <f t="shared" si="822"/>
        <v>0</v>
      </c>
      <c r="AQ844" s="10">
        <f t="shared" si="822"/>
        <v>0</v>
      </c>
      <c r="AR844" s="10">
        <f t="shared" si="822"/>
        <v>0</v>
      </c>
      <c r="AS844" s="10">
        <f t="shared" si="822"/>
        <v>0</v>
      </c>
      <c r="AT844" s="10">
        <f t="shared" si="822"/>
        <v>0</v>
      </c>
      <c r="AU844" s="10">
        <f t="shared" si="822"/>
        <v>0</v>
      </c>
      <c r="AV844" s="10">
        <f t="shared" si="822"/>
        <v>0</v>
      </c>
      <c r="AW844" s="10">
        <f t="shared" si="822"/>
        <v>0</v>
      </c>
      <c r="AX844" s="10">
        <f t="shared" si="822"/>
        <v>0</v>
      </c>
      <c r="AY844" s="10">
        <f t="shared" si="822"/>
        <v>0</v>
      </c>
      <c r="AZ844" s="10">
        <f t="shared" si="822"/>
        <v>0</v>
      </c>
      <c r="BA844" s="10">
        <f t="shared" si="822"/>
        <v>0</v>
      </c>
      <c r="BB844" s="10">
        <f t="shared" si="822"/>
        <v>0</v>
      </c>
      <c r="BC844" s="10">
        <f t="shared" si="822"/>
        <v>0</v>
      </c>
      <c r="BD844" s="10">
        <f t="shared" si="822"/>
        <v>0</v>
      </c>
      <c r="BE844" s="10">
        <f t="shared" si="822"/>
        <v>0</v>
      </c>
      <c r="BF844" s="10">
        <f t="shared" si="822"/>
        <v>0</v>
      </c>
      <c r="BG844" s="10">
        <f t="shared" si="822"/>
        <v>0</v>
      </c>
      <c r="BH844" s="10">
        <f t="shared" si="822"/>
        <v>0</v>
      </c>
      <c r="BI844" s="10">
        <f t="shared" si="822"/>
        <v>0</v>
      </c>
      <c r="BJ844" s="10">
        <f t="shared" si="822"/>
        <v>0</v>
      </c>
      <c r="BK844" s="10">
        <f t="shared" si="822"/>
        <v>0</v>
      </c>
      <c r="BL844" s="10">
        <f t="shared" si="822"/>
        <v>0</v>
      </c>
      <c r="BM844" s="10">
        <f t="shared" si="822"/>
        <v>0</v>
      </c>
      <c r="BN844" s="10">
        <f t="shared" si="822"/>
        <v>0</v>
      </c>
      <c r="BO844" s="10">
        <f t="shared" si="822"/>
        <v>0</v>
      </c>
      <c r="BP844" s="10">
        <f t="shared" si="822"/>
        <v>0</v>
      </c>
      <c r="BQ844" s="10">
        <f t="shared" si="822"/>
        <v>0</v>
      </c>
      <c r="BR844" s="10">
        <f t="shared" si="822"/>
        <v>0</v>
      </c>
      <c r="BS844" s="10">
        <f t="shared" si="822"/>
        <v>0</v>
      </c>
      <c r="BT844" s="10">
        <f t="shared" si="822"/>
        <v>0</v>
      </c>
      <c r="BU844" s="10">
        <f t="shared" si="822"/>
        <v>0</v>
      </c>
      <c r="BV844" s="10">
        <f t="shared" si="822"/>
        <v>0</v>
      </c>
      <c r="BX844" s="10">
        <f t="shared" si="813"/>
        <v>0</v>
      </c>
      <c r="BY844" s="10">
        <f t="shared" si="813"/>
        <v>0</v>
      </c>
      <c r="BZ844" s="10">
        <f t="shared" si="813"/>
        <v>0</v>
      </c>
      <c r="CA844" s="10">
        <f t="shared" si="813"/>
        <v>0</v>
      </c>
      <c r="CB844" s="10">
        <f t="shared" si="813"/>
        <v>0</v>
      </c>
      <c r="CC844" s="12">
        <f t="shared" si="814"/>
        <v>0</v>
      </c>
      <c r="CD844" s="12">
        <f t="shared" si="814"/>
        <v>0</v>
      </c>
      <c r="CE844" s="12">
        <f t="shared" si="814"/>
        <v>0</v>
      </c>
      <c r="CF844" s="12">
        <f t="shared" si="814"/>
        <v>0</v>
      </c>
      <c r="CG844" s="12">
        <f t="shared" si="814"/>
        <v>0</v>
      </c>
      <c r="CH844" s="12">
        <f t="shared" si="814"/>
        <v>0</v>
      </c>
      <c r="CI844" s="12">
        <f t="shared" si="814"/>
        <v>0</v>
      </c>
      <c r="CK844" s="11"/>
      <c r="CM844" s="11"/>
      <c r="CV844" s="120"/>
      <c r="DF844" s="11"/>
      <c r="EY844" s="12" t="str">
        <f t="shared" ca="1" si="815"/>
        <v>Accrued Interest Expense Loan 8</v>
      </c>
    </row>
    <row r="845" spans="1:155" x14ac:dyDescent="0.35">
      <c r="B845" s="69" t="str" cm="1">
        <f t="array" aca="1" ref="B845" ca="1">HYPERLINK(CONCATENATE("#",CELL("address",$D$208)),$D$208)</f>
        <v>Loan 9</v>
      </c>
      <c r="C845" s="211" t="s">
        <v>1258</v>
      </c>
      <c r="D845" s="49">
        <f>D$21</f>
        <v>0</v>
      </c>
      <c r="E845" s="49" t="str">
        <f>F$21</f>
        <v/>
      </c>
      <c r="F845" s="49"/>
      <c r="G845" s="10">
        <f>Q$21</f>
        <v>0</v>
      </c>
      <c r="H845" s="9"/>
      <c r="I845" s="40" t="s">
        <v>665</v>
      </c>
      <c r="V845" s="133">
        <f t="shared" si="811"/>
        <v>0</v>
      </c>
      <c r="W845" s="10">
        <f t="shared" si="811"/>
        <v>0</v>
      </c>
      <c r="X845" s="133">
        <f t="shared" si="811"/>
        <v>0</v>
      </c>
      <c r="Y845" s="10">
        <f t="shared" si="811"/>
        <v>0</v>
      </c>
      <c r="AA845" s="10">
        <f t="shared" ref="AA845:BV845" si="823">IF($G845=1, AA703, AA563)</f>
        <v>0</v>
      </c>
      <c r="AB845" s="10">
        <f t="shared" si="823"/>
        <v>0</v>
      </c>
      <c r="AC845" s="10">
        <f t="shared" si="823"/>
        <v>0</v>
      </c>
      <c r="AD845" s="10">
        <f t="shared" si="823"/>
        <v>0</v>
      </c>
      <c r="AE845" s="10">
        <f t="shared" si="823"/>
        <v>0</v>
      </c>
      <c r="AF845" s="10">
        <f t="shared" si="823"/>
        <v>0</v>
      </c>
      <c r="AG845" s="10">
        <f t="shared" si="823"/>
        <v>0</v>
      </c>
      <c r="AH845" s="10">
        <f t="shared" si="823"/>
        <v>0</v>
      </c>
      <c r="AI845" s="10">
        <f t="shared" si="823"/>
        <v>0</v>
      </c>
      <c r="AJ845" s="10">
        <f t="shared" si="823"/>
        <v>0</v>
      </c>
      <c r="AK845" s="10">
        <f t="shared" si="823"/>
        <v>0</v>
      </c>
      <c r="AL845" s="10">
        <f t="shared" si="823"/>
        <v>0</v>
      </c>
      <c r="AM845" s="10">
        <f t="shared" si="823"/>
        <v>0</v>
      </c>
      <c r="AN845" s="10">
        <f t="shared" si="823"/>
        <v>0</v>
      </c>
      <c r="AO845" s="10">
        <f t="shared" si="823"/>
        <v>0</v>
      </c>
      <c r="AP845" s="10">
        <f t="shared" si="823"/>
        <v>0</v>
      </c>
      <c r="AQ845" s="10">
        <f t="shared" si="823"/>
        <v>0</v>
      </c>
      <c r="AR845" s="10">
        <f t="shared" si="823"/>
        <v>0</v>
      </c>
      <c r="AS845" s="10">
        <f t="shared" si="823"/>
        <v>0</v>
      </c>
      <c r="AT845" s="10">
        <f t="shared" si="823"/>
        <v>0</v>
      </c>
      <c r="AU845" s="10">
        <f t="shared" si="823"/>
        <v>0</v>
      </c>
      <c r="AV845" s="10">
        <f t="shared" si="823"/>
        <v>0</v>
      </c>
      <c r="AW845" s="10">
        <f t="shared" si="823"/>
        <v>0</v>
      </c>
      <c r="AX845" s="10">
        <f t="shared" si="823"/>
        <v>0</v>
      </c>
      <c r="AY845" s="10">
        <f t="shared" si="823"/>
        <v>0</v>
      </c>
      <c r="AZ845" s="10">
        <f t="shared" si="823"/>
        <v>0</v>
      </c>
      <c r="BA845" s="10">
        <f t="shared" si="823"/>
        <v>0</v>
      </c>
      <c r="BB845" s="10">
        <f t="shared" si="823"/>
        <v>0</v>
      </c>
      <c r="BC845" s="10">
        <f t="shared" si="823"/>
        <v>0</v>
      </c>
      <c r="BD845" s="10">
        <f t="shared" si="823"/>
        <v>0</v>
      </c>
      <c r="BE845" s="10">
        <f t="shared" si="823"/>
        <v>0</v>
      </c>
      <c r="BF845" s="10">
        <f t="shared" si="823"/>
        <v>0</v>
      </c>
      <c r="BG845" s="10">
        <f t="shared" si="823"/>
        <v>0</v>
      </c>
      <c r="BH845" s="10">
        <f t="shared" si="823"/>
        <v>0</v>
      </c>
      <c r="BI845" s="10">
        <f t="shared" si="823"/>
        <v>0</v>
      </c>
      <c r="BJ845" s="10">
        <f t="shared" si="823"/>
        <v>0</v>
      </c>
      <c r="BK845" s="10">
        <f t="shared" si="823"/>
        <v>0</v>
      </c>
      <c r="BL845" s="10">
        <f t="shared" si="823"/>
        <v>0</v>
      </c>
      <c r="BM845" s="10">
        <f t="shared" si="823"/>
        <v>0</v>
      </c>
      <c r="BN845" s="10">
        <f t="shared" si="823"/>
        <v>0</v>
      </c>
      <c r="BO845" s="10">
        <f t="shared" si="823"/>
        <v>0</v>
      </c>
      <c r="BP845" s="10">
        <f t="shared" si="823"/>
        <v>0</v>
      </c>
      <c r="BQ845" s="10">
        <f t="shared" si="823"/>
        <v>0</v>
      </c>
      <c r="BR845" s="10">
        <f t="shared" si="823"/>
        <v>0</v>
      </c>
      <c r="BS845" s="10">
        <f t="shared" si="823"/>
        <v>0</v>
      </c>
      <c r="BT845" s="10">
        <f t="shared" si="823"/>
        <v>0</v>
      </c>
      <c r="BU845" s="10">
        <f t="shared" si="823"/>
        <v>0</v>
      </c>
      <c r="BV845" s="10">
        <f t="shared" si="823"/>
        <v>0</v>
      </c>
      <c r="BX845" s="10">
        <f t="shared" si="813"/>
        <v>0</v>
      </c>
      <c r="BY845" s="10">
        <f t="shared" si="813"/>
        <v>0</v>
      </c>
      <c r="BZ845" s="10">
        <f t="shared" si="813"/>
        <v>0</v>
      </c>
      <c r="CA845" s="10">
        <f t="shared" si="813"/>
        <v>0</v>
      </c>
      <c r="CB845" s="10">
        <f t="shared" si="813"/>
        <v>0</v>
      </c>
      <c r="CC845" s="12">
        <f t="shared" si="814"/>
        <v>0</v>
      </c>
      <c r="CD845" s="12">
        <f t="shared" si="814"/>
        <v>0</v>
      </c>
      <c r="CE845" s="12">
        <f t="shared" si="814"/>
        <v>0</v>
      </c>
      <c r="CF845" s="12">
        <f t="shared" si="814"/>
        <v>0</v>
      </c>
      <c r="CG845" s="12">
        <f t="shared" si="814"/>
        <v>0</v>
      </c>
      <c r="CH845" s="12">
        <f t="shared" si="814"/>
        <v>0</v>
      </c>
      <c r="CI845" s="12">
        <f t="shared" si="814"/>
        <v>0</v>
      </c>
      <c r="CK845" s="11"/>
      <c r="CM845" s="11"/>
      <c r="CV845" s="120"/>
      <c r="DF845" s="11"/>
      <c r="EY845" s="12" t="str">
        <f t="shared" ca="1" si="815"/>
        <v>Accrued Interest Expense Loan 9</v>
      </c>
    </row>
    <row r="846" spans="1:155" x14ac:dyDescent="0.35">
      <c r="B846" s="69" t="str" cm="1">
        <f t="array" aca="1" ref="B846" ca="1">HYPERLINK(CONCATENATE("#",CELL("address",$D$227)),$D$227)</f>
        <v>Loan 10</v>
      </c>
      <c r="C846" s="211" t="s">
        <v>1259</v>
      </c>
      <c r="D846" s="49">
        <f>D$22</f>
        <v>0</v>
      </c>
      <c r="E846" s="49" t="str">
        <f>F$22</f>
        <v/>
      </c>
      <c r="F846" s="49"/>
      <c r="G846" s="10">
        <f>Q$22</f>
        <v>0</v>
      </c>
      <c r="H846" s="9"/>
      <c r="I846" s="40" t="s">
        <v>665</v>
      </c>
      <c r="V846" s="133">
        <f t="shared" si="811"/>
        <v>0</v>
      </c>
      <c r="W846" s="10">
        <f t="shared" si="811"/>
        <v>0</v>
      </c>
      <c r="X846" s="133">
        <f t="shared" si="811"/>
        <v>0</v>
      </c>
      <c r="Y846" s="10">
        <f t="shared" si="811"/>
        <v>0</v>
      </c>
      <c r="AA846" s="10">
        <f t="shared" ref="AA846:BV846" si="824">IF($G846=1, AA704, AA564)</f>
        <v>0</v>
      </c>
      <c r="AB846" s="10">
        <f t="shared" si="824"/>
        <v>0</v>
      </c>
      <c r="AC846" s="10">
        <f t="shared" si="824"/>
        <v>0</v>
      </c>
      <c r="AD846" s="10">
        <f t="shared" si="824"/>
        <v>0</v>
      </c>
      <c r="AE846" s="10">
        <f t="shared" si="824"/>
        <v>0</v>
      </c>
      <c r="AF846" s="10">
        <f t="shared" si="824"/>
        <v>0</v>
      </c>
      <c r="AG846" s="10">
        <f t="shared" si="824"/>
        <v>0</v>
      </c>
      <c r="AH846" s="10">
        <f t="shared" si="824"/>
        <v>0</v>
      </c>
      <c r="AI846" s="10">
        <f t="shared" si="824"/>
        <v>0</v>
      </c>
      <c r="AJ846" s="10">
        <f t="shared" si="824"/>
        <v>0</v>
      </c>
      <c r="AK846" s="10">
        <f t="shared" si="824"/>
        <v>0</v>
      </c>
      <c r="AL846" s="10">
        <f t="shared" si="824"/>
        <v>0</v>
      </c>
      <c r="AM846" s="10">
        <f t="shared" si="824"/>
        <v>0</v>
      </c>
      <c r="AN846" s="10">
        <f t="shared" si="824"/>
        <v>0</v>
      </c>
      <c r="AO846" s="10">
        <f t="shared" si="824"/>
        <v>0</v>
      </c>
      <c r="AP846" s="10">
        <f t="shared" si="824"/>
        <v>0</v>
      </c>
      <c r="AQ846" s="10">
        <f t="shared" si="824"/>
        <v>0</v>
      </c>
      <c r="AR846" s="10">
        <f t="shared" si="824"/>
        <v>0</v>
      </c>
      <c r="AS846" s="10">
        <f t="shared" si="824"/>
        <v>0</v>
      </c>
      <c r="AT846" s="10">
        <f t="shared" si="824"/>
        <v>0</v>
      </c>
      <c r="AU846" s="10">
        <f t="shared" si="824"/>
        <v>0</v>
      </c>
      <c r="AV846" s="10">
        <f t="shared" si="824"/>
        <v>0</v>
      </c>
      <c r="AW846" s="10">
        <f t="shared" si="824"/>
        <v>0</v>
      </c>
      <c r="AX846" s="10">
        <f t="shared" si="824"/>
        <v>0</v>
      </c>
      <c r="AY846" s="10">
        <f t="shared" si="824"/>
        <v>0</v>
      </c>
      <c r="AZ846" s="10">
        <f t="shared" si="824"/>
        <v>0</v>
      </c>
      <c r="BA846" s="10">
        <f t="shared" si="824"/>
        <v>0</v>
      </c>
      <c r="BB846" s="10">
        <f t="shared" si="824"/>
        <v>0</v>
      </c>
      <c r="BC846" s="10">
        <f t="shared" si="824"/>
        <v>0</v>
      </c>
      <c r="BD846" s="10">
        <f t="shared" si="824"/>
        <v>0</v>
      </c>
      <c r="BE846" s="10">
        <f t="shared" si="824"/>
        <v>0</v>
      </c>
      <c r="BF846" s="10">
        <f t="shared" si="824"/>
        <v>0</v>
      </c>
      <c r="BG846" s="10">
        <f t="shared" si="824"/>
        <v>0</v>
      </c>
      <c r="BH846" s="10">
        <f t="shared" si="824"/>
        <v>0</v>
      </c>
      <c r="BI846" s="10">
        <f t="shared" si="824"/>
        <v>0</v>
      </c>
      <c r="BJ846" s="10">
        <f t="shared" si="824"/>
        <v>0</v>
      </c>
      <c r="BK846" s="10">
        <f t="shared" si="824"/>
        <v>0</v>
      </c>
      <c r="BL846" s="10">
        <f t="shared" si="824"/>
        <v>0</v>
      </c>
      <c r="BM846" s="10">
        <f t="shared" si="824"/>
        <v>0</v>
      </c>
      <c r="BN846" s="10">
        <f t="shared" si="824"/>
        <v>0</v>
      </c>
      <c r="BO846" s="10">
        <f t="shared" si="824"/>
        <v>0</v>
      </c>
      <c r="BP846" s="10">
        <f t="shared" si="824"/>
        <v>0</v>
      </c>
      <c r="BQ846" s="10">
        <f t="shared" si="824"/>
        <v>0</v>
      </c>
      <c r="BR846" s="10">
        <f t="shared" si="824"/>
        <v>0</v>
      </c>
      <c r="BS846" s="10">
        <f t="shared" si="824"/>
        <v>0</v>
      </c>
      <c r="BT846" s="10">
        <f t="shared" si="824"/>
        <v>0</v>
      </c>
      <c r="BU846" s="10">
        <f t="shared" si="824"/>
        <v>0</v>
      </c>
      <c r="BV846" s="10">
        <f t="shared" si="824"/>
        <v>0</v>
      </c>
      <c r="BX846" s="10">
        <f t="shared" si="813"/>
        <v>0</v>
      </c>
      <c r="BY846" s="10">
        <f t="shared" si="813"/>
        <v>0</v>
      </c>
      <c r="BZ846" s="10">
        <f t="shared" si="813"/>
        <v>0</v>
      </c>
      <c r="CA846" s="10">
        <f t="shared" si="813"/>
        <v>0</v>
      </c>
      <c r="CB846" s="10">
        <f t="shared" si="813"/>
        <v>0</v>
      </c>
      <c r="CC846" s="12">
        <f t="shared" si="814"/>
        <v>0</v>
      </c>
      <c r="CD846" s="12">
        <f t="shared" si="814"/>
        <v>0</v>
      </c>
      <c r="CE846" s="12">
        <f t="shared" si="814"/>
        <v>0</v>
      </c>
      <c r="CF846" s="12">
        <f t="shared" si="814"/>
        <v>0</v>
      </c>
      <c r="CG846" s="12">
        <f t="shared" si="814"/>
        <v>0</v>
      </c>
      <c r="CH846" s="12">
        <f t="shared" si="814"/>
        <v>0</v>
      </c>
      <c r="CI846" s="12">
        <f t="shared" si="814"/>
        <v>0</v>
      </c>
      <c r="CK846" s="11"/>
      <c r="CM846" s="11"/>
      <c r="CV846" s="120"/>
      <c r="DF846" s="11"/>
      <c r="EY846" s="12" t="str">
        <f t="shared" ca="1" si="815"/>
        <v>Accrued Interest Expense Loan 10</v>
      </c>
    </row>
    <row r="847" spans="1:155" x14ac:dyDescent="0.35">
      <c r="B847" s="69" t="str" cm="1">
        <f t="array" aca="1" ref="B847" ca="1">HYPERLINK(CONCATENATE("#",CELL("address",$D$246)),$D$246)</f>
        <v>Loan 11</v>
      </c>
      <c r="C847" s="211" t="s">
        <v>1260</v>
      </c>
      <c r="D847" s="49">
        <f>D$23</f>
        <v>0</v>
      </c>
      <c r="E847" s="49" t="str">
        <f>F$23</f>
        <v/>
      </c>
      <c r="F847" s="49"/>
      <c r="G847" s="10">
        <f>Q$23</f>
        <v>0</v>
      </c>
      <c r="H847" s="9"/>
      <c r="I847" s="40" t="s">
        <v>665</v>
      </c>
      <c r="V847" s="133">
        <f t="shared" si="811"/>
        <v>0</v>
      </c>
      <c r="W847" s="10">
        <f t="shared" si="811"/>
        <v>0</v>
      </c>
      <c r="X847" s="133">
        <f t="shared" si="811"/>
        <v>0</v>
      </c>
      <c r="Y847" s="10">
        <f t="shared" si="811"/>
        <v>0</v>
      </c>
      <c r="AA847" s="10">
        <f t="shared" ref="AA847:BV847" si="825">IF($G847=1, AA705, AA565)</f>
        <v>0</v>
      </c>
      <c r="AB847" s="10">
        <f t="shared" si="825"/>
        <v>0</v>
      </c>
      <c r="AC847" s="10">
        <f t="shared" si="825"/>
        <v>0</v>
      </c>
      <c r="AD847" s="10">
        <f t="shared" si="825"/>
        <v>0</v>
      </c>
      <c r="AE847" s="10">
        <f t="shared" si="825"/>
        <v>0</v>
      </c>
      <c r="AF847" s="10">
        <f t="shared" si="825"/>
        <v>0</v>
      </c>
      <c r="AG847" s="10">
        <f t="shared" si="825"/>
        <v>0</v>
      </c>
      <c r="AH847" s="10">
        <f t="shared" si="825"/>
        <v>0</v>
      </c>
      <c r="AI847" s="10">
        <f t="shared" si="825"/>
        <v>0</v>
      </c>
      <c r="AJ847" s="10">
        <f t="shared" si="825"/>
        <v>0</v>
      </c>
      <c r="AK847" s="10">
        <f t="shared" si="825"/>
        <v>0</v>
      </c>
      <c r="AL847" s="10">
        <f t="shared" si="825"/>
        <v>0</v>
      </c>
      <c r="AM847" s="10">
        <f t="shared" si="825"/>
        <v>0</v>
      </c>
      <c r="AN847" s="10">
        <f t="shared" si="825"/>
        <v>0</v>
      </c>
      <c r="AO847" s="10">
        <f t="shared" si="825"/>
        <v>0</v>
      </c>
      <c r="AP847" s="10">
        <f t="shared" si="825"/>
        <v>0</v>
      </c>
      <c r="AQ847" s="10">
        <f t="shared" si="825"/>
        <v>0</v>
      </c>
      <c r="AR847" s="10">
        <f t="shared" si="825"/>
        <v>0</v>
      </c>
      <c r="AS847" s="10">
        <f t="shared" si="825"/>
        <v>0</v>
      </c>
      <c r="AT847" s="10">
        <f t="shared" si="825"/>
        <v>0</v>
      </c>
      <c r="AU847" s="10">
        <f t="shared" si="825"/>
        <v>0</v>
      </c>
      <c r="AV847" s="10">
        <f t="shared" si="825"/>
        <v>0</v>
      </c>
      <c r="AW847" s="10">
        <f t="shared" si="825"/>
        <v>0</v>
      </c>
      <c r="AX847" s="10">
        <f t="shared" si="825"/>
        <v>0</v>
      </c>
      <c r="AY847" s="10">
        <f t="shared" si="825"/>
        <v>0</v>
      </c>
      <c r="AZ847" s="10">
        <f t="shared" si="825"/>
        <v>0</v>
      </c>
      <c r="BA847" s="10">
        <f t="shared" si="825"/>
        <v>0</v>
      </c>
      <c r="BB847" s="10">
        <f t="shared" si="825"/>
        <v>0</v>
      </c>
      <c r="BC847" s="10">
        <f t="shared" si="825"/>
        <v>0</v>
      </c>
      <c r="BD847" s="10">
        <f t="shared" si="825"/>
        <v>0</v>
      </c>
      <c r="BE847" s="10">
        <f t="shared" si="825"/>
        <v>0</v>
      </c>
      <c r="BF847" s="10">
        <f t="shared" si="825"/>
        <v>0</v>
      </c>
      <c r="BG847" s="10">
        <f t="shared" si="825"/>
        <v>0</v>
      </c>
      <c r="BH847" s="10">
        <f t="shared" si="825"/>
        <v>0</v>
      </c>
      <c r="BI847" s="10">
        <f t="shared" si="825"/>
        <v>0</v>
      </c>
      <c r="BJ847" s="10">
        <f t="shared" si="825"/>
        <v>0</v>
      </c>
      <c r="BK847" s="10">
        <f t="shared" si="825"/>
        <v>0</v>
      </c>
      <c r="BL847" s="10">
        <f t="shared" si="825"/>
        <v>0</v>
      </c>
      <c r="BM847" s="10">
        <f t="shared" si="825"/>
        <v>0</v>
      </c>
      <c r="BN847" s="10">
        <f t="shared" si="825"/>
        <v>0</v>
      </c>
      <c r="BO847" s="10">
        <f t="shared" si="825"/>
        <v>0</v>
      </c>
      <c r="BP847" s="10">
        <f t="shared" si="825"/>
        <v>0</v>
      </c>
      <c r="BQ847" s="10">
        <f t="shared" si="825"/>
        <v>0</v>
      </c>
      <c r="BR847" s="10">
        <f t="shared" si="825"/>
        <v>0</v>
      </c>
      <c r="BS847" s="10">
        <f t="shared" si="825"/>
        <v>0</v>
      </c>
      <c r="BT847" s="10">
        <f t="shared" si="825"/>
        <v>0</v>
      </c>
      <c r="BU847" s="10">
        <f t="shared" si="825"/>
        <v>0</v>
      </c>
      <c r="BV847" s="10">
        <f t="shared" si="825"/>
        <v>0</v>
      </c>
      <c r="BX847" s="10">
        <f t="shared" ref="BX847:CB856" si="826">IF($G847=1, BX705, BX565)</f>
        <v>0</v>
      </c>
      <c r="BY847" s="10">
        <f t="shared" si="826"/>
        <v>0</v>
      </c>
      <c r="BZ847" s="10">
        <f t="shared" si="826"/>
        <v>0</v>
      </c>
      <c r="CA847" s="10">
        <f t="shared" si="826"/>
        <v>0</v>
      </c>
      <c r="CB847" s="10">
        <f t="shared" si="826"/>
        <v>0</v>
      </c>
      <c r="CC847" s="12">
        <f t="shared" ref="CC847:CI856" si="827">CC565</f>
        <v>0</v>
      </c>
      <c r="CD847" s="12">
        <f t="shared" si="827"/>
        <v>0</v>
      </c>
      <c r="CE847" s="12">
        <f t="shared" si="827"/>
        <v>0</v>
      </c>
      <c r="CF847" s="12">
        <f t="shared" si="827"/>
        <v>0</v>
      </c>
      <c r="CG847" s="12">
        <f t="shared" si="827"/>
        <v>0</v>
      </c>
      <c r="CH847" s="12">
        <f t="shared" si="827"/>
        <v>0</v>
      </c>
      <c r="CI847" s="12">
        <f t="shared" si="827"/>
        <v>0</v>
      </c>
      <c r="CK847" s="11"/>
      <c r="CM847" s="11"/>
      <c r="CV847" s="120"/>
      <c r="DF847" s="11"/>
      <c r="EY847" s="12" t="str">
        <f t="shared" ca="1" si="815"/>
        <v>Accrued Interest Expense Loan 11</v>
      </c>
    </row>
    <row r="848" spans="1:155" x14ac:dyDescent="0.35">
      <c r="B848" s="69" t="str" cm="1">
        <f t="array" aca="1" ref="B848" ca="1">HYPERLINK(CONCATENATE("#",CELL("address",$D$265)),$D$265)</f>
        <v>Loan 12</v>
      </c>
      <c r="C848" s="211" t="s">
        <v>1261</v>
      </c>
      <c r="D848" s="49">
        <f>D$24</f>
        <v>0</v>
      </c>
      <c r="E848" s="49" t="str">
        <f>F$24</f>
        <v/>
      </c>
      <c r="F848" s="49"/>
      <c r="G848" s="10">
        <f>Q$24</f>
        <v>0</v>
      </c>
      <c r="H848" s="9"/>
      <c r="I848" s="40" t="s">
        <v>665</v>
      </c>
      <c r="V848" s="133">
        <f t="shared" si="811"/>
        <v>0</v>
      </c>
      <c r="W848" s="10">
        <f t="shared" si="811"/>
        <v>0</v>
      </c>
      <c r="X848" s="133">
        <f t="shared" si="811"/>
        <v>0</v>
      </c>
      <c r="Y848" s="10">
        <f t="shared" si="811"/>
        <v>0</v>
      </c>
      <c r="AA848" s="10">
        <f t="shared" ref="AA848:BV848" si="828">IF($G848=1, AA706, AA566)</f>
        <v>0</v>
      </c>
      <c r="AB848" s="10">
        <f t="shared" si="828"/>
        <v>0</v>
      </c>
      <c r="AC848" s="10">
        <f t="shared" si="828"/>
        <v>0</v>
      </c>
      <c r="AD848" s="10">
        <f t="shared" si="828"/>
        <v>0</v>
      </c>
      <c r="AE848" s="10">
        <f t="shared" si="828"/>
        <v>0</v>
      </c>
      <c r="AF848" s="10">
        <f t="shared" si="828"/>
        <v>0</v>
      </c>
      <c r="AG848" s="10">
        <f t="shared" si="828"/>
        <v>0</v>
      </c>
      <c r="AH848" s="10">
        <f t="shared" si="828"/>
        <v>0</v>
      </c>
      <c r="AI848" s="10">
        <f t="shared" si="828"/>
        <v>0</v>
      </c>
      <c r="AJ848" s="10">
        <f t="shared" si="828"/>
        <v>0</v>
      </c>
      <c r="AK848" s="10">
        <f t="shared" si="828"/>
        <v>0</v>
      </c>
      <c r="AL848" s="10">
        <f t="shared" si="828"/>
        <v>0</v>
      </c>
      <c r="AM848" s="10">
        <f t="shared" si="828"/>
        <v>0</v>
      </c>
      <c r="AN848" s="10">
        <f t="shared" si="828"/>
        <v>0</v>
      </c>
      <c r="AO848" s="10">
        <f t="shared" si="828"/>
        <v>0</v>
      </c>
      <c r="AP848" s="10">
        <f t="shared" si="828"/>
        <v>0</v>
      </c>
      <c r="AQ848" s="10">
        <f t="shared" si="828"/>
        <v>0</v>
      </c>
      <c r="AR848" s="10">
        <f t="shared" si="828"/>
        <v>0</v>
      </c>
      <c r="AS848" s="10">
        <f t="shared" si="828"/>
        <v>0</v>
      </c>
      <c r="AT848" s="10">
        <f t="shared" si="828"/>
        <v>0</v>
      </c>
      <c r="AU848" s="10">
        <f t="shared" si="828"/>
        <v>0</v>
      </c>
      <c r="AV848" s="10">
        <f t="shared" si="828"/>
        <v>0</v>
      </c>
      <c r="AW848" s="10">
        <f t="shared" si="828"/>
        <v>0</v>
      </c>
      <c r="AX848" s="10">
        <f t="shared" si="828"/>
        <v>0</v>
      </c>
      <c r="AY848" s="10">
        <f t="shared" si="828"/>
        <v>0</v>
      </c>
      <c r="AZ848" s="10">
        <f t="shared" si="828"/>
        <v>0</v>
      </c>
      <c r="BA848" s="10">
        <f t="shared" si="828"/>
        <v>0</v>
      </c>
      <c r="BB848" s="10">
        <f t="shared" si="828"/>
        <v>0</v>
      </c>
      <c r="BC848" s="10">
        <f t="shared" si="828"/>
        <v>0</v>
      </c>
      <c r="BD848" s="10">
        <f t="shared" si="828"/>
        <v>0</v>
      </c>
      <c r="BE848" s="10">
        <f t="shared" si="828"/>
        <v>0</v>
      </c>
      <c r="BF848" s="10">
        <f t="shared" si="828"/>
        <v>0</v>
      </c>
      <c r="BG848" s="10">
        <f t="shared" si="828"/>
        <v>0</v>
      </c>
      <c r="BH848" s="10">
        <f t="shared" si="828"/>
        <v>0</v>
      </c>
      <c r="BI848" s="10">
        <f t="shared" si="828"/>
        <v>0</v>
      </c>
      <c r="BJ848" s="10">
        <f t="shared" si="828"/>
        <v>0</v>
      </c>
      <c r="BK848" s="10">
        <f t="shared" si="828"/>
        <v>0</v>
      </c>
      <c r="BL848" s="10">
        <f t="shared" si="828"/>
        <v>0</v>
      </c>
      <c r="BM848" s="10">
        <f t="shared" si="828"/>
        <v>0</v>
      </c>
      <c r="BN848" s="10">
        <f t="shared" si="828"/>
        <v>0</v>
      </c>
      <c r="BO848" s="10">
        <f t="shared" si="828"/>
        <v>0</v>
      </c>
      <c r="BP848" s="10">
        <f t="shared" si="828"/>
        <v>0</v>
      </c>
      <c r="BQ848" s="10">
        <f t="shared" si="828"/>
        <v>0</v>
      </c>
      <c r="BR848" s="10">
        <f t="shared" si="828"/>
        <v>0</v>
      </c>
      <c r="BS848" s="10">
        <f t="shared" si="828"/>
        <v>0</v>
      </c>
      <c r="BT848" s="10">
        <f t="shared" si="828"/>
        <v>0</v>
      </c>
      <c r="BU848" s="10">
        <f t="shared" si="828"/>
        <v>0</v>
      </c>
      <c r="BV848" s="10">
        <f t="shared" si="828"/>
        <v>0</v>
      </c>
      <c r="BX848" s="10">
        <f t="shared" si="826"/>
        <v>0</v>
      </c>
      <c r="BY848" s="10">
        <f t="shared" si="826"/>
        <v>0</v>
      </c>
      <c r="BZ848" s="10">
        <f t="shared" si="826"/>
        <v>0</v>
      </c>
      <c r="CA848" s="10">
        <f t="shared" si="826"/>
        <v>0</v>
      </c>
      <c r="CB848" s="10">
        <f t="shared" si="826"/>
        <v>0</v>
      </c>
      <c r="CC848" s="12">
        <f t="shared" si="827"/>
        <v>0</v>
      </c>
      <c r="CD848" s="12">
        <f t="shared" si="827"/>
        <v>0</v>
      </c>
      <c r="CE848" s="12">
        <f t="shared" si="827"/>
        <v>0</v>
      </c>
      <c r="CF848" s="12">
        <f t="shared" si="827"/>
        <v>0</v>
      </c>
      <c r="CG848" s="12">
        <f t="shared" si="827"/>
        <v>0</v>
      </c>
      <c r="CH848" s="12">
        <f t="shared" si="827"/>
        <v>0</v>
      </c>
      <c r="CI848" s="12">
        <f t="shared" si="827"/>
        <v>0</v>
      </c>
      <c r="CK848" s="11"/>
      <c r="CM848" s="11"/>
      <c r="CV848" s="120"/>
      <c r="DF848" s="11"/>
      <c r="EY848" s="12" t="str">
        <f t="shared" ca="1" si="815"/>
        <v>Accrued Interest Expense Loan 12</v>
      </c>
    </row>
    <row r="849" spans="1:155" x14ac:dyDescent="0.35">
      <c r="B849" s="69" t="str" cm="1">
        <f t="array" aca="1" ref="B849" ca="1">HYPERLINK(CONCATENATE("#",CELL("address",$D$284)),$D$284)</f>
        <v>Loan 13</v>
      </c>
      <c r="C849" s="211" t="s">
        <v>1262</v>
      </c>
      <c r="D849" s="49">
        <f>D$25</f>
        <v>0</v>
      </c>
      <c r="E849" s="49" t="str">
        <f>F$25</f>
        <v/>
      </c>
      <c r="F849" s="49"/>
      <c r="G849" s="10">
        <f>Q$25</f>
        <v>0</v>
      </c>
      <c r="H849" s="9"/>
      <c r="I849" s="40" t="s">
        <v>665</v>
      </c>
      <c r="V849" s="133">
        <f t="shared" si="811"/>
        <v>0</v>
      </c>
      <c r="W849" s="10">
        <f t="shared" si="811"/>
        <v>0</v>
      </c>
      <c r="X849" s="133">
        <f t="shared" si="811"/>
        <v>0</v>
      </c>
      <c r="Y849" s="10">
        <f t="shared" si="811"/>
        <v>0</v>
      </c>
      <c r="AA849" s="10">
        <f t="shared" ref="AA849:BV849" si="829">IF($G849=1, AA707, AA567)</f>
        <v>0</v>
      </c>
      <c r="AB849" s="10">
        <f t="shared" si="829"/>
        <v>0</v>
      </c>
      <c r="AC849" s="10">
        <f t="shared" si="829"/>
        <v>0</v>
      </c>
      <c r="AD849" s="10">
        <f t="shared" si="829"/>
        <v>0</v>
      </c>
      <c r="AE849" s="10">
        <f t="shared" si="829"/>
        <v>0</v>
      </c>
      <c r="AF849" s="10">
        <f t="shared" si="829"/>
        <v>0</v>
      </c>
      <c r="AG849" s="10">
        <f t="shared" si="829"/>
        <v>0</v>
      </c>
      <c r="AH849" s="10">
        <f t="shared" si="829"/>
        <v>0</v>
      </c>
      <c r="AI849" s="10">
        <f t="shared" si="829"/>
        <v>0</v>
      </c>
      <c r="AJ849" s="10">
        <f t="shared" si="829"/>
        <v>0</v>
      </c>
      <c r="AK849" s="10">
        <f t="shared" si="829"/>
        <v>0</v>
      </c>
      <c r="AL849" s="10">
        <f t="shared" si="829"/>
        <v>0</v>
      </c>
      <c r="AM849" s="10">
        <f t="shared" si="829"/>
        <v>0</v>
      </c>
      <c r="AN849" s="10">
        <f t="shared" si="829"/>
        <v>0</v>
      </c>
      <c r="AO849" s="10">
        <f t="shared" si="829"/>
        <v>0</v>
      </c>
      <c r="AP849" s="10">
        <f t="shared" si="829"/>
        <v>0</v>
      </c>
      <c r="AQ849" s="10">
        <f t="shared" si="829"/>
        <v>0</v>
      </c>
      <c r="AR849" s="10">
        <f t="shared" si="829"/>
        <v>0</v>
      </c>
      <c r="AS849" s="10">
        <f t="shared" si="829"/>
        <v>0</v>
      </c>
      <c r="AT849" s="10">
        <f t="shared" si="829"/>
        <v>0</v>
      </c>
      <c r="AU849" s="10">
        <f t="shared" si="829"/>
        <v>0</v>
      </c>
      <c r="AV849" s="10">
        <f t="shared" si="829"/>
        <v>0</v>
      </c>
      <c r="AW849" s="10">
        <f t="shared" si="829"/>
        <v>0</v>
      </c>
      <c r="AX849" s="10">
        <f t="shared" si="829"/>
        <v>0</v>
      </c>
      <c r="AY849" s="10">
        <f t="shared" si="829"/>
        <v>0</v>
      </c>
      <c r="AZ849" s="10">
        <f t="shared" si="829"/>
        <v>0</v>
      </c>
      <c r="BA849" s="10">
        <f t="shared" si="829"/>
        <v>0</v>
      </c>
      <c r="BB849" s="10">
        <f t="shared" si="829"/>
        <v>0</v>
      </c>
      <c r="BC849" s="10">
        <f t="shared" si="829"/>
        <v>0</v>
      </c>
      <c r="BD849" s="10">
        <f t="shared" si="829"/>
        <v>0</v>
      </c>
      <c r="BE849" s="10">
        <f t="shared" si="829"/>
        <v>0</v>
      </c>
      <c r="BF849" s="10">
        <f t="shared" si="829"/>
        <v>0</v>
      </c>
      <c r="BG849" s="10">
        <f t="shared" si="829"/>
        <v>0</v>
      </c>
      <c r="BH849" s="10">
        <f t="shared" si="829"/>
        <v>0</v>
      </c>
      <c r="BI849" s="10">
        <f t="shared" si="829"/>
        <v>0</v>
      </c>
      <c r="BJ849" s="10">
        <f t="shared" si="829"/>
        <v>0</v>
      </c>
      <c r="BK849" s="10">
        <f t="shared" si="829"/>
        <v>0</v>
      </c>
      <c r="BL849" s="10">
        <f t="shared" si="829"/>
        <v>0</v>
      </c>
      <c r="BM849" s="10">
        <f t="shared" si="829"/>
        <v>0</v>
      </c>
      <c r="BN849" s="10">
        <f t="shared" si="829"/>
        <v>0</v>
      </c>
      <c r="BO849" s="10">
        <f t="shared" si="829"/>
        <v>0</v>
      </c>
      <c r="BP849" s="10">
        <f t="shared" si="829"/>
        <v>0</v>
      </c>
      <c r="BQ849" s="10">
        <f t="shared" si="829"/>
        <v>0</v>
      </c>
      <c r="BR849" s="10">
        <f t="shared" si="829"/>
        <v>0</v>
      </c>
      <c r="BS849" s="10">
        <f t="shared" si="829"/>
        <v>0</v>
      </c>
      <c r="BT849" s="10">
        <f t="shared" si="829"/>
        <v>0</v>
      </c>
      <c r="BU849" s="10">
        <f t="shared" si="829"/>
        <v>0</v>
      </c>
      <c r="BV849" s="10">
        <f t="shared" si="829"/>
        <v>0</v>
      </c>
      <c r="BX849" s="10">
        <f t="shared" si="826"/>
        <v>0</v>
      </c>
      <c r="BY849" s="10">
        <f t="shared" si="826"/>
        <v>0</v>
      </c>
      <c r="BZ849" s="10">
        <f t="shared" si="826"/>
        <v>0</v>
      </c>
      <c r="CA849" s="10">
        <f t="shared" si="826"/>
        <v>0</v>
      </c>
      <c r="CB849" s="10">
        <f t="shared" si="826"/>
        <v>0</v>
      </c>
      <c r="CC849" s="12">
        <f t="shared" si="827"/>
        <v>0</v>
      </c>
      <c r="CD849" s="12">
        <f t="shared" si="827"/>
        <v>0</v>
      </c>
      <c r="CE849" s="12">
        <f t="shared" si="827"/>
        <v>0</v>
      </c>
      <c r="CF849" s="12">
        <f t="shared" si="827"/>
        <v>0</v>
      </c>
      <c r="CG849" s="12">
        <f t="shared" si="827"/>
        <v>0</v>
      </c>
      <c r="CH849" s="12">
        <f t="shared" si="827"/>
        <v>0</v>
      </c>
      <c r="CI849" s="12">
        <f t="shared" si="827"/>
        <v>0</v>
      </c>
      <c r="CK849" s="11"/>
      <c r="CM849" s="11"/>
      <c r="CV849" s="120"/>
      <c r="DF849" s="11"/>
      <c r="EY849" s="12" t="str">
        <f t="shared" ca="1" si="815"/>
        <v>Accrued Interest Expense Loan 13</v>
      </c>
    </row>
    <row r="850" spans="1:155" s="5" customFormat="1" x14ac:dyDescent="0.35">
      <c r="A850"/>
      <c r="B850" s="69" t="str" cm="1">
        <f t="array" aca="1" ref="B850" ca="1">HYPERLINK(CONCATENATE("#",CELL("address",$D$303)),$D$303)</f>
        <v>Loan 14</v>
      </c>
      <c r="C850" s="211" t="s">
        <v>1263</v>
      </c>
      <c r="D850" s="49">
        <f>D$26</f>
        <v>0</v>
      </c>
      <c r="E850" s="49" t="str">
        <f>F$26</f>
        <v/>
      </c>
      <c r="F850" s="49"/>
      <c r="G850" s="10">
        <f>Q$26</f>
        <v>0</v>
      </c>
      <c r="H850" s="9"/>
      <c r="I850" s="40" t="s">
        <v>665</v>
      </c>
      <c r="J850"/>
      <c r="K850"/>
      <c r="L850"/>
      <c r="M850"/>
      <c r="N850"/>
      <c r="O850"/>
      <c r="P850"/>
      <c r="Q850"/>
      <c r="R850"/>
      <c r="S850"/>
      <c r="T850"/>
      <c r="U850"/>
      <c r="V850" s="133">
        <f t="shared" si="811"/>
        <v>0</v>
      </c>
      <c r="W850" s="10">
        <f t="shared" si="811"/>
        <v>0</v>
      </c>
      <c r="X850" s="133">
        <f t="shared" si="811"/>
        <v>0</v>
      </c>
      <c r="Y850" s="10">
        <f t="shared" si="811"/>
        <v>0</v>
      </c>
      <c r="Z850"/>
      <c r="AA850" s="10">
        <f t="shared" ref="AA850:BV850" si="830">IF($G850=1, AA708, AA568)</f>
        <v>0</v>
      </c>
      <c r="AB850" s="10">
        <f t="shared" si="830"/>
        <v>0</v>
      </c>
      <c r="AC850" s="10">
        <f t="shared" si="830"/>
        <v>0</v>
      </c>
      <c r="AD850" s="10">
        <f t="shared" si="830"/>
        <v>0</v>
      </c>
      <c r="AE850" s="10">
        <f t="shared" si="830"/>
        <v>0</v>
      </c>
      <c r="AF850" s="10">
        <f t="shared" si="830"/>
        <v>0</v>
      </c>
      <c r="AG850" s="10">
        <f t="shared" si="830"/>
        <v>0</v>
      </c>
      <c r="AH850" s="10">
        <f t="shared" si="830"/>
        <v>0</v>
      </c>
      <c r="AI850" s="10">
        <f t="shared" si="830"/>
        <v>0</v>
      </c>
      <c r="AJ850" s="10">
        <f t="shared" si="830"/>
        <v>0</v>
      </c>
      <c r="AK850" s="10">
        <f t="shared" si="830"/>
        <v>0</v>
      </c>
      <c r="AL850" s="10">
        <f t="shared" si="830"/>
        <v>0</v>
      </c>
      <c r="AM850" s="10">
        <f t="shared" si="830"/>
        <v>0</v>
      </c>
      <c r="AN850" s="10">
        <f t="shared" si="830"/>
        <v>0</v>
      </c>
      <c r="AO850" s="10">
        <f t="shared" si="830"/>
        <v>0</v>
      </c>
      <c r="AP850" s="10">
        <f t="shared" si="830"/>
        <v>0</v>
      </c>
      <c r="AQ850" s="10">
        <f t="shared" si="830"/>
        <v>0</v>
      </c>
      <c r="AR850" s="10">
        <f t="shared" si="830"/>
        <v>0</v>
      </c>
      <c r="AS850" s="10">
        <f t="shared" si="830"/>
        <v>0</v>
      </c>
      <c r="AT850" s="10">
        <f t="shared" si="830"/>
        <v>0</v>
      </c>
      <c r="AU850" s="10">
        <f t="shared" si="830"/>
        <v>0</v>
      </c>
      <c r="AV850" s="10">
        <f t="shared" si="830"/>
        <v>0</v>
      </c>
      <c r="AW850" s="10">
        <f t="shared" si="830"/>
        <v>0</v>
      </c>
      <c r="AX850" s="10">
        <f t="shared" si="830"/>
        <v>0</v>
      </c>
      <c r="AY850" s="10">
        <f t="shared" si="830"/>
        <v>0</v>
      </c>
      <c r="AZ850" s="10">
        <f t="shared" si="830"/>
        <v>0</v>
      </c>
      <c r="BA850" s="10">
        <f t="shared" si="830"/>
        <v>0</v>
      </c>
      <c r="BB850" s="10">
        <f t="shared" si="830"/>
        <v>0</v>
      </c>
      <c r="BC850" s="10">
        <f t="shared" si="830"/>
        <v>0</v>
      </c>
      <c r="BD850" s="10">
        <f t="shared" si="830"/>
        <v>0</v>
      </c>
      <c r="BE850" s="10">
        <f t="shared" si="830"/>
        <v>0</v>
      </c>
      <c r="BF850" s="10">
        <f t="shared" si="830"/>
        <v>0</v>
      </c>
      <c r="BG850" s="10">
        <f t="shared" si="830"/>
        <v>0</v>
      </c>
      <c r="BH850" s="10">
        <f t="shared" si="830"/>
        <v>0</v>
      </c>
      <c r="BI850" s="10">
        <f t="shared" si="830"/>
        <v>0</v>
      </c>
      <c r="BJ850" s="10">
        <f t="shared" si="830"/>
        <v>0</v>
      </c>
      <c r="BK850" s="10">
        <f t="shared" si="830"/>
        <v>0</v>
      </c>
      <c r="BL850" s="10">
        <f t="shared" si="830"/>
        <v>0</v>
      </c>
      <c r="BM850" s="10">
        <f t="shared" si="830"/>
        <v>0</v>
      </c>
      <c r="BN850" s="10">
        <f t="shared" si="830"/>
        <v>0</v>
      </c>
      <c r="BO850" s="10">
        <f t="shared" si="830"/>
        <v>0</v>
      </c>
      <c r="BP850" s="10">
        <f t="shared" si="830"/>
        <v>0</v>
      </c>
      <c r="BQ850" s="10">
        <f t="shared" si="830"/>
        <v>0</v>
      </c>
      <c r="BR850" s="10">
        <f t="shared" si="830"/>
        <v>0</v>
      </c>
      <c r="BS850" s="10">
        <f t="shared" si="830"/>
        <v>0</v>
      </c>
      <c r="BT850" s="10">
        <f t="shared" si="830"/>
        <v>0</v>
      </c>
      <c r="BU850" s="10">
        <f t="shared" si="830"/>
        <v>0</v>
      </c>
      <c r="BV850" s="10">
        <f t="shared" si="830"/>
        <v>0</v>
      </c>
      <c r="BW850"/>
      <c r="BX850" s="10">
        <f t="shared" si="826"/>
        <v>0</v>
      </c>
      <c r="BY850" s="10">
        <f t="shared" si="826"/>
        <v>0</v>
      </c>
      <c r="BZ850" s="10">
        <f t="shared" si="826"/>
        <v>0</v>
      </c>
      <c r="CA850" s="10">
        <f t="shared" si="826"/>
        <v>0</v>
      </c>
      <c r="CB850" s="10">
        <f t="shared" si="826"/>
        <v>0</v>
      </c>
      <c r="CC850" s="12">
        <f t="shared" si="827"/>
        <v>0</v>
      </c>
      <c r="CD850" s="12">
        <f t="shared" si="827"/>
        <v>0</v>
      </c>
      <c r="CE850" s="12">
        <f t="shared" si="827"/>
        <v>0</v>
      </c>
      <c r="CF850" s="12">
        <f t="shared" si="827"/>
        <v>0</v>
      </c>
      <c r="CG850" s="12">
        <f t="shared" si="827"/>
        <v>0</v>
      </c>
      <c r="CH850" s="12">
        <f t="shared" si="827"/>
        <v>0</v>
      </c>
      <c r="CI850" s="12">
        <f t="shared" si="827"/>
        <v>0</v>
      </c>
      <c r="CJ850"/>
      <c r="CK850" s="11"/>
      <c r="CL850"/>
      <c r="CM850" s="11"/>
      <c r="CN850"/>
      <c r="CO850"/>
      <c r="CP850"/>
      <c r="CQ850"/>
      <c r="CR850"/>
      <c r="CS850"/>
      <c r="CT850"/>
      <c r="CU850"/>
      <c r="CV850" s="120"/>
      <c r="CW850"/>
      <c r="CX850"/>
      <c r="CY850"/>
      <c r="CZ850"/>
      <c r="DA850"/>
      <c r="DB850"/>
      <c r="DC850"/>
      <c r="DD850"/>
      <c r="DE850"/>
      <c r="DF850" s="11"/>
      <c r="EY850" s="12" t="str">
        <f t="shared" ca="1" si="815"/>
        <v>Accrued Interest Expense Loan 14</v>
      </c>
    </row>
    <row r="851" spans="1:155" x14ac:dyDescent="0.35">
      <c r="B851" s="69" t="str" cm="1">
        <f t="array" aca="1" ref="B851" ca="1">HYPERLINK(CONCATENATE("#",CELL("address",$D$322)),$D$322)</f>
        <v>Loan 15</v>
      </c>
      <c r="C851" s="211" t="s">
        <v>1264</v>
      </c>
      <c r="D851" s="49">
        <f>D$27</f>
        <v>0</v>
      </c>
      <c r="E851" s="49" t="str">
        <f>F$27</f>
        <v/>
      </c>
      <c r="F851" s="49"/>
      <c r="G851" s="10">
        <f>Q$27</f>
        <v>0</v>
      </c>
      <c r="H851" s="9"/>
      <c r="I851" s="40" t="s">
        <v>665</v>
      </c>
      <c r="V851" s="133">
        <f t="shared" si="811"/>
        <v>0</v>
      </c>
      <c r="W851" s="10">
        <f t="shared" si="811"/>
        <v>0</v>
      </c>
      <c r="X851" s="133">
        <f t="shared" si="811"/>
        <v>0</v>
      </c>
      <c r="Y851" s="10">
        <f t="shared" si="811"/>
        <v>0</v>
      </c>
      <c r="AA851" s="10">
        <f t="shared" ref="AA851:BV851" si="831">IF($G851=1, AA709, AA569)</f>
        <v>0</v>
      </c>
      <c r="AB851" s="10">
        <f t="shared" si="831"/>
        <v>0</v>
      </c>
      <c r="AC851" s="10">
        <f t="shared" si="831"/>
        <v>0</v>
      </c>
      <c r="AD851" s="10">
        <f t="shared" si="831"/>
        <v>0</v>
      </c>
      <c r="AE851" s="10">
        <f t="shared" si="831"/>
        <v>0</v>
      </c>
      <c r="AF851" s="10">
        <f t="shared" si="831"/>
        <v>0</v>
      </c>
      <c r="AG851" s="10">
        <f t="shared" si="831"/>
        <v>0</v>
      </c>
      <c r="AH851" s="10">
        <f t="shared" si="831"/>
        <v>0</v>
      </c>
      <c r="AI851" s="10">
        <f t="shared" si="831"/>
        <v>0</v>
      </c>
      <c r="AJ851" s="10">
        <f t="shared" si="831"/>
        <v>0</v>
      </c>
      <c r="AK851" s="10">
        <f t="shared" si="831"/>
        <v>0</v>
      </c>
      <c r="AL851" s="10">
        <f t="shared" si="831"/>
        <v>0</v>
      </c>
      <c r="AM851" s="10">
        <f t="shared" si="831"/>
        <v>0</v>
      </c>
      <c r="AN851" s="10">
        <f t="shared" si="831"/>
        <v>0</v>
      </c>
      <c r="AO851" s="10">
        <f t="shared" si="831"/>
        <v>0</v>
      </c>
      <c r="AP851" s="10">
        <f t="shared" si="831"/>
        <v>0</v>
      </c>
      <c r="AQ851" s="10">
        <f t="shared" si="831"/>
        <v>0</v>
      </c>
      <c r="AR851" s="10">
        <f t="shared" si="831"/>
        <v>0</v>
      </c>
      <c r="AS851" s="10">
        <f t="shared" si="831"/>
        <v>0</v>
      </c>
      <c r="AT851" s="10">
        <f t="shared" si="831"/>
        <v>0</v>
      </c>
      <c r="AU851" s="10">
        <f t="shared" si="831"/>
        <v>0</v>
      </c>
      <c r="AV851" s="10">
        <f t="shared" si="831"/>
        <v>0</v>
      </c>
      <c r="AW851" s="10">
        <f t="shared" si="831"/>
        <v>0</v>
      </c>
      <c r="AX851" s="10">
        <f t="shared" si="831"/>
        <v>0</v>
      </c>
      <c r="AY851" s="10">
        <f t="shared" si="831"/>
        <v>0</v>
      </c>
      <c r="AZ851" s="10">
        <f t="shared" si="831"/>
        <v>0</v>
      </c>
      <c r="BA851" s="10">
        <f t="shared" si="831"/>
        <v>0</v>
      </c>
      <c r="BB851" s="10">
        <f t="shared" si="831"/>
        <v>0</v>
      </c>
      <c r="BC851" s="10">
        <f t="shared" si="831"/>
        <v>0</v>
      </c>
      <c r="BD851" s="10">
        <f t="shared" si="831"/>
        <v>0</v>
      </c>
      <c r="BE851" s="10">
        <f t="shared" si="831"/>
        <v>0</v>
      </c>
      <c r="BF851" s="10">
        <f t="shared" si="831"/>
        <v>0</v>
      </c>
      <c r="BG851" s="10">
        <f t="shared" si="831"/>
        <v>0</v>
      </c>
      <c r="BH851" s="10">
        <f t="shared" si="831"/>
        <v>0</v>
      </c>
      <c r="BI851" s="10">
        <f t="shared" si="831"/>
        <v>0</v>
      </c>
      <c r="BJ851" s="10">
        <f t="shared" si="831"/>
        <v>0</v>
      </c>
      <c r="BK851" s="10">
        <f t="shared" si="831"/>
        <v>0</v>
      </c>
      <c r="BL851" s="10">
        <f t="shared" si="831"/>
        <v>0</v>
      </c>
      <c r="BM851" s="10">
        <f t="shared" si="831"/>
        <v>0</v>
      </c>
      <c r="BN851" s="10">
        <f t="shared" si="831"/>
        <v>0</v>
      </c>
      <c r="BO851" s="10">
        <f t="shared" si="831"/>
        <v>0</v>
      </c>
      <c r="BP851" s="10">
        <f t="shared" si="831"/>
        <v>0</v>
      </c>
      <c r="BQ851" s="10">
        <f t="shared" si="831"/>
        <v>0</v>
      </c>
      <c r="BR851" s="10">
        <f t="shared" si="831"/>
        <v>0</v>
      </c>
      <c r="BS851" s="10">
        <f t="shared" si="831"/>
        <v>0</v>
      </c>
      <c r="BT851" s="10">
        <f t="shared" si="831"/>
        <v>0</v>
      </c>
      <c r="BU851" s="10">
        <f t="shared" si="831"/>
        <v>0</v>
      </c>
      <c r="BV851" s="10">
        <f t="shared" si="831"/>
        <v>0</v>
      </c>
      <c r="BX851" s="10">
        <f t="shared" si="826"/>
        <v>0</v>
      </c>
      <c r="BY851" s="10">
        <f t="shared" si="826"/>
        <v>0</v>
      </c>
      <c r="BZ851" s="10">
        <f t="shared" si="826"/>
        <v>0</v>
      </c>
      <c r="CA851" s="10">
        <f t="shared" si="826"/>
        <v>0</v>
      </c>
      <c r="CB851" s="10">
        <f t="shared" si="826"/>
        <v>0</v>
      </c>
      <c r="CC851" s="12">
        <f t="shared" si="827"/>
        <v>0</v>
      </c>
      <c r="CD851" s="12">
        <f t="shared" si="827"/>
        <v>0</v>
      </c>
      <c r="CE851" s="12">
        <f t="shared" si="827"/>
        <v>0</v>
      </c>
      <c r="CF851" s="12">
        <f t="shared" si="827"/>
        <v>0</v>
      </c>
      <c r="CG851" s="12">
        <f t="shared" si="827"/>
        <v>0</v>
      </c>
      <c r="CH851" s="12">
        <f t="shared" si="827"/>
        <v>0</v>
      </c>
      <c r="CI851" s="12">
        <f t="shared" si="827"/>
        <v>0</v>
      </c>
      <c r="CK851" s="11"/>
      <c r="CM851" s="11"/>
      <c r="CV851" s="120"/>
      <c r="DF851" s="11"/>
      <c r="EY851" s="12" t="str">
        <f t="shared" ca="1" si="815"/>
        <v>Accrued Interest Expense Loan 15</v>
      </c>
    </row>
    <row r="852" spans="1:155" x14ac:dyDescent="0.35">
      <c r="B852" s="69" t="str" cm="1">
        <f t="array" aca="1" ref="B852" ca="1">HYPERLINK(CONCATENATE("#",CELL("address",$D$341)),$D$341)</f>
        <v>Loan 16</v>
      </c>
      <c r="C852" s="211" t="s">
        <v>1265</v>
      </c>
      <c r="D852" s="49">
        <f>D$28</f>
        <v>0</v>
      </c>
      <c r="E852" s="49" t="str">
        <f>F$28</f>
        <v/>
      </c>
      <c r="F852" s="49"/>
      <c r="G852" s="10">
        <f>Q$28</f>
        <v>0</v>
      </c>
      <c r="H852" s="9"/>
      <c r="I852" s="40" t="s">
        <v>665</v>
      </c>
      <c r="V852" s="133">
        <f t="shared" si="811"/>
        <v>0</v>
      </c>
      <c r="W852" s="10">
        <f t="shared" si="811"/>
        <v>0</v>
      </c>
      <c r="X852" s="133">
        <f t="shared" si="811"/>
        <v>0</v>
      </c>
      <c r="Y852" s="10">
        <f t="shared" si="811"/>
        <v>0</v>
      </c>
      <c r="AA852" s="10">
        <f t="shared" ref="AA852:BV852" si="832">IF($G852=1, AA710, AA570)</f>
        <v>0</v>
      </c>
      <c r="AB852" s="10">
        <f t="shared" si="832"/>
        <v>0</v>
      </c>
      <c r="AC852" s="10">
        <f t="shared" si="832"/>
        <v>0</v>
      </c>
      <c r="AD852" s="10">
        <f t="shared" si="832"/>
        <v>0</v>
      </c>
      <c r="AE852" s="10">
        <f t="shared" si="832"/>
        <v>0</v>
      </c>
      <c r="AF852" s="10">
        <f t="shared" si="832"/>
        <v>0</v>
      </c>
      <c r="AG852" s="10">
        <f t="shared" si="832"/>
        <v>0</v>
      </c>
      <c r="AH852" s="10">
        <f t="shared" si="832"/>
        <v>0</v>
      </c>
      <c r="AI852" s="10">
        <f t="shared" si="832"/>
        <v>0</v>
      </c>
      <c r="AJ852" s="10">
        <f t="shared" si="832"/>
        <v>0</v>
      </c>
      <c r="AK852" s="10">
        <f t="shared" si="832"/>
        <v>0</v>
      </c>
      <c r="AL852" s="10">
        <f t="shared" si="832"/>
        <v>0</v>
      </c>
      <c r="AM852" s="10">
        <f t="shared" si="832"/>
        <v>0</v>
      </c>
      <c r="AN852" s="10">
        <f t="shared" si="832"/>
        <v>0</v>
      </c>
      <c r="AO852" s="10">
        <f t="shared" si="832"/>
        <v>0</v>
      </c>
      <c r="AP852" s="10">
        <f t="shared" si="832"/>
        <v>0</v>
      </c>
      <c r="AQ852" s="10">
        <f t="shared" si="832"/>
        <v>0</v>
      </c>
      <c r="AR852" s="10">
        <f t="shared" si="832"/>
        <v>0</v>
      </c>
      <c r="AS852" s="10">
        <f t="shared" si="832"/>
        <v>0</v>
      </c>
      <c r="AT852" s="10">
        <f t="shared" si="832"/>
        <v>0</v>
      </c>
      <c r="AU852" s="10">
        <f t="shared" si="832"/>
        <v>0</v>
      </c>
      <c r="AV852" s="10">
        <f t="shared" si="832"/>
        <v>0</v>
      </c>
      <c r="AW852" s="10">
        <f t="shared" si="832"/>
        <v>0</v>
      </c>
      <c r="AX852" s="10">
        <f t="shared" si="832"/>
        <v>0</v>
      </c>
      <c r="AY852" s="10">
        <f t="shared" si="832"/>
        <v>0</v>
      </c>
      <c r="AZ852" s="10">
        <f t="shared" si="832"/>
        <v>0</v>
      </c>
      <c r="BA852" s="10">
        <f t="shared" si="832"/>
        <v>0</v>
      </c>
      <c r="BB852" s="10">
        <f t="shared" si="832"/>
        <v>0</v>
      </c>
      <c r="BC852" s="10">
        <f t="shared" si="832"/>
        <v>0</v>
      </c>
      <c r="BD852" s="10">
        <f t="shared" si="832"/>
        <v>0</v>
      </c>
      <c r="BE852" s="10">
        <f t="shared" si="832"/>
        <v>0</v>
      </c>
      <c r="BF852" s="10">
        <f t="shared" si="832"/>
        <v>0</v>
      </c>
      <c r="BG852" s="10">
        <f t="shared" si="832"/>
        <v>0</v>
      </c>
      <c r="BH852" s="10">
        <f t="shared" si="832"/>
        <v>0</v>
      </c>
      <c r="BI852" s="10">
        <f t="shared" si="832"/>
        <v>0</v>
      </c>
      <c r="BJ852" s="10">
        <f t="shared" si="832"/>
        <v>0</v>
      </c>
      <c r="BK852" s="10">
        <f t="shared" si="832"/>
        <v>0</v>
      </c>
      <c r="BL852" s="10">
        <f t="shared" si="832"/>
        <v>0</v>
      </c>
      <c r="BM852" s="10">
        <f t="shared" si="832"/>
        <v>0</v>
      </c>
      <c r="BN852" s="10">
        <f t="shared" si="832"/>
        <v>0</v>
      </c>
      <c r="BO852" s="10">
        <f t="shared" si="832"/>
        <v>0</v>
      </c>
      <c r="BP852" s="10">
        <f t="shared" si="832"/>
        <v>0</v>
      </c>
      <c r="BQ852" s="10">
        <f t="shared" si="832"/>
        <v>0</v>
      </c>
      <c r="BR852" s="10">
        <f t="shared" si="832"/>
        <v>0</v>
      </c>
      <c r="BS852" s="10">
        <f t="shared" si="832"/>
        <v>0</v>
      </c>
      <c r="BT852" s="10">
        <f t="shared" si="832"/>
        <v>0</v>
      </c>
      <c r="BU852" s="10">
        <f t="shared" si="832"/>
        <v>0</v>
      </c>
      <c r="BV852" s="10">
        <f t="shared" si="832"/>
        <v>0</v>
      </c>
      <c r="BX852" s="10">
        <f t="shared" si="826"/>
        <v>0</v>
      </c>
      <c r="BY852" s="10">
        <f t="shared" si="826"/>
        <v>0</v>
      </c>
      <c r="BZ852" s="10">
        <f t="shared" si="826"/>
        <v>0</v>
      </c>
      <c r="CA852" s="10">
        <f t="shared" si="826"/>
        <v>0</v>
      </c>
      <c r="CB852" s="10">
        <f t="shared" si="826"/>
        <v>0</v>
      </c>
      <c r="CC852" s="12">
        <f t="shared" si="827"/>
        <v>0</v>
      </c>
      <c r="CD852" s="12">
        <f t="shared" si="827"/>
        <v>0</v>
      </c>
      <c r="CE852" s="12">
        <f t="shared" si="827"/>
        <v>0</v>
      </c>
      <c r="CF852" s="12">
        <f t="shared" si="827"/>
        <v>0</v>
      </c>
      <c r="CG852" s="12">
        <f t="shared" si="827"/>
        <v>0</v>
      </c>
      <c r="CH852" s="12">
        <f t="shared" si="827"/>
        <v>0</v>
      </c>
      <c r="CI852" s="12">
        <f t="shared" si="827"/>
        <v>0</v>
      </c>
      <c r="CK852" s="11"/>
      <c r="CM852" s="11"/>
      <c r="CV852" s="120"/>
      <c r="DF852" s="11"/>
      <c r="EY852" s="12" t="str">
        <f t="shared" ca="1" si="815"/>
        <v>Accrued Interest Expense Loan 16</v>
      </c>
    </row>
    <row r="853" spans="1:155" x14ac:dyDescent="0.35">
      <c r="B853" s="69" t="str" cm="1">
        <f t="array" aca="1" ref="B853" ca="1">HYPERLINK(CONCATENATE("#",CELL("address",$D$360)),$D$360)</f>
        <v>Loan 17</v>
      </c>
      <c r="C853" s="211" t="s">
        <v>1266</v>
      </c>
      <c r="D853" s="49">
        <f>D$29</f>
        <v>0</v>
      </c>
      <c r="E853" s="49" t="str">
        <f>F$29</f>
        <v/>
      </c>
      <c r="F853" s="49"/>
      <c r="G853" s="10">
        <f>Q$29</f>
        <v>0</v>
      </c>
      <c r="H853" s="9"/>
      <c r="I853" s="40" t="s">
        <v>665</v>
      </c>
      <c r="V853" s="133">
        <f t="shared" si="811"/>
        <v>0</v>
      </c>
      <c r="W853" s="10">
        <f t="shared" si="811"/>
        <v>0</v>
      </c>
      <c r="X853" s="133">
        <f t="shared" si="811"/>
        <v>0</v>
      </c>
      <c r="Y853" s="10">
        <f t="shared" si="811"/>
        <v>0</v>
      </c>
      <c r="AA853" s="10">
        <f t="shared" ref="AA853:BV853" si="833">IF($G853=1, AA711, AA571)</f>
        <v>0</v>
      </c>
      <c r="AB853" s="10">
        <f t="shared" si="833"/>
        <v>0</v>
      </c>
      <c r="AC853" s="10">
        <f t="shared" si="833"/>
        <v>0</v>
      </c>
      <c r="AD853" s="10">
        <f t="shared" si="833"/>
        <v>0</v>
      </c>
      <c r="AE853" s="10">
        <f t="shared" si="833"/>
        <v>0</v>
      </c>
      <c r="AF853" s="10">
        <f t="shared" si="833"/>
        <v>0</v>
      </c>
      <c r="AG853" s="10">
        <f t="shared" si="833"/>
        <v>0</v>
      </c>
      <c r="AH853" s="10">
        <f t="shared" si="833"/>
        <v>0</v>
      </c>
      <c r="AI853" s="10">
        <f t="shared" si="833"/>
        <v>0</v>
      </c>
      <c r="AJ853" s="10">
        <f t="shared" si="833"/>
        <v>0</v>
      </c>
      <c r="AK853" s="10">
        <f t="shared" si="833"/>
        <v>0</v>
      </c>
      <c r="AL853" s="10">
        <f t="shared" si="833"/>
        <v>0</v>
      </c>
      <c r="AM853" s="10">
        <f t="shared" si="833"/>
        <v>0</v>
      </c>
      <c r="AN853" s="10">
        <f t="shared" si="833"/>
        <v>0</v>
      </c>
      <c r="AO853" s="10">
        <f t="shared" si="833"/>
        <v>0</v>
      </c>
      <c r="AP853" s="10">
        <f t="shared" si="833"/>
        <v>0</v>
      </c>
      <c r="AQ853" s="10">
        <f t="shared" si="833"/>
        <v>0</v>
      </c>
      <c r="AR853" s="10">
        <f t="shared" si="833"/>
        <v>0</v>
      </c>
      <c r="AS853" s="10">
        <f t="shared" si="833"/>
        <v>0</v>
      </c>
      <c r="AT853" s="10">
        <f t="shared" si="833"/>
        <v>0</v>
      </c>
      <c r="AU853" s="10">
        <f t="shared" si="833"/>
        <v>0</v>
      </c>
      <c r="AV853" s="10">
        <f t="shared" si="833"/>
        <v>0</v>
      </c>
      <c r="AW853" s="10">
        <f t="shared" si="833"/>
        <v>0</v>
      </c>
      <c r="AX853" s="10">
        <f t="shared" si="833"/>
        <v>0</v>
      </c>
      <c r="AY853" s="10">
        <f t="shared" si="833"/>
        <v>0</v>
      </c>
      <c r="AZ853" s="10">
        <f t="shared" si="833"/>
        <v>0</v>
      </c>
      <c r="BA853" s="10">
        <f t="shared" si="833"/>
        <v>0</v>
      </c>
      <c r="BB853" s="10">
        <f t="shared" si="833"/>
        <v>0</v>
      </c>
      <c r="BC853" s="10">
        <f t="shared" si="833"/>
        <v>0</v>
      </c>
      <c r="BD853" s="10">
        <f t="shared" si="833"/>
        <v>0</v>
      </c>
      <c r="BE853" s="10">
        <f t="shared" si="833"/>
        <v>0</v>
      </c>
      <c r="BF853" s="10">
        <f t="shared" si="833"/>
        <v>0</v>
      </c>
      <c r="BG853" s="10">
        <f t="shared" si="833"/>
        <v>0</v>
      </c>
      <c r="BH853" s="10">
        <f t="shared" si="833"/>
        <v>0</v>
      </c>
      <c r="BI853" s="10">
        <f t="shared" si="833"/>
        <v>0</v>
      </c>
      <c r="BJ853" s="10">
        <f t="shared" si="833"/>
        <v>0</v>
      </c>
      <c r="BK853" s="10">
        <f t="shared" si="833"/>
        <v>0</v>
      </c>
      <c r="BL853" s="10">
        <f t="shared" si="833"/>
        <v>0</v>
      </c>
      <c r="BM853" s="10">
        <f t="shared" si="833"/>
        <v>0</v>
      </c>
      <c r="BN853" s="10">
        <f t="shared" si="833"/>
        <v>0</v>
      </c>
      <c r="BO853" s="10">
        <f t="shared" si="833"/>
        <v>0</v>
      </c>
      <c r="BP853" s="10">
        <f t="shared" si="833"/>
        <v>0</v>
      </c>
      <c r="BQ853" s="10">
        <f t="shared" si="833"/>
        <v>0</v>
      </c>
      <c r="BR853" s="10">
        <f t="shared" si="833"/>
        <v>0</v>
      </c>
      <c r="BS853" s="10">
        <f t="shared" si="833"/>
        <v>0</v>
      </c>
      <c r="BT853" s="10">
        <f t="shared" si="833"/>
        <v>0</v>
      </c>
      <c r="BU853" s="10">
        <f t="shared" si="833"/>
        <v>0</v>
      </c>
      <c r="BV853" s="10">
        <f t="shared" si="833"/>
        <v>0</v>
      </c>
      <c r="BX853" s="10">
        <f t="shared" si="826"/>
        <v>0</v>
      </c>
      <c r="BY853" s="10">
        <f t="shared" si="826"/>
        <v>0</v>
      </c>
      <c r="BZ853" s="10">
        <f t="shared" si="826"/>
        <v>0</v>
      </c>
      <c r="CA853" s="10">
        <f t="shared" si="826"/>
        <v>0</v>
      </c>
      <c r="CB853" s="10">
        <f t="shared" si="826"/>
        <v>0</v>
      </c>
      <c r="CC853" s="12">
        <f t="shared" si="827"/>
        <v>0</v>
      </c>
      <c r="CD853" s="12">
        <f t="shared" si="827"/>
        <v>0</v>
      </c>
      <c r="CE853" s="12">
        <f t="shared" si="827"/>
        <v>0</v>
      </c>
      <c r="CF853" s="12">
        <f t="shared" si="827"/>
        <v>0</v>
      </c>
      <c r="CG853" s="12">
        <f t="shared" si="827"/>
        <v>0</v>
      </c>
      <c r="CH853" s="12">
        <f t="shared" si="827"/>
        <v>0</v>
      </c>
      <c r="CI853" s="12">
        <f t="shared" si="827"/>
        <v>0</v>
      </c>
      <c r="CK853" s="11"/>
      <c r="CM853" s="11"/>
      <c r="CV853" s="120"/>
      <c r="DF853" s="11"/>
      <c r="EY853" s="12" t="str">
        <f t="shared" ca="1" si="815"/>
        <v>Accrued Interest Expense Loan 17</v>
      </c>
    </row>
    <row r="854" spans="1:155" x14ac:dyDescent="0.35">
      <c r="B854" s="69" t="str" cm="1">
        <f t="array" aca="1" ref="B854" ca="1">HYPERLINK(CONCATENATE("#",CELL("address",$D$379)),$D$379)</f>
        <v>Loan 18</v>
      </c>
      <c r="C854" s="211" t="s">
        <v>1267</v>
      </c>
      <c r="D854" s="49">
        <f>D$30</f>
        <v>0</v>
      </c>
      <c r="E854" s="49" t="str">
        <f>F$30</f>
        <v/>
      </c>
      <c r="F854" s="49"/>
      <c r="G854" s="10">
        <f>Q$30</f>
        <v>0</v>
      </c>
      <c r="H854" s="9"/>
      <c r="I854" s="40" t="s">
        <v>665</v>
      </c>
      <c r="V854" s="133">
        <f t="shared" si="811"/>
        <v>0</v>
      </c>
      <c r="W854" s="10">
        <f t="shared" si="811"/>
        <v>0</v>
      </c>
      <c r="X854" s="133">
        <f t="shared" si="811"/>
        <v>0</v>
      </c>
      <c r="Y854" s="10">
        <f t="shared" si="811"/>
        <v>0</v>
      </c>
      <c r="AA854" s="10">
        <f t="shared" ref="AA854:BV854" si="834">IF($G854=1, AA712, AA572)</f>
        <v>0</v>
      </c>
      <c r="AB854" s="10">
        <f t="shared" si="834"/>
        <v>0</v>
      </c>
      <c r="AC854" s="10">
        <f t="shared" si="834"/>
        <v>0</v>
      </c>
      <c r="AD854" s="10">
        <f t="shared" si="834"/>
        <v>0</v>
      </c>
      <c r="AE854" s="10">
        <f t="shared" si="834"/>
        <v>0</v>
      </c>
      <c r="AF854" s="10">
        <f t="shared" si="834"/>
        <v>0</v>
      </c>
      <c r="AG854" s="10">
        <f t="shared" si="834"/>
        <v>0</v>
      </c>
      <c r="AH854" s="10">
        <f t="shared" si="834"/>
        <v>0</v>
      </c>
      <c r="AI854" s="10">
        <f t="shared" si="834"/>
        <v>0</v>
      </c>
      <c r="AJ854" s="10">
        <f t="shared" si="834"/>
        <v>0</v>
      </c>
      <c r="AK854" s="10">
        <f t="shared" si="834"/>
        <v>0</v>
      </c>
      <c r="AL854" s="10">
        <f t="shared" si="834"/>
        <v>0</v>
      </c>
      <c r="AM854" s="10">
        <f t="shared" si="834"/>
        <v>0</v>
      </c>
      <c r="AN854" s="10">
        <f t="shared" si="834"/>
        <v>0</v>
      </c>
      <c r="AO854" s="10">
        <f t="shared" si="834"/>
        <v>0</v>
      </c>
      <c r="AP854" s="10">
        <f t="shared" si="834"/>
        <v>0</v>
      </c>
      <c r="AQ854" s="10">
        <f t="shared" si="834"/>
        <v>0</v>
      </c>
      <c r="AR854" s="10">
        <f t="shared" si="834"/>
        <v>0</v>
      </c>
      <c r="AS854" s="10">
        <f t="shared" si="834"/>
        <v>0</v>
      </c>
      <c r="AT854" s="10">
        <f t="shared" si="834"/>
        <v>0</v>
      </c>
      <c r="AU854" s="10">
        <f t="shared" si="834"/>
        <v>0</v>
      </c>
      <c r="AV854" s="10">
        <f t="shared" si="834"/>
        <v>0</v>
      </c>
      <c r="AW854" s="10">
        <f t="shared" si="834"/>
        <v>0</v>
      </c>
      <c r="AX854" s="10">
        <f t="shared" si="834"/>
        <v>0</v>
      </c>
      <c r="AY854" s="10">
        <f t="shared" si="834"/>
        <v>0</v>
      </c>
      <c r="AZ854" s="10">
        <f t="shared" si="834"/>
        <v>0</v>
      </c>
      <c r="BA854" s="10">
        <f t="shared" si="834"/>
        <v>0</v>
      </c>
      <c r="BB854" s="10">
        <f t="shared" si="834"/>
        <v>0</v>
      </c>
      <c r="BC854" s="10">
        <f t="shared" si="834"/>
        <v>0</v>
      </c>
      <c r="BD854" s="10">
        <f t="shared" si="834"/>
        <v>0</v>
      </c>
      <c r="BE854" s="10">
        <f t="shared" si="834"/>
        <v>0</v>
      </c>
      <c r="BF854" s="10">
        <f t="shared" si="834"/>
        <v>0</v>
      </c>
      <c r="BG854" s="10">
        <f t="shared" si="834"/>
        <v>0</v>
      </c>
      <c r="BH854" s="10">
        <f t="shared" si="834"/>
        <v>0</v>
      </c>
      <c r="BI854" s="10">
        <f t="shared" si="834"/>
        <v>0</v>
      </c>
      <c r="BJ854" s="10">
        <f t="shared" si="834"/>
        <v>0</v>
      </c>
      <c r="BK854" s="10">
        <f t="shared" si="834"/>
        <v>0</v>
      </c>
      <c r="BL854" s="10">
        <f t="shared" si="834"/>
        <v>0</v>
      </c>
      <c r="BM854" s="10">
        <f t="shared" si="834"/>
        <v>0</v>
      </c>
      <c r="BN854" s="10">
        <f t="shared" si="834"/>
        <v>0</v>
      </c>
      <c r="BO854" s="10">
        <f t="shared" si="834"/>
        <v>0</v>
      </c>
      <c r="BP854" s="10">
        <f t="shared" si="834"/>
        <v>0</v>
      </c>
      <c r="BQ854" s="10">
        <f t="shared" si="834"/>
        <v>0</v>
      </c>
      <c r="BR854" s="10">
        <f t="shared" si="834"/>
        <v>0</v>
      </c>
      <c r="BS854" s="10">
        <f t="shared" si="834"/>
        <v>0</v>
      </c>
      <c r="BT854" s="10">
        <f t="shared" si="834"/>
        <v>0</v>
      </c>
      <c r="BU854" s="10">
        <f t="shared" si="834"/>
        <v>0</v>
      </c>
      <c r="BV854" s="10">
        <f t="shared" si="834"/>
        <v>0</v>
      </c>
      <c r="BX854" s="10">
        <f t="shared" si="826"/>
        <v>0</v>
      </c>
      <c r="BY854" s="10">
        <f t="shared" si="826"/>
        <v>0</v>
      </c>
      <c r="BZ854" s="10">
        <f t="shared" si="826"/>
        <v>0</v>
      </c>
      <c r="CA854" s="10">
        <f t="shared" si="826"/>
        <v>0</v>
      </c>
      <c r="CB854" s="10">
        <f t="shared" si="826"/>
        <v>0</v>
      </c>
      <c r="CC854" s="12">
        <f t="shared" si="827"/>
        <v>0</v>
      </c>
      <c r="CD854" s="12">
        <f t="shared" si="827"/>
        <v>0</v>
      </c>
      <c r="CE854" s="12">
        <f t="shared" si="827"/>
        <v>0</v>
      </c>
      <c r="CF854" s="12">
        <f t="shared" si="827"/>
        <v>0</v>
      </c>
      <c r="CG854" s="12">
        <f t="shared" si="827"/>
        <v>0</v>
      </c>
      <c r="CH854" s="12">
        <f t="shared" si="827"/>
        <v>0</v>
      </c>
      <c r="CI854" s="12">
        <f t="shared" si="827"/>
        <v>0</v>
      </c>
      <c r="CK854" s="11"/>
      <c r="CM854" s="11"/>
      <c r="CV854" s="120"/>
      <c r="DF854" s="11"/>
      <c r="EY854" s="12" t="str">
        <f t="shared" ca="1" si="815"/>
        <v>Accrued Interest Expense Loan 18</v>
      </c>
    </row>
    <row r="855" spans="1:155" x14ac:dyDescent="0.35">
      <c r="B855" s="69" t="str" cm="1">
        <f t="array" aca="1" ref="B855" ca="1">HYPERLINK(CONCATENATE("#",CELL("address",$D$398)),$D$398)</f>
        <v>Loan 19</v>
      </c>
      <c r="C855" s="211" t="s">
        <v>1268</v>
      </c>
      <c r="D855" s="49">
        <f>D$31</f>
        <v>0</v>
      </c>
      <c r="E855" s="49" t="str">
        <f>F$31</f>
        <v/>
      </c>
      <c r="F855" s="49"/>
      <c r="G855" s="10">
        <f>Q$31</f>
        <v>0</v>
      </c>
      <c r="H855" s="9"/>
      <c r="I855" s="40" t="s">
        <v>665</v>
      </c>
      <c r="V855" s="133">
        <f t="shared" si="811"/>
        <v>0</v>
      </c>
      <c r="W855" s="10">
        <f t="shared" si="811"/>
        <v>0</v>
      </c>
      <c r="X855" s="133">
        <f t="shared" si="811"/>
        <v>0</v>
      </c>
      <c r="Y855" s="10">
        <f t="shared" si="811"/>
        <v>0</v>
      </c>
      <c r="AA855" s="10">
        <f t="shared" ref="AA855:BV855" si="835">IF($G855=1, AA713, AA573)</f>
        <v>0</v>
      </c>
      <c r="AB855" s="10">
        <f t="shared" si="835"/>
        <v>0</v>
      </c>
      <c r="AC855" s="10">
        <f t="shared" si="835"/>
        <v>0</v>
      </c>
      <c r="AD855" s="10">
        <f t="shared" si="835"/>
        <v>0</v>
      </c>
      <c r="AE855" s="10">
        <f t="shared" si="835"/>
        <v>0</v>
      </c>
      <c r="AF855" s="10">
        <f t="shared" si="835"/>
        <v>0</v>
      </c>
      <c r="AG855" s="10">
        <f t="shared" si="835"/>
        <v>0</v>
      </c>
      <c r="AH855" s="10">
        <f t="shared" si="835"/>
        <v>0</v>
      </c>
      <c r="AI855" s="10">
        <f t="shared" si="835"/>
        <v>0</v>
      </c>
      <c r="AJ855" s="10">
        <f t="shared" si="835"/>
        <v>0</v>
      </c>
      <c r="AK855" s="10">
        <f t="shared" si="835"/>
        <v>0</v>
      </c>
      <c r="AL855" s="10">
        <f t="shared" si="835"/>
        <v>0</v>
      </c>
      <c r="AM855" s="10">
        <f t="shared" si="835"/>
        <v>0</v>
      </c>
      <c r="AN855" s="10">
        <f t="shared" si="835"/>
        <v>0</v>
      </c>
      <c r="AO855" s="10">
        <f t="shared" si="835"/>
        <v>0</v>
      </c>
      <c r="AP855" s="10">
        <f t="shared" si="835"/>
        <v>0</v>
      </c>
      <c r="AQ855" s="10">
        <f t="shared" si="835"/>
        <v>0</v>
      </c>
      <c r="AR855" s="10">
        <f t="shared" si="835"/>
        <v>0</v>
      </c>
      <c r="AS855" s="10">
        <f t="shared" si="835"/>
        <v>0</v>
      </c>
      <c r="AT855" s="10">
        <f t="shared" si="835"/>
        <v>0</v>
      </c>
      <c r="AU855" s="10">
        <f t="shared" si="835"/>
        <v>0</v>
      </c>
      <c r="AV855" s="10">
        <f t="shared" si="835"/>
        <v>0</v>
      </c>
      <c r="AW855" s="10">
        <f t="shared" si="835"/>
        <v>0</v>
      </c>
      <c r="AX855" s="10">
        <f t="shared" si="835"/>
        <v>0</v>
      </c>
      <c r="AY855" s="10">
        <f t="shared" si="835"/>
        <v>0</v>
      </c>
      <c r="AZ855" s="10">
        <f t="shared" si="835"/>
        <v>0</v>
      </c>
      <c r="BA855" s="10">
        <f t="shared" si="835"/>
        <v>0</v>
      </c>
      <c r="BB855" s="10">
        <f t="shared" si="835"/>
        <v>0</v>
      </c>
      <c r="BC855" s="10">
        <f t="shared" si="835"/>
        <v>0</v>
      </c>
      <c r="BD855" s="10">
        <f t="shared" si="835"/>
        <v>0</v>
      </c>
      <c r="BE855" s="10">
        <f t="shared" si="835"/>
        <v>0</v>
      </c>
      <c r="BF855" s="10">
        <f t="shared" si="835"/>
        <v>0</v>
      </c>
      <c r="BG855" s="10">
        <f t="shared" si="835"/>
        <v>0</v>
      </c>
      <c r="BH855" s="10">
        <f t="shared" si="835"/>
        <v>0</v>
      </c>
      <c r="BI855" s="10">
        <f t="shared" si="835"/>
        <v>0</v>
      </c>
      <c r="BJ855" s="10">
        <f t="shared" si="835"/>
        <v>0</v>
      </c>
      <c r="BK855" s="10">
        <f t="shared" si="835"/>
        <v>0</v>
      </c>
      <c r="BL855" s="10">
        <f t="shared" si="835"/>
        <v>0</v>
      </c>
      <c r="BM855" s="10">
        <f t="shared" si="835"/>
        <v>0</v>
      </c>
      <c r="BN855" s="10">
        <f t="shared" si="835"/>
        <v>0</v>
      </c>
      <c r="BO855" s="10">
        <f t="shared" si="835"/>
        <v>0</v>
      </c>
      <c r="BP855" s="10">
        <f t="shared" si="835"/>
        <v>0</v>
      </c>
      <c r="BQ855" s="10">
        <f t="shared" si="835"/>
        <v>0</v>
      </c>
      <c r="BR855" s="10">
        <f t="shared" si="835"/>
        <v>0</v>
      </c>
      <c r="BS855" s="10">
        <f t="shared" si="835"/>
        <v>0</v>
      </c>
      <c r="BT855" s="10">
        <f t="shared" si="835"/>
        <v>0</v>
      </c>
      <c r="BU855" s="10">
        <f t="shared" si="835"/>
        <v>0</v>
      </c>
      <c r="BV855" s="10">
        <f t="shared" si="835"/>
        <v>0</v>
      </c>
      <c r="BX855" s="10">
        <f t="shared" si="826"/>
        <v>0</v>
      </c>
      <c r="BY855" s="10">
        <f t="shared" si="826"/>
        <v>0</v>
      </c>
      <c r="BZ855" s="10">
        <f t="shared" si="826"/>
        <v>0</v>
      </c>
      <c r="CA855" s="10">
        <f t="shared" si="826"/>
        <v>0</v>
      </c>
      <c r="CB855" s="10">
        <f t="shared" si="826"/>
        <v>0</v>
      </c>
      <c r="CC855" s="12">
        <f t="shared" si="827"/>
        <v>0</v>
      </c>
      <c r="CD855" s="12">
        <f t="shared" si="827"/>
        <v>0</v>
      </c>
      <c r="CE855" s="12">
        <f t="shared" si="827"/>
        <v>0</v>
      </c>
      <c r="CF855" s="12">
        <f t="shared" si="827"/>
        <v>0</v>
      </c>
      <c r="CG855" s="12">
        <f t="shared" si="827"/>
        <v>0</v>
      </c>
      <c r="CH855" s="12">
        <f t="shared" si="827"/>
        <v>0</v>
      </c>
      <c r="CI855" s="12">
        <f t="shared" si="827"/>
        <v>0</v>
      </c>
      <c r="CK855" s="11"/>
      <c r="CM855" s="11"/>
      <c r="CV855" s="120"/>
      <c r="DF855" s="11"/>
      <c r="EY855" s="12" t="str">
        <f t="shared" ca="1" si="815"/>
        <v>Accrued Interest Expense Loan 19</v>
      </c>
    </row>
    <row r="856" spans="1:155" x14ac:dyDescent="0.35">
      <c r="B856" s="69" t="str" cm="1">
        <f t="array" aca="1" ref="B856" ca="1">HYPERLINK(CONCATENATE("#",CELL("address",$D$417)),$D$417)</f>
        <v>Loan 20</v>
      </c>
      <c r="C856" s="211" t="s">
        <v>1269</v>
      </c>
      <c r="D856" s="49">
        <f>D$32</f>
        <v>0</v>
      </c>
      <c r="E856" s="49" t="str">
        <f>F$32</f>
        <v/>
      </c>
      <c r="F856" s="49"/>
      <c r="G856" s="10">
        <f>Q$32</f>
        <v>0</v>
      </c>
      <c r="H856" s="9"/>
      <c r="I856" s="40" t="s">
        <v>665</v>
      </c>
      <c r="V856" s="133">
        <f t="shared" si="811"/>
        <v>0</v>
      </c>
      <c r="W856" s="10">
        <f t="shared" si="811"/>
        <v>0</v>
      </c>
      <c r="X856" s="133">
        <f t="shared" si="811"/>
        <v>0</v>
      </c>
      <c r="Y856" s="10">
        <f t="shared" si="811"/>
        <v>0</v>
      </c>
      <c r="AA856" s="10">
        <f t="shared" ref="AA856:BV856" si="836">IF($G856=1, AA714, AA574)</f>
        <v>0</v>
      </c>
      <c r="AB856" s="10">
        <f t="shared" si="836"/>
        <v>0</v>
      </c>
      <c r="AC856" s="10">
        <f t="shared" si="836"/>
        <v>0</v>
      </c>
      <c r="AD856" s="10">
        <f t="shared" si="836"/>
        <v>0</v>
      </c>
      <c r="AE856" s="10">
        <f t="shared" si="836"/>
        <v>0</v>
      </c>
      <c r="AF856" s="10">
        <f t="shared" si="836"/>
        <v>0</v>
      </c>
      <c r="AG856" s="10">
        <f t="shared" si="836"/>
        <v>0</v>
      </c>
      <c r="AH856" s="10">
        <f t="shared" si="836"/>
        <v>0</v>
      </c>
      <c r="AI856" s="10">
        <f t="shared" si="836"/>
        <v>0</v>
      </c>
      <c r="AJ856" s="10">
        <f t="shared" si="836"/>
        <v>0</v>
      </c>
      <c r="AK856" s="10">
        <f t="shared" si="836"/>
        <v>0</v>
      </c>
      <c r="AL856" s="10">
        <f t="shared" si="836"/>
        <v>0</v>
      </c>
      <c r="AM856" s="10">
        <f t="shared" si="836"/>
        <v>0</v>
      </c>
      <c r="AN856" s="10">
        <f t="shared" si="836"/>
        <v>0</v>
      </c>
      <c r="AO856" s="10">
        <f t="shared" si="836"/>
        <v>0</v>
      </c>
      <c r="AP856" s="10">
        <f t="shared" si="836"/>
        <v>0</v>
      </c>
      <c r="AQ856" s="10">
        <f t="shared" si="836"/>
        <v>0</v>
      </c>
      <c r="AR856" s="10">
        <f t="shared" si="836"/>
        <v>0</v>
      </c>
      <c r="AS856" s="10">
        <f t="shared" si="836"/>
        <v>0</v>
      </c>
      <c r="AT856" s="10">
        <f t="shared" si="836"/>
        <v>0</v>
      </c>
      <c r="AU856" s="10">
        <f t="shared" si="836"/>
        <v>0</v>
      </c>
      <c r="AV856" s="10">
        <f t="shared" si="836"/>
        <v>0</v>
      </c>
      <c r="AW856" s="10">
        <f t="shared" si="836"/>
        <v>0</v>
      </c>
      <c r="AX856" s="10">
        <f t="shared" si="836"/>
        <v>0</v>
      </c>
      <c r="AY856" s="10">
        <f t="shared" si="836"/>
        <v>0</v>
      </c>
      <c r="AZ856" s="10">
        <f t="shared" si="836"/>
        <v>0</v>
      </c>
      <c r="BA856" s="10">
        <f t="shared" si="836"/>
        <v>0</v>
      </c>
      <c r="BB856" s="10">
        <f t="shared" si="836"/>
        <v>0</v>
      </c>
      <c r="BC856" s="10">
        <f t="shared" si="836"/>
        <v>0</v>
      </c>
      <c r="BD856" s="10">
        <f t="shared" si="836"/>
        <v>0</v>
      </c>
      <c r="BE856" s="10">
        <f t="shared" si="836"/>
        <v>0</v>
      </c>
      <c r="BF856" s="10">
        <f t="shared" si="836"/>
        <v>0</v>
      </c>
      <c r="BG856" s="10">
        <f t="shared" si="836"/>
        <v>0</v>
      </c>
      <c r="BH856" s="10">
        <f t="shared" si="836"/>
        <v>0</v>
      </c>
      <c r="BI856" s="10">
        <f t="shared" si="836"/>
        <v>0</v>
      </c>
      <c r="BJ856" s="10">
        <f t="shared" si="836"/>
        <v>0</v>
      </c>
      <c r="BK856" s="10">
        <f t="shared" si="836"/>
        <v>0</v>
      </c>
      <c r="BL856" s="10">
        <f t="shared" si="836"/>
        <v>0</v>
      </c>
      <c r="BM856" s="10">
        <f t="shared" si="836"/>
        <v>0</v>
      </c>
      <c r="BN856" s="10">
        <f t="shared" si="836"/>
        <v>0</v>
      </c>
      <c r="BO856" s="10">
        <f t="shared" si="836"/>
        <v>0</v>
      </c>
      <c r="BP856" s="10">
        <f t="shared" si="836"/>
        <v>0</v>
      </c>
      <c r="BQ856" s="10">
        <f t="shared" si="836"/>
        <v>0</v>
      </c>
      <c r="BR856" s="10">
        <f t="shared" si="836"/>
        <v>0</v>
      </c>
      <c r="BS856" s="10">
        <f t="shared" si="836"/>
        <v>0</v>
      </c>
      <c r="BT856" s="10">
        <f t="shared" si="836"/>
        <v>0</v>
      </c>
      <c r="BU856" s="10">
        <f t="shared" si="836"/>
        <v>0</v>
      </c>
      <c r="BV856" s="10">
        <f t="shared" si="836"/>
        <v>0</v>
      </c>
      <c r="BX856" s="10">
        <f t="shared" si="826"/>
        <v>0</v>
      </c>
      <c r="BY856" s="10">
        <f t="shared" si="826"/>
        <v>0</v>
      </c>
      <c r="BZ856" s="10">
        <f t="shared" si="826"/>
        <v>0</v>
      </c>
      <c r="CA856" s="10">
        <f t="shared" si="826"/>
        <v>0</v>
      </c>
      <c r="CB856" s="10">
        <f t="shared" si="826"/>
        <v>0</v>
      </c>
      <c r="CC856" s="12">
        <f t="shared" si="827"/>
        <v>0</v>
      </c>
      <c r="CD856" s="12">
        <f t="shared" si="827"/>
        <v>0</v>
      </c>
      <c r="CE856" s="12">
        <f t="shared" si="827"/>
        <v>0</v>
      </c>
      <c r="CF856" s="12">
        <f t="shared" si="827"/>
        <v>0</v>
      </c>
      <c r="CG856" s="12">
        <f t="shared" si="827"/>
        <v>0</v>
      </c>
      <c r="CH856" s="12">
        <f t="shared" si="827"/>
        <v>0</v>
      </c>
      <c r="CI856" s="12">
        <f t="shared" si="827"/>
        <v>0</v>
      </c>
      <c r="CK856" s="11"/>
      <c r="CM856" s="11"/>
      <c r="CV856" s="120"/>
      <c r="DF856" s="11"/>
      <c r="EY856" s="12" t="str">
        <f t="shared" ca="1" si="815"/>
        <v>Accrued Interest Expense Loan 20</v>
      </c>
    </row>
    <row r="857" spans="1:155" ht="6.75" customHeight="1" x14ac:dyDescent="0.35">
      <c r="C857" s="211"/>
      <c r="D857" s="1"/>
      <c r="E857"/>
      <c r="F857"/>
      <c r="BY857" s="6"/>
      <c r="CK857" s="35"/>
      <c r="CM857" s="35"/>
      <c r="CV857" s="120"/>
      <c r="DF857" s="35"/>
      <c r="EY857" s="10" t="str">
        <f>IF($C857="","",$D857)</f>
        <v/>
      </c>
    </row>
    <row r="858" spans="1:155" x14ac:dyDescent="0.35">
      <c r="C858" s="211"/>
      <c r="D858" s="50" t="s">
        <v>1090</v>
      </c>
      <c r="E858"/>
      <c r="F858"/>
      <c r="CK858" s="11"/>
      <c r="CM858" s="11"/>
      <c r="CV858" s="120"/>
      <c r="DF858" s="11"/>
      <c r="EY858" s="10" t="str">
        <f>IF($C858="","",$D858)</f>
        <v/>
      </c>
    </row>
    <row r="859" spans="1:155" ht="29" x14ac:dyDescent="0.35">
      <c r="B859" s="5" t="s">
        <v>1229</v>
      </c>
      <c r="C859" s="211"/>
      <c r="D859" s="5" t="s">
        <v>1020</v>
      </c>
      <c r="E859" s="5" t="s">
        <v>1248</v>
      </c>
      <c r="F859" s="5"/>
      <c r="G859" s="24" t="s">
        <v>1249</v>
      </c>
      <c r="CK859" s="11"/>
      <c r="CM859" s="11"/>
      <c r="CV859" s="120"/>
      <c r="DF859" s="11"/>
      <c r="EY859" s="10" t="str">
        <f>IF($C859="","",$D859)</f>
        <v/>
      </c>
    </row>
    <row r="860" spans="1:155" x14ac:dyDescent="0.35">
      <c r="B860" s="69" t="str" cm="1">
        <f t="array" aca="1" ref="B860" ca="1">HYPERLINK(CONCATENATE("#",CELL("address",$D$56)),$D$56)</f>
        <v>Loan 1</v>
      </c>
      <c r="C860" s="211" t="s">
        <v>1270</v>
      </c>
      <c r="D860" s="49">
        <f>D$13</f>
        <v>0</v>
      </c>
      <c r="E860" s="49" t="str">
        <f>F$13</f>
        <v/>
      </c>
      <c r="F860" s="49"/>
      <c r="G860" s="133">
        <f>Q$13</f>
        <v>0</v>
      </c>
      <c r="H860" s="9"/>
      <c r="I860" s="40" t="s">
        <v>665</v>
      </c>
      <c r="J860" s="54"/>
      <c r="V860" s="133">
        <f t="shared" ref="V860:Y879" si="837">IF($G860=1, V787, V578)</f>
        <v>0</v>
      </c>
      <c r="W860" s="10">
        <f t="shared" si="837"/>
        <v>0</v>
      </c>
      <c r="X860" s="10">
        <f t="shared" si="837"/>
        <v>0</v>
      </c>
      <c r="Y860" s="10">
        <f t="shared" si="837"/>
        <v>0</v>
      </c>
      <c r="AA860" s="133">
        <f t="shared" ref="AA860:BV860" si="838">IF($G860=1, AA787, AA578)</f>
        <v>0</v>
      </c>
      <c r="AB860" s="10">
        <f t="shared" si="838"/>
        <v>0</v>
      </c>
      <c r="AC860" s="10">
        <f t="shared" si="838"/>
        <v>0</v>
      </c>
      <c r="AD860" s="10">
        <f t="shared" si="838"/>
        <v>0</v>
      </c>
      <c r="AE860" s="10">
        <f t="shared" si="838"/>
        <v>0</v>
      </c>
      <c r="AF860" s="10">
        <f t="shared" si="838"/>
        <v>0</v>
      </c>
      <c r="AG860" s="10">
        <f t="shared" si="838"/>
        <v>0</v>
      </c>
      <c r="AH860" s="10">
        <f t="shared" si="838"/>
        <v>0</v>
      </c>
      <c r="AI860" s="10">
        <f t="shared" si="838"/>
        <v>0</v>
      </c>
      <c r="AJ860" s="10">
        <f t="shared" si="838"/>
        <v>0</v>
      </c>
      <c r="AK860" s="10">
        <f t="shared" si="838"/>
        <v>0</v>
      </c>
      <c r="AL860" s="10">
        <f t="shared" si="838"/>
        <v>0</v>
      </c>
      <c r="AM860" s="10">
        <f t="shared" si="838"/>
        <v>0</v>
      </c>
      <c r="AN860" s="10">
        <f t="shared" si="838"/>
        <v>0</v>
      </c>
      <c r="AO860" s="10">
        <f t="shared" si="838"/>
        <v>0</v>
      </c>
      <c r="AP860" s="10">
        <f t="shared" si="838"/>
        <v>0</v>
      </c>
      <c r="AQ860" s="10">
        <f t="shared" si="838"/>
        <v>0</v>
      </c>
      <c r="AR860" s="10">
        <f t="shared" si="838"/>
        <v>0</v>
      </c>
      <c r="AS860" s="10">
        <f t="shared" si="838"/>
        <v>0</v>
      </c>
      <c r="AT860" s="10">
        <f t="shared" si="838"/>
        <v>0</v>
      </c>
      <c r="AU860" s="10">
        <f t="shared" si="838"/>
        <v>0</v>
      </c>
      <c r="AV860" s="10">
        <f t="shared" si="838"/>
        <v>0</v>
      </c>
      <c r="AW860" s="10">
        <f t="shared" si="838"/>
        <v>0</v>
      </c>
      <c r="AX860" s="10">
        <f t="shared" si="838"/>
        <v>0</v>
      </c>
      <c r="AY860" s="10">
        <f t="shared" si="838"/>
        <v>0</v>
      </c>
      <c r="AZ860" s="10">
        <f t="shared" si="838"/>
        <v>0</v>
      </c>
      <c r="BA860" s="10">
        <f t="shared" si="838"/>
        <v>0</v>
      </c>
      <c r="BB860" s="10">
        <f t="shared" si="838"/>
        <v>0</v>
      </c>
      <c r="BC860" s="10">
        <f t="shared" si="838"/>
        <v>0</v>
      </c>
      <c r="BD860" s="10">
        <f t="shared" si="838"/>
        <v>0</v>
      </c>
      <c r="BE860" s="10">
        <f t="shared" si="838"/>
        <v>0</v>
      </c>
      <c r="BF860" s="10">
        <f t="shared" si="838"/>
        <v>0</v>
      </c>
      <c r="BG860" s="10">
        <f t="shared" si="838"/>
        <v>0</v>
      </c>
      <c r="BH860" s="10">
        <f t="shared" si="838"/>
        <v>0</v>
      </c>
      <c r="BI860" s="10">
        <f t="shared" si="838"/>
        <v>0</v>
      </c>
      <c r="BJ860" s="10">
        <f t="shared" si="838"/>
        <v>0</v>
      </c>
      <c r="BK860" s="10">
        <f t="shared" si="838"/>
        <v>0</v>
      </c>
      <c r="BL860" s="10">
        <f t="shared" si="838"/>
        <v>0</v>
      </c>
      <c r="BM860" s="10">
        <f t="shared" si="838"/>
        <v>0</v>
      </c>
      <c r="BN860" s="10">
        <f t="shared" si="838"/>
        <v>0</v>
      </c>
      <c r="BO860" s="10">
        <f t="shared" si="838"/>
        <v>0</v>
      </c>
      <c r="BP860" s="10">
        <f t="shared" si="838"/>
        <v>0</v>
      </c>
      <c r="BQ860" s="10">
        <f t="shared" si="838"/>
        <v>0</v>
      </c>
      <c r="BR860" s="10">
        <f t="shared" si="838"/>
        <v>0</v>
      </c>
      <c r="BS860" s="10">
        <f t="shared" si="838"/>
        <v>0</v>
      </c>
      <c r="BT860" s="10">
        <f t="shared" si="838"/>
        <v>0</v>
      </c>
      <c r="BU860" s="10">
        <f t="shared" si="838"/>
        <v>0</v>
      </c>
      <c r="BV860" s="10">
        <f t="shared" si="838"/>
        <v>0</v>
      </c>
      <c r="BX860" s="10">
        <f t="shared" ref="BX860:CB869" si="839">IF($G860=1, BX787, BX578)</f>
        <v>0</v>
      </c>
      <c r="BY860" s="10">
        <f t="shared" si="839"/>
        <v>0</v>
      </c>
      <c r="BZ860" s="10">
        <f t="shared" si="839"/>
        <v>0</v>
      </c>
      <c r="CA860" s="10">
        <f t="shared" si="839"/>
        <v>0</v>
      </c>
      <c r="CB860" s="10">
        <f t="shared" si="839"/>
        <v>0</v>
      </c>
      <c r="CC860" s="12">
        <f t="shared" ref="CC860:CI869" si="840">CC578</f>
        <v>0</v>
      </c>
      <c r="CD860" s="12">
        <f t="shared" si="840"/>
        <v>0</v>
      </c>
      <c r="CE860" s="12">
        <f t="shared" si="840"/>
        <v>0</v>
      </c>
      <c r="CF860" s="12">
        <f t="shared" si="840"/>
        <v>0</v>
      </c>
      <c r="CG860" s="12">
        <f t="shared" si="840"/>
        <v>0</v>
      </c>
      <c r="CH860" s="12">
        <f t="shared" si="840"/>
        <v>0</v>
      </c>
      <c r="CI860" s="12">
        <f t="shared" si="840"/>
        <v>0</v>
      </c>
      <c r="CK860" s="11"/>
      <c r="CM860" s="11"/>
      <c r="CV860" s="120"/>
      <c r="DF860" s="11"/>
      <c r="EY860" s="12" t="str">
        <f t="shared" ref="EY860:EY879" ca="1" si="841">IF($C860="","",CONCATENATE(D$858," ", $B860))</f>
        <v>Interest Payment Loan 1</v>
      </c>
    </row>
    <row r="861" spans="1:155" x14ac:dyDescent="0.35">
      <c r="B861" s="69" t="str" cm="1">
        <f t="array" aca="1" ref="B861" ca="1">HYPERLINK(CONCATENATE("#",CELL("address",$D$75)),$D$75)</f>
        <v>Loan 2</v>
      </c>
      <c r="C861" s="211" t="s">
        <v>1271</v>
      </c>
      <c r="D861" s="49">
        <f>D$14</f>
        <v>0</v>
      </c>
      <c r="E861" s="49" t="str">
        <f>F$14</f>
        <v/>
      </c>
      <c r="F861" s="49"/>
      <c r="G861" s="10">
        <f>Q$14</f>
        <v>0</v>
      </c>
      <c r="H861" s="9"/>
      <c r="I861" s="40" t="s">
        <v>665</v>
      </c>
      <c r="V861" s="133">
        <f t="shared" si="837"/>
        <v>0</v>
      </c>
      <c r="W861" s="10">
        <f t="shared" si="837"/>
        <v>0</v>
      </c>
      <c r="X861" s="10">
        <f t="shared" si="837"/>
        <v>0</v>
      </c>
      <c r="Y861" s="10">
        <f t="shared" si="837"/>
        <v>0</v>
      </c>
      <c r="AA861" s="10">
        <f t="shared" ref="AA861:BV861" si="842">IF($G861=1, AA788, AA579)</f>
        <v>0</v>
      </c>
      <c r="AB861" s="10">
        <f t="shared" si="842"/>
        <v>0</v>
      </c>
      <c r="AC861" s="10">
        <f t="shared" si="842"/>
        <v>0</v>
      </c>
      <c r="AD861" s="10">
        <f t="shared" si="842"/>
        <v>0</v>
      </c>
      <c r="AE861" s="10">
        <f t="shared" si="842"/>
        <v>0</v>
      </c>
      <c r="AF861" s="10">
        <f t="shared" si="842"/>
        <v>0</v>
      </c>
      <c r="AG861" s="10">
        <f t="shared" si="842"/>
        <v>0</v>
      </c>
      <c r="AH861" s="10">
        <f t="shared" si="842"/>
        <v>0</v>
      </c>
      <c r="AI861" s="10">
        <f t="shared" si="842"/>
        <v>0</v>
      </c>
      <c r="AJ861" s="10">
        <f t="shared" si="842"/>
        <v>0</v>
      </c>
      <c r="AK861" s="10">
        <f t="shared" si="842"/>
        <v>0</v>
      </c>
      <c r="AL861" s="10">
        <f t="shared" si="842"/>
        <v>0</v>
      </c>
      <c r="AM861" s="10">
        <f t="shared" si="842"/>
        <v>0</v>
      </c>
      <c r="AN861" s="10">
        <f t="shared" si="842"/>
        <v>0</v>
      </c>
      <c r="AO861" s="10">
        <f t="shared" si="842"/>
        <v>0</v>
      </c>
      <c r="AP861" s="10">
        <f t="shared" si="842"/>
        <v>0</v>
      </c>
      <c r="AQ861" s="10">
        <f t="shared" si="842"/>
        <v>0</v>
      </c>
      <c r="AR861" s="10">
        <f t="shared" si="842"/>
        <v>0</v>
      </c>
      <c r="AS861" s="10">
        <f t="shared" si="842"/>
        <v>0</v>
      </c>
      <c r="AT861" s="10">
        <f t="shared" si="842"/>
        <v>0</v>
      </c>
      <c r="AU861" s="10">
        <f t="shared" si="842"/>
        <v>0</v>
      </c>
      <c r="AV861" s="10">
        <f t="shared" si="842"/>
        <v>0</v>
      </c>
      <c r="AW861" s="10">
        <f t="shared" si="842"/>
        <v>0</v>
      </c>
      <c r="AX861" s="10">
        <f t="shared" si="842"/>
        <v>0</v>
      </c>
      <c r="AY861" s="10">
        <f t="shared" si="842"/>
        <v>0</v>
      </c>
      <c r="AZ861" s="10">
        <f t="shared" si="842"/>
        <v>0</v>
      </c>
      <c r="BA861" s="10">
        <f t="shared" si="842"/>
        <v>0</v>
      </c>
      <c r="BB861" s="10">
        <f t="shared" si="842"/>
        <v>0</v>
      </c>
      <c r="BC861" s="10">
        <f t="shared" si="842"/>
        <v>0</v>
      </c>
      <c r="BD861" s="10">
        <f t="shared" si="842"/>
        <v>0</v>
      </c>
      <c r="BE861" s="10">
        <f t="shared" si="842"/>
        <v>0</v>
      </c>
      <c r="BF861" s="10">
        <f t="shared" si="842"/>
        <v>0</v>
      </c>
      <c r="BG861" s="10">
        <f t="shared" si="842"/>
        <v>0</v>
      </c>
      <c r="BH861" s="10">
        <f t="shared" si="842"/>
        <v>0</v>
      </c>
      <c r="BI861" s="10">
        <f t="shared" si="842"/>
        <v>0</v>
      </c>
      <c r="BJ861" s="10">
        <f t="shared" si="842"/>
        <v>0</v>
      </c>
      <c r="BK861" s="10">
        <f t="shared" si="842"/>
        <v>0</v>
      </c>
      <c r="BL861" s="10">
        <f t="shared" si="842"/>
        <v>0</v>
      </c>
      <c r="BM861" s="10">
        <f t="shared" si="842"/>
        <v>0</v>
      </c>
      <c r="BN861" s="10">
        <f t="shared" si="842"/>
        <v>0</v>
      </c>
      <c r="BO861" s="10">
        <f t="shared" si="842"/>
        <v>0</v>
      </c>
      <c r="BP861" s="10">
        <f t="shared" si="842"/>
        <v>0</v>
      </c>
      <c r="BQ861" s="10">
        <f t="shared" si="842"/>
        <v>0</v>
      </c>
      <c r="BR861" s="10">
        <f t="shared" si="842"/>
        <v>0</v>
      </c>
      <c r="BS861" s="10">
        <f t="shared" si="842"/>
        <v>0</v>
      </c>
      <c r="BT861" s="10">
        <f t="shared" si="842"/>
        <v>0</v>
      </c>
      <c r="BU861" s="10">
        <f t="shared" si="842"/>
        <v>0</v>
      </c>
      <c r="BV861" s="10">
        <f t="shared" si="842"/>
        <v>0</v>
      </c>
      <c r="BX861" s="10">
        <f t="shared" si="839"/>
        <v>0</v>
      </c>
      <c r="BY861" s="10">
        <f t="shared" si="839"/>
        <v>0</v>
      </c>
      <c r="BZ861" s="10">
        <f t="shared" si="839"/>
        <v>0</v>
      </c>
      <c r="CA861" s="10">
        <f t="shared" si="839"/>
        <v>0</v>
      </c>
      <c r="CB861" s="10">
        <f t="shared" si="839"/>
        <v>0</v>
      </c>
      <c r="CC861" s="12">
        <f t="shared" si="840"/>
        <v>0</v>
      </c>
      <c r="CD861" s="12">
        <f t="shared" si="840"/>
        <v>0</v>
      </c>
      <c r="CE861" s="12">
        <f t="shared" si="840"/>
        <v>0</v>
      </c>
      <c r="CF861" s="12">
        <f t="shared" si="840"/>
        <v>0</v>
      </c>
      <c r="CG861" s="12">
        <f t="shared" si="840"/>
        <v>0</v>
      </c>
      <c r="CH861" s="12">
        <f t="shared" si="840"/>
        <v>0</v>
      </c>
      <c r="CI861" s="12">
        <f t="shared" si="840"/>
        <v>0</v>
      </c>
      <c r="CK861" s="11"/>
      <c r="CM861" s="11"/>
      <c r="CV861" s="120"/>
      <c r="DF861" s="11"/>
      <c r="EY861" s="12" t="str">
        <f t="shared" ca="1" si="841"/>
        <v>Interest Payment Loan 2</v>
      </c>
    </row>
    <row r="862" spans="1:155" x14ac:dyDescent="0.35">
      <c r="B862" s="69" t="str" cm="1">
        <f t="array" aca="1" ref="B862" ca="1">HYPERLINK(CONCATENATE("#",CELL("address",$D$94)),$D$94)</f>
        <v>Loan 3</v>
      </c>
      <c r="C862" s="211" t="s">
        <v>1272</v>
      </c>
      <c r="D862" s="49">
        <f>D$15</f>
        <v>0</v>
      </c>
      <c r="E862" s="49" t="str">
        <f>F$15</f>
        <v/>
      </c>
      <c r="F862" s="49"/>
      <c r="G862" s="10">
        <f>Q$15</f>
        <v>0</v>
      </c>
      <c r="H862" s="9"/>
      <c r="I862" s="40" t="s">
        <v>665</v>
      </c>
      <c r="V862" s="133">
        <f t="shared" si="837"/>
        <v>0</v>
      </c>
      <c r="W862" s="10">
        <f t="shared" si="837"/>
        <v>0</v>
      </c>
      <c r="X862" s="10">
        <f t="shared" si="837"/>
        <v>0</v>
      </c>
      <c r="Y862" s="10">
        <f t="shared" si="837"/>
        <v>0</v>
      </c>
      <c r="AA862" s="10">
        <f t="shared" ref="AA862:BV862" si="843">IF($G862=1, AA789, AA580)</f>
        <v>0</v>
      </c>
      <c r="AB862" s="10">
        <f t="shared" si="843"/>
        <v>0</v>
      </c>
      <c r="AC862" s="10">
        <f t="shared" si="843"/>
        <v>0</v>
      </c>
      <c r="AD862" s="10">
        <f t="shared" si="843"/>
        <v>0</v>
      </c>
      <c r="AE862" s="10">
        <f t="shared" si="843"/>
        <v>0</v>
      </c>
      <c r="AF862" s="10">
        <f t="shared" si="843"/>
        <v>0</v>
      </c>
      <c r="AG862" s="10">
        <f t="shared" si="843"/>
        <v>0</v>
      </c>
      <c r="AH862" s="10">
        <f t="shared" si="843"/>
        <v>0</v>
      </c>
      <c r="AI862" s="10">
        <f t="shared" si="843"/>
        <v>0</v>
      </c>
      <c r="AJ862" s="10">
        <f t="shared" si="843"/>
        <v>0</v>
      </c>
      <c r="AK862" s="10">
        <f t="shared" si="843"/>
        <v>0</v>
      </c>
      <c r="AL862" s="10">
        <f t="shared" si="843"/>
        <v>0</v>
      </c>
      <c r="AM862" s="10">
        <f t="shared" si="843"/>
        <v>0</v>
      </c>
      <c r="AN862" s="10">
        <f t="shared" si="843"/>
        <v>0</v>
      </c>
      <c r="AO862" s="10">
        <f t="shared" si="843"/>
        <v>0</v>
      </c>
      <c r="AP862" s="10">
        <f t="shared" si="843"/>
        <v>0</v>
      </c>
      <c r="AQ862" s="10">
        <f t="shared" si="843"/>
        <v>0</v>
      </c>
      <c r="AR862" s="10">
        <f t="shared" si="843"/>
        <v>0</v>
      </c>
      <c r="AS862" s="10">
        <f t="shared" si="843"/>
        <v>0</v>
      </c>
      <c r="AT862" s="10">
        <f t="shared" si="843"/>
        <v>0</v>
      </c>
      <c r="AU862" s="10">
        <f t="shared" si="843"/>
        <v>0</v>
      </c>
      <c r="AV862" s="10">
        <f t="shared" si="843"/>
        <v>0</v>
      </c>
      <c r="AW862" s="10">
        <f t="shared" si="843"/>
        <v>0</v>
      </c>
      <c r="AX862" s="10">
        <f t="shared" si="843"/>
        <v>0</v>
      </c>
      <c r="AY862" s="10">
        <f t="shared" si="843"/>
        <v>0</v>
      </c>
      <c r="AZ862" s="10">
        <f t="shared" si="843"/>
        <v>0</v>
      </c>
      <c r="BA862" s="10">
        <f t="shared" si="843"/>
        <v>0</v>
      </c>
      <c r="BB862" s="10">
        <f t="shared" si="843"/>
        <v>0</v>
      </c>
      <c r="BC862" s="10">
        <f t="shared" si="843"/>
        <v>0</v>
      </c>
      <c r="BD862" s="10">
        <f t="shared" si="843"/>
        <v>0</v>
      </c>
      <c r="BE862" s="10">
        <f t="shared" si="843"/>
        <v>0</v>
      </c>
      <c r="BF862" s="10">
        <f t="shared" si="843"/>
        <v>0</v>
      </c>
      <c r="BG862" s="10">
        <f t="shared" si="843"/>
        <v>0</v>
      </c>
      <c r="BH862" s="10">
        <f t="shared" si="843"/>
        <v>0</v>
      </c>
      <c r="BI862" s="10">
        <f t="shared" si="843"/>
        <v>0</v>
      </c>
      <c r="BJ862" s="10">
        <f t="shared" si="843"/>
        <v>0</v>
      </c>
      <c r="BK862" s="10">
        <f t="shared" si="843"/>
        <v>0</v>
      </c>
      <c r="BL862" s="10">
        <f t="shared" si="843"/>
        <v>0</v>
      </c>
      <c r="BM862" s="10">
        <f t="shared" si="843"/>
        <v>0</v>
      </c>
      <c r="BN862" s="10">
        <f t="shared" si="843"/>
        <v>0</v>
      </c>
      <c r="BO862" s="10">
        <f t="shared" si="843"/>
        <v>0</v>
      </c>
      <c r="BP862" s="10">
        <f t="shared" si="843"/>
        <v>0</v>
      </c>
      <c r="BQ862" s="10">
        <f t="shared" si="843"/>
        <v>0</v>
      </c>
      <c r="BR862" s="10">
        <f t="shared" si="843"/>
        <v>0</v>
      </c>
      <c r="BS862" s="10">
        <f t="shared" si="843"/>
        <v>0</v>
      </c>
      <c r="BT862" s="10">
        <f t="shared" si="843"/>
        <v>0</v>
      </c>
      <c r="BU862" s="10">
        <f t="shared" si="843"/>
        <v>0</v>
      </c>
      <c r="BV862" s="10">
        <f t="shared" si="843"/>
        <v>0</v>
      </c>
      <c r="BX862" s="10">
        <f t="shared" si="839"/>
        <v>0</v>
      </c>
      <c r="BY862" s="10">
        <f t="shared" si="839"/>
        <v>0</v>
      </c>
      <c r="BZ862" s="10">
        <f t="shared" si="839"/>
        <v>0</v>
      </c>
      <c r="CA862" s="10">
        <f t="shared" si="839"/>
        <v>0</v>
      </c>
      <c r="CB862" s="10">
        <f t="shared" si="839"/>
        <v>0</v>
      </c>
      <c r="CC862" s="12">
        <f t="shared" si="840"/>
        <v>0</v>
      </c>
      <c r="CD862" s="12">
        <f t="shared" si="840"/>
        <v>0</v>
      </c>
      <c r="CE862" s="12">
        <f t="shared" si="840"/>
        <v>0</v>
      </c>
      <c r="CF862" s="12">
        <f t="shared" si="840"/>
        <v>0</v>
      </c>
      <c r="CG862" s="12">
        <f t="shared" si="840"/>
        <v>0</v>
      </c>
      <c r="CH862" s="12">
        <f t="shared" si="840"/>
        <v>0</v>
      </c>
      <c r="CI862" s="12">
        <f t="shared" si="840"/>
        <v>0</v>
      </c>
      <c r="CK862" s="11"/>
      <c r="CM862" s="11"/>
      <c r="CV862" s="120"/>
      <c r="DF862" s="11"/>
      <c r="EY862" s="12" t="str">
        <f t="shared" ca="1" si="841"/>
        <v>Interest Payment Loan 3</v>
      </c>
    </row>
    <row r="863" spans="1:155" x14ac:dyDescent="0.35">
      <c r="B863" s="69" t="str" cm="1">
        <f t="array" aca="1" ref="B863" ca="1">HYPERLINK(CONCATENATE("#",CELL("address",$D$113)),$D$113)</f>
        <v>Loan 4</v>
      </c>
      <c r="C863" s="211" t="s">
        <v>1273</v>
      </c>
      <c r="D863" s="49">
        <f>D$16</f>
        <v>0</v>
      </c>
      <c r="E863" s="49" t="str">
        <f>F$16</f>
        <v/>
      </c>
      <c r="F863" s="49"/>
      <c r="G863" s="10">
        <f>Q$16</f>
        <v>0</v>
      </c>
      <c r="H863" s="9"/>
      <c r="I863" s="40" t="s">
        <v>665</v>
      </c>
      <c r="V863" s="133">
        <f t="shared" si="837"/>
        <v>0</v>
      </c>
      <c r="W863" s="10">
        <f t="shared" si="837"/>
        <v>0</v>
      </c>
      <c r="X863" s="10">
        <f t="shared" si="837"/>
        <v>0</v>
      </c>
      <c r="Y863" s="10">
        <f t="shared" si="837"/>
        <v>0</v>
      </c>
      <c r="AA863" s="10">
        <f t="shared" ref="AA863:BV863" si="844">IF($G863=1, AA790, AA581)</f>
        <v>0</v>
      </c>
      <c r="AB863" s="10">
        <f t="shared" si="844"/>
        <v>0</v>
      </c>
      <c r="AC863" s="10">
        <f t="shared" si="844"/>
        <v>0</v>
      </c>
      <c r="AD863" s="10">
        <f t="shared" si="844"/>
        <v>0</v>
      </c>
      <c r="AE863" s="10">
        <f t="shared" si="844"/>
        <v>0</v>
      </c>
      <c r="AF863" s="10">
        <f t="shared" si="844"/>
        <v>0</v>
      </c>
      <c r="AG863" s="10">
        <f t="shared" si="844"/>
        <v>0</v>
      </c>
      <c r="AH863" s="10">
        <f t="shared" si="844"/>
        <v>0</v>
      </c>
      <c r="AI863" s="10">
        <f t="shared" si="844"/>
        <v>0</v>
      </c>
      <c r="AJ863" s="10">
        <f t="shared" si="844"/>
        <v>0</v>
      </c>
      <c r="AK863" s="10">
        <f t="shared" si="844"/>
        <v>0</v>
      </c>
      <c r="AL863" s="10">
        <f t="shared" si="844"/>
        <v>0</v>
      </c>
      <c r="AM863" s="10">
        <f t="shared" si="844"/>
        <v>0</v>
      </c>
      <c r="AN863" s="10">
        <f t="shared" si="844"/>
        <v>0</v>
      </c>
      <c r="AO863" s="10">
        <f t="shared" si="844"/>
        <v>0</v>
      </c>
      <c r="AP863" s="10">
        <f t="shared" si="844"/>
        <v>0</v>
      </c>
      <c r="AQ863" s="10">
        <f t="shared" si="844"/>
        <v>0</v>
      </c>
      <c r="AR863" s="10">
        <f t="shared" si="844"/>
        <v>0</v>
      </c>
      <c r="AS863" s="10">
        <f t="shared" si="844"/>
        <v>0</v>
      </c>
      <c r="AT863" s="10">
        <f t="shared" si="844"/>
        <v>0</v>
      </c>
      <c r="AU863" s="10">
        <f t="shared" si="844"/>
        <v>0</v>
      </c>
      <c r="AV863" s="10">
        <f t="shared" si="844"/>
        <v>0</v>
      </c>
      <c r="AW863" s="10">
        <f t="shared" si="844"/>
        <v>0</v>
      </c>
      <c r="AX863" s="10">
        <f t="shared" si="844"/>
        <v>0</v>
      </c>
      <c r="AY863" s="10">
        <f t="shared" si="844"/>
        <v>0</v>
      </c>
      <c r="AZ863" s="10">
        <f t="shared" si="844"/>
        <v>0</v>
      </c>
      <c r="BA863" s="10">
        <f t="shared" si="844"/>
        <v>0</v>
      </c>
      <c r="BB863" s="10">
        <f t="shared" si="844"/>
        <v>0</v>
      </c>
      <c r="BC863" s="10">
        <f t="shared" si="844"/>
        <v>0</v>
      </c>
      <c r="BD863" s="10">
        <f t="shared" si="844"/>
        <v>0</v>
      </c>
      <c r="BE863" s="10">
        <f t="shared" si="844"/>
        <v>0</v>
      </c>
      <c r="BF863" s="10">
        <f t="shared" si="844"/>
        <v>0</v>
      </c>
      <c r="BG863" s="10">
        <f t="shared" si="844"/>
        <v>0</v>
      </c>
      <c r="BH863" s="10">
        <f t="shared" si="844"/>
        <v>0</v>
      </c>
      <c r="BI863" s="10">
        <f t="shared" si="844"/>
        <v>0</v>
      </c>
      <c r="BJ863" s="10">
        <f t="shared" si="844"/>
        <v>0</v>
      </c>
      <c r="BK863" s="10">
        <f t="shared" si="844"/>
        <v>0</v>
      </c>
      <c r="BL863" s="10">
        <f t="shared" si="844"/>
        <v>0</v>
      </c>
      <c r="BM863" s="10">
        <f t="shared" si="844"/>
        <v>0</v>
      </c>
      <c r="BN863" s="10">
        <f t="shared" si="844"/>
        <v>0</v>
      </c>
      <c r="BO863" s="10">
        <f t="shared" si="844"/>
        <v>0</v>
      </c>
      <c r="BP863" s="10">
        <f t="shared" si="844"/>
        <v>0</v>
      </c>
      <c r="BQ863" s="10">
        <f t="shared" si="844"/>
        <v>0</v>
      </c>
      <c r="BR863" s="10">
        <f t="shared" si="844"/>
        <v>0</v>
      </c>
      <c r="BS863" s="10">
        <f t="shared" si="844"/>
        <v>0</v>
      </c>
      <c r="BT863" s="10">
        <f t="shared" si="844"/>
        <v>0</v>
      </c>
      <c r="BU863" s="10">
        <f t="shared" si="844"/>
        <v>0</v>
      </c>
      <c r="BV863" s="10">
        <f t="shared" si="844"/>
        <v>0</v>
      </c>
      <c r="BX863" s="10">
        <f t="shared" si="839"/>
        <v>0</v>
      </c>
      <c r="BY863" s="10">
        <f t="shared" si="839"/>
        <v>0</v>
      </c>
      <c r="BZ863" s="10">
        <f t="shared" si="839"/>
        <v>0</v>
      </c>
      <c r="CA863" s="10">
        <f t="shared" si="839"/>
        <v>0</v>
      </c>
      <c r="CB863" s="10">
        <f t="shared" si="839"/>
        <v>0</v>
      </c>
      <c r="CC863" s="12">
        <f t="shared" si="840"/>
        <v>0</v>
      </c>
      <c r="CD863" s="12">
        <f t="shared" si="840"/>
        <v>0</v>
      </c>
      <c r="CE863" s="12">
        <f t="shared" si="840"/>
        <v>0</v>
      </c>
      <c r="CF863" s="12">
        <f t="shared" si="840"/>
        <v>0</v>
      </c>
      <c r="CG863" s="12">
        <f t="shared" si="840"/>
        <v>0</v>
      </c>
      <c r="CH863" s="12">
        <f t="shared" si="840"/>
        <v>0</v>
      </c>
      <c r="CI863" s="12">
        <f t="shared" si="840"/>
        <v>0</v>
      </c>
      <c r="CK863" s="11"/>
      <c r="CM863" s="11"/>
      <c r="CV863" s="120"/>
      <c r="DF863" s="11"/>
      <c r="EY863" s="12" t="str">
        <f t="shared" ca="1" si="841"/>
        <v>Interest Payment Loan 4</v>
      </c>
    </row>
    <row r="864" spans="1:155" x14ac:dyDescent="0.35">
      <c r="B864" s="69" t="str" cm="1">
        <f t="array" aca="1" ref="B864" ca="1">HYPERLINK(CONCATENATE("#",CELL("address",$D$132)),$D$132)</f>
        <v>Loan 5</v>
      </c>
      <c r="C864" s="211" t="s">
        <v>1274</v>
      </c>
      <c r="D864" s="49">
        <f>D$17</f>
        <v>0</v>
      </c>
      <c r="E864" s="49" t="str">
        <f>F$17</f>
        <v/>
      </c>
      <c r="F864" s="49"/>
      <c r="G864" s="10">
        <f>Q$17</f>
        <v>0</v>
      </c>
      <c r="H864" s="9"/>
      <c r="I864" s="40" t="s">
        <v>665</v>
      </c>
      <c r="V864" s="133">
        <f t="shared" si="837"/>
        <v>0</v>
      </c>
      <c r="W864" s="10">
        <f t="shared" si="837"/>
        <v>0</v>
      </c>
      <c r="X864" s="10">
        <f t="shared" si="837"/>
        <v>0</v>
      </c>
      <c r="Y864" s="10">
        <f t="shared" si="837"/>
        <v>0</v>
      </c>
      <c r="AA864" s="10">
        <f t="shared" ref="AA864:BV864" si="845">IF($G864=1, AA791, AA582)</f>
        <v>0</v>
      </c>
      <c r="AB864" s="10">
        <f t="shared" si="845"/>
        <v>0</v>
      </c>
      <c r="AC864" s="10">
        <f t="shared" si="845"/>
        <v>0</v>
      </c>
      <c r="AD864" s="10">
        <f t="shared" si="845"/>
        <v>0</v>
      </c>
      <c r="AE864" s="10">
        <f t="shared" si="845"/>
        <v>0</v>
      </c>
      <c r="AF864" s="10">
        <f t="shared" si="845"/>
        <v>0</v>
      </c>
      <c r="AG864" s="10">
        <f t="shared" si="845"/>
        <v>0</v>
      </c>
      <c r="AH864" s="10">
        <f t="shared" si="845"/>
        <v>0</v>
      </c>
      <c r="AI864" s="10">
        <f t="shared" si="845"/>
        <v>0</v>
      </c>
      <c r="AJ864" s="10">
        <f t="shared" si="845"/>
        <v>0</v>
      </c>
      <c r="AK864" s="10">
        <f t="shared" si="845"/>
        <v>0</v>
      </c>
      <c r="AL864" s="10">
        <f t="shared" si="845"/>
        <v>0</v>
      </c>
      <c r="AM864" s="10">
        <f t="shared" si="845"/>
        <v>0</v>
      </c>
      <c r="AN864" s="10">
        <f t="shared" si="845"/>
        <v>0</v>
      </c>
      <c r="AO864" s="10">
        <f t="shared" si="845"/>
        <v>0</v>
      </c>
      <c r="AP864" s="10">
        <f t="shared" si="845"/>
        <v>0</v>
      </c>
      <c r="AQ864" s="10">
        <f t="shared" si="845"/>
        <v>0</v>
      </c>
      <c r="AR864" s="10">
        <f t="shared" si="845"/>
        <v>0</v>
      </c>
      <c r="AS864" s="10">
        <f t="shared" si="845"/>
        <v>0</v>
      </c>
      <c r="AT864" s="10">
        <f t="shared" si="845"/>
        <v>0</v>
      </c>
      <c r="AU864" s="10">
        <f t="shared" si="845"/>
        <v>0</v>
      </c>
      <c r="AV864" s="10">
        <f t="shared" si="845"/>
        <v>0</v>
      </c>
      <c r="AW864" s="10">
        <f t="shared" si="845"/>
        <v>0</v>
      </c>
      <c r="AX864" s="10">
        <f t="shared" si="845"/>
        <v>0</v>
      </c>
      <c r="AY864" s="10">
        <f t="shared" si="845"/>
        <v>0</v>
      </c>
      <c r="AZ864" s="10">
        <f t="shared" si="845"/>
        <v>0</v>
      </c>
      <c r="BA864" s="10">
        <f t="shared" si="845"/>
        <v>0</v>
      </c>
      <c r="BB864" s="10">
        <f t="shared" si="845"/>
        <v>0</v>
      </c>
      <c r="BC864" s="10">
        <f t="shared" si="845"/>
        <v>0</v>
      </c>
      <c r="BD864" s="10">
        <f t="shared" si="845"/>
        <v>0</v>
      </c>
      <c r="BE864" s="10">
        <f t="shared" si="845"/>
        <v>0</v>
      </c>
      <c r="BF864" s="10">
        <f t="shared" si="845"/>
        <v>0</v>
      </c>
      <c r="BG864" s="10">
        <f t="shared" si="845"/>
        <v>0</v>
      </c>
      <c r="BH864" s="10">
        <f t="shared" si="845"/>
        <v>0</v>
      </c>
      <c r="BI864" s="10">
        <f t="shared" si="845"/>
        <v>0</v>
      </c>
      <c r="BJ864" s="10">
        <f t="shared" si="845"/>
        <v>0</v>
      </c>
      <c r="BK864" s="10">
        <f t="shared" si="845"/>
        <v>0</v>
      </c>
      <c r="BL864" s="10">
        <f t="shared" si="845"/>
        <v>0</v>
      </c>
      <c r="BM864" s="10">
        <f t="shared" si="845"/>
        <v>0</v>
      </c>
      <c r="BN864" s="10">
        <f t="shared" si="845"/>
        <v>0</v>
      </c>
      <c r="BO864" s="10">
        <f t="shared" si="845"/>
        <v>0</v>
      </c>
      <c r="BP864" s="10">
        <f t="shared" si="845"/>
        <v>0</v>
      </c>
      <c r="BQ864" s="10">
        <f t="shared" si="845"/>
        <v>0</v>
      </c>
      <c r="BR864" s="10">
        <f t="shared" si="845"/>
        <v>0</v>
      </c>
      <c r="BS864" s="10">
        <f t="shared" si="845"/>
        <v>0</v>
      </c>
      <c r="BT864" s="10">
        <f t="shared" si="845"/>
        <v>0</v>
      </c>
      <c r="BU864" s="10">
        <f t="shared" si="845"/>
        <v>0</v>
      </c>
      <c r="BV864" s="10">
        <f t="shared" si="845"/>
        <v>0</v>
      </c>
      <c r="BX864" s="10">
        <f t="shared" si="839"/>
        <v>0</v>
      </c>
      <c r="BY864" s="10">
        <f t="shared" si="839"/>
        <v>0</v>
      </c>
      <c r="BZ864" s="10">
        <f t="shared" si="839"/>
        <v>0</v>
      </c>
      <c r="CA864" s="10">
        <f t="shared" si="839"/>
        <v>0</v>
      </c>
      <c r="CB864" s="10">
        <f t="shared" si="839"/>
        <v>0</v>
      </c>
      <c r="CC864" s="12">
        <f t="shared" si="840"/>
        <v>0</v>
      </c>
      <c r="CD864" s="12">
        <f t="shared" si="840"/>
        <v>0</v>
      </c>
      <c r="CE864" s="12">
        <f t="shared" si="840"/>
        <v>0</v>
      </c>
      <c r="CF864" s="12">
        <f t="shared" si="840"/>
        <v>0</v>
      </c>
      <c r="CG864" s="12">
        <f t="shared" si="840"/>
        <v>0</v>
      </c>
      <c r="CH864" s="12">
        <f t="shared" si="840"/>
        <v>0</v>
      </c>
      <c r="CI864" s="12">
        <f t="shared" si="840"/>
        <v>0</v>
      </c>
      <c r="CK864" s="11"/>
      <c r="CM864" s="11"/>
      <c r="CV864" s="120"/>
      <c r="DF864" s="11"/>
      <c r="EY864" s="12" t="str">
        <f t="shared" ca="1" si="841"/>
        <v>Interest Payment Loan 5</v>
      </c>
    </row>
    <row r="865" spans="1:155" x14ac:dyDescent="0.35">
      <c r="B865" s="69" t="str" cm="1">
        <f t="array" aca="1" ref="B865" ca="1">HYPERLINK(CONCATENATE("#",CELL("address",$D$151)),$D$151)</f>
        <v>Loan 6</v>
      </c>
      <c r="C865" s="211" t="s">
        <v>1275</v>
      </c>
      <c r="D865" s="49">
        <f>D$18</f>
        <v>0</v>
      </c>
      <c r="E865" s="49" t="str">
        <f>F$18</f>
        <v/>
      </c>
      <c r="F865" s="49"/>
      <c r="G865" s="10">
        <f>Q$18</f>
        <v>0</v>
      </c>
      <c r="H865" s="9"/>
      <c r="I865" s="40" t="s">
        <v>665</v>
      </c>
      <c r="V865" s="133">
        <f t="shared" si="837"/>
        <v>0</v>
      </c>
      <c r="W865" s="10">
        <f t="shared" si="837"/>
        <v>0</v>
      </c>
      <c r="X865" s="10">
        <f t="shared" si="837"/>
        <v>0</v>
      </c>
      <c r="Y865" s="10">
        <f t="shared" si="837"/>
        <v>0</v>
      </c>
      <c r="AA865" s="10">
        <f t="shared" ref="AA865:BV865" si="846">IF($G865=1, AA792, AA583)</f>
        <v>0</v>
      </c>
      <c r="AB865" s="10">
        <f t="shared" si="846"/>
        <v>0</v>
      </c>
      <c r="AC865" s="10">
        <f t="shared" si="846"/>
        <v>0</v>
      </c>
      <c r="AD865" s="10">
        <f t="shared" si="846"/>
        <v>0</v>
      </c>
      <c r="AE865" s="10">
        <f t="shared" si="846"/>
        <v>0</v>
      </c>
      <c r="AF865" s="10">
        <f t="shared" si="846"/>
        <v>0</v>
      </c>
      <c r="AG865" s="10">
        <f t="shared" si="846"/>
        <v>0</v>
      </c>
      <c r="AH865" s="10">
        <f t="shared" si="846"/>
        <v>0</v>
      </c>
      <c r="AI865" s="10">
        <f t="shared" si="846"/>
        <v>0</v>
      </c>
      <c r="AJ865" s="10">
        <f t="shared" si="846"/>
        <v>0</v>
      </c>
      <c r="AK865" s="10">
        <f t="shared" si="846"/>
        <v>0</v>
      </c>
      <c r="AL865" s="10">
        <f t="shared" si="846"/>
        <v>0</v>
      </c>
      <c r="AM865" s="10">
        <f t="shared" si="846"/>
        <v>0</v>
      </c>
      <c r="AN865" s="10">
        <f t="shared" si="846"/>
        <v>0</v>
      </c>
      <c r="AO865" s="10">
        <f t="shared" si="846"/>
        <v>0</v>
      </c>
      <c r="AP865" s="10">
        <f t="shared" si="846"/>
        <v>0</v>
      </c>
      <c r="AQ865" s="10">
        <f t="shared" si="846"/>
        <v>0</v>
      </c>
      <c r="AR865" s="10">
        <f t="shared" si="846"/>
        <v>0</v>
      </c>
      <c r="AS865" s="10">
        <f t="shared" si="846"/>
        <v>0</v>
      </c>
      <c r="AT865" s="10">
        <f t="shared" si="846"/>
        <v>0</v>
      </c>
      <c r="AU865" s="10">
        <f t="shared" si="846"/>
        <v>0</v>
      </c>
      <c r="AV865" s="10">
        <f t="shared" si="846"/>
        <v>0</v>
      </c>
      <c r="AW865" s="10">
        <f t="shared" si="846"/>
        <v>0</v>
      </c>
      <c r="AX865" s="10">
        <f t="shared" si="846"/>
        <v>0</v>
      </c>
      <c r="AY865" s="10">
        <f t="shared" si="846"/>
        <v>0</v>
      </c>
      <c r="AZ865" s="10">
        <f t="shared" si="846"/>
        <v>0</v>
      </c>
      <c r="BA865" s="10">
        <f t="shared" si="846"/>
        <v>0</v>
      </c>
      <c r="BB865" s="10">
        <f t="shared" si="846"/>
        <v>0</v>
      </c>
      <c r="BC865" s="10">
        <f t="shared" si="846"/>
        <v>0</v>
      </c>
      <c r="BD865" s="10">
        <f t="shared" si="846"/>
        <v>0</v>
      </c>
      <c r="BE865" s="10">
        <f t="shared" si="846"/>
        <v>0</v>
      </c>
      <c r="BF865" s="10">
        <f t="shared" si="846"/>
        <v>0</v>
      </c>
      <c r="BG865" s="10">
        <f t="shared" si="846"/>
        <v>0</v>
      </c>
      <c r="BH865" s="10">
        <f t="shared" si="846"/>
        <v>0</v>
      </c>
      <c r="BI865" s="10">
        <f t="shared" si="846"/>
        <v>0</v>
      </c>
      <c r="BJ865" s="10">
        <f t="shared" si="846"/>
        <v>0</v>
      </c>
      <c r="BK865" s="10">
        <f t="shared" si="846"/>
        <v>0</v>
      </c>
      <c r="BL865" s="10">
        <f t="shared" si="846"/>
        <v>0</v>
      </c>
      <c r="BM865" s="10">
        <f t="shared" si="846"/>
        <v>0</v>
      </c>
      <c r="BN865" s="10">
        <f t="shared" si="846"/>
        <v>0</v>
      </c>
      <c r="BO865" s="10">
        <f t="shared" si="846"/>
        <v>0</v>
      </c>
      <c r="BP865" s="10">
        <f t="shared" si="846"/>
        <v>0</v>
      </c>
      <c r="BQ865" s="10">
        <f t="shared" si="846"/>
        <v>0</v>
      </c>
      <c r="BR865" s="10">
        <f t="shared" si="846"/>
        <v>0</v>
      </c>
      <c r="BS865" s="10">
        <f t="shared" si="846"/>
        <v>0</v>
      </c>
      <c r="BT865" s="10">
        <f t="shared" si="846"/>
        <v>0</v>
      </c>
      <c r="BU865" s="10">
        <f t="shared" si="846"/>
        <v>0</v>
      </c>
      <c r="BV865" s="10">
        <f t="shared" si="846"/>
        <v>0</v>
      </c>
      <c r="BX865" s="10">
        <f t="shared" si="839"/>
        <v>0</v>
      </c>
      <c r="BY865" s="10">
        <f t="shared" si="839"/>
        <v>0</v>
      </c>
      <c r="BZ865" s="10">
        <f t="shared" si="839"/>
        <v>0</v>
      </c>
      <c r="CA865" s="10">
        <f t="shared" si="839"/>
        <v>0</v>
      </c>
      <c r="CB865" s="10">
        <f t="shared" si="839"/>
        <v>0</v>
      </c>
      <c r="CC865" s="12">
        <f t="shared" si="840"/>
        <v>0</v>
      </c>
      <c r="CD865" s="12">
        <f t="shared" si="840"/>
        <v>0</v>
      </c>
      <c r="CE865" s="12">
        <f t="shared" si="840"/>
        <v>0</v>
      </c>
      <c r="CF865" s="12">
        <f t="shared" si="840"/>
        <v>0</v>
      </c>
      <c r="CG865" s="12">
        <f t="shared" si="840"/>
        <v>0</v>
      </c>
      <c r="CH865" s="12">
        <f t="shared" si="840"/>
        <v>0</v>
      </c>
      <c r="CI865" s="12">
        <f t="shared" si="840"/>
        <v>0</v>
      </c>
      <c r="CK865" s="11"/>
      <c r="CM865" s="11"/>
      <c r="CV865" s="120"/>
      <c r="DF865" s="11"/>
      <c r="EY865" s="12" t="str">
        <f t="shared" ca="1" si="841"/>
        <v>Interest Payment Loan 6</v>
      </c>
    </row>
    <row r="866" spans="1:155" x14ac:dyDescent="0.35">
      <c r="B866" s="69" t="str" cm="1">
        <f t="array" aca="1" ref="B866" ca="1">HYPERLINK(CONCATENATE("#",CELL("address",$D$170)),$D$170)</f>
        <v>Loan 7</v>
      </c>
      <c r="C866" s="211" t="s">
        <v>1276</v>
      </c>
      <c r="D866" s="49">
        <f>D$19</f>
        <v>0</v>
      </c>
      <c r="E866" s="49" t="str">
        <f>F$19</f>
        <v/>
      </c>
      <c r="F866" s="49"/>
      <c r="G866" s="10">
        <f>Q$19</f>
        <v>0</v>
      </c>
      <c r="H866" s="9"/>
      <c r="I866" s="40" t="s">
        <v>665</v>
      </c>
      <c r="V866" s="133">
        <f t="shared" si="837"/>
        <v>0</v>
      </c>
      <c r="W866" s="10">
        <f t="shared" si="837"/>
        <v>0</v>
      </c>
      <c r="X866" s="10">
        <f t="shared" si="837"/>
        <v>0</v>
      </c>
      <c r="Y866" s="10">
        <f t="shared" si="837"/>
        <v>0</v>
      </c>
      <c r="AA866" s="10">
        <f t="shared" ref="AA866:BV866" si="847">IF($G866=1, AA793, AA584)</f>
        <v>0</v>
      </c>
      <c r="AB866" s="10">
        <f t="shared" si="847"/>
        <v>0</v>
      </c>
      <c r="AC866" s="10">
        <f t="shared" si="847"/>
        <v>0</v>
      </c>
      <c r="AD866" s="10">
        <f t="shared" si="847"/>
        <v>0</v>
      </c>
      <c r="AE866" s="10">
        <f t="shared" si="847"/>
        <v>0</v>
      </c>
      <c r="AF866" s="10">
        <f t="shared" si="847"/>
        <v>0</v>
      </c>
      <c r="AG866" s="10">
        <f t="shared" si="847"/>
        <v>0</v>
      </c>
      <c r="AH866" s="10">
        <f t="shared" si="847"/>
        <v>0</v>
      </c>
      <c r="AI866" s="10">
        <f t="shared" si="847"/>
        <v>0</v>
      </c>
      <c r="AJ866" s="10">
        <f t="shared" si="847"/>
        <v>0</v>
      </c>
      <c r="AK866" s="10">
        <f t="shared" si="847"/>
        <v>0</v>
      </c>
      <c r="AL866" s="10">
        <f t="shared" si="847"/>
        <v>0</v>
      </c>
      <c r="AM866" s="10">
        <f t="shared" si="847"/>
        <v>0</v>
      </c>
      <c r="AN866" s="10">
        <f t="shared" si="847"/>
        <v>0</v>
      </c>
      <c r="AO866" s="10">
        <f t="shared" si="847"/>
        <v>0</v>
      </c>
      <c r="AP866" s="10">
        <f t="shared" si="847"/>
        <v>0</v>
      </c>
      <c r="AQ866" s="10">
        <f t="shared" si="847"/>
        <v>0</v>
      </c>
      <c r="AR866" s="10">
        <f t="shared" si="847"/>
        <v>0</v>
      </c>
      <c r="AS866" s="10">
        <f t="shared" si="847"/>
        <v>0</v>
      </c>
      <c r="AT866" s="10">
        <f t="shared" si="847"/>
        <v>0</v>
      </c>
      <c r="AU866" s="10">
        <f t="shared" si="847"/>
        <v>0</v>
      </c>
      <c r="AV866" s="10">
        <f t="shared" si="847"/>
        <v>0</v>
      </c>
      <c r="AW866" s="10">
        <f t="shared" si="847"/>
        <v>0</v>
      </c>
      <c r="AX866" s="10">
        <f t="shared" si="847"/>
        <v>0</v>
      </c>
      <c r="AY866" s="10">
        <f t="shared" si="847"/>
        <v>0</v>
      </c>
      <c r="AZ866" s="10">
        <f t="shared" si="847"/>
        <v>0</v>
      </c>
      <c r="BA866" s="10">
        <f t="shared" si="847"/>
        <v>0</v>
      </c>
      <c r="BB866" s="10">
        <f t="shared" si="847"/>
        <v>0</v>
      </c>
      <c r="BC866" s="10">
        <f t="shared" si="847"/>
        <v>0</v>
      </c>
      <c r="BD866" s="10">
        <f t="shared" si="847"/>
        <v>0</v>
      </c>
      <c r="BE866" s="10">
        <f t="shared" si="847"/>
        <v>0</v>
      </c>
      <c r="BF866" s="10">
        <f t="shared" si="847"/>
        <v>0</v>
      </c>
      <c r="BG866" s="10">
        <f t="shared" si="847"/>
        <v>0</v>
      </c>
      <c r="BH866" s="10">
        <f t="shared" si="847"/>
        <v>0</v>
      </c>
      <c r="BI866" s="10">
        <f t="shared" si="847"/>
        <v>0</v>
      </c>
      <c r="BJ866" s="10">
        <f t="shared" si="847"/>
        <v>0</v>
      </c>
      <c r="BK866" s="10">
        <f t="shared" si="847"/>
        <v>0</v>
      </c>
      <c r="BL866" s="10">
        <f t="shared" si="847"/>
        <v>0</v>
      </c>
      <c r="BM866" s="10">
        <f t="shared" si="847"/>
        <v>0</v>
      </c>
      <c r="BN866" s="10">
        <f t="shared" si="847"/>
        <v>0</v>
      </c>
      <c r="BO866" s="10">
        <f t="shared" si="847"/>
        <v>0</v>
      </c>
      <c r="BP866" s="10">
        <f t="shared" si="847"/>
        <v>0</v>
      </c>
      <c r="BQ866" s="10">
        <f t="shared" si="847"/>
        <v>0</v>
      </c>
      <c r="BR866" s="10">
        <f t="shared" si="847"/>
        <v>0</v>
      </c>
      <c r="BS866" s="10">
        <f t="shared" si="847"/>
        <v>0</v>
      </c>
      <c r="BT866" s="10">
        <f t="shared" si="847"/>
        <v>0</v>
      </c>
      <c r="BU866" s="10">
        <f t="shared" si="847"/>
        <v>0</v>
      </c>
      <c r="BV866" s="10">
        <f t="shared" si="847"/>
        <v>0</v>
      </c>
      <c r="BX866" s="10">
        <f t="shared" si="839"/>
        <v>0</v>
      </c>
      <c r="BY866" s="10">
        <f t="shared" si="839"/>
        <v>0</v>
      </c>
      <c r="BZ866" s="10">
        <f t="shared" si="839"/>
        <v>0</v>
      </c>
      <c r="CA866" s="10">
        <f t="shared" si="839"/>
        <v>0</v>
      </c>
      <c r="CB866" s="10">
        <f t="shared" si="839"/>
        <v>0</v>
      </c>
      <c r="CC866" s="12">
        <f t="shared" si="840"/>
        <v>0</v>
      </c>
      <c r="CD866" s="12">
        <f t="shared" si="840"/>
        <v>0</v>
      </c>
      <c r="CE866" s="12">
        <f t="shared" si="840"/>
        <v>0</v>
      </c>
      <c r="CF866" s="12">
        <f t="shared" si="840"/>
        <v>0</v>
      </c>
      <c r="CG866" s="12">
        <f t="shared" si="840"/>
        <v>0</v>
      </c>
      <c r="CH866" s="12">
        <f t="shared" si="840"/>
        <v>0</v>
      </c>
      <c r="CI866" s="12">
        <f t="shared" si="840"/>
        <v>0</v>
      </c>
      <c r="CK866" s="11"/>
      <c r="CM866" s="11"/>
      <c r="CV866" s="120"/>
      <c r="DF866" s="11"/>
      <c r="EY866" s="12" t="str">
        <f t="shared" ca="1" si="841"/>
        <v>Interest Payment Loan 7</v>
      </c>
    </row>
    <row r="867" spans="1:155" x14ac:dyDescent="0.35">
      <c r="B867" s="69" t="str" cm="1">
        <f t="array" aca="1" ref="B867" ca="1">HYPERLINK(CONCATENATE("#",CELL("address",$D$189)),$D$189)</f>
        <v>Loan 8</v>
      </c>
      <c r="C867" s="211" t="s">
        <v>1277</v>
      </c>
      <c r="D867" s="49">
        <f>D$20</f>
        <v>0</v>
      </c>
      <c r="E867" s="49" t="str">
        <f>F$20</f>
        <v/>
      </c>
      <c r="F867" s="49"/>
      <c r="G867" s="10">
        <f>Q$20</f>
        <v>0</v>
      </c>
      <c r="H867" s="9"/>
      <c r="I867" s="40" t="s">
        <v>665</v>
      </c>
      <c r="V867" s="133">
        <f t="shared" si="837"/>
        <v>0</v>
      </c>
      <c r="W867" s="10">
        <f t="shared" si="837"/>
        <v>0</v>
      </c>
      <c r="X867" s="10">
        <f t="shared" si="837"/>
        <v>0</v>
      </c>
      <c r="Y867" s="10">
        <f t="shared" si="837"/>
        <v>0</v>
      </c>
      <c r="AA867" s="10">
        <f t="shared" ref="AA867:BV867" si="848">IF($G867=1, AA794, AA585)</f>
        <v>0</v>
      </c>
      <c r="AB867" s="10">
        <f t="shared" si="848"/>
        <v>0</v>
      </c>
      <c r="AC867" s="10">
        <f t="shared" si="848"/>
        <v>0</v>
      </c>
      <c r="AD867" s="10">
        <f t="shared" si="848"/>
        <v>0</v>
      </c>
      <c r="AE867" s="10">
        <f t="shared" si="848"/>
        <v>0</v>
      </c>
      <c r="AF867" s="10">
        <f t="shared" si="848"/>
        <v>0</v>
      </c>
      <c r="AG867" s="10">
        <f t="shared" si="848"/>
        <v>0</v>
      </c>
      <c r="AH867" s="10">
        <f t="shared" si="848"/>
        <v>0</v>
      </c>
      <c r="AI867" s="10">
        <f t="shared" si="848"/>
        <v>0</v>
      </c>
      <c r="AJ867" s="10">
        <f t="shared" si="848"/>
        <v>0</v>
      </c>
      <c r="AK867" s="10">
        <f t="shared" si="848"/>
        <v>0</v>
      </c>
      <c r="AL867" s="10">
        <f t="shared" si="848"/>
        <v>0</v>
      </c>
      <c r="AM867" s="10">
        <f t="shared" si="848"/>
        <v>0</v>
      </c>
      <c r="AN867" s="10">
        <f t="shared" si="848"/>
        <v>0</v>
      </c>
      <c r="AO867" s="10">
        <f t="shared" si="848"/>
        <v>0</v>
      </c>
      <c r="AP867" s="10">
        <f t="shared" si="848"/>
        <v>0</v>
      </c>
      <c r="AQ867" s="10">
        <f t="shared" si="848"/>
        <v>0</v>
      </c>
      <c r="AR867" s="10">
        <f t="shared" si="848"/>
        <v>0</v>
      </c>
      <c r="AS867" s="10">
        <f t="shared" si="848"/>
        <v>0</v>
      </c>
      <c r="AT867" s="10">
        <f t="shared" si="848"/>
        <v>0</v>
      </c>
      <c r="AU867" s="10">
        <f t="shared" si="848"/>
        <v>0</v>
      </c>
      <c r="AV867" s="10">
        <f t="shared" si="848"/>
        <v>0</v>
      </c>
      <c r="AW867" s="10">
        <f t="shared" si="848"/>
        <v>0</v>
      </c>
      <c r="AX867" s="10">
        <f t="shared" si="848"/>
        <v>0</v>
      </c>
      <c r="AY867" s="10">
        <f t="shared" si="848"/>
        <v>0</v>
      </c>
      <c r="AZ867" s="10">
        <f t="shared" si="848"/>
        <v>0</v>
      </c>
      <c r="BA867" s="10">
        <f t="shared" si="848"/>
        <v>0</v>
      </c>
      <c r="BB867" s="10">
        <f t="shared" si="848"/>
        <v>0</v>
      </c>
      <c r="BC867" s="10">
        <f t="shared" si="848"/>
        <v>0</v>
      </c>
      <c r="BD867" s="10">
        <f t="shared" si="848"/>
        <v>0</v>
      </c>
      <c r="BE867" s="10">
        <f t="shared" si="848"/>
        <v>0</v>
      </c>
      <c r="BF867" s="10">
        <f t="shared" si="848"/>
        <v>0</v>
      </c>
      <c r="BG867" s="10">
        <f t="shared" si="848"/>
        <v>0</v>
      </c>
      <c r="BH867" s="10">
        <f t="shared" si="848"/>
        <v>0</v>
      </c>
      <c r="BI867" s="10">
        <f t="shared" si="848"/>
        <v>0</v>
      </c>
      <c r="BJ867" s="10">
        <f t="shared" si="848"/>
        <v>0</v>
      </c>
      <c r="BK867" s="10">
        <f t="shared" si="848"/>
        <v>0</v>
      </c>
      <c r="BL867" s="10">
        <f t="shared" si="848"/>
        <v>0</v>
      </c>
      <c r="BM867" s="10">
        <f t="shared" si="848"/>
        <v>0</v>
      </c>
      <c r="BN867" s="10">
        <f t="shared" si="848"/>
        <v>0</v>
      </c>
      <c r="BO867" s="10">
        <f t="shared" si="848"/>
        <v>0</v>
      </c>
      <c r="BP867" s="10">
        <f t="shared" si="848"/>
        <v>0</v>
      </c>
      <c r="BQ867" s="10">
        <f t="shared" si="848"/>
        <v>0</v>
      </c>
      <c r="BR867" s="10">
        <f t="shared" si="848"/>
        <v>0</v>
      </c>
      <c r="BS867" s="10">
        <f t="shared" si="848"/>
        <v>0</v>
      </c>
      <c r="BT867" s="10">
        <f t="shared" si="848"/>
        <v>0</v>
      </c>
      <c r="BU867" s="10">
        <f t="shared" si="848"/>
        <v>0</v>
      </c>
      <c r="BV867" s="10">
        <f t="shared" si="848"/>
        <v>0</v>
      </c>
      <c r="BX867" s="10">
        <f t="shared" si="839"/>
        <v>0</v>
      </c>
      <c r="BY867" s="10">
        <f t="shared" si="839"/>
        <v>0</v>
      </c>
      <c r="BZ867" s="10">
        <f t="shared" si="839"/>
        <v>0</v>
      </c>
      <c r="CA867" s="10">
        <f t="shared" si="839"/>
        <v>0</v>
      </c>
      <c r="CB867" s="10">
        <f t="shared" si="839"/>
        <v>0</v>
      </c>
      <c r="CC867" s="12">
        <f t="shared" si="840"/>
        <v>0</v>
      </c>
      <c r="CD867" s="12">
        <f t="shared" si="840"/>
        <v>0</v>
      </c>
      <c r="CE867" s="12">
        <f t="shared" si="840"/>
        <v>0</v>
      </c>
      <c r="CF867" s="12">
        <f t="shared" si="840"/>
        <v>0</v>
      </c>
      <c r="CG867" s="12">
        <f t="shared" si="840"/>
        <v>0</v>
      </c>
      <c r="CH867" s="12">
        <f t="shared" si="840"/>
        <v>0</v>
      </c>
      <c r="CI867" s="12">
        <f t="shared" si="840"/>
        <v>0</v>
      </c>
      <c r="CK867" s="11"/>
      <c r="CM867" s="11"/>
      <c r="CV867" s="120"/>
      <c r="DF867" s="11"/>
      <c r="EY867" s="12" t="str">
        <f t="shared" ca="1" si="841"/>
        <v>Interest Payment Loan 8</v>
      </c>
    </row>
    <row r="868" spans="1:155" x14ac:dyDescent="0.35">
      <c r="B868" s="69" t="str" cm="1">
        <f t="array" aca="1" ref="B868" ca="1">HYPERLINK(CONCATENATE("#",CELL("address",$D$208)),$D$208)</f>
        <v>Loan 9</v>
      </c>
      <c r="C868" s="211" t="s">
        <v>1278</v>
      </c>
      <c r="D868" s="49">
        <f>D$21</f>
        <v>0</v>
      </c>
      <c r="E868" s="49" t="str">
        <f>F$21</f>
        <v/>
      </c>
      <c r="F868" s="49"/>
      <c r="G868" s="10">
        <f>Q$21</f>
        <v>0</v>
      </c>
      <c r="H868" s="9"/>
      <c r="I868" s="40" t="s">
        <v>665</v>
      </c>
      <c r="V868" s="133">
        <f t="shared" si="837"/>
        <v>0</v>
      </c>
      <c r="W868" s="10">
        <f t="shared" si="837"/>
        <v>0</v>
      </c>
      <c r="X868" s="10">
        <f t="shared" si="837"/>
        <v>0</v>
      </c>
      <c r="Y868" s="10">
        <f t="shared" si="837"/>
        <v>0</v>
      </c>
      <c r="AA868" s="10">
        <f t="shared" ref="AA868:BV868" si="849">IF($G868=1, AA795, AA586)</f>
        <v>0</v>
      </c>
      <c r="AB868" s="10">
        <f t="shared" si="849"/>
        <v>0</v>
      </c>
      <c r="AC868" s="10">
        <f t="shared" si="849"/>
        <v>0</v>
      </c>
      <c r="AD868" s="10">
        <f t="shared" si="849"/>
        <v>0</v>
      </c>
      <c r="AE868" s="10">
        <f t="shared" si="849"/>
        <v>0</v>
      </c>
      <c r="AF868" s="10">
        <f t="shared" si="849"/>
        <v>0</v>
      </c>
      <c r="AG868" s="10">
        <f t="shared" si="849"/>
        <v>0</v>
      </c>
      <c r="AH868" s="10">
        <f t="shared" si="849"/>
        <v>0</v>
      </c>
      <c r="AI868" s="10">
        <f t="shared" si="849"/>
        <v>0</v>
      </c>
      <c r="AJ868" s="10">
        <f t="shared" si="849"/>
        <v>0</v>
      </c>
      <c r="AK868" s="10">
        <f t="shared" si="849"/>
        <v>0</v>
      </c>
      <c r="AL868" s="10">
        <f t="shared" si="849"/>
        <v>0</v>
      </c>
      <c r="AM868" s="10">
        <f t="shared" si="849"/>
        <v>0</v>
      </c>
      <c r="AN868" s="10">
        <f t="shared" si="849"/>
        <v>0</v>
      </c>
      <c r="AO868" s="10">
        <f t="shared" si="849"/>
        <v>0</v>
      </c>
      <c r="AP868" s="10">
        <f t="shared" si="849"/>
        <v>0</v>
      </c>
      <c r="AQ868" s="10">
        <f t="shared" si="849"/>
        <v>0</v>
      </c>
      <c r="AR868" s="10">
        <f t="shared" si="849"/>
        <v>0</v>
      </c>
      <c r="AS868" s="10">
        <f t="shared" si="849"/>
        <v>0</v>
      </c>
      <c r="AT868" s="10">
        <f t="shared" si="849"/>
        <v>0</v>
      </c>
      <c r="AU868" s="10">
        <f t="shared" si="849"/>
        <v>0</v>
      </c>
      <c r="AV868" s="10">
        <f t="shared" si="849"/>
        <v>0</v>
      </c>
      <c r="AW868" s="10">
        <f t="shared" si="849"/>
        <v>0</v>
      </c>
      <c r="AX868" s="10">
        <f t="shared" si="849"/>
        <v>0</v>
      </c>
      <c r="AY868" s="10">
        <f t="shared" si="849"/>
        <v>0</v>
      </c>
      <c r="AZ868" s="10">
        <f t="shared" si="849"/>
        <v>0</v>
      </c>
      <c r="BA868" s="10">
        <f t="shared" si="849"/>
        <v>0</v>
      </c>
      <c r="BB868" s="10">
        <f t="shared" si="849"/>
        <v>0</v>
      </c>
      <c r="BC868" s="10">
        <f t="shared" si="849"/>
        <v>0</v>
      </c>
      <c r="BD868" s="10">
        <f t="shared" si="849"/>
        <v>0</v>
      </c>
      <c r="BE868" s="10">
        <f t="shared" si="849"/>
        <v>0</v>
      </c>
      <c r="BF868" s="10">
        <f t="shared" si="849"/>
        <v>0</v>
      </c>
      <c r="BG868" s="10">
        <f t="shared" si="849"/>
        <v>0</v>
      </c>
      <c r="BH868" s="10">
        <f t="shared" si="849"/>
        <v>0</v>
      </c>
      <c r="BI868" s="10">
        <f t="shared" si="849"/>
        <v>0</v>
      </c>
      <c r="BJ868" s="10">
        <f t="shared" si="849"/>
        <v>0</v>
      </c>
      <c r="BK868" s="10">
        <f t="shared" si="849"/>
        <v>0</v>
      </c>
      <c r="BL868" s="10">
        <f t="shared" si="849"/>
        <v>0</v>
      </c>
      <c r="BM868" s="10">
        <f t="shared" si="849"/>
        <v>0</v>
      </c>
      <c r="BN868" s="10">
        <f t="shared" si="849"/>
        <v>0</v>
      </c>
      <c r="BO868" s="10">
        <f t="shared" si="849"/>
        <v>0</v>
      </c>
      <c r="BP868" s="10">
        <f t="shared" si="849"/>
        <v>0</v>
      </c>
      <c r="BQ868" s="10">
        <f t="shared" si="849"/>
        <v>0</v>
      </c>
      <c r="BR868" s="10">
        <f t="shared" si="849"/>
        <v>0</v>
      </c>
      <c r="BS868" s="10">
        <f t="shared" si="849"/>
        <v>0</v>
      </c>
      <c r="BT868" s="10">
        <f t="shared" si="849"/>
        <v>0</v>
      </c>
      <c r="BU868" s="10">
        <f t="shared" si="849"/>
        <v>0</v>
      </c>
      <c r="BV868" s="10">
        <f t="shared" si="849"/>
        <v>0</v>
      </c>
      <c r="BX868" s="10">
        <f t="shared" si="839"/>
        <v>0</v>
      </c>
      <c r="BY868" s="10">
        <f t="shared" si="839"/>
        <v>0</v>
      </c>
      <c r="BZ868" s="10">
        <f t="shared" si="839"/>
        <v>0</v>
      </c>
      <c r="CA868" s="10">
        <f t="shared" si="839"/>
        <v>0</v>
      </c>
      <c r="CB868" s="10">
        <f t="shared" si="839"/>
        <v>0</v>
      </c>
      <c r="CC868" s="12">
        <f t="shared" si="840"/>
        <v>0</v>
      </c>
      <c r="CD868" s="12">
        <f t="shared" si="840"/>
        <v>0</v>
      </c>
      <c r="CE868" s="12">
        <f t="shared" si="840"/>
        <v>0</v>
      </c>
      <c r="CF868" s="12">
        <f t="shared" si="840"/>
        <v>0</v>
      </c>
      <c r="CG868" s="12">
        <f t="shared" si="840"/>
        <v>0</v>
      </c>
      <c r="CH868" s="12">
        <f t="shared" si="840"/>
        <v>0</v>
      </c>
      <c r="CI868" s="12">
        <f t="shared" si="840"/>
        <v>0</v>
      </c>
      <c r="CK868" s="11"/>
      <c r="CM868" s="11"/>
      <c r="CV868" s="120"/>
      <c r="DF868" s="11"/>
      <c r="EY868" s="12" t="str">
        <f t="shared" ca="1" si="841"/>
        <v>Interest Payment Loan 9</v>
      </c>
    </row>
    <row r="869" spans="1:155" x14ac:dyDescent="0.35">
      <c r="B869" s="69" t="str" cm="1">
        <f t="array" aca="1" ref="B869" ca="1">HYPERLINK(CONCATENATE("#",CELL("address",$D$227)),$D$227)</f>
        <v>Loan 10</v>
      </c>
      <c r="C869" s="211" t="s">
        <v>1279</v>
      </c>
      <c r="D869" s="49">
        <f>D$22</f>
        <v>0</v>
      </c>
      <c r="E869" s="49" t="str">
        <f>F$22</f>
        <v/>
      </c>
      <c r="F869" s="49"/>
      <c r="G869" s="10">
        <f>Q$22</f>
        <v>0</v>
      </c>
      <c r="H869" s="9"/>
      <c r="I869" s="40" t="s">
        <v>665</v>
      </c>
      <c r="V869" s="133">
        <f t="shared" si="837"/>
        <v>0</v>
      </c>
      <c r="W869" s="10">
        <f t="shared" si="837"/>
        <v>0</v>
      </c>
      <c r="X869" s="10">
        <f t="shared" si="837"/>
        <v>0</v>
      </c>
      <c r="Y869" s="10">
        <f t="shared" si="837"/>
        <v>0</v>
      </c>
      <c r="AA869" s="10">
        <f t="shared" ref="AA869:BV869" si="850">IF($G869=1, AA796, AA587)</f>
        <v>0</v>
      </c>
      <c r="AB869" s="10">
        <f t="shared" si="850"/>
        <v>0</v>
      </c>
      <c r="AC869" s="10">
        <f t="shared" si="850"/>
        <v>0</v>
      </c>
      <c r="AD869" s="10">
        <f t="shared" si="850"/>
        <v>0</v>
      </c>
      <c r="AE869" s="10">
        <f t="shared" si="850"/>
        <v>0</v>
      </c>
      <c r="AF869" s="10">
        <f t="shared" si="850"/>
        <v>0</v>
      </c>
      <c r="AG869" s="10">
        <f t="shared" si="850"/>
        <v>0</v>
      </c>
      <c r="AH869" s="10">
        <f t="shared" si="850"/>
        <v>0</v>
      </c>
      <c r="AI869" s="10">
        <f t="shared" si="850"/>
        <v>0</v>
      </c>
      <c r="AJ869" s="10">
        <f t="shared" si="850"/>
        <v>0</v>
      </c>
      <c r="AK869" s="10">
        <f t="shared" si="850"/>
        <v>0</v>
      </c>
      <c r="AL869" s="10">
        <f t="shared" si="850"/>
        <v>0</v>
      </c>
      <c r="AM869" s="10">
        <f t="shared" si="850"/>
        <v>0</v>
      </c>
      <c r="AN869" s="10">
        <f t="shared" si="850"/>
        <v>0</v>
      </c>
      <c r="AO869" s="10">
        <f t="shared" si="850"/>
        <v>0</v>
      </c>
      <c r="AP869" s="10">
        <f t="shared" si="850"/>
        <v>0</v>
      </c>
      <c r="AQ869" s="10">
        <f t="shared" si="850"/>
        <v>0</v>
      </c>
      <c r="AR869" s="10">
        <f t="shared" si="850"/>
        <v>0</v>
      </c>
      <c r="AS869" s="10">
        <f t="shared" si="850"/>
        <v>0</v>
      </c>
      <c r="AT869" s="10">
        <f t="shared" si="850"/>
        <v>0</v>
      </c>
      <c r="AU869" s="10">
        <f t="shared" si="850"/>
        <v>0</v>
      </c>
      <c r="AV869" s="10">
        <f t="shared" si="850"/>
        <v>0</v>
      </c>
      <c r="AW869" s="10">
        <f t="shared" si="850"/>
        <v>0</v>
      </c>
      <c r="AX869" s="10">
        <f t="shared" si="850"/>
        <v>0</v>
      </c>
      <c r="AY869" s="10">
        <f t="shared" si="850"/>
        <v>0</v>
      </c>
      <c r="AZ869" s="10">
        <f t="shared" si="850"/>
        <v>0</v>
      </c>
      <c r="BA869" s="10">
        <f t="shared" si="850"/>
        <v>0</v>
      </c>
      <c r="BB869" s="10">
        <f t="shared" si="850"/>
        <v>0</v>
      </c>
      <c r="BC869" s="10">
        <f t="shared" si="850"/>
        <v>0</v>
      </c>
      <c r="BD869" s="10">
        <f t="shared" si="850"/>
        <v>0</v>
      </c>
      <c r="BE869" s="10">
        <f t="shared" si="850"/>
        <v>0</v>
      </c>
      <c r="BF869" s="10">
        <f t="shared" si="850"/>
        <v>0</v>
      </c>
      <c r="BG869" s="10">
        <f t="shared" si="850"/>
        <v>0</v>
      </c>
      <c r="BH869" s="10">
        <f t="shared" si="850"/>
        <v>0</v>
      </c>
      <c r="BI869" s="10">
        <f t="shared" si="850"/>
        <v>0</v>
      </c>
      <c r="BJ869" s="10">
        <f t="shared" si="850"/>
        <v>0</v>
      </c>
      <c r="BK869" s="10">
        <f t="shared" si="850"/>
        <v>0</v>
      </c>
      <c r="BL869" s="10">
        <f t="shared" si="850"/>
        <v>0</v>
      </c>
      <c r="BM869" s="10">
        <f t="shared" si="850"/>
        <v>0</v>
      </c>
      <c r="BN869" s="10">
        <f t="shared" si="850"/>
        <v>0</v>
      </c>
      <c r="BO869" s="10">
        <f t="shared" si="850"/>
        <v>0</v>
      </c>
      <c r="BP869" s="10">
        <f t="shared" si="850"/>
        <v>0</v>
      </c>
      <c r="BQ869" s="10">
        <f t="shared" si="850"/>
        <v>0</v>
      </c>
      <c r="BR869" s="10">
        <f t="shared" si="850"/>
        <v>0</v>
      </c>
      <c r="BS869" s="10">
        <f t="shared" si="850"/>
        <v>0</v>
      </c>
      <c r="BT869" s="10">
        <f t="shared" si="850"/>
        <v>0</v>
      </c>
      <c r="BU869" s="10">
        <f t="shared" si="850"/>
        <v>0</v>
      </c>
      <c r="BV869" s="10">
        <f t="shared" si="850"/>
        <v>0</v>
      </c>
      <c r="BX869" s="10">
        <f t="shared" si="839"/>
        <v>0</v>
      </c>
      <c r="BY869" s="10">
        <f t="shared" si="839"/>
        <v>0</v>
      </c>
      <c r="BZ869" s="10">
        <f t="shared" si="839"/>
        <v>0</v>
      </c>
      <c r="CA869" s="10">
        <f t="shared" si="839"/>
        <v>0</v>
      </c>
      <c r="CB869" s="10">
        <f t="shared" si="839"/>
        <v>0</v>
      </c>
      <c r="CC869" s="12">
        <f t="shared" si="840"/>
        <v>0</v>
      </c>
      <c r="CD869" s="12">
        <f t="shared" si="840"/>
        <v>0</v>
      </c>
      <c r="CE869" s="12">
        <f t="shared" si="840"/>
        <v>0</v>
      </c>
      <c r="CF869" s="12">
        <f t="shared" si="840"/>
        <v>0</v>
      </c>
      <c r="CG869" s="12">
        <f t="shared" si="840"/>
        <v>0</v>
      </c>
      <c r="CH869" s="12">
        <f t="shared" si="840"/>
        <v>0</v>
      </c>
      <c r="CI869" s="12">
        <f t="shared" si="840"/>
        <v>0</v>
      </c>
      <c r="CK869" s="11"/>
      <c r="CM869" s="11"/>
      <c r="CV869" s="120"/>
      <c r="DF869" s="11"/>
      <c r="EY869" s="12" t="str">
        <f t="shared" ca="1" si="841"/>
        <v>Interest Payment Loan 10</v>
      </c>
    </row>
    <row r="870" spans="1:155" x14ac:dyDescent="0.35">
      <c r="B870" s="69" t="str" cm="1">
        <f t="array" aca="1" ref="B870" ca="1">HYPERLINK(CONCATENATE("#",CELL("address",$D$246)),$D$246)</f>
        <v>Loan 11</v>
      </c>
      <c r="C870" s="211" t="s">
        <v>1280</v>
      </c>
      <c r="D870" s="49">
        <f>D$23</f>
        <v>0</v>
      </c>
      <c r="E870" s="49" t="str">
        <f>F$23</f>
        <v/>
      </c>
      <c r="F870" s="49"/>
      <c r="G870" s="10">
        <f>Q$23</f>
        <v>0</v>
      </c>
      <c r="H870" s="9"/>
      <c r="I870" s="40" t="s">
        <v>665</v>
      </c>
      <c r="V870" s="133">
        <f t="shared" si="837"/>
        <v>0</v>
      </c>
      <c r="W870" s="10">
        <f t="shared" si="837"/>
        <v>0</v>
      </c>
      <c r="X870" s="10">
        <f t="shared" si="837"/>
        <v>0</v>
      </c>
      <c r="Y870" s="10">
        <f t="shared" si="837"/>
        <v>0</v>
      </c>
      <c r="AA870" s="10">
        <f t="shared" ref="AA870:BV870" si="851">IF($G870=1, AA797, AA588)</f>
        <v>0</v>
      </c>
      <c r="AB870" s="10">
        <f t="shared" si="851"/>
        <v>0</v>
      </c>
      <c r="AC870" s="10">
        <f t="shared" si="851"/>
        <v>0</v>
      </c>
      <c r="AD870" s="10">
        <f t="shared" si="851"/>
        <v>0</v>
      </c>
      <c r="AE870" s="10">
        <f t="shared" si="851"/>
        <v>0</v>
      </c>
      <c r="AF870" s="10">
        <f t="shared" si="851"/>
        <v>0</v>
      </c>
      <c r="AG870" s="10">
        <f t="shared" si="851"/>
        <v>0</v>
      </c>
      <c r="AH870" s="10">
        <f t="shared" si="851"/>
        <v>0</v>
      </c>
      <c r="AI870" s="10">
        <f t="shared" si="851"/>
        <v>0</v>
      </c>
      <c r="AJ870" s="10">
        <f t="shared" si="851"/>
        <v>0</v>
      </c>
      <c r="AK870" s="10">
        <f t="shared" si="851"/>
        <v>0</v>
      </c>
      <c r="AL870" s="10">
        <f t="shared" si="851"/>
        <v>0</v>
      </c>
      <c r="AM870" s="10">
        <f t="shared" si="851"/>
        <v>0</v>
      </c>
      <c r="AN870" s="10">
        <f t="shared" si="851"/>
        <v>0</v>
      </c>
      <c r="AO870" s="10">
        <f t="shared" si="851"/>
        <v>0</v>
      </c>
      <c r="AP870" s="10">
        <f t="shared" si="851"/>
        <v>0</v>
      </c>
      <c r="AQ870" s="10">
        <f t="shared" si="851"/>
        <v>0</v>
      </c>
      <c r="AR870" s="10">
        <f t="shared" si="851"/>
        <v>0</v>
      </c>
      <c r="AS870" s="10">
        <f t="shared" si="851"/>
        <v>0</v>
      </c>
      <c r="AT870" s="10">
        <f t="shared" si="851"/>
        <v>0</v>
      </c>
      <c r="AU870" s="10">
        <f t="shared" si="851"/>
        <v>0</v>
      </c>
      <c r="AV870" s="10">
        <f t="shared" si="851"/>
        <v>0</v>
      </c>
      <c r="AW870" s="10">
        <f t="shared" si="851"/>
        <v>0</v>
      </c>
      <c r="AX870" s="10">
        <f t="shared" si="851"/>
        <v>0</v>
      </c>
      <c r="AY870" s="10">
        <f t="shared" si="851"/>
        <v>0</v>
      </c>
      <c r="AZ870" s="10">
        <f t="shared" si="851"/>
        <v>0</v>
      </c>
      <c r="BA870" s="10">
        <f t="shared" si="851"/>
        <v>0</v>
      </c>
      <c r="BB870" s="10">
        <f t="shared" si="851"/>
        <v>0</v>
      </c>
      <c r="BC870" s="10">
        <f t="shared" si="851"/>
        <v>0</v>
      </c>
      <c r="BD870" s="10">
        <f t="shared" si="851"/>
        <v>0</v>
      </c>
      <c r="BE870" s="10">
        <f t="shared" si="851"/>
        <v>0</v>
      </c>
      <c r="BF870" s="10">
        <f t="shared" si="851"/>
        <v>0</v>
      </c>
      <c r="BG870" s="10">
        <f t="shared" si="851"/>
        <v>0</v>
      </c>
      <c r="BH870" s="10">
        <f t="shared" si="851"/>
        <v>0</v>
      </c>
      <c r="BI870" s="10">
        <f t="shared" si="851"/>
        <v>0</v>
      </c>
      <c r="BJ870" s="10">
        <f t="shared" si="851"/>
        <v>0</v>
      </c>
      <c r="BK870" s="10">
        <f t="shared" si="851"/>
        <v>0</v>
      </c>
      <c r="BL870" s="10">
        <f t="shared" si="851"/>
        <v>0</v>
      </c>
      <c r="BM870" s="10">
        <f t="shared" si="851"/>
        <v>0</v>
      </c>
      <c r="BN870" s="10">
        <f t="shared" si="851"/>
        <v>0</v>
      </c>
      <c r="BO870" s="10">
        <f t="shared" si="851"/>
        <v>0</v>
      </c>
      <c r="BP870" s="10">
        <f t="shared" si="851"/>
        <v>0</v>
      </c>
      <c r="BQ870" s="10">
        <f t="shared" si="851"/>
        <v>0</v>
      </c>
      <c r="BR870" s="10">
        <f t="shared" si="851"/>
        <v>0</v>
      </c>
      <c r="BS870" s="10">
        <f t="shared" si="851"/>
        <v>0</v>
      </c>
      <c r="BT870" s="10">
        <f t="shared" si="851"/>
        <v>0</v>
      </c>
      <c r="BU870" s="10">
        <f t="shared" si="851"/>
        <v>0</v>
      </c>
      <c r="BV870" s="10">
        <f t="shared" si="851"/>
        <v>0</v>
      </c>
      <c r="BX870" s="10">
        <f t="shared" ref="BX870:CB879" si="852">IF($G870=1, BX797, BX588)</f>
        <v>0</v>
      </c>
      <c r="BY870" s="10">
        <f t="shared" si="852"/>
        <v>0</v>
      </c>
      <c r="BZ870" s="10">
        <f t="shared" si="852"/>
        <v>0</v>
      </c>
      <c r="CA870" s="10">
        <f t="shared" si="852"/>
        <v>0</v>
      </c>
      <c r="CB870" s="10">
        <f t="shared" si="852"/>
        <v>0</v>
      </c>
      <c r="CC870" s="12">
        <f t="shared" ref="CC870:CI879" si="853">CC588</f>
        <v>0</v>
      </c>
      <c r="CD870" s="12">
        <f t="shared" si="853"/>
        <v>0</v>
      </c>
      <c r="CE870" s="12">
        <f t="shared" si="853"/>
        <v>0</v>
      </c>
      <c r="CF870" s="12">
        <f t="shared" si="853"/>
        <v>0</v>
      </c>
      <c r="CG870" s="12">
        <f t="shared" si="853"/>
        <v>0</v>
      </c>
      <c r="CH870" s="12">
        <f t="shared" si="853"/>
        <v>0</v>
      </c>
      <c r="CI870" s="12">
        <f t="shared" si="853"/>
        <v>0</v>
      </c>
      <c r="CK870" s="11"/>
      <c r="CM870" s="11"/>
      <c r="CV870" s="120"/>
      <c r="DF870" s="11"/>
      <c r="EY870" s="12" t="str">
        <f t="shared" ca="1" si="841"/>
        <v>Interest Payment Loan 11</v>
      </c>
    </row>
    <row r="871" spans="1:155" x14ac:dyDescent="0.35">
      <c r="B871" s="69" t="str" cm="1">
        <f t="array" aca="1" ref="B871" ca="1">HYPERLINK(CONCATENATE("#",CELL("address",$D$265)),$D$265)</f>
        <v>Loan 12</v>
      </c>
      <c r="C871" s="211" t="s">
        <v>1281</v>
      </c>
      <c r="D871" s="49">
        <f>D$24</f>
        <v>0</v>
      </c>
      <c r="E871" s="49" t="str">
        <f>F$24</f>
        <v/>
      </c>
      <c r="F871" s="49"/>
      <c r="G871" s="10">
        <f>Q$24</f>
        <v>0</v>
      </c>
      <c r="H871" s="9"/>
      <c r="I871" s="40" t="s">
        <v>665</v>
      </c>
      <c r="V871" s="133">
        <f t="shared" si="837"/>
        <v>0</v>
      </c>
      <c r="W871" s="10">
        <f t="shared" si="837"/>
        <v>0</v>
      </c>
      <c r="X871" s="10">
        <f t="shared" si="837"/>
        <v>0</v>
      </c>
      <c r="Y871" s="10">
        <f t="shared" si="837"/>
        <v>0</v>
      </c>
      <c r="AA871" s="10">
        <f t="shared" ref="AA871:BV871" si="854">IF($G871=1, AA798, AA589)</f>
        <v>0</v>
      </c>
      <c r="AB871" s="10">
        <f t="shared" si="854"/>
        <v>0</v>
      </c>
      <c r="AC871" s="10">
        <f t="shared" si="854"/>
        <v>0</v>
      </c>
      <c r="AD871" s="10">
        <f t="shared" si="854"/>
        <v>0</v>
      </c>
      <c r="AE871" s="10">
        <f t="shared" si="854"/>
        <v>0</v>
      </c>
      <c r="AF871" s="10">
        <f t="shared" si="854"/>
        <v>0</v>
      </c>
      <c r="AG871" s="10">
        <f t="shared" si="854"/>
        <v>0</v>
      </c>
      <c r="AH871" s="10">
        <f t="shared" si="854"/>
        <v>0</v>
      </c>
      <c r="AI871" s="10">
        <f t="shared" si="854"/>
        <v>0</v>
      </c>
      <c r="AJ871" s="10">
        <f t="shared" si="854"/>
        <v>0</v>
      </c>
      <c r="AK871" s="10">
        <f t="shared" si="854"/>
        <v>0</v>
      </c>
      <c r="AL871" s="10">
        <f t="shared" si="854"/>
        <v>0</v>
      </c>
      <c r="AM871" s="10">
        <f t="shared" si="854"/>
        <v>0</v>
      </c>
      <c r="AN871" s="10">
        <f t="shared" si="854"/>
        <v>0</v>
      </c>
      <c r="AO871" s="10">
        <f t="shared" si="854"/>
        <v>0</v>
      </c>
      <c r="AP871" s="10">
        <f t="shared" si="854"/>
        <v>0</v>
      </c>
      <c r="AQ871" s="10">
        <f t="shared" si="854"/>
        <v>0</v>
      </c>
      <c r="AR871" s="10">
        <f t="shared" si="854"/>
        <v>0</v>
      </c>
      <c r="AS871" s="10">
        <f t="shared" si="854"/>
        <v>0</v>
      </c>
      <c r="AT871" s="10">
        <f t="shared" si="854"/>
        <v>0</v>
      </c>
      <c r="AU871" s="10">
        <f t="shared" si="854"/>
        <v>0</v>
      </c>
      <c r="AV871" s="10">
        <f t="shared" si="854"/>
        <v>0</v>
      </c>
      <c r="AW871" s="10">
        <f t="shared" si="854"/>
        <v>0</v>
      </c>
      <c r="AX871" s="10">
        <f t="shared" si="854"/>
        <v>0</v>
      </c>
      <c r="AY871" s="10">
        <f t="shared" si="854"/>
        <v>0</v>
      </c>
      <c r="AZ871" s="10">
        <f t="shared" si="854"/>
        <v>0</v>
      </c>
      <c r="BA871" s="10">
        <f t="shared" si="854"/>
        <v>0</v>
      </c>
      <c r="BB871" s="10">
        <f t="shared" si="854"/>
        <v>0</v>
      </c>
      <c r="BC871" s="10">
        <f t="shared" si="854"/>
        <v>0</v>
      </c>
      <c r="BD871" s="10">
        <f t="shared" si="854"/>
        <v>0</v>
      </c>
      <c r="BE871" s="10">
        <f t="shared" si="854"/>
        <v>0</v>
      </c>
      <c r="BF871" s="10">
        <f t="shared" si="854"/>
        <v>0</v>
      </c>
      <c r="BG871" s="10">
        <f t="shared" si="854"/>
        <v>0</v>
      </c>
      <c r="BH871" s="10">
        <f t="shared" si="854"/>
        <v>0</v>
      </c>
      <c r="BI871" s="10">
        <f t="shared" si="854"/>
        <v>0</v>
      </c>
      <c r="BJ871" s="10">
        <f t="shared" si="854"/>
        <v>0</v>
      </c>
      <c r="BK871" s="10">
        <f t="shared" si="854"/>
        <v>0</v>
      </c>
      <c r="BL871" s="10">
        <f t="shared" si="854"/>
        <v>0</v>
      </c>
      <c r="BM871" s="10">
        <f t="shared" si="854"/>
        <v>0</v>
      </c>
      <c r="BN871" s="10">
        <f t="shared" si="854"/>
        <v>0</v>
      </c>
      <c r="BO871" s="10">
        <f t="shared" si="854"/>
        <v>0</v>
      </c>
      <c r="BP871" s="10">
        <f t="shared" si="854"/>
        <v>0</v>
      </c>
      <c r="BQ871" s="10">
        <f t="shared" si="854"/>
        <v>0</v>
      </c>
      <c r="BR871" s="10">
        <f t="shared" si="854"/>
        <v>0</v>
      </c>
      <c r="BS871" s="10">
        <f t="shared" si="854"/>
        <v>0</v>
      </c>
      <c r="BT871" s="10">
        <f t="shared" si="854"/>
        <v>0</v>
      </c>
      <c r="BU871" s="10">
        <f t="shared" si="854"/>
        <v>0</v>
      </c>
      <c r="BV871" s="10">
        <f t="shared" si="854"/>
        <v>0</v>
      </c>
      <c r="BX871" s="10">
        <f t="shared" si="852"/>
        <v>0</v>
      </c>
      <c r="BY871" s="10">
        <f t="shared" si="852"/>
        <v>0</v>
      </c>
      <c r="BZ871" s="10">
        <f t="shared" si="852"/>
        <v>0</v>
      </c>
      <c r="CA871" s="10">
        <f t="shared" si="852"/>
        <v>0</v>
      </c>
      <c r="CB871" s="10">
        <f t="shared" si="852"/>
        <v>0</v>
      </c>
      <c r="CC871" s="12">
        <f t="shared" si="853"/>
        <v>0</v>
      </c>
      <c r="CD871" s="12">
        <f t="shared" si="853"/>
        <v>0</v>
      </c>
      <c r="CE871" s="12">
        <f t="shared" si="853"/>
        <v>0</v>
      </c>
      <c r="CF871" s="12">
        <f t="shared" si="853"/>
        <v>0</v>
      </c>
      <c r="CG871" s="12">
        <f t="shared" si="853"/>
        <v>0</v>
      </c>
      <c r="CH871" s="12">
        <f t="shared" si="853"/>
        <v>0</v>
      </c>
      <c r="CI871" s="12">
        <f t="shared" si="853"/>
        <v>0</v>
      </c>
      <c r="CK871" s="11"/>
      <c r="CM871" s="11"/>
      <c r="CV871" s="120"/>
      <c r="DF871" s="11"/>
      <c r="EY871" s="12" t="str">
        <f t="shared" ca="1" si="841"/>
        <v>Interest Payment Loan 12</v>
      </c>
    </row>
    <row r="872" spans="1:155" x14ac:dyDescent="0.35">
      <c r="B872" s="69" t="str" cm="1">
        <f t="array" aca="1" ref="B872" ca="1">HYPERLINK(CONCATENATE("#",CELL("address",$D$284)),$D$284)</f>
        <v>Loan 13</v>
      </c>
      <c r="C872" s="211" t="s">
        <v>1282</v>
      </c>
      <c r="D872" s="49">
        <f>D$25</f>
        <v>0</v>
      </c>
      <c r="E872" s="49" t="str">
        <f>F$25</f>
        <v/>
      </c>
      <c r="F872" s="49"/>
      <c r="G872" s="10">
        <f>Q$25</f>
        <v>0</v>
      </c>
      <c r="H872" s="9"/>
      <c r="I872" s="40" t="s">
        <v>665</v>
      </c>
      <c r="V872" s="133">
        <f t="shared" si="837"/>
        <v>0</v>
      </c>
      <c r="W872" s="10">
        <f t="shared" si="837"/>
        <v>0</v>
      </c>
      <c r="X872" s="10">
        <f t="shared" si="837"/>
        <v>0</v>
      </c>
      <c r="Y872" s="10">
        <f t="shared" si="837"/>
        <v>0</v>
      </c>
      <c r="AA872" s="10">
        <f t="shared" ref="AA872:BV872" si="855">IF($G872=1, AA799, AA590)</f>
        <v>0</v>
      </c>
      <c r="AB872" s="10">
        <f t="shared" si="855"/>
        <v>0</v>
      </c>
      <c r="AC872" s="10">
        <f t="shared" si="855"/>
        <v>0</v>
      </c>
      <c r="AD872" s="10">
        <f t="shared" si="855"/>
        <v>0</v>
      </c>
      <c r="AE872" s="10">
        <f t="shared" si="855"/>
        <v>0</v>
      </c>
      <c r="AF872" s="10">
        <f t="shared" si="855"/>
        <v>0</v>
      </c>
      <c r="AG872" s="10">
        <f t="shared" si="855"/>
        <v>0</v>
      </c>
      <c r="AH872" s="10">
        <f t="shared" si="855"/>
        <v>0</v>
      </c>
      <c r="AI872" s="10">
        <f t="shared" si="855"/>
        <v>0</v>
      </c>
      <c r="AJ872" s="10">
        <f t="shared" si="855"/>
        <v>0</v>
      </c>
      <c r="AK872" s="10">
        <f t="shared" si="855"/>
        <v>0</v>
      </c>
      <c r="AL872" s="10">
        <f t="shared" si="855"/>
        <v>0</v>
      </c>
      <c r="AM872" s="10">
        <f t="shared" si="855"/>
        <v>0</v>
      </c>
      <c r="AN872" s="10">
        <f t="shared" si="855"/>
        <v>0</v>
      </c>
      <c r="AO872" s="10">
        <f t="shared" si="855"/>
        <v>0</v>
      </c>
      <c r="AP872" s="10">
        <f t="shared" si="855"/>
        <v>0</v>
      </c>
      <c r="AQ872" s="10">
        <f t="shared" si="855"/>
        <v>0</v>
      </c>
      <c r="AR872" s="10">
        <f t="shared" si="855"/>
        <v>0</v>
      </c>
      <c r="AS872" s="10">
        <f t="shared" si="855"/>
        <v>0</v>
      </c>
      <c r="AT872" s="10">
        <f t="shared" si="855"/>
        <v>0</v>
      </c>
      <c r="AU872" s="10">
        <f t="shared" si="855"/>
        <v>0</v>
      </c>
      <c r="AV872" s="10">
        <f t="shared" si="855"/>
        <v>0</v>
      </c>
      <c r="AW872" s="10">
        <f t="shared" si="855"/>
        <v>0</v>
      </c>
      <c r="AX872" s="10">
        <f t="shared" si="855"/>
        <v>0</v>
      </c>
      <c r="AY872" s="10">
        <f t="shared" si="855"/>
        <v>0</v>
      </c>
      <c r="AZ872" s="10">
        <f t="shared" si="855"/>
        <v>0</v>
      </c>
      <c r="BA872" s="10">
        <f t="shared" si="855"/>
        <v>0</v>
      </c>
      <c r="BB872" s="10">
        <f t="shared" si="855"/>
        <v>0</v>
      </c>
      <c r="BC872" s="10">
        <f t="shared" si="855"/>
        <v>0</v>
      </c>
      <c r="BD872" s="10">
        <f t="shared" si="855"/>
        <v>0</v>
      </c>
      <c r="BE872" s="10">
        <f t="shared" si="855"/>
        <v>0</v>
      </c>
      <c r="BF872" s="10">
        <f t="shared" si="855"/>
        <v>0</v>
      </c>
      <c r="BG872" s="10">
        <f t="shared" si="855"/>
        <v>0</v>
      </c>
      <c r="BH872" s="10">
        <f t="shared" si="855"/>
        <v>0</v>
      </c>
      <c r="BI872" s="10">
        <f t="shared" si="855"/>
        <v>0</v>
      </c>
      <c r="BJ872" s="10">
        <f t="shared" si="855"/>
        <v>0</v>
      </c>
      <c r="BK872" s="10">
        <f t="shared" si="855"/>
        <v>0</v>
      </c>
      <c r="BL872" s="10">
        <f t="shared" si="855"/>
        <v>0</v>
      </c>
      <c r="BM872" s="10">
        <f t="shared" si="855"/>
        <v>0</v>
      </c>
      <c r="BN872" s="10">
        <f t="shared" si="855"/>
        <v>0</v>
      </c>
      <c r="BO872" s="10">
        <f t="shared" si="855"/>
        <v>0</v>
      </c>
      <c r="BP872" s="10">
        <f t="shared" si="855"/>
        <v>0</v>
      </c>
      <c r="BQ872" s="10">
        <f t="shared" si="855"/>
        <v>0</v>
      </c>
      <c r="BR872" s="10">
        <f t="shared" si="855"/>
        <v>0</v>
      </c>
      <c r="BS872" s="10">
        <f t="shared" si="855"/>
        <v>0</v>
      </c>
      <c r="BT872" s="10">
        <f t="shared" si="855"/>
        <v>0</v>
      </c>
      <c r="BU872" s="10">
        <f t="shared" si="855"/>
        <v>0</v>
      </c>
      <c r="BV872" s="10">
        <f t="shared" si="855"/>
        <v>0</v>
      </c>
      <c r="BX872" s="10">
        <f t="shared" si="852"/>
        <v>0</v>
      </c>
      <c r="BY872" s="10">
        <f t="shared" si="852"/>
        <v>0</v>
      </c>
      <c r="BZ872" s="10">
        <f t="shared" si="852"/>
        <v>0</v>
      </c>
      <c r="CA872" s="10">
        <f t="shared" si="852"/>
        <v>0</v>
      </c>
      <c r="CB872" s="10">
        <f t="shared" si="852"/>
        <v>0</v>
      </c>
      <c r="CC872" s="12">
        <f t="shared" si="853"/>
        <v>0</v>
      </c>
      <c r="CD872" s="12">
        <f t="shared" si="853"/>
        <v>0</v>
      </c>
      <c r="CE872" s="12">
        <f t="shared" si="853"/>
        <v>0</v>
      </c>
      <c r="CF872" s="12">
        <f t="shared" si="853"/>
        <v>0</v>
      </c>
      <c r="CG872" s="12">
        <f t="shared" si="853"/>
        <v>0</v>
      </c>
      <c r="CH872" s="12">
        <f t="shared" si="853"/>
        <v>0</v>
      </c>
      <c r="CI872" s="12">
        <f t="shared" si="853"/>
        <v>0</v>
      </c>
      <c r="CK872" s="11"/>
      <c r="CM872" s="11"/>
      <c r="CV872" s="120"/>
      <c r="DF872" s="11"/>
      <c r="EY872" s="12" t="str">
        <f t="shared" ca="1" si="841"/>
        <v>Interest Payment Loan 13</v>
      </c>
    </row>
    <row r="873" spans="1:155" s="5" customFormat="1" x14ac:dyDescent="0.35">
      <c r="A873"/>
      <c r="B873" s="69" t="str" cm="1">
        <f t="array" aca="1" ref="B873" ca="1">HYPERLINK(CONCATENATE("#",CELL("address",$D$303)),$D$303)</f>
        <v>Loan 14</v>
      </c>
      <c r="C873" s="211" t="s">
        <v>1283</v>
      </c>
      <c r="D873" s="49">
        <f>D$26</f>
        <v>0</v>
      </c>
      <c r="E873" s="49" t="str">
        <f>F$26</f>
        <v/>
      </c>
      <c r="F873" s="49"/>
      <c r="G873" s="10">
        <f>Q$26</f>
        <v>0</v>
      </c>
      <c r="H873" s="9"/>
      <c r="I873" s="40" t="s">
        <v>665</v>
      </c>
      <c r="J873"/>
      <c r="K873"/>
      <c r="L873"/>
      <c r="M873"/>
      <c r="N873"/>
      <c r="O873"/>
      <c r="P873"/>
      <c r="Q873"/>
      <c r="R873"/>
      <c r="S873"/>
      <c r="T873"/>
      <c r="U873"/>
      <c r="V873" s="133">
        <f t="shared" si="837"/>
        <v>0</v>
      </c>
      <c r="W873" s="10">
        <f t="shared" si="837"/>
        <v>0</v>
      </c>
      <c r="X873" s="10">
        <f t="shared" si="837"/>
        <v>0</v>
      </c>
      <c r="Y873" s="10">
        <f t="shared" si="837"/>
        <v>0</v>
      </c>
      <c r="Z873"/>
      <c r="AA873" s="10">
        <f t="shared" ref="AA873:BV873" si="856">IF($G873=1, AA800, AA591)</f>
        <v>0</v>
      </c>
      <c r="AB873" s="10">
        <f t="shared" si="856"/>
        <v>0</v>
      </c>
      <c r="AC873" s="10">
        <f t="shared" si="856"/>
        <v>0</v>
      </c>
      <c r="AD873" s="10">
        <f t="shared" si="856"/>
        <v>0</v>
      </c>
      <c r="AE873" s="10">
        <f t="shared" si="856"/>
        <v>0</v>
      </c>
      <c r="AF873" s="10">
        <f t="shared" si="856"/>
        <v>0</v>
      </c>
      <c r="AG873" s="10">
        <f t="shared" si="856"/>
        <v>0</v>
      </c>
      <c r="AH873" s="10">
        <f t="shared" si="856"/>
        <v>0</v>
      </c>
      <c r="AI873" s="10">
        <f t="shared" si="856"/>
        <v>0</v>
      </c>
      <c r="AJ873" s="10">
        <f t="shared" si="856"/>
        <v>0</v>
      </c>
      <c r="AK873" s="10">
        <f t="shared" si="856"/>
        <v>0</v>
      </c>
      <c r="AL873" s="10">
        <f t="shared" si="856"/>
        <v>0</v>
      </c>
      <c r="AM873" s="10">
        <f t="shared" si="856"/>
        <v>0</v>
      </c>
      <c r="AN873" s="10">
        <f t="shared" si="856"/>
        <v>0</v>
      </c>
      <c r="AO873" s="10">
        <f t="shared" si="856"/>
        <v>0</v>
      </c>
      <c r="AP873" s="10">
        <f t="shared" si="856"/>
        <v>0</v>
      </c>
      <c r="AQ873" s="10">
        <f t="shared" si="856"/>
        <v>0</v>
      </c>
      <c r="AR873" s="10">
        <f t="shared" si="856"/>
        <v>0</v>
      </c>
      <c r="AS873" s="10">
        <f t="shared" si="856"/>
        <v>0</v>
      </c>
      <c r="AT873" s="10">
        <f t="shared" si="856"/>
        <v>0</v>
      </c>
      <c r="AU873" s="10">
        <f t="shared" si="856"/>
        <v>0</v>
      </c>
      <c r="AV873" s="10">
        <f t="shared" si="856"/>
        <v>0</v>
      </c>
      <c r="AW873" s="10">
        <f t="shared" si="856"/>
        <v>0</v>
      </c>
      <c r="AX873" s="10">
        <f t="shared" si="856"/>
        <v>0</v>
      </c>
      <c r="AY873" s="10">
        <f t="shared" si="856"/>
        <v>0</v>
      </c>
      <c r="AZ873" s="10">
        <f t="shared" si="856"/>
        <v>0</v>
      </c>
      <c r="BA873" s="10">
        <f t="shared" si="856"/>
        <v>0</v>
      </c>
      <c r="BB873" s="10">
        <f t="shared" si="856"/>
        <v>0</v>
      </c>
      <c r="BC873" s="10">
        <f t="shared" si="856"/>
        <v>0</v>
      </c>
      <c r="BD873" s="10">
        <f t="shared" si="856"/>
        <v>0</v>
      </c>
      <c r="BE873" s="10">
        <f t="shared" si="856"/>
        <v>0</v>
      </c>
      <c r="BF873" s="10">
        <f t="shared" si="856"/>
        <v>0</v>
      </c>
      <c r="BG873" s="10">
        <f t="shared" si="856"/>
        <v>0</v>
      </c>
      <c r="BH873" s="10">
        <f t="shared" si="856"/>
        <v>0</v>
      </c>
      <c r="BI873" s="10">
        <f t="shared" si="856"/>
        <v>0</v>
      </c>
      <c r="BJ873" s="10">
        <f t="shared" si="856"/>
        <v>0</v>
      </c>
      <c r="BK873" s="10">
        <f t="shared" si="856"/>
        <v>0</v>
      </c>
      <c r="BL873" s="10">
        <f t="shared" si="856"/>
        <v>0</v>
      </c>
      <c r="BM873" s="10">
        <f t="shared" si="856"/>
        <v>0</v>
      </c>
      <c r="BN873" s="10">
        <f t="shared" si="856"/>
        <v>0</v>
      </c>
      <c r="BO873" s="10">
        <f t="shared" si="856"/>
        <v>0</v>
      </c>
      <c r="BP873" s="10">
        <f t="shared" si="856"/>
        <v>0</v>
      </c>
      <c r="BQ873" s="10">
        <f t="shared" si="856"/>
        <v>0</v>
      </c>
      <c r="BR873" s="10">
        <f t="shared" si="856"/>
        <v>0</v>
      </c>
      <c r="BS873" s="10">
        <f t="shared" si="856"/>
        <v>0</v>
      </c>
      <c r="BT873" s="10">
        <f t="shared" si="856"/>
        <v>0</v>
      </c>
      <c r="BU873" s="10">
        <f t="shared" si="856"/>
        <v>0</v>
      </c>
      <c r="BV873" s="10">
        <f t="shared" si="856"/>
        <v>0</v>
      </c>
      <c r="BW873"/>
      <c r="BX873" s="10">
        <f t="shared" si="852"/>
        <v>0</v>
      </c>
      <c r="BY873" s="10">
        <f t="shared" si="852"/>
        <v>0</v>
      </c>
      <c r="BZ873" s="10">
        <f t="shared" si="852"/>
        <v>0</v>
      </c>
      <c r="CA873" s="10">
        <f t="shared" si="852"/>
        <v>0</v>
      </c>
      <c r="CB873" s="10">
        <f t="shared" si="852"/>
        <v>0</v>
      </c>
      <c r="CC873" s="12">
        <f t="shared" si="853"/>
        <v>0</v>
      </c>
      <c r="CD873" s="12">
        <f t="shared" si="853"/>
        <v>0</v>
      </c>
      <c r="CE873" s="12">
        <f t="shared" si="853"/>
        <v>0</v>
      </c>
      <c r="CF873" s="12">
        <f t="shared" si="853"/>
        <v>0</v>
      </c>
      <c r="CG873" s="12">
        <f t="shared" si="853"/>
        <v>0</v>
      </c>
      <c r="CH873" s="12">
        <f t="shared" si="853"/>
        <v>0</v>
      </c>
      <c r="CI873" s="12">
        <f t="shared" si="853"/>
        <v>0</v>
      </c>
      <c r="CJ873"/>
      <c r="CK873" s="11"/>
      <c r="CL873"/>
      <c r="CM873" s="11"/>
      <c r="CN873"/>
      <c r="CO873"/>
      <c r="CP873"/>
      <c r="CQ873"/>
      <c r="CR873"/>
      <c r="CS873"/>
      <c r="CT873"/>
      <c r="CU873"/>
      <c r="CV873" s="120"/>
      <c r="CW873"/>
      <c r="CX873"/>
      <c r="CY873"/>
      <c r="CZ873"/>
      <c r="DA873"/>
      <c r="DB873"/>
      <c r="DC873"/>
      <c r="DD873"/>
      <c r="DE873"/>
      <c r="DF873" s="11"/>
      <c r="EY873" s="12" t="str">
        <f t="shared" ca="1" si="841"/>
        <v>Interest Payment Loan 14</v>
      </c>
    </row>
    <row r="874" spans="1:155" x14ac:dyDescent="0.35">
      <c r="B874" s="69" t="str" cm="1">
        <f t="array" aca="1" ref="B874" ca="1">HYPERLINK(CONCATENATE("#",CELL("address",$D$322)),$D$322)</f>
        <v>Loan 15</v>
      </c>
      <c r="C874" s="211" t="s">
        <v>1284</v>
      </c>
      <c r="D874" s="49">
        <f>D$27</f>
        <v>0</v>
      </c>
      <c r="E874" s="49" t="str">
        <f>F$27</f>
        <v/>
      </c>
      <c r="F874" s="49"/>
      <c r="G874" s="10">
        <f>Q$27</f>
        <v>0</v>
      </c>
      <c r="H874" s="9"/>
      <c r="I874" s="40" t="s">
        <v>665</v>
      </c>
      <c r="V874" s="133">
        <f t="shared" si="837"/>
        <v>0</v>
      </c>
      <c r="W874" s="10">
        <f t="shared" si="837"/>
        <v>0</v>
      </c>
      <c r="X874" s="10">
        <f t="shared" si="837"/>
        <v>0</v>
      </c>
      <c r="Y874" s="10">
        <f t="shared" si="837"/>
        <v>0</v>
      </c>
      <c r="AA874" s="10">
        <f t="shared" ref="AA874:BV874" si="857">IF($G874=1, AA801, AA592)</f>
        <v>0</v>
      </c>
      <c r="AB874" s="10">
        <f t="shared" si="857"/>
        <v>0</v>
      </c>
      <c r="AC874" s="10">
        <f t="shared" si="857"/>
        <v>0</v>
      </c>
      <c r="AD874" s="10">
        <f t="shared" si="857"/>
        <v>0</v>
      </c>
      <c r="AE874" s="10">
        <f t="shared" si="857"/>
        <v>0</v>
      </c>
      <c r="AF874" s="10">
        <f t="shared" si="857"/>
        <v>0</v>
      </c>
      <c r="AG874" s="10">
        <f t="shared" si="857"/>
        <v>0</v>
      </c>
      <c r="AH874" s="10">
        <f t="shared" si="857"/>
        <v>0</v>
      </c>
      <c r="AI874" s="10">
        <f t="shared" si="857"/>
        <v>0</v>
      </c>
      <c r="AJ874" s="10">
        <f t="shared" si="857"/>
        <v>0</v>
      </c>
      <c r="AK874" s="10">
        <f t="shared" si="857"/>
        <v>0</v>
      </c>
      <c r="AL874" s="10">
        <f t="shared" si="857"/>
        <v>0</v>
      </c>
      <c r="AM874" s="10">
        <f t="shared" si="857"/>
        <v>0</v>
      </c>
      <c r="AN874" s="10">
        <f t="shared" si="857"/>
        <v>0</v>
      </c>
      <c r="AO874" s="10">
        <f t="shared" si="857"/>
        <v>0</v>
      </c>
      <c r="AP874" s="10">
        <f t="shared" si="857"/>
        <v>0</v>
      </c>
      <c r="AQ874" s="10">
        <f t="shared" si="857"/>
        <v>0</v>
      </c>
      <c r="AR874" s="10">
        <f t="shared" si="857"/>
        <v>0</v>
      </c>
      <c r="AS874" s="10">
        <f t="shared" si="857"/>
        <v>0</v>
      </c>
      <c r="AT874" s="10">
        <f t="shared" si="857"/>
        <v>0</v>
      </c>
      <c r="AU874" s="10">
        <f t="shared" si="857"/>
        <v>0</v>
      </c>
      <c r="AV874" s="10">
        <f t="shared" si="857"/>
        <v>0</v>
      </c>
      <c r="AW874" s="10">
        <f t="shared" si="857"/>
        <v>0</v>
      </c>
      <c r="AX874" s="10">
        <f t="shared" si="857"/>
        <v>0</v>
      </c>
      <c r="AY874" s="10">
        <f t="shared" si="857"/>
        <v>0</v>
      </c>
      <c r="AZ874" s="10">
        <f t="shared" si="857"/>
        <v>0</v>
      </c>
      <c r="BA874" s="10">
        <f t="shared" si="857"/>
        <v>0</v>
      </c>
      <c r="BB874" s="10">
        <f t="shared" si="857"/>
        <v>0</v>
      </c>
      <c r="BC874" s="10">
        <f t="shared" si="857"/>
        <v>0</v>
      </c>
      <c r="BD874" s="10">
        <f t="shared" si="857"/>
        <v>0</v>
      </c>
      <c r="BE874" s="10">
        <f t="shared" si="857"/>
        <v>0</v>
      </c>
      <c r="BF874" s="10">
        <f t="shared" si="857"/>
        <v>0</v>
      </c>
      <c r="BG874" s="10">
        <f t="shared" si="857"/>
        <v>0</v>
      </c>
      <c r="BH874" s="10">
        <f t="shared" si="857"/>
        <v>0</v>
      </c>
      <c r="BI874" s="10">
        <f t="shared" si="857"/>
        <v>0</v>
      </c>
      <c r="BJ874" s="10">
        <f t="shared" si="857"/>
        <v>0</v>
      </c>
      <c r="BK874" s="10">
        <f t="shared" si="857"/>
        <v>0</v>
      </c>
      <c r="BL874" s="10">
        <f t="shared" si="857"/>
        <v>0</v>
      </c>
      <c r="BM874" s="10">
        <f t="shared" si="857"/>
        <v>0</v>
      </c>
      <c r="BN874" s="10">
        <f t="shared" si="857"/>
        <v>0</v>
      </c>
      <c r="BO874" s="10">
        <f t="shared" si="857"/>
        <v>0</v>
      </c>
      <c r="BP874" s="10">
        <f t="shared" si="857"/>
        <v>0</v>
      </c>
      <c r="BQ874" s="10">
        <f t="shared" si="857"/>
        <v>0</v>
      </c>
      <c r="BR874" s="10">
        <f t="shared" si="857"/>
        <v>0</v>
      </c>
      <c r="BS874" s="10">
        <f t="shared" si="857"/>
        <v>0</v>
      </c>
      <c r="BT874" s="10">
        <f t="shared" si="857"/>
        <v>0</v>
      </c>
      <c r="BU874" s="10">
        <f t="shared" si="857"/>
        <v>0</v>
      </c>
      <c r="BV874" s="10">
        <f t="shared" si="857"/>
        <v>0</v>
      </c>
      <c r="BX874" s="10">
        <f t="shared" si="852"/>
        <v>0</v>
      </c>
      <c r="BY874" s="10">
        <f t="shared" si="852"/>
        <v>0</v>
      </c>
      <c r="BZ874" s="10">
        <f t="shared" si="852"/>
        <v>0</v>
      </c>
      <c r="CA874" s="10">
        <f t="shared" si="852"/>
        <v>0</v>
      </c>
      <c r="CB874" s="10">
        <f t="shared" si="852"/>
        <v>0</v>
      </c>
      <c r="CC874" s="12">
        <f t="shared" si="853"/>
        <v>0</v>
      </c>
      <c r="CD874" s="12">
        <f t="shared" si="853"/>
        <v>0</v>
      </c>
      <c r="CE874" s="12">
        <f t="shared" si="853"/>
        <v>0</v>
      </c>
      <c r="CF874" s="12">
        <f t="shared" si="853"/>
        <v>0</v>
      </c>
      <c r="CG874" s="12">
        <f t="shared" si="853"/>
        <v>0</v>
      </c>
      <c r="CH874" s="12">
        <f t="shared" si="853"/>
        <v>0</v>
      </c>
      <c r="CI874" s="12">
        <f t="shared" si="853"/>
        <v>0</v>
      </c>
      <c r="CK874" s="11"/>
      <c r="CM874" s="11"/>
      <c r="CV874" s="120"/>
      <c r="DF874" s="11"/>
      <c r="EY874" s="12" t="str">
        <f t="shared" ca="1" si="841"/>
        <v>Interest Payment Loan 15</v>
      </c>
    </row>
    <row r="875" spans="1:155" x14ac:dyDescent="0.35">
      <c r="B875" s="69" t="str" cm="1">
        <f t="array" aca="1" ref="B875" ca="1">HYPERLINK(CONCATENATE("#",CELL("address",$D$341)),$D$341)</f>
        <v>Loan 16</v>
      </c>
      <c r="C875" s="211" t="s">
        <v>1285</v>
      </c>
      <c r="D875" s="49">
        <f>D$28</f>
        <v>0</v>
      </c>
      <c r="E875" s="49" t="str">
        <f>F$28</f>
        <v/>
      </c>
      <c r="F875" s="49"/>
      <c r="G875" s="10">
        <f>Q$28</f>
        <v>0</v>
      </c>
      <c r="H875" s="9"/>
      <c r="I875" s="40" t="s">
        <v>665</v>
      </c>
      <c r="V875" s="133">
        <f t="shared" si="837"/>
        <v>0</v>
      </c>
      <c r="W875" s="10">
        <f t="shared" si="837"/>
        <v>0</v>
      </c>
      <c r="X875" s="10">
        <f t="shared" si="837"/>
        <v>0</v>
      </c>
      <c r="Y875" s="10">
        <f t="shared" si="837"/>
        <v>0</v>
      </c>
      <c r="AA875" s="10">
        <f t="shared" ref="AA875:BV875" si="858">IF($G875=1, AA802, AA593)</f>
        <v>0</v>
      </c>
      <c r="AB875" s="10">
        <f t="shared" si="858"/>
        <v>0</v>
      </c>
      <c r="AC875" s="10">
        <f t="shared" si="858"/>
        <v>0</v>
      </c>
      <c r="AD875" s="10">
        <f t="shared" si="858"/>
        <v>0</v>
      </c>
      <c r="AE875" s="10">
        <f t="shared" si="858"/>
        <v>0</v>
      </c>
      <c r="AF875" s="10">
        <f t="shared" si="858"/>
        <v>0</v>
      </c>
      <c r="AG875" s="10">
        <f t="shared" si="858"/>
        <v>0</v>
      </c>
      <c r="AH875" s="10">
        <f t="shared" si="858"/>
        <v>0</v>
      </c>
      <c r="AI875" s="10">
        <f t="shared" si="858"/>
        <v>0</v>
      </c>
      <c r="AJ875" s="10">
        <f t="shared" si="858"/>
        <v>0</v>
      </c>
      <c r="AK875" s="10">
        <f t="shared" si="858"/>
        <v>0</v>
      </c>
      <c r="AL875" s="10">
        <f t="shared" si="858"/>
        <v>0</v>
      </c>
      <c r="AM875" s="10">
        <f t="shared" si="858"/>
        <v>0</v>
      </c>
      <c r="AN875" s="10">
        <f t="shared" si="858"/>
        <v>0</v>
      </c>
      <c r="AO875" s="10">
        <f t="shared" si="858"/>
        <v>0</v>
      </c>
      <c r="AP875" s="10">
        <f t="shared" si="858"/>
        <v>0</v>
      </c>
      <c r="AQ875" s="10">
        <f t="shared" si="858"/>
        <v>0</v>
      </c>
      <c r="AR875" s="10">
        <f t="shared" si="858"/>
        <v>0</v>
      </c>
      <c r="AS875" s="10">
        <f t="shared" si="858"/>
        <v>0</v>
      </c>
      <c r="AT875" s="10">
        <f t="shared" si="858"/>
        <v>0</v>
      </c>
      <c r="AU875" s="10">
        <f t="shared" si="858"/>
        <v>0</v>
      </c>
      <c r="AV875" s="10">
        <f t="shared" si="858"/>
        <v>0</v>
      </c>
      <c r="AW875" s="10">
        <f t="shared" si="858"/>
        <v>0</v>
      </c>
      <c r="AX875" s="10">
        <f t="shared" si="858"/>
        <v>0</v>
      </c>
      <c r="AY875" s="10">
        <f t="shared" si="858"/>
        <v>0</v>
      </c>
      <c r="AZ875" s="10">
        <f t="shared" si="858"/>
        <v>0</v>
      </c>
      <c r="BA875" s="10">
        <f t="shared" si="858"/>
        <v>0</v>
      </c>
      <c r="BB875" s="10">
        <f t="shared" si="858"/>
        <v>0</v>
      </c>
      <c r="BC875" s="10">
        <f t="shared" si="858"/>
        <v>0</v>
      </c>
      <c r="BD875" s="10">
        <f t="shared" si="858"/>
        <v>0</v>
      </c>
      <c r="BE875" s="10">
        <f t="shared" si="858"/>
        <v>0</v>
      </c>
      <c r="BF875" s="10">
        <f t="shared" si="858"/>
        <v>0</v>
      </c>
      <c r="BG875" s="10">
        <f t="shared" si="858"/>
        <v>0</v>
      </c>
      <c r="BH875" s="10">
        <f t="shared" si="858"/>
        <v>0</v>
      </c>
      <c r="BI875" s="10">
        <f t="shared" si="858"/>
        <v>0</v>
      </c>
      <c r="BJ875" s="10">
        <f t="shared" si="858"/>
        <v>0</v>
      </c>
      <c r="BK875" s="10">
        <f t="shared" si="858"/>
        <v>0</v>
      </c>
      <c r="BL875" s="10">
        <f t="shared" si="858"/>
        <v>0</v>
      </c>
      <c r="BM875" s="10">
        <f t="shared" si="858"/>
        <v>0</v>
      </c>
      <c r="BN875" s="10">
        <f t="shared" si="858"/>
        <v>0</v>
      </c>
      <c r="BO875" s="10">
        <f t="shared" si="858"/>
        <v>0</v>
      </c>
      <c r="BP875" s="10">
        <f t="shared" si="858"/>
        <v>0</v>
      </c>
      <c r="BQ875" s="10">
        <f t="shared" si="858"/>
        <v>0</v>
      </c>
      <c r="BR875" s="10">
        <f t="shared" si="858"/>
        <v>0</v>
      </c>
      <c r="BS875" s="10">
        <f t="shared" si="858"/>
        <v>0</v>
      </c>
      <c r="BT875" s="10">
        <f t="shared" si="858"/>
        <v>0</v>
      </c>
      <c r="BU875" s="10">
        <f t="shared" si="858"/>
        <v>0</v>
      </c>
      <c r="BV875" s="10">
        <f t="shared" si="858"/>
        <v>0</v>
      </c>
      <c r="BX875" s="10">
        <f t="shared" si="852"/>
        <v>0</v>
      </c>
      <c r="BY875" s="10">
        <f t="shared" si="852"/>
        <v>0</v>
      </c>
      <c r="BZ875" s="10">
        <f t="shared" si="852"/>
        <v>0</v>
      </c>
      <c r="CA875" s="10">
        <f t="shared" si="852"/>
        <v>0</v>
      </c>
      <c r="CB875" s="10">
        <f t="shared" si="852"/>
        <v>0</v>
      </c>
      <c r="CC875" s="12">
        <f t="shared" si="853"/>
        <v>0</v>
      </c>
      <c r="CD875" s="12">
        <f t="shared" si="853"/>
        <v>0</v>
      </c>
      <c r="CE875" s="12">
        <f t="shared" si="853"/>
        <v>0</v>
      </c>
      <c r="CF875" s="12">
        <f t="shared" si="853"/>
        <v>0</v>
      </c>
      <c r="CG875" s="12">
        <f t="shared" si="853"/>
        <v>0</v>
      </c>
      <c r="CH875" s="12">
        <f t="shared" si="853"/>
        <v>0</v>
      </c>
      <c r="CI875" s="12">
        <f t="shared" si="853"/>
        <v>0</v>
      </c>
      <c r="CK875" s="11"/>
      <c r="CM875" s="11"/>
      <c r="CV875" s="120"/>
      <c r="DF875" s="11"/>
      <c r="EY875" s="12" t="str">
        <f t="shared" ca="1" si="841"/>
        <v>Interest Payment Loan 16</v>
      </c>
    </row>
    <row r="876" spans="1:155" x14ac:dyDescent="0.35">
      <c r="B876" s="69" t="str" cm="1">
        <f t="array" aca="1" ref="B876" ca="1">HYPERLINK(CONCATENATE("#",CELL("address",$D$360)),$D$360)</f>
        <v>Loan 17</v>
      </c>
      <c r="C876" s="211" t="s">
        <v>1286</v>
      </c>
      <c r="D876" s="49">
        <f>D$29</f>
        <v>0</v>
      </c>
      <c r="E876" s="49" t="str">
        <f>F$29</f>
        <v/>
      </c>
      <c r="F876" s="49"/>
      <c r="G876" s="10">
        <f>Q$29</f>
        <v>0</v>
      </c>
      <c r="H876" s="9"/>
      <c r="I876" s="40" t="s">
        <v>665</v>
      </c>
      <c r="V876" s="133">
        <f t="shared" si="837"/>
        <v>0</v>
      </c>
      <c r="W876" s="10">
        <f t="shared" si="837"/>
        <v>0</v>
      </c>
      <c r="X876" s="10">
        <f t="shared" si="837"/>
        <v>0</v>
      </c>
      <c r="Y876" s="10">
        <f t="shared" si="837"/>
        <v>0</v>
      </c>
      <c r="AA876" s="10">
        <f t="shared" ref="AA876:BV876" si="859">IF($G876=1, AA803, AA594)</f>
        <v>0</v>
      </c>
      <c r="AB876" s="10">
        <f t="shared" si="859"/>
        <v>0</v>
      </c>
      <c r="AC876" s="10">
        <f t="shared" si="859"/>
        <v>0</v>
      </c>
      <c r="AD876" s="10">
        <f t="shared" si="859"/>
        <v>0</v>
      </c>
      <c r="AE876" s="10">
        <f t="shared" si="859"/>
        <v>0</v>
      </c>
      <c r="AF876" s="10">
        <f t="shared" si="859"/>
        <v>0</v>
      </c>
      <c r="AG876" s="10">
        <f t="shared" si="859"/>
        <v>0</v>
      </c>
      <c r="AH876" s="10">
        <f t="shared" si="859"/>
        <v>0</v>
      </c>
      <c r="AI876" s="10">
        <f t="shared" si="859"/>
        <v>0</v>
      </c>
      <c r="AJ876" s="10">
        <f t="shared" si="859"/>
        <v>0</v>
      </c>
      <c r="AK876" s="10">
        <f t="shared" si="859"/>
        <v>0</v>
      </c>
      <c r="AL876" s="10">
        <f t="shared" si="859"/>
        <v>0</v>
      </c>
      <c r="AM876" s="10">
        <f t="shared" si="859"/>
        <v>0</v>
      </c>
      <c r="AN876" s="10">
        <f t="shared" si="859"/>
        <v>0</v>
      </c>
      <c r="AO876" s="10">
        <f t="shared" si="859"/>
        <v>0</v>
      </c>
      <c r="AP876" s="10">
        <f t="shared" si="859"/>
        <v>0</v>
      </c>
      <c r="AQ876" s="10">
        <f t="shared" si="859"/>
        <v>0</v>
      </c>
      <c r="AR876" s="10">
        <f t="shared" si="859"/>
        <v>0</v>
      </c>
      <c r="AS876" s="10">
        <f t="shared" si="859"/>
        <v>0</v>
      </c>
      <c r="AT876" s="10">
        <f t="shared" si="859"/>
        <v>0</v>
      </c>
      <c r="AU876" s="10">
        <f t="shared" si="859"/>
        <v>0</v>
      </c>
      <c r="AV876" s="10">
        <f t="shared" si="859"/>
        <v>0</v>
      </c>
      <c r="AW876" s="10">
        <f t="shared" si="859"/>
        <v>0</v>
      </c>
      <c r="AX876" s="10">
        <f t="shared" si="859"/>
        <v>0</v>
      </c>
      <c r="AY876" s="10">
        <f t="shared" si="859"/>
        <v>0</v>
      </c>
      <c r="AZ876" s="10">
        <f t="shared" si="859"/>
        <v>0</v>
      </c>
      <c r="BA876" s="10">
        <f t="shared" si="859"/>
        <v>0</v>
      </c>
      <c r="BB876" s="10">
        <f t="shared" si="859"/>
        <v>0</v>
      </c>
      <c r="BC876" s="10">
        <f t="shared" si="859"/>
        <v>0</v>
      </c>
      <c r="BD876" s="10">
        <f t="shared" si="859"/>
        <v>0</v>
      </c>
      <c r="BE876" s="10">
        <f t="shared" si="859"/>
        <v>0</v>
      </c>
      <c r="BF876" s="10">
        <f t="shared" si="859"/>
        <v>0</v>
      </c>
      <c r="BG876" s="10">
        <f t="shared" si="859"/>
        <v>0</v>
      </c>
      <c r="BH876" s="10">
        <f t="shared" si="859"/>
        <v>0</v>
      </c>
      <c r="BI876" s="10">
        <f t="shared" si="859"/>
        <v>0</v>
      </c>
      <c r="BJ876" s="10">
        <f t="shared" si="859"/>
        <v>0</v>
      </c>
      <c r="BK876" s="10">
        <f t="shared" si="859"/>
        <v>0</v>
      </c>
      <c r="BL876" s="10">
        <f t="shared" si="859"/>
        <v>0</v>
      </c>
      <c r="BM876" s="10">
        <f t="shared" si="859"/>
        <v>0</v>
      </c>
      <c r="BN876" s="10">
        <f t="shared" si="859"/>
        <v>0</v>
      </c>
      <c r="BO876" s="10">
        <f t="shared" si="859"/>
        <v>0</v>
      </c>
      <c r="BP876" s="10">
        <f t="shared" si="859"/>
        <v>0</v>
      </c>
      <c r="BQ876" s="10">
        <f t="shared" si="859"/>
        <v>0</v>
      </c>
      <c r="BR876" s="10">
        <f t="shared" si="859"/>
        <v>0</v>
      </c>
      <c r="BS876" s="10">
        <f t="shared" si="859"/>
        <v>0</v>
      </c>
      <c r="BT876" s="10">
        <f t="shared" si="859"/>
        <v>0</v>
      </c>
      <c r="BU876" s="10">
        <f t="shared" si="859"/>
        <v>0</v>
      </c>
      <c r="BV876" s="10">
        <f t="shared" si="859"/>
        <v>0</v>
      </c>
      <c r="BX876" s="10">
        <f t="shared" si="852"/>
        <v>0</v>
      </c>
      <c r="BY876" s="10">
        <f t="shared" si="852"/>
        <v>0</v>
      </c>
      <c r="BZ876" s="10">
        <f t="shared" si="852"/>
        <v>0</v>
      </c>
      <c r="CA876" s="10">
        <f t="shared" si="852"/>
        <v>0</v>
      </c>
      <c r="CB876" s="10">
        <f t="shared" si="852"/>
        <v>0</v>
      </c>
      <c r="CC876" s="12">
        <f t="shared" si="853"/>
        <v>0</v>
      </c>
      <c r="CD876" s="12">
        <f t="shared" si="853"/>
        <v>0</v>
      </c>
      <c r="CE876" s="12">
        <f t="shared" si="853"/>
        <v>0</v>
      </c>
      <c r="CF876" s="12">
        <f t="shared" si="853"/>
        <v>0</v>
      </c>
      <c r="CG876" s="12">
        <f t="shared" si="853"/>
        <v>0</v>
      </c>
      <c r="CH876" s="12">
        <f t="shared" si="853"/>
        <v>0</v>
      </c>
      <c r="CI876" s="12">
        <f t="shared" si="853"/>
        <v>0</v>
      </c>
      <c r="CK876" s="11"/>
      <c r="CM876" s="11"/>
      <c r="CV876" s="120"/>
      <c r="DF876" s="11"/>
      <c r="EY876" s="12" t="str">
        <f t="shared" ca="1" si="841"/>
        <v>Interest Payment Loan 17</v>
      </c>
    </row>
    <row r="877" spans="1:155" x14ac:dyDescent="0.35">
      <c r="B877" s="69" t="str" cm="1">
        <f t="array" aca="1" ref="B877" ca="1">HYPERLINK(CONCATENATE("#",CELL("address",$D$379)),$D$379)</f>
        <v>Loan 18</v>
      </c>
      <c r="C877" s="211" t="s">
        <v>1287</v>
      </c>
      <c r="D877" s="49">
        <f>D$30</f>
        <v>0</v>
      </c>
      <c r="E877" s="49" t="str">
        <f>F$30</f>
        <v/>
      </c>
      <c r="F877" s="49"/>
      <c r="G877" s="10">
        <f>Q$30</f>
        <v>0</v>
      </c>
      <c r="H877" s="9"/>
      <c r="I877" s="40" t="s">
        <v>665</v>
      </c>
      <c r="V877" s="133">
        <f t="shared" si="837"/>
        <v>0</v>
      </c>
      <c r="W877" s="10">
        <f t="shared" si="837"/>
        <v>0</v>
      </c>
      <c r="X877" s="10">
        <f t="shared" si="837"/>
        <v>0</v>
      </c>
      <c r="Y877" s="10">
        <f t="shared" si="837"/>
        <v>0</v>
      </c>
      <c r="AA877" s="10">
        <f t="shared" ref="AA877:BV877" si="860">IF($G877=1, AA804, AA595)</f>
        <v>0</v>
      </c>
      <c r="AB877" s="10">
        <f t="shared" si="860"/>
        <v>0</v>
      </c>
      <c r="AC877" s="10">
        <f t="shared" si="860"/>
        <v>0</v>
      </c>
      <c r="AD877" s="10">
        <f t="shared" si="860"/>
        <v>0</v>
      </c>
      <c r="AE877" s="10">
        <f t="shared" si="860"/>
        <v>0</v>
      </c>
      <c r="AF877" s="10">
        <f t="shared" si="860"/>
        <v>0</v>
      </c>
      <c r="AG877" s="10">
        <f t="shared" si="860"/>
        <v>0</v>
      </c>
      <c r="AH877" s="10">
        <f t="shared" si="860"/>
        <v>0</v>
      </c>
      <c r="AI877" s="10">
        <f t="shared" si="860"/>
        <v>0</v>
      </c>
      <c r="AJ877" s="10">
        <f t="shared" si="860"/>
        <v>0</v>
      </c>
      <c r="AK877" s="10">
        <f t="shared" si="860"/>
        <v>0</v>
      </c>
      <c r="AL877" s="10">
        <f t="shared" si="860"/>
        <v>0</v>
      </c>
      <c r="AM877" s="10">
        <f t="shared" si="860"/>
        <v>0</v>
      </c>
      <c r="AN877" s="10">
        <f t="shared" si="860"/>
        <v>0</v>
      </c>
      <c r="AO877" s="10">
        <f t="shared" si="860"/>
        <v>0</v>
      </c>
      <c r="AP877" s="10">
        <f t="shared" si="860"/>
        <v>0</v>
      </c>
      <c r="AQ877" s="10">
        <f t="shared" si="860"/>
        <v>0</v>
      </c>
      <c r="AR877" s="10">
        <f t="shared" si="860"/>
        <v>0</v>
      </c>
      <c r="AS877" s="10">
        <f t="shared" si="860"/>
        <v>0</v>
      </c>
      <c r="AT877" s="10">
        <f t="shared" si="860"/>
        <v>0</v>
      </c>
      <c r="AU877" s="10">
        <f t="shared" si="860"/>
        <v>0</v>
      </c>
      <c r="AV877" s="10">
        <f t="shared" si="860"/>
        <v>0</v>
      </c>
      <c r="AW877" s="10">
        <f t="shared" si="860"/>
        <v>0</v>
      </c>
      <c r="AX877" s="10">
        <f t="shared" si="860"/>
        <v>0</v>
      </c>
      <c r="AY877" s="10">
        <f t="shared" si="860"/>
        <v>0</v>
      </c>
      <c r="AZ877" s="10">
        <f t="shared" si="860"/>
        <v>0</v>
      </c>
      <c r="BA877" s="10">
        <f t="shared" si="860"/>
        <v>0</v>
      </c>
      <c r="BB877" s="10">
        <f t="shared" si="860"/>
        <v>0</v>
      </c>
      <c r="BC877" s="10">
        <f t="shared" si="860"/>
        <v>0</v>
      </c>
      <c r="BD877" s="10">
        <f t="shared" si="860"/>
        <v>0</v>
      </c>
      <c r="BE877" s="10">
        <f t="shared" si="860"/>
        <v>0</v>
      </c>
      <c r="BF877" s="10">
        <f t="shared" si="860"/>
        <v>0</v>
      </c>
      <c r="BG877" s="10">
        <f t="shared" si="860"/>
        <v>0</v>
      </c>
      <c r="BH877" s="10">
        <f t="shared" si="860"/>
        <v>0</v>
      </c>
      <c r="BI877" s="10">
        <f t="shared" si="860"/>
        <v>0</v>
      </c>
      <c r="BJ877" s="10">
        <f t="shared" si="860"/>
        <v>0</v>
      </c>
      <c r="BK877" s="10">
        <f t="shared" si="860"/>
        <v>0</v>
      </c>
      <c r="BL877" s="10">
        <f t="shared" si="860"/>
        <v>0</v>
      </c>
      <c r="BM877" s="10">
        <f t="shared" si="860"/>
        <v>0</v>
      </c>
      <c r="BN877" s="10">
        <f t="shared" si="860"/>
        <v>0</v>
      </c>
      <c r="BO877" s="10">
        <f t="shared" si="860"/>
        <v>0</v>
      </c>
      <c r="BP877" s="10">
        <f t="shared" si="860"/>
        <v>0</v>
      </c>
      <c r="BQ877" s="10">
        <f t="shared" si="860"/>
        <v>0</v>
      </c>
      <c r="BR877" s="10">
        <f t="shared" si="860"/>
        <v>0</v>
      </c>
      <c r="BS877" s="10">
        <f t="shared" si="860"/>
        <v>0</v>
      </c>
      <c r="BT877" s="10">
        <f t="shared" si="860"/>
        <v>0</v>
      </c>
      <c r="BU877" s="10">
        <f t="shared" si="860"/>
        <v>0</v>
      </c>
      <c r="BV877" s="10">
        <f t="shared" si="860"/>
        <v>0</v>
      </c>
      <c r="BX877" s="10">
        <f t="shared" si="852"/>
        <v>0</v>
      </c>
      <c r="BY877" s="10">
        <f t="shared" si="852"/>
        <v>0</v>
      </c>
      <c r="BZ877" s="10">
        <f t="shared" si="852"/>
        <v>0</v>
      </c>
      <c r="CA877" s="10">
        <f t="shared" si="852"/>
        <v>0</v>
      </c>
      <c r="CB877" s="10">
        <f t="shared" si="852"/>
        <v>0</v>
      </c>
      <c r="CC877" s="12">
        <f t="shared" si="853"/>
        <v>0</v>
      </c>
      <c r="CD877" s="12">
        <f t="shared" si="853"/>
        <v>0</v>
      </c>
      <c r="CE877" s="12">
        <f t="shared" si="853"/>
        <v>0</v>
      </c>
      <c r="CF877" s="12">
        <f t="shared" si="853"/>
        <v>0</v>
      </c>
      <c r="CG877" s="12">
        <f t="shared" si="853"/>
        <v>0</v>
      </c>
      <c r="CH877" s="12">
        <f t="shared" si="853"/>
        <v>0</v>
      </c>
      <c r="CI877" s="12">
        <f t="shared" si="853"/>
        <v>0</v>
      </c>
      <c r="CK877" s="11"/>
      <c r="CM877" s="11"/>
      <c r="CV877" s="120"/>
      <c r="DF877" s="11"/>
      <c r="EY877" s="12" t="str">
        <f t="shared" ca="1" si="841"/>
        <v>Interest Payment Loan 18</v>
      </c>
    </row>
    <row r="878" spans="1:155" x14ac:dyDescent="0.35">
      <c r="B878" s="69" t="str" cm="1">
        <f t="array" aca="1" ref="B878" ca="1">HYPERLINK(CONCATENATE("#",CELL("address",$D$398)),$D$398)</f>
        <v>Loan 19</v>
      </c>
      <c r="C878" s="211" t="s">
        <v>1288</v>
      </c>
      <c r="D878" s="49">
        <f>D$31</f>
        <v>0</v>
      </c>
      <c r="E878" s="49" t="str">
        <f>F$31</f>
        <v/>
      </c>
      <c r="F878" s="49"/>
      <c r="G878" s="10">
        <f>Q$31</f>
        <v>0</v>
      </c>
      <c r="H878" s="9"/>
      <c r="I878" s="40" t="s">
        <v>665</v>
      </c>
      <c r="V878" s="133">
        <f t="shared" si="837"/>
        <v>0</v>
      </c>
      <c r="W878" s="10">
        <f t="shared" si="837"/>
        <v>0</v>
      </c>
      <c r="X878" s="10">
        <f t="shared" si="837"/>
        <v>0</v>
      </c>
      <c r="Y878" s="10">
        <f t="shared" si="837"/>
        <v>0</v>
      </c>
      <c r="AA878" s="10">
        <f t="shared" ref="AA878:BV878" si="861">IF($G878=1, AA805, AA596)</f>
        <v>0</v>
      </c>
      <c r="AB878" s="10">
        <f t="shared" si="861"/>
        <v>0</v>
      </c>
      <c r="AC878" s="10">
        <f t="shared" si="861"/>
        <v>0</v>
      </c>
      <c r="AD878" s="10">
        <f t="shared" si="861"/>
        <v>0</v>
      </c>
      <c r="AE878" s="10">
        <f t="shared" si="861"/>
        <v>0</v>
      </c>
      <c r="AF878" s="10">
        <f t="shared" si="861"/>
        <v>0</v>
      </c>
      <c r="AG878" s="10">
        <f t="shared" si="861"/>
        <v>0</v>
      </c>
      <c r="AH878" s="10">
        <f t="shared" si="861"/>
        <v>0</v>
      </c>
      <c r="AI878" s="10">
        <f t="shared" si="861"/>
        <v>0</v>
      </c>
      <c r="AJ878" s="10">
        <f t="shared" si="861"/>
        <v>0</v>
      </c>
      <c r="AK878" s="10">
        <f t="shared" si="861"/>
        <v>0</v>
      </c>
      <c r="AL878" s="10">
        <f t="shared" si="861"/>
        <v>0</v>
      </c>
      <c r="AM878" s="10">
        <f t="shared" si="861"/>
        <v>0</v>
      </c>
      <c r="AN878" s="10">
        <f t="shared" si="861"/>
        <v>0</v>
      </c>
      <c r="AO878" s="10">
        <f t="shared" si="861"/>
        <v>0</v>
      </c>
      <c r="AP878" s="10">
        <f t="shared" si="861"/>
        <v>0</v>
      </c>
      <c r="AQ878" s="10">
        <f t="shared" si="861"/>
        <v>0</v>
      </c>
      <c r="AR878" s="10">
        <f t="shared" si="861"/>
        <v>0</v>
      </c>
      <c r="AS878" s="10">
        <f t="shared" si="861"/>
        <v>0</v>
      </c>
      <c r="AT878" s="10">
        <f t="shared" si="861"/>
        <v>0</v>
      </c>
      <c r="AU878" s="10">
        <f t="shared" si="861"/>
        <v>0</v>
      </c>
      <c r="AV878" s="10">
        <f t="shared" si="861"/>
        <v>0</v>
      </c>
      <c r="AW878" s="10">
        <f t="shared" si="861"/>
        <v>0</v>
      </c>
      <c r="AX878" s="10">
        <f t="shared" si="861"/>
        <v>0</v>
      </c>
      <c r="AY878" s="10">
        <f t="shared" si="861"/>
        <v>0</v>
      </c>
      <c r="AZ878" s="10">
        <f t="shared" si="861"/>
        <v>0</v>
      </c>
      <c r="BA878" s="10">
        <f t="shared" si="861"/>
        <v>0</v>
      </c>
      <c r="BB878" s="10">
        <f t="shared" si="861"/>
        <v>0</v>
      </c>
      <c r="BC878" s="10">
        <f t="shared" si="861"/>
        <v>0</v>
      </c>
      <c r="BD878" s="10">
        <f t="shared" si="861"/>
        <v>0</v>
      </c>
      <c r="BE878" s="10">
        <f t="shared" si="861"/>
        <v>0</v>
      </c>
      <c r="BF878" s="10">
        <f t="shared" si="861"/>
        <v>0</v>
      </c>
      <c r="BG878" s="10">
        <f t="shared" si="861"/>
        <v>0</v>
      </c>
      <c r="BH878" s="10">
        <f t="shared" si="861"/>
        <v>0</v>
      </c>
      <c r="BI878" s="10">
        <f t="shared" si="861"/>
        <v>0</v>
      </c>
      <c r="BJ878" s="10">
        <f t="shared" si="861"/>
        <v>0</v>
      </c>
      <c r="BK878" s="10">
        <f t="shared" si="861"/>
        <v>0</v>
      </c>
      <c r="BL878" s="10">
        <f t="shared" si="861"/>
        <v>0</v>
      </c>
      <c r="BM878" s="10">
        <f t="shared" si="861"/>
        <v>0</v>
      </c>
      <c r="BN878" s="10">
        <f t="shared" si="861"/>
        <v>0</v>
      </c>
      <c r="BO878" s="10">
        <f t="shared" si="861"/>
        <v>0</v>
      </c>
      <c r="BP878" s="10">
        <f t="shared" si="861"/>
        <v>0</v>
      </c>
      <c r="BQ878" s="10">
        <f t="shared" si="861"/>
        <v>0</v>
      </c>
      <c r="BR878" s="10">
        <f t="shared" si="861"/>
        <v>0</v>
      </c>
      <c r="BS878" s="10">
        <f t="shared" si="861"/>
        <v>0</v>
      </c>
      <c r="BT878" s="10">
        <f t="shared" si="861"/>
        <v>0</v>
      </c>
      <c r="BU878" s="10">
        <f t="shared" si="861"/>
        <v>0</v>
      </c>
      <c r="BV878" s="10">
        <f t="shared" si="861"/>
        <v>0</v>
      </c>
      <c r="BX878" s="10">
        <f t="shared" si="852"/>
        <v>0</v>
      </c>
      <c r="BY878" s="10">
        <f t="shared" si="852"/>
        <v>0</v>
      </c>
      <c r="BZ878" s="10">
        <f t="shared" si="852"/>
        <v>0</v>
      </c>
      <c r="CA878" s="10">
        <f t="shared" si="852"/>
        <v>0</v>
      </c>
      <c r="CB878" s="10">
        <f t="shared" si="852"/>
        <v>0</v>
      </c>
      <c r="CC878" s="12">
        <f t="shared" si="853"/>
        <v>0</v>
      </c>
      <c r="CD878" s="12">
        <f t="shared" si="853"/>
        <v>0</v>
      </c>
      <c r="CE878" s="12">
        <f t="shared" si="853"/>
        <v>0</v>
      </c>
      <c r="CF878" s="12">
        <f t="shared" si="853"/>
        <v>0</v>
      </c>
      <c r="CG878" s="12">
        <f t="shared" si="853"/>
        <v>0</v>
      </c>
      <c r="CH878" s="12">
        <f t="shared" si="853"/>
        <v>0</v>
      </c>
      <c r="CI878" s="12">
        <f t="shared" si="853"/>
        <v>0</v>
      </c>
      <c r="CK878" s="11"/>
      <c r="CM878" s="11"/>
      <c r="CV878" s="120"/>
      <c r="DF878" s="11"/>
      <c r="EY878" s="12" t="str">
        <f t="shared" ca="1" si="841"/>
        <v>Interest Payment Loan 19</v>
      </c>
    </row>
    <row r="879" spans="1:155" x14ac:dyDescent="0.35">
      <c r="B879" s="69" t="str" cm="1">
        <f t="array" aca="1" ref="B879" ca="1">HYPERLINK(CONCATENATE("#",CELL("address",$D$417)),$D$417)</f>
        <v>Loan 20</v>
      </c>
      <c r="C879" s="211" t="s">
        <v>1289</v>
      </c>
      <c r="D879" s="49">
        <f>D$32</f>
        <v>0</v>
      </c>
      <c r="E879" s="49" t="str">
        <f>F$32</f>
        <v/>
      </c>
      <c r="F879" s="49"/>
      <c r="G879" s="10">
        <f>Q$32</f>
        <v>0</v>
      </c>
      <c r="H879" s="9"/>
      <c r="I879" s="40" t="s">
        <v>665</v>
      </c>
      <c r="V879" s="133">
        <f t="shared" si="837"/>
        <v>0</v>
      </c>
      <c r="W879" s="10">
        <f t="shared" si="837"/>
        <v>0</v>
      </c>
      <c r="X879" s="10">
        <f t="shared" si="837"/>
        <v>0</v>
      </c>
      <c r="Y879" s="10">
        <f t="shared" si="837"/>
        <v>0</v>
      </c>
      <c r="AA879" s="10">
        <f t="shared" ref="AA879:BV879" si="862">IF($G879=1, AA806, AA597)</f>
        <v>0</v>
      </c>
      <c r="AB879" s="10">
        <f t="shared" si="862"/>
        <v>0</v>
      </c>
      <c r="AC879" s="10">
        <f t="shared" si="862"/>
        <v>0</v>
      </c>
      <c r="AD879" s="10">
        <f t="shared" si="862"/>
        <v>0</v>
      </c>
      <c r="AE879" s="10">
        <f t="shared" si="862"/>
        <v>0</v>
      </c>
      <c r="AF879" s="10">
        <f t="shared" si="862"/>
        <v>0</v>
      </c>
      <c r="AG879" s="10">
        <f t="shared" si="862"/>
        <v>0</v>
      </c>
      <c r="AH879" s="10">
        <f t="shared" si="862"/>
        <v>0</v>
      </c>
      <c r="AI879" s="10">
        <f t="shared" si="862"/>
        <v>0</v>
      </c>
      <c r="AJ879" s="10">
        <f t="shared" si="862"/>
        <v>0</v>
      </c>
      <c r="AK879" s="10">
        <f t="shared" si="862"/>
        <v>0</v>
      </c>
      <c r="AL879" s="10">
        <f t="shared" si="862"/>
        <v>0</v>
      </c>
      <c r="AM879" s="10">
        <f t="shared" si="862"/>
        <v>0</v>
      </c>
      <c r="AN879" s="10">
        <f t="shared" si="862"/>
        <v>0</v>
      </c>
      <c r="AO879" s="10">
        <f t="shared" si="862"/>
        <v>0</v>
      </c>
      <c r="AP879" s="10">
        <f t="shared" si="862"/>
        <v>0</v>
      </c>
      <c r="AQ879" s="10">
        <f t="shared" si="862"/>
        <v>0</v>
      </c>
      <c r="AR879" s="10">
        <f t="shared" si="862"/>
        <v>0</v>
      </c>
      <c r="AS879" s="10">
        <f t="shared" si="862"/>
        <v>0</v>
      </c>
      <c r="AT879" s="10">
        <f t="shared" si="862"/>
        <v>0</v>
      </c>
      <c r="AU879" s="10">
        <f t="shared" si="862"/>
        <v>0</v>
      </c>
      <c r="AV879" s="10">
        <f t="shared" si="862"/>
        <v>0</v>
      </c>
      <c r="AW879" s="10">
        <f t="shared" si="862"/>
        <v>0</v>
      </c>
      <c r="AX879" s="10">
        <f t="shared" si="862"/>
        <v>0</v>
      </c>
      <c r="AY879" s="10">
        <f t="shared" si="862"/>
        <v>0</v>
      </c>
      <c r="AZ879" s="10">
        <f t="shared" si="862"/>
        <v>0</v>
      </c>
      <c r="BA879" s="10">
        <f t="shared" si="862"/>
        <v>0</v>
      </c>
      <c r="BB879" s="10">
        <f t="shared" si="862"/>
        <v>0</v>
      </c>
      <c r="BC879" s="10">
        <f t="shared" si="862"/>
        <v>0</v>
      </c>
      <c r="BD879" s="10">
        <f t="shared" si="862"/>
        <v>0</v>
      </c>
      <c r="BE879" s="10">
        <f t="shared" si="862"/>
        <v>0</v>
      </c>
      <c r="BF879" s="10">
        <f t="shared" si="862"/>
        <v>0</v>
      </c>
      <c r="BG879" s="10">
        <f t="shared" si="862"/>
        <v>0</v>
      </c>
      <c r="BH879" s="10">
        <f t="shared" si="862"/>
        <v>0</v>
      </c>
      <c r="BI879" s="10">
        <f t="shared" si="862"/>
        <v>0</v>
      </c>
      <c r="BJ879" s="10">
        <f t="shared" si="862"/>
        <v>0</v>
      </c>
      <c r="BK879" s="10">
        <f t="shared" si="862"/>
        <v>0</v>
      </c>
      <c r="BL879" s="10">
        <f t="shared" si="862"/>
        <v>0</v>
      </c>
      <c r="BM879" s="10">
        <f t="shared" si="862"/>
        <v>0</v>
      </c>
      <c r="BN879" s="10">
        <f t="shared" si="862"/>
        <v>0</v>
      </c>
      <c r="BO879" s="10">
        <f t="shared" si="862"/>
        <v>0</v>
      </c>
      <c r="BP879" s="10">
        <f t="shared" si="862"/>
        <v>0</v>
      </c>
      <c r="BQ879" s="10">
        <f t="shared" si="862"/>
        <v>0</v>
      </c>
      <c r="BR879" s="10">
        <f t="shared" si="862"/>
        <v>0</v>
      </c>
      <c r="BS879" s="10">
        <f t="shared" si="862"/>
        <v>0</v>
      </c>
      <c r="BT879" s="10">
        <f t="shared" si="862"/>
        <v>0</v>
      </c>
      <c r="BU879" s="10">
        <f t="shared" si="862"/>
        <v>0</v>
      </c>
      <c r="BV879" s="10">
        <f t="shared" si="862"/>
        <v>0</v>
      </c>
      <c r="BX879" s="10">
        <f t="shared" si="852"/>
        <v>0</v>
      </c>
      <c r="BY879" s="10">
        <f t="shared" si="852"/>
        <v>0</v>
      </c>
      <c r="BZ879" s="10">
        <f t="shared" si="852"/>
        <v>0</v>
      </c>
      <c r="CA879" s="10">
        <f t="shared" si="852"/>
        <v>0</v>
      </c>
      <c r="CB879" s="10">
        <f t="shared" si="852"/>
        <v>0</v>
      </c>
      <c r="CC879" s="12">
        <f t="shared" si="853"/>
        <v>0</v>
      </c>
      <c r="CD879" s="12">
        <f t="shared" si="853"/>
        <v>0</v>
      </c>
      <c r="CE879" s="12">
        <f t="shared" si="853"/>
        <v>0</v>
      </c>
      <c r="CF879" s="12">
        <f t="shared" si="853"/>
        <v>0</v>
      </c>
      <c r="CG879" s="12">
        <f t="shared" si="853"/>
        <v>0</v>
      </c>
      <c r="CH879" s="12">
        <f t="shared" si="853"/>
        <v>0</v>
      </c>
      <c r="CI879" s="12">
        <f t="shared" si="853"/>
        <v>0</v>
      </c>
      <c r="CK879" s="11"/>
      <c r="CM879" s="11"/>
      <c r="CV879" s="120"/>
      <c r="DF879" s="11"/>
      <c r="EY879" s="12" t="str">
        <f t="shared" ca="1" si="841"/>
        <v>Interest Payment Loan 20</v>
      </c>
    </row>
    <row r="880" spans="1:155" ht="6.75" customHeight="1" x14ac:dyDescent="0.35">
      <c r="C880" s="211"/>
      <c r="D880" s="1"/>
      <c r="E880"/>
      <c r="F880"/>
      <c r="BY880" s="6"/>
      <c r="CK880" s="35"/>
      <c r="CM880" s="35"/>
      <c r="CV880" s="120"/>
      <c r="DF880" s="35"/>
      <c r="EY880" s="10" t="str">
        <f>IF($C880="","",$D880)</f>
        <v/>
      </c>
    </row>
    <row r="881" spans="1:155" x14ac:dyDescent="0.35">
      <c r="C881" s="211"/>
      <c r="D881" s="50" t="s">
        <v>1091</v>
      </c>
      <c r="E881"/>
      <c r="F881"/>
      <c r="CK881" s="11"/>
      <c r="CM881" s="11"/>
      <c r="CV881" s="120"/>
      <c r="DF881" s="11"/>
      <c r="EY881" s="10" t="str">
        <f>IF($C881="","",$D881)</f>
        <v/>
      </c>
    </row>
    <row r="882" spans="1:155" ht="29" x14ac:dyDescent="0.35">
      <c r="B882" s="5" t="s">
        <v>1229</v>
      </c>
      <c r="C882" s="211"/>
      <c r="D882" s="5" t="s">
        <v>1020</v>
      </c>
      <c r="E882" s="5" t="s">
        <v>1248</v>
      </c>
      <c r="F882" s="5"/>
      <c r="G882" s="24" t="s">
        <v>1249</v>
      </c>
      <c r="CK882" s="11"/>
      <c r="CM882" s="11"/>
      <c r="CV882" s="120"/>
      <c r="DF882" s="11"/>
      <c r="EY882" s="10" t="str">
        <f>IF($C882="","",$D882)</f>
        <v/>
      </c>
    </row>
    <row r="883" spans="1:155" x14ac:dyDescent="0.35">
      <c r="B883" s="69" t="str" cm="1">
        <f t="array" aca="1" ref="B883" ca="1">HYPERLINK(CONCATENATE("#",CELL("address",$D$56)),$D$56)</f>
        <v>Loan 1</v>
      </c>
      <c r="C883" s="211" t="s">
        <v>1290</v>
      </c>
      <c r="D883" s="49">
        <f>D$13</f>
        <v>0</v>
      </c>
      <c r="E883" s="49" t="str">
        <f>F$13</f>
        <v/>
      </c>
      <c r="F883" s="49"/>
      <c r="G883" s="133">
        <f>Q$13</f>
        <v>0</v>
      </c>
      <c r="H883" s="9"/>
      <c r="I883" s="40" t="s">
        <v>1079</v>
      </c>
      <c r="J883" s="54"/>
      <c r="V883" s="133">
        <f t="shared" ref="V883:Y902" si="863">IF($G883=1, V810, V601)</f>
        <v>0</v>
      </c>
      <c r="W883" s="10">
        <f t="shared" si="863"/>
        <v>0</v>
      </c>
      <c r="X883" s="133">
        <f t="shared" si="863"/>
        <v>0</v>
      </c>
      <c r="Y883" s="133">
        <f t="shared" si="863"/>
        <v>0</v>
      </c>
      <c r="AA883" s="10">
        <f t="shared" ref="AA883:BV883" si="864">IF($G883=1, AA810, AA601)</f>
        <v>0</v>
      </c>
      <c r="AB883" s="10">
        <f t="shared" si="864"/>
        <v>0</v>
      </c>
      <c r="AC883" s="10">
        <f t="shared" si="864"/>
        <v>0</v>
      </c>
      <c r="AD883" s="10">
        <f t="shared" si="864"/>
        <v>0</v>
      </c>
      <c r="AE883" s="10">
        <f t="shared" si="864"/>
        <v>0</v>
      </c>
      <c r="AF883" s="10">
        <f t="shared" si="864"/>
        <v>0</v>
      </c>
      <c r="AG883" s="10">
        <f t="shared" si="864"/>
        <v>0</v>
      </c>
      <c r="AH883" s="10">
        <f t="shared" si="864"/>
        <v>0</v>
      </c>
      <c r="AI883" s="10">
        <f t="shared" si="864"/>
        <v>0</v>
      </c>
      <c r="AJ883" s="10">
        <f t="shared" si="864"/>
        <v>0</v>
      </c>
      <c r="AK883" s="10">
        <f t="shared" si="864"/>
        <v>0</v>
      </c>
      <c r="AL883" s="10">
        <f t="shared" si="864"/>
        <v>0</v>
      </c>
      <c r="AM883" s="10">
        <f t="shared" si="864"/>
        <v>0</v>
      </c>
      <c r="AN883" s="10">
        <f t="shared" si="864"/>
        <v>0</v>
      </c>
      <c r="AO883" s="10">
        <f t="shared" si="864"/>
        <v>0</v>
      </c>
      <c r="AP883" s="10">
        <f t="shared" si="864"/>
        <v>0</v>
      </c>
      <c r="AQ883" s="10">
        <f t="shared" si="864"/>
        <v>0</v>
      </c>
      <c r="AR883" s="10">
        <f t="shared" si="864"/>
        <v>0</v>
      </c>
      <c r="AS883" s="10">
        <f t="shared" si="864"/>
        <v>0</v>
      </c>
      <c r="AT883" s="10">
        <f t="shared" si="864"/>
        <v>0</v>
      </c>
      <c r="AU883" s="10">
        <f t="shared" si="864"/>
        <v>0</v>
      </c>
      <c r="AV883" s="10">
        <f t="shared" si="864"/>
        <v>0</v>
      </c>
      <c r="AW883" s="10">
        <f t="shared" si="864"/>
        <v>0</v>
      </c>
      <c r="AX883" s="10">
        <f t="shared" si="864"/>
        <v>0</v>
      </c>
      <c r="AY883" s="10">
        <f t="shared" si="864"/>
        <v>0</v>
      </c>
      <c r="AZ883" s="10">
        <f t="shared" si="864"/>
        <v>0</v>
      </c>
      <c r="BA883" s="10">
        <f t="shared" si="864"/>
        <v>0</v>
      </c>
      <c r="BB883" s="10">
        <f t="shared" si="864"/>
        <v>0</v>
      </c>
      <c r="BC883" s="10">
        <f t="shared" si="864"/>
        <v>0</v>
      </c>
      <c r="BD883" s="10">
        <f t="shared" si="864"/>
        <v>0</v>
      </c>
      <c r="BE883" s="10">
        <f t="shared" si="864"/>
        <v>0</v>
      </c>
      <c r="BF883" s="10">
        <f t="shared" si="864"/>
        <v>0</v>
      </c>
      <c r="BG883" s="10">
        <f t="shared" si="864"/>
        <v>0</v>
      </c>
      <c r="BH883" s="10">
        <f t="shared" si="864"/>
        <v>0</v>
      </c>
      <c r="BI883" s="10">
        <f t="shared" si="864"/>
        <v>0</v>
      </c>
      <c r="BJ883" s="10">
        <f t="shared" si="864"/>
        <v>0</v>
      </c>
      <c r="BK883" s="10">
        <f t="shared" si="864"/>
        <v>0</v>
      </c>
      <c r="BL883" s="10">
        <f t="shared" si="864"/>
        <v>0</v>
      </c>
      <c r="BM883" s="10">
        <f t="shared" si="864"/>
        <v>0</v>
      </c>
      <c r="BN883" s="10">
        <f t="shared" si="864"/>
        <v>0</v>
      </c>
      <c r="BO883" s="10">
        <f t="shared" si="864"/>
        <v>0</v>
      </c>
      <c r="BP883" s="10">
        <f t="shared" si="864"/>
        <v>0</v>
      </c>
      <c r="BQ883" s="10">
        <f t="shared" si="864"/>
        <v>0</v>
      </c>
      <c r="BR883" s="10">
        <f t="shared" si="864"/>
        <v>0</v>
      </c>
      <c r="BS883" s="10">
        <f t="shared" si="864"/>
        <v>0</v>
      </c>
      <c r="BT883" s="10">
        <f t="shared" si="864"/>
        <v>0</v>
      </c>
      <c r="BU883" s="10">
        <f t="shared" si="864"/>
        <v>0</v>
      </c>
      <c r="BV883" s="10">
        <f t="shared" si="864"/>
        <v>0</v>
      </c>
      <c r="BX883" s="10">
        <f t="shared" ref="BX883:CB892" si="865">IF($G883=1, BX810, BX601)</f>
        <v>0</v>
      </c>
      <c r="BY883" s="10">
        <f t="shared" si="865"/>
        <v>0</v>
      </c>
      <c r="BZ883" s="10">
        <f t="shared" si="865"/>
        <v>0</v>
      </c>
      <c r="CA883" s="10">
        <f t="shared" si="865"/>
        <v>0</v>
      </c>
      <c r="CB883" s="10">
        <f t="shared" si="865"/>
        <v>0</v>
      </c>
      <c r="CC883" s="12">
        <f t="shared" ref="CC883:CI883" si="866">IF(AND(ISBLANK(CC$67),ISBLANK(CC$68)),CB883,CC$69)</f>
        <v>0</v>
      </c>
      <c r="CD883" s="12">
        <f t="shared" si="866"/>
        <v>0</v>
      </c>
      <c r="CE883" s="12">
        <f t="shared" si="866"/>
        <v>0</v>
      </c>
      <c r="CF883" s="12">
        <f t="shared" si="866"/>
        <v>0</v>
      </c>
      <c r="CG883" s="12">
        <f t="shared" si="866"/>
        <v>0</v>
      </c>
      <c r="CH883" s="12">
        <f t="shared" si="866"/>
        <v>0</v>
      </c>
      <c r="CI883" s="12">
        <f t="shared" si="866"/>
        <v>0</v>
      </c>
      <c r="CK883" s="11"/>
      <c r="CM883" s="11"/>
      <c r="CV883" s="120"/>
      <c r="DF883" s="11"/>
      <c r="EY883" s="12" t="str">
        <f t="shared" ref="EY883:EY902" ca="1" si="867">IF($C883="","",CONCATENATE(D$881," ", $B883))</f>
        <v>Interest Payable Closing Balance Loan 1</v>
      </c>
    </row>
    <row r="884" spans="1:155" x14ac:dyDescent="0.35">
      <c r="B884" s="69" t="str" cm="1">
        <f t="array" aca="1" ref="B884" ca="1">HYPERLINK(CONCATENATE("#",CELL("address",$D$75)),$D$75)</f>
        <v>Loan 2</v>
      </c>
      <c r="C884" s="211" t="s">
        <v>1291</v>
      </c>
      <c r="D884" s="49">
        <f>D$14</f>
        <v>0</v>
      </c>
      <c r="E884" s="49" t="str">
        <f>F$14</f>
        <v/>
      </c>
      <c r="F884" s="49"/>
      <c r="G884" s="10">
        <f>Q$14</f>
        <v>0</v>
      </c>
      <c r="H884" s="9"/>
      <c r="I884" s="40" t="s">
        <v>1079</v>
      </c>
      <c r="V884" s="133">
        <f t="shared" si="863"/>
        <v>0</v>
      </c>
      <c r="W884" s="10">
        <f t="shared" si="863"/>
        <v>0</v>
      </c>
      <c r="X884" s="10">
        <f t="shared" si="863"/>
        <v>0</v>
      </c>
      <c r="Y884" s="10">
        <f t="shared" si="863"/>
        <v>0</v>
      </c>
      <c r="AA884" s="10">
        <f t="shared" ref="AA884:BV884" si="868">IF($G884=1, AA811, AA602)</f>
        <v>0</v>
      </c>
      <c r="AB884" s="10">
        <f t="shared" si="868"/>
        <v>0</v>
      </c>
      <c r="AC884" s="10">
        <f t="shared" si="868"/>
        <v>0</v>
      </c>
      <c r="AD884" s="10">
        <f t="shared" si="868"/>
        <v>0</v>
      </c>
      <c r="AE884" s="10">
        <f t="shared" si="868"/>
        <v>0</v>
      </c>
      <c r="AF884" s="10">
        <f t="shared" si="868"/>
        <v>0</v>
      </c>
      <c r="AG884" s="10">
        <f t="shared" si="868"/>
        <v>0</v>
      </c>
      <c r="AH884" s="10">
        <f t="shared" si="868"/>
        <v>0</v>
      </c>
      <c r="AI884" s="10">
        <f t="shared" si="868"/>
        <v>0</v>
      </c>
      <c r="AJ884" s="10">
        <f t="shared" si="868"/>
        <v>0</v>
      </c>
      <c r="AK884" s="10">
        <f t="shared" si="868"/>
        <v>0</v>
      </c>
      <c r="AL884" s="10">
        <f t="shared" si="868"/>
        <v>0</v>
      </c>
      <c r="AM884" s="10">
        <f t="shared" si="868"/>
        <v>0</v>
      </c>
      <c r="AN884" s="10">
        <f t="shared" si="868"/>
        <v>0</v>
      </c>
      <c r="AO884" s="10">
        <f t="shared" si="868"/>
        <v>0</v>
      </c>
      <c r="AP884" s="10">
        <f t="shared" si="868"/>
        <v>0</v>
      </c>
      <c r="AQ884" s="10">
        <f t="shared" si="868"/>
        <v>0</v>
      </c>
      <c r="AR884" s="10">
        <f t="shared" si="868"/>
        <v>0</v>
      </c>
      <c r="AS884" s="10">
        <f t="shared" si="868"/>
        <v>0</v>
      </c>
      <c r="AT884" s="10">
        <f t="shared" si="868"/>
        <v>0</v>
      </c>
      <c r="AU884" s="10">
        <f t="shared" si="868"/>
        <v>0</v>
      </c>
      <c r="AV884" s="10">
        <f t="shared" si="868"/>
        <v>0</v>
      </c>
      <c r="AW884" s="10">
        <f t="shared" si="868"/>
        <v>0</v>
      </c>
      <c r="AX884" s="10">
        <f t="shared" si="868"/>
        <v>0</v>
      </c>
      <c r="AY884" s="10">
        <f t="shared" si="868"/>
        <v>0</v>
      </c>
      <c r="AZ884" s="10">
        <f t="shared" si="868"/>
        <v>0</v>
      </c>
      <c r="BA884" s="10">
        <f t="shared" si="868"/>
        <v>0</v>
      </c>
      <c r="BB884" s="10">
        <f t="shared" si="868"/>
        <v>0</v>
      </c>
      <c r="BC884" s="10">
        <f t="shared" si="868"/>
        <v>0</v>
      </c>
      <c r="BD884" s="10">
        <f t="shared" si="868"/>
        <v>0</v>
      </c>
      <c r="BE884" s="10">
        <f t="shared" si="868"/>
        <v>0</v>
      </c>
      <c r="BF884" s="10">
        <f t="shared" si="868"/>
        <v>0</v>
      </c>
      <c r="BG884" s="10">
        <f t="shared" si="868"/>
        <v>0</v>
      </c>
      <c r="BH884" s="10">
        <f t="shared" si="868"/>
        <v>0</v>
      </c>
      <c r="BI884" s="10">
        <f t="shared" si="868"/>
        <v>0</v>
      </c>
      <c r="BJ884" s="10">
        <f t="shared" si="868"/>
        <v>0</v>
      </c>
      <c r="BK884" s="10">
        <f t="shared" si="868"/>
        <v>0</v>
      </c>
      <c r="BL884" s="10">
        <f t="shared" si="868"/>
        <v>0</v>
      </c>
      <c r="BM884" s="10">
        <f t="shared" si="868"/>
        <v>0</v>
      </c>
      <c r="BN884" s="10">
        <f t="shared" si="868"/>
        <v>0</v>
      </c>
      <c r="BO884" s="10">
        <f t="shared" si="868"/>
        <v>0</v>
      </c>
      <c r="BP884" s="10">
        <f t="shared" si="868"/>
        <v>0</v>
      </c>
      <c r="BQ884" s="10">
        <f t="shared" si="868"/>
        <v>0</v>
      </c>
      <c r="BR884" s="10">
        <f t="shared" si="868"/>
        <v>0</v>
      </c>
      <c r="BS884" s="10">
        <f t="shared" si="868"/>
        <v>0</v>
      </c>
      <c r="BT884" s="10">
        <f t="shared" si="868"/>
        <v>0</v>
      </c>
      <c r="BU884" s="10">
        <f t="shared" si="868"/>
        <v>0</v>
      </c>
      <c r="BV884" s="10">
        <f t="shared" si="868"/>
        <v>0</v>
      </c>
      <c r="BX884" s="10">
        <f t="shared" si="865"/>
        <v>0</v>
      </c>
      <c r="BY884" s="10">
        <f t="shared" si="865"/>
        <v>0</v>
      </c>
      <c r="BZ884" s="10">
        <f t="shared" si="865"/>
        <v>0</v>
      </c>
      <c r="CA884" s="10">
        <f t="shared" si="865"/>
        <v>0</v>
      </c>
      <c r="CB884" s="10">
        <f t="shared" si="865"/>
        <v>0</v>
      </c>
      <c r="CC884" s="12">
        <f t="shared" ref="CC884:CI884" si="869">IF(AND(ISBLANK(CC$86),ISBLANK(CC$87)),CB884,CC$88)</f>
        <v>0</v>
      </c>
      <c r="CD884" s="12">
        <f t="shared" si="869"/>
        <v>0</v>
      </c>
      <c r="CE884" s="12">
        <f t="shared" si="869"/>
        <v>0</v>
      </c>
      <c r="CF884" s="12">
        <f t="shared" si="869"/>
        <v>0</v>
      </c>
      <c r="CG884" s="12">
        <f t="shared" si="869"/>
        <v>0</v>
      </c>
      <c r="CH884" s="12">
        <f t="shared" si="869"/>
        <v>0</v>
      </c>
      <c r="CI884" s="12">
        <f t="shared" si="869"/>
        <v>0</v>
      </c>
      <c r="CK884" s="11"/>
      <c r="CM884" s="11"/>
      <c r="CV884" s="120"/>
      <c r="DF884" s="11"/>
      <c r="EY884" s="12" t="str">
        <f t="shared" ca="1" si="867"/>
        <v>Interest Payable Closing Balance Loan 2</v>
      </c>
    </row>
    <row r="885" spans="1:155" x14ac:dyDescent="0.35">
      <c r="B885" s="69" t="str" cm="1">
        <f t="array" aca="1" ref="B885" ca="1">HYPERLINK(CONCATENATE("#",CELL("address",$D$94)),$D$94)</f>
        <v>Loan 3</v>
      </c>
      <c r="C885" s="211" t="s">
        <v>1292</v>
      </c>
      <c r="D885" s="49">
        <f>D$15</f>
        <v>0</v>
      </c>
      <c r="E885" s="49" t="str">
        <f>F$15</f>
        <v/>
      </c>
      <c r="F885" s="49"/>
      <c r="G885" s="10">
        <f>Q$15</f>
        <v>0</v>
      </c>
      <c r="H885" s="9"/>
      <c r="I885" s="40" t="s">
        <v>1079</v>
      </c>
      <c r="V885" s="133">
        <f t="shared" si="863"/>
        <v>0</v>
      </c>
      <c r="W885" s="10">
        <f t="shared" si="863"/>
        <v>0</v>
      </c>
      <c r="X885" s="10">
        <f t="shared" si="863"/>
        <v>0</v>
      </c>
      <c r="Y885" s="10">
        <f t="shared" si="863"/>
        <v>0</v>
      </c>
      <c r="AA885" s="10">
        <f t="shared" ref="AA885:BV885" si="870">IF($G885=1, AA812, AA603)</f>
        <v>0</v>
      </c>
      <c r="AB885" s="10">
        <f t="shared" si="870"/>
        <v>0</v>
      </c>
      <c r="AC885" s="10">
        <f t="shared" si="870"/>
        <v>0</v>
      </c>
      <c r="AD885" s="10">
        <f t="shared" si="870"/>
        <v>0</v>
      </c>
      <c r="AE885" s="10">
        <f t="shared" si="870"/>
        <v>0</v>
      </c>
      <c r="AF885" s="10">
        <f t="shared" si="870"/>
        <v>0</v>
      </c>
      <c r="AG885" s="10">
        <f t="shared" si="870"/>
        <v>0</v>
      </c>
      <c r="AH885" s="10">
        <f t="shared" si="870"/>
        <v>0</v>
      </c>
      <c r="AI885" s="10">
        <f t="shared" si="870"/>
        <v>0</v>
      </c>
      <c r="AJ885" s="10">
        <f t="shared" si="870"/>
        <v>0</v>
      </c>
      <c r="AK885" s="10">
        <f t="shared" si="870"/>
        <v>0</v>
      </c>
      <c r="AL885" s="10">
        <f t="shared" si="870"/>
        <v>0</v>
      </c>
      <c r="AM885" s="10">
        <f t="shared" si="870"/>
        <v>0</v>
      </c>
      <c r="AN885" s="10">
        <f t="shared" si="870"/>
        <v>0</v>
      </c>
      <c r="AO885" s="10">
        <f t="shared" si="870"/>
        <v>0</v>
      </c>
      <c r="AP885" s="10">
        <f t="shared" si="870"/>
        <v>0</v>
      </c>
      <c r="AQ885" s="10">
        <f t="shared" si="870"/>
        <v>0</v>
      </c>
      <c r="AR885" s="10">
        <f t="shared" si="870"/>
        <v>0</v>
      </c>
      <c r="AS885" s="10">
        <f t="shared" si="870"/>
        <v>0</v>
      </c>
      <c r="AT885" s="10">
        <f t="shared" si="870"/>
        <v>0</v>
      </c>
      <c r="AU885" s="10">
        <f t="shared" si="870"/>
        <v>0</v>
      </c>
      <c r="AV885" s="10">
        <f t="shared" si="870"/>
        <v>0</v>
      </c>
      <c r="AW885" s="10">
        <f t="shared" si="870"/>
        <v>0</v>
      </c>
      <c r="AX885" s="10">
        <f t="shared" si="870"/>
        <v>0</v>
      </c>
      <c r="AY885" s="10">
        <f t="shared" si="870"/>
        <v>0</v>
      </c>
      <c r="AZ885" s="10">
        <f t="shared" si="870"/>
        <v>0</v>
      </c>
      <c r="BA885" s="10">
        <f t="shared" si="870"/>
        <v>0</v>
      </c>
      <c r="BB885" s="10">
        <f t="shared" si="870"/>
        <v>0</v>
      </c>
      <c r="BC885" s="10">
        <f t="shared" si="870"/>
        <v>0</v>
      </c>
      <c r="BD885" s="10">
        <f t="shared" si="870"/>
        <v>0</v>
      </c>
      <c r="BE885" s="10">
        <f t="shared" si="870"/>
        <v>0</v>
      </c>
      <c r="BF885" s="10">
        <f t="shared" si="870"/>
        <v>0</v>
      </c>
      <c r="BG885" s="10">
        <f t="shared" si="870"/>
        <v>0</v>
      </c>
      <c r="BH885" s="10">
        <f t="shared" si="870"/>
        <v>0</v>
      </c>
      <c r="BI885" s="10">
        <f t="shared" si="870"/>
        <v>0</v>
      </c>
      <c r="BJ885" s="10">
        <f t="shared" si="870"/>
        <v>0</v>
      </c>
      <c r="BK885" s="10">
        <f t="shared" si="870"/>
        <v>0</v>
      </c>
      <c r="BL885" s="10">
        <f t="shared" si="870"/>
        <v>0</v>
      </c>
      <c r="BM885" s="10">
        <f t="shared" si="870"/>
        <v>0</v>
      </c>
      <c r="BN885" s="10">
        <f t="shared" si="870"/>
        <v>0</v>
      </c>
      <c r="BO885" s="10">
        <f t="shared" si="870"/>
        <v>0</v>
      </c>
      <c r="BP885" s="10">
        <f t="shared" si="870"/>
        <v>0</v>
      </c>
      <c r="BQ885" s="10">
        <f t="shared" si="870"/>
        <v>0</v>
      </c>
      <c r="BR885" s="10">
        <f t="shared" si="870"/>
        <v>0</v>
      </c>
      <c r="BS885" s="10">
        <f t="shared" si="870"/>
        <v>0</v>
      </c>
      <c r="BT885" s="10">
        <f t="shared" si="870"/>
        <v>0</v>
      </c>
      <c r="BU885" s="10">
        <f t="shared" si="870"/>
        <v>0</v>
      </c>
      <c r="BV885" s="10">
        <f t="shared" si="870"/>
        <v>0</v>
      </c>
      <c r="BX885" s="10">
        <f t="shared" si="865"/>
        <v>0</v>
      </c>
      <c r="BY885" s="10">
        <f t="shared" si="865"/>
        <v>0</v>
      </c>
      <c r="BZ885" s="10">
        <f t="shared" si="865"/>
        <v>0</v>
      </c>
      <c r="CA885" s="10">
        <f t="shared" si="865"/>
        <v>0</v>
      </c>
      <c r="CB885" s="10">
        <f t="shared" si="865"/>
        <v>0</v>
      </c>
      <c r="CC885" s="12">
        <f t="shared" ref="CC885:CI885" si="871">IF(AND(ISBLANK(CC$105),ISBLANK(CC$106)),CB885,CC$107)</f>
        <v>0</v>
      </c>
      <c r="CD885" s="12">
        <f t="shared" si="871"/>
        <v>0</v>
      </c>
      <c r="CE885" s="12">
        <f t="shared" si="871"/>
        <v>0</v>
      </c>
      <c r="CF885" s="12">
        <f t="shared" si="871"/>
        <v>0</v>
      </c>
      <c r="CG885" s="12">
        <f t="shared" si="871"/>
        <v>0</v>
      </c>
      <c r="CH885" s="12">
        <f t="shared" si="871"/>
        <v>0</v>
      </c>
      <c r="CI885" s="12">
        <f t="shared" si="871"/>
        <v>0</v>
      </c>
      <c r="CK885" s="11"/>
      <c r="CM885" s="11"/>
      <c r="CV885" s="120"/>
      <c r="DF885" s="11"/>
      <c r="EY885" s="12" t="str">
        <f t="shared" ca="1" si="867"/>
        <v>Interest Payable Closing Balance Loan 3</v>
      </c>
    </row>
    <row r="886" spans="1:155" x14ac:dyDescent="0.35">
      <c r="B886" s="69" t="str" cm="1">
        <f t="array" aca="1" ref="B886" ca="1">HYPERLINK(CONCATENATE("#",CELL("address",$D$113)),$D$113)</f>
        <v>Loan 4</v>
      </c>
      <c r="C886" s="211" t="s">
        <v>1293</v>
      </c>
      <c r="D886" s="49">
        <f>D$16</f>
        <v>0</v>
      </c>
      <c r="E886" s="49" t="str">
        <f>F$16</f>
        <v/>
      </c>
      <c r="F886" s="49"/>
      <c r="G886" s="10">
        <f>Q$16</f>
        <v>0</v>
      </c>
      <c r="H886" s="9"/>
      <c r="I886" s="40" t="s">
        <v>1079</v>
      </c>
      <c r="V886" s="133">
        <f t="shared" si="863"/>
        <v>0</v>
      </c>
      <c r="W886" s="10">
        <f t="shared" si="863"/>
        <v>0</v>
      </c>
      <c r="X886" s="10">
        <f t="shared" si="863"/>
        <v>0</v>
      </c>
      <c r="Y886" s="10">
        <f t="shared" si="863"/>
        <v>0</v>
      </c>
      <c r="AA886" s="10">
        <f t="shared" ref="AA886:BV886" si="872">IF($G886=1, AA813, AA604)</f>
        <v>0</v>
      </c>
      <c r="AB886" s="10">
        <f t="shared" si="872"/>
        <v>0</v>
      </c>
      <c r="AC886" s="10">
        <f t="shared" si="872"/>
        <v>0</v>
      </c>
      <c r="AD886" s="10">
        <f t="shared" si="872"/>
        <v>0</v>
      </c>
      <c r="AE886" s="10">
        <f t="shared" si="872"/>
        <v>0</v>
      </c>
      <c r="AF886" s="10">
        <f t="shared" si="872"/>
        <v>0</v>
      </c>
      <c r="AG886" s="10">
        <f t="shared" si="872"/>
        <v>0</v>
      </c>
      <c r="AH886" s="10">
        <f t="shared" si="872"/>
        <v>0</v>
      </c>
      <c r="AI886" s="10">
        <f t="shared" si="872"/>
        <v>0</v>
      </c>
      <c r="AJ886" s="10">
        <f t="shared" si="872"/>
        <v>0</v>
      </c>
      <c r="AK886" s="10">
        <f t="shared" si="872"/>
        <v>0</v>
      </c>
      <c r="AL886" s="10">
        <f t="shared" si="872"/>
        <v>0</v>
      </c>
      <c r="AM886" s="10">
        <f t="shared" si="872"/>
        <v>0</v>
      </c>
      <c r="AN886" s="10">
        <f t="shared" si="872"/>
        <v>0</v>
      </c>
      <c r="AO886" s="10">
        <f t="shared" si="872"/>
        <v>0</v>
      </c>
      <c r="AP886" s="10">
        <f t="shared" si="872"/>
        <v>0</v>
      </c>
      <c r="AQ886" s="10">
        <f t="shared" si="872"/>
        <v>0</v>
      </c>
      <c r="AR886" s="10">
        <f t="shared" si="872"/>
        <v>0</v>
      </c>
      <c r="AS886" s="10">
        <f t="shared" si="872"/>
        <v>0</v>
      </c>
      <c r="AT886" s="10">
        <f t="shared" si="872"/>
        <v>0</v>
      </c>
      <c r="AU886" s="10">
        <f t="shared" si="872"/>
        <v>0</v>
      </c>
      <c r="AV886" s="10">
        <f t="shared" si="872"/>
        <v>0</v>
      </c>
      <c r="AW886" s="10">
        <f t="shared" si="872"/>
        <v>0</v>
      </c>
      <c r="AX886" s="10">
        <f t="shared" si="872"/>
        <v>0</v>
      </c>
      <c r="AY886" s="10">
        <f t="shared" si="872"/>
        <v>0</v>
      </c>
      <c r="AZ886" s="10">
        <f t="shared" si="872"/>
        <v>0</v>
      </c>
      <c r="BA886" s="10">
        <f t="shared" si="872"/>
        <v>0</v>
      </c>
      <c r="BB886" s="10">
        <f t="shared" si="872"/>
        <v>0</v>
      </c>
      <c r="BC886" s="10">
        <f t="shared" si="872"/>
        <v>0</v>
      </c>
      <c r="BD886" s="10">
        <f t="shared" si="872"/>
        <v>0</v>
      </c>
      <c r="BE886" s="10">
        <f t="shared" si="872"/>
        <v>0</v>
      </c>
      <c r="BF886" s="10">
        <f t="shared" si="872"/>
        <v>0</v>
      </c>
      <c r="BG886" s="10">
        <f t="shared" si="872"/>
        <v>0</v>
      </c>
      <c r="BH886" s="10">
        <f t="shared" si="872"/>
        <v>0</v>
      </c>
      <c r="BI886" s="10">
        <f t="shared" si="872"/>
        <v>0</v>
      </c>
      <c r="BJ886" s="10">
        <f t="shared" si="872"/>
        <v>0</v>
      </c>
      <c r="BK886" s="10">
        <f t="shared" si="872"/>
        <v>0</v>
      </c>
      <c r="BL886" s="10">
        <f t="shared" si="872"/>
        <v>0</v>
      </c>
      <c r="BM886" s="10">
        <f t="shared" si="872"/>
        <v>0</v>
      </c>
      <c r="BN886" s="10">
        <f t="shared" si="872"/>
        <v>0</v>
      </c>
      <c r="BO886" s="10">
        <f t="shared" si="872"/>
        <v>0</v>
      </c>
      <c r="BP886" s="10">
        <f t="shared" si="872"/>
        <v>0</v>
      </c>
      <c r="BQ886" s="10">
        <f t="shared" si="872"/>
        <v>0</v>
      </c>
      <c r="BR886" s="10">
        <f t="shared" si="872"/>
        <v>0</v>
      </c>
      <c r="BS886" s="10">
        <f t="shared" si="872"/>
        <v>0</v>
      </c>
      <c r="BT886" s="10">
        <f t="shared" si="872"/>
        <v>0</v>
      </c>
      <c r="BU886" s="10">
        <f t="shared" si="872"/>
        <v>0</v>
      </c>
      <c r="BV886" s="10">
        <f t="shared" si="872"/>
        <v>0</v>
      </c>
      <c r="BX886" s="10">
        <f t="shared" si="865"/>
        <v>0</v>
      </c>
      <c r="BY886" s="10">
        <f t="shared" si="865"/>
        <v>0</v>
      </c>
      <c r="BZ886" s="10">
        <f t="shared" si="865"/>
        <v>0</v>
      </c>
      <c r="CA886" s="10">
        <f t="shared" si="865"/>
        <v>0</v>
      </c>
      <c r="CB886" s="10">
        <f t="shared" si="865"/>
        <v>0</v>
      </c>
      <c r="CC886" s="12">
        <f t="shared" ref="CC886:CI886" si="873">IF(AND(ISBLANK(CC$124),ISBLANK(CC$125)),CB886,CC$126)</f>
        <v>0</v>
      </c>
      <c r="CD886" s="12">
        <f t="shared" si="873"/>
        <v>0</v>
      </c>
      <c r="CE886" s="12">
        <f t="shared" si="873"/>
        <v>0</v>
      </c>
      <c r="CF886" s="12">
        <f t="shared" si="873"/>
        <v>0</v>
      </c>
      <c r="CG886" s="12">
        <f t="shared" si="873"/>
        <v>0</v>
      </c>
      <c r="CH886" s="12">
        <f t="shared" si="873"/>
        <v>0</v>
      </c>
      <c r="CI886" s="12">
        <f t="shared" si="873"/>
        <v>0</v>
      </c>
      <c r="CK886" s="11"/>
      <c r="CM886" s="11"/>
      <c r="CV886" s="120"/>
      <c r="DF886" s="11"/>
      <c r="EY886" s="12" t="str">
        <f t="shared" ca="1" si="867"/>
        <v>Interest Payable Closing Balance Loan 4</v>
      </c>
    </row>
    <row r="887" spans="1:155" x14ac:dyDescent="0.35">
      <c r="B887" s="69" t="str" cm="1">
        <f t="array" aca="1" ref="B887" ca="1">HYPERLINK(CONCATENATE("#",CELL("address",$D$132)),$D$132)</f>
        <v>Loan 5</v>
      </c>
      <c r="C887" s="211" t="s">
        <v>1294</v>
      </c>
      <c r="D887" s="49">
        <f>D$17</f>
        <v>0</v>
      </c>
      <c r="E887" s="49" t="str">
        <f>F$17</f>
        <v/>
      </c>
      <c r="F887" s="49"/>
      <c r="G887" s="10">
        <f>Q$17</f>
        <v>0</v>
      </c>
      <c r="H887" s="9"/>
      <c r="I887" s="40" t="s">
        <v>1079</v>
      </c>
      <c r="V887" s="133">
        <f t="shared" si="863"/>
        <v>0</v>
      </c>
      <c r="W887" s="10">
        <f t="shared" si="863"/>
        <v>0</v>
      </c>
      <c r="X887" s="133">
        <f t="shared" si="863"/>
        <v>0</v>
      </c>
      <c r="Y887" s="133">
        <f t="shared" si="863"/>
        <v>0</v>
      </c>
      <c r="AA887" s="10">
        <f t="shared" ref="AA887:BV887" si="874">IF($G887=1, AA814, AA605)</f>
        <v>0</v>
      </c>
      <c r="AB887" s="10">
        <f t="shared" si="874"/>
        <v>0</v>
      </c>
      <c r="AC887" s="10">
        <f t="shared" si="874"/>
        <v>0</v>
      </c>
      <c r="AD887" s="10">
        <f t="shared" si="874"/>
        <v>0</v>
      </c>
      <c r="AE887" s="10">
        <f t="shared" si="874"/>
        <v>0</v>
      </c>
      <c r="AF887" s="10">
        <f t="shared" si="874"/>
        <v>0</v>
      </c>
      <c r="AG887" s="10">
        <f t="shared" si="874"/>
        <v>0</v>
      </c>
      <c r="AH887" s="10">
        <f t="shared" si="874"/>
        <v>0</v>
      </c>
      <c r="AI887" s="10">
        <f t="shared" si="874"/>
        <v>0</v>
      </c>
      <c r="AJ887" s="10">
        <f t="shared" si="874"/>
        <v>0</v>
      </c>
      <c r="AK887" s="10">
        <f t="shared" si="874"/>
        <v>0</v>
      </c>
      <c r="AL887" s="10">
        <f t="shared" si="874"/>
        <v>0</v>
      </c>
      <c r="AM887" s="10">
        <f t="shared" si="874"/>
        <v>0</v>
      </c>
      <c r="AN887" s="10">
        <f t="shared" si="874"/>
        <v>0</v>
      </c>
      <c r="AO887" s="10">
        <f t="shared" si="874"/>
        <v>0</v>
      </c>
      <c r="AP887" s="10">
        <f t="shared" si="874"/>
        <v>0</v>
      </c>
      <c r="AQ887" s="10">
        <f t="shared" si="874"/>
        <v>0</v>
      </c>
      <c r="AR887" s="10">
        <f t="shared" si="874"/>
        <v>0</v>
      </c>
      <c r="AS887" s="10">
        <f t="shared" si="874"/>
        <v>0</v>
      </c>
      <c r="AT887" s="10">
        <f t="shared" si="874"/>
        <v>0</v>
      </c>
      <c r="AU887" s="10">
        <f t="shared" si="874"/>
        <v>0</v>
      </c>
      <c r="AV887" s="10">
        <f t="shared" si="874"/>
        <v>0</v>
      </c>
      <c r="AW887" s="10">
        <f t="shared" si="874"/>
        <v>0</v>
      </c>
      <c r="AX887" s="10">
        <f t="shared" si="874"/>
        <v>0</v>
      </c>
      <c r="AY887" s="10">
        <f t="shared" si="874"/>
        <v>0</v>
      </c>
      <c r="AZ887" s="10">
        <f t="shared" si="874"/>
        <v>0</v>
      </c>
      <c r="BA887" s="10">
        <f t="shared" si="874"/>
        <v>0</v>
      </c>
      <c r="BB887" s="10">
        <f t="shared" si="874"/>
        <v>0</v>
      </c>
      <c r="BC887" s="10">
        <f t="shared" si="874"/>
        <v>0</v>
      </c>
      <c r="BD887" s="10">
        <f t="shared" si="874"/>
        <v>0</v>
      </c>
      <c r="BE887" s="10">
        <f t="shared" si="874"/>
        <v>0</v>
      </c>
      <c r="BF887" s="10">
        <f t="shared" si="874"/>
        <v>0</v>
      </c>
      <c r="BG887" s="10">
        <f t="shared" si="874"/>
        <v>0</v>
      </c>
      <c r="BH887" s="10">
        <f t="shared" si="874"/>
        <v>0</v>
      </c>
      <c r="BI887" s="10">
        <f t="shared" si="874"/>
        <v>0</v>
      </c>
      <c r="BJ887" s="10">
        <f t="shared" si="874"/>
        <v>0</v>
      </c>
      <c r="BK887" s="10">
        <f t="shared" si="874"/>
        <v>0</v>
      </c>
      <c r="BL887" s="10">
        <f t="shared" si="874"/>
        <v>0</v>
      </c>
      <c r="BM887" s="10">
        <f t="shared" si="874"/>
        <v>0</v>
      </c>
      <c r="BN887" s="10">
        <f t="shared" si="874"/>
        <v>0</v>
      </c>
      <c r="BO887" s="10">
        <f t="shared" si="874"/>
        <v>0</v>
      </c>
      <c r="BP887" s="10">
        <f t="shared" si="874"/>
        <v>0</v>
      </c>
      <c r="BQ887" s="10">
        <f t="shared" si="874"/>
        <v>0</v>
      </c>
      <c r="BR887" s="10">
        <f t="shared" si="874"/>
        <v>0</v>
      </c>
      <c r="BS887" s="10">
        <f t="shared" si="874"/>
        <v>0</v>
      </c>
      <c r="BT887" s="10">
        <f t="shared" si="874"/>
        <v>0</v>
      </c>
      <c r="BU887" s="10">
        <f t="shared" si="874"/>
        <v>0</v>
      </c>
      <c r="BV887" s="10">
        <f t="shared" si="874"/>
        <v>0</v>
      </c>
      <c r="BX887" s="10">
        <f t="shared" si="865"/>
        <v>0</v>
      </c>
      <c r="BY887" s="10">
        <f t="shared" si="865"/>
        <v>0</v>
      </c>
      <c r="BZ887" s="10">
        <f t="shared" si="865"/>
        <v>0</v>
      </c>
      <c r="CA887" s="10">
        <f t="shared" si="865"/>
        <v>0</v>
      </c>
      <c r="CB887" s="10">
        <f t="shared" si="865"/>
        <v>0</v>
      </c>
      <c r="CC887" s="12">
        <f t="shared" ref="CC887:CI887" si="875">IF(AND(ISBLANK(CC$143),ISBLANK(CC$144)),CB887,CC$145)</f>
        <v>0</v>
      </c>
      <c r="CD887" s="12">
        <f t="shared" si="875"/>
        <v>0</v>
      </c>
      <c r="CE887" s="12">
        <f t="shared" si="875"/>
        <v>0</v>
      </c>
      <c r="CF887" s="12">
        <f t="shared" si="875"/>
        <v>0</v>
      </c>
      <c r="CG887" s="12">
        <f t="shared" si="875"/>
        <v>0</v>
      </c>
      <c r="CH887" s="12">
        <f t="shared" si="875"/>
        <v>0</v>
      </c>
      <c r="CI887" s="12">
        <f t="shared" si="875"/>
        <v>0</v>
      </c>
      <c r="CK887" s="11"/>
      <c r="CM887" s="11"/>
      <c r="CV887" s="120"/>
      <c r="DF887" s="11"/>
      <c r="EY887" s="12" t="str">
        <f t="shared" ca="1" si="867"/>
        <v>Interest Payable Closing Balance Loan 5</v>
      </c>
    </row>
    <row r="888" spans="1:155" x14ac:dyDescent="0.35">
      <c r="B888" s="69" t="str" cm="1">
        <f t="array" aca="1" ref="B888" ca="1">HYPERLINK(CONCATENATE("#",CELL("address",$D$151)),$D$151)</f>
        <v>Loan 6</v>
      </c>
      <c r="C888" s="211" t="s">
        <v>1295</v>
      </c>
      <c r="D888" s="49">
        <f>D$18</f>
        <v>0</v>
      </c>
      <c r="E888" s="49" t="str">
        <f>F$18</f>
        <v/>
      </c>
      <c r="F888" s="49"/>
      <c r="G888" s="10">
        <f>Q$18</f>
        <v>0</v>
      </c>
      <c r="H888" s="9"/>
      <c r="I888" s="40" t="s">
        <v>1079</v>
      </c>
      <c r="V888" s="133">
        <f t="shared" si="863"/>
        <v>0</v>
      </c>
      <c r="W888" s="10">
        <f t="shared" si="863"/>
        <v>0</v>
      </c>
      <c r="X888" s="133">
        <f t="shared" si="863"/>
        <v>0</v>
      </c>
      <c r="Y888" s="133">
        <f t="shared" si="863"/>
        <v>0</v>
      </c>
      <c r="AA888" s="10">
        <f t="shared" ref="AA888:BV888" si="876">IF($G888=1, AA815, AA606)</f>
        <v>0</v>
      </c>
      <c r="AB888" s="10">
        <f t="shared" si="876"/>
        <v>0</v>
      </c>
      <c r="AC888" s="10">
        <f t="shared" si="876"/>
        <v>0</v>
      </c>
      <c r="AD888" s="10">
        <f t="shared" si="876"/>
        <v>0</v>
      </c>
      <c r="AE888" s="10">
        <f t="shared" si="876"/>
        <v>0</v>
      </c>
      <c r="AF888" s="10">
        <f t="shared" si="876"/>
        <v>0</v>
      </c>
      <c r="AG888" s="10">
        <f t="shared" si="876"/>
        <v>0</v>
      </c>
      <c r="AH888" s="10">
        <f t="shared" si="876"/>
        <v>0</v>
      </c>
      <c r="AI888" s="10">
        <f t="shared" si="876"/>
        <v>0</v>
      </c>
      <c r="AJ888" s="10">
        <f t="shared" si="876"/>
        <v>0</v>
      </c>
      <c r="AK888" s="10">
        <f t="shared" si="876"/>
        <v>0</v>
      </c>
      <c r="AL888" s="10">
        <f t="shared" si="876"/>
        <v>0</v>
      </c>
      <c r="AM888" s="10">
        <f t="shared" si="876"/>
        <v>0</v>
      </c>
      <c r="AN888" s="10">
        <f t="shared" si="876"/>
        <v>0</v>
      </c>
      <c r="AO888" s="10">
        <f t="shared" si="876"/>
        <v>0</v>
      </c>
      <c r="AP888" s="10">
        <f t="shared" si="876"/>
        <v>0</v>
      </c>
      <c r="AQ888" s="10">
        <f t="shared" si="876"/>
        <v>0</v>
      </c>
      <c r="AR888" s="10">
        <f t="shared" si="876"/>
        <v>0</v>
      </c>
      <c r="AS888" s="10">
        <f t="shared" si="876"/>
        <v>0</v>
      </c>
      <c r="AT888" s="10">
        <f t="shared" si="876"/>
        <v>0</v>
      </c>
      <c r="AU888" s="10">
        <f t="shared" si="876"/>
        <v>0</v>
      </c>
      <c r="AV888" s="10">
        <f t="shared" si="876"/>
        <v>0</v>
      </c>
      <c r="AW888" s="10">
        <f t="shared" si="876"/>
        <v>0</v>
      </c>
      <c r="AX888" s="10">
        <f t="shared" si="876"/>
        <v>0</v>
      </c>
      <c r="AY888" s="10">
        <f t="shared" si="876"/>
        <v>0</v>
      </c>
      <c r="AZ888" s="10">
        <f t="shared" si="876"/>
        <v>0</v>
      </c>
      <c r="BA888" s="10">
        <f t="shared" si="876"/>
        <v>0</v>
      </c>
      <c r="BB888" s="10">
        <f t="shared" si="876"/>
        <v>0</v>
      </c>
      <c r="BC888" s="10">
        <f t="shared" si="876"/>
        <v>0</v>
      </c>
      <c r="BD888" s="10">
        <f t="shared" si="876"/>
        <v>0</v>
      </c>
      <c r="BE888" s="10">
        <f t="shared" si="876"/>
        <v>0</v>
      </c>
      <c r="BF888" s="10">
        <f t="shared" si="876"/>
        <v>0</v>
      </c>
      <c r="BG888" s="10">
        <f t="shared" si="876"/>
        <v>0</v>
      </c>
      <c r="BH888" s="10">
        <f t="shared" si="876"/>
        <v>0</v>
      </c>
      <c r="BI888" s="10">
        <f t="shared" si="876"/>
        <v>0</v>
      </c>
      <c r="BJ888" s="10">
        <f t="shared" si="876"/>
        <v>0</v>
      </c>
      <c r="BK888" s="10">
        <f t="shared" si="876"/>
        <v>0</v>
      </c>
      <c r="BL888" s="10">
        <f t="shared" si="876"/>
        <v>0</v>
      </c>
      <c r="BM888" s="10">
        <f t="shared" si="876"/>
        <v>0</v>
      </c>
      <c r="BN888" s="10">
        <f t="shared" si="876"/>
        <v>0</v>
      </c>
      <c r="BO888" s="10">
        <f t="shared" si="876"/>
        <v>0</v>
      </c>
      <c r="BP888" s="10">
        <f t="shared" si="876"/>
        <v>0</v>
      </c>
      <c r="BQ888" s="10">
        <f t="shared" si="876"/>
        <v>0</v>
      </c>
      <c r="BR888" s="10">
        <f t="shared" si="876"/>
        <v>0</v>
      </c>
      <c r="BS888" s="10">
        <f t="shared" si="876"/>
        <v>0</v>
      </c>
      <c r="BT888" s="10">
        <f t="shared" si="876"/>
        <v>0</v>
      </c>
      <c r="BU888" s="10">
        <f t="shared" si="876"/>
        <v>0</v>
      </c>
      <c r="BV888" s="10">
        <f t="shared" si="876"/>
        <v>0</v>
      </c>
      <c r="BX888" s="10">
        <f t="shared" si="865"/>
        <v>0</v>
      </c>
      <c r="BY888" s="10">
        <f t="shared" si="865"/>
        <v>0</v>
      </c>
      <c r="BZ888" s="10">
        <f t="shared" si="865"/>
        <v>0</v>
      </c>
      <c r="CA888" s="10">
        <f t="shared" si="865"/>
        <v>0</v>
      </c>
      <c r="CB888" s="10">
        <f t="shared" si="865"/>
        <v>0</v>
      </c>
      <c r="CC888" s="12">
        <f t="shared" ref="CC888:CI888" si="877">IF(AND(ISBLANK(CC$162),ISBLANK(CC$163)),CB888,CC$164)</f>
        <v>0</v>
      </c>
      <c r="CD888" s="12">
        <f t="shared" si="877"/>
        <v>0</v>
      </c>
      <c r="CE888" s="12">
        <f t="shared" si="877"/>
        <v>0</v>
      </c>
      <c r="CF888" s="12">
        <f t="shared" si="877"/>
        <v>0</v>
      </c>
      <c r="CG888" s="12">
        <f t="shared" si="877"/>
        <v>0</v>
      </c>
      <c r="CH888" s="12">
        <f t="shared" si="877"/>
        <v>0</v>
      </c>
      <c r="CI888" s="12">
        <f t="shared" si="877"/>
        <v>0</v>
      </c>
      <c r="CK888" s="11"/>
      <c r="CM888" s="11"/>
      <c r="CV888" s="120"/>
      <c r="DF888" s="11"/>
      <c r="EY888" s="12" t="str">
        <f t="shared" ca="1" si="867"/>
        <v>Interest Payable Closing Balance Loan 6</v>
      </c>
    </row>
    <row r="889" spans="1:155" x14ac:dyDescent="0.35">
      <c r="B889" s="69" t="str" cm="1">
        <f t="array" aca="1" ref="B889" ca="1">HYPERLINK(CONCATENATE("#",CELL("address",$D$170)),$D$170)</f>
        <v>Loan 7</v>
      </c>
      <c r="C889" s="211" t="s">
        <v>1296</v>
      </c>
      <c r="D889" s="49">
        <f>D$19</f>
        <v>0</v>
      </c>
      <c r="E889" s="49" t="str">
        <f>F$19</f>
        <v/>
      </c>
      <c r="F889" s="49"/>
      <c r="G889" s="10">
        <f>Q$19</f>
        <v>0</v>
      </c>
      <c r="H889" s="9"/>
      <c r="I889" s="40" t="s">
        <v>1079</v>
      </c>
      <c r="V889" s="133">
        <f t="shared" si="863"/>
        <v>0</v>
      </c>
      <c r="W889" s="10">
        <f t="shared" si="863"/>
        <v>0</v>
      </c>
      <c r="X889" s="133">
        <f t="shared" si="863"/>
        <v>0</v>
      </c>
      <c r="Y889" s="133">
        <f t="shared" si="863"/>
        <v>0</v>
      </c>
      <c r="AA889" s="10">
        <f t="shared" ref="AA889:BV889" si="878">IF($G889=1, AA816, AA607)</f>
        <v>0</v>
      </c>
      <c r="AB889" s="10">
        <f t="shared" si="878"/>
        <v>0</v>
      </c>
      <c r="AC889" s="10">
        <f t="shared" si="878"/>
        <v>0</v>
      </c>
      <c r="AD889" s="10">
        <f t="shared" si="878"/>
        <v>0</v>
      </c>
      <c r="AE889" s="10">
        <f t="shared" si="878"/>
        <v>0</v>
      </c>
      <c r="AF889" s="10">
        <f t="shared" si="878"/>
        <v>0</v>
      </c>
      <c r="AG889" s="10">
        <f t="shared" si="878"/>
        <v>0</v>
      </c>
      <c r="AH889" s="10">
        <f t="shared" si="878"/>
        <v>0</v>
      </c>
      <c r="AI889" s="10">
        <f t="shared" si="878"/>
        <v>0</v>
      </c>
      <c r="AJ889" s="10">
        <f t="shared" si="878"/>
        <v>0</v>
      </c>
      <c r="AK889" s="10">
        <f t="shared" si="878"/>
        <v>0</v>
      </c>
      <c r="AL889" s="10">
        <f t="shared" si="878"/>
        <v>0</v>
      </c>
      <c r="AM889" s="10">
        <f t="shared" si="878"/>
        <v>0</v>
      </c>
      <c r="AN889" s="10">
        <f t="shared" si="878"/>
        <v>0</v>
      </c>
      <c r="AO889" s="10">
        <f t="shared" si="878"/>
        <v>0</v>
      </c>
      <c r="AP889" s="10">
        <f t="shared" si="878"/>
        <v>0</v>
      </c>
      <c r="AQ889" s="10">
        <f t="shared" si="878"/>
        <v>0</v>
      </c>
      <c r="AR889" s="10">
        <f t="shared" si="878"/>
        <v>0</v>
      </c>
      <c r="AS889" s="10">
        <f t="shared" si="878"/>
        <v>0</v>
      </c>
      <c r="AT889" s="10">
        <f t="shared" si="878"/>
        <v>0</v>
      </c>
      <c r="AU889" s="10">
        <f t="shared" si="878"/>
        <v>0</v>
      </c>
      <c r="AV889" s="10">
        <f t="shared" si="878"/>
        <v>0</v>
      </c>
      <c r="AW889" s="10">
        <f t="shared" si="878"/>
        <v>0</v>
      </c>
      <c r="AX889" s="10">
        <f t="shared" si="878"/>
        <v>0</v>
      </c>
      <c r="AY889" s="10">
        <f t="shared" si="878"/>
        <v>0</v>
      </c>
      <c r="AZ889" s="10">
        <f t="shared" si="878"/>
        <v>0</v>
      </c>
      <c r="BA889" s="10">
        <f t="shared" si="878"/>
        <v>0</v>
      </c>
      <c r="BB889" s="10">
        <f t="shared" si="878"/>
        <v>0</v>
      </c>
      <c r="BC889" s="10">
        <f t="shared" si="878"/>
        <v>0</v>
      </c>
      <c r="BD889" s="10">
        <f t="shared" si="878"/>
        <v>0</v>
      </c>
      <c r="BE889" s="10">
        <f t="shared" si="878"/>
        <v>0</v>
      </c>
      <c r="BF889" s="10">
        <f t="shared" si="878"/>
        <v>0</v>
      </c>
      <c r="BG889" s="10">
        <f t="shared" si="878"/>
        <v>0</v>
      </c>
      <c r="BH889" s="10">
        <f t="shared" si="878"/>
        <v>0</v>
      </c>
      <c r="BI889" s="10">
        <f t="shared" si="878"/>
        <v>0</v>
      </c>
      <c r="BJ889" s="10">
        <f t="shared" si="878"/>
        <v>0</v>
      </c>
      <c r="BK889" s="10">
        <f t="shared" si="878"/>
        <v>0</v>
      </c>
      <c r="BL889" s="10">
        <f t="shared" si="878"/>
        <v>0</v>
      </c>
      <c r="BM889" s="10">
        <f t="shared" si="878"/>
        <v>0</v>
      </c>
      <c r="BN889" s="10">
        <f t="shared" si="878"/>
        <v>0</v>
      </c>
      <c r="BO889" s="10">
        <f t="shared" si="878"/>
        <v>0</v>
      </c>
      <c r="BP889" s="10">
        <f t="shared" si="878"/>
        <v>0</v>
      </c>
      <c r="BQ889" s="10">
        <f t="shared" si="878"/>
        <v>0</v>
      </c>
      <c r="BR889" s="10">
        <f t="shared" si="878"/>
        <v>0</v>
      </c>
      <c r="BS889" s="10">
        <f t="shared" si="878"/>
        <v>0</v>
      </c>
      <c r="BT889" s="10">
        <f t="shared" si="878"/>
        <v>0</v>
      </c>
      <c r="BU889" s="10">
        <f t="shared" si="878"/>
        <v>0</v>
      </c>
      <c r="BV889" s="10">
        <f t="shared" si="878"/>
        <v>0</v>
      </c>
      <c r="BX889" s="10">
        <f t="shared" si="865"/>
        <v>0</v>
      </c>
      <c r="BY889" s="10">
        <f t="shared" si="865"/>
        <v>0</v>
      </c>
      <c r="BZ889" s="10">
        <f t="shared" si="865"/>
        <v>0</v>
      </c>
      <c r="CA889" s="10">
        <f t="shared" si="865"/>
        <v>0</v>
      </c>
      <c r="CB889" s="10">
        <f t="shared" si="865"/>
        <v>0</v>
      </c>
      <c r="CC889" s="12">
        <f t="shared" ref="CC889:CI889" si="879">IF(AND(ISBLANK(CC$181),ISBLANK(CC$182)),CB889,CC$183)</f>
        <v>0</v>
      </c>
      <c r="CD889" s="12">
        <f t="shared" si="879"/>
        <v>0</v>
      </c>
      <c r="CE889" s="12">
        <f t="shared" si="879"/>
        <v>0</v>
      </c>
      <c r="CF889" s="12">
        <f t="shared" si="879"/>
        <v>0</v>
      </c>
      <c r="CG889" s="12">
        <f t="shared" si="879"/>
        <v>0</v>
      </c>
      <c r="CH889" s="12">
        <f t="shared" si="879"/>
        <v>0</v>
      </c>
      <c r="CI889" s="12">
        <f t="shared" si="879"/>
        <v>0</v>
      </c>
      <c r="CK889" s="11"/>
      <c r="CM889" s="11"/>
      <c r="CV889" s="120"/>
      <c r="DF889" s="11"/>
      <c r="EY889" s="12" t="str">
        <f t="shared" ca="1" si="867"/>
        <v>Interest Payable Closing Balance Loan 7</v>
      </c>
    </row>
    <row r="890" spans="1:155" x14ac:dyDescent="0.35">
      <c r="B890" s="69" t="str" cm="1">
        <f t="array" aca="1" ref="B890" ca="1">HYPERLINK(CONCATENATE("#",CELL("address",$D$189)),$D$189)</f>
        <v>Loan 8</v>
      </c>
      <c r="C890" s="211" t="s">
        <v>1297</v>
      </c>
      <c r="D890" s="49">
        <f>D$20</f>
        <v>0</v>
      </c>
      <c r="E890" s="49" t="str">
        <f>F$20</f>
        <v/>
      </c>
      <c r="F890" s="49"/>
      <c r="G890" s="10">
        <f>Q$20</f>
        <v>0</v>
      </c>
      <c r="H890" s="9"/>
      <c r="I890" s="40" t="s">
        <v>1079</v>
      </c>
      <c r="V890" s="133">
        <f t="shared" si="863"/>
        <v>0</v>
      </c>
      <c r="W890" s="10">
        <f t="shared" si="863"/>
        <v>0</v>
      </c>
      <c r="X890" s="10">
        <f t="shared" si="863"/>
        <v>0</v>
      </c>
      <c r="Y890" s="10">
        <f t="shared" si="863"/>
        <v>0</v>
      </c>
      <c r="AA890" s="10">
        <f t="shared" ref="AA890:BV890" si="880">IF($G890=1, AA817, AA608)</f>
        <v>0</v>
      </c>
      <c r="AB890" s="10">
        <f t="shared" si="880"/>
        <v>0</v>
      </c>
      <c r="AC890" s="10">
        <f t="shared" si="880"/>
        <v>0</v>
      </c>
      <c r="AD890" s="10">
        <f t="shared" si="880"/>
        <v>0</v>
      </c>
      <c r="AE890" s="10">
        <f t="shared" si="880"/>
        <v>0</v>
      </c>
      <c r="AF890" s="10">
        <f t="shared" si="880"/>
        <v>0</v>
      </c>
      <c r="AG890" s="10">
        <f t="shared" si="880"/>
        <v>0</v>
      </c>
      <c r="AH890" s="10">
        <f t="shared" si="880"/>
        <v>0</v>
      </c>
      <c r="AI890" s="10">
        <f t="shared" si="880"/>
        <v>0</v>
      </c>
      <c r="AJ890" s="10">
        <f t="shared" si="880"/>
        <v>0</v>
      </c>
      <c r="AK890" s="10">
        <f t="shared" si="880"/>
        <v>0</v>
      </c>
      <c r="AL890" s="10">
        <f t="shared" si="880"/>
        <v>0</v>
      </c>
      <c r="AM890" s="10">
        <f t="shared" si="880"/>
        <v>0</v>
      </c>
      <c r="AN890" s="10">
        <f t="shared" si="880"/>
        <v>0</v>
      </c>
      <c r="AO890" s="10">
        <f t="shared" si="880"/>
        <v>0</v>
      </c>
      <c r="AP890" s="10">
        <f t="shared" si="880"/>
        <v>0</v>
      </c>
      <c r="AQ890" s="10">
        <f t="shared" si="880"/>
        <v>0</v>
      </c>
      <c r="AR890" s="10">
        <f t="shared" si="880"/>
        <v>0</v>
      </c>
      <c r="AS890" s="10">
        <f t="shared" si="880"/>
        <v>0</v>
      </c>
      <c r="AT890" s="10">
        <f t="shared" si="880"/>
        <v>0</v>
      </c>
      <c r="AU890" s="10">
        <f t="shared" si="880"/>
        <v>0</v>
      </c>
      <c r="AV890" s="10">
        <f t="shared" si="880"/>
        <v>0</v>
      </c>
      <c r="AW890" s="10">
        <f t="shared" si="880"/>
        <v>0</v>
      </c>
      <c r="AX890" s="10">
        <f t="shared" si="880"/>
        <v>0</v>
      </c>
      <c r="AY890" s="10">
        <f t="shared" si="880"/>
        <v>0</v>
      </c>
      <c r="AZ890" s="10">
        <f t="shared" si="880"/>
        <v>0</v>
      </c>
      <c r="BA890" s="10">
        <f t="shared" si="880"/>
        <v>0</v>
      </c>
      <c r="BB890" s="10">
        <f t="shared" si="880"/>
        <v>0</v>
      </c>
      <c r="BC890" s="10">
        <f t="shared" si="880"/>
        <v>0</v>
      </c>
      <c r="BD890" s="10">
        <f t="shared" si="880"/>
        <v>0</v>
      </c>
      <c r="BE890" s="10">
        <f t="shared" si="880"/>
        <v>0</v>
      </c>
      <c r="BF890" s="10">
        <f t="shared" si="880"/>
        <v>0</v>
      </c>
      <c r="BG890" s="10">
        <f t="shared" si="880"/>
        <v>0</v>
      </c>
      <c r="BH890" s="10">
        <f t="shared" si="880"/>
        <v>0</v>
      </c>
      <c r="BI890" s="10">
        <f t="shared" si="880"/>
        <v>0</v>
      </c>
      <c r="BJ890" s="10">
        <f t="shared" si="880"/>
        <v>0</v>
      </c>
      <c r="BK890" s="10">
        <f t="shared" si="880"/>
        <v>0</v>
      </c>
      <c r="BL890" s="10">
        <f t="shared" si="880"/>
        <v>0</v>
      </c>
      <c r="BM890" s="10">
        <f t="shared" si="880"/>
        <v>0</v>
      </c>
      <c r="BN890" s="10">
        <f t="shared" si="880"/>
        <v>0</v>
      </c>
      <c r="BO890" s="10">
        <f t="shared" si="880"/>
        <v>0</v>
      </c>
      <c r="BP890" s="10">
        <f t="shared" si="880"/>
        <v>0</v>
      </c>
      <c r="BQ890" s="10">
        <f t="shared" si="880"/>
        <v>0</v>
      </c>
      <c r="BR890" s="10">
        <f t="shared" si="880"/>
        <v>0</v>
      </c>
      <c r="BS890" s="10">
        <f t="shared" si="880"/>
        <v>0</v>
      </c>
      <c r="BT890" s="10">
        <f t="shared" si="880"/>
        <v>0</v>
      </c>
      <c r="BU890" s="10">
        <f t="shared" si="880"/>
        <v>0</v>
      </c>
      <c r="BV890" s="10">
        <f t="shared" si="880"/>
        <v>0</v>
      </c>
      <c r="BX890" s="10">
        <f t="shared" si="865"/>
        <v>0</v>
      </c>
      <c r="BY890" s="10">
        <f t="shared" si="865"/>
        <v>0</v>
      </c>
      <c r="BZ890" s="10">
        <f t="shared" si="865"/>
        <v>0</v>
      </c>
      <c r="CA890" s="10">
        <f t="shared" si="865"/>
        <v>0</v>
      </c>
      <c r="CB890" s="10">
        <f t="shared" si="865"/>
        <v>0</v>
      </c>
      <c r="CC890" s="12">
        <f t="shared" ref="CC890:CI890" si="881">IF(AND(ISBLANK(CC$200),ISBLANK(CC$201)),CB890,CC$202)</f>
        <v>0</v>
      </c>
      <c r="CD890" s="12">
        <f t="shared" si="881"/>
        <v>0</v>
      </c>
      <c r="CE890" s="12">
        <f t="shared" si="881"/>
        <v>0</v>
      </c>
      <c r="CF890" s="12">
        <f t="shared" si="881"/>
        <v>0</v>
      </c>
      <c r="CG890" s="12">
        <f t="shared" si="881"/>
        <v>0</v>
      </c>
      <c r="CH890" s="12">
        <f t="shared" si="881"/>
        <v>0</v>
      </c>
      <c r="CI890" s="12">
        <f t="shared" si="881"/>
        <v>0</v>
      </c>
      <c r="CK890" s="11"/>
      <c r="CM890" s="11"/>
      <c r="CV890" s="120"/>
      <c r="DF890" s="11"/>
      <c r="EY890" s="12" t="str">
        <f t="shared" ca="1" si="867"/>
        <v>Interest Payable Closing Balance Loan 8</v>
      </c>
    </row>
    <row r="891" spans="1:155" x14ac:dyDescent="0.35">
      <c r="B891" s="69" t="str" cm="1">
        <f t="array" aca="1" ref="B891" ca="1">HYPERLINK(CONCATENATE("#",CELL("address",$D$208)),$D$208)</f>
        <v>Loan 9</v>
      </c>
      <c r="C891" s="211" t="s">
        <v>1298</v>
      </c>
      <c r="D891" s="49">
        <f>D$21</f>
        <v>0</v>
      </c>
      <c r="E891" s="49" t="str">
        <f>F$21</f>
        <v/>
      </c>
      <c r="F891" s="49"/>
      <c r="G891" s="10">
        <f>Q$21</f>
        <v>0</v>
      </c>
      <c r="H891" s="9"/>
      <c r="I891" s="40" t="s">
        <v>1079</v>
      </c>
      <c r="V891" s="133">
        <f t="shared" si="863"/>
        <v>0</v>
      </c>
      <c r="W891" s="10">
        <f t="shared" si="863"/>
        <v>0</v>
      </c>
      <c r="X891" s="10">
        <f t="shared" si="863"/>
        <v>0</v>
      </c>
      <c r="Y891" s="10">
        <f t="shared" si="863"/>
        <v>0</v>
      </c>
      <c r="AA891" s="10">
        <f t="shared" ref="AA891:BV891" si="882">IF($G891=1, AA818, AA609)</f>
        <v>0</v>
      </c>
      <c r="AB891" s="10">
        <f t="shared" si="882"/>
        <v>0</v>
      </c>
      <c r="AC891" s="10">
        <f t="shared" si="882"/>
        <v>0</v>
      </c>
      <c r="AD891" s="10">
        <f t="shared" si="882"/>
        <v>0</v>
      </c>
      <c r="AE891" s="10">
        <f t="shared" si="882"/>
        <v>0</v>
      </c>
      <c r="AF891" s="10">
        <f t="shared" si="882"/>
        <v>0</v>
      </c>
      <c r="AG891" s="10">
        <f t="shared" si="882"/>
        <v>0</v>
      </c>
      <c r="AH891" s="10">
        <f t="shared" si="882"/>
        <v>0</v>
      </c>
      <c r="AI891" s="10">
        <f t="shared" si="882"/>
        <v>0</v>
      </c>
      <c r="AJ891" s="10">
        <f t="shared" si="882"/>
        <v>0</v>
      </c>
      <c r="AK891" s="10">
        <f t="shared" si="882"/>
        <v>0</v>
      </c>
      <c r="AL891" s="10">
        <f t="shared" si="882"/>
        <v>0</v>
      </c>
      <c r="AM891" s="10">
        <f t="shared" si="882"/>
        <v>0</v>
      </c>
      <c r="AN891" s="10">
        <f t="shared" si="882"/>
        <v>0</v>
      </c>
      <c r="AO891" s="10">
        <f t="shared" si="882"/>
        <v>0</v>
      </c>
      <c r="AP891" s="10">
        <f t="shared" si="882"/>
        <v>0</v>
      </c>
      <c r="AQ891" s="10">
        <f t="shared" si="882"/>
        <v>0</v>
      </c>
      <c r="AR891" s="10">
        <f t="shared" si="882"/>
        <v>0</v>
      </c>
      <c r="AS891" s="10">
        <f t="shared" si="882"/>
        <v>0</v>
      </c>
      <c r="AT891" s="10">
        <f t="shared" si="882"/>
        <v>0</v>
      </c>
      <c r="AU891" s="10">
        <f t="shared" si="882"/>
        <v>0</v>
      </c>
      <c r="AV891" s="10">
        <f t="shared" si="882"/>
        <v>0</v>
      </c>
      <c r="AW891" s="10">
        <f t="shared" si="882"/>
        <v>0</v>
      </c>
      <c r="AX891" s="10">
        <f t="shared" si="882"/>
        <v>0</v>
      </c>
      <c r="AY891" s="10">
        <f t="shared" si="882"/>
        <v>0</v>
      </c>
      <c r="AZ891" s="10">
        <f t="shared" si="882"/>
        <v>0</v>
      </c>
      <c r="BA891" s="10">
        <f t="shared" si="882"/>
        <v>0</v>
      </c>
      <c r="BB891" s="10">
        <f t="shared" si="882"/>
        <v>0</v>
      </c>
      <c r="BC891" s="10">
        <f t="shared" si="882"/>
        <v>0</v>
      </c>
      <c r="BD891" s="10">
        <f t="shared" si="882"/>
        <v>0</v>
      </c>
      <c r="BE891" s="10">
        <f t="shared" si="882"/>
        <v>0</v>
      </c>
      <c r="BF891" s="10">
        <f t="shared" si="882"/>
        <v>0</v>
      </c>
      <c r="BG891" s="10">
        <f t="shared" si="882"/>
        <v>0</v>
      </c>
      <c r="BH891" s="10">
        <f t="shared" si="882"/>
        <v>0</v>
      </c>
      <c r="BI891" s="10">
        <f t="shared" si="882"/>
        <v>0</v>
      </c>
      <c r="BJ891" s="10">
        <f t="shared" si="882"/>
        <v>0</v>
      </c>
      <c r="BK891" s="10">
        <f t="shared" si="882"/>
        <v>0</v>
      </c>
      <c r="BL891" s="10">
        <f t="shared" si="882"/>
        <v>0</v>
      </c>
      <c r="BM891" s="10">
        <f t="shared" si="882"/>
        <v>0</v>
      </c>
      <c r="BN891" s="10">
        <f t="shared" si="882"/>
        <v>0</v>
      </c>
      <c r="BO891" s="10">
        <f t="shared" si="882"/>
        <v>0</v>
      </c>
      <c r="BP891" s="10">
        <f t="shared" si="882"/>
        <v>0</v>
      </c>
      <c r="BQ891" s="10">
        <f t="shared" si="882"/>
        <v>0</v>
      </c>
      <c r="BR891" s="10">
        <f t="shared" si="882"/>
        <v>0</v>
      </c>
      <c r="BS891" s="10">
        <f t="shared" si="882"/>
        <v>0</v>
      </c>
      <c r="BT891" s="10">
        <f t="shared" si="882"/>
        <v>0</v>
      </c>
      <c r="BU891" s="10">
        <f t="shared" si="882"/>
        <v>0</v>
      </c>
      <c r="BV891" s="10">
        <f t="shared" si="882"/>
        <v>0</v>
      </c>
      <c r="BX891" s="10">
        <f t="shared" si="865"/>
        <v>0</v>
      </c>
      <c r="BY891" s="10">
        <f t="shared" si="865"/>
        <v>0</v>
      </c>
      <c r="BZ891" s="10">
        <f t="shared" si="865"/>
        <v>0</v>
      </c>
      <c r="CA891" s="10">
        <f t="shared" si="865"/>
        <v>0</v>
      </c>
      <c r="CB891" s="10">
        <f t="shared" si="865"/>
        <v>0</v>
      </c>
      <c r="CC891" s="12">
        <f t="shared" ref="CC891:CI891" si="883">IF(AND(ISBLANK(CC$84),ISBLANK(CC$220)),CB891,CC$221)</f>
        <v>0</v>
      </c>
      <c r="CD891" s="12">
        <f t="shared" si="883"/>
        <v>0</v>
      </c>
      <c r="CE891" s="12">
        <f t="shared" si="883"/>
        <v>0</v>
      </c>
      <c r="CF891" s="12">
        <f t="shared" si="883"/>
        <v>0</v>
      </c>
      <c r="CG891" s="12">
        <f t="shared" si="883"/>
        <v>0</v>
      </c>
      <c r="CH891" s="12">
        <f t="shared" si="883"/>
        <v>0</v>
      </c>
      <c r="CI891" s="12">
        <f t="shared" si="883"/>
        <v>0</v>
      </c>
      <c r="CK891" s="11"/>
      <c r="CM891" s="11"/>
      <c r="CV891" s="120"/>
      <c r="DF891" s="11"/>
      <c r="EY891" s="12" t="str">
        <f t="shared" ca="1" si="867"/>
        <v>Interest Payable Closing Balance Loan 9</v>
      </c>
    </row>
    <row r="892" spans="1:155" x14ac:dyDescent="0.35">
      <c r="B892" s="69" t="str" cm="1">
        <f t="array" aca="1" ref="B892" ca="1">HYPERLINK(CONCATENATE("#",CELL("address",$D$227)),$D$227)</f>
        <v>Loan 10</v>
      </c>
      <c r="C892" s="211" t="s">
        <v>1299</v>
      </c>
      <c r="D892" s="49">
        <f>D$22</f>
        <v>0</v>
      </c>
      <c r="E892" s="49" t="str">
        <f>F$22</f>
        <v/>
      </c>
      <c r="F892" s="49"/>
      <c r="G892" s="10">
        <f>Q$22</f>
        <v>0</v>
      </c>
      <c r="H892" s="9"/>
      <c r="I892" s="40" t="s">
        <v>1079</v>
      </c>
      <c r="V892" s="133">
        <f t="shared" si="863"/>
        <v>0</v>
      </c>
      <c r="W892" s="10">
        <f t="shared" si="863"/>
        <v>0</v>
      </c>
      <c r="X892" s="10">
        <f t="shared" si="863"/>
        <v>0</v>
      </c>
      <c r="Y892" s="10">
        <f t="shared" si="863"/>
        <v>0</v>
      </c>
      <c r="AA892" s="10">
        <f t="shared" ref="AA892:BV892" si="884">IF($G892=1, AA819, AA610)</f>
        <v>0</v>
      </c>
      <c r="AB892" s="10">
        <f t="shared" si="884"/>
        <v>0</v>
      </c>
      <c r="AC892" s="10">
        <f t="shared" si="884"/>
        <v>0</v>
      </c>
      <c r="AD892" s="10">
        <f t="shared" si="884"/>
        <v>0</v>
      </c>
      <c r="AE892" s="10">
        <f t="shared" si="884"/>
        <v>0</v>
      </c>
      <c r="AF892" s="10">
        <f t="shared" si="884"/>
        <v>0</v>
      </c>
      <c r="AG892" s="10">
        <f t="shared" si="884"/>
        <v>0</v>
      </c>
      <c r="AH892" s="10">
        <f t="shared" si="884"/>
        <v>0</v>
      </c>
      <c r="AI892" s="10">
        <f t="shared" si="884"/>
        <v>0</v>
      </c>
      <c r="AJ892" s="10">
        <f t="shared" si="884"/>
        <v>0</v>
      </c>
      <c r="AK892" s="10">
        <f t="shared" si="884"/>
        <v>0</v>
      </c>
      <c r="AL892" s="10">
        <f t="shared" si="884"/>
        <v>0</v>
      </c>
      <c r="AM892" s="10">
        <f t="shared" si="884"/>
        <v>0</v>
      </c>
      <c r="AN892" s="10">
        <f t="shared" si="884"/>
        <v>0</v>
      </c>
      <c r="AO892" s="10">
        <f t="shared" si="884"/>
        <v>0</v>
      </c>
      <c r="AP892" s="10">
        <f t="shared" si="884"/>
        <v>0</v>
      </c>
      <c r="AQ892" s="10">
        <f t="shared" si="884"/>
        <v>0</v>
      </c>
      <c r="AR892" s="10">
        <f t="shared" si="884"/>
        <v>0</v>
      </c>
      <c r="AS892" s="10">
        <f t="shared" si="884"/>
        <v>0</v>
      </c>
      <c r="AT892" s="10">
        <f t="shared" si="884"/>
        <v>0</v>
      </c>
      <c r="AU892" s="10">
        <f t="shared" si="884"/>
        <v>0</v>
      </c>
      <c r="AV892" s="10">
        <f t="shared" si="884"/>
        <v>0</v>
      </c>
      <c r="AW892" s="10">
        <f t="shared" si="884"/>
        <v>0</v>
      </c>
      <c r="AX892" s="10">
        <f t="shared" si="884"/>
        <v>0</v>
      </c>
      <c r="AY892" s="10">
        <f t="shared" si="884"/>
        <v>0</v>
      </c>
      <c r="AZ892" s="10">
        <f t="shared" si="884"/>
        <v>0</v>
      </c>
      <c r="BA892" s="10">
        <f t="shared" si="884"/>
        <v>0</v>
      </c>
      <c r="BB892" s="10">
        <f t="shared" si="884"/>
        <v>0</v>
      </c>
      <c r="BC892" s="10">
        <f t="shared" si="884"/>
        <v>0</v>
      </c>
      <c r="BD892" s="10">
        <f t="shared" si="884"/>
        <v>0</v>
      </c>
      <c r="BE892" s="10">
        <f t="shared" si="884"/>
        <v>0</v>
      </c>
      <c r="BF892" s="10">
        <f t="shared" si="884"/>
        <v>0</v>
      </c>
      <c r="BG892" s="10">
        <f t="shared" si="884"/>
        <v>0</v>
      </c>
      <c r="BH892" s="10">
        <f t="shared" si="884"/>
        <v>0</v>
      </c>
      <c r="BI892" s="10">
        <f t="shared" si="884"/>
        <v>0</v>
      </c>
      <c r="BJ892" s="10">
        <f t="shared" si="884"/>
        <v>0</v>
      </c>
      <c r="BK892" s="10">
        <f t="shared" si="884"/>
        <v>0</v>
      </c>
      <c r="BL892" s="10">
        <f t="shared" si="884"/>
        <v>0</v>
      </c>
      <c r="BM892" s="10">
        <f t="shared" si="884"/>
        <v>0</v>
      </c>
      <c r="BN892" s="10">
        <f t="shared" si="884"/>
        <v>0</v>
      </c>
      <c r="BO892" s="10">
        <f t="shared" si="884"/>
        <v>0</v>
      </c>
      <c r="BP892" s="10">
        <f t="shared" si="884"/>
        <v>0</v>
      </c>
      <c r="BQ892" s="10">
        <f t="shared" si="884"/>
        <v>0</v>
      </c>
      <c r="BR892" s="10">
        <f t="shared" si="884"/>
        <v>0</v>
      </c>
      <c r="BS892" s="10">
        <f t="shared" si="884"/>
        <v>0</v>
      </c>
      <c r="BT892" s="10">
        <f t="shared" si="884"/>
        <v>0</v>
      </c>
      <c r="BU892" s="10">
        <f t="shared" si="884"/>
        <v>0</v>
      </c>
      <c r="BV892" s="10">
        <f t="shared" si="884"/>
        <v>0</v>
      </c>
      <c r="BX892" s="10">
        <f t="shared" si="865"/>
        <v>0</v>
      </c>
      <c r="BY892" s="10">
        <f t="shared" si="865"/>
        <v>0</v>
      </c>
      <c r="BZ892" s="10">
        <f t="shared" si="865"/>
        <v>0</v>
      </c>
      <c r="CA892" s="10">
        <f t="shared" si="865"/>
        <v>0</v>
      </c>
      <c r="CB892" s="10">
        <f t="shared" si="865"/>
        <v>0</v>
      </c>
      <c r="CC892" s="12">
        <f t="shared" ref="CC892:CI892" si="885">IF(AND(ISBLANK(CC$238),ISBLANK(CC$239)),CB892,CC$240)</f>
        <v>0</v>
      </c>
      <c r="CD892" s="12">
        <f t="shared" si="885"/>
        <v>0</v>
      </c>
      <c r="CE892" s="12">
        <f t="shared" si="885"/>
        <v>0</v>
      </c>
      <c r="CF892" s="12">
        <f t="shared" si="885"/>
        <v>0</v>
      </c>
      <c r="CG892" s="12">
        <f t="shared" si="885"/>
        <v>0</v>
      </c>
      <c r="CH892" s="12">
        <f t="shared" si="885"/>
        <v>0</v>
      </c>
      <c r="CI892" s="12">
        <f t="shared" si="885"/>
        <v>0</v>
      </c>
      <c r="CK892" s="11"/>
      <c r="CM892" s="11"/>
      <c r="CV892" s="120"/>
      <c r="DF892" s="11"/>
      <c r="EY892" s="12" t="str">
        <f t="shared" ca="1" si="867"/>
        <v>Interest Payable Closing Balance Loan 10</v>
      </c>
    </row>
    <row r="893" spans="1:155" x14ac:dyDescent="0.35">
      <c r="B893" s="69" t="str" cm="1">
        <f t="array" aca="1" ref="B893" ca="1">HYPERLINK(CONCATENATE("#",CELL("address",$D$246)),$D$246)</f>
        <v>Loan 11</v>
      </c>
      <c r="C893" s="211" t="s">
        <v>1300</v>
      </c>
      <c r="D893" s="49">
        <f>D$23</f>
        <v>0</v>
      </c>
      <c r="E893" s="49" t="str">
        <f>F$23</f>
        <v/>
      </c>
      <c r="F893" s="49"/>
      <c r="G893" s="10">
        <f>Q$23</f>
        <v>0</v>
      </c>
      <c r="H893" s="9"/>
      <c r="I893" s="40" t="s">
        <v>1079</v>
      </c>
      <c r="V893" s="133">
        <f t="shared" si="863"/>
        <v>0</v>
      </c>
      <c r="W893" s="10">
        <f t="shared" si="863"/>
        <v>0</v>
      </c>
      <c r="X893" s="10">
        <f t="shared" si="863"/>
        <v>0</v>
      </c>
      <c r="Y893" s="10">
        <f t="shared" si="863"/>
        <v>0</v>
      </c>
      <c r="AA893" s="10">
        <f t="shared" ref="AA893:BV893" si="886">IF($G893=1, AA820, AA611)</f>
        <v>0</v>
      </c>
      <c r="AB893" s="10">
        <f t="shared" si="886"/>
        <v>0</v>
      </c>
      <c r="AC893" s="10">
        <f t="shared" si="886"/>
        <v>0</v>
      </c>
      <c r="AD893" s="10">
        <f t="shared" si="886"/>
        <v>0</v>
      </c>
      <c r="AE893" s="10">
        <f t="shared" si="886"/>
        <v>0</v>
      </c>
      <c r="AF893" s="10">
        <f t="shared" si="886"/>
        <v>0</v>
      </c>
      <c r="AG893" s="10">
        <f t="shared" si="886"/>
        <v>0</v>
      </c>
      <c r="AH893" s="10">
        <f t="shared" si="886"/>
        <v>0</v>
      </c>
      <c r="AI893" s="10">
        <f t="shared" si="886"/>
        <v>0</v>
      </c>
      <c r="AJ893" s="10">
        <f t="shared" si="886"/>
        <v>0</v>
      </c>
      <c r="AK893" s="10">
        <f t="shared" si="886"/>
        <v>0</v>
      </c>
      <c r="AL893" s="10">
        <f t="shared" si="886"/>
        <v>0</v>
      </c>
      <c r="AM893" s="10">
        <f t="shared" si="886"/>
        <v>0</v>
      </c>
      <c r="AN893" s="10">
        <f t="shared" si="886"/>
        <v>0</v>
      </c>
      <c r="AO893" s="10">
        <f t="shared" si="886"/>
        <v>0</v>
      </c>
      <c r="AP893" s="10">
        <f t="shared" si="886"/>
        <v>0</v>
      </c>
      <c r="AQ893" s="10">
        <f t="shared" si="886"/>
        <v>0</v>
      </c>
      <c r="AR893" s="10">
        <f t="shared" si="886"/>
        <v>0</v>
      </c>
      <c r="AS893" s="10">
        <f t="shared" si="886"/>
        <v>0</v>
      </c>
      <c r="AT893" s="10">
        <f t="shared" si="886"/>
        <v>0</v>
      </c>
      <c r="AU893" s="10">
        <f t="shared" si="886"/>
        <v>0</v>
      </c>
      <c r="AV893" s="10">
        <f t="shared" si="886"/>
        <v>0</v>
      </c>
      <c r="AW893" s="10">
        <f t="shared" si="886"/>
        <v>0</v>
      </c>
      <c r="AX893" s="10">
        <f t="shared" si="886"/>
        <v>0</v>
      </c>
      <c r="AY893" s="10">
        <f t="shared" si="886"/>
        <v>0</v>
      </c>
      <c r="AZ893" s="10">
        <f t="shared" si="886"/>
        <v>0</v>
      </c>
      <c r="BA893" s="10">
        <f t="shared" si="886"/>
        <v>0</v>
      </c>
      <c r="BB893" s="10">
        <f t="shared" si="886"/>
        <v>0</v>
      </c>
      <c r="BC893" s="10">
        <f t="shared" si="886"/>
        <v>0</v>
      </c>
      <c r="BD893" s="10">
        <f t="shared" si="886"/>
        <v>0</v>
      </c>
      <c r="BE893" s="10">
        <f t="shared" si="886"/>
        <v>0</v>
      </c>
      <c r="BF893" s="10">
        <f t="shared" si="886"/>
        <v>0</v>
      </c>
      <c r="BG893" s="10">
        <f t="shared" si="886"/>
        <v>0</v>
      </c>
      <c r="BH893" s="10">
        <f t="shared" si="886"/>
        <v>0</v>
      </c>
      <c r="BI893" s="10">
        <f t="shared" si="886"/>
        <v>0</v>
      </c>
      <c r="BJ893" s="10">
        <f t="shared" si="886"/>
        <v>0</v>
      </c>
      <c r="BK893" s="10">
        <f t="shared" si="886"/>
        <v>0</v>
      </c>
      <c r="BL893" s="10">
        <f t="shared" si="886"/>
        <v>0</v>
      </c>
      <c r="BM893" s="10">
        <f t="shared" si="886"/>
        <v>0</v>
      </c>
      <c r="BN893" s="10">
        <f t="shared" si="886"/>
        <v>0</v>
      </c>
      <c r="BO893" s="10">
        <f t="shared" si="886"/>
        <v>0</v>
      </c>
      <c r="BP893" s="10">
        <f t="shared" si="886"/>
        <v>0</v>
      </c>
      <c r="BQ893" s="10">
        <f t="shared" si="886"/>
        <v>0</v>
      </c>
      <c r="BR893" s="10">
        <f t="shared" si="886"/>
        <v>0</v>
      </c>
      <c r="BS893" s="10">
        <f t="shared" si="886"/>
        <v>0</v>
      </c>
      <c r="BT893" s="10">
        <f t="shared" si="886"/>
        <v>0</v>
      </c>
      <c r="BU893" s="10">
        <f t="shared" si="886"/>
        <v>0</v>
      </c>
      <c r="BV893" s="10">
        <f t="shared" si="886"/>
        <v>0</v>
      </c>
      <c r="BX893" s="10">
        <f t="shared" ref="BX893:CB902" si="887">IF($G893=1, BX820, BX611)</f>
        <v>0</v>
      </c>
      <c r="BY893" s="10">
        <f t="shared" si="887"/>
        <v>0</v>
      </c>
      <c r="BZ893" s="10">
        <f t="shared" si="887"/>
        <v>0</v>
      </c>
      <c r="CA893" s="10">
        <f t="shared" si="887"/>
        <v>0</v>
      </c>
      <c r="CB893" s="10">
        <f t="shared" si="887"/>
        <v>0</v>
      </c>
      <c r="CC893" s="12">
        <f t="shared" ref="CC893:CI893" si="888">IF(AND(ISBLANK(CC$257),ISBLANK(CC$258)),CB893,CC$259)</f>
        <v>0</v>
      </c>
      <c r="CD893" s="12">
        <f t="shared" si="888"/>
        <v>0</v>
      </c>
      <c r="CE893" s="12">
        <f t="shared" si="888"/>
        <v>0</v>
      </c>
      <c r="CF893" s="12">
        <f t="shared" si="888"/>
        <v>0</v>
      </c>
      <c r="CG893" s="12">
        <f t="shared" si="888"/>
        <v>0</v>
      </c>
      <c r="CH893" s="12">
        <f t="shared" si="888"/>
        <v>0</v>
      </c>
      <c r="CI893" s="12">
        <f t="shared" si="888"/>
        <v>0</v>
      </c>
      <c r="CK893" s="11"/>
      <c r="CM893" s="11"/>
      <c r="CV893" s="120"/>
      <c r="DF893" s="11"/>
      <c r="EY893" s="12" t="str">
        <f t="shared" ca="1" si="867"/>
        <v>Interest Payable Closing Balance Loan 11</v>
      </c>
    </row>
    <row r="894" spans="1:155" x14ac:dyDescent="0.35">
      <c r="B894" s="69" t="str" cm="1">
        <f t="array" aca="1" ref="B894" ca="1">HYPERLINK(CONCATENATE("#",CELL("address",$D$265)),$D$265)</f>
        <v>Loan 12</v>
      </c>
      <c r="C894" s="211" t="s">
        <v>1301</v>
      </c>
      <c r="D894" s="49">
        <f>D$24</f>
        <v>0</v>
      </c>
      <c r="E894" s="49" t="str">
        <f>F$24</f>
        <v/>
      </c>
      <c r="F894" s="49"/>
      <c r="G894" s="10">
        <f>Q$24</f>
        <v>0</v>
      </c>
      <c r="H894" s="9"/>
      <c r="I894" s="40" t="s">
        <v>1079</v>
      </c>
      <c r="V894" s="133">
        <f t="shared" si="863"/>
        <v>0</v>
      </c>
      <c r="W894" s="10">
        <f t="shared" si="863"/>
        <v>0</v>
      </c>
      <c r="X894" s="10">
        <f t="shared" si="863"/>
        <v>0</v>
      </c>
      <c r="Y894" s="10">
        <f t="shared" si="863"/>
        <v>0</v>
      </c>
      <c r="AA894" s="10">
        <f t="shared" ref="AA894:BV894" si="889">IF($G894=1, AA821, AA612)</f>
        <v>0</v>
      </c>
      <c r="AB894" s="10">
        <f t="shared" si="889"/>
        <v>0</v>
      </c>
      <c r="AC894" s="10">
        <f t="shared" si="889"/>
        <v>0</v>
      </c>
      <c r="AD894" s="10">
        <f t="shared" si="889"/>
        <v>0</v>
      </c>
      <c r="AE894" s="10">
        <f t="shared" si="889"/>
        <v>0</v>
      </c>
      <c r="AF894" s="10">
        <f t="shared" si="889"/>
        <v>0</v>
      </c>
      <c r="AG894" s="10">
        <f t="shared" si="889"/>
        <v>0</v>
      </c>
      <c r="AH894" s="10">
        <f t="shared" si="889"/>
        <v>0</v>
      </c>
      <c r="AI894" s="10">
        <f t="shared" si="889"/>
        <v>0</v>
      </c>
      <c r="AJ894" s="10">
        <f t="shared" si="889"/>
        <v>0</v>
      </c>
      <c r="AK894" s="10">
        <f t="shared" si="889"/>
        <v>0</v>
      </c>
      <c r="AL894" s="10">
        <f t="shared" si="889"/>
        <v>0</v>
      </c>
      <c r="AM894" s="10">
        <f t="shared" si="889"/>
        <v>0</v>
      </c>
      <c r="AN894" s="10">
        <f t="shared" si="889"/>
        <v>0</v>
      </c>
      <c r="AO894" s="10">
        <f t="shared" si="889"/>
        <v>0</v>
      </c>
      <c r="AP894" s="10">
        <f t="shared" si="889"/>
        <v>0</v>
      </c>
      <c r="AQ894" s="10">
        <f t="shared" si="889"/>
        <v>0</v>
      </c>
      <c r="AR894" s="10">
        <f t="shared" si="889"/>
        <v>0</v>
      </c>
      <c r="AS894" s="10">
        <f t="shared" si="889"/>
        <v>0</v>
      </c>
      <c r="AT894" s="10">
        <f t="shared" si="889"/>
        <v>0</v>
      </c>
      <c r="AU894" s="10">
        <f t="shared" si="889"/>
        <v>0</v>
      </c>
      <c r="AV894" s="10">
        <f t="shared" si="889"/>
        <v>0</v>
      </c>
      <c r="AW894" s="10">
        <f t="shared" si="889"/>
        <v>0</v>
      </c>
      <c r="AX894" s="10">
        <f t="shared" si="889"/>
        <v>0</v>
      </c>
      <c r="AY894" s="10">
        <f t="shared" si="889"/>
        <v>0</v>
      </c>
      <c r="AZ894" s="10">
        <f t="shared" si="889"/>
        <v>0</v>
      </c>
      <c r="BA894" s="10">
        <f t="shared" si="889"/>
        <v>0</v>
      </c>
      <c r="BB894" s="10">
        <f t="shared" si="889"/>
        <v>0</v>
      </c>
      <c r="BC894" s="10">
        <f t="shared" si="889"/>
        <v>0</v>
      </c>
      <c r="BD894" s="10">
        <f t="shared" si="889"/>
        <v>0</v>
      </c>
      <c r="BE894" s="10">
        <f t="shared" si="889"/>
        <v>0</v>
      </c>
      <c r="BF894" s="10">
        <f t="shared" si="889"/>
        <v>0</v>
      </c>
      <c r="BG894" s="10">
        <f t="shared" si="889"/>
        <v>0</v>
      </c>
      <c r="BH894" s="10">
        <f t="shared" si="889"/>
        <v>0</v>
      </c>
      <c r="BI894" s="10">
        <f t="shared" si="889"/>
        <v>0</v>
      </c>
      <c r="BJ894" s="10">
        <f t="shared" si="889"/>
        <v>0</v>
      </c>
      <c r="BK894" s="10">
        <f t="shared" si="889"/>
        <v>0</v>
      </c>
      <c r="BL894" s="10">
        <f t="shared" si="889"/>
        <v>0</v>
      </c>
      <c r="BM894" s="10">
        <f t="shared" si="889"/>
        <v>0</v>
      </c>
      <c r="BN894" s="10">
        <f t="shared" si="889"/>
        <v>0</v>
      </c>
      <c r="BO894" s="10">
        <f t="shared" si="889"/>
        <v>0</v>
      </c>
      <c r="BP894" s="10">
        <f t="shared" si="889"/>
        <v>0</v>
      </c>
      <c r="BQ894" s="10">
        <f t="shared" si="889"/>
        <v>0</v>
      </c>
      <c r="BR894" s="10">
        <f t="shared" si="889"/>
        <v>0</v>
      </c>
      <c r="BS894" s="10">
        <f t="shared" si="889"/>
        <v>0</v>
      </c>
      <c r="BT894" s="10">
        <f t="shared" si="889"/>
        <v>0</v>
      </c>
      <c r="BU894" s="10">
        <f t="shared" si="889"/>
        <v>0</v>
      </c>
      <c r="BV894" s="10">
        <f t="shared" si="889"/>
        <v>0</v>
      </c>
      <c r="BX894" s="10">
        <f t="shared" si="887"/>
        <v>0</v>
      </c>
      <c r="BY894" s="10">
        <f t="shared" si="887"/>
        <v>0</v>
      </c>
      <c r="BZ894" s="10">
        <f t="shared" si="887"/>
        <v>0</v>
      </c>
      <c r="CA894" s="10">
        <f t="shared" si="887"/>
        <v>0</v>
      </c>
      <c r="CB894" s="10">
        <f t="shared" si="887"/>
        <v>0</v>
      </c>
      <c r="CC894" s="12">
        <f t="shared" ref="CC894:CI894" si="890">IF(AND(ISBLANK(CC$276),ISBLANK(CC$277)),CB894,CC$278)</f>
        <v>0</v>
      </c>
      <c r="CD894" s="12">
        <f t="shared" si="890"/>
        <v>0</v>
      </c>
      <c r="CE894" s="12">
        <f t="shared" si="890"/>
        <v>0</v>
      </c>
      <c r="CF894" s="12">
        <f t="shared" si="890"/>
        <v>0</v>
      </c>
      <c r="CG894" s="12">
        <f t="shared" si="890"/>
        <v>0</v>
      </c>
      <c r="CH894" s="12">
        <f t="shared" si="890"/>
        <v>0</v>
      </c>
      <c r="CI894" s="12">
        <f t="shared" si="890"/>
        <v>0</v>
      </c>
      <c r="CK894" s="11"/>
      <c r="CM894" s="11"/>
      <c r="CV894" s="120"/>
      <c r="DF894" s="11"/>
      <c r="EY894" s="12" t="str">
        <f t="shared" ca="1" si="867"/>
        <v>Interest Payable Closing Balance Loan 12</v>
      </c>
    </row>
    <row r="895" spans="1:155" x14ac:dyDescent="0.35">
      <c r="B895" s="69" t="str" cm="1">
        <f t="array" aca="1" ref="B895" ca="1">HYPERLINK(CONCATENATE("#",CELL("address",$D$284)),$D$284)</f>
        <v>Loan 13</v>
      </c>
      <c r="C895" s="211" t="s">
        <v>1302</v>
      </c>
      <c r="D895" s="49">
        <f>D$25</f>
        <v>0</v>
      </c>
      <c r="E895" s="49" t="str">
        <f>F$25</f>
        <v/>
      </c>
      <c r="F895" s="49"/>
      <c r="G895" s="10">
        <f>Q$25</f>
        <v>0</v>
      </c>
      <c r="H895" s="9"/>
      <c r="I895" s="40" t="s">
        <v>1079</v>
      </c>
      <c r="V895" s="133">
        <f t="shared" si="863"/>
        <v>0</v>
      </c>
      <c r="W895" s="10">
        <f t="shared" si="863"/>
        <v>0</v>
      </c>
      <c r="X895" s="10">
        <f t="shared" si="863"/>
        <v>0</v>
      </c>
      <c r="Y895" s="10">
        <f t="shared" si="863"/>
        <v>0</v>
      </c>
      <c r="AA895" s="10">
        <f t="shared" ref="AA895:BV895" si="891">IF($G895=1, AA822, AA613)</f>
        <v>0</v>
      </c>
      <c r="AB895" s="10">
        <f t="shared" si="891"/>
        <v>0</v>
      </c>
      <c r="AC895" s="10">
        <f t="shared" si="891"/>
        <v>0</v>
      </c>
      <c r="AD895" s="10">
        <f t="shared" si="891"/>
        <v>0</v>
      </c>
      <c r="AE895" s="10">
        <f t="shared" si="891"/>
        <v>0</v>
      </c>
      <c r="AF895" s="10">
        <f t="shared" si="891"/>
        <v>0</v>
      </c>
      <c r="AG895" s="10">
        <f t="shared" si="891"/>
        <v>0</v>
      </c>
      <c r="AH895" s="10">
        <f t="shared" si="891"/>
        <v>0</v>
      </c>
      <c r="AI895" s="10">
        <f t="shared" si="891"/>
        <v>0</v>
      </c>
      <c r="AJ895" s="10">
        <f t="shared" si="891"/>
        <v>0</v>
      </c>
      <c r="AK895" s="10">
        <f t="shared" si="891"/>
        <v>0</v>
      </c>
      <c r="AL895" s="10">
        <f t="shared" si="891"/>
        <v>0</v>
      </c>
      <c r="AM895" s="10">
        <f t="shared" si="891"/>
        <v>0</v>
      </c>
      <c r="AN895" s="10">
        <f t="shared" si="891"/>
        <v>0</v>
      </c>
      <c r="AO895" s="10">
        <f t="shared" si="891"/>
        <v>0</v>
      </c>
      <c r="AP895" s="10">
        <f t="shared" si="891"/>
        <v>0</v>
      </c>
      <c r="AQ895" s="10">
        <f t="shared" si="891"/>
        <v>0</v>
      </c>
      <c r="AR895" s="10">
        <f t="shared" si="891"/>
        <v>0</v>
      </c>
      <c r="AS895" s="10">
        <f t="shared" si="891"/>
        <v>0</v>
      </c>
      <c r="AT895" s="10">
        <f t="shared" si="891"/>
        <v>0</v>
      </c>
      <c r="AU895" s="10">
        <f t="shared" si="891"/>
        <v>0</v>
      </c>
      <c r="AV895" s="10">
        <f t="shared" si="891"/>
        <v>0</v>
      </c>
      <c r="AW895" s="10">
        <f t="shared" si="891"/>
        <v>0</v>
      </c>
      <c r="AX895" s="10">
        <f t="shared" si="891"/>
        <v>0</v>
      </c>
      <c r="AY895" s="10">
        <f t="shared" si="891"/>
        <v>0</v>
      </c>
      <c r="AZ895" s="10">
        <f t="shared" si="891"/>
        <v>0</v>
      </c>
      <c r="BA895" s="10">
        <f t="shared" si="891"/>
        <v>0</v>
      </c>
      <c r="BB895" s="10">
        <f t="shared" si="891"/>
        <v>0</v>
      </c>
      <c r="BC895" s="10">
        <f t="shared" si="891"/>
        <v>0</v>
      </c>
      <c r="BD895" s="10">
        <f t="shared" si="891"/>
        <v>0</v>
      </c>
      <c r="BE895" s="10">
        <f t="shared" si="891"/>
        <v>0</v>
      </c>
      <c r="BF895" s="10">
        <f t="shared" si="891"/>
        <v>0</v>
      </c>
      <c r="BG895" s="10">
        <f t="shared" si="891"/>
        <v>0</v>
      </c>
      <c r="BH895" s="10">
        <f t="shared" si="891"/>
        <v>0</v>
      </c>
      <c r="BI895" s="10">
        <f t="shared" si="891"/>
        <v>0</v>
      </c>
      <c r="BJ895" s="10">
        <f t="shared" si="891"/>
        <v>0</v>
      </c>
      <c r="BK895" s="10">
        <f t="shared" si="891"/>
        <v>0</v>
      </c>
      <c r="BL895" s="10">
        <f t="shared" si="891"/>
        <v>0</v>
      </c>
      <c r="BM895" s="10">
        <f t="shared" si="891"/>
        <v>0</v>
      </c>
      <c r="BN895" s="10">
        <f t="shared" si="891"/>
        <v>0</v>
      </c>
      <c r="BO895" s="10">
        <f t="shared" si="891"/>
        <v>0</v>
      </c>
      <c r="BP895" s="10">
        <f t="shared" si="891"/>
        <v>0</v>
      </c>
      <c r="BQ895" s="10">
        <f t="shared" si="891"/>
        <v>0</v>
      </c>
      <c r="BR895" s="10">
        <f t="shared" si="891"/>
        <v>0</v>
      </c>
      <c r="BS895" s="10">
        <f t="shared" si="891"/>
        <v>0</v>
      </c>
      <c r="BT895" s="10">
        <f t="shared" si="891"/>
        <v>0</v>
      </c>
      <c r="BU895" s="10">
        <f t="shared" si="891"/>
        <v>0</v>
      </c>
      <c r="BV895" s="10">
        <f t="shared" si="891"/>
        <v>0</v>
      </c>
      <c r="BX895" s="10">
        <f t="shared" si="887"/>
        <v>0</v>
      </c>
      <c r="BY895" s="10">
        <f t="shared" si="887"/>
        <v>0</v>
      </c>
      <c r="BZ895" s="10">
        <f t="shared" si="887"/>
        <v>0</v>
      </c>
      <c r="CA895" s="10">
        <f t="shared" si="887"/>
        <v>0</v>
      </c>
      <c r="CB895" s="10">
        <f t="shared" si="887"/>
        <v>0</v>
      </c>
      <c r="CC895" s="12">
        <f t="shared" ref="CC895:CI895" si="892">IF(AND(ISBLANK(CC$295),ISBLANK(CC$296)),CB895,CC$297)</f>
        <v>0</v>
      </c>
      <c r="CD895" s="12">
        <f t="shared" si="892"/>
        <v>0</v>
      </c>
      <c r="CE895" s="12">
        <f t="shared" si="892"/>
        <v>0</v>
      </c>
      <c r="CF895" s="12">
        <f t="shared" si="892"/>
        <v>0</v>
      </c>
      <c r="CG895" s="12">
        <f t="shared" si="892"/>
        <v>0</v>
      </c>
      <c r="CH895" s="12">
        <f t="shared" si="892"/>
        <v>0</v>
      </c>
      <c r="CI895" s="12">
        <f t="shared" si="892"/>
        <v>0</v>
      </c>
      <c r="CK895" s="11"/>
      <c r="CM895" s="11"/>
      <c r="CV895" s="120"/>
      <c r="DF895" s="11"/>
      <c r="EY895" s="12" t="str">
        <f t="shared" ca="1" si="867"/>
        <v>Interest Payable Closing Balance Loan 13</v>
      </c>
    </row>
    <row r="896" spans="1:155" s="5" customFormat="1" x14ac:dyDescent="0.35">
      <c r="A896"/>
      <c r="B896" s="69" t="str" cm="1">
        <f t="array" aca="1" ref="B896" ca="1">HYPERLINK(CONCATENATE("#",CELL("address",$D$303)),$D$303)</f>
        <v>Loan 14</v>
      </c>
      <c r="C896" s="211" t="s">
        <v>1303</v>
      </c>
      <c r="D896" s="49">
        <f>D$26</f>
        <v>0</v>
      </c>
      <c r="E896" s="49" t="str">
        <f>F$26</f>
        <v/>
      </c>
      <c r="F896" s="49"/>
      <c r="G896" s="10">
        <f>Q$26</f>
        <v>0</v>
      </c>
      <c r="H896" s="9"/>
      <c r="I896" s="40" t="s">
        <v>1079</v>
      </c>
      <c r="J896"/>
      <c r="K896"/>
      <c r="L896"/>
      <c r="M896"/>
      <c r="N896"/>
      <c r="O896"/>
      <c r="P896"/>
      <c r="Q896"/>
      <c r="R896"/>
      <c r="S896"/>
      <c r="T896"/>
      <c r="U896"/>
      <c r="V896" s="133">
        <f t="shared" si="863"/>
        <v>0</v>
      </c>
      <c r="W896" s="10">
        <f t="shared" si="863"/>
        <v>0</v>
      </c>
      <c r="X896" s="10">
        <f t="shared" si="863"/>
        <v>0</v>
      </c>
      <c r="Y896" s="10">
        <f t="shared" si="863"/>
        <v>0</v>
      </c>
      <c r="Z896"/>
      <c r="AA896" s="10">
        <f t="shared" ref="AA896:BV896" si="893">IF($G896=1, AA823, AA614)</f>
        <v>0</v>
      </c>
      <c r="AB896" s="10">
        <f t="shared" si="893"/>
        <v>0</v>
      </c>
      <c r="AC896" s="10">
        <f t="shared" si="893"/>
        <v>0</v>
      </c>
      <c r="AD896" s="10">
        <f t="shared" si="893"/>
        <v>0</v>
      </c>
      <c r="AE896" s="10">
        <f t="shared" si="893"/>
        <v>0</v>
      </c>
      <c r="AF896" s="10">
        <f t="shared" si="893"/>
        <v>0</v>
      </c>
      <c r="AG896" s="10">
        <f t="shared" si="893"/>
        <v>0</v>
      </c>
      <c r="AH896" s="10">
        <f t="shared" si="893"/>
        <v>0</v>
      </c>
      <c r="AI896" s="10">
        <f t="shared" si="893"/>
        <v>0</v>
      </c>
      <c r="AJ896" s="10">
        <f t="shared" si="893"/>
        <v>0</v>
      </c>
      <c r="AK896" s="10">
        <f t="shared" si="893"/>
        <v>0</v>
      </c>
      <c r="AL896" s="10">
        <f t="shared" si="893"/>
        <v>0</v>
      </c>
      <c r="AM896" s="10">
        <f t="shared" si="893"/>
        <v>0</v>
      </c>
      <c r="AN896" s="10">
        <f t="shared" si="893"/>
        <v>0</v>
      </c>
      <c r="AO896" s="10">
        <f t="shared" si="893"/>
        <v>0</v>
      </c>
      <c r="AP896" s="10">
        <f t="shared" si="893"/>
        <v>0</v>
      </c>
      <c r="AQ896" s="10">
        <f t="shared" si="893"/>
        <v>0</v>
      </c>
      <c r="AR896" s="10">
        <f t="shared" si="893"/>
        <v>0</v>
      </c>
      <c r="AS896" s="10">
        <f t="shared" si="893"/>
        <v>0</v>
      </c>
      <c r="AT896" s="10">
        <f t="shared" si="893"/>
        <v>0</v>
      </c>
      <c r="AU896" s="10">
        <f t="shared" si="893"/>
        <v>0</v>
      </c>
      <c r="AV896" s="10">
        <f t="shared" si="893"/>
        <v>0</v>
      </c>
      <c r="AW896" s="10">
        <f t="shared" si="893"/>
        <v>0</v>
      </c>
      <c r="AX896" s="10">
        <f t="shared" si="893"/>
        <v>0</v>
      </c>
      <c r="AY896" s="10">
        <f t="shared" si="893"/>
        <v>0</v>
      </c>
      <c r="AZ896" s="10">
        <f t="shared" si="893"/>
        <v>0</v>
      </c>
      <c r="BA896" s="10">
        <f t="shared" si="893"/>
        <v>0</v>
      </c>
      <c r="BB896" s="10">
        <f t="shared" si="893"/>
        <v>0</v>
      </c>
      <c r="BC896" s="10">
        <f t="shared" si="893"/>
        <v>0</v>
      </c>
      <c r="BD896" s="10">
        <f t="shared" si="893"/>
        <v>0</v>
      </c>
      <c r="BE896" s="10">
        <f t="shared" si="893"/>
        <v>0</v>
      </c>
      <c r="BF896" s="10">
        <f t="shared" si="893"/>
        <v>0</v>
      </c>
      <c r="BG896" s="10">
        <f t="shared" si="893"/>
        <v>0</v>
      </c>
      <c r="BH896" s="10">
        <f t="shared" si="893"/>
        <v>0</v>
      </c>
      <c r="BI896" s="10">
        <f t="shared" si="893"/>
        <v>0</v>
      </c>
      <c r="BJ896" s="10">
        <f t="shared" si="893"/>
        <v>0</v>
      </c>
      <c r="BK896" s="10">
        <f t="shared" si="893"/>
        <v>0</v>
      </c>
      <c r="BL896" s="10">
        <f t="shared" si="893"/>
        <v>0</v>
      </c>
      <c r="BM896" s="10">
        <f t="shared" si="893"/>
        <v>0</v>
      </c>
      <c r="BN896" s="10">
        <f t="shared" si="893"/>
        <v>0</v>
      </c>
      <c r="BO896" s="10">
        <f t="shared" si="893"/>
        <v>0</v>
      </c>
      <c r="BP896" s="10">
        <f t="shared" si="893"/>
        <v>0</v>
      </c>
      <c r="BQ896" s="10">
        <f t="shared" si="893"/>
        <v>0</v>
      </c>
      <c r="BR896" s="10">
        <f t="shared" si="893"/>
        <v>0</v>
      </c>
      <c r="BS896" s="10">
        <f t="shared" si="893"/>
        <v>0</v>
      </c>
      <c r="BT896" s="10">
        <f t="shared" si="893"/>
        <v>0</v>
      </c>
      <c r="BU896" s="10">
        <f t="shared" si="893"/>
        <v>0</v>
      </c>
      <c r="BV896" s="10">
        <f t="shared" si="893"/>
        <v>0</v>
      </c>
      <c r="BW896"/>
      <c r="BX896" s="10">
        <f t="shared" si="887"/>
        <v>0</v>
      </c>
      <c r="BY896" s="10">
        <f t="shared" si="887"/>
        <v>0</v>
      </c>
      <c r="BZ896" s="10">
        <f t="shared" si="887"/>
        <v>0</v>
      </c>
      <c r="CA896" s="10">
        <f t="shared" si="887"/>
        <v>0</v>
      </c>
      <c r="CB896" s="10">
        <f t="shared" si="887"/>
        <v>0</v>
      </c>
      <c r="CC896" s="12">
        <f t="shared" ref="CC896:CI896" si="894">IF(AND(ISBLANK(CC$314),ISBLANK(CC$315)),CB896,CC$316)</f>
        <v>0</v>
      </c>
      <c r="CD896" s="12">
        <f t="shared" si="894"/>
        <v>0</v>
      </c>
      <c r="CE896" s="12">
        <f t="shared" si="894"/>
        <v>0</v>
      </c>
      <c r="CF896" s="12">
        <f t="shared" si="894"/>
        <v>0</v>
      </c>
      <c r="CG896" s="12">
        <f t="shared" si="894"/>
        <v>0</v>
      </c>
      <c r="CH896" s="12">
        <f t="shared" si="894"/>
        <v>0</v>
      </c>
      <c r="CI896" s="12">
        <f t="shared" si="894"/>
        <v>0</v>
      </c>
      <c r="CJ896"/>
      <c r="CK896" s="11"/>
      <c r="CL896"/>
      <c r="CM896" s="11"/>
      <c r="CN896"/>
      <c r="CO896"/>
      <c r="CP896"/>
      <c r="CQ896"/>
      <c r="CR896"/>
      <c r="CS896"/>
      <c r="CT896"/>
      <c r="CU896"/>
      <c r="CV896" s="120"/>
      <c r="CW896"/>
      <c r="CX896"/>
      <c r="CY896"/>
      <c r="CZ896"/>
      <c r="DA896"/>
      <c r="DB896"/>
      <c r="DC896"/>
      <c r="DD896"/>
      <c r="DE896"/>
      <c r="DF896" s="11"/>
      <c r="EY896" s="12" t="str">
        <f t="shared" ca="1" si="867"/>
        <v>Interest Payable Closing Balance Loan 14</v>
      </c>
    </row>
    <row r="897" spans="1:155" x14ac:dyDescent="0.35">
      <c r="B897" s="69" t="str" cm="1">
        <f t="array" aca="1" ref="B897" ca="1">HYPERLINK(CONCATENATE("#",CELL("address",$D$322)),$D$322)</f>
        <v>Loan 15</v>
      </c>
      <c r="C897" s="211" t="s">
        <v>1304</v>
      </c>
      <c r="D897" s="49">
        <f>D$27</f>
        <v>0</v>
      </c>
      <c r="E897" s="49" t="str">
        <f>F$27</f>
        <v/>
      </c>
      <c r="F897" s="49"/>
      <c r="G897" s="10">
        <f>Q$27</f>
        <v>0</v>
      </c>
      <c r="H897" s="9"/>
      <c r="I897" s="40" t="s">
        <v>1079</v>
      </c>
      <c r="V897" s="133">
        <f t="shared" si="863"/>
        <v>0</v>
      </c>
      <c r="W897" s="10">
        <f t="shared" si="863"/>
        <v>0</v>
      </c>
      <c r="X897" s="10">
        <f t="shared" si="863"/>
        <v>0</v>
      </c>
      <c r="Y897" s="10">
        <f t="shared" si="863"/>
        <v>0</v>
      </c>
      <c r="AA897" s="10">
        <f t="shared" ref="AA897:BV897" si="895">IF($G897=1, AA824, AA615)</f>
        <v>0</v>
      </c>
      <c r="AB897" s="10">
        <f t="shared" si="895"/>
        <v>0</v>
      </c>
      <c r="AC897" s="10">
        <f t="shared" si="895"/>
        <v>0</v>
      </c>
      <c r="AD897" s="10">
        <f t="shared" si="895"/>
        <v>0</v>
      </c>
      <c r="AE897" s="10">
        <f t="shared" si="895"/>
        <v>0</v>
      </c>
      <c r="AF897" s="10">
        <f t="shared" si="895"/>
        <v>0</v>
      </c>
      <c r="AG897" s="10">
        <f t="shared" si="895"/>
        <v>0</v>
      </c>
      <c r="AH897" s="10">
        <f t="shared" si="895"/>
        <v>0</v>
      </c>
      <c r="AI897" s="10">
        <f t="shared" si="895"/>
        <v>0</v>
      </c>
      <c r="AJ897" s="10">
        <f t="shared" si="895"/>
        <v>0</v>
      </c>
      <c r="AK897" s="10">
        <f t="shared" si="895"/>
        <v>0</v>
      </c>
      <c r="AL897" s="10">
        <f t="shared" si="895"/>
        <v>0</v>
      </c>
      <c r="AM897" s="10">
        <f t="shared" si="895"/>
        <v>0</v>
      </c>
      <c r="AN897" s="10">
        <f t="shared" si="895"/>
        <v>0</v>
      </c>
      <c r="AO897" s="10">
        <f t="shared" si="895"/>
        <v>0</v>
      </c>
      <c r="AP897" s="10">
        <f t="shared" si="895"/>
        <v>0</v>
      </c>
      <c r="AQ897" s="10">
        <f t="shared" si="895"/>
        <v>0</v>
      </c>
      <c r="AR897" s="10">
        <f t="shared" si="895"/>
        <v>0</v>
      </c>
      <c r="AS897" s="10">
        <f t="shared" si="895"/>
        <v>0</v>
      </c>
      <c r="AT897" s="10">
        <f t="shared" si="895"/>
        <v>0</v>
      </c>
      <c r="AU897" s="10">
        <f t="shared" si="895"/>
        <v>0</v>
      </c>
      <c r="AV897" s="10">
        <f t="shared" si="895"/>
        <v>0</v>
      </c>
      <c r="AW897" s="10">
        <f t="shared" si="895"/>
        <v>0</v>
      </c>
      <c r="AX897" s="10">
        <f t="shared" si="895"/>
        <v>0</v>
      </c>
      <c r="AY897" s="10">
        <f t="shared" si="895"/>
        <v>0</v>
      </c>
      <c r="AZ897" s="10">
        <f t="shared" si="895"/>
        <v>0</v>
      </c>
      <c r="BA897" s="10">
        <f t="shared" si="895"/>
        <v>0</v>
      </c>
      <c r="BB897" s="10">
        <f t="shared" si="895"/>
        <v>0</v>
      </c>
      <c r="BC897" s="10">
        <f t="shared" si="895"/>
        <v>0</v>
      </c>
      <c r="BD897" s="10">
        <f t="shared" si="895"/>
        <v>0</v>
      </c>
      <c r="BE897" s="10">
        <f t="shared" si="895"/>
        <v>0</v>
      </c>
      <c r="BF897" s="10">
        <f t="shared" si="895"/>
        <v>0</v>
      </c>
      <c r="BG897" s="10">
        <f t="shared" si="895"/>
        <v>0</v>
      </c>
      <c r="BH897" s="10">
        <f t="shared" si="895"/>
        <v>0</v>
      </c>
      <c r="BI897" s="10">
        <f t="shared" si="895"/>
        <v>0</v>
      </c>
      <c r="BJ897" s="10">
        <f t="shared" si="895"/>
        <v>0</v>
      </c>
      <c r="BK897" s="10">
        <f t="shared" si="895"/>
        <v>0</v>
      </c>
      <c r="BL897" s="10">
        <f t="shared" si="895"/>
        <v>0</v>
      </c>
      <c r="BM897" s="10">
        <f t="shared" si="895"/>
        <v>0</v>
      </c>
      <c r="BN897" s="10">
        <f t="shared" si="895"/>
        <v>0</v>
      </c>
      <c r="BO897" s="10">
        <f t="shared" si="895"/>
        <v>0</v>
      </c>
      <c r="BP897" s="10">
        <f t="shared" si="895"/>
        <v>0</v>
      </c>
      <c r="BQ897" s="10">
        <f t="shared" si="895"/>
        <v>0</v>
      </c>
      <c r="BR897" s="10">
        <f t="shared" si="895"/>
        <v>0</v>
      </c>
      <c r="BS897" s="10">
        <f t="shared" si="895"/>
        <v>0</v>
      </c>
      <c r="BT897" s="10">
        <f t="shared" si="895"/>
        <v>0</v>
      </c>
      <c r="BU897" s="10">
        <f t="shared" si="895"/>
        <v>0</v>
      </c>
      <c r="BV897" s="10">
        <f t="shared" si="895"/>
        <v>0</v>
      </c>
      <c r="BX897" s="10">
        <f t="shared" si="887"/>
        <v>0</v>
      </c>
      <c r="BY897" s="10">
        <f t="shared" si="887"/>
        <v>0</v>
      </c>
      <c r="BZ897" s="10">
        <f t="shared" si="887"/>
        <v>0</v>
      </c>
      <c r="CA897" s="10">
        <f t="shared" si="887"/>
        <v>0</v>
      </c>
      <c r="CB897" s="10">
        <f t="shared" si="887"/>
        <v>0</v>
      </c>
      <c r="CC897" s="12">
        <f t="shared" ref="CC897:CI897" si="896">IF(AND(ISBLANK(CC$333),ISBLANK(CC$334)),CB897,CC$335)</f>
        <v>0</v>
      </c>
      <c r="CD897" s="12">
        <f t="shared" si="896"/>
        <v>0</v>
      </c>
      <c r="CE897" s="12">
        <f t="shared" si="896"/>
        <v>0</v>
      </c>
      <c r="CF897" s="12">
        <f t="shared" si="896"/>
        <v>0</v>
      </c>
      <c r="CG897" s="12">
        <f t="shared" si="896"/>
        <v>0</v>
      </c>
      <c r="CH897" s="12">
        <f t="shared" si="896"/>
        <v>0</v>
      </c>
      <c r="CI897" s="12">
        <f t="shared" si="896"/>
        <v>0</v>
      </c>
      <c r="CK897" s="11"/>
      <c r="CM897" s="11"/>
      <c r="CV897" s="120"/>
      <c r="DF897" s="11"/>
      <c r="EY897" s="12" t="str">
        <f t="shared" ca="1" si="867"/>
        <v>Interest Payable Closing Balance Loan 15</v>
      </c>
    </row>
    <row r="898" spans="1:155" x14ac:dyDescent="0.35">
      <c r="B898" s="69" t="str" cm="1">
        <f t="array" aca="1" ref="B898" ca="1">HYPERLINK(CONCATENATE("#",CELL("address",$D$341)),$D$341)</f>
        <v>Loan 16</v>
      </c>
      <c r="C898" s="211" t="s">
        <v>1305</v>
      </c>
      <c r="D898" s="49">
        <f>D$28</f>
        <v>0</v>
      </c>
      <c r="E898" s="49" t="str">
        <f>F$28</f>
        <v/>
      </c>
      <c r="F898" s="49"/>
      <c r="G898" s="10">
        <f>Q$28</f>
        <v>0</v>
      </c>
      <c r="H898" s="9"/>
      <c r="I898" s="40" t="s">
        <v>1079</v>
      </c>
      <c r="V898" s="133">
        <f t="shared" si="863"/>
        <v>0</v>
      </c>
      <c r="W898" s="10">
        <f t="shared" si="863"/>
        <v>0</v>
      </c>
      <c r="X898" s="10">
        <f t="shared" si="863"/>
        <v>0</v>
      </c>
      <c r="Y898" s="10">
        <f t="shared" si="863"/>
        <v>0</v>
      </c>
      <c r="AA898" s="10">
        <f t="shared" ref="AA898:BV898" si="897">IF($G898=1, AA825, AA616)</f>
        <v>0</v>
      </c>
      <c r="AB898" s="10">
        <f t="shared" si="897"/>
        <v>0</v>
      </c>
      <c r="AC898" s="10">
        <f t="shared" si="897"/>
        <v>0</v>
      </c>
      <c r="AD898" s="10">
        <f t="shared" si="897"/>
        <v>0</v>
      </c>
      <c r="AE898" s="10">
        <f t="shared" si="897"/>
        <v>0</v>
      </c>
      <c r="AF898" s="10">
        <f t="shared" si="897"/>
        <v>0</v>
      </c>
      <c r="AG898" s="10">
        <f t="shared" si="897"/>
        <v>0</v>
      </c>
      <c r="AH898" s="10">
        <f t="shared" si="897"/>
        <v>0</v>
      </c>
      <c r="AI898" s="10">
        <f t="shared" si="897"/>
        <v>0</v>
      </c>
      <c r="AJ898" s="10">
        <f t="shared" si="897"/>
        <v>0</v>
      </c>
      <c r="AK898" s="10">
        <f t="shared" si="897"/>
        <v>0</v>
      </c>
      <c r="AL898" s="10">
        <f t="shared" si="897"/>
        <v>0</v>
      </c>
      <c r="AM898" s="10">
        <f t="shared" si="897"/>
        <v>0</v>
      </c>
      <c r="AN898" s="10">
        <f t="shared" si="897"/>
        <v>0</v>
      </c>
      <c r="AO898" s="10">
        <f t="shared" si="897"/>
        <v>0</v>
      </c>
      <c r="AP898" s="10">
        <f t="shared" si="897"/>
        <v>0</v>
      </c>
      <c r="AQ898" s="10">
        <f t="shared" si="897"/>
        <v>0</v>
      </c>
      <c r="AR898" s="10">
        <f t="shared" si="897"/>
        <v>0</v>
      </c>
      <c r="AS898" s="10">
        <f t="shared" si="897"/>
        <v>0</v>
      </c>
      <c r="AT898" s="10">
        <f t="shared" si="897"/>
        <v>0</v>
      </c>
      <c r="AU898" s="10">
        <f t="shared" si="897"/>
        <v>0</v>
      </c>
      <c r="AV898" s="10">
        <f t="shared" si="897"/>
        <v>0</v>
      </c>
      <c r="AW898" s="10">
        <f t="shared" si="897"/>
        <v>0</v>
      </c>
      <c r="AX898" s="10">
        <f t="shared" si="897"/>
        <v>0</v>
      </c>
      <c r="AY898" s="10">
        <f t="shared" si="897"/>
        <v>0</v>
      </c>
      <c r="AZ898" s="10">
        <f t="shared" si="897"/>
        <v>0</v>
      </c>
      <c r="BA898" s="10">
        <f t="shared" si="897"/>
        <v>0</v>
      </c>
      <c r="BB898" s="10">
        <f t="shared" si="897"/>
        <v>0</v>
      </c>
      <c r="BC898" s="10">
        <f t="shared" si="897"/>
        <v>0</v>
      </c>
      <c r="BD898" s="10">
        <f t="shared" si="897"/>
        <v>0</v>
      </c>
      <c r="BE898" s="10">
        <f t="shared" si="897"/>
        <v>0</v>
      </c>
      <c r="BF898" s="10">
        <f t="shared" si="897"/>
        <v>0</v>
      </c>
      <c r="BG898" s="10">
        <f t="shared" si="897"/>
        <v>0</v>
      </c>
      <c r="BH898" s="10">
        <f t="shared" si="897"/>
        <v>0</v>
      </c>
      <c r="BI898" s="10">
        <f t="shared" si="897"/>
        <v>0</v>
      </c>
      <c r="BJ898" s="10">
        <f t="shared" si="897"/>
        <v>0</v>
      </c>
      <c r="BK898" s="10">
        <f t="shared" si="897"/>
        <v>0</v>
      </c>
      <c r="BL898" s="10">
        <f t="shared" si="897"/>
        <v>0</v>
      </c>
      <c r="BM898" s="10">
        <f t="shared" si="897"/>
        <v>0</v>
      </c>
      <c r="BN898" s="10">
        <f t="shared" si="897"/>
        <v>0</v>
      </c>
      <c r="BO898" s="10">
        <f t="shared" si="897"/>
        <v>0</v>
      </c>
      <c r="BP898" s="10">
        <f t="shared" si="897"/>
        <v>0</v>
      </c>
      <c r="BQ898" s="10">
        <f t="shared" si="897"/>
        <v>0</v>
      </c>
      <c r="BR898" s="10">
        <f t="shared" si="897"/>
        <v>0</v>
      </c>
      <c r="BS898" s="10">
        <f t="shared" si="897"/>
        <v>0</v>
      </c>
      <c r="BT898" s="10">
        <f t="shared" si="897"/>
        <v>0</v>
      </c>
      <c r="BU898" s="10">
        <f t="shared" si="897"/>
        <v>0</v>
      </c>
      <c r="BV898" s="10">
        <f t="shared" si="897"/>
        <v>0</v>
      </c>
      <c r="BX898" s="10">
        <f t="shared" si="887"/>
        <v>0</v>
      </c>
      <c r="BY898" s="10">
        <f t="shared" si="887"/>
        <v>0</v>
      </c>
      <c r="BZ898" s="10">
        <f t="shared" si="887"/>
        <v>0</v>
      </c>
      <c r="CA898" s="10">
        <f t="shared" si="887"/>
        <v>0</v>
      </c>
      <c r="CB898" s="10">
        <f t="shared" si="887"/>
        <v>0</v>
      </c>
      <c r="CC898" s="12">
        <f t="shared" ref="CC898:CI898" si="898">IF(AND(ISBLANK(CC$352),ISBLANK(CC$353)),CB898,CC$354)</f>
        <v>0</v>
      </c>
      <c r="CD898" s="12">
        <f t="shared" si="898"/>
        <v>0</v>
      </c>
      <c r="CE898" s="12">
        <f t="shared" si="898"/>
        <v>0</v>
      </c>
      <c r="CF898" s="12">
        <f t="shared" si="898"/>
        <v>0</v>
      </c>
      <c r="CG898" s="12">
        <f t="shared" si="898"/>
        <v>0</v>
      </c>
      <c r="CH898" s="12">
        <f t="shared" si="898"/>
        <v>0</v>
      </c>
      <c r="CI898" s="12">
        <f t="shared" si="898"/>
        <v>0</v>
      </c>
      <c r="CK898" s="11"/>
      <c r="CM898" s="11"/>
      <c r="CV898" s="120"/>
      <c r="DF898" s="11"/>
      <c r="EY898" s="12" t="str">
        <f t="shared" ca="1" si="867"/>
        <v>Interest Payable Closing Balance Loan 16</v>
      </c>
    </row>
    <row r="899" spans="1:155" x14ac:dyDescent="0.35">
      <c r="B899" s="69" t="str" cm="1">
        <f t="array" aca="1" ref="B899" ca="1">HYPERLINK(CONCATENATE("#",CELL("address",$D$360)),$D$360)</f>
        <v>Loan 17</v>
      </c>
      <c r="C899" s="211" t="s">
        <v>1306</v>
      </c>
      <c r="D899" s="49">
        <f>D$29</f>
        <v>0</v>
      </c>
      <c r="E899" s="49" t="str">
        <f>F$29</f>
        <v/>
      </c>
      <c r="F899" s="49"/>
      <c r="G899" s="10">
        <f>Q$29</f>
        <v>0</v>
      </c>
      <c r="H899" s="9"/>
      <c r="I899" s="40" t="s">
        <v>1079</v>
      </c>
      <c r="V899" s="133">
        <f t="shared" si="863"/>
        <v>0</v>
      </c>
      <c r="W899" s="10">
        <f t="shared" si="863"/>
        <v>0</v>
      </c>
      <c r="X899" s="10">
        <f t="shared" si="863"/>
        <v>0</v>
      </c>
      <c r="Y899" s="10">
        <f t="shared" si="863"/>
        <v>0</v>
      </c>
      <c r="AA899" s="10">
        <f t="shared" ref="AA899:BV899" si="899">IF($G899=1, AA826, AA617)</f>
        <v>0</v>
      </c>
      <c r="AB899" s="10">
        <f t="shared" si="899"/>
        <v>0</v>
      </c>
      <c r="AC899" s="10">
        <f t="shared" si="899"/>
        <v>0</v>
      </c>
      <c r="AD899" s="10">
        <f t="shared" si="899"/>
        <v>0</v>
      </c>
      <c r="AE899" s="10">
        <f t="shared" si="899"/>
        <v>0</v>
      </c>
      <c r="AF899" s="10">
        <f t="shared" si="899"/>
        <v>0</v>
      </c>
      <c r="AG899" s="10">
        <f t="shared" si="899"/>
        <v>0</v>
      </c>
      <c r="AH899" s="10">
        <f t="shared" si="899"/>
        <v>0</v>
      </c>
      <c r="AI899" s="10">
        <f t="shared" si="899"/>
        <v>0</v>
      </c>
      <c r="AJ899" s="10">
        <f t="shared" si="899"/>
        <v>0</v>
      </c>
      <c r="AK899" s="10">
        <f t="shared" si="899"/>
        <v>0</v>
      </c>
      <c r="AL899" s="10">
        <f t="shared" si="899"/>
        <v>0</v>
      </c>
      <c r="AM899" s="10">
        <f t="shared" si="899"/>
        <v>0</v>
      </c>
      <c r="AN899" s="10">
        <f t="shared" si="899"/>
        <v>0</v>
      </c>
      <c r="AO899" s="10">
        <f t="shared" si="899"/>
        <v>0</v>
      </c>
      <c r="AP899" s="10">
        <f t="shared" si="899"/>
        <v>0</v>
      </c>
      <c r="AQ899" s="10">
        <f t="shared" si="899"/>
        <v>0</v>
      </c>
      <c r="AR899" s="10">
        <f t="shared" si="899"/>
        <v>0</v>
      </c>
      <c r="AS899" s="10">
        <f t="shared" si="899"/>
        <v>0</v>
      </c>
      <c r="AT899" s="10">
        <f t="shared" si="899"/>
        <v>0</v>
      </c>
      <c r="AU899" s="10">
        <f t="shared" si="899"/>
        <v>0</v>
      </c>
      <c r="AV899" s="10">
        <f t="shared" si="899"/>
        <v>0</v>
      </c>
      <c r="AW899" s="10">
        <f t="shared" si="899"/>
        <v>0</v>
      </c>
      <c r="AX899" s="10">
        <f t="shared" si="899"/>
        <v>0</v>
      </c>
      <c r="AY899" s="10">
        <f t="shared" si="899"/>
        <v>0</v>
      </c>
      <c r="AZ899" s="10">
        <f t="shared" si="899"/>
        <v>0</v>
      </c>
      <c r="BA899" s="10">
        <f t="shared" si="899"/>
        <v>0</v>
      </c>
      <c r="BB899" s="10">
        <f t="shared" si="899"/>
        <v>0</v>
      </c>
      <c r="BC899" s="10">
        <f t="shared" si="899"/>
        <v>0</v>
      </c>
      <c r="BD899" s="10">
        <f t="shared" si="899"/>
        <v>0</v>
      </c>
      <c r="BE899" s="10">
        <f t="shared" si="899"/>
        <v>0</v>
      </c>
      <c r="BF899" s="10">
        <f t="shared" si="899"/>
        <v>0</v>
      </c>
      <c r="BG899" s="10">
        <f t="shared" si="899"/>
        <v>0</v>
      </c>
      <c r="BH899" s="10">
        <f t="shared" si="899"/>
        <v>0</v>
      </c>
      <c r="BI899" s="10">
        <f t="shared" si="899"/>
        <v>0</v>
      </c>
      <c r="BJ899" s="10">
        <f t="shared" si="899"/>
        <v>0</v>
      </c>
      <c r="BK899" s="10">
        <f t="shared" si="899"/>
        <v>0</v>
      </c>
      <c r="BL899" s="10">
        <f t="shared" si="899"/>
        <v>0</v>
      </c>
      <c r="BM899" s="10">
        <f t="shared" si="899"/>
        <v>0</v>
      </c>
      <c r="BN899" s="10">
        <f t="shared" si="899"/>
        <v>0</v>
      </c>
      <c r="BO899" s="10">
        <f t="shared" si="899"/>
        <v>0</v>
      </c>
      <c r="BP899" s="10">
        <f t="shared" si="899"/>
        <v>0</v>
      </c>
      <c r="BQ899" s="10">
        <f t="shared" si="899"/>
        <v>0</v>
      </c>
      <c r="BR899" s="10">
        <f t="shared" si="899"/>
        <v>0</v>
      </c>
      <c r="BS899" s="10">
        <f t="shared" si="899"/>
        <v>0</v>
      </c>
      <c r="BT899" s="10">
        <f t="shared" si="899"/>
        <v>0</v>
      </c>
      <c r="BU899" s="10">
        <f t="shared" si="899"/>
        <v>0</v>
      </c>
      <c r="BV899" s="10">
        <f t="shared" si="899"/>
        <v>0</v>
      </c>
      <c r="BX899" s="10">
        <f t="shared" si="887"/>
        <v>0</v>
      </c>
      <c r="BY899" s="10">
        <f t="shared" si="887"/>
        <v>0</v>
      </c>
      <c r="BZ899" s="10">
        <f t="shared" si="887"/>
        <v>0</v>
      </c>
      <c r="CA899" s="10">
        <f t="shared" si="887"/>
        <v>0</v>
      </c>
      <c r="CB899" s="10">
        <f t="shared" si="887"/>
        <v>0</v>
      </c>
      <c r="CC899" s="12">
        <f t="shared" ref="CC899:CI899" si="900">IF(AND(ISBLANK(CC$371),ISBLANK(CC$372)),CB899,CC$373)</f>
        <v>0</v>
      </c>
      <c r="CD899" s="12">
        <f t="shared" si="900"/>
        <v>0</v>
      </c>
      <c r="CE899" s="12">
        <f t="shared" si="900"/>
        <v>0</v>
      </c>
      <c r="CF899" s="12">
        <f t="shared" si="900"/>
        <v>0</v>
      </c>
      <c r="CG899" s="12">
        <f t="shared" si="900"/>
        <v>0</v>
      </c>
      <c r="CH899" s="12">
        <f t="shared" si="900"/>
        <v>0</v>
      </c>
      <c r="CI899" s="12">
        <f t="shared" si="900"/>
        <v>0</v>
      </c>
      <c r="CK899" s="11"/>
      <c r="CM899" s="11"/>
      <c r="CV899" s="120"/>
      <c r="DF899" s="11"/>
      <c r="EY899" s="12" t="str">
        <f t="shared" ca="1" si="867"/>
        <v>Interest Payable Closing Balance Loan 17</v>
      </c>
    </row>
    <row r="900" spans="1:155" x14ac:dyDescent="0.35">
      <c r="B900" s="69" t="str" cm="1">
        <f t="array" aca="1" ref="B900" ca="1">HYPERLINK(CONCATENATE("#",CELL("address",$D$379)),$D$379)</f>
        <v>Loan 18</v>
      </c>
      <c r="C900" s="211" t="s">
        <v>1307</v>
      </c>
      <c r="D900" s="49">
        <f>D$30</f>
        <v>0</v>
      </c>
      <c r="E900" s="49" t="str">
        <f>F$30</f>
        <v/>
      </c>
      <c r="F900" s="49"/>
      <c r="G900" s="10">
        <f>Q$30</f>
        <v>0</v>
      </c>
      <c r="H900" s="9"/>
      <c r="I900" s="40" t="s">
        <v>1079</v>
      </c>
      <c r="V900" s="133">
        <f t="shared" si="863"/>
        <v>0</v>
      </c>
      <c r="W900" s="10">
        <f t="shared" si="863"/>
        <v>0</v>
      </c>
      <c r="X900" s="10">
        <f t="shared" si="863"/>
        <v>0</v>
      </c>
      <c r="Y900" s="10">
        <f t="shared" si="863"/>
        <v>0</v>
      </c>
      <c r="AA900" s="10">
        <f t="shared" ref="AA900:BV900" si="901">IF($G900=1, AA827, AA618)</f>
        <v>0</v>
      </c>
      <c r="AB900" s="10">
        <f t="shared" si="901"/>
        <v>0</v>
      </c>
      <c r="AC900" s="10">
        <f t="shared" si="901"/>
        <v>0</v>
      </c>
      <c r="AD900" s="10">
        <f t="shared" si="901"/>
        <v>0</v>
      </c>
      <c r="AE900" s="10">
        <f t="shared" si="901"/>
        <v>0</v>
      </c>
      <c r="AF900" s="10">
        <f t="shared" si="901"/>
        <v>0</v>
      </c>
      <c r="AG900" s="10">
        <f t="shared" si="901"/>
        <v>0</v>
      </c>
      <c r="AH900" s="10">
        <f t="shared" si="901"/>
        <v>0</v>
      </c>
      <c r="AI900" s="10">
        <f t="shared" si="901"/>
        <v>0</v>
      </c>
      <c r="AJ900" s="10">
        <f t="shared" si="901"/>
        <v>0</v>
      </c>
      <c r="AK900" s="10">
        <f t="shared" si="901"/>
        <v>0</v>
      </c>
      <c r="AL900" s="10">
        <f t="shared" si="901"/>
        <v>0</v>
      </c>
      <c r="AM900" s="10">
        <f t="shared" si="901"/>
        <v>0</v>
      </c>
      <c r="AN900" s="10">
        <f t="shared" si="901"/>
        <v>0</v>
      </c>
      <c r="AO900" s="10">
        <f t="shared" si="901"/>
        <v>0</v>
      </c>
      <c r="AP900" s="10">
        <f t="shared" si="901"/>
        <v>0</v>
      </c>
      <c r="AQ900" s="10">
        <f t="shared" si="901"/>
        <v>0</v>
      </c>
      <c r="AR900" s="10">
        <f t="shared" si="901"/>
        <v>0</v>
      </c>
      <c r="AS900" s="10">
        <f t="shared" si="901"/>
        <v>0</v>
      </c>
      <c r="AT900" s="10">
        <f t="shared" si="901"/>
        <v>0</v>
      </c>
      <c r="AU900" s="10">
        <f t="shared" si="901"/>
        <v>0</v>
      </c>
      <c r="AV900" s="10">
        <f t="shared" si="901"/>
        <v>0</v>
      </c>
      <c r="AW900" s="10">
        <f t="shared" si="901"/>
        <v>0</v>
      </c>
      <c r="AX900" s="10">
        <f t="shared" si="901"/>
        <v>0</v>
      </c>
      <c r="AY900" s="10">
        <f t="shared" si="901"/>
        <v>0</v>
      </c>
      <c r="AZ900" s="10">
        <f t="shared" si="901"/>
        <v>0</v>
      </c>
      <c r="BA900" s="10">
        <f t="shared" si="901"/>
        <v>0</v>
      </c>
      <c r="BB900" s="10">
        <f t="shared" si="901"/>
        <v>0</v>
      </c>
      <c r="BC900" s="10">
        <f t="shared" si="901"/>
        <v>0</v>
      </c>
      <c r="BD900" s="10">
        <f t="shared" si="901"/>
        <v>0</v>
      </c>
      <c r="BE900" s="10">
        <f t="shared" si="901"/>
        <v>0</v>
      </c>
      <c r="BF900" s="10">
        <f t="shared" si="901"/>
        <v>0</v>
      </c>
      <c r="BG900" s="10">
        <f t="shared" si="901"/>
        <v>0</v>
      </c>
      <c r="BH900" s="10">
        <f t="shared" si="901"/>
        <v>0</v>
      </c>
      <c r="BI900" s="10">
        <f t="shared" si="901"/>
        <v>0</v>
      </c>
      <c r="BJ900" s="10">
        <f t="shared" si="901"/>
        <v>0</v>
      </c>
      <c r="BK900" s="10">
        <f t="shared" si="901"/>
        <v>0</v>
      </c>
      <c r="BL900" s="10">
        <f t="shared" si="901"/>
        <v>0</v>
      </c>
      <c r="BM900" s="10">
        <f t="shared" si="901"/>
        <v>0</v>
      </c>
      <c r="BN900" s="10">
        <f t="shared" si="901"/>
        <v>0</v>
      </c>
      <c r="BO900" s="10">
        <f t="shared" si="901"/>
        <v>0</v>
      </c>
      <c r="BP900" s="10">
        <f t="shared" si="901"/>
        <v>0</v>
      </c>
      <c r="BQ900" s="10">
        <f t="shared" si="901"/>
        <v>0</v>
      </c>
      <c r="BR900" s="10">
        <f t="shared" si="901"/>
        <v>0</v>
      </c>
      <c r="BS900" s="10">
        <f t="shared" si="901"/>
        <v>0</v>
      </c>
      <c r="BT900" s="10">
        <f t="shared" si="901"/>
        <v>0</v>
      </c>
      <c r="BU900" s="10">
        <f t="shared" si="901"/>
        <v>0</v>
      </c>
      <c r="BV900" s="10">
        <f t="shared" si="901"/>
        <v>0</v>
      </c>
      <c r="BX900" s="10">
        <f t="shared" si="887"/>
        <v>0</v>
      </c>
      <c r="BY900" s="10">
        <f t="shared" si="887"/>
        <v>0</v>
      </c>
      <c r="BZ900" s="10">
        <f t="shared" si="887"/>
        <v>0</v>
      </c>
      <c r="CA900" s="10">
        <f t="shared" si="887"/>
        <v>0</v>
      </c>
      <c r="CB900" s="10">
        <f t="shared" si="887"/>
        <v>0</v>
      </c>
      <c r="CC900" s="12">
        <f t="shared" ref="CC900:CI900" si="902">IF(AND(ISBLANK(CC$390),ISBLANK(CC$391)),CB900,CC$392)</f>
        <v>0</v>
      </c>
      <c r="CD900" s="12">
        <f t="shared" si="902"/>
        <v>0</v>
      </c>
      <c r="CE900" s="12">
        <f t="shared" si="902"/>
        <v>0</v>
      </c>
      <c r="CF900" s="12">
        <f t="shared" si="902"/>
        <v>0</v>
      </c>
      <c r="CG900" s="12">
        <f t="shared" si="902"/>
        <v>0</v>
      </c>
      <c r="CH900" s="12">
        <f t="shared" si="902"/>
        <v>0</v>
      </c>
      <c r="CI900" s="12">
        <f t="shared" si="902"/>
        <v>0</v>
      </c>
      <c r="CK900" s="11"/>
      <c r="CM900" s="11"/>
      <c r="CV900" s="120"/>
      <c r="DF900" s="11"/>
      <c r="EY900" s="12" t="str">
        <f t="shared" ca="1" si="867"/>
        <v>Interest Payable Closing Balance Loan 18</v>
      </c>
    </row>
    <row r="901" spans="1:155" x14ac:dyDescent="0.35">
      <c r="B901" s="69" t="str" cm="1">
        <f t="array" aca="1" ref="B901" ca="1">HYPERLINK(CONCATENATE("#",CELL("address",$D$398)),$D$398)</f>
        <v>Loan 19</v>
      </c>
      <c r="C901" s="211" t="s">
        <v>1308</v>
      </c>
      <c r="D901" s="49">
        <f>D$31</f>
        <v>0</v>
      </c>
      <c r="E901" s="49" t="str">
        <f>F$31</f>
        <v/>
      </c>
      <c r="F901" s="49"/>
      <c r="G901" s="10">
        <f>Q$31</f>
        <v>0</v>
      </c>
      <c r="H901" s="9"/>
      <c r="I901" s="40" t="s">
        <v>1079</v>
      </c>
      <c r="V901" s="133">
        <f t="shared" si="863"/>
        <v>0</v>
      </c>
      <c r="W901" s="10">
        <f t="shared" si="863"/>
        <v>0</v>
      </c>
      <c r="X901" s="10">
        <f t="shared" si="863"/>
        <v>0</v>
      </c>
      <c r="Y901" s="10">
        <f t="shared" si="863"/>
        <v>0</v>
      </c>
      <c r="AA901" s="10">
        <f t="shared" ref="AA901:BV901" si="903">IF($G901=1, AA828, AA619)</f>
        <v>0</v>
      </c>
      <c r="AB901" s="10">
        <f t="shared" si="903"/>
        <v>0</v>
      </c>
      <c r="AC901" s="10">
        <f t="shared" si="903"/>
        <v>0</v>
      </c>
      <c r="AD901" s="10">
        <f t="shared" si="903"/>
        <v>0</v>
      </c>
      <c r="AE901" s="10">
        <f t="shared" si="903"/>
        <v>0</v>
      </c>
      <c r="AF901" s="10">
        <f t="shared" si="903"/>
        <v>0</v>
      </c>
      <c r="AG901" s="10">
        <f t="shared" si="903"/>
        <v>0</v>
      </c>
      <c r="AH901" s="10">
        <f t="shared" si="903"/>
        <v>0</v>
      </c>
      <c r="AI901" s="10">
        <f t="shared" si="903"/>
        <v>0</v>
      </c>
      <c r="AJ901" s="10">
        <f t="shared" si="903"/>
        <v>0</v>
      </c>
      <c r="AK901" s="10">
        <f t="shared" si="903"/>
        <v>0</v>
      </c>
      <c r="AL901" s="10">
        <f t="shared" si="903"/>
        <v>0</v>
      </c>
      <c r="AM901" s="10">
        <f t="shared" si="903"/>
        <v>0</v>
      </c>
      <c r="AN901" s="10">
        <f t="shared" si="903"/>
        <v>0</v>
      </c>
      <c r="AO901" s="10">
        <f t="shared" si="903"/>
        <v>0</v>
      </c>
      <c r="AP901" s="10">
        <f t="shared" si="903"/>
        <v>0</v>
      </c>
      <c r="AQ901" s="10">
        <f t="shared" si="903"/>
        <v>0</v>
      </c>
      <c r="AR901" s="10">
        <f t="shared" si="903"/>
        <v>0</v>
      </c>
      <c r="AS901" s="10">
        <f t="shared" si="903"/>
        <v>0</v>
      </c>
      <c r="AT901" s="10">
        <f t="shared" si="903"/>
        <v>0</v>
      </c>
      <c r="AU901" s="10">
        <f t="shared" si="903"/>
        <v>0</v>
      </c>
      <c r="AV901" s="10">
        <f t="shared" si="903"/>
        <v>0</v>
      </c>
      <c r="AW901" s="10">
        <f t="shared" si="903"/>
        <v>0</v>
      </c>
      <c r="AX901" s="10">
        <f t="shared" si="903"/>
        <v>0</v>
      </c>
      <c r="AY901" s="10">
        <f t="shared" si="903"/>
        <v>0</v>
      </c>
      <c r="AZ901" s="10">
        <f t="shared" si="903"/>
        <v>0</v>
      </c>
      <c r="BA901" s="10">
        <f t="shared" si="903"/>
        <v>0</v>
      </c>
      <c r="BB901" s="10">
        <f t="shared" si="903"/>
        <v>0</v>
      </c>
      <c r="BC901" s="10">
        <f t="shared" si="903"/>
        <v>0</v>
      </c>
      <c r="BD901" s="10">
        <f t="shared" si="903"/>
        <v>0</v>
      </c>
      <c r="BE901" s="10">
        <f t="shared" si="903"/>
        <v>0</v>
      </c>
      <c r="BF901" s="10">
        <f t="shared" si="903"/>
        <v>0</v>
      </c>
      <c r="BG901" s="10">
        <f t="shared" si="903"/>
        <v>0</v>
      </c>
      <c r="BH901" s="10">
        <f t="shared" si="903"/>
        <v>0</v>
      </c>
      <c r="BI901" s="10">
        <f t="shared" si="903"/>
        <v>0</v>
      </c>
      <c r="BJ901" s="10">
        <f t="shared" si="903"/>
        <v>0</v>
      </c>
      <c r="BK901" s="10">
        <f t="shared" si="903"/>
        <v>0</v>
      </c>
      <c r="BL901" s="10">
        <f t="shared" si="903"/>
        <v>0</v>
      </c>
      <c r="BM901" s="10">
        <f t="shared" si="903"/>
        <v>0</v>
      </c>
      <c r="BN901" s="10">
        <f t="shared" si="903"/>
        <v>0</v>
      </c>
      <c r="BO901" s="10">
        <f t="shared" si="903"/>
        <v>0</v>
      </c>
      <c r="BP901" s="10">
        <f t="shared" si="903"/>
        <v>0</v>
      </c>
      <c r="BQ901" s="10">
        <f t="shared" si="903"/>
        <v>0</v>
      </c>
      <c r="BR901" s="10">
        <f t="shared" si="903"/>
        <v>0</v>
      </c>
      <c r="BS901" s="10">
        <f t="shared" si="903"/>
        <v>0</v>
      </c>
      <c r="BT901" s="10">
        <f t="shared" si="903"/>
        <v>0</v>
      </c>
      <c r="BU901" s="10">
        <f t="shared" si="903"/>
        <v>0</v>
      </c>
      <c r="BV901" s="10">
        <f t="shared" si="903"/>
        <v>0</v>
      </c>
      <c r="BX901" s="10">
        <f t="shared" si="887"/>
        <v>0</v>
      </c>
      <c r="BY901" s="10">
        <f t="shared" si="887"/>
        <v>0</v>
      </c>
      <c r="BZ901" s="10">
        <f t="shared" si="887"/>
        <v>0</v>
      </c>
      <c r="CA901" s="10">
        <f t="shared" si="887"/>
        <v>0</v>
      </c>
      <c r="CB901" s="10">
        <f t="shared" si="887"/>
        <v>0</v>
      </c>
      <c r="CC901" s="12">
        <f t="shared" ref="CC901:CI901" si="904">IF(AND(ISBLANK(CC$409),ISBLANK(CC$410)),CB901,CC$411)</f>
        <v>0</v>
      </c>
      <c r="CD901" s="12">
        <f t="shared" si="904"/>
        <v>0</v>
      </c>
      <c r="CE901" s="12">
        <f t="shared" si="904"/>
        <v>0</v>
      </c>
      <c r="CF901" s="12">
        <f t="shared" si="904"/>
        <v>0</v>
      </c>
      <c r="CG901" s="12">
        <f t="shared" si="904"/>
        <v>0</v>
      </c>
      <c r="CH901" s="12">
        <f t="shared" si="904"/>
        <v>0</v>
      </c>
      <c r="CI901" s="12">
        <f t="shared" si="904"/>
        <v>0</v>
      </c>
      <c r="CK901" s="11"/>
      <c r="CM901" s="11"/>
      <c r="CV901" s="120"/>
      <c r="DF901" s="11"/>
      <c r="EY901" s="12" t="str">
        <f t="shared" ca="1" si="867"/>
        <v>Interest Payable Closing Balance Loan 19</v>
      </c>
    </row>
    <row r="902" spans="1:155" x14ac:dyDescent="0.35">
      <c r="B902" s="69" t="str" cm="1">
        <f t="array" aca="1" ref="B902" ca="1">HYPERLINK(CONCATENATE("#",CELL("address",$D$417)),$D$417)</f>
        <v>Loan 20</v>
      </c>
      <c r="C902" s="211" t="s">
        <v>1309</v>
      </c>
      <c r="D902" s="49">
        <f>D$32</f>
        <v>0</v>
      </c>
      <c r="E902" s="49" t="str">
        <f>F$32</f>
        <v/>
      </c>
      <c r="F902" s="49"/>
      <c r="G902" s="10">
        <f>Q$32</f>
        <v>0</v>
      </c>
      <c r="H902" s="9"/>
      <c r="I902" s="40" t="s">
        <v>1079</v>
      </c>
      <c r="V902" s="133">
        <f t="shared" si="863"/>
        <v>0</v>
      </c>
      <c r="W902" s="10">
        <f t="shared" si="863"/>
        <v>0</v>
      </c>
      <c r="X902" s="10">
        <f t="shared" si="863"/>
        <v>0</v>
      </c>
      <c r="Y902" s="10">
        <f t="shared" si="863"/>
        <v>0</v>
      </c>
      <c r="AA902" s="10">
        <f t="shared" ref="AA902:BV902" si="905">IF($G902=1, AA829, AA620)</f>
        <v>0</v>
      </c>
      <c r="AB902" s="10">
        <f t="shared" si="905"/>
        <v>0</v>
      </c>
      <c r="AC902" s="10">
        <f t="shared" si="905"/>
        <v>0</v>
      </c>
      <c r="AD902" s="10">
        <f t="shared" si="905"/>
        <v>0</v>
      </c>
      <c r="AE902" s="10">
        <f t="shared" si="905"/>
        <v>0</v>
      </c>
      <c r="AF902" s="10">
        <f t="shared" si="905"/>
        <v>0</v>
      </c>
      <c r="AG902" s="10">
        <f t="shared" si="905"/>
        <v>0</v>
      </c>
      <c r="AH902" s="10">
        <f t="shared" si="905"/>
        <v>0</v>
      </c>
      <c r="AI902" s="10">
        <f t="shared" si="905"/>
        <v>0</v>
      </c>
      <c r="AJ902" s="10">
        <f t="shared" si="905"/>
        <v>0</v>
      </c>
      <c r="AK902" s="10">
        <f t="shared" si="905"/>
        <v>0</v>
      </c>
      <c r="AL902" s="10">
        <f t="shared" si="905"/>
        <v>0</v>
      </c>
      <c r="AM902" s="10">
        <f t="shared" si="905"/>
        <v>0</v>
      </c>
      <c r="AN902" s="10">
        <f t="shared" si="905"/>
        <v>0</v>
      </c>
      <c r="AO902" s="10">
        <f t="shared" si="905"/>
        <v>0</v>
      </c>
      <c r="AP902" s="10">
        <f t="shared" si="905"/>
        <v>0</v>
      </c>
      <c r="AQ902" s="10">
        <f t="shared" si="905"/>
        <v>0</v>
      </c>
      <c r="AR902" s="10">
        <f t="shared" si="905"/>
        <v>0</v>
      </c>
      <c r="AS902" s="10">
        <f t="shared" si="905"/>
        <v>0</v>
      </c>
      <c r="AT902" s="10">
        <f t="shared" si="905"/>
        <v>0</v>
      </c>
      <c r="AU902" s="10">
        <f t="shared" si="905"/>
        <v>0</v>
      </c>
      <c r="AV902" s="10">
        <f t="shared" si="905"/>
        <v>0</v>
      </c>
      <c r="AW902" s="10">
        <f t="shared" si="905"/>
        <v>0</v>
      </c>
      <c r="AX902" s="10">
        <f t="shared" si="905"/>
        <v>0</v>
      </c>
      <c r="AY902" s="10">
        <f t="shared" si="905"/>
        <v>0</v>
      </c>
      <c r="AZ902" s="10">
        <f t="shared" si="905"/>
        <v>0</v>
      </c>
      <c r="BA902" s="10">
        <f t="shared" si="905"/>
        <v>0</v>
      </c>
      <c r="BB902" s="10">
        <f t="shared" si="905"/>
        <v>0</v>
      </c>
      <c r="BC902" s="10">
        <f t="shared" si="905"/>
        <v>0</v>
      </c>
      <c r="BD902" s="10">
        <f t="shared" si="905"/>
        <v>0</v>
      </c>
      <c r="BE902" s="10">
        <f t="shared" si="905"/>
        <v>0</v>
      </c>
      <c r="BF902" s="10">
        <f t="shared" si="905"/>
        <v>0</v>
      </c>
      <c r="BG902" s="10">
        <f t="shared" si="905"/>
        <v>0</v>
      </c>
      <c r="BH902" s="10">
        <f t="shared" si="905"/>
        <v>0</v>
      </c>
      <c r="BI902" s="10">
        <f t="shared" si="905"/>
        <v>0</v>
      </c>
      <c r="BJ902" s="10">
        <f t="shared" si="905"/>
        <v>0</v>
      </c>
      <c r="BK902" s="10">
        <f t="shared" si="905"/>
        <v>0</v>
      </c>
      <c r="BL902" s="10">
        <f t="shared" si="905"/>
        <v>0</v>
      </c>
      <c r="BM902" s="10">
        <f t="shared" si="905"/>
        <v>0</v>
      </c>
      <c r="BN902" s="10">
        <f t="shared" si="905"/>
        <v>0</v>
      </c>
      <c r="BO902" s="10">
        <f t="shared" si="905"/>
        <v>0</v>
      </c>
      <c r="BP902" s="10">
        <f t="shared" si="905"/>
        <v>0</v>
      </c>
      <c r="BQ902" s="10">
        <f t="shared" si="905"/>
        <v>0</v>
      </c>
      <c r="BR902" s="10">
        <f t="shared" si="905"/>
        <v>0</v>
      </c>
      <c r="BS902" s="10">
        <f t="shared" si="905"/>
        <v>0</v>
      </c>
      <c r="BT902" s="10">
        <f t="shared" si="905"/>
        <v>0</v>
      </c>
      <c r="BU902" s="10">
        <f t="shared" si="905"/>
        <v>0</v>
      </c>
      <c r="BV902" s="10">
        <f t="shared" si="905"/>
        <v>0</v>
      </c>
      <c r="BX902" s="10">
        <f t="shared" si="887"/>
        <v>0</v>
      </c>
      <c r="BY902" s="10">
        <f t="shared" si="887"/>
        <v>0</v>
      </c>
      <c r="BZ902" s="10">
        <f t="shared" si="887"/>
        <v>0</v>
      </c>
      <c r="CA902" s="10">
        <f t="shared" si="887"/>
        <v>0</v>
      </c>
      <c r="CB902" s="10">
        <f t="shared" si="887"/>
        <v>0</v>
      </c>
      <c r="CC902" s="12">
        <f t="shared" ref="CC902:CI902" si="906">IF(AND(ISBLANK(CC$428),ISBLANK(CC$429)),CB902,CC$430)</f>
        <v>0</v>
      </c>
      <c r="CD902" s="12">
        <f t="shared" si="906"/>
        <v>0</v>
      </c>
      <c r="CE902" s="12">
        <f t="shared" si="906"/>
        <v>0</v>
      </c>
      <c r="CF902" s="12">
        <f t="shared" si="906"/>
        <v>0</v>
      </c>
      <c r="CG902" s="12">
        <f t="shared" si="906"/>
        <v>0</v>
      </c>
      <c r="CH902" s="12">
        <f t="shared" si="906"/>
        <v>0</v>
      </c>
      <c r="CI902" s="12">
        <f t="shared" si="906"/>
        <v>0</v>
      </c>
      <c r="CK902" s="11"/>
      <c r="CM902" s="11"/>
      <c r="CV902" s="120"/>
      <c r="DF902" s="11"/>
      <c r="EY902" s="12" t="str">
        <f t="shared" ca="1" si="867"/>
        <v>Interest Payable Closing Balance Loan 20</v>
      </c>
    </row>
    <row r="903" spans="1:155" ht="6.75" customHeight="1" x14ac:dyDescent="0.35">
      <c r="C903" s="211"/>
      <c r="D903" s="1"/>
      <c r="E903"/>
      <c r="F903"/>
      <c r="BY903" s="6"/>
      <c r="CK903" s="35"/>
      <c r="CM903" s="35"/>
      <c r="DF903" s="35"/>
      <c r="EY903" s="10" t="str">
        <f t="shared" ref="EY903:EY934" si="907">IF($C903="","",$D903)</f>
        <v/>
      </c>
    </row>
    <row r="904" spans="1:155" x14ac:dyDescent="0.35">
      <c r="A904" s="34"/>
      <c r="B904" s="34"/>
      <c r="C904" s="238"/>
      <c r="D904" s="34" t="s">
        <v>1310</v>
      </c>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11"/>
      <c r="CM904" s="11"/>
      <c r="DF904" s="11"/>
      <c r="EY904" s="10" t="str">
        <f t="shared" si="907"/>
        <v/>
      </c>
    </row>
    <row r="905" spans="1:155" ht="6.75" customHeight="1" x14ac:dyDescent="0.35">
      <c r="C905" s="211"/>
      <c r="D905" s="1"/>
      <c r="E905"/>
      <c r="F905"/>
      <c r="BY905" s="6"/>
      <c r="CK905" s="35"/>
      <c r="CM905" s="35"/>
      <c r="DF905" s="35"/>
      <c r="EY905" s="10" t="str">
        <f t="shared" si="907"/>
        <v/>
      </c>
    </row>
    <row r="906" spans="1:155" x14ac:dyDescent="0.35">
      <c r="C906" s="211"/>
      <c r="D906" s="50" t="s">
        <v>1311</v>
      </c>
      <c r="E906"/>
      <c r="F906"/>
      <c r="CK906" s="11"/>
      <c r="CM906" s="11"/>
      <c r="DF906" s="11"/>
      <c r="EY906" s="10" t="str">
        <f t="shared" si="907"/>
        <v/>
      </c>
    </row>
    <row r="907" spans="1:155" x14ac:dyDescent="0.35">
      <c r="B907" s="107" t="s">
        <v>1229</v>
      </c>
      <c r="C907" s="211"/>
      <c r="D907" s="5" t="str">
        <f>D$11</f>
        <v>Lender</v>
      </c>
      <c r="E907" s="5" t="str">
        <f>E$11</f>
        <v>Loan Category</v>
      </c>
      <c r="F907" s="5"/>
      <c r="AA907" s="126" t="s">
        <v>122</v>
      </c>
      <c r="CK907" s="11"/>
      <c r="CM907" s="11"/>
      <c r="DF907" s="11"/>
      <c r="EY907" s="10" t="str">
        <f t="shared" si="907"/>
        <v/>
      </c>
    </row>
    <row r="908" spans="1:155" x14ac:dyDescent="0.35">
      <c r="B908" s="69" t="str" cm="1">
        <f t="array" aca="1" ref="B908" ca="1">HYPERLINK(CONCATENATE("#",CELL("address",$D$56)),$D$56)</f>
        <v>Loan 1</v>
      </c>
      <c r="C908" s="211"/>
      <c r="D908" s="49">
        <f>D$13</f>
        <v>0</v>
      </c>
      <c r="E908" s="49" t="str">
        <f>F$13</f>
        <v/>
      </c>
      <c r="F908" s="49"/>
      <c r="H908" s="9"/>
      <c r="I908" s="40" t="s">
        <v>665</v>
      </c>
      <c r="J908" s="54"/>
      <c r="V908" s="106"/>
      <c r="W908" s="133">
        <f t="shared" ref="W908:Y927" ca="1" si="908">INDEX($AA908:$BV908, MATCH(W$5, $AA$5:$BV$5, 0))</f>
        <v>0</v>
      </c>
      <c r="X908" s="133">
        <f t="shared" ca="1" si="908"/>
        <v>0</v>
      </c>
      <c r="Y908" s="133">
        <f t="shared" ca="1" si="908"/>
        <v>0</v>
      </c>
      <c r="AA908" s="133">
        <f ca="1">IF($E908=Parameters!$D$69, AA1000, MIN(AA1000,-SUM(OFFSET(AA977, 0, MIN(12, COUNTA(AB$3:$BV$3)), , -MIN(12, COUNTA(AB$3:$BV$3))))))</f>
        <v>0</v>
      </c>
      <c r="AB908" s="133">
        <f ca="1">IF($E908=Parameters!$D$69, AB1000, MIN(AB1000,-SUM(OFFSET(AB977, 0, MIN(12, COUNTA(AC$3:$BV$3)), , -MIN(12, COUNTA(AC$3:$BV$3))))))</f>
        <v>0</v>
      </c>
      <c r="AC908" s="133">
        <f ca="1">IF($E908=Parameters!$D$69, AC1000, MIN(AC1000,-SUM(OFFSET(AC977, 0, MIN(12, COUNTA(AD$3:$BV$3)), , -MIN(12, COUNTA(AD$3:$BV$3))))))</f>
        <v>0</v>
      </c>
      <c r="AD908" s="133">
        <f ca="1">IF($E908=Parameters!$D$69, AD1000, MIN(AD1000,-SUM(OFFSET(AD977, 0, MIN(12, COUNTA(AE$3:$BV$3)), , -MIN(12, COUNTA(AE$3:$BV$3))))))</f>
        <v>0</v>
      </c>
      <c r="AE908" s="133">
        <f ca="1">IF($E908=Parameters!$D$69, AE1000, MIN(AE1000,-SUM(OFFSET(AE977, 0, MIN(12, COUNTA(AF$3:$BV$3)), , -MIN(12, COUNTA(AF$3:$BV$3))))))</f>
        <v>0</v>
      </c>
      <c r="AF908" s="133">
        <f ca="1">IF($E908=Parameters!$D$69, AF1000, MIN(AF1000,-SUM(OFFSET(AF977, 0, MIN(12, COUNTA(AG$3:$BV$3)), , -MIN(12, COUNTA(AG$3:$BV$3))))))</f>
        <v>0</v>
      </c>
      <c r="AG908" s="133">
        <f ca="1">IF($E908=Parameters!$D$69, AG1000, MIN(AG1000,-SUM(OFFSET(AG977, 0, MIN(12, COUNTA(AH$3:$BV$3)), , -MIN(12, COUNTA(AH$3:$BV$3))))))</f>
        <v>0</v>
      </c>
      <c r="AH908" s="133">
        <f ca="1">IF($E908=Parameters!$D$69, AH1000, MIN(AH1000,-SUM(OFFSET(AH977, 0, MIN(12, COUNTA(AI$3:$BV$3)), , -MIN(12, COUNTA(AI$3:$BV$3))))))</f>
        <v>0</v>
      </c>
      <c r="AI908" s="133">
        <f ca="1">IF($E908=Parameters!$D$69, AI1000, MIN(AI1000,-SUM(OFFSET(AI977, 0, MIN(12, COUNTA(AJ$3:$BV$3)), , -MIN(12, COUNTA(AJ$3:$BV$3))))))</f>
        <v>0</v>
      </c>
      <c r="AJ908" s="133">
        <f ca="1">IF($E908=Parameters!$D$69, AJ1000, MIN(AJ1000,-SUM(OFFSET(AJ977, 0, MIN(12, COUNTA(AK$3:$BV$3)), , -MIN(12, COUNTA(AK$3:$BV$3))))))</f>
        <v>0</v>
      </c>
      <c r="AK908" s="133">
        <f ca="1">IF($E908=Parameters!$D$69, AK1000, MIN(AK1000,-SUM(OFFSET(AK977, 0, MIN(12, COUNTA(AL$3:$BV$3)), , -MIN(12, COUNTA(AL$3:$BV$3))))))</f>
        <v>0</v>
      </c>
      <c r="AL908" s="133">
        <f ca="1">IF($E908=Parameters!$D$69, AL1000, MIN(AL1000,-SUM(OFFSET(AL977, 0, MIN(12, COUNTA(AM$3:$BV$3)), , -MIN(12, COUNTA(AM$3:$BV$3))))))</f>
        <v>0</v>
      </c>
      <c r="AM908" s="133">
        <f ca="1">IF($E908=Parameters!$D$69, AM1000, MIN(AM1000,-SUM(OFFSET(AM977, 0, MIN(12, COUNTA(AN$3:$BV$3)), , -MIN(12, COUNTA(AN$3:$BV$3))))))</f>
        <v>0</v>
      </c>
      <c r="AN908" s="133">
        <f ca="1">IF($E908=Parameters!$D$69, AN1000, MIN(AN1000,-SUM(OFFSET(AN977, 0, MIN(12, COUNTA(AO$3:$BV$3)), , -MIN(12, COUNTA(AO$3:$BV$3))))))</f>
        <v>0</v>
      </c>
      <c r="AO908" s="133">
        <f ca="1">IF($E908=Parameters!$D$69, AO1000, MIN(AO1000,-SUM(OFFSET(AO977, 0, MIN(12, COUNTA(AP$3:$BV$3)), , -MIN(12, COUNTA(AP$3:$BV$3))))))</f>
        <v>0</v>
      </c>
      <c r="AP908" s="133">
        <f ca="1">IF($E908=Parameters!$D$69, AP1000, MIN(AP1000,-SUM(OFFSET(AP977, 0, MIN(12, COUNTA(AQ$3:$BV$3)), , -MIN(12, COUNTA(AQ$3:$BV$3))))))</f>
        <v>0</v>
      </c>
      <c r="AQ908" s="133">
        <f ca="1">IF($E908=Parameters!$D$69, AQ1000, MIN(AQ1000,-SUM(OFFSET(AQ977, 0, MIN(12, COUNTA(AR$3:$BV$3)), , -MIN(12, COUNTA(AR$3:$BV$3))))))</f>
        <v>0</v>
      </c>
      <c r="AR908" s="133">
        <f ca="1">IF($E908=Parameters!$D$69, AR1000, MIN(AR1000,-SUM(OFFSET(AR977, 0, MIN(12, COUNTA(AS$3:$BV$3)), , -MIN(12, COUNTA(AS$3:$BV$3))))))</f>
        <v>0</v>
      </c>
      <c r="AS908" s="133">
        <f ca="1">IF($E908=Parameters!$D$69, AS1000, MIN(AS1000,-SUM(OFFSET(AS977, 0, MIN(12, COUNTA(AT$3:$BV$3)), , -MIN(12, COUNTA(AT$3:$BV$3))))))</f>
        <v>0</v>
      </c>
      <c r="AT908" s="133">
        <f ca="1">IF($E908=Parameters!$D$69, AT1000, MIN(AT1000,-SUM(OFFSET(AT977, 0, MIN(12, COUNTA(AU$3:$BV$3)), , -MIN(12, COUNTA(AU$3:$BV$3))))))</f>
        <v>0</v>
      </c>
      <c r="AU908" s="133">
        <f ca="1">IF($E908=Parameters!$D$69, AU1000, MIN(AU1000,-SUM(OFFSET(AU977, 0, MIN(12, COUNTA(AV$3:$BV$3)), , -MIN(12, COUNTA(AV$3:$BV$3))))))</f>
        <v>0</v>
      </c>
      <c r="AV908" s="133">
        <f ca="1">IF($E908=Parameters!$D$69, AV1000, MIN(AV1000,-SUM(OFFSET(AV977, 0, MIN(12, COUNTA(AW$3:$BV$3)), , -MIN(12, COUNTA(AW$3:$BV$3))))))</f>
        <v>0</v>
      </c>
      <c r="AW908" s="133">
        <f ca="1">IF($E908=Parameters!$D$69, AW1000, MIN(AW1000,-SUM(OFFSET(AW977, 0, MIN(12, COUNTA(AX$3:$BV$3)), , -MIN(12, COUNTA(AX$3:$BV$3))))))</f>
        <v>0</v>
      </c>
      <c r="AX908" s="133">
        <f ca="1">IF($E908=Parameters!$D$69, AX1000, MIN(AX1000,-SUM(OFFSET(AX977, 0, MIN(12, COUNTA(AY$3:$BV$3)), , -MIN(12, COUNTA(AY$3:$BV$3))))))</f>
        <v>0</v>
      </c>
      <c r="AY908" s="133">
        <f ca="1">IF($E908=Parameters!$D$69, AY1000, MIN(AY1000,-SUM(OFFSET(AY977, 0, MIN(12, COUNTA(AZ$3:$BV$3)), , -MIN(12, COUNTA(AZ$3:$BV$3))))))</f>
        <v>0</v>
      </c>
      <c r="AZ908" s="133">
        <f ca="1">IF($E908=Parameters!$D$69, AZ1000, MIN(AZ1000,-SUM(OFFSET(AZ977, 0, MIN(12, COUNTA(BA$3:$BV$3)), , -MIN(12, COUNTA(BA$3:$BV$3))))))</f>
        <v>0</v>
      </c>
      <c r="BA908" s="133">
        <f ca="1">IF($E908=Parameters!$D$69, BA1000, MIN(BA1000,-SUM(OFFSET(BA977, 0, MIN(12, COUNTA(BB$3:$BV$3)), , -MIN(12, COUNTA(BB$3:$BV$3))))))</f>
        <v>0</v>
      </c>
      <c r="BB908" s="133">
        <f ca="1">IF($E908=Parameters!$D$69, BB1000, MIN(BB1000,-SUM(OFFSET(BB977, 0, MIN(12, COUNTA(BC$3:$BV$3)), , -MIN(12, COUNTA(BC$3:$BV$3))))))</f>
        <v>0</v>
      </c>
      <c r="BC908" s="133">
        <f ca="1">IF($E908=Parameters!$D$69, BC1000, MIN(BC1000,-SUM(OFFSET(BC977, 0, MIN(12, COUNTA(BD$3:$BV$3)), , -MIN(12, COUNTA(BD$3:$BV$3))))))</f>
        <v>0</v>
      </c>
      <c r="BD908" s="133">
        <f ca="1">IF($E908=Parameters!$D$69, BD1000, MIN(BD1000,-SUM(OFFSET(BD977, 0, MIN(12, COUNTA(BE$3:$BV$3)), , -MIN(12, COUNTA(BE$3:$BV$3))))))</f>
        <v>0</v>
      </c>
      <c r="BE908" s="133">
        <f ca="1">IF($E908=Parameters!$D$69, BE1000, MIN(BE1000,-SUM(OFFSET(BE977, 0, MIN(12, COUNTA(BF$3:$BV$3)), , -MIN(12, COUNTA(BF$3:$BV$3))))))</f>
        <v>0</v>
      </c>
      <c r="BF908" s="133">
        <f ca="1">IF($E908=Parameters!$D$69, BF1000, MIN(BF1000,-SUM(OFFSET(BF977, 0, MIN(12, COUNTA(BG$3:$BV$3)), , -MIN(12, COUNTA(BG$3:$BV$3))))))</f>
        <v>0</v>
      </c>
      <c r="BG908" s="133">
        <f ca="1">IF($E908=Parameters!$D$69, BG1000, MIN(BG1000,-SUM(OFFSET(BG977, 0, MIN(12, COUNTA(BH$3:$BV$3)), , -MIN(12, COUNTA(BH$3:$BV$3))))))</f>
        <v>0</v>
      </c>
      <c r="BH908" s="133">
        <f ca="1">IF($E908=Parameters!$D$69, BH1000, MIN(BH1000,-SUM(OFFSET(BH977, 0, MIN(12, COUNTA(BI$3:$BV$3)), , -MIN(12, COUNTA(BI$3:$BV$3))))))</f>
        <v>0</v>
      </c>
      <c r="BI908" s="133">
        <f ca="1">IF($E908=Parameters!$D$69, BI1000, MIN(BI1000,-SUM(OFFSET(BI977, 0, MIN(12, COUNTA(BJ$3:$BV$3)), , -MIN(12, COUNTA(BJ$3:$BV$3))))))</f>
        <v>0</v>
      </c>
      <c r="BJ908" s="133">
        <f ca="1">IF($E908=Parameters!$D$69, BJ1000, MIN(BJ1000,-SUM(OFFSET(BJ977, 0, MIN(12, COUNTA(BK$3:$BV$3)), , -MIN(12, COUNTA(BK$3:$BV$3))))))</f>
        <v>0</v>
      </c>
      <c r="BK908" s="106"/>
      <c r="BL908" s="106"/>
      <c r="BM908" s="106"/>
      <c r="BN908" s="106"/>
      <c r="BO908" s="106"/>
      <c r="BP908" s="106"/>
      <c r="BQ908" s="106"/>
      <c r="BR908" s="106"/>
      <c r="BS908" s="106"/>
      <c r="BT908" s="106"/>
      <c r="BU908" s="106"/>
      <c r="BV908" s="106"/>
      <c r="BX908" s="106"/>
      <c r="BY908" s="12">
        <f t="shared" ref="BY908:BY927" ca="1" si="909">W908</f>
        <v>0</v>
      </c>
      <c r="BZ908" s="12">
        <f t="shared" ref="BZ908:BZ927" ca="1" si="910">X908</f>
        <v>0</v>
      </c>
      <c r="CA908" s="12">
        <f t="shared" ref="CA908:CA927" ca="1" si="911">Y908</f>
        <v>0</v>
      </c>
      <c r="CB908" s="106"/>
      <c r="CC908" s="106"/>
      <c r="CD908" s="106"/>
      <c r="CE908" s="106"/>
      <c r="CF908" s="106"/>
      <c r="CG908" s="106"/>
      <c r="CH908" s="106"/>
      <c r="CI908" s="106"/>
      <c r="CK908" s="11"/>
      <c r="CM908" s="11"/>
      <c r="DF908" s="11"/>
      <c r="EY908" s="10" t="str">
        <f t="shared" si="907"/>
        <v/>
      </c>
    </row>
    <row r="909" spans="1:155" x14ac:dyDescent="0.35">
      <c r="B909" s="69" t="str" cm="1">
        <f t="array" aca="1" ref="B909" ca="1">HYPERLINK(CONCATENATE("#",CELL("address",$D$75)),$D$75)</f>
        <v>Loan 2</v>
      </c>
      <c r="C909" s="211"/>
      <c r="D909" s="49">
        <f>D$14</f>
        <v>0</v>
      </c>
      <c r="E909" s="49" t="str">
        <f>F$14</f>
        <v/>
      </c>
      <c r="F909" s="49"/>
      <c r="H909" s="9"/>
      <c r="I909" s="40" t="s">
        <v>665</v>
      </c>
      <c r="V909" s="106"/>
      <c r="W909" s="133">
        <f t="shared" ca="1" si="908"/>
        <v>0</v>
      </c>
      <c r="X909" s="133">
        <f t="shared" ca="1" si="908"/>
        <v>0</v>
      </c>
      <c r="Y909" s="133">
        <f t="shared" ca="1" si="908"/>
        <v>0</v>
      </c>
      <c r="AA909" s="133">
        <f ca="1">IF($E909=Parameters!$D$69, AA1001, MIN(AA1001,-SUM(OFFSET(AA978, 0, MIN(12, COUNTA(AB$3:$BV$3)), , -MIN(12, COUNTA(AB$3:$BV$3))))))</f>
        <v>0</v>
      </c>
      <c r="AB909" s="133">
        <f ca="1">IF($E909=Parameters!$D$69, AB1001, MIN(AB1001,-SUM(OFFSET(AB978, 0, MIN(12, COUNTA(AC$3:$BV$3)), , -MIN(12, COUNTA(AC$3:$BV$3))))))</f>
        <v>0</v>
      </c>
      <c r="AC909" s="133">
        <f ca="1">IF($E909=Parameters!$D$69, AC1001, MIN(AC1001,-SUM(OFFSET(AC978, 0, MIN(12, COUNTA(AD$3:$BV$3)), , -MIN(12, COUNTA(AD$3:$BV$3))))))</f>
        <v>0</v>
      </c>
      <c r="AD909" s="133">
        <f ca="1">IF($E909=Parameters!$D$69, AD1001, MIN(AD1001,-SUM(OFFSET(AD978, 0, MIN(12, COUNTA(AE$3:$BV$3)), , -MIN(12, COUNTA(AE$3:$BV$3))))))</f>
        <v>0</v>
      </c>
      <c r="AE909" s="133">
        <f ca="1">IF($E909=Parameters!$D$69, AE1001, MIN(AE1001,-SUM(OFFSET(AE978, 0, MIN(12, COUNTA(AF$3:$BV$3)), , -MIN(12, COUNTA(AF$3:$BV$3))))))</f>
        <v>0</v>
      </c>
      <c r="AF909" s="133">
        <f ca="1">IF($E909=Parameters!$D$69, AF1001, MIN(AF1001,-SUM(OFFSET(AF978, 0, MIN(12, COUNTA(AG$3:$BV$3)), , -MIN(12, COUNTA(AG$3:$BV$3))))))</f>
        <v>0</v>
      </c>
      <c r="AG909" s="133">
        <f ca="1">IF($E909=Parameters!$D$69, AG1001, MIN(AG1001,-SUM(OFFSET(AG978, 0, MIN(12, COUNTA(AH$3:$BV$3)), , -MIN(12, COUNTA(AH$3:$BV$3))))))</f>
        <v>0</v>
      </c>
      <c r="AH909" s="133">
        <f ca="1">IF($E909=Parameters!$D$69, AH1001, MIN(AH1001,-SUM(OFFSET(AH978, 0, MIN(12, COUNTA(AI$3:$BV$3)), , -MIN(12, COUNTA(AI$3:$BV$3))))))</f>
        <v>0</v>
      </c>
      <c r="AI909" s="133">
        <f ca="1">IF($E909=Parameters!$D$69, AI1001, MIN(AI1001,-SUM(OFFSET(AI978, 0, MIN(12, COUNTA(AJ$3:$BV$3)), , -MIN(12, COUNTA(AJ$3:$BV$3))))))</f>
        <v>0</v>
      </c>
      <c r="AJ909" s="133">
        <f ca="1">IF($E909=Parameters!$D$69, AJ1001, MIN(AJ1001,-SUM(OFFSET(AJ978, 0, MIN(12, COUNTA(AK$3:$BV$3)), , -MIN(12, COUNTA(AK$3:$BV$3))))))</f>
        <v>0</v>
      </c>
      <c r="AK909" s="133">
        <f ca="1">IF($E909=Parameters!$D$69, AK1001, MIN(AK1001,-SUM(OFFSET(AK978, 0, MIN(12, COUNTA(AL$3:$BV$3)), , -MIN(12, COUNTA(AL$3:$BV$3))))))</f>
        <v>0</v>
      </c>
      <c r="AL909" s="133">
        <f ca="1">IF($E909=Parameters!$D$69, AL1001, MIN(AL1001,-SUM(OFFSET(AL978, 0, MIN(12, COUNTA(AM$3:$BV$3)), , -MIN(12, COUNTA(AM$3:$BV$3))))))</f>
        <v>0</v>
      </c>
      <c r="AM909" s="133">
        <f ca="1">IF($E909=Parameters!$D$69, AM1001, MIN(AM1001,-SUM(OFFSET(AM978, 0, MIN(12, COUNTA(AN$3:$BV$3)), , -MIN(12, COUNTA(AN$3:$BV$3))))))</f>
        <v>0</v>
      </c>
      <c r="AN909" s="133">
        <f ca="1">IF($E909=Parameters!$D$69, AN1001, MIN(AN1001,-SUM(OFFSET(AN978, 0, MIN(12, COUNTA(AO$3:$BV$3)), , -MIN(12, COUNTA(AO$3:$BV$3))))))</f>
        <v>0</v>
      </c>
      <c r="AO909" s="133">
        <f ca="1">IF($E909=Parameters!$D$69, AO1001, MIN(AO1001,-SUM(OFFSET(AO978, 0, MIN(12, COUNTA(AP$3:$BV$3)), , -MIN(12, COUNTA(AP$3:$BV$3))))))</f>
        <v>0</v>
      </c>
      <c r="AP909" s="133">
        <f ca="1">IF($E909=Parameters!$D$69, AP1001, MIN(AP1001,-SUM(OFFSET(AP978, 0, MIN(12, COUNTA(AQ$3:$BV$3)), , -MIN(12, COUNTA(AQ$3:$BV$3))))))</f>
        <v>0</v>
      </c>
      <c r="AQ909" s="133">
        <f ca="1">IF($E909=Parameters!$D$69, AQ1001, MIN(AQ1001,-SUM(OFFSET(AQ978, 0, MIN(12, COUNTA(AR$3:$BV$3)), , -MIN(12, COUNTA(AR$3:$BV$3))))))</f>
        <v>0</v>
      </c>
      <c r="AR909" s="133">
        <f ca="1">IF($E909=Parameters!$D$69, AR1001, MIN(AR1001,-SUM(OFFSET(AR978, 0, MIN(12, COUNTA(AS$3:$BV$3)), , -MIN(12, COUNTA(AS$3:$BV$3))))))</f>
        <v>0</v>
      </c>
      <c r="AS909" s="133">
        <f ca="1">IF($E909=Parameters!$D$69, AS1001, MIN(AS1001,-SUM(OFFSET(AS978, 0, MIN(12, COUNTA(AT$3:$BV$3)), , -MIN(12, COUNTA(AT$3:$BV$3))))))</f>
        <v>0</v>
      </c>
      <c r="AT909" s="133">
        <f ca="1">IF($E909=Parameters!$D$69, AT1001, MIN(AT1001,-SUM(OFFSET(AT978, 0, MIN(12, COUNTA(AU$3:$BV$3)), , -MIN(12, COUNTA(AU$3:$BV$3))))))</f>
        <v>0</v>
      </c>
      <c r="AU909" s="133">
        <f ca="1">IF($E909=Parameters!$D$69, AU1001, MIN(AU1001,-SUM(OFFSET(AU978, 0, MIN(12, COUNTA(AV$3:$BV$3)), , -MIN(12, COUNTA(AV$3:$BV$3))))))</f>
        <v>0</v>
      </c>
      <c r="AV909" s="133">
        <f ca="1">IF($E909=Parameters!$D$69, AV1001, MIN(AV1001,-SUM(OFFSET(AV978, 0, MIN(12, COUNTA(AW$3:$BV$3)), , -MIN(12, COUNTA(AW$3:$BV$3))))))</f>
        <v>0</v>
      </c>
      <c r="AW909" s="133">
        <f ca="1">IF($E909=Parameters!$D$69, AW1001, MIN(AW1001,-SUM(OFFSET(AW978, 0, MIN(12, COUNTA(AX$3:$BV$3)), , -MIN(12, COUNTA(AX$3:$BV$3))))))</f>
        <v>0</v>
      </c>
      <c r="AX909" s="133">
        <f ca="1">IF($E909=Parameters!$D$69, AX1001, MIN(AX1001,-SUM(OFFSET(AX978, 0, MIN(12, COUNTA(AY$3:$BV$3)), , -MIN(12, COUNTA(AY$3:$BV$3))))))</f>
        <v>0</v>
      </c>
      <c r="AY909" s="133">
        <f ca="1">IF($E909=Parameters!$D$69, AY1001, MIN(AY1001,-SUM(OFFSET(AY978, 0, MIN(12, COUNTA(AZ$3:$BV$3)), , -MIN(12, COUNTA(AZ$3:$BV$3))))))</f>
        <v>0</v>
      </c>
      <c r="AZ909" s="133">
        <f ca="1">IF($E909=Parameters!$D$69, AZ1001, MIN(AZ1001,-SUM(OFFSET(AZ978, 0, MIN(12, COUNTA(BA$3:$BV$3)), , -MIN(12, COUNTA(BA$3:$BV$3))))))</f>
        <v>0</v>
      </c>
      <c r="BA909" s="133">
        <f ca="1">IF($E909=Parameters!$D$69, BA1001, MIN(BA1001,-SUM(OFFSET(BA978, 0, MIN(12, COUNTA(BB$3:$BV$3)), , -MIN(12, COUNTA(BB$3:$BV$3))))))</f>
        <v>0</v>
      </c>
      <c r="BB909" s="133">
        <f ca="1">IF($E909=Parameters!$D$69, BB1001, MIN(BB1001,-SUM(OFFSET(BB978, 0, MIN(12, COUNTA(BC$3:$BV$3)), , -MIN(12, COUNTA(BC$3:$BV$3))))))</f>
        <v>0</v>
      </c>
      <c r="BC909" s="133">
        <f ca="1">IF($E909=Parameters!$D$69, BC1001, MIN(BC1001,-SUM(OFFSET(BC978, 0, MIN(12, COUNTA(BD$3:$BV$3)), , -MIN(12, COUNTA(BD$3:$BV$3))))))</f>
        <v>0</v>
      </c>
      <c r="BD909" s="133">
        <f ca="1">IF($E909=Parameters!$D$69, BD1001, MIN(BD1001,-SUM(OFFSET(BD978, 0, MIN(12, COUNTA(BE$3:$BV$3)), , -MIN(12, COUNTA(BE$3:$BV$3))))))</f>
        <v>0</v>
      </c>
      <c r="BE909" s="133">
        <f ca="1">IF($E909=Parameters!$D$69, BE1001, MIN(BE1001,-SUM(OFFSET(BE978, 0, MIN(12, COUNTA(BF$3:$BV$3)), , -MIN(12, COUNTA(BF$3:$BV$3))))))</f>
        <v>0</v>
      </c>
      <c r="BF909" s="133">
        <f ca="1">IF($E909=Parameters!$D$69, BF1001, MIN(BF1001,-SUM(OFFSET(BF978, 0, MIN(12, COUNTA(BG$3:$BV$3)), , -MIN(12, COUNTA(BG$3:$BV$3))))))</f>
        <v>0</v>
      </c>
      <c r="BG909" s="133">
        <f ca="1">IF($E909=Parameters!$D$69, BG1001, MIN(BG1001,-SUM(OFFSET(BG978, 0, MIN(12, COUNTA(BH$3:$BV$3)), , -MIN(12, COUNTA(BH$3:$BV$3))))))</f>
        <v>0</v>
      </c>
      <c r="BH909" s="133">
        <f ca="1">IF($E909=Parameters!$D$69, BH1001, MIN(BH1001,-SUM(OFFSET(BH978, 0, MIN(12, COUNTA(BI$3:$BV$3)), , -MIN(12, COUNTA(BI$3:$BV$3))))))</f>
        <v>0</v>
      </c>
      <c r="BI909" s="133">
        <f ca="1">IF($E909=Parameters!$D$69, BI1001, MIN(BI1001,-SUM(OFFSET(BI978, 0, MIN(12, COUNTA(BJ$3:$BV$3)), , -MIN(12, COUNTA(BJ$3:$BV$3))))))</f>
        <v>0</v>
      </c>
      <c r="BJ909" s="133">
        <f ca="1">IF($E909=Parameters!$D$69, BJ1001, MIN(BJ1001,-SUM(OFFSET(BJ978, 0, MIN(12, COUNTA(BK$3:$BV$3)), , -MIN(12, COUNTA(BK$3:$BV$3))))))</f>
        <v>0</v>
      </c>
      <c r="BK909" s="106"/>
      <c r="BL909" s="106"/>
      <c r="BM909" s="106"/>
      <c r="BN909" s="106"/>
      <c r="BO909" s="106"/>
      <c r="BP909" s="106"/>
      <c r="BQ909" s="106"/>
      <c r="BR909" s="106"/>
      <c r="BS909" s="106"/>
      <c r="BT909" s="106"/>
      <c r="BU909" s="106"/>
      <c r="BV909" s="106"/>
      <c r="BX909" s="106"/>
      <c r="BY909" s="12">
        <f t="shared" ca="1" si="909"/>
        <v>0</v>
      </c>
      <c r="BZ909" s="12">
        <f t="shared" ca="1" si="910"/>
        <v>0</v>
      </c>
      <c r="CA909" s="12">
        <f t="shared" ca="1" si="911"/>
        <v>0</v>
      </c>
      <c r="CB909" s="106"/>
      <c r="CC909" s="106"/>
      <c r="CD909" s="106"/>
      <c r="CE909" s="106"/>
      <c r="CF909" s="106"/>
      <c r="CG909" s="106"/>
      <c r="CH909" s="106"/>
      <c r="CI909" s="106"/>
      <c r="CK909" s="11"/>
      <c r="CM909" s="11"/>
      <c r="DF909" s="11"/>
      <c r="EY909" s="10" t="str">
        <f t="shared" si="907"/>
        <v/>
      </c>
    </row>
    <row r="910" spans="1:155" x14ac:dyDescent="0.35">
      <c r="B910" s="69" t="str" cm="1">
        <f t="array" aca="1" ref="B910" ca="1">HYPERLINK(CONCATENATE("#",CELL("address",$D$94)),$D$94)</f>
        <v>Loan 3</v>
      </c>
      <c r="C910" s="211"/>
      <c r="D910" s="49">
        <f>D$15</f>
        <v>0</v>
      </c>
      <c r="E910" s="49" t="str">
        <f>F$15</f>
        <v/>
      </c>
      <c r="F910" s="49"/>
      <c r="H910" s="9"/>
      <c r="I910" s="40" t="s">
        <v>665</v>
      </c>
      <c r="V910" s="106"/>
      <c r="W910" s="133">
        <f t="shared" ca="1" si="908"/>
        <v>0</v>
      </c>
      <c r="X910" s="133">
        <f t="shared" ca="1" si="908"/>
        <v>0</v>
      </c>
      <c r="Y910" s="133">
        <f t="shared" ca="1" si="908"/>
        <v>0</v>
      </c>
      <c r="AA910" s="133">
        <f ca="1">IF($E910=Parameters!$D$69, AA1002, MIN(AA1002,-SUM(OFFSET(AA979, 0, MIN(12, COUNTA(AB$3:$BV$3)), , -MIN(12, COUNTA(AB$3:$BV$3))))))</f>
        <v>0</v>
      </c>
      <c r="AB910" s="133">
        <f ca="1">IF($E910=Parameters!$D$69, AB1002, MIN(AB1002,-SUM(OFFSET(AB979, 0, MIN(12, COUNTA(AC$3:$BV$3)), , -MIN(12, COUNTA(AC$3:$BV$3))))))</f>
        <v>0</v>
      </c>
      <c r="AC910" s="133">
        <f ca="1">IF($E910=Parameters!$D$69, AC1002, MIN(AC1002,-SUM(OFFSET(AC979, 0, MIN(12, COUNTA(AD$3:$BV$3)), , -MIN(12, COUNTA(AD$3:$BV$3))))))</f>
        <v>0</v>
      </c>
      <c r="AD910" s="133">
        <f ca="1">IF($E910=Parameters!$D$69, AD1002, MIN(AD1002,-SUM(OFFSET(AD979, 0, MIN(12, COUNTA(AE$3:$BV$3)), , -MIN(12, COUNTA(AE$3:$BV$3))))))</f>
        <v>0</v>
      </c>
      <c r="AE910" s="133">
        <f ca="1">IF($E910=Parameters!$D$69, AE1002, MIN(AE1002,-SUM(OFFSET(AE979, 0, MIN(12, COUNTA(AF$3:$BV$3)), , -MIN(12, COUNTA(AF$3:$BV$3))))))</f>
        <v>0</v>
      </c>
      <c r="AF910" s="133">
        <f ca="1">IF($E910=Parameters!$D$69, AF1002, MIN(AF1002,-SUM(OFFSET(AF979, 0, MIN(12, COUNTA(AG$3:$BV$3)), , -MIN(12, COUNTA(AG$3:$BV$3))))))</f>
        <v>0</v>
      </c>
      <c r="AG910" s="133">
        <f ca="1">IF($E910=Parameters!$D$69, AG1002, MIN(AG1002,-SUM(OFFSET(AG979, 0, MIN(12, COUNTA(AH$3:$BV$3)), , -MIN(12, COUNTA(AH$3:$BV$3))))))</f>
        <v>0</v>
      </c>
      <c r="AH910" s="133">
        <f ca="1">IF($E910=Parameters!$D$69, AH1002, MIN(AH1002,-SUM(OFFSET(AH979, 0, MIN(12, COUNTA(AI$3:$BV$3)), , -MIN(12, COUNTA(AI$3:$BV$3))))))</f>
        <v>0</v>
      </c>
      <c r="AI910" s="133">
        <f ca="1">IF($E910=Parameters!$D$69, AI1002, MIN(AI1002,-SUM(OFFSET(AI979, 0, MIN(12, COUNTA(AJ$3:$BV$3)), , -MIN(12, COUNTA(AJ$3:$BV$3))))))</f>
        <v>0</v>
      </c>
      <c r="AJ910" s="133">
        <f ca="1">IF($E910=Parameters!$D$69, AJ1002, MIN(AJ1002,-SUM(OFFSET(AJ979, 0, MIN(12, COUNTA(AK$3:$BV$3)), , -MIN(12, COUNTA(AK$3:$BV$3))))))</f>
        <v>0</v>
      </c>
      <c r="AK910" s="133">
        <f ca="1">IF($E910=Parameters!$D$69, AK1002, MIN(AK1002,-SUM(OFFSET(AK979, 0, MIN(12, COUNTA(AL$3:$BV$3)), , -MIN(12, COUNTA(AL$3:$BV$3))))))</f>
        <v>0</v>
      </c>
      <c r="AL910" s="133">
        <f ca="1">IF($E910=Parameters!$D$69, AL1002, MIN(AL1002,-SUM(OFFSET(AL979, 0, MIN(12, COUNTA(AM$3:$BV$3)), , -MIN(12, COUNTA(AM$3:$BV$3))))))</f>
        <v>0</v>
      </c>
      <c r="AM910" s="133">
        <f ca="1">IF($E910=Parameters!$D$69, AM1002, MIN(AM1002,-SUM(OFFSET(AM979, 0, MIN(12, COUNTA(AN$3:$BV$3)), , -MIN(12, COUNTA(AN$3:$BV$3))))))</f>
        <v>0</v>
      </c>
      <c r="AN910" s="133">
        <f ca="1">IF($E910=Parameters!$D$69, AN1002, MIN(AN1002,-SUM(OFFSET(AN979, 0, MIN(12, COUNTA(AO$3:$BV$3)), , -MIN(12, COUNTA(AO$3:$BV$3))))))</f>
        <v>0</v>
      </c>
      <c r="AO910" s="133">
        <f ca="1">IF($E910=Parameters!$D$69, AO1002, MIN(AO1002,-SUM(OFFSET(AO979, 0, MIN(12, COUNTA(AP$3:$BV$3)), , -MIN(12, COUNTA(AP$3:$BV$3))))))</f>
        <v>0</v>
      </c>
      <c r="AP910" s="133">
        <f ca="1">IF($E910=Parameters!$D$69, AP1002, MIN(AP1002,-SUM(OFFSET(AP979, 0, MIN(12, COUNTA(AQ$3:$BV$3)), , -MIN(12, COUNTA(AQ$3:$BV$3))))))</f>
        <v>0</v>
      </c>
      <c r="AQ910" s="133">
        <f ca="1">IF($E910=Parameters!$D$69, AQ1002, MIN(AQ1002,-SUM(OFFSET(AQ979, 0, MIN(12, COUNTA(AR$3:$BV$3)), , -MIN(12, COUNTA(AR$3:$BV$3))))))</f>
        <v>0</v>
      </c>
      <c r="AR910" s="133">
        <f ca="1">IF($E910=Parameters!$D$69, AR1002, MIN(AR1002,-SUM(OFFSET(AR979, 0, MIN(12, COUNTA(AS$3:$BV$3)), , -MIN(12, COUNTA(AS$3:$BV$3))))))</f>
        <v>0</v>
      </c>
      <c r="AS910" s="133">
        <f ca="1">IF($E910=Parameters!$D$69, AS1002, MIN(AS1002,-SUM(OFFSET(AS979, 0, MIN(12, COUNTA(AT$3:$BV$3)), , -MIN(12, COUNTA(AT$3:$BV$3))))))</f>
        <v>0</v>
      </c>
      <c r="AT910" s="133">
        <f ca="1">IF($E910=Parameters!$D$69, AT1002, MIN(AT1002,-SUM(OFFSET(AT979, 0, MIN(12, COUNTA(AU$3:$BV$3)), , -MIN(12, COUNTA(AU$3:$BV$3))))))</f>
        <v>0</v>
      </c>
      <c r="AU910" s="133">
        <f ca="1">IF($E910=Parameters!$D$69, AU1002, MIN(AU1002,-SUM(OFFSET(AU979, 0, MIN(12, COUNTA(AV$3:$BV$3)), , -MIN(12, COUNTA(AV$3:$BV$3))))))</f>
        <v>0</v>
      </c>
      <c r="AV910" s="133">
        <f ca="1">IF($E910=Parameters!$D$69, AV1002, MIN(AV1002,-SUM(OFFSET(AV979, 0, MIN(12, COUNTA(AW$3:$BV$3)), , -MIN(12, COUNTA(AW$3:$BV$3))))))</f>
        <v>0</v>
      </c>
      <c r="AW910" s="133">
        <f ca="1">IF($E910=Parameters!$D$69, AW1002, MIN(AW1002,-SUM(OFFSET(AW979, 0, MIN(12, COUNTA(AX$3:$BV$3)), , -MIN(12, COUNTA(AX$3:$BV$3))))))</f>
        <v>0</v>
      </c>
      <c r="AX910" s="133">
        <f ca="1">IF($E910=Parameters!$D$69, AX1002, MIN(AX1002,-SUM(OFFSET(AX979, 0, MIN(12, COUNTA(AY$3:$BV$3)), , -MIN(12, COUNTA(AY$3:$BV$3))))))</f>
        <v>0</v>
      </c>
      <c r="AY910" s="133">
        <f ca="1">IF($E910=Parameters!$D$69, AY1002, MIN(AY1002,-SUM(OFFSET(AY979, 0, MIN(12, COUNTA(AZ$3:$BV$3)), , -MIN(12, COUNTA(AZ$3:$BV$3))))))</f>
        <v>0</v>
      </c>
      <c r="AZ910" s="133">
        <f ca="1">IF($E910=Parameters!$D$69, AZ1002, MIN(AZ1002,-SUM(OFFSET(AZ979, 0, MIN(12, COUNTA(BA$3:$BV$3)), , -MIN(12, COUNTA(BA$3:$BV$3))))))</f>
        <v>0</v>
      </c>
      <c r="BA910" s="133">
        <f ca="1">IF($E910=Parameters!$D$69, BA1002, MIN(BA1002,-SUM(OFFSET(BA979, 0, MIN(12, COUNTA(BB$3:$BV$3)), , -MIN(12, COUNTA(BB$3:$BV$3))))))</f>
        <v>0</v>
      </c>
      <c r="BB910" s="133">
        <f ca="1">IF($E910=Parameters!$D$69, BB1002, MIN(BB1002,-SUM(OFFSET(BB979, 0, MIN(12, COUNTA(BC$3:$BV$3)), , -MIN(12, COUNTA(BC$3:$BV$3))))))</f>
        <v>0</v>
      </c>
      <c r="BC910" s="133">
        <f ca="1">IF($E910=Parameters!$D$69, BC1002, MIN(BC1002,-SUM(OFFSET(BC979, 0, MIN(12, COUNTA(BD$3:$BV$3)), , -MIN(12, COUNTA(BD$3:$BV$3))))))</f>
        <v>0</v>
      </c>
      <c r="BD910" s="133">
        <f ca="1">IF($E910=Parameters!$D$69, BD1002, MIN(BD1002,-SUM(OFFSET(BD979, 0, MIN(12, COUNTA(BE$3:$BV$3)), , -MIN(12, COUNTA(BE$3:$BV$3))))))</f>
        <v>0</v>
      </c>
      <c r="BE910" s="133">
        <f ca="1">IF($E910=Parameters!$D$69, BE1002, MIN(BE1002,-SUM(OFFSET(BE979, 0, MIN(12, COUNTA(BF$3:$BV$3)), , -MIN(12, COUNTA(BF$3:$BV$3))))))</f>
        <v>0</v>
      </c>
      <c r="BF910" s="133">
        <f ca="1">IF($E910=Parameters!$D$69, BF1002, MIN(BF1002,-SUM(OFFSET(BF979, 0, MIN(12, COUNTA(BG$3:$BV$3)), , -MIN(12, COUNTA(BG$3:$BV$3))))))</f>
        <v>0</v>
      </c>
      <c r="BG910" s="133">
        <f ca="1">IF($E910=Parameters!$D$69, BG1002, MIN(BG1002,-SUM(OFFSET(BG979, 0, MIN(12, COUNTA(BH$3:$BV$3)), , -MIN(12, COUNTA(BH$3:$BV$3))))))</f>
        <v>0</v>
      </c>
      <c r="BH910" s="133">
        <f ca="1">IF($E910=Parameters!$D$69, BH1002, MIN(BH1002,-SUM(OFFSET(BH979, 0, MIN(12, COUNTA(BI$3:$BV$3)), , -MIN(12, COUNTA(BI$3:$BV$3))))))</f>
        <v>0</v>
      </c>
      <c r="BI910" s="133">
        <f ca="1">IF($E910=Parameters!$D$69, BI1002, MIN(BI1002,-SUM(OFFSET(BI979, 0, MIN(12, COUNTA(BJ$3:$BV$3)), , -MIN(12, COUNTA(BJ$3:$BV$3))))))</f>
        <v>0</v>
      </c>
      <c r="BJ910" s="133">
        <f ca="1">IF($E910=Parameters!$D$69, BJ1002, MIN(BJ1002,-SUM(OFFSET(BJ979, 0, MIN(12, COUNTA(BK$3:$BV$3)), , -MIN(12, COUNTA(BK$3:$BV$3))))))</f>
        <v>0</v>
      </c>
      <c r="BK910" s="106"/>
      <c r="BL910" s="106"/>
      <c r="BM910" s="106"/>
      <c r="BN910" s="106"/>
      <c r="BO910" s="106"/>
      <c r="BP910" s="106"/>
      <c r="BQ910" s="106"/>
      <c r="BR910" s="106"/>
      <c r="BS910" s="106"/>
      <c r="BT910" s="106"/>
      <c r="BU910" s="106"/>
      <c r="BV910" s="106"/>
      <c r="BX910" s="106"/>
      <c r="BY910" s="12">
        <f t="shared" ca="1" si="909"/>
        <v>0</v>
      </c>
      <c r="BZ910" s="12">
        <f t="shared" ca="1" si="910"/>
        <v>0</v>
      </c>
      <c r="CA910" s="12">
        <f t="shared" ca="1" si="911"/>
        <v>0</v>
      </c>
      <c r="CB910" s="106"/>
      <c r="CC910" s="106"/>
      <c r="CD910" s="106"/>
      <c r="CE910" s="106"/>
      <c r="CF910" s="106"/>
      <c r="CG910" s="106"/>
      <c r="CH910" s="106"/>
      <c r="CI910" s="106"/>
      <c r="CK910" s="11"/>
      <c r="CM910" s="11"/>
      <c r="DF910" s="11"/>
      <c r="EY910" s="10" t="str">
        <f t="shared" si="907"/>
        <v/>
      </c>
    </row>
    <row r="911" spans="1:155" x14ac:dyDescent="0.35">
      <c r="B911" s="69" t="str" cm="1">
        <f t="array" aca="1" ref="B911" ca="1">HYPERLINK(CONCATENATE("#",CELL("address",$D$113)),$D$113)</f>
        <v>Loan 4</v>
      </c>
      <c r="C911" s="211"/>
      <c r="D911" s="49">
        <f>D$16</f>
        <v>0</v>
      </c>
      <c r="E911" s="49" t="str">
        <f>F$16</f>
        <v/>
      </c>
      <c r="F911" s="49"/>
      <c r="H911" s="9"/>
      <c r="I911" s="40" t="s">
        <v>665</v>
      </c>
      <c r="V911" s="106"/>
      <c r="W911" s="133">
        <f t="shared" ca="1" si="908"/>
        <v>0</v>
      </c>
      <c r="X911" s="133">
        <f t="shared" ca="1" si="908"/>
        <v>0</v>
      </c>
      <c r="Y911" s="133">
        <f t="shared" ca="1" si="908"/>
        <v>0</v>
      </c>
      <c r="AA911" s="133">
        <f ca="1">IF($E911=Parameters!$D$69, AA1003, MIN(AA1003,-SUM(OFFSET(AA980, 0, MIN(12, COUNTA(AB$3:$BV$3)), , -MIN(12, COUNTA(AB$3:$BV$3))))))</f>
        <v>0</v>
      </c>
      <c r="AB911" s="133">
        <f ca="1">IF($E911=Parameters!$D$69, AB1003, MIN(AB1003,-SUM(OFFSET(AB980, 0, MIN(12, COUNTA(AC$3:$BV$3)), , -MIN(12, COUNTA(AC$3:$BV$3))))))</f>
        <v>0</v>
      </c>
      <c r="AC911" s="133">
        <f ca="1">IF($E911=Parameters!$D$69, AC1003, MIN(AC1003,-SUM(OFFSET(AC980, 0, MIN(12, COUNTA(AD$3:$BV$3)), , -MIN(12, COUNTA(AD$3:$BV$3))))))</f>
        <v>0</v>
      </c>
      <c r="AD911" s="133">
        <f ca="1">IF($E911=Parameters!$D$69, AD1003, MIN(AD1003,-SUM(OFFSET(AD980, 0, MIN(12, COUNTA(AE$3:$BV$3)), , -MIN(12, COUNTA(AE$3:$BV$3))))))</f>
        <v>0</v>
      </c>
      <c r="AE911" s="133">
        <f ca="1">IF($E911=Parameters!$D$69, AE1003, MIN(AE1003,-SUM(OFFSET(AE980, 0, MIN(12, COUNTA(AF$3:$BV$3)), , -MIN(12, COUNTA(AF$3:$BV$3))))))</f>
        <v>0</v>
      </c>
      <c r="AF911" s="133">
        <f ca="1">IF($E911=Parameters!$D$69, AF1003, MIN(AF1003,-SUM(OFFSET(AF980, 0, MIN(12, COUNTA(AG$3:$BV$3)), , -MIN(12, COUNTA(AG$3:$BV$3))))))</f>
        <v>0</v>
      </c>
      <c r="AG911" s="133">
        <f ca="1">IF($E911=Parameters!$D$69, AG1003, MIN(AG1003,-SUM(OFFSET(AG980, 0, MIN(12, COUNTA(AH$3:$BV$3)), , -MIN(12, COUNTA(AH$3:$BV$3))))))</f>
        <v>0</v>
      </c>
      <c r="AH911" s="133">
        <f ca="1">IF($E911=Parameters!$D$69, AH1003, MIN(AH1003,-SUM(OFFSET(AH980, 0, MIN(12, COUNTA(AI$3:$BV$3)), , -MIN(12, COUNTA(AI$3:$BV$3))))))</f>
        <v>0</v>
      </c>
      <c r="AI911" s="133">
        <f ca="1">IF($E911=Parameters!$D$69, AI1003, MIN(AI1003,-SUM(OFFSET(AI980, 0, MIN(12, COUNTA(AJ$3:$BV$3)), , -MIN(12, COUNTA(AJ$3:$BV$3))))))</f>
        <v>0</v>
      </c>
      <c r="AJ911" s="133">
        <f ca="1">IF($E911=Parameters!$D$69, AJ1003, MIN(AJ1003,-SUM(OFFSET(AJ980, 0, MIN(12, COUNTA(AK$3:$BV$3)), , -MIN(12, COUNTA(AK$3:$BV$3))))))</f>
        <v>0</v>
      </c>
      <c r="AK911" s="133">
        <f ca="1">IF($E911=Parameters!$D$69, AK1003, MIN(AK1003,-SUM(OFFSET(AK980, 0, MIN(12, COUNTA(AL$3:$BV$3)), , -MIN(12, COUNTA(AL$3:$BV$3))))))</f>
        <v>0</v>
      </c>
      <c r="AL911" s="133">
        <f ca="1">IF($E911=Parameters!$D$69, AL1003, MIN(AL1003,-SUM(OFFSET(AL980, 0, MIN(12, COUNTA(AM$3:$BV$3)), , -MIN(12, COUNTA(AM$3:$BV$3))))))</f>
        <v>0</v>
      </c>
      <c r="AM911" s="133">
        <f ca="1">IF($E911=Parameters!$D$69, AM1003, MIN(AM1003,-SUM(OFFSET(AM980, 0, MIN(12, COUNTA(AN$3:$BV$3)), , -MIN(12, COUNTA(AN$3:$BV$3))))))</f>
        <v>0</v>
      </c>
      <c r="AN911" s="133">
        <f ca="1">IF($E911=Parameters!$D$69, AN1003, MIN(AN1003,-SUM(OFFSET(AN980, 0, MIN(12, COUNTA(AO$3:$BV$3)), , -MIN(12, COUNTA(AO$3:$BV$3))))))</f>
        <v>0</v>
      </c>
      <c r="AO911" s="133">
        <f ca="1">IF($E911=Parameters!$D$69, AO1003, MIN(AO1003,-SUM(OFFSET(AO980, 0, MIN(12, COUNTA(AP$3:$BV$3)), , -MIN(12, COUNTA(AP$3:$BV$3))))))</f>
        <v>0</v>
      </c>
      <c r="AP911" s="133">
        <f ca="1">IF($E911=Parameters!$D$69, AP1003, MIN(AP1003,-SUM(OFFSET(AP980, 0, MIN(12, COUNTA(AQ$3:$BV$3)), , -MIN(12, COUNTA(AQ$3:$BV$3))))))</f>
        <v>0</v>
      </c>
      <c r="AQ911" s="133">
        <f ca="1">IF($E911=Parameters!$D$69, AQ1003, MIN(AQ1003,-SUM(OFFSET(AQ980, 0, MIN(12, COUNTA(AR$3:$BV$3)), , -MIN(12, COUNTA(AR$3:$BV$3))))))</f>
        <v>0</v>
      </c>
      <c r="AR911" s="133">
        <f ca="1">IF($E911=Parameters!$D$69, AR1003, MIN(AR1003,-SUM(OFFSET(AR980, 0, MIN(12, COUNTA(AS$3:$BV$3)), , -MIN(12, COUNTA(AS$3:$BV$3))))))</f>
        <v>0</v>
      </c>
      <c r="AS911" s="133">
        <f ca="1">IF($E911=Parameters!$D$69, AS1003, MIN(AS1003,-SUM(OFFSET(AS980, 0, MIN(12, COUNTA(AT$3:$BV$3)), , -MIN(12, COUNTA(AT$3:$BV$3))))))</f>
        <v>0</v>
      </c>
      <c r="AT911" s="133">
        <f ca="1">IF($E911=Parameters!$D$69, AT1003, MIN(AT1003,-SUM(OFFSET(AT980, 0, MIN(12, COUNTA(AU$3:$BV$3)), , -MIN(12, COUNTA(AU$3:$BV$3))))))</f>
        <v>0</v>
      </c>
      <c r="AU911" s="133">
        <f ca="1">IF($E911=Parameters!$D$69, AU1003, MIN(AU1003,-SUM(OFFSET(AU980, 0, MIN(12, COUNTA(AV$3:$BV$3)), , -MIN(12, COUNTA(AV$3:$BV$3))))))</f>
        <v>0</v>
      </c>
      <c r="AV911" s="133">
        <f ca="1">IF($E911=Parameters!$D$69, AV1003, MIN(AV1003,-SUM(OFFSET(AV980, 0, MIN(12, COUNTA(AW$3:$BV$3)), , -MIN(12, COUNTA(AW$3:$BV$3))))))</f>
        <v>0</v>
      </c>
      <c r="AW911" s="133">
        <f ca="1">IF($E911=Parameters!$D$69, AW1003, MIN(AW1003,-SUM(OFFSET(AW980, 0, MIN(12, COUNTA(AX$3:$BV$3)), , -MIN(12, COUNTA(AX$3:$BV$3))))))</f>
        <v>0</v>
      </c>
      <c r="AX911" s="133">
        <f ca="1">IF($E911=Parameters!$D$69, AX1003, MIN(AX1003,-SUM(OFFSET(AX980, 0, MIN(12, COUNTA(AY$3:$BV$3)), , -MIN(12, COUNTA(AY$3:$BV$3))))))</f>
        <v>0</v>
      </c>
      <c r="AY911" s="133">
        <f ca="1">IF($E911=Parameters!$D$69, AY1003, MIN(AY1003,-SUM(OFFSET(AY980, 0, MIN(12, COUNTA(AZ$3:$BV$3)), , -MIN(12, COUNTA(AZ$3:$BV$3))))))</f>
        <v>0</v>
      </c>
      <c r="AZ911" s="133">
        <f ca="1">IF($E911=Parameters!$D$69, AZ1003, MIN(AZ1003,-SUM(OFFSET(AZ980, 0, MIN(12, COUNTA(BA$3:$BV$3)), , -MIN(12, COUNTA(BA$3:$BV$3))))))</f>
        <v>0</v>
      </c>
      <c r="BA911" s="133">
        <f ca="1">IF($E911=Parameters!$D$69, BA1003, MIN(BA1003,-SUM(OFFSET(BA980, 0, MIN(12, COUNTA(BB$3:$BV$3)), , -MIN(12, COUNTA(BB$3:$BV$3))))))</f>
        <v>0</v>
      </c>
      <c r="BB911" s="133">
        <f ca="1">IF($E911=Parameters!$D$69, BB1003, MIN(BB1003,-SUM(OFFSET(BB980, 0, MIN(12, COUNTA(BC$3:$BV$3)), , -MIN(12, COUNTA(BC$3:$BV$3))))))</f>
        <v>0</v>
      </c>
      <c r="BC911" s="133">
        <f ca="1">IF($E911=Parameters!$D$69, BC1003, MIN(BC1003,-SUM(OFFSET(BC980, 0, MIN(12, COUNTA(BD$3:$BV$3)), , -MIN(12, COUNTA(BD$3:$BV$3))))))</f>
        <v>0</v>
      </c>
      <c r="BD911" s="133">
        <f ca="1">IF($E911=Parameters!$D$69, BD1003, MIN(BD1003,-SUM(OFFSET(BD980, 0, MIN(12, COUNTA(BE$3:$BV$3)), , -MIN(12, COUNTA(BE$3:$BV$3))))))</f>
        <v>0</v>
      </c>
      <c r="BE911" s="133">
        <f ca="1">IF($E911=Parameters!$D$69, BE1003, MIN(BE1003,-SUM(OFFSET(BE980, 0, MIN(12, COUNTA(BF$3:$BV$3)), , -MIN(12, COUNTA(BF$3:$BV$3))))))</f>
        <v>0</v>
      </c>
      <c r="BF911" s="133">
        <f ca="1">IF($E911=Parameters!$D$69, BF1003, MIN(BF1003,-SUM(OFFSET(BF980, 0, MIN(12, COUNTA(BG$3:$BV$3)), , -MIN(12, COUNTA(BG$3:$BV$3))))))</f>
        <v>0</v>
      </c>
      <c r="BG911" s="133">
        <f ca="1">IF($E911=Parameters!$D$69, BG1003, MIN(BG1003,-SUM(OFFSET(BG980, 0, MIN(12, COUNTA(BH$3:$BV$3)), , -MIN(12, COUNTA(BH$3:$BV$3))))))</f>
        <v>0</v>
      </c>
      <c r="BH911" s="133">
        <f ca="1">IF($E911=Parameters!$D$69, BH1003, MIN(BH1003,-SUM(OFFSET(BH980, 0, MIN(12, COUNTA(BI$3:$BV$3)), , -MIN(12, COUNTA(BI$3:$BV$3))))))</f>
        <v>0</v>
      </c>
      <c r="BI911" s="133">
        <f ca="1">IF($E911=Parameters!$D$69, BI1003, MIN(BI1003,-SUM(OFFSET(BI980, 0, MIN(12, COUNTA(BJ$3:$BV$3)), , -MIN(12, COUNTA(BJ$3:$BV$3))))))</f>
        <v>0</v>
      </c>
      <c r="BJ911" s="133">
        <f ca="1">IF($E911=Parameters!$D$69, BJ1003, MIN(BJ1003,-SUM(OFFSET(BJ980, 0, MIN(12, COUNTA(BK$3:$BV$3)), , -MIN(12, COUNTA(BK$3:$BV$3))))))</f>
        <v>0</v>
      </c>
      <c r="BK911" s="106"/>
      <c r="BL911" s="106"/>
      <c r="BM911" s="106"/>
      <c r="BN911" s="106"/>
      <c r="BO911" s="106"/>
      <c r="BP911" s="106"/>
      <c r="BQ911" s="106"/>
      <c r="BR911" s="106"/>
      <c r="BS911" s="106"/>
      <c r="BT911" s="106"/>
      <c r="BU911" s="106"/>
      <c r="BV911" s="106"/>
      <c r="BX911" s="106"/>
      <c r="BY911" s="12">
        <f t="shared" ca="1" si="909"/>
        <v>0</v>
      </c>
      <c r="BZ911" s="12">
        <f t="shared" ca="1" si="910"/>
        <v>0</v>
      </c>
      <c r="CA911" s="12">
        <f t="shared" ca="1" si="911"/>
        <v>0</v>
      </c>
      <c r="CB911" s="106"/>
      <c r="CC911" s="106"/>
      <c r="CD911" s="106"/>
      <c r="CE911" s="106"/>
      <c r="CF911" s="106"/>
      <c r="CG911" s="106"/>
      <c r="CH911" s="106"/>
      <c r="CI911" s="106"/>
      <c r="CK911" s="11"/>
      <c r="CM911" s="11"/>
      <c r="DF911" s="11"/>
      <c r="EY911" s="10" t="str">
        <f t="shared" si="907"/>
        <v/>
      </c>
    </row>
    <row r="912" spans="1:155" x14ac:dyDescent="0.35">
      <c r="B912" s="69" t="str" cm="1">
        <f t="array" aca="1" ref="B912" ca="1">HYPERLINK(CONCATENATE("#",CELL("address",$D$132)),$D$132)</f>
        <v>Loan 5</v>
      </c>
      <c r="C912" s="211"/>
      <c r="D912" s="49">
        <f>D$17</f>
        <v>0</v>
      </c>
      <c r="E912" s="49" t="str">
        <f>F$17</f>
        <v/>
      </c>
      <c r="F912" s="49"/>
      <c r="H912" s="9"/>
      <c r="I912" s="40" t="s">
        <v>665</v>
      </c>
      <c r="V912" s="106"/>
      <c r="W912" s="133">
        <f t="shared" ca="1" si="908"/>
        <v>0</v>
      </c>
      <c r="X912" s="133">
        <f t="shared" ca="1" si="908"/>
        <v>0</v>
      </c>
      <c r="Y912" s="133">
        <f t="shared" ca="1" si="908"/>
        <v>0</v>
      </c>
      <c r="AA912" s="133">
        <f ca="1">IF($E912=Parameters!$D$69, AA1004, MIN(AA1004,-SUM(OFFSET(AA981, 0, MIN(12, COUNTA(AB$3:$BV$3)), , -MIN(12, COUNTA(AB$3:$BV$3))))))</f>
        <v>0</v>
      </c>
      <c r="AB912" s="133">
        <f ca="1">IF($E912=Parameters!$D$69, AB1004, MIN(AB1004,-SUM(OFFSET(AB981, 0, MIN(12, COUNTA(AC$3:$BV$3)), , -MIN(12, COUNTA(AC$3:$BV$3))))))</f>
        <v>0</v>
      </c>
      <c r="AC912" s="133">
        <f ca="1">IF($E912=Parameters!$D$69, AC1004, MIN(AC1004,-SUM(OFFSET(AC981, 0, MIN(12, COUNTA(AD$3:$BV$3)), , -MIN(12, COUNTA(AD$3:$BV$3))))))</f>
        <v>0</v>
      </c>
      <c r="AD912" s="133">
        <f ca="1">IF($E912=Parameters!$D$69, AD1004, MIN(AD1004,-SUM(OFFSET(AD981, 0, MIN(12, COUNTA(AE$3:$BV$3)), , -MIN(12, COUNTA(AE$3:$BV$3))))))</f>
        <v>0</v>
      </c>
      <c r="AE912" s="133">
        <f ca="1">IF($E912=Parameters!$D$69, AE1004, MIN(AE1004,-SUM(OFFSET(AE981, 0, MIN(12, COUNTA(AF$3:$BV$3)), , -MIN(12, COUNTA(AF$3:$BV$3))))))</f>
        <v>0</v>
      </c>
      <c r="AF912" s="133">
        <f ca="1">IF($E912=Parameters!$D$69, AF1004, MIN(AF1004,-SUM(OFFSET(AF981, 0, MIN(12, COUNTA(AG$3:$BV$3)), , -MIN(12, COUNTA(AG$3:$BV$3))))))</f>
        <v>0</v>
      </c>
      <c r="AG912" s="133">
        <f ca="1">IF($E912=Parameters!$D$69, AG1004, MIN(AG1004,-SUM(OFFSET(AG981, 0, MIN(12, COUNTA(AH$3:$BV$3)), , -MIN(12, COUNTA(AH$3:$BV$3))))))</f>
        <v>0</v>
      </c>
      <c r="AH912" s="133">
        <f ca="1">IF($E912=Parameters!$D$69, AH1004, MIN(AH1004,-SUM(OFFSET(AH981, 0, MIN(12, COUNTA(AI$3:$BV$3)), , -MIN(12, COUNTA(AI$3:$BV$3))))))</f>
        <v>0</v>
      </c>
      <c r="AI912" s="133">
        <f ca="1">IF($E912=Parameters!$D$69, AI1004, MIN(AI1004,-SUM(OFFSET(AI981, 0, MIN(12, COUNTA(AJ$3:$BV$3)), , -MIN(12, COUNTA(AJ$3:$BV$3))))))</f>
        <v>0</v>
      </c>
      <c r="AJ912" s="133">
        <f ca="1">IF($E912=Parameters!$D$69, AJ1004, MIN(AJ1004,-SUM(OFFSET(AJ981, 0, MIN(12, COUNTA(AK$3:$BV$3)), , -MIN(12, COUNTA(AK$3:$BV$3))))))</f>
        <v>0</v>
      </c>
      <c r="AK912" s="133">
        <f ca="1">IF($E912=Parameters!$D$69, AK1004, MIN(AK1004,-SUM(OFFSET(AK981, 0, MIN(12, COUNTA(AL$3:$BV$3)), , -MIN(12, COUNTA(AL$3:$BV$3))))))</f>
        <v>0</v>
      </c>
      <c r="AL912" s="133">
        <f ca="1">IF($E912=Parameters!$D$69, AL1004, MIN(AL1004,-SUM(OFFSET(AL981, 0, MIN(12, COUNTA(AM$3:$BV$3)), , -MIN(12, COUNTA(AM$3:$BV$3))))))</f>
        <v>0</v>
      </c>
      <c r="AM912" s="133">
        <f ca="1">IF($E912=Parameters!$D$69, AM1004, MIN(AM1004,-SUM(OFFSET(AM981, 0, MIN(12, COUNTA(AN$3:$BV$3)), , -MIN(12, COUNTA(AN$3:$BV$3))))))</f>
        <v>0</v>
      </c>
      <c r="AN912" s="133">
        <f ca="1">IF($E912=Parameters!$D$69, AN1004, MIN(AN1004,-SUM(OFFSET(AN981, 0, MIN(12, COUNTA(AO$3:$BV$3)), , -MIN(12, COUNTA(AO$3:$BV$3))))))</f>
        <v>0</v>
      </c>
      <c r="AO912" s="133">
        <f ca="1">IF($E912=Parameters!$D$69, AO1004, MIN(AO1004,-SUM(OFFSET(AO981, 0, MIN(12, COUNTA(AP$3:$BV$3)), , -MIN(12, COUNTA(AP$3:$BV$3))))))</f>
        <v>0</v>
      </c>
      <c r="AP912" s="133">
        <f ca="1">IF($E912=Parameters!$D$69, AP1004, MIN(AP1004,-SUM(OFFSET(AP981, 0, MIN(12, COUNTA(AQ$3:$BV$3)), , -MIN(12, COUNTA(AQ$3:$BV$3))))))</f>
        <v>0</v>
      </c>
      <c r="AQ912" s="133">
        <f ca="1">IF($E912=Parameters!$D$69, AQ1004, MIN(AQ1004,-SUM(OFFSET(AQ981, 0, MIN(12, COUNTA(AR$3:$BV$3)), , -MIN(12, COUNTA(AR$3:$BV$3))))))</f>
        <v>0</v>
      </c>
      <c r="AR912" s="133">
        <f ca="1">IF($E912=Parameters!$D$69, AR1004, MIN(AR1004,-SUM(OFFSET(AR981, 0, MIN(12, COUNTA(AS$3:$BV$3)), , -MIN(12, COUNTA(AS$3:$BV$3))))))</f>
        <v>0</v>
      </c>
      <c r="AS912" s="133">
        <f ca="1">IF($E912=Parameters!$D$69, AS1004, MIN(AS1004,-SUM(OFFSET(AS981, 0, MIN(12, COUNTA(AT$3:$BV$3)), , -MIN(12, COUNTA(AT$3:$BV$3))))))</f>
        <v>0</v>
      </c>
      <c r="AT912" s="133">
        <f ca="1">IF($E912=Parameters!$D$69, AT1004, MIN(AT1004,-SUM(OFFSET(AT981, 0, MIN(12, COUNTA(AU$3:$BV$3)), , -MIN(12, COUNTA(AU$3:$BV$3))))))</f>
        <v>0</v>
      </c>
      <c r="AU912" s="133">
        <f ca="1">IF($E912=Parameters!$D$69, AU1004, MIN(AU1004,-SUM(OFFSET(AU981, 0, MIN(12, COUNTA(AV$3:$BV$3)), , -MIN(12, COUNTA(AV$3:$BV$3))))))</f>
        <v>0</v>
      </c>
      <c r="AV912" s="133">
        <f ca="1">IF($E912=Parameters!$D$69, AV1004, MIN(AV1004,-SUM(OFFSET(AV981, 0, MIN(12, COUNTA(AW$3:$BV$3)), , -MIN(12, COUNTA(AW$3:$BV$3))))))</f>
        <v>0</v>
      </c>
      <c r="AW912" s="133">
        <f ca="1">IF($E912=Parameters!$D$69, AW1004, MIN(AW1004,-SUM(OFFSET(AW981, 0, MIN(12, COUNTA(AX$3:$BV$3)), , -MIN(12, COUNTA(AX$3:$BV$3))))))</f>
        <v>0</v>
      </c>
      <c r="AX912" s="133">
        <f ca="1">IF($E912=Parameters!$D$69, AX1004, MIN(AX1004,-SUM(OFFSET(AX981, 0, MIN(12, COUNTA(AY$3:$BV$3)), , -MIN(12, COUNTA(AY$3:$BV$3))))))</f>
        <v>0</v>
      </c>
      <c r="AY912" s="133">
        <f ca="1">IF($E912=Parameters!$D$69, AY1004, MIN(AY1004,-SUM(OFFSET(AY981, 0, MIN(12, COUNTA(AZ$3:$BV$3)), , -MIN(12, COUNTA(AZ$3:$BV$3))))))</f>
        <v>0</v>
      </c>
      <c r="AZ912" s="133">
        <f ca="1">IF($E912=Parameters!$D$69, AZ1004, MIN(AZ1004,-SUM(OFFSET(AZ981, 0, MIN(12, COUNTA(BA$3:$BV$3)), , -MIN(12, COUNTA(BA$3:$BV$3))))))</f>
        <v>0</v>
      </c>
      <c r="BA912" s="133">
        <f ca="1">IF($E912=Parameters!$D$69, BA1004, MIN(BA1004,-SUM(OFFSET(BA981, 0, MIN(12, COUNTA(BB$3:$BV$3)), , -MIN(12, COUNTA(BB$3:$BV$3))))))</f>
        <v>0</v>
      </c>
      <c r="BB912" s="133">
        <f ca="1">IF($E912=Parameters!$D$69, BB1004, MIN(BB1004,-SUM(OFFSET(BB981, 0, MIN(12, COUNTA(BC$3:$BV$3)), , -MIN(12, COUNTA(BC$3:$BV$3))))))</f>
        <v>0</v>
      </c>
      <c r="BC912" s="133">
        <f ca="1">IF($E912=Parameters!$D$69, BC1004, MIN(BC1004,-SUM(OFFSET(BC981, 0, MIN(12, COUNTA(BD$3:$BV$3)), , -MIN(12, COUNTA(BD$3:$BV$3))))))</f>
        <v>0</v>
      </c>
      <c r="BD912" s="133">
        <f ca="1">IF($E912=Parameters!$D$69, BD1004, MIN(BD1004,-SUM(OFFSET(BD981, 0, MIN(12, COUNTA(BE$3:$BV$3)), , -MIN(12, COUNTA(BE$3:$BV$3))))))</f>
        <v>0</v>
      </c>
      <c r="BE912" s="133">
        <f ca="1">IF($E912=Parameters!$D$69, BE1004, MIN(BE1004,-SUM(OFFSET(BE981, 0, MIN(12, COUNTA(BF$3:$BV$3)), , -MIN(12, COUNTA(BF$3:$BV$3))))))</f>
        <v>0</v>
      </c>
      <c r="BF912" s="133">
        <f ca="1">IF($E912=Parameters!$D$69, BF1004, MIN(BF1004,-SUM(OFFSET(BF981, 0, MIN(12, COUNTA(BG$3:$BV$3)), , -MIN(12, COUNTA(BG$3:$BV$3))))))</f>
        <v>0</v>
      </c>
      <c r="BG912" s="133">
        <f ca="1">IF($E912=Parameters!$D$69, BG1004, MIN(BG1004,-SUM(OFFSET(BG981, 0, MIN(12, COUNTA(BH$3:$BV$3)), , -MIN(12, COUNTA(BH$3:$BV$3))))))</f>
        <v>0</v>
      </c>
      <c r="BH912" s="133">
        <f ca="1">IF($E912=Parameters!$D$69, BH1004, MIN(BH1004,-SUM(OFFSET(BH981, 0, MIN(12, COUNTA(BI$3:$BV$3)), , -MIN(12, COUNTA(BI$3:$BV$3))))))</f>
        <v>0</v>
      </c>
      <c r="BI912" s="133">
        <f ca="1">IF($E912=Parameters!$D$69, BI1004, MIN(BI1004,-SUM(OFFSET(BI981, 0, MIN(12, COUNTA(BJ$3:$BV$3)), , -MIN(12, COUNTA(BJ$3:$BV$3))))))</f>
        <v>0</v>
      </c>
      <c r="BJ912" s="133">
        <f ca="1">IF($E912=Parameters!$D$69, BJ1004, MIN(BJ1004,-SUM(OFFSET(BJ981, 0, MIN(12, COUNTA(BK$3:$BV$3)), , -MIN(12, COUNTA(BK$3:$BV$3))))))</f>
        <v>0</v>
      </c>
      <c r="BK912" s="106"/>
      <c r="BL912" s="106"/>
      <c r="BM912" s="106"/>
      <c r="BN912" s="106"/>
      <c r="BO912" s="106"/>
      <c r="BP912" s="106"/>
      <c r="BQ912" s="106"/>
      <c r="BR912" s="106"/>
      <c r="BS912" s="106"/>
      <c r="BT912" s="106"/>
      <c r="BU912" s="106"/>
      <c r="BV912" s="106"/>
      <c r="BX912" s="106"/>
      <c r="BY912" s="12">
        <f t="shared" ca="1" si="909"/>
        <v>0</v>
      </c>
      <c r="BZ912" s="12">
        <f t="shared" ca="1" si="910"/>
        <v>0</v>
      </c>
      <c r="CA912" s="12">
        <f t="shared" ca="1" si="911"/>
        <v>0</v>
      </c>
      <c r="CB912" s="106"/>
      <c r="CC912" s="106"/>
      <c r="CD912" s="106"/>
      <c r="CE912" s="106"/>
      <c r="CF912" s="106"/>
      <c r="CG912" s="106"/>
      <c r="CH912" s="106"/>
      <c r="CI912" s="106"/>
      <c r="CK912" s="11"/>
      <c r="CM912" s="11"/>
      <c r="DF912" s="11"/>
      <c r="EY912" s="10" t="str">
        <f t="shared" si="907"/>
        <v/>
      </c>
    </row>
    <row r="913" spans="1:155" x14ac:dyDescent="0.35">
      <c r="B913" s="69" t="str" cm="1">
        <f t="array" aca="1" ref="B913" ca="1">HYPERLINK(CONCATENATE("#",CELL("address",$D$151)),$D$151)</f>
        <v>Loan 6</v>
      </c>
      <c r="C913" s="211"/>
      <c r="D913" s="49">
        <f>D$18</f>
        <v>0</v>
      </c>
      <c r="E913" s="49" t="str">
        <f>F$18</f>
        <v/>
      </c>
      <c r="F913" s="49"/>
      <c r="H913" s="9"/>
      <c r="I913" s="40" t="s">
        <v>665</v>
      </c>
      <c r="V913" s="106"/>
      <c r="W913" s="133">
        <f t="shared" ca="1" si="908"/>
        <v>0</v>
      </c>
      <c r="X913" s="133">
        <f t="shared" ca="1" si="908"/>
        <v>0</v>
      </c>
      <c r="Y913" s="133">
        <f t="shared" ca="1" si="908"/>
        <v>0</v>
      </c>
      <c r="AA913" s="133">
        <f ca="1">IF($E913=Parameters!$D$69, AA1005, MIN(AA1005,-SUM(OFFSET(AA982, 0, MIN(12, COUNTA(AB$3:$BV$3)), , -MIN(12, COUNTA(AB$3:$BV$3))))))</f>
        <v>0</v>
      </c>
      <c r="AB913" s="133">
        <f ca="1">IF($E913=Parameters!$D$69, AB1005, MIN(AB1005,-SUM(OFFSET(AB982, 0, MIN(12, COUNTA(AC$3:$BV$3)), , -MIN(12, COUNTA(AC$3:$BV$3))))))</f>
        <v>0</v>
      </c>
      <c r="AC913" s="133">
        <f ca="1">IF($E913=Parameters!$D$69, AC1005, MIN(AC1005,-SUM(OFFSET(AC982, 0, MIN(12, COUNTA(AD$3:$BV$3)), , -MIN(12, COUNTA(AD$3:$BV$3))))))</f>
        <v>0</v>
      </c>
      <c r="AD913" s="133">
        <f ca="1">IF($E913=Parameters!$D$69, AD1005, MIN(AD1005,-SUM(OFFSET(AD982, 0, MIN(12, COUNTA(AE$3:$BV$3)), , -MIN(12, COUNTA(AE$3:$BV$3))))))</f>
        <v>0</v>
      </c>
      <c r="AE913" s="133">
        <f ca="1">IF($E913=Parameters!$D$69, AE1005, MIN(AE1005,-SUM(OFFSET(AE982, 0, MIN(12, COUNTA(AF$3:$BV$3)), , -MIN(12, COUNTA(AF$3:$BV$3))))))</f>
        <v>0</v>
      </c>
      <c r="AF913" s="133">
        <f ca="1">IF($E913=Parameters!$D$69, AF1005, MIN(AF1005,-SUM(OFFSET(AF982, 0, MIN(12, COUNTA(AG$3:$BV$3)), , -MIN(12, COUNTA(AG$3:$BV$3))))))</f>
        <v>0</v>
      </c>
      <c r="AG913" s="133">
        <f ca="1">IF($E913=Parameters!$D$69, AG1005, MIN(AG1005,-SUM(OFFSET(AG982, 0, MIN(12, COUNTA(AH$3:$BV$3)), , -MIN(12, COUNTA(AH$3:$BV$3))))))</f>
        <v>0</v>
      </c>
      <c r="AH913" s="133">
        <f ca="1">IF($E913=Parameters!$D$69, AH1005, MIN(AH1005,-SUM(OFFSET(AH982, 0, MIN(12, COUNTA(AI$3:$BV$3)), , -MIN(12, COUNTA(AI$3:$BV$3))))))</f>
        <v>0</v>
      </c>
      <c r="AI913" s="133">
        <f ca="1">IF($E913=Parameters!$D$69, AI1005, MIN(AI1005,-SUM(OFFSET(AI982, 0, MIN(12, COUNTA(AJ$3:$BV$3)), , -MIN(12, COUNTA(AJ$3:$BV$3))))))</f>
        <v>0</v>
      </c>
      <c r="AJ913" s="133">
        <f ca="1">IF($E913=Parameters!$D$69, AJ1005, MIN(AJ1005,-SUM(OFFSET(AJ982, 0, MIN(12, COUNTA(AK$3:$BV$3)), , -MIN(12, COUNTA(AK$3:$BV$3))))))</f>
        <v>0</v>
      </c>
      <c r="AK913" s="133">
        <f ca="1">IF($E913=Parameters!$D$69, AK1005, MIN(AK1005,-SUM(OFFSET(AK982, 0, MIN(12, COUNTA(AL$3:$BV$3)), , -MIN(12, COUNTA(AL$3:$BV$3))))))</f>
        <v>0</v>
      </c>
      <c r="AL913" s="133">
        <f ca="1">IF($E913=Parameters!$D$69, AL1005, MIN(AL1005,-SUM(OFFSET(AL982, 0, MIN(12, COUNTA(AM$3:$BV$3)), , -MIN(12, COUNTA(AM$3:$BV$3))))))</f>
        <v>0</v>
      </c>
      <c r="AM913" s="133">
        <f ca="1">IF($E913=Parameters!$D$69, AM1005, MIN(AM1005,-SUM(OFFSET(AM982, 0, MIN(12, COUNTA(AN$3:$BV$3)), , -MIN(12, COUNTA(AN$3:$BV$3))))))</f>
        <v>0</v>
      </c>
      <c r="AN913" s="133">
        <f ca="1">IF($E913=Parameters!$D$69, AN1005, MIN(AN1005,-SUM(OFFSET(AN982, 0, MIN(12, COUNTA(AO$3:$BV$3)), , -MIN(12, COUNTA(AO$3:$BV$3))))))</f>
        <v>0</v>
      </c>
      <c r="AO913" s="133">
        <f ca="1">IF($E913=Parameters!$D$69, AO1005, MIN(AO1005,-SUM(OFFSET(AO982, 0, MIN(12, COUNTA(AP$3:$BV$3)), , -MIN(12, COUNTA(AP$3:$BV$3))))))</f>
        <v>0</v>
      </c>
      <c r="AP913" s="133">
        <f ca="1">IF($E913=Parameters!$D$69, AP1005, MIN(AP1005,-SUM(OFFSET(AP982, 0, MIN(12, COUNTA(AQ$3:$BV$3)), , -MIN(12, COUNTA(AQ$3:$BV$3))))))</f>
        <v>0</v>
      </c>
      <c r="AQ913" s="133">
        <f ca="1">IF($E913=Parameters!$D$69, AQ1005, MIN(AQ1005,-SUM(OFFSET(AQ982, 0, MIN(12, COUNTA(AR$3:$BV$3)), , -MIN(12, COUNTA(AR$3:$BV$3))))))</f>
        <v>0</v>
      </c>
      <c r="AR913" s="133">
        <f ca="1">IF($E913=Parameters!$D$69, AR1005, MIN(AR1005,-SUM(OFFSET(AR982, 0, MIN(12, COUNTA(AS$3:$BV$3)), , -MIN(12, COUNTA(AS$3:$BV$3))))))</f>
        <v>0</v>
      </c>
      <c r="AS913" s="133">
        <f ca="1">IF($E913=Parameters!$D$69, AS1005, MIN(AS1005,-SUM(OFFSET(AS982, 0, MIN(12, COUNTA(AT$3:$BV$3)), , -MIN(12, COUNTA(AT$3:$BV$3))))))</f>
        <v>0</v>
      </c>
      <c r="AT913" s="133">
        <f ca="1">IF($E913=Parameters!$D$69, AT1005, MIN(AT1005,-SUM(OFFSET(AT982, 0, MIN(12, COUNTA(AU$3:$BV$3)), , -MIN(12, COUNTA(AU$3:$BV$3))))))</f>
        <v>0</v>
      </c>
      <c r="AU913" s="133">
        <f ca="1">IF($E913=Parameters!$D$69, AU1005, MIN(AU1005,-SUM(OFFSET(AU982, 0, MIN(12, COUNTA(AV$3:$BV$3)), , -MIN(12, COUNTA(AV$3:$BV$3))))))</f>
        <v>0</v>
      </c>
      <c r="AV913" s="133">
        <f ca="1">IF($E913=Parameters!$D$69, AV1005, MIN(AV1005,-SUM(OFFSET(AV982, 0, MIN(12, COUNTA(AW$3:$BV$3)), , -MIN(12, COUNTA(AW$3:$BV$3))))))</f>
        <v>0</v>
      </c>
      <c r="AW913" s="133">
        <f ca="1">IF($E913=Parameters!$D$69, AW1005, MIN(AW1005,-SUM(OFFSET(AW982, 0, MIN(12, COUNTA(AX$3:$BV$3)), , -MIN(12, COUNTA(AX$3:$BV$3))))))</f>
        <v>0</v>
      </c>
      <c r="AX913" s="133">
        <f ca="1">IF($E913=Parameters!$D$69, AX1005, MIN(AX1005,-SUM(OFFSET(AX982, 0, MIN(12, COUNTA(AY$3:$BV$3)), , -MIN(12, COUNTA(AY$3:$BV$3))))))</f>
        <v>0</v>
      </c>
      <c r="AY913" s="133">
        <f ca="1">IF($E913=Parameters!$D$69, AY1005, MIN(AY1005,-SUM(OFFSET(AY982, 0, MIN(12, COUNTA(AZ$3:$BV$3)), , -MIN(12, COUNTA(AZ$3:$BV$3))))))</f>
        <v>0</v>
      </c>
      <c r="AZ913" s="133">
        <f ca="1">IF($E913=Parameters!$D$69, AZ1005, MIN(AZ1005,-SUM(OFFSET(AZ982, 0, MIN(12, COUNTA(BA$3:$BV$3)), , -MIN(12, COUNTA(BA$3:$BV$3))))))</f>
        <v>0</v>
      </c>
      <c r="BA913" s="133">
        <f ca="1">IF($E913=Parameters!$D$69, BA1005, MIN(BA1005,-SUM(OFFSET(BA982, 0, MIN(12, COUNTA(BB$3:$BV$3)), , -MIN(12, COUNTA(BB$3:$BV$3))))))</f>
        <v>0</v>
      </c>
      <c r="BB913" s="133">
        <f ca="1">IF($E913=Parameters!$D$69, BB1005, MIN(BB1005,-SUM(OFFSET(BB982, 0, MIN(12, COUNTA(BC$3:$BV$3)), , -MIN(12, COUNTA(BC$3:$BV$3))))))</f>
        <v>0</v>
      </c>
      <c r="BC913" s="133">
        <f ca="1">IF($E913=Parameters!$D$69, BC1005, MIN(BC1005,-SUM(OFFSET(BC982, 0, MIN(12, COUNTA(BD$3:$BV$3)), , -MIN(12, COUNTA(BD$3:$BV$3))))))</f>
        <v>0</v>
      </c>
      <c r="BD913" s="133">
        <f ca="1">IF($E913=Parameters!$D$69, BD1005, MIN(BD1005,-SUM(OFFSET(BD982, 0, MIN(12, COUNTA(BE$3:$BV$3)), , -MIN(12, COUNTA(BE$3:$BV$3))))))</f>
        <v>0</v>
      </c>
      <c r="BE913" s="133">
        <f ca="1">IF($E913=Parameters!$D$69, BE1005, MIN(BE1005,-SUM(OFFSET(BE982, 0, MIN(12, COUNTA(BF$3:$BV$3)), , -MIN(12, COUNTA(BF$3:$BV$3))))))</f>
        <v>0</v>
      </c>
      <c r="BF913" s="133">
        <f ca="1">IF($E913=Parameters!$D$69, BF1005, MIN(BF1005,-SUM(OFFSET(BF982, 0, MIN(12, COUNTA(BG$3:$BV$3)), , -MIN(12, COUNTA(BG$3:$BV$3))))))</f>
        <v>0</v>
      </c>
      <c r="BG913" s="133">
        <f ca="1">IF($E913=Parameters!$D$69, BG1005, MIN(BG1005,-SUM(OFFSET(BG982, 0, MIN(12, COUNTA(BH$3:$BV$3)), , -MIN(12, COUNTA(BH$3:$BV$3))))))</f>
        <v>0</v>
      </c>
      <c r="BH913" s="133">
        <f ca="1">IF($E913=Parameters!$D$69, BH1005, MIN(BH1005,-SUM(OFFSET(BH982, 0, MIN(12, COUNTA(BI$3:$BV$3)), , -MIN(12, COUNTA(BI$3:$BV$3))))))</f>
        <v>0</v>
      </c>
      <c r="BI913" s="133">
        <f ca="1">IF($E913=Parameters!$D$69, BI1005, MIN(BI1005,-SUM(OFFSET(BI982, 0, MIN(12, COUNTA(BJ$3:$BV$3)), , -MIN(12, COUNTA(BJ$3:$BV$3))))))</f>
        <v>0</v>
      </c>
      <c r="BJ913" s="133">
        <f ca="1">IF($E913=Parameters!$D$69, BJ1005, MIN(BJ1005,-SUM(OFFSET(BJ982, 0, MIN(12, COUNTA(BK$3:$BV$3)), , -MIN(12, COUNTA(BK$3:$BV$3))))))</f>
        <v>0</v>
      </c>
      <c r="BK913" s="106"/>
      <c r="BL913" s="106"/>
      <c r="BM913" s="106"/>
      <c r="BN913" s="106"/>
      <c r="BO913" s="106"/>
      <c r="BP913" s="106"/>
      <c r="BQ913" s="106"/>
      <c r="BR913" s="106"/>
      <c r="BS913" s="106"/>
      <c r="BT913" s="106"/>
      <c r="BU913" s="106"/>
      <c r="BV913" s="106"/>
      <c r="BX913" s="106"/>
      <c r="BY913" s="12">
        <f t="shared" ca="1" si="909"/>
        <v>0</v>
      </c>
      <c r="BZ913" s="12">
        <f t="shared" ca="1" si="910"/>
        <v>0</v>
      </c>
      <c r="CA913" s="12">
        <f t="shared" ca="1" si="911"/>
        <v>0</v>
      </c>
      <c r="CB913" s="106"/>
      <c r="CC913" s="106"/>
      <c r="CD913" s="106"/>
      <c r="CE913" s="106"/>
      <c r="CF913" s="106"/>
      <c r="CG913" s="106"/>
      <c r="CH913" s="106"/>
      <c r="CI913" s="106"/>
      <c r="CK913" s="11"/>
      <c r="CM913" s="11"/>
      <c r="DF913" s="11"/>
      <c r="EY913" s="10" t="str">
        <f t="shared" si="907"/>
        <v/>
      </c>
    </row>
    <row r="914" spans="1:155" x14ac:dyDescent="0.35">
      <c r="B914" s="69" t="str" cm="1">
        <f t="array" aca="1" ref="B914" ca="1">HYPERLINK(CONCATENATE("#",CELL("address",$D$170)),$D$170)</f>
        <v>Loan 7</v>
      </c>
      <c r="C914" s="211"/>
      <c r="D914" s="49">
        <f>D$19</f>
        <v>0</v>
      </c>
      <c r="E914" s="49" t="str">
        <f>F$19</f>
        <v/>
      </c>
      <c r="F914" s="49"/>
      <c r="H914" s="9"/>
      <c r="I914" s="40" t="s">
        <v>665</v>
      </c>
      <c r="V914" s="106"/>
      <c r="W914" s="133">
        <f t="shared" ca="1" si="908"/>
        <v>0</v>
      </c>
      <c r="X914" s="133">
        <f t="shared" ca="1" si="908"/>
        <v>0</v>
      </c>
      <c r="Y914" s="133">
        <f t="shared" ca="1" si="908"/>
        <v>0</v>
      </c>
      <c r="AA914" s="133">
        <f ca="1">IF($E914=Parameters!$D$69, AA1006, MIN(AA1006,-SUM(OFFSET(AA983, 0, MIN(12, COUNTA(AB$3:$BV$3)), , -MIN(12, COUNTA(AB$3:$BV$3))))))</f>
        <v>0</v>
      </c>
      <c r="AB914" s="133">
        <f ca="1">IF($E914=Parameters!$D$69, AB1006, MIN(AB1006,-SUM(OFFSET(AB983, 0, MIN(12, COUNTA(AC$3:$BV$3)), , -MIN(12, COUNTA(AC$3:$BV$3))))))</f>
        <v>0</v>
      </c>
      <c r="AC914" s="133">
        <f ca="1">IF($E914=Parameters!$D$69, AC1006, MIN(AC1006,-SUM(OFFSET(AC983, 0, MIN(12, COUNTA(AD$3:$BV$3)), , -MIN(12, COUNTA(AD$3:$BV$3))))))</f>
        <v>0</v>
      </c>
      <c r="AD914" s="133">
        <f ca="1">IF($E914=Parameters!$D$69, AD1006, MIN(AD1006,-SUM(OFFSET(AD983, 0, MIN(12, COUNTA(AE$3:$BV$3)), , -MIN(12, COUNTA(AE$3:$BV$3))))))</f>
        <v>0</v>
      </c>
      <c r="AE914" s="133">
        <f ca="1">IF($E914=Parameters!$D$69, AE1006, MIN(AE1006,-SUM(OFFSET(AE983, 0, MIN(12, COUNTA(AF$3:$BV$3)), , -MIN(12, COUNTA(AF$3:$BV$3))))))</f>
        <v>0</v>
      </c>
      <c r="AF914" s="133">
        <f ca="1">IF($E914=Parameters!$D$69, AF1006, MIN(AF1006,-SUM(OFFSET(AF983, 0, MIN(12, COUNTA(AG$3:$BV$3)), , -MIN(12, COUNTA(AG$3:$BV$3))))))</f>
        <v>0</v>
      </c>
      <c r="AG914" s="133">
        <f ca="1">IF($E914=Parameters!$D$69, AG1006, MIN(AG1006,-SUM(OFFSET(AG983, 0, MIN(12, COUNTA(AH$3:$BV$3)), , -MIN(12, COUNTA(AH$3:$BV$3))))))</f>
        <v>0</v>
      </c>
      <c r="AH914" s="133">
        <f ca="1">IF($E914=Parameters!$D$69, AH1006, MIN(AH1006,-SUM(OFFSET(AH983, 0, MIN(12, COUNTA(AI$3:$BV$3)), , -MIN(12, COUNTA(AI$3:$BV$3))))))</f>
        <v>0</v>
      </c>
      <c r="AI914" s="133">
        <f ca="1">IF($E914=Parameters!$D$69, AI1006, MIN(AI1006,-SUM(OFFSET(AI983, 0, MIN(12, COUNTA(AJ$3:$BV$3)), , -MIN(12, COUNTA(AJ$3:$BV$3))))))</f>
        <v>0</v>
      </c>
      <c r="AJ914" s="133">
        <f ca="1">IF($E914=Parameters!$D$69, AJ1006, MIN(AJ1006,-SUM(OFFSET(AJ983, 0, MIN(12, COUNTA(AK$3:$BV$3)), , -MIN(12, COUNTA(AK$3:$BV$3))))))</f>
        <v>0</v>
      </c>
      <c r="AK914" s="133">
        <f ca="1">IF($E914=Parameters!$D$69, AK1006, MIN(AK1006,-SUM(OFFSET(AK983, 0, MIN(12, COUNTA(AL$3:$BV$3)), , -MIN(12, COUNTA(AL$3:$BV$3))))))</f>
        <v>0</v>
      </c>
      <c r="AL914" s="133">
        <f ca="1">IF($E914=Parameters!$D$69, AL1006, MIN(AL1006,-SUM(OFFSET(AL983, 0, MIN(12, COUNTA(AM$3:$BV$3)), , -MIN(12, COUNTA(AM$3:$BV$3))))))</f>
        <v>0</v>
      </c>
      <c r="AM914" s="133">
        <f ca="1">IF($E914=Parameters!$D$69, AM1006, MIN(AM1006,-SUM(OFFSET(AM983, 0, MIN(12, COUNTA(AN$3:$BV$3)), , -MIN(12, COUNTA(AN$3:$BV$3))))))</f>
        <v>0</v>
      </c>
      <c r="AN914" s="133">
        <f ca="1">IF($E914=Parameters!$D$69, AN1006, MIN(AN1006,-SUM(OFFSET(AN983, 0, MIN(12, COUNTA(AO$3:$BV$3)), , -MIN(12, COUNTA(AO$3:$BV$3))))))</f>
        <v>0</v>
      </c>
      <c r="AO914" s="133">
        <f ca="1">IF($E914=Parameters!$D$69, AO1006, MIN(AO1006,-SUM(OFFSET(AO983, 0, MIN(12, COUNTA(AP$3:$BV$3)), , -MIN(12, COUNTA(AP$3:$BV$3))))))</f>
        <v>0</v>
      </c>
      <c r="AP914" s="133">
        <f ca="1">IF($E914=Parameters!$D$69, AP1006, MIN(AP1006,-SUM(OFFSET(AP983, 0, MIN(12, COUNTA(AQ$3:$BV$3)), , -MIN(12, COUNTA(AQ$3:$BV$3))))))</f>
        <v>0</v>
      </c>
      <c r="AQ914" s="133">
        <f ca="1">IF($E914=Parameters!$D$69, AQ1006, MIN(AQ1006,-SUM(OFFSET(AQ983, 0, MIN(12, COUNTA(AR$3:$BV$3)), , -MIN(12, COUNTA(AR$3:$BV$3))))))</f>
        <v>0</v>
      </c>
      <c r="AR914" s="133">
        <f ca="1">IF($E914=Parameters!$D$69, AR1006, MIN(AR1006,-SUM(OFFSET(AR983, 0, MIN(12, COUNTA(AS$3:$BV$3)), , -MIN(12, COUNTA(AS$3:$BV$3))))))</f>
        <v>0</v>
      </c>
      <c r="AS914" s="133">
        <f ca="1">IF($E914=Parameters!$D$69, AS1006, MIN(AS1006,-SUM(OFFSET(AS983, 0, MIN(12, COUNTA(AT$3:$BV$3)), , -MIN(12, COUNTA(AT$3:$BV$3))))))</f>
        <v>0</v>
      </c>
      <c r="AT914" s="133">
        <f ca="1">IF($E914=Parameters!$D$69, AT1006, MIN(AT1006,-SUM(OFFSET(AT983, 0, MIN(12, COUNTA(AU$3:$BV$3)), , -MIN(12, COUNTA(AU$3:$BV$3))))))</f>
        <v>0</v>
      </c>
      <c r="AU914" s="133">
        <f ca="1">IF($E914=Parameters!$D$69, AU1006, MIN(AU1006,-SUM(OFFSET(AU983, 0, MIN(12, COUNTA(AV$3:$BV$3)), , -MIN(12, COUNTA(AV$3:$BV$3))))))</f>
        <v>0</v>
      </c>
      <c r="AV914" s="133">
        <f ca="1">IF($E914=Parameters!$D$69, AV1006, MIN(AV1006,-SUM(OFFSET(AV983, 0, MIN(12, COUNTA(AW$3:$BV$3)), , -MIN(12, COUNTA(AW$3:$BV$3))))))</f>
        <v>0</v>
      </c>
      <c r="AW914" s="133">
        <f ca="1">IF($E914=Parameters!$D$69, AW1006, MIN(AW1006,-SUM(OFFSET(AW983, 0, MIN(12, COUNTA(AX$3:$BV$3)), , -MIN(12, COUNTA(AX$3:$BV$3))))))</f>
        <v>0</v>
      </c>
      <c r="AX914" s="133">
        <f ca="1">IF($E914=Parameters!$D$69, AX1006, MIN(AX1006,-SUM(OFFSET(AX983, 0, MIN(12, COUNTA(AY$3:$BV$3)), , -MIN(12, COUNTA(AY$3:$BV$3))))))</f>
        <v>0</v>
      </c>
      <c r="AY914" s="133">
        <f ca="1">IF($E914=Parameters!$D$69, AY1006, MIN(AY1006,-SUM(OFFSET(AY983, 0, MIN(12, COUNTA(AZ$3:$BV$3)), , -MIN(12, COUNTA(AZ$3:$BV$3))))))</f>
        <v>0</v>
      </c>
      <c r="AZ914" s="133">
        <f ca="1">IF($E914=Parameters!$D$69, AZ1006, MIN(AZ1006,-SUM(OFFSET(AZ983, 0, MIN(12, COUNTA(BA$3:$BV$3)), , -MIN(12, COUNTA(BA$3:$BV$3))))))</f>
        <v>0</v>
      </c>
      <c r="BA914" s="133">
        <f ca="1">IF($E914=Parameters!$D$69, BA1006, MIN(BA1006,-SUM(OFFSET(BA983, 0, MIN(12, COUNTA(BB$3:$BV$3)), , -MIN(12, COUNTA(BB$3:$BV$3))))))</f>
        <v>0</v>
      </c>
      <c r="BB914" s="133">
        <f ca="1">IF($E914=Parameters!$D$69, BB1006, MIN(BB1006,-SUM(OFFSET(BB983, 0, MIN(12, COUNTA(BC$3:$BV$3)), , -MIN(12, COUNTA(BC$3:$BV$3))))))</f>
        <v>0</v>
      </c>
      <c r="BC914" s="133">
        <f ca="1">IF($E914=Parameters!$D$69, BC1006, MIN(BC1006,-SUM(OFFSET(BC983, 0, MIN(12, COUNTA(BD$3:$BV$3)), , -MIN(12, COUNTA(BD$3:$BV$3))))))</f>
        <v>0</v>
      </c>
      <c r="BD914" s="133">
        <f ca="1">IF($E914=Parameters!$D$69, BD1006, MIN(BD1006,-SUM(OFFSET(BD983, 0, MIN(12, COUNTA(BE$3:$BV$3)), , -MIN(12, COUNTA(BE$3:$BV$3))))))</f>
        <v>0</v>
      </c>
      <c r="BE914" s="133">
        <f ca="1">IF($E914=Parameters!$D$69, BE1006, MIN(BE1006,-SUM(OFFSET(BE983, 0, MIN(12, COUNTA(BF$3:$BV$3)), , -MIN(12, COUNTA(BF$3:$BV$3))))))</f>
        <v>0</v>
      </c>
      <c r="BF914" s="133">
        <f ca="1">IF($E914=Parameters!$D$69, BF1006, MIN(BF1006,-SUM(OFFSET(BF983, 0, MIN(12, COUNTA(BG$3:$BV$3)), , -MIN(12, COUNTA(BG$3:$BV$3))))))</f>
        <v>0</v>
      </c>
      <c r="BG914" s="133">
        <f ca="1">IF($E914=Parameters!$D$69, BG1006, MIN(BG1006,-SUM(OFFSET(BG983, 0, MIN(12, COUNTA(BH$3:$BV$3)), , -MIN(12, COUNTA(BH$3:$BV$3))))))</f>
        <v>0</v>
      </c>
      <c r="BH914" s="133">
        <f ca="1">IF($E914=Parameters!$D$69, BH1006, MIN(BH1006,-SUM(OFFSET(BH983, 0, MIN(12, COUNTA(BI$3:$BV$3)), , -MIN(12, COUNTA(BI$3:$BV$3))))))</f>
        <v>0</v>
      </c>
      <c r="BI914" s="133">
        <f ca="1">IF($E914=Parameters!$D$69, BI1006, MIN(BI1006,-SUM(OFFSET(BI983, 0, MIN(12, COUNTA(BJ$3:$BV$3)), , -MIN(12, COUNTA(BJ$3:$BV$3))))))</f>
        <v>0</v>
      </c>
      <c r="BJ914" s="133">
        <f ca="1">IF($E914=Parameters!$D$69, BJ1006, MIN(BJ1006,-SUM(OFFSET(BJ983, 0, MIN(12, COUNTA(BK$3:$BV$3)), , -MIN(12, COUNTA(BK$3:$BV$3))))))</f>
        <v>0</v>
      </c>
      <c r="BK914" s="106"/>
      <c r="BL914" s="106"/>
      <c r="BM914" s="106"/>
      <c r="BN914" s="106"/>
      <c r="BO914" s="106"/>
      <c r="BP914" s="106"/>
      <c r="BQ914" s="106"/>
      <c r="BR914" s="106"/>
      <c r="BS914" s="106"/>
      <c r="BT914" s="106"/>
      <c r="BU914" s="106"/>
      <c r="BV914" s="106"/>
      <c r="BX914" s="106"/>
      <c r="BY914" s="12">
        <f t="shared" ca="1" si="909"/>
        <v>0</v>
      </c>
      <c r="BZ914" s="12">
        <f t="shared" ca="1" si="910"/>
        <v>0</v>
      </c>
      <c r="CA914" s="12">
        <f t="shared" ca="1" si="911"/>
        <v>0</v>
      </c>
      <c r="CB914" s="106"/>
      <c r="CC914" s="106"/>
      <c r="CD914" s="106"/>
      <c r="CE914" s="106"/>
      <c r="CF914" s="106"/>
      <c r="CG914" s="106"/>
      <c r="CH914" s="106"/>
      <c r="CI914" s="106"/>
      <c r="CK914" s="11"/>
      <c r="CM914" s="11"/>
      <c r="DF914" s="11"/>
      <c r="EY914" s="10" t="str">
        <f t="shared" si="907"/>
        <v/>
      </c>
    </row>
    <row r="915" spans="1:155" x14ac:dyDescent="0.35">
      <c r="B915" s="69" t="str" cm="1">
        <f t="array" aca="1" ref="B915" ca="1">HYPERLINK(CONCATENATE("#",CELL("address",$D$189)),$D$189)</f>
        <v>Loan 8</v>
      </c>
      <c r="C915" s="211"/>
      <c r="D915" s="49">
        <f>D$20</f>
        <v>0</v>
      </c>
      <c r="E915" s="49" t="str">
        <f>F$20</f>
        <v/>
      </c>
      <c r="F915" s="49"/>
      <c r="H915" s="9"/>
      <c r="I915" s="40" t="s">
        <v>665</v>
      </c>
      <c r="V915" s="106"/>
      <c r="W915" s="133">
        <f t="shared" ca="1" si="908"/>
        <v>0</v>
      </c>
      <c r="X915" s="133">
        <f t="shared" ca="1" si="908"/>
        <v>0</v>
      </c>
      <c r="Y915" s="133">
        <f t="shared" ca="1" si="908"/>
        <v>0</v>
      </c>
      <c r="AA915" s="133">
        <f ca="1">IF($E915=Parameters!$D$69, AA1007, MIN(AA1007,-SUM(OFFSET(AA984, 0, MIN(12, COUNTA(AB$3:$BV$3)), , -MIN(12, COUNTA(AB$3:$BV$3))))))</f>
        <v>0</v>
      </c>
      <c r="AB915" s="133">
        <f ca="1">IF($E915=Parameters!$D$69, AB1007, MIN(AB1007,-SUM(OFFSET(AB984, 0, MIN(12, COUNTA(AC$3:$BV$3)), , -MIN(12, COUNTA(AC$3:$BV$3))))))</f>
        <v>0</v>
      </c>
      <c r="AC915" s="133">
        <f ca="1">IF($E915=Parameters!$D$69, AC1007, MIN(AC1007,-SUM(OFFSET(AC984, 0, MIN(12, COUNTA(AD$3:$BV$3)), , -MIN(12, COUNTA(AD$3:$BV$3))))))</f>
        <v>0</v>
      </c>
      <c r="AD915" s="133">
        <f ca="1">IF($E915=Parameters!$D$69, AD1007, MIN(AD1007,-SUM(OFFSET(AD984, 0, MIN(12, COUNTA(AE$3:$BV$3)), , -MIN(12, COUNTA(AE$3:$BV$3))))))</f>
        <v>0</v>
      </c>
      <c r="AE915" s="133">
        <f ca="1">IF($E915=Parameters!$D$69, AE1007, MIN(AE1007,-SUM(OFFSET(AE984, 0, MIN(12, COUNTA(AF$3:$BV$3)), , -MIN(12, COUNTA(AF$3:$BV$3))))))</f>
        <v>0</v>
      </c>
      <c r="AF915" s="133">
        <f ca="1">IF($E915=Parameters!$D$69, AF1007, MIN(AF1007,-SUM(OFFSET(AF984, 0, MIN(12, COUNTA(AG$3:$BV$3)), , -MIN(12, COUNTA(AG$3:$BV$3))))))</f>
        <v>0</v>
      </c>
      <c r="AG915" s="133">
        <f ca="1">IF($E915=Parameters!$D$69, AG1007, MIN(AG1007,-SUM(OFFSET(AG984, 0, MIN(12, COUNTA(AH$3:$BV$3)), , -MIN(12, COUNTA(AH$3:$BV$3))))))</f>
        <v>0</v>
      </c>
      <c r="AH915" s="133">
        <f ca="1">IF($E915=Parameters!$D$69, AH1007, MIN(AH1007,-SUM(OFFSET(AH984, 0, MIN(12, COUNTA(AI$3:$BV$3)), , -MIN(12, COUNTA(AI$3:$BV$3))))))</f>
        <v>0</v>
      </c>
      <c r="AI915" s="133">
        <f ca="1">IF($E915=Parameters!$D$69, AI1007, MIN(AI1007,-SUM(OFFSET(AI984, 0, MIN(12, COUNTA(AJ$3:$BV$3)), , -MIN(12, COUNTA(AJ$3:$BV$3))))))</f>
        <v>0</v>
      </c>
      <c r="AJ915" s="133">
        <f ca="1">IF($E915=Parameters!$D$69, AJ1007, MIN(AJ1007,-SUM(OFFSET(AJ984, 0, MIN(12, COUNTA(AK$3:$BV$3)), , -MIN(12, COUNTA(AK$3:$BV$3))))))</f>
        <v>0</v>
      </c>
      <c r="AK915" s="133">
        <f ca="1">IF($E915=Parameters!$D$69, AK1007, MIN(AK1007,-SUM(OFFSET(AK984, 0, MIN(12, COUNTA(AL$3:$BV$3)), , -MIN(12, COUNTA(AL$3:$BV$3))))))</f>
        <v>0</v>
      </c>
      <c r="AL915" s="133">
        <f ca="1">IF($E915=Parameters!$D$69, AL1007, MIN(AL1007,-SUM(OFFSET(AL984, 0, MIN(12, COUNTA(AM$3:$BV$3)), , -MIN(12, COUNTA(AM$3:$BV$3))))))</f>
        <v>0</v>
      </c>
      <c r="AM915" s="133">
        <f ca="1">IF($E915=Parameters!$D$69, AM1007, MIN(AM1007,-SUM(OFFSET(AM984, 0, MIN(12, COUNTA(AN$3:$BV$3)), , -MIN(12, COUNTA(AN$3:$BV$3))))))</f>
        <v>0</v>
      </c>
      <c r="AN915" s="133">
        <f ca="1">IF($E915=Parameters!$D$69, AN1007, MIN(AN1007,-SUM(OFFSET(AN984, 0, MIN(12, COUNTA(AO$3:$BV$3)), , -MIN(12, COUNTA(AO$3:$BV$3))))))</f>
        <v>0</v>
      </c>
      <c r="AO915" s="133">
        <f ca="1">IF($E915=Parameters!$D$69, AO1007, MIN(AO1007,-SUM(OFFSET(AO984, 0, MIN(12, COUNTA(AP$3:$BV$3)), , -MIN(12, COUNTA(AP$3:$BV$3))))))</f>
        <v>0</v>
      </c>
      <c r="AP915" s="133">
        <f ca="1">IF($E915=Parameters!$D$69, AP1007, MIN(AP1007,-SUM(OFFSET(AP984, 0, MIN(12, COUNTA(AQ$3:$BV$3)), , -MIN(12, COUNTA(AQ$3:$BV$3))))))</f>
        <v>0</v>
      </c>
      <c r="AQ915" s="133">
        <f ca="1">IF($E915=Parameters!$D$69, AQ1007, MIN(AQ1007,-SUM(OFFSET(AQ984, 0, MIN(12, COUNTA(AR$3:$BV$3)), , -MIN(12, COUNTA(AR$3:$BV$3))))))</f>
        <v>0</v>
      </c>
      <c r="AR915" s="133">
        <f ca="1">IF($E915=Parameters!$D$69, AR1007, MIN(AR1007,-SUM(OFFSET(AR984, 0, MIN(12, COUNTA(AS$3:$BV$3)), , -MIN(12, COUNTA(AS$3:$BV$3))))))</f>
        <v>0</v>
      </c>
      <c r="AS915" s="133">
        <f ca="1">IF($E915=Parameters!$D$69, AS1007, MIN(AS1007,-SUM(OFFSET(AS984, 0, MIN(12, COUNTA(AT$3:$BV$3)), , -MIN(12, COUNTA(AT$3:$BV$3))))))</f>
        <v>0</v>
      </c>
      <c r="AT915" s="133">
        <f ca="1">IF($E915=Parameters!$D$69, AT1007, MIN(AT1007,-SUM(OFFSET(AT984, 0, MIN(12, COUNTA(AU$3:$BV$3)), , -MIN(12, COUNTA(AU$3:$BV$3))))))</f>
        <v>0</v>
      </c>
      <c r="AU915" s="133">
        <f ca="1">IF($E915=Parameters!$D$69, AU1007, MIN(AU1007,-SUM(OFFSET(AU984, 0, MIN(12, COUNTA(AV$3:$BV$3)), , -MIN(12, COUNTA(AV$3:$BV$3))))))</f>
        <v>0</v>
      </c>
      <c r="AV915" s="133">
        <f ca="1">IF($E915=Parameters!$D$69, AV1007, MIN(AV1007,-SUM(OFFSET(AV984, 0, MIN(12, COUNTA(AW$3:$BV$3)), , -MIN(12, COUNTA(AW$3:$BV$3))))))</f>
        <v>0</v>
      </c>
      <c r="AW915" s="133">
        <f ca="1">IF($E915=Parameters!$D$69, AW1007, MIN(AW1007,-SUM(OFFSET(AW984, 0, MIN(12, COUNTA(AX$3:$BV$3)), , -MIN(12, COUNTA(AX$3:$BV$3))))))</f>
        <v>0</v>
      </c>
      <c r="AX915" s="133">
        <f ca="1">IF($E915=Parameters!$D$69, AX1007, MIN(AX1007,-SUM(OFFSET(AX984, 0, MIN(12, COUNTA(AY$3:$BV$3)), , -MIN(12, COUNTA(AY$3:$BV$3))))))</f>
        <v>0</v>
      </c>
      <c r="AY915" s="133">
        <f ca="1">IF($E915=Parameters!$D$69, AY1007, MIN(AY1007,-SUM(OFFSET(AY984, 0, MIN(12, COUNTA(AZ$3:$BV$3)), , -MIN(12, COUNTA(AZ$3:$BV$3))))))</f>
        <v>0</v>
      </c>
      <c r="AZ915" s="133">
        <f ca="1">IF($E915=Parameters!$D$69, AZ1007, MIN(AZ1007,-SUM(OFFSET(AZ984, 0, MIN(12, COUNTA(BA$3:$BV$3)), , -MIN(12, COUNTA(BA$3:$BV$3))))))</f>
        <v>0</v>
      </c>
      <c r="BA915" s="133">
        <f ca="1">IF($E915=Parameters!$D$69, BA1007, MIN(BA1007,-SUM(OFFSET(BA984, 0, MIN(12, COUNTA(BB$3:$BV$3)), , -MIN(12, COUNTA(BB$3:$BV$3))))))</f>
        <v>0</v>
      </c>
      <c r="BB915" s="133">
        <f ca="1">IF($E915=Parameters!$D$69, BB1007, MIN(BB1007,-SUM(OFFSET(BB984, 0, MIN(12, COUNTA(BC$3:$BV$3)), , -MIN(12, COUNTA(BC$3:$BV$3))))))</f>
        <v>0</v>
      </c>
      <c r="BC915" s="133">
        <f ca="1">IF($E915=Parameters!$D$69, BC1007, MIN(BC1007,-SUM(OFFSET(BC984, 0, MIN(12, COUNTA(BD$3:$BV$3)), , -MIN(12, COUNTA(BD$3:$BV$3))))))</f>
        <v>0</v>
      </c>
      <c r="BD915" s="133">
        <f ca="1">IF($E915=Parameters!$D$69, BD1007, MIN(BD1007,-SUM(OFFSET(BD984, 0, MIN(12, COUNTA(BE$3:$BV$3)), , -MIN(12, COUNTA(BE$3:$BV$3))))))</f>
        <v>0</v>
      </c>
      <c r="BE915" s="133">
        <f ca="1">IF($E915=Parameters!$D$69, BE1007, MIN(BE1007,-SUM(OFFSET(BE984, 0, MIN(12, COUNTA(BF$3:$BV$3)), , -MIN(12, COUNTA(BF$3:$BV$3))))))</f>
        <v>0</v>
      </c>
      <c r="BF915" s="133">
        <f ca="1">IF($E915=Parameters!$D$69, BF1007, MIN(BF1007,-SUM(OFFSET(BF984, 0, MIN(12, COUNTA(BG$3:$BV$3)), , -MIN(12, COUNTA(BG$3:$BV$3))))))</f>
        <v>0</v>
      </c>
      <c r="BG915" s="133">
        <f ca="1">IF($E915=Parameters!$D$69, BG1007, MIN(BG1007,-SUM(OFFSET(BG984, 0, MIN(12, COUNTA(BH$3:$BV$3)), , -MIN(12, COUNTA(BH$3:$BV$3))))))</f>
        <v>0</v>
      </c>
      <c r="BH915" s="133">
        <f ca="1">IF($E915=Parameters!$D$69, BH1007, MIN(BH1007,-SUM(OFFSET(BH984, 0, MIN(12, COUNTA(BI$3:$BV$3)), , -MIN(12, COUNTA(BI$3:$BV$3))))))</f>
        <v>0</v>
      </c>
      <c r="BI915" s="133">
        <f ca="1">IF($E915=Parameters!$D$69, BI1007, MIN(BI1007,-SUM(OFFSET(BI984, 0, MIN(12, COUNTA(BJ$3:$BV$3)), , -MIN(12, COUNTA(BJ$3:$BV$3))))))</f>
        <v>0</v>
      </c>
      <c r="BJ915" s="133">
        <f ca="1">IF($E915=Parameters!$D$69, BJ1007, MIN(BJ1007,-SUM(OFFSET(BJ984, 0, MIN(12, COUNTA(BK$3:$BV$3)), , -MIN(12, COUNTA(BK$3:$BV$3))))))</f>
        <v>0</v>
      </c>
      <c r="BK915" s="106"/>
      <c r="BL915" s="106"/>
      <c r="BM915" s="106"/>
      <c r="BN915" s="106"/>
      <c r="BO915" s="106"/>
      <c r="BP915" s="106"/>
      <c r="BQ915" s="106"/>
      <c r="BR915" s="106"/>
      <c r="BS915" s="106"/>
      <c r="BT915" s="106"/>
      <c r="BU915" s="106"/>
      <c r="BV915" s="106"/>
      <c r="BX915" s="106"/>
      <c r="BY915" s="12">
        <f t="shared" ca="1" si="909"/>
        <v>0</v>
      </c>
      <c r="BZ915" s="12">
        <f t="shared" ca="1" si="910"/>
        <v>0</v>
      </c>
      <c r="CA915" s="12">
        <f t="shared" ca="1" si="911"/>
        <v>0</v>
      </c>
      <c r="CB915" s="106"/>
      <c r="CC915" s="106"/>
      <c r="CD915" s="106"/>
      <c r="CE915" s="106"/>
      <c r="CF915" s="106"/>
      <c r="CG915" s="106"/>
      <c r="CH915" s="106"/>
      <c r="CI915" s="106"/>
      <c r="CK915" s="11"/>
      <c r="CM915" s="11"/>
      <c r="DF915" s="11"/>
      <c r="EY915" s="10" t="str">
        <f t="shared" si="907"/>
        <v/>
      </c>
    </row>
    <row r="916" spans="1:155" x14ac:dyDescent="0.35">
      <c r="B916" s="69" t="str" cm="1">
        <f t="array" aca="1" ref="B916" ca="1">HYPERLINK(CONCATENATE("#",CELL("address",$D$208)),$D$208)</f>
        <v>Loan 9</v>
      </c>
      <c r="C916" s="211"/>
      <c r="D916" s="49">
        <f>D$21</f>
        <v>0</v>
      </c>
      <c r="E916" s="49" t="str">
        <f>F$21</f>
        <v/>
      </c>
      <c r="F916" s="49"/>
      <c r="H916" s="9"/>
      <c r="I916" s="40" t="s">
        <v>665</v>
      </c>
      <c r="V916" s="106"/>
      <c r="W916" s="133">
        <f t="shared" ca="1" si="908"/>
        <v>0</v>
      </c>
      <c r="X916" s="133">
        <f t="shared" ca="1" si="908"/>
        <v>0</v>
      </c>
      <c r="Y916" s="133">
        <f t="shared" ca="1" si="908"/>
        <v>0</v>
      </c>
      <c r="AA916" s="133">
        <f ca="1">IF($E916=Parameters!$D$69, AA1008, MIN(AA1008,-SUM(OFFSET(AA985, 0, MIN(12, COUNTA(AB$3:$BV$3)), , -MIN(12, COUNTA(AB$3:$BV$3))))))</f>
        <v>0</v>
      </c>
      <c r="AB916" s="133">
        <f ca="1">IF($E916=Parameters!$D$69, AB1008, MIN(AB1008,-SUM(OFFSET(AB985, 0, MIN(12, COUNTA(AC$3:$BV$3)), , -MIN(12, COUNTA(AC$3:$BV$3))))))</f>
        <v>0</v>
      </c>
      <c r="AC916" s="133">
        <f ca="1">IF($E916=Parameters!$D$69, AC1008, MIN(AC1008,-SUM(OFFSET(AC985, 0, MIN(12, COUNTA(AD$3:$BV$3)), , -MIN(12, COUNTA(AD$3:$BV$3))))))</f>
        <v>0</v>
      </c>
      <c r="AD916" s="133">
        <f ca="1">IF($E916=Parameters!$D$69, AD1008, MIN(AD1008,-SUM(OFFSET(AD985, 0, MIN(12, COUNTA(AE$3:$BV$3)), , -MIN(12, COUNTA(AE$3:$BV$3))))))</f>
        <v>0</v>
      </c>
      <c r="AE916" s="133">
        <f ca="1">IF($E916=Parameters!$D$69, AE1008, MIN(AE1008,-SUM(OFFSET(AE985, 0, MIN(12, COUNTA(AF$3:$BV$3)), , -MIN(12, COUNTA(AF$3:$BV$3))))))</f>
        <v>0</v>
      </c>
      <c r="AF916" s="133">
        <f ca="1">IF($E916=Parameters!$D$69, AF1008, MIN(AF1008,-SUM(OFFSET(AF985, 0, MIN(12, COUNTA(AG$3:$BV$3)), , -MIN(12, COUNTA(AG$3:$BV$3))))))</f>
        <v>0</v>
      </c>
      <c r="AG916" s="133">
        <f ca="1">IF($E916=Parameters!$D$69, AG1008, MIN(AG1008,-SUM(OFFSET(AG985, 0, MIN(12, COUNTA(AH$3:$BV$3)), , -MIN(12, COUNTA(AH$3:$BV$3))))))</f>
        <v>0</v>
      </c>
      <c r="AH916" s="133">
        <f ca="1">IF($E916=Parameters!$D$69, AH1008, MIN(AH1008,-SUM(OFFSET(AH985, 0, MIN(12, COUNTA(AI$3:$BV$3)), , -MIN(12, COUNTA(AI$3:$BV$3))))))</f>
        <v>0</v>
      </c>
      <c r="AI916" s="133">
        <f ca="1">IF($E916=Parameters!$D$69, AI1008, MIN(AI1008,-SUM(OFFSET(AI985, 0, MIN(12, COUNTA(AJ$3:$BV$3)), , -MIN(12, COUNTA(AJ$3:$BV$3))))))</f>
        <v>0</v>
      </c>
      <c r="AJ916" s="133">
        <f ca="1">IF($E916=Parameters!$D$69, AJ1008, MIN(AJ1008,-SUM(OFFSET(AJ985, 0, MIN(12, COUNTA(AK$3:$BV$3)), , -MIN(12, COUNTA(AK$3:$BV$3))))))</f>
        <v>0</v>
      </c>
      <c r="AK916" s="133">
        <f ca="1">IF($E916=Parameters!$D$69, AK1008, MIN(AK1008,-SUM(OFFSET(AK985, 0, MIN(12, COUNTA(AL$3:$BV$3)), , -MIN(12, COUNTA(AL$3:$BV$3))))))</f>
        <v>0</v>
      </c>
      <c r="AL916" s="133">
        <f ca="1">IF($E916=Parameters!$D$69, AL1008, MIN(AL1008,-SUM(OFFSET(AL985, 0, MIN(12, COUNTA(AM$3:$BV$3)), , -MIN(12, COUNTA(AM$3:$BV$3))))))</f>
        <v>0</v>
      </c>
      <c r="AM916" s="133">
        <f ca="1">IF($E916=Parameters!$D$69, AM1008, MIN(AM1008,-SUM(OFFSET(AM985, 0, MIN(12, COUNTA(AN$3:$BV$3)), , -MIN(12, COUNTA(AN$3:$BV$3))))))</f>
        <v>0</v>
      </c>
      <c r="AN916" s="133">
        <f ca="1">IF($E916=Parameters!$D$69, AN1008, MIN(AN1008,-SUM(OFFSET(AN985, 0, MIN(12, COUNTA(AO$3:$BV$3)), , -MIN(12, COUNTA(AO$3:$BV$3))))))</f>
        <v>0</v>
      </c>
      <c r="AO916" s="133">
        <f ca="1">IF($E916=Parameters!$D$69, AO1008, MIN(AO1008,-SUM(OFFSET(AO985, 0, MIN(12, COUNTA(AP$3:$BV$3)), , -MIN(12, COUNTA(AP$3:$BV$3))))))</f>
        <v>0</v>
      </c>
      <c r="AP916" s="133">
        <f ca="1">IF($E916=Parameters!$D$69, AP1008, MIN(AP1008,-SUM(OFFSET(AP985, 0, MIN(12, COUNTA(AQ$3:$BV$3)), , -MIN(12, COUNTA(AQ$3:$BV$3))))))</f>
        <v>0</v>
      </c>
      <c r="AQ916" s="133">
        <f ca="1">IF($E916=Parameters!$D$69, AQ1008, MIN(AQ1008,-SUM(OFFSET(AQ985, 0, MIN(12, COUNTA(AR$3:$BV$3)), , -MIN(12, COUNTA(AR$3:$BV$3))))))</f>
        <v>0</v>
      </c>
      <c r="AR916" s="133">
        <f ca="1">IF($E916=Parameters!$D$69, AR1008, MIN(AR1008,-SUM(OFFSET(AR985, 0, MIN(12, COUNTA(AS$3:$BV$3)), , -MIN(12, COUNTA(AS$3:$BV$3))))))</f>
        <v>0</v>
      </c>
      <c r="AS916" s="133">
        <f ca="1">IF($E916=Parameters!$D$69, AS1008, MIN(AS1008,-SUM(OFFSET(AS985, 0, MIN(12, COUNTA(AT$3:$BV$3)), , -MIN(12, COUNTA(AT$3:$BV$3))))))</f>
        <v>0</v>
      </c>
      <c r="AT916" s="133">
        <f ca="1">IF($E916=Parameters!$D$69, AT1008, MIN(AT1008,-SUM(OFFSET(AT985, 0, MIN(12, COUNTA(AU$3:$BV$3)), , -MIN(12, COUNTA(AU$3:$BV$3))))))</f>
        <v>0</v>
      </c>
      <c r="AU916" s="133">
        <f ca="1">IF($E916=Parameters!$D$69, AU1008, MIN(AU1008,-SUM(OFFSET(AU985, 0, MIN(12, COUNTA(AV$3:$BV$3)), , -MIN(12, COUNTA(AV$3:$BV$3))))))</f>
        <v>0</v>
      </c>
      <c r="AV916" s="133">
        <f ca="1">IF($E916=Parameters!$D$69, AV1008, MIN(AV1008,-SUM(OFFSET(AV985, 0, MIN(12, COUNTA(AW$3:$BV$3)), , -MIN(12, COUNTA(AW$3:$BV$3))))))</f>
        <v>0</v>
      </c>
      <c r="AW916" s="133">
        <f ca="1">IF($E916=Parameters!$D$69, AW1008, MIN(AW1008,-SUM(OFFSET(AW985, 0, MIN(12, COUNTA(AX$3:$BV$3)), , -MIN(12, COUNTA(AX$3:$BV$3))))))</f>
        <v>0</v>
      </c>
      <c r="AX916" s="133">
        <f ca="1">IF($E916=Parameters!$D$69, AX1008, MIN(AX1008,-SUM(OFFSET(AX985, 0, MIN(12, COUNTA(AY$3:$BV$3)), , -MIN(12, COUNTA(AY$3:$BV$3))))))</f>
        <v>0</v>
      </c>
      <c r="AY916" s="133">
        <f ca="1">IF($E916=Parameters!$D$69, AY1008, MIN(AY1008,-SUM(OFFSET(AY985, 0, MIN(12, COUNTA(AZ$3:$BV$3)), , -MIN(12, COUNTA(AZ$3:$BV$3))))))</f>
        <v>0</v>
      </c>
      <c r="AZ916" s="133">
        <f ca="1">IF($E916=Parameters!$D$69, AZ1008, MIN(AZ1008,-SUM(OFFSET(AZ985, 0, MIN(12, COUNTA(BA$3:$BV$3)), , -MIN(12, COUNTA(BA$3:$BV$3))))))</f>
        <v>0</v>
      </c>
      <c r="BA916" s="133">
        <f ca="1">IF($E916=Parameters!$D$69, BA1008, MIN(BA1008,-SUM(OFFSET(BA985, 0, MIN(12, COUNTA(BB$3:$BV$3)), , -MIN(12, COUNTA(BB$3:$BV$3))))))</f>
        <v>0</v>
      </c>
      <c r="BB916" s="133">
        <f ca="1">IF($E916=Parameters!$D$69, BB1008, MIN(BB1008,-SUM(OFFSET(BB985, 0, MIN(12, COUNTA(BC$3:$BV$3)), , -MIN(12, COUNTA(BC$3:$BV$3))))))</f>
        <v>0</v>
      </c>
      <c r="BC916" s="133">
        <f ca="1">IF($E916=Parameters!$D$69, BC1008, MIN(BC1008,-SUM(OFFSET(BC985, 0, MIN(12, COUNTA(BD$3:$BV$3)), , -MIN(12, COUNTA(BD$3:$BV$3))))))</f>
        <v>0</v>
      </c>
      <c r="BD916" s="133">
        <f ca="1">IF($E916=Parameters!$D$69, BD1008, MIN(BD1008,-SUM(OFFSET(BD985, 0, MIN(12, COUNTA(BE$3:$BV$3)), , -MIN(12, COUNTA(BE$3:$BV$3))))))</f>
        <v>0</v>
      </c>
      <c r="BE916" s="133">
        <f ca="1">IF($E916=Parameters!$D$69, BE1008, MIN(BE1008,-SUM(OFFSET(BE985, 0, MIN(12, COUNTA(BF$3:$BV$3)), , -MIN(12, COUNTA(BF$3:$BV$3))))))</f>
        <v>0</v>
      </c>
      <c r="BF916" s="133">
        <f ca="1">IF($E916=Parameters!$D$69, BF1008, MIN(BF1008,-SUM(OFFSET(BF985, 0, MIN(12, COUNTA(BG$3:$BV$3)), , -MIN(12, COUNTA(BG$3:$BV$3))))))</f>
        <v>0</v>
      </c>
      <c r="BG916" s="133">
        <f ca="1">IF($E916=Parameters!$D$69, BG1008, MIN(BG1008,-SUM(OFFSET(BG985, 0, MIN(12, COUNTA(BH$3:$BV$3)), , -MIN(12, COUNTA(BH$3:$BV$3))))))</f>
        <v>0</v>
      </c>
      <c r="BH916" s="133">
        <f ca="1">IF($E916=Parameters!$D$69, BH1008, MIN(BH1008,-SUM(OFFSET(BH985, 0, MIN(12, COUNTA(BI$3:$BV$3)), , -MIN(12, COUNTA(BI$3:$BV$3))))))</f>
        <v>0</v>
      </c>
      <c r="BI916" s="133">
        <f ca="1">IF($E916=Parameters!$D$69, BI1008, MIN(BI1008,-SUM(OFFSET(BI985, 0, MIN(12, COUNTA(BJ$3:$BV$3)), , -MIN(12, COUNTA(BJ$3:$BV$3))))))</f>
        <v>0</v>
      </c>
      <c r="BJ916" s="133">
        <f ca="1">IF($E916=Parameters!$D$69, BJ1008, MIN(BJ1008,-SUM(OFFSET(BJ985, 0, MIN(12, COUNTA(BK$3:$BV$3)), , -MIN(12, COUNTA(BK$3:$BV$3))))))</f>
        <v>0</v>
      </c>
      <c r="BK916" s="106"/>
      <c r="BL916" s="106"/>
      <c r="BM916" s="106"/>
      <c r="BN916" s="106"/>
      <c r="BO916" s="106"/>
      <c r="BP916" s="106"/>
      <c r="BQ916" s="106"/>
      <c r="BR916" s="106"/>
      <c r="BS916" s="106"/>
      <c r="BT916" s="106"/>
      <c r="BU916" s="106"/>
      <c r="BV916" s="106"/>
      <c r="BX916" s="106"/>
      <c r="BY916" s="12">
        <f t="shared" ca="1" si="909"/>
        <v>0</v>
      </c>
      <c r="BZ916" s="12">
        <f t="shared" ca="1" si="910"/>
        <v>0</v>
      </c>
      <c r="CA916" s="12">
        <f t="shared" ca="1" si="911"/>
        <v>0</v>
      </c>
      <c r="CB916" s="106"/>
      <c r="CC916" s="106"/>
      <c r="CD916" s="106"/>
      <c r="CE916" s="106"/>
      <c r="CF916" s="106"/>
      <c r="CG916" s="106"/>
      <c r="CH916" s="106"/>
      <c r="CI916" s="106"/>
      <c r="CK916" s="11"/>
      <c r="CM916" s="11"/>
      <c r="DF916" s="11"/>
      <c r="EY916" s="10" t="str">
        <f t="shared" si="907"/>
        <v/>
      </c>
    </row>
    <row r="917" spans="1:155" x14ac:dyDescent="0.35">
      <c r="B917" s="69" t="str" cm="1">
        <f t="array" aca="1" ref="B917" ca="1">HYPERLINK(CONCATENATE("#",CELL("address",$D$227)),$D$227)</f>
        <v>Loan 10</v>
      </c>
      <c r="C917" s="211"/>
      <c r="D917" s="49">
        <f>D$22</f>
        <v>0</v>
      </c>
      <c r="E917" s="49" t="str">
        <f>F$22</f>
        <v/>
      </c>
      <c r="F917" s="49"/>
      <c r="H917" s="9"/>
      <c r="I917" s="40" t="s">
        <v>665</v>
      </c>
      <c r="V917" s="106"/>
      <c r="W917" s="133">
        <f t="shared" ca="1" si="908"/>
        <v>0</v>
      </c>
      <c r="X917" s="133">
        <f t="shared" ca="1" si="908"/>
        <v>0</v>
      </c>
      <c r="Y917" s="133">
        <f t="shared" ca="1" si="908"/>
        <v>0</v>
      </c>
      <c r="AA917" s="133">
        <f ca="1">IF($E917=Parameters!$D$69, AA1009, MIN(AA1009,-SUM(OFFSET(AA986, 0, MIN(12, COUNTA(AB$3:$BV$3)), , -MIN(12, COUNTA(AB$3:$BV$3))))))</f>
        <v>0</v>
      </c>
      <c r="AB917" s="133">
        <f ca="1">IF($E917=Parameters!$D$69, AB1009, MIN(AB1009,-SUM(OFFSET(AB986, 0, MIN(12, COUNTA(AC$3:$BV$3)), , -MIN(12, COUNTA(AC$3:$BV$3))))))</f>
        <v>0</v>
      </c>
      <c r="AC917" s="133">
        <f ca="1">IF($E917=Parameters!$D$69, AC1009, MIN(AC1009,-SUM(OFFSET(AC986, 0, MIN(12, COUNTA(AD$3:$BV$3)), , -MIN(12, COUNTA(AD$3:$BV$3))))))</f>
        <v>0</v>
      </c>
      <c r="AD917" s="133">
        <f ca="1">IF($E917=Parameters!$D$69, AD1009, MIN(AD1009,-SUM(OFFSET(AD986, 0, MIN(12, COUNTA(AE$3:$BV$3)), , -MIN(12, COUNTA(AE$3:$BV$3))))))</f>
        <v>0</v>
      </c>
      <c r="AE917" s="133">
        <f ca="1">IF($E917=Parameters!$D$69, AE1009, MIN(AE1009,-SUM(OFFSET(AE986, 0, MIN(12, COUNTA(AF$3:$BV$3)), , -MIN(12, COUNTA(AF$3:$BV$3))))))</f>
        <v>0</v>
      </c>
      <c r="AF917" s="133">
        <f ca="1">IF($E917=Parameters!$D$69, AF1009, MIN(AF1009,-SUM(OFFSET(AF986, 0, MIN(12, COUNTA(AG$3:$BV$3)), , -MIN(12, COUNTA(AG$3:$BV$3))))))</f>
        <v>0</v>
      </c>
      <c r="AG917" s="133">
        <f ca="1">IF($E917=Parameters!$D$69, AG1009, MIN(AG1009,-SUM(OFFSET(AG986, 0, MIN(12, COUNTA(AH$3:$BV$3)), , -MIN(12, COUNTA(AH$3:$BV$3))))))</f>
        <v>0</v>
      </c>
      <c r="AH917" s="133">
        <f ca="1">IF($E917=Parameters!$D$69, AH1009, MIN(AH1009,-SUM(OFFSET(AH986, 0, MIN(12, COUNTA(AI$3:$BV$3)), , -MIN(12, COUNTA(AI$3:$BV$3))))))</f>
        <v>0</v>
      </c>
      <c r="AI917" s="133">
        <f ca="1">IF($E917=Parameters!$D$69, AI1009, MIN(AI1009,-SUM(OFFSET(AI986, 0, MIN(12, COUNTA(AJ$3:$BV$3)), , -MIN(12, COUNTA(AJ$3:$BV$3))))))</f>
        <v>0</v>
      </c>
      <c r="AJ917" s="133">
        <f ca="1">IF($E917=Parameters!$D$69, AJ1009, MIN(AJ1009,-SUM(OFFSET(AJ986, 0, MIN(12, COUNTA(AK$3:$BV$3)), , -MIN(12, COUNTA(AK$3:$BV$3))))))</f>
        <v>0</v>
      </c>
      <c r="AK917" s="133">
        <f ca="1">IF($E917=Parameters!$D$69, AK1009, MIN(AK1009,-SUM(OFFSET(AK986, 0, MIN(12, COUNTA(AL$3:$BV$3)), , -MIN(12, COUNTA(AL$3:$BV$3))))))</f>
        <v>0</v>
      </c>
      <c r="AL917" s="133">
        <f ca="1">IF($E917=Parameters!$D$69, AL1009, MIN(AL1009,-SUM(OFFSET(AL986, 0, MIN(12, COUNTA(AM$3:$BV$3)), , -MIN(12, COUNTA(AM$3:$BV$3))))))</f>
        <v>0</v>
      </c>
      <c r="AM917" s="133">
        <f ca="1">IF($E917=Parameters!$D$69, AM1009, MIN(AM1009,-SUM(OFFSET(AM986, 0, MIN(12, COUNTA(AN$3:$BV$3)), , -MIN(12, COUNTA(AN$3:$BV$3))))))</f>
        <v>0</v>
      </c>
      <c r="AN917" s="133">
        <f ca="1">IF($E917=Parameters!$D$69, AN1009, MIN(AN1009,-SUM(OFFSET(AN986, 0, MIN(12, COUNTA(AO$3:$BV$3)), , -MIN(12, COUNTA(AO$3:$BV$3))))))</f>
        <v>0</v>
      </c>
      <c r="AO917" s="133">
        <f ca="1">IF($E917=Parameters!$D$69, AO1009, MIN(AO1009,-SUM(OFFSET(AO986, 0, MIN(12, COUNTA(AP$3:$BV$3)), , -MIN(12, COUNTA(AP$3:$BV$3))))))</f>
        <v>0</v>
      </c>
      <c r="AP917" s="133">
        <f ca="1">IF($E917=Parameters!$D$69, AP1009, MIN(AP1009,-SUM(OFFSET(AP986, 0, MIN(12, COUNTA(AQ$3:$BV$3)), , -MIN(12, COUNTA(AQ$3:$BV$3))))))</f>
        <v>0</v>
      </c>
      <c r="AQ917" s="133">
        <f ca="1">IF($E917=Parameters!$D$69, AQ1009, MIN(AQ1009,-SUM(OFFSET(AQ986, 0, MIN(12, COUNTA(AR$3:$BV$3)), , -MIN(12, COUNTA(AR$3:$BV$3))))))</f>
        <v>0</v>
      </c>
      <c r="AR917" s="133">
        <f ca="1">IF($E917=Parameters!$D$69, AR1009, MIN(AR1009,-SUM(OFFSET(AR986, 0, MIN(12, COUNTA(AS$3:$BV$3)), , -MIN(12, COUNTA(AS$3:$BV$3))))))</f>
        <v>0</v>
      </c>
      <c r="AS917" s="133">
        <f ca="1">IF($E917=Parameters!$D$69, AS1009, MIN(AS1009,-SUM(OFFSET(AS986, 0, MIN(12, COUNTA(AT$3:$BV$3)), , -MIN(12, COUNTA(AT$3:$BV$3))))))</f>
        <v>0</v>
      </c>
      <c r="AT917" s="133">
        <f ca="1">IF($E917=Parameters!$D$69, AT1009, MIN(AT1009,-SUM(OFFSET(AT986, 0, MIN(12, COUNTA(AU$3:$BV$3)), , -MIN(12, COUNTA(AU$3:$BV$3))))))</f>
        <v>0</v>
      </c>
      <c r="AU917" s="133">
        <f ca="1">IF($E917=Parameters!$D$69, AU1009, MIN(AU1009,-SUM(OFFSET(AU986, 0, MIN(12, COUNTA(AV$3:$BV$3)), , -MIN(12, COUNTA(AV$3:$BV$3))))))</f>
        <v>0</v>
      </c>
      <c r="AV917" s="133">
        <f ca="1">IF($E917=Parameters!$D$69, AV1009, MIN(AV1009,-SUM(OFFSET(AV986, 0, MIN(12, COUNTA(AW$3:$BV$3)), , -MIN(12, COUNTA(AW$3:$BV$3))))))</f>
        <v>0</v>
      </c>
      <c r="AW917" s="133">
        <f ca="1">IF($E917=Parameters!$D$69, AW1009, MIN(AW1009,-SUM(OFFSET(AW986, 0, MIN(12, COUNTA(AX$3:$BV$3)), , -MIN(12, COUNTA(AX$3:$BV$3))))))</f>
        <v>0</v>
      </c>
      <c r="AX917" s="133">
        <f ca="1">IF($E917=Parameters!$D$69, AX1009, MIN(AX1009,-SUM(OFFSET(AX986, 0, MIN(12, COUNTA(AY$3:$BV$3)), , -MIN(12, COUNTA(AY$3:$BV$3))))))</f>
        <v>0</v>
      </c>
      <c r="AY917" s="133">
        <f ca="1">IF($E917=Parameters!$D$69, AY1009, MIN(AY1009,-SUM(OFFSET(AY986, 0, MIN(12, COUNTA(AZ$3:$BV$3)), , -MIN(12, COUNTA(AZ$3:$BV$3))))))</f>
        <v>0</v>
      </c>
      <c r="AZ917" s="133">
        <f ca="1">IF($E917=Parameters!$D$69, AZ1009, MIN(AZ1009,-SUM(OFFSET(AZ986, 0, MIN(12, COUNTA(BA$3:$BV$3)), , -MIN(12, COUNTA(BA$3:$BV$3))))))</f>
        <v>0</v>
      </c>
      <c r="BA917" s="133">
        <f ca="1">IF($E917=Parameters!$D$69, BA1009, MIN(BA1009,-SUM(OFFSET(BA986, 0, MIN(12, COUNTA(BB$3:$BV$3)), , -MIN(12, COUNTA(BB$3:$BV$3))))))</f>
        <v>0</v>
      </c>
      <c r="BB917" s="133">
        <f ca="1">IF($E917=Parameters!$D$69, BB1009, MIN(BB1009,-SUM(OFFSET(BB986, 0, MIN(12, COUNTA(BC$3:$BV$3)), , -MIN(12, COUNTA(BC$3:$BV$3))))))</f>
        <v>0</v>
      </c>
      <c r="BC917" s="133">
        <f ca="1">IF($E917=Parameters!$D$69, BC1009, MIN(BC1009,-SUM(OFFSET(BC986, 0, MIN(12, COUNTA(BD$3:$BV$3)), , -MIN(12, COUNTA(BD$3:$BV$3))))))</f>
        <v>0</v>
      </c>
      <c r="BD917" s="133">
        <f ca="1">IF($E917=Parameters!$D$69, BD1009, MIN(BD1009,-SUM(OFFSET(BD986, 0, MIN(12, COUNTA(BE$3:$BV$3)), , -MIN(12, COUNTA(BE$3:$BV$3))))))</f>
        <v>0</v>
      </c>
      <c r="BE917" s="133">
        <f ca="1">IF($E917=Parameters!$D$69, BE1009, MIN(BE1009,-SUM(OFFSET(BE986, 0, MIN(12, COUNTA(BF$3:$BV$3)), , -MIN(12, COUNTA(BF$3:$BV$3))))))</f>
        <v>0</v>
      </c>
      <c r="BF917" s="133">
        <f ca="1">IF($E917=Parameters!$D$69, BF1009, MIN(BF1009,-SUM(OFFSET(BF986, 0, MIN(12, COUNTA(BG$3:$BV$3)), , -MIN(12, COUNTA(BG$3:$BV$3))))))</f>
        <v>0</v>
      </c>
      <c r="BG917" s="133">
        <f ca="1">IF($E917=Parameters!$D$69, BG1009, MIN(BG1009,-SUM(OFFSET(BG986, 0, MIN(12, COUNTA(BH$3:$BV$3)), , -MIN(12, COUNTA(BH$3:$BV$3))))))</f>
        <v>0</v>
      </c>
      <c r="BH917" s="133">
        <f ca="1">IF($E917=Parameters!$D$69, BH1009, MIN(BH1009,-SUM(OFFSET(BH986, 0, MIN(12, COUNTA(BI$3:$BV$3)), , -MIN(12, COUNTA(BI$3:$BV$3))))))</f>
        <v>0</v>
      </c>
      <c r="BI917" s="133">
        <f ca="1">IF($E917=Parameters!$D$69, BI1009, MIN(BI1009,-SUM(OFFSET(BI986, 0, MIN(12, COUNTA(BJ$3:$BV$3)), , -MIN(12, COUNTA(BJ$3:$BV$3))))))</f>
        <v>0</v>
      </c>
      <c r="BJ917" s="133">
        <f ca="1">IF($E917=Parameters!$D$69, BJ1009, MIN(BJ1009,-SUM(OFFSET(BJ986, 0, MIN(12, COUNTA(BK$3:$BV$3)), , -MIN(12, COUNTA(BK$3:$BV$3))))))</f>
        <v>0</v>
      </c>
      <c r="BK917" s="106"/>
      <c r="BL917" s="106"/>
      <c r="BM917" s="106"/>
      <c r="BN917" s="106"/>
      <c r="BO917" s="106"/>
      <c r="BP917" s="106"/>
      <c r="BQ917" s="106"/>
      <c r="BR917" s="106"/>
      <c r="BS917" s="106"/>
      <c r="BT917" s="106"/>
      <c r="BU917" s="106"/>
      <c r="BV917" s="106"/>
      <c r="BX917" s="106"/>
      <c r="BY917" s="12">
        <f t="shared" ca="1" si="909"/>
        <v>0</v>
      </c>
      <c r="BZ917" s="12">
        <f t="shared" ca="1" si="910"/>
        <v>0</v>
      </c>
      <c r="CA917" s="12">
        <f t="shared" ca="1" si="911"/>
        <v>0</v>
      </c>
      <c r="CB917" s="106"/>
      <c r="CC917" s="106"/>
      <c r="CD917" s="106"/>
      <c r="CE917" s="106"/>
      <c r="CF917" s="106"/>
      <c r="CG917" s="106"/>
      <c r="CH917" s="106"/>
      <c r="CI917" s="106"/>
      <c r="CK917" s="11"/>
      <c r="CM917" s="11"/>
      <c r="DF917" s="11"/>
      <c r="EY917" s="10" t="str">
        <f t="shared" si="907"/>
        <v/>
      </c>
    </row>
    <row r="918" spans="1:155" x14ac:dyDescent="0.35">
      <c r="B918" s="69" t="str" cm="1">
        <f t="array" aca="1" ref="B918" ca="1">HYPERLINK(CONCATENATE("#",CELL("address",$D$246)),$D$246)</f>
        <v>Loan 11</v>
      </c>
      <c r="C918" s="211"/>
      <c r="D918" s="49">
        <f>D$23</f>
        <v>0</v>
      </c>
      <c r="E918" s="49" t="str">
        <f>F$23</f>
        <v/>
      </c>
      <c r="F918" s="49"/>
      <c r="H918" s="9"/>
      <c r="I918" s="40" t="s">
        <v>665</v>
      </c>
      <c r="V918" s="106"/>
      <c r="W918" s="133">
        <f t="shared" ca="1" si="908"/>
        <v>0</v>
      </c>
      <c r="X918" s="133">
        <f t="shared" ca="1" si="908"/>
        <v>0</v>
      </c>
      <c r="Y918" s="133">
        <f t="shared" ca="1" si="908"/>
        <v>0</v>
      </c>
      <c r="AA918" s="133">
        <f ca="1">IF($E918=Parameters!$D$69, AA1010, MIN(AA1010,-SUM(OFFSET(AA987, 0, MIN(12, COUNTA(AB$3:$BV$3)), , -MIN(12, COUNTA(AB$3:$BV$3))))))</f>
        <v>0</v>
      </c>
      <c r="AB918" s="133">
        <f ca="1">IF($E918=Parameters!$D$69, AB1010, MIN(AB1010,-SUM(OFFSET(AB987, 0, MIN(12, COUNTA(AC$3:$BV$3)), , -MIN(12, COUNTA(AC$3:$BV$3))))))</f>
        <v>0</v>
      </c>
      <c r="AC918" s="133">
        <f ca="1">IF($E918=Parameters!$D$69, AC1010, MIN(AC1010,-SUM(OFFSET(AC987, 0, MIN(12, COUNTA(AD$3:$BV$3)), , -MIN(12, COUNTA(AD$3:$BV$3))))))</f>
        <v>0</v>
      </c>
      <c r="AD918" s="133">
        <f ca="1">IF($E918=Parameters!$D$69, AD1010, MIN(AD1010,-SUM(OFFSET(AD987, 0, MIN(12, COUNTA(AE$3:$BV$3)), , -MIN(12, COUNTA(AE$3:$BV$3))))))</f>
        <v>0</v>
      </c>
      <c r="AE918" s="133">
        <f ca="1">IF($E918=Parameters!$D$69, AE1010, MIN(AE1010,-SUM(OFFSET(AE987, 0, MIN(12, COUNTA(AF$3:$BV$3)), , -MIN(12, COUNTA(AF$3:$BV$3))))))</f>
        <v>0</v>
      </c>
      <c r="AF918" s="133">
        <f ca="1">IF($E918=Parameters!$D$69, AF1010, MIN(AF1010,-SUM(OFFSET(AF987, 0, MIN(12, COUNTA(AG$3:$BV$3)), , -MIN(12, COUNTA(AG$3:$BV$3))))))</f>
        <v>0</v>
      </c>
      <c r="AG918" s="133">
        <f ca="1">IF($E918=Parameters!$D$69, AG1010, MIN(AG1010,-SUM(OFFSET(AG987, 0, MIN(12, COUNTA(AH$3:$BV$3)), , -MIN(12, COUNTA(AH$3:$BV$3))))))</f>
        <v>0</v>
      </c>
      <c r="AH918" s="133">
        <f ca="1">IF($E918=Parameters!$D$69, AH1010, MIN(AH1010,-SUM(OFFSET(AH987, 0, MIN(12, COUNTA(AI$3:$BV$3)), , -MIN(12, COUNTA(AI$3:$BV$3))))))</f>
        <v>0</v>
      </c>
      <c r="AI918" s="133">
        <f ca="1">IF($E918=Parameters!$D$69, AI1010, MIN(AI1010,-SUM(OFFSET(AI987, 0, MIN(12, COUNTA(AJ$3:$BV$3)), , -MIN(12, COUNTA(AJ$3:$BV$3))))))</f>
        <v>0</v>
      </c>
      <c r="AJ918" s="133">
        <f ca="1">IF($E918=Parameters!$D$69, AJ1010, MIN(AJ1010,-SUM(OFFSET(AJ987, 0, MIN(12, COUNTA(AK$3:$BV$3)), , -MIN(12, COUNTA(AK$3:$BV$3))))))</f>
        <v>0</v>
      </c>
      <c r="AK918" s="133">
        <f ca="1">IF($E918=Parameters!$D$69, AK1010, MIN(AK1010,-SUM(OFFSET(AK987, 0, MIN(12, COUNTA(AL$3:$BV$3)), , -MIN(12, COUNTA(AL$3:$BV$3))))))</f>
        <v>0</v>
      </c>
      <c r="AL918" s="133">
        <f ca="1">IF($E918=Parameters!$D$69, AL1010, MIN(AL1010,-SUM(OFFSET(AL987, 0, MIN(12, COUNTA(AM$3:$BV$3)), , -MIN(12, COUNTA(AM$3:$BV$3))))))</f>
        <v>0</v>
      </c>
      <c r="AM918" s="133">
        <f ca="1">IF($E918=Parameters!$D$69, AM1010, MIN(AM1010,-SUM(OFFSET(AM987, 0, MIN(12, COUNTA(AN$3:$BV$3)), , -MIN(12, COUNTA(AN$3:$BV$3))))))</f>
        <v>0</v>
      </c>
      <c r="AN918" s="133">
        <f ca="1">IF($E918=Parameters!$D$69, AN1010, MIN(AN1010,-SUM(OFFSET(AN987, 0, MIN(12, COUNTA(AO$3:$BV$3)), , -MIN(12, COUNTA(AO$3:$BV$3))))))</f>
        <v>0</v>
      </c>
      <c r="AO918" s="133">
        <f ca="1">IF($E918=Parameters!$D$69, AO1010, MIN(AO1010,-SUM(OFFSET(AO987, 0, MIN(12, COUNTA(AP$3:$BV$3)), , -MIN(12, COUNTA(AP$3:$BV$3))))))</f>
        <v>0</v>
      </c>
      <c r="AP918" s="133">
        <f ca="1">IF($E918=Parameters!$D$69, AP1010, MIN(AP1010,-SUM(OFFSET(AP987, 0, MIN(12, COUNTA(AQ$3:$BV$3)), , -MIN(12, COUNTA(AQ$3:$BV$3))))))</f>
        <v>0</v>
      </c>
      <c r="AQ918" s="133">
        <f ca="1">IF($E918=Parameters!$D$69, AQ1010, MIN(AQ1010,-SUM(OFFSET(AQ987, 0, MIN(12, COUNTA(AR$3:$BV$3)), , -MIN(12, COUNTA(AR$3:$BV$3))))))</f>
        <v>0</v>
      </c>
      <c r="AR918" s="133">
        <f ca="1">IF($E918=Parameters!$D$69, AR1010, MIN(AR1010,-SUM(OFFSET(AR987, 0, MIN(12, COUNTA(AS$3:$BV$3)), , -MIN(12, COUNTA(AS$3:$BV$3))))))</f>
        <v>0</v>
      </c>
      <c r="AS918" s="133">
        <f ca="1">IF($E918=Parameters!$D$69, AS1010, MIN(AS1010,-SUM(OFFSET(AS987, 0, MIN(12, COUNTA(AT$3:$BV$3)), , -MIN(12, COUNTA(AT$3:$BV$3))))))</f>
        <v>0</v>
      </c>
      <c r="AT918" s="133">
        <f ca="1">IF($E918=Parameters!$D$69, AT1010, MIN(AT1010,-SUM(OFFSET(AT987, 0, MIN(12, COUNTA(AU$3:$BV$3)), , -MIN(12, COUNTA(AU$3:$BV$3))))))</f>
        <v>0</v>
      </c>
      <c r="AU918" s="133">
        <f ca="1">IF($E918=Parameters!$D$69, AU1010, MIN(AU1010,-SUM(OFFSET(AU987, 0, MIN(12, COUNTA(AV$3:$BV$3)), , -MIN(12, COUNTA(AV$3:$BV$3))))))</f>
        <v>0</v>
      </c>
      <c r="AV918" s="133">
        <f ca="1">IF($E918=Parameters!$D$69, AV1010, MIN(AV1010,-SUM(OFFSET(AV987, 0, MIN(12, COUNTA(AW$3:$BV$3)), , -MIN(12, COUNTA(AW$3:$BV$3))))))</f>
        <v>0</v>
      </c>
      <c r="AW918" s="133">
        <f ca="1">IF($E918=Parameters!$D$69, AW1010, MIN(AW1010,-SUM(OFFSET(AW987, 0, MIN(12, COUNTA(AX$3:$BV$3)), , -MIN(12, COUNTA(AX$3:$BV$3))))))</f>
        <v>0</v>
      </c>
      <c r="AX918" s="133">
        <f ca="1">IF($E918=Parameters!$D$69, AX1010, MIN(AX1010,-SUM(OFFSET(AX987, 0, MIN(12, COUNTA(AY$3:$BV$3)), , -MIN(12, COUNTA(AY$3:$BV$3))))))</f>
        <v>0</v>
      </c>
      <c r="AY918" s="133">
        <f ca="1">IF($E918=Parameters!$D$69, AY1010, MIN(AY1010,-SUM(OFFSET(AY987, 0, MIN(12, COUNTA(AZ$3:$BV$3)), , -MIN(12, COUNTA(AZ$3:$BV$3))))))</f>
        <v>0</v>
      </c>
      <c r="AZ918" s="133">
        <f ca="1">IF($E918=Parameters!$D$69, AZ1010, MIN(AZ1010,-SUM(OFFSET(AZ987, 0, MIN(12, COUNTA(BA$3:$BV$3)), , -MIN(12, COUNTA(BA$3:$BV$3))))))</f>
        <v>0</v>
      </c>
      <c r="BA918" s="133">
        <f ca="1">IF($E918=Parameters!$D$69, BA1010, MIN(BA1010,-SUM(OFFSET(BA987, 0, MIN(12, COUNTA(BB$3:$BV$3)), , -MIN(12, COUNTA(BB$3:$BV$3))))))</f>
        <v>0</v>
      </c>
      <c r="BB918" s="133">
        <f ca="1">IF($E918=Parameters!$D$69, BB1010, MIN(BB1010,-SUM(OFFSET(BB987, 0, MIN(12, COUNTA(BC$3:$BV$3)), , -MIN(12, COUNTA(BC$3:$BV$3))))))</f>
        <v>0</v>
      </c>
      <c r="BC918" s="133">
        <f ca="1">IF($E918=Parameters!$D$69, BC1010, MIN(BC1010,-SUM(OFFSET(BC987, 0, MIN(12, COUNTA(BD$3:$BV$3)), , -MIN(12, COUNTA(BD$3:$BV$3))))))</f>
        <v>0</v>
      </c>
      <c r="BD918" s="133">
        <f ca="1">IF($E918=Parameters!$D$69, BD1010, MIN(BD1010,-SUM(OFFSET(BD987, 0, MIN(12, COUNTA(BE$3:$BV$3)), , -MIN(12, COUNTA(BE$3:$BV$3))))))</f>
        <v>0</v>
      </c>
      <c r="BE918" s="133">
        <f ca="1">IF($E918=Parameters!$D$69, BE1010, MIN(BE1010,-SUM(OFFSET(BE987, 0, MIN(12, COUNTA(BF$3:$BV$3)), , -MIN(12, COUNTA(BF$3:$BV$3))))))</f>
        <v>0</v>
      </c>
      <c r="BF918" s="133">
        <f ca="1">IF($E918=Parameters!$D$69, BF1010, MIN(BF1010,-SUM(OFFSET(BF987, 0, MIN(12, COUNTA(BG$3:$BV$3)), , -MIN(12, COUNTA(BG$3:$BV$3))))))</f>
        <v>0</v>
      </c>
      <c r="BG918" s="133">
        <f ca="1">IF($E918=Parameters!$D$69, BG1010, MIN(BG1010,-SUM(OFFSET(BG987, 0, MIN(12, COUNTA(BH$3:$BV$3)), , -MIN(12, COUNTA(BH$3:$BV$3))))))</f>
        <v>0</v>
      </c>
      <c r="BH918" s="133">
        <f ca="1">IF($E918=Parameters!$D$69, BH1010, MIN(BH1010,-SUM(OFFSET(BH987, 0, MIN(12, COUNTA(BI$3:$BV$3)), , -MIN(12, COUNTA(BI$3:$BV$3))))))</f>
        <v>0</v>
      </c>
      <c r="BI918" s="133">
        <f ca="1">IF($E918=Parameters!$D$69, BI1010, MIN(BI1010,-SUM(OFFSET(BI987, 0, MIN(12, COUNTA(BJ$3:$BV$3)), , -MIN(12, COUNTA(BJ$3:$BV$3))))))</f>
        <v>0</v>
      </c>
      <c r="BJ918" s="133">
        <f ca="1">IF($E918=Parameters!$D$69, BJ1010, MIN(BJ1010,-SUM(OFFSET(BJ987, 0, MIN(12, COUNTA(BK$3:$BV$3)), , -MIN(12, COUNTA(BK$3:$BV$3))))))</f>
        <v>0</v>
      </c>
      <c r="BK918" s="106"/>
      <c r="BL918" s="106"/>
      <c r="BM918" s="106"/>
      <c r="BN918" s="106"/>
      <c r="BO918" s="106"/>
      <c r="BP918" s="106"/>
      <c r="BQ918" s="106"/>
      <c r="BR918" s="106"/>
      <c r="BS918" s="106"/>
      <c r="BT918" s="106"/>
      <c r="BU918" s="106"/>
      <c r="BV918" s="106"/>
      <c r="BX918" s="106"/>
      <c r="BY918" s="12">
        <f t="shared" ca="1" si="909"/>
        <v>0</v>
      </c>
      <c r="BZ918" s="12">
        <f t="shared" ca="1" si="910"/>
        <v>0</v>
      </c>
      <c r="CA918" s="12">
        <f t="shared" ca="1" si="911"/>
        <v>0</v>
      </c>
      <c r="CB918" s="106"/>
      <c r="CC918" s="106"/>
      <c r="CD918" s="106"/>
      <c r="CE918" s="106"/>
      <c r="CF918" s="106"/>
      <c r="CG918" s="106"/>
      <c r="CH918" s="106"/>
      <c r="CI918" s="106"/>
      <c r="CK918" s="11"/>
      <c r="CM918" s="11"/>
      <c r="DF918" s="11"/>
      <c r="EY918" s="10" t="str">
        <f t="shared" si="907"/>
        <v/>
      </c>
    </row>
    <row r="919" spans="1:155" x14ac:dyDescent="0.35">
      <c r="B919" s="69" t="str" cm="1">
        <f t="array" aca="1" ref="B919" ca="1">HYPERLINK(CONCATENATE("#",CELL("address",$D$265)),$D$265)</f>
        <v>Loan 12</v>
      </c>
      <c r="C919" s="211"/>
      <c r="D919" s="49">
        <f>D$24</f>
        <v>0</v>
      </c>
      <c r="E919" s="49" t="str">
        <f>F$24</f>
        <v/>
      </c>
      <c r="F919" s="49"/>
      <c r="H919" s="9"/>
      <c r="I919" s="40" t="s">
        <v>665</v>
      </c>
      <c r="V919" s="106"/>
      <c r="W919" s="133">
        <f t="shared" ca="1" si="908"/>
        <v>0</v>
      </c>
      <c r="X919" s="133">
        <f t="shared" ca="1" si="908"/>
        <v>0</v>
      </c>
      <c r="Y919" s="133">
        <f t="shared" ca="1" si="908"/>
        <v>0</v>
      </c>
      <c r="AA919" s="133">
        <f ca="1">IF($E919=Parameters!$D$69, AA1011, MIN(AA1011,-SUM(OFFSET(AA988, 0, MIN(12, COUNTA(AB$3:$BV$3)), , -MIN(12, COUNTA(AB$3:$BV$3))))))</f>
        <v>0</v>
      </c>
      <c r="AB919" s="133">
        <f ca="1">IF($E919=Parameters!$D$69, AB1011, MIN(AB1011,-SUM(OFFSET(AB988, 0, MIN(12, COUNTA(AC$3:$BV$3)), , -MIN(12, COUNTA(AC$3:$BV$3))))))</f>
        <v>0</v>
      </c>
      <c r="AC919" s="133">
        <f ca="1">IF($E919=Parameters!$D$69, AC1011, MIN(AC1011,-SUM(OFFSET(AC988, 0, MIN(12, COUNTA(AD$3:$BV$3)), , -MIN(12, COUNTA(AD$3:$BV$3))))))</f>
        <v>0</v>
      </c>
      <c r="AD919" s="133">
        <f ca="1">IF($E919=Parameters!$D$69, AD1011, MIN(AD1011,-SUM(OFFSET(AD988, 0, MIN(12, COUNTA(AE$3:$BV$3)), , -MIN(12, COUNTA(AE$3:$BV$3))))))</f>
        <v>0</v>
      </c>
      <c r="AE919" s="133">
        <f ca="1">IF($E919=Parameters!$D$69, AE1011, MIN(AE1011,-SUM(OFFSET(AE988, 0, MIN(12, COUNTA(AF$3:$BV$3)), , -MIN(12, COUNTA(AF$3:$BV$3))))))</f>
        <v>0</v>
      </c>
      <c r="AF919" s="133">
        <f ca="1">IF($E919=Parameters!$D$69, AF1011, MIN(AF1011,-SUM(OFFSET(AF988, 0, MIN(12, COUNTA(AG$3:$BV$3)), , -MIN(12, COUNTA(AG$3:$BV$3))))))</f>
        <v>0</v>
      </c>
      <c r="AG919" s="133">
        <f ca="1">IF($E919=Parameters!$D$69, AG1011, MIN(AG1011,-SUM(OFFSET(AG988, 0, MIN(12, COUNTA(AH$3:$BV$3)), , -MIN(12, COUNTA(AH$3:$BV$3))))))</f>
        <v>0</v>
      </c>
      <c r="AH919" s="133">
        <f ca="1">IF($E919=Parameters!$D$69, AH1011, MIN(AH1011,-SUM(OFFSET(AH988, 0, MIN(12, COUNTA(AI$3:$BV$3)), , -MIN(12, COUNTA(AI$3:$BV$3))))))</f>
        <v>0</v>
      </c>
      <c r="AI919" s="133">
        <f ca="1">IF($E919=Parameters!$D$69, AI1011, MIN(AI1011,-SUM(OFFSET(AI988, 0, MIN(12, COUNTA(AJ$3:$BV$3)), , -MIN(12, COUNTA(AJ$3:$BV$3))))))</f>
        <v>0</v>
      </c>
      <c r="AJ919" s="133">
        <f ca="1">IF($E919=Parameters!$D$69, AJ1011, MIN(AJ1011,-SUM(OFFSET(AJ988, 0, MIN(12, COUNTA(AK$3:$BV$3)), , -MIN(12, COUNTA(AK$3:$BV$3))))))</f>
        <v>0</v>
      </c>
      <c r="AK919" s="133">
        <f ca="1">IF($E919=Parameters!$D$69, AK1011, MIN(AK1011,-SUM(OFFSET(AK988, 0, MIN(12, COUNTA(AL$3:$BV$3)), , -MIN(12, COUNTA(AL$3:$BV$3))))))</f>
        <v>0</v>
      </c>
      <c r="AL919" s="133">
        <f ca="1">IF($E919=Parameters!$D$69, AL1011, MIN(AL1011,-SUM(OFFSET(AL988, 0, MIN(12, COUNTA(AM$3:$BV$3)), , -MIN(12, COUNTA(AM$3:$BV$3))))))</f>
        <v>0</v>
      </c>
      <c r="AM919" s="133">
        <f ca="1">IF($E919=Parameters!$D$69, AM1011, MIN(AM1011,-SUM(OFFSET(AM988, 0, MIN(12, COUNTA(AN$3:$BV$3)), , -MIN(12, COUNTA(AN$3:$BV$3))))))</f>
        <v>0</v>
      </c>
      <c r="AN919" s="133">
        <f ca="1">IF($E919=Parameters!$D$69, AN1011, MIN(AN1011,-SUM(OFFSET(AN988, 0, MIN(12, COUNTA(AO$3:$BV$3)), , -MIN(12, COUNTA(AO$3:$BV$3))))))</f>
        <v>0</v>
      </c>
      <c r="AO919" s="133">
        <f ca="1">IF($E919=Parameters!$D$69, AO1011, MIN(AO1011,-SUM(OFFSET(AO988, 0, MIN(12, COUNTA(AP$3:$BV$3)), , -MIN(12, COUNTA(AP$3:$BV$3))))))</f>
        <v>0</v>
      </c>
      <c r="AP919" s="133">
        <f ca="1">IF($E919=Parameters!$D$69, AP1011, MIN(AP1011,-SUM(OFFSET(AP988, 0, MIN(12, COUNTA(AQ$3:$BV$3)), , -MIN(12, COUNTA(AQ$3:$BV$3))))))</f>
        <v>0</v>
      </c>
      <c r="AQ919" s="133">
        <f ca="1">IF($E919=Parameters!$D$69, AQ1011, MIN(AQ1011,-SUM(OFFSET(AQ988, 0, MIN(12, COUNTA(AR$3:$BV$3)), , -MIN(12, COUNTA(AR$3:$BV$3))))))</f>
        <v>0</v>
      </c>
      <c r="AR919" s="133">
        <f ca="1">IF($E919=Parameters!$D$69, AR1011, MIN(AR1011,-SUM(OFFSET(AR988, 0, MIN(12, COUNTA(AS$3:$BV$3)), , -MIN(12, COUNTA(AS$3:$BV$3))))))</f>
        <v>0</v>
      </c>
      <c r="AS919" s="133">
        <f ca="1">IF($E919=Parameters!$D$69, AS1011, MIN(AS1011,-SUM(OFFSET(AS988, 0, MIN(12, COUNTA(AT$3:$BV$3)), , -MIN(12, COUNTA(AT$3:$BV$3))))))</f>
        <v>0</v>
      </c>
      <c r="AT919" s="133">
        <f ca="1">IF($E919=Parameters!$D$69, AT1011, MIN(AT1011,-SUM(OFFSET(AT988, 0, MIN(12, COUNTA(AU$3:$BV$3)), , -MIN(12, COUNTA(AU$3:$BV$3))))))</f>
        <v>0</v>
      </c>
      <c r="AU919" s="133">
        <f ca="1">IF($E919=Parameters!$D$69, AU1011, MIN(AU1011,-SUM(OFFSET(AU988, 0, MIN(12, COUNTA(AV$3:$BV$3)), , -MIN(12, COUNTA(AV$3:$BV$3))))))</f>
        <v>0</v>
      </c>
      <c r="AV919" s="133">
        <f ca="1">IF($E919=Parameters!$D$69, AV1011, MIN(AV1011,-SUM(OFFSET(AV988, 0, MIN(12, COUNTA(AW$3:$BV$3)), , -MIN(12, COUNTA(AW$3:$BV$3))))))</f>
        <v>0</v>
      </c>
      <c r="AW919" s="133">
        <f ca="1">IF($E919=Parameters!$D$69, AW1011, MIN(AW1011,-SUM(OFFSET(AW988, 0, MIN(12, COUNTA(AX$3:$BV$3)), , -MIN(12, COUNTA(AX$3:$BV$3))))))</f>
        <v>0</v>
      </c>
      <c r="AX919" s="133">
        <f ca="1">IF($E919=Parameters!$D$69, AX1011, MIN(AX1011,-SUM(OFFSET(AX988, 0, MIN(12, COUNTA(AY$3:$BV$3)), , -MIN(12, COUNTA(AY$3:$BV$3))))))</f>
        <v>0</v>
      </c>
      <c r="AY919" s="133">
        <f ca="1">IF($E919=Parameters!$D$69, AY1011, MIN(AY1011,-SUM(OFFSET(AY988, 0, MIN(12, COUNTA(AZ$3:$BV$3)), , -MIN(12, COUNTA(AZ$3:$BV$3))))))</f>
        <v>0</v>
      </c>
      <c r="AZ919" s="133">
        <f ca="1">IF($E919=Parameters!$D$69, AZ1011, MIN(AZ1011,-SUM(OFFSET(AZ988, 0, MIN(12, COUNTA(BA$3:$BV$3)), , -MIN(12, COUNTA(BA$3:$BV$3))))))</f>
        <v>0</v>
      </c>
      <c r="BA919" s="133">
        <f ca="1">IF($E919=Parameters!$D$69, BA1011, MIN(BA1011,-SUM(OFFSET(BA988, 0, MIN(12, COUNTA(BB$3:$BV$3)), , -MIN(12, COUNTA(BB$3:$BV$3))))))</f>
        <v>0</v>
      </c>
      <c r="BB919" s="133">
        <f ca="1">IF($E919=Parameters!$D$69, BB1011, MIN(BB1011,-SUM(OFFSET(BB988, 0, MIN(12, COUNTA(BC$3:$BV$3)), , -MIN(12, COUNTA(BC$3:$BV$3))))))</f>
        <v>0</v>
      </c>
      <c r="BC919" s="133">
        <f ca="1">IF($E919=Parameters!$D$69, BC1011, MIN(BC1011,-SUM(OFFSET(BC988, 0, MIN(12, COUNTA(BD$3:$BV$3)), , -MIN(12, COUNTA(BD$3:$BV$3))))))</f>
        <v>0</v>
      </c>
      <c r="BD919" s="133">
        <f ca="1">IF($E919=Parameters!$D$69, BD1011, MIN(BD1011,-SUM(OFFSET(BD988, 0, MIN(12, COUNTA(BE$3:$BV$3)), , -MIN(12, COUNTA(BE$3:$BV$3))))))</f>
        <v>0</v>
      </c>
      <c r="BE919" s="133">
        <f ca="1">IF($E919=Parameters!$D$69, BE1011, MIN(BE1011,-SUM(OFFSET(BE988, 0, MIN(12, COUNTA(BF$3:$BV$3)), , -MIN(12, COUNTA(BF$3:$BV$3))))))</f>
        <v>0</v>
      </c>
      <c r="BF919" s="133">
        <f ca="1">IF($E919=Parameters!$D$69, BF1011, MIN(BF1011,-SUM(OFFSET(BF988, 0, MIN(12, COUNTA(BG$3:$BV$3)), , -MIN(12, COUNTA(BG$3:$BV$3))))))</f>
        <v>0</v>
      </c>
      <c r="BG919" s="133">
        <f ca="1">IF($E919=Parameters!$D$69, BG1011, MIN(BG1011,-SUM(OFFSET(BG988, 0, MIN(12, COUNTA(BH$3:$BV$3)), , -MIN(12, COUNTA(BH$3:$BV$3))))))</f>
        <v>0</v>
      </c>
      <c r="BH919" s="133">
        <f ca="1">IF($E919=Parameters!$D$69, BH1011, MIN(BH1011,-SUM(OFFSET(BH988, 0, MIN(12, COUNTA(BI$3:$BV$3)), , -MIN(12, COUNTA(BI$3:$BV$3))))))</f>
        <v>0</v>
      </c>
      <c r="BI919" s="133">
        <f ca="1">IF($E919=Parameters!$D$69, BI1011, MIN(BI1011,-SUM(OFFSET(BI988, 0, MIN(12, COUNTA(BJ$3:$BV$3)), , -MIN(12, COUNTA(BJ$3:$BV$3))))))</f>
        <v>0</v>
      </c>
      <c r="BJ919" s="133">
        <f ca="1">IF($E919=Parameters!$D$69, BJ1011, MIN(BJ1011,-SUM(OFFSET(BJ988, 0, MIN(12, COUNTA(BK$3:$BV$3)), , -MIN(12, COUNTA(BK$3:$BV$3))))))</f>
        <v>0</v>
      </c>
      <c r="BK919" s="106"/>
      <c r="BL919" s="106"/>
      <c r="BM919" s="106"/>
      <c r="BN919" s="106"/>
      <c r="BO919" s="106"/>
      <c r="BP919" s="106"/>
      <c r="BQ919" s="106"/>
      <c r="BR919" s="106"/>
      <c r="BS919" s="106"/>
      <c r="BT919" s="106"/>
      <c r="BU919" s="106"/>
      <c r="BV919" s="106"/>
      <c r="BX919" s="106"/>
      <c r="BY919" s="12">
        <f t="shared" ca="1" si="909"/>
        <v>0</v>
      </c>
      <c r="BZ919" s="12">
        <f t="shared" ca="1" si="910"/>
        <v>0</v>
      </c>
      <c r="CA919" s="12">
        <f t="shared" ca="1" si="911"/>
        <v>0</v>
      </c>
      <c r="CB919" s="106"/>
      <c r="CC919" s="106"/>
      <c r="CD919" s="106"/>
      <c r="CE919" s="106"/>
      <c r="CF919" s="106"/>
      <c r="CG919" s="106"/>
      <c r="CH919" s="106"/>
      <c r="CI919" s="106"/>
      <c r="CK919" s="11"/>
      <c r="CM919" s="11"/>
      <c r="DF919" s="11"/>
      <c r="EY919" s="10" t="str">
        <f t="shared" si="907"/>
        <v/>
      </c>
    </row>
    <row r="920" spans="1:155" x14ac:dyDescent="0.35">
      <c r="B920" s="69" t="str" cm="1">
        <f t="array" aca="1" ref="B920" ca="1">HYPERLINK(CONCATENATE("#",CELL("address",$D$284)),$D$284)</f>
        <v>Loan 13</v>
      </c>
      <c r="C920" s="211"/>
      <c r="D920" s="49">
        <f>D$25</f>
        <v>0</v>
      </c>
      <c r="E920" s="49" t="str">
        <f>F$25</f>
        <v/>
      </c>
      <c r="F920" s="49"/>
      <c r="H920" s="9"/>
      <c r="I920" s="40" t="s">
        <v>665</v>
      </c>
      <c r="V920" s="106"/>
      <c r="W920" s="133">
        <f t="shared" ca="1" si="908"/>
        <v>0</v>
      </c>
      <c r="X920" s="133">
        <f t="shared" ca="1" si="908"/>
        <v>0</v>
      </c>
      <c r="Y920" s="133">
        <f t="shared" ca="1" si="908"/>
        <v>0</v>
      </c>
      <c r="AA920" s="133">
        <f ca="1">IF($E920=Parameters!$D$69, AA1012, MIN(AA1012,-SUM(OFFSET(AA989, 0, MIN(12, COUNTA(AB$3:$BV$3)), , -MIN(12, COUNTA(AB$3:$BV$3))))))</f>
        <v>0</v>
      </c>
      <c r="AB920" s="133">
        <f ca="1">IF($E920=Parameters!$D$69, AB1012, MIN(AB1012,-SUM(OFFSET(AB989, 0, MIN(12, COUNTA(AC$3:$BV$3)), , -MIN(12, COUNTA(AC$3:$BV$3))))))</f>
        <v>0</v>
      </c>
      <c r="AC920" s="133">
        <f ca="1">IF($E920=Parameters!$D$69, AC1012, MIN(AC1012,-SUM(OFFSET(AC989, 0, MIN(12, COUNTA(AD$3:$BV$3)), , -MIN(12, COUNTA(AD$3:$BV$3))))))</f>
        <v>0</v>
      </c>
      <c r="AD920" s="133">
        <f ca="1">IF($E920=Parameters!$D$69, AD1012, MIN(AD1012,-SUM(OFFSET(AD989, 0, MIN(12, COUNTA(AE$3:$BV$3)), , -MIN(12, COUNTA(AE$3:$BV$3))))))</f>
        <v>0</v>
      </c>
      <c r="AE920" s="133">
        <f ca="1">IF($E920=Parameters!$D$69, AE1012, MIN(AE1012,-SUM(OFFSET(AE989, 0, MIN(12, COUNTA(AF$3:$BV$3)), , -MIN(12, COUNTA(AF$3:$BV$3))))))</f>
        <v>0</v>
      </c>
      <c r="AF920" s="133">
        <f ca="1">IF($E920=Parameters!$D$69, AF1012, MIN(AF1012,-SUM(OFFSET(AF989, 0, MIN(12, COUNTA(AG$3:$BV$3)), , -MIN(12, COUNTA(AG$3:$BV$3))))))</f>
        <v>0</v>
      </c>
      <c r="AG920" s="133">
        <f ca="1">IF($E920=Parameters!$D$69, AG1012, MIN(AG1012,-SUM(OFFSET(AG989, 0, MIN(12, COUNTA(AH$3:$BV$3)), , -MIN(12, COUNTA(AH$3:$BV$3))))))</f>
        <v>0</v>
      </c>
      <c r="AH920" s="133">
        <f ca="1">IF($E920=Parameters!$D$69, AH1012, MIN(AH1012,-SUM(OFFSET(AH989, 0, MIN(12, COUNTA(AI$3:$BV$3)), , -MIN(12, COUNTA(AI$3:$BV$3))))))</f>
        <v>0</v>
      </c>
      <c r="AI920" s="133">
        <f ca="1">IF($E920=Parameters!$D$69, AI1012, MIN(AI1012,-SUM(OFFSET(AI989, 0, MIN(12, COUNTA(AJ$3:$BV$3)), , -MIN(12, COUNTA(AJ$3:$BV$3))))))</f>
        <v>0</v>
      </c>
      <c r="AJ920" s="133">
        <f ca="1">IF($E920=Parameters!$D$69, AJ1012, MIN(AJ1012,-SUM(OFFSET(AJ989, 0, MIN(12, COUNTA(AK$3:$BV$3)), , -MIN(12, COUNTA(AK$3:$BV$3))))))</f>
        <v>0</v>
      </c>
      <c r="AK920" s="133">
        <f ca="1">IF($E920=Parameters!$D$69, AK1012, MIN(AK1012,-SUM(OFFSET(AK989, 0, MIN(12, COUNTA(AL$3:$BV$3)), , -MIN(12, COUNTA(AL$3:$BV$3))))))</f>
        <v>0</v>
      </c>
      <c r="AL920" s="133">
        <f ca="1">IF($E920=Parameters!$D$69, AL1012, MIN(AL1012,-SUM(OFFSET(AL989, 0, MIN(12, COUNTA(AM$3:$BV$3)), , -MIN(12, COUNTA(AM$3:$BV$3))))))</f>
        <v>0</v>
      </c>
      <c r="AM920" s="133">
        <f ca="1">IF($E920=Parameters!$D$69, AM1012, MIN(AM1012,-SUM(OFFSET(AM989, 0, MIN(12, COUNTA(AN$3:$BV$3)), , -MIN(12, COUNTA(AN$3:$BV$3))))))</f>
        <v>0</v>
      </c>
      <c r="AN920" s="133">
        <f ca="1">IF($E920=Parameters!$D$69, AN1012, MIN(AN1012,-SUM(OFFSET(AN989, 0, MIN(12, COUNTA(AO$3:$BV$3)), , -MIN(12, COUNTA(AO$3:$BV$3))))))</f>
        <v>0</v>
      </c>
      <c r="AO920" s="133">
        <f ca="1">IF($E920=Parameters!$D$69, AO1012, MIN(AO1012,-SUM(OFFSET(AO989, 0, MIN(12, COUNTA(AP$3:$BV$3)), , -MIN(12, COUNTA(AP$3:$BV$3))))))</f>
        <v>0</v>
      </c>
      <c r="AP920" s="133">
        <f ca="1">IF($E920=Parameters!$D$69, AP1012, MIN(AP1012,-SUM(OFFSET(AP989, 0, MIN(12, COUNTA(AQ$3:$BV$3)), , -MIN(12, COUNTA(AQ$3:$BV$3))))))</f>
        <v>0</v>
      </c>
      <c r="AQ920" s="133">
        <f ca="1">IF($E920=Parameters!$D$69, AQ1012, MIN(AQ1012,-SUM(OFFSET(AQ989, 0, MIN(12, COUNTA(AR$3:$BV$3)), , -MIN(12, COUNTA(AR$3:$BV$3))))))</f>
        <v>0</v>
      </c>
      <c r="AR920" s="133">
        <f ca="1">IF($E920=Parameters!$D$69, AR1012, MIN(AR1012,-SUM(OFFSET(AR989, 0, MIN(12, COUNTA(AS$3:$BV$3)), , -MIN(12, COUNTA(AS$3:$BV$3))))))</f>
        <v>0</v>
      </c>
      <c r="AS920" s="133">
        <f ca="1">IF($E920=Parameters!$D$69, AS1012, MIN(AS1012,-SUM(OFFSET(AS989, 0, MIN(12, COUNTA(AT$3:$BV$3)), , -MIN(12, COUNTA(AT$3:$BV$3))))))</f>
        <v>0</v>
      </c>
      <c r="AT920" s="133">
        <f ca="1">IF($E920=Parameters!$D$69, AT1012, MIN(AT1012,-SUM(OFFSET(AT989, 0, MIN(12, COUNTA(AU$3:$BV$3)), , -MIN(12, COUNTA(AU$3:$BV$3))))))</f>
        <v>0</v>
      </c>
      <c r="AU920" s="133">
        <f ca="1">IF($E920=Parameters!$D$69, AU1012, MIN(AU1012,-SUM(OFFSET(AU989, 0, MIN(12, COUNTA(AV$3:$BV$3)), , -MIN(12, COUNTA(AV$3:$BV$3))))))</f>
        <v>0</v>
      </c>
      <c r="AV920" s="133">
        <f ca="1">IF($E920=Parameters!$D$69, AV1012, MIN(AV1012,-SUM(OFFSET(AV989, 0, MIN(12, COUNTA(AW$3:$BV$3)), , -MIN(12, COUNTA(AW$3:$BV$3))))))</f>
        <v>0</v>
      </c>
      <c r="AW920" s="133">
        <f ca="1">IF($E920=Parameters!$D$69, AW1012, MIN(AW1012,-SUM(OFFSET(AW989, 0, MIN(12, COUNTA(AX$3:$BV$3)), , -MIN(12, COUNTA(AX$3:$BV$3))))))</f>
        <v>0</v>
      </c>
      <c r="AX920" s="133">
        <f ca="1">IF($E920=Parameters!$D$69, AX1012, MIN(AX1012,-SUM(OFFSET(AX989, 0, MIN(12, COUNTA(AY$3:$BV$3)), , -MIN(12, COUNTA(AY$3:$BV$3))))))</f>
        <v>0</v>
      </c>
      <c r="AY920" s="133">
        <f ca="1">IF($E920=Parameters!$D$69, AY1012, MIN(AY1012,-SUM(OFFSET(AY989, 0, MIN(12, COUNTA(AZ$3:$BV$3)), , -MIN(12, COUNTA(AZ$3:$BV$3))))))</f>
        <v>0</v>
      </c>
      <c r="AZ920" s="133">
        <f ca="1">IF($E920=Parameters!$D$69, AZ1012, MIN(AZ1012,-SUM(OFFSET(AZ989, 0, MIN(12, COUNTA(BA$3:$BV$3)), , -MIN(12, COUNTA(BA$3:$BV$3))))))</f>
        <v>0</v>
      </c>
      <c r="BA920" s="133">
        <f ca="1">IF($E920=Parameters!$D$69, BA1012, MIN(BA1012,-SUM(OFFSET(BA989, 0, MIN(12, COUNTA(BB$3:$BV$3)), , -MIN(12, COUNTA(BB$3:$BV$3))))))</f>
        <v>0</v>
      </c>
      <c r="BB920" s="133">
        <f ca="1">IF($E920=Parameters!$D$69, BB1012, MIN(BB1012,-SUM(OFFSET(BB989, 0, MIN(12, COUNTA(BC$3:$BV$3)), , -MIN(12, COUNTA(BC$3:$BV$3))))))</f>
        <v>0</v>
      </c>
      <c r="BC920" s="133">
        <f ca="1">IF($E920=Parameters!$D$69, BC1012, MIN(BC1012,-SUM(OFFSET(BC989, 0, MIN(12, COUNTA(BD$3:$BV$3)), , -MIN(12, COUNTA(BD$3:$BV$3))))))</f>
        <v>0</v>
      </c>
      <c r="BD920" s="133">
        <f ca="1">IF($E920=Parameters!$D$69, BD1012, MIN(BD1012,-SUM(OFFSET(BD989, 0, MIN(12, COUNTA(BE$3:$BV$3)), , -MIN(12, COUNTA(BE$3:$BV$3))))))</f>
        <v>0</v>
      </c>
      <c r="BE920" s="133">
        <f ca="1">IF($E920=Parameters!$D$69, BE1012, MIN(BE1012,-SUM(OFFSET(BE989, 0, MIN(12, COUNTA(BF$3:$BV$3)), , -MIN(12, COUNTA(BF$3:$BV$3))))))</f>
        <v>0</v>
      </c>
      <c r="BF920" s="133">
        <f ca="1">IF($E920=Parameters!$D$69, BF1012, MIN(BF1012,-SUM(OFFSET(BF989, 0, MIN(12, COUNTA(BG$3:$BV$3)), , -MIN(12, COUNTA(BG$3:$BV$3))))))</f>
        <v>0</v>
      </c>
      <c r="BG920" s="133">
        <f ca="1">IF($E920=Parameters!$D$69, BG1012, MIN(BG1012,-SUM(OFFSET(BG989, 0, MIN(12, COUNTA(BH$3:$BV$3)), , -MIN(12, COUNTA(BH$3:$BV$3))))))</f>
        <v>0</v>
      </c>
      <c r="BH920" s="133">
        <f ca="1">IF($E920=Parameters!$D$69, BH1012, MIN(BH1012,-SUM(OFFSET(BH989, 0, MIN(12, COUNTA(BI$3:$BV$3)), , -MIN(12, COUNTA(BI$3:$BV$3))))))</f>
        <v>0</v>
      </c>
      <c r="BI920" s="133">
        <f ca="1">IF($E920=Parameters!$D$69, BI1012, MIN(BI1012,-SUM(OFFSET(BI989, 0, MIN(12, COUNTA(BJ$3:$BV$3)), , -MIN(12, COUNTA(BJ$3:$BV$3))))))</f>
        <v>0</v>
      </c>
      <c r="BJ920" s="133">
        <f ca="1">IF($E920=Parameters!$D$69, BJ1012, MIN(BJ1012,-SUM(OFFSET(BJ989, 0, MIN(12, COUNTA(BK$3:$BV$3)), , -MIN(12, COUNTA(BK$3:$BV$3))))))</f>
        <v>0</v>
      </c>
      <c r="BK920" s="106"/>
      <c r="BL920" s="106"/>
      <c r="BM920" s="106"/>
      <c r="BN920" s="106"/>
      <c r="BO920" s="106"/>
      <c r="BP920" s="106"/>
      <c r="BQ920" s="106"/>
      <c r="BR920" s="106"/>
      <c r="BS920" s="106"/>
      <c r="BT920" s="106"/>
      <c r="BU920" s="106"/>
      <c r="BV920" s="106"/>
      <c r="BX920" s="106"/>
      <c r="BY920" s="12">
        <f t="shared" ca="1" si="909"/>
        <v>0</v>
      </c>
      <c r="BZ920" s="12">
        <f t="shared" ca="1" si="910"/>
        <v>0</v>
      </c>
      <c r="CA920" s="12">
        <f t="shared" ca="1" si="911"/>
        <v>0</v>
      </c>
      <c r="CB920" s="106"/>
      <c r="CC920" s="106"/>
      <c r="CD920" s="106"/>
      <c r="CE920" s="106"/>
      <c r="CF920" s="106"/>
      <c r="CG920" s="106"/>
      <c r="CH920" s="106"/>
      <c r="CI920" s="106"/>
      <c r="CK920" s="11"/>
      <c r="CM920" s="11"/>
      <c r="DF920" s="11"/>
      <c r="EY920" s="10" t="str">
        <f t="shared" si="907"/>
        <v/>
      </c>
    </row>
    <row r="921" spans="1:155" s="5" customFormat="1" x14ac:dyDescent="0.35">
      <c r="A921"/>
      <c r="B921" s="69" t="str" cm="1">
        <f t="array" aca="1" ref="B921" ca="1">HYPERLINK(CONCATENATE("#",CELL("address",$D$303)),$D$303)</f>
        <v>Loan 14</v>
      </c>
      <c r="C921" s="211"/>
      <c r="D921" s="49">
        <f>D$26</f>
        <v>0</v>
      </c>
      <c r="E921" s="49" t="str">
        <f>F$26</f>
        <v/>
      </c>
      <c r="F921" s="49"/>
      <c r="G921"/>
      <c r="H921" s="9"/>
      <c r="I921" s="40" t="s">
        <v>665</v>
      </c>
      <c r="J921"/>
      <c r="K921"/>
      <c r="L921"/>
      <c r="M921"/>
      <c r="N921"/>
      <c r="O921"/>
      <c r="P921"/>
      <c r="Q921"/>
      <c r="R921"/>
      <c r="S921"/>
      <c r="T921"/>
      <c r="U921"/>
      <c r="V921" s="106"/>
      <c r="W921" s="133">
        <f t="shared" ca="1" si="908"/>
        <v>0</v>
      </c>
      <c r="X921" s="133">
        <f t="shared" ca="1" si="908"/>
        <v>0</v>
      </c>
      <c r="Y921" s="133">
        <f t="shared" ca="1" si="908"/>
        <v>0</v>
      </c>
      <c r="Z921"/>
      <c r="AA921" s="133">
        <f ca="1">IF($E921=Parameters!$D$69, AA1013, MIN(AA1013,-SUM(OFFSET(AA990, 0, MIN(12, COUNTA(AB$3:$BV$3)), , -MIN(12, COUNTA(AB$3:$BV$3))))))</f>
        <v>0</v>
      </c>
      <c r="AB921" s="133">
        <f ca="1">IF($E921=Parameters!$D$69, AB1013, MIN(AB1013,-SUM(OFFSET(AB990, 0, MIN(12, COUNTA(AC$3:$BV$3)), , -MIN(12, COUNTA(AC$3:$BV$3))))))</f>
        <v>0</v>
      </c>
      <c r="AC921" s="133">
        <f ca="1">IF($E921=Parameters!$D$69, AC1013, MIN(AC1013,-SUM(OFFSET(AC990, 0, MIN(12, COUNTA(AD$3:$BV$3)), , -MIN(12, COUNTA(AD$3:$BV$3))))))</f>
        <v>0</v>
      </c>
      <c r="AD921" s="133">
        <f ca="1">IF($E921=Parameters!$D$69, AD1013, MIN(AD1013,-SUM(OFFSET(AD990, 0, MIN(12, COUNTA(AE$3:$BV$3)), , -MIN(12, COUNTA(AE$3:$BV$3))))))</f>
        <v>0</v>
      </c>
      <c r="AE921" s="133">
        <f ca="1">IF($E921=Parameters!$D$69, AE1013, MIN(AE1013,-SUM(OFFSET(AE990, 0, MIN(12, COUNTA(AF$3:$BV$3)), , -MIN(12, COUNTA(AF$3:$BV$3))))))</f>
        <v>0</v>
      </c>
      <c r="AF921" s="133">
        <f ca="1">IF($E921=Parameters!$D$69, AF1013, MIN(AF1013,-SUM(OFFSET(AF990, 0, MIN(12, COUNTA(AG$3:$BV$3)), , -MIN(12, COUNTA(AG$3:$BV$3))))))</f>
        <v>0</v>
      </c>
      <c r="AG921" s="133">
        <f ca="1">IF($E921=Parameters!$D$69, AG1013, MIN(AG1013,-SUM(OFFSET(AG990, 0, MIN(12, COUNTA(AH$3:$BV$3)), , -MIN(12, COUNTA(AH$3:$BV$3))))))</f>
        <v>0</v>
      </c>
      <c r="AH921" s="133">
        <f ca="1">IF($E921=Parameters!$D$69, AH1013, MIN(AH1013,-SUM(OFFSET(AH990, 0, MIN(12, COUNTA(AI$3:$BV$3)), , -MIN(12, COUNTA(AI$3:$BV$3))))))</f>
        <v>0</v>
      </c>
      <c r="AI921" s="133">
        <f ca="1">IF($E921=Parameters!$D$69, AI1013, MIN(AI1013,-SUM(OFFSET(AI990, 0, MIN(12, COUNTA(AJ$3:$BV$3)), , -MIN(12, COUNTA(AJ$3:$BV$3))))))</f>
        <v>0</v>
      </c>
      <c r="AJ921" s="133">
        <f ca="1">IF($E921=Parameters!$D$69, AJ1013, MIN(AJ1013,-SUM(OFFSET(AJ990, 0, MIN(12, COUNTA(AK$3:$BV$3)), , -MIN(12, COUNTA(AK$3:$BV$3))))))</f>
        <v>0</v>
      </c>
      <c r="AK921" s="133">
        <f ca="1">IF($E921=Parameters!$D$69, AK1013, MIN(AK1013,-SUM(OFFSET(AK990, 0, MIN(12, COUNTA(AL$3:$BV$3)), , -MIN(12, COUNTA(AL$3:$BV$3))))))</f>
        <v>0</v>
      </c>
      <c r="AL921" s="133">
        <f ca="1">IF($E921=Parameters!$D$69, AL1013, MIN(AL1013,-SUM(OFFSET(AL990, 0, MIN(12, COUNTA(AM$3:$BV$3)), , -MIN(12, COUNTA(AM$3:$BV$3))))))</f>
        <v>0</v>
      </c>
      <c r="AM921" s="133">
        <f ca="1">IF($E921=Parameters!$D$69, AM1013, MIN(AM1013,-SUM(OFFSET(AM990, 0, MIN(12, COUNTA(AN$3:$BV$3)), , -MIN(12, COUNTA(AN$3:$BV$3))))))</f>
        <v>0</v>
      </c>
      <c r="AN921" s="133">
        <f ca="1">IF($E921=Parameters!$D$69, AN1013, MIN(AN1013,-SUM(OFFSET(AN990, 0, MIN(12, COUNTA(AO$3:$BV$3)), , -MIN(12, COUNTA(AO$3:$BV$3))))))</f>
        <v>0</v>
      </c>
      <c r="AO921" s="133">
        <f ca="1">IF($E921=Parameters!$D$69, AO1013, MIN(AO1013,-SUM(OFFSET(AO990, 0, MIN(12, COUNTA(AP$3:$BV$3)), , -MIN(12, COUNTA(AP$3:$BV$3))))))</f>
        <v>0</v>
      </c>
      <c r="AP921" s="133">
        <f ca="1">IF($E921=Parameters!$D$69, AP1013, MIN(AP1013,-SUM(OFFSET(AP990, 0, MIN(12, COUNTA(AQ$3:$BV$3)), , -MIN(12, COUNTA(AQ$3:$BV$3))))))</f>
        <v>0</v>
      </c>
      <c r="AQ921" s="133">
        <f ca="1">IF($E921=Parameters!$D$69, AQ1013, MIN(AQ1013,-SUM(OFFSET(AQ990, 0, MIN(12, COUNTA(AR$3:$BV$3)), , -MIN(12, COUNTA(AR$3:$BV$3))))))</f>
        <v>0</v>
      </c>
      <c r="AR921" s="133">
        <f ca="1">IF($E921=Parameters!$D$69, AR1013, MIN(AR1013,-SUM(OFFSET(AR990, 0, MIN(12, COUNTA(AS$3:$BV$3)), , -MIN(12, COUNTA(AS$3:$BV$3))))))</f>
        <v>0</v>
      </c>
      <c r="AS921" s="133">
        <f ca="1">IF($E921=Parameters!$D$69, AS1013, MIN(AS1013,-SUM(OFFSET(AS990, 0, MIN(12, COUNTA(AT$3:$BV$3)), , -MIN(12, COUNTA(AT$3:$BV$3))))))</f>
        <v>0</v>
      </c>
      <c r="AT921" s="133">
        <f ca="1">IF($E921=Parameters!$D$69, AT1013, MIN(AT1013,-SUM(OFFSET(AT990, 0, MIN(12, COUNTA(AU$3:$BV$3)), , -MIN(12, COUNTA(AU$3:$BV$3))))))</f>
        <v>0</v>
      </c>
      <c r="AU921" s="133">
        <f ca="1">IF($E921=Parameters!$D$69, AU1013, MIN(AU1013,-SUM(OFFSET(AU990, 0, MIN(12, COUNTA(AV$3:$BV$3)), , -MIN(12, COUNTA(AV$3:$BV$3))))))</f>
        <v>0</v>
      </c>
      <c r="AV921" s="133">
        <f ca="1">IF($E921=Parameters!$D$69, AV1013, MIN(AV1013,-SUM(OFFSET(AV990, 0, MIN(12, COUNTA(AW$3:$BV$3)), , -MIN(12, COUNTA(AW$3:$BV$3))))))</f>
        <v>0</v>
      </c>
      <c r="AW921" s="133">
        <f ca="1">IF($E921=Parameters!$D$69, AW1013, MIN(AW1013,-SUM(OFFSET(AW990, 0, MIN(12, COUNTA(AX$3:$BV$3)), , -MIN(12, COUNTA(AX$3:$BV$3))))))</f>
        <v>0</v>
      </c>
      <c r="AX921" s="133">
        <f ca="1">IF($E921=Parameters!$D$69, AX1013, MIN(AX1013,-SUM(OFFSET(AX990, 0, MIN(12, COUNTA(AY$3:$BV$3)), , -MIN(12, COUNTA(AY$3:$BV$3))))))</f>
        <v>0</v>
      </c>
      <c r="AY921" s="133">
        <f ca="1">IF($E921=Parameters!$D$69, AY1013, MIN(AY1013,-SUM(OFFSET(AY990, 0, MIN(12, COUNTA(AZ$3:$BV$3)), , -MIN(12, COUNTA(AZ$3:$BV$3))))))</f>
        <v>0</v>
      </c>
      <c r="AZ921" s="133">
        <f ca="1">IF($E921=Parameters!$D$69, AZ1013, MIN(AZ1013,-SUM(OFFSET(AZ990, 0, MIN(12, COUNTA(BA$3:$BV$3)), , -MIN(12, COUNTA(BA$3:$BV$3))))))</f>
        <v>0</v>
      </c>
      <c r="BA921" s="133">
        <f ca="1">IF($E921=Parameters!$D$69, BA1013, MIN(BA1013,-SUM(OFFSET(BA990, 0, MIN(12, COUNTA(BB$3:$BV$3)), , -MIN(12, COUNTA(BB$3:$BV$3))))))</f>
        <v>0</v>
      </c>
      <c r="BB921" s="133">
        <f ca="1">IF($E921=Parameters!$D$69, BB1013, MIN(BB1013,-SUM(OFFSET(BB990, 0, MIN(12, COUNTA(BC$3:$BV$3)), , -MIN(12, COUNTA(BC$3:$BV$3))))))</f>
        <v>0</v>
      </c>
      <c r="BC921" s="133">
        <f ca="1">IF($E921=Parameters!$D$69, BC1013, MIN(BC1013,-SUM(OFFSET(BC990, 0, MIN(12, COUNTA(BD$3:$BV$3)), , -MIN(12, COUNTA(BD$3:$BV$3))))))</f>
        <v>0</v>
      </c>
      <c r="BD921" s="133">
        <f ca="1">IF($E921=Parameters!$D$69, BD1013, MIN(BD1013,-SUM(OFFSET(BD990, 0, MIN(12, COUNTA(BE$3:$BV$3)), , -MIN(12, COUNTA(BE$3:$BV$3))))))</f>
        <v>0</v>
      </c>
      <c r="BE921" s="133">
        <f ca="1">IF($E921=Parameters!$D$69, BE1013, MIN(BE1013,-SUM(OFFSET(BE990, 0, MIN(12, COUNTA(BF$3:$BV$3)), , -MIN(12, COUNTA(BF$3:$BV$3))))))</f>
        <v>0</v>
      </c>
      <c r="BF921" s="133">
        <f ca="1">IF($E921=Parameters!$D$69, BF1013, MIN(BF1013,-SUM(OFFSET(BF990, 0, MIN(12, COUNTA(BG$3:$BV$3)), , -MIN(12, COUNTA(BG$3:$BV$3))))))</f>
        <v>0</v>
      </c>
      <c r="BG921" s="133">
        <f ca="1">IF($E921=Parameters!$D$69, BG1013, MIN(BG1013,-SUM(OFFSET(BG990, 0, MIN(12, COUNTA(BH$3:$BV$3)), , -MIN(12, COUNTA(BH$3:$BV$3))))))</f>
        <v>0</v>
      </c>
      <c r="BH921" s="133">
        <f ca="1">IF($E921=Parameters!$D$69, BH1013, MIN(BH1013,-SUM(OFFSET(BH990, 0, MIN(12, COUNTA(BI$3:$BV$3)), , -MIN(12, COUNTA(BI$3:$BV$3))))))</f>
        <v>0</v>
      </c>
      <c r="BI921" s="133">
        <f ca="1">IF($E921=Parameters!$D$69, BI1013, MIN(BI1013,-SUM(OFFSET(BI990, 0, MIN(12, COUNTA(BJ$3:$BV$3)), , -MIN(12, COUNTA(BJ$3:$BV$3))))))</f>
        <v>0</v>
      </c>
      <c r="BJ921" s="133">
        <f ca="1">IF($E921=Parameters!$D$69, BJ1013, MIN(BJ1013,-SUM(OFFSET(BJ990, 0, MIN(12, COUNTA(BK$3:$BV$3)), , -MIN(12, COUNTA(BK$3:$BV$3))))))</f>
        <v>0</v>
      </c>
      <c r="BK921" s="106"/>
      <c r="BL921" s="106"/>
      <c r="BM921" s="106"/>
      <c r="BN921" s="106"/>
      <c r="BO921" s="106"/>
      <c r="BP921" s="106"/>
      <c r="BQ921" s="106"/>
      <c r="BR921" s="106"/>
      <c r="BS921" s="106"/>
      <c r="BT921" s="106"/>
      <c r="BU921" s="106"/>
      <c r="BV921" s="106"/>
      <c r="BW921"/>
      <c r="BX921" s="106"/>
      <c r="BY921" s="12">
        <f t="shared" ca="1" si="909"/>
        <v>0</v>
      </c>
      <c r="BZ921" s="12">
        <f t="shared" ca="1" si="910"/>
        <v>0</v>
      </c>
      <c r="CA921" s="12">
        <f t="shared" ca="1" si="911"/>
        <v>0</v>
      </c>
      <c r="CB921" s="106"/>
      <c r="CC921" s="106"/>
      <c r="CD921" s="106"/>
      <c r="CE921" s="106"/>
      <c r="CF921" s="106"/>
      <c r="CG921" s="106"/>
      <c r="CH921" s="106"/>
      <c r="CI921" s="106"/>
      <c r="CJ921"/>
      <c r="CK921" s="11"/>
      <c r="CL921"/>
      <c r="CM921" s="11"/>
      <c r="CN921"/>
      <c r="CO921"/>
      <c r="CP921"/>
      <c r="CQ921"/>
      <c r="CR921"/>
      <c r="CS921"/>
      <c r="CT921"/>
      <c r="CU921"/>
      <c r="CV921"/>
      <c r="CW921"/>
      <c r="CX921"/>
      <c r="CY921"/>
      <c r="CZ921"/>
      <c r="DA921"/>
      <c r="DB921"/>
      <c r="DC921"/>
      <c r="DD921"/>
      <c r="DE921"/>
      <c r="DF921" s="11"/>
      <c r="EY921" s="10" t="str">
        <f t="shared" si="907"/>
        <v/>
      </c>
    </row>
    <row r="922" spans="1:155" x14ac:dyDescent="0.35">
      <c r="B922" s="69" t="str" cm="1">
        <f t="array" aca="1" ref="B922" ca="1">HYPERLINK(CONCATENATE("#",CELL("address",$D$322)),$D$322)</f>
        <v>Loan 15</v>
      </c>
      <c r="C922" s="211"/>
      <c r="D922" s="49">
        <f>D$27</f>
        <v>0</v>
      </c>
      <c r="E922" s="49" t="str">
        <f>F$27</f>
        <v/>
      </c>
      <c r="F922" s="49"/>
      <c r="H922" s="9"/>
      <c r="I922" s="40" t="s">
        <v>665</v>
      </c>
      <c r="V922" s="106"/>
      <c r="W922" s="133">
        <f t="shared" ca="1" si="908"/>
        <v>0</v>
      </c>
      <c r="X922" s="133">
        <f t="shared" ca="1" si="908"/>
        <v>0</v>
      </c>
      <c r="Y922" s="133">
        <f t="shared" ca="1" si="908"/>
        <v>0</v>
      </c>
      <c r="AA922" s="133">
        <f ca="1">IF($E922=Parameters!$D$69, AA1014, MIN(AA1014,-SUM(OFFSET(AA991, 0, MIN(12, COUNTA(AB$3:$BV$3)), , -MIN(12, COUNTA(AB$3:$BV$3))))))</f>
        <v>0</v>
      </c>
      <c r="AB922" s="133">
        <f ca="1">IF($E922=Parameters!$D$69, AB1014, MIN(AB1014,-SUM(OFFSET(AB991, 0, MIN(12, COUNTA(AC$3:$BV$3)), , -MIN(12, COUNTA(AC$3:$BV$3))))))</f>
        <v>0</v>
      </c>
      <c r="AC922" s="133">
        <f ca="1">IF($E922=Parameters!$D$69, AC1014, MIN(AC1014,-SUM(OFFSET(AC991, 0, MIN(12, COUNTA(AD$3:$BV$3)), , -MIN(12, COUNTA(AD$3:$BV$3))))))</f>
        <v>0</v>
      </c>
      <c r="AD922" s="133">
        <f ca="1">IF($E922=Parameters!$D$69, AD1014, MIN(AD1014,-SUM(OFFSET(AD991, 0, MIN(12, COUNTA(AE$3:$BV$3)), , -MIN(12, COUNTA(AE$3:$BV$3))))))</f>
        <v>0</v>
      </c>
      <c r="AE922" s="133">
        <f ca="1">IF($E922=Parameters!$D$69, AE1014, MIN(AE1014,-SUM(OFFSET(AE991, 0, MIN(12, COUNTA(AF$3:$BV$3)), , -MIN(12, COUNTA(AF$3:$BV$3))))))</f>
        <v>0</v>
      </c>
      <c r="AF922" s="133">
        <f ca="1">IF($E922=Parameters!$D$69, AF1014, MIN(AF1014,-SUM(OFFSET(AF991, 0, MIN(12, COUNTA(AG$3:$BV$3)), , -MIN(12, COUNTA(AG$3:$BV$3))))))</f>
        <v>0</v>
      </c>
      <c r="AG922" s="133">
        <f ca="1">IF($E922=Parameters!$D$69, AG1014, MIN(AG1014,-SUM(OFFSET(AG991, 0, MIN(12, COUNTA(AH$3:$BV$3)), , -MIN(12, COUNTA(AH$3:$BV$3))))))</f>
        <v>0</v>
      </c>
      <c r="AH922" s="133">
        <f ca="1">IF($E922=Parameters!$D$69, AH1014, MIN(AH1014,-SUM(OFFSET(AH991, 0, MIN(12, COUNTA(AI$3:$BV$3)), , -MIN(12, COUNTA(AI$3:$BV$3))))))</f>
        <v>0</v>
      </c>
      <c r="AI922" s="133">
        <f ca="1">IF($E922=Parameters!$D$69, AI1014, MIN(AI1014,-SUM(OFFSET(AI991, 0, MIN(12, COUNTA(AJ$3:$BV$3)), , -MIN(12, COUNTA(AJ$3:$BV$3))))))</f>
        <v>0</v>
      </c>
      <c r="AJ922" s="133">
        <f ca="1">IF($E922=Parameters!$D$69, AJ1014, MIN(AJ1014,-SUM(OFFSET(AJ991, 0, MIN(12, COUNTA(AK$3:$BV$3)), , -MIN(12, COUNTA(AK$3:$BV$3))))))</f>
        <v>0</v>
      </c>
      <c r="AK922" s="133">
        <f ca="1">IF($E922=Parameters!$D$69, AK1014, MIN(AK1014,-SUM(OFFSET(AK991, 0, MIN(12, COUNTA(AL$3:$BV$3)), , -MIN(12, COUNTA(AL$3:$BV$3))))))</f>
        <v>0</v>
      </c>
      <c r="AL922" s="133">
        <f ca="1">IF($E922=Parameters!$D$69, AL1014, MIN(AL1014,-SUM(OFFSET(AL991, 0, MIN(12, COUNTA(AM$3:$BV$3)), , -MIN(12, COUNTA(AM$3:$BV$3))))))</f>
        <v>0</v>
      </c>
      <c r="AM922" s="133">
        <f ca="1">IF($E922=Parameters!$D$69, AM1014, MIN(AM1014,-SUM(OFFSET(AM991, 0, MIN(12, COUNTA(AN$3:$BV$3)), , -MIN(12, COUNTA(AN$3:$BV$3))))))</f>
        <v>0</v>
      </c>
      <c r="AN922" s="133">
        <f ca="1">IF($E922=Parameters!$D$69, AN1014, MIN(AN1014,-SUM(OFFSET(AN991, 0, MIN(12, COUNTA(AO$3:$BV$3)), , -MIN(12, COUNTA(AO$3:$BV$3))))))</f>
        <v>0</v>
      </c>
      <c r="AO922" s="133">
        <f ca="1">IF($E922=Parameters!$D$69, AO1014, MIN(AO1014,-SUM(OFFSET(AO991, 0, MIN(12, COUNTA(AP$3:$BV$3)), , -MIN(12, COUNTA(AP$3:$BV$3))))))</f>
        <v>0</v>
      </c>
      <c r="AP922" s="133">
        <f ca="1">IF($E922=Parameters!$D$69, AP1014, MIN(AP1014,-SUM(OFFSET(AP991, 0, MIN(12, COUNTA(AQ$3:$BV$3)), , -MIN(12, COUNTA(AQ$3:$BV$3))))))</f>
        <v>0</v>
      </c>
      <c r="AQ922" s="133">
        <f ca="1">IF($E922=Parameters!$D$69, AQ1014, MIN(AQ1014,-SUM(OFFSET(AQ991, 0, MIN(12, COUNTA(AR$3:$BV$3)), , -MIN(12, COUNTA(AR$3:$BV$3))))))</f>
        <v>0</v>
      </c>
      <c r="AR922" s="133">
        <f ca="1">IF($E922=Parameters!$D$69, AR1014, MIN(AR1014,-SUM(OFFSET(AR991, 0, MIN(12, COUNTA(AS$3:$BV$3)), , -MIN(12, COUNTA(AS$3:$BV$3))))))</f>
        <v>0</v>
      </c>
      <c r="AS922" s="133">
        <f ca="1">IF($E922=Parameters!$D$69, AS1014, MIN(AS1014,-SUM(OFFSET(AS991, 0, MIN(12, COUNTA(AT$3:$BV$3)), , -MIN(12, COUNTA(AT$3:$BV$3))))))</f>
        <v>0</v>
      </c>
      <c r="AT922" s="133">
        <f ca="1">IF($E922=Parameters!$D$69, AT1014, MIN(AT1014,-SUM(OFFSET(AT991, 0, MIN(12, COUNTA(AU$3:$BV$3)), , -MIN(12, COUNTA(AU$3:$BV$3))))))</f>
        <v>0</v>
      </c>
      <c r="AU922" s="133">
        <f ca="1">IF($E922=Parameters!$D$69, AU1014, MIN(AU1014,-SUM(OFFSET(AU991, 0, MIN(12, COUNTA(AV$3:$BV$3)), , -MIN(12, COUNTA(AV$3:$BV$3))))))</f>
        <v>0</v>
      </c>
      <c r="AV922" s="133">
        <f ca="1">IF($E922=Parameters!$D$69, AV1014, MIN(AV1014,-SUM(OFFSET(AV991, 0, MIN(12, COUNTA(AW$3:$BV$3)), , -MIN(12, COUNTA(AW$3:$BV$3))))))</f>
        <v>0</v>
      </c>
      <c r="AW922" s="133">
        <f ca="1">IF($E922=Parameters!$D$69, AW1014, MIN(AW1014,-SUM(OFFSET(AW991, 0, MIN(12, COUNTA(AX$3:$BV$3)), , -MIN(12, COUNTA(AX$3:$BV$3))))))</f>
        <v>0</v>
      </c>
      <c r="AX922" s="133">
        <f ca="1">IF($E922=Parameters!$D$69, AX1014, MIN(AX1014,-SUM(OFFSET(AX991, 0, MIN(12, COUNTA(AY$3:$BV$3)), , -MIN(12, COUNTA(AY$3:$BV$3))))))</f>
        <v>0</v>
      </c>
      <c r="AY922" s="133">
        <f ca="1">IF($E922=Parameters!$D$69, AY1014, MIN(AY1014,-SUM(OFFSET(AY991, 0, MIN(12, COUNTA(AZ$3:$BV$3)), , -MIN(12, COUNTA(AZ$3:$BV$3))))))</f>
        <v>0</v>
      </c>
      <c r="AZ922" s="133">
        <f ca="1">IF($E922=Parameters!$D$69, AZ1014, MIN(AZ1014,-SUM(OFFSET(AZ991, 0, MIN(12, COUNTA(BA$3:$BV$3)), , -MIN(12, COUNTA(BA$3:$BV$3))))))</f>
        <v>0</v>
      </c>
      <c r="BA922" s="133">
        <f ca="1">IF($E922=Parameters!$D$69, BA1014, MIN(BA1014,-SUM(OFFSET(BA991, 0, MIN(12, COUNTA(BB$3:$BV$3)), , -MIN(12, COUNTA(BB$3:$BV$3))))))</f>
        <v>0</v>
      </c>
      <c r="BB922" s="133">
        <f ca="1">IF($E922=Parameters!$D$69, BB1014, MIN(BB1014,-SUM(OFFSET(BB991, 0, MIN(12, COUNTA(BC$3:$BV$3)), , -MIN(12, COUNTA(BC$3:$BV$3))))))</f>
        <v>0</v>
      </c>
      <c r="BC922" s="133">
        <f ca="1">IF($E922=Parameters!$D$69, BC1014, MIN(BC1014,-SUM(OFFSET(BC991, 0, MIN(12, COUNTA(BD$3:$BV$3)), , -MIN(12, COUNTA(BD$3:$BV$3))))))</f>
        <v>0</v>
      </c>
      <c r="BD922" s="133">
        <f ca="1">IF($E922=Parameters!$D$69, BD1014, MIN(BD1014,-SUM(OFFSET(BD991, 0, MIN(12, COUNTA(BE$3:$BV$3)), , -MIN(12, COUNTA(BE$3:$BV$3))))))</f>
        <v>0</v>
      </c>
      <c r="BE922" s="133">
        <f ca="1">IF($E922=Parameters!$D$69, BE1014, MIN(BE1014,-SUM(OFFSET(BE991, 0, MIN(12, COUNTA(BF$3:$BV$3)), , -MIN(12, COUNTA(BF$3:$BV$3))))))</f>
        <v>0</v>
      </c>
      <c r="BF922" s="133">
        <f ca="1">IF($E922=Parameters!$D$69, BF1014, MIN(BF1014,-SUM(OFFSET(BF991, 0, MIN(12, COUNTA(BG$3:$BV$3)), , -MIN(12, COUNTA(BG$3:$BV$3))))))</f>
        <v>0</v>
      </c>
      <c r="BG922" s="133">
        <f ca="1">IF($E922=Parameters!$D$69, BG1014, MIN(BG1014,-SUM(OFFSET(BG991, 0, MIN(12, COUNTA(BH$3:$BV$3)), , -MIN(12, COUNTA(BH$3:$BV$3))))))</f>
        <v>0</v>
      </c>
      <c r="BH922" s="133">
        <f ca="1">IF($E922=Parameters!$D$69, BH1014, MIN(BH1014,-SUM(OFFSET(BH991, 0, MIN(12, COUNTA(BI$3:$BV$3)), , -MIN(12, COUNTA(BI$3:$BV$3))))))</f>
        <v>0</v>
      </c>
      <c r="BI922" s="133">
        <f ca="1">IF($E922=Parameters!$D$69, BI1014, MIN(BI1014,-SUM(OFFSET(BI991, 0, MIN(12, COUNTA(BJ$3:$BV$3)), , -MIN(12, COUNTA(BJ$3:$BV$3))))))</f>
        <v>0</v>
      </c>
      <c r="BJ922" s="133">
        <f ca="1">IF($E922=Parameters!$D$69, BJ1014, MIN(BJ1014,-SUM(OFFSET(BJ991, 0, MIN(12, COUNTA(BK$3:$BV$3)), , -MIN(12, COUNTA(BK$3:$BV$3))))))</f>
        <v>0</v>
      </c>
      <c r="BK922" s="106"/>
      <c r="BL922" s="106"/>
      <c r="BM922" s="106"/>
      <c r="BN922" s="106"/>
      <c r="BO922" s="106"/>
      <c r="BP922" s="106"/>
      <c r="BQ922" s="106"/>
      <c r="BR922" s="106"/>
      <c r="BS922" s="106"/>
      <c r="BT922" s="106"/>
      <c r="BU922" s="106"/>
      <c r="BV922" s="106"/>
      <c r="BX922" s="106"/>
      <c r="BY922" s="12">
        <f t="shared" ca="1" si="909"/>
        <v>0</v>
      </c>
      <c r="BZ922" s="12">
        <f t="shared" ca="1" si="910"/>
        <v>0</v>
      </c>
      <c r="CA922" s="12">
        <f t="shared" ca="1" si="911"/>
        <v>0</v>
      </c>
      <c r="CB922" s="106"/>
      <c r="CC922" s="106"/>
      <c r="CD922" s="106"/>
      <c r="CE922" s="106"/>
      <c r="CF922" s="106"/>
      <c r="CG922" s="106"/>
      <c r="CH922" s="106"/>
      <c r="CI922" s="106"/>
      <c r="CK922" s="11"/>
      <c r="CM922" s="11"/>
      <c r="DF922" s="11"/>
      <c r="EY922" s="10" t="str">
        <f t="shared" si="907"/>
        <v/>
      </c>
    </row>
    <row r="923" spans="1:155" x14ac:dyDescent="0.35">
      <c r="B923" s="69" t="str" cm="1">
        <f t="array" aca="1" ref="B923" ca="1">HYPERLINK(CONCATENATE("#",CELL("address",$D$341)),$D$341)</f>
        <v>Loan 16</v>
      </c>
      <c r="C923" s="211"/>
      <c r="D923" s="49">
        <f>D$28</f>
        <v>0</v>
      </c>
      <c r="E923" s="49" t="str">
        <f>F$28</f>
        <v/>
      </c>
      <c r="F923" s="49"/>
      <c r="H923" s="9"/>
      <c r="I923" s="40" t="s">
        <v>665</v>
      </c>
      <c r="V923" s="106"/>
      <c r="W923" s="133">
        <f t="shared" ca="1" si="908"/>
        <v>0</v>
      </c>
      <c r="X923" s="133">
        <f t="shared" ca="1" si="908"/>
        <v>0</v>
      </c>
      <c r="Y923" s="133">
        <f t="shared" ca="1" si="908"/>
        <v>0</v>
      </c>
      <c r="AA923" s="133">
        <f ca="1">IF($E923=Parameters!$D$69, AA1015, MIN(AA1015,-SUM(OFFSET(AA992, 0, MIN(12, COUNTA(AB$3:$BV$3)), , -MIN(12, COUNTA(AB$3:$BV$3))))))</f>
        <v>0</v>
      </c>
      <c r="AB923" s="133">
        <f ca="1">IF($E923=Parameters!$D$69, AB1015, MIN(AB1015,-SUM(OFFSET(AB992, 0, MIN(12, COUNTA(AC$3:$BV$3)), , -MIN(12, COUNTA(AC$3:$BV$3))))))</f>
        <v>0</v>
      </c>
      <c r="AC923" s="133">
        <f ca="1">IF($E923=Parameters!$D$69, AC1015, MIN(AC1015,-SUM(OFFSET(AC992, 0, MIN(12, COUNTA(AD$3:$BV$3)), , -MIN(12, COUNTA(AD$3:$BV$3))))))</f>
        <v>0</v>
      </c>
      <c r="AD923" s="133">
        <f ca="1">IF($E923=Parameters!$D$69, AD1015, MIN(AD1015,-SUM(OFFSET(AD992, 0, MIN(12, COUNTA(AE$3:$BV$3)), , -MIN(12, COUNTA(AE$3:$BV$3))))))</f>
        <v>0</v>
      </c>
      <c r="AE923" s="133">
        <f ca="1">IF($E923=Parameters!$D$69, AE1015, MIN(AE1015,-SUM(OFFSET(AE992, 0, MIN(12, COUNTA(AF$3:$BV$3)), , -MIN(12, COUNTA(AF$3:$BV$3))))))</f>
        <v>0</v>
      </c>
      <c r="AF923" s="133">
        <f ca="1">IF($E923=Parameters!$D$69, AF1015, MIN(AF1015,-SUM(OFFSET(AF992, 0, MIN(12, COUNTA(AG$3:$BV$3)), , -MIN(12, COUNTA(AG$3:$BV$3))))))</f>
        <v>0</v>
      </c>
      <c r="AG923" s="133">
        <f ca="1">IF($E923=Parameters!$D$69, AG1015, MIN(AG1015,-SUM(OFFSET(AG992, 0, MIN(12, COUNTA(AH$3:$BV$3)), , -MIN(12, COUNTA(AH$3:$BV$3))))))</f>
        <v>0</v>
      </c>
      <c r="AH923" s="133">
        <f ca="1">IF($E923=Parameters!$D$69, AH1015, MIN(AH1015,-SUM(OFFSET(AH992, 0, MIN(12, COUNTA(AI$3:$BV$3)), , -MIN(12, COUNTA(AI$3:$BV$3))))))</f>
        <v>0</v>
      </c>
      <c r="AI923" s="133">
        <f ca="1">IF($E923=Parameters!$D$69, AI1015, MIN(AI1015,-SUM(OFFSET(AI992, 0, MIN(12, COUNTA(AJ$3:$BV$3)), , -MIN(12, COUNTA(AJ$3:$BV$3))))))</f>
        <v>0</v>
      </c>
      <c r="AJ923" s="133">
        <f ca="1">IF($E923=Parameters!$D$69, AJ1015, MIN(AJ1015,-SUM(OFFSET(AJ992, 0, MIN(12, COUNTA(AK$3:$BV$3)), , -MIN(12, COUNTA(AK$3:$BV$3))))))</f>
        <v>0</v>
      </c>
      <c r="AK923" s="133">
        <f ca="1">IF($E923=Parameters!$D$69, AK1015, MIN(AK1015,-SUM(OFFSET(AK992, 0, MIN(12, COUNTA(AL$3:$BV$3)), , -MIN(12, COUNTA(AL$3:$BV$3))))))</f>
        <v>0</v>
      </c>
      <c r="AL923" s="133">
        <f ca="1">IF($E923=Parameters!$D$69, AL1015, MIN(AL1015,-SUM(OFFSET(AL992, 0, MIN(12, COUNTA(AM$3:$BV$3)), , -MIN(12, COUNTA(AM$3:$BV$3))))))</f>
        <v>0</v>
      </c>
      <c r="AM923" s="133">
        <f ca="1">IF($E923=Parameters!$D$69, AM1015, MIN(AM1015,-SUM(OFFSET(AM992, 0, MIN(12, COUNTA(AN$3:$BV$3)), , -MIN(12, COUNTA(AN$3:$BV$3))))))</f>
        <v>0</v>
      </c>
      <c r="AN923" s="133">
        <f ca="1">IF($E923=Parameters!$D$69, AN1015, MIN(AN1015,-SUM(OFFSET(AN992, 0, MIN(12, COUNTA(AO$3:$BV$3)), , -MIN(12, COUNTA(AO$3:$BV$3))))))</f>
        <v>0</v>
      </c>
      <c r="AO923" s="133">
        <f ca="1">IF($E923=Parameters!$D$69, AO1015, MIN(AO1015,-SUM(OFFSET(AO992, 0, MIN(12, COUNTA(AP$3:$BV$3)), , -MIN(12, COUNTA(AP$3:$BV$3))))))</f>
        <v>0</v>
      </c>
      <c r="AP923" s="133">
        <f ca="1">IF($E923=Parameters!$D$69, AP1015, MIN(AP1015,-SUM(OFFSET(AP992, 0, MIN(12, COUNTA(AQ$3:$BV$3)), , -MIN(12, COUNTA(AQ$3:$BV$3))))))</f>
        <v>0</v>
      </c>
      <c r="AQ923" s="133">
        <f ca="1">IF($E923=Parameters!$D$69, AQ1015, MIN(AQ1015,-SUM(OFFSET(AQ992, 0, MIN(12, COUNTA(AR$3:$BV$3)), , -MIN(12, COUNTA(AR$3:$BV$3))))))</f>
        <v>0</v>
      </c>
      <c r="AR923" s="133">
        <f ca="1">IF($E923=Parameters!$D$69, AR1015, MIN(AR1015,-SUM(OFFSET(AR992, 0, MIN(12, COUNTA(AS$3:$BV$3)), , -MIN(12, COUNTA(AS$3:$BV$3))))))</f>
        <v>0</v>
      </c>
      <c r="AS923" s="133">
        <f ca="1">IF($E923=Parameters!$D$69, AS1015, MIN(AS1015,-SUM(OFFSET(AS992, 0, MIN(12, COUNTA(AT$3:$BV$3)), , -MIN(12, COUNTA(AT$3:$BV$3))))))</f>
        <v>0</v>
      </c>
      <c r="AT923" s="133">
        <f ca="1">IF($E923=Parameters!$D$69, AT1015, MIN(AT1015,-SUM(OFFSET(AT992, 0, MIN(12, COUNTA(AU$3:$BV$3)), , -MIN(12, COUNTA(AU$3:$BV$3))))))</f>
        <v>0</v>
      </c>
      <c r="AU923" s="133">
        <f ca="1">IF($E923=Parameters!$D$69, AU1015, MIN(AU1015,-SUM(OFFSET(AU992, 0, MIN(12, COUNTA(AV$3:$BV$3)), , -MIN(12, COUNTA(AV$3:$BV$3))))))</f>
        <v>0</v>
      </c>
      <c r="AV923" s="133">
        <f ca="1">IF($E923=Parameters!$D$69, AV1015, MIN(AV1015,-SUM(OFFSET(AV992, 0, MIN(12, COUNTA(AW$3:$BV$3)), , -MIN(12, COUNTA(AW$3:$BV$3))))))</f>
        <v>0</v>
      </c>
      <c r="AW923" s="133">
        <f ca="1">IF($E923=Parameters!$D$69, AW1015, MIN(AW1015,-SUM(OFFSET(AW992, 0, MIN(12, COUNTA(AX$3:$BV$3)), , -MIN(12, COUNTA(AX$3:$BV$3))))))</f>
        <v>0</v>
      </c>
      <c r="AX923" s="133">
        <f ca="1">IF($E923=Parameters!$D$69, AX1015, MIN(AX1015,-SUM(OFFSET(AX992, 0, MIN(12, COUNTA(AY$3:$BV$3)), , -MIN(12, COUNTA(AY$3:$BV$3))))))</f>
        <v>0</v>
      </c>
      <c r="AY923" s="133">
        <f ca="1">IF($E923=Parameters!$D$69, AY1015, MIN(AY1015,-SUM(OFFSET(AY992, 0, MIN(12, COUNTA(AZ$3:$BV$3)), , -MIN(12, COUNTA(AZ$3:$BV$3))))))</f>
        <v>0</v>
      </c>
      <c r="AZ923" s="133">
        <f ca="1">IF($E923=Parameters!$D$69, AZ1015, MIN(AZ1015,-SUM(OFFSET(AZ992, 0, MIN(12, COUNTA(BA$3:$BV$3)), , -MIN(12, COUNTA(BA$3:$BV$3))))))</f>
        <v>0</v>
      </c>
      <c r="BA923" s="133">
        <f ca="1">IF($E923=Parameters!$D$69, BA1015, MIN(BA1015,-SUM(OFFSET(BA992, 0, MIN(12, COUNTA(BB$3:$BV$3)), , -MIN(12, COUNTA(BB$3:$BV$3))))))</f>
        <v>0</v>
      </c>
      <c r="BB923" s="133">
        <f ca="1">IF($E923=Parameters!$D$69, BB1015, MIN(BB1015,-SUM(OFFSET(BB992, 0, MIN(12, COUNTA(BC$3:$BV$3)), , -MIN(12, COUNTA(BC$3:$BV$3))))))</f>
        <v>0</v>
      </c>
      <c r="BC923" s="133">
        <f ca="1">IF($E923=Parameters!$D$69, BC1015, MIN(BC1015,-SUM(OFFSET(BC992, 0, MIN(12, COUNTA(BD$3:$BV$3)), , -MIN(12, COUNTA(BD$3:$BV$3))))))</f>
        <v>0</v>
      </c>
      <c r="BD923" s="133">
        <f ca="1">IF($E923=Parameters!$D$69, BD1015, MIN(BD1015,-SUM(OFFSET(BD992, 0, MIN(12, COUNTA(BE$3:$BV$3)), , -MIN(12, COUNTA(BE$3:$BV$3))))))</f>
        <v>0</v>
      </c>
      <c r="BE923" s="133">
        <f ca="1">IF($E923=Parameters!$D$69, BE1015, MIN(BE1015,-SUM(OFFSET(BE992, 0, MIN(12, COUNTA(BF$3:$BV$3)), , -MIN(12, COUNTA(BF$3:$BV$3))))))</f>
        <v>0</v>
      </c>
      <c r="BF923" s="133">
        <f ca="1">IF($E923=Parameters!$D$69, BF1015, MIN(BF1015,-SUM(OFFSET(BF992, 0, MIN(12, COUNTA(BG$3:$BV$3)), , -MIN(12, COUNTA(BG$3:$BV$3))))))</f>
        <v>0</v>
      </c>
      <c r="BG923" s="133">
        <f ca="1">IF($E923=Parameters!$D$69, BG1015, MIN(BG1015,-SUM(OFFSET(BG992, 0, MIN(12, COUNTA(BH$3:$BV$3)), , -MIN(12, COUNTA(BH$3:$BV$3))))))</f>
        <v>0</v>
      </c>
      <c r="BH923" s="133">
        <f ca="1">IF($E923=Parameters!$D$69, BH1015, MIN(BH1015,-SUM(OFFSET(BH992, 0, MIN(12, COUNTA(BI$3:$BV$3)), , -MIN(12, COUNTA(BI$3:$BV$3))))))</f>
        <v>0</v>
      </c>
      <c r="BI923" s="133">
        <f ca="1">IF($E923=Parameters!$D$69, BI1015, MIN(BI1015,-SUM(OFFSET(BI992, 0, MIN(12, COUNTA(BJ$3:$BV$3)), , -MIN(12, COUNTA(BJ$3:$BV$3))))))</f>
        <v>0</v>
      </c>
      <c r="BJ923" s="133">
        <f ca="1">IF($E923=Parameters!$D$69, BJ1015, MIN(BJ1015,-SUM(OFFSET(BJ992, 0, MIN(12, COUNTA(BK$3:$BV$3)), , -MIN(12, COUNTA(BK$3:$BV$3))))))</f>
        <v>0</v>
      </c>
      <c r="BK923" s="106"/>
      <c r="BL923" s="106"/>
      <c r="BM923" s="106"/>
      <c r="BN923" s="106"/>
      <c r="BO923" s="106"/>
      <c r="BP923" s="106"/>
      <c r="BQ923" s="106"/>
      <c r="BR923" s="106"/>
      <c r="BS923" s="106"/>
      <c r="BT923" s="106"/>
      <c r="BU923" s="106"/>
      <c r="BV923" s="106"/>
      <c r="BX923" s="106"/>
      <c r="BY923" s="12">
        <f t="shared" ca="1" si="909"/>
        <v>0</v>
      </c>
      <c r="BZ923" s="12">
        <f t="shared" ca="1" si="910"/>
        <v>0</v>
      </c>
      <c r="CA923" s="12">
        <f t="shared" ca="1" si="911"/>
        <v>0</v>
      </c>
      <c r="CB923" s="106"/>
      <c r="CC923" s="106"/>
      <c r="CD923" s="106"/>
      <c r="CE923" s="106"/>
      <c r="CF923" s="106"/>
      <c r="CG923" s="106"/>
      <c r="CH923" s="106"/>
      <c r="CI923" s="106"/>
      <c r="CK923" s="11"/>
      <c r="CM923" s="11"/>
      <c r="DF923" s="11"/>
      <c r="EY923" s="10" t="str">
        <f t="shared" si="907"/>
        <v/>
      </c>
    </row>
    <row r="924" spans="1:155" x14ac:dyDescent="0.35">
      <c r="B924" s="69" t="str" cm="1">
        <f t="array" aca="1" ref="B924" ca="1">HYPERLINK(CONCATENATE("#",CELL("address",$D$360)),$D$360)</f>
        <v>Loan 17</v>
      </c>
      <c r="C924" s="211"/>
      <c r="D924" s="49">
        <f>D$29</f>
        <v>0</v>
      </c>
      <c r="E924" s="49" t="str">
        <f>F$29</f>
        <v/>
      </c>
      <c r="F924" s="49"/>
      <c r="H924" s="9"/>
      <c r="I924" s="40" t="s">
        <v>665</v>
      </c>
      <c r="V924" s="106"/>
      <c r="W924" s="133">
        <f t="shared" ca="1" si="908"/>
        <v>0</v>
      </c>
      <c r="X924" s="133">
        <f t="shared" ca="1" si="908"/>
        <v>0</v>
      </c>
      <c r="Y924" s="133">
        <f t="shared" ca="1" si="908"/>
        <v>0</v>
      </c>
      <c r="AA924" s="133">
        <f ca="1">IF($E924=Parameters!$D$69, AA1016, MIN(AA1016,-SUM(OFFSET(AA993, 0, MIN(12, COUNTA(AB$3:$BV$3)), , -MIN(12, COUNTA(AB$3:$BV$3))))))</f>
        <v>0</v>
      </c>
      <c r="AB924" s="133">
        <f ca="1">IF($E924=Parameters!$D$69, AB1016, MIN(AB1016,-SUM(OFFSET(AB993, 0, MIN(12, COUNTA(AC$3:$BV$3)), , -MIN(12, COUNTA(AC$3:$BV$3))))))</f>
        <v>0</v>
      </c>
      <c r="AC924" s="133">
        <f ca="1">IF($E924=Parameters!$D$69, AC1016, MIN(AC1016,-SUM(OFFSET(AC993, 0, MIN(12, COUNTA(AD$3:$BV$3)), , -MIN(12, COUNTA(AD$3:$BV$3))))))</f>
        <v>0</v>
      </c>
      <c r="AD924" s="133">
        <f ca="1">IF($E924=Parameters!$D$69, AD1016, MIN(AD1016,-SUM(OFFSET(AD993, 0, MIN(12, COUNTA(AE$3:$BV$3)), , -MIN(12, COUNTA(AE$3:$BV$3))))))</f>
        <v>0</v>
      </c>
      <c r="AE924" s="133">
        <f ca="1">IF($E924=Parameters!$D$69, AE1016, MIN(AE1016,-SUM(OFFSET(AE993, 0, MIN(12, COUNTA(AF$3:$BV$3)), , -MIN(12, COUNTA(AF$3:$BV$3))))))</f>
        <v>0</v>
      </c>
      <c r="AF924" s="133">
        <f ca="1">IF($E924=Parameters!$D$69, AF1016, MIN(AF1016,-SUM(OFFSET(AF993, 0, MIN(12, COUNTA(AG$3:$BV$3)), , -MIN(12, COUNTA(AG$3:$BV$3))))))</f>
        <v>0</v>
      </c>
      <c r="AG924" s="133">
        <f ca="1">IF($E924=Parameters!$D$69, AG1016, MIN(AG1016,-SUM(OFFSET(AG993, 0, MIN(12, COUNTA(AH$3:$BV$3)), , -MIN(12, COUNTA(AH$3:$BV$3))))))</f>
        <v>0</v>
      </c>
      <c r="AH924" s="133">
        <f ca="1">IF($E924=Parameters!$D$69, AH1016, MIN(AH1016,-SUM(OFFSET(AH993, 0, MIN(12, COUNTA(AI$3:$BV$3)), , -MIN(12, COUNTA(AI$3:$BV$3))))))</f>
        <v>0</v>
      </c>
      <c r="AI924" s="133">
        <f ca="1">IF($E924=Parameters!$D$69, AI1016, MIN(AI1016,-SUM(OFFSET(AI993, 0, MIN(12, COUNTA(AJ$3:$BV$3)), , -MIN(12, COUNTA(AJ$3:$BV$3))))))</f>
        <v>0</v>
      </c>
      <c r="AJ924" s="133">
        <f ca="1">IF($E924=Parameters!$D$69, AJ1016, MIN(AJ1016,-SUM(OFFSET(AJ993, 0, MIN(12, COUNTA(AK$3:$BV$3)), , -MIN(12, COUNTA(AK$3:$BV$3))))))</f>
        <v>0</v>
      </c>
      <c r="AK924" s="133">
        <f ca="1">IF($E924=Parameters!$D$69, AK1016, MIN(AK1016,-SUM(OFFSET(AK993, 0, MIN(12, COUNTA(AL$3:$BV$3)), , -MIN(12, COUNTA(AL$3:$BV$3))))))</f>
        <v>0</v>
      </c>
      <c r="AL924" s="133">
        <f ca="1">IF($E924=Parameters!$D$69, AL1016, MIN(AL1016,-SUM(OFFSET(AL993, 0, MIN(12, COUNTA(AM$3:$BV$3)), , -MIN(12, COUNTA(AM$3:$BV$3))))))</f>
        <v>0</v>
      </c>
      <c r="AM924" s="133">
        <f ca="1">IF($E924=Parameters!$D$69, AM1016, MIN(AM1016,-SUM(OFFSET(AM993, 0, MIN(12, COUNTA(AN$3:$BV$3)), , -MIN(12, COUNTA(AN$3:$BV$3))))))</f>
        <v>0</v>
      </c>
      <c r="AN924" s="133">
        <f ca="1">IF($E924=Parameters!$D$69, AN1016, MIN(AN1016,-SUM(OFFSET(AN993, 0, MIN(12, COUNTA(AO$3:$BV$3)), , -MIN(12, COUNTA(AO$3:$BV$3))))))</f>
        <v>0</v>
      </c>
      <c r="AO924" s="133">
        <f ca="1">IF($E924=Parameters!$D$69, AO1016, MIN(AO1016,-SUM(OFFSET(AO993, 0, MIN(12, COUNTA(AP$3:$BV$3)), , -MIN(12, COUNTA(AP$3:$BV$3))))))</f>
        <v>0</v>
      </c>
      <c r="AP924" s="133">
        <f ca="1">IF($E924=Parameters!$D$69, AP1016, MIN(AP1016,-SUM(OFFSET(AP993, 0, MIN(12, COUNTA(AQ$3:$BV$3)), , -MIN(12, COUNTA(AQ$3:$BV$3))))))</f>
        <v>0</v>
      </c>
      <c r="AQ924" s="133">
        <f ca="1">IF($E924=Parameters!$D$69, AQ1016, MIN(AQ1016,-SUM(OFFSET(AQ993, 0, MIN(12, COUNTA(AR$3:$BV$3)), , -MIN(12, COUNTA(AR$3:$BV$3))))))</f>
        <v>0</v>
      </c>
      <c r="AR924" s="133">
        <f ca="1">IF($E924=Parameters!$D$69, AR1016, MIN(AR1016,-SUM(OFFSET(AR993, 0, MIN(12, COUNTA(AS$3:$BV$3)), , -MIN(12, COUNTA(AS$3:$BV$3))))))</f>
        <v>0</v>
      </c>
      <c r="AS924" s="133">
        <f ca="1">IF($E924=Parameters!$D$69, AS1016, MIN(AS1016,-SUM(OFFSET(AS993, 0, MIN(12, COUNTA(AT$3:$BV$3)), , -MIN(12, COUNTA(AT$3:$BV$3))))))</f>
        <v>0</v>
      </c>
      <c r="AT924" s="133">
        <f ca="1">IF($E924=Parameters!$D$69, AT1016, MIN(AT1016,-SUM(OFFSET(AT993, 0, MIN(12, COUNTA(AU$3:$BV$3)), , -MIN(12, COUNTA(AU$3:$BV$3))))))</f>
        <v>0</v>
      </c>
      <c r="AU924" s="133">
        <f ca="1">IF($E924=Parameters!$D$69, AU1016, MIN(AU1016,-SUM(OFFSET(AU993, 0, MIN(12, COUNTA(AV$3:$BV$3)), , -MIN(12, COUNTA(AV$3:$BV$3))))))</f>
        <v>0</v>
      </c>
      <c r="AV924" s="133">
        <f ca="1">IF($E924=Parameters!$D$69, AV1016, MIN(AV1016,-SUM(OFFSET(AV993, 0, MIN(12, COUNTA(AW$3:$BV$3)), , -MIN(12, COUNTA(AW$3:$BV$3))))))</f>
        <v>0</v>
      </c>
      <c r="AW924" s="133">
        <f ca="1">IF($E924=Parameters!$D$69, AW1016, MIN(AW1016,-SUM(OFFSET(AW993, 0, MIN(12, COUNTA(AX$3:$BV$3)), , -MIN(12, COUNTA(AX$3:$BV$3))))))</f>
        <v>0</v>
      </c>
      <c r="AX924" s="133">
        <f ca="1">IF($E924=Parameters!$D$69, AX1016, MIN(AX1016,-SUM(OFFSET(AX993, 0, MIN(12, COUNTA(AY$3:$BV$3)), , -MIN(12, COUNTA(AY$3:$BV$3))))))</f>
        <v>0</v>
      </c>
      <c r="AY924" s="133">
        <f ca="1">IF($E924=Parameters!$D$69, AY1016, MIN(AY1016,-SUM(OFFSET(AY993, 0, MIN(12, COUNTA(AZ$3:$BV$3)), , -MIN(12, COUNTA(AZ$3:$BV$3))))))</f>
        <v>0</v>
      </c>
      <c r="AZ924" s="133">
        <f ca="1">IF($E924=Parameters!$D$69, AZ1016, MIN(AZ1016,-SUM(OFFSET(AZ993, 0, MIN(12, COUNTA(BA$3:$BV$3)), , -MIN(12, COUNTA(BA$3:$BV$3))))))</f>
        <v>0</v>
      </c>
      <c r="BA924" s="133">
        <f ca="1">IF($E924=Parameters!$D$69, BA1016, MIN(BA1016,-SUM(OFFSET(BA993, 0, MIN(12, COUNTA(BB$3:$BV$3)), , -MIN(12, COUNTA(BB$3:$BV$3))))))</f>
        <v>0</v>
      </c>
      <c r="BB924" s="133">
        <f ca="1">IF($E924=Parameters!$D$69, BB1016, MIN(BB1016,-SUM(OFFSET(BB993, 0, MIN(12, COUNTA(BC$3:$BV$3)), , -MIN(12, COUNTA(BC$3:$BV$3))))))</f>
        <v>0</v>
      </c>
      <c r="BC924" s="133">
        <f ca="1">IF($E924=Parameters!$D$69, BC1016, MIN(BC1016,-SUM(OFFSET(BC993, 0, MIN(12, COUNTA(BD$3:$BV$3)), , -MIN(12, COUNTA(BD$3:$BV$3))))))</f>
        <v>0</v>
      </c>
      <c r="BD924" s="133">
        <f ca="1">IF($E924=Parameters!$D$69, BD1016, MIN(BD1016,-SUM(OFFSET(BD993, 0, MIN(12, COUNTA(BE$3:$BV$3)), , -MIN(12, COUNTA(BE$3:$BV$3))))))</f>
        <v>0</v>
      </c>
      <c r="BE924" s="133">
        <f ca="1">IF($E924=Parameters!$D$69, BE1016, MIN(BE1016,-SUM(OFFSET(BE993, 0, MIN(12, COUNTA(BF$3:$BV$3)), , -MIN(12, COUNTA(BF$3:$BV$3))))))</f>
        <v>0</v>
      </c>
      <c r="BF924" s="133">
        <f ca="1">IF($E924=Parameters!$D$69, BF1016, MIN(BF1016,-SUM(OFFSET(BF993, 0, MIN(12, COUNTA(BG$3:$BV$3)), , -MIN(12, COUNTA(BG$3:$BV$3))))))</f>
        <v>0</v>
      </c>
      <c r="BG924" s="133">
        <f ca="1">IF($E924=Parameters!$D$69, BG1016, MIN(BG1016,-SUM(OFFSET(BG993, 0, MIN(12, COUNTA(BH$3:$BV$3)), , -MIN(12, COUNTA(BH$3:$BV$3))))))</f>
        <v>0</v>
      </c>
      <c r="BH924" s="133">
        <f ca="1">IF($E924=Parameters!$D$69, BH1016, MIN(BH1016,-SUM(OFFSET(BH993, 0, MIN(12, COUNTA(BI$3:$BV$3)), , -MIN(12, COUNTA(BI$3:$BV$3))))))</f>
        <v>0</v>
      </c>
      <c r="BI924" s="133">
        <f ca="1">IF($E924=Parameters!$D$69, BI1016, MIN(BI1016,-SUM(OFFSET(BI993, 0, MIN(12, COUNTA(BJ$3:$BV$3)), , -MIN(12, COUNTA(BJ$3:$BV$3))))))</f>
        <v>0</v>
      </c>
      <c r="BJ924" s="133">
        <f ca="1">IF($E924=Parameters!$D$69, BJ1016, MIN(BJ1016,-SUM(OFFSET(BJ993, 0, MIN(12, COUNTA(BK$3:$BV$3)), , -MIN(12, COUNTA(BK$3:$BV$3))))))</f>
        <v>0</v>
      </c>
      <c r="BK924" s="106"/>
      <c r="BL924" s="106"/>
      <c r="BM924" s="106"/>
      <c r="BN924" s="106"/>
      <c r="BO924" s="106"/>
      <c r="BP924" s="106"/>
      <c r="BQ924" s="106"/>
      <c r="BR924" s="106"/>
      <c r="BS924" s="106"/>
      <c r="BT924" s="106"/>
      <c r="BU924" s="106"/>
      <c r="BV924" s="106"/>
      <c r="BX924" s="106"/>
      <c r="BY924" s="12">
        <f t="shared" ca="1" si="909"/>
        <v>0</v>
      </c>
      <c r="BZ924" s="12">
        <f t="shared" ca="1" si="910"/>
        <v>0</v>
      </c>
      <c r="CA924" s="12">
        <f t="shared" ca="1" si="911"/>
        <v>0</v>
      </c>
      <c r="CB924" s="106"/>
      <c r="CC924" s="106"/>
      <c r="CD924" s="106"/>
      <c r="CE924" s="106"/>
      <c r="CF924" s="106"/>
      <c r="CG924" s="106"/>
      <c r="CH924" s="106"/>
      <c r="CI924" s="106"/>
      <c r="CK924" s="11"/>
      <c r="CM924" s="11"/>
      <c r="DF924" s="11"/>
      <c r="EY924" s="10" t="str">
        <f t="shared" si="907"/>
        <v/>
      </c>
    </row>
    <row r="925" spans="1:155" x14ac:dyDescent="0.35">
      <c r="B925" s="69" t="str" cm="1">
        <f t="array" aca="1" ref="B925" ca="1">HYPERLINK(CONCATENATE("#",CELL("address",$D$379)),$D$379)</f>
        <v>Loan 18</v>
      </c>
      <c r="C925" s="211"/>
      <c r="D925" s="49">
        <f>D$30</f>
        <v>0</v>
      </c>
      <c r="E925" s="49" t="str">
        <f>F$30</f>
        <v/>
      </c>
      <c r="F925" s="49"/>
      <c r="H925" s="9"/>
      <c r="I925" s="40" t="s">
        <v>665</v>
      </c>
      <c r="V925" s="106"/>
      <c r="W925" s="133">
        <f t="shared" ca="1" si="908"/>
        <v>0</v>
      </c>
      <c r="X925" s="133">
        <f t="shared" ca="1" si="908"/>
        <v>0</v>
      </c>
      <c r="Y925" s="133">
        <f t="shared" ca="1" si="908"/>
        <v>0</v>
      </c>
      <c r="AA925" s="133">
        <f ca="1">IF($E925=Parameters!$D$69, AA1017, MIN(AA1017,-SUM(OFFSET(AA994, 0, MIN(12, COUNTA(AB$3:$BV$3)), , -MIN(12, COUNTA(AB$3:$BV$3))))))</f>
        <v>0</v>
      </c>
      <c r="AB925" s="133">
        <f ca="1">IF($E925=Parameters!$D$69, AB1017, MIN(AB1017,-SUM(OFFSET(AB994, 0, MIN(12, COUNTA(AC$3:$BV$3)), , -MIN(12, COUNTA(AC$3:$BV$3))))))</f>
        <v>0</v>
      </c>
      <c r="AC925" s="133">
        <f ca="1">IF($E925=Parameters!$D$69, AC1017, MIN(AC1017,-SUM(OFFSET(AC994, 0, MIN(12, COUNTA(AD$3:$BV$3)), , -MIN(12, COUNTA(AD$3:$BV$3))))))</f>
        <v>0</v>
      </c>
      <c r="AD925" s="133">
        <f ca="1">IF($E925=Parameters!$D$69, AD1017, MIN(AD1017,-SUM(OFFSET(AD994, 0, MIN(12, COUNTA(AE$3:$BV$3)), , -MIN(12, COUNTA(AE$3:$BV$3))))))</f>
        <v>0</v>
      </c>
      <c r="AE925" s="133">
        <f ca="1">IF($E925=Parameters!$D$69, AE1017, MIN(AE1017,-SUM(OFFSET(AE994, 0, MIN(12, COUNTA(AF$3:$BV$3)), , -MIN(12, COUNTA(AF$3:$BV$3))))))</f>
        <v>0</v>
      </c>
      <c r="AF925" s="133">
        <f ca="1">IF($E925=Parameters!$D$69, AF1017, MIN(AF1017,-SUM(OFFSET(AF994, 0, MIN(12, COUNTA(AG$3:$BV$3)), , -MIN(12, COUNTA(AG$3:$BV$3))))))</f>
        <v>0</v>
      </c>
      <c r="AG925" s="133">
        <f ca="1">IF($E925=Parameters!$D$69, AG1017, MIN(AG1017,-SUM(OFFSET(AG994, 0, MIN(12, COUNTA(AH$3:$BV$3)), , -MIN(12, COUNTA(AH$3:$BV$3))))))</f>
        <v>0</v>
      </c>
      <c r="AH925" s="133">
        <f ca="1">IF($E925=Parameters!$D$69, AH1017, MIN(AH1017,-SUM(OFFSET(AH994, 0, MIN(12, COUNTA(AI$3:$BV$3)), , -MIN(12, COUNTA(AI$3:$BV$3))))))</f>
        <v>0</v>
      </c>
      <c r="AI925" s="133">
        <f ca="1">IF($E925=Parameters!$D$69, AI1017, MIN(AI1017,-SUM(OFFSET(AI994, 0, MIN(12, COUNTA(AJ$3:$BV$3)), , -MIN(12, COUNTA(AJ$3:$BV$3))))))</f>
        <v>0</v>
      </c>
      <c r="AJ925" s="133">
        <f ca="1">IF($E925=Parameters!$D$69, AJ1017, MIN(AJ1017,-SUM(OFFSET(AJ994, 0, MIN(12, COUNTA(AK$3:$BV$3)), , -MIN(12, COUNTA(AK$3:$BV$3))))))</f>
        <v>0</v>
      </c>
      <c r="AK925" s="133">
        <f ca="1">IF($E925=Parameters!$D$69, AK1017, MIN(AK1017,-SUM(OFFSET(AK994, 0, MIN(12, COUNTA(AL$3:$BV$3)), , -MIN(12, COUNTA(AL$3:$BV$3))))))</f>
        <v>0</v>
      </c>
      <c r="AL925" s="133">
        <f ca="1">IF($E925=Parameters!$D$69, AL1017, MIN(AL1017,-SUM(OFFSET(AL994, 0, MIN(12, COUNTA(AM$3:$BV$3)), , -MIN(12, COUNTA(AM$3:$BV$3))))))</f>
        <v>0</v>
      </c>
      <c r="AM925" s="133">
        <f ca="1">IF($E925=Parameters!$D$69, AM1017, MIN(AM1017,-SUM(OFFSET(AM994, 0, MIN(12, COUNTA(AN$3:$BV$3)), , -MIN(12, COUNTA(AN$3:$BV$3))))))</f>
        <v>0</v>
      </c>
      <c r="AN925" s="133">
        <f ca="1">IF($E925=Parameters!$D$69, AN1017, MIN(AN1017,-SUM(OFFSET(AN994, 0, MIN(12, COUNTA(AO$3:$BV$3)), , -MIN(12, COUNTA(AO$3:$BV$3))))))</f>
        <v>0</v>
      </c>
      <c r="AO925" s="133">
        <f ca="1">IF($E925=Parameters!$D$69, AO1017, MIN(AO1017,-SUM(OFFSET(AO994, 0, MIN(12, COUNTA(AP$3:$BV$3)), , -MIN(12, COUNTA(AP$3:$BV$3))))))</f>
        <v>0</v>
      </c>
      <c r="AP925" s="133">
        <f ca="1">IF($E925=Parameters!$D$69, AP1017, MIN(AP1017,-SUM(OFFSET(AP994, 0, MIN(12, COUNTA(AQ$3:$BV$3)), , -MIN(12, COUNTA(AQ$3:$BV$3))))))</f>
        <v>0</v>
      </c>
      <c r="AQ925" s="133">
        <f ca="1">IF($E925=Parameters!$D$69, AQ1017, MIN(AQ1017,-SUM(OFFSET(AQ994, 0, MIN(12, COUNTA(AR$3:$BV$3)), , -MIN(12, COUNTA(AR$3:$BV$3))))))</f>
        <v>0</v>
      </c>
      <c r="AR925" s="133">
        <f ca="1">IF($E925=Parameters!$D$69, AR1017, MIN(AR1017,-SUM(OFFSET(AR994, 0, MIN(12, COUNTA(AS$3:$BV$3)), , -MIN(12, COUNTA(AS$3:$BV$3))))))</f>
        <v>0</v>
      </c>
      <c r="AS925" s="133">
        <f ca="1">IF($E925=Parameters!$D$69, AS1017, MIN(AS1017,-SUM(OFFSET(AS994, 0, MIN(12, COUNTA(AT$3:$BV$3)), , -MIN(12, COUNTA(AT$3:$BV$3))))))</f>
        <v>0</v>
      </c>
      <c r="AT925" s="133">
        <f ca="1">IF($E925=Parameters!$D$69, AT1017, MIN(AT1017,-SUM(OFFSET(AT994, 0, MIN(12, COUNTA(AU$3:$BV$3)), , -MIN(12, COUNTA(AU$3:$BV$3))))))</f>
        <v>0</v>
      </c>
      <c r="AU925" s="133">
        <f ca="1">IF($E925=Parameters!$D$69, AU1017, MIN(AU1017,-SUM(OFFSET(AU994, 0, MIN(12, COUNTA(AV$3:$BV$3)), , -MIN(12, COUNTA(AV$3:$BV$3))))))</f>
        <v>0</v>
      </c>
      <c r="AV925" s="133">
        <f ca="1">IF($E925=Parameters!$D$69, AV1017, MIN(AV1017,-SUM(OFFSET(AV994, 0, MIN(12, COUNTA(AW$3:$BV$3)), , -MIN(12, COUNTA(AW$3:$BV$3))))))</f>
        <v>0</v>
      </c>
      <c r="AW925" s="133">
        <f ca="1">IF($E925=Parameters!$D$69, AW1017, MIN(AW1017,-SUM(OFFSET(AW994, 0, MIN(12, COUNTA(AX$3:$BV$3)), , -MIN(12, COUNTA(AX$3:$BV$3))))))</f>
        <v>0</v>
      </c>
      <c r="AX925" s="133">
        <f ca="1">IF($E925=Parameters!$D$69, AX1017, MIN(AX1017,-SUM(OFFSET(AX994, 0, MIN(12, COUNTA(AY$3:$BV$3)), , -MIN(12, COUNTA(AY$3:$BV$3))))))</f>
        <v>0</v>
      </c>
      <c r="AY925" s="133">
        <f ca="1">IF($E925=Parameters!$D$69, AY1017, MIN(AY1017,-SUM(OFFSET(AY994, 0, MIN(12, COUNTA(AZ$3:$BV$3)), , -MIN(12, COUNTA(AZ$3:$BV$3))))))</f>
        <v>0</v>
      </c>
      <c r="AZ925" s="133">
        <f ca="1">IF($E925=Parameters!$D$69, AZ1017, MIN(AZ1017,-SUM(OFFSET(AZ994, 0, MIN(12, COUNTA(BA$3:$BV$3)), , -MIN(12, COUNTA(BA$3:$BV$3))))))</f>
        <v>0</v>
      </c>
      <c r="BA925" s="133">
        <f ca="1">IF($E925=Parameters!$D$69, BA1017, MIN(BA1017,-SUM(OFFSET(BA994, 0, MIN(12, COUNTA(BB$3:$BV$3)), , -MIN(12, COUNTA(BB$3:$BV$3))))))</f>
        <v>0</v>
      </c>
      <c r="BB925" s="133">
        <f ca="1">IF($E925=Parameters!$D$69, BB1017, MIN(BB1017,-SUM(OFFSET(BB994, 0, MIN(12, COUNTA(BC$3:$BV$3)), , -MIN(12, COUNTA(BC$3:$BV$3))))))</f>
        <v>0</v>
      </c>
      <c r="BC925" s="133">
        <f ca="1">IF($E925=Parameters!$D$69, BC1017, MIN(BC1017,-SUM(OFFSET(BC994, 0, MIN(12, COUNTA(BD$3:$BV$3)), , -MIN(12, COUNTA(BD$3:$BV$3))))))</f>
        <v>0</v>
      </c>
      <c r="BD925" s="133">
        <f ca="1">IF($E925=Parameters!$D$69, BD1017, MIN(BD1017,-SUM(OFFSET(BD994, 0, MIN(12, COUNTA(BE$3:$BV$3)), , -MIN(12, COUNTA(BE$3:$BV$3))))))</f>
        <v>0</v>
      </c>
      <c r="BE925" s="133">
        <f ca="1">IF($E925=Parameters!$D$69, BE1017, MIN(BE1017,-SUM(OFFSET(BE994, 0, MIN(12, COUNTA(BF$3:$BV$3)), , -MIN(12, COUNTA(BF$3:$BV$3))))))</f>
        <v>0</v>
      </c>
      <c r="BF925" s="133">
        <f ca="1">IF($E925=Parameters!$D$69, BF1017, MIN(BF1017,-SUM(OFFSET(BF994, 0, MIN(12, COUNTA(BG$3:$BV$3)), , -MIN(12, COUNTA(BG$3:$BV$3))))))</f>
        <v>0</v>
      </c>
      <c r="BG925" s="133">
        <f ca="1">IF($E925=Parameters!$D$69, BG1017, MIN(BG1017,-SUM(OFFSET(BG994, 0, MIN(12, COUNTA(BH$3:$BV$3)), , -MIN(12, COUNTA(BH$3:$BV$3))))))</f>
        <v>0</v>
      </c>
      <c r="BH925" s="133">
        <f ca="1">IF($E925=Parameters!$D$69, BH1017, MIN(BH1017,-SUM(OFFSET(BH994, 0, MIN(12, COUNTA(BI$3:$BV$3)), , -MIN(12, COUNTA(BI$3:$BV$3))))))</f>
        <v>0</v>
      </c>
      <c r="BI925" s="133">
        <f ca="1">IF($E925=Parameters!$D$69, BI1017, MIN(BI1017,-SUM(OFFSET(BI994, 0, MIN(12, COUNTA(BJ$3:$BV$3)), , -MIN(12, COUNTA(BJ$3:$BV$3))))))</f>
        <v>0</v>
      </c>
      <c r="BJ925" s="133">
        <f ca="1">IF($E925=Parameters!$D$69, BJ1017, MIN(BJ1017,-SUM(OFFSET(BJ994, 0, MIN(12, COUNTA(BK$3:$BV$3)), , -MIN(12, COUNTA(BK$3:$BV$3))))))</f>
        <v>0</v>
      </c>
      <c r="BK925" s="106"/>
      <c r="BL925" s="106"/>
      <c r="BM925" s="106"/>
      <c r="BN925" s="106"/>
      <c r="BO925" s="106"/>
      <c r="BP925" s="106"/>
      <c r="BQ925" s="106"/>
      <c r="BR925" s="106"/>
      <c r="BS925" s="106"/>
      <c r="BT925" s="106"/>
      <c r="BU925" s="106"/>
      <c r="BV925" s="106"/>
      <c r="BX925" s="106"/>
      <c r="BY925" s="12">
        <f t="shared" ca="1" si="909"/>
        <v>0</v>
      </c>
      <c r="BZ925" s="12">
        <f t="shared" ca="1" si="910"/>
        <v>0</v>
      </c>
      <c r="CA925" s="12">
        <f t="shared" ca="1" si="911"/>
        <v>0</v>
      </c>
      <c r="CB925" s="106"/>
      <c r="CC925" s="106"/>
      <c r="CD925" s="106"/>
      <c r="CE925" s="106"/>
      <c r="CF925" s="106"/>
      <c r="CG925" s="106"/>
      <c r="CH925" s="106"/>
      <c r="CI925" s="106"/>
      <c r="CK925" s="11"/>
      <c r="CM925" s="11"/>
      <c r="DF925" s="11"/>
      <c r="EY925" s="10" t="str">
        <f t="shared" si="907"/>
        <v/>
      </c>
    </row>
    <row r="926" spans="1:155" x14ac:dyDescent="0.35">
      <c r="B926" s="69" t="str" cm="1">
        <f t="array" aca="1" ref="B926" ca="1">HYPERLINK(CONCATENATE("#",CELL("address",$D$398)),$D$398)</f>
        <v>Loan 19</v>
      </c>
      <c r="C926" s="211"/>
      <c r="D926" s="49">
        <f>D$31</f>
        <v>0</v>
      </c>
      <c r="E926" s="49" t="str">
        <f>F$31</f>
        <v/>
      </c>
      <c r="F926" s="49"/>
      <c r="H926" s="9"/>
      <c r="I926" s="40" t="s">
        <v>665</v>
      </c>
      <c r="V926" s="106"/>
      <c r="W926" s="133">
        <f t="shared" ca="1" si="908"/>
        <v>0</v>
      </c>
      <c r="X926" s="133">
        <f t="shared" ca="1" si="908"/>
        <v>0</v>
      </c>
      <c r="Y926" s="133">
        <f t="shared" ca="1" si="908"/>
        <v>0</v>
      </c>
      <c r="AA926" s="133">
        <f ca="1">IF($E926=Parameters!$D$69, AA1018, MIN(AA1018,-SUM(OFFSET(AA995, 0, MIN(12, COUNTA(AB$3:$BV$3)), , -MIN(12, COUNTA(AB$3:$BV$3))))))</f>
        <v>0</v>
      </c>
      <c r="AB926" s="133">
        <f ca="1">IF($E926=Parameters!$D$69, AB1018, MIN(AB1018,-SUM(OFFSET(AB995, 0, MIN(12, COUNTA(AC$3:$BV$3)), , -MIN(12, COUNTA(AC$3:$BV$3))))))</f>
        <v>0</v>
      </c>
      <c r="AC926" s="133">
        <f ca="1">IF($E926=Parameters!$D$69, AC1018, MIN(AC1018,-SUM(OFFSET(AC995, 0, MIN(12, COUNTA(AD$3:$BV$3)), , -MIN(12, COUNTA(AD$3:$BV$3))))))</f>
        <v>0</v>
      </c>
      <c r="AD926" s="133">
        <f ca="1">IF($E926=Parameters!$D$69, AD1018, MIN(AD1018,-SUM(OFFSET(AD995, 0, MIN(12, COUNTA(AE$3:$BV$3)), , -MIN(12, COUNTA(AE$3:$BV$3))))))</f>
        <v>0</v>
      </c>
      <c r="AE926" s="133">
        <f ca="1">IF($E926=Parameters!$D$69, AE1018, MIN(AE1018,-SUM(OFFSET(AE995, 0, MIN(12, COUNTA(AF$3:$BV$3)), , -MIN(12, COUNTA(AF$3:$BV$3))))))</f>
        <v>0</v>
      </c>
      <c r="AF926" s="133">
        <f ca="1">IF($E926=Parameters!$D$69, AF1018, MIN(AF1018,-SUM(OFFSET(AF995, 0, MIN(12, COUNTA(AG$3:$BV$3)), , -MIN(12, COUNTA(AG$3:$BV$3))))))</f>
        <v>0</v>
      </c>
      <c r="AG926" s="133">
        <f ca="1">IF($E926=Parameters!$D$69, AG1018, MIN(AG1018,-SUM(OFFSET(AG995, 0, MIN(12, COUNTA(AH$3:$BV$3)), , -MIN(12, COUNTA(AH$3:$BV$3))))))</f>
        <v>0</v>
      </c>
      <c r="AH926" s="133">
        <f ca="1">IF($E926=Parameters!$D$69, AH1018, MIN(AH1018,-SUM(OFFSET(AH995, 0, MIN(12, COUNTA(AI$3:$BV$3)), , -MIN(12, COUNTA(AI$3:$BV$3))))))</f>
        <v>0</v>
      </c>
      <c r="AI926" s="133">
        <f ca="1">IF($E926=Parameters!$D$69, AI1018, MIN(AI1018,-SUM(OFFSET(AI995, 0, MIN(12, COUNTA(AJ$3:$BV$3)), , -MIN(12, COUNTA(AJ$3:$BV$3))))))</f>
        <v>0</v>
      </c>
      <c r="AJ926" s="133">
        <f ca="1">IF($E926=Parameters!$D$69, AJ1018, MIN(AJ1018,-SUM(OFFSET(AJ995, 0, MIN(12, COUNTA(AK$3:$BV$3)), , -MIN(12, COUNTA(AK$3:$BV$3))))))</f>
        <v>0</v>
      </c>
      <c r="AK926" s="133">
        <f ca="1">IF($E926=Parameters!$D$69, AK1018, MIN(AK1018,-SUM(OFFSET(AK995, 0, MIN(12, COUNTA(AL$3:$BV$3)), , -MIN(12, COUNTA(AL$3:$BV$3))))))</f>
        <v>0</v>
      </c>
      <c r="AL926" s="133">
        <f ca="1">IF($E926=Parameters!$D$69, AL1018, MIN(AL1018,-SUM(OFFSET(AL995, 0, MIN(12, COUNTA(AM$3:$BV$3)), , -MIN(12, COUNTA(AM$3:$BV$3))))))</f>
        <v>0</v>
      </c>
      <c r="AM926" s="133">
        <f ca="1">IF($E926=Parameters!$D$69, AM1018, MIN(AM1018,-SUM(OFFSET(AM995, 0, MIN(12, COUNTA(AN$3:$BV$3)), , -MIN(12, COUNTA(AN$3:$BV$3))))))</f>
        <v>0</v>
      </c>
      <c r="AN926" s="133">
        <f ca="1">IF($E926=Parameters!$D$69, AN1018, MIN(AN1018,-SUM(OFFSET(AN995, 0, MIN(12, COUNTA(AO$3:$BV$3)), , -MIN(12, COUNTA(AO$3:$BV$3))))))</f>
        <v>0</v>
      </c>
      <c r="AO926" s="133">
        <f ca="1">IF($E926=Parameters!$D$69, AO1018, MIN(AO1018,-SUM(OFFSET(AO995, 0, MIN(12, COUNTA(AP$3:$BV$3)), , -MIN(12, COUNTA(AP$3:$BV$3))))))</f>
        <v>0</v>
      </c>
      <c r="AP926" s="133">
        <f ca="1">IF($E926=Parameters!$D$69, AP1018, MIN(AP1018,-SUM(OFFSET(AP995, 0, MIN(12, COUNTA(AQ$3:$BV$3)), , -MIN(12, COUNTA(AQ$3:$BV$3))))))</f>
        <v>0</v>
      </c>
      <c r="AQ926" s="133">
        <f ca="1">IF($E926=Parameters!$D$69, AQ1018, MIN(AQ1018,-SUM(OFFSET(AQ995, 0, MIN(12, COUNTA(AR$3:$BV$3)), , -MIN(12, COUNTA(AR$3:$BV$3))))))</f>
        <v>0</v>
      </c>
      <c r="AR926" s="133">
        <f ca="1">IF($E926=Parameters!$D$69, AR1018, MIN(AR1018,-SUM(OFFSET(AR995, 0, MIN(12, COUNTA(AS$3:$BV$3)), , -MIN(12, COUNTA(AS$3:$BV$3))))))</f>
        <v>0</v>
      </c>
      <c r="AS926" s="133">
        <f ca="1">IF($E926=Parameters!$D$69, AS1018, MIN(AS1018,-SUM(OFFSET(AS995, 0, MIN(12, COUNTA(AT$3:$BV$3)), , -MIN(12, COUNTA(AT$3:$BV$3))))))</f>
        <v>0</v>
      </c>
      <c r="AT926" s="133">
        <f ca="1">IF($E926=Parameters!$D$69, AT1018, MIN(AT1018,-SUM(OFFSET(AT995, 0, MIN(12, COUNTA(AU$3:$BV$3)), , -MIN(12, COUNTA(AU$3:$BV$3))))))</f>
        <v>0</v>
      </c>
      <c r="AU926" s="133">
        <f ca="1">IF($E926=Parameters!$D$69, AU1018, MIN(AU1018,-SUM(OFFSET(AU995, 0, MIN(12, COUNTA(AV$3:$BV$3)), , -MIN(12, COUNTA(AV$3:$BV$3))))))</f>
        <v>0</v>
      </c>
      <c r="AV926" s="133">
        <f ca="1">IF($E926=Parameters!$D$69, AV1018, MIN(AV1018,-SUM(OFFSET(AV995, 0, MIN(12, COUNTA(AW$3:$BV$3)), , -MIN(12, COUNTA(AW$3:$BV$3))))))</f>
        <v>0</v>
      </c>
      <c r="AW926" s="133">
        <f ca="1">IF($E926=Parameters!$D$69, AW1018, MIN(AW1018,-SUM(OFFSET(AW995, 0, MIN(12, COUNTA(AX$3:$BV$3)), , -MIN(12, COUNTA(AX$3:$BV$3))))))</f>
        <v>0</v>
      </c>
      <c r="AX926" s="133">
        <f ca="1">IF($E926=Parameters!$D$69, AX1018, MIN(AX1018,-SUM(OFFSET(AX995, 0, MIN(12, COUNTA(AY$3:$BV$3)), , -MIN(12, COUNTA(AY$3:$BV$3))))))</f>
        <v>0</v>
      </c>
      <c r="AY926" s="133">
        <f ca="1">IF($E926=Parameters!$D$69, AY1018, MIN(AY1018,-SUM(OFFSET(AY995, 0, MIN(12, COUNTA(AZ$3:$BV$3)), , -MIN(12, COUNTA(AZ$3:$BV$3))))))</f>
        <v>0</v>
      </c>
      <c r="AZ926" s="133">
        <f ca="1">IF($E926=Parameters!$D$69, AZ1018, MIN(AZ1018,-SUM(OFFSET(AZ995, 0, MIN(12, COUNTA(BA$3:$BV$3)), , -MIN(12, COUNTA(BA$3:$BV$3))))))</f>
        <v>0</v>
      </c>
      <c r="BA926" s="133">
        <f ca="1">IF($E926=Parameters!$D$69, BA1018, MIN(BA1018,-SUM(OFFSET(BA995, 0, MIN(12, COUNTA(BB$3:$BV$3)), , -MIN(12, COUNTA(BB$3:$BV$3))))))</f>
        <v>0</v>
      </c>
      <c r="BB926" s="133">
        <f ca="1">IF($E926=Parameters!$D$69, BB1018, MIN(BB1018,-SUM(OFFSET(BB995, 0, MIN(12, COUNTA(BC$3:$BV$3)), , -MIN(12, COUNTA(BC$3:$BV$3))))))</f>
        <v>0</v>
      </c>
      <c r="BC926" s="133">
        <f ca="1">IF($E926=Parameters!$D$69, BC1018, MIN(BC1018,-SUM(OFFSET(BC995, 0, MIN(12, COUNTA(BD$3:$BV$3)), , -MIN(12, COUNTA(BD$3:$BV$3))))))</f>
        <v>0</v>
      </c>
      <c r="BD926" s="133">
        <f ca="1">IF($E926=Parameters!$D$69, BD1018, MIN(BD1018,-SUM(OFFSET(BD995, 0, MIN(12, COUNTA(BE$3:$BV$3)), , -MIN(12, COUNTA(BE$3:$BV$3))))))</f>
        <v>0</v>
      </c>
      <c r="BE926" s="133">
        <f ca="1">IF($E926=Parameters!$D$69, BE1018, MIN(BE1018,-SUM(OFFSET(BE995, 0, MIN(12, COUNTA(BF$3:$BV$3)), , -MIN(12, COUNTA(BF$3:$BV$3))))))</f>
        <v>0</v>
      </c>
      <c r="BF926" s="133">
        <f ca="1">IF($E926=Parameters!$D$69, BF1018, MIN(BF1018,-SUM(OFFSET(BF995, 0, MIN(12, COUNTA(BG$3:$BV$3)), , -MIN(12, COUNTA(BG$3:$BV$3))))))</f>
        <v>0</v>
      </c>
      <c r="BG926" s="133">
        <f ca="1">IF($E926=Parameters!$D$69, BG1018, MIN(BG1018,-SUM(OFFSET(BG995, 0, MIN(12, COUNTA(BH$3:$BV$3)), , -MIN(12, COUNTA(BH$3:$BV$3))))))</f>
        <v>0</v>
      </c>
      <c r="BH926" s="133">
        <f ca="1">IF($E926=Parameters!$D$69, BH1018, MIN(BH1018,-SUM(OFFSET(BH995, 0, MIN(12, COUNTA(BI$3:$BV$3)), , -MIN(12, COUNTA(BI$3:$BV$3))))))</f>
        <v>0</v>
      </c>
      <c r="BI926" s="133">
        <f ca="1">IF($E926=Parameters!$D$69, BI1018, MIN(BI1018,-SUM(OFFSET(BI995, 0, MIN(12, COUNTA(BJ$3:$BV$3)), , -MIN(12, COUNTA(BJ$3:$BV$3))))))</f>
        <v>0</v>
      </c>
      <c r="BJ926" s="133">
        <f ca="1">IF($E926=Parameters!$D$69, BJ1018, MIN(BJ1018,-SUM(OFFSET(BJ995, 0, MIN(12, COUNTA(BK$3:$BV$3)), , -MIN(12, COUNTA(BK$3:$BV$3))))))</f>
        <v>0</v>
      </c>
      <c r="BK926" s="106"/>
      <c r="BL926" s="106"/>
      <c r="BM926" s="106"/>
      <c r="BN926" s="106"/>
      <c r="BO926" s="106"/>
      <c r="BP926" s="106"/>
      <c r="BQ926" s="106"/>
      <c r="BR926" s="106"/>
      <c r="BS926" s="106"/>
      <c r="BT926" s="106"/>
      <c r="BU926" s="106"/>
      <c r="BV926" s="106"/>
      <c r="BX926" s="106"/>
      <c r="BY926" s="12">
        <f t="shared" ca="1" si="909"/>
        <v>0</v>
      </c>
      <c r="BZ926" s="12">
        <f t="shared" ca="1" si="910"/>
        <v>0</v>
      </c>
      <c r="CA926" s="12">
        <f t="shared" ca="1" si="911"/>
        <v>0</v>
      </c>
      <c r="CB926" s="106"/>
      <c r="CC926" s="106"/>
      <c r="CD926" s="106"/>
      <c r="CE926" s="106"/>
      <c r="CF926" s="106"/>
      <c r="CG926" s="106"/>
      <c r="CH926" s="106"/>
      <c r="CI926" s="106"/>
      <c r="CK926" s="11"/>
      <c r="CM926" s="11"/>
      <c r="DF926" s="11"/>
      <c r="EY926" s="10" t="str">
        <f t="shared" si="907"/>
        <v/>
      </c>
    </row>
    <row r="927" spans="1:155" x14ac:dyDescent="0.35">
      <c r="B927" s="69" t="str" cm="1">
        <f t="array" aca="1" ref="B927" ca="1">HYPERLINK(CONCATENATE("#",CELL("address",$D$417)),$D$417)</f>
        <v>Loan 20</v>
      </c>
      <c r="C927" s="211"/>
      <c r="D927" s="49">
        <f>D$32</f>
        <v>0</v>
      </c>
      <c r="E927" s="49" t="str">
        <f>F$32</f>
        <v/>
      </c>
      <c r="F927" s="49"/>
      <c r="H927" s="9"/>
      <c r="I927" s="40" t="s">
        <v>665</v>
      </c>
      <c r="V927" s="106"/>
      <c r="W927" s="133">
        <f t="shared" ca="1" si="908"/>
        <v>0</v>
      </c>
      <c r="X927" s="133">
        <f t="shared" ca="1" si="908"/>
        <v>0</v>
      </c>
      <c r="Y927" s="133">
        <f t="shared" ca="1" si="908"/>
        <v>0</v>
      </c>
      <c r="AA927" s="133">
        <f ca="1">IF($E927=Parameters!$D$69, AA1019, MIN(AA1019,-SUM(OFFSET(AA996, 0, MIN(12, COUNTA(AB$3:$BV$3)), , -MIN(12, COUNTA(AB$3:$BV$3))))))</f>
        <v>0</v>
      </c>
      <c r="AB927" s="133">
        <f ca="1">IF($E927=Parameters!$D$69, AB1019, MIN(AB1019,-SUM(OFFSET(AB996, 0, MIN(12, COUNTA(AC$3:$BV$3)), , -MIN(12, COUNTA(AC$3:$BV$3))))))</f>
        <v>0</v>
      </c>
      <c r="AC927" s="133">
        <f ca="1">IF($E927=Parameters!$D$69, AC1019, MIN(AC1019,-SUM(OFFSET(AC996, 0, MIN(12, COUNTA(AD$3:$BV$3)), , -MIN(12, COUNTA(AD$3:$BV$3))))))</f>
        <v>0</v>
      </c>
      <c r="AD927" s="133">
        <f ca="1">IF($E927=Parameters!$D$69, AD1019, MIN(AD1019,-SUM(OFFSET(AD996, 0, MIN(12, COUNTA(AE$3:$BV$3)), , -MIN(12, COUNTA(AE$3:$BV$3))))))</f>
        <v>0</v>
      </c>
      <c r="AE927" s="133">
        <f ca="1">IF($E927=Parameters!$D$69, AE1019, MIN(AE1019,-SUM(OFFSET(AE996, 0, MIN(12, COUNTA(AF$3:$BV$3)), , -MIN(12, COUNTA(AF$3:$BV$3))))))</f>
        <v>0</v>
      </c>
      <c r="AF927" s="133">
        <f ca="1">IF($E927=Parameters!$D$69, AF1019, MIN(AF1019,-SUM(OFFSET(AF996, 0, MIN(12, COUNTA(AG$3:$BV$3)), , -MIN(12, COUNTA(AG$3:$BV$3))))))</f>
        <v>0</v>
      </c>
      <c r="AG927" s="133">
        <f ca="1">IF($E927=Parameters!$D$69, AG1019, MIN(AG1019,-SUM(OFFSET(AG996, 0, MIN(12, COUNTA(AH$3:$BV$3)), , -MIN(12, COUNTA(AH$3:$BV$3))))))</f>
        <v>0</v>
      </c>
      <c r="AH927" s="133">
        <f ca="1">IF($E927=Parameters!$D$69, AH1019, MIN(AH1019,-SUM(OFFSET(AH996, 0, MIN(12, COUNTA(AI$3:$BV$3)), , -MIN(12, COUNTA(AI$3:$BV$3))))))</f>
        <v>0</v>
      </c>
      <c r="AI927" s="133">
        <f ca="1">IF($E927=Parameters!$D$69, AI1019, MIN(AI1019,-SUM(OFFSET(AI996, 0, MIN(12, COUNTA(AJ$3:$BV$3)), , -MIN(12, COUNTA(AJ$3:$BV$3))))))</f>
        <v>0</v>
      </c>
      <c r="AJ927" s="133">
        <f ca="1">IF($E927=Parameters!$D$69, AJ1019, MIN(AJ1019,-SUM(OFFSET(AJ996, 0, MIN(12, COUNTA(AK$3:$BV$3)), , -MIN(12, COUNTA(AK$3:$BV$3))))))</f>
        <v>0</v>
      </c>
      <c r="AK927" s="133">
        <f ca="1">IF($E927=Parameters!$D$69, AK1019, MIN(AK1019,-SUM(OFFSET(AK996, 0, MIN(12, COUNTA(AL$3:$BV$3)), , -MIN(12, COUNTA(AL$3:$BV$3))))))</f>
        <v>0</v>
      </c>
      <c r="AL927" s="133">
        <f ca="1">IF($E927=Parameters!$D$69, AL1019, MIN(AL1019,-SUM(OFFSET(AL996, 0, MIN(12, COUNTA(AM$3:$BV$3)), , -MIN(12, COUNTA(AM$3:$BV$3))))))</f>
        <v>0</v>
      </c>
      <c r="AM927" s="133">
        <f ca="1">IF($E927=Parameters!$D$69, AM1019, MIN(AM1019,-SUM(OFFSET(AM996, 0, MIN(12, COUNTA(AN$3:$BV$3)), , -MIN(12, COUNTA(AN$3:$BV$3))))))</f>
        <v>0</v>
      </c>
      <c r="AN927" s="133">
        <f ca="1">IF($E927=Parameters!$D$69, AN1019, MIN(AN1019,-SUM(OFFSET(AN996, 0, MIN(12, COUNTA(AO$3:$BV$3)), , -MIN(12, COUNTA(AO$3:$BV$3))))))</f>
        <v>0</v>
      </c>
      <c r="AO927" s="133">
        <f ca="1">IF($E927=Parameters!$D$69, AO1019, MIN(AO1019,-SUM(OFFSET(AO996, 0, MIN(12, COUNTA(AP$3:$BV$3)), , -MIN(12, COUNTA(AP$3:$BV$3))))))</f>
        <v>0</v>
      </c>
      <c r="AP927" s="133">
        <f ca="1">IF($E927=Parameters!$D$69, AP1019, MIN(AP1019,-SUM(OFFSET(AP996, 0, MIN(12, COUNTA(AQ$3:$BV$3)), , -MIN(12, COUNTA(AQ$3:$BV$3))))))</f>
        <v>0</v>
      </c>
      <c r="AQ927" s="133">
        <f ca="1">IF($E927=Parameters!$D$69, AQ1019, MIN(AQ1019,-SUM(OFFSET(AQ996, 0, MIN(12, COUNTA(AR$3:$BV$3)), , -MIN(12, COUNTA(AR$3:$BV$3))))))</f>
        <v>0</v>
      </c>
      <c r="AR927" s="133">
        <f ca="1">IF($E927=Parameters!$D$69, AR1019, MIN(AR1019,-SUM(OFFSET(AR996, 0, MIN(12, COUNTA(AS$3:$BV$3)), , -MIN(12, COUNTA(AS$3:$BV$3))))))</f>
        <v>0</v>
      </c>
      <c r="AS927" s="133">
        <f ca="1">IF($E927=Parameters!$D$69, AS1019, MIN(AS1019,-SUM(OFFSET(AS996, 0, MIN(12, COUNTA(AT$3:$BV$3)), , -MIN(12, COUNTA(AT$3:$BV$3))))))</f>
        <v>0</v>
      </c>
      <c r="AT927" s="133">
        <f ca="1">IF($E927=Parameters!$D$69, AT1019, MIN(AT1019,-SUM(OFFSET(AT996, 0, MIN(12, COUNTA(AU$3:$BV$3)), , -MIN(12, COUNTA(AU$3:$BV$3))))))</f>
        <v>0</v>
      </c>
      <c r="AU927" s="133">
        <f ca="1">IF($E927=Parameters!$D$69, AU1019, MIN(AU1019,-SUM(OFFSET(AU996, 0, MIN(12, COUNTA(AV$3:$BV$3)), , -MIN(12, COUNTA(AV$3:$BV$3))))))</f>
        <v>0</v>
      </c>
      <c r="AV927" s="133">
        <f ca="1">IF($E927=Parameters!$D$69, AV1019, MIN(AV1019,-SUM(OFFSET(AV996, 0, MIN(12, COUNTA(AW$3:$BV$3)), , -MIN(12, COUNTA(AW$3:$BV$3))))))</f>
        <v>0</v>
      </c>
      <c r="AW927" s="133">
        <f ca="1">IF($E927=Parameters!$D$69, AW1019, MIN(AW1019,-SUM(OFFSET(AW996, 0, MIN(12, COUNTA(AX$3:$BV$3)), , -MIN(12, COUNTA(AX$3:$BV$3))))))</f>
        <v>0</v>
      </c>
      <c r="AX927" s="133">
        <f ca="1">IF($E927=Parameters!$D$69, AX1019, MIN(AX1019,-SUM(OFFSET(AX996, 0, MIN(12, COUNTA(AY$3:$BV$3)), , -MIN(12, COUNTA(AY$3:$BV$3))))))</f>
        <v>0</v>
      </c>
      <c r="AY927" s="133">
        <f ca="1">IF($E927=Parameters!$D$69, AY1019, MIN(AY1019,-SUM(OFFSET(AY996, 0, MIN(12, COUNTA(AZ$3:$BV$3)), , -MIN(12, COUNTA(AZ$3:$BV$3))))))</f>
        <v>0</v>
      </c>
      <c r="AZ927" s="133">
        <f ca="1">IF($E927=Parameters!$D$69, AZ1019, MIN(AZ1019,-SUM(OFFSET(AZ996, 0, MIN(12, COUNTA(BA$3:$BV$3)), , -MIN(12, COUNTA(BA$3:$BV$3))))))</f>
        <v>0</v>
      </c>
      <c r="BA927" s="133">
        <f ca="1">IF($E927=Parameters!$D$69, BA1019, MIN(BA1019,-SUM(OFFSET(BA996, 0, MIN(12, COUNTA(BB$3:$BV$3)), , -MIN(12, COUNTA(BB$3:$BV$3))))))</f>
        <v>0</v>
      </c>
      <c r="BB927" s="133">
        <f ca="1">IF($E927=Parameters!$D$69, BB1019, MIN(BB1019,-SUM(OFFSET(BB996, 0, MIN(12, COUNTA(BC$3:$BV$3)), , -MIN(12, COUNTA(BC$3:$BV$3))))))</f>
        <v>0</v>
      </c>
      <c r="BC927" s="133">
        <f ca="1">IF($E927=Parameters!$D$69, BC1019, MIN(BC1019,-SUM(OFFSET(BC996, 0, MIN(12, COUNTA(BD$3:$BV$3)), , -MIN(12, COUNTA(BD$3:$BV$3))))))</f>
        <v>0</v>
      </c>
      <c r="BD927" s="133">
        <f ca="1">IF($E927=Parameters!$D$69, BD1019, MIN(BD1019,-SUM(OFFSET(BD996, 0, MIN(12, COUNTA(BE$3:$BV$3)), , -MIN(12, COUNTA(BE$3:$BV$3))))))</f>
        <v>0</v>
      </c>
      <c r="BE927" s="133">
        <f ca="1">IF($E927=Parameters!$D$69, BE1019, MIN(BE1019,-SUM(OFFSET(BE996, 0, MIN(12, COUNTA(BF$3:$BV$3)), , -MIN(12, COUNTA(BF$3:$BV$3))))))</f>
        <v>0</v>
      </c>
      <c r="BF927" s="133">
        <f ca="1">IF($E927=Parameters!$D$69, BF1019, MIN(BF1019,-SUM(OFFSET(BF996, 0, MIN(12, COUNTA(BG$3:$BV$3)), , -MIN(12, COUNTA(BG$3:$BV$3))))))</f>
        <v>0</v>
      </c>
      <c r="BG927" s="133">
        <f ca="1">IF($E927=Parameters!$D$69, BG1019, MIN(BG1019,-SUM(OFFSET(BG996, 0, MIN(12, COUNTA(BH$3:$BV$3)), , -MIN(12, COUNTA(BH$3:$BV$3))))))</f>
        <v>0</v>
      </c>
      <c r="BH927" s="133">
        <f ca="1">IF($E927=Parameters!$D$69, BH1019, MIN(BH1019,-SUM(OFFSET(BH996, 0, MIN(12, COUNTA(BI$3:$BV$3)), , -MIN(12, COUNTA(BI$3:$BV$3))))))</f>
        <v>0</v>
      </c>
      <c r="BI927" s="133">
        <f ca="1">IF($E927=Parameters!$D$69, BI1019, MIN(BI1019,-SUM(OFFSET(BI996, 0, MIN(12, COUNTA(BJ$3:$BV$3)), , -MIN(12, COUNTA(BJ$3:$BV$3))))))</f>
        <v>0</v>
      </c>
      <c r="BJ927" s="133">
        <f ca="1">IF($E927=Parameters!$D$69, BJ1019, MIN(BJ1019,-SUM(OFFSET(BJ996, 0, MIN(12, COUNTA(BK$3:$BV$3)), , -MIN(12, COUNTA(BK$3:$BV$3))))))</f>
        <v>0</v>
      </c>
      <c r="BK927" s="106"/>
      <c r="BL927" s="106"/>
      <c r="BM927" s="106"/>
      <c r="BN927" s="106"/>
      <c r="BO927" s="106"/>
      <c r="BP927" s="106"/>
      <c r="BQ927" s="106"/>
      <c r="BR927" s="106"/>
      <c r="BS927" s="106"/>
      <c r="BT927" s="106"/>
      <c r="BU927" s="106"/>
      <c r="BV927" s="106"/>
      <c r="BX927" s="106"/>
      <c r="BY927" s="12">
        <f t="shared" ca="1" si="909"/>
        <v>0</v>
      </c>
      <c r="BZ927" s="12">
        <f t="shared" ca="1" si="910"/>
        <v>0</v>
      </c>
      <c r="CA927" s="12">
        <f t="shared" ca="1" si="911"/>
        <v>0</v>
      </c>
      <c r="CB927" s="106"/>
      <c r="CC927" s="106"/>
      <c r="CD927" s="106"/>
      <c r="CE927" s="106"/>
      <c r="CF927" s="106"/>
      <c r="CG927" s="106"/>
      <c r="CH927" s="106"/>
      <c r="CI927" s="106"/>
      <c r="CK927" s="11"/>
      <c r="CM927" s="11"/>
      <c r="DF927" s="11"/>
      <c r="EY927" s="10" t="str">
        <f t="shared" si="907"/>
        <v/>
      </c>
    </row>
    <row r="928" spans="1:155" ht="6.75" customHeight="1" x14ac:dyDescent="0.35">
      <c r="C928" s="211"/>
      <c r="D928" s="1"/>
      <c r="E928"/>
      <c r="F928"/>
      <c r="BY928" s="6"/>
      <c r="CK928" s="35"/>
      <c r="CM928" s="35"/>
      <c r="DF928" s="35"/>
      <c r="EY928" s="10" t="str">
        <f t="shared" si="907"/>
        <v/>
      </c>
    </row>
    <row r="929" spans="1:155" x14ac:dyDescent="0.35">
      <c r="C929" s="211"/>
      <c r="D929" s="50" t="s">
        <v>1312</v>
      </c>
      <c r="E929"/>
      <c r="F929"/>
      <c r="CK929" s="11"/>
      <c r="CM929" s="11"/>
      <c r="DF929" s="11"/>
      <c r="EY929" s="10" t="str">
        <f t="shared" si="907"/>
        <v/>
      </c>
    </row>
    <row r="930" spans="1:155" x14ac:dyDescent="0.35">
      <c r="B930" s="107" t="s">
        <v>1229</v>
      </c>
      <c r="C930" s="211"/>
      <c r="D930" s="5" t="str">
        <f>D$11</f>
        <v>Lender</v>
      </c>
      <c r="E930" s="5" t="str">
        <f>E$11</f>
        <v>Loan Category</v>
      </c>
      <c r="F930" s="5"/>
      <c r="AA930" s="126" t="s">
        <v>122</v>
      </c>
      <c r="CK930" s="11"/>
      <c r="CM930" s="11"/>
      <c r="DF930" s="11"/>
      <c r="EY930" s="10" t="str">
        <f t="shared" si="907"/>
        <v/>
      </c>
    </row>
    <row r="931" spans="1:155" x14ac:dyDescent="0.35">
      <c r="B931" s="69" t="str" cm="1">
        <f t="array" aca="1" ref="B931" ca="1">HYPERLINK(CONCATENATE("#",CELL("address",$D$56)),$D$56)</f>
        <v>Loan 1</v>
      </c>
      <c r="C931" s="211"/>
      <c r="D931" s="49">
        <f>D$13</f>
        <v>0</v>
      </c>
      <c r="E931" s="49" t="str">
        <f>F$13</f>
        <v/>
      </c>
      <c r="F931" s="49"/>
      <c r="H931" s="9"/>
      <c r="I931" s="40" t="s">
        <v>665</v>
      </c>
      <c r="J931" s="54"/>
      <c r="V931" s="106"/>
      <c r="W931" s="133">
        <f t="shared" ref="W931:Y950" ca="1" si="912">INDEX($AA931:$BV931, MATCH(W$5, $AA$5:$BV$5, 0))</f>
        <v>0</v>
      </c>
      <c r="X931" s="133">
        <f t="shared" ca="1" si="912"/>
        <v>0</v>
      </c>
      <c r="Y931" s="133">
        <f t="shared" ca="1" si="912"/>
        <v>0</v>
      </c>
      <c r="AA931" s="133">
        <f t="shared" ref="AA931:BJ931" ca="1" si="913">AA1000-AA908</f>
        <v>0</v>
      </c>
      <c r="AB931" s="133">
        <f t="shared" ca="1" si="913"/>
        <v>0</v>
      </c>
      <c r="AC931" s="133">
        <f t="shared" ca="1" si="913"/>
        <v>0</v>
      </c>
      <c r="AD931" s="133">
        <f t="shared" ca="1" si="913"/>
        <v>0</v>
      </c>
      <c r="AE931" s="133">
        <f t="shared" ca="1" si="913"/>
        <v>0</v>
      </c>
      <c r="AF931" s="133">
        <f t="shared" ca="1" si="913"/>
        <v>0</v>
      </c>
      <c r="AG931" s="133">
        <f t="shared" ca="1" si="913"/>
        <v>0</v>
      </c>
      <c r="AH931" s="133">
        <f t="shared" ca="1" si="913"/>
        <v>0</v>
      </c>
      <c r="AI931" s="133">
        <f t="shared" ca="1" si="913"/>
        <v>0</v>
      </c>
      <c r="AJ931" s="133">
        <f t="shared" ca="1" si="913"/>
        <v>0</v>
      </c>
      <c r="AK931" s="133">
        <f t="shared" ca="1" si="913"/>
        <v>0</v>
      </c>
      <c r="AL931" s="133">
        <f t="shared" ca="1" si="913"/>
        <v>0</v>
      </c>
      <c r="AM931" s="133">
        <f t="shared" ca="1" si="913"/>
        <v>0</v>
      </c>
      <c r="AN931" s="133">
        <f t="shared" ca="1" si="913"/>
        <v>0</v>
      </c>
      <c r="AO931" s="133">
        <f t="shared" ca="1" si="913"/>
        <v>0</v>
      </c>
      <c r="AP931" s="133">
        <f t="shared" ca="1" si="913"/>
        <v>0</v>
      </c>
      <c r="AQ931" s="133">
        <f t="shared" ca="1" si="913"/>
        <v>0</v>
      </c>
      <c r="AR931" s="133">
        <f t="shared" ca="1" si="913"/>
        <v>0</v>
      </c>
      <c r="AS931" s="133">
        <f t="shared" ca="1" si="913"/>
        <v>0</v>
      </c>
      <c r="AT931" s="133">
        <f t="shared" ca="1" si="913"/>
        <v>0</v>
      </c>
      <c r="AU931" s="133">
        <f t="shared" ca="1" si="913"/>
        <v>0</v>
      </c>
      <c r="AV931" s="133">
        <f t="shared" ca="1" si="913"/>
        <v>0</v>
      </c>
      <c r="AW931" s="133">
        <f t="shared" ca="1" si="913"/>
        <v>0</v>
      </c>
      <c r="AX931" s="133">
        <f t="shared" ca="1" si="913"/>
        <v>0</v>
      </c>
      <c r="AY931" s="133">
        <f t="shared" ca="1" si="913"/>
        <v>0</v>
      </c>
      <c r="AZ931" s="133">
        <f t="shared" ca="1" si="913"/>
        <v>0</v>
      </c>
      <c r="BA931" s="133">
        <f t="shared" ca="1" si="913"/>
        <v>0</v>
      </c>
      <c r="BB931" s="133">
        <f t="shared" ca="1" si="913"/>
        <v>0</v>
      </c>
      <c r="BC931" s="133">
        <f t="shared" ca="1" si="913"/>
        <v>0</v>
      </c>
      <c r="BD931" s="133">
        <f t="shared" ca="1" si="913"/>
        <v>0</v>
      </c>
      <c r="BE931" s="133">
        <f t="shared" ca="1" si="913"/>
        <v>0</v>
      </c>
      <c r="BF931" s="133">
        <f t="shared" ca="1" si="913"/>
        <v>0</v>
      </c>
      <c r="BG931" s="133">
        <f t="shared" ca="1" si="913"/>
        <v>0</v>
      </c>
      <c r="BH931" s="133">
        <f t="shared" ca="1" si="913"/>
        <v>0</v>
      </c>
      <c r="BI931" s="133">
        <f t="shared" ca="1" si="913"/>
        <v>0</v>
      </c>
      <c r="BJ931" s="133">
        <f t="shared" ca="1" si="913"/>
        <v>0</v>
      </c>
      <c r="BK931" s="106"/>
      <c r="BL931" s="106"/>
      <c r="BM931" s="106"/>
      <c r="BN931" s="106"/>
      <c r="BO931" s="106"/>
      <c r="BP931" s="106"/>
      <c r="BQ931" s="106"/>
      <c r="BR931" s="106"/>
      <c r="BS931" s="106"/>
      <c r="BT931" s="106"/>
      <c r="BU931" s="106"/>
      <c r="BV931" s="106"/>
      <c r="BX931" s="106"/>
      <c r="BY931" s="12">
        <f t="shared" ref="BY931:BY950" ca="1" si="914">W931</f>
        <v>0</v>
      </c>
      <c r="BZ931" s="12">
        <f t="shared" ref="BZ931:BZ950" ca="1" si="915">X931</f>
        <v>0</v>
      </c>
      <c r="CA931" s="12">
        <f t="shared" ref="CA931:CA950" ca="1" si="916">Y931</f>
        <v>0</v>
      </c>
      <c r="CB931" s="106"/>
      <c r="CC931" s="106"/>
      <c r="CD931" s="106"/>
      <c r="CE931" s="106"/>
      <c r="CF931" s="106"/>
      <c r="CG931" s="106"/>
      <c r="CH931" s="106"/>
      <c r="CI931" s="106"/>
      <c r="CK931" s="11"/>
      <c r="CM931" s="11"/>
      <c r="DF931" s="11"/>
      <c r="EY931" s="10" t="str">
        <f t="shared" si="907"/>
        <v/>
      </c>
    </row>
    <row r="932" spans="1:155" x14ac:dyDescent="0.35">
      <c r="B932" s="69" t="str" cm="1">
        <f t="array" aca="1" ref="B932" ca="1">HYPERLINK(CONCATENATE("#",CELL("address",$D$75)),$D$75)</f>
        <v>Loan 2</v>
      </c>
      <c r="C932" s="211"/>
      <c r="D932" s="49">
        <f>D$14</f>
        <v>0</v>
      </c>
      <c r="E932" s="49" t="str">
        <f>F$14</f>
        <v/>
      </c>
      <c r="F932" s="49"/>
      <c r="H932" s="9"/>
      <c r="I932" s="40" t="s">
        <v>665</v>
      </c>
      <c r="V932" s="106"/>
      <c r="W932" s="133">
        <f t="shared" ca="1" si="912"/>
        <v>0</v>
      </c>
      <c r="X932" s="133">
        <f t="shared" ca="1" si="912"/>
        <v>0</v>
      </c>
      <c r="Y932" s="133">
        <f t="shared" ca="1" si="912"/>
        <v>0</v>
      </c>
      <c r="AA932" s="133">
        <f t="shared" ref="AA932:BJ932" ca="1" si="917">AA1001-AA909</f>
        <v>0</v>
      </c>
      <c r="AB932" s="133">
        <f t="shared" ca="1" si="917"/>
        <v>0</v>
      </c>
      <c r="AC932" s="133">
        <f t="shared" ca="1" si="917"/>
        <v>0</v>
      </c>
      <c r="AD932" s="133">
        <f t="shared" ca="1" si="917"/>
        <v>0</v>
      </c>
      <c r="AE932" s="133">
        <f t="shared" ca="1" si="917"/>
        <v>0</v>
      </c>
      <c r="AF932" s="133">
        <f t="shared" ca="1" si="917"/>
        <v>0</v>
      </c>
      <c r="AG932" s="133">
        <f t="shared" ca="1" si="917"/>
        <v>0</v>
      </c>
      <c r="AH932" s="133">
        <f t="shared" ca="1" si="917"/>
        <v>0</v>
      </c>
      <c r="AI932" s="133">
        <f t="shared" ca="1" si="917"/>
        <v>0</v>
      </c>
      <c r="AJ932" s="133">
        <f t="shared" ca="1" si="917"/>
        <v>0</v>
      </c>
      <c r="AK932" s="133">
        <f t="shared" ca="1" si="917"/>
        <v>0</v>
      </c>
      <c r="AL932" s="133">
        <f t="shared" ca="1" si="917"/>
        <v>0</v>
      </c>
      <c r="AM932" s="133">
        <f t="shared" ca="1" si="917"/>
        <v>0</v>
      </c>
      <c r="AN932" s="133">
        <f t="shared" ca="1" si="917"/>
        <v>0</v>
      </c>
      <c r="AO932" s="133">
        <f t="shared" ca="1" si="917"/>
        <v>0</v>
      </c>
      <c r="AP932" s="133">
        <f t="shared" ca="1" si="917"/>
        <v>0</v>
      </c>
      <c r="AQ932" s="133">
        <f t="shared" ca="1" si="917"/>
        <v>0</v>
      </c>
      <c r="AR932" s="133">
        <f t="shared" ca="1" si="917"/>
        <v>0</v>
      </c>
      <c r="AS932" s="133">
        <f t="shared" ca="1" si="917"/>
        <v>0</v>
      </c>
      <c r="AT932" s="133">
        <f t="shared" ca="1" si="917"/>
        <v>0</v>
      </c>
      <c r="AU932" s="133">
        <f t="shared" ca="1" si="917"/>
        <v>0</v>
      </c>
      <c r="AV932" s="133">
        <f t="shared" ca="1" si="917"/>
        <v>0</v>
      </c>
      <c r="AW932" s="133">
        <f t="shared" ca="1" si="917"/>
        <v>0</v>
      </c>
      <c r="AX932" s="133">
        <f t="shared" ca="1" si="917"/>
        <v>0</v>
      </c>
      <c r="AY932" s="133">
        <f t="shared" ca="1" si="917"/>
        <v>0</v>
      </c>
      <c r="AZ932" s="133">
        <f t="shared" ca="1" si="917"/>
        <v>0</v>
      </c>
      <c r="BA932" s="133">
        <f t="shared" ca="1" si="917"/>
        <v>0</v>
      </c>
      <c r="BB932" s="133">
        <f t="shared" ca="1" si="917"/>
        <v>0</v>
      </c>
      <c r="BC932" s="133">
        <f t="shared" ca="1" si="917"/>
        <v>0</v>
      </c>
      <c r="BD932" s="133">
        <f t="shared" ca="1" si="917"/>
        <v>0</v>
      </c>
      <c r="BE932" s="133">
        <f t="shared" ca="1" si="917"/>
        <v>0</v>
      </c>
      <c r="BF932" s="133">
        <f t="shared" ca="1" si="917"/>
        <v>0</v>
      </c>
      <c r="BG932" s="133">
        <f t="shared" ca="1" si="917"/>
        <v>0</v>
      </c>
      <c r="BH932" s="133">
        <f t="shared" ca="1" si="917"/>
        <v>0</v>
      </c>
      <c r="BI932" s="133">
        <f t="shared" ca="1" si="917"/>
        <v>0</v>
      </c>
      <c r="BJ932" s="133">
        <f t="shared" ca="1" si="917"/>
        <v>0</v>
      </c>
      <c r="BK932" s="106"/>
      <c r="BL932" s="106"/>
      <c r="BM932" s="106"/>
      <c r="BN932" s="106"/>
      <c r="BO932" s="106"/>
      <c r="BP932" s="106"/>
      <c r="BQ932" s="106"/>
      <c r="BR932" s="106"/>
      <c r="BS932" s="106"/>
      <c r="BT932" s="106"/>
      <c r="BU932" s="106"/>
      <c r="BV932" s="106"/>
      <c r="BX932" s="106"/>
      <c r="BY932" s="12">
        <f t="shared" ca="1" si="914"/>
        <v>0</v>
      </c>
      <c r="BZ932" s="12">
        <f t="shared" ca="1" si="915"/>
        <v>0</v>
      </c>
      <c r="CA932" s="12">
        <f t="shared" ca="1" si="916"/>
        <v>0</v>
      </c>
      <c r="CB932" s="106"/>
      <c r="CC932" s="106"/>
      <c r="CD932" s="106"/>
      <c r="CE932" s="106"/>
      <c r="CF932" s="106"/>
      <c r="CG932" s="106"/>
      <c r="CH932" s="106"/>
      <c r="CI932" s="106"/>
      <c r="CK932" s="11"/>
      <c r="CM932" s="11"/>
      <c r="DF932" s="11"/>
      <c r="EY932" s="10" t="str">
        <f t="shared" si="907"/>
        <v/>
      </c>
    </row>
    <row r="933" spans="1:155" x14ac:dyDescent="0.35">
      <c r="B933" s="69" t="str" cm="1">
        <f t="array" aca="1" ref="B933" ca="1">HYPERLINK(CONCATENATE("#",CELL("address",$D$94)),$D$94)</f>
        <v>Loan 3</v>
      </c>
      <c r="C933" s="211"/>
      <c r="D933" s="49">
        <f>D$15</f>
        <v>0</v>
      </c>
      <c r="E933" s="49" t="str">
        <f>F$15</f>
        <v/>
      </c>
      <c r="F933" s="49"/>
      <c r="H933" s="9"/>
      <c r="I933" s="40" t="s">
        <v>665</v>
      </c>
      <c r="V933" s="106"/>
      <c r="W933" s="133">
        <f t="shared" ca="1" si="912"/>
        <v>0</v>
      </c>
      <c r="X933" s="133">
        <f t="shared" ca="1" si="912"/>
        <v>0</v>
      </c>
      <c r="Y933" s="133">
        <f t="shared" ca="1" si="912"/>
        <v>0</v>
      </c>
      <c r="AA933" s="133">
        <f t="shared" ref="AA933:BJ933" ca="1" si="918">AA1002-AA910</f>
        <v>0</v>
      </c>
      <c r="AB933" s="133">
        <f t="shared" ca="1" si="918"/>
        <v>0</v>
      </c>
      <c r="AC933" s="133">
        <f t="shared" ca="1" si="918"/>
        <v>0</v>
      </c>
      <c r="AD933" s="133">
        <f t="shared" ca="1" si="918"/>
        <v>0</v>
      </c>
      <c r="AE933" s="133">
        <f t="shared" ca="1" si="918"/>
        <v>0</v>
      </c>
      <c r="AF933" s="133">
        <f t="shared" ca="1" si="918"/>
        <v>0</v>
      </c>
      <c r="AG933" s="133">
        <f t="shared" ca="1" si="918"/>
        <v>0</v>
      </c>
      <c r="AH933" s="133">
        <f t="shared" ca="1" si="918"/>
        <v>0</v>
      </c>
      <c r="AI933" s="133">
        <f t="shared" ca="1" si="918"/>
        <v>0</v>
      </c>
      <c r="AJ933" s="133">
        <f t="shared" ca="1" si="918"/>
        <v>0</v>
      </c>
      <c r="AK933" s="133">
        <f t="shared" ca="1" si="918"/>
        <v>0</v>
      </c>
      <c r="AL933" s="133">
        <f t="shared" ca="1" si="918"/>
        <v>0</v>
      </c>
      <c r="AM933" s="133">
        <f t="shared" ca="1" si="918"/>
        <v>0</v>
      </c>
      <c r="AN933" s="133">
        <f t="shared" ca="1" si="918"/>
        <v>0</v>
      </c>
      <c r="AO933" s="133">
        <f t="shared" ca="1" si="918"/>
        <v>0</v>
      </c>
      <c r="AP933" s="133">
        <f t="shared" ca="1" si="918"/>
        <v>0</v>
      </c>
      <c r="AQ933" s="133">
        <f t="shared" ca="1" si="918"/>
        <v>0</v>
      </c>
      <c r="AR933" s="133">
        <f t="shared" ca="1" si="918"/>
        <v>0</v>
      </c>
      <c r="AS933" s="133">
        <f t="shared" ca="1" si="918"/>
        <v>0</v>
      </c>
      <c r="AT933" s="133">
        <f t="shared" ca="1" si="918"/>
        <v>0</v>
      </c>
      <c r="AU933" s="133">
        <f t="shared" ca="1" si="918"/>
        <v>0</v>
      </c>
      <c r="AV933" s="133">
        <f t="shared" ca="1" si="918"/>
        <v>0</v>
      </c>
      <c r="AW933" s="133">
        <f t="shared" ca="1" si="918"/>
        <v>0</v>
      </c>
      <c r="AX933" s="133">
        <f t="shared" ca="1" si="918"/>
        <v>0</v>
      </c>
      <c r="AY933" s="133">
        <f t="shared" ca="1" si="918"/>
        <v>0</v>
      </c>
      <c r="AZ933" s="133">
        <f t="shared" ca="1" si="918"/>
        <v>0</v>
      </c>
      <c r="BA933" s="133">
        <f t="shared" ca="1" si="918"/>
        <v>0</v>
      </c>
      <c r="BB933" s="133">
        <f t="shared" ca="1" si="918"/>
        <v>0</v>
      </c>
      <c r="BC933" s="133">
        <f t="shared" ca="1" si="918"/>
        <v>0</v>
      </c>
      <c r="BD933" s="133">
        <f t="shared" ca="1" si="918"/>
        <v>0</v>
      </c>
      <c r="BE933" s="133">
        <f t="shared" ca="1" si="918"/>
        <v>0</v>
      </c>
      <c r="BF933" s="133">
        <f t="shared" ca="1" si="918"/>
        <v>0</v>
      </c>
      <c r="BG933" s="133">
        <f t="shared" ca="1" si="918"/>
        <v>0</v>
      </c>
      <c r="BH933" s="133">
        <f t="shared" ca="1" si="918"/>
        <v>0</v>
      </c>
      <c r="BI933" s="133">
        <f t="shared" ca="1" si="918"/>
        <v>0</v>
      </c>
      <c r="BJ933" s="133">
        <f t="shared" ca="1" si="918"/>
        <v>0</v>
      </c>
      <c r="BK933" s="106"/>
      <c r="BL933" s="106"/>
      <c r="BM933" s="106"/>
      <c r="BN933" s="106"/>
      <c r="BO933" s="106"/>
      <c r="BP933" s="106"/>
      <c r="BQ933" s="106"/>
      <c r="BR933" s="106"/>
      <c r="BS933" s="106"/>
      <c r="BT933" s="106"/>
      <c r="BU933" s="106"/>
      <c r="BV933" s="106"/>
      <c r="BX933" s="106"/>
      <c r="BY933" s="12">
        <f t="shared" ca="1" si="914"/>
        <v>0</v>
      </c>
      <c r="BZ933" s="12">
        <f t="shared" ca="1" si="915"/>
        <v>0</v>
      </c>
      <c r="CA933" s="12">
        <f t="shared" ca="1" si="916"/>
        <v>0</v>
      </c>
      <c r="CB933" s="106"/>
      <c r="CC933" s="106"/>
      <c r="CD933" s="106"/>
      <c r="CE933" s="106"/>
      <c r="CF933" s="106"/>
      <c r="CG933" s="106"/>
      <c r="CH933" s="106"/>
      <c r="CI933" s="106"/>
      <c r="CK933" s="11"/>
      <c r="CM933" s="11"/>
      <c r="DF933" s="11"/>
      <c r="EY933" s="10" t="str">
        <f t="shared" si="907"/>
        <v/>
      </c>
    </row>
    <row r="934" spans="1:155" x14ac:dyDescent="0.35">
      <c r="B934" s="69" t="str" cm="1">
        <f t="array" aca="1" ref="B934" ca="1">HYPERLINK(CONCATENATE("#",CELL("address",$D$113)),$D$113)</f>
        <v>Loan 4</v>
      </c>
      <c r="C934" s="211"/>
      <c r="D934" s="49">
        <f>D$16</f>
        <v>0</v>
      </c>
      <c r="E934" s="49" t="str">
        <f>F$16</f>
        <v/>
      </c>
      <c r="F934" s="49"/>
      <c r="H934" s="9"/>
      <c r="I934" s="40" t="s">
        <v>665</v>
      </c>
      <c r="V934" s="106"/>
      <c r="W934" s="133">
        <f t="shared" ca="1" si="912"/>
        <v>0</v>
      </c>
      <c r="X934" s="133">
        <f t="shared" ca="1" si="912"/>
        <v>0</v>
      </c>
      <c r="Y934" s="133">
        <f t="shared" ca="1" si="912"/>
        <v>0</v>
      </c>
      <c r="AA934" s="133">
        <f t="shared" ref="AA934:BJ934" ca="1" si="919">AA1003-AA911</f>
        <v>0</v>
      </c>
      <c r="AB934" s="133">
        <f t="shared" ca="1" si="919"/>
        <v>0</v>
      </c>
      <c r="AC934" s="133">
        <f t="shared" ca="1" si="919"/>
        <v>0</v>
      </c>
      <c r="AD934" s="133">
        <f t="shared" ca="1" si="919"/>
        <v>0</v>
      </c>
      <c r="AE934" s="133">
        <f t="shared" ca="1" si="919"/>
        <v>0</v>
      </c>
      <c r="AF934" s="133">
        <f t="shared" ca="1" si="919"/>
        <v>0</v>
      </c>
      <c r="AG934" s="133">
        <f t="shared" ca="1" si="919"/>
        <v>0</v>
      </c>
      <c r="AH934" s="133">
        <f t="shared" ca="1" si="919"/>
        <v>0</v>
      </c>
      <c r="AI934" s="133">
        <f t="shared" ca="1" si="919"/>
        <v>0</v>
      </c>
      <c r="AJ934" s="133">
        <f t="shared" ca="1" si="919"/>
        <v>0</v>
      </c>
      <c r="AK934" s="133">
        <f t="shared" ca="1" si="919"/>
        <v>0</v>
      </c>
      <c r="AL934" s="133">
        <f t="shared" ca="1" si="919"/>
        <v>0</v>
      </c>
      <c r="AM934" s="133">
        <f t="shared" ca="1" si="919"/>
        <v>0</v>
      </c>
      <c r="AN934" s="133">
        <f t="shared" ca="1" si="919"/>
        <v>0</v>
      </c>
      <c r="AO934" s="133">
        <f t="shared" ca="1" si="919"/>
        <v>0</v>
      </c>
      <c r="AP934" s="133">
        <f t="shared" ca="1" si="919"/>
        <v>0</v>
      </c>
      <c r="AQ934" s="133">
        <f t="shared" ca="1" si="919"/>
        <v>0</v>
      </c>
      <c r="AR934" s="133">
        <f t="shared" ca="1" si="919"/>
        <v>0</v>
      </c>
      <c r="AS934" s="133">
        <f t="shared" ca="1" si="919"/>
        <v>0</v>
      </c>
      <c r="AT934" s="133">
        <f t="shared" ca="1" si="919"/>
        <v>0</v>
      </c>
      <c r="AU934" s="133">
        <f t="shared" ca="1" si="919"/>
        <v>0</v>
      </c>
      <c r="AV934" s="133">
        <f t="shared" ca="1" si="919"/>
        <v>0</v>
      </c>
      <c r="AW934" s="133">
        <f t="shared" ca="1" si="919"/>
        <v>0</v>
      </c>
      <c r="AX934" s="133">
        <f t="shared" ca="1" si="919"/>
        <v>0</v>
      </c>
      <c r="AY934" s="133">
        <f t="shared" ca="1" si="919"/>
        <v>0</v>
      </c>
      <c r="AZ934" s="133">
        <f t="shared" ca="1" si="919"/>
        <v>0</v>
      </c>
      <c r="BA934" s="133">
        <f t="shared" ca="1" si="919"/>
        <v>0</v>
      </c>
      <c r="BB934" s="133">
        <f t="shared" ca="1" si="919"/>
        <v>0</v>
      </c>
      <c r="BC934" s="133">
        <f t="shared" ca="1" si="919"/>
        <v>0</v>
      </c>
      <c r="BD934" s="133">
        <f t="shared" ca="1" si="919"/>
        <v>0</v>
      </c>
      <c r="BE934" s="133">
        <f t="shared" ca="1" si="919"/>
        <v>0</v>
      </c>
      <c r="BF934" s="133">
        <f t="shared" ca="1" si="919"/>
        <v>0</v>
      </c>
      <c r="BG934" s="133">
        <f t="shared" ca="1" si="919"/>
        <v>0</v>
      </c>
      <c r="BH934" s="133">
        <f t="shared" ca="1" si="919"/>
        <v>0</v>
      </c>
      <c r="BI934" s="133">
        <f t="shared" ca="1" si="919"/>
        <v>0</v>
      </c>
      <c r="BJ934" s="133">
        <f t="shared" ca="1" si="919"/>
        <v>0</v>
      </c>
      <c r="BK934" s="106"/>
      <c r="BL934" s="106"/>
      <c r="BM934" s="106"/>
      <c r="BN934" s="106"/>
      <c r="BO934" s="106"/>
      <c r="BP934" s="106"/>
      <c r="BQ934" s="106"/>
      <c r="BR934" s="106"/>
      <c r="BS934" s="106"/>
      <c r="BT934" s="106"/>
      <c r="BU934" s="106"/>
      <c r="BV934" s="106"/>
      <c r="BX934" s="106"/>
      <c r="BY934" s="12">
        <f t="shared" ca="1" si="914"/>
        <v>0</v>
      </c>
      <c r="BZ934" s="12">
        <f t="shared" ca="1" si="915"/>
        <v>0</v>
      </c>
      <c r="CA934" s="12">
        <f t="shared" ca="1" si="916"/>
        <v>0</v>
      </c>
      <c r="CB934" s="106"/>
      <c r="CC934" s="106"/>
      <c r="CD934" s="106"/>
      <c r="CE934" s="106"/>
      <c r="CF934" s="106"/>
      <c r="CG934" s="106"/>
      <c r="CH934" s="106"/>
      <c r="CI934" s="106"/>
      <c r="CK934" s="11"/>
      <c r="CM934" s="11"/>
      <c r="DF934" s="11"/>
      <c r="EY934" s="10" t="str">
        <f t="shared" si="907"/>
        <v/>
      </c>
    </row>
    <row r="935" spans="1:155" x14ac:dyDescent="0.35">
      <c r="B935" s="69" t="str" cm="1">
        <f t="array" aca="1" ref="B935" ca="1">HYPERLINK(CONCATENATE("#",CELL("address",$D$132)),$D$132)</f>
        <v>Loan 5</v>
      </c>
      <c r="C935" s="211"/>
      <c r="D935" s="49">
        <f>D$17</f>
        <v>0</v>
      </c>
      <c r="E935" s="49" t="str">
        <f>F$17</f>
        <v/>
      </c>
      <c r="F935" s="49"/>
      <c r="H935" s="9"/>
      <c r="I935" s="40" t="s">
        <v>665</v>
      </c>
      <c r="V935" s="106"/>
      <c r="W935" s="133">
        <f t="shared" ca="1" si="912"/>
        <v>0</v>
      </c>
      <c r="X935" s="133">
        <f t="shared" ca="1" si="912"/>
        <v>0</v>
      </c>
      <c r="Y935" s="133">
        <f t="shared" ca="1" si="912"/>
        <v>0</v>
      </c>
      <c r="AA935" s="133">
        <f t="shared" ref="AA935:BJ935" ca="1" si="920">AA1004-AA912</f>
        <v>0</v>
      </c>
      <c r="AB935" s="133">
        <f t="shared" ca="1" si="920"/>
        <v>0</v>
      </c>
      <c r="AC935" s="133">
        <f t="shared" ca="1" si="920"/>
        <v>0</v>
      </c>
      <c r="AD935" s="133">
        <f t="shared" ca="1" si="920"/>
        <v>0</v>
      </c>
      <c r="AE935" s="133">
        <f t="shared" ca="1" si="920"/>
        <v>0</v>
      </c>
      <c r="AF935" s="133">
        <f t="shared" ca="1" si="920"/>
        <v>0</v>
      </c>
      <c r="AG935" s="133">
        <f t="shared" ca="1" si="920"/>
        <v>0</v>
      </c>
      <c r="AH935" s="133">
        <f t="shared" ca="1" si="920"/>
        <v>0</v>
      </c>
      <c r="AI935" s="133">
        <f t="shared" ca="1" si="920"/>
        <v>0</v>
      </c>
      <c r="AJ935" s="133">
        <f t="shared" ca="1" si="920"/>
        <v>0</v>
      </c>
      <c r="AK935" s="133">
        <f t="shared" ca="1" si="920"/>
        <v>0</v>
      </c>
      <c r="AL935" s="133">
        <f t="shared" ca="1" si="920"/>
        <v>0</v>
      </c>
      <c r="AM935" s="133">
        <f t="shared" ca="1" si="920"/>
        <v>0</v>
      </c>
      <c r="AN935" s="133">
        <f t="shared" ca="1" si="920"/>
        <v>0</v>
      </c>
      <c r="AO935" s="133">
        <f t="shared" ca="1" si="920"/>
        <v>0</v>
      </c>
      <c r="AP935" s="133">
        <f t="shared" ca="1" si="920"/>
        <v>0</v>
      </c>
      <c r="AQ935" s="133">
        <f t="shared" ca="1" si="920"/>
        <v>0</v>
      </c>
      <c r="AR935" s="133">
        <f t="shared" ca="1" si="920"/>
        <v>0</v>
      </c>
      <c r="AS935" s="133">
        <f t="shared" ca="1" si="920"/>
        <v>0</v>
      </c>
      <c r="AT935" s="133">
        <f t="shared" ca="1" si="920"/>
        <v>0</v>
      </c>
      <c r="AU935" s="133">
        <f t="shared" ca="1" si="920"/>
        <v>0</v>
      </c>
      <c r="AV935" s="133">
        <f t="shared" ca="1" si="920"/>
        <v>0</v>
      </c>
      <c r="AW935" s="133">
        <f t="shared" ca="1" si="920"/>
        <v>0</v>
      </c>
      <c r="AX935" s="133">
        <f t="shared" ca="1" si="920"/>
        <v>0</v>
      </c>
      <c r="AY935" s="133">
        <f t="shared" ca="1" si="920"/>
        <v>0</v>
      </c>
      <c r="AZ935" s="133">
        <f t="shared" ca="1" si="920"/>
        <v>0</v>
      </c>
      <c r="BA935" s="133">
        <f t="shared" ca="1" si="920"/>
        <v>0</v>
      </c>
      <c r="BB935" s="133">
        <f t="shared" ca="1" si="920"/>
        <v>0</v>
      </c>
      <c r="BC935" s="133">
        <f t="shared" ca="1" si="920"/>
        <v>0</v>
      </c>
      <c r="BD935" s="133">
        <f t="shared" ca="1" si="920"/>
        <v>0</v>
      </c>
      <c r="BE935" s="133">
        <f t="shared" ca="1" si="920"/>
        <v>0</v>
      </c>
      <c r="BF935" s="133">
        <f t="shared" ca="1" si="920"/>
        <v>0</v>
      </c>
      <c r="BG935" s="133">
        <f t="shared" ca="1" si="920"/>
        <v>0</v>
      </c>
      <c r="BH935" s="133">
        <f t="shared" ca="1" si="920"/>
        <v>0</v>
      </c>
      <c r="BI935" s="133">
        <f t="shared" ca="1" si="920"/>
        <v>0</v>
      </c>
      <c r="BJ935" s="133">
        <f t="shared" ca="1" si="920"/>
        <v>0</v>
      </c>
      <c r="BK935" s="106"/>
      <c r="BL935" s="106"/>
      <c r="BM935" s="106"/>
      <c r="BN935" s="106"/>
      <c r="BO935" s="106"/>
      <c r="BP935" s="106"/>
      <c r="BQ935" s="106"/>
      <c r="BR935" s="106"/>
      <c r="BS935" s="106"/>
      <c r="BT935" s="106"/>
      <c r="BU935" s="106"/>
      <c r="BV935" s="106"/>
      <c r="BX935" s="106"/>
      <c r="BY935" s="12">
        <f t="shared" ca="1" si="914"/>
        <v>0</v>
      </c>
      <c r="BZ935" s="12">
        <f t="shared" ca="1" si="915"/>
        <v>0</v>
      </c>
      <c r="CA935" s="12">
        <f t="shared" ca="1" si="916"/>
        <v>0</v>
      </c>
      <c r="CB935" s="106"/>
      <c r="CC935" s="106"/>
      <c r="CD935" s="106"/>
      <c r="CE935" s="106"/>
      <c r="CF935" s="106"/>
      <c r="CG935" s="106"/>
      <c r="CH935" s="106"/>
      <c r="CI935" s="106"/>
      <c r="CK935" s="11"/>
      <c r="CM935" s="11"/>
      <c r="DF935" s="11"/>
      <c r="EY935" s="10" t="str">
        <f t="shared" ref="EY935:EY953" si="921">IF($C935="","",$D935)</f>
        <v/>
      </c>
    </row>
    <row r="936" spans="1:155" x14ac:dyDescent="0.35">
      <c r="B936" s="69" t="str" cm="1">
        <f t="array" aca="1" ref="B936" ca="1">HYPERLINK(CONCATENATE("#",CELL("address",$D$151)),$D$151)</f>
        <v>Loan 6</v>
      </c>
      <c r="C936" s="211"/>
      <c r="D936" s="49">
        <f>D$18</f>
        <v>0</v>
      </c>
      <c r="E936" s="49" t="str">
        <f>F$18</f>
        <v/>
      </c>
      <c r="F936" s="49"/>
      <c r="H936" s="9"/>
      <c r="I936" s="40" t="s">
        <v>665</v>
      </c>
      <c r="V936" s="106"/>
      <c r="W936" s="133">
        <f t="shared" ca="1" si="912"/>
        <v>0</v>
      </c>
      <c r="X936" s="133">
        <f t="shared" ca="1" si="912"/>
        <v>0</v>
      </c>
      <c r="Y936" s="133">
        <f t="shared" ca="1" si="912"/>
        <v>0</v>
      </c>
      <c r="AA936" s="133">
        <f t="shared" ref="AA936:BJ936" ca="1" si="922">AA1005-AA913</f>
        <v>0</v>
      </c>
      <c r="AB936" s="133">
        <f t="shared" ca="1" si="922"/>
        <v>0</v>
      </c>
      <c r="AC936" s="133">
        <f t="shared" ca="1" si="922"/>
        <v>0</v>
      </c>
      <c r="AD936" s="133">
        <f t="shared" ca="1" si="922"/>
        <v>0</v>
      </c>
      <c r="AE936" s="133">
        <f t="shared" ca="1" si="922"/>
        <v>0</v>
      </c>
      <c r="AF936" s="133">
        <f t="shared" ca="1" si="922"/>
        <v>0</v>
      </c>
      <c r="AG936" s="133">
        <f t="shared" ca="1" si="922"/>
        <v>0</v>
      </c>
      <c r="AH936" s="133">
        <f t="shared" ca="1" si="922"/>
        <v>0</v>
      </c>
      <c r="AI936" s="133">
        <f t="shared" ca="1" si="922"/>
        <v>0</v>
      </c>
      <c r="AJ936" s="133">
        <f t="shared" ca="1" si="922"/>
        <v>0</v>
      </c>
      <c r="AK936" s="133">
        <f t="shared" ca="1" si="922"/>
        <v>0</v>
      </c>
      <c r="AL936" s="133">
        <f t="shared" ca="1" si="922"/>
        <v>0</v>
      </c>
      <c r="AM936" s="133">
        <f t="shared" ca="1" si="922"/>
        <v>0</v>
      </c>
      <c r="AN936" s="133">
        <f t="shared" ca="1" si="922"/>
        <v>0</v>
      </c>
      <c r="AO936" s="133">
        <f t="shared" ca="1" si="922"/>
        <v>0</v>
      </c>
      <c r="AP936" s="133">
        <f t="shared" ca="1" si="922"/>
        <v>0</v>
      </c>
      <c r="AQ936" s="133">
        <f t="shared" ca="1" si="922"/>
        <v>0</v>
      </c>
      <c r="AR936" s="133">
        <f t="shared" ca="1" si="922"/>
        <v>0</v>
      </c>
      <c r="AS936" s="133">
        <f t="shared" ca="1" si="922"/>
        <v>0</v>
      </c>
      <c r="AT936" s="133">
        <f t="shared" ca="1" si="922"/>
        <v>0</v>
      </c>
      <c r="AU936" s="133">
        <f t="shared" ca="1" si="922"/>
        <v>0</v>
      </c>
      <c r="AV936" s="133">
        <f t="shared" ca="1" si="922"/>
        <v>0</v>
      </c>
      <c r="AW936" s="133">
        <f t="shared" ca="1" si="922"/>
        <v>0</v>
      </c>
      <c r="AX936" s="133">
        <f t="shared" ca="1" si="922"/>
        <v>0</v>
      </c>
      <c r="AY936" s="133">
        <f t="shared" ca="1" si="922"/>
        <v>0</v>
      </c>
      <c r="AZ936" s="133">
        <f t="shared" ca="1" si="922"/>
        <v>0</v>
      </c>
      <c r="BA936" s="133">
        <f t="shared" ca="1" si="922"/>
        <v>0</v>
      </c>
      <c r="BB936" s="133">
        <f t="shared" ca="1" si="922"/>
        <v>0</v>
      </c>
      <c r="BC936" s="133">
        <f t="shared" ca="1" si="922"/>
        <v>0</v>
      </c>
      <c r="BD936" s="133">
        <f t="shared" ca="1" si="922"/>
        <v>0</v>
      </c>
      <c r="BE936" s="133">
        <f t="shared" ca="1" si="922"/>
        <v>0</v>
      </c>
      <c r="BF936" s="133">
        <f t="shared" ca="1" si="922"/>
        <v>0</v>
      </c>
      <c r="BG936" s="133">
        <f t="shared" ca="1" si="922"/>
        <v>0</v>
      </c>
      <c r="BH936" s="133">
        <f t="shared" ca="1" si="922"/>
        <v>0</v>
      </c>
      <c r="BI936" s="133">
        <f t="shared" ca="1" si="922"/>
        <v>0</v>
      </c>
      <c r="BJ936" s="133">
        <f t="shared" ca="1" si="922"/>
        <v>0</v>
      </c>
      <c r="BK936" s="106"/>
      <c r="BL936" s="106"/>
      <c r="BM936" s="106"/>
      <c r="BN936" s="106"/>
      <c r="BO936" s="106"/>
      <c r="BP936" s="106"/>
      <c r="BQ936" s="106"/>
      <c r="BR936" s="106"/>
      <c r="BS936" s="106"/>
      <c r="BT936" s="106"/>
      <c r="BU936" s="106"/>
      <c r="BV936" s="106"/>
      <c r="BX936" s="106"/>
      <c r="BY936" s="12">
        <f t="shared" ca="1" si="914"/>
        <v>0</v>
      </c>
      <c r="BZ936" s="12">
        <f t="shared" ca="1" si="915"/>
        <v>0</v>
      </c>
      <c r="CA936" s="12">
        <f t="shared" ca="1" si="916"/>
        <v>0</v>
      </c>
      <c r="CB936" s="106"/>
      <c r="CC936" s="106"/>
      <c r="CD936" s="106"/>
      <c r="CE936" s="106"/>
      <c r="CF936" s="106"/>
      <c r="CG936" s="106"/>
      <c r="CH936" s="106"/>
      <c r="CI936" s="106"/>
      <c r="CK936" s="11"/>
      <c r="CM936" s="11"/>
      <c r="DF936" s="11"/>
      <c r="EY936" s="10" t="str">
        <f t="shared" si="921"/>
        <v/>
      </c>
    </row>
    <row r="937" spans="1:155" x14ac:dyDescent="0.35">
      <c r="B937" s="69" t="str" cm="1">
        <f t="array" aca="1" ref="B937" ca="1">HYPERLINK(CONCATENATE("#",CELL("address",$D$170)),$D$170)</f>
        <v>Loan 7</v>
      </c>
      <c r="C937" s="211"/>
      <c r="D937" s="49">
        <f>D$19</f>
        <v>0</v>
      </c>
      <c r="E937" s="49" t="str">
        <f>F$19</f>
        <v/>
      </c>
      <c r="F937" s="49"/>
      <c r="H937" s="9"/>
      <c r="I937" s="40" t="s">
        <v>665</v>
      </c>
      <c r="V937" s="106"/>
      <c r="W937" s="133">
        <f t="shared" ca="1" si="912"/>
        <v>0</v>
      </c>
      <c r="X937" s="133">
        <f t="shared" ca="1" si="912"/>
        <v>0</v>
      </c>
      <c r="Y937" s="133">
        <f t="shared" ca="1" si="912"/>
        <v>0</v>
      </c>
      <c r="AA937" s="133">
        <f t="shared" ref="AA937:BJ937" ca="1" si="923">AA1006-AA914</f>
        <v>0</v>
      </c>
      <c r="AB937" s="133">
        <f t="shared" ca="1" si="923"/>
        <v>0</v>
      </c>
      <c r="AC937" s="133">
        <f t="shared" ca="1" si="923"/>
        <v>0</v>
      </c>
      <c r="AD937" s="133">
        <f t="shared" ca="1" si="923"/>
        <v>0</v>
      </c>
      <c r="AE937" s="133">
        <f t="shared" ca="1" si="923"/>
        <v>0</v>
      </c>
      <c r="AF937" s="133">
        <f t="shared" ca="1" si="923"/>
        <v>0</v>
      </c>
      <c r="AG937" s="133">
        <f t="shared" ca="1" si="923"/>
        <v>0</v>
      </c>
      <c r="AH937" s="133">
        <f t="shared" ca="1" si="923"/>
        <v>0</v>
      </c>
      <c r="AI937" s="133">
        <f t="shared" ca="1" si="923"/>
        <v>0</v>
      </c>
      <c r="AJ937" s="133">
        <f t="shared" ca="1" si="923"/>
        <v>0</v>
      </c>
      <c r="AK937" s="133">
        <f t="shared" ca="1" si="923"/>
        <v>0</v>
      </c>
      <c r="AL937" s="133">
        <f t="shared" ca="1" si="923"/>
        <v>0</v>
      </c>
      <c r="AM937" s="133">
        <f t="shared" ca="1" si="923"/>
        <v>0</v>
      </c>
      <c r="AN937" s="133">
        <f t="shared" ca="1" si="923"/>
        <v>0</v>
      </c>
      <c r="AO937" s="133">
        <f t="shared" ca="1" si="923"/>
        <v>0</v>
      </c>
      <c r="AP937" s="133">
        <f t="shared" ca="1" si="923"/>
        <v>0</v>
      </c>
      <c r="AQ937" s="133">
        <f t="shared" ca="1" si="923"/>
        <v>0</v>
      </c>
      <c r="AR937" s="133">
        <f t="shared" ca="1" si="923"/>
        <v>0</v>
      </c>
      <c r="AS937" s="133">
        <f t="shared" ca="1" si="923"/>
        <v>0</v>
      </c>
      <c r="AT937" s="133">
        <f t="shared" ca="1" si="923"/>
        <v>0</v>
      </c>
      <c r="AU937" s="133">
        <f t="shared" ca="1" si="923"/>
        <v>0</v>
      </c>
      <c r="AV937" s="133">
        <f t="shared" ca="1" si="923"/>
        <v>0</v>
      </c>
      <c r="AW937" s="133">
        <f t="shared" ca="1" si="923"/>
        <v>0</v>
      </c>
      <c r="AX937" s="133">
        <f t="shared" ca="1" si="923"/>
        <v>0</v>
      </c>
      <c r="AY937" s="133">
        <f t="shared" ca="1" si="923"/>
        <v>0</v>
      </c>
      <c r="AZ937" s="133">
        <f t="shared" ca="1" si="923"/>
        <v>0</v>
      </c>
      <c r="BA937" s="133">
        <f t="shared" ca="1" si="923"/>
        <v>0</v>
      </c>
      <c r="BB937" s="133">
        <f t="shared" ca="1" si="923"/>
        <v>0</v>
      </c>
      <c r="BC937" s="133">
        <f t="shared" ca="1" si="923"/>
        <v>0</v>
      </c>
      <c r="BD937" s="133">
        <f t="shared" ca="1" si="923"/>
        <v>0</v>
      </c>
      <c r="BE937" s="133">
        <f t="shared" ca="1" si="923"/>
        <v>0</v>
      </c>
      <c r="BF937" s="133">
        <f t="shared" ca="1" si="923"/>
        <v>0</v>
      </c>
      <c r="BG937" s="133">
        <f t="shared" ca="1" si="923"/>
        <v>0</v>
      </c>
      <c r="BH937" s="133">
        <f t="shared" ca="1" si="923"/>
        <v>0</v>
      </c>
      <c r="BI937" s="133">
        <f t="shared" ca="1" si="923"/>
        <v>0</v>
      </c>
      <c r="BJ937" s="133">
        <f t="shared" ca="1" si="923"/>
        <v>0</v>
      </c>
      <c r="BK937" s="106"/>
      <c r="BL937" s="106"/>
      <c r="BM937" s="106"/>
      <c r="BN937" s="106"/>
      <c r="BO937" s="106"/>
      <c r="BP937" s="106"/>
      <c r="BQ937" s="106"/>
      <c r="BR937" s="106"/>
      <c r="BS937" s="106"/>
      <c r="BT937" s="106"/>
      <c r="BU937" s="106"/>
      <c r="BV937" s="106"/>
      <c r="BX937" s="106"/>
      <c r="BY937" s="12">
        <f t="shared" ca="1" si="914"/>
        <v>0</v>
      </c>
      <c r="BZ937" s="12">
        <f t="shared" ca="1" si="915"/>
        <v>0</v>
      </c>
      <c r="CA937" s="12">
        <f t="shared" ca="1" si="916"/>
        <v>0</v>
      </c>
      <c r="CB937" s="106"/>
      <c r="CC937" s="106"/>
      <c r="CD937" s="106"/>
      <c r="CE937" s="106"/>
      <c r="CF937" s="106"/>
      <c r="CG937" s="106"/>
      <c r="CH937" s="106"/>
      <c r="CI937" s="106"/>
      <c r="CK937" s="11"/>
      <c r="CM937" s="11"/>
      <c r="DF937" s="11"/>
      <c r="EY937" s="10" t="str">
        <f t="shared" si="921"/>
        <v/>
      </c>
    </row>
    <row r="938" spans="1:155" x14ac:dyDescent="0.35">
      <c r="B938" s="69" t="str" cm="1">
        <f t="array" aca="1" ref="B938" ca="1">HYPERLINK(CONCATENATE("#",CELL("address",$D$189)),$D$189)</f>
        <v>Loan 8</v>
      </c>
      <c r="C938" s="211"/>
      <c r="D938" s="49">
        <f>D$20</f>
        <v>0</v>
      </c>
      <c r="E938" s="49" t="str">
        <f>F$20</f>
        <v/>
      </c>
      <c r="F938" s="49"/>
      <c r="H938" s="9"/>
      <c r="I938" s="40" t="s">
        <v>665</v>
      </c>
      <c r="V938" s="106"/>
      <c r="W938" s="133">
        <f t="shared" ca="1" si="912"/>
        <v>0</v>
      </c>
      <c r="X938" s="133">
        <f t="shared" ca="1" si="912"/>
        <v>0</v>
      </c>
      <c r="Y938" s="133">
        <f t="shared" ca="1" si="912"/>
        <v>0</v>
      </c>
      <c r="AA938" s="133">
        <f t="shared" ref="AA938:BJ938" ca="1" si="924">AA1007-AA915</f>
        <v>0</v>
      </c>
      <c r="AB938" s="133">
        <f t="shared" ca="1" si="924"/>
        <v>0</v>
      </c>
      <c r="AC938" s="133">
        <f t="shared" ca="1" si="924"/>
        <v>0</v>
      </c>
      <c r="AD938" s="133">
        <f t="shared" ca="1" si="924"/>
        <v>0</v>
      </c>
      <c r="AE938" s="133">
        <f t="shared" ca="1" si="924"/>
        <v>0</v>
      </c>
      <c r="AF938" s="133">
        <f t="shared" ca="1" si="924"/>
        <v>0</v>
      </c>
      <c r="AG938" s="133">
        <f t="shared" ca="1" si="924"/>
        <v>0</v>
      </c>
      <c r="AH938" s="133">
        <f t="shared" ca="1" si="924"/>
        <v>0</v>
      </c>
      <c r="AI938" s="133">
        <f t="shared" ca="1" si="924"/>
        <v>0</v>
      </c>
      <c r="AJ938" s="133">
        <f t="shared" ca="1" si="924"/>
        <v>0</v>
      </c>
      <c r="AK938" s="133">
        <f t="shared" ca="1" si="924"/>
        <v>0</v>
      </c>
      <c r="AL938" s="133">
        <f t="shared" ca="1" si="924"/>
        <v>0</v>
      </c>
      <c r="AM938" s="133">
        <f t="shared" ca="1" si="924"/>
        <v>0</v>
      </c>
      <c r="AN938" s="133">
        <f t="shared" ca="1" si="924"/>
        <v>0</v>
      </c>
      <c r="AO938" s="133">
        <f t="shared" ca="1" si="924"/>
        <v>0</v>
      </c>
      <c r="AP938" s="133">
        <f t="shared" ca="1" si="924"/>
        <v>0</v>
      </c>
      <c r="AQ938" s="133">
        <f t="shared" ca="1" si="924"/>
        <v>0</v>
      </c>
      <c r="AR938" s="133">
        <f t="shared" ca="1" si="924"/>
        <v>0</v>
      </c>
      <c r="AS938" s="133">
        <f t="shared" ca="1" si="924"/>
        <v>0</v>
      </c>
      <c r="AT938" s="133">
        <f t="shared" ca="1" si="924"/>
        <v>0</v>
      </c>
      <c r="AU938" s="133">
        <f t="shared" ca="1" si="924"/>
        <v>0</v>
      </c>
      <c r="AV938" s="133">
        <f t="shared" ca="1" si="924"/>
        <v>0</v>
      </c>
      <c r="AW938" s="133">
        <f t="shared" ca="1" si="924"/>
        <v>0</v>
      </c>
      <c r="AX938" s="133">
        <f t="shared" ca="1" si="924"/>
        <v>0</v>
      </c>
      <c r="AY938" s="133">
        <f t="shared" ca="1" si="924"/>
        <v>0</v>
      </c>
      <c r="AZ938" s="133">
        <f t="shared" ca="1" si="924"/>
        <v>0</v>
      </c>
      <c r="BA938" s="133">
        <f t="shared" ca="1" si="924"/>
        <v>0</v>
      </c>
      <c r="BB938" s="133">
        <f t="shared" ca="1" si="924"/>
        <v>0</v>
      </c>
      <c r="BC938" s="133">
        <f t="shared" ca="1" si="924"/>
        <v>0</v>
      </c>
      <c r="BD938" s="133">
        <f t="shared" ca="1" si="924"/>
        <v>0</v>
      </c>
      <c r="BE938" s="133">
        <f t="shared" ca="1" si="924"/>
        <v>0</v>
      </c>
      <c r="BF938" s="133">
        <f t="shared" ca="1" si="924"/>
        <v>0</v>
      </c>
      <c r="BG938" s="133">
        <f t="shared" ca="1" si="924"/>
        <v>0</v>
      </c>
      <c r="BH938" s="133">
        <f t="shared" ca="1" si="924"/>
        <v>0</v>
      </c>
      <c r="BI938" s="133">
        <f t="shared" ca="1" si="924"/>
        <v>0</v>
      </c>
      <c r="BJ938" s="133">
        <f t="shared" ca="1" si="924"/>
        <v>0</v>
      </c>
      <c r="BK938" s="106"/>
      <c r="BL938" s="106"/>
      <c r="BM938" s="106"/>
      <c r="BN938" s="106"/>
      <c r="BO938" s="106"/>
      <c r="BP938" s="106"/>
      <c r="BQ938" s="106"/>
      <c r="BR938" s="106"/>
      <c r="BS938" s="106"/>
      <c r="BT938" s="106"/>
      <c r="BU938" s="106"/>
      <c r="BV938" s="106"/>
      <c r="BX938" s="106"/>
      <c r="BY938" s="12">
        <f t="shared" ca="1" si="914"/>
        <v>0</v>
      </c>
      <c r="BZ938" s="12">
        <f t="shared" ca="1" si="915"/>
        <v>0</v>
      </c>
      <c r="CA938" s="12">
        <f t="shared" ca="1" si="916"/>
        <v>0</v>
      </c>
      <c r="CB938" s="106"/>
      <c r="CC938" s="106"/>
      <c r="CD938" s="106"/>
      <c r="CE938" s="106"/>
      <c r="CF938" s="106"/>
      <c r="CG938" s="106"/>
      <c r="CH938" s="106"/>
      <c r="CI938" s="106"/>
      <c r="CK938" s="11"/>
      <c r="CM938" s="11"/>
      <c r="DF938" s="11"/>
      <c r="EY938" s="10" t="str">
        <f t="shared" si="921"/>
        <v/>
      </c>
    </row>
    <row r="939" spans="1:155" x14ac:dyDescent="0.35">
      <c r="B939" s="69" t="str" cm="1">
        <f t="array" aca="1" ref="B939" ca="1">HYPERLINK(CONCATENATE("#",CELL("address",$D$208)),$D$208)</f>
        <v>Loan 9</v>
      </c>
      <c r="C939" s="211"/>
      <c r="D939" s="49">
        <f>D$21</f>
        <v>0</v>
      </c>
      <c r="E939" s="49" t="str">
        <f>F$21</f>
        <v/>
      </c>
      <c r="F939" s="49"/>
      <c r="H939" s="9"/>
      <c r="I939" s="40" t="s">
        <v>665</v>
      </c>
      <c r="V939" s="106"/>
      <c r="W939" s="133">
        <f t="shared" ca="1" si="912"/>
        <v>0</v>
      </c>
      <c r="X939" s="133">
        <f t="shared" ca="1" si="912"/>
        <v>0</v>
      </c>
      <c r="Y939" s="133">
        <f t="shared" ca="1" si="912"/>
        <v>0</v>
      </c>
      <c r="AA939" s="133">
        <f t="shared" ref="AA939:BJ939" ca="1" si="925">AA1008-AA916</f>
        <v>0</v>
      </c>
      <c r="AB939" s="133">
        <f t="shared" ca="1" si="925"/>
        <v>0</v>
      </c>
      <c r="AC939" s="133">
        <f t="shared" ca="1" si="925"/>
        <v>0</v>
      </c>
      <c r="AD939" s="133">
        <f t="shared" ca="1" si="925"/>
        <v>0</v>
      </c>
      <c r="AE939" s="133">
        <f t="shared" ca="1" si="925"/>
        <v>0</v>
      </c>
      <c r="AF939" s="133">
        <f t="shared" ca="1" si="925"/>
        <v>0</v>
      </c>
      <c r="AG939" s="133">
        <f t="shared" ca="1" si="925"/>
        <v>0</v>
      </c>
      <c r="AH939" s="133">
        <f t="shared" ca="1" si="925"/>
        <v>0</v>
      </c>
      <c r="AI939" s="133">
        <f t="shared" ca="1" si="925"/>
        <v>0</v>
      </c>
      <c r="AJ939" s="133">
        <f t="shared" ca="1" si="925"/>
        <v>0</v>
      </c>
      <c r="AK939" s="133">
        <f t="shared" ca="1" si="925"/>
        <v>0</v>
      </c>
      <c r="AL939" s="133">
        <f t="shared" ca="1" si="925"/>
        <v>0</v>
      </c>
      <c r="AM939" s="133">
        <f t="shared" ca="1" si="925"/>
        <v>0</v>
      </c>
      <c r="AN939" s="133">
        <f t="shared" ca="1" si="925"/>
        <v>0</v>
      </c>
      <c r="AO939" s="133">
        <f t="shared" ca="1" si="925"/>
        <v>0</v>
      </c>
      <c r="AP939" s="133">
        <f t="shared" ca="1" si="925"/>
        <v>0</v>
      </c>
      <c r="AQ939" s="133">
        <f t="shared" ca="1" si="925"/>
        <v>0</v>
      </c>
      <c r="AR939" s="133">
        <f t="shared" ca="1" si="925"/>
        <v>0</v>
      </c>
      <c r="AS939" s="133">
        <f t="shared" ca="1" si="925"/>
        <v>0</v>
      </c>
      <c r="AT939" s="133">
        <f t="shared" ca="1" si="925"/>
        <v>0</v>
      </c>
      <c r="AU939" s="133">
        <f t="shared" ca="1" si="925"/>
        <v>0</v>
      </c>
      <c r="AV939" s="133">
        <f t="shared" ca="1" si="925"/>
        <v>0</v>
      </c>
      <c r="AW939" s="133">
        <f t="shared" ca="1" si="925"/>
        <v>0</v>
      </c>
      <c r="AX939" s="133">
        <f t="shared" ca="1" si="925"/>
        <v>0</v>
      </c>
      <c r="AY939" s="133">
        <f t="shared" ca="1" si="925"/>
        <v>0</v>
      </c>
      <c r="AZ939" s="133">
        <f t="shared" ca="1" si="925"/>
        <v>0</v>
      </c>
      <c r="BA939" s="133">
        <f t="shared" ca="1" si="925"/>
        <v>0</v>
      </c>
      <c r="BB939" s="133">
        <f t="shared" ca="1" si="925"/>
        <v>0</v>
      </c>
      <c r="BC939" s="133">
        <f t="shared" ca="1" si="925"/>
        <v>0</v>
      </c>
      <c r="BD939" s="133">
        <f t="shared" ca="1" si="925"/>
        <v>0</v>
      </c>
      <c r="BE939" s="133">
        <f t="shared" ca="1" si="925"/>
        <v>0</v>
      </c>
      <c r="BF939" s="133">
        <f t="shared" ca="1" si="925"/>
        <v>0</v>
      </c>
      <c r="BG939" s="133">
        <f t="shared" ca="1" si="925"/>
        <v>0</v>
      </c>
      <c r="BH939" s="133">
        <f t="shared" ca="1" si="925"/>
        <v>0</v>
      </c>
      <c r="BI939" s="133">
        <f t="shared" ca="1" si="925"/>
        <v>0</v>
      </c>
      <c r="BJ939" s="133">
        <f t="shared" ca="1" si="925"/>
        <v>0</v>
      </c>
      <c r="BK939" s="106"/>
      <c r="BL939" s="106"/>
      <c r="BM939" s="106"/>
      <c r="BN939" s="106"/>
      <c r="BO939" s="106"/>
      <c r="BP939" s="106"/>
      <c r="BQ939" s="106"/>
      <c r="BR939" s="106"/>
      <c r="BS939" s="106"/>
      <c r="BT939" s="106"/>
      <c r="BU939" s="106"/>
      <c r="BV939" s="106"/>
      <c r="BX939" s="106"/>
      <c r="BY939" s="12">
        <f t="shared" ca="1" si="914"/>
        <v>0</v>
      </c>
      <c r="BZ939" s="12">
        <f t="shared" ca="1" si="915"/>
        <v>0</v>
      </c>
      <c r="CA939" s="12">
        <f t="shared" ca="1" si="916"/>
        <v>0</v>
      </c>
      <c r="CB939" s="106"/>
      <c r="CC939" s="106"/>
      <c r="CD939" s="106"/>
      <c r="CE939" s="106"/>
      <c r="CF939" s="106"/>
      <c r="CG939" s="106"/>
      <c r="CH939" s="106"/>
      <c r="CI939" s="106"/>
      <c r="CK939" s="11"/>
      <c r="CM939" s="11"/>
      <c r="DF939" s="11"/>
      <c r="EY939" s="10" t="str">
        <f t="shared" si="921"/>
        <v/>
      </c>
    </row>
    <row r="940" spans="1:155" x14ac:dyDescent="0.35">
      <c r="B940" s="69" t="str" cm="1">
        <f t="array" aca="1" ref="B940" ca="1">HYPERLINK(CONCATENATE("#",CELL("address",$D$227)),$D$227)</f>
        <v>Loan 10</v>
      </c>
      <c r="C940" s="211"/>
      <c r="D940" s="49">
        <f>D$22</f>
        <v>0</v>
      </c>
      <c r="E940" s="49" t="str">
        <f>F$22</f>
        <v/>
      </c>
      <c r="F940" s="49"/>
      <c r="H940" s="9"/>
      <c r="I940" s="40" t="s">
        <v>665</v>
      </c>
      <c r="V940" s="106"/>
      <c r="W940" s="133">
        <f t="shared" ca="1" si="912"/>
        <v>0</v>
      </c>
      <c r="X940" s="133">
        <f t="shared" ca="1" si="912"/>
        <v>0</v>
      </c>
      <c r="Y940" s="133">
        <f t="shared" ca="1" si="912"/>
        <v>0</v>
      </c>
      <c r="AA940" s="133">
        <f t="shared" ref="AA940:BJ940" ca="1" si="926">AA1009-AA917</f>
        <v>0</v>
      </c>
      <c r="AB940" s="133">
        <f t="shared" ca="1" si="926"/>
        <v>0</v>
      </c>
      <c r="AC940" s="133">
        <f t="shared" ca="1" si="926"/>
        <v>0</v>
      </c>
      <c r="AD940" s="133">
        <f t="shared" ca="1" si="926"/>
        <v>0</v>
      </c>
      <c r="AE940" s="133">
        <f t="shared" ca="1" si="926"/>
        <v>0</v>
      </c>
      <c r="AF940" s="133">
        <f t="shared" ca="1" si="926"/>
        <v>0</v>
      </c>
      <c r="AG940" s="133">
        <f t="shared" ca="1" si="926"/>
        <v>0</v>
      </c>
      <c r="AH940" s="133">
        <f t="shared" ca="1" si="926"/>
        <v>0</v>
      </c>
      <c r="AI940" s="133">
        <f t="shared" ca="1" si="926"/>
        <v>0</v>
      </c>
      <c r="AJ940" s="133">
        <f t="shared" ca="1" si="926"/>
        <v>0</v>
      </c>
      <c r="AK940" s="133">
        <f t="shared" ca="1" si="926"/>
        <v>0</v>
      </c>
      <c r="AL940" s="133">
        <f t="shared" ca="1" si="926"/>
        <v>0</v>
      </c>
      <c r="AM940" s="133">
        <f t="shared" ca="1" si="926"/>
        <v>0</v>
      </c>
      <c r="AN940" s="133">
        <f t="shared" ca="1" si="926"/>
        <v>0</v>
      </c>
      <c r="AO940" s="133">
        <f t="shared" ca="1" si="926"/>
        <v>0</v>
      </c>
      <c r="AP940" s="133">
        <f t="shared" ca="1" si="926"/>
        <v>0</v>
      </c>
      <c r="AQ940" s="133">
        <f t="shared" ca="1" si="926"/>
        <v>0</v>
      </c>
      <c r="AR940" s="133">
        <f t="shared" ca="1" si="926"/>
        <v>0</v>
      </c>
      <c r="AS940" s="133">
        <f t="shared" ca="1" si="926"/>
        <v>0</v>
      </c>
      <c r="AT940" s="133">
        <f t="shared" ca="1" si="926"/>
        <v>0</v>
      </c>
      <c r="AU940" s="133">
        <f t="shared" ca="1" si="926"/>
        <v>0</v>
      </c>
      <c r="AV940" s="133">
        <f t="shared" ca="1" si="926"/>
        <v>0</v>
      </c>
      <c r="AW940" s="133">
        <f t="shared" ca="1" si="926"/>
        <v>0</v>
      </c>
      <c r="AX940" s="133">
        <f t="shared" ca="1" si="926"/>
        <v>0</v>
      </c>
      <c r="AY940" s="133">
        <f t="shared" ca="1" si="926"/>
        <v>0</v>
      </c>
      <c r="AZ940" s="133">
        <f t="shared" ca="1" si="926"/>
        <v>0</v>
      </c>
      <c r="BA940" s="133">
        <f t="shared" ca="1" si="926"/>
        <v>0</v>
      </c>
      <c r="BB940" s="133">
        <f t="shared" ca="1" si="926"/>
        <v>0</v>
      </c>
      <c r="BC940" s="133">
        <f t="shared" ca="1" si="926"/>
        <v>0</v>
      </c>
      <c r="BD940" s="133">
        <f t="shared" ca="1" si="926"/>
        <v>0</v>
      </c>
      <c r="BE940" s="133">
        <f t="shared" ca="1" si="926"/>
        <v>0</v>
      </c>
      <c r="BF940" s="133">
        <f t="shared" ca="1" si="926"/>
        <v>0</v>
      </c>
      <c r="BG940" s="133">
        <f t="shared" ca="1" si="926"/>
        <v>0</v>
      </c>
      <c r="BH940" s="133">
        <f t="shared" ca="1" si="926"/>
        <v>0</v>
      </c>
      <c r="BI940" s="133">
        <f t="shared" ca="1" si="926"/>
        <v>0</v>
      </c>
      <c r="BJ940" s="133">
        <f t="shared" ca="1" si="926"/>
        <v>0</v>
      </c>
      <c r="BK940" s="106"/>
      <c r="BL940" s="106"/>
      <c r="BM940" s="106"/>
      <c r="BN940" s="106"/>
      <c r="BO940" s="106"/>
      <c r="BP940" s="106"/>
      <c r="BQ940" s="106"/>
      <c r="BR940" s="106"/>
      <c r="BS940" s="106"/>
      <c r="BT940" s="106"/>
      <c r="BU940" s="106"/>
      <c r="BV940" s="106"/>
      <c r="BX940" s="106"/>
      <c r="BY940" s="12">
        <f t="shared" ca="1" si="914"/>
        <v>0</v>
      </c>
      <c r="BZ940" s="12">
        <f t="shared" ca="1" si="915"/>
        <v>0</v>
      </c>
      <c r="CA940" s="12">
        <f t="shared" ca="1" si="916"/>
        <v>0</v>
      </c>
      <c r="CB940" s="106"/>
      <c r="CC940" s="106"/>
      <c r="CD940" s="106"/>
      <c r="CE940" s="106"/>
      <c r="CF940" s="106"/>
      <c r="CG940" s="106"/>
      <c r="CH940" s="106"/>
      <c r="CI940" s="106"/>
      <c r="CK940" s="11"/>
      <c r="CM940" s="11"/>
      <c r="DF940" s="11"/>
      <c r="EY940" s="10" t="str">
        <f t="shared" si="921"/>
        <v/>
      </c>
    </row>
    <row r="941" spans="1:155" x14ac:dyDescent="0.35">
      <c r="B941" s="69" t="str" cm="1">
        <f t="array" aca="1" ref="B941" ca="1">HYPERLINK(CONCATENATE("#",CELL("address",$D$246)),$D$246)</f>
        <v>Loan 11</v>
      </c>
      <c r="C941" s="211"/>
      <c r="D941" s="49">
        <f>D$23</f>
        <v>0</v>
      </c>
      <c r="E941" s="49" t="str">
        <f>F$23</f>
        <v/>
      </c>
      <c r="F941" s="49"/>
      <c r="H941" s="9"/>
      <c r="I941" s="40" t="s">
        <v>665</v>
      </c>
      <c r="V941" s="106"/>
      <c r="W941" s="133">
        <f t="shared" ca="1" si="912"/>
        <v>0</v>
      </c>
      <c r="X941" s="133">
        <f t="shared" ca="1" si="912"/>
        <v>0</v>
      </c>
      <c r="Y941" s="133">
        <f t="shared" ca="1" si="912"/>
        <v>0</v>
      </c>
      <c r="AA941" s="133">
        <f t="shared" ref="AA941:BJ941" ca="1" si="927">AA1010-AA918</f>
        <v>0</v>
      </c>
      <c r="AB941" s="133">
        <f t="shared" ca="1" si="927"/>
        <v>0</v>
      </c>
      <c r="AC941" s="133">
        <f t="shared" ca="1" si="927"/>
        <v>0</v>
      </c>
      <c r="AD941" s="133">
        <f t="shared" ca="1" si="927"/>
        <v>0</v>
      </c>
      <c r="AE941" s="133">
        <f t="shared" ca="1" si="927"/>
        <v>0</v>
      </c>
      <c r="AF941" s="133">
        <f t="shared" ca="1" si="927"/>
        <v>0</v>
      </c>
      <c r="AG941" s="133">
        <f t="shared" ca="1" si="927"/>
        <v>0</v>
      </c>
      <c r="AH941" s="133">
        <f t="shared" ca="1" si="927"/>
        <v>0</v>
      </c>
      <c r="AI941" s="133">
        <f t="shared" ca="1" si="927"/>
        <v>0</v>
      </c>
      <c r="AJ941" s="133">
        <f t="shared" ca="1" si="927"/>
        <v>0</v>
      </c>
      <c r="AK941" s="133">
        <f t="shared" ca="1" si="927"/>
        <v>0</v>
      </c>
      <c r="AL941" s="133">
        <f t="shared" ca="1" si="927"/>
        <v>0</v>
      </c>
      <c r="AM941" s="133">
        <f t="shared" ca="1" si="927"/>
        <v>0</v>
      </c>
      <c r="AN941" s="133">
        <f t="shared" ca="1" si="927"/>
        <v>0</v>
      </c>
      <c r="AO941" s="133">
        <f t="shared" ca="1" si="927"/>
        <v>0</v>
      </c>
      <c r="AP941" s="133">
        <f t="shared" ca="1" si="927"/>
        <v>0</v>
      </c>
      <c r="AQ941" s="133">
        <f t="shared" ca="1" si="927"/>
        <v>0</v>
      </c>
      <c r="AR941" s="133">
        <f t="shared" ca="1" si="927"/>
        <v>0</v>
      </c>
      <c r="AS941" s="133">
        <f t="shared" ca="1" si="927"/>
        <v>0</v>
      </c>
      <c r="AT941" s="133">
        <f t="shared" ca="1" si="927"/>
        <v>0</v>
      </c>
      <c r="AU941" s="133">
        <f t="shared" ca="1" si="927"/>
        <v>0</v>
      </c>
      <c r="AV941" s="133">
        <f t="shared" ca="1" si="927"/>
        <v>0</v>
      </c>
      <c r="AW941" s="133">
        <f t="shared" ca="1" si="927"/>
        <v>0</v>
      </c>
      <c r="AX941" s="133">
        <f t="shared" ca="1" si="927"/>
        <v>0</v>
      </c>
      <c r="AY941" s="133">
        <f t="shared" ca="1" si="927"/>
        <v>0</v>
      </c>
      <c r="AZ941" s="133">
        <f t="shared" ca="1" si="927"/>
        <v>0</v>
      </c>
      <c r="BA941" s="133">
        <f t="shared" ca="1" si="927"/>
        <v>0</v>
      </c>
      <c r="BB941" s="133">
        <f t="shared" ca="1" si="927"/>
        <v>0</v>
      </c>
      <c r="BC941" s="133">
        <f t="shared" ca="1" si="927"/>
        <v>0</v>
      </c>
      <c r="BD941" s="133">
        <f t="shared" ca="1" si="927"/>
        <v>0</v>
      </c>
      <c r="BE941" s="133">
        <f t="shared" ca="1" si="927"/>
        <v>0</v>
      </c>
      <c r="BF941" s="133">
        <f t="shared" ca="1" si="927"/>
        <v>0</v>
      </c>
      <c r="BG941" s="133">
        <f t="shared" ca="1" si="927"/>
        <v>0</v>
      </c>
      <c r="BH941" s="133">
        <f t="shared" ca="1" si="927"/>
        <v>0</v>
      </c>
      <c r="BI941" s="133">
        <f t="shared" ca="1" si="927"/>
        <v>0</v>
      </c>
      <c r="BJ941" s="133">
        <f t="shared" ca="1" si="927"/>
        <v>0</v>
      </c>
      <c r="BK941" s="106"/>
      <c r="BL941" s="106"/>
      <c r="BM941" s="106"/>
      <c r="BN941" s="106"/>
      <c r="BO941" s="106"/>
      <c r="BP941" s="106"/>
      <c r="BQ941" s="106"/>
      <c r="BR941" s="106"/>
      <c r="BS941" s="106"/>
      <c r="BT941" s="106"/>
      <c r="BU941" s="106"/>
      <c r="BV941" s="106"/>
      <c r="BX941" s="106"/>
      <c r="BY941" s="12">
        <f t="shared" ca="1" si="914"/>
        <v>0</v>
      </c>
      <c r="BZ941" s="12">
        <f t="shared" ca="1" si="915"/>
        <v>0</v>
      </c>
      <c r="CA941" s="12">
        <f t="shared" ca="1" si="916"/>
        <v>0</v>
      </c>
      <c r="CB941" s="106"/>
      <c r="CC941" s="106"/>
      <c r="CD941" s="106"/>
      <c r="CE941" s="106"/>
      <c r="CF941" s="106"/>
      <c r="CG941" s="106"/>
      <c r="CH941" s="106"/>
      <c r="CI941" s="106"/>
      <c r="CK941" s="11"/>
      <c r="CM941" s="11"/>
      <c r="DF941" s="11"/>
      <c r="EY941" s="10" t="str">
        <f t="shared" si="921"/>
        <v/>
      </c>
    </row>
    <row r="942" spans="1:155" x14ac:dyDescent="0.35">
      <c r="B942" s="69" t="str" cm="1">
        <f t="array" aca="1" ref="B942" ca="1">HYPERLINK(CONCATENATE("#",CELL("address",$D$265)),$D$265)</f>
        <v>Loan 12</v>
      </c>
      <c r="C942" s="211"/>
      <c r="D942" s="49">
        <f>D$24</f>
        <v>0</v>
      </c>
      <c r="E942" s="49" t="str">
        <f>F$24</f>
        <v/>
      </c>
      <c r="F942" s="49"/>
      <c r="H942" s="9"/>
      <c r="I942" s="40" t="s">
        <v>665</v>
      </c>
      <c r="V942" s="106"/>
      <c r="W942" s="133">
        <f t="shared" ca="1" si="912"/>
        <v>0</v>
      </c>
      <c r="X942" s="133">
        <f t="shared" ca="1" si="912"/>
        <v>0</v>
      </c>
      <c r="Y942" s="133">
        <f t="shared" ca="1" si="912"/>
        <v>0</v>
      </c>
      <c r="AA942" s="133">
        <f t="shared" ref="AA942:BJ942" ca="1" si="928">AA1011-AA919</f>
        <v>0</v>
      </c>
      <c r="AB942" s="133">
        <f t="shared" ca="1" si="928"/>
        <v>0</v>
      </c>
      <c r="AC942" s="133">
        <f t="shared" ca="1" si="928"/>
        <v>0</v>
      </c>
      <c r="AD942" s="133">
        <f t="shared" ca="1" si="928"/>
        <v>0</v>
      </c>
      <c r="AE942" s="133">
        <f t="shared" ca="1" si="928"/>
        <v>0</v>
      </c>
      <c r="AF942" s="133">
        <f t="shared" ca="1" si="928"/>
        <v>0</v>
      </c>
      <c r="AG942" s="133">
        <f t="shared" ca="1" si="928"/>
        <v>0</v>
      </c>
      <c r="AH942" s="133">
        <f t="shared" ca="1" si="928"/>
        <v>0</v>
      </c>
      <c r="AI942" s="133">
        <f t="shared" ca="1" si="928"/>
        <v>0</v>
      </c>
      <c r="AJ942" s="133">
        <f t="shared" ca="1" si="928"/>
        <v>0</v>
      </c>
      <c r="AK942" s="133">
        <f t="shared" ca="1" si="928"/>
        <v>0</v>
      </c>
      <c r="AL942" s="133">
        <f t="shared" ca="1" si="928"/>
        <v>0</v>
      </c>
      <c r="AM942" s="133">
        <f t="shared" ca="1" si="928"/>
        <v>0</v>
      </c>
      <c r="AN942" s="133">
        <f t="shared" ca="1" si="928"/>
        <v>0</v>
      </c>
      <c r="AO942" s="133">
        <f t="shared" ca="1" si="928"/>
        <v>0</v>
      </c>
      <c r="AP942" s="133">
        <f t="shared" ca="1" si="928"/>
        <v>0</v>
      </c>
      <c r="AQ942" s="133">
        <f t="shared" ca="1" si="928"/>
        <v>0</v>
      </c>
      <c r="AR942" s="133">
        <f t="shared" ca="1" si="928"/>
        <v>0</v>
      </c>
      <c r="AS942" s="133">
        <f t="shared" ca="1" si="928"/>
        <v>0</v>
      </c>
      <c r="AT942" s="133">
        <f t="shared" ca="1" si="928"/>
        <v>0</v>
      </c>
      <c r="AU942" s="133">
        <f t="shared" ca="1" si="928"/>
        <v>0</v>
      </c>
      <c r="AV942" s="133">
        <f t="shared" ca="1" si="928"/>
        <v>0</v>
      </c>
      <c r="AW942" s="133">
        <f t="shared" ca="1" si="928"/>
        <v>0</v>
      </c>
      <c r="AX942" s="133">
        <f t="shared" ca="1" si="928"/>
        <v>0</v>
      </c>
      <c r="AY942" s="133">
        <f t="shared" ca="1" si="928"/>
        <v>0</v>
      </c>
      <c r="AZ942" s="133">
        <f t="shared" ca="1" si="928"/>
        <v>0</v>
      </c>
      <c r="BA942" s="133">
        <f t="shared" ca="1" si="928"/>
        <v>0</v>
      </c>
      <c r="BB942" s="133">
        <f t="shared" ca="1" si="928"/>
        <v>0</v>
      </c>
      <c r="BC942" s="133">
        <f t="shared" ca="1" si="928"/>
        <v>0</v>
      </c>
      <c r="BD942" s="133">
        <f t="shared" ca="1" si="928"/>
        <v>0</v>
      </c>
      <c r="BE942" s="133">
        <f t="shared" ca="1" si="928"/>
        <v>0</v>
      </c>
      <c r="BF942" s="133">
        <f t="shared" ca="1" si="928"/>
        <v>0</v>
      </c>
      <c r="BG942" s="133">
        <f t="shared" ca="1" si="928"/>
        <v>0</v>
      </c>
      <c r="BH942" s="133">
        <f t="shared" ca="1" si="928"/>
        <v>0</v>
      </c>
      <c r="BI942" s="133">
        <f t="shared" ca="1" si="928"/>
        <v>0</v>
      </c>
      <c r="BJ942" s="133">
        <f t="shared" ca="1" si="928"/>
        <v>0</v>
      </c>
      <c r="BK942" s="106"/>
      <c r="BL942" s="106"/>
      <c r="BM942" s="106"/>
      <c r="BN942" s="106"/>
      <c r="BO942" s="106"/>
      <c r="BP942" s="106"/>
      <c r="BQ942" s="106"/>
      <c r="BR942" s="106"/>
      <c r="BS942" s="106"/>
      <c r="BT942" s="106"/>
      <c r="BU942" s="106"/>
      <c r="BV942" s="106"/>
      <c r="BX942" s="106"/>
      <c r="BY942" s="12">
        <f t="shared" ca="1" si="914"/>
        <v>0</v>
      </c>
      <c r="BZ942" s="12">
        <f t="shared" ca="1" si="915"/>
        <v>0</v>
      </c>
      <c r="CA942" s="12">
        <f t="shared" ca="1" si="916"/>
        <v>0</v>
      </c>
      <c r="CB942" s="106"/>
      <c r="CC942" s="106"/>
      <c r="CD942" s="106"/>
      <c r="CE942" s="106"/>
      <c r="CF942" s="106"/>
      <c r="CG942" s="106"/>
      <c r="CH942" s="106"/>
      <c r="CI942" s="106"/>
      <c r="CK942" s="11"/>
      <c r="CM942" s="11"/>
      <c r="DF942" s="11"/>
      <c r="EY942" s="10" t="str">
        <f t="shared" si="921"/>
        <v/>
      </c>
    </row>
    <row r="943" spans="1:155" x14ac:dyDescent="0.35">
      <c r="B943" s="69" t="str" cm="1">
        <f t="array" aca="1" ref="B943" ca="1">HYPERLINK(CONCATENATE("#",CELL("address",$D$284)),$D$284)</f>
        <v>Loan 13</v>
      </c>
      <c r="C943" s="211"/>
      <c r="D943" s="49">
        <f>D$25</f>
        <v>0</v>
      </c>
      <c r="E943" s="49" t="str">
        <f>F$25</f>
        <v/>
      </c>
      <c r="F943" s="49"/>
      <c r="H943" s="9"/>
      <c r="I943" s="40" t="s">
        <v>665</v>
      </c>
      <c r="V943" s="106"/>
      <c r="W943" s="133">
        <f t="shared" ca="1" si="912"/>
        <v>0</v>
      </c>
      <c r="X943" s="133">
        <f t="shared" ca="1" si="912"/>
        <v>0</v>
      </c>
      <c r="Y943" s="133">
        <f t="shared" ca="1" si="912"/>
        <v>0</v>
      </c>
      <c r="AA943" s="133">
        <f t="shared" ref="AA943:BJ943" ca="1" si="929">AA1012-AA920</f>
        <v>0</v>
      </c>
      <c r="AB943" s="133">
        <f t="shared" ca="1" si="929"/>
        <v>0</v>
      </c>
      <c r="AC943" s="133">
        <f t="shared" ca="1" si="929"/>
        <v>0</v>
      </c>
      <c r="AD943" s="133">
        <f t="shared" ca="1" si="929"/>
        <v>0</v>
      </c>
      <c r="AE943" s="133">
        <f t="shared" ca="1" si="929"/>
        <v>0</v>
      </c>
      <c r="AF943" s="133">
        <f t="shared" ca="1" si="929"/>
        <v>0</v>
      </c>
      <c r="AG943" s="133">
        <f t="shared" ca="1" si="929"/>
        <v>0</v>
      </c>
      <c r="AH943" s="133">
        <f t="shared" ca="1" si="929"/>
        <v>0</v>
      </c>
      <c r="AI943" s="133">
        <f t="shared" ca="1" si="929"/>
        <v>0</v>
      </c>
      <c r="AJ943" s="133">
        <f t="shared" ca="1" si="929"/>
        <v>0</v>
      </c>
      <c r="AK943" s="133">
        <f t="shared" ca="1" si="929"/>
        <v>0</v>
      </c>
      <c r="AL943" s="133">
        <f t="shared" ca="1" si="929"/>
        <v>0</v>
      </c>
      <c r="AM943" s="133">
        <f t="shared" ca="1" si="929"/>
        <v>0</v>
      </c>
      <c r="AN943" s="133">
        <f t="shared" ca="1" si="929"/>
        <v>0</v>
      </c>
      <c r="AO943" s="133">
        <f t="shared" ca="1" si="929"/>
        <v>0</v>
      </c>
      <c r="AP943" s="133">
        <f t="shared" ca="1" si="929"/>
        <v>0</v>
      </c>
      <c r="AQ943" s="133">
        <f t="shared" ca="1" si="929"/>
        <v>0</v>
      </c>
      <c r="AR943" s="133">
        <f t="shared" ca="1" si="929"/>
        <v>0</v>
      </c>
      <c r="AS943" s="133">
        <f t="shared" ca="1" si="929"/>
        <v>0</v>
      </c>
      <c r="AT943" s="133">
        <f t="shared" ca="1" si="929"/>
        <v>0</v>
      </c>
      <c r="AU943" s="133">
        <f t="shared" ca="1" si="929"/>
        <v>0</v>
      </c>
      <c r="AV943" s="133">
        <f t="shared" ca="1" si="929"/>
        <v>0</v>
      </c>
      <c r="AW943" s="133">
        <f t="shared" ca="1" si="929"/>
        <v>0</v>
      </c>
      <c r="AX943" s="133">
        <f t="shared" ca="1" si="929"/>
        <v>0</v>
      </c>
      <c r="AY943" s="133">
        <f t="shared" ca="1" si="929"/>
        <v>0</v>
      </c>
      <c r="AZ943" s="133">
        <f t="shared" ca="1" si="929"/>
        <v>0</v>
      </c>
      <c r="BA943" s="133">
        <f t="shared" ca="1" si="929"/>
        <v>0</v>
      </c>
      <c r="BB943" s="133">
        <f t="shared" ca="1" si="929"/>
        <v>0</v>
      </c>
      <c r="BC943" s="133">
        <f t="shared" ca="1" si="929"/>
        <v>0</v>
      </c>
      <c r="BD943" s="133">
        <f t="shared" ca="1" si="929"/>
        <v>0</v>
      </c>
      <c r="BE943" s="133">
        <f t="shared" ca="1" si="929"/>
        <v>0</v>
      </c>
      <c r="BF943" s="133">
        <f t="shared" ca="1" si="929"/>
        <v>0</v>
      </c>
      <c r="BG943" s="133">
        <f t="shared" ca="1" si="929"/>
        <v>0</v>
      </c>
      <c r="BH943" s="133">
        <f t="shared" ca="1" si="929"/>
        <v>0</v>
      </c>
      <c r="BI943" s="133">
        <f t="shared" ca="1" si="929"/>
        <v>0</v>
      </c>
      <c r="BJ943" s="133">
        <f t="shared" ca="1" si="929"/>
        <v>0</v>
      </c>
      <c r="BK943" s="106"/>
      <c r="BL943" s="106"/>
      <c r="BM943" s="106"/>
      <c r="BN943" s="106"/>
      <c r="BO943" s="106"/>
      <c r="BP943" s="106"/>
      <c r="BQ943" s="106"/>
      <c r="BR943" s="106"/>
      <c r="BS943" s="106"/>
      <c r="BT943" s="106"/>
      <c r="BU943" s="106"/>
      <c r="BV943" s="106"/>
      <c r="BX943" s="106"/>
      <c r="BY943" s="12">
        <f t="shared" ca="1" si="914"/>
        <v>0</v>
      </c>
      <c r="BZ943" s="12">
        <f t="shared" ca="1" si="915"/>
        <v>0</v>
      </c>
      <c r="CA943" s="12">
        <f t="shared" ca="1" si="916"/>
        <v>0</v>
      </c>
      <c r="CB943" s="106"/>
      <c r="CC943" s="106"/>
      <c r="CD943" s="106"/>
      <c r="CE943" s="106"/>
      <c r="CF943" s="106"/>
      <c r="CG943" s="106"/>
      <c r="CH943" s="106"/>
      <c r="CI943" s="106"/>
      <c r="CK943" s="11"/>
      <c r="CM943" s="11"/>
      <c r="DF943" s="11"/>
      <c r="EY943" s="10" t="str">
        <f t="shared" si="921"/>
        <v/>
      </c>
    </row>
    <row r="944" spans="1:155" s="5" customFormat="1" x14ac:dyDescent="0.35">
      <c r="A944"/>
      <c r="B944" s="69" t="str" cm="1">
        <f t="array" aca="1" ref="B944" ca="1">HYPERLINK(CONCATENATE("#",CELL("address",$D$303)),$D$303)</f>
        <v>Loan 14</v>
      </c>
      <c r="C944" s="211"/>
      <c r="D944" s="49">
        <f>D$26</f>
        <v>0</v>
      </c>
      <c r="E944" s="49" t="str">
        <f>F$26</f>
        <v/>
      </c>
      <c r="F944" s="49"/>
      <c r="G944"/>
      <c r="H944" s="9"/>
      <c r="I944" s="40" t="s">
        <v>665</v>
      </c>
      <c r="J944"/>
      <c r="K944"/>
      <c r="L944"/>
      <c r="M944"/>
      <c r="N944"/>
      <c r="O944"/>
      <c r="P944"/>
      <c r="Q944"/>
      <c r="R944"/>
      <c r="S944"/>
      <c r="T944"/>
      <c r="U944"/>
      <c r="V944" s="106"/>
      <c r="W944" s="133">
        <f t="shared" ca="1" si="912"/>
        <v>0</v>
      </c>
      <c r="X944" s="133">
        <f t="shared" ca="1" si="912"/>
        <v>0</v>
      </c>
      <c r="Y944" s="133">
        <f t="shared" ca="1" si="912"/>
        <v>0</v>
      </c>
      <c r="Z944"/>
      <c r="AA944" s="133">
        <f t="shared" ref="AA944:BJ944" ca="1" si="930">AA1013-AA921</f>
        <v>0</v>
      </c>
      <c r="AB944" s="133">
        <f t="shared" ca="1" si="930"/>
        <v>0</v>
      </c>
      <c r="AC944" s="133">
        <f t="shared" ca="1" si="930"/>
        <v>0</v>
      </c>
      <c r="AD944" s="133">
        <f t="shared" ca="1" si="930"/>
        <v>0</v>
      </c>
      <c r="AE944" s="133">
        <f t="shared" ca="1" si="930"/>
        <v>0</v>
      </c>
      <c r="AF944" s="133">
        <f t="shared" ca="1" si="930"/>
        <v>0</v>
      </c>
      <c r="AG944" s="133">
        <f t="shared" ca="1" si="930"/>
        <v>0</v>
      </c>
      <c r="AH944" s="133">
        <f t="shared" ca="1" si="930"/>
        <v>0</v>
      </c>
      <c r="AI944" s="133">
        <f t="shared" ca="1" si="930"/>
        <v>0</v>
      </c>
      <c r="AJ944" s="133">
        <f t="shared" ca="1" si="930"/>
        <v>0</v>
      </c>
      <c r="AK944" s="133">
        <f t="shared" ca="1" si="930"/>
        <v>0</v>
      </c>
      <c r="AL944" s="133">
        <f t="shared" ca="1" si="930"/>
        <v>0</v>
      </c>
      <c r="AM944" s="133">
        <f t="shared" ca="1" si="930"/>
        <v>0</v>
      </c>
      <c r="AN944" s="133">
        <f t="shared" ca="1" si="930"/>
        <v>0</v>
      </c>
      <c r="AO944" s="133">
        <f t="shared" ca="1" si="930"/>
        <v>0</v>
      </c>
      <c r="AP944" s="133">
        <f t="shared" ca="1" si="930"/>
        <v>0</v>
      </c>
      <c r="AQ944" s="133">
        <f t="shared" ca="1" si="930"/>
        <v>0</v>
      </c>
      <c r="AR944" s="133">
        <f t="shared" ca="1" si="930"/>
        <v>0</v>
      </c>
      <c r="AS944" s="133">
        <f t="shared" ca="1" si="930"/>
        <v>0</v>
      </c>
      <c r="AT944" s="133">
        <f t="shared" ca="1" si="930"/>
        <v>0</v>
      </c>
      <c r="AU944" s="133">
        <f t="shared" ca="1" si="930"/>
        <v>0</v>
      </c>
      <c r="AV944" s="133">
        <f t="shared" ca="1" si="930"/>
        <v>0</v>
      </c>
      <c r="AW944" s="133">
        <f t="shared" ca="1" si="930"/>
        <v>0</v>
      </c>
      <c r="AX944" s="133">
        <f t="shared" ca="1" si="930"/>
        <v>0</v>
      </c>
      <c r="AY944" s="133">
        <f t="shared" ca="1" si="930"/>
        <v>0</v>
      </c>
      <c r="AZ944" s="133">
        <f t="shared" ca="1" si="930"/>
        <v>0</v>
      </c>
      <c r="BA944" s="133">
        <f t="shared" ca="1" si="930"/>
        <v>0</v>
      </c>
      <c r="BB944" s="133">
        <f t="shared" ca="1" si="930"/>
        <v>0</v>
      </c>
      <c r="BC944" s="133">
        <f t="shared" ca="1" si="930"/>
        <v>0</v>
      </c>
      <c r="BD944" s="133">
        <f t="shared" ca="1" si="930"/>
        <v>0</v>
      </c>
      <c r="BE944" s="133">
        <f t="shared" ca="1" si="930"/>
        <v>0</v>
      </c>
      <c r="BF944" s="133">
        <f t="shared" ca="1" si="930"/>
        <v>0</v>
      </c>
      <c r="BG944" s="133">
        <f t="shared" ca="1" si="930"/>
        <v>0</v>
      </c>
      <c r="BH944" s="133">
        <f t="shared" ca="1" si="930"/>
        <v>0</v>
      </c>
      <c r="BI944" s="133">
        <f t="shared" ca="1" si="930"/>
        <v>0</v>
      </c>
      <c r="BJ944" s="133">
        <f t="shared" ca="1" si="930"/>
        <v>0</v>
      </c>
      <c r="BK944" s="106"/>
      <c r="BL944" s="106"/>
      <c r="BM944" s="106"/>
      <c r="BN944" s="106"/>
      <c r="BO944" s="106"/>
      <c r="BP944" s="106"/>
      <c r="BQ944" s="106"/>
      <c r="BR944" s="106"/>
      <c r="BS944" s="106"/>
      <c r="BT944" s="106"/>
      <c r="BU944" s="106"/>
      <c r="BV944" s="106"/>
      <c r="BW944"/>
      <c r="BX944" s="106"/>
      <c r="BY944" s="12">
        <f t="shared" ca="1" si="914"/>
        <v>0</v>
      </c>
      <c r="BZ944" s="12">
        <f t="shared" ca="1" si="915"/>
        <v>0</v>
      </c>
      <c r="CA944" s="12">
        <f t="shared" ca="1" si="916"/>
        <v>0</v>
      </c>
      <c r="CB944" s="106"/>
      <c r="CC944" s="106"/>
      <c r="CD944" s="106"/>
      <c r="CE944" s="106"/>
      <c r="CF944" s="106"/>
      <c r="CG944" s="106"/>
      <c r="CH944" s="106"/>
      <c r="CI944" s="106"/>
      <c r="CJ944"/>
      <c r="CK944" s="11"/>
      <c r="CL944"/>
      <c r="CM944" s="11"/>
      <c r="CN944"/>
      <c r="CO944"/>
      <c r="CP944"/>
      <c r="CQ944"/>
      <c r="CR944"/>
      <c r="CS944"/>
      <c r="CT944"/>
      <c r="CU944"/>
      <c r="CV944"/>
      <c r="CW944"/>
      <c r="CX944"/>
      <c r="CY944"/>
      <c r="CZ944"/>
      <c r="DA944"/>
      <c r="DB944"/>
      <c r="DC944"/>
      <c r="DD944"/>
      <c r="DE944"/>
      <c r="DF944" s="11"/>
      <c r="EY944" s="10" t="str">
        <f t="shared" si="921"/>
        <v/>
      </c>
    </row>
    <row r="945" spans="2:155" x14ac:dyDescent="0.35">
      <c r="B945" s="69" t="str" cm="1">
        <f t="array" aca="1" ref="B945" ca="1">HYPERLINK(CONCATENATE("#",CELL("address",$D$322)),$D$322)</f>
        <v>Loan 15</v>
      </c>
      <c r="C945" s="211"/>
      <c r="D945" s="49">
        <f>D$27</f>
        <v>0</v>
      </c>
      <c r="E945" s="49" t="str">
        <f>F$27</f>
        <v/>
      </c>
      <c r="F945" s="49"/>
      <c r="H945" s="9"/>
      <c r="I945" s="40" t="s">
        <v>665</v>
      </c>
      <c r="V945" s="106"/>
      <c r="W945" s="133">
        <f t="shared" ca="1" si="912"/>
        <v>0</v>
      </c>
      <c r="X945" s="133">
        <f t="shared" ca="1" si="912"/>
        <v>0</v>
      </c>
      <c r="Y945" s="133">
        <f t="shared" ca="1" si="912"/>
        <v>0</v>
      </c>
      <c r="AA945" s="133">
        <f t="shared" ref="AA945:BJ945" ca="1" si="931">AA1014-AA922</f>
        <v>0</v>
      </c>
      <c r="AB945" s="133">
        <f t="shared" ca="1" si="931"/>
        <v>0</v>
      </c>
      <c r="AC945" s="133">
        <f t="shared" ca="1" si="931"/>
        <v>0</v>
      </c>
      <c r="AD945" s="133">
        <f t="shared" ca="1" si="931"/>
        <v>0</v>
      </c>
      <c r="AE945" s="133">
        <f t="shared" ca="1" si="931"/>
        <v>0</v>
      </c>
      <c r="AF945" s="133">
        <f t="shared" ca="1" si="931"/>
        <v>0</v>
      </c>
      <c r="AG945" s="133">
        <f t="shared" ca="1" si="931"/>
        <v>0</v>
      </c>
      <c r="AH945" s="133">
        <f t="shared" ca="1" si="931"/>
        <v>0</v>
      </c>
      <c r="AI945" s="133">
        <f t="shared" ca="1" si="931"/>
        <v>0</v>
      </c>
      <c r="AJ945" s="133">
        <f t="shared" ca="1" si="931"/>
        <v>0</v>
      </c>
      <c r="AK945" s="133">
        <f t="shared" ca="1" si="931"/>
        <v>0</v>
      </c>
      <c r="AL945" s="133">
        <f t="shared" ca="1" si="931"/>
        <v>0</v>
      </c>
      <c r="AM945" s="133">
        <f t="shared" ca="1" si="931"/>
        <v>0</v>
      </c>
      <c r="AN945" s="133">
        <f t="shared" ca="1" si="931"/>
        <v>0</v>
      </c>
      <c r="AO945" s="133">
        <f t="shared" ca="1" si="931"/>
        <v>0</v>
      </c>
      <c r="AP945" s="133">
        <f t="shared" ca="1" si="931"/>
        <v>0</v>
      </c>
      <c r="AQ945" s="133">
        <f t="shared" ca="1" si="931"/>
        <v>0</v>
      </c>
      <c r="AR945" s="133">
        <f t="shared" ca="1" si="931"/>
        <v>0</v>
      </c>
      <c r="AS945" s="133">
        <f t="shared" ca="1" si="931"/>
        <v>0</v>
      </c>
      <c r="AT945" s="133">
        <f t="shared" ca="1" si="931"/>
        <v>0</v>
      </c>
      <c r="AU945" s="133">
        <f t="shared" ca="1" si="931"/>
        <v>0</v>
      </c>
      <c r="AV945" s="133">
        <f t="shared" ca="1" si="931"/>
        <v>0</v>
      </c>
      <c r="AW945" s="133">
        <f t="shared" ca="1" si="931"/>
        <v>0</v>
      </c>
      <c r="AX945" s="133">
        <f t="shared" ca="1" si="931"/>
        <v>0</v>
      </c>
      <c r="AY945" s="133">
        <f t="shared" ca="1" si="931"/>
        <v>0</v>
      </c>
      <c r="AZ945" s="133">
        <f t="shared" ca="1" si="931"/>
        <v>0</v>
      </c>
      <c r="BA945" s="133">
        <f t="shared" ca="1" si="931"/>
        <v>0</v>
      </c>
      <c r="BB945" s="133">
        <f t="shared" ca="1" si="931"/>
        <v>0</v>
      </c>
      <c r="BC945" s="133">
        <f t="shared" ca="1" si="931"/>
        <v>0</v>
      </c>
      <c r="BD945" s="133">
        <f t="shared" ca="1" si="931"/>
        <v>0</v>
      </c>
      <c r="BE945" s="133">
        <f t="shared" ca="1" si="931"/>
        <v>0</v>
      </c>
      <c r="BF945" s="133">
        <f t="shared" ca="1" si="931"/>
        <v>0</v>
      </c>
      <c r="BG945" s="133">
        <f t="shared" ca="1" si="931"/>
        <v>0</v>
      </c>
      <c r="BH945" s="133">
        <f t="shared" ca="1" si="931"/>
        <v>0</v>
      </c>
      <c r="BI945" s="133">
        <f t="shared" ca="1" si="931"/>
        <v>0</v>
      </c>
      <c r="BJ945" s="133">
        <f t="shared" ca="1" si="931"/>
        <v>0</v>
      </c>
      <c r="BK945" s="106"/>
      <c r="BL945" s="106"/>
      <c r="BM945" s="106"/>
      <c r="BN945" s="106"/>
      <c r="BO945" s="106"/>
      <c r="BP945" s="106"/>
      <c r="BQ945" s="106"/>
      <c r="BR945" s="106"/>
      <c r="BS945" s="106"/>
      <c r="BT945" s="106"/>
      <c r="BU945" s="106"/>
      <c r="BV945" s="106"/>
      <c r="BX945" s="106"/>
      <c r="BY945" s="12">
        <f t="shared" ca="1" si="914"/>
        <v>0</v>
      </c>
      <c r="BZ945" s="12">
        <f t="shared" ca="1" si="915"/>
        <v>0</v>
      </c>
      <c r="CA945" s="12">
        <f t="shared" ca="1" si="916"/>
        <v>0</v>
      </c>
      <c r="CB945" s="106"/>
      <c r="CC945" s="106"/>
      <c r="CD945" s="106"/>
      <c r="CE945" s="106"/>
      <c r="CF945" s="106"/>
      <c r="CG945" s="106"/>
      <c r="CH945" s="106"/>
      <c r="CI945" s="106"/>
      <c r="CK945" s="11"/>
      <c r="CM945" s="11"/>
      <c r="DF945" s="11"/>
      <c r="EY945" s="10" t="str">
        <f t="shared" si="921"/>
        <v/>
      </c>
    </row>
    <row r="946" spans="2:155" x14ac:dyDescent="0.35">
      <c r="B946" s="69" t="str" cm="1">
        <f t="array" aca="1" ref="B946" ca="1">HYPERLINK(CONCATENATE("#",CELL("address",$D$341)),$D$341)</f>
        <v>Loan 16</v>
      </c>
      <c r="C946" s="211"/>
      <c r="D946" s="49">
        <f>D$28</f>
        <v>0</v>
      </c>
      <c r="E946" s="49" t="str">
        <f>F$28</f>
        <v/>
      </c>
      <c r="F946" s="49"/>
      <c r="H946" s="9"/>
      <c r="I946" s="40" t="s">
        <v>665</v>
      </c>
      <c r="V946" s="106"/>
      <c r="W946" s="133">
        <f t="shared" ca="1" si="912"/>
        <v>0</v>
      </c>
      <c r="X946" s="133">
        <f t="shared" ca="1" si="912"/>
        <v>0</v>
      </c>
      <c r="Y946" s="133">
        <f t="shared" ca="1" si="912"/>
        <v>0</v>
      </c>
      <c r="AA946" s="133">
        <f t="shared" ref="AA946:BJ946" ca="1" si="932">AA1015-AA923</f>
        <v>0</v>
      </c>
      <c r="AB946" s="133">
        <f t="shared" ca="1" si="932"/>
        <v>0</v>
      </c>
      <c r="AC946" s="133">
        <f t="shared" ca="1" si="932"/>
        <v>0</v>
      </c>
      <c r="AD946" s="133">
        <f t="shared" ca="1" si="932"/>
        <v>0</v>
      </c>
      <c r="AE946" s="133">
        <f t="shared" ca="1" si="932"/>
        <v>0</v>
      </c>
      <c r="AF946" s="133">
        <f t="shared" ca="1" si="932"/>
        <v>0</v>
      </c>
      <c r="AG946" s="133">
        <f t="shared" ca="1" si="932"/>
        <v>0</v>
      </c>
      <c r="AH946" s="133">
        <f t="shared" ca="1" si="932"/>
        <v>0</v>
      </c>
      <c r="AI946" s="133">
        <f t="shared" ca="1" si="932"/>
        <v>0</v>
      </c>
      <c r="AJ946" s="133">
        <f t="shared" ca="1" si="932"/>
        <v>0</v>
      </c>
      <c r="AK946" s="133">
        <f t="shared" ca="1" si="932"/>
        <v>0</v>
      </c>
      <c r="AL946" s="133">
        <f t="shared" ca="1" si="932"/>
        <v>0</v>
      </c>
      <c r="AM946" s="133">
        <f t="shared" ca="1" si="932"/>
        <v>0</v>
      </c>
      <c r="AN946" s="133">
        <f t="shared" ca="1" si="932"/>
        <v>0</v>
      </c>
      <c r="AO946" s="133">
        <f t="shared" ca="1" si="932"/>
        <v>0</v>
      </c>
      <c r="AP946" s="133">
        <f t="shared" ca="1" si="932"/>
        <v>0</v>
      </c>
      <c r="AQ946" s="133">
        <f t="shared" ca="1" si="932"/>
        <v>0</v>
      </c>
      <c r="AR946" s="133">
        <f t="shared" ca="1" si="932"/>
        <v>0</v>
      </c>
      <c r="AS946" s="133">
        <f t="shared" ca="1" si="932"/>
        <v>0</v>
      </c>
      <c r="AT946" s="133">
        <f t="shared" ca="1" si="932"/>
        <v>0</v>
      </c>
      <c r="AU946" s="133">
        <f t="shared" ca="1" si="932"/>
        <v>0</v>
      </c>
      <c r="AV946" s="133">
        <f t="shared" ca="1" si="932"/>
        <v>0</v>
      </c>
      <c r="AW946" s="133">
        <f t="shared" ca="1" si="932"/>
        <v>0</v>
      </c>
      <c r="AX946" s="133">
        <f t="shared" ca="1" si="932"/>
        <v>0</v>
      </c>
      <c r="AY946" s="133">
        <f t="shared" ca="1" si="932"/>
        <v>0</v>
      </c>
      <c r="AZ946" s="133">
        <f t="shared" ca="1" si="932"/>
        <v>0</v>
      </c>
      <c r="BA946" s="133">
        <f t="shared" ca="1" si="932"/>
        <v>0</v>
      </c>
      <c r="BB946" s="133">
        <f t="shared" ca="1" si="932"/>
        <v>0</v>
      </c>
      <c r="BC946" s="133">
        <f t="shared" ca="1" si="932"/>
        <v>0</v>
      </c>
      <c r="BD946" s="133">
        <f t="shared" ca="1" si="932"/>
        <v>0</v>
      </c>
      <c r="BE946" s="133">
        <f t="shared" ca="1" si="932"/>
        <v>0</v>
      </c>
      <c r="BF946" s="133">
        <f t="shared" ca="1" si="932"/>
        <v>0</v>
      </c>
      <c r="BG946" s="133">
        <f t="shared" ca="1" si="932"/>
        <v>0</v>
      </c>
      <c r="BH946" s="133">
        <f t="shared" ca="1" si="932"/>
        <v>0</v>
      </c>
      <c r="BI946" s="133">
        <f t="shared" ca="1" si="932"/>
        <v>0</v>
      </c>
      <c r="BJ946" s="133">
        <f t="shared" ca="1" si="932"/>
        <v>0</v>
      </c>
      <c r="BK946" s="106"/>
      <c r="BL946" s="106"/>
      <c r="BM946" s="106"/>
      <c r="BN946" s="106"/>
      <c r="BO946" s="106"/>
      <c r="BP946" s="106"/>
      <c r="BQ946" s="106"/>
      <c r="BR946" s="106"/>
      <c r="BS946" s="106"/>
      <c r="BT946" s="106"/>
      <c r="BU946" s="106"/>
      <c r="BV946" s="106"/>
      <c r="BX946" s="106"/>
      <c r="BY946" s="12">
        <f t="shared" ca="1" si="914"/>
        <v>0</v>
      </c>
      <c r="BZ946" s="12">
        <f t="shared" ca="1" si="915"/>
        <v>0</v>
      </c>
      <c r="CA946" s="12">
        <f t="shared" ca="1" si="916"/>
        <v>0</v>
      </c>
      <c r="CB946" s="106"/>
      <c r="CC946" s="106"/>
      <c r="CD946" s="106"/>
      <c r="CE946" s="106"/>
      <c r="CF946" s="106"/>
      <c r="CG946" s="106"/>
      <c r="CH946" s="106"/>
      <c r="CI946" s="106"/>
      <c r="CK946" s="11"/>
      <c r="CM946" s="11"/>
      <c r="DF946" s="11"/>
      <c r="EY946" s="10" t="str">
        <f t="shared" si="921"/>
        <v/>
      </c>
    </row>
    <row r="947" spans="2:155" x14ac:dyDescent="0.35">
      <c r="B947" s="69" t="str" cm="1">
        <f t="array" aca="1" ref="B947" ca="1">HYPERLINK(CONCATENATE("#",CELL("address",$D$360)),$D$360)</f>
        <v>Loan 17</v>
      </c>
      <c r="C947" s="211"/>
      <c r="D947" s="49">
        <f>D$29</f>
        <v>0</v>
      </c>
      <c r="E947" s="49" t="str">
        <f>F$29</f>
        <v/>
      </c>
      <c r="F947" s="49"/>
      <c r="H947" s="9"/>
      <c r="I947" s="40" t="s">
        <v>665</v>
      </c>
      <c r="V947" s="106"/>
      <c r="W947" s="133">
        <f t="shared" ca="1" si="912"/>
        <v>0</v>
      </c>
      <c r="X947" s="133">
        <f t="shared" ca="1" si="912"/>
        <v>0</v>
      </c>
      <c r="Y947" s="133">
        <f t="shared" ca="1" si="912"/>
        <v>0</v>
      </c>
      <c r="AA947" s="133">
        <f t="shared" ref="AA947:BJ947" ca="1" si="933">AA1016-AA924</f>
        <v>0</v>
      </c>
      <c r="AB947" s="133">
        <f t="shared" ca="1" si="933"/>
        <v>0</v>
      </c>
      <c r="AC947" s="133">
        <f t="shared" ca="1" si="933"/>
        <v>0</v>
      </c>
      <c r="AD947" s="133">
        <f t="shared" ca="1" si="933"/>
        <v>0</v>
      </c>
      <c r="AE947" s="133">
        <f t="shared" ca="1" si="933"/>
        <v>0</v>
      </c>
      <c r="AF947" s="133">
        <f t="shared" ca="1" si="933"/>
        <v>0</v>
      </c>
      <c r="AG947" s="133">
        <f t="shared" ca="1" si="933"/>
        <v>0</v>
      </c>
      <c r="AH947" s="133">
        <f t="shared" ca="1" si="933"/>
        <v>0</v>
      </c>
      <c r="AI947" s="133">
        <f t="shared" ca="1" si="933"/>
        <v>0</v>
      </c>
      <c r="AJ947" s="133">
        <f t="shared" ca="1" si="933"/>
        <v>0</v>
      </c>
      <c r="AK947" s="133">
        <f t="shared" ca="1" si="933"/>
        <v>0</v>
      </c>
      <c r="AL947" s="133">
        <f t="shared" ca="1" si="933"/>
        <v>0</v>
      </c>
      <c r="AM947" s="133">
        <f t="shared" ca="1" si="933"/>
        <v>0</v>
      </c>
      <c r="AN947" s="133">
        <f t="shared" ca="1" si="933"/>
        <v>0</v>
      </c>
      <c r="AO947" s="133">
        <f t="shared" ca="1" si="933"/>
        <v>0</v>
      </c>
      <c r="AP947" s="133">
        <f t="shared" ca="1" si="933"/>
        <v>0</v>
      </c>
      <c r="AQ947" s="133">
        <f t="shared" ca="1" si="933"/>
        <v>0</v>
      </c>
      <c r="AR947" s="133">
        <f t="shared" ca="1" si="933"/>
        <v>0</v>
      </c>
      <c r="AS947" s="133">
        <f t="shared" ca="1" si="933"/>
        <v>0</v>
      </c>
      <c r="AT947" s="133">
        <f t="shared" ca="1" si="933"/>
        <v>0</v>
      </c>
      <c r="AU947" s="133">
        <f t="shared" ca="1" si="933"/>
        <v>0</v>
      </c>
      <c r="AV947" s="133">
        <f t="shared" ca="1" si="933"/>
        <v>0</v>
      </c>
      <c r="AW947" s="133">
        <f t="shared" ca="1" si="933"/>
        <v>0</v>
      </c>
      <c r="AX947" s="133">
        <f t="shared" ca="1" si="933"/>
        <v>0</v>
      </c>
      <c r="AY947" s="133">
        <f t="shared" ca="1" si="933"/>
        <v>0</v>
      </c>
      <c r="AZ947" s="133">
        <f t="shared" ca="1" si="933"/>
        <v>0</v>
      </c>
      <c r="BA947" s="133">
        <f t="shared" ca="1" si="933"/>
        <v>0</v>
      </c>
      <c r="BB947" s="133">
        <f t="shared" ca="1" si="933"/>
        <v>0</v>
      </c>
      <c r="BC947" s="133">
        <f t="shared" ca="1" si="933"/>
        <v>0</v>
      </c>
      <c r="BD947" s="133">
        <f t="shared" ca="1" si="933"/>
        <v>0</v>
      </c>
      <c r="BE947" s="133">
        <f t="shared" ca="1" si="933"/>
        <v>0</v>
      </c>
      <c r="BF947" s="133">
        <f t="shared" ca="1" si="933"/>
        <v>0</v>
      </c>
      <c r="BG947" s="133">
        <f t="shared" ca="1" si="933"/>
        <v>0</v>
      </c>
      <c r="BH947" s="133">
        <f t="shared" ca="1" si="933"/>
        <v>0</v>
      </c>
      <c r="BI947" s="133">
        <f t="shared" ca="1" si="933"/>
        <v>0</v>
      </c>
      <c r="BJ947" s="133">
        <f t="shared" ca="1" si="933"/>
        <v>0</v>
      </c>
      <c r="BK947" s="106"/>
      <c r="BL947" s="106"/>
      <c r="BM947" s="106"/>
      <c r="BN947" s="106"/>
      <c r="BO947" s="106"/>
      <c r="BP947" s="106"/>
      <c r="BQ947" s="106"/>
      <c r="BR947" s="106"/>
      <c r="BS947" s="106"/>
      <c r="BT947" s="106"/>
      <c r="BU947" s="106"/>
      <c r="BV947" s="106"/>
      <c r="BX947" s="106"/>
      <c r="BY947" s="12">
        <f t="shared" ca="1" si="914"/>
        <v>0</v>
      </c>
      <c r="BZ947" s="12">
        <f t="shared" ca="1" si="915"/>
        <v>0</v>
      </c>
      <c r="CA947" s="12">
        <f t="shared" ca="1" si="916"/>
        <v>0</v>
      </c>
      <c r="CB947" s="106"/>
      <c r="CC947" s="106"/>
      <c r="CD947" s="106"/>
      <c r="CE947" s="106"/>
      <c r="CF947" s="106"/>
      <c r="CG947" s="106"/>
      <c r="CH947" s="106"/>
      <c r="CI947" s="106"/>
      <c r="CK947" s="11"/>
      <c r="CM947" s="11"/>
      <c r="DF947" s="11"/>
      <c r="EY947" s="10" t="str">
        <f t="shared" si="921"/>
        <v/>
      </c>
    </row>
    <row r="948" spans="2:155" x14ac:dyDescent="0.35">
      <c r="B948" s="69" t="str" cm="1">
        <f t="array" aca="1" ref="B948" ca="1">HYPERLINK(CONCATENATE("#",CELL("address",$D$379)),$D$379)</f>
        <v>Loan 18</v>
      </c>
      <c r="C948" s="211"/>
      <c r="D948" s="49">
        <f>D$30</f>
        <v>0</v>
      </c>
      <c r="E948" s="49" t="str">
        <f>F$30</f>
        <v/>
      </c>
      <c r="F948" s="49"/>
      <c r="H948" s="9"/>
      <c r="I948" s="40" t="s">
        <v>665</v>
      </c>
      <c r="V948" s="106"/>
      <c r="W948" s="133">
        <f t="shared" ca="1" si="912"/>
        <v>0</v>
      </c>
      <c r="X948" s="133">
        <f t="shared" ca="1" si="912"/>
        <v>0</v>
      </c>
      <c r="Y948" s="133">
        <f t="shared" ca="1" si="912"/>
        <v>0</v>
      </c>
      <c r="AA948" s="133">
        <f t="shared" ref="AA948:BJ948" ca="1" si="934">AA1017-AA925</f>
        <v>0</v>
      </c>
      <c r="AB948" s="133">
        <f t="shared" ca="1" si="934"/>
        <v>0</v>
      </c>
      <c r="AC948" s="133">
        <f t="shared" ca="1" si="934"/>
        <v>0</v>
      </c>
      <c r="AD948" s="133">
        <f t="shared" ca="1" si="934"/>
        <v>0</v>
      </c>
      <c r="AE948" s="133">
        <f t="shared" ca="1" si="934"/>
        <v>0</v>
      </c>
      <c r="AF948" s="133">
        <f t="shared" ca="1" si="934"/>
        <v>0</v>
      </c>
      <c r="AG948" s="133">
        <f t="shared" ca="1" si="934"/>
        <v>0</v>
      </c>
      <c r="AH948" s="133">
        <f t="shared" ca="1" si="934"/>
        <v>0</v>
      </c>
      <c r="AI948" s="133">
        <f t="shared" ca="1" si="934"/>
        <v>0</v>
      </c>
      <c r="AJ948" s="133">
        <f t="shared" ca="1" si="934"/>
        <v>0</v>
      </c>
      <c r="AK948" s="133">
        <f t="shared" ca="1" si="934"/>
        <v>0</v>
      </c>
      <c r="AL948" s="133">
        <f t="shared" ca="1" si="934"/>
        <v>0</v>
      </c>
      <c r="AM948" s="133">
        <f t="shared" ca="1" si="934"/>
        <v>0</v>
      </c>
      <c r="AN948" s="133">
        <f t="shared" ca="1" si="934"/>
        <v>0</v>
      </c>
      <c r="AO948" s="133">
        <f t="shared" ca="1" si="934"/>
        <v>0</v>
      </c>
      <c r="AP948" s="133">
        <f t="shared" ca="1" si="934"/>
        <v>0</v>
      </c>
      <c r="AQ948" s="133">
        <f t="shared" ca="1" si="934"/>
        <v>0</v>
      </c>
      <c r="AR948" s="133">
        <f t="shared" ca="1" si="934"/>
        <v>0</v>
      </c>
      <c r="AS948" s="133">
        <f t="shared" ca="1" si="934"/>
        <v>0</v>
      </c>
      <c r="AT948" s="133">
        <f t="shared" ca="1" si="934"/>
        <v>0</v>
      </c>
      <c r="AU948" s="133">
        <f t="shared" ca="1" si="934"/>
        <v>0</v>
      </c>
      <c r="AV948" s="133">
        <f t="shared" ca="1" si="934"/>
        <v>0</v>
      </c>
      <c r="AW948" s="133">
        <f t="shared" ca="1" si="934"/>
        <v>0</v>
      </c>
      <c r="AX948" s="133">
        <f t="shared" ca="1" si="934"/>
        <v>0</v>
      </c>
      <c r="AY948" s="133">
        <f t="shared" ca="1" si="934"/>
        <v>0</v>
      </c>
      <c r="AZ948" s="133">
        <f t="shared" ca="1" si="934"/>
        <v>0</v>
      </c>
      <c r="BA948" s="133">
        <f t="shared" ca="1" si="934"/>
        <v>0</v>
      </c>
      <c r="BB948" s="133">
        <f t="shared" ca="1" si="934"/>
        <v>0</v>
      </c>
      <c r="BC948" s="133">
        <f t="shared" ca="1" si="934"/>
        <v>0</v>
      </c>
      <c r="BD948" s="133">
        <f t="shared" ca="1" si="934"/>
        <v>0</v>
      </c>
      <c r="BE948" s="133">
        <f t="shared" ca="1" si="934"/>
        <v>0</v>
      </c>
      <c r="BF948" s="133">
        <f t="shared" ca="1" si="934"/>
        <v>0</v>
      </c>
      <c r="BG948" s="133">
        <f t="shared" ca="1" si="934"/>
        <v>0</v>
      </c>
      <c r="BH948" s="133">
        <f t="shared" ca="1" si="934"/>
        <v>0</v>
      </c>
      <c r="BI948" s="133">
        <f t="shared" ca="1" si="934"/>
        <v>0</v>
      </c>
      <c r="BJ948" s="133">
        <f t="shared" ca="1" si="934"/>
        <v>0</v>
      </c>
      <c r="BK948" s="106"/>
      <c r="BL948" s="106"/>
      <c r="BM948" s="106"/>
      <c r="BN948" s="106"/>
      <c r="BO948" s="106"/>
      <c r="BP948" s="106"/>
      <c r="BQ948" s="106"/>
      <c r="BR948" s="106"/>
      <c r="BS948" s="106"/>
      <c r="BT948" s="106"/>
      <c r="BU948" s="106"/>
      <c r="BV948" s="106"/>
      <c r="BX948" s="106"/>
      <c r="BY948" s="12">
        <f t="shared" ca="1" si="914"/>
        <v>0</v>
      </c>
      <c r="BZ948" s="12">
        <f t="shared" ca="1" si="915"/>
        <v>0</v>
      </c>
      <c r="CA948" s="12">
        <f t="shared" ca="1" si="916"/>
        <v>0</v>
      </c>
      <c r="CB948" s="106"/>
      <c r="CC948" s="106"/>
      <c r="CD948" s="106"/>
      <c r="CE948" s="106"/>
      <c r="CF948" s="106"/>
      <c r="CG948" s="106"/>
      <c r="CH948" s="106"/>
      <c r="CI948" s="106"/>
      <c r="CK948" s="11"/>
      <c r="CM948" s="11"/>
      <c r="DF948" s="11"/>
      <c r="EY948" s="10" t="str">
        <f t="shared" si="921"/>
        <v/>
      </c>
    </row>
    <row r="949" spans="2:155" x14ac:dyDescent="0.35">
      <c r="B949" s="69" t="str" cm="1">
        <f t="array" aca="1" ref="B949" ca="1">HYPERLINK(CONCATENATE("#",CELL("address",$D$398)),$D$398)</f>
        <v>Loan 19</v>
      </c>
      <c r="C949" s="211"/>
      <c r="D949" s="49">
        <f>D$31</f>
        <v>0</v>
      </c>
      <c r="E949" s="49" t="str">
        <f>F$31</f>
        <v/>
      </c>
      <c r="F949" s="49"/>
      <c r="H949" s="9"/>
      <c r="I949" s="40" t="s">
        <v>665</v>
      </c>
      <c r="V949" s="106"/>
      <c r="W949" s="133">
        <f t="shared" ca="1" si="912"/>
        <v>0</v>
      </c>
      <c r="X949" s="133">
        <f t="shared" ca="1" si="912"/>
        <v>0</v>
      </c>
      <c r="Y949" s="133">
        <f t="shared" ca="1" si="912"/>
        <v>0</v>
      </c>
      <c r="AA949" s="133">
        <f t="shared" ref="AA949:BJ949" ca="1" si="935">AA1018-AA926</f>
        <v>0</v>
      </c>
      <c r="AB949" s="133">
        <f t="shared" ca="1" si="935"/>
        <v>0</v>
      </c>
      <c r="AC949" s="133">
        <f t="shared" ca="1" si="935"/>
        <v>0</v>
      </c>
      <c r="AD949" s="133">
        <f t="shared" ca="1" si="935"/>
        <v>0</v>
      </c>
      <c r="AE949" s="133">
        <f t="shared" ca="1" si="935"/>
        <v>0</v>
      </c>
      <c r="AF949" s="133">
        <f t="shared" ca="1" si="935"/>
        <v>0</v>
      </c>
      <c r="AG949" s="133">
        <f t="shared" ca="1" si="935"/>
        <v>0</v>
      </c>
      <c r="AH949" s="133">
        <f t="shared" ca="1" si="935"/>
        <v>0</v>
      </c>
      <c r="AI949" s="133">
        <f t="shared" ca="1" si="935"/>
        <v>0</v>
      </c>
      <c r="AJ949" s="133">
        <f t="shared" ca="1" si="935"/>
        <v>0</v>
      </c>
      <c r="AK949" s="133">
        <f t="shared" ca="1" si="935"/>
        <v>0</v>
      </c>
      <c r="AL949" s="133">
        <f t="shared" ca="1" si="935"/>
        <v>0</v>
      </c>
      <c r="AM949" s="133">
        <f t="shared" ca="1" si="935"/>
        <v>0</v>
      </c>
      <c r="AN949" s="133">
        <f t="shared" ca="1" si="935"/>
        <v>0</v>
      </c>
      <c r="AO949" s="133">
        <f t="shared" ca="1" si="935"/>
        <v>0</v>
      </c>
      <c r="AP949" s="133">
        <f t="shared" ca="1" si="935"/>
        <v>0</v>
      </c>
      <c r="AQ949" s="133">
        <f t="shared" ca="1" si="935"/>
        <v>0</v>
      </c>
      <c r="AR949" s="133">
        <f t="shared" ca="1" si="935"/>
        <v>0</v>
      </c>
      <c r="AS949" s="133">
        <f t="shared" ca="1" si="935"/>
        <v>0</v>
      </c>
      <c r="AT949" s="133">
        <f t="shared" ca="1" si="935"/>
        <v>0</v>
      </c>
      <c r="AU949" s="133">
        <f t="shared" ca="1" si="935"/>
        <v>0</v>
      </c>
      <c r="AV949" s="133">
        <f t="shared" ca="1" si="935"/>
        <v>0</v>
      </c>
      <c r="AW949" s="133">
        <f t="shared" ca="1" si="935"/>
        <v>0</v>
      </c>
      <c r="AX949" s="133">
        <f t="shared" ca="1" si="935"/>
        <v>0</v>
      </c>
      <c r="AY949" s="133">
        <f t="shared" ca="1" si="935"/>
        <v>0</v>
      </c>
      <c r="AZ949" s="133">
        <f t="shared" ca="1" si="935"/>
        <v>0</v>
      </c>
      <c r="BA949" s="133">
        <f t="shared" ca="1" si="935"/>
        <v>0</v>
      </c>
      <c r="BB949" s="133">
        <f t="shared" ca="1" si="935"/>
        <v>0</v>
      </c>
      <c r="BC949" s="133">
        <f t="shared" ca="1" si="935"/>
        <v>0</v>
      </c>
      <c r="BD949" s="133">
        <f t="shared" ca="1" si="935"/>
        <v>0</v>
      </c>
      <c r="BE949" s="133">
        <f t="shared" ca="1" si="935"/>
        <v>0</v>
      </c>
      <c r="BF949" s="133">
        <f t="shared" ca="1" si="935"/>
        <v>0</v>
      </c>
      <c r="BG949" s="133">
        <f t="shared" ca="1" si="935"/>
        <v>0</v>
      </c>
      <c r="BH949" s="133">
        <f t="shared" ca="1" si="935"/>
        <v>0</v>
      </c>
      <c r="BI949" s="133">
        <f t="shared" ca="1" si="935"/>
        <v>0</v>
      </c>
      <c r="BJ949" s="133">
        <f t="shared" ca="1" si="935"/>
        <v>0</v>
      </c>
      <c r="BK949" s="106"/>
      <c r="BL949" s="106"/>
      <c r="BM949" s="106"/>
      <c r="BN949" s="106"/>
      <c r="BO949" s="106"/>
      <c r="BP949" s="106"/>
      <c r="BQ949" s="106"/>
      <c r="BR949" s="106"/>
      <c r="BS949" s="106"/>
      <c r="BT949" s="106"/>
      <c r="BU949" s="106"/>
      <c r="BV949" s="106"/>
      <c r="BX949" s="106"/>
      <c r="BY949" s="12">
        <f t="shared" ca="1" si="914"/>
        <v>0</v>
      </c>
      <c r="BZ949" s="12">
        <f t="shared" ca="1" si="915"/>
        <v>0</v>
      </c>
      <c r="CA949" s="12">
        <f t="shared" ca="1" si="916"/>
        <v>0</v>
      </c>
      <c r="CB949" s="106"/>
      <c r="CC949" s="106"/>
      <c r="CD949" s="106"/>
      <c r="CE949" s="106"/>
      <c r="CF949" s="106"/>
      <c r="CG949" s="106"/>
      <c r="CH949" s="106"/>
      <c r="CI949" s="106"/>
      <c r="CK949" s="11"/>
      <c r="CM949" s="11"/>
      <c r="DF949" s="11"/>
      <c r="EY949" s="10" t="str">
        <f t="shared" si="921"/>
        <v/>
      </c>
    </row>
    <row r="950" spans="2:155" x14ac:dyDescent="0.35">
      <c r="B950" s="69" t="str" cm="1">
        <f t="array" aca="1" ref="B950" ca="1">HYPERLINK(CONCATENATE("#",CELL("address",$D$417)),$D$417)</f>
        <v>Loan 20</v>
      </c>
      <c r="C950" s="211"/>
      <c r="D950" s="49">
        <f>D$32</f>
        <v>0</v>
      </c>
      <c r="E950" s="49" t="str">
        <f>F$32</f>
        <v/>
      </c>
      <c r="F950" s="49"/>
      <c r="H950" s="9"/>
      <c r="I950" s="40" t="s">
        <v>665</v>
      </c>
      <c r="V950" s="106"/>
      <c r="W950" s="133">
        <f t="shared" ca="1" si="912"/>
        <v>0</v>
      </c>
      <c r="X950" s="133">
        <f t="shared" ca="1" si="912"/>
        <v>0</v>
      </c>
      <c r="Y950" s="133">
        <f t="shared" ca="1" si="912"/>
        <v>0</v>
      </c>
      <c r="AA950" s="133">
        <f t="shared" ref="AA950:BJ950" ca="1" si="936">AA1019-AA927</f>
        <v>0</v>
      </c>
      <c r="AB950" s="133">
        <f t="shared" ca="1" si="936"/>
        <v>0</v>
      </c>
      <c r="AC950" s="133">
        <f t="shared" ca="1" si="936"/>
        <v>0</v>
      </c>
      <c r="AD950" s="133">
        <f t="shared" ca="1" si="936"/>
        <v>0</v>
      </c>
      <c r="AE950" s="133">
        <f t="shared" ca="1" si="936"/>
        <v>0</v>
      </c>
      <c r="AF950" s="133">
        <f t="shared" ca="1" si="936"/>
        <v>0</v>
      </c>
      <c r="AG950" s="133">
        <f t="shared" ca="1" si="936"/>
        <v>0</v>
      </c>
      <c r="AH950" s="133">
        <f t="shared" ca="1" si="936"/>
        <v>0</v>
      </c>
      <c r="AI950" s="133">
        <f t="shared" ca="1" si="936"/>
        <v>0</v>
      </c>
      <c r="AJ950" s="133">
        <f t="shared" ca="1" si="936"/>
        <v>0</v>
      </c>
      <c r="AK950" s="133">
        <f t="shared" ca="1" si="936"/>
        <v>0</v>
      </c>
      <c r="AL950" s="133">
        <f t="shared" ca="1" si="936"/>
        <v>0</v>
      </c>
      <c r="AM950" s="133">
        <f t="shared" ca="1" si="936"/>
        <v>0</v>
      </c>
      <c r="AN950" s="133">
        <f t="shared" ca="1" si="936"/>
        <v>0</v>
      </c>
      <c r="AO950" s="133">
        <f t="shared" ca="1" si="936"/>
        <v>0</v>
      </c>
      <c r="AP950" s="133">
        <f t="shared" ca="1" si="936"/>
        <v>0</v>
      </c>
      <c r="AQ950" s="133">
        <f t="shared" ca="1" si="936"/>
        <v>0</v>
      </c>
      <c r="AR950" s="133">
        <f t="shared" ca="1" si="936"/>
        <v>0</v>
      </c>
      <c r="AS950" s="133">
        <f t="shared" ca="1" si="936"/>
        <v>0</v>
      </c>
      <c r="AT950" s="133">
        <f t="shared" ca="1" si="936"/>
        <v>0</v>
      </c>
      <c r="AU950" s="133">
        <f t="shared" ca="1" si="936"/>
        <v>0</v>
      </c>
      <c r="AV950" s="133">
        <f t="shared" ca="1" si="936"/>
        <v>0</v>
      </c>
      <c r="AW950" s="133">
        <f t="shared" ca="1" si="936"/>
        <v>0</v>
      </c>
      <c r="AX950" s="133">
        <f t="shared" ca="1" si="936"/>
        <v>0</v>
      </c>
      <c r="AY950" s="133">
        <f t="shared" ca="1" si="936"/>
        <v>0</v>
      </c>
      <c r="AZ950" s="133">
        <f t="shared" ca="1" si="936"/>
        <v>0</v>
      </c>
      <c r="BA950" s="133">
        <f t="shared" ca="1" si="936"/>
        <v>0</v>
      </c>
      <c r="BB950" s="133">
        <f t="shared" ca="1" si="936"/>
        <v>0</v>
      </c>
      <c r="BC950" s="133">
        <f t="shared" ca="1" si="936"/>
        <v>0</v>
      </c>
      <c r="BD950" s="133">
        <f t="shared" ca="1" si="936"/>
        <v>0</v>
      </c>
      <c r="BE950" s="133">
        <f t="shared" ca="1" si="936"/>
        <v>0</v>
      </c>
      <c r="BF950" s="133">
        <f t="shared" ca="1" si="936"/>
        <v>0</v>
      </c>
      <c r="BG950" s="133">
        <f t="shared" ca="1" si="936"/>
        <v>0</v>
      </c>
      <c r="BH950" s="133">
        <f t="shared" ca="1" si="936"/>
        <v>0</v>
      </c>
      <c r="BI950" s="133">
        <f t="shared" ca="1" si="936"/>
        <v>0</v>
      </c>
      <c r="BJ950" s="133">
        <f t="shared" ca="1" si="936"/>
        <v>0</v>
      </c>
      <c r="BK950" s="106"/>
      <c r="BL950" s="106"/>
      <c r="BM950" s="106"/>
      <c r="BN950" s="106"/>
      <c r="BO950" s="106"/>
      <c r="BP950" s="106"/>
      <c r="BQ950" s="106"/>
      <c r="BR950" s="106"/>
      <c r="BS950" s="106"/>
      <c r="BT950" s="106"/>
      <c r="BU950" s="106"/>
      <c r="BV950" s="106"/>
      <c r="BX950" s="106"/>
      <c r="BY950" s="12">
        <f t="shared" ca="1" si="914"/>
        <v>0</v>
      </c>
      <c r="BZ950" s="12">
        <f t="shared" ca="1" si="915"/>
        <v>0</v>
      </c>
      <c r="CA950" s="12">
        <f t="shared" ca="1" si="916"/>
        <v>0</v>
      </c>
      <c r="CB950" s="106"/>
      <c r="CC950" s="106"/>
      <c r="CD950" s="106"/>
      <c r="CE950" s="106"/>
      <c r="CF950" s="106"/>
      <c r="CG950" s="106"/>
      <c r="CH950" s="106"/>
      <c r="CI950" s="106"/>
      <c r="CK950" s="11"/>
      <c r="CM950" s="11"/>
      <c r="DF950" s="11"/>
      <c r="EY950" s="10" t="str">
        <f t="shared" si="921"/>
        <v/>
      </c>
    </row>
    <row r="951" spans="2:155" ht="6.75" customHeight="1" x14ac:dyDescent="0.35">
      <c r="C951" s="211"/>
      <c r="D951" s="1"/>
      <c r="E951"/>
      <c r="F951"/>
      <c r="BY951" s="6"/>
      <c r="CK951" s="35"/>
      <c r="CM951" s="35"/>
      <c r="DF951" s="35"/>
      <c r="EY951" s="10" t="str">
        <f t="shared" si="921"/>
        <v/>
      </c>
    </row>
    <row r="952" spans="2:155" ht="29" x14ac:dyDescent="0.35">
      <c r="C952" s="211"/>
      <c r="D952" s="50" t="s">
        <v>1313</v>
      </c>
      <c r="E952"/>
      <c r="F952"/>
      <c r="CK952" s="11"/>
      <c r="CM952" s="11"/>
      <c r="DF952" s="11"/>
      <c r="EY952" s="10" t="str">
        <f t="shared" si="921"/>
        <v/>
      </c>
    </row>
    <row r="953" spans="2:155" x14ac:dyDescent="0.35">
      <c r="B953" s="107" t="s">
        <v>1229</v>
      </c>
      <c r="C953" s="211"/>
      <c r="D953" s="5" t="str">
        <f>D$11</f>
        <v>Lender</v>
      </c>
      <c r="E953" s="5" t="str">
        <f>E$11</f>
        <v>Loan Category</v>
      </c>
      <c r="F953" s="5"/>
      <c r="AA953" s="126" t="s">
        <v>122</v>
      </c>
      <c r="CK953" s="11"/>
      <c r="CM953" s="11"/>
      <c r="DF953" s="11"/>
      <c r="EY953" s="10" t="str">
        <f t="shared" si="921"/>
        <v/>
      </c>
    </row>
    <row r="954" spans="2:155" x14ac:dyDescent="0.35">
      <c r="B954" s="69" t="str" cm="1">
        <f t="array" aca="1" ref="B954" ca="1">HYPERLINK(CONCATENATE("#",CELL("address",$D$56)),$D$56)</f>
        <v>Loan 1</v>
      </c>
      <c r="C954" s="211" t="s">
        <v>1314</v>
      </c>
      <c r="D954" s="49">
        <f>D$13</f>
        <v>0</v>
      </c>
      <c r="E954" s="49" t="str">
        <f>F$13</f>
        <v/>
      </c>
      <c r="F954" s="49"/>
      <c r="H954" s="9"/>
      <c r="I954" s="40" t="s">
        <v>665</v>
      </c>
      <c r="J954" s="54"/>
      <c r="V954" s="106"/>
      <c r="W954" s="133">
        <f t="shared" ref="W954:Y973" ca="1" si="937">INDEX($AA954:$BV954, MATCH(W$5, $AA$5:$BV$5, 0))</f>
        <v>0</v>
      </c>
      <c r="X954" s="133">
        <f t="shared" ca="1" si="937"/>
        <v>0</v>
      </c>
      <c r="Y954" s="133">
        <f t="shared" ca="1" si="937"/>
        <v>0</v>
      </c>
      <c r="AA954" s="133">
        <f ca="1">AA908+AA931*Timeline!AA367</f>
        <v>0</v>
      </c>
      <c r="AB954" s="133">
        <f ca="1">AB908+AB931*Timeline!AB367</f>
        <v>0</v>
      </c>
      <c r="AC954" s="133">
        <f ca="1">AC908+AC931*Timeline!AC367</f>
        <v>0</v>
      </c>
      <c r="AD954" s="133">
        <f ca="1">AD908+AD931*Timeline!AD367</f>
        <v>0</v>
      </c>
      <c r="AE954" s="133">
        <f ca="1">AE908+AE931*Timeline!AE367</f>
        <v>0</v>
      </c>
      <c r="AF954" s="133">
        <f ca="1">AF908+AF931*Timeline!AF367</f>
        <v>0</v>
      </c>
      <c r="AG954" s="133">
        <f ca="1">AG908+AG931*Timeline!AG367</f>
        <v>0</v>
      </c>
      <c r="AH954" s="133">
        <f ca="1">AH908+AH931*Timeline!AH367</f>
        <v>0</v>
      </c>
      <c r="AI954" s="133">
        <f ca="1">AI908+AI931*Timeline!AI367</f>
        <v>0</v>
      </c>
      <c r="AJ954" s="133">
        <f ca="1">AJ908+AJ931*Timeline!AJ367</f>
        <v>0</v>
      </c>
      <c r="AK954" s="133">
        <f ca="1">AK908+AK931*Timeline!AK367</f>
        <v>0</v>
      </c>
      <c r="AL954" s="133">
        <f ca="1">AL908+AL931*Timeline!AL367</f>
        <v>0</v>
      </c>
      <c r="AM954" s="133">
        <f ca="1">AM908+AM931*Timeline!AM367</f>
        <v>0</v>
      </c>
      <c r="AN954" s="133">
        <f ca="1">AN908+AN931*Timeline!AN367</f>
        <v>0</v>
      </c>
      <c r="AO954" s="133">
        <f ca="1">AO908+AO931*Timeline!AO367</f>
        <v>0</v>
      </c>
      <c r="AP954" s="133">
        <f ca="1">AP908+AP931*Timeline!AP367</f>
        <v>0</v>
      </c>
      <c r="AQ954" s="133">
        <f ca="1">AQ908+AQ931*Timeline!AQ367</f>
        <v>0</v>
      </c>
      <c r="AR954" s="133">
        <f ca="1">AR908+AR931*Timeline!AR367</f>
        <v>0</v>
      </c>
      <c r="AS954" s="133">
        <f ca="1">AS908+AS931*Timeline!AS367</f>
        <v>0</v>
      </c>
      <c r="AT954" s="133">
        <f ca="1">AT908+AT931*Timeline!AT367</f>
        <v>0</v>
      </c>
      <c r="AU954" s="133">
        <f ca="1">AU908+AU931*Timeline!AU367</f>
        <v>0</v>
      </c>
      <c r="AV954" s="133">
        <f ca="1">AV908+AV931*Timeline!AV367</f>
        <v>0</v>
      </c>
      <c r="AW954" s="133">
        <f ca="1">AW908+AW931*Timeline!AW367</f>
        <v>0</v>
      </c>
      <c r="AX954" s="133">
        <f ca="1">AX908+AX931*Timeline!AX367</f>
        <v>0</v>
      </c>
      <c r="AY954" s="133">
        <f ca="1">AY908+AY931*Timeline!AY367</f>
        <v>0</v>
      </c>
      <c r="AZ954" s="133">
        <f ca="1">AZ908+AZ931*Timeline!AZ367</f>
        <v>0</v>
      </c>
      <c r="BA954" s="133">
        <f ca="1">BA908+BA931*Timeline!BA367</f>
        <v>0</v>
      </c>
      <c r="BB954" s="133">
        <f ca="1">BB908+BB931*Timeline!BB367</f>
        <v>0</v>
      </c>
      <c r="BC954" s="133">
        <f ca="1">BC908+BC931*Timeline!BC367</f>
        <v>0</v>
      </c>
      <c r="BD954" s="133">
        <f ca="1">BD908+BD931*Timeline!BD367</f>
        <v>0</v>
      </c>
      <c r="BE954" s="133">
        <f ca="1">BE908+BE931*Timeline!BE367</f>
        <v>0</v>
      </c>
      <c r="BF954" s="133">
        <f ca="1">BF908+BF931*Timeline!BF367</f>
        <v>0</v>
      </c>
      <c r="BG954" s="133">
        <f ca="1">BG908+BG931*Timeline!BG367</f>
        <v>0</v>
      </c>
      <c r="BH954" s="133">
        <f ca="1">BH908+BH931*Timeline!BH367</f>
        <v>0</v>
      </c>
      <c r="BI954" s="133">
        <f ca="1">BI908+BI931*Timeline!BI367</f>
        <v>0</v>
      </c>
      <c r="BJ954" s="133">
        <f ca="1">BJ908+BJ931*Timeline!BJ367</f>
        <v>0</v>
      </c>
      <c r="BK954" s="106"/>
      <c r="BL954" s="106"/>
      <c r="BM954" s="106"/>
      <c r="BN954" s="106"/>
      <c r="BO954" s="106"/>
      <c r="BP954" s="106"/>
      <c r="BQ954" s="106"/>
      <c r="BR954" s="106"/>
      <c r="BS954" s="106"/>
      <c r="BT954" s="106"/>
      <c r="BU954" s="106"/>
      <c r="BV954" s="106"/>
      <c r="BX954" s="106"/>
      <c r="BY954" s="12">
        <f t="shared" ref="BY954:BY973" ca="1" si="938">W954</f>
        <v>0</v>
      </c>
      <c r="BZ954" s="12">
        <f t="shared" ref="BZ954:BZ973" ca="1" si="939">X954</f>
        <v>0</v>
      </c>
      <c r="CA954" s="12">
        <f t="shared" ref="CA954:CA973" ca="1" si="940">Y954</f>
        <v>0</v>
      </c>
      <c r="CB954" s="106"/>
      <c r="CC954" s="106"/>
      <c r="CD954" s="106"/>
      <c r="CE954" s="106"/>
      <c r="CF954" s="106"/>
      <c r="CG954" s="106"/>
      <c r="CH954" s="106"/>
      <c r="CI954" s="106"/>
      <c r="CK954" s="11"/>
      <c r="CM954" s="11"/>
      <c r="DF954" s="11"/>
      <c r="EY954" s="12" t="str">
        <f t="shared" ref="EY954:EY973" ca="1" si="941">IF($C954="","",CONCATENATE(D$952," ", $B954))</f>
        <v>Amount Due Within One Year after Covenant Breach Adjustment Loan 1</v>
      </c>
    </row>
    <row r="955" spans="2:155" x14ac:dyDescent="0.35">
      <c r="B955" s="69" t="str" cm="1">
        <f t="array" aca="1" ref="B955" ca="1">HYPERLINK(CONCATENATE("#",CELL("address",$D$75)),$D$75)</f>
        <v>Loan 2</v>
      </c>
      <c r="C955" s="211" t="s">
        <v>1315</v>
      </c>
      <c r="D955" s="49">
        <f>D$14</f>
        <v>0</v>
      </c>
      <c r="E955" s="49" t="str">
        <f>F$14</f>
        <v/>
      </c>
      <c r="F955" s="49"/>
      <c r="H955" s="9"/>
      <c r="I955" s="40" t="s">
        <v>665</v>
      </c>
      <c r="V955" s="106"/>
      <c r="W955" s="133">
        <f t="shared" ca="1" si="937"/>
        <v>0</v>
      </c>
      <c r="X955" s="133">
        <f t="shared" ca="1" si="937"/>
        <v>0</v>
      </c>
      <c r="Y955" s="133">
        <f t="shared" ca="1" si="937"/>
        <v>0</v>
      </c>
      <c r="AA955" s="133">
        <f ca="1">AA909+AA932*Timeline!AA368</f>
        <v>0</v>
      </c>
      <c r="AB955" s="133">
        <f ca="1">AB909+AB932*Timeline!AB368</f>
        <v>0</v>
      </c>
      <c r="AC955" s="133">
        <f ca="1">AC909+AC932*Timeline!AC368</f>
        <v>0</v>
      </c>
      <c r="AD955" s="133">
        <f ca="1">AD909+AD932*Timeline!AD368</f>
        <v>0</v>
      </c>
      <c r="AE955" s="133">
        <f ca="1">AE909+AE932*Timeline!AE368</f>
        <v>0</v>
      </c>
      <c r="AF955" s="133">
        <f ca="1">AF909+AF932*Timeline!AF368</f>
        <v>0</v>
      </c>
      <c r="AG955" s="133">
        <f ca="1">AG909+AG932*Timeline!AG368</f>
        <v>0</v>
      </c>
      <c r="AH955" s="133">
        <f ca="1">AH909+AH932*Timeline!AH368</f>
        <v>0</v>
      </c>
      <c r="AI955" s="133">
        <f ca="1">AI909+AI932*Timeline!AI368</f>
        <v>0</v>
      </c>
      <c r="AJ955" s="133">
        <f ca="1">AJ909+AJ932*Timeline!AJ368</f>
        <v>0</v>
      </c>
      <c r="AK955" s="133">
        <f ca="1">AK909+AK932*Timeline!AK368</f>
        <v>0</v>
      </c>
      <c r="AL955" s="133">
        <f ca="1">AL909+AL932*Timeline!AL368</f>
        <v>0</v>
      </c>
      <c r="AM955" s="133">
        <f ca="1">AM909+AM932*Timeline!AM368</f>
        <v>0</v>
      </c>
      <c r="AN955" s="133">
        <f ca="1">AN909+AN932*Timeline!AN368</f>
        <v>0</v>
      </c>
      <c r="AO955" s="133">
        <f ca="1">AO909+AO932*Timeline!AO368</f>
        <v>0</v>
      </c>
      <c r="AP955" s="133">
        <f ca="1">AP909+AP932*Timeline!AP368</f>
        <v>0</v>
      </c>
      <c r="AQ955" s="133">
        <f ca="1">AQ909+AQ932*Timeline!AQ368</f>
        <v>0</v>
      </c>
      <c r="AR955" s="133">
        <f ca="1">AR909+AR932*Timeline!AR368</f>
        <v>0</v>
      </c>
      <c r="AS955" s="133">
        <f ca="1">AS909+AS932*Timeline!AS368</f>
        <v>0</v>
      </c>
      <c r="AT955" s="133">
        <f ca="1">AT909+AT932*Timeline!AT368</f>
        <v>0</v>
      </c>
      <c r="AU955" s="133">
        <f ca="1">AU909+AU932*Timeline!AU368</f>
        <v>0</v>
      </c>
      <c r="AV955" s="133">
        <f ca="1">AV909+AV932*Timeline!AV368</f>
        <v>0</v>
      </c>
      <c r="AW955" s="133">
        <f ca="1">AW909+AW932*Timeline!AW368</f>
        <v>0</v>
      </c>
      <c r="AX955" s="133">
        <f ca="1">AX909+AX932*Timeline!AX368</f>
        <v>0</v>
      </c>
      <c r="AY955" s="133">
        <f ca="1">AY909+AY932*Timeline!AY368</f>
        <v>0</v>
      </c>
      <c r="AZ955" s="133">
        <f ca="1">AZ909+AZ932*Timeline!AZ368</f>
        <v>0</v>
      </c>
      <c r="BA955" s="133">
        <f ca="1">BA909+BA932*Timeline!BA368</f>
        <v>0</v>
      </c>
      <c r="BB955" s="133">
        <f ca="1">BB909+BB932*Timeline!BB368</f>
        <v>0</v>
      </c>
      <c r="BC955" s="133">
        <f ca="1">BC909+BC932*Timeline!BC368</f>
        <v>0</v>
      </c>
      <c r="BD955" s="133">
        <f ca="1">BD909+BD932*Timeline!BD368</f>
        <v>0</v>
      </c>
      <c r="BE955" s="133">
        <f ca="1">BE909+BE932*Timeline!BE368</f>
        <v>0</v>
      </c>
      <c r="BF955" s="133">
        <f ca="1">BF909+BF932*Timeline!BF368</f>
        <v>0</v>
      </c>
      <c r="BG955" s="133">
        <f ca="1">BG909+BG932*Timeline!BG368</f>
        <v>0</v>
      </c>
      <c r="BH955" s="133">
        <f ca="1">BH909+BH932*Timeline!BH368</f>
        <v>0</v>
      </c>
      <c r="BI955" s="133">
        <f ca="1">BI909+BI932*Timeline!BI368</f>
        <v>0</v>
      </c>
      <c r="BJ955" s="133">
        <f ca="1">BJ909+BJ932*Timeline!BJ368</f>
        <v>0</v>
      </c>
      <c r="BK955" s="106"/>
      <c r="BL955" s="106"/>
      <c r="BM955" s="106"/>
      <c r="BN955" s="106"/>
      <c r="BO955" s="106"/>
      <c r="BP955" s="106"/>
      <c r="BQ955" s="106"/>
      <c r="BR955" s="106"/>
      <c r="BS955" s="106"/>
      <c r="BT955" s="106"/>
      <c r="BU955" s="106"/>
      <c r="BV955" s="106"/>
      <c r="BX955" s="106"/>
      <c r="BY955" s="12">
        <f t="shared" ca="1" si="938"/>
        <v>0</v>
      </c>
      <c r="BZ955" s="12">
        <f t="shared" ca="1" si="939"/>
        <v>0</v>
      </c>
      <c r="CA955" s="12">
        <f t="shared" ca="1" si="940"/>
        <v>0</v>
      </c>
      <c r="CB955" s="106"/>
      <c r="CC955" s="106"/>
      <c r="CD955" s="106"/>
      <c r="CE955" s="106"/>
      <c r="CF955" s="106"/>
      <c r="CG955" s="106"/>
      <c r="CH955" s="106"/>
      <c r="CI955" s="106"/>
      <c r="CK955" s="11"/>
      <c r="CM955" s="11"/>
      <c r="DF955" s="11"/>
      <c r="EY955" s="12" t="str">
        <f t="shared" ca="1" si="941"/>
        <v>Amount Due Within One Year after Covenant Breach Adjustment Loan 2</v>
      </c>
    </row>
    <row r="956" spans="2:155" x14ac:dyDescent="0.35">
      <c r="B956" s="69" t="str" cm="1">
        <f t="array" aca="1" ref="B956" ca="1">HYPERLINK(CONCATENATE("#",CELL("address",$D$94)),$D$94)</f>
        <v>Loan 3</v>
      </c>
      <c r="C956" s="211" t="s">
        <v>1316</v>
      </c>
      <c r="D956" s="49">
        <f>D$15</f>
        <v>0</v>
      </c>
      <c r="E956" s="49" t="str">
        <f>F$15</f>
        <v/>
      </c>
      <c r="F956" s="49"/>
      <c r="H956" s="9"/>
      <c r="I956" s="40" t="s">
        <v>665</v>
      </c>
      <c r="V956" s="106"/>
      <c r="W956" s="133">
        <f t="shared" ca="1" si="937"/>
        <v>0</v>
      </c>
      <c r="X956" s="133">
        <f t="shared" ca="1" si="937"/>
        <v>0</v>
      </c>
      <c r="Y956" s="133">
        <f t="shared" ca="1" si="937"/>
        <v>0</v>
      </c>
      <c r="AA956" s="133">
        <f ca="1">AA910+AA933*Timeline!AA369</f>
        <v>0</v>
      </c>
      <c r="AB956" s="133">
        <f ca="1">AB910+AB933*Timeline!AB369</f>
        <v>0</v>
      </c>
      <c r="AC956" s="133">
        <f ca="1">AC910+AC933*Timeline!AC369</f>
        <v>0</v>
      </c>
      <c r="AD956" s="133">
        <f ca="1">AD910+AD933*Timeline!AD369</f>
        <v>0</v>
      </c>
      <c r="AE956" s="133">
        <f ca="1">AE910+AE933*Timeline!AE369</f>
        <v>0</v>
      </c>
      <c r="AF956" s="133">
        <f ca="1">AF910+AF933*Timeline!AF369</f>
        <v>0</v>
      </c>
      <c r="AG956" s="133">
        <f ca="1">AG910+AG933*Timeline!AG369</f>
        <v>0</v>
      </c>
      <c r="AH956" s="133">
        <f ca="1">AH910+AH933*Timeline!AH369</f>
        <v>0</v>
      </c>
      <c r="AI956" s="133">
        <f ca="1">AI910+AI933*Timeline!AI369</f>
        <v>0</v>
      </c>
      <c r="AJ956" s="133">
        <f ca="1">AJ910+AJ933*Timeline!AJ369</f>
        <v>0</v>
      </c>
      <c r="AK956" s="133">
        <f ca="1">AK910+AK933*Timeline!AK369</f>
        <v>0</v>
      </c>
      <c r="AL956" s="133">
        <f ca="1">AL910+AL933*Timeline!AL369</f>
        <v>0</v>
      </c>
      <c r="AM956" s="133">
        <f ca="1">AM910+AM933*Timeline!AM369</f>
        <v>0</v>
      </c>
      <c r="AN956" s="133">
        <f ca="1">AN910+AN933*Timeline!AN369</f>
        <v>0</v>
      </c>
      <c r="AO956" s="133">
        <f ca="1">AO910+AO933*Timeline!AO369</f>
        <v>0</v>
      </c>
      <c r="AP956" s="133">
        <f ca="1">AP910+AP933*Timeline!AP369</f>
        <v>0</v>
      </c>
      <c r="AQ956" s="133">
        <f ca="1">AQ910+AQ933*Timeline!AQ369</f>
        <v>0</v>
      </c>
      <c r="AR956" s="133">
        <f ca="1">AR910+AR933*Timeline!AR369</f>
        <v>0</v>
      </c>
      <c r="AS956" s="133">
        <f ca="1">AS910+AS933*Timeline!AS369</f>
        <v>0</v>
      </c>
      <c r="AT956" s="133">
        <f ca="1">AT910+AT933*Timeline!AT369</f>
        <v>0</v>
      </c>
      <c r="AU956" s="133">
        <f ca="1">AU910+AU933*Timeline!AU369</f>
        <v>0</v>
      </c>
      <c r="AV956" s="133">
        <f ca="1">AV910+AV933*Timeline!AV369</f>
        <v>0</v>
      </c>
      <c r="AW956" s="133">
        <f ca="1">AW910+AW933*Timeline!AW369</f>
        <v>0</v>
      </c>
      <c r="AX956" s="133">
        <f ca="1">AX910+AX933*Timeline!AX369</f>
        <v>0</v>
      </c>
      <c r="AY956" s="133">
        <f ca="1">AY910+AY933*Timeline!AY369</f>
        <v>0</v>
      </c>
      <c r="AZ956" s="133">
        <f ca="1">AZ910+AZ933*Timeline!AZ369</f>
        <v>0</v>
      </c>
      <c r="BA956" s="133">
        <f ca="1">BA910+BA933*Timeline!BA369</f>
        <v>0</v>
      </c>
      <c r="BB956" s="133">
        <f ca="1">BB910+BB933*Timeline!BB369</f>
        <v>0</v>
      </c>
      <c r="BC956" s="133">
        <f ca="1">BC910+BC933*Timeline!BC369</f>
        <v>0</v>
      </c>
      <c r="BD956" s="133">
        <f ca="1">BD910+BD933*Timeline!BD369</f>
        <v>0</v>
      </c>
      <c r="BE956" s="133">
        <f ca="1">BE910+BE933*Timeline!BE369</f>
        <v>0</v>
      </c>
      <c r="BF956" s="133">
        <f ca="1">BF910+BF933*Timeline!BF369</f>
        <v>0</v>
      </c>
      <c r="BG956" s="133">
        <f ca="1">BG910+BG933*Timeline!BG369</f>
        <v>0</v>
      </c>
      <c r="BH956" s="133">
        <f ca="1">BH910+BH933*Timeline!BH369</f>
        <v>0</v>
      </c>
      <c r="BI956" s="133">
        <f ca="1">BI910+BI933*Timeline!BI369</f>
        <v>0</v>
      </c>
      <c r="BJ956" s="133">
        <f ca="1">BJ910+BJ933*Timeline!BJ369</f>
        <v>0</v>
      </c>
      <c r="BK956" s="106"/>
      <c r="BL956" s="106"/>
      <c r="BM956" s="106"/>
      <c r="BN956" s="106"/>
      <c r="BO956" s="106"/>
      <c r="BP956" s="106"/>
      <c r="BQ956" s="106"/>
      <c r="BR956" s="106"/>
      <c r="BS956" s="106"/>
      <c r="BT956" s="106"/>
      <c r="BU956" s="106"/>
      <c r="BV956" s="106"/>
      <c r="BX956" s="106"/>
      <c r="BY956" s="12">
        <f t="shared" ca="1" si="938"/>
        <v>0</v>
      </c>
      <c r="BZ956" s="12">
        <f t="shared" ca="1" si="939"/>
        <v>0</v>
      </c>
      <c r="CA956" s="12">
        <f t="shared" ca="1" si="940"/>
        <v>0</v>
      </c>
      <c r="CB956" s="106"/>
      <c r="CC956" s="106"/>
      <c r="CD956" s="106"/>
      <c r="CE956" s="106"/>
      <c r="CF956" s="106"/>
      <c r="CG956" s="106"/>
      <c r="CH956" s="106"/>
      <c r="CI956" s="106"/>
      <c r="CK956" s="11"/>
      <c r="CM956" s="11"/>
      <c r="DF956" s="11"/>
      <c r="EY956" s="12" t="str">
        <f t="shared" ca="1" si="941"/>
        <v>Amount Due Within One Year after Covenant Breach Adjustment Loan 3</v>
      </c>
    </row>
    <row r="957" spans="2:155" x14ac:dyDescent="0.35">
      <c r="B957" s="69" t="str" cm="1">
        <f t="array" aca="1" ref="B957" ca="1">HYPERLINK(CONCATENATE("#",CELL("address",$D$113)),$D$113)</f>
        <v>Loan 4</v>
      </c>
      <c r="C957" s="211" t="s">
        <v>1317</v>
      </c>
      <c r="D957" s="49">
        <f>D$16</f>
        <v>0</v>
      </c>
      <c r="E957" s="49" t="str">
        <f>F$16</f>
        <v/>
      </c>
      <c r="F957" s="49"/>
      <c r="H957" s="9"/>
      <c r="I957" s="40" t="s">
        <v>665</v>
      </c>
      <c r="V957" s="106"/>
      <c r="W957" s="133">
        <f t="shared" ca="1" si="937"/>
        <v>0</v>
      </c>
      <c r="X957" s="133">
        <f t="shared" ca="1" si="937"/>
        <v>0</v>
      </c>
      <c r="Y957" s="133">
        <f t="shared" ca="1" si="937"/>
        <v>0</v>
      </c>
      <c r="AA957" s="133">
        <f ca="1">AA911+AA934*Timeline!AA370</f>
        <v>0</v>
      </c>
      <c r="AB957" s="133">
        <f ca="1">AB911+AB934*Timeline!AB370</f>
        <v>0</v>
      </c>
      <c r="AC957" s="133">
        <f ca="1">AC911+AC934*Timeline!AC370</f>
        <v>0</v>
      </c>
      <c r="AD957" s="133">
        <f ca="1">AD911+AD934*Timeline!AD370</f>
        <v>0</v>
      </c>
      <c r="AE957" s="133">
        <f ca="1">AE911+AE934*Timeline!AE370</f>
        <v>0</v>
      </c>
      <c r="AF957" s="133">
        <f ca="1">AF911+AF934*Timeline!AF370</f>
        <v>0</v>
      </c>
      <c r="AG957" s="133">
        <f ca="1">AG911+AG934*Timeline!AG370</f>
        <v>0</v>
      </c>
      <c r="AH957" s="133">
        <f ca="1">AH911+AH934*Timeline!AH370</f>
        <v>0</v>
      </c>
      <c r="AI957" s="133">
        <f ca="1">AI911+AI934*Timeline!AI370</f>
        <v>0</v>
      </c>
      <c r="AJ957" s="133">
        <f ca="1">AJ911+AJ934*Timeline!AJ370</f>
        <v>0</v>
      </c>
      <c r="AK957" s="133">
        <f ca="1">AK911+AK934*Timeline!AK370</f>
        <v>0</v>
      </c>
      <c r="AL957" s="133">
        <f ca="1">AL911+AL934*Timeline!AL370</f>
        <v>0</v>
      </c>
      <c r="AM957" s="133">
        <f ca="1">AM911+AM934*Timeline!AM370</f>
        <v>0</v>
      </c>
      <c r="AN957" s="133">
        <f ca="1">AN911+AN934*Timeline!AN370</f>
        <v>0</v>
      </c>
      <c r="AO957" s="133">
        <f ca="1">AO911+AO934*Timeline!AO370</f>
        <v>0</v>
      </c>
      <c r="AP957" s="133">
        <f ca="1">AP911+AP934*Timeline!AP370</f>
        <v>0</v>
      </c>
      <c r="AQ957" s="133">
        <f ca="1">AQ911+AQ934*Timeline!AQ370</f>
        <v>0</v>
      </c>
      <c r="AR957" s="133">
        <f ca="1">AR911+AR934*Timeline!AR370</f>
        <v>0</v>
      </c>
      <c r="AS957" s="133">
        <f ca="1">AS911+AS934*Timeline!AS370</f>
        <v>0</v>
      </c>
      <c r="AT957" s="133">
        <f ca="1">AT911+AT934*Timeline!AT370</f>
        <v>0</v>
      </c>
      <c r="AU957" s="133">
        <f ca="1">AU911+AU934*Timeline!AU370</f>
        <v>0</v>
      </c>
      <c r="AV957" s="133">
        <f ca="1">AV911+AV934*Timeline!AV370</f>
        <v>0</v>
      </c>
      <c r="AW957" s="133">
        <f ca="1">AW911+AW934*Timeline!AW370</f>
        <v>0</v>
      </c>
      <c r="AX957" s="133">
        <f ca="1">AX911+AX934*Timeline!AX370</f>
        <v>0</v>
      </c>
      <c r="AY957" s="133">
        <f ca="1">AY911+AY934*Timeline!AY370</f>
        <v>0</v>
      </c>
      <c r="AZ957" s="133">
        <f ca="1">AZ911+AZ934*Timeline!AZ370</f>
        <v>0</v>
      </c>
      <c r="BA957" s="133">
        <f ca="1">BA911+BA934*Timeline!BA370</f>
        <v>0</v>
      </c>
      <c r="BB957" s="133">
        <f ca="1">BB911+BB934*Timeline!BB370</f>
        <v>0</v>
      </c>
      <c r="BC957" s="133">
        <f ca="1">BC911+BC934*Timeline!BC370</f>
        <v>0</v>
      </c>
      <c r="BD957" s="133">
        <f ca="1">BD911+BD934*Timeline!BD370</f>
        <v>0</v>
      </c>
      <c r="BE957" s="133">
        <f ca="1">BE911+BE934*Timeline!BE370</f>
        <v>0</v>
      </c>
      <c r="BF957" s="133">
        <f ca="1">BF911+BF934*Timeline!BF370</f>
        <v>0</v>
      </c>
      <c r="BG957" s="133">
        <f ca="1">BG911+BG934*Timeline!BG370</f>
        <v>0</v>
      </c>
      <c r="BH957" s="133">
        <f ca="1">BH911+BH934*Timeline!BH370</f>
        <v>0</v>
      </c>
      <c r="BI957" s="133">
        <f ca="1">BI911+BI934*Timeline!BI370</f>
        <v>0</v>
      </c>
      <c r="BJ957" s="133">
        <f ca="1">BJ911+BJ934*Timeline!BJ370</f>
        <v>0</v>
      </c>
      <c r="BK957" s="106"/>
      <c r="BL957" s="106"/>
      <c r="BM957" s="106"/>
      <c r="BN957" s="106"/>
      <c r="BO957" s="106"/>
      <c r="BP957" s="106"/>
      <c r="BQ957" s="106"/>
      <c r="BR957" s="106"/>
      <c r="BS957" s="106"/>
      <c r="BT957" s="106"/>
      <c r="BU957" s="106"/>
      <c r="BV957" s="106"/>
      <c r="BX957" s="106"/>
      <c r="BY957" s="12">
        <f t="shared" ca="1" si="938"/>
        <v>0</v>
      </c>
      <c r="BZ957" s="12">
        <f t="shared" ca="1" si="939"/>
        <v>0</v>
      </c>
      <c r="CA957" s="12">
        <f t="shared" ca="1" si="940"/>
        <v>0</v>
      </c>
      <c r="CB957" s="106"/>
      <c r="CC957" s="106"/>
      <c r="CD957" s="106"/>
      <c r="CE957" s="106"/>
      <c r="CF957" s="106"/>
      <c r="CG957" s="106"/>
      <c r="CH957" s="106"/>
      <c r="CI957" s="106"/>
      <c r="CK957" s="11"/>
      <c r="CM957" s="11"/>
      <c r="DF957" s="11"/>
      <c r="EY957" s="12" t="str">
        <f t="shared" ca="1" si="941"/>
        <v>Amount Due Within One Year after Covenant Breach Adjustment Loan 4</v>
      </c>
    </row>
    <row r="958" spans="2:155" x14ac:dyDescent="0.35">
      <c r="B958" s="69" t="str" cm="1">
        <f t="array" aca="1" ref="B958" ca="1">HYPERLINK(CONCATENATE("#",CELL("address",$D$132)),$D$132)</f>
        <v>Loan 5</v>
      </c>
      <c r="C958" s="211" t="s">
        <v>1318</v>
      </c>
      <c r="D958" s="49">
        <f>D$17</f>
        <v>0</v>
      </c>
      <c r="E958" s="49" t="str">
        <f>F$17</f>
        <v/>
      </c>
      <c r="F958" s="49"/>
      <c r="H958" s="9"/>
      <c r="I958" s="40" t="s">
        <v>665</v>
      </c>
      <c r="V958" s="106"/>
      <c r="W958" s="133">
        <f t="shared" ca="1" si="937"/>
        <v>0</v>
      </c>
      <c r="X958" s="133">
        <f t="shared" ca="1" si="937"/>
        <v>0</v>
      </c>
      <c r="Y958" s="133">
        <f t="shared" ca="1" si="937"/>
        <v>0</v>
      </c>
      <c r="AA958" s="133">
        <f ca="1">AA912+AA935*Timeline!AA371</f>
        <v>0</v>
      </c>
      <c r="AB958" s="133">
        <f ca="1">AB912+AB935*Timeline!AB371</f>
        <v>0</v>
      </c>
      <c r="AC958" s="133">
        <f ca="1">AC912+AC935*Timeline!AC371</f>
        <v>0</v>
      </c>
      <c r="AD958" s="133">
        <f ca="1">AD912+AD935*Timeline!AD371</f>
        <v>0</v>
      </c>
      <c r="AE958" s="133">
        <f ca="1">AE912+AE935*Timeline!AE371</f>
        <v>0</v>
      </c>
      <c r="AF958" s="133">
        <f ca="1">AF912+AF935*Timeline!AF371</f>
        <v>0</v>
      </c>
      <c r="AG958" s="133">
        <f ca="1">AG912+AG935*Timeline!AG371</f>
        <v>0</v>
      </c>
      <c r="AH958" s="133">
        <f ca="1">AH912+AH935*Timeline!AH371</f>
        <v>0</v>
      </c>
      <c r="AI958" s="133">
        <f ca="1">AI912+AI935*Timeline!AI371</f>
        <v>0</v>
      </c>
      <c r="AJ958" s="133">
        <f ca="1">AJ912+AJ935*Timeline!AJ371</f>
        <v>0</v>
      </c>
      <c r="AK958" s="133">
        <f ca="1">AK912+AK935*Timeline!AK371</f>
        <v>0</v>
      </c>
      <c r="AL958" s="133">
        <f ca="1">AL912+AL935*Timeline!AL371</f>
        <v>0</v>
      </c>
      <c r="AM958" s="133">
        <f ca="1">AM912+AM935*Timeline!AM371</f>
        <v>0</v>
      </c>
      <c r="AN958" s="133">
        <f ca="1">AN912+AN935*Timeline!AN371</f>
        <v>0</v>
      </c>
      <c r="AO958" s="133">
        <f ca="1">AO912+AO935*Timeline!AO371</f>
        <v>0</v>
      </c>
      <c r="AP958" s="133">
        <f ca="1">AP912+AP935*Timeline!AP371</f>
        <v>0</v>
      </c>
      <c r="AQ958" s="133">
        <f ca="1">AQ912+AQ935*Timeline!AQ371</f>
        <v>0</v>
      </c>
      <c r="AR958" s="133">
        <f ca="1">AR912+AR935*Timeline!AR371</f>
        <v>0</v>
      </c>
      <c r="AS958" s="133">
        <f ca="1">AS912+AS935*Timeline!AS371</f>
        <v>0</v>
      </c>
      <c r="AT958" s="133">
        <f ca="1">AT912+AT935*Timeline!AT371</f>
        <v>0</v>
      </c>
      <c r="AU958" s="133">
        <f ca="1">AU912+AU935*Timeline!AU371</f>
        <v>0</v>
      </c>
      <c r="AV958" s="133">
        <f ca="1">AV912+AV935*Timeline!AV371</f>
        <v>0</v>
      </c>
      <c r="AW958" s="133">
        <f ca="1">AW912+AW935*Timeline!AW371</f>
        <v>0</v>
      </c>
      <c r="AX958" s="133">
        <f ca="1">AX912+AX935*Timeline!AX371</f>
        <v>0</v>
      </c>
      <c r="AY958" s="133">
        <f ca="1">AY912+AY935*Timeline!AY371</f>
        <v>0</v>
      </c>
      <c r="AZ958" s="133">
        <f ca="1">AZ912+AZ935*Timeline!AZ371</f>
        <v>0</v>
      </c>
      <c r="BA958" s="133">
        <f ca="1">BA912+BA935*Timeline!BA371</f>
        <v>0</v>
      </c>
      <c r="BB958" s="133">
        <f ca="1">BB912+BB935*Timeline!BB371</f>
        <v>0</v>
      </c>
      <c r="BC958" s="133">
        <f ca="1">BC912+BC935*Timeline!BC371</f>
        <v>0</v>
      </c>
      <c r="BD958" s="133">
        <f ca="1">BD912+BD935*Timeline!BD371</f>
        <v>0</v>
      </c>
      <c r="BE958" s="133">
        <f ca="1">BE912+BE935*Timeline!BE371</f>
        <v>0</v>
      </c>
      <c r="BF958" s="133">
        <f ca="1">BF912+BF935*Timeline!BF371</f>
        <v>0</v>
      </c>
      <c r="BG958" s="133">
        <f ca="1">BG912+BG935*Timeline!BG371</f>
        <v>0</v>
      </c>
      <c r="BH958" s="133">
        <f ca="1">BH912+BH935*Timeline!BH371</f>
        <v>0</v>
      </c>
      <c r="BI958" s="133">
        <f ca="1">BI912+BI935*Timeline!BI371</f>
        <v>0</v>
      </c>
      <c r="BJ958" s="133">
        <f ca="1">BJ912+BJ935*Timeline!BJ371</f>
        <v>0</v>
      </c>
      <c r="BK958" s="106"/>
      <c r="BL958" s="106"/>
      <c r="BM958" s="106"/>
      <c r="BN958" s="106"/>
      <c r="BO958" s="106"/>
      <c r="BP958" s="106"/>
      <c r="BQ958" s="106"/>
      <c r="BR958" s="106"/>
      <c r="BS958" s="106"/>
      <c r="BT958" s="106"/>
      <c r="BU958" s="106"/>
      <c r="BV958" s="106"/>
      <c r="BX958" s="106"/>
      <c r="BY958" s="12">
        <f t="shared" ca="1" si="938"/>
        <v>0</v>
      </c>
      <c r="BZ958" s="12">
        <f t="shared" ca="1" si="939"/>
        <v>0</v>
      </c>
      <c r="CA958" s="12">
        <f t="shared" ca="1" si="940"/>
        <v>0</v>
      </c>
      <c r="CB958" s="106"/>
      <c r="CC958" s="106"/>
      <c r="CD958" s="106"/>
      <c r="CE958" s="106"/>
      <c r="CF958" s="106"/>
      <c r="CG958" s="106"/>
      <c r="CH958" s="106"/>
      <c r="CI958" s="106"/>
      <c r="CK958" s="11"/>
      <c r="CM958" s="11"/>
      <c r="DF958" s="11"/>
      <c r="EY958" s="12" t="str">
        <f t="shared" ca="1" si="941"/>
        <v>Amount Due Within One Year after Covenant Breach Adjustment Loan 5</v>
      </c>
    </row>
    <row r="959" spans="2:155" x14ac:dyDescent="0.35">
      <c r="B959" s="69" t="str" cm="1">
        <f t="array" aca="1" ref="B959" ca="1">HYPERLINK(CONCATENATE("#",CELL("address",$D$151)),$D$151)</f>
        <v>Loan 6</v>
      </c>
      <c r="C959" s="211" t="s">
        <v>1319</v>
      </c>
      <c r="D959" s="49">
        <f>D$18</f>
        <v>0</v>
      </c>
      <c r="E959" s="49" t="str">
        <f>F$18</f>
        <v/>
      </c>
      <c r="F959" s="49"/>
      <c r="H959" s="9"/>
      <c r="I959" s="40" t="s">
        <v>665</v>
      </c>
      <c r="V959" s="106"/>
      <c r="W959" s="133">
        <f t="shared" ca="1" si="937"/>
        <v>0</v>
      </c>
      <c r="X959" s="133">
        <f t="shared" ca="1" si="937"/>
        <v>0</v>
      </c>
      <c r="Y959" s="133">
        <f t="shared" ca="1" si="937"/>
        <v>0</v>
      </c>
      <c r="AA959" s="133">
        <f ca="1">AA913+AA936*Timeline!AA372</f>
        <v>0</v>
      </c>
      <c r="AB959" s="133">
        <f ca="1">AB913+AB936*Timeline!AB372</f>
        <v>0</v>
      </c>
      <c r="AC959" s="133">
        <f ca="1">AC913+AC936*Timeline!AC372</f>
        <v>0</v>
      </c>
      <c r="AD959" s="133">
        <f ca="1">AD913+AD936*Timeline!AD372</f>
        <v>0</v>
      </c>
      <c r="AE959" s="133">
        <f ca="1">AE913+AE936*Timeline!AE372</f>
        <v>0</v>
      </c>
      <c r="AF959" s="133">
        <f ca="1">AF913+AF936*Timeline!AF372</f>
        <v>0</v>
      </c>
      <c r="AG959" s="133">
        <f ca="1">AG913+AG936*Timeline!AG372</f>
        <v>0</v>
      </c>
      <c r="AH959" s="133">
        <f ca="1">AH913+AH936*Timeline!AH372</f>
        <v>0</v>
      </c>
      <c r="AI959" s="133">
        <f ca="1">AI913+AI936*Timeline!AI372</f>
        <v>0</v>
      </c>
      <c r="AJ959" s="133">
        <f ca="1">AJ913+AJ936*Timeline!AJ372</f>
        <v>0</v>
      </c>
      <c r="AK959" s="133">
        <f ca="1">AK913+AK936*Timeline!AK372</f>
        <v>0</v>
      </c>
      <c r="AL959" s="133">
        <f ca="1">AL913+AL936*Timeline!AL372</f>
        <v>0</v>
      </c>
      <c r="AM959" s="133">
        <f ca="1">AM913+AM936*Timeline!AM372</f>
        <v>0</v>
      </c>
      <c r="AN959" s="133">
        <f ca="1">AN913+AN936*Timeline!AN372</f>
        <v>0</v>
      </c>
      <c r="AO959" s="133">
        <f ca="1">AO913+AO936*Timeline!AO372</f>
        <v>0</v>
      </c>
      <c r="AP959" s="133">
        <f ca="1">AP913+AP936*Timeline!AP372</f>
        <v>0</v>
      </c>
      <c r="AQ959" s="133">
        <f ca="1">AQ913+AQ936*Timeline!AQ372</f>
        <v>0</v>
      </c>
      <c r="AR959" s="133">
        <f ca="1">AR913+AR936*Timeline!AR372</f>
        <v>0</v>
      </c>
      <c r="AS959" s="133">
        <f ca="1">AS913+AS936*Timeline!AS372</f>
        <v>0</v>
      </c>
      <c r="AT959" s="133">
        <f ca="1">AT913+AT936*Timeline!AT372</f>
        <v>0</v>
      </c>
      <c r="AU959" s="133">
        <f ca="1">AU913+AU936*Timeline!AU372</f>
        <v>0</v>
      </c>
      <c r="AV959" s="133">
        <f ca="1">AV913+AV936*Timeline!AV372</f>
        <v>0</v>
      </c>
      <c r="AW959" s="133">
        <f ca="1">AW913+AW936*Timeline!AW372</f>
        <v>0</v>
      </c>
      <c r="AX959" s="133">
        <f ca="1">AX913+AX936*Timeline!AX372</f>
        <v>0</v>
      </c>
      <c r="AY959" s="133">
        <f ca="1">AY913+AY936*Timeline!AY372</f>
        <v>0</v>
      </c>
      <c r="AZ959" s="133">
        <f ca="1">AZ913+AZ936*Timeline!AZ372</f>
        <v>0</v>
      </c>
      <c r="BA959" s="133">
        <f ca="1">BA913+BA936*Timeline!BA372</f>
        <v>0</v>
      </c>
      <c r="BB959" s="133">
        <f ca="1">BB913+BB936*Timeline!BB372</f>
        <v>0</v>
      </c>
      <c r="BC959" s="133">
        <f ca="1">BC913+BC936*Timeline!BC372</f>
        <v>0</v>
      </c>
      <c r="BD959" s="133">
        <f ca="1">BD913+BD936*Timeline!BD372</f>
        <v>0</v>
      </c>
      <c r="BE959" s="133">
        <f ca="1">BE913+BE936*Timeline!BE372</f>
        <v>0</v>
      </c>
      <c r="BF959" s="133">
        <f ca="1">BF913+BF936*Timeline!BF372</f>
        <v>0</v>
      </c>
      <c r="BG959" s="133">
        <f ca="1">BG913+BG936*Timeline!BG372</f>
        <v>0</v>
      </c>
      <c r="BH959" s="133">
        <f ca="1">BH913+BH936*Timeline!BH372</f>
        <v>0</v>
      </c>
      <c r="BI959" s="133">
        <f ca="1">BI913+BI936*Timeline!BI372</f>
        <v>0</v>
      </c>
      <c r="BJ959" s="133">
        <f ca="1">BJ913+BJ936*Timeline!BJ372</f>
        <v>0</v>
      </c>
      <c r="BK959" s="106"/>
      <c r="BL959" s="106"/>
      <c r="BM959" s="106"/>
      <c r="BN959" s="106"/>
      <c r="BO959" s="106"/>
      <c r="BP959" s="106"/>
      <c r="BQ959" s="106"/>
      <c r="BR959" s="106"/>
      <c r="BS959" s="106"/>
      <c r="BT959" s="106"/>
      <c r="BU959" s="106"/>
      <c r="BV959" s="106"/>
      <c r="BX959" s="106"/>
      <c r="BY959" s="12">
        <f t="shared" ca="1" si="938"/>
        <v>0</v>
      </c>
      <c r="BZ959" s="12">
        <f t="shared" ca="1" si="939"/>
        <v>0</v>
      </c>
      <c r="CA959" s="12">
        <f t="shared" ca="1" si="940"/>
        <v>0</v>
      </c>
      <c r="CB959" s="106"/>
      <c r="CC959" s="106"/>
      <c r="CD959" s="106"/>
      <c r="CE959" s="106"/>
      <c r="CF959" s="106"/>
      <c r="CG959" s="106"/>
      <c r="CH959" s="106"/>
      <c r="CI959" s="106"/>
      <c r="CK959" s="11"/>
      <c r="CM959" s="11"/>
      <c r="DF959" s="11"/>
      <c r="EY959" s="12" t="str">
        <f t="shared" ca="1" si="941"/>
        <v>Amount Due Within One Year after Covenant Breach Adjustment Loan 6</v>
      </c>
    </row>
    <row r="960" spans="2:155" x14ac:dyDescent="0.35">
      <c r="B960" s="69" t="str" cm="1">
        <f t="array" aca="1" ref="B960" ca="1">HYPERLINK(CONCATENATE("#",CELL("address",$D$170)),$D$170)</f>
        <v>Loan 7</v>
      </c>
      <c r="C960" s="211" t="s">
        <v>1320</v>
      </c>
      <c r="D960" s="49">
        <f>D$19</f>
        <v>0</v>
      </c>
      <c r="E960" s="49" t="str">
        <f>F$19</f>
        <v/>
      </c>
      <c r="F960" s="49"/>
      <c r="H960" s="9"/>
      <c r="I960" s="40" t="s">
        <v>665</v>
      </c>
      <c r="V960" s="106"/>
      <c r="W960" s="133">
        <f t="shared" ca="1" si="937"/>
        <v>0</v>
      </c>
      <c r="X960" s="133">
        <f t="shared" ca="1" si="937"/>
        <v>0</v>
      </c>
      <c r="Y960" s="133">
        <f t="shared" ca="1" si="937"/>
        <v>0</v>
      </c>
      <c r="AA960" s="133">
        <f ca="1">AA914+AA937*Timeline!AA373</f>
        <v>0</v>
      </c>
      <c r="AB960" s="133">
        <f ca="1">AB914+AB937*Timeline!AB373</f>
        <v>0</v>
      </c>
      <c r="AC960" s="133">
        <f ca="1">AC914+AC937*Timeline!AC373</f>
        <v>0</v>
      </c>
      <c r="AD960" s="133">
        <f ca="1">AD914+AD937*Timeline!AD373</f>
        <v>0</v>
      </c>
      <c r="AE960" s="133">
        <f ca="1">AE914+AE937*Timeline!AE373</f>
        <v>0</v>
      </c>
      <c r="AF960" s="133">
        <f ca="1">AF914+AF937*Timeline!AF373</f>
        <v>0</v>
      </c>
      <c r="AG960" s="133">
        <f ca="1">AG914+AG937*Timeline!AG373</f>
        <v>0</v>
      </c>
      <c r="AH960" s="133">
        <f ca="1">AH914+AH937*Timeline!AH373</f>
        <v>0</v>
      </c>
      <c r="AI960" s="133">
        <f ca="1">AI914+AI937*Timeline!AI373</f>
        <v>0</v>
      </c>
      <c r="AJ960" s="133">
        <f ca="1">AJ914+AJ937*Timeline!AJ373</f>
        <v>0</v>
      </c>
      <c r="AK960" s="133">
        <f ca="1">AK914+AK937*Timeline!AK373</f>
        <v>0</v>
      </c>
      <c r="AL960" s="133">
        <f ca="1">AL914+AL937*Timeline!AL373</f>
        <v>0</v>
      </c>
      <c r="AM960" s="133">
        <f ca="1">AM914+AM937*Timeline!AM373</f>
        <v>0</v>
      </c>
      <c r="AN960" s="133">
        <f ca="1">AN914+AN937*Timeline!AN373</f>
        <v>0</v>
      </c>
      <c r="AO960" s="133">
        <f ca="1">AO914+AO937*Timeline!AO373</f>
        <v>0</v>
      </c>
      <c r="AP960" s="133">
        <f ca="1">AP914+AP937*Timeline!AP373</f>
        <v>0</v>
      </c>
      <c r="AQ960" s="133">
        <f ca="1">AQ914+AQ937*Timeline!AQ373</f>
        <v>0</v>
      </c>
      <c r="AR960" s="133">
        <f ca="1">AR914+AR937*Timeline!AR373</f>
        <v>0</v>
      </c>
      <c r="AS960" s="133">
        <f ca="1">AS914+AS937*Timeline!AS373</f>
        <v>0</v>
      </c>
      <c r="AT960" s="133">
        <f ca="1">AT914+AT937*Timeline!AT373</f>
        <v>0</v>
      </c>
      <c r="AU960" s="133">
        <f ca="1">AU914+AU937*Timeline!AU373</f>
        <v>0</v>
      </c>
      <c r="AV960" s="133">
        <f ca="1">AV914+AV937*Timeline!AV373</f>
        <v>0</v>
      </c>
      <c r="AW960" s="133">
        <f ca="1">AW914+AW937*Timeline!AW373</f>
        <v>0</v>
      </c>
      <c r="AX960" s="133">
        <f ca="1">AX914+AX937*Timeline!AX373</f>
        <v>0</v>
      </c>
      <c r="AY960" s="133">
        <f ca="1">AY914+AY937*Timeline!AY373</f>
        <v>0</v>
      </c>
      <c r="AZ960" s="133">
        <f ca="1">AZ914+AZ937*Timeline!AZ373</f>
        <v>0</v>
      </c>
      <c r="BA960" s="133">
        <f ca="1">BA914+BA937*Timeline!BA373</f>
        <v>0</v>
      </c>
      <c r="BB960" s="133">
        <f ca="1">BB914+BB937*Timeline!BB373</f>
        <v>0</v>
      </c>
      <c r="BC960" s="133">
        <f ca="1">BC914+BC937*Timeline!BC373</f>
        <v>0</v>
      </c>
      <c r="BD960" s="133">
        <f ca="1">BD914+BD937*Timeline!BD373</f>
        <v>0</v>
      </c>
      <c r="BE960" s="133">
        <f ca="1">BE914+BE937*Timeline!BE373</f>
        <v>0</v>
      </c>
      <c r="BF960" s="133">
        <f ca="1">BF914+BF937*Timeline!BF373</f>
        <v>0</v>
      </c>
      <c r="BG960" s="133">
        <f ca="1">BG914+BG937*Timeline!BG373</f>
        <v>0</v>
      </c>
      <c r="BH960" s="133">
        <f ca="1">BH914+BH937*Timeline!BH373</f>
        <v>0</v>
      </c>
      <c r="BI960" s="133">
        <f ca="1">BI914+BI937*Timeline!BI373</f>
        <v>0</v>
      </c>
      <c r="BJ960" s="133">
        <f ca="1">BJ914+BJ937*Timeline!BJ373</f>
        <v>0</v>
      </c>
      <c r="BK960" s="106"/>
      <c r="BL960" s="106"/>
      <c r="BM960" s="106"/>
      <c r="BN960" s="106"/>
      <c r="BO960" s="106"/>
      <c r="BP960" s="106"/>
      <c r="BQ960" s="106"/>
      <c r="BR960" s="106"/>
      <c r="BS960" s="106"/>
      <c r="BT960" s="106"/>
      <c r="BU960" s="106"/>
      <c r="BV960" s="106"/>
      <c r="BX960" s="106"/>
      <c r="BY960" s="12">
        <f t="shared" ca="1" si="938"/>
        <v>0</v>
      </c>
      <c r="BZ960" s="12">
        <f t="shared" ca="1" si="939"/>
        <v>0</v>
      </c>
      <c r="CA960" s="12">
        <f t="shared" ca="1" si="940"/>
        <v>0</v>
      </c>
      <c r="CB960" s="106"/>
      <c r="CC960" s="106"/>
      <c r="CD960" s="106"/>
      <c r="CE960" s="106"/>
      <c r="CF960" s="106"/>
      <c r="CG960" s="106"/>
      <c r="CH960" s="106"/>
      <c r="CI960" s="106"/>
      <c r="CK960" s="11"/>
      <c r="CM960" s="11"/>
      <c r="DF960" s="11"/>
      <c r="EY960" s="12" t="str">
        <f t="shared" ca="1" si="941"/>
        <v>Amount Due Within One Year after Covenant Breach Adjustment Loan 7</v>
      </c>
    </row>
    <row r="961" spans="1:155" x14ac:dyDescent="0.35">
      <c r="B961" s="69" t="str" cm="1">
        <f t="array" aca="1" ref="B961" ca="1">HYPERLINK(CONCATENATE("#",CELL("address",$D$189)),$D$189)</f>
        <v>Loan 8</v>
      </c>
      <c r="C961" s="211" t="s">
        <v>1321</v>
      </c>
      <c r="D961" s="49">
        <f>D$20</f>
        <v>0</v>
      </c>
      <c r="E961" s="49" t="str">
        <f>F$20</f>
        <v/>
      </c>
      <c r="F961" s="49"/>
      <c r="H961" s="9"/>
      <c r="I961" s="40" t="s">
        <v>665</v>
      </c>
      <c r="V961" s="106"/>
      <c r="W961" s="133">
        <f t="shared" ca="1" si="937"/>
        <v>0</v>
      </c>
      <c r="X961" s="133">
        <f t="shared" ca="1" si="937"/>
        <v>0</v>
      </c>
      <c r="Y961" s="133">
        <f t="shared" ca="1" si="937"/>
        <v>0</v>
      </c>
      <c r="AA961" s="133">
        <f ca="1">AA915+AA938*Timeline!AA374</f>
        <v>0</v>
      </c>
      <c r="AB961" s="133">
        <f ca="1">AB915+AB938*Timeline!AB374</f>
        <v>0</v>
      </c>
      <c r="AC961" s="133">
        <f ca="1">AC915+AC938*Timeline!AC374</f>
        <v>0</v>
      </c>
      <c r="AD961" s="133">
        <f ca="1">AD915+AD938*Timeline!AD374</f>
        <v>0</v>
      </c>
      <c r="AE961" s="133">
        <f ca="1">AE915+AE938*Timeline!AE374</f>
        <v>0</v>
      </c>
      <c r="AF961" s="133">
        <f ca="1">AF915+AF938*Timeline!AF374</f>
        <v>0</v>
      </c>
      <c r="AG961" s="133">
        <f ca="1">AG915+AG938*Timeline!AG374</f>
        <v>0</v>
      </c>
      <c r="AH961" s="133">
        <f ca="1">AH915+AH938*Timeline!AH374</f>
        <v>0</v>
      </c>
      <c r="AI961" s="133">
        <f ca="1">AI915+AI938*Timeline!AI374</f>
        <v>0</v>
      </c>
      <c r="AJ961" s="133">
        <f ca="1">AJ915+AJ938*Timeline!AJ374</f>
        <v>0</v>
      </c>
      <c r="AK961" s="133">
        <f ca="1">AK915+AK938*Timeline!AK374</f>
        <v>0</v>
      </c>
      <c r="AL961" s="133">
        <f ca="1">AL915+AL938*Timeline!AL374</f>
        <v>0</v>
      </c>
      <c r="AM961" s="133">
        <f ca="1">AM915+AM938*Timeline!AM374</f>
        <v>0</v>
      </c>
      <c r="AN961" s="133">
        <f ca="1">AN915+AN938*Timeline!AN374</f>
        <v>0</v>
      </c>
      <c r="AO961" s="133">
        <f ca="1">AO915+AO938*Timeline!AO374</f>
        <v>0</v>
      </c>
      <c r="AP961" s="133">
        <f ca="1">AP915+AP938*Timeline!AP374</f>
        <v>0</v>
      </c>
      <c r="AQ961" s="133">
        <f ca="1">AQ915+AQ938*Timeline!AQ374</f>
        <v>0</v>
      </c>
      <c r="AR961" s="133">
        <f ca="1">AR915+AR938*Timeline!AR374</f>
        <v>0</v>
      </c>
      <c r="AS961" s="133">
        <f ca="1">AS915+AS938*Timeline!AS374</f>
        <v>0</v>
      </c>
      <c r="AT961" s="133">
        <f ca="1">AT915+AT938*Timeline!AT374</f>
        <v>0</v>
      </c>
      <c r="AU961" s="133">
        <f ca="1">AU915+AU938*Timeline!AU374</f>
        <v>0</v>
      </c>
      <c r="AV961" s="133">
        <f ca="1">AV915+AV938*Timeline!AV374</f>
        <v>0</v>
      </c>
      <c r="AW961" s="133">
        <f ca="1">AW915+AW938*Timeline!AW374</f>
        <v>0</v>
      </c>
      <c r="AX961" s="133">
        <f ca="1">AX915+AX938*Timeline!AX374</f>
        <v>0</v>
      </c>
      <c r="AY961" s="133">
        <f ca="1">AY915+AY938*Timeline!AY374</f>
        <v>0</v>
      </c>
      <c r="AZ961" s="133">
        <f ca="1">AZ915+AZ938*Timeline!AZ374</f>
        <v>0</v>
      </c>
      <c r="BA961" s="133">
        <f ca="1">BA915+BA938*Timeline!BA374</f>
        <v>0</v>
      </c>
      <c r="BB961" s="133">
        <f ca="1">BB915+BB938*Timeline!BB374</f>
        <v>0</v>
      </c>
      <c r="BC961" s="133">
        <f ca="1">BC915+BC938*Timeline!BC374</f>
        <v>0</v>
      </c>
      <c r="BD961" s="133">
        <f ca="1">BD915+BD938*Timeline!BD374</f>
        <v>0</v>
      </c>
      <c r="BE961" s="133">
        <f ca="1">BE915+BE938*Timeline!BE374</f>
        <v>0</v>
      </c>
      <c r="BF961" s="133">
        <f ca="1">BF915+BF938*Timeline!BF374</f>
        <v>0</v>
      </c>
      <c r="BG961" s="133">
        <f ca="1">BG915+BG938*Timeline!BG374</f>
        <v>0</v>
      </c>
      <c r="BH961" s="133">
        <f ca="1">BH915+BH938*Timeline!BH374</f>
        <v>0</v>
      </c>
      <c r="BI961" s="133">
        <f ca="1">BI915+BI938*Timeline!BI374</f>
        <v>0</v>
      </c>
      <c r="BJ961" s="133">
        <f ca="1">BJ915+BJ938*Timeline!BJ374</f>
        <v>0</v>
      </c>
      <c r="BK961" s="106"/>
      <c r="BL961" s="106"/>
      <c r="BM961" s="106"/>
      <c r="BN961" s="106"/>
      <c r="BO961" s="106"/>
      <c r="BP961" s="106"/>
      <c r="BQ961" s="106"/>
      <c r="BR961" s="106"/>
      <c r="BS961" s="106"/>
      <c r="BT961" s="106"/>
      <c r="BU961" s="106"/>
      <c r="BV961" s="106"/>
      <c r="BX961" s="106"/>
      <c r="BY961" s="12">
        <f t="shared" ca="1" si="938"/>
        <v>0</v>
      </c>
      <c r="BZ961" s="12">
        <f t="shared" ca="1" si="939"/>
        <v>0</v>
      </c>
      <c r="CA961" s="12">
        <f t="shared" ca="1" si="940"/>
        <v>0</v>
      </c>
      <c r="CB961" s="106"/>
      <c r="CC961" s="106"/>
      <c r="CD961" s="106"/>
      <c r="CE961" s="106"/>
      <c r="CF961" s="106"/>
      <c r="CG961" s="106"/>
      <c r="CH961" s="106"/>
      <c r="CI961" s="106"/>
      <c r="CK961" s="11"/>
      <c r="CM961" s="11"/>
      <c r="DF961" s="11"/>
      <c r="EY961" s="12" t="str">
        <f t="shared" ca="1" si="941"/>
        <v>Amount Due Within One Year after Covenant Breach Adjustment Loan 8</v>
      </c>
    </row>
    <row r="962" spans="1:155" x14ac:dyDescent="0.35">
      <c r="B962" s="69" t="str" cm="1">
        <f t="array" aca="1" ref="B962" ca="1">HYPERLINK(CONCATENATE("#",CELL("address",$D$208)),$D$208)</f>
        <v>Loan 9</v>
      </c>
      <c r="C962" s="211" t="s">
        <v>1322</v>
      </c>
      <c r="D962" s="49">
        <f>D$21</f>
        <v>0</v>
      </c>
      <c r="E962" s="49" t="str">
        <f>F$21</f>
        <v/>
      </c>
      <c r="F962" s="49"/>
      <c r="H962" s="9"/>
      <c r="I962" s="40" t="s">
        <v>665</v>
      </c>
      <c r="V962" s="106"/>
      <c r="W962" s="133">
        <f t="shared" ca="1" si="937"/>
        <v>0</v>
      </c>
      <c r="X962" s="133">
        <f t="shared" ca="1" si="937"/>
        <v>0</v>
      </c>
      <c r="Y962" s="133">
        <f t="shared" ca="1" si="937"/>
        <v>0</v>
      </c>
      <c r="AA962" s="133">
        <f ca="1">AA916+AA939*Timeline!AA375</f>
        <v>0</v>
      </c>
      <c r="AB962" s="133">
        <f ca="1">AB916+AB939*Timeline!AB375</f>
        <v>0</v>
      </c>
      <c r="AC962" s="133">
        <f ca="1">AC916+AC939*Timeline!AC375</f>
        <v>0</v>
      </c>
      <c r="AD962" s="133">
        <f ca="1">AD916+AD939*Timeline!AD375</f>
        <v>0</v>
      </c>
      <c r="AE962" s="133">
        <f ca="1">AE916+AE939*Timeline!AE375</f>
        <v>0</v>
      </c>
      <c r="AF962" s="133">
        <f ca="1">AF916+AF939*Timeline!AF375</f>
        <v>0</v>
      </c>
      <c r="AG962" s="133">
        <f ca="1">AG916+AG939*Timeline!AG375</f>
        <v>0</v>
      </c>
      <c r="AH962" s="133">
        <f ca="1">AH916+AH939*Timeline!AH375</f>
        <v>0</v>
      </c>
      <c r="AI962" s="133">
        <f ca="1">AI916+AI939*Timeline!AI375</f>
        <v>0</v>
      </c>
      <c r="AJ962" s="133">
        <f ca="1">AJ916+AJ939*Timeline!AJ375</f>
        <v>0</v>
      </c>
      <c r="AK962" s="133">
        <f ca="1">AK916+AK939*Timeline!AK375</f>
        <v>0</v>
      </c>
      <c r="AL962" s="133">
        <f ca="1">AL916+AL939*Timeline!AL375</f>
        <v>0</v>
      </c>
      <c r="AM962" s="133">
        <f ca="1">AM916+AM939*Timeline!AM375</f>
        <v>0</v>
      </c>
      <c r="AN962" s="133">
        <f ca="1">AN916+AN939*Timeline!AN375</f>
        <v>0</v>
      </c>
      <c r="AO962" s="133">
        <f ca="1">AO916+AO939*Timeline!AO375</f>
        <v>0</v>
      </c>
      <c r="AP962" s="133">
        <f ca="1">AP916+AP939*Timeline!AP375</f>
        <v>0</v>
      </c>
      <c r="AQ962" s="133">
        <f ca="1">AQ916+AQ939*Timeline!AQ375</f>
        <v>0</v>
      </c>
      <c r="AR962" s="133">
        <f ca="1">AR916+AR939*Timeline!AR375</f>
        <v>0</v>
      </c>
      <c r="AS962" s="133">
        <f ca="1">AS916+AS939*Timeline!AS375</f>
        <v>0</v>
      </c>
      <c r="AT962" s="133">
        <f ca="1">AT916+AT939*Timeline!AT375</f>
        <v>0</v>
      </c>
      <c r="AU962" s="133">
        <f ca="1">AU916+AU939*Timeline!AU375</f>
        <v>0</v>
      </c>
      <c r="AV962" s="133">
        <f ca="1">AV916+AV939*Timeline!AV375</f>
        <v>0</v>
      </c>
      <c r="AW962" s="133">
        <f ca="1">AW916+AW939*Timeline!AW375</f>
        <v>0</v>
      </c>
      <c r="AX962" s="133">
        <f ca="1">AX916+AX939*Timeline!AX375</f>
        <v>0</v>
      </c>
      <c r="AY962" s="133">
        <f ca="1">AY916+AY939*Timeline!AY375</f>
        <v>0</v>
      </c>
      <c r="AZ962" s="133">
        <f ca="1">AZ916+AZ939*Timeline!AZ375</f>
        <v>0</v>
      </c>
      <c r="BA962" s="133">
        <f ca="1">BA916+BA939*Timeline!BA375</f>
        <v>0</v>
      </c>
      <c r="BB962" s="133">
        <f ca="1">BB916+BB939*Timeline!BB375</f>
        <v>0</v>
      </c>
      <c r="BC962" s="133">
        <f ca="1">BC916+BC939*Timeline!BC375</f>
        <v>0</v>
      </c>
      <c r="BD962" s="133">
        <f ca="1">BD916+BD939*Timeline!BD375</f>
        <v>0</v>
      </c>
      <c r="BE962" s="133">
        <f ca="1">BE916+BE939*Timeline!BE375</f>
        <v>0</v>
      </c>
      <c r="BF962" s="133">
        <f ca="1">BF916+BF939*Timeline!BF375</f>
        <v>0</v>
      </c>
      <c r="BG962" s="133">
        <f ca="1">BG916+BG939*Timeline!BG375</f>
        <v>0</v>
      </c>
      <c r="BH962" s="133">
        <f ca="1">BH916+BH939*Timeline!BH375</f>
        <v>0</v>
      </c>
      <c r="BI962" s="133">
        <f ca="1">BI916+BI939*Timeline!BI375</f>
        <v>0</v>
      </c>
      <c r="BJ962" s="133">
        <f ca="1">BJ916+BJ939*Timeline!BJ375</f>
        <v>0</v>
      </c>
      <c r="BK962" s="106"/>
      <c r="BL962" s="106"/>
      <c r="BM962" s="106"/>
      <c r="BN962" s="106"/>
      <c r="BO962" s="106"/>
      <c r="BP962" s="106"/>
      <c r="BQ962" s="106"/>
      <c r="BR962" s="106"/>
      <c r="BS962" s="106"/>
      <c r="BT962" s="106"/>
      <c r="BU962" s="106"/>
      <c r="BV962" s="106"/>
      <c r="BX962" s="106"/>
      <c r="BY962" s="12">
        <f t="shared" ca="1" si="938"/>
        <v>0</v>
      </c>
      <c r="BZ962" s="12">
        <f t="shared" ca="1" si="939"/>
        <v>0</v>
      </c>
      <c r="CA962" s="12">
        <f t="shared" ca="1" si="940"/>
        <v>0</v>
      </c>
      <c r="CB962" s="106"/>
      <c r="CC962" s="106"/>
      <c r="CD962" s="106"/>
      <c r="CE962" s="106"/>
      <c r="CF962" s="106"/>
      <c r="CG962" s="106"/>
      <c r="CH962" s="106"/>
      <c r="CI962" s="106"/>
      <c r="CK962" s="11"/>
      <c r="CM962" s="11"/>
      <c r="DF962" s="11"/>
      <c r="EY962" s="12" t="str">
        <f t="shared" ca="1" si="941"/>
        <v>Amount Due Within One Year after Covenant Breach Adjustment Loan 9</v>
      </c>
    </row>
    <row r="963" spans="1:155" x14ac:dyDescent="0.35">
      <c r="B963" s="69" t="str" cm="1">
        <f t="array" aca="1" ref="B963" ca="1">HYPERLINK(CONCATENATE("#",CELL("address",$D$227)),$D$227)</f>
        <v>Loan 10</v>
      </c>
      <c r="C963" s="211" t="s">
        <v>1323</v>
      </c>
      <c r="D963" s="49">
        <f>D$22</f>
        <v>0</v>
      </c>
      <c r="E963" s="49" t="str">
        <f>F$22</f>
        <v/>
      </c>
      <c r="F963" s="49"/>
      <c r="H963" s="9"/>
      <c r="I963" s="40" t="s">
        <v>665</v>
      </c>
      <c r="V963" s="106"/>
      <c r="W963" s="133">
        <f t="shared" ca="1" si="937"/>
        <v>0</v>
      </c>
      <c r="X963" s="133">
        <f t="shared" ca="1" si="937"/>
        <v>0</v>
      </c>
      <c r="Y963" s="133">
        <f t="shared" ca="1" si="937"/>
        <v>0</v>
      </c>
      <c r="AA963" s="133">
        <f ca="1">AA917+AA940*Timeline!AA376</f>
        <v>0</v>
      </c>
      <c r="AB963" s="133">
        <f ca="1">AB917+AB940*Timeline!AB376</f>
        <v>0</v>
      </c>
      <c r="AC963" s="133">
        <f ca="1">AC917+AC940*Timeline!AC376</f>
        <v>0</v>
      </c>
      <c r="AD963" s="133">
        <f ca="1">AD917+AD940*Timeline!AD376</f>
        <v>0</v>
      </c>
      <c r="AE963" s="133">
        <f ca="1">AE917+AE940*Timeline!AE376</f>
        <v>0</v>
      </c>
      <c r="AF963" s="133">
        <f ca="1">AF917+AF940*Timeline!AF376</f>
        <v>0</v>
      </c>
      <c r="AG963" s="133">
        <f ca="1">AG917+AG940*Timeline!AG376</f>
        <v>0</v>
      </c>
      <c r="AH963" s="133">
        <f ca="1">AH917+AH940*Timeline!AH376</f>
        <v>0</v>
      </c>
      <c r="AI963" s="133">
        <f ca="1">AI917+AI940*Timeline!AI376</f>
        <v>0</v>
      </c>
      <c r="AJ963" s="133">
        <f ca="1">AJ917+AJ940*Timeline!AJ376</f>
        <v>0</v>
      </c>
      <c r="AK963" s="133">
        <f ca="1">AK917+AK940*Timeline!AK376</f>
        <v>0</v>
      </c>
      <c r="AL963" s="133">
        <f ca="1">AL917+AL940*Timeline!AL376</f>
        <v>0</v>
      </c>
      <c r="AM963" s="133">
        <f ca="1">AM917+AM940*Timeline!AM376</f>
        <v>0</v>
      </c>
      <c r="AN963" s="133">
        <f ca="1">AN917+AN940*Timeline!AN376</f>
        <v>0</v>
      </c>
      <c r="AO963" s="133">
        <f ca="1">AO917+AO940*Timeline!AO376</f>
        <v>0</v>
      </c>
      <c r="AP963" s="133">
        <f ca="1">AP917+AP940*Timeline!AP376</f>
        <v>0</v>
      </c>
      <c r="AQ963" s="133">
        <f ca="1">AQ917+AQ940*Timeline!AQ376</f>
        <v>0</v>
      </c>
      <c r="AR963" s="133">
        <f ca="1">AR917+AR940*Timeline!AR376</f>
        <v>0</v>
      </c>
      <c r="AS963" s="133">
        <f ca="1">AS917+AS940*Timeline!AS376</f>
        <v>0</v>
      </c>
      <c r="AT963" s="133">
        <f ca="1">AT917+AT940*Timeline!AT376</f>
        <v>0</v>
      </c>
      <c r="AU963" s="133">
        <f ca="1">AU917+AU940*Timeline!AU376</f>
        <v>0</v>
      </c>
      <c r="AV963" s="133">
        <f ca="1">AV917+AV940*Timeline!AV376</f>
        <v>0</v>
      </c>
      <c r="AW963" s="133">
        <f ca="1">AW917+AW940*Timeline!AW376</f>
        <v>0</v>
      </c>
      <c r="AX963" s="133">
        <f ca="1">AX917+AX940*Timeline!AX376</f>
        <v>0</v>
      </c>
      <c r="AY963" s="133">
        <f ca="1">AY917+AY940*Timeline!AY376</f>
        <v>0</v>
      </c>
      <c r="AZ963" s="133">
        <f ca="1">AZ917+AZ940*Timeline!AZ376</f>
        <v>0</v>
      </c>
      <c r="BA963" s="133">
        <f ca="1">BA917+BA940*Timeline!BA376</f>
        <v>0</v>
      </c>
      <c r="BB963" s="133">
        <f ca="1">BB917+BB940*Timeline!BB376</f>
        <v>0</v>
      </c>
      <c r="BC963" s="133">
        <f ca="1">BC917+BC940*Timeline!BC376</f>
        <v>0</v>
      </c>
      <c r="BD963" s="133">
        <f ca="1">BD917+BD940*Timeline!BD376</f>
        <v>0</v>
      </c>
      <c r="BE963" s="133">
        <f ca="1">BE917+BE940*Timeline!BE376</f>
        <v>0</v>
      </c>
      <c r="BF963" s="133">
        <f ca="1">BF917+BF940*Timeline!BF376</f>
        <v>0</v>
      </c>
      <c r="BG963" s="133">
        <f ca="1">BG917+BG940*Timeline!BG376</f>
        <v>0</v>
      </c>
      <c r="BH963" s="133">
        <f ca="1">BH917+BH940*Timeline!BH376</f>
        <v>0</v>
      </c>
      <c r="BI963" s="133">
        <f ca="1">BI917+BI940*Timeline!BI376</f>
        <v>0</v>
      </c>
      <c r="BJ963" s="133">
        <f ca="1">BJ917+BJ940*Timeline!BJ376</f>
        <v>0</v>
      </c>
      <c r="BK963" s="106"/>
      <c r="BL963" s="106"/>
      <c r="BM963" s="106"/>
      <c r="BN963" s="106"/>
      <c r="BO963" s="106"/>
      <c r="BP963" s="106"/>
      <c r="BQ963" s="106"/>
      <c r="BR963" s="106"/>
      <c r="BS963" s="106"/>
      <c r="BT963" s="106"/>
      <c r="BU963" s="106"/>
      <c r="BV963" s="106"/>
      <c r="BX963" s="106"/>
      <c r="BY963" s="12">
        <f t="shared" ca="1" si="938"/>
        <v>0</v>
      </c>
      <c r="BZ963" s="12">
        <f t="shared" ca="1" si="939"/>
        <v>0</v>
      </c>
      <c r="CA963" s="12">
        <f t="shared" ca="1" si="940"/>
        <v>0</v>
      </c>
      <c r="CB963" s="106"/>
      <c r="CC963" s="106"/>
      <c r="CD963" s="106"/>
      <c r="CE963" s="106"/>
      <c r="CF963" s="106"/>
      <c r="CG963" s="106"/>
      <c r="CH963" s="106"/>
      <c r="CI963" s="106"/>
      <c r="CK963" s="11"/>
      <c r="CM963" s="11"/>
      <c r="DF963" s="11"/>
      <c r="EY963" s="12" t="str">
        <f t="shared" ca="1" si="941"/>
        <v>Amount Due Within One Year after Covenant Breach Adjustment Loan 10</v>
      </c>
    </row>
    <row r="964" spans="1:155" x14ac:dyDescent="0.35">
      <c r="B964" s="69" t="str" cm="1">
        <f t="array" aca="1" ref="B964" ca="1">HYPERLINK(CONCATENATE("#",CELL("address",$D$246)),$D$246)</f>
        <v>Loan 11</v>
      </c>
      <c r="C964" s="211" t="s">
        <v>1324</v>
      </c>
      <c r="D964" s="49">
        <f>D$23</f>
        <v>0</v>
      </c>
      <c r="E964" s="49" t="str">
        <f>F$23</f>
        <v/>
      </c>
      <c r="F964" s="49"/>
      <c r="H964" s="9"/>
      <c r="I964" s="40" t="s">
        <v>665</v>
      </c>
      <c r="V964" s="106"/>
      <c r="W964" s="133">
        <f t="shared" ca="1" si="937"/>
        <v>0</v>
      </c>
      <c r="X964" s="133">
        <f t="shared" ca="1" si="937"/>
        <v>0</v>
      </c>
      <c r="Y964" s="133">
        <f t="shared" ca="1" si="937"/>
        <v>0</v>
      </c>
      <c r="AA964" s="133">
        <f ca="1">AA918+AA941*Timeline!AA377</f>
        <v>0</v>
      </c>
      <c r="AB964" s="133">
        <f ca="1">AB918+AB941*Timeline!AB377</f>
        <v>0</v>
      </c>
      <c r="AC964" s="133">
        <f ca="1">AC918+AC941*Timeline!AC377</f>
        <v>0</v>
      </c>
      <c r="AD964" s="133">
        <f ca="1">AD918+AD941*Timeline!AD377</f>
        <v>0</v>
      </c>
      <c r="AE964" s="133">
        <f ca="1">AE918+AE941*Timeline!AE377</f>
        <v>0</v>
      </c>
      <c r="AF964" s="133">
        <f ca="1">AF918+AF941*Timeline!AF377</f>
        <v>0</v>
      </c>
      <c r="AG964" s="133">
        <f ca="1">AG918+AG941*Timeline!AG377</f>
        <v>0</v>
      </c>
      <c r="AH964" s="133">
        <f ca="1">AH918+AH941*Timeline!AH377</f>
        <v>0</v>
      </c>
      <c r="AI964" s="133">
        <f ca="1">AI918+AI941*Timeline!AI377</f>
        <v>0</v>
      </c>
      <c r="AJ964" s="133">
        <f ca="1">AJ918+AJ941*Timeline!AJ377</f>
        <v>0</v>
      </c>
      <c r="AK964" s="133">
        <f ca="1">AK918+AK941*Timeline!AK377</f>
        <v>0</v>
      </c>
      <c r="AL964" s="133">
        <f ca="1">AL918+AL941*Timeline!AL377</f>
        <v>0</v>
      </c>
      <c r="AM964" s="133">
        <f ca="1">AM918+AM941*Timeline!AM377</f>
        <v>0</v>
      </c>
      <c r="AN964" s="133">
        <f ca="1">AN918+AN941*Timeline!AN377</f>
        <v>0</v>
      </c>
      <c r="AO964" s="133">
        <f ca="1">AO918+AO941*Timeline!AO377</f>
        <v>0</v>
      </c>
      <c r="AP964" s="133">
        <f ca="1">AP918+AP941*Timeline!AP377</f>
        <v>0</v>
      </c>
      <c r="AQ964" s="133">
        <f ca="1">AQ918+AQ941*Timeline!AQ377</f>
        <v>0</v>
      </c>
      <c r="AR964" s="133">
        <f ca="1">AR918+AR941*Timeline!AR377</f>
        <v>0</v>
      </c>
      <c r="AS964" s="133">
        <f ca="1">AS918+AS941*Timeline!AS377</f>
        <v>0</v>
      </c>
      <c r="AT964" s="133">
        <f ca="1">AT918+AT941*Timeline!AT377</f>
        <v>0</v>
      </c>
      <c r="AU964" s="133">
        <f ca="1">AU918+AU941*Timeline!AU377</f>
        <v>0</v>
      </c>
      <c r="AV964" s="133">
        <f ca="1">AV918+AV941*Timeline!AV377</f>
        <v>0</v>
      </c>
      <c r="AW964" s="133">
        <f ca="1">AW918+AW941*Timeline!AW377</f>
        <v>0</v>
      </c>
      <c r="AX964" s="133">
        <f ca="1">AX918+AX941*Timeline!AX377</f>
        <v>0</v>
      </c>
      <c r="AY964" s="133">
        <f ca="1">AY918+AY941*Timeline!AY377</f>
        <v>0</v>
      </c>
      <c r="AZ964" s="133">
        <f ca="1">AZ918+AZ941*Timeline!AZ377</f>
        <v>0</v>
      </c>
      <c r="BA964" s="133">
        <f ca="1">BA918+BA941*Timeline!BA377</f>
        <v>0</v>
      </c>
      <c r="BB964" s="133">
        <f ca="1">BB918+BB941*Timeline!BB377</f>
        <v>0</v>
      </c>
      <c r="BC964" s="133">
        <f ca="1">BC918+BC941*Timeline!BC377</f>
        <v>0</v>
      </c>
      <c r="BD964" s="133">
        <f ca="1">BD918+BD941*Timeline!BD377</f>
        <v>0</v>
      </c>
      <c r="BE964" s="133">
        <f ca="1">BE918+BE941*Timeline!BE377</f>
        <v>0</v>
      </c>
      <c r="BF964" s="133">
        <f ca="1">BF918+BF941*Timeline!BF377</f>
        <v>0</v>
      </c>
      <c r="BG964" s="133">
        <f ca="1">BG918+BG941*Timeline!BG377</f>
        <v>0</v>
      </c>
      <c r="BH964" s="133">
        <f ca="1">BH918+BH941*Timeline!BH377</f>
        <v>0</v>
      </c>
      <c r="BI964" s="133">
        <f ca="1">BI918+BI941*Timeline!BI377</f>
        <v>0</v>
      </c>
      <c r="BJ964" s="133">
        <f ca="1">BJ918+BJ941*Timeline!BJ377</f>
        <v>0</v>
      </c>
      <c r="BK964" s="106"/>
      <c r="BL964" s="106"/>
      <c r="BM964" s="106"/>
      <c r="BN964" s="106"/>
      <c r="BO964" s="106"/>
      <c r="BP964" s="106"/>
      <c r="BQ964" s="106"/>
      <c r="BR964" s="106"/>
      <c r="BS964" s="106"/>
      <c r="BT964" s="106"/>
      <c r="BU964" s="106"/>
      <c r="BV964" s="106"/>
      <c r="BX964" s="106"/>
      <c r="BY964" s="12">
        <f t="shared" ca="1" si="938"/>
        <v>0</v>
      </c>
      <c r="BZ964" s="12">
        <f t="shared" ca="1" si="939"/>
        <v>0</v>
      </c>
      <c r="CA964" s="12">
        <f t="shared" ca="1" si="940"/>
        <v>0</v>
      </c>
      <c r="CB964" s="106"/>
      <c r="CC964" s="106"/>
      <c r="CD964" s="106"/>
      <c r="CE964" s="106"/>
      <c r="CF964" s="106"/>
      <c r="CG964" s="106"/>
      <c r="CH964" s="106"/>
      <c r="CI964" s="106"/>
      <c r="CK964" s="11"/>
      <c r="CM964" s="11"/>
      <c r="DF964" s="11"/>
      <c r="EY964" s="12" t="str">
        <f t="shared" ca="1" si="941"/>
        <v>Amount Due Within One Year after Covenant Breach Adjustment Loan 11</v>
      </c>
    </row>
    <row r="965" spans="1:155" x14ac:dyDescent="0.35">
      <c r="B965" s="69" t="str" cm="1">
        <f t="array" aca="1" ref="B965" ca="1">HYPERLINK(CONCATENATE("#",CELL("address",$D$265)),$D$265)</f>
        <v>Loan 12</v>
      </c>
      <c r="C965" s="211" t="s">
        <v>1325</v>
      </c>
      <c r="D965" s="49">
        <f>D$24</f>
        <v>0</v>
      </c>
      <c r="E965" s="49" t="str">
        <f>F$24</f>
        <v/>
      </c>
      <c r="F965" s="49"/>
      <c r="H965" s="9"/>
      <c r="I965" s="40" t="s">
        <v>665</v>
      </c>
      <c r="V965" s="106"/>
      <c r="W965" s="133">
        <f t="shared" ca="1" si="937"/>
        <v>0</v>
      </c>
      <c r="X965" s="133">
        <f t="shared" ca="1" si="937"/>
        <v>0</v>
      </c>
      <c r="Y965" s="133">
        <f t="shared" ca="1" si="937"/>
        <v>0</v>
      </c>
      <c r="AA965" s="133">
        <f ca="1">AA919+AA942*Timeline!AA378</f>
        <v>0</v>
      </c>
      <c r="AB965" s="133">
        <f ca="1">AB919+AB942*Timeline!AB378</f>
        <v>0</v>
      </c>
      <c r="AC965" s="133">
        <f ca="1">AC919+AC942*Timeline!AC378</f>
        <v>0</v>
      </c>
      <c r="AD965" s="133">
        <f ca="1">AD919+AD942*Timeline!AD378</f>
        <v>0</v>
      </c>
      <c r="AE965" s="133">
        <f ca="1">AE919+AE942*Timeline!AE378</f>
        <v>0</v>
      </c>
      <c r="AF965" s="133">
        <f ca="1">AF919+AF942*Timeline!AF378</f>
        <v>0</v>
      </c>
      <c r="AG965" s="133">
        <f ca="1">AG919+AG942*Timeline!AG378</f>
        <v>0</v>
      </c>
      <c r="AH965" s="133">
        <f ca="1">AH919+AH942*Timeline!AH378</f>
        <v>0</v>
      </c>
      <c r="AI965" s="133">
        <f ca="1">AI919+AI942*Timeline!AI378</f>
        <v>0</v>
      </c>
      <c r="AJ965" s="133">
        <f ca="1">AJ919+AJ942*Timeline!AJ378</f>
        <v>0</v>
      </c>
      <c r="AK965" s="133">
        <f ca="1">AK919+AK942*Timeline!AK378</f>
        <v>0</v>
      </c>
      <c r="AL965" s="133">
        <f ca="1">AL919+AL942*Timeline!AL378</f>
        <v>0</v>
      </c>
      <c r="AM965" s="133">
        <f ca="1">AM919+AM942*Timeline!AM378</f>
        <v>0</v>
      </c>
      <c r="AN965" s="133">
        <f ca="1">AN919+AN942*Timeline!AN378</f>
        <v>0</v>
      </c>
      <c r="AO965" s="133">
        <f ca="1">AO919+AO942*Timeline!AO378</f>
        <v>0</v>
      </c>
      <c r="AP965" s="133">
        <f ca="1">AP919+AP942*Timeline!AP378</f>
        <v>0</v>
      </c>
      <c r="AQ965" s="133">
        <f ca="1">AQ919+AQ942*Timeline!AQ378</f>
        <v>0</v>
      </c>
      <c r="AR965" s="133">
        <f ca="1">AR919+AR942*Timeline!AR378</f>
        <v>0</v>
      </c>
      <c r="AS965" s="133">
        <f ca="1">AS919+AS942*Timeline!AS378</f>
        <v>0</v>
      </c>
      <c r="AT965" s="133">
        <f ca="1">AT919+AT942*Timeline!AT378</f>
        <v>0</v>
      </c>
      <c r="AU965" s="133">
        <f ca="1">AU919+AU942*Timeline!AU378</f>
        <v>0</v>
      </c>
      <c r="AV965" s="133">
        <f ca="1">AV919+AV942*Timeline!AV378</f>
        <v>0</v>
      </c>
      <c r="AW965" s="133">
        <f ca="1">AW919+AW942*Timeline!AW378</f>
        <v>0</v>
      </c>
      <c r="AX965" s="133">
        <f ca="1">AX919+AX942*Timeline!AX378</f>
        <v>0</v>
      </c>
      <c r="AY965" s="133">
        <f ca="1">AY919+AY942*Timeline!AY378</f>
        <v>0</v>
      </c>
      <c r="AZ965" s="133">
        <f ca="1">AZ919+AZ942*Timeline!AZ378</f>
        <v>0</v>
      </c>
      <c r="BA965" s="133">
        <f ca="1">BA919+BA942*Timeline!BA378</f>
        <v>0</v>
      </c>
      <c r="BB965" s="133">
        <f ca="1">BB919+BB942*Timeline!BB378</f>
        <v>0</v>
      </c>
      <c r="BC965" s="133">
        <f ca="1">BC919+BC942*Timeline!BC378</f>
        <v>0</v>
      </c>
      <c r="BD965" s="133">
        <f ca="1">BD919+BD942*Timeline!BD378</f>
        <v>0</v>
      </c>
      <c r="BE965" s="133">
        <f ca="1">BE919+BE942*Timeline!BE378</f>
        <v>0</v>
      </c>
      <c r="BF965" s="133">
        <f ca="1">BF919+BF942*Timeline!BF378</f>
        <v>0</v>
      </c>
      <c r="BG965" s="133">
        <f ca="1">BG919+BG942*Timeline!BG378</f>
        <v>0</v>
      </c>
      <c r="BH965" s="133">
        <f ca="1">BH919+BH942*Timeline!BH378</f>
        <v>0</v>
      </c>
      <c r="BI965" s="133">
        <f ca="1">BI919+BI942*Timeline!BI378</f>
        <v>0</v>
      </c>
      <c r="BJ965" s="133">
        <f ca="1">BJ919+BJ942*Timeline!BJ378</f>
        <v>0</v>
      </c>
      <c r="BK965" s="106"/>
      <c r="BL965" s="106"/>
      <c r="BM965" s="106"/>
      <c r="BN965" s="106"/>
      <c r="BO965" s="106"/>
      <c r="BP965" s="106"/>
      <c r="BQ965" s="106"/>
      <c r="BR965" s="106"/>
      <c r="BS965" s="106"/>
      <c r="BT965" s="106"/>
      <c r="BU965" s="106"/>
      <c r="BV965" s="106"/>
      <c r="BX965" s="106"/>
      <c r="BY965" s="12">
        <f t="shared" ca="1" si="938"/>
        <v>0</v>
      </c>
      <c r="BZ965" s="12">
        <f t="shared" ca="1" si="939"/>
        <v>0</v>
      </c>
      <c r="CA965" s="12">
        <f t="shared" ca="1" si="940"/>
        <v>0</v>
      </c>
      <c r="CB965" s="106"/>
      <c r="CC965" s="106"/>
      <c r="CD965" s="106"/>
      <c r="CE965" s="106"/>
      <c r="CF965" s="106"/>
      <c r="CG965" s="106"/>
      <c r="CH965" s="106"/>
      <c r="CI965" s="106"/>
      <c r="CK965" s="11"/>
      <c r="CM965" s="11"/>
      <c r="DF965" s="11"/>
      <c r="EY965" s="12" t="str">
        <f t="shared" ca="1" si="941"/>
        <v>Amount Due Within One Year after Covenant Breach Adjustment Loan 12</v>
      </c>
    </row>
    <row r="966" spans="1:155" x14ac:dyDescent="0.35">
      <c r="B966" s="69" t="str" cm="1">
        <f t="array" aca="1" ref="B966" ca="1">HYPERLINK(CONCATENATE("#",CELL("address",$D$284)),$D$284)</f>
        <v>Loan 13</v>
      </c>
      <c r="C966" s="211" t="s">
        <v>1326</v>
      </c>
      <c r="D966" s="49">
        <f>D$25</f>
        <v>0</v>
      </c>
      <c r="E966" s="49" t="str">
        <f>F$25</f>
        <v/>
      </c>
      <c r="F966" s="49"/>
      <c r="H966" s="9"/>
      <c r="I966" s="40" t="s">
        <v>665</v>
      </c>
      <c r="V966" s="106"/>
      <c r="W966" s="133">
        <f t="shared" ca="1" si="937"/>
        <v>0</v>
      </c>
      <c r="X966" s="133">
        <f t="shared" ca="1" si="937"/>
        <v>0</v>
      </c>
      <c r="Y966" s="133">
        <f t="shared" ca="1" si="937"/>
        <v>0</v>
      </c>
      <c r="AA966" s="133">
        <f ca="1">AA920+AA943*Timeline!AA379</f>
        <v>0</v>
      </c>
      <c r="AB966" s="133">
        <f ca="1">AB920+AB943*Timeline!AB379</f>
        <v>0</v>
      </c>
      <c r="AC966" s="133">
        <f ca="1">AC920+AC943*Timeline!AC379</f>
        <v>0</v>
      </c>
      <c r="AD966" s="133">
        <f ca="1">AD920+AD943*Timeline!AD379</f>
        <v>0</v>
      </c>
      <c r="AE966" s="133">
        <f ca="1">AE920+AE943*Timeline!AE379</f>
        <v>0</v>
      </c>
      <c r="AF966" s="133">
        <f ca="1">AF920+AF943*Timeline!AF379</f>
        <v>0</v>
      </c>
      <c r="AG966" s="133">
        <f ca="1">AG920+AG943*Timeline!AG379</f>
        <v>0</v>
      </c>
      <c r="AH966" s="133">
        <f ca="1">AH920+AH943*Timeline!AH379</f>
        <v>0</v>
      </c>
      <c r="AI966" s="133">
        <f ca="1">AI920+AI943*Timeline!AI379</f>
        <v>0</v>
      </c>
      <c r="AJ966" s="133">
        <f ca="1">AJ920+AJ943*Timeline!AJ379</f>
        <v>0</v>
      </c>
      <c r="AK966" s="133">
        <f ca="1">AK920+AK943*Timeline!AK379</f>
        <v>0</v>
      </c>
      <c r="AL966" s="133">
        <f ca="1">AL920+AL943*Timeline!AL379</f>
        <v>0</v>
      </c>
      <c r="AM966" s="133">
        <f ca="1">AM920+AM943*Timeline!AM379</f>
        <v>0</v>
      </c>
      <c r="AN966" s="133">
        <f ca="1">AN920+AN943*Timeline!AN379</f>
        <v>0</v>
      </c>
      <c r="AO966" s="133">
        <f ca="1">AO920+AO943*Timeline!AO379</f>
        <v>0</v>
      </c>
      <c r="AP966" s="133">
        <f ca="1">AP920+AP943*Timeline!AP379</f>
        <v>0</v>
      </c>
      <c r="AQ966" s="133">
        <f ca="1">AQ920+AQ943*Timeline!AQ379</f>
        <v>0</v>
      </c>
      <c r="AR966" s="133">
        <f ca="1">AR920+AR943*Timeline!AR379</f>
        <v>0</v>
      </c>
      <c r="AS966" s="133">
        <f ca="1">AS920+AS943*Timeline!AS379</f>
        <v>0</v>
      </c>
      <c r="AT966" s="133">
        <f ca="1">AT920+AT943*Timeline!AT379</f>
        <v>0</v>
      </c>
      <c r="AU966" s="133">
        <f ca="1">AU920+AU943*Timeline!AU379</f>
        <v>0</v>
      </c>
      <c r="AV966" s="133">
        <f ca="1">AV920+AV943*Timeline!AV379</f>
        <v>0</v>
      </c>
      <c r="AW966" s="133">
        <f ca="1">AW920+AW943*Timeline!AW379</f>
        <v>0</v>
      </c>
      <c r="AX966" s="133">
        <f ca="1">AX920+AX943*Timeline!AX379</f>
        <v>0</v>
      </c>
      <c r="AY966" s="133">
        <f ca="1">AY920+AY943*Timeline!AY379</f>
        <v>0</v>
      </c>
      <c r="AZ966" s="133">
        <f ca="1">AZ920+AZ943*Timeline!AZ379</f>
        <v>0</v>
      </c>
      <c r="BA966" s="133">
        <f ca="1">BA920+BA943*Timeline!BA379</f>
        <v>0</v>
      </c>
      <c r="BB966" s="133">
        <f ca="1">BB920+BB943*Timeline!BB379</f>
        <v>0</v>
      </c>
      <c r="BC966" s="133">
        <f ca="1">BC920+BC943*Timeline!BC379</f>
        <v>0</v>
      </c>
      <c r="BD966" s="133">
        <f ca="1">BD920+BD943*Timeline!BD379</f>
        <v>0</v>
      </c>
      <c r="BE966" s="133">
        <f ca="1">BE920+BE943*Timeline!BE379</f>
        <v>0</v>
      </c>
      <c r="BF966" s="133">
        <f ca="1">BF920+BF943*Timeline!BF379</f>
        <v>0</v>
      </c>
      <c r="BG966" s="133">
        <f ca="1">BG920+BG943*Timeline!BG379</f>
        <v>0</v>
      </c>
      <c r="BH966" s="133">
        <f ca="1">BH920+BH943*Timeline!BH379</f>
        <v>0</v>
      </c>
      <c r="BI966" s="133">
        <f ca="1">BI920+BI943*Timeline!BI379</f>
        <v>0</v>
      </c>
      <c r="BJ966" s="133">
        <f ca="1">BJ920+BJ943*Timeline!BJ379</f>
        <v>0</v>
      </c>
      <c r="BK966" s="106"/>
      <c r="BL966" s="106"/>
      <c r="BM966" s="106"/>
      <c r="BN966" s="106"/>
      <c r="BO966" s="106"/>
      <c r="BP966" s="106"/>
      <c r="BQ966" s="106"/>
      <c r="BR966" s="106"/>
      <c r="BS966" s="106"/>
      <c r="BT966" s="106"/>
      <c r="BU966" s="106"/>
      <c r="BV966" s="106"/>
      <c r="BX966" s="106"/>
      <c r="BY966" s="12">
        <f t="shared" ca="1" si="938"/>
        <v>0</v>
      </c>
      <c r="BZ966" s="12">
        <f t="shared" ca="1" si="939"/>
        <v>0</v>
      </c>
      <c r="CA966" s="12">
        <f t="shared" ca="1" si="940"/>
        <v>0</v>
      </c>
      <c r="CB966" s="106"/>
      <c r="CC966" s="106"/>
      <c r="CD966" s="106"/>
      <c r="CE966" s="106"/>
      <c r="CF966" s="106"/>
      <c r="CG966" s="106"/>
      <c r="CH966" s="106"/>
      <c r="CI966" s="106"/>
      <c r="CK966" s="11"/>
      <c r="CM966" s="11"/>
      <c r="DF966" s="11"/>
      <c r="EY966" s="12" t="str">
        <f t="shared" ca="1" si="941"/>
        <v>Amount Due Within One Year after Covenant Breach Adjustment Loan 13</v>
      </c>
    </row>
    <row r="967" spans="1:155" s="5" customFormat="1" x14ac:dyDescent="0.35">
      <c r="A967"/>
      <c r="B967" s="69" t="str" cm="1">
        <f t="array" aca="1" ref="B967" ca="1">HYPERLINK(CONCATENATE("#",CELL("address",$D$303)),$D$303)</f>
        <v>Loan 14</v>
      </c>
      <c r="C967" s="211" t="s">
        <v>1327</v>
      </c>
      <c r="D967" s="49">
        <f>D$26</f>
        <v>0</v>
      </c>
      <c r="E967" s="49" t="str">
        <f>F$26</f>
        <v/>
      </c>
      <c r="F967" s="49"/>
      <c r="G967"/>
      <c r="H967" s="9"/>
      <c r="I967" s="40" t="s">
        <v>665</v>
      </c>
      <c r="J967"/>
      <c r="K967"/>
      <c r="L967"/>
      <c r="M967"/>
      <c r="N967"/>
      <c r="O967"/>
      <c r="P967"/>
      <c r="Q967"/>
      <c r="R967"/>
      <c r="S967"/>
      <c r="T967"/>
      <c r="U967"/>
      <c r="V967" s="106"/>
      <c r="W967" s="133">
        <f t="shared" ca="1" si="937"/>
        <v>0</v>
      </c>
      <c r="X967" s="133">
        <f t="shared" ca="1" si="937"/>
        <v>0</v>
      </c>
      <c r="Y967" s="133">
        <f t="shared" ca="1" si="937"/>
        <v>0</v>
      </c>
      <c r="Z967"/>
      <c r="AA967" s="133">
        <f ca="1">AA921+AA944*Timeline!AA380</f>
        <v>0</v>
      </c>
      <c r="AB967" s="133">
        <f ca="1">AB921+AB944*Timeline!AB380</f>
        <v>0</v>
      </c>
      <c r="AC967" s="133">
        <f ca="1">AC921+AC944*Timeline!AC380</f>
        <v>0</v>
      </c>
      <c r="AD967" s="133">
        <f ca="1">AD921+AD944*Timeline!AD380</f>
        <v>0</v>
      </c>
      <c r="AE967" s="133">
        <f ca="1">AE921+AE944*Timeline!AE380</f>
        <v>0</v>
      </c>
      <c r="AF967" s="133">
        <f ca="1">AF921+AF944*Timeline!AF380</f>
        <v>0</v>
      </c>
      <c r="AG967" s="133">
        <f ca="1">AG921+AG944*Timeline!AG380</f>
        <v>0</v>
      </c>
      <c r="AH967" s="133">
        <f ca="1">AH921+AH944*Timeline!AH380</f>
        <v>0</v>
      </c>
      <c r="AI967" s="133">
        <f ca="1">AI921+AI944*Timeline!AI380</f>
        <v>0</v>
      </c>
      <c r="AJ967" s="133">
        <f ca="1">AJ921+AJ944*Timeline!AJ380</f>
        <v>0</v>
      </c>
      <c r="AK967" s="133">
        <f ca="1">AK921+AK944*Timeline!AK380</f>
        <v>0</v>
      </c>
      <c r="AL967" s="133">
        <f ca="1">AL921+AL944*Timeline!AL380</f>
        <v>0</v>
      </c>
      <c r="AM967" s="133">
        <f ca="1">AM921+AM944*Timeline!AM380</f>
        <v>0</v>
      </c>
      <c r="AN967" s="133">
        <f ca="1">AN921+AN944*Timeline!AN380</f>
        <v>0</v>
      </c>
      <c r="AO967" s="133">
        <f ca="1">AO921+AO944*Timeline!AO380</f>
        <v>0</v>
      </c>
      <c r="AP967" s="133">
        <f ca="1">AP921+AP944*Timeline!AP380</f>
        <v>0</v>
      </c>
      <c r="AQ967" s="133">
        <f ca="1">AQ921+AQ944*Timeline!AQ380</f>
        <v>0</v>
      </c>
      <c r="AR967" s="133">
        <f ca="1">AR921+AR944*Timeline!AR380</f>
        <v>0</v>
      </c>
      <c r="AS967" s="133">
        <f ca="1">AS921+AS944*Timeline!AS380</f>
        <v>0</v>
      </c>
      <c r="AT967" s="133">
        <f ca="1">AT921+AT944*Timeline!AT380</f>
        <v>0</v>
      </c>
      <c r="AU967" s="133">
        <f ca="1">AU921+AU944*Timeline!AU380</f>
        <v>0</v>
      </c>
      <c r="AV967" s="133">
        <f ca="1">AV921+AV944*Timeline!AV380</f>
        <v>0</v>
      </c>
      <c r="AW967" s="133">
        <f ca="1">AW921+AW944*Timeline!AW380</f>
        <v>0</v>
      </c>
      <c r="AX967" s="133">
        <f ca="1">AX921+AX944*Timeline!AX380</f>
        <v>0</v>
      </c>
      <c r="AY967" s="133">
        <f ca="1">AY921+AY944*Timeline!AY380</f>
        <v>0</v>
      </c>
      <c r="AZ967" s="133">
        <f ca="1">AZ921+AZ944*Timeline!AZ380</f>
        <v>0</v>
      </c>
      <c r="BA967" s="133">
        <f ca="1">BA921+BA944*Timeline!BA380</f>
        <v>0</v>
      </c>
      <c r="BB967" s="133">
        <f ca="1">BB921+BB944*Timeline!BB380</f>
        <v>0</v>
      </c>
      <c r="BC967" s="133">
        <f ca="1">BC921+BC944*Timeline!BC380</f>
        <v>0</v>
      </c>
      <c r="BD967" s="133">
        <f ca="1">BD921+BD944*Timeline!BD380</f>
        <v>0</v>
      </c>
      <c r="BE967" s="133">
        <f ca="1">BE921+BE944*Timeline!BE380</f>
        <v>0</v>
      </c>
      <c r="BF967" s="133">
        <f ca="1">BF921+BF944*Timeline!BF380</f>
        <v>0</v>
      </c>
      <c r="BG967" s="133">
        <f ca="1">BG921+BG944*Timeline!BG380</f>
        <v>0</v>
      </c>
      <c r="BH967" s="133">
        <f ca="1">BH921+BH944*Timeline!BH380</f>
        <v>0</v>
      </c>
      <c r="BI967" s="133">
        <f ca="1">BI921+BI944*Timeline!BI380</f>
        <v>0</v>
      </c>
      <c r="BJ967" s="133">
        <f ca="1">BJ921+BJ944*Timeline!BJ380</f>
        <v>0</v>
      </c>
      <c r="BK967" s="106"/>
      <c r="BL967" s="106"/>
      <c r="BM967" s="106"/>
      <c r="BN967" s="106"/>
      <c r="BO967" s="106"/>
      <c r="BP967" s="106"/>
      <c r="BQ967" s="106"/>
      <c r="BR967" s="106"/>
      <c r="BS967" s="106"/>
      <c r="BT967" s="106"/>
      <c r="BU967" s="106"/>
      <c r="BV967" s="106"/>
      <c r="BW967"/>
      <c r="BX967" s="106"/>
      <c r="BY967" s="12">
        <f t="shared" ca="1" si="938"/>
        <v>0</v>
      </c>
      <c r="BZ967" s="12">
        <f t="shared" ca="1" si="939"/>
        <v>0</v>
      </c>
      <c r="CA967" s="12">
        <f t="shared" ca="1" si="940"/>
        <v>0</v>
      </c>
      <c r="CB967" s="106"/>
      <c r="CC967" s="106"/>
      <c r="CD967" s="106"/>
      <c r="CE967" s="106"/>
      <c r="CF967" s="106"/>
      <c r="CG967" s="106"/>
      <c r="CH967" s="106"/>
      <c r="CI967" s="106"/>
      <c r="CJ967"/>
      <c r="CK967" s="11"/>
      <c r="CL967"/>
      <c r="CM967" s="11"/>
      <c r="CN967"/>
      <c r="CO967"/>
      <c r="CP967"/>
      <c r="CQ967"/>
      <c r="CR967"/>
      <c r="CS967"/>
      <c r="CT967"/>
      <c r="CU967"/>
      <c r="CV967"/>
      <c r="CW967"/>
      <c r="CX967"/>
      <c r="CY967"/>
      <c r="CZ967"/>
      <c r="DA967"/>
      <c r="DB967"/>
      <c r="DC967"/>
      <c r="DD967"/>
      <c r="DE967"/>
      <c r="DF967" s="11"/>
      <c r="EY967" s="12" t="str">
        <f t="shared" ca="1" si="941"/>
        <v>Amount Due Within One Year after Covenant Breach Adjustment Loan 14</v>
      </c>
    </row>
    <row r="968" spans="1:155" x14ac:dyDescent="0.35">
      <c r="B968" s="69" t="str" cm="1">
        <f t="array" aca="1" ref="B968" ca="1">HYPERLINK(CONCATENATE("#",CELL("address",$D$322)),$D$322)</f>
        <v>Loan 15</v>
      </c>
      <c r="C968" s="211" t="s">
        <v>1328</v>
      </c>
      <c r="D968" s="49">
        <f>D$27</f>
        <v>0</v>
      </c>
      <c r="E968" s="49" t="str">
        <f>F$27</f>
        <v/>
      </c>
      <c r="F968" s="49"/>
      <c r="H968" s="9"/>
      <c r="I968" s="40" t="s">
        <v>665</v>
      </c>
      <c r="V968" s="106"/>
      <c r="W968" s="133">
        <f t="shared" ca="1" si="937"/>
        <v>0</v>
      </c>
      <c r="X968" s="133">
        <f t="shared" ca="1" si="937"/>
        <v>0</v>
      </c>
      <c r="Y968" s="133">
        <f t="shared" ca="1" si="937"/>
        <v>0</v>
      </c>
      <c r="AA968" s="133">
        <f ca="1">AA922+AA945*Timeline!AA381</f>
        <v>0</v>
      </c>
      <c r="AB968" s="133">
        <f ca="1">AB922+AB945*Timeline!AB381</f>
        <v>0</v>
      </c>
      <c r="AC968" s="133">
        <f ca="1">AC922+AC945*Timeline!AC381</f>
        <v>0</v>
      </c>
      <c r="AD968" s="133">
        <f ca="1">AD922+AD945*Timeline!AD381</f>
        <v>0</v>
      </c>
      <c r="AE968" s="133">
        <f ca="1">AE922+AE945*Timeline!AE381</f>
        <v>0</v>
      </c>
      <c r="AF968" s="133">
        <f ca="1">AF922+AF945*Timeline!AF381</f>
        <v>0</v>
      </c>
      <c r="AG968" s="133">
        <f ca="1">AG922+AG945*Timeline!AG381</f>
        <v>0</v>
      </c>
      <c r="AH968" s="133">
        <f ca="1">AH922+AH945*Timeline!AH381</f>
        <v>0</v>
      </c>
      <c r="AI968" s="133">
        <f ca="1">AI922+AI945*Timeline!AI381</f>
        <v>0</v>
      </c>
      <c r="AJ968" s="133">
        <f ca="1">AJ922+AJ945*Timeline!AJ381</f>
        <v>0</v>
      </c>
      <c r="AK968" s="133">
        <f ca="1">AK922+AK945*Timeline!AK381</f>
        <v>0</v>
      </c>
      <c r="AL968" s="133">
        <f ca="1">AL922+AL945*Timeline!AL381</f>
        <v>0</v>
      </c>
      <c r="AM968" s="133">
        <f ca="1">AM922+AM945*Timeline!AM381</f>
        <v>0</v>
      </c>
      <c r="AN968" s="133">
        <f ca="1">AN922+AN945*Timeline!AN381</f>
        <v>0</v>
      </c>
      <c r="AO968" s="133">
        <f ca="1">AO922+AO945*Timeline!AO381</f>
        <v>0</v>
      </c>
      <c r="AP968" s="133">
        <f ca="1">AP922+AP945*Timeline!AP381</f>
        <v>0</v>
      </c>
      <c r="AQ968" s="133">
        <f ca="1">AQ922+AQ945*Timeline!AQ381</f>
        <v>0</v>
      </c>
      <c r="AR968" s="133">
        <f ca="1">AR922+AR945*Timeline!AR381</f>
        <v>0</v>
      </c>
      <c r="AS968" s="133">
        <f ca="1">AS922+AS945*Timeline!AS381</f>
        <v>0</v>
      </c>
      <c r="AT968" s="133">
        <f ca="1">AT922+AT945*Timeline!AT381</f>
        <v>0</v>
      </c>
      <c r="AU968" s="133">
        <f ca="1">AU922+AU945*Timeline!AU381</f>
        <v>0</v>
      </c>
      <c r="AV968" s="133">
        <f ca="1">AV922+AV945*Timeline!AV381</f>
        <v>0</v>
      </c>
      <c r="AW968" s="133">
        <f ca="1">AW922+AW945*Timeline!AW381</f>
        <v>0</v>
      </c>
      <c r="AX968" s="133">
        <f ca="1">AX922+AX945*Timeline!AX381</f>
        <v>0</v>
      </c>
      <c r="AY968" s="133">
        <f ca="1">AY922+AY945*Timeline!AY381</f>
        <v>0</v>
      </c>
      <c r="AZ968" s="133">
        <f ca="1">AZ922+AZ945*Timeline!AZ381</f>
        <v>0</v>
      </c>
      <c r="BA968" s="133">
        <f ca="1">BA922+BA945*Timeline!BA381</f>
        <v>0</v>
      </c>
      <c r="BB968" s="133">
        <f ca="1">BB922+BB945*Timeline!BB381</f>
        <v>0</v>
      </c>
      <c r="BC968" s="133">
        <f ca="1">BC922+BC945*Timeline!BC381</f>
        <v>0</v>
      </c>
      <c r="BD968" s="133">
        <f ca="1">BD922+BD945*Timeline!BD381</f>
        <v>0</v>
      </c>
      <c r="BE968" s="133">
        <f ca="1">BE922+BE945*Timeline!BE381</f>
        <v>0</v>
      </c>
      <c r="BF968" s="133">
        <f ca="1">BF922+BF945*Timeline!BF381</f>
        <v>0</v>
      </c>
      <c r="BG968" s="133">
        <f ca="1">BG922+BG945*Timeline!BG381</f>
        <v>0</v>
      </c>
      <c r="BH968" s="133">
        <f ca="1">BH922+BH945*Timeline!BH381</f>
        <v>0</v>
      </c>
      <c r="BI968" s="133">
        <f ca="1">BI922+BI945*Timeline!BI381</f>
        <v>0</v>
      </c>
      <c r="BJ968" s="133">
        <f ca="1">BJ922+BJ945*Timeline!BJ381</f>
        <v>0</v>
      </c>
      <c r="BK968" s="106"/>
      <c r="BL968" s="106"/>
      <c r="BM968" s="106"/>
      <c r="BN968" s="106"/>
      <c r="BO968" s="106"/>
      <c r="BP968" s="106"/>
      <c r="BQ968" s="106"/>
      <c r="BR968" s="106"/>
      <c r="BS968" s="106"/>
      <c r="BT968" s="106"/>
      <c r="BU968" s="106"/>
      <c r="BV968" s="106"/>
      <c r="BX968" s="106"/>
      <c r="BY968" s="12">
        <f t="shared" ca="1" si="938"/>
        <v>0</v>
      </c>
      <c r="BZ968" s="12">
        <f t="shared" ca="1" si="939"/>
        <v>0</v>
      </c>
      <c r="CA968" s="12">
        <f t="shared" ca="1" si="940"/>
        <v>0</v>
      </c>
      <c r="CB968" s="106"/>
      <c r="CC968" s="106"/>
      <c r="CD968" s="106"/>
      <c r="CE968" s="106"/>
      <c r="CF968" s="106"/>
      <c r="CG968" s="106"/>
      <c r="CH968" s="106"/>
      <c r="CI968" s="106"/>
      <c r="CK968" s="11"/>
      <c r="CM968" s="11"/>
      <c r="DF968" s="11"/>
      <c r="EY968" s="12" t="str">
        <f t="shared" ca="1" si="941"/>
        <v>Amount Due Within One Year after Covenant Breach Adjustment Loan 15</v>
      </c>
    </row>
    <row r="969" spans="1:155" x14ac:dyDescent="0.35">
      <c r="B969" s="69" t="str" cm="1">
        <f t="array" aca="1" ref="B969" ca="1">HYPERLINK(CONCATENATE("#",CELL("address",$D$341)),$D$341)</f>
        <v>Loan 16</v>
      </c>
      <c r="C969" s="211" t="s">
        <v>1329</v>
      </c>
      <c r="D969" s="49">
        <f>D$28</f>
        <v>0</v>
      </c>
      <c r="E969" s="49" t="str">
        <f>F$28</f>
        <v/>
      </c>
      <c r="F969" s="49"/>
      <c r="H969" s="9"/>
      <c r="I969" s="40" t="s">
        <v>665</v>
      </c>
      <c r="V969" s="106"/>
      <c r="W969" s="133">
        <f t="shared" ca="1" si="937"/>
        <v>0</v>
      </c>
      <c r="X969" s="133">
        <f t="shared" ca="1" si="937"/>
        <v>0</v>
      </c>
      <c r="Y969" s="133">
        <f t="shared" ca="1" si="937"/>
        <v>0</v>
      </c>
      <c r="AA969" s="133">
        <f ca="1">AA923+AA946*Timeline!AA382</f>
        <v>0</v>
      </c>
      <c r="AB969" s="133">
        <f ca="1">AB923+AB946*Timeline!AB382</f>
        <v>0</v>
      </c>
      <c r="AC969" s="133">
        <f ca="1">AC923+AC946*Timeline!AC382</f>
        <v>0</v>
      </c>
      <c r="AD969" s="133">
        <f ca="1">AD923+AD946*Timeline!AD382</f>
        <v>0</v>
      </c>
      <c r="AE969" s="133">
        <f ca="1">AE923+AE946*Timeline!AE382</f>
        <v>0</v>
      </c>
      <c r="AF969" s="133">
        <f ca="1">AF923+AF946*Timeline!AF382</f>
        <v>0</v>
      </c>
      <c r="AG969" s="133">
        <f ca="1">AG923+AG946*Timeline!AG382</f>
        <v>0</v>
      </c>
      <c r="AH969" s="133">
        <f ca="1">AH923+AH946*Timeline!AH382</f>
        <v>0</v>
      </c>
      <c r="AI969" s="133">
        <f ca="1">AI923+AI946*Timeline!AI382</f>
        <v>0</v>
      </c>
      <c r="AJ969" s="133">
        <f ca="1">AJ923+AJ946*Timeline!AJ382</f>
        <v>0</v>
      </c>
      <c r="AK969" s="133">
        <f ca="1">AK923+AK946*Timeline!AK382</f>
        <v>0</v>
      </c>
      <c r="AL969" s="133">
        <f ca="1">AL923+AL946*Timeline!AL382</f>
        <v>0</v>
      </c>
      <c r="AM969" s="133">
        <f ca="1">AM923+AM946*Timeline!AM382</f>
        <v>0</v>
      </c>
      <c r="AN969" s="133">
        <f ca="1">AN923+AN946*Timeline!AN382</f>
        <v>0</v>
      </c>
      <c r="AO969" s="133">
        <f ca="1">AO923+AO946*Timeline!AO382</f>
        <v>0</v>
      </c>
      <c r="AP969" s="133">
        <f ca="1">AP923+AP946*Timeline!AP382</f>
        <v>0</v>
      </c>
      <c r="AQ969" s="133">
        <f ca="1">AQ923+AQ946*Timeline!AQ382</f>
        <v>0</v>
      </c>
      <c r="AR969" s="133">
        <f ca="1">AR923+AR946*Timeline!AR382</f>
        <v>0</v>
      </c>
      <c r="AS969" s="133">
        <f ca="1">AS923+AS946*Timeline!AS382</f>
        <v>0</v>
      </c>
      <c r="AT969" s="133">
        <f ca="1">AT923+AT946*Timeline!AT382</f>
        <v>0</v>
      </c>
      <c r="AU969" s="133">
        <f ca="1">AU923+AU946*Timeline!AU382</f>
        <v>0</v>
      </c>
      <c r="AV969" s="133">
        <f ca="1">AV923+AV946*Timeline!AV382</f>
        <v>0</v>
      </c>
      <c r="AW969" s="133">
        <f ca="1">AW923+AW946*Timeline!AW382</f>
        <v>0</v>
      </c>
      <c r="AX969" s="133">
        <f ca="1">AX923+AX946*Timeline!AX382</f>
        <v>0</v>
      </c>
      <c r="AY969" s="133">
        <f ca="1">AY923+AY946*Timeline!AY382</f>
        <v>0</v>
      </c>
      <c r="AZ969" s="133">
        <f ca="1">AZ923+AZ946*Timeline!AZ382</f>
        <v>0</v>
      </c>
      <c r="BA969" s="133">
        <f ca="1">BA923+BA946*Timeline!BA382</f>
        <v>0</v>
      </c>
      <c r="BB969" s="133">
        <f ca="1">BB923+BB946*Timeline!BB382</f>
        <v>0</v>
      </c>
      <c r="BC969" s="133">
        <f ca="1">BC923+BC946*Timeline!BC382</f>
        <v>0</v>
      </c>
      <c r="BD969" s="133">
        <f ca="1">BD923+BD946*Timeline!BD382</f>
        <v>0</v>
      </c>
      <c r="BE969" s="133">
        <f ca="1">BE923+BE946*Timeline!BE382</f>
        <v>0</v>
      </c>
      <c r="BF969" s="133">
        <f ca="1">BF923+BF946*Timeline!BF382</f>
        <v>0</v>
      </c>
      <c r="BG969" s="133">
        <f ca="1">BG923+BG946*Timeline!BG382</f>
        <v>0</v>
      </c>
      <c r="BH969" s="133">
        <f ca="1">BH923+BH946*Timeline!BH382</f>
        <v>0</v>
      </c>
      <c r="BI969" s="133">
        <f ca="1">BI923+BI946*Timeline!BI382</f>
        <v>0</v>
      </c>
      <c r="BJ969" s="133">
        <f ca="1">BJ923+BJ946*Timeline!BJ382</f>
        <v>0</v>
      </c>
      <c r="BK969" s="106"/>
      <c r="BL969" s="106"/>
      <c r="BM969" s="106"/>
      <c r="BN969" s="106"/>
      <c r="BO969" s="106"/>
      <c r="BP969" s="106"/>
      <c r="BQ969" s="106"/>
      <c r="BR969" s="106"/>
      <c r="BS969" s="106"/>
      <c r="BT969" s="106"/>
      <c r="BU969" s="106"/>
      <c r="BV969" s="106"/>
      <c r="BX969" s="106"/>
      <c r="BY969" s="12">
        <f t="shared" ca="1" si="938"/>
        <v>0</v>
      </c>
      <c r="BZ969" s="12">
        <f t="shared" ca="1" si="939"/>
        <v>0</v>
      </c>
      <c r="CA969" s="12">
        <f t="shared" ca="1" si="940"/>
        <v>0</v>
      </c>
      <c r="CB969" s="106"/>
      <c r="CC969" s="106"/>
      <c r="CD969" s="106"/>
      <c r="CE969" s="106"/>
      <c r="CF969" s="106"/>
      <c r="CG969" s="106"/>
      <c r="CH969" s="106"/>
      <c r="CI969" s="106"/>
      <c r="CK969" s="11"/>
      <c r="CM969" s="11"/>
      <c r="DF969" s="11"/>
      <c r="EY969" s="12" t="str">
        <f t="shared" ca="1" si="941"/>
        <v>Amount Due Within One Year after Covenant Breach Adjustment Loan 16</v>
      </c>
    </row>
    <row r="970" spans="1:155" x14ac:dyDescent="0.35">
      <c r="B970" s="69" t="str" cm="1">
        <f t="array" aca="1" ref="B970" ca="1">HYPERLINK(CONCATENATE("#",CELL("address",$D$360)),$D$360)</f>
        <v>Loan 17</v>
      </c>
      <c r="C970" s="211" t="s">
        <v>1330</v>
      </c>
      <c r="D970" s="49">
        <f>D$29</f>
        <v>0</v>
      </c>
      <c r="E970" s="49" t="str">
        <f>F$29</f>
        <v/>
      </c>
      <c r="F970" s="49"/>
      <c r="H970" s="9"/>
      <c r="I970" s="40" t="s">
        <v>665</v>
      </c>
      <c r="V970" s="106"/>
      <c r="W970" s="133">
        <f t="shared" ca="1" si="937"/>
        <v>0</v>
      </c>
      <c r="X970" s="133">
        <f t="shared" ca="1" si="937"/>
        <v>0</v>
      </c>
      <c r="Y970" s="133">
        <f t="shared" ca="1" si="937"/>
        <v>0</v>
      </c>
      <c r="AA970" s="133">
        <f ca="1">AA924+AA947*Timeline!AA383</f>
        <v>0</v>
      </c>
      <c r="AB970" s="133">
        <f ca="1">AB924+AB947*Timeline!AB383</f>
        <v>0</v>
      </c>
      <c r="AC970" s="133">
        <f ca="1">AC924+AC947*Timeline!AC383</f>
        <v>0</v>
      </c>
      <c r="AD970" s="133">
        <f ca="1">AD924+AD947*Timeline!AD383</f>
        <v>0</v>
      </c>
      <c r="AE970" s="133">
        <f ca="1">AE924+AE947*Timeline!AE383</f>
        <v>0</v>
      </c>
      <c r="AF970" s="133">
        <f ca="1">AF924+AF947*Timeline!AF383</f>
        <v>0</v>
      </c>
      <c r="AG970" s="133">
        <f ca="1">AG924+AG947*Timeline!AG383</f>
        <v>0</v>
      </c>
      <c r="AH970" s="133">
        <f ca="1">AH924+AH947*Timeline!AH383</f>
        <v>0</v>
      </c>
      <c r="AI970" s="133">
        <f ca="1">AI924+AI947*Timeline!AI383</f>
        <v>0</v>
      </c>
      <c r="AJ970" s="133">
        <f ca="1">AJ924+AJ947*Timeline!AJ383</f>
        <v>0</v>
      </c>
      <c r="AK970" s="133">
        <f ca="1">AK924+AK947*Timeline!AK383</f>
        <v>0</v>
      </c>
      <c r="AL970" s="133">
        <f ca="1">AL924+AL947*Timeline!AL383</f>
        <v>0</v>
      </c>
      <c r="AM970" s="133">
        <f ca="1">AM924+AM947*Timeline!AM383</f>
        <v>0</v>
      </c>
      <c r="AN970" s="133">
        <f ca="1">AN924+AN947*Timeline!AN383</f>
        <v>0</v>
      </c>
      <c r="AO970" s="133">
        <f ca="1">AO924+AO947*Timeline!AO383</f>
        <v>0</v>
      </c>
      <c r="AP970" s="133">
        <f ca="1">AP924+AP947*Timeline!AP383</f>
        <v>0</v>
      </c>
      <c r="AQ970" s="133">
        <f ca="1">AQ924+AQ947*Timeline!AQ383</f>
        <v>0</v>
      </c>
      <c r="AR970" s="133">
        <f ca="1">AR924+AR947*Timeline!AR383</f>
        <v>0</v>
      </c>
      <c r="AS970" s="133">
        <f ca="1">AS924+AS947*Timeline!AS383</f>
        <v>0</v>
      </c>
      <c r="AT970" s="133">
        <f ca="1">AT924+AT947*Timeline!AT383</f>
        <v>0</v>
      </c>
      <c r="AU970" s="133">
        <f ca="1">AU924+AU947*Timeline!AU383</f>
        <v>0</v>
      </c>
      <c r="AV970" s="133">
        <f ca="1">AV924+AV947*Timeline!AV383</f>
        <v>0</v>
      </c>
      <c r="AW970" s="133">
        <f ca="1">AW924+AW947*Timeline!AW383</f>
        <v>0</v>
      </c>
      <c r="AX970" s="133">
        <f ca="1">AX924+AX947*Timeline!AX383</f>
        <v>0</v>
      </c>
      <c r="AY970" s="133">
        <f ca="1">AY924+AY947*Timeline!AY383</f>
        <v>0</v>
      </c>
      <c r="AZ970" s="133">
        <f ca="1">AZ924+AZ947*Timeline!AZ383</f>
        <v>0</v>
      </c>
      <c r="BA970" s="133">
        <f ca="1">BA924+BA947*Timeline!BA383</f>
        <v>0</v>
      </c>
      <c r="BB970" s="133">
        <f ca="1">BB924+BB947*Timeline!BB383</f>
        <v>0</v>
      </c>
      <c r="BC970" s="133">
        <f ca="1">BC924+BC947*Timeline!BC383</f>
        <v>0</v>
      </c>
      <c r="BD970" s="133">
        <f ca="1">BD924+BD947*Timeline!BD383</f>
        <v>0</v>
      </c>
      <c r="BE970" s="133">
        <f ca="1">BE924+BE947*Timeline!BE383</f>
        <v>0</v>
      </c>
      <c r="BF970" s="133">
        <f ca="1">BF924+BF947*Timeline!BF383</f>
        <v>0</v>
      </c>
      <c r="BG970" s="133">
        <f ca="1">BG924+BG947*Timeline!BG383</f>
        <v>0</v>
      </c>
      <c r="BH970" s="133">
        <f ca="1">BH924+BH947*Timeline!BH383</f>
        <v>0</v>
      </c>
      <c r="BI970" s="133">
        <f ca="1">BI924+BI947*Timeline!BI383</f>
        <v>0</v>
      </c>
      <c r="BJ970" s="133">
        <f ca="1">BJ924+BJ947*Timeline!BJ383</f>
        <v>0</v>
      </c>
      <c r="BK970" s="106"/>
      <c r="BL970" s="106"/>
      <c r="BM970" s="106"/>
      <c r="BN970" s="106"/>
      <c r="BO970" s="106"/>
      <c r="BP970" s="106"/>
      <c r="BQ970" s="106"/>
      <c r="BR970" s="106"/>
      <c r="BS970" s="106"/>
      <c r="BT970" s="106"/>
      <c r="BU970" s="106"/>
      <c r="BV970" s="106"/>
      <c r="BX970" s="106"/>
      <c r="BY970" s="12">
        <f t="shared" ca="1" si="938"/>
        <v>0</v>
      </c>
      <c r="BZ970" s="12">
        <f t="shared" ca="1" si="939"/>
        <v>0</v>
      </c>
      <c r="CA970" s="12">
        <f t="shared" ca="1" si="940"/>
        <v>0</v>
      </c>
      <c r="CB970" s="106"/>
      <c r="CC970" s="106"/>
      <c r="CD970" s="106"/>
      <c r="CE970" s="106"/>
      <c r="CF970" s="106"/>
      <c r="CG970" s="106"/>
      <c r="CH970" s="106"/>
      <c r="CI970" s="106"/>
      <c r="CK970" s="11"/>
      <c r="CM970" s="11"/>
      <c r="DF970" s="11"/>
      <c r="EY970" s="12" t="str">
        <f t="shared" ca="1" si="941"/>
        <v>Amount Due Within One Year after Covenant Breach Adjustment Loan 17</v>
      </c>
    </row>
    <row r="971" spans="1:155" x14ac:dyDescent="0.35">
      <c r="B971" s="69" t="str" cm="1">
        <f t="array" aca="1" ref="B971" ca="1">HYPERLINK(CONCATENATE("#",CELL("address",$D$379)),$D$379)</f>
        <v>Loan 18</v>
      </c>
      <c r="C971" s="211" t="s">
        <v>1331</v>
      </c>
      <c r="D971" s="49">
        <f>D$30</f>
        <v>0</v>
      </c>
      <c r="E971" s="49" t="str">
        <f>F$30</f>
        <v/>
      </c>
      <c r="F971" s="49"/>
      <c r="H971" s="9"/>
      <c r="I971" s="40" t="s">
        <v>665</v>
      </c>
      <c r="V971" s="106"/>
      <c r="W971" s="133">
        <f t="shared" ca="1" si="937"/>
        <v>0</v>
      </c>
      <c r="X971" s="133">
        <f t="shared" ca="1" si="937"/>
        <v>0</v>
      </c>
      <c r="Y971" s="133">
        <f t="shared" ca="1" si="937"/>
        <v>0</v>
      </c>
      <c r="AA971" s="133">
        <f ca="1">AA925+AA948*Timeline!AA384</f>
        <v>0</v>
      </c>
      <c r="AB971" s="133">
        <f ca="1">AB925+AB948*Timeline!AB384</f>
        <v>0</v>
      </c>
      <c r="AC971" s="133">
        <f ca="1">AC925+AC948*Timeline!AC384</f>
        <v>0</v>
      </c>
      <c r="AD971" s="133">
        <f ca="1">AD925+AD948*Timeline!AD384</f>
        <v>0</v>
      </c>
      <c r="AE971" s="133">
        <f ca="1">AE925+AE948*Timeline!AE384</f>
        <v>0</v>
      </c>
      <c r="AF971" s="133">
        <f ca="1">AF925+AF948*Timeline!AF384</f>
        <v>0</v>
      </c>
      <c r="AG971" s="133">
        <f ca="1">AG925+AG948*Timeline!AG384</f>
        <v>0</v>
      </c>
      <c r="AH971" s="133">
        <f ca="1">AH925+AH948*Timeline!AH384</f>
        <v>0</v>
      </c>
      <c r="AI971" s="133">
        <f ca="1">AI925+AI948*Timeline!AI384</f>
        <v>0</v>
      </c>
      <c r="AJ971" s="133">
        <f ca="1">AJ925+AJ948*Timeline!AJ384</f>
        <v>0</v>
      </c>
      <c r="AK971" s="133">
        <f ca="1">AK925+AK948*Timeline!AK384</f>
        <v>0</v>
      </c>
      <c r="AL971" s="133">
        <f ca="1">AL925+AL948*Timeline!AL384</f>
        <v>0</v>
      </c>
      <c r="AM971" s="133">
        <f ca="1">AM925+AM948*Timeline!AM384</f>
        <v>0</v>
      </c>
      <c r="AN971" s="133">
        <f ca="1">AN925+AN948*Timeline!AN384</f>
        <v>0</v>
      </c>
      <c r="AO971" s="133">
        <f ca="1">AO925+AO948*Timeline!AO384</f>
        <v>0</v>
      </c>
      <c r="AP971" s="133">
        <f ca="1">AP925+AP948*Timeline!AP384</f>
        <v>0</v>
      </c>
      <c r="AQ971" s="133">
        <f ca="1">AQ925+AQ948*Timeline!AQ384</f>
        <v>0</v>
      </c>
      <c r="AR971" s="133">
        <f ca="1">AR925+AR948*Timeline!AR384</f>
        <v>0</v>
      </c>
      <c r="AS971" s="133">
        <f ca="1">AS925+AS948*Timeline!AS384</f>
        <v>0</v>
      </c>
      <c r="AT971" s="133">
        <f ca="1">AT925+AT948*Timeline!AT384</f>
        <v>0</v>
      </c>
      <c r="AU971" s="133">
        <f ca="1">AU925+AU948*Timeline!AU384</f>
        <v>0</v>
      </c>
      <c r="AV971" s="133">
        <f ca="1">AV925+AV948*Timeline!AV384</f>
        <v>0</v>
      </c>
      <c r="AW971" s="133">
        <f ca="1">AW925+AW948*Timeline!AW384</f>
        <v>0</v>
      </c>
      <c r="AX971" s="133">
        <f ca="1">AX925+AX948*Timeline!AX384</f>
        <v>0</v>
      </c>
      <c r="AY971" s="133">
        <f ca="1">AY925+AY948*Timeline!AY384</f>
        <v>0</v>
      </c>
      <c r="AZ971" s="133">
        <f ca="1">AZ925+AZ948*Timeline!AZ384</f>
        <v>0</v>
      </c>
      <c r="BA971" s="133">
        <f ca="1">BA925+BA948*Timeline!BA384</f>
        <v>0</v>
      </c>
      <c r="BB971" s="133">
        <f ca="1">BB925+BB948*Timeline!BB384</f>
        <v>0</v>
      </c>
      <c r="BC971" s="133">
        <f ca="1">BC925+BC948*Timeline!BC384</f>
        <v>0</v>
      </c>
      <c r="BD971" s="133">
        <f ca="1">BD925+BD948*Timeline!BD384</f>
        <v>0</v>
      </c>
      <c r="BE971" s="133">
        <f ca="1">BE925+BE948*Timeline!BE384</f>
        <v>0</v>
      </c>
      <c r="BF971" s="133">
        <f ca="1">BF925+BF948*Timeline!BF384</f>
        <v>0</v>
      </c>
      <c r="BG971" s="133">
        <f ca="1">BG925+BG948*Timeline!BG384</f>
        <v>0</v>
      </c>
      <c r="BH971" s="133">
        <f ca="1">BH925+BH948*Timeline!BH384</f>
        <v>0</v>
      </c>
      <c r="BI971" s="133">
        <f ca="1">BI925+BI948*Timeline!BI384</f>
        <v>0</v>
      </c>
      <c r="BJ971" s="133">
        <f ca="1">BJ925+BJ948*Timeline!BJ384</f>
        <v>0</v>
      </c>
      <c r="BK971" s="106"/>
      <c r="BL971" s="106"/>
      <c r="BM971" s="106"/>
      <c r="BN971" s="106"/>
      <c r="BO971" s="106"/>
      <c r="BP971" s="106"/>
      <c r="BQ971" s="106"/>
      <c r="BR971" s="106"/>
      <c r="BS971" s="106"/>
      <c r="BT971" s="106"/>
      <c r="BU971" s="106"/>
      <c r="BV971" s="106"/>
      <c r="BX971" s="106"/>
      <c r="BY971" s="12">
        <f t="shared" ca="1" si="938"/>
        <v>0</v>
      </c>
      <c r="BZ971" s="12">
        <f t="shared" ca="1" si="939"/>
        <v>0</v>
      </c>
      <c r="CA971" s="12">
        <f t="shared" ca="1" si="940"/>
        <v>0</v>
      </c>
      <c r="CB971" s="106"/>
      <c r="CC971" s="106"/>
      <c r="CD971" s="106"/>
      <c r="CE971" s="106"/>
      <c r="CF971" s="106"/>
      <c r="CG971" s="106"/>
      <c r="CH971" s="106"/>
      <c r="CI971" s="106"/>
      <c r="CK971" s="11"/>
      <c r="CM971" s="11"/>
      <c r="DF971" s="11"/>
      <c r="EY971" s="12" t="str">
        <f t="shared" ca="1" si="941"/>
        <v>Amount Due Within One Year after Covenant Breach Adjustment Loan 18</v>
      </c>
    </row>
    <row r="972" spans="1:155" x14ac:dyDescent="0.35">
      <c r="B972" s="69" t="str" cm="1">
        <f t="array" aca="1" ref="B972" ca="1">HYPERLINK(CONCATENATE("#",CELL("address",$D$398)),$D$398)</f>
        <v>Loan 19</v>
      </c>
      <c r="C972" s="211" t="s">
        <v>1332</v>
      </c>
      <c r="D972" s="49">
        <f>D$31</f>
        <v>0</v>
      </c>
      <c r="E972" s="49" t="str">
        <f>F$31</f>
        <v/>
      </c>
      <c r="F972" s="49"/>
      <c r="H972" s="9"/>
      <c r="I972" s="40" t="s">
        <v>665</v>
      </c>
      <c r="V972" s="106"/>
      <c r="W972" s="133">
        <f t="shared" ca="1" si="937"/>
        <v>0</v>
      </c>
      <c r="X972" s="133">
        <f t="shared" ca="1" si="937"/>
        <v>0</v>
      </c>
      <c r="Y972" s="133">
        <f t="shared" ca="1" si="937"/>
        <v>0</v>
      </c>
      <c r="AA972" s="133">
        <f ca="1">AA926+AA949*Timeline!AA385</f>
        <v>0</v>
      </c>
      <c r="AB972" s="133">
        <f ca="1">AB926+AB949*Timeline!AB385</f>
        <v>0</v>
      </c>
      <c r="AC972" s="133">
        <f ca="1">AC926+AC949*Timeline!AC385</f>
        <v>0</v>
      </c>
      <c r="AD972" s="133">
        <f ca="1">AD926+AD949*Timeline!AD385</f>
        <v>0</v>
      </c>
      <c r="AE972" s="133">
        <f ca="1">AE926+AE949*Timeline!AE385</f>
        <v>0</v>
      </c>
      <c r="AF972" s="133">
        <f ca="1">AF926+AF949*Timeline!AF385</f>
        <v>0</v>
      </c>
      <c r="AG972" s="133">
        <f ca="1">AG926+AG949*Timeline!AG385</f>
        <v>0</v>
      </c>
      <c r="AH972" s="133">
        <f ca="1">AH926+AH949*Timeline!AH385</f>
        <v>0</v>
      </c>
      <c r="AI972" s="133">
        <f ca="1">AI926+AI949*Timeline!AI385</f>
        <v>0</v>
      </c>
      <c r="AJ972" s="133">
        <f ca="1">AJ926+AJ949*Timeline!AJ385</f>
        <v>0</v>
      </c>
      <c r="AK972" s="133">
        <f ca="1">AK926+AK949*Timeline!AK385</f>
        <v>0</v>
      </c>
      <c r="AL972" s="133">
        <f ca="1">AL926+AL949*Timeline!AL385</f>
        <v>0</v>
      </c>
      <c r="AM972" s="133">
        <f ca="1">AM926+AM949*Timeline!AM385</f>
        <v>0</v>
      </c>
      <c r="AN972" s="133">
        <f ca="1">AN926+AN949*Timeline!AN385</f>
        <v>0</v>
      </c>
      <c r="AO972" s="133">
        <f ca="1">AO926+AO949*Timeline!AO385</f>
        <v>0</v>
      </c>
      <c r="AP972" s="133">
        <f ca="1">AP926+AP949*Timeline!AP385</f>
        <v>0</v>
      </c>
      <c r="AQ972" s="133">
        <f ca="1">AQ926+AQ949*Timeline!AQ385</f>
        <v>0</v>
      </c>
      <c r="AR972" s="133">
        <f ca="1">AR926+AR949*Timeline!AR385</f>
        <v>0</v>
      </c>
      <c r="AS972" s="133">
        <f ca="1">AS926+AS949*Timeline!AS385</f>
        <v>0</v>
      </c>
      <c r="AT972" s="133">
        <f ca="1">AT926+AT949*Timeline!AT385</f>
        <v>0</v>
      </c>
      <c r="AU972" s="133">
        <f ca="1">AU926+AU949*Timeline!AU385</f>
        <v>0</v>
      </c>
      <c r="AV972" s="133">
        <f ca="1">AV926+AV949*Timeline!AV385</f>
        <v>0</v>
      </c>
      <c r="AW972" s="133">
        <f ca="1">AW926+AW949*Timeline!AW385</f>
        <v>0</v>
      </c>
      <c r="AX972" s="133">
        <f ca="1">AX926+AX949*Timeline!AX385</f>
        <v>0</v>
      </c>
      <c r="AY972" s="133">
        <f ca="1">AY926+AY949*Timeline!AY385</f>
        <v>0</v>
      </c>
      <c r="AZ972" s="133">
        <f ca="1">AZ926+AZ949*Timeline!AZ385</f>
        <v>0</v>
      </c>
      <c r="BA972" s="133">
        <f ca="1">BA926+BA949*Timeline!BA385</f>
        <v>0</v>
      </c>
      <c r="BB972" s="133">
        <f ca="1">BB926+BB949*Timeline!BB385</f>
        <v>0</v>
      </c>
      <c r="BC972" s="133">
        <f ca="1">BC926+BC949*Timeline!BC385</f>
        <v>0</v>
      </c>
      <c r="BD972" s="133">
        <f ca="1">BD926+BD949*Timeline!BD385</f>
        <v>0</v>
      </c>
      <c r="BE972" s="133">
        <f ca="1">BE926+BE949*Timeline!BE385</f>
        <v>0</v>
      </c>
      <c r="BF972" s="133">
        <f ca="1">BF926+BF949*Timeline!BF385</f>
        <v>0</v>
      </c>
      <c r="BG972" s="133">
        <f ca="1">BG926+BG949*Timeline!BG385</f>
        <v>0</v>
      </c>
      <c r="BH972" s="133">
        <f ca="1">BH926+BH949*Timeline!BH385</f>
        <v>0</v>
      </c>
      <c r="BI972" s="133">
        <f ca="1">BI926+BI949*Timeline!BI385</f>
        <v>0</v>
      </c>
      <c r="BJ972" s="133">
        <f ca="1">BJ926+BJ949*Timeline!BJ385</f>
        <v>0</v>
      </c>
      <c r="BK972" s="106"/>
      <c r="BL972" s="106"/>
      <c r="BM972" s="106"/>
      <c r="BN972" s="106"/>
      <c r="BO972" s="106"/>
      <c r="BP972" s="106"/>
      <c r="BQ972" s="106"/>
      <c r="BR972" s="106"/>
      <c r="BS972" s="106"/>
      <c r="BT972" s="106"/>
      <c r="BU972" s="106"/>
      <c r="BV972" s="106"/>
      <c r="BX972" s="106"/>
      <c r="BY972" s="12">
        <f t="shared" ca="1" si="938"/>
        <v>0</v>
      </c>
      <c r="BZ972" s="12">
        <f t="shared" ca="1" si="939"/>
        <v>0</v>
      </c>
      <c r="CA972" s="12">
        <f t="shared" ca="1" si="940"/>
        <v>0</v>
      </c>
      <c r="CB972" s="106"/>
      <c r="CC972" s="106"/>
      <c r="CD972" s="106"/>
      <c r="CE972" s="106"/>
      <c r="CF972" s="106"/>
      <c r="CG972" s="106"/>
      <c r="CH972" s="106"/>
      <c r="CI972" s="106"/>
      <c r="CK972" s="11"/>
      <c r="CM972" s="11"/>
      <c r="DF972" s="11"/>
      <c r="EY972" s="12" t="str">
        <f t="shared" ca="1" si="941"/>
        <v>Amount Due Within One Year after Covenant Breach Adjustment Loan 19</v>
      </c>
    </row>
    <row r="973" spans="1:155" x14ac:dyDescent="0.35">
      <c r="B973" s="69" t="str" cm="1">
        <f t="array" aca="1" ref="B973" ca="1">HYPERLINK(CONCATENATE("#",CELL("address",$D$417)),$D$417)</f>
        <v>Loan 20</v>
      </c>
      <c r="C973" s="211" t="s">
        <v>1333</v>
      </c>
      <c r="D973" s="49">
        <f>D$32</f>
        <v>0</v>
      </c>
      <c r="E973" s="49" t="str">
        <f>F$32</f>
        <v/>
      </c>
      <c r="F973" s="49"/>
      <c r="H973" s="9"/>
      <c r="I973" s="40" t="s">
        <v>665</v>
      </c>
      <c r="V973" s="106"/>
      <c r="W973" s="133">
        <f t="shared" ca="1" si="937"/>
        <v>0</v>
      </c>
      <c r="X973" s="133">
        <f t="shared" ca="1" si="937"/>
        <v>0</v>
      </c>
      <c r="Y973" s="133">
        <f t="shared" ca="1" si="937"/>
        <v>0</v>
      </c>
      <c r="AA973" s="133">
        <f ca="1">AA927+AA950*Timeline!AA386</f>
        <v>0</v>
      </c>
      <c r="AB973" s="133">
        <f ca="1">AB927+AB950*Timeline!AB386</f>
        <v>0</v>
      </c>
      <c r="AC973" s="133">
        <f ca="1">AC927+AC950*Timeline!AC386</f>
        <v>0</v>
      </c>
      <c r="AD973" s="133">
        <f ca="1">AD927+AD950*Timeline!AD386</f>
        <v>0</v>
      </c>
      <c r="AE973" s="133">
        <f ca="1">AE927+AE950*Timeline!AE386</f>
        <v>0</v>
      </c>
      <c r="AF973" s="133">
        <f ca="1">AF927+AF950*Timeline!AF386</f>
        <v>0</v>
      </c>
      <c r="AG973" s="133">
        <f ca="1">AG927+AG950*Timeline!AG386</f>
        <v>0</v>
      </c>
      <c r="AH973" s="133">
        <f ca="1">AH927+AH950*Timeline!AH386</f>
        <v>0</v>
      </c>
      <c r="AI973" s="133">
        <f ca="1">AI927+AI950*Timeline!AI386</f>
        <v>0</v>
      </c>
      <c r="AJ973" s="133">
        <f ca="1">AJ927+AJ950*Timeline!AJ386</f>
        <v>0</v>
      </c>
      <c r="AK973" s="133">
        <f ca="1">AK927+AK950*Timeline!AK386</f>
        <v>0</v>
      </c>
      <c r="AL973" s="133">
        <f ca="1">AL927+AL950*Timeline!AL386</f>
        <v>0</v>
      </c>
      <c r="AM973" s="133">
        <f ca="1">AM927+AM950*Timeline!AM386</f>
        <v>0</v>
      </c>
      <c r="AN973" s="133">
        <f ca="1">AN927+AN950*Timeline!AN386</f>
        <v>0</v>
      </c>
      <c r="AO973" s="133">
        <f ca="1">AO927+AO950*Timeline!AO386</f>
        <v>0</v>
      </c>
      <c r="AP973" s="133">
        <f ca="1">AP927+AP950*Timeline!AP386</f>
        <v>0</v>
      </c>
      <c r="AQ973" s="133">
        <f ca="1">AQ927+AQ950*Timeline!AQ386</f>
        <v>0</v>
      </c>
      <c r="AR973" s="133">
        <f ca="1">AR927+AR950*Timeline!AR386</f>
        <v>0</v>
      </c>
      <c r="AS973" s="133">
        <f ca="1">AS927+AS950*Timeline!AS386</f>
        <v>0</v>
      </c>
      <c r="AT973" s="133">
        <f ca="1">AT927+AT950*Timeline!AT386</f>
        <v>0</v>
      </c>
      <c r="AU973" s="133">
        <f ca="1">AU927+AU950*Timeline!AU386</f>
        <v>0</v>
      </c>
      <c r="AV973" s="133">
        <f ca="1">AV927+AV950*Timeline!AV386</f>
        <v>0</v>
      </c>
      <c r="AW973" s="133">
        <f ca="1">AW927+AW950*Timeline!AW386</f>
        <v>0</v>
      </c>
      <c r="AX973" s="133">
        <f ca="1">AX927+AX950*Timeline!AX386</f>
        <v>0</v>
      </c>
      <c r="AY973" s="133">
        <f ca="1">AY927+AY950*Timeline!AY386</f>
        <v>0</v>
      </c>
      <c r="AZ973" s="133">
        <f ca="1">AZ927+AZ950*Timeline!AZ386</f>
        <v>0</v>
      </c>
      <c r="BA973" s="133">
        <f ca="1">BA927+BA950*Timeline!BA386</f>
        <v>0</v>
      </c>
      <c r="BB973" s="133">
        <f ca="1">BB927+BB950*Timeline!BB386</f>
        <v>0</v>
      </c>
      <c r="BC973" s="133">
        <f ca="1">BC927+BC950*Timeline!BC386</f>
        <v>0</v>
      </c>
      <c r="BD973" s="133">
        <f ca="1">BD927+BD950*Timeline!BD386</f>
        <v>0</v>
      </c>
      <c r="BE973" s="133">
        <f ca="1">BE927+BE950*Timeline!BE386</f>
        <v>0</v>
      </c>
      <c r="BF973" s="133">
        <f ca="1">BF927+BF950*Timeline!BF386</f>
        <v>0</v>
      </c>
      <c r="BG973" s="133">
        <f ca="1">BG927+BG950*Timeline!BG386</f>
        <v>0</v>
      </c>
      <c r="BH973" s="133">
        <f ca="1">BH927+BH950*Timeline!BH386</f>
        <v>0</v>
      </c>
      <c r="BI973" s="133">
        <f ca="1">BI927+BI950*Timeline!BI386</f>
        <v>0</v>
      </c>
      <c r="BJ973" s="133">
        <f ca="1">BJ927+BJ950*Timeline!BJ386</f>
        <v>0</v>
      </c>
      <c r="BK973" s="106"/>
      <c r="BL973" s="106"/>
      <c r="BM973" s="106"/>
      <c r="BN973" s="106"/>
      <c r="BO973" s="106"/>
      <c r="BP973" s="106"/>
      <c r="BQ973" s="106"/>
      <c r="BR973" s="106"/>
      <c r="BS973" s="106"/>
      <c r="BT973" s="106"/>
      <c r="BU973" s="106"/>
      <c r="BV973" s="106"/>
      <c r="BX973" s="106"/>
      <c r="BY973" s="12">
        <f t="shared" ca="1" si="938"/>
        <v>0</v>
      </c>
      <c r="BZ973" s="12">
        <f t="shared" ca="1" si="939"/>
        <v>0</v>
      </c>
      <c r="CA973" s="12">
        <f t="shared" ca="1" si="940"/>
        <v>0</v>
      </c>
      <c r="CB973" s="106"/>
      <c r="CC973" s="106"/>
      <c r="CD973" s="106"/>
      <c r="CE973" s="106"/>
      <c r="CF973" s="106"/>
      <c r="CG973" s="106"/>
      <c r="CH973" s="106"/>
      <c r="CI973" s="106"/>
      <c r="CK973" s="11"/>
      <c r="CM973" s="11"/>
      <c r="DF973" s="11"/>
      <c r="EY973" s="12" t="str">
        <f t="shared" ca="1" si="941"/>
        <v>Amount Due Within One Year after Covenant Breach Adjustment Loan 20</v>
      </c>
    </row>
    <row r="974" spans="1:155" ht="6.75" customHeight="1" x14ac:dyDescent="0.35">
      <c r="C974" s="211"/>
      <c r="D974" s="1"/>
      <c r="E974"/>
      <c r="F974"/>
      <c r="BY974" s="6"/>
      <c r="CK974" s="35"/>
      <c r="CM974" s="35"/>
      <c r="DF974" s="35"/>
      <c r="EY974" s="10" t="str">
        <f t="shared" ref="EY974:EY1005" si="942">IF($C974="","",$D974)</f>
        <v/>
      </c>
    </row>
    <row r="975" spans="1:155" x14ac:dyDescent="0.35">
      <c r="C975" s="211"/>
      <c r="D975" s="50" t="str">
        <f>$D$59</f>
        <v>Loan Capital Repayment (as per loan agreement)</v>
      </c>
      <c r="E975"/>
      <c r="F975"/>
      <c r="CK975" s="11"/>
      <c r="CM975" s="11"/>
      <c r="DF975" s="11"/>
      <c r="EY975" s="10" t="str">
        <f t="shared" si="942"/>
        <v/>
      </c>
    </row>
    <row r="976" spans="1:155" x14ac:dyDescent="0.35">
      <c r="B976" s="107" t="s">
        <v>1229</v>
      </c>
      <c r="C976" s="211"/>
      <c r="D976" s="5" t="str">
        <f>D$11</f>
        <v>Lender</v>
      </c>
      <c r="E976" s="5" t="str">
        <f>E$11</f>
        <v>Loan Category</v>
      </c>
      <c r="F976" s="5"/>
      <c r="CK976" s="11"/>
      <c r="CM976" s="11"/>
      <c r="DF976" s="11"/>
      <c r="EY976" s="10" t="str">
        <f t="shared" si="942"/>
        <v/>
      </c>
    </row>
    <row r="977" spans="1:155" x14ac:dyDescent="0.35">
      <c r="B977" s="69" t="str" cm="1">
        <f t="array" aca="1" ref="B977" ca="1">HYPERLINK(CONCATENATE("#",CELL("address",$D$56)),$D$56)</f>
        <v>Loan 1</v>
      </c>
      <c r="C977" s="211"/>
      <c r="D977" s="49">
        <f>D$13</f>
        <v>0</v>
      </c>
      <c r="E977" s="49" t="str">
        <f>F$13</f>
        <v/>
      </c>
      <c r="F977" s="49"/>
      <c r="H977" s="9"/>
      <c r="I977" s="40" t="s">
        <v>1079</v>
      </c>
      <c r="J977" s="54"/>
      <c r="V977" s="133">
        <f>V$59</f>
        <v>0</v>
      </c>
      <c r="W977" s="10">
        <f>W$59</f>
        <v>0</v>
      </c>
      <c r="X977" s="10">
        <f>X$59</f>
        <v>0</v>
      </c>
      <c r="Y977" s="10">
        <f>Y$59</f>
        <v>0</v>
      </c>
      <c r="AA977" s="133">
        <f t="shared" ref="AA977:BV977" si="943">AA$59</f>
        <v>0</v>
      </c>
      <c r="AB977" s="10">
        <f t="shared" si="943"/>
        <v>0</v>
      </c>
      <c r="AC977" s="10">
        <f t="shared" si="943"/>
        <v>0</v>
      </c>
      <c r="AD977" s="10">
        <f t="shared" si="943"/>
        <v>0</v>
      </c>
      <c r="AE977" s="10">
        <f t="shared" si="943"/>
        <v>0</v>
      </c>
      <c r="AF977" s="10">
        <f t="shared" si="943"/>
        <v>0</v>
      </c>
      <c r="AG977" s="10">
        <f t="shared" si="943"/>
        <v>0</v>
      </c>
      <c r="AH977" s="10">
        <f t="shared" si="943"/>
        <v>0</v>
      </c>
      <c r="AI977" s="133">
        <f t="shared" si="943"/>
        <v>0</v>
      </c>
      <c r="AJ977" s="10">
        <f t="shared" si="943"/>
        <v>0</v>
      </c>
      <c r="AK977" s="10">
        <f t="shared" si="943"/>
        <v>0</v>
      </c>
      <c r="AL977" s="10">
        <f t="shared" si="943"/>
        <v>0</v>
      </c>
      <c r="AM977" s="133">
        <f t="shared" si="943"/>
        <v>0</v>
      </c>
      <c r="AN977" s="10">
        <f t="shared" si="943"/>
        <v>0</v>
      </c>
      <c r="AO977" s="10">
        <f t="shared" si="943"/>
        <v>0</v>
      </c>
      <c r="AP977" s="10">
        <f t="shared" si="943"/>
        <v>0</v>
      </c>
      <c r="AQ977" s="10">
        <f t="shared" si="943"/>
        <v>0</v>
      </c>
      <c r="AR977" s="10">
        <f t="shared" si="943"/>
        <v>0</v>
      </c>
      <c r="AS977" s="10">
        <f t="shared" si="943"/>
        <v>0</v>
      </c>
      <c r="AT977" s="10">
        <f t="shared" si="943"/>
        <v>0</v>
      </c>
      <c r="AU977" s="10">
        <f t="shared" si="943"/>
        <v>0</v>
      </c>
      <c r="AV977" s="10">
        <f t="shared" si="943"/>
        <v>0</v>
      </c>
      <c r="AW977" s="10">
        <f t="shared" si="943"/>
        <v>0</v>
      </c>
      <c r="AX977" s="10">
        <f t="shared" si="943"/>
        <v>0</v>
      </c>
      <c r="AY977" s="10">
        <f t="shared" si="943"/>
        <v>0</v>
      </c>
      <c r="AZ977" s="10">
        <f t="shared" si="943"/>
        <v>0</v>
      </c>
      <c r="BA977" s="10">
        <f t="shared" si="943"/>
        <v>0</v>
      </c>
      <c r="BB977" s="10">
        <f t="shared" si="943"/>
        <v>0</v>
      </c>
      <c r="BC977" s="10">
        <f t="shared" si="943"/>
        <v>0</v>
      </c>
      <c r="BD977" s="10">
        <f t="shared" si="943"/>
        <v>0</v>
      </c>
      <c r="BE977" s="10">
        <f t="shared" si="943"/>
        <v>0</v>
      </c>
      <c r="BF977" s="10">
        <f t="shared" si="943"/>
        <v>0</v>
      </c>
      <c r="BG977" s="10">
        <f t="shared" si="943"/>
        <v>0</v>
      </c>
      <c r="BH977" s="10">
        <f t="shared" si="943"/>
        <v>0</v>
      </c>
      <c r="BI977" s="10">
        <f t="shared" si="943"/>
        <v>0</v>
      </c>
      <c r="BJ977" s="10">
        <f t="shared" si="943"/>
        <v>0</v>
      </c>
      <c r="BK977" s="10">
        <f t="shared" si="943"/>
        <v>0</v>
      </c>
      <c r="BL977" s="10">
        <f t="shared" si="943"/>
        <v>0</v>
      </c>
      <c r="BM977" s="10">
        <f t="shared" si="943"/>
        <v>0</v>
      </c>
      <c r="BN977" s="10">
        <f t="shared" si="943"/>
        <v>0</v>
      </c>
      <c r="BO977" s="10">
        <f t="shared" si="943"/>
        <v>0</v>
      </c>
      <c r="BP977" s="10">
        <f t="shared" si="943"/>
        <v>0</v>
      </c>
      <c r="BQ977" s="10">
        <f t="shared" si="943"/>
        <v>0</v>
      </c>
      <c r="BR977" s="10">
        <f t="shared" si="943"/>
        <v>0</v>
      </c>
      <c r="BS977" s="10">
        <f t="shared" si="943"/>
        <v>0</v>
      </c>
      <c r="BT977" s="10">
        <f t="shared" si="943"/>
        <v>0</v>
      </c>
      <c r="BU977" s="10">
        <f t="shared" si="943"/>
        <v>0</v>
      </c>
      <c r="BV977" s="10">
        <f t="shared" si="943"/>
        <v>0</v>
      </c>
      <c r="BX977" s="10">
        <f t="shared" ref="BX977:CI977" si="944">BX$59</f>
        <v>0</v>
      </c>
      <c r="BY977" s="10">
        <f t="shared" si="944"/>
        <v>0</v>
      </c>
      <c r="BZ977" s="10">
        <f t="shared" si="944"/>
        <v>0</v>
      </c>
      <c r="CA977" s="10">
        <f t="shared" si="944"/>
        <v>0</v>
      </c>
      <c r="CB977" s="10">
        <f t="shared" si="944"/>
        <v>0</v>
      </c>
      <c r="CC977" s="10">
        <f t="shared" si="944"/>
        <v>0</v>
      </c>
      <c r="CD977" s="10">
        <f t="shared" si="944"/>
        <v>0</v>
      </c>
      <c r="CE977" s="10">
        <f t="shared" si="944"/>
        <v>0</v>
      </c>
      <c r="CF977" s="10">
        <f t="shared" si="944"/>
        <v>0</v>
      </c>
      <c r="CG977" s="10">
        <f t="shared" si="944"/>
        <v>0</v>
      </c>
      <c r="CH977" s="10">
        <f t="shared" si="944"/>
        <v>0</v>
      </c>
      <c r="CI977" s="10">
        <f t="shared" si="944"/>
        <v>0</v>
      </c>
      <c r="CK977" s="11"/>
      <c r="CM977" s="11"/>
      <c r="DF977" s="11"/>
      <c r="EY977" s="10" t="str">
        <f t="shared" si="942"/>
        <v/>
      </c>
    </row>
    <row r="978" spans="1:155" x14ac:dyDescent="0.35">
      <c r="B978" s="69" t="str" cm="1">
        <f t="array" aca="1" ref="B978" ca="1">HYPERLINK(CONCATENATE("#",CELL("address",$D$75)),$D$75)</f>
        <v>Loan 2</v>
      </c>
      <c r="C978" s="211"/>
      <c r="D978" s="49">
        <f>D$14</f>
        <v>0</v>
      </c>
      <c r="E978" s="49" t="str">
        <f>F$14</f>
        <v/>
      </c>
      <c r="F978" s="49"/>
      <c r="H978" s="9"/>
      <c r="I978" s="40" t="s">
        <v>1079</v>
      </c>
      <c r="V978" s="133">
        <f>V$78</f>
        <v>0</v>
      </c>
      <c r="W978" s="10">
        <f>W$78</f>
        <v>0</v>
      </c>
      <c r="X978" s="10">
        <f>X$78</f>
        <v>0</v>
      </c>
      <c r="Y978" s="10">
        <f>Y$78</f>
        <v>0</v>
      </c>
      <c r="AA978" s="10">
        <f t="shared" ref="AA978:BV978" si="945">AA$78</f>
        <v>0</v>
      </c>
      <c r="AB978" s="10">
        <f t="shared" si="945"/>
        <v>0</v>
      </c>
      <c r="AC978" s="10">
        <f t="shared" si="945"/>
        <v>0</v>
      </c>
      <c r="AD978" s="10">
        <f t="shared" si="945"/>
        <v>0</v>
      </c>
      <c r="AE978" s="10">
        <f t="shared" si="945"/>
        <v>0</v>
      </c>
      <c r="AF978" s="10">
        <f t="shared" si="945"/>
        <v>0</v>
      </c>
      <c r="AG978" s="10">
        <f t="shared" si="945"/>
        <v>0</v>
      </c>
      <c r="AH978" s="10">
        <f t="shared" si="945"/>
        <v>0</v>
      </c>
      <c r="AI978" s="10">
        <f t="shared" si="945"/>
        <v>0</v>
      </c>
      <c r="AJ978" s="10">
        <f t="shared" si="945"/>
        <v>0</v>
      </c>
      <c r="AK978" s="10">
        <f t="shared" si="945"/>
        <v>0</v>
      </c>
      <c r="AL978" s="10">
        <f t="shared" si="945"/>
        <v>0</v>
      </c>
      <c r="AM978" s="10">
        <f t="shared" si="945"/>
        <v>0</v>
      </c>
      <c r="AN978" s="10">
        <f t="shared" si="945"/>
        <v>0</v>
      </c>
      <c r="AO978" s="10">
        <f t="shared" si="945"/>
        <v>0</v>
      </c>
      <c r="AP978" s="10">
        <f t="shared" si="945"/>
        <v>0</v>
      </c>
      <c r="AQ978" s="10">
        <f t="shared" si="945"/>
        <v>0</v>
      </c>
      <c r="AR978" s="10">
        <f t="shared" si="945"/>
        <v>0</v>
      </c>
      <c r="AS978" s="10">
        <f t="shared" si="945"/>
        <v>0</v>
      </c>
      <c r="AT978" s="10">
        <f t="shared" si="945"/>
        <v>0</v>
      </c>
      <c r="AU978" s="10">
        <f t="shared" si="945"/>
        <v>0</v>
      </c>
      <c r="AV978" s="10">
        <f t="shared" si="945"/>
        <v>0</v>
      </c>
      <c r="AW978" s="10">
        <f t="shared" si="945"/>
        <v>0</v>
      </c>
      <c r="AX978" s="10">
        <f t="shared" si="945"/>
        <v>0</v>
      </c>
      <c r="AY978" s="10">
        <f t="shared" si="945"/>
        <v>0</v>
      </c>
      <c r="AZ978" s="10">
        <f t="shared" si="945"/>
        <v>0</v>
      </c>
      <c r="BA978" s="10">
        <f t="shared" si="945"/>
        <v>0</v>
      </c>
      <c r="BB978" s="10">
        <f t="shared" si="945"/>
        <v>0</v>
      </c>
      <c r="BC978" s="10">
        <f t="shared" si="945"/>
        <v>0</v>
      </c>
      <c r="BD978" s="10">
        <f t="shared" si="945"/>
        <v>0</v>
      </c>
      <c r="BE978" s="10">
        <f t="shared" si="945"/>
        <v>0</v>
      </c>
      <c r="BF978" s="10">
        <f t="shared" si="945"/>
        <v>0</v>
      </c>
      <c r="BG978" s="10">
        <f t="shared" si="945"/>
        <v>0</v>
      </c>
      <c r="BH978" s="10">
        <f t="shared" si="945"/>
        <v>0</v>
      </c>
      <c r="BI978" s="10">
        <f t="shared" si="945"/>
        <v>0</v>
      </c>
      <c r="BJ978" s="10">
        <f t="shared" si="945"/>
        <v>0</v>
      </c>
      <c r="BK978" s="10">
        <f t="shared" si="945"/>
        <v>0</v>
      </c>
      <c r="BL978" s="10">
        <f t="shared" si="945"/>
        <v>0</v>
      </c>
      <c r="BM978" s="10">
        <f t="shared" si="945"/>
        <v>0</v>
      </c>
      <c r="BN978" s="10">
        <f t="shared" si="945"/>
        <v>0</v>
      </c>
      <c r="BO978" s="10">
        <f t="shared" si="945"/>
        <v>0</v>
      </c>
      <c r="BP978" s="10">
        <f t="shared" si="945"/>
        <v>0</v>
      </c>
      <c r="BQ978" s="10">
        <f t="shared" si="945"/>
        <v>0</v>
      </c>
      <c r="BR978" s="10">
        <f t="shared" si="945"/>
        <v>0</v>
      </c>
      <c r="BS978" s="10">
        <f t="shared" si="945"/>
        <v>0</v>
      </c>
      <c r="BT978" s="10">
        <f t="shared" si="945"/>
        <v>0</v>
      </c>
      <c r="BU978" s="10">
        <f t="shared" si="945"/>
        <v>0</v>
      </c>
      <c r="BV978" s="10">
        <f t="shared" si="945"/>
        <v>0</v>
      </c>
      <c r="BX978" s="10">
        <f t="shared" ref="BX978:CI978" si="946">BX$78</f>
        <v>0</v>
      </c>
      <c r="BY978" s="10">
        <f t="shared" si="946"/>
        <v>0</v>
      </c>
      <c r="BZ978" s="10">
        <f t="shared" si="946"/>
        <v>0</v>
      </c>
      <c r="CA978" s="10">
        <f t="shared" si="946"/>
        <v>0</v>
      </c>
      <c r="CB978" s="10">
        <f t="shared" si="946"/>
        <v>0</v>
      </c>
      <c r="CC978" s="10">
        <f t="shared" si="946"/>
        <v>0</v>
      </c>
      <c r="CD978" s="10">
        <f t="shared" si="946"/>
        <v>0</v>
      </c>
      <c r="CE978" s="10">
        <f t="shared" si="946"/>
        <v>0</v>
      </c>
      <c r="CF978" s="10">
        <f t="shared" si="946"/>
        <v>0</v>
      </c>
      <c r="CG978" s="10">
        <f t="shared" si="946"/>
        <v>0</v>
      </c>
      <c r="CH978" s="10">
        <f t="shared" si="946"/>
        <v>0</v>
      </c>
      <c r="CI978" s="10">
        <f t="shared" si="946"/>
        <v>0</v>
      </c>
      <c r="CK978" s="11"/>
      <c r="CM978" s="11"/>
      <c r="DF978" s="11"/>
      <c r="EY978" s="10" t="str">
        <f t="shared" si="942"/>
        <v/>
      </c>
    </row>
    <row r="979" spans="1:155" x14ac:dyDescent="0.35">
      <c r="B979" s="69" t="str" cm="1">
        <f t="array" aca="1" ref="B979" ca="1">HYPERLINK(CONCATENATE("#",CELL("address",$D$94)),$D$94)</f>
        <v>Loan 3</v>
      </c>
      <c r="C979" s="211"/>
      <c r="D979" s="49">
        <f>D$15</f>
        <v>0</v>
      </c>
      <c r="E979" s="49" t="str">
        <f>F$15</f>
        <v/>
      </c>
      <c r="F979" s="49"/>
      <c r="H979" s="9"/>
      <c r="I979" s="40" t="s">
        <v>1079</v>
      </c>
      <c r="V979" s="133">
        <f>V$97</f>
        <v>0</v>
      </c>
      <c r="W979" s="10">
        <f>W$97</f>
        <v>0</v>
      </c>
      <c r="X979" s="10">
        <f>X$97</f>
        <v>0</v>
      </c>
      <c r="Y979" s="10">
        <f>Y$97</f>
        <v>0</v>
      </c>
      <c r="AA979" s="10">
        <f t="shared" ref="AA979:BV979" si="947">AA$97</f>
        <v>0</v>
      </c>
      <c r="AB979" s="10">
        <f t="shared" si="947"/>
        <v>0</v>
      </c>
      <c r="AC979" s="10">
        <f t="shared" si="947"/>
        <v>0</v>
      </c>
      <c r="AD979" s="10">
        <f t="shared" si="947"/>
        <v>0</v>
      </c>
      <c r="AE979" s="10">
        <f t="shared" si="947"/>
        <v>0</v>
      </c>
      <c r="AF979" s="10">
        <f t="shared" si="947"/>
        <v>0</v>
      </c>
      <c r="AG979" s="10">
        <f t="shared" si="947"/>
        <v>0</v>
      </c>
      <c r="AH979" s="10">
        <f t="shared" si="947"/>
        <v>0</v>
      </c>
      <c r="AI979" s="10">
        <f t="shared" si="947"/>
        <v>0</v>
      </c>
      <c r="AJ979" s="10">
        <f t="shared" si="947"/>
        <v>0</v>
      </c>
      <c r="AK979" s="10">
        <f t="shared" si="947"/>
        <v>0</v>
      </c>
      <c r="AL979" s="10">
        <f t="shared" si="947"/>
        <v>0</v>
      </c>
      <c r="AM979" s="10">
        <f t="shared" si="947"/>
        <v>0</v>
      </c>
      <c r="AN979" s="10">
        <f t="shared" si="947"/>
        <v>0</v>
      </c>
      <c r="AO979" s="10">
        <f t="shared" si="947"/>
        <v>0</v>
      </c>
      <c r="AP979" s="10">
        <f t="shared" si="947"/>
        <v>0</v>
      </c>
      <c r="AQ979" s="10">
        <f t="shared" si="947"/>
        <v>0</v>
      </c>
      <c r="AR979" s="10">
        <f t="shared" si="947"/>
        <v>0</v>
      </c>
      <c r="AS979" s="10">
        <f t="shared" si="947"/>
        <v>0</v>
      </c>
      <c r="AT979" s="10">
        <f t="shared" si="947"/>
        <v>0</v>
      </c>
      <c r="AU979" s="10">
        <f t="shared" si="947"/>
        <v>0</v>
      </c>
      <c r="AV979" s="10">
        <f t="shared" si="947"/>
        <v>0</v>
      </c>
      <c r="AW979" s="10">
        <f t="shared" si="947"/>
        <v>0</v>
      </c>
      <c r="AX979" s="10">
        <f t="shared" si="947"/>
        <v>0</v>
      </c>
      <c r="AY979" s="10">
        <f t="shared" si="947"/>
        <v>0</v>
      </c>
      <c r="AZ979" s="10">
        <f t="shared" si="947"/>
        <v>0</v>
      </c>
      <c r="BA979" s="10">
        <f t="shared" si="947"/>
        <v>0</v>
      </c>
      <c r="BB979" s="10">
        <f t="shared" si="947"/>
        <v>0</v>
      </c>
      <c r="BC979" s="10">
        <f t="shared" si="947"/>
        <v>0</v>
      </c>
      <c r="BD979" s="10">
        <f t="shared" si="947"/>
        <v>0</v>
      </c>
      <c r="BE979" s="10">
        <f t="shared" si="947"/>
        <v>0</v>
      </c>
      <c r="BF979" s="10">
        <f t="shared" si="947"/>
        <v>0</v>
      </c>
      <c r="BG979" s="10">
        <f t="shared" si="947"/>
        <v>0</v>
      </c>
      <c r="BH979" s="10">
        <f t="shared" si="947"/>
        <v>0</v>
      </c>
      <c r="BI979" s="10">
        <f t="shared" si="947"/>
        <v>0</v>
      </c>
      <c r="BJ979" s="10">
        <f t="shared" si="947"/>
        <v>0</v>
      </c>
      <c r="BK979" s="10">
        <f t="shared" si="947"/>
        <v>0</v>
      </c>
      <c r="BL979" s="10">
        <f t="shared" si="947"/>
        <v>0</v>
      </c>
      <c r="BM979" s="10">
        <f t="shared" si="947"/>
        <v>0</v>
      </c>
      <c r="BN979" s="10">
        <f t="shared" si="947"/>
        <v>0</v>
      </c>
      <c r="BO979" s="10">
        <f t="shared" si="947"/>
        <v>0</v>
      </c>
      <c r="BP979" s="10">
        <f t="shared" si="947"/>
        <v>0</v>
      </c>
      <c r="BQ979" s="10">
        <f t="shared" si="947"/>
        <v>0</v>
      </c>
      <c r="BR979" s="10">
        <f t="shared" si="947"/>
        <v>0</v>
      </c>
      <c r="BS979" s="10">
        <f t="shared" si="947"/>
        <v>0</v>
      </c>
      <c r="BT979" s="10">
        <f t="shared" si="947"/>
        <v>0</v>
      </c>
      <c r="BU979" s="10">
        <f t="shared" si="947"/>
        <v>0</v>
      </c>
      <c r="BV979" s="10">
        <f t="shared" si="947"/>
        <v>0</v>
      </c>
      <c r="BX979" s="10">
        <f t="shared" ref="BX979:CI979" si="948">BX$97</f>
        <v>0</v>
      </c>
      <c r="BY979" s="10">
        <f t="shared" si="948"/>
        <v>0</v>
      </c>
      <c r="BZ979" s="10">
        <f t="shared" si="948"/>
        <v>0</v>
      </c>
      <c r="CA979" s="10">
        <f t="shared" si="948"/>
        <v>0</v>
      </c>
      <c r="CB979" s="10">
        <f t="shared" si="948"/>
        <v>0</v>
      </c>
      <c r="CC979" s="10">
        <f t="shared" si="948"/>
        <v>0</v>
      </c>
      <c r="CD979" s="10">
        <f t="shared" si="948"/>
        <v>0</v>
      </c>
      <c r="CE979" s="10">
        <f t="shared" si="948"/>
        <v>0</v>
      </c>
      <c r="CF979" s="10">
        <f t="shared" si="948"/>
        <v>0</v>
      </c>
      <c r="CG979" s="10">
        <f t="shared" si="948"/>
        <v>0</v>
      </c>
      <c r="CH979" s="10">
        <f t="shared" si="948"/>
        <v>0</v>
      </c>
      <c r="CI979" s="10">
        <f t="shared" si="948"/>
        <v>0</v>
      </c>
      <c r="CK979" s="11"/>
      <c r="CM979" s="11"/>
      <c r="DF979" s="11"/>
      <c r="EY979" s="10" t="str">
        <f t="shared" si="942"/>
        <v/>
      </c>
    </row>
    <row r="980" spans="1:155" x14ac:dyDescent="0.35">
      <c r="B980" s="69" t="str" cm="1">
        <f t="array" aca="1" ref="B980" ca="1">HYPERLINK(CONCATENATE("#",CELL("address",$D$113)),$D$113)</f>
        <v>Loan 4</v>
      </c>
      <c r="C980" s="211"/>
      <c r="D980" s="49">
        <f>D$16</f>
        <v>0</v>
      </c>
      <c r="E980" s="49" t="str">
        <f>F$16</f>
        <v/>
      </c>
      <c r="F980" s="49"/>
      <c r="H980" s="9"/>
      <c r="I980" s="40" t="s">
        <v>1079</v>
      </c>
      <c r="V980" s="133">
        <f>V$116</f>
        <v>0</v>
      </c>
      <c r="W980" s="10">
        <f>W$116</f>
        <v>0</v>
      </c>
      <c r="X980" s="10">
        <f>X$116</f>
        <v>0</v>
      </c>
      <c r="Y980" s="10">
        <f>Y$116</f>
        <v>0</v>
      </c>
      <c r="AA980" s="10">
        <f t="shared" ref="AA980:BV980" si="949">AA$116</f>
        <v>0</v>
      </c>
      <c r="AB980" s="10">
        <f t="shared" si="949"/>
        <v>0</v>
      </c>
      <c r="AC980" s="10">
        <f t="shared" si="949"/>
        <v>0</v>
      </c>
      <c r="AD980" s="10">
        <f t="shared" si="949"/>
        <v>0</v>
      </c>
      <c r="AE980" s="10">
        <f t="shared" si="949"/>
        <v>0</v>
      </c>
      <c r="AF980" s="10">
        <f t="shared" si="949"/>
        <v>0</v>
      </c>
      <c r="AG980" s="10">
        <f t="shared" si="949"/>
        <v>0</v>
      </c>
      <c r="AH980" s="10">
        <f t="shared" si="949"/>
        <v>0</v>
      </c>
      <c r="AI980" s="10">
        <f t="shared" si="949"/>
        <v>0</v>
      </c>
      <c r="AJ980" s="10">
        <f t="shared" si="949"/>
        <v>0</v>
      </c>
      <c r="AK980" s="10">
        <f t="shared" si="949"/>
        <v>0</v>
      </c>
      <c r="AL980" s="10">
        <f t="shared" si="949"/>
        <v>0</v>
      </c>
      <c r="AM980" s="10">
        <f t="shared" si="949"/>
        <v>0</v>
      </c>
      <c r="AN980" s="10">
        <f t="shared" si="949"/>
        <v>0</v>
      </c>
      <c r="AO980" s="10">
        <f t="shared" si="949"/>
        <v>0</v>
      </c>
      <c r="AP980" s="10">
        <f t="shared" si="949"/>
        <v>0</v>
      </c>
      <c r="AQ980" s="10">
        <f t="shared" si="949"/>
        <v>0</v>
      </c>
      <c r="AR980" s="10">
        <f t="shared" si="949"/>
        <v>0</v>
      </c>
      <c r="AS980" s="10">
        <f t="shared" si="949"/>
        <v>0</v>
      </c>
      <c r="AT980" s="10">
        <f t="shared" si="949"/>
        <v>0</v>
      </c>
      <c r="AU980" s="10">
        <f t="shared" si="949"/>
        <v>0</v>
      </c>
      <c r="AV980" s="10">
        <f t="shared" si="949"/>
        <v>0</v>
      </c>
      <c r="AW980" s="10">
        <f t="shared" si="949"/>
        <v>0</v>
      </c>
      <c r="AX980" s="10">
        <f t="shared" si="949"/>
        <v>0</v>
      </c>
      <c r="AY980" s="10">
        <f t="shared" si="949"/>
        <v>0</v>
      </c>
      <c r="AZ980" s="10">
        <f t="shared" si="949"/>
        <v>0</v>
      </c>
      <c r="BA980" s="10">
        <f t="shared" si="949"/>
        <v>0</v>
      </c>
      <c r="BB980" s="10">
        <f t="shared" si="949"/>
        <v>0</v>
      </c>
      <c r="BC980" s="10">
        <f t="shared" si="949"/>
        <v>0</v>
      </c>
      <c r="BD980" s="10">
        <f t="shared" si="949"/>
        <v>0</v>
      </c>
      <c r="BE980" s="10">
        <f t="shared" si="949"/>
        <v>0</v>
      </c>
      <c r="BF980" s="10">
        <f t="shared" si="949"/>
        <v>0</v>
      </c>
      <c r="BG980" s="10">
        <f t="shared" si="949"/>
        <v>0</v>
      </c>
      <c r="BH980" s="10">
        <f t="shared" si="949"/>
        <v>0</v>
      </c>
      <c r="BI980" s="10">
        <f t="shared" si="949"/>
        <v>0</v>
      </c>
      <c r="BJ980" s="10">
        <f t="shared" si="949"/>
        <v>0</v>
      </c>
      <c r="BK980" s="10">
        <f t="shared" si="949"/>
        <v>0</v>
      </c>
      <c r="BL980" s="10">
        <f t="shared" si="949"/>
        <v>0</v>
      </c>
      <c r="BM980" s="10">
        <f t="shared" si="949"/>
        <v>0</v>
      </c>
      <c r="BN980" s="10">
        <f t="shared" si="949"/>
        <v>0</v>
      </c>
      <c r="BO980" s="10">
        <f t="shared" si="949"/>
        <v>0</v>
      </c>
      <c r="BP980" s="10">
        <f t="shared" si="949"/>
        <v>0</v>
      </c>
      <c r="BQ980" s="10">
        <f t="shared" si="949"/>
        <v>0</v>
      </c>
      <c r="BR980" s="10">
        <f t="shared" si="949"/>
        <v>0</v>
      </c>
      <c r="BS980" s="10">
        <f t="shared" si="949"/>
        <v>0</v>
      </c>
      <c r="BT980" s="10">
        <f t="shared" si="949"/>
        <v>0</v>
      </c>
      <c r="BU980" s="10">
        <f t="shared" si="949"/>
        <v>0</v>
      </c>
      <c r="BV980" s="10">
        <f t="shared" si="949"/>
        <v>0</v>
      </c>
      <c r="BX980" s="10">
        <f t="shared" ref="BX980:CI980" si="950">BX$116</f>
        <v>0</v>
      </c>
      <c r="BY980" s="10">
        <f t="shared" si="950"/>
        <v>0</v>
      </c>
      <c r="BZ980" s="10">
        <f t="shared" si="950"/>
        <v>0</v>
      </c>
      <c r="CA980" s="10">
        <f t="shared" si="950"/>
        <v>0</v>
      </c>
      <c r="CB980" s="10">
        <f t="shared" si="950"/>
        <v>0</v>
      </c>
      <c r="CC980" s="10">
        <f t="shared" si="950"/>
        <v>0</v>
      </c>
      <c r="CD980" s="10">
        <f t="shared" si="950"/>
        <v>0</v>
      </c>
      <c r="CE980" s="10">
        <f t="shared" si="950"/>
        <v>0</v>
      </c>
      <c r="CF980" s="10">
        <f t="shared" si="950"/>
        <v>0</v>
      </c>
      <c r="CG980" s="10">
        <f t="shared" si="950"/>
        <v>0</v>
      </c>
      <c r="CH980" s="10">
        <f t="shared" si="950"/>
        <v>0</v>
      </c>
      <c r="CI980" s="10">
        <f t="shared" si="950"/>
        <v>0</v>
      </c>
      <c r="CK980" s="11"/>
      <c r="CM980" s="11"/>
      <c r="DF980" s="11"/>
      <c r="EY980" s="10" t="str">
        <f t="shared" si="942"/>
        <v/>
      </c>
    </row>
    <row r="981" spans="1:155" x14ac:dyDescent="0.35">
      <c r="B981" s="69" t="str" cm="1">
        <f t="array" aca="1" ref="B981" ca="1">HYPERLINK(CONCATENATE("#",CELL("address",$D$132)),$D$132)</f>
        <v>Loan 5</v>
      </c>
      <c r="C981" s="211"/>
      <c r="D981" s="49">
        <f>D$17</f>
        <v>0</v>
      </c>
      <c r="E981" s="49" t="str">
        <f>F$17</f>
        <v/>
      </c>
      <c r="F981" s="49"/>
      <c r="H981" s="9"/>
      <c r="I981" s="40" t="s">
        <v>1079</v>
      </c>
      <c r="V981" s="133">
        <f>V$135</f>
        <v>0</v>
      </c>
      <c r="W981" s="10">
        <f>W$135</f>
        <v>0</v>
      </c>
      <c r="X981" s="10">
        <f>X$135</f>
        <v>0</v>
      </c>
      <c r="Y981" s="10">
        <f>Y$135</f>
        <v>0</v>
      </c>
      <c r="AA981" s="10">
        <f t="shared" ref="AA981:BV981" si="951">AA$135</f>
        <v>0</v>
      </c>
      <c r="AB981" s="10">
        <f t="shared" si="951"/>
        <v>0</v>
      </c>
      <c r="AC981" s="10">
        <f t="shared" si="951"/>
        <v>0</v>
      </c>
      <c r="AD981" s="10">
        <f t="shared" si="951"/>
        <v>0</v>
      </c>
      <c r="AE981" s="10">
        <f t="shared" si="951"/>
        <v>0</v>
      </c>
      <c r="AF981" s="10">
        <f t="shared" si="951"/>
        <v>0</v>
      </c>
      <c r="AG981" s="10">
        <f t="shared" si="951"/>
        <v>0</v>
      </c>
      <c r="AH981" s="10">
        <f t="shared" si="951"/>
        <v>0</v>
      </c>
      <c r="AI981" s="10">
        <f t="shared" si="951"/>
        <v>0</v>
      </c>
      <c r="AJ981" s="10">
        <f t="shared" si="951"/>
        <v>0</v>
      </c>
      <c r="AK981" s="10">
        <f t="shared" si="951"/>
        <v>0</v>
      </c>
      <c r="AL981" s="10">
        <f t="shared" si="951"/>
        <v>0</v>
      </c>
      <c r="AM981" s="10">
        <f t="shared" si="951"/>
        <v>0</v>
      </c>
      <c r="AN981" s="10">
        <f t="shared" si="951"/>
        <v>0</v>
      </c>
      <c r="AO981" s="10">
        <f t="shared" si="951"/>
        <v>0</v>
      </c>
      <c r="AP981" s="10">
        <f t="shared" si="951"/>
        <v>0</v>
      </c>
      <c r="AQ981" s="10">
        <f t="shared" si="951"/>
        <v>0</v>
      </c>
      <c r="AR981" s="10">
        <f t="shared" si="951"/>
        <v>0</v>
      </c>
      <c r="AS981" s="10">
        <f t="shared" si="951"/>
        <v>0</v>
      </c>
      <c r="AT981" s="10">
        <f t="shared" si="951"/>
        <v>0</v>
      </c>
      <c r="AU981" s="10">
        <f t="shared" si="951"/>
        <v>0</v>
      </c>
      <c r="AV981" s="10">
        <f t="shared" si="951"/>
        <v>0</v>
      </c>
      <c r="AW981" s="10">
        <f t="shared" si="951"/>
        <v>0</v>
      </c>
      <c r="AX981" s="10">
        <f t="shared" si="951"/>
        <v>0</v>
      </c>
      <c r="AY981" s="10">
        <f t="shared" si="951"/>
        <v>0</v>
      </c>
      <c r="AZ981" s="10">
        <f t="shared" si="951"/>
        <v>0</v>
      </c>
      <c r="BA981" s="10">
        <f t="shared" si="951"/>
        <v>0</v>
      </c>
      <c r="BB981" s="10">
        <f t="shared" si="951"/>
        <v>0</v>
      </c>
      <c r="BC981" s="10">
        <f t="shared" si="951"/>
        <v>0</v>
      </c>
      <c r="BD981" s="10">
        <f t="shared" si="951"/>
        <v>0</v>
      </c>
      <c r="BE981" s="10">
        <f t="shared" si="951"/>
        <v>0</v>
      </c>
      <c r="BF981" s="10">
        <f t="shared" si="951"/>
        <v>0</v>
      </c>
      <c r="BG981" s="10">
        <f t="shared" si="951"/>
        <v>0</v>
      </c>
      <c r="BH981" s="10">
        <f t="shared" si="951"/>
        <v>0</v>
      </c>
      <c r="BI981" s="10">
        <f t="shared" si="951"/>
        <v>0</v>
      </c>
      <c r="BJ981" s="10">
        <f t="shared" si="951"/>
        <v>0</v>
      </c>
      <c r="BK981" s="10">
        <f t="shared" si="951"/>
        <v>0</v>
      </c>
      <c r="BL981" s="10">
        <f t="shared" si="951"/>
        <v>0</v>
      </c>
      <c r="BM981" s="10">
        <f t="shared" si="951"/>
        <v>0</v>
      </c>
      <c r="BN981" s="10">
        <f t="shared" si="951"/>
        <v>0</v>
      </c>
      <c r="BO981" s="10">
        <f t="shared" si="951"/>
        <v>0</v>
      </c>
      <c r="BP981" s="10">
        <f t="shared" si="951"/>
        <v>0</v>
      </c>
      <c r="BQ981" s="10">
        <f t="shared" si="951"/>
        <v>0</v>
      </c>
      <c r="BR981" s="10">
        <f t="shared" si="951"/>
        <v>0</v>
      </c>
      <c r="BS981" s="10">
        <f t="shared" si="951"/>
        <v>0</v>
      </c>
      <c r="BT981" s="10">
        <f t="shared" si="951"/>
        <v>0</v>
      </c>
      <c r="BU981" s="10">
        <f t="shared" si="951"/>
        <v>0</v>
      </c>
      <c r="BV981" s="10">
        <f t="shared" si="951"/>
        <v>0</v>
      </c>
      <c r="BX981" s="10">
        <f t="shared" ref="BX981:CI981" si="952">BX$135</f>
        <v>0</v>
      </c>
      <c r="BY981" s="10">
        <f t="shared" si="952"/>
        <v>0</v>
      </c>
      <c r="BZ981" s="10">
        <f t="shared" si="952"/>
        <v>0</v>
      </c>
      <c r="CA981" s="10">
        <f t="shared" si="952"/>
        <v>0</v>
      </c>
      <c r="CB981" s="10">
        <f t="shared" si="952"/>
        <v>0</v>
      </c>
      <c r="CC981" s="10">
        <f t="shared" si="952"/>
        <v>0</v>
      </c>
      <c r="CD981" s="10">
        <f t="shared" si="952"/>
        <v>0</v>
      </c>
      <c r="CE981" s="10">
        <f t="shared" si="952"/>
        <v>0</v>
      </c>
      <c r="CF981" s="10">
        <f t="shared" si="952"/>
        <v>0</v>
      </c>
      <c r="CG981" s="10">
        <f t="shared" si="952"/>
        <v>0</v>
      </c>
      <c r="CH981" s="10">
        <f t="shared" si="952"/>
        <v>0</v>
      </c>
      <c r="CI981" s="10">
        <f t="shared" si="952"/>
        <v>0</v>
      </c>
      <c r="CK981" s="11"/>
      <c r="CM981" s="11"/>
      <c r="DF981" s="11"/>
      <c r="EY981" s="10" t="str">
        <f t="shared" si="942"/>
        <v/>
      </c>
    </row>
    <row r="982" spans="1:155" x14ac:dyDescent="0.35">
      <c r="B982" s="69" t="str" cm="1">
        <f t="array" aca="1" ref="B982" ca="1">HYPERLINK(CONCATENATE("#",CELL("address",$D$151)),$D$151)</f>
        <v>Loan 6</v>
      </c>
      <c r="C982" s="211"/>
      <c r="D982" s="49">
        <f>D$18</f>
        <v>0</v>
      </c>
      <c r="E982" s="49" t="str">
        <f>F$18</f>
        <v/>
      </c>
      <c r="F982" s="49"/>
      <c r="H982" s="9"/>
      <c r="I982" s="40" t="s">
        <v>1079</v>
      </c>
      <c r="V982" s="133">
        <f>V$154</f>
        <v>0</v>
      </c>
      <c r="W982" s="10">
        <f>W$154</f>
        <v>0</v>
      </c>
      <c r="X982" s="10">
        <f>X$154</f>
        <v>0</v>
      </c>
      <c r="Y982" s="10">
        <f>Y$154</f>
        <v>0</v>
      </c>
      <c r="AA982" s="10">
        <f t="shared" ref="AA982:BV982" si="953">AA$154</f>
        <v>0</v>
      </c>
      <c r="AB982" s="10">
        <f t="shared" si="953"/>
        <v>0</v>
      </c>
      <c r="AC982" s="10">
        <f t="shared" si="953"/>
        <v>0</v>
      </c>
      <c r="AD982" s="10">
        <f t="shared" si="953"/>
        <v>0</v>
      </c>
      <c r="AE982" s="10">
        <f t="shared" si="953"/>
        <v>0</v>
      </c>
      <c r="AF982" s="10">
        <f t="shared" si="953"/>
        <v>0</v>
      </c>
      <c r="AG982" s="10">
        <f t="shared" si="953"/>
        <v>0</v>
      </c>
      <c r="AH982" s="10">
        <f t="shared" si="953"/>
        <v>0</v>
      </c>
      <c r="AI982" s="10">
        <f t="shared" si="953"/>
        <v>0</v>
      </c>
      <c r="AJ982" s="10">
        <f t="shared" si="953"/>
        <v>0</v>
      </c>
      <c r="AK982" s="10">
        <f t="shared" si="953"/>
        <v>0</v>
      </c>
      <c r="AL982" s="10">
        <f t="shared" si="953"/>
        <v>0</v>
      </c>
      <c r="AM982" s="10">
        <f t="shared" si="953"/>
        <v>0</v>
      </c>
      <c r="AN982" s="10">
        <f t="shared" si="953"/>
        <v>0</v>
      </c>
      <c r="AO982" s="10">
        <f t="shared" si="953"/>
        <v>0</v>
      </c>
      <c r="AP982" s="10">
        <f t="shared" si="953"/>
        <v>0</v>
      </c>
      <c r="AQ982" s="10">
        <f t="shared" si="953"/>
        <v>0</v>
      </c>
      <c r="AR982" s="10">
        <f t="shared" si="953"/>
        <v>0</v>
      </c>
      <c r="AS982" s="10">
        <f t="shared" si="953"/>
        <v>0</v>
      </c>
      <c r="AT982" s="10">
        <f t="shared" si="953"/>
        <v>0</v>
      </c>
      <c r="AU982" s="10">
        <f t="shared" si="953"/>
        <v>0</v>
      </c>
      <c r="AV982" s="10">
        <f t="shared" si="953"/>
        <v>0</v>
      </c>
      <c r="AW982" s="10">
        <f t="shared" si="953"/>
        <v>0</v>
      </c>
      <c r="AX982" s="10">
        <f t="shared" si="953"/>
        <v>0</v>
      </c>
      <c r="AY982" s="10">
        <f t="shared" si="953"/>
        <v>0</v>
      </c>
      <c r="AZ982" s="10">
        <f t="shared" si="953"/>
        <v>0</v>
      </c>
      <c r="BA982" s="10">
        <f t="shared" si="953"/>
        <v>0</v>
      </c>
      <c r="BB982" s="10">
        <f t="shared" si="953"/>
        <v>0</v>
      </c>
      <c r="BC982" s="10">
        <f t="shared" si="953"/>
        <v>0</v>
      </c>
      <c r="BD982" s="10">
        <f t="shared" si="953"/>
        <v>0</v>
      </c>
      <c r="BE982" s="10">
        <f t="shared" si="953"/>
        <v>0</v>
      </c>
      <c r="BF982" s="10">
        <f t="shared" si="953"/>
        <v>0</v>
      </c>
      <c r="BG982" s="10">
        <f t="shared" si="953"/>
        <v>0</v>
      </c>
      <c r="BH982" s="10">
        <f t="shared" si="953"/>
        <v>0</v>
      </c>
      <c r="BI982" s="10">
        <f t="shared" si="953"/>
        <v>0</v>
      </c>
      <c r="BJ982" s="10">
        <f t="shared" si="953"/>
        <v>0</v>
      </c>
      <c r="BK982" s="10">
        <f t="shared" si="953"/>
        <v>0</v>
      </c>
      <c r="BL982" s="10">
        <f t="shared" si="953"/>
        <v>0</v>
      </c>
      <c r="BM982" s="10">
        <f t="shared" si="953"/>
        <v>0</v>
      </c>
      <c r="BN982" s="10">
        <f t="shared" si="953"/>
        <v>0</v>
      </c>
      <c r="BO982" s="10">
        <f t="shared" si="953"/>
        <v>0</v>
      </c>
      <c r="BP982" s="10">
        <f t="shared" si="953"/>
        <v>0</v>
      </c>
      <c r="BQ982" s="10">
        <f t="shared" si="953"/>
        <v>0</v>
      </c>
      <c r="BR982" s="10">
        <f t="shared" si="953"/>
        <v>0</v>
      </c>
      <c r="BS982" s="10">
        <f t="shared" si="953"/>
        <v>0</v>
      </c>
      <c r="BT982" s="10">
        <f t="shared" si="953"/>
        <v>0</v>
      </c>
      <c r="BU982" s="10">
        <f t="shared" si="953"/>
        <v>0</v>
      </c>
      <c r="BV982" s="10">
        <f t="shared" si="953"/>
        <v>0</v>
      </c>
      <c r="BX982" s="10">
        <f t="shared" ref="BX982:CI982" si="954">BX$154</f>
        <v>0</v>
      </c>
      <c r="BY982" s="10">
        <f t="shared" si="954"/>
        <v>0</v>
      </c>
      <c r="BZ982" s="10">
        <f t="shared" si="954"/>
        <v>0</v>
      </c>
      <c r="CA982" s="10">
        <f t="shared" si="954"/>
        <v>0</v>
      </c>
      <c r="CB982" s="10">
        <f t="shared" si="954"/>
        <v>0</v>
      </c>
      <c r="CC982" s="10">
        <f t="shared" si="954"/>
        <v>0</v>
      </c>
      <c r="CD982" s="10">
        <f t="shared" si="954"/>
        <v>0</v>
      </c>
      <c r="CE982" s="10">
        <f t="shared" si="954"/>
        <v>0</v>
      </c>
      <c r="CF982" s="10">
        <f t="shared" si="954"/>
        <v>0</v>
      </c>
      <c r="CG982" s="10">
        <f t="shared" si="954"/>
        <v>0</v>
      </c>
      <c r="CH982" s="10">
        <f t="shared" si="954"/>
        <v>0</v>
      </c>
      <c r="CI982" s="10">
        <f t="shared" si="954"/>
        <v>0</v>
      </c>
      <c r="CK982" s="11"/>
      <c r="CM982" s="11"/>
      <c r="DF982" s="11"/>
      <c r="EY982" s="10" t="str">
        <f t="shared" si="942"/>
        <v/>
      </c>
    </row>
    <row r="983" spans="1:155" x14ac:dyDescent="0.35">
      <c r="B983" s="69" t="str" cm="1">
        <f t="array" aca="1" ref="B983" ca="1">HYPERLINK(CONCATENATE("#",CELL("address",$D$170)),$D$170)</f>
        <v>Loan 7</v>
      </c>
      <c r="C983" s="211"/>
      <c r="D983" s="49">
        <f>D$19</f>
        <v>0</v>
      </c>
      <c r="E983" s="49" t="str">
        <f>F$19</f>
        <v/>
      </c>
      <c r="F983" s="49"/>
      <c r="H983" s="9"/>
      <c r="I983" s="40" t="s">
        <v>1079</v>
      </c>
      <c r="V983" s="133">
        <f>V$173</f>
        <v>0</v>
      </c>
      <c r="W983" s="10">
        <f>W$173</f>
        <v>0</v>
      </c>
      <c r="X983" s="10">
        <f>X$173</f>
        <v>0</v>
      </c>
      <c r="Y983" s="10">
        <f>Y$173</f>
        <v>0</v>
      </c>
      <c r="AA983" s="10">
        <f t="shared" ref="AA983:BV983" si="955">AA$173</f>
        <v>0</v>
      </c>
      <c r="AB983" s="10">
        <f t="shared" si="955"/>
        <v>0</v>
      </c>
      <c r="AC983" s="10">
        <f t="shared" si="955"/>
        <v>0</v>
      </c>
      <c r="AD983" s="10">
        <f t="shared" si="955"/>
        <v>0</v>
      </c>
      <c r="AE983" s="10">
        <f t="shared" si="955"/>
        <v>0</v>
      </c>
      <c r="AF983" s="10">
        <f t="shared" si="955"/>
        <v>0</v>
      </c>
      <c r="AG983" s="10">
        <f t="shared" si="955"/>
        <v>0</v>
      </c>
      <c r="AH983" s="10">
        <f t="shared" si="955"/>
        <v>0</v>
      </c>
      <c r="AI983" s="10">
        <f t="shared" si="955"/>
        <v>0</v>
      </c>
      <c r="AJ983" s="10">
        <f t="shared" si="955"/>
        <v>0</v>
      </c>
      <c r="AK983" s="10">
        <f t="shared" si="955"/>
        <v>0</v>
      </c>
      <c r="AL983" s="10">
        <f t="shared" si="955"/>
        <v>0</v>
      </c>
      <c r="AM983" s="10">
        <f t="shared" si="955"/>
        <v>0</v>
      </c>
      <c r="AN983" s="10">
        <f t="shared" si="955"/>
        <v>0</v>
      </c>
      <c r="AO983" s="10">
        <f t="shared" si="955"/>
        <v>0</v>
      </c>
      <c r="AP983" s="10">
        <f t="shared" si="955"/>
        <v>0</v>
      </c>
      <c r="AQ983" s="10">
        <f t="shared" si="955"/>
        <v>0</v>
      </c>
      <c r="AR983" s="10">
        <f t="shared" si="955"/>
        <v>0</v>
      </c>
      <c r="AS983" s="10">
        <f t="shared" si="955"/>
        <v>0</v>
      </c>
      <c r="AT983" s="10">
        <f t="shared" si="955"/>
        <v>0</v>
      </c>
      <c r="AU983" s="10">
        <f t="shared" si="955"/>
        <v>0</v>
      </c>
      <c r="AV983" s="10">
        <f t="shared" si="955"/>
        <v>0</v>
      </c>
      <c r="AW983" s="10">
        <f t="shared" si="955"/>
        <v>0</v>
      </c>
      <c r="AX983" s="10">
        <f t="shared" si="955"/>
        <v>0</v>
      </c>
      <c r="AY983" s="10">
        <f t="shared" si="955"/>
        <v>0</v>
      </c>
      <c r="AZ983" s="10">
        <f t="shared" si="955"/>
        <v>0</v>
      </c>
      <c r="BA983" s="10">
        <f t="shared" si="955"/>
        <v>0</v>
      </c>
      <c r="BB983" s="10">
        <f t="shared" si="955"/>
        <v>0</v>
      </c>
      <c r="BC983" s="10">
        <f t="shared" si="955"/>
        <v>0</v>
      </c>
      <c r="BD983" s="10">
        <f t="shared" si="955"/>
        <v>0</v>
      </c>
      <c r="BE983" s="10">
        <f t="shared" si="955"/>
        <v>0</v>
      </c>
      <c r="BF983" s="10">
        <f t="shared" si="955"/>
        <v>0</v>
      </c>
      <c r="BG983" s="10">
        <f t="shared" si="955"/>
        <v>0</v>
      </c>
      <c r="BH983" s="10">
        <f t="shared" si="955"/>
        <v>0</v>
      </c>
      <c r="BI983" s="10">
        <f t="shared" si="955"/>
        <v>0</v>
      </c>
      <c r="BJ983" s="10">
        <f t="shared" si="955"/>
        <v>0</v>
      </c>
      <c r="BK983" s="10">
        <f t="shared" si="955"/>
        <v>0</v>
      </c>
      <c r="BL983" s="10">
        <f t="shared" si="955"/>
        <v>0</v>
      </c>
      <c r="BM983" s="10">
        <f t="shared" si="955"/>
        <v>0</v>
      </c>
      <c r="BN983" s="10">
        <f t="shared" si="955"/>
        <v>0</v>
      </c>
      <c r="BO983" s="10">
        <f t="shared" si="955"/>
        <v>0</v>
      </c>
      <c r="BP983" s="10">
        <f t="shared" si="955"/>
        <v>0</v>
      </c>
      <c r="BQ983" s="10">
        <f t="shared" si="955"/>
        <v>0</v>
      </c>
      <c r="BR983" s="10">
        <f t="shared" si="955"/>
        <v>0</v>
      </c>
      <c r="BS983" s="10">
        <f t="shared" si="955"/>
        <v>0</v>
      </c>
      <c r="BT983" s="10">
        <f t="shared" si="955"/>
        <v>0</v>
      </c>
      <c r="BU983" s="10">
        <f t="shared" si="955"/>
        <v>0</v>
      </c>
      <c r="BV983" s="10">
        <f t="shared" si="955"/>
        <v>0</v>
      </c>
      <c r="BX983" s="10">
        <f t="shared" ref="BX983:CI983" si="956">BX$173</f>
        <v>0</v>
      </c>
      <c r="BY983" s="10">
        <f t="shared" si="956"/>
        <v>0</v>
      </c>
      <c r="BZ983" s="10">
        <f t="shared" si="956"/>
        <v>0</v>
      </c>
      <c r="CA983" s="10">
        <f t="shared" si="956"/>
        <v>0</v>
      </c>
      <c r="CB983" s="10">
        <f t="shared" si="956"/>
        <v>0</v>
      </c>
      <c r="CC983" s="10">
        <f t="shared" si="956"/>
        <v>0</v>
      </c>
      <c r="CD983" s="10">
        <f t="shared" si="956"/>
        <v>0</v>
      </c>
      <c r="CE983" s="10">
        <f t="shared" si="956"/>
        <v>0</v>
      </c>
      <c r="CF983" s="10">
        <f t="shared" si="956"/>
        <v>0</v>
      </c>
      <c r="CG983" s="10">
        <f t="shared" si="956"/>
        <v>0</v>
      </c>
      <c r="CH983" s="10">
        <f t="shared" si="956"/>
        <v>0</v>
      </c>
      <c r="CI983" s="10">
        <f t="shared" si="956"/>
        <v>0</v>
      </c>
      <c r="CK983" s="11"/>
      <c r="CM983" s="11"/>
      <c r="DF983" s="11"/>
      <c r="EY983" s="10" t="str">
        <f t="shared" si="942"/>
        <v/>
      </c>
    </row>
    <row r="984" spans="1:155" x14ac:dyDescent="0.35">
      <c r="B984" s="69" t="str" cm="1">
        <f t="array" aca="1" ref="B984" ca="1">HYPERLINK(CONCATENATE("#",CELL("address",$D$189)),$D$189)</f>
        <v>Loan 8</v>
      </c>
      <c r="C984" s="211"/>
      <c r="D984" s="49">
        <f>D$20</f>
        <v>0</v>
      </c>
      <c r="E984" s="49" t="str">
        <f>F$20</f>
        <v/>
      </c>
      <c r="F984" s="49"/>
      <c r="H984" s="9"/>
      <c r="I984" s="40" t="s">
        <v>1079</v>
      </c>
      <c r="V984" s="133">
        <f>V$192</f>
        <v>0</v>
      </c>
      <c r="W984" s="10">
        <f>W$192</f>
        <v>0</v>
      </c>
      <c r="X984" s="10">
        <f>X$192</f>
        <v>0</v>
      </c>
      <c r="Y984" s="10">
        <f>Y$192</f>
        <v>0</v>
      </c>
      <c r="AA984" s="10">
        <f t="shared" ref="AA984:BV984" si="957">AA$192</f>
        <v>0</v>
      </c>
      <c r="AB984" s="10">
        <f t="shared" si="957"/>
        <v>0</v>
      </c>
      <c r="AC984" s="10">
        <f t="shared" si="957"/>
        <v>0</v>
      </c>
      <c r="AD984" s="10">
        <f t="shared" si="957"/>
        <v>0</v>
      </c>
      <c r="AE984" s="10">
        <f t="shared" si="957"/>
        <v>0</v>
      </c>
      <c r="AF984" s="10">
        <f t="shared" si="957"/>
        <v>0</v>
      </c>
      <c r="AG984" s="10">
        <f t="shared" si="957"/>
        <v>0</v>
      </c>
      <c r="AH984" s="10">
        <f t="shared" si="957"/>
        <v>0</v>
      </c>
      <c r="AI984" s="10">
        <f t="shared" si="957"/>
        <v>0</v>
      </c>
      <c r="AJ984" s="10">
        <f t="shared" si="957"/>
        <v>0</v>
      </c>
      <c r="AK984" s="10">
        <f t="shared" si="957"/>
        <v>0</v>
      </c>
      <c r="AL984" s="10">
        <f t="shared" si="957"/>
        <v>0</v>
      </c>
      <c r="AM984" s="10">
        <f t="shared" si="957"/>
        <v>0</v>
      </c>
      <c r="AN984" s="10">
        <f t="shared" si="957"/>
        <v>0</v>
      </c>
      <c r="AO984" s="10">
        <f t="shared" si="957"/>
        <v>0</v>
      </c>
      <c r="AP984" s="10">
        <f t="shared" si="957"/>
        <v>0</v>
      </c>
      <c r="AQ984" s="10">
        <f t="shared" si="957"/>
        <v>0</v>
      </c>
      <c r="AR984" s="10">
        <f t="shared" si="957"/>
        <v>0</v>
      </c>
      <c r="AS984" s="10">
        <f t="shared" si="957"/>
        <v>0</v>
      </c>
      <c r="AT984" s="10">
        <f t="shared" si="957"/>
        <v>0</v>
      </c>
      <c r="AU984" s="10">
        <f t="shared" si="957"/>
        <v>0</v>
      </c>
      <c r="AV984" s="10">
        <f t="shared" si="957"/>
        <v>0</v>
      </c>
      <c r="AW984" s="10">
        <f t="shared" si="957"/>
        <v>0</v>
      </c>
      <c r="AX984" s="10">
        <f t="shared" si="957"/>
        <v>0</v>
      </c>
      <c r="AY984" s="10">
        <f t="shared" si="957"/>
        <v>0</v>
      </c>
      <c r="AZ984" s="10">
        <f t="shared" si="957"/>
        <v>0</v>
      </c>
      <c r="BA984" s="10">
        <f t="shared" si="957"/>
        <v>0</v>
      </c>
      <c r="BB984" s="10">
        <f t="shared" si="957"/>
        <v>0</v>
      </c>
      <c r="BC984" s="10">
        <f t="shared" si="957"/>
        <v>0</v>
      </c>
      <c r="BD984" s="10">
        <f t="shared" si="957"/>
        <v>0</v>
      </c>
      <c r="BE984" s="10">
        <f t="shared" si="957"/>
        <v>0</v>
      </c>
      <c r="BF984" s="10">
        <f t="shared" si="957"/>
        <v>0</v>
      </c>
      <c r="BG984" s="10">
        <f t="shared" si="957"/>
        <v>0</v>
      </c>
      <c r="BH984" s="10">
        <f t="shared" si="957"/>
        <v>0</v>
      </c>
      <c r="BI984" s="10">
        <f t="shared" si="957"/>
        <v>0</v>
      </c>
      <c r="BJ984" s="10">
        <f t="shared" si="957"/>
        <v>0</v>
      </c>
      <c r="BK984" s="10">
        <f t="shared" si="957"/>
        <v>0</v>
      </c>
      <c r="BL984" s="10">
        <f t="shared" si="957"/>
        <v>0</v>
      </c>
      <c r="BM984" s="10">
        <f t="shared" si="957"/>
        <v>0</v>
      </c>
      <c r="BN984" s="10">
        <f t="shared" si="957"/>
        <v>0</v>
      </c>
      <c r="BO984" s="10">
        <f t="shared" si="957"/>
        <v>0</v>
      </c>
      <c r="BP984" s="10">
        <f t="shared" si="957"/>
        <v>0</v>
      </c>
      <c r="BQ984" s="10">
        <f t="shared" si="957"/>
        <v>0</v>
      </c>
      <c r="BR984" s="10">
        <f t="shared" si="957"/>
        <v>0</v>
      </c>
      <c r="BS984" s="10">
        <f t="shared" si="957"/>
        <v>0</v>
      </c>
      <c r="BT984" s="10">
        <f t="shared" si="957"/>
        <v>0</v>
      </c>
      <c r="BU984" s="10">
        <f t="shared" si="957"/>
        <v>0</v>
      </c>
      <c r="BV984" s="10">
        <f t="shared" si="957"/>
        <v>0</v>
      </c>
      <c r="BX984" s="10">
        <f t="shared" ref="BX984:CI984" si="958">BX$192</f>
        <v>0</v>
      </c>
      <c r="BY984" s="10">
        <f t="shared" si="958"/>
        <v>0</v>
      </c>
      <c r="BZ984" s="10">
        <f t="shared" si="958"/>
        <v>0</v>
      </c>
      <c r="CA984" s="10">
        <f t="shared" si="958"/>
        <v>0</v>
      </c>
      <c r="CB984" s="10">
        <f t="shared" si="958"/>
        <v>0</v>
      </c>
      <c r="CC984" s="10">
        <f t="shared" si="958"/>
        <v>0</v>
      </c>
      <c r="CD984" s="10">
        <f t="shared" si="958"/>
        <v>0</v>
      </c>
      <c r="CE984" s="10">
        <f t="shared" si="958"/>
        <v>0</v>
      </c>
      <c r="CF984" s="10">
        <f t="shared" si="958"/>
        <v>0</v>
      </c>
      <c r="CG984" s="10">
        <f t="shared" si="958"/>
        <v>0</v>
      </c>
      <c r="CH984" s="10">
        <f t="shared" si="958"/>
        <v>0</v>
      </c>
      <c r="CI984" s="10">
        <f t="shared" si="958"/>
        <v>0</v>
      </c>
      <c r="CK984" s="11"/>
      <c r="CM984" s="11"/>
      <c r="DF984" s="11"/>
      <c r="EY984" s="10" t="str">
        <f t="shared" si="942"/>
        <v/>
      </c>
    </row>
    <row r="985" spans="1:155" x14ac:dyDescent="0.35">
      <c r="B985" s="69" t="str" cm="1">
        <f t="array" aca="1" ref="B985" ca="1">HYPERLINK(CONCATENATE("#",CELL("address",$D$208)),$D$208)</f>
        <v>Loan 9</v>
      </c>
      <c r="C985" s="211"/>
      <c r="D985" s="49">
        <f>D$21</f>
        <v>0</v>
      </c>
      <c r="E985" s="49" t="str">
        <f>F$21</f>
        <v/>
      </c>
      <c r="F985" s="49"/>
      <c r="H985" s="9"/>
      <c r="I985" s="40" t="s">
        <v>1079</v>
      </c>
      <c r="V985" s="133">
        <f>V$211</f>
        <v>0</v>
      </c>
      <c r="W985" s="10">
        <f>W$211</f>
        <v>0</v>
      </c>
      <c r="X985" s="10">
        <f>X$211</f>
        <v>0</v>
      </c>
      <c r="Y985" s="10">
        <f>Y$211</f>
        <v>0</v>
      </c>
      <c r="AA985" s="10">
        <f t="shared" ref="AA985:BV985" si="959">AA$211</f>
        <v>0</v>
      </c>
      <c r="AB985" s="10">
        <f t="shared" si="959"/>
        <v>0</v>
      </c>
      <c r="AC985" s="10">
        <f t="shared" si="959"/>
        <v>0</v>
      </c>
      <c r="AD985" s="10">
        <f t="shared" si="959"/>
        <v>0</v>
      </c>
      <c r="AE985" s="10">
        <f t="shared" si="959"/>
        <v>0</v>
      </c>
      <c r="AF985" s="10">
        <f t="shared" si="959"/>
        <v>0</v>
      </c>
      <c r="AG985" s="10">
        <f t="shared" si="959"/>
        <v>0</v>
      </c>
      <c r="AH985" s="10">
        <f t="shared" si="959"/>
        <v>0</v>
      </c>
      <c r="AI985" s="10">
        <f t="shared" si="959"/>
        <v>0</v>
      </c>
      <c r="AJ985" s="10">
        <f t="shared" si="959"/>
        <v>0</v>
      </c>
      <c r="AK985" s="10">
        <f t="shared" si="959"/>
        <v>0</v>
      </c>
      <c r="AL985" s="10">
        <f t="shared" si="959"/>
        <v>0</v>
      </c>
      <c r="AM985" s="10">
        <f t="shared" si="959"/>
        <v>0</v>
      </c>
      <c r="AN985" s="10">
        <f t="shared" si="959"/>
        <v>0</v>
      </c>
      <c r="AO985" s="10">
        <f t="shared" si="959"/>
        <v>0</v>
      </c>
      <c r="AP985" s="10">
        <f t="shared" si="959"/>
        <v>0</v>
      </c>
      <c r="AQ985" s="10">
        <f t="shared" si="959"/>
        <v>0</v>
      </c>
      <c r="AR985" s="10">
        <f t="shared" si="959"/>
        <v>0</v>
      </c>
      <c r="AS985" s="10">
        <f t="shared" si="959"/>
        <v>0</v>
      </c>
      <c r="AT985" s="10">
        <f t="shared" si="959"/>
        <v>0</v>
      </c>
      <c r="AU985" s="10">
        <f t="shared" si="959"/>
        <v>0</v>
      </c>
      <c r="AV985" s="10">
        <f t="shared" si="959"/>
        <v>0</v>
      </c>
      <c r="AW985" s="10">
        <f t="shared" si="959"/>
        <v>0</v>
      </c>
      <c r="AX985" s="10">
        <f t="shared" si="959"/>
        <v>0</v>
      </c>
      <c r="AY985" s="10">
        <f t="shared" si="959"/>
        <v>0</v>
      </c>
      <c r="AZ985" s="10">
        <f t="shared" si="959"/>
        <v>0</v>
      </c>
      <c r="BA985" s="10">
        <f t="shared" si="959"/>
        <v>0</v>
      </c>
      <c r="BB985" s="10">
        <f t="shared" si="959"/>
        <v>0</v>
      </c>
      <c r="BC985" s="10">
        <f t="shared" si="959"/>
        <v>0</v>
      </c>
      <c r="BD985" s="10">
        <f t="shared" si="959"/>
        <v>0</v>
      </c>
      <c r="BE985" s="10">
        <f t="shared" si="959"/>
        <v>0</v>
      </c>
      <c r="BF985" s="10">
        <f t="shared" si="959"/>
        <v>0</v>
      </c>
      <c r="BG985" s="10">
        <f t="shared" si="959"/>
        <v>0</v>
      </c>
      <c r="BH985" s="10">
        <f t="shared" si="959"/>
        <v>0</v>
      </c>
      <c r="BI985" s="10">
        <f t="shared" si="959"/>
        <v>0</v>
      </c>
      <c r="BJ985" s="10">
        <f t="shared" si="959"/>
        <v>0</v>
      </c>
      <c r="BK985" s="10">
        <f t="shared" si="959"/>
        <v>0</v>
      </c>
      <c r="BL985" s="10">
        <f t="shared" si="959"/>
        <v>0</v>
      </c>
      <c r="BM985" s="10">
        <f t="shared" si="959"/>
        <v>0</v>
      </c>
      <c r="BN985" s="10">
        <f t="shared" si="959"/>
        <v>0</v>
      </c>
      <c r="BO985" s="10">
        <f t="shared" si="959"/>
        <v>0</v>
      </c>
      <c r="BP985" s="10">
        <f t="shared" si="959"/>
        <v>0</v>
      </c>
      <c r="BQ985" s="10">
        <f t="shared" si="959"/>
        <v>0</v>
      </c>
      <c r="BR985" s="10">
        <f t="shared" si="959"/>
        <v>0</v>
      </c>
      <c r="BS985" s="10">
        <f t="shared" si="959"/>
        <v>0</v>
      </c>
      <c r="BT985" s="10">
        <f t="shared" si="959"/>
        <v>0</v>
      </c>
      <c r="BU985" s="10">
        <f t="shared" si="959"/>
        <v>0</v>
      </c>
      <c r="BV985" s="10">
        <f t="shared" si="959"/>
        <v>0</v>
      </c>
      <c r="BX985" s="10">
        <f t="shared" ref="BX985:CI985" si="960">BX$211</f>
        <v>0</v>
      </c>
      <c r="BY985" s="10">
        <f t="shared" si="960"/>
        <v>0</v>
      </c>
      <c r="BZ985" s="10">
        <f t="shared" si="960"/>
        <v>0</v>
      </c>
      <c r="CA985" s="10">
        <f t="shared" si="960"/>
        <v>0</v>
      </c>
      <c r="CB985" s="10">
        <f t="shared" si="960"/>
        <v>0</v>
      </c>
      <c r="CC985" s="10">
        <f t="shared" si="960"/>
        <v>0</v>
      </c>
      <c r="CD985" s="10">
        <f t="shared" si="960"/>
        <v>0</v>
      </c>
      <c r="CE985" s="10">
        <f t="shared" si="960"/>
        <v>0</v>
      </c>
      <c r="CF985" s="10">
        <f t="shared" si="960"/>
        <v>0</v>
      </c>
      <c r="CG985" s="10">
        <f t="shared" si="960"/>
        <v>0</v>
      </c>
      <c r="CH985" s="10">
        <f t="shared" si="960"/>
        <v>0</v>
      </c>
      <c r="CI985" s="10">
        <f t="shared" si="960"/>
        <v>0</v>
      </c>
      <c r="CK985" s="11"/>
      <c r="CM985" s="11"/>
      <c r="DF985" s="11"/>
      <c r="EY985" s="10" t="str">
        <f t="shared" si="942"/>
        <v/>
      </c>
    </row>
    <row r="986" spans="1:155" x14ac:dyDescent="0.35">
      <c r="B986" s="69" t="str" cm="1">
        <f t="array" aca="1" ref="B986" ca="1">HYPERLINK(CONCATENATE("#",CELL("address",$D$227)),$D$227)</f>
        <v>Loan 10</v>
      </c>
      <c r="C986" s="211"/>
      <c r="D986" s="49">
        <f>D$22</f>
        <v>0</v>
      </c>
      <c r="E986" s="49" t="str">
        <f>F$22</f>
        <v/>
      </c>
      <c r="F986" s="49"/>
      <c r="H986" s="9"/>
      <c r="I986" s="40" t="s">
        <v>1079</v>
      </c>
      <c r="V986" s="133">
        <f>V$230</f>
        <v>0</v>
      </c>
      <c r="W986" s="10">
        <f>W$230</f>
        <v>0</v>
      </c>
      <c r="X986" s="10">
        <f>X$230</f>
        <v>0</v>
      </c>
      <c r="Y986" s="10">
        <f>Y$230</f>
        <v>0</v>
      </c>
      <c r="AA986" s="10">
        <f t="shared" ref="AA986:BV986" si="961">AA$230</f>
        <v>0</v>
      </c>
      <c r="AB986" s="10">
        <f t="shared" si="961"/>
        <v>0</v>
      </c>
      <c r="AC986" s="10">
        <f t="shared" si="961"/>
        <v>0</v>
      </c>
      <c r="AD986" s="10">
        <f t="shared" si="961"/>
        <v>0</v>
      </c>
      <c r="AE986" s="10">
        <f t="shared" si="961"/>
        <v>0</v>
      </c>
      <c r="AF986" s="10">
        <f t="shared" si="961"/>
        <v>0</v>
      </c>
      <c r="AG986" s="10">
        <f t="shared" si="961"/>
        <v>0</v>
      </c>
      <c r="AH986" s="10">
        <f t="shared" si="961"/>
        <v>0</v>
      </c>
      <c r="AI986" s="10">
        <f t="shared" si="961"/>
        <v>0</v>
      </c>
      <c r="AJ986" s="10">
        <f t="shared" si="961"/>
        <v>0</v>
      </c>
      <c r="AK986" s="10">
        <f t="shared" si="961"/>
        <v>0</v>
      </c>
      <c r="AL986" s="10">
        <f t="shared" si="961"/>
        <v>0</v>
      </c>
      <c r="AM986" s="10">
        <f t="shared" si="961"/>
        <v>0</v>
      </c>
      <c r="AN986" s="10">
        <f t="shared" si="961"/>
        <v>0</v>
      </c>
      <c r="AO986" s="10">
        <f t="shared" si="961"/>
        <v>0</v>
      </c>
      <c r="AP986" s="10">
        <f t="shared" si="961"/>
        <v>0</v>
      </c>
      <c r="AQ986" s="10">
        <f t="shared" si="961"/>
        <v>0</v>
      </c>
      <c r="AR986" s="10">
        <f t="shared" si="961"/>
        <v>0</v>
      </c>
      <c r="AS986" s="10">
        <f t="shared" si="961"/>
        <v>0</v>
      </c>
      <c r="AT986" s="10">
        <f t="shared" si="961"/>
        <v>0</v>
      </c>
      <c r="AU986" s="10">
        <f t="shared" si="961"/>
        <v>0</v>
      </c>
      <c r="AV986" s="10">
        <f t="shared" si="961"/>
        <v>0</v>
      </c>
      <c r="AW986" s="10">
        <f t="shared" si="961"/>
        <v>0</v>
      </c>
      <c r="AX986" s="10">
        <f t="shared" si="961"/>
        <v>0</v>
      </c>
      <c r="AY986" s="10">
        <f t="shared" si="961"/>
        <v>0</v>
      </c>
      <c r="AZ986" s="10">
        <f t="shared" si="961"/>
        <v>0</v>
      </c>
      <c r="BA986" s="10">
        <f t="shared" si="961"/>
        <v>0</v>
      </c>
      <c r="BB986" s="10">
        <f t="shared" si="961"/>
        <v>0</v>
      </c>
      <c r="BC986" s="10">
        <f t="shared" si="961"/>
        <v>0</v>
      </c>
      <c r="BD986" s="10">
        <f t="shared" si="961"/>
        <v>0</v>
      </c>
      <c r="BE986" s="10">
        <f t="shared" si="961"/>
        <v>0</v>
      </c>
      <c r="BF986" s="10">
        <f t="shared" si="961"/>
        <v>0</v>
      </c>
      <c r="BG986" s="10">
        <f t="shared" si="961"/>
        <v>0</v>
      </c>
      <c r="BH986" s="10">
        <f t="shared" si="961"/>
        <v>0</v>
      </c>
      <c r="BI986" s="10">
        <f t="shared" si="961"/>
        <v>0</v>
      </c>
      <c r="BJ986" s="10">
        <f t="shared" si="961"/>
        <v>0</v>
      </c>
      <c r="BK986" s="10">
        <f t="shared" si="961"/>
        <v>0</v>
      </c>
      <c r="BL986" s="10">
        <f t="shared" si="961"/>
        <v>0</v>
      </c>
      <c r="BM986" s="10">
        <f t="shared" si="961"/>
        <v>0</v>
      </c>
      <c r="BN986" s="10">
        <f t="shared" si="961"/>
        <v>0</v>
      </c>
      <c r="BO986" s="10">
        <f t="shared" si="961"/>
        <v>0</v>
      </c>
      <c r="BP986" s="10">
        <f t="shared" si="961"/>
        <v>0</v>
      </c>
      <c r="BQ986" s="10">
        <f t="shared" si="961"/>
        <v>0</v>
      </c>
      <c r="BR986" s="10">
        <f t="shared" si="961"/>
        <v>0</v>
      </c>
      <c r="BS986" s="10">
        <f t="shared" si="961"/>
        <v>0</v>
      </c>
      <c r="BT986" s="10">
        <f t="shared" si="961"/>
        <v>0</v>
      </c>
      <c r="BU986" s="10">
        <f t="shared" si="961"/>
        <v>0</v>
      </c>
      <c r="BV986" s="10">
        <f t="shared" si="961"/>
        <v>0</v>
      </c>
      <c r="BX986" s="10">
        <f t="shared" ref="BX986:CI986" si="962">BX$230</f>
        <v>0</v>
      </c>
      <c r="BY986" s="10">
        <f t="shared" si="962"/>
        <v>0</v>
      </c>
      <c r="BZ986" s="10">
        <f t="shared" si="962"/>
        <v>0</v>
      </c>
      <c r="CA986" s="10">
        <f t="shared" si="962"/>
        <v>0</v>
      </c>
      <c r="CB986" s="10">
        <f t="shared" si="962"/>
        <v>0</v>
      </c>
      <c r="CC986" s="10">
        <f t="shared" si="962"/>
        <v>0</v>
      </c>
      <c r="CD986" s="10">
        <f t="shared" si="962"/>
        <v>0</v>
      </c>
      <c r="CE986" s="10">
        <f t="shared" si="962"/>
        <v>0</v>
      </c>
      <c r="CF986" s="10">
        <f t="shared" si="962"/>
        <v>0</v>
      </c>
      <c r="CG986" s="10">
        <f t="shared" si="962"/>
        <v>0</v>
      </c>
      <c r="CH986" s="10">
        <f t="shared" si="962"/>
        <v>0</v>
      </c>
      <c r="CI986" s="10">
        <f t="shared" si="962"/>
        <v>0</v>
      </c>
      <c r="CK986" s="11"/>
      <c r="CM986" s="11"/>
      <c r="DF986" s="11"/>
      <c r="EY986" s="10" t="str">
        <f t="shared" si="942"/>
        <v/>
      </c>
    </row>
    <row r="987" spans="1:155" x14ac:dyDescent="0.35">
      <c r="B987" s="69" t="str" cm="1">
        <f t="array" aca="1" ref="B987" ca="1">HYPERLINK(CONCATENATE("#",CELL("address",$D$246)),$D$246)</f>
        <v>Loan 11</v>
      </c>
      <c r="C987" s="211"/>
      <c r="D987" s="49">
        <f>D$23</f>
        <v>0</v>
      </c>
      <c r="E987" s="49" t="str">
        <f>F$23</f>
        <v/>
      </c>
      <c r="F987" s="49"/>
      <c r="H987" s="9"/>
      <c r="I987" s="40" t="s">
        <v>1079</v>
      </c>
      <c r="V987" s="133">
        <f>V$249</f>
        <v>0</v>
      </c>
      <c r="W987" s="10">
        <f>W$249</f>
        <v>0</v>
      </c>
      <c r="X987" s="10">
        <f>X$249</f>
        <v>0</v>
      </c>
      <c r="Y987" s="10">
        <f>Y$249</f>
        <v>0</v>
      </c>
      <c r="AA987" s="10">
        <f t="shared" ref="AA987:BV987" si="963">AA$249</f>
        <v>0</v>
      </c>
      <c r="AB987" s="10">
        <f t="shared" si="963"/>
        <v>0</v>
      </c>
      <c r="AC987" s="10">
        <f t="shared" si="963"/>
        <v>0</v>
      </c>
      <c r="AD987" s="10">
        <f t="shared" si="963"/>
        <v>0</v>
      </c>
      <c r="AE987" s="10">
        <f t="shared" si="963"/>
        <v>0</v>
      </c>
      <c r="AF987" s="10">
        <f t="shared" si="963"/>
        <v>0</v>
      </c>
      <c r="AG987" s="10">
        <f t="shared" si="963"/>
        <v>0</v>
      </c>
      <c r="AH987" s="10">
        <f t="shared" si="963"/>
        <v>0</v>
      </c>
      <c r="AI987" s="10">
        <f t="shared" si="963"/>
        <v>0</v>
      </c>
      <c r="AJ987" s="10">
        <f t="shared" si="963"/>
        <v>0</v>
      </c>
      <c r="AK987" s="10">
        <f t="shared" si="963"/>
        <v>0</v>
      </c>
      <c r="AL987" s="10">
        <f t="shared" si="963"/>
        <v>0</v>
      </c>
      <c r="AM987" s="10">
        <f t="shared" si="963"/>
        <v>0</v>
      </c>
      <c r="AN987" s="10">
        <f t="shared" si="963"/>
        <v>0</v>
      </c>
      <c r="AO987" s="10">
        <f t="shared" si="963"/>
        <v>0</v>
      </c>
      <c r="AP987" s="10">
        <f t="shared" si="963"/>
        <v>0</v>
      </c>
      <c r="AQ987" s="10">
        <f t="shared" si="963"/>
        <v>0</v>
      </c>
      <c r="AR987" s="10">
        <f t="shared" si="963"/>
        <v>0</v>
      </c>
      <c r="AS987" s="10">
        <f t="shared" si="963"/>
        <v>0</v>
      </c>
      <c r="AT987" s="10">
        <f t="shared" si="963"/>
        <v>0</v>
      </c>
      <c r="AU987" s="10">
        <f t="shared" si="963"/>
        <v>0</v>
      </c>
      <c r="AV987" s="10">
        <f t="shared" si="963"/>
        <v>0</v>
      </c>
      <c r="AW987" s="10">
        <f t="shared" si="963"/>
        <v>0</v>
      </c>
      <c r="AX987" s="10">
        <f t="shared" si="963"/>
        <v>0</v>
      </c>
      <c r="AY987" s="10">
        <f t="shared" si="963"/>
        <v>0</v>
      </c>
      <c r="AZ987" s="10">
        <f t="shared" si="963"/>
        <v>0</v>
      </c>
      <c r="BA987" s="10">
        <f t="shared" si="963"/>
        <v>0</v>
      </c>
      <c r="BB987" s="10">
        <f t="shared" si="963"/>
        <v>0</v>
      </c>
      <c r="BC987" s="10">
        <f t="shared" si="963"/>
        <v>0</v>
      </c>
      <c r="BD987" s="10">
        <f t="shared" si="963"/>
        <v>0</v>
      </c>
      <c r="BE987" s="10">
        <f t="shared" si="963"/>
        <v>0</v>
      </c>
      <c r="BF987" s="10">
        <f t="shared" si="963"/>
        <v>0</v>
      </c>
      <c r="BG987" s="10">
        <f t="shared" si="963"/>
        <v>0</v>
      </c>
      <c r="BH987" s="10">
        <f t="shared" si="963"/>
        <v>0</v>
      </c>
      <c r="BI987" s="10">
        <f t="shared" si="963"/>
        <v>0</v>
      </c>
      <c r="BJ987" s="10">
        <f t="shared" si="963"/>
        <v>0</v>
      </c>
      <c r="BK987" s="10">
        <f t="shared" si="963"/>
        <v>0</v>
      </c>
      <c r="BL987" s="10">
        <f t="shared" si="963"/>
        <v>0</v>
      </c>
      <c r="BM987" s="10">
        <f t="shared" si="963"/>
        <v>0</v>
      </c>
      <c r="BN987" s="10">
        <f t="shared" si="963"/>
        <v>0</v>
      </c>
      <c r="BO987" s="10">
        <f t="shared" si="963"/>
        <v>0</v>
      </c>
      <c r="BP987" s="10">
        <f t="shared" si="963"/>
        <v>0</v>
      </c>
      <c r="BQ987" s="10">
        <f t="shared" si="963"/>
        <v>0</v>
      </c>
      <c r="BR987" s="10">
        <f t="shared" si="963"/>
        <v>0</v>
      </c>
      <c r="BS987" s="10">
        <f t="shared" si="963"/>
        <v>0</v>
      </c>
      <c r="BT987" s="10">
        <f t="shared" si="963"/>
        <v>0</v>
      </c>
      <c r="BU987" s="10">
        <f t="shared" si="963"/>
        <v>0</v>
      </c>
      <c r="BV987" s="10">
        <f t="shared" si="963"/>
        <v>0</v>
      </c>
      <c r="BX987" s="10">
        <f t="shared" ref="BX987:CI987" si="964">BX$249</f>
        <v>0</v>
      </c>
      <c r="BY987" s="10">
        <f t="shared" si="964"/>
        <v>0</v>
      </c>
      <c r="BZ987" s="10">
        <f t="shared" si="964"/>
        <v>0</v>
      </c>
      <c r="CA987" s="10">
        <f t="shared" si="964"/>
        <v>0</v>
      </c>
      <c r="CB987" s="10">
        <f t="shared" si="964"/>
        <v>0</v>
      </c>
      <c r="CC987" s="10">
        <f t="shared" si="964"/>
        <v>0</v>
      </c>
      <c r="CD987" s="10">
        <f t="shared" si="964"/>
        <v>0</v>
      </c>
      <c r="CE987" s="10">
        <f t="shared" si="964"/>
        <v>0</v>
      </c>
      <c r="CF987" s="10">
        <f t="shared" si="964"/>
        <v>0</v>
      </c>
      <c r="CG987" s="10">
        <f t="shared" si="964"/>
        <v>0</v>
      </c>
      <c r="CH987" s="10">
        <f t="shared" si="964"/>
        <v>0</v>
      </c>
      <c r="CI987" s="10">
        <f t="shared" si="964"/>
        <v>0</v>
      </c>
      <c r="CK987" s="11"/>
      <c r="CM987" s="11"/>
      <c r="DF987" s="11"/>
      <c r="EY987" s="10" t="str">
        <f t="shared" si="942"/>
        <v/>
      </c>
    </row>
    <row r="988" spans="1:155" x14ac:dyDescent="0.35">
      <c r="B988" s="69" t="str" cm="1">
        <f t="array" aca="1" ref="B988" ca="1">HYPERLINK(CONCATENATE("#",CELL("address",$D$265)),$D$265)</f>
        <v>Loan 12</v>
      </c>
      <c r="C988" s="211"/>
      <c r="D988" s="49">
        <f>D$24</f>
        <v>0</v>
      </c>
      <c r="E988" s="49" t="str">
        <f>F$24</f>
        <v/>
      </c>
      <c r="F988" s="49"/>
      <c r="H988" s="9"/>
      <c r="I988" s="40" t="s">
        <v>1079</v>
      </c>
      <c r="V988" s="133">
        <f>V$268</f>
        <v>0</v>
      </c>
      <c r="W988" s="10">
        <f>W$268</f>
        <v>0</v>
      </c>
      <c r="X988" s="10">
        <f>X$268</f>
        <v>0</v>
      </c>
      <c r="Y988" s="10">
        <f>Y$268</f>
        <v>0</v>
      </c>
      <c r="AA988" s="10">
        <f t="shared" ref="AA988:BV988" si="965">AA$268</f>
        <v>0</v>
      </c>
      <c r="AB988" s="10">
        <f t="shared" si="965"/>
        <v>0</v>
      </c>
      <c r="AC988" s="10">
        <f t="shared" si="965"/>
        <v>0</v>
      </c>
      <c r="AD988" s="10">
        <f t="shared" si="965"/>
        <v>0</v>
      </c>
      <c r="AE988" s="10">
        <f t="shared" si="965"/>
        <v>0</v>
      </c>
      <c r="AF988" s="10">
        <f t="shared" si="965"/>
        <v>0</v>
      </c>
      <c r="AG988" s="10">
        <f t="shared" si="965"/>
        <v>0</v>
      </c>
      <c r="AH988" s="10">
        <f t="shared" si="965"/>
        <v>0</v>
      </c>
      <c r="AI988" s="10">
        <f t="shared" si="965"/>
        <v>0</v>
      </c>
      <c r="AJ988" s="10">
        <f t="shared" si="965"/>
        <v>0</v>
      </c>
      <c r="AK988" s="10">
        <f t="shared" si="965"/>
        <v>0</v>
      </c>
      <c r="AL988" s="10">
        <f t="shared" si="965"/>
        <v>0</v>
      </c>
      <c r="AM988" s="10">
        <f t="shared" si="965"/>
        <v>0</v>
      </c>
      <c r="AN988" s="10">
        <f t="shared" si="965"/>
        <v>0</v>
      </c>
      <c r="AO988" s="10">
        <f t="shared" si="965"/>
        <v>0</v>
      </c>
      <c r="AP988" s="10">
        <f t="shared" si="965"/>
        <v>0</v>
      </c>
      <c r="AQ988" s="10">
        <f t="shared" si="965"/>
        <v>0</v>
      </c>
      <c r="AR988" s="10">
        <f t="shared" si="965"/>
        <v>0</v>
      </c>
      <c r="AS988" s="10">
        <f t="shared" si="965"/>
        <v>0</v>
      </c>
      <c r="AT988" s="10">
        <f t="shared" si="965"/>
        <v>0</v>
      </c>
      <c r="AU988" s="10">
        <f t="shared" si="965"/>
        <v>0</v>
      </c>
      <c r="AV988" s="10">
        <f t="shared" si="965"/>
        <v>0</v>
      </c>
      <c r="AW988" s="10">
        <f t="shared" si="965"/>
        <v>0</v>
      </c>
      <c r="AX988" s="10">
        <f t="shared" si="965"/>
        <v>0</v>
      </c>
      <c r="AY988" s="10">
        <f t="shared" si="965"/>
        <v>0</v>
      </c>
      <c r="AZ988" s="10">
        <f t="shared" si="965"/>
        <v>0</v>
      </c>
      <c r="BA988" s="10">
        <f t="shared" si="965"/>
        <v>0</v>
      </c>
      <c r="BB988" s="10">
        <f t="shared" si="965"/>
        <v>0</v>
      </c>
      <c r="BC988" s="10">
        <f t="shared" si="965"/>
        <v>0</v>
      </c>
      <c r="BD988" s="10">
        <f t="shared" si="965"/>
        <v>0</v>
      </c>
      <c r="BE988" s="10">
        <f t="shared" si="965"/>
        <v>0</v>
      </c>
      <c r="BF988" s="10">
        <f t="shared" si="965"/>
        <v>0</v>
      </c>
      <c r="BG988" s="10">
        <f t="shared" si="965"/>
        <v>0</v>
      </c>
      <c r="BH988" s="10">
        <f t="shared" si="965"/>
        <v>0</v>
      </c>
      <c r="BI988" s="10">
        <f t="shared" si="965"/>
        <v>0</v>
      </c>
      <c r="BJ988" s="10">
        <f t="shared" si="965"/>
        <v>0</v>
      </c>
      <c r="BK988" s="10">
        <f t="shared" si="965"/>
        <v>0</v>
      </c>
      <c r="BL988" s="10">
        <f t="shared" si="965"/>
        <v>0</v>
      </c>
      <c r="BM988" s="10">
        <f t="shared" si="965"/>
        <v>0</v>
      </c>
      <c r="BN988" s="10">
        <f t="shared" si="965"/>
        <v>0</v>
      </c>
      <c r="BO988" s="10">
        <f t="shared" si="965"/>
        <v>0</v>
      </c>
      <c r="BP988" s="10">
        <f t="shared" si="965"/>
        <v>0</v>
      </c>
      <c r="BQ988" s="10">
        <f t="shared" si="965"/>
        <v>0</v>
      </c>
      <c r="BR988" s="10">
        <f t="shared" si="965"/>
        <v>0</v>
      </c>
      <c r="BS988" s="10">
        <f t="shared" si="965"/>
        <v>0</v>
      </c>
      <c r="BT988" s="10">
        <f t="shared" si="965"/>
        <v>0</v>
      </c>
      <c r="BU988" s="10">
        <f t="shared" si="965"/>
        <v>0</v>
      </c>
      <c r="BV988" s="10">
        <f t="shared" si="965"/>
        <v>0</v>
      </c>
      <c r="BX988" s="10">
        <f t="shared" ref="BX988:CI988" si="966">BX$268</f>
        <v>0</v>
      </c>
      <c r="BY988" s="10">
        <f t="shared" si="966"/>
        <v>0</v>
      </c>
      <c r="BZ988" s="10">
        <f t="shared" si="966"/>
        <v>0</v>
      </c>
      <c r="CA988" s="10">
        <f t="shared" si="966"/>
        <v>0</v>
      </c>
      <c r="CB988" s="10">
        <f t="shared" si="966"/>
        <v>0</v>
      </c>
      <c r="CC988" s="10">
        <f t="shared" si="966"/>
        <v>0</v>
      </c>
      <c r="CD988" s="10">
        <f t="shared" si="966"/>
        <v>0</v>
      </c>
      <c r="CE988" s="10">
        <f t="shared" si="966"/>
        <v>0</v>
      </c>
      <c r="CF988" s="10">
        <f t="shared" si="966"/>
        <v>0</v>
      </c>
      <c r="CG988" s="10">
        <f t="shared" si="966"/>
        <v>0</v>
      </c>
      <c r="CH988" s="10">
        <f t="shared" si="966"/>
        <v>0</v>
      </c>
      <c r="CI988" s="10">
        <f t="shared" si="966"/>
        <v>0</v>
      </c>
      <c r="CK988" s="11"/>
      <c r="CM988" s="11"/>
      <c r="DF988" s="11"/>
      <c r="EY988" s="10" t="str">
        <f t="shared" si="942"/>
        <v/>
      </c>
    </row>
    <row r="989" spans="1:155" x14ac:dyDescent="0.35">
      <c r="B989" s="69" t="str" cm="1">
        <f t="array" aca="1" ref="B989" ca="1">HYPERLINK(CONCATENATE("#",CELL("address",$D$284)),$D$284)</f>
        <v>Loan 13</v>
      </c>
      <c r="C989" s="211"/>
      <c r="D989" s="49">
        <f>D$25</f>
        <v>0</v>
      </c>
      <c r="E989" s="49" t="str">
        <f>F$25</f>
        <v/>
      </c>
      <c r="F989" s="49"/>
      <c r="H989" s="9"/>
      <c r="I989" s="40" t="s">
        <v>1079</v>
      </c>
      <c r="V989" s="133">
        <f>V$287</f>
        <v>0</v>
      </c>
      <c r="W989" s="10">
        <f>W$287</f>
        <v>0</v>
      </c>
      <c r="X989" s="10">
        <f>X$287</f>
        <v>0</v>
      </c>
      <c r="Y989" s="10">
        <f>Y$287</f>
        <v>0</v>
      </c>
      <c r="AA989" s="10">
        <f t="shared" ref="AA989:BV989" si="967">AA$287</f>
        <v>0</v>
      </c>
      <c r="AB989" s="10">
        <f t="shared" si="967"/>
        <v>0</v>
      </c>
      <c r="AC989" s="10">
        <f t="shared" si="967"/>
        <v>0</v>
      </c>
      <c r="AD989" s="10">
        <f t="shared" si="967"/>
        <v>0</v>
      </c>
      <c r="AE989" s="10">
        <f t="shared" si="967"/>
        <v>0</v>
      </c>
      <c r="AF989" s="10">
        <f t="shared" si="967"/>
        <v>0</v>
      </c>
      <c r="AG989" s="10">
        <f t="shared" si="967"/>
        <v>0</v>
      </c>
      <c r="AH989" s="10">
        <f t="shared" si="967"/>
        <v>0</v>
      </c>
      <c r="AI989" s="10">
        <f t="shared" si="967"/>
        <v>0</v>
      </c>
      <c r="AJ989" s="10">
        <f t="shared" si="967"/>
        <v>0</v>
      </c>
      <c r="AK989" s="10">
        <f t="shared" si="967"/>
        <v>0</v>
      </c>
      <c r="AL989" s="10">
        <f t="shared" si="967"/>
        <v>0</v>
      </c>
      <c r="AM989" s="10">
        <f t="shared" si="967"/>
        <v>0</v>
      </c>
      <c r="AN989" s="10">
        <f t="shared" si="967"/>
        <v>0</v>
      </c>
      <c r="AO989" s="10">
        <f t="shared" si="967"/>
        <v>0</v>
      </c>
      <c r="AP989" s="10">
        <f t="shared" si="967"/>
        <v>0</v>
      </c>
      <c r="AQ989" s="10">
        <f t="shared" si="967"/>
        <v>0</v>
      </c>
      <c r="AR989" s="10">
        <f t="shared" si="967"/>
        <v>0</v>
      </c>
      <c r="AS989" s="10">
        <f t="shared" si="967"/>
        <v>0</v>
      </c>
      <c r="AT989" s="10">
        <f t="shared" si="967"/>
        <v>0</v>
      </c>
      <c r="AU989" s="10">
        <f t="shared" si="967"/>
        <v>0</v>
      </c>
      <c r="AV989" s="10">
        <f t="shared" si="967"/>
        <v>0</v>
      </c>
      <c r="AW989" s="10">
        <f t="shared" si="967"/>
        <v>0</v>
      </c>
      <c r="AX989" s="10">
        <f t="shared" si="967"/>
        <v>0</v>
      </c>
      <c r="AY989" s="10">
        <f t="shared" si="967"/>
        <v>0</v>
      </c>
      <c r="AZ989" s="10">
        <f t="shared" si="967"/>
        <v>0</v>
      </c>
      <c r="BA989" s="10">
        <f t="shared" si="967"/>
        <v>0</v>
      </c>
      <c r="BB989" s="10">
        <f t="shared" si="967"/>
        <v>0</v>
      </c>
      <c r="BC989" s="10">
        <f t="shared" si="967"/>
        <v>0</v>
      </c>
      <c r="BD989" s="10">
        <f t="shared" si="967"/>
        <v>0</v>
      </c>
      <c r="BE989" s="10">
        <f t="shared" si="967"/>
        <v>0</v>
      </c>
      <c r="BF989" s="10">
        <f t="shared" si="967"/>
        <v>0</v>
      </c>
      <c r="BG989" s="10">
        <f t="shared" si="967"/>
        <v>0</v>
      </c>
      <c r="BH989" s="10">
        <f t="shared" si="967"/>
        <v>0</v>
      </c>
      <c r="BI989" s="10">
        <f t="shared" si="967"/>
        <v>0</v>
      </c>
      <c r="BJ989" s="10">
        <f t="shared" si="967"/>
        <v>0</v>
      </c>
      <c r="BK989" s="10">
        <f t="shared" si="967"/>
        <v>0</v>
      </c>
      <c r="BL989" s="10">
        <f t="shared" si="967"/>
        <v>0</v>
      </c>
      <c r="BM989" s="10">
        <f t="shared" si="967"/>
        <v>0</v>
      </c>
      <c r="BN989" s="10">
        <f t="shared" si="967"/>
        <v>0</v>
      </c>
      <c r="BO989" s="10">
        <f t="shared" si="967"/>
        <v>0</v>
      </c>
      <c r="BP989" s="10">
        <f t="shared" si="967"/>
        <v>0</v>
      </c>
      <c r="BQ989" s="10">
        <f t="shared" si="967"/>
        <v>0</v>
      </c>
      <c r="BR989" s="10">
        <f t="shared" si="967"/>
        <v>0</v>
      </c>
      <c r="BS989" s="10">
        <f t="shared" si="967"/>
        <v>0</v>
      </c>
      <c r="BT989" s="10">
        <f t="shared" si="967"/>
        <v>0</v>
      </c>
      <c r="BU989" s="10">
        <f t="shared" si="967"/>
        <v>0</v>
      </c>
      <c r="BV989" s="10">
        <f t="shared" si="967"/>
        <v>0</v>
      </c>
      <c r="BX989" s="10">
        <f t="shared" ref="BX989:CI989" si="968">BX$287</f>
        <v>0</v>
      </c>
      <c r="BY989" s="10">
        <f t="shared" si="968"/>
        <v>0</v>
      </c>
      <c r="BZ989" s="10">
        <f t="shared" si="968"/>
        <v>0</v>
      </c>
      <c r="CA989" s="10">
        <f t="shared" si="968"/>
        <v>0</v>
      </c>
      <c r="CB989" s="10">
        <f t="shared" si="968"/>
        <v>0</v>
      </c>
      <c r="CC989" s="10">
        <f t="shared" si="968"/>
        <v>0</v>
      </c>
      <c r="CD989" s="10">
        <f t="shared" si="968"/>
        <v>0</v>
      </c>
      <c r="CE989" s="10">
        <f t="shared" si="968"/>
        <v>0</v>
      </c>
      <c r="CF989" s="10">
        <f t="shared" si="968"/>
        <v>0</v>
      </c>
      <c r="CG989" s="10">
        <f t="shared" si="968"/>
        <v>0</v>
      </c>
      <c r="CH989" s="10">
        <f t="shared" si="968"/>
        <v>0</v>
      </c>
      <c r="CI989" s="10">
        <f t="shared" si="968"/>
        <v>0</v>
      </c>
      <c r="CK989" s="11"/>
      <c r="CM989" s="11"/>
      <c r="DF989" s="11"/>
      <c r="EY989" s="10" t="str">
        <f t="shared" si="942"/>
        <v/>
      </c>
    </row>
    <row r="990" spans="1:155" s="5" customFormat="1" x14ac:dyDescent="0.35">
      <c r="A990"/>
      <c r="B990" s="69" t="str" cm="1">
        <f t="array" aca="1" ref="B990" ca="1">HYPERLINK(CONCATENATE("#",CELL("address",$D$303)),$D$303)</f>
        <v>Loan 14</v>
      </c>
      <c r="C990" s="211"/>
      <c r="D990" s="49">
        <f>D$26</f>
        <v>0</v>
      </c>
      <c r="E990" s="49" t="str">
        <f>F$26</f>
        <v/>
      </c>
      <c r="F990" s="49"/>
      <c r="G990"/>
      <c r="H990" s="9"/>
      <c r="I990" s="40" t="s">
        <v>1079</v>
      </c>
      <c r="J990"/>
      <c r="K990"/>
      <c r="L990"/>
      <c r="M990"/>
      <c r="N990"/>
      <c r="O990"/>
      <c r="P990"/>
      <c r="Q990"/>
      <c r="R990"/>
      <c r="S990"/>
      <c r="T990"/>
      <c r="U990"/>
      <c r="V990" s="133">
        <f>V$306</f>
        <v>0</v>
      </c>
      <c r="W990" s="10">
        <f>W$306</f>
        <v>0</v>
      </c>
      <c r="X990" s="10">
        <f>X$306</f>
        <v>0</v>
      </c>
      <c r="Y990" s="10">
        <f>Y$306</f>
        <v>0</v>
      </c>
      <c r="Z990"/>
      <c r="AA990" s="10">
        <f t="shared" ref="AA990:BV990" si="969">AA$306</f>
        <v>0</v>
      </c>
      <c r="AB990" s="10">
        <f t="shared" si="969"/>
        <v>0</v>
      </c>
      <c r="AC990" s="10">
        <f t="shared" si="969"/>
        <v>0</v>
      </c>
      <c r="AD990" s="10">
        <f t="shared" si="969"/>
        <v>0</v>
      </c>
      <c r="AE990" s="10">
        <f t="shared" si="969"/>
        <v>0</v>
      </c>
      <c r="AF990" s="10">
        <f t="shared" si="969"/>
        <v>0</v>
      </c>
      <c r="AG990" s="10">
        <f t="shared" si="969"/>
        <v>0</v>
      </c>
      <c r="AH990" s="10">
        <f t="shared" si="969"/>
        <v>0</v>
      </c>
      <c r="AI990" s="10">
        <f t="shared" si="969"/>
        <v>0</v>
      </c>
      <c r="AJ990" s="10">
        <f t="shared" si="969"/>
        <v>0</v>
      </c>
      <c r="AK990" s="10">
        <f t="shared" si="969"/>
        <v>0</v>
      </c>
      <c r="AL990" s="10">
        <f t="shared" si="969"/>
        <v>0</v>
      </c>
      <c r="AM990" s="10">
        <f t="shared" si="969"/>
        <v>0</v>
      </c>
      <c r="AN990" s="10">
        <f t="shared" si="969"/>
        <v>0</v>
      </c>
      <c r="AO990" s="10">
        <f t="shared" si="969"/>
        <v>0</v>
      </c>
      <c r="AP990" s="10">
        <f t="shared" si="969"/>
        <v>0</v>
      </c>
      <c r="AQ990" s="10">
        <f t="shared" si="969"/>
        <v>0</v>
      </c>
      <c r="AR990" s="10">
        <f t="shared" si="969"/>
        <v>0</v>
      </c>
      <c r="AS990" s="10">
        <f t="shared" si="969"/>
        <v>0</v>
      </c>
      <c r="AT990" s="10">
        <f t="shared" si="969"/>
        <v>0</v>
      </c>
      <c r="AU990" s="10">
        <f t="shared" si="969"/>
        <v>0</v>
      </c>
      <c r="AV990" s="10">
        <f t="shared" si="969"/>
        <v>0</v>
      </c>
      <c r="AW990" s="10">
        <f t="shared" si="969"/>
        <v>0</v>
      </c>
      <c r="AX990" s="10">
        <f t="shared" si="969"/>
        <v>0</v>
      </c>
      <c r="AY990" s="10">
        <f t="shared" si="969"/>
        <v>0</v>
      </c>
      <c r="AZ990" s="10">
        <f t="shared" si="969"/>
        <v>0</v>
      </c>
      <c r="BA990" s="10">
        <f t="shared" si="969"/>
        <v>0</v>
      </c>
      <c r="BB990" s="10">
        <f t="shared" si="969"/>
        <v>0</v>
      </c>
      <c r="BC990" s="10">
        <f t="shared" si="969"/>
        <v>0</v>
      </c>
      <c r="BD990" s="10">
        <f t="shared" si="969"/>
        <v>0</v>
      </c>
      <c r="BE990" s="10">
        <f t="shared" si="969"/>
        <v>0</v>
      </c>
      <c r="BF990" s="10">
        <f t="shared" si="969"/>
        <v>0</v>
      </c>
      <c r="BG990" s="10">
        <f t="shared" si="969"/>
        <v>0</v>
      </c>
      <c r="BH990" s="10">
        <f t="shared" si="969"/>
        <v>0</v>
      </c>
      <c r="BI990" s="10">
        <f t="shared" si="969"/>
        <v>0</v>
      </c>
      <c r="BJ990" s="10">
        <f t="shared" si="969"/>
        <v>0</v>
      </c>
      <c r="BK990" s="10">
        <f t="shared" si="969"/>
        <v>0</v>
      </c>
      <c r="BL990" s="10">
        <f t="shared" si="969"/>
        <v>0</v>
      </c>
      <c r="BM990" s="10">
        <f t="shared" si="969"/>
        <v>0</v>
      </c>
      <c r="BN990" s="10">
        <f t="shared" si="969"/>
        <v>0</v>
      </c>
      <c r="BO990" s="10">
        <f t="shared" si="969"/>
        <v>0</v>
      </c>
      <c r="BP990" s="10">
        <f t="shared" si="969"/>
        <v>0</v>
      </c>
      <c r="BQ990" s="10">
        <f t="shared" si="969"/>
        <v>0</v>
      </c>
      <c r="BR990" s="10">
        <f t="shared" si="969"/>
        <v>0</v>
      </c>
      <c r="BS990" s="10">
        <f t="shared" si="969"/>
        <v>0</v>
      </c>
      <c r="BT990" s="10">
        <f t="shared" si="969"/>
        <v>0</v>
      </c>
      <c r="BU990" s="10">
        <f t="shared" si="969"/>
        <v>0</v>
      </c>
      <c r="BV990" s="10">
        <f t="shared" si="969"/>
        <v>0</v>
      </c>
      <c r="BW990"/>
      <c r="BX990" s="10">
        <f t="shared" ref="BX990:CI990" si="970">BX$306</f>
        <v>0</v>
      </c>
      <c r="BY990" s="10">
        <f t="shared" si="970"/>
        <v>0</v>
      </c>
      <c r="BZ990" s="10">
        <f t="shared" si="970"/>
        <v>0</v>
      </c>
      <c r="CA990" s="10">
        <f t="shared" si="970"/>
        <v>0</v>
      </c>
      <c r="CB990" s="10">
        <f t="shared" si="970"/>
        <v>0</v>
      </c>
      <c r="CC990" s="10">
        <f t="shared" si="970"/>
        <v>0</v>
      </c>
      <c r="CD990" s="10">
        <f t="shared" si="970"/>
        <v>0</v>
      </c>
      <c r="CE990" s="10">
        <f t="shared" si="970"/>
        <v>0</v>
      </c>
      <c r="CF990" s="10">
        <f t="shared" si="970"/>
        <v>0</v>
      </c>
      <c r="CG990" s="10">
        <f t="shared" si="970"/>
        <v>0</v>
      </c>
      <c r="CH990" s="10">
        <f t="shared" si="970"/>
        <v>0</v>
      </c>
      <c r="CI990" s="10">
        <f t="shared" si="970"/>
        <v>0</v>
      </c>
      <c r="CJ990"/>
      <c r="CK990" s="11"/>
      <c r="CL990"/>
      <c r="CM990" s="11"/>
      <c r="CN990"/>
      <c r="CO990"/>
      <c r="CP990"/>
      <c r="CQ990"/>
      <c r="CR990"/>
      <c r="CS990"/>
      <c r="CT990"/>
      <c r="CU990"/>
      <c r="CV990"/>
      <c r="CW990"/>
      <c r="CX990"/>
      <c r="CY990"/>
      <c r="CZ990"/>
      <c r="DA990"/>
      <c r="DB990"/>
      <c r="DC990"/>
      <c r="DD990"/>
      <c r="DE990"/>
      <c r="DF990" s="11"/>
      <c r="EY990" s="10" t="str">
        <f t="shared" si="942"/>
        <v/>
      </c>
    </row>
    <row r="991" spans="1:155" x14ac:dyDescent="0.35">
      <c r="B991" s="69" t="str" cm="1">
        <f t="array" aca="1" ref="B991" ca="1">HYPERLINK(CONCATENATE("#",CELL("address",$D$322)),$D$322)</f>
        <v>Loan 15</v>
      </c>
      <c r="C991" s="211"/>
      <c r="D991" s="49">
        <f>D$27</f>
        <v>0</v>
      </c>
      <c r="E991" s="49" t="str">
        <f>F$27</f>
        <v/>
      </c>
      <c r="F991" s="49"/>
      <c r="H991" s="9"/>
      <c r="I991" s="40" t="s">
        <v>1079</v>
      </c>
      <c r="V991" s="133">
        <f>V$325</f>
        <v>0</v>
      </c>
      <c r="W991" s="10">
        <f>W$325</f>
        <v>0</v>
      </c>
      <c r="X991" s="10">
        <f>X$325</f>
        <v>0</v>
      </c>
      <c r="Y991" s="10">
        <f>Y$325</f>
        <v>0</v>
      </c>
      <c r="AA991" s="10">
        <f t="shared" ref="AA991:BV991" si="971">AA$325</f>
        <v>0</v>
      </c>
      <c r="AB991" s="10">
        <f t="shared" si="971"/>
        <v>0</v>
      </c>
      <c r="AC991" s="10">
        <f t="shared" si="971"/>
        <v>0</v>
      </c>
      <c r="AD991" s="10">
        <f t="shared" si="971"/>
        <v>0</v>
      </c>
      <c r="AE991" s="10">
        <f t="shared" si="971"/>
        <v>0</v>
      </c>
      <c r="AF991" s="10">
        <f t="shared" si="971"/>
        <v>0</v>
      </c>
      <c r="AG991" s="10">
        <f t="shared" si="971"/>
        <v>0</v>
      </c>
      <c r="AH991" s="10">
        <f t="shared" si="971"/>
        <v>0</v>
      </c>
      <c r="AI991" s="10">
        <f t="shared" si="971"/>
        <v>0</v>
      </c>
      <c r="AJ991" s="10">
        <f t="shared" si="971"/>
        <v>0</v>
      </c>
      <c r="AK991" s="10">
        <f t="shared" si="971"/>
        <v>0</v>
      </c>
      <c r="AL991" s="10">
        <f t="shared" si="971"/>
        <v>0</v>
      </c>
      <c r="AM991" s="10">
        <f t="shared" si="971"/>
        <v>0</v>
      </c>
      <c r="AN991" s="10">
        <f t="shared" si="971"/>
        <v>0</v>
      </c>
      <c r="AO991" s="10">
        <f t="shared" si="971"/>
        <v>0</v>
      </c>
      <c r="AP991" s="10">
        <f t="shared" si="971"/>
        <v>0</v>
      </c>
      <c r="AQ991" s="10">
        <f t="shared" si="971"/>
        <v>0</v>
      </c>
      <c r="AR991" s="10">
        <f t="shared" si="971"/>
        <v>0</v>
      </c>
      <c r="AS991" s="10">
        <f t="shared" si="971"/>
        <v>0</v>
      </c>
      <c r="AT991" s="10">
        <f t="shared" si="971"/>
        <v>0</v>
      </c>
      <c r="AU991" s="10">
        <f t="shared" si="971"/>
        <v>0</v>
      </c>
      <c r="AV991" s="10">
        <f t="shared" si="971"/>
        <v>0</v>
      </c>
      <c r="AW991" s="10">
        <f t="shared" si="971"/>
        <v>0</v>
      </c>
      <c r="AX991" s="10">
        <f t="shared" si="971"/>
        <v>0</v>
      </c>
      <c r="AY991" s="10">
        <f t="shared" si="971"/>
        <v>0</v>
      </c>
      <c r="AZ991" s="10">
        <f t="shared" si="971"/>
        <v>0</v>
      </c>
      <c r="BA991" s="10">
        <f t="shared" si="971"/>
        <v>0</v>
      </c>
      <c r="BB991" s="10">
        <f t="shared" si="971"/>
        <v>0</v>
      </c>
      <c r="BC991" s="10">
        <f t="shared" si="971"/>
        <v>0</v>
      </c>
      <c r="BD991" s="10">
        <f t="shared" si="971"/>
        <v>0</v>
      </c>
      <c r="BE991" s="10">
        <f t="shared" si="971"/>
        <v>0</v>
      </c>
      <c r="BF991" s="10">
        <f t="shared" si="971"/>
        <v>0</v>
      </c>
      <c r="BG991" s="10">
        <f t="shared" si="971"/>
        <v>0</v>
      </c>
      <c r="BH991" s="10">
        <f t="shared" si="971"/>
        <v>0</v>
      </c>
      <c r="BI991" s="10">
        <f t="shared" si="971"/>
        <v>0</v>
      </c>
      <c r="BJ991" s="10">
        <f t="shared" si="971"/>
        <v>0</v>
      </c>
      <c r="BK991" s="10">
        <f t="shared" si="971"/>
        <v>0</v>
      </c>
      <c r="BL991" s="10">
        <f t="shared" si="971"/>
        <v>0</v>
      </c>
      <c r="BM991" s="10">
        <f t="shared" si="971"/>
        <v>0</v>
      </c>
      <c r="BN991" s="10">
        <f t="shared" si="971"/>
        <v>0</v>
      </c>
      <c r="BO991" s="10">
        <f t="shared" si="971"/>
        <v>0</v>
      </c>
      <c r="BP991" s="10">
        <f t="shared" si="971"/>
        <v>0</v>
      </c>
      <c r="BQ991" s="10">
        <f t="shared" si="971"/>
        <v>0</v>
      </c>
      <c r="BR991" s="10">
        <f t="shared" si="971"/>
        <v>0</v>
      </c>
      <c r="BS991" s="10">
        <f t="shared" si="971"/>
        <v>0</v>
      </c>
      <c r="BT991" s="10">
        <f t="shared" si="971"/>
        <v>0</v>
      </c>
      <c r="BU991" s="10">
        <f t="shared" si="971"/>
        <v>0</v>
      </c>
      <c r="BV991" s="10">
        <f t="shared" si="971"/>
        <v>0</v>
      </c>
      <c r="BX991" s="10">
        <f t="shared" ref="BX991:CI991" si="972">BX$325</f>
        <v>0</v>
      </c>
      <c r="BY991" s="10">
        <f t="shared" si="972"/>
        <v>0</v>
      </c>
      <c r="BZ991" s="10">
        <f t="shared" si="972"/>
        <v>0</v>
      </c>
      <c r="CA991" s="10">
        <f t="shared" si="972"/>
        <v>0</v>
      </c>
      <c r="CB991" s="10">
        <f t="shared" si="972"/>
        <v>0</v>
      </c>
      <c r="CC991" s="10">
        <f t="shared" si="972"/>
        <v>0</v>
      </c>
      <c r="CD991" s="10">
        <f t="shared" si="972"/>
        <v>0</v>
      </c>
      <c r="CE991" s="10">
        <f t="shared" si="972"/>
        <v>0</v>
      </c>
      <c r="CF991" s="10">
        <f t="shared" si="972"/>
        <v>0</v>
      </c>
      <c r="CG991" s="10">
        <f t="shared" si="972"/>
        <v>0</v>
      </c>
      <c r="CH991" s="10">
        <f t="shared" si="972"/>
        <v>0</v>
      </c>
      <c r="CI991" s="10">
        <f t="shared" si="972"/>
        <v>0</v>
      </c>
      <c r="CK991" s="11"/>
      <c r="CM991" s="11"/>
      <c r="DF991" s="11"/>
      <c r="EY991" s="10" t="str">
        <f t="shared" si="942"/>
        <v/>
      </c>
    </row>
    <row r="992" spans="1:155" x14ac:dyDescent="0.35">
      <c r="B992" s="69" t="str" cm="1">
        <f t="array" aca="1" ref="B992" ca="1">HYPERLINK(CONCATENATE("#",CELL("address",$D$341)),$D$341)</f>
        <v>Loan 16</v>
      </c>
      <c r="C992" s="211"/>
      <c r="D992" s="49">
        <f>D$28</f>
        <v>0</v>
      </c>
      <c r="E992" s="49" t="str">
        <f>F$28</f>
        <v/>
      </c>
      <c r="F992" s="49"/>
      <c r="H992" s="9"/>
      <c r="I992" s="40" t="s">
        <v>1079</v>
      </c>
      <c r="V992" s="133">
        <f>V$344</f>
        <v>0</v>
      </c>
      <c r="W992" s="10">
        <f>W$344</f>
        <v>0</v>
      </c>
      <c r="X992" s="10">
        <f>X$344</f>
        <v>0</v>
      </c>
      <c r="Y992" s="10">
        <f>Y$344</f>
        <v>0</v>
      </c>
      <c r="AA992" s="10">
        <f t="shared" ref="AA992:BV992" si="973">AA$344</f>
        <v>0</v>
      </c>
      <c r="AB992" s="10">
        <f t="shared" si="973"/>
        <v>0</v>
      </c>
      <c r="AC992" s="10">
        <f t="shared" si="973"/>
        <v>0</v>
      </c>
      <c r="AD992" s="10">
        <f t="shared" si="973"/>
        <v>0</v>
      </c>
      <c r="AE992" s="10">
        <f t="shared" si="973"/>
        <v>0</v>
      </c>
      <c r="AF992" s="10">
        <f t="shared" si="973"/>
        <v>0</v>
      </c>
      <c r="AG992" s="10">
        <f t="shared" si="973"/>
        <v>0</v>
      </c>
      <c r="AH992" s="10">
        <f t="shared" si="973"/>
        <v>0</v>
      </c>
      <c r="AI992" s="10">
        <f t="shared" si="973"/>
        <v>0</v>
      </c>
      <c r="AJ992" s="10">
        <f t="shared" si="973"/>
        <v>0</v>
      </c>
      <c r="AK992" s="10">
        <f t="shared" si="973"/>
        <v>0</v>
      </c>
      <c r="AL992" s="10">
        <f t="shared" si="973"/>
        <v>0</v>
      </c>
      <c r="AM992" s="10">
        <f t="shared" si="973"/>
        <v>0</v>
      </c>
      <c r="AN992" s="10">
        <f t="shared" si="973"/>
        <v>0</v>
      </c>
      <c r="AO992" s="10">
        <f t="shared" si="973"/>
        <v>0</v>
      </c>
      <c r="AP992" s="10">
        <f t="shared" si="973"/>
        <v>0</v>
      </c>
      <c r="AQ992" s="10">
        <f t="shared" si="973"/>
        <v>0</v>
      </c>
      <c r="AR992" s="10">
        <f t="shared" si="973"/>
        <v>0</v>
      </c>
      <c r="AS992" s="10">
        <f t="shared" si="973"/>
        <v>0</v>
      </c>
      <c r="AT992" s="10">
        <f t="shared" si="973"/>
        <v>0</v>
      </c>
      <c r="AU992" s="10">
        <f t="shared" si="973"/>
        <v>0</v>
      </c>
      <c r="AV992" s="10">
        <f t="shared" si="973"/>
        <v>0</v>
      </c>
      <c r="AW992" s="10">
        <f t="shared" si="973"/>
        <v>0</v>
      </c>
      <c r="AX992" s="10">
        <f t="shared" si="973"/>
        <v>0</v>
      </c>
      <c r="AY992" s="10">
        <f t="shared" si="973"/>
        <v>0</v>
      </c>
      <c r="AZ992" s="10">
        <f t="shared" si="973"/>
        <v>0</v>
      </c>
      <c r="BA992" s="10">
        <f t="shared" si="973"/>
        <v>0</v>
      </c>
      <c r="BB992" s="10">
        <f t="shared" si="973"/>
        <v>0</v>
      </c>
      <c r="BC992" s="10">
        <f t="shared" si="973"/>
        <v>0</v>
      </c>
      <c r="BD992" s="10">
        <f t="shared" si="973"/>
        <v>0</v>
      </c>
      <c r="BE992" s="10">
        <f t="shared" si="973"/>
        <v>0</v>
      </c>
      <c r="BF992" s="10">
        <f t="shared" si="973"/>
        <v>0</v>
      </c>
      <c r="BG992" s="10">
        <f t="shared" si="973"/>
        <v>0</v>
      </c>
      <c r="BH992" s="10">
        <f t="shared" si="973"/>
        <v>0</v>
      </c>
      <c r="BI992" s="10">
        <f t="shared" si="973"/>
        <v>0</v>
      </c>
      <c r="BJ992" s="10">
        <f t="shared" si="973"/>
        <v>0</v>
      </c>
      <c r="BK992" s="10">
        <f t="shared" si="973"/>
        <v>0</v>
      </c>
      <c r="BL992" s="10">
        <f t="shared" si="973"/>
        <v>0</v>
      </c>
      <c r="BM992" s="10">
        <f t="shared" si="973"/>
        <v>0</v>
      </c>
      <c r="BN992" s="10">
        <f t="shared" si="973"/>
        <v>0</v>
      </c>
      <c r="BO992" s="10">
        <f t="shared" si="973"/>
        <v>0</v>
      </c>
      <c r="BP992" s="10">
        <f t="shared" si="973"/>
        <v>0</v>
      </c>
      <c r="BQ992" s="10">
        <f t="shared" si="973"/>
        <v>0</v>
      </c>
      <c r="BR992" s="10">
        <f t="shared" si="973"/>
        <v>0</v>
      </c>
      <c r="BS992" s="10">
        <f t="shared" si="973"/>
        <v>0</v>
      </c>
      <c r="BT992" s="10">
        <f t="shared" si="973"/>
        <v>0</v>
      </c>
      <c r="BU992" s="10">
        <f t="shared" si="973"/>
        <v>0</v>
      </c>
      <c r="BV992" s="10">
        <f t="shared" si="973"/>
        <v>0</v>
      </c>
      <c r="BX992" s="10">
        <f t="shared" ref="BX992:CI992" si="974">BX$344</f>
        <v>0</v>
      </c>
      <c r="BY992" s="10">
        <f t="shared" si="974"/>
        <v>0</v>
      </c>
      <c r="BZ992" s="10">
        <f t="shared" si="974"/>
        <v>0</v>
      </c>
      <c r="CA992" s="10">
        <f t="shared" si="974"/>
        <v>0</v>
      </c>
      <c r="CB992" s="10">
        <f t="shared" si="974"/>
        <v>0</v>
      </c>
      <c r="CC992" s="10">
        <f t="shared" si="974"/>
        <v>0</v>
      </c>
      <c r="CD992" s="10">
        <f t="shared" si="974"/>
        <v>0</v>
      </c>
      <c r="CE992" s="10">
        <f t="shared" si="974"/>
        <v>0</v>
      </c>
      <c r="CF992" s="10">
        <f t="shared" si="974"/>
        <v>0</v>
      </c>
      <c r="CG992" s="10">
        <f t="shared" si="974"/>
        <v>0</v>
      </c>
      <c r="CH992" s="10">
        <f t="shared" si="974"/>
        <v>0</v>
      </c>
      <c r="CI992" s="10">
        <f t="shared" si="974"/>
        <v>0</v>
      </c>
      <c r="CK992" s="11"/>
      <c r="CM992" s="11"/>
      <c r="DF992" s="11"/>
      <c r="EY992" s="10" t="str">
        <f t="shared" si="942"/>
        <v/>
      </c>
    </row>
    <row r="993" spans="2:155" x14ac:dyDescent="0.35">
      <c r="B993" s="69" t="str" cm="1">
        <f t="array" aca="1" ref="B993" ca="1">HYPERLINK(CONCATENATE("#",CELL("address",$D$360)),$D$360)</f>
        <v>Loan 17</v>
      </c>
      <c r="C993" s="211"/>
      <c r="D993" s="49">
        <f>D$29</f>
        <v>0</v>
      </c>
      <c r="E993" s="49" t="str">
        <f>F$29</f>
        <v/>
      </c>
      <c r="F993" s="49"/>
      <c r="H993" s="9"/>
      <c r="I993" s="40" t="s">
        <v>1079</v>
      </c>
      <c r="V993" s="133">
        <f>V$363</f>
        <v>0</v>
      </c>
      <c r="W993" s="10">
        <f>W$363</f>
        <v>0</v>
      </c>
      <c r="X993" s="10">
        <f>X$363</f>
        <v>0</v>
      </c>
      <c r="Y993" s="10">
        <f>Y$363</f>
        <v>0</v>
      </c>
      <c r="AA993" s="10">
        <f t="shared" ref="AA993:BV993" si="975">AA$363</f>
        <v>0</v>
      </c>
      <c r="AB993" s="10">
        <f t="shared" si="975"/>
        <v>0</v>
      </c>
      <c r="AC993" s="10">
        <f t="shared" si="975"/>
        <v>0</v>
      </c>
      <c r="AD993" s="10">
        <f t="shared" si="975"/>
        <v>0</v>
      </c>
      <c r="AE993" s="10">
        <f t="shared" si="975"/>
        <v>0</v>
      </c>
      <c r="AF993" s="10">
        <f t="shared" si="975"/>
        <v>0</v>
      </c>
      <c r="AG993" s="10">
        <f t="shared" si="975"/>
        <v>0</v>
      </c>
      <c r="AH993" s="10">
        <f t="shared" si="975"/>
        <v>0</v>
      </c>
      <c r="AI993" s="10">
        <f t="shared" si="975"/>
        <v>0</v>
      </c>
      <c r="AJ993" s="10">
        <f t="shared" si="975"/>
        <v>0</v>
      </c>
      <c r="AK993" s="10">
        <f t="shared" si="975"/>
        <v>0</v>
      </c>
      <c r="AL993" s="10">
        <f t="shared" si="975"/>
        <v>0</v>
      </c>
      <c r="AM993" s="10">
        <f t="shared" si="975"/>
        <v>0</v>
      </c>
      <c r="AN993" s="10">
        <f t="shared" si="975"/>
        <v>0</v>
      </c>
      <c r="AO993" s="10">
        <f t="shared" si="975"/>
        <v>0</v>
      </c>
      <c r="AP993" s="10">
        <f t="shared" si="975"/>
        <v>0</v>
      </c>
      <c r="AQ993" s="10">
        <f t="shared" si="975"/>
        <v>0</v>
      </c>
      <c r="AR993" s="10">
        <f t="shared" si="975"/>
        <v>0</v>
      </c>
      <c r="AS993" s="10">
        <f t="shared" si="975"/>
        <v>0</v>
      </c>
      <c r="AT993" s="10">
        <f t="shared" si="975"/>
        <v>0</v>
      </c>
      <c r="AU993" s="10">
        <f t="shared" si="975"/>
        <v>0</v>
      </c>
      <c r="AV993" s="10">
        <f t="shared" si="975"/>
        <v>0</v>
      </c>
      <c r="AW993" s="10">
        <f t="shared" si="975"/>
        <v>0</v>
      </c>
      <c r="AX993" s="10">
        <f t="shared" si="975"/>
        <v>0</v>
      </c>
      <c r="AY993" s="10">
        <f t="shared" si="975"/>
        <v>0</v>
      </c>
      <c r="AZ993" s="10">
        <f t="shared" si="975"/>
        <v>0</v>
      </c>
      <c r="BA993" s="10">
        <f t="shared" si="975"/>
        <v>0</v>
      </c>
      <c r="BB993" s="10">
        <f t="shared" si="975"/>
        <v>0</v>
      </c>
      <c r="BC993" s="10">
        <f t="shared" si="975"/>
        <v>0</v>
      </c>
      <c r="BD993" s="10">
        <f t="shared" si="975"/>
        <v>0</v>
      </c>
      <c r="BE993" s="10">
        <f t="shared" si="975"/>
        <v>0</v>
      </c>
      <c r="BF993" s="10">
        <f t="shared" si="975"/>
        <v>0</v>
      </c>
      <c r="BG993" s="10">
        <f t="shared" si="975"/>
        <v>0</v>
      </c>
      <c r="BH993" s="10">
        <f t="shared" si="975"/>
        <v>0</v>
      </c>
      <c r="BI993" s="10">
        <f t="shared" si="975"/>
        <v>0</v>
      </c>
      <c r="BJ993" s="10">
        <f t="shared" si="975"/>
        <v>0</v>
      </c>
      <c r="BK993" s="10">
        <f t="shared" si="975"/>
        <v>0</v>
      </c>
      <c r="BL993" s="10">
        <f t="shared" si="975"/>
        <v>0</v>
      </c>
      <c r="BM993" s="10">
        <f t="shared" si="975"/>
        <v>0</v>
      </c>
      <c r="BN993" s="10">
        <f t="shared" si="975"/>
        <v>0</v>
      </c>
      <c r="BO993" s="10">
        <f t="shared" si="975"/>
        <v>0</v>
      </c>
      <c r="BP993" s="10">
        <f t="shared" si="975"/>
        <v>0</v>
      </c>
      <c r="BQ993" s="10">
        <f t="shared" si="975"/>
        <v>0</v>
      </c>
      <c r="BR993" s="10">
        <f t="shared" si="975"/>
        <v>0</v>
      </c>
      <c r="BS993" s="10">
        <f t="shared" si="975"/>
        <v>0</v>
      </c>
      <c r="BT993" s="10">
        <f t="shared" si="975"/>
        <v>0</v>
      </c>
      <c r="BU993" s="10">
        <f t="shared" si="975"/>
        <v>0</v>
      </c>
      <c r="BV993" s="10">
        <f t="shared" si="975"/>
        <v>0</v>
      </c>
      <c r="BX993" s="10">
        <f t="shared" ref="BX993:CI993" si="976">BX$363</f>
        <v>0</v>
      </c>
      <c r="BY993" s="10">
        <f t="shared" si="976"/>
        <v>0</v>
      </c>
      <c r="BZ993" s="10">
        <f t="shared" si="976"/>
        <v>0</v>
      </c>
      <c r="CA993" s="10">
        <f t="shared" si="976"/>
        <v>0</v>
      </c>
      <c r="CB993" s="10">
        <f t="shared" si="976"/>
        <v>0</v>
      </c>
      <c r="CC993" s="10">
        <f t="shared" si="976"/>
        <v>0</v>
      </c>
      <c r="CD993" s="10">
        <f t="shared" si="976"/>
        <v>0</v>
      </c>
      <c r="CE993" s="10">
        <f t="shared" si="976"/>
        <v>0</v>
      </c>
      <c r="CF993" s="10">
        <f t="shared" si="976"/>
        <v>0</v>
      </c>
      <c r="CG993" s="10">
        <f t="shared" si="976"/>
        <v>0</v>
      </c>
      <c r="CH993" s="10">
        <f t="shared" si="976"/>
        <v>0</v>
      </c>
      <c r="CI993" s="10">
        <f t="shared" si="976"/>
        <v>0</v>
      </c>
      <c r="CK993" s="11"/>
      <c r="CM993" s="11"/>
      <c r="DF993" s="11"/>
      <c r="EY993" s="10" t="str">
        <f t="shared" si="942"/>
        <v/>
      </c>
    </row>
    <row r="994" spans="2:155" x14ac:dyDescent="0.35">
      <c r="B994" s="69" t="str" cm="1">
        <f t="array" aca="1" ref="B994" ca="1">HYPERLINK(CONCATENATE("#",CELL("address",$D$379)),$D$379)</f>
        <v>Loan 18</v>
      </c>
      <c r="C994" s="211"/>
      <c r="D994" s="49">
        <f>D$30</f>
        <v>0</v>
      </c>
      <c r="E994" s="49" t="str">
        <f>F$30</f>
        <v/>
      </c>
      <c r="F994" s="49"/>
      <c r="H994" s="9"/>
      <c r="I994" s="40" t="s">
        <v>1079</v>
      </c>
      <c r="V994" s="133">
        <f>V$382</f>
        <v>0</v>
      </c>
      <c r="W994" s="10">
        <f>W$382</f>
        <v>0</v>
      </c>
      <c r="X994" s="10">
        <f>X$382</f>
        <v>0</v>
      </c>
      <c r="Y994" s="10">
        <f>Y$382</f>
        <v>0</v>
      </c>
      <c r="AA994" s="10">
        <f t="shared" ref="AA994:BV994" si="977">AA$382</f>
        <v>0</v>
      </c>
      <c r="AB994" s="10">
        <f t="shared" si="977"/>
        <v>0</v>
      </c>
      <c r="AC994" s="10">
        <f t="shared" si="977"/>
        <v>0</v>
      </c>
      <c r="AD994" s="10">
        <f t="shared" si="977"/>
        <v>0</v>
      </c>
      <c r="AE994" s="10">
        <f t="shared" si="977"/>
        <v>0</v>
      </c>
      <c r="AF994" s="10">
        <f t="shared" si="977"/>
        <v>0</v>
      </c>
      <c r="AG994" s="10">
        <f t="shared" si="977"/>
        <v>0</v>
      </c>
      <c r="AH994" s="10">
        <f t="shared" si="977"/>
        <v>0</v>
      </c>
      <c r="AI994" s="10">
        <f t="shared" si="977"/>
        <v>0</v>
      </c>
      <c r="AJ994" s="10">
        <f t="shared" si="977"/>
        <v>0</v>
      </c>
      <c r="AK994" s="10">
        <f t="shared" si="977"/>
        <v>0</v>
      </c>
      <c r="AL994" s="10">
        <f t="shared" si="977"/>
        <v>0</v>
      </c>
      <c r="AM994" s="10">
        <f t="shared" si="977"/>
        <v>0</v>
      </c>
      <c r="AN994" s="10">
        <f t="shared" si="977"/>
        <v>0</v>
      </c>
      <c r="AO994" s="10">
        <f t="shared" si="977"/>
        <v>0</v>
      </c>
      <c r="AP994" s="10">
        <f t="shared" si="977"/>
        <v>0</v>
      </c>
      <c r="AQ994" s="10">
        <f t="shared" si="977"/>
        <v>0</v>
      </c>
      <c r="AR994" s="10">
        <f t="shared" si="977"/>
        <v>0</v>
      </c>
      <c r="AS994" s="10">
        <f t="shared" si="977"/>
        <v>0</v>
      </c>
      <c r="AT994" s="10">
        <f t="shared" si="977"/>
        <v>0</v>
      </c>
      <c r="AU994" s="10">
        <f t="shared" si="977"/>
        <v>0</v>
      </c>
      <c r="AV994" s="10">
        <f t="shared" si="977"/>
        <v>0</v>
      </c>
      <c r="AW994" s="10">
        <f t="shared" si="977"/>
        <v>0</v>
      </c>
      <c r="AX994" s="10">
        <f t="shared" si="977"/>
        <v>0</v>
      </c>
      <c r="AY994" s="10">
        <f t="shared" si="977"/>
        <v>0</v>
      </c>
      <c r="AZ994" s="10">
        <f t="shared" si="977"/>
        <v>0</v>
      </c>
      <c r="BA994" s="10">
        <f t="shared" si="977"/>
        <v>0</v>
      </c>
      <c r="BB994" s="10">
        <f t="shared" si="977"/>
        <v>0</v>
      </c>
      <c r="BC994" s="10">
        <f t="shared" si="977"/>
        <v>0</v>
      </c>
      <c r="BD994" s="10">
        <f t="shared" si="977"/>
        <v>0</v>
      </c>
      <c r="BE994" s="10">
        <f t="shared" si="977"/>
        <v>0</v>
      </c>
      <c r="BF994" s="10">
        <f t="shared" si="977"/>
        <v>0</v>
      </c>
      <c r="BG994" s="10">
        <f t="shared" si="977"/>
        <v>0</v>
      </c>
      <c r="BH994" s="10">
        <f t="shared" si="977"/>
        <v>0</v>
      </c>
      <c r="BI994" s="10">
        <f t="shared" si="977"/>
        <v>0</v>
      </c>
      <c r="BJ994" s="10">
        <f t="shared" si="977"/>
        <v>0</v>
      </c>
      <c r="BK994" s="10">
        <f t="shared" si="977"/>
        <v>0</v>
      </c>
      <c r="BL994" s="10">
        <f t="shared" si="977"/>
        <v>0</v>
      </c>
      <c r="BM994" s="10">
        <f t="shared" si="977"/>
        <v>0</v>
      </c>
      <c r="BN994" s="10">
        <f t="shared" si="977"/>
        <v>0</v>
      </c>
      <c r="BO994" s="10">
        <f t="shared" si="977"/>
        <v>0</v>
      </c>
      <c r="BP994" s="10">
        <f t="shared" si="977"/>
        <v>0</v>
      </c>
      <c r="BQ994" s="10">
        <f t="shared" si="977"/>
        <v>0</v>
      </c>
      <c r="BR994" s="10">
        <f t="shared" si="977"/>
        <v>0</v>
      </c>
      <c r="BS994" s="10">
        <f t="shared" si="977"/>
        <v>0</v>
      </c>
      <c r="BT994" s="10">
        <f t="shared" si="977"/>
        <v>0</v>
      </c>
      <c r="BU994" s="10">
        <f t="shared" si="977"/>
        <v>0</v>
      </c>
      <c r="BV994" s="10">
        <f t="shared" si="977"/>
        <v>0</v>
      </c>
      <c r="BX994" s="10">
        <f t="shared" ref="BX994:CI994" si="978">BX$382</f>
        <v>0</v>
      </c>
      <c r="BY994" s="10">
        <f t="shared" si="978"/>
        <v>0</v>
      </c>
      <c r="BZ994" s="10">
        <f t="shared" si="978"/>
        <v>0</v>
      </c>
      <c r="CA994" s="10">
        <f t="shared" si="978"/>
        <v>0</v>
      </c>
      <c r="CB994" s="10">
        <f t="shared" si="978"/>
        <v>0</v>
      </c>
      <c r="CC994" s="10">
        <f t="shared" si="978"/>
        <v>0</v>
      </c>
      <c r="CD994" s="10">
        <f t="shared" si="978"/>
        <v>0</v>
      </c>
      <c r="CE994" s="10">
        <f t="shared" si="978"/>
        <v>0</v>
      </c>
      <c r="CF994" s="10">
        <f t="shared" si="978"/>
        <v>0</v>
      </c>
      <c r="CG994" s="10">
        <f t="shared" si="978"/>
        <v>0</v>
      </c>
      <c r="CH994" s="10">
        <f t="shared" si="978"/>
        <v>0</v>
      </c>
      <c r="CI994" s="10">
        <f t="shared" si="978"/>
        <v>0</v>
      </c>
      <c r="CK994" s="11"/>
      <c r="CM994" s="11"/>
      <c r="DF994" s="11"/>
      <c r="EY994" s="10" t="str">
        <f t="shared" si="942"/>
        <v/>
      </c>
    </row>
    <row r="995" spans="2:155" x14ac:dyDescent="0.35">
      <c r="B995" s="69" t="str" cm="1">
        <f t="array" aca="1" ref="B995" ca="1">HYPERLINK(CONCATENATE("#",CELL("address",$D$398)),$D$398)</f>
        <v>Loan 19</v>
      </c>
      <c r="C995" s="211"/>
      <c r="D995" s="49">
        <f>D$31</f>
        <v>0</v>
      </c>
      <c r="E995" s="49" t="str">
        <f>F$31</f>
        <v/>
      </c>
      <c r="F995" s="49"/>
      <c r="H995" s="9"/>
      <c r="I995" s="40" t="s">
        <v>1079</v>
      </c>
      <c r="V995" s="133">
        <f>V$401</f>
        <v>0</v>
      </c>
      <c r="W995" s="10">
        <f>W$401</f>
        <v>0</v>
      </c>
      <c r="X995" s="10">
        <f>X$401</f>
        <v>0</v>
      </c>
      <c r="Y995" s="10">
        <f>Y$401</f>
        <v>0</v>
      </c>
      <c r="AA995" s="10">
        <f t="shared" ref="AA995:BV995" si="979">AA$401</f>
        <v>0</v>
      </c>
      <c r="AB995" s="10">
        <f t="shared" si="979"/>
        <v>0</v>
      </c>
      <c r="AC995" s="10">
        <f t="shared" si="979"/>
        <v>0</v>
      </c>
      <c r="AD995" s="10">
        <f t="shared" si="979"/>
        <v>0</v>
      </c>
      <c r="AE995" s="10">
        <f t="shared" si="979"/>
        <v>0</v>
      </c>
      <c r="AF995" s="10">
        <f t="shared" si="979"/>
        <v>0</v>
      </c>
      <c r="AG995" s="10">
        <f t="shared" si="979"/>
        <v>0</v>
      </c>
      <c r="AH995" s="10">
        <f t="shared" si="979"/>
        <v>0</v>
      </c>
      <c r="AI995" s="10">
        <f t="shared" si="979"/>
        <v>0</v>
      </c>
      <c r="AJ995" s="10">
        <f t="shared" si="979"/>
        <v>0</v>
      </c>
      <c r="AK995" s="10">
        <f t="shared" si="979"/>
        <v>0</v>
      </c>
      <c r="AL995" s="10">
        <f t="shared" si="979"/>
        <v>0</v>
      </c>
      <c r="AM995" s="10">
        <f t="shared" si="979"/>
        <v>0</v>
      </c>
      <c r="AN995" s="10">
        <f t="shared" si="979"/>
        <v>0</v>
      </c>
      <c r="AO995" s="10">
        <f t="shared" si="979"/>
        <v>0</v>
      </c>
      <c r="AP995" s="10">
        <f t="shared" si="979"/>
        <v>0</v>
      </c>
      <c r="AQ995" s="10">
        <f t="shared" si="979"/>
        <v>0</v>
      </c>
      <c r="AR995" s="10">
        <f t="shared" si="979"/>
        <v>0</v>
      </c>
      <c r="AS995" s="10">
        <f t="shared" si="979"/>
        <v>0</v>
      </c>
      <c r="AT995" s="10">
        <f t="shared" si="979"/>
        <v>0</v>
      </c>
      <c r="AU995" s="10">
        <f t="shared" si="979"/>
        <v>0</v>
      </c>
      <c r="AV995" s="10">
        <f t="shared" si="979"/>
        <v>0</v>
      </c>
      <c r="AW995" s="10">
        <f t="shared" si="979"/>
        <v>0</v>
      </c>
      <c r="AX995" s="10">
        <f t="shared" si="979"/>
        <v>0</v>
      </c>
      <c r="AY995" s="10">
        <f t="shared" si="979"/>
        <v>0</v>
      </c>
      <c r="AZ995" s="10">
        <f t="shared" si="979"/>
        <v>0</v>
      </c>
      <c r="BA995" s="10">
        <f t="shared" si="979"/>
        <v>0</v>
      </c>
      <c r="BB995" s="10">
        <f t="shared" si="979"/>
        <v>0</v>
      </c>
      <c r="BC995" s="10">
        <f t="shared" si="979"/>
        <v>0</v>
      </c>
      <c r="BD995" s="10">
        <f t="shared" si="979"/>
        <v>0</v>
      </c>
      <c r="BE995" s="10">
        <f t="shared" si="979"/>
        <v>0</v>
      </c>
      <c r="BF995" s="10">
        <f t="shared" si="979"/>
        <v>0</v>
      </c>
      <c r="BG995" s="10">
        <f t="shared" si="979"/>
        <v>0</v>
      </c>
      <c r="BH995" s="10">
        <f t="shared" si="979"/>
        <v>0</v>
      </c>
      <c r="BI995" s="10">
        <f t="shared" si="979"/>
        <v>0</v>
      </c>
      <c r="BJ995" s="10">
        <f t="shared" si="979"/>
        <v>0</v>
      </c>
      <c r="BK995" s="10">
        <f t="shared" si="979"/>
        <v>0</v>
      </c>
      <c r="BL995" s="10">
        <f t="shared" si="979"/>
        <v>0</v>
      </c>
      <c r="BM995" s="10">
        <f t="shared" si="979"/>
        <v>0</v>
      </c>
      <c r="BN995" s="10">
        <f t="shared" si="979"/>
        <v>0</v>
      </c>
      <c r="BO995" s="10">
        <f t="shared" si="979"/>
        <v>0</v>
      </c>
      <c r="BP995" s="10">
        <f t="shared" si="979"/>
        <v>0</v>
      </c>
      <c r="BQ995" s="10">
        <f t="shared" si="979"/>
        <v>0</v>
      </c>
      <c r="BR995" s="10">
        <f t="shared" si="979"/>
        <v>0</v>
      </c>
      <c r="BS995" s="10">
        <f t="shared" si="979"/>
        <v>0</v>
      </c>
      <c r="BT995" s="10">
        <f t="shared" si="979"/>
        <v>0</v>
      </c>
      <c r="BU995" s="10">
        <f t="shared" si="979"/>
        <v>0</v>
      </c>
      <c r="BV995" s="10">
        <f t="shared" si="979"/>
        <v>0</v>
      </c>
      <c r="BX995" s="10">
        <f t="shared" ref="BX995:CI995" si="980">BX$401</f>
        <v>0</v>
      </c>
      <c r="BY995" s="10">
        <f t="shared" si="980"/>
        <v>0</v>
      </c>
      <c r="BZ995" s="10">
        <f t="shared" si="980"/>
        <v>0</v>
      </c>
      <c r="CA995" s="10">
        <f t="shared" si="980"/>
        <v>0</v>
      </c>
      <c r="CB995" s="10">
        <f t="shared" si="980"/>
        <v>0</v>
      </c>
      <c r="CC995" s="10">
        <f t="shared" si="980"/>
        <v>0</v>
      </c>
      <c r="CD995" s="10">
        <f t="shared" si="980"/>
        <v>0</v>
      </c>
      <c r="CE995" s="10">
        <f t="shared" si="980"/>
        <v>0</v>
      </c>
      <c r="CF995" s="10">
        <f t="shared" si="980"/>
        <v>0</v>
      </c>
      <c r="CG995" s="10">
        <f t="shared" si="980"/>
        <v>0</v>
      </c>
      <c r="CH995" s="10">
        <f t="shared" si="980"/>
        <v>0</v>
      </c>
      <c r="CI995" s="10">
        <f t="shared" si="980"/>
        <v>0</v>
      </c>
      <c r="CK995" s="11"/>
      <c r="CM995" s="11"/>
      <c r="DF995" s="11"/>
      <c r="EY995" s="10" t="str">
        <f t="shared" si="942"/>
        <v/>
      </c>
    </row>
    <row r="996" spans="2:155" x14ac:dyDescent="0.35">
      <c r="B996" s="69" t="str" cm="1">
        <f t="array" aca="1" ref="B996" ca="1">HYPERLINK(CONCATENATE("#",CELL("address",$D$417)),$D$417)</f>
        <v>Loan 20</v>
      </c>
      <c r="C996" s="211"/>
      <c r="D996" s="49">
        <f>D$32</f>
        <v>0</v>
      </c>
      <c r="E996" s="49" t="str">
        <f>F$32</f>
        <v/>
      </c>
      <c r="F996" s="49"/>
      <c r="H996" s="9"/>
      <c r="I996" s="40" t="s">
        <v>1079</v>
      </c>
      <c r="V996" s="133">
        <f>V$420</f>
        <v>0</v>
      </c>
      <c r="W996" s="10">
        <f>W$420</f>
        <v>0</v>
      </c>
      <c r="X996" s="10">
        <f>X$420</f>
        <v>0</v>
      </c>
      <c r="Y996" s="10">
        <f>Y$420</f>
        <v>0</v>
      </c>
      <c r="AA996" s="10">
        <f t="shared" ref="AA996:BV996" si="981">AA$420</f>
        <v>0</v>
      </c>
      <c r="AB996" s="10">
        <f t="shared" si="981"/>
        <v>0</v>
      </c>
      <c r="AC996" s="10">
        <f t="shared" si="981"/>
        <v>0</v>
      </c>
      <c r="AD996" s="10">
        <f t="shared" si="981"/>
        <v>0</v>
      </c>
      <c r="AE996" s="10">
        <f t="shared" si="981"/>
        <v>0</v>
      </c>
      <c r="AF996" s="10">
        <f t="shared" si="981"/>
        <v>0</v>
      </c>
      <c r="AG996" s="10">
        <f t="shared" si="981"/>
        <v>0</v>
      </c>
      <c r="AH996" s="10">
        <f t="shared" si="981"/>
        <v>0</v>
      </c>
      <c r="AI996" s="10">
        <f t="shared" si="981"/>
        <v>0</v>
      </c>
      <c r="AJ996" s="10">
        <f t="shared" si="981"/>
        <v>0</v>
      </c>
      <c r="AK996" s="10">
        <f t="shared" si="981"/>
        <v>0</v>
      </c>
      <c r="AL996" s="10">
        <f t="shared" si="981"/>
        <v>0</v>
      </c>
      <c r="AM996" s="10">
        <f t="shared" si="981"/>
        <v>0</v>
      </c>
      <c r="AN996" s="10">
        <f t="shared" si="981"/>
        <v>0</v>
      </c>
      <c r="AO996" s="10">
        <f t="shared" si="981"/>
        <v>0</v>
      </c>
      <c r="AP996" s="10">
        <f t="shared" si="981"/>
        <v>0</v>
      </c>
      <c r="AQ996" s="10">
        <f t="shared" si="981"/>
        <v>0</v>
      </c>
      <c r="AR996" s="10">
        <f t="shared" si="981"/>
        <v>0</v>
      </c>
      <c r="AS996" s="10">
        <f t="shared" si="981"/>
        <v>0</v>
      </c>
      <c r="AT996" s="10">
        <f t="shared" si="981"/>
        <v>0</v>
      </c>
      <c r="AU996" s="10">
        <f t="shared" si="981"/>
        <v>0</v>
      </c>
      <c r="AV996" s="10">
        <f t="shared" si="981"/>
        <v>0</v>
      </c>
      <c r="AW996" s="10">
        <f t="shared" si="981"/>
        <v>0</v>
      </c>
      <c r="AX996" s="10">
        <f t="shared" si="981"/>
        <v>0</v>
      </c>
      <c r="AY996" s="10">
        <f t="shared" si="981"/>
        <v>0</v>
      </c>
      <c r="AZ996" s="10">
        <f t="shared" si="981"/>
        <v>0</v>
      </c>
      <c r="BA996" s="10">
        <f t="shared" si="981"/>
        <v>0</v>
      </c>
      <c r="BB996" s="10">
        <f t="shared" si="981"/>
        <v>0</v>
      </c>
      <c r="BC996" s="10">
        <f t="shared" si="981"/>
        <v>0</v>
      </c>
      <c r="BD996" s="10">
        <f t="shared" si="981"/>
        <v>0</v>
      </c>
      <c r="BE996" s="10">
        <f t="shared" si="981"/>
        <v>0</v>
      </c>
      <c r="BF996" s="10">
        <f t="shared" si="981"/>
        <v>0</v>
      </c>
      <c r="BG996" s="10">
        <f t="shared" si="981"/>
        <v>0</v>
      </c>
      <c r="BH996" s="10">
        <f t="shared" si="981"/>
        <v>0</v>
      </c>
      <c r="BI996" s="10">
        <f t="shared" si="981"/>
        <v>0</v>
      </c>
      <c r="BJ996" s="10">
        <f t="shared" si="981"/>
        <v>0</v>
      </c>
      <c r="BK996" s="10">
        <f t="shared" si="981"/>
        <v>0</v>
      </c>
      <c r="BL996" s="10">
        <f t="shared" si="981"/>
        <v>0</v>
      </c>
      <c r="BM996" s="10">
        <f t="shared" si="981"/>
        <v>0</v>
      </c>
      <c r="BN996" s="10">
        <f t="shared" si="981"/>
        <v>0</v>
      </c>
      <c r="BO996" s="10">
        <f t="shared" si="981"/>
        <v>0</v>
      </c>
      <c r="BP996" s="10">
        <f t="shared" si="981"/>
        <v>0</v>
      </c>
      <c r="BQ996" s="10">
        <f t="shared" si="981"/>
        <v>0</v>
      </c>
      <c r="BR996" s="10">
        <f t="shared" si="981"/>
        <v>0</v>
      </c>
      <c r="BS996" s="10">
        <f t="shared" si="981"/>
        <v>0</v>
      </c>
      <c r="BT996" s="10">
        <f t="shared" si="981"/>
        <v>0</v>
      </c>
      <c r="BU996" s="10">
        <f t="shared" si="981"/>
        <v>0</v>
      </c>
      <c r="BV996" s="10">
        <f t="shared" si="981"/>
        <v>0</v>
      </c>
      <c r="BX996" s="10">
        <f t="shared" ref="BX996:CI996" si="982">BX$420</f>
        <v>0</v>
      </c>
      <c r="BY996" s="10">
        <f t="shared" si="982"/>
        <v>0</v>
      </c>
      <c r="BZ996" s="10">
        <f t="shared" si="982"/>
        <v>0</v>
      </c>
      <c r="CA996" s="10">
        <f t="shared" si="982"/>
        <v>0</v>
      </c>
      <c r="CB996" s="10">
        <f t="shared" si="982"/>
        <v>0</v>
      </c>
      <c r="CC996" s="10">
        <f t="shared" si="982"/>
        <v>0</v>
      </c>
      <c r="CD996" s="10">
        <f t="shared" si="982"/>
        <v>0</v>
      </c>
      <c r="CE996" s="10">
        <f t="shared" si="982"/>
        <v>0</v>
      </c>
      <c r="CF996" s="10">
        <f t="shared" si="982"/>
        <v>0</v>
      </c>
      <c r="CG996" s="10">
        <f t="shared" si="982"/>
        <v>0</v>
      </c>
      <c r="CH996" s="10">
        <f t="shared" si="982"/>
        <v>0</v>
      </c>
      <c r="CI996" s="10">
        <f t="shared" si="982"/>
        <v>0</v>
      </c>
      <c r="CK996" s="11"/>
      <c r="CM996" s="11"/>
      <c r="DF996" s="11"/>
      <c r="EY996" s="10" t="str">
        <f t="shared" si="942"/>
        <v/>
      </c>
    </row>
    <row r="997" spans="2:155" ht="6.75" customHeight="1" x14ac:dyDescent="0.35">
      <c r="C997" s="211"/>
      <c r="D997" s="1"/>
      <c r="E997"/>
      <c r="F997"/>
      <c r="BY997" s="6"/>
      <c r="CK997" s="35"/>
      <c r="CM997" s="35"/>
      <c r="DF997" s="35"/>
      <c r="EY997" s="10" t="str">
        <f t="shared" si="942"/>
        <v/>
      </c>
    </row>
    <row r="998" spans="2:155" x14ac:dyDescent="0.35">
      <c r="C998" s="211"/>
      <c r="D998" s="50" t="str">
        <f>$D$61</f>
        <v>Closing Loan Balance</v>
      </c>
      <c r="E998"/>
      <c r="F998"/>
      <c r="CK998" s="11"/>
      <c r="CM998" s="11"/>
      <c r="DF998" s="11"/>
      <c r="EY998" s="10" t="str">
        <f t="shared" si="942"/>
        <v/>
      </c>
    </row>
    <row r="999" spans="2:155" x14ac:dyDescent="0.35">
      <c r="B999" s="107" t="s">
        <v>1229</v>
      </c>
      <c r="C999" s="211"/>
      <c r="D999" s="5" t="str">
        <f>D$11</f>
        <v>Lender</v>
      </c>
      <c r="E999" s="5" t="str">
        <f>E$11</f>
        <v>Loan Category</v>
      </c>
      <c r="F999" s="5"/>
      <c r="CK999" s="11"/>
      <c r="CM999" s="11"/>
      <c r="DF999" s="11"/>
      <c r="EY999" s="10" t="str">
        <f t="shared" si="942"/>
        <v/>
      </c>
    </row>
    <row r="1000" spans="2:155" x14ac:dyDescent="0.35">
      <c r="B1000" s="69" t="str" cm="1">
        <f t="array" aca="1" ref="B1000" ca="1">HYPERLINK(CONCATENATE("#",CELL("address",$D$56)),$D$56)</f>
        <v>Loan 1</v>
      </c>
      <c r="C1000" s="211"/>
      <c r="D1000" s="49">
        <f>D$13</f>
        <v>0</v>
      </c>
      <c r="E1000" s="49" t="str">
        <f>F$13</f>
        <v/>
      </c>
      <c r="F1000" s="49"/>
      <c r="H1000" s="9"/>
      <c r="I1000" s="40" t="s">
        <v>665</v>
      </c>
      <c r="J1000" s="54"/>
      <c r="V1000" s="133">
        <f>V$61</f>
        <v>0</v>
      </c>
      <c r="W1000" s="10">
        <f>W$61</f>
        <v>0</v>
      </c>
      <c r="X1000" s="10">
        <f>X$61</f>
        <v>0</v>
      </c>
      <c r="Y1000" s="10">
        <f>Y$61</f>
        <v>0</v>
      </c>
      <c r="AA1000" s="10">
        <f t="shared" ref="AA1000:BV1000" si="983">AA$61</f>
        <v>0</v>
      </c>
      <c r="AB1000" s="10">
        <f t="shared" si="983"/>
        <v>0</v>
      </c>
      <c r="AC1000" s="10">
        <f t="shared" si="983"/>
        <v>0</v>
      </c>
      <c r="AD1000" s="10">
        <f t="shared" si="983"/>
        <v>0</v>
      </c>
      <c r="AE1000" s="10">
        <f t="shared" si="983"/>
        <v>0</v>
      </c>
      <c r="AF1000" s="10">
        <f t="shared" si="983"/>
        <v>0</v>
      </c>
      <c r="AG1000" s="10">
        <f t="shared" si="983"/>
        <v>0</v>
      </c>
      <c r="AH1000" s="10">
        <f t="shared" si="983"/>
        <v>0</v>
      </c>
      <c r="AI1000" s="10">
        <f t="shared" si="983"/>
        <v>0</v>
      </c>
      <c r="AJ1000" s="10">
        <f t="shared" si="983"/>
        <v>0</v>
      </c>
      <c r="AK1000" s="10">
        <f t="shared" si="983"/>
        <v>0</v>
      </c>
      <c r="AL1000" s="10">
        <f t="shared" si="983"/>
        <v>0</v>
      </c>
      <c r="AM1000" s="10">
        <f t="shared" si="983"/>
        <v>0</v>
      </c>
      <c r="AN1000" s="10">
        <f t="shared" si="983"/>
        <v>0</v>
      </c>
      <c r="AO1000" s="10">
        <f t="shared" si="983"/>
        <v>0</v>
      </c>
      <c r="AP1000" s="10">
        <f t="shared" si="983"/>
        <v>0</v>
      </c>
      <c r="AQ1000" s="10">
        <f t="shared" si="983"/>
        <v>0</v>
      </c>
      <c r="AR1000" s="10">
        <f t="shared" si="983"/>
        <v>0</v>
      </c>
      <c r="AS1000" s="10">
        <f t="shared" si="983"/>
        <v>0</v>
      </c>
      <c r="AT1000" s="10">
        <f t="shared" si="983"/>
        <v>0</v>
      </c>
      <c r="AU1000" s="10">
        <f t="shared" si="983"/>
        <v>0</v>
      </c>
      <c r="AV1000" s="10">
        <f t="shared" si="983"/>
        <v>0</v>
      </c>
      <c r="AW1000" s="10">
        <f t="shared" si="983"/>
        <v>0</v>
      </c>
      <c r="AX1000" s="10">
        <f t="shared" si="983"/>
        <v>0</v>
      </c>
      <c r="AY1000" s="10">
        <f t="shared" si="983"/>
        <v>0</v>
      </c>
      <c r="AZ1000" s="10">
        <f t="shared" si="983"/>
        <v>0</v>
      </c>
      <c r="BA1000" s="10">
        <f t="shared" si="983"/>
        <v>0</v>
      </c>
      <c r="BB1000" s="10">
        <f t="shared" si="983"/>
        <v>0</v>
      </c>
      <c r="BC1000" s="10">
        <f t="shared" si="983"/>
        <v>0</v>
      </c>
      <c r="BD1000" s="10">
        <f t="shared" si="983"/>
        <v>0</v>
      </c>
      <c r="BE1000" s="10">
        <f t="shared" si="983"/>
        <v>0</v>
      </c>
      <c r="BF1000" s="10">
        <f t="shared" si="983"/>
        <v>0</v>
      </c>
      <c r="BG1000" s="10">
        <f t="shared" si="983"/>
        <v>0</v>
      </c>
      <c r="BH1000" s="10">
        <f t="shared" si="983"/>
        <v>0</v>
      </c>
      <c r="BI1000" s="10">
        <f t="shared" si="983"/>
        <v>0</v>
      </c>
      <c r="BJ1000" s="10">
        <f t="shared" si="983"/>
        <v>0</v>
      </c>
      <c r="BK1000" s="10">
        <f t="shared" si="983"/>
        <v>0</v>
      </c>
      <c r="BL1000" s="10">
        <f t="shared" si="983"/>
        <v>0</v>
      </c>
      <c r="BM1000" s="10">
        <f t="shared" si="983"/>
        <v>0</v>
      </c>
      <c r="BN1000" s="10">
        <f t="shared" si="983"/>
        <v>0</v>
      </c>
      <c r="BO1000" s="10">
        <f t="shared" si="983"/>
        <v>0</v>
      </c>
      <c r="BP1000" s="10">
        <f t="shared" si="983"/>
        <v>0</v>
      </c>
      <c r="BQ1000" s="10">
        <f t="shared" si="983"/>
        <v>0</v>
      </c>
      <c r="BR1000" s="10">
        <f t="shared" si="983"/>
        <v>0</v>
      </c>
      <c r="BS1000" s="10">
        <f t="shared" si="983"/>
        <v>0</v>
      </c>
      <c r="BT1000" s="10">
        <f t="shared" si="983"/>
        <v>0</v>
      </c>
      <c r="BU1000" s="10">
        <f t="shared" si="983"/>
        <v>0</v>
      </c>
      <c r="BV1000" s="10">
        <f t="shared" si="983"/>
        <v>0</v>
      </c>
      <c r="BX1000" s="10">
        <f t="shared" ref="BX1000:CI1000" si="984">BX$61</f>
        <v>0</v>
      </c>
      <c r="BY1000" s="10">
        <f t="shared" si="984"/>
        <v>0</v>
      </c>
      <c r="BZ1000" s="10">
        <f t="shared" si="984"/>
        <v>0</v>
      </c>
      <c r="CA1000" s="10">
        <f t="shared" si="984"/>
        <v>0</v>
      </c>
      <c r="CB1000" s="10">
        <f t="shared" si="984"/>
        <v>0</v>
      </c>
      <c r="CC1000" s="10">
        <f t="shared" si="984"/>
        <v>0</v>
      </c>
      <c r="CD1000" s="10">
        <f t="shared" si="984"/>
        <v>0</v>
      </c>
      <c r="CE1000" s="10">
        <f t="shared" si="984"/>
        <v>0</v>
      </c>
      <c r="CF1000" s="10">
        <f t="shared" si="984"/>
        <v>0</v>
      </c>
      <c r="CG1000" s="10">
        <f t="shared" si="984"/>
        <v>0</v>
      </c>
      <c r="CH1000" s="10">
        <f t="shared" si="984"/>
        <v>0</v>
      </c>
      <c r="CI1000" s="10">
        <f t="shared" si="984"/>
        <v>0</v>
      </c>
      <c r="CK1000" s="11"/>
      <c r="CM1000" s="11"/>
      <c r="DF1000" s="11"/>
      <c r="EY1000" s="10" t="str">
        <f t="shared" si="942"/>
        <v/>
      </c>
    </row>
    <row r="1001" spans="2:155" x14ac:dyDescent="0.35">
      <c r="B1001" s="69" t="str" cm="1">
        <f t="array" aca="1" ref="B1001" ca="1">HYPERLINK(CONCATENATE("#",CELL("address",$D$75)),$D$75)</f>
        <v>Loan 2</v>
      </c>
      <c r="C1001" s="211"/>
      <c r="D1001" s="49">
        <f>D$14</f>
        <v>0</v>
      </c>
      <c r="E1001" s="49" t="str">
        <f>F$14</f>
        <v/>
      </c>
      <c r="F1001" s="49"/>
      <c r="H1001" s="9"/>
      <c r="I1001" s="40" t="s">
        <v>665</v>
      </c>
      <c r="V1001" s="133">
        <f>V$80</f>
        <v>0</v>
      </c>
      <c r="W1001" s="10">
        <f>W$80</f>
        <v>0</v>
      </c>
      <c r="X1001" s="10">
        <f>X$80</f>
        <v>0</v>
      </c>
      <c r="Y1001" s="10">
        <f>Y$80</f>
        <v>0</v>
      </c>
      <c r="AA1001" s="10">
        <f t="shared" ref="AA1001:BV1001" si="985">AA$80</f>
        <v>0</v>
      </c>
      <c r="AB1001" s="10">
        <f t="shared" si="985"/>
        <v>0</v>
      </c>
      <c r="AC1001" s="10">
        <f t="shared" si="985"/>
        <v>0</v>
      </c>
      <c r="AD1001" s="10">
        <f t="shared" si="985"/>
        <v>0</v>
      </c>
      <c r="AE1001" s="10">
        <f t="shared" si="985"/>
        <v>0</v>
      </c>
      <c r="AF1001" s="10">
        <f t="shared" si="985"/>
        <v>0</v>
      </c>
      <c r="AG1001" s="10">
        <f t="shared" si="985"/>
        <v>0</v>
      </c>
      <c r="AH1001" s="10">
        <f t="shared" si="985"/>
        <v>0</v>
      </c>
      <c r="AI1001" s="10">
        <f t="shared" si="985"/>
        <v>0</v>
      </c>
      <c r="AJ1001" s="10">
        <f t="shared" si="985"/>
        <v>0</v>
      </c>
      <c r="AK1001" s="10">
        <f t="shared" si="985"/>
        <v>0</v>
      </c>
      <c r="AL1001" s="10">
        <f t="shared" si="985"/>
        <v>0</v>
      </c>
      <c r="AM1001" s="10">
        <f t="shared" si="985"/>
        <v>0</v>
      </c>
      <c r="AN1001" s="10">
        <f t="shared" si="985"/>
        <v>0</v>
      </c>
      <c r="AO1001" s="10">
        <f t="shared" si="985"/>
        <v>0</v>
      </c>
      <c r="AP1001" s="10">
        <f t="shared" si="985"/>
        <v>0</v>
      </c>
      <c r="AQ1001" s="10">
        <f t="shared" si="985"/>
        <v>0</v>
      </c>
      <c r="AR1001" s="10">
        <f t="shared" si="985"/>
        <v>0</v>
      </c>
      <c r="AS1001" s="10">
        <f t="shared" si="985"/>
        <v>0</v>
      </c>
      <c r="AT1001" s="10">
        <f t="shared" si="985"/>
        <v>0</v>
      </c>
      <c r="AU1001" s="10">
        <f t="shared" si="985"/>
        <v>0</v>
      </c>
      <c r="AV1001" s="10">
        <f t="shared" si="985"/>
        <v>0</v>
      </c>
      <c r="AW1001" s="10">
        <f t="shared" si="985"/>
        <v>0</v>
      </c>
      <c r="AX1001" s="10">
        <f t="shared" si="985"/>
        <v>0</v>
      </c>
      <c r="AY1001" s="10">
        <f t="shared" si="985"/>
        <v>0</v>
      </c>
      <c r="AZ1001" s="10">
        <f t="shared" si="985"/>
        <v>0</v>
      </c>
      <c r="BA1001" s="10">
        <f t="shared" si="985"/>
        <v>0</v>
      </c>
      <c r="BB1001" s="10">
        <f t="shared" si="985"/>
        <v>0</v>
      </c>
      <c r="BC1001" s="10">
        <f t="shared" si="985"/>
        <v>0</v>
      </c>
      <c r="BD1001" s="10">
        <f t="shared" si="985"/>
        <v>0</v>
      </c>
      <c r="BE1001" s="10">
        <f t="shared" si="985"/>
        <v>0</v>
      </c>
      <c r="BF1001" s="10">
        <f t="shared" si="985"/>
        <v>0</v>
      </c>
      <c r="BG1001" s="10">
        <f t="shared" si="985"/>
        <v>0</v>
      </c>
      <c r="BH1001" s="10">
        <f t="shared" si="985"/>
        <v>0</v>
      </c>
      <c r="BI1001" s="10">
        <f t="shared" si="985"/>
        <v>0</v>
      </c>
      <c r="BJ1001" s="10">
        <f t="shared" si="985"/>
        <v>0</v>
      </c>
      <c r="BK1001" s="10">
        <f t="shared" si="985"/>
        <v>0</v>
      </c>
      <c r="BL1001" s="10">
        <f t="shared" si="985"/>
        <v>0</v>
      </c>
      <c r="BM1001" s="10">
        <f t="shared" si="985"/>
        <v>0</v>
      </c>
      <c r="BN1001" s="10">
        <f t="shared" si="985"/>
        <v>0</v>
      </c>
      <c r="BO1001" s="10">
        <f t="shared" si="985"/>
        <v>0</v>
      </c>
      <c r="BP1001" s="10">
        <f t="shared" si="985"/>
        <v>0</v>
      </c>
      <c r="BQ1001" s="10">
        <f t="shared" si="985"/>
        <v>0</v>
      </c>
      <c r="BR1001" s="10">
        <f t="shared" si="985"/>
        <v>0</v>
      </c>
      <c r="BS1001" s="10">
        <f t="shared" si="985"/>
        <v>0</v>
      </c>
      <c r="BT1001" s="10">
        <f t="shared" si="985"/>
        <v>0</v>
      </c>
      <c r="BU1001" s="10">
        <f t="shared" si="985"/>
        <v>0</v>
      </c>
      <c r="BV1001" s="10">
        <f t="shared" si="985"/>
        <v>0</v>
      </c>
      <c r="BX1001" s="10">
        <f t="shared" ref="BX1001:CI1001" si="986">BX$80</f>
        <v>0</v>
      </c>
      <c r="BY1001" s="10">
        <f t="shared" si="986"/>
        <v>0</v>
      </c>
      <c r="BZ1001" s="10">
        <f t="shared" si="986"/>
        <v>0</v>
      </c>
      <c r="CA1001" s="10">
        <f t="shared" si="986"/>
        <v>0</v>
      </c>
      <c r="CB1001" s="10">
        <f t="shared" si="986"/>
        <v>0</v>
      </c>
      <c r="CC1001" s="10">
        <f t="shared" si="986"/>
        <v>0</v>
      </c>
      <c r="CD1001" s="10">
        <f t="shared" si="986"/>
        <v>0</v>
      </c>
      <c r="CE1001" s="10">
        <f t="shared" si="986"/>
        <v>0</v>
      </c>
      <c r="CF1001" s="10">
        <f t="shared" si="986"/>
        <v>0</v>
      </c>
      <c r="CG1001" s="10">
        <f t="shared" si="986"/>
        <v>0</v>
      </c>
      <c r="CH1001" s="10">
        <f t="shared" si="986"/>
        <v>0</v>
      </c>
      <c r="CI1001" s="10">
        <f t="shared" si="986"/>
        <v>0</v>
      </c>
      <c r="CK1001" s="11"/>
      <c r="CM1001" s="11"/>
      <c r="DF1001" s="11"/>
      <c r="EY1001" s="10" t="str">
        <f t="shared" si="942"/>
        <v/>
      </c>
    </row>
    <row r="1002" spans="2:155" x14ac:dyDescent="0.35">
      <c r="B1002" s="69" t="str" cm="1">
        <f t="array" aca="1" ref="B1002" ca="1">HYPERLINK(CONCATENATE("#",CELL("address",$D$94)),$D$94)</f>
        <v>Loan 3</v>
      </c>
      <c r="C1002" s="211"/>
      <c r="D1002" s="49">
        <f>D$15</f>
        <v>0</v>
      </c>
      <c r="E1002" s="49" t="str">
        <f>F$15</f>
        <v/>
      </c>
      <c r="F1002" s="49"/>
      <c r="H1002" s="9"/>
      <c r="I1002" s="40" t="s">
        <v>665</v>
      </c>
      <c r="V1002" s="133">
        <f>V$99</f>
        <v>0</v>
      </c>
      <c r="W1002" s="10">
        <f>W$99</f>
        <v>0</v>
      </c>
      <c r="X1002" s="10">
        <f>X$99</f>
        <v>0</v>
      </c>
      <c r="Y1002" s="10">
        <f>Y$99</f>
        <v>0</v>
      </c>
      <c r="AA1002" s="10">
        <f t="shared" ref="AA1002:BV1002" si="987">AA$99</f>
        <v>0</v>
      </c>
      <c r="AB1002" s="10">
        <f t="shared" si="987"/>
        <v>0</v>
      </c>
      <c r="AC1002" s="10">
        <f t="shared" si="987"/>
        <v>0</v>
      </c>
      <c r="AD1002" s="10">
        <f t="shared" si="987"/>
        <v>0</v>
      </c>
      <c r="AE1002" s="10">
        <f t="shared" si="987"/>
        <v>0</v>
      </c>
      <c r="AF1002" s="10">
        <f t="shared" si="987"/>
        <v>0</v>
      </c>
      <c r="AG1002" s="10">
        <f t="shared" si="987"/>
        <v>0</v>
      </c>
      <c r="AH1002" s="10">
        <f t="shared" si="987"/>
        <v>0</v>
      </c>
      <c r="AI1002" s="10">
        <f t="shared" si="987"/>
        <v>0</v>
      </c>
      <c r="AJ1002" s="10">
        <f t="shared" si="987"/>
        <v>0</v>
      </c>
      <c r="AK1002" s="10">
        <f t="shared" si="987"/>
        <v>0</v>
      </c>
      <c r="AL1002" s="10">
        <f t="shared" si="987"/>
        <v>0</v>
      </c>
      <c r="AM1002" s="10">
        <f t="shared" si="987"/>
        <v>0</v>
      </c>
      <c r="AN1002" s="10">
        <f t="shared" si="987"/>
        <v>0</v>
      </c>
      <c r="AO1002" s="10">
        <f t="shared" si="987"/>
        <v>0</v>
      </c>
      <c r="AP1002" s="10">
        <f t="shared" si="987"/>
        <v>0</v>
      </c>
      <c r="AQ1002" s="10">
        <f t="shared" si="987"/>
        <v>0</v>
      </c>
      <c r="AR1002" s="10">
        <f t="shared" si="987"/>
        <v>0</v>
      </c>
      <c r="AS1002" s="10">
        <f t="shared" si="987"/>
        <v>0</v>
      </c>
      <c r="AT1002" s="10">
        <f t="shared" si="987"/>
        <v>0</v>
      </c>
      <c r="AU1002" s="10">
        <f t="shared" si="987"/>
        <v>0</v>
      </c>
      <c r="AV1002" s="10">
        <f t="shared" si="987"/>
        <v>0</v>
      </c>
      <c r="AW1002" s="10">
        <f t="shared" si="987"/>
        <v>0</v>
      </c>
      <c r="AX1002" s="10">
        <f t="shared" si="987"/>
        <v>0</v>
      </c>
      <c r="AY1002" s="10">
        <f t="shared" si="987"/>
        <v>0</v>
      </c>
      <c r="AZ1002" s="10">
        <f t="shared" si="987"/>
        <v>0</v>
      </c>
      <c r="BA1002" s="10">
        <f t="shared" si="987"/>
        <v>0</v>
      </c>
      <c r="BB1002" s="10">
        <f t="shared" si="987"/>
        <v>0</v>
      </c>
      <c r="BC1002" s="10">
        <f t="shared" si="987"/>
        <v>0</v>
      </c>
      <c r="BD1002" s="10">
        <f t="shared" si="987"/>
        <v>0</v>
      </c>
      <c r="BE1002" s="10">
        <f t="shared" si="987"/>
        <v>0</v>
      </c>
      <c r="BF1002" s="10">
        <f t="shared" si="987"/>
        <v>0</v>
      </c>
      <c r="BG1002" s="10">
        <f t="shared" si="987"/>
        <v>0</v>
      </c>
      <c r="BH1002" s="10">
        <f t="shared" si="987"/>
        <v>0</v>
      </c>
      <c r="BI1002" s="10">
        <f t="shared" si="987"/>
        <v>0</v>
      </c>
      <c r="BJ1002" s="10">
        <f t="shared" si="987"/>
        <v>0</v>
      </c>
      <c r="BK1002" s="10">
        <f t="shared" si="987"/>
        <v>0</v>
      </c>
      <c r="BL1002" s="10">
        <f t="shared" si="987"/>
        <v>0</v>
      </c>
      <c r="BM1002" s="10">
        <f t="shared" si="987"/>
        <v>0</v>
      </c>
      <c r="BN1002" s="10">
        <f t="shared" si="987"/>
        <v>0</v>
      </c>
      <c r="BO1002" s="10">
        <f t="shared" si="987"/>
        <v>0</v>
      </c>
      <c r="BP1002" s="10">
        <f t="shared" si="987"/>
        <v>0</v>
      </c>
      <c r="BQ1002" s="10">
        <f t="shared" si="987"/>
        <v>0</v>
      </c>
      <c r="BR1002" s="10">
        <f t="shared" si="987"/>
        <v>0</v>
      </c>
      <c r="BS1002" s="10">
        <f t="shared" si="987"/>
        <v>0</v>
      </c>
      <c r="BT1002" s="10">
        <f t="shared" si="987"/>
        <v>0</v>
      </c>
      <c r="BU1002" s="10">
        <f t="shared" si="987"/>
        <v>0</v>
      </c>
      <c r="BV1002" s="10">
        <f t="shared" si="987"/>
        <v>0</v>
      </c>
      <c r="BX1002" s="10">
        <f t="shared" ref="BX1002:CI1002" si="988">BX$99</f>
        <v>0</v>
      </c>
      <c r="BY1002" s="10">
        <f t="shared" si="988"/>
        <v>0</v>
      </c>
      <c r="BZ1002" s="10">
        <f t="shared" si="988"/>
        <v>0</v>
      </c>
      <c r="CA1002" s="10">
        <f t="shared" si="988"/>
        <v>0</v>
      </c>
      <c r="CB1002" s="10">
        <f t="shared" si="988"/>
        <v>0</v>
      </c>
      <c r="CC1002" s="10">
        <f t="shared" si="988"/>
        <v>0</v>
      </c>
      <c r="CD1002" s="10">
        <f t="shared" si="988"/>
        <v>0</v>
      </c>
      <c r="CE1002" s="10">
        <f t="shared" si="988"/>
        <v>0</v>
      </c>
      <c r="CF1002" s="10">
        <f t="shared" si="988"/>
        <v>0</v>
      </c>
      <c r="CG1002" s="10">
        <f t="shared" si="988"/>
        <v>0</v>
      </c>
      <c r="CH1002" s="10">
        <f t="shared" si="988"/>
        <v>0</v>
      </c>
      <c r="CI1002" s="10">
        <f t="shared" si="988"/>
        <v>0</v>
      </c>
      <c r="CK1002" s="11"/>
      <c r="CM1002" s="11"/>
      <c r="DF1002" s="11"/>
      <c r="EY1002" s="10" t="str">
        <f t="shared" si="942"/>
        <v/>
      </c>
    </row>
    <row r="1003" spans="2:155" x14ac:dyDescent="0.35">
      <c r="B1003" s="69" t="str" cm="1">
        <f t="array" aca="1" ref="B1003" ca="1">HYPERLINK(CONCATENATE("#",CELL("address",$D$113)),$D$113)</f>
        <v>Loan 4</v>
      </c>
      <c r="C1003" s="211"/>
      <c r="D1003" s="49">
        <f>D$16</f>
        <v>0</v>
      </c>
      <c r="E1003" s="49" t="str">
        <f>F$16</f>
        <v/>
      </c>
      <c r="F1003" s="49"/>
      <c r="H1003" s="9"/>
      <c r="I1003" s="40" t="s">
        <v>665</v>
      </c>
      <c r="V1003" s="133">
        <f>V$118</f>
        <v>0</v>
      </c>
      <c r="W1003" s="10">
        <f>W$118</f>
        <v>0</v>
      </c>
      <c r="X1003" s="10">
        <f>X$118</f>
        <v>0</v>
      </c>
      <c r="Y1003" s="10">
        <f>Y$118</f>
        <v>0</v>
      </c>
      <c r="AA1003" s="10">
        <f t="shared" ref="AA1003:BV1003" si="989">AA$118</f>
        <v>0</v>
      </c>
      <c r="AB1003" s="10">
        <f t="shared" si="989"/>
        <v>0</v>
      </c>
      <c r="AC1003" s="10">
        <f t="shared" si="989"/>
        <v>0</v>
      </c>
      <c r="AD1003" s="10">
        <f t="shared" si="989"/>
        <v>0</v>
      </c>
      <c r="AE1003" s="10">
        <f t="shared" si="989"/>
        <v>0</v>
      </c>
      <c r="AF1003" s="10">
        <f t="shared" si="989"/>
        <v>0</v>
      </c>
      <c r="AG1003" s="10">
        <f t="shared" si="989"/>
        <v>0</v>
      </c>
      <c r="AH1003" s="10">
        <f t="shared" si="989"/>
        <v>0</v>
      </c>
      <c r="AI1003" s="10">
        <f t="shared" si="989"/>
        <v>0</v>
      </c>
      <c r="AJ1003" s="10">
        <f t="shared" si="989"/>
        <v>0</v>
      </c>
      <c r="AK1003" s="10">
        <f t="shared" si="989"/>
        <v>0</v>
      </c>
      <c r="AL1003" s="10">
        <f t="shared" si="989"/>
        <v>0</v>
      </c>
      <c r="AM1003" s="10">
        <f t="shared" si="989"/>
        <v>0</v>
      </c>
      <c r="AN1003" s="10">
        <f t="shared" si="989"/>
        <v>0</v>
      </c>
      <c r="AO1003" s="10">
        <f t="shared" si="989"/>
        <v>0</v>
      </c>
      <c r="AP1003" s="10">
        <f t="shared" si="989"/>
        <v>0</v>
      </c>
      <c r="AQ1003" s="10">
        <f t="shared" si="989"/>
        <v>0</v>
      </c>
      <c r="AR1003" s="10">
        <f t="shared" si="989"/>
        <v>0</v>
      </c>
      <c r="AS1003" s="10">
        <f t="shared" si="989"/>
        <v>0</v>
      </c>
      <c r="AT1003" s="10">
        <f t="shared" si="989"/>
        <v>0</v>
      </c>
      <c r="AU1003" s="10">
        <f t="shared" si="989"/>
        <v>0</v>
      </c>
      <c r="AV1003" s="10">
        <f t="shared" si="989"/>
        <v>0</v>
      </c>
      <c r="AW1003" s="10">
        <f t="shared" si="989"/>
        <v>0</v>
      </c>
      <c r="AX1003" s="10">
        <f t="shared" si="989"/>
        <v>0</v>
      </c>
      <c r="AY1003" s="10">
        <f t="shared" si="989"/>
        <v>0</v>
      </c>
      <c r="AZ1003" s="10">
        <f t="shared" si="989"/>
        <v>0</v>
      </c>
      <c r="BA1003" s="10">
        <f t="shared" si="989"/>
        <v>0</v>
      </c>
      <c r="BB1003" s="10">
        <f t="shared" si="989"/>
        <v>0</v>
      </c>
      <c r="BC1003" s="10">
        <f t="shared" si="989"/>
        <v>0</v>
      </c>
      <c r="BD1003" s="10">
        <f t="shared" si="989"/>
        <v>0</v>
      </c>
      <c r="BE1003" s="10">
        <f t="shared" si="989"/>
        <v>0</v>
      </c>
      <c r="BF1003" s="10">
        <f t="shared" si="989"/>
        <v>0</v>
      </c>
      <c r="BG1003" s="10">
        <f t="shared" si="989"/>
        <v>0</v>
      </c>
      <c r="BH1003" s="10">
        <f t="shared" si="989"/>
        <v>0</v>
      </c>
      <c r="BI1003" s="10">
        <f t="shared" si="989"/>
        <v>0</v>
      </c>
      <c r="BJ1003" s="10">
        <f t="shared" si="989"/>
        <v>0</v>
      </c>
      <c r="BK1003" s="10">
        <f t="shared" si="989"/>
        <v>0</v>
      </c>
      <c r="BL1003" s="10">
        <f t="shared" si="989"/>
        <v>0</v>
      </c>
      <c r="BM1003" s="10">
        <f t="shared" si="989"/>
        <v>0</v>
      </c>
      <c r="BN1003" s="10">
        <f t="shared" si="989"/>
        <v>0</v>
      </c>
      <c r="BO1003" s="10">
        <f t="shared" si="989"/>
        <v>0</v>
      </c>
      <c r="BP1003" s="10">
        <f t="shared" si="989"/>
        <v>0</v>
      </c>
      <c r="BQ1003" s="10">
        <f t="shared" si="989"/>
        <v>0</v>
      </c>
      <c r="BR1003" s="10">
        <f t="shared" si="989"/>
        <v>0</v>
      </c>
      <c r="BS1003" s="10">
        <f t="shared" si="989"/>
        <v>0</v>
      </c>
      <c r="BT1003" s="10">
        <f t="shared" si="989"/>
        <v>0</v>
      </c>
      <c r="BU1003" s="10">
        <f t="shared" si="989"/>
        <v>0</v>
      </c>
      <c r="BV1003" s="10">
        <f t="shared" si="989"/>
        <v>0</v>
      </c>
      <c r="BX1003" s="10">
        <f t="shared" ref="BX1003:CI1003" si="990">BX$118</f>
        <v>0</v>
      </c>
      <c r="BY1003" s="10">
        <f t="shared" si="990"/>
        <v>0</v>
      </c>
      <c r="BZ1003" s="10">
        <f t="shared" si="990"/>
        <v>0</v>
      </c>
      <c r="CA1003" s="10">
        <f t="shared" si="990"/>
        <v>0</v>
      </c>
      <c r="CB1003" s="10">
        <f t="shared" si="990"/>
        <v>0</v>
      </c>
      <c r="CC1003" s="10">
        <f t="shared" si="990"/>
        <v>0</v>
      </c>
      <c r="CD1003" s="10">
        <f t="shared" si="990"/>
        <v>0</v>
      </c>
      <c r="CE1003" s="10">
        <f t="shared" si="990"/>
        <v>0</v>
      </c>
      <c r="CF1003" s="10">
        <f t="shared" si="990"/>
        <v>0</v>
      </c>
      <c r="CG1003" s="10">
        <f t="shared" si="990"/>
        <v>0</v>
      </c>
      <c r="CH1003" s="10">
        <f t="shared" si="990"/>
        <v>0</v>
      </c>
      <c r="CI1003" s="10">
        <f t="shared" si="990"/>
        <v>0</v>
      </c>
      <c r="CK1003" s="11"/>
      <c r="CM1003" s="11"/>
      <c r="DF1003" s="11"/>
      <c r="EY1003" s="10" t="str">
        <f t="shared" si="942"/>
        <v/>
      </c>
    </row>
    <row r="1004" spans="2:155" x14ac:dyDescent="0.35">
      <c r="B1004" s="69" t="str" cm="1">
        <f t="array" aca="1" ref="B1004" ca="1">HYPERLINK(CONCATENATE("#",CELL("address",$D$132)),$D$132)</f>
        <v>Loan 5</v>
      </c>
      <c r="C1004" s="211"/>
      <c r="D1004" s="49">
        <f>D$17</f>
        <v>0</v>
      </c>
      <c r="E1004" s="49" t="str">
        <f>F$17</f>
        <v/>
      </c>
      <c r="F1004" s="49"/>
      <c r="H1004" s="9"/>
      <c r="I1004" s="40" t="s">
        <v>665</v>
      </c>
      <c r="V1004" s="133">
        <f>V$137</f>
        <v>0</v>
      </c>
      <c r="W1004" s="10">
        <f>W$137</f>
        <v>0</v>
      </c>
      <c r="X1004" s="10">
        <f>X$137</f>
        <v>0</v>
      </c>
      <c r="Y1004" s="10">
        <f>Y$137</f>
        <v>0</v>
      </c>
      <c r="AA1004" s="10">
        <f t="shared" ref="AA1004:BV1004" si="991">AA$137</f>
        <v>0</v>
      </c>
      <c r="AB1004" s="10">
        <f t="shared" si="991"/>
        <v>0</v>
      </c>
      <c r="AC1004" s="10">
        <f t="shared" si="991"/>
        <v>0</v>
      </c>
      <c r="AD1004" s="10">
        <f t="shared" si="991"/>
        <v>0</v>
      </c>
      <c r="AE1004" s="10">
        <f t="shared" si="991"/>
        <v>0</v>
      </c>
      <c r="AF1004" s="10">
        <f t="shared" si="991"/>
        <v>0</v>
      </c>
      <c r="AG1004" s="10">
        <f t="shared" si="991"/>
        <v>0</v>
      </c>
      <c r="AH1004" s="10">
        <f t="shared" si="991"/>
        <v>0</v>
      </c>
      <c r="AI1004" s="10">
        <f t="shared" si="991"/>
        <v>0</v>
      </c>
      <c r="AJ1004" s="10">
        <f t="shared" si="991"/>
        <v>0</v>
      </c>
      <c r="AK1004" s="10">
        <f t="shared" si="991"/>
        <v>0</v>
      </c>
      <c r="AL1004" s="10">
        <f t="shared" si="991"/>
        <v>0</v>
      </c>
      <c r="AM1004" s="10">
        <f t="shared" si="991"/>
        <v>0</v>
      </c>
      <c r="AN1004" s="10">
        <f t="shared" si="991"/>
        <v>0</v>
      </c>
      <c r="AO1004" s="10">
        <f t="shared" si="991"/>
        <v>0</v>
      </c>
      <c r="AP1004" s="10">
        <f t="shared" si="991"/>
        <v>0</v>
      </c>
      <c r="AQ1004" s="10">
        <f t="shared" si="991"/>
        <v>0</v>
      </c>
      <c r="AR1004" s="10">
        <f t="shared" si="991"/>
        <v>0</v>
      </c>
      <c r="AS1004" s="10">
        <f t="shared" si="991"/>
        <v>0</v>
      </c>
      <c r="AT1004" s="10">
        <f t="shared" si="991"/>
        <v>0</v>
      </c>
      <c r="AU1004" s="10">
        <f t="shared" si="991"/>
        <v>0</v>
      </c>
      <c r="AV1004" s="10">
        <f t="shared" si="991"/>
        <v>0</v>
      </c>
      <c r="AW1004" s="10">
        <f t="shared" si="991"/>
        <v>0</v>
      </c>
      <c r="AX1004" s="10">
        <f t="shared" si="991"/>
        <v>0</v>
      </c>
      <c r="AY1004" s="10">
        <f t="shared" si="991"/>
        <v>0</v>
      </c>
      <c r="AZ1004" s="10">
        <f t="shared" si="991"/>
        <v>0</v>
      </c>
      <c r="BA1004" s="10">
        <f t="shared" si="991"/>
        <v>0</v>
      </c>
      <c r="BB1004" s="10">
        <f t="shared" si="991"/>
        <v>0</v>
      </c>
      <c r="BC1004" s="10">
        <f t="shared" si="991"/>
        <v>0</v>
      </c>
      <c r="BD1004" s="10">
        <f t="shared" si="991"/>
        <v>0</v>
      </c>
      <c r="BE1004" s="10">
        <f t="shared" si="991"/>
        <v>0</v>
      </c>
      <c r="BF1004" s="10">
        <f t="shared" si="991"/>
        <v>0</v>
      </c>
      <c r="BG1004" s="10">
        <f t="shared" si="991"/>
        <v>0</v>
      </c>
      <c r="BH1004" s="10">
        <f t="shared" si="991"/>
        <v>0</v>
      </c>
      <c r="BI1004" s="10">
        <f t="shared" si="991"/>
        <v>0</v>
      </c>
      <c r="BJ1004" s="10">
        <f t="shared" si="991"/>
        <v>0</v>
      </c>
      <c r="BK1004" s="10">
        <f t="shared" si="991"/>
        <v>0</v>
      </c>
      <c r="BL1004" s="10">
        <f t="shared" si="991"/>
        <v>0</v>
      </c>
      <c r="BM1004" s="10">
        <f t="shared" si="991"/>
        <v>0</v>
      </c>
      <c r="BN1004" s="10">
        <f t="shared" si="991"/>
        <v>0</v>
      </c>
      <c r="BO1004" s="10">
        <f t="shared" si="991"/>
        <v>0</v>
      </c>
      <c r="BP1004" s="10">
        <f t="shared" si="991"/>
        <v>0</v>
      </c>
      <c r="BQ1004" s="10">
        <f t="shared" si="991"/>
        <v>0</v>
      </c>
      <c r="BR1004" s="10">
        <f t="shared" si="991"/>
        <v>0</v>
      </c>
      <c r="BS1004" s="10">
        <f t="shared" si="991"/>
        <v>0</v>
      </c>
      <c r="BT1004" s="10">
        <f t="shared" si="991"/>
        <v>0</v>
      </c>
      <c r="BU1004" s="10">
        <f t="shared" si="991"/>
        <v>0</v>
      </c>
      <c r="BV1004" s="10">
        <f t="shared" si="991"/>
        <v>0</v>
      </c>
      <c r="BX1004" s="10">
        <f t="shared" ref="BX1004:CI1004" si="992">BX$137</f>
        <v>0</v>
      </c>
      <c r="BY1004" s="10">
        <f t="shared" si="992"/>
        <v>0</v>
      </c>
      <c r="BZ1004" s="10">
        <f t="shared" si="992"/>
        <v>0</v>
      </c>
      <c r="CA1004" s="10">
        <f t="shared" si="992"/>
        <v>0</v>
      </c>
      <c r="CB1004" s="10">
        <f t="shared" si="992"/>
        <v>0</v>
      </c>
      <c r="CC1004" s="10">
        <f t="shared" si="992"/>
        <v>0</v>
      </c>
      <c r="CD1004" s="10">
        <f t="shared" si="992"/>
        <v>0</v>
      </c>
      <c r="CE1004" s="10">
        <f t="shared" si="992"/>
        <v>0</v>
      </c>
      <c r="CF1004" s="10">
        <f t="shared" si="992"/>
        <v>0</v>
      </c>
      <c r="CG1004" s="10">
        <f t="shared" si="992"/>
        <v>0</v>
      </c>
      <c r="CH1004" s="10">
        <f t="shared" si="992"/>
        <v>0</v>
      </c>
      <c r="CI1004" s="10">
        <f t="shared" si="992"/>
        <v>0</v>
      </c>
      <c r="CK1004" s="11"/>
      <c r="CM1004" s="11"/>
      <c r="DF1004" s="11"/>
      <c r="EY1004" s="10" t="str">
        <f t="shared" si="942"/>
        <v/>
      </c>
    </row>
    <row r="1005" spans="2:155" x14ac:dyDescent="0.35">
      <c r="B1005" s="69" t="str" cm="1">
        <f t="array" aca="1" ref="B1005" ca="1">HYPERLINK(CONCATENATE("#",CELL("address",$D$151)),$D$151)</f>
        <v>Loan 6</v>
      </c>
      <c r="C1005" s="211"/>
      <c r="D1005" s="49">
        <f>D$18</f>
        <v>0</v>
      </c>
      <c r="E1005" s="49" t="str">
        <f>F$18</f>
        <v/>
      </c>
      <c r="F1005" s="49"/>
      <c r="H1005" s="9"/>
      <c r="I1005" s="40" t="s">
        <v>665</v>
      </c>
      <c r="V1005" s="133">
        <f>V$156</f>
        <v>0</v>
      </c>
      <c r="W1005" s="10">
        <f>W$156</f>
        <v>0</v>
      </c>
      <c r="X1005" s="10">
        <f>X$156</f>
        <v>0</v>
      </c>
      <c r="Y1005" s="10">
        <f>Y$156</f>
        <v>0</v>
      </c>
      <c r="AA1005" s="10">
        <f t="shared" ref="AA1005:BV1005" si="993">AA$156</f>
        <v>0</v>
      </c>
      <c r="AB1005" s="10">
        <f t="shared" si="993"/>
        <v>0</v>
      </c>
      <c r="AC1005" s="10">
        <f t="shared" si="993"/>
        <v>0</v>
      </c>
      <c r="AD1005" s="10">
        <f t="shared" si="993"/>
        <v>0</v>
      </c>
      <c r="AE1005" s="10">
        <f t="shared" si="993"/>
        <v>0</v>
      </c>
      <c r="AF1005" s="10">
        <f t="shared" si="993"/>
        <v>0</v>
      </c>
      <c r="AG1005" s="10">
        <f t="shared" si="993"/>
        <v>0</v>
      </c>
      <c r="AH1005" s="10">
        <f t="shared" si="993"/>
        <v>0</v>
      </c>
      <c r="AI1005" s="10">
        <f t="shared" si="993"/>
        <v>0</v>
      </c>
      <c r="AJ1005" s="10">
        <f t="shared" si="993"/>
        <v>0</v>
      </c>
      <c r="AK1005" s="10">
        <f t="shared" si="993"/>
        <v>0</v>
      </c>
      <c r="AL1005" s="10">
        <f t="shared" si="993"/>
        <v>0</v>
      </c>
      <c r="AM1005" s="10">
        <f t="shared" si="993"/>
        <v>0</v>
      </c>
      <c r="AN1005" s="10">
        <f t="shared" si="993"/>
        <v>0</v>
      </c>
      <c r="AO1005" s="10">
        <f t="shared" si="993"/>
        <v>0</v>
      </c>
      <c r="AP1005" s="10">
        <f t="shared" si="993"/>
        <v>0</v>
      </c>
      <c r="AQ1005" s="10">
        <f t="shared" si="993"/>
        <v>0</v>
      </c>
      <c r="AR1005" s="10">
        <f t="shared" si="993"/>
        <v>0</v>
      </c>
      <c r="AS1005" s="10">
        <f t="shared" si="993"/>
        <v>0</v>
      </c>
      <c r="AT1005" s="10">
        <f t="shared" si="993"/>
        <v>0</v>
      </c>
      <c r="AU1005" s="10">
        <f t="shared" si="993"/>
        <v>0</v>
      </c>
      <c r="AV1005" s="10">
        <f t="shared" si="993"/>
        <v>0</v>
      </c>
      <c r="AW1005" s="10">
        <f t="shared" si="993"/>
        <v>0</v>
      </c>
      <c r="AX1005" s="10">
        <f t="shared" si="993"/>
        <v>0</v>
      </c>
      <c r="AY1005" s="10">
        <f t="shared" si="993"/>
        <v>0</v>
      </c>
      <c r="AZ1005" s="10">
        <f t="shared" si="993"/>
        <v>0</v>
      </c>
      <c r="BA1005" s="10">
        <f t="shared" si="993"/>
        <v>0</v>
      </c>
      <c r="BB1005" s="10">
        <f t="shared" si="993"/>
        <v>0</v>
      </c>
      <c r="BC1005" s="10">
        <f t="shared" si="993"/>
        <v>0</v>
      </c>
      <c r="BD1005" s="10">
        <f t="shared" si="993"/>
        <v>0</v>
      </c>
      <c r="BE1005" s="10">
        <f t="shared" si="993"/>
        <v>0</v>
      </c>
      <c r="BF1005" s="10">
        <f t="shared" si="993"/>
        <v>0</v>
      </c>
      <c r="BG1005" s="10">
        <f t="shared" si="993"/>
        <v>0</v>
      </c>
      <c r="BH1005" s="10">
        <f t="shared" si="993"/>
        <v>0</v>
      </c>
      <c r="BI1005" s="10">
        <f t="shared" si="993"/>
        <v>0</v>
      </c>
      <c r="BJ1005" s="10">
        <f t="shared" si="993"/>
        <v>0</v>
      </c>
      <c r="BK1005" s="10">
        <f t="shared" si="993"/>
        <v>0</v>
      </c>
      <c r="BL1005" s="10">
        <f t="shared" si="993"/>
        <v>0</v>
      </c>
      <c r="BM1005" s="10">
        <f t="shared" si="993"/>
        <v>0</v>
      </c>
      <c r="BN1005" s="10">
        <f t="shared" si="993"/>
        <v>0</v>
      </c>
      <c r="BO1005" s="10">
        <f t="shared" si="993"/>
        <v>0</v>
      </c>
      <c r="BP1005" s="10">
        <f t="shared" si="993"/>
        <v>0</v>
      </c>
      <c r="BQ1005" s="10">
        <f t="shared" si="993"/>
        <v>0</v>
      </c>
      <c r="BR1005" s="10">
        <f t="shared" si="993"/>
        <v>0</v>
      </c>
      <c r="BS1005" s="10">
        <f t="shared" si="993"/>
        <v>0</v>
      </c>
      <c r="BT1005" s="10">
        <f t="shared" si="993"/>
        <v>0</v>
      </c>
      <c r="BU1005" s="10">
        <f t="shared" si="993"/>
        <v>0</v>
      </c>
      <c r="BV1005" s="10">
        <f t="shared" si="993"/>
        <v>0</v>
      </c>
      <c r="BX1005" s="10">
        <f t="shared" ref="BX1005:CI1005" si="994">BX$156</f>
        <v>0</v>
      </c>
      <c r="BY1005" s="10">
        <f t="shared" si="994"/>
        <v>0</v>
      </c>
      <c r="BZ1005" s="10">
        <f t="shared" si="994"/>
        <v>0</v>
      </c>
      <c r="CA1005" s="10">
        <f t="shared" si="994"/>
        <v>0</v>
      </c>
      <c r="CB1005" s="10">
        <f t="shared" si="994"/>
        <v>0</v>
      </c>
      <c r="CC1005" s="10">
        <f t="shared" si="994"/>
        <v>0</v>
      </c>
      <c r="CD1005" s="10">
        <f t="shared" si="994"/>
        <v>0</v>
      </c>
      <c r="CE1005" s="10">
        <f t="shared" si="994"/>
        <v>0</v>
      </c>
      <c r="CF1005" s="10">
        <f t="shared" si="994"/>
        <v>0</v>
      </c>
      <c r="CG1005" s="10">
        <f t="shared" si="994"/>
        <v>0</v>
      </c>
      <c r="CH1005" s="10">
        <f t="shared" si="994"/>
        <v>0</v>
      </c>
      <c r="CI1005" s="10">
        <f t="shared" si="994"/>
        <v>0</v>
      </c>
      <c r="CK1005" s="11"/>
      <c r="CM1005" s="11"/>
      <c r="DF1005" s="11"/>
      <c r="EY1005" s="10" t="str">
        <f t="shared" si="942"/>
        <v/>
      </c>
    </row>
    <row r="1006" spans="2:155" x14ac:dyDescent="0.35">
      <c r="B1006" s="69" t="str" cm="1">
        <f t="array" aca="1" ref="B1006" ca="1">HYPERLINK(CONCATENATE("#",CELL("address",$D$170)),$D$170)</f>
        <v>Loan 7</v>
      </c>
      <c r="C1006" s="211"/>
      <c r="D1006" s="49">
        <f>D$19</f>
        <v>0</v>
      </c>
      <c r="E1006" s="49" t="str">
        <f>F$19</f>
        <v/>
      </c>
      <c r="F1006" s="49"/>
      <c r="H1006" s="9"/>
      <c r="I1006" s="40" t="s">
        <v>665</v>
      </c>
      <c r="V1006" s="133">
        <f>V$175</f>
        <v>0</v>
      </c>
      <c r="W1006" s="10">
        <f>W$175</f>
        <v>0</v>
      </c>
      <c r="X1006" s="10">
        <f>X$175</f>
        <v>0</v>
      </c>
      <c r="Y1006" s="10">
        <f>Y$175</f>
        <v>0</v>
      </c>
      <c r="AA1006" s="10">
        <f t="shared" ref="AA1006:BV1006" si="995">AA$175</f>
        <v>0</v>
      </c>
      <c r="AB1006" s="10">
        <f t="shared" si="995"/>
        <v>0</v>
      </c>
      <c r="AC1006" s="10">
        <f t="shared" si="995"/>
        <v>0</v>
      </c>
      <c r="AD1006" s="10">
        <f t="shared" si="995"/>
        <v>0</v>
      </c>
      <c r="AE1006" s="10">
        <f t="shared" si="995"/>
        <v>0</v>
      </c>
      <c r="AF1006" s="10">
        <f t="shared" si="995"/>
        <v>0</v>
      </c>
      <c r="AG1006" s="10">
        <f t="shared" si="995"/>
        <v>0</v>
      </c>
      <c r="AH1006" s="10">
        <f t="shared" si="995"/>
        <v>0</v>
      </c>
      <c r="AI1006" s="10">
        <f t="shared" si="995"/>
        <v>0</v>
      </c>
      <c r="AJ1006" s="10">
        <f t="shared" si="995"/>
        <v>0</v>
      </c>
      <c r="AK1006" s="10">
        <f t="shared" si="995"/>
        <v>0</v>
      </c>
      <c r="AL1006" s="10">
        <f t="shared" si="995"/>
        <v>0</v>
      </c>
      <c r="AM1006" s="10">
        <f t="shared" si="995"/>
        <v>0</v>
      </c>
      <c r="AN1006" s="10">
        <f t="shared" si="995"/>
        <v>0</v>
      </c>
      <c r="AO1006" s="10">
        <f t="shared" si="995"/>
        <v>0</v>
      </c>
      <c r="AP1006" s="10">
        <f t="shared" si="995"/>
        <v>0</v>
      </c>
      <c r="AQ1006" s="10">
        <f t="shared" si="995"/>
        <v>0</v>
      </c>
      <c r="AR1006" s="10">
        <f t="shared" si="995"/>
        <v>0</v>
      </c>
      <c r="AS1006" s="10">
        <f t="shared" si="995"/>
        <v>0</v>
      </c>
      <c r="AT1006" s="10">
        <f t="shared" si="995"/>
        <v>0</v>
      </c>
      <c r="AU1006" s="10">
        <f t="shared" si="995"/>
        <v>0</v>
      </c>
      <c r="AV1006" s="10">
        <f t="shared" si="995"/>
        <v>0</v>
      </c>
      <c r="AW1006" s="10">
        <f t="shared" si="995"/>
        <v>0</v>
      </c>
      <c r="AX1006" s="10">
        <f t="shared" si="995"/>
        <v>0</v>
      </c>
      <c r="AY1006" s="10">
        <f t="shared" si="995"/>
        <v>0</v>
      </c>
      <c r="AZ1006" s="10">
        <f t="shared" si="995"/>
        <v>0</v>
      </c>
      <c r="BA1006" s="10">
        <f t="shared" si="995"/>
        <v>0</v>
      </c>
      <c r="BB1006" s="10">
        <f t="shared" si="995"/>
        <v>0</v>
      </c>
      <c r="BC1006" s="10">
        <f t="shared" si="995"/>
        <v>0</v>
      </c>
      <c r="BD1006" s="10">
        <f t="shared" si="995"/>
        <v>0</v>
      </c>
      <c r="BE1006" s="10">
        <f t="shared" si="995"/>
        <v>0</v>
      </c>
      <c r="BF1006" s="10">
        <f t="shared" si="995"/>
        <v>0</v>
      </c>
      <c r="BG1006" s="10">
        <f t="shared" si="995"/>
        <v>0</v>
      </c>
      <c r="BH1006" s="10">
        <f t="shared" si="995"/>
        <v>0</v>
      </c>
      <c r="BI1006" s="10">
        <f t="shared" si="995"/>
        <v>0</v>
      </c>
      <c r="BJ1006" s="10">
        <f t="shared" si="995"/>
        <v>0</v>
      </c>
      <c r="BK1006" s="10">
        <f t="shared" si="995"/>
        <v>0</v>
      </c>
      <c r="BL1006" s="10">
        <f t="shared" si="995"/>
        <v>0</v>
      </c>
      <c r="BM1006" s="10">
        <f t="shared" si="995"/>
        <v>0</v>
      </c>
      <c r="BN1006" s="10">
        <f t="shared" si="995"/>
        <v>0</v>
      </c>
      <c r="BO1006" s="10">
        <f t="shared" si="995"/>
        <v>0</v>
      </c>
      <c r="BP1006" s="10">
        <f t="shared" si="995"/>
        <v>0</v>
      </c>
      <c r="BQ1006" s="10">
        <f t="shared" si="995"/>
        <v>0</v>
      </c>
      <c r="BR1006" s="10">
        <f t="shared" si="995"/>
        <v>0</v>
      </c>
      <c r="BS1006" s="10">
        <f t="shared" si="995"/>
        <v>0</v>
      </c>
      <c r="BT1006" s="10">
        <f t="shared" si="995"/>
        <v>0</v>
      </c>
      <c r="BU1006" s="10">
        <f t="shared" si="995"/>
        <v>0</v>
      </c>
      <c r="BV1006" s="10">
        <f t="shared" si="995"/>
        <v>0</v>
      </c>
      <c r="BX1006" s="10">
        <f t="shared" ref="BX1006:CI1006" si="996">BX$175</f>
        <v>0</v>
      </c>
      <c r="BY1006" s="10">
        <f t="shared" si="996"/>
        <v>0</v>
      </c>
      <c r="BZ1006" s="10">
        <f t="shared" si="996"/>
        <v>0</v>
      </c>
      <c r="CA1006" s="10">
        <f t="shared" si="996"/>
        <v>0</v>
      </c>
      <c r="CB1006" s="10">
        <f t="shared" si="996"/>
        <v>0</v>
      </c>
      <c r="CC1006" s="10">
        <f t="shared" si="996"/>
        <v>0</v>
      </c>
      <c r="CD1006" s="10">
        <f t="shared" si="996"/>
        <v>0</v>
      </c>
      <c r="CE1006" s="10">
        <f t="shared" si="996"/>
        <v>0</v>
      </c>
      <c r="CF1006" s="10">
        <f t="shared" si="996"/>
        <v>0</v>
      </c>
      <c r="CG1006" s="10">
        <f t="shared" si="996"/>
        <v>0</v>
      </c>
      <c r="CH1006" s="10">
        <f t="shared" si="996"/>
        <v>0</v>
      </c>
      <c r="CI1006" s="10">
        <f t="shared" si="996"/>
        <v>0</v>
      </c>
      <c r="CK1006" s="11"/>
      <c r="CM1006" s="11"/>
      <c r="DF1006" s="11"/>
      <c r="EY1006" s="10" t="str">
        <f t="shared" ref="EY1006:EY1037" si="997">IF($C1006="","",$D1006)</f>
        <v/>
      </c>
    </row>
    <row r="1007" spans="2:155" x14ac:dyDescent="0.35">
      <c r="B1007" s="69" t="str" cm="1">
        <f t="array" aca="1" ref="B1007" ca="1">HYPERLINK(CONCATENATE("#",CELL("address",$D$189)),$D$189)</f>
        <v>Loan 8</v>
      </c>
      <c r="C1007" s="211"/>
      <c r="D1007" s="49">
        <f>D$20</f>
        <v>0</v>
      </c>
      <c r="E1007" s="49" t="str">
        <f>F$20</f>
        <v/>
      </c>
      <c r="F1007" s="49"/>
      <c r="H1007" s="9"/>
      <c r="I1007" s="40" t="s">
        <v>665</v>
      </c>
      <c r="V1007" s="133">
        <f>V$194</f>
        <v>0</v>
      </c>
      <c r="W1007" s="10">
        <f>W$194</f>
        <v>0</v>
      </c>
      <c r="X1007" s="10">
        <f>X$194</f>
        <v>0</v>
      </c>
      <c r="Y1007" s="10">
        <f>Y$194</f>
        <v>0</v>
      </c>
      <c r="AA1007" s="10">
        <f t="shared" ref="AA1007:BV1007" si="998">AA$194</f>
        <v>0</v>
      </c>
      <c r="AB1007" s="10">
        <f t="shared" si="998"/>
        <v>0</v>
      </c>
      <c r="AC1007" s="10">
        <f t="shared" si="998"/>
        <v>0</v>
      </c>
      <c r="AD1007" s="10">
        <f t="shared" si="998"/>
        <v>0</v>
      </c>
      <c r="AE1007" s="10">
        <f t="shared" si="998"/>
        <v>0</v>
      </c>
      <c r="AF1007" s="10">
        <f t="shared" si="998"/>
        <v>0</v>
      </c>
      <c r="AG1007" s="10">
        <f t="shared" si="998"/>
        <v>0</v>
      </c>
      <c r="AH1007" s="10">
        <f t="shared" si="998"/>
        <v>0</v>
      </c>
      <c r="AI1007" s="10">
        <f t="shared" si="998"/>
        <v>0</v>
      </c>
      <c r="AJ1007" s="10">
        <f t="shared" si="998"/>
        <v>0</v>
      </c>
      <c r="AK1007" s="10">
        <f t="shared" si="998"/>
        <v>0</v>
      </c>
      <c r="AL1007" s="10">
        <f t="shared" si="998"/>
        <v>0</v>
      </c>
      <c r="AM1007" s="10">
        <f t="shared" si="998"/>
        <v>0</v>
      </c>
      <c r="AN1007" s="10">
        <f t="shared" si="998"/>
        <v>0</v>
      </c>
      <c r="AO1007" s="10">
        <f t="shared" si="998"/>
        <v>0</v>
      </c>
      <c r="AP1007" s="10">
        <f t="shared" si="998"/>
        <v>0</v>
      </c>
      <c r="AQ1007" s="10">
        <f t="shared" si="998"/>
        <v>0</v>
      </c>
      <c r="AR1007" s="10">
        <f t="shared" si="998"/>
        <v>0</v>
      </c>
      <c r="AS1007" s="10">
        <f t="shared" si="998"/>
        <v>0</v>
      </c>
      <c r="AT1007" s="10">
        <f t="shared" si="998"/>
        <v>0</v>
      </c>
      <c r="AU1007" s="10">
        <f t="shared" si="998"/>
        <v>0</v>
      </c>
      <c r="AV1007" s="10">
        <f t="shared" si="998"/>
        <v>0</v>
      </c>
      <c r="AW1007" s="10">
        <f t="shared" si="998"/>
        <v>0</v>
      </c>
      <c r="AX1007" s="10">
        <f t="shared" si="998"/>
        <v>0</v>
      </c>
      <c r="AY1007" s="10">
        <f t="shared" si="998"/>
        <v>0</v>
      </c>
      <c r="AZ1007" s="10">
        <f t="shared" si="998"/>
        <v>0</v>
      </c>
      <c r="BA1007" s="10">
        <f t="shared" si="998"/>
        <v>0</v>
      </c>
      <c r="BB1007" s="10">
        <f t="shared" si="998"/>
        <v>0</v>
      </c>
      <c r="BC1007" s="10">
        <f t="shared" si="998"/>
        <v>0</v>
      </c>
      <c r="BD1007" s="10">
        <f t="shared" si="998"/>
        <v>0</v>
      </c>
      <c r="BE1007" s="10">
        <f t="shared" si="998"/>
        <v>0</v>
      </c>
      <c r="BF1007" s="10">
        <f t="shared" si="998"/>
        <v>0</v>
      </c>
      <c r="BG1007" s="10">
        <f t="shared" si="998"/>
        <v>0</v>
      </c>
      <c r="BH1007" s="10">
        <f t="shared" si="998"/>
        <v>0</v>
      </c>
      <c r="BI1007" s="10">
        <f t="shared" si="998"/>
        <v>0</v>
      </c>
      <c r="BJ1007" s="10">
        <f t="shared" si="998"/>
        <v>0</v>
      </c>
      <c r="BK1007" s="10">
        <f t="shared" si="998"/>
        <v>0</v>
      </c>
      <c r="BL1007" s="10">
        <f t="shared" si="998"/>
        <v>0</v>
      </c>
      <c r="BM1007" s="10">
        <f t="shared" si="998"/>
        <v>0</v>
      </c>
      <c r="BN1007" s="10">
        <f t="shared" si="998"/>
        <v>0</v>
      </c>
      <c r="BO1007" s="10">
        <f t="shared" si="998"/>
        <v>0</v>
      </c>
      <c r="BP1007" s="10">
        <f t="shared" si="998"/>
        <v>0</v>
      </c>
      <c r="BQ1007" s="10">
        <f t="shared" si="998"/>
        <v>0</v>
      </c>
      <c r="BR1007" s="10">
        <f t="shared" si="998"/>
        <v>0</v>
      </c>
      <c r="BS1007" s="10">
        <f t="shared" si="998"/>
        <v>0</v>
      </c>
      <c r="BT1007" s="10">
        <f t="shared" si="998"/>
        <v>0</v>
      </c>
      <c r="BU1007" s="10">
        <f t="shared" si="998"/>
        <v>0</v>
      </c>
      <c r="BV1007" s="10">
        <f t="shared" si="998"/>
        <v>0</v>
      </c>
      <c r="BX1007" s="10">
        <f t="shared" ref="BX1007:CI1007" si="999">BX$194</f>
        <v>0</v>
      </c>
      <c r="BY1007" s="10">
        <f t="shared" si="999"/>
        <v>0</v>
      </c>
      <c r="BZ1007" s="10">
        <f t="shared" si="999"/>
        <v>0</v>
      </c>
      <c r="CA1007" s="10">
        <f t="shared" si="999"/>
        <v>0</v>
      </c>
      <c r="CB1007" s="10">
        <f t="shared" si="999"/>
        <v>0</v>
      </c>
      <c r="CC1007" s="10">
        <f t="shared" si="999"/>
        <v>0</v>
      </c>
      <c r="CD1007" s="10">
        <f t="shared" si="999"/>
        <v>0</v>
      </c>
      <c r="CE1007" s="10">
        <f t="shared" si="999"/>
        <v>0</v>
      </c>
      <c r="CF1007" s="10">
        <f t="shared" si="999"/>
        <v>0</v>
      </c>
      <c r="CG1007" s="10">
        <f t="shared" si="999"/>
        <v>0</v>
      </c>
      <c r="CH1007" s="10">
        <f t="shared" si="999"/>
        <v>0</v>
      </c>
      <c r="CI1007" s="10">
        <f t="shared" si="999"/>
        <v>0</v>
      </c>
      <c r="CK1007" s="11"/>
      <c r="CM1007" s="11"/>
      <c r="DF1007" s="11"/>
      <c r="EY1007" s="10" t="str">
        <f t="shared" si="997"/>
        <v/>
      </c>
    </row>
    <row r="1008" spans="2:155" x14ac:dyDescent="0.35">
      <c r="B1008" s="69" t="str" cm="1">
        <f t="array" aca="1" ref="B1008" ca="1">HYPERLINK(CONCATENATE("#",CELL("address",$D$208)),$D$208)</f>
        <v>Loan 9</v>
      </c>
      <c r="C1008" s="211"/>
      <c r="D1008" s="49">
        <f>D$21</f>
        <v>0</v>
      </c>
      <c r="E1008" s="49" t="str">
        <f>F$21</f>
        <v/>
      </c>
      <c r="F1008" s="49"/>
      <c r="H1008" s="9"/>
      <c r="I1008" s="40" t="s">
        <v>665</v>
      </c>
      <c r="V1008" s="133">
        <f>V$213</f>
        <v>0</v>
      </c>
      <c r="W1008" s="10">
        <f>W$213</f>
        <v>0</v>
      </c>
      <c r="X1008" s="10">
        <f>X$213</f>
        <v>0</v>
      </c>
      <c r="Y1008" s="10">
        <f>Y$213</f>
        <v>0</v>
      </c>
      <c r="AA1008" s="10">
        <f t="shared" ref="AA1008:BV1008" si="1000">AA$213</f>
        <v>0</v>
      </c>
      <c r="AB1008" s="10">
        <f t="shared" si="1000"/>
        <v>0</v>
      </c>
      <c r="AC1008" s="10">
        <f t="shared" si="1000"/>
        <v>0</v>
      </c>
      <c r="AD1008" s="10">
        <f t="shared" si="1000"/>
        <v>0</v>
      </c>
      <c r="AE1008" s="10">
        <f t="shared" si="1000"/>
        <v>0</v>
      </c>
      <c r="AF1008" s="10">
        <f t="shared" si="1000"/>
        <v>0</v>
      </c>
      <c r="AG1008" s="10">
        <f t="shared" si="1000"/>
        <v>0</v>
      </c>
      <c r="AH1008" s="10">
        <f t="shared" si="1000"/>
        <v>0</v>
      </c>
      <c r="AI1008" s="10">
        <f t="shared" si="1000"/>
        <v>0</v>
      </c>
      <c r="AJ1008" s="10">
        <f t="shared" si="1000"/>
        <v>0</v>
      </c>
      <c r="AK1008" s="10">
        <f t="shared" si="1000"/>
        <v>0</v>
      </c>
      <c r="AL1008" s="10">
        <f t="shared" si="1000"/>
        <v>0</v>
      </c>
      <c r="AM1008" s="10">
        <f t="shared" si="1000"/>
        <v>0</v>
      </c>
      <c r="AN1008" s="10">
        <f t="shared" si="1000"/>
        <v>0</v>
      </c>
      <c r="AO1008" s="10">
        <f t="shared" si="1000"/>
        <v>0</v>
      </c>
      <c r="AP1008" s="10">
        <f t="shared" si="1000"/>
        <v>0</v>
      </c>
      <c r="AQ1008" s="10">
        <f t="shared" si="1000"/>
        <v>0</v>
      </c>
      <c r="AR1008" s="10">
        <f t="shared" si="1000"/>
        <v>0</v>
      </c>
      <c r="AS1008" s="10">
        <f t="shared" si="1000"/>
        <v>0</v>
      </c>
      <c r="AT1008" s="10">
        <f t="shared" si="1000"/>
        <v>0</v>
      </c>
      <c r="AU1008" s="10">
        <f t="shared" si="1000"/>
        <v>0</v>
      </c>
      <c r="AV1008" s="10">
        <f t="shared" si="1000"/>
        <v>0</v>
      </c>
      <c r="AW1008" s="10">
        <f t="shared" si="1000"/>
        <v>0</v>
      </c>
      <c r="AX1008" s="10">
        <f t="shared" si="1000"/>
        <v>0</v>
      </c>
      <c r="AY1008" s="10">
        <f t="shared" si="1000"/>
        <v>0</v>
      </c>
      <c r="AZ1008" s="10">
        <f t="shared" si="1000"/>
        <v>0</v>
      </c>
      <c r="BA1008" s="10">
        <f t="shared" si="1000"/>
        <v>0</v>
      </c>
      <c r="BB1008" s="10">
        <f t="shared" si="1000"/>
        <v>0</v>
      </c>
      <c r="BC1008" s="10">
        <f t="shared" si="1000"/>
        <v>0</v>
      </c>
      <c r="BD1008" s="10">
        <f t="shared" si="1000"/>
        <v>0</v>
      </c>
      <c r="BE1008" s="10">
        <f t="shared" si="1000"/>
        <v>0</v>
      </c>
      <c r="BF1008" s="10">
        <f t="shared" si="1000"/>
        <v>0</v>
      </c>
      <c r="BG1008" s="10">
        <f t="shared" si="1000"/>
        <v>0</v>
      </c>
      <c r="BH1008" s="10">
        <f t="shared" si="1000"/>
        <v>0</v>
      </c>
      <c r="BI1008" s="10">
        <f t="shared" si="1000"/>
        <v>0</v>
      </c>
      <c r="BJ1008" s="10">
        <f t="shared" si="1000"/>
        <v>0</v>
      </c>
      <c r="BK1008" s="10">
        <f t="shared" si="1000"/>
        <v>0</v>
      </c>
      <c r="BL1008" s="10">
        <f t="shared" si="1000"/>
        <v>0</v>
      </c>
      <c r="BM1008" s="10">
        <f t="shared" si="1000"/>
        <v>0</v>
      </c>
      <c r="BN1008" s="10">
        <f t="shared" si="1000"/>
        <v>0</v>
      </c>
      <c r="BO1008" s="10">
        <f t="shared" si="1000"/>
        <v>0</v>
      </c>
      <c r="BP1008" s="10">
        <f t="shared" si="1000"/>
        <v>0</v>
      </c>
      <c r="BQ1008" s="10">
        <f t="shared" si="1000"/>
        <v>0</v>
      </c>
      <c r="BR1008" s="10">
        <f t="shared" si="1000"/>
        <v>0</v>
      </c>
      <c r="BS1008" s="10">
        <f t="shared" si="1000"/>
        <v>0</v>
      </c>
      <c r="BT1008" s="10">
        <f t="shared" si="1000"/>
        <v>0</v>
      </c>
      <c r="BU1008" s="10">
        <f t="shared" si="1000"/>
        <v>0</v>
      </c>
      <c r="BV1008" s="10">
        <f t="shared" si="1000"/>
        <v>0</v>
      </c>
      <c r="BX1008" s="10">
        <f t="shared" ref="BX1008:CI1008" si="1001">BX$213</f>
        <v>0</v>
      </c>
      <c r="BY1008" s="10">
        <f t="shared" si="1001"/>
        <v>0</v>
      </c>
      <c r="BZ1008" s="10">
        <f t="shared" si="1001"/>
        <v>0</v>
      </c>
      <c r="CA1008" s="10">
        <f t="shared" si="1001"/>
        <v>0</v>
      </c>
      <c r="CB1008" s="10">
        <f t="shared" si="1001"/>
        <v>0</v>
      </c>
      <c r="CC1008" s="10">
        <f t="shared" si="1001"/>
        <v>0</v>
      </c>
      <c r="CD1008" s="10">
        <f t="shared" si="1001"/>
        <v>0</v>
      </c>
      <c r="CE1008" s="10">
        <f t="shared" si="1001"/>
        <v>0</v>
      </c>
      <c r="CF1008" s="10">
        <f t="shared" si="1001"/>
        <v>0</v>
      </c>
      <c r="CG1008" s="10">
        <f t="shared" si="1001"/>
        <v>0</v>
      </c>
      <c r="CH1008" s="10">
        <f t="shared" si="1001"/>
        <v>0</v>
      </c>
      <c r="CI1008" s="10">
        <f t="shared" si="1001"/>
        <v>0</v>
      </c>
      <c r="CK1008" s="11"/>
      <c r="CM1008" s="11"/>
      <c r="DF1008" s="11"/>
      <c r="EY1008" s="10" t="str">
        <f t="shared" si="997"/>
        <v/>
      </c>
    </row>
    <row r="1009" spans="1:155" x14ac:dyDescent="0.35">
      <c r="B1009" s="69" t="str" cm="1">
        <f t="array" aca="1" ref="B1009" ca="1">HYPERLINK(CONCATENATE("#",CELL("address",$D$227)),$D$227)</f>
        <v>Loan 10</v>
      </c>
      <c r="C1009" s="211"/>
      <c r="D1009" s="49">
        <f>D$22</f>
        <v>0</v>
      </c>
      <c r="E1009" s="49" t="str">
        <f>F$22</f>
        <v/>
      </c>
      <c r="F1009" s="49"/>
      <c r="H1009" s="9"/>
      <c r="I1009" s="40" t="s">
        <v>665</v>
      </c>
      <c r="V1009" s="133">
        <f>V$232</f>
        <v>0</v>
      </c>
      <c r="W1009" s="10">
        <f>W$232</f>
        <v>0</v>
      </c>
      <c r="X1009" s="10">
        <f>X$232</f>
        <v>0</v>
      </c>
      <c r="Y1009" s="10">
        <f>Y$232</f>
        <v>0</v>
      </c>
      <c r="AA1009" s="10">
        <f t="shared" ref="AA1009:BV1009" si="1002">AA$232</f>
        <v>0</v>
      </c>
      <c r="AB1009" s="10">
        <f t="shared" si="1002"/>
        <v>0</v>
      </c>
      <c r="AC1009" s="10">
        <f t="shared" si="1002"/>
        <v>0</v>
      </c>
      <c r="AD1009" s="10">
        <f t="shared" si="1002"/>
        <v>0</v>
      </c>
      <c r="AE1009" s="10">
        <f t="shared" si="1002"/>
        <v>0</v>
      </c>
      <c r="AF1009" s="10">
        <f t="shared" si="1002"/>
        <v>0</v>
      </c>
      <c r="AG1009" s="10">
        <f t="shared" si="1002"/>
        <v>0</v>
      </c>
      <c r="AH1009" s="10">
        <f t="shared" si="1002"/>
        <v>0</v>
      </c>
      <c r="AI1009" s="10">
        <f t="shared" si="1002"/>
        <v>0</v>
      </c>
      <c r="AJ1009" s="10">
        <f t="shared" si="1002"/>
        <v>0</v>
      </c>
      <c r="AK1009" s="10">
        <f t="shared" si="1002"/>
        <v>0</v>
      </c>
      <c r="AL1009" s="10">
        <f t="shared" si="1002"/>
        <v>0</v>
      </c>
      <c r="AM1009" s="10">
        <f t="shared" si="1002"/>
        <v>0</v>
      </c>
      <c r="AN1009" s="10">
        <f t="shared" si="1002"/>
        <v>0</v>
      </c>
      <c r="AO1009" s="10">
        <f t="shared" si="1002"/>
        <v>0</v>
      </c>
      <c r="AP1009" s="10">
        <f t="shared" si="1002"/>
        <v>0</v>
      </c>
      <c r="AQ1009" s="10">
        <f t="shared" si="1002"/>
        <v>0</v>
      </c>
      <c r="AR1009" s="10">
        <f t="shared" si="1002"/>
        <v>0</v>
      </c>
      <c r="AS1009" s="10">
        <f t="shared" si="1002"/>
        <v>0</v>
      </c>
      <c r="AT1009" s="10">
        <f t="shared" si="1002"/>
        <v>0</v>
      </c>
      <c r="AU1009" s="10">
        <f t="shared" si="1002"/>
        <v>0</v>
      </c>
      <c r="AV1009" s="10">
        <f t="shared" si="1002"/>
        <v>0</v>
      </c>
      <c r="AW1009" s="10">
        <f t="shared" si="1002"/>
        <v>0</v>
      </c>
      <c r="AX1009" s="10">
        <f t="shared" si="1002"/>
        <v>0</v>
      </c>
      <c r="AY1009" s="10">
        <f t="shared" si="1002"/>
        <v>0</v>
      </c>
      <c r="AZ1009" s="10">
        <f t="shared" si="1002"/>
        <v>0</v>
      </c>
      <c r="BA1009" s="10">
        <f t="shared" si="1002"/>
        <v>0</v>
      </c>
      <c r="BB1009" s="10">
        <f t="shared" si="1002"/>
        <v>0</v>
      </c>
      <c r="BC1009" s="10">
        <f t="shared" si="1002"/>
        <v>0</v>
      </c>
      <c r="BD1009" s="10">
        <f t="shared" si="1002"/>
        <v>0</v>
      </c>
      <c r="BE1009" s="10">
        <f t="shared" si="1002"/>
        <v>0</v>
      </c>
      <c r="BF1009" s="10">
        <f t="shared" si="1002"/>
        <v>0</v>
      </c>
      <c r="BG1009" s="10">
        <f t="shared" si="1002"/>
        <v>0</v>
      </c>
      <c r="BH1009" s="10">
        <f t="shared" si="1002"/>
        <v>0</v>
      </c>
      <c r="BI1009" s="10">
        <f t="shared" si="1002"/>
        <v>0</v>
      </c>
      <c r="BJ1009" s="10">
        <f t="shared" si="1002"/>
        <v>0</v>
      </c>
      <c r="BK1009" s="10">
        <f t="shared" si="1002"/>
        <v>0</v>
      </c>
      <c r="BL1009" s="10">
        <f t="shared" si="1002"/>
        <v>0</v>
      </c>
      <c r="BM1009" s="10">
        <f t="shared" si="1002"/>
        <v>0</v>
      </c>
      <c r="BN1009" s="10">
        <f t="shared" si="1002"/>
        <v>0</v>
      </c>
      <c r="BO1009" s="10">
        <f t="shared" si="1002"/>
        <v>0</v>
      </c>
      <c r="BP1009" s="10">
        <f t="shared" si="1002"/>
        <v>0</v>
      </c>
      <c r="BQ1009" s="10">
        <f t="shared" si="1002"/>
        <v>0</v>
      </c>
      <c r="BR1009" s="10">
        <f t="shared" si="1002"/>
        <v>0</v>
      </c>
      <c r="BS1009" s="10">
        <f t="shared" si="1002"/>
        <v>0</v>
      </c>
      <c r="BT1009" s="10">
        <f t="shared" si="1002"/>
        <v>0</v>
      </c>
      <c r="BU1009" s="10">
        <f t="shared" si="1002"/>
        <v>0</v>
      </c>
      <c r="BV1009" s="10">
        <f t="shared" si="1002"/>
        <v>0</v>
      </c>
      <c r="BX1009" s="10">
        <f t="shared" ref="BX1009:CI1009" si="1003">BX$232</f>
        <v>0</v>
      </c>
      <c r="BY1009" s="10">
        <f t="shared" si="1003"/>
        <v>0</v>
      </c>
      <c r="BZ1009" s="10">
        <f t="shared" si="1003"/>
        <v>0</v>
      </c>
      <c r="CA1009" s="10">
        <f t="shared" si="1003"/>
        <v>0</v>
      </c>
      <c r="CB1009" s="10">
        <f t="shared" si="1003"/>
        <v>0</v>
      </c>
      <c r="CC1009" s="10">
        <f t="shared" si="1003"/>
        <v>0</v>
      </c>
      <c r="CD1009" s="10">
        <f t="shared" si="1003"/>
        <v>0</v>
      </c>
      <c r="CE1009" s="10">
        <f t="shared" si="1003"/>
        <v>0</v>
      </c>
      <c r="CF1009" s="10">
        <f t="shared" si="1003"/>
        <v>0</v>
      </c>
      <c r="CG1009" s="10">
        <f t="shared" si="1003"/>
        <v>0</v>
      </c>
      <c r="CH1009" s="10">
        <f t="shared" si="1003"/>
        <v>0</v>
      </c>
      <c r="CI1009" s="10">
        <f t="shared" si="1003"/>
        <v>0</v>
      </c>
      <c r="CK1009" s="11"/>
      <c r="CM1009" s="11"/>
      <c r="DF1009" s="11"/>
      <c r="EY1009" s="10" t="str">
        <f t="shared" si="997"/>
        <v/>
      </c>
    </row>
    <row r="1010" spans="1:155" x14ac:dyDescent="0.35">
      <c r="B1010" s="69" t="str" cm="1">
        <f t="array" aca="1" ref="B1010" ca="1">HYPERLINK(CONCATENATE("#",CELL("address",$D$246)),$D$246)</f>
        <v>Loan 11</v>
      </c>
      <c r="C1010" s="211"/>
      <c r="D1010" s="49">
        <f>D$23</f>
        <v>0</v>
      </c>
      <c r="E1010" s="49" t="str">
        <f>F$23</f>
        <v/>
      </c>
      <c r="F1010" s="49"/>
      <c r="H1010" s="9"/>
      <c r="I1010" s="40" t="s">
        <v>665</v>
      </c>
      <c r="V1010" s="133">
        <f>V$251</f>
        <v>0</v>
      </c>
      <c r="W1010" s="10">
        <f>W$251</f>
        <v>0</v>
      </c>
      <c r="X1010" s="10">
        <f>X$251</f>
        <v>0</v>
      </c>
      <c r="Y1010" s="10">
        <f>Y$251</f>
        <v>0</v>
      </c>
      <c r="AA1010" s="10">
        <f t="shared" ref="AA1010:BV1010" si="1004">AA$251</f>
        <v>0</v>
      </c>
      <c r="AB1010" s="10">
        <f t="shared" si="1004"/>
        <v>0</v>
      </c>
      <c r="AC1010" s="10">
        <f t="shared" si="1004"/>
        <v>0</v>
      </c>
      <c r="AD1010" s="10">
        <f t="shared" si="1004"/>
        <v>0</v>
      </c>
      <c r="AE1010" s="10">
        <f t="shared" si="1004"/>
        <v>0</v>
      </c>
      <c r="AF1010" s="10">
        <f t="shared" si="1004"/>
        <v>0</v>
      </c>
      <c r="AG1010" s="10">
        <f t="shared" si="1004"/>
        <v>0</v>
      </c>
      <c r="AH1010" s="10">
        <f t="shared" si="1004"/>
        <v>0</v>
      </c>
      <c r="AI1010" s="10">
        <f t="shared" si="1004"/>
        <v>0</v>
      </c>
      <c r="AJ1010" s="10">
        <f t="shared" si="1004"/>
        <v>0</v>
      </c>
      <c r="AK1010" s="10">
        <f t="shared" si="1004"/>
        <v>0</v>
      </c>
      <c r="AL1010" s="10">
        <f t="shared" si="1004"/>
        <v>0</v>
      </c>
      <c r="AM1010" s="10">
        <f t="shared" si="1004"/>
        <v>0</v>
      </c>
      <c r="AN1010" s="10">
        <f t="shared" si="1004"/>
        <v>0</v>
      </c>
      <c r="AO1010" s="10">
        <f t="shared" si="1004"/>
        <v>0</v>
      </c>
      <c r="AP1010" s="10">
        <f t="shared" si="1004"/>
        <v>0</v>
      </c>
      <c r="AQ1010" s="10">
        <f t="shared" si="1004"/>
        <v>0</v>
      </c>
      <c r="AR1010" s="10">
        <f t="shared" si="1004"/>
        <v>0</v>
      </c>
      <c r="AS1010" s="10">
        <f t="shared" si="1004"/>
        <v>0</v>
      </c>
      <c r="AT1010" s="10">
        <f t="shared" si="1004"/>
        <v>0</v>
      </c>
      <c r="AU1010" s="10">
        <f t="shared" si="1004"/>
        <v>0</v>
      </c>
      <c r="AV1010" s="10">
        <f t="shared" si="1004"/>
        <v>0</v>
      </c>
      <c r="AW1010" s="10">
        <f t="shared" si="1004"/>
        <v>0</v>
      </c>
      <c r="AX1010" s="10">
        <f t="shared" si="1004"/>
        <v>0</v>
      </c>
      <c r="AY1010" s="10">
        <f t="shared" si="1004"/>
        <v>0</v>
      </c>
      <c r="AZ1010" s="10">
        <f t="shared" si="1004"/>
        <v>0</v>
      </c>
      <c r="BA1010" s="10">
        <f t="shared" si="1004"/>
        <v>0</v>
      </c>
      <c r="BB1010" s="10">
        <f t="shared" si="1004"/>
        <v>0</v>
      </c>
      <c r="BC1010" s="10">
        <f t="shared" si="1004"/>
        <v>0</v>
      </c>
      <c r="BD1010" s="10">
        <f t="shared" si="1004"/>
        <v>0</v>
      </c>
      <c r="BE1010" s="10">
        <f t="shared" si="1004"/>
        <v>0</v>
      </c>
      <c r="BF1010" s="10">
        <f t="shared" si="1004"/>
        <v>0</v>
      </c>
      <c r="BG1010" s="10">
        <f t="shared" si="1004"/>
        <v>0</v>
      </c>
      <c r="BH1010" s="10">
        <f t="shared" si="1004"/>
        <v>0</v>
      </c>
      <c r="BI1010" s="10">
        <f t="shared" si="1004"/>
        <v>0</v>
      </c>
      <c r="BJ1010" s="10">
        <f t="shared" si="1004"/>
        <v>0</v>
      </c>
      <c r="BK1010" s="10">
        <f t="shared" si="1004"/>
        <v>0</v>
      </c>
      <c r="BL1010" s="10">
        <f t="shared" si="1004"/>
        <v>0</v>
      </c>
      <c r="BM1010" s="10">
        <f t="shared" si="1004"/>
        <v>0</v>
      </c>
      <c r="BN1010" s="10">
        <f t="shared" si="1004"/>
        <v>0</v>
      </c>
      <c r="BO1010" s="10">
        <f t="shared" si="1004"/>
        <v>0</v>
      </c>
      <c r="BP1010" s="10">
        <f t="shared" si="1004"/>
        <v>0</v>
      </c>
      <c r="BQ1010" s="10">
        <f t="shared" si="1004"/>
        <v>0</v>
      </c>
      <c r="BR1010" s="10">
        <f t="shared" si="1004"/>
        <v>0</v>
      </c>
      <c r="BS1010" s="10">
        <f t="shared" si="1004"/>
        <v>0</v>
      </c>
      <c r="BT1010" s="10">
        <f t="shared" si="1004"/>
        <v>0</v>
      </c>
      <c r="BU1010" s="10">
        <f t="shared" si="1004"/>
        <v>0</v>
      </c>
      <c r="BV1010" s="10">
        <f t="shared" si="1004"/>
        <v>0</v>
      </c>
      <c r="BX1010" s="10">
        <f t="shared" ref="BX1010:CI1010" si="1005">BX$251</f>
        <v>0</v>
      </c>
      <c r="BY1010" s="10">
        <f t="shared" si="1005"/>
        <v>0</v>
      </c>
      <c r="BZ1010" s="10">
        <f t="shared" si="1005"/>
        <v>0</v>
      </c>
      <c r="CA1010" s="10">
        <f t="shared" si="1005"/>
        <v>0</v>
      </c>
      <c r="CB1010" s="10">
        <f t="shared" si="1005"/>
        <v>0</v>
      </c>
      <c r="CC1010" s="10">
        <f t="shared" si="1005"/>
        <v>0</v>
      </c>
      <c r="CD1010" s="10">
        <f t="shared" si="1005"/>
        <v>0</v>
      </c>
      <c r="CE1010" s="10">
        <f t="shared" si="1005"/>
        <v>0</v>
      </c>
      <c r="CF1010" s="10">
        <f t="shared" si="1005"/>
        <v>0</v>
      </c>
      <c r="CG1010" s="10">
        <f t="shared" si="1005"/>
        <v>0</v>
      </c>
      <c r="CH1010" s="10">
        <f t="shared" si="1005"/>
        <v>0</v>
      </c>
      <c r="CI1010" s="10">
        <f t="shared" si="1005"/>
        <v>0</v>
      </c>
      <c r="CK1010" s="11"/>
      <c r="CM1010" s="11"/>
      <c r="DF1010" s="11"/>
      <c r="EY1010" s="10" t="str">
        <f t="shared" si="997"/>
        <v/>
      </c>
    </row>
    <row r="1011" spans="1:155" x14ac:dyDescent="0.35">
      <c r="B1011" s="69" t="str" cm="1">
        <f t="array" aca="1" ref="B1011" ca="1">HYPERLINK(CONCATENATE("#",CELL("address",$D$265)),$D$265)</f>
        <v>Loan 12</v>
      </c>
      <c r="C1011" s="211"/>
      <c r="D1011" s="49">
        <f>D$24</f>
        <v>0</v>
      </c>
      <c r="E1011" s="49" t="str">
        <f>F$24</f>
        <v/>
      </c>
      <c r="F1011" s="49"/>
      <c r="H1011" s="9"/>
      <c r="I1011" s="40" t="s">
        <v>665</v>
      </c>
      <c r="V1011" s="133">
        <f>V$270</f>
        <v>0</v>
      </c>
      <c r="W1011" s="10">
        <f>W$270</f>
        <v>0</v>
      </c>
      <c r="X1011" s="10">
        <f>X$270</f>
        <v>0</v>
      </c>
      <c r="Y1011" s="10">
        <f>Y$270</f>
        <v>0</v>
      </c>
      <c r="AA1011" s="10">
        <f t="shared" ref="AA1011:BV1011" si="1006">AA$270</f>
        <v>0</v>
      </c>
      <c r="AB1011" s="10">
        <f t="shared" si="1006"/>
        <v>0</v>
      </c>
      <c r="AC1011" s="10">
        <f t="shared" si="1006"/>
        <v>0</v>
      </c>
      <c r="AD1011" s="10">
        <f t="shared" si="1006"/>
        <v>0</v>
      </c>
      <c r="AE1011" s="10">
        <f t="shared" si="1006"/>
        <v>0</v>
      </c>
      <c r="AF1011" s="10">
        <f t="shared" si="1006"/>
        <v>0</v>
      </c>
      <c r="AG1011" s="10">
        <f t="shared" si="1006"/>
        <v>0</v>
      </c>
      <c r="AH1011" s="10">
        <f t="shared" si="1006"/>
        <v>0</v>
      </c>
      <c r="AI1011" s="10">
        <f t="shared" si="1006"/>
        <v>0</v>
      </c>
      <c r="AJ1011" s="10">
        <f t="shared" si="1006"/>
        <v>0</v>
      </c>
      <c r="AK1011" s="10">
        <f t="shared" si="1006"/>
        <v>0</v>
      </c>
      <c r="AL1011" s="10">
        <f t="shared" si="1006"/>
        <v>0</v>
      </c>
      <c r="AM1011" s="10">
        <f t="shared" si="1006"/>
        <v>0</v>
      </c>
      <c r="AN1011" s="10">
        <f t="shared" si="1006"/>
        <v>0</v>
      </c>
      <c r="AO1011" s="10">
        <f t="shared" si="1006"/>
        <v>0</v>
      </c>
      <c r="AP1011" s="10">
        <f t="shared" si="1006"/>
        <v>0</v>
      </c>
      <c r="AQ1011" s="10">
        <f t="shared" si="1006"/>
        <v>0</v>
      </c>
      <c r="AR1011" s="10">
        <f t="shared" si="1006"/>
        <v>0</v>
      </c>
      <c r="AS1011" s="10">
        <f t="shared" si="1006"/>
        <v>0</v>
      </c>
      <c r="AT1011" s="10">
        <f t="shared" si="1006"/>
        <v>0</v>
      </c>
      <c r="AU1011" s="10">
        <f t="shared" si="1006"/>
        <v>0</v>
      </c>
      <c r="AV1011" s="10">
        <f t="shared" si="1006"/>
        <v>0</v>
      </c>
      <c r="AW1011" s="10">
        <f t="shared" si="1006"/>
        <v>0</v>
      </c>
      <c r="AX1011" s="10">
        <f t="shared" si="1006"/>
        <v>0</v>
      </c>
      <c r="AY1011" s="10">
        <f t="shared" si="1006"/>
        <v>0</v>
      </c>
      <c r="AZ1011" s="10">
        <f t="shared" si="1006"/>
        <v>0</v>
      </c>
      <c r="BA1011" s="10">
        <f t="shared" si="1006"/>
        <v>0</v>
      </c>
      <c r="BB1011" s="10">
        <f t="shared" si="1006"/>
        <v>0</v>
      </c>
      <c r="BC1011" s="10">
        <f t="shared" si="1006"/>
        <v>0</v>
      </c>
      <c r="BD1011" s="10">
        <f t="shared" si="1006"/>
        <v>0</v>
      </c>
      <c r="BE1011" s="10">
        <f t="shared" si="1006"/>
        <v>0</v>
      </c>
      <c r="BF1011" s="10">
        <f t="shared" si="1006"/>
        <v>0</v>
      </c>
      <c r="BG1011" s="10">
        <f t="shared" si="1006"/>
        <v>0</v>
      </c>
      <c r="BH1011" s="10">
        <f t="shared" si="1006"/>
        <v>0</v>
      </c>
      <c r="BI1011" s="10">
        <f t="shared" si="1006"/>
        <v>0</v>
      </c>
      <c r="BJ1011" s="10">
        <f t="shared" si="1006"/>
        <v>0</v>
      </c>
      <c r="BK1011" s="10">
        <f t="shared" si="1006"/>
        <v>0</v>
      </c>
      <c r="BL1011" s="10">
        <f t="shared" si="1006"/>
        <v>0</v>
      </c>
      <c r="BM1011" s="10">
        <f t="shared" si="1006"/>
        <v>0</v>
      </c>
      <c r="BN1011" s="10">
        <f t="shared" si="1006"/>
        <v>0</v>
      </c>
      <c r="BO1011" s="10">
        <f t="shared" si="1006"/>
        <v>0</v>
      </c>
      <c r="BP1011" s="10">
        <f t="shared" si="1006"/>
        <v>0</v>
      </c>
      <c r="BQ1011" s="10">
        <f t="shared" si="1006"/>
        <v>0</v>
      </c>
      <c r="BR1011" s="10">
        <f t="shared" si="1006"/>
        <v>0</v>
      </c>
      <c r="BS1011" s="10">
        <f t="shared" si="1006"/>
        <v>0</v>
      </c>
      <c r="BT1011" s="10">
        <f t="shared" si="1006"/>
        <v>0</v>
      </c>
      <c r="BU1011" s="10">
        <f t="shared" si="1006"/>
        <v>0</v>
      </c>
      <c r="BV1011" s="10">
        <f t="shared" si="1006"/>
        <v>0</v>
      </c>
      <c r="BX1011" s="10">
        <f t="shared" ref="BX1011:CI1011" si="1007">BX$270</f>
        <v>0</v>
      </c>
      <c r="BY1011" s="10">
        <f t="shared" si="1007"/>
        <v>0</v>
      </c>
      <c r="BZ1011" s="10">
        <f t="shared" si="1007"/>
        <v>0</v>
      </c>
      <c r="CA1011" s="10">
        <f t="shared" si="1007"/>
        <v>0</v>
      </c>
      <c r="CB1011" s="10">
        <f t="shared" si="1007"/>
        <v>0</v>
      </c>
      <c r="CC1011" s="10">
        <f t="shared" si="1007"/>
        <v>0</v>
      </c>
      <c r="CD1011" s="10">
        <f t="shared" si="1007"/>
        <v>0</v>
      </c>
      <c r="CE1011" s="10">
        <f t="shared" si="1007"/>
        <v>0</v>
      </c>
      <c r="CF1011" s="10">
        <f t="shared" si="1007"/>
        <v>0</v>
      </c>
      <c r="CG1011" s="10">
        <f t="shared" si="1007"/>
        <v>0</v>
      </c>
      <c r="CH1011" s="10">
        <f t="shared" si="1007"/>
        <v>0</v>
      </c>
      <c r="CI1011" s="10">
        <f t="shared" si="1007"/>
        <v>0</v>
      </c>
      <c r="CK1011" s="11"/>
      <c r="CM1011" s="11"/>
      <c r="DF1011" s="11"/>
      <c r="EY1011" s="10" t="str">
        <f t="shared" si="997"/>
        <v/>
      </c>
    </row>
    <row r="1012" spans="1:155" x14ac:dyDescent="0.35">
      <c r="B1012" s="69" t="str" cm="1">
        <f t="array" aca="1" ref="B1012" ca="1">HYPERLINK(CONCATENATE("#",CELL("address",$D$284)),$D$284)</f>
        <v>Loan 13</v>
      </c>
      <c r="C1012" s="211"/>
      <c r="D1012" s="49">
        <f>D$25</f>
        <v>0</v>
      </c>
      <c r="E1012" s="49" t="str">
        <f>F$25</f>
        <v/>
      </c>
      <c r="F1012" s="49"/>
      <c r="H1012" s="9"/>
      <c r="I1012" s="40" t="s">
        <v>665</v>
      </c>
      <c r="V1012" s="133">
        <f>V$289</f>
        <v>0</v>
      </c>
      <c r="W1012" s="10">
        <f>W$289</f>
        <v>0</v>
      </c>
      <c r="X1012" s="10">
        <f>X$289</f>
        <v>0</v>
      </c>
      <c r="Y1012" s="10">
        <f>Y$289</f>
        <v>0</v>
      </c>
      <c r="AA1012" s="10">
        <f t="shared" ref="AA1012:BV1012" si="1008">AA$289</f>
        <v>0</v>
      </c>
      <c r="AB1012" s="10">
        <f t="shared" si="1008"/>
        <v>0</v>
      </c>
      <c r="AC1012" s="10">
        <f t="shared" si="1008"/>
        <v>0</v>
      </c>
      <c r="AD1012" s="10">
        <f t="shared" si="1008"/>
        <v>0</v>
      </c>
      <c r="AE1012" s="10">
        <f t="shared" si="1008"/>
        <v>0</v>
      </c>
      <c r="AF1012" s="10">
        <f t="shared" si="1008"/>
        <v>0</v>
      </c>
      <c r="AG1012" s="10">
        <f t="shared" si="1008"/>
        <v>0</v>
      </c>
      <c r="AH1012" s="10">
        <f t="shared" si="1008"/>
        <v>0</v>
      </c>
      <c r="AI1012" s="10">
        <f t="shared" si="1008"/>
        <v>0</v>
      </c>
      <c r="AJ1012" s="10">
        <f t="shared" si="1008"/>
        <v>0</v>
      </c>
      <c r="AK1012" s="10">
        <f t="shared" si="1008"/>
        <v>0</v>
      </c>
      <c r="AL1012" s="10">
        <f t="shared" si="1008"/>
        <v>0</v>
      </c>
      <c r="AM1012" s="10">
        <f t="shared" si="1008"/>
        <v>0</v>
      </c>
      <c r="AN1012" s="10">
        <f t="shared" si="1008"/>
        <v>0</v>
      </c>
      <c r="AO1012" s="10">
        <f t="shared" si="1008"/>
        <v>0</v>
      </c>
      <c r="AP1012" s="10">
        <f t="shared" si="1008"/>
        <v>0</v>
      </c>
      <c r="AQ1012" s="10">
        <f t="shared" si="1008"/>
        <v>0</v>
      </c>
      <c r="AR1012" s="10">
        <f t="shared" si="1008"/>
        <v>0</v>
      </c>
      <c r="AS1012" s="10">
        <f t="shared" si="1008"/>
        <v>0</v>
      </c>
      <c r="AT1012" s="10">
        <f t="shared" si="1008"/>
        <v>0</v>
      </c>
      <c r="AU1012" s="10">
        <f t="shared" si="1008"/>
        <v>0</v>
      </c>
      <c r="AV1012" s="10">
        <f t="shared" si="1008"/>
        <v>0</v>
      </c>
      <c r="AW1012" s="10">
        <f t="shared" si="1008"/>
        <v>0</v>
      </c>
      <c r="AX1012" s="10">
        <f t="shared" si="1008"/>
        <v>0</v>
      </c>
      <c r="AY1012" s="10">
        <f t="shared" si="1008"/>
        <v>0</v>
      </c>
      <c r="AZ1012" s="10">
        <f t="shared" si="1008"/>
        <v>0</v>
      </c>
      <c r="BA1012" s="10">
        <f t="shared" si="1008"/>
        <v>0</v>
      </c>
      <c r="BB1012" s="10">
        <f t="shared" si="1008"/>
        <v>0</v>
      </c>
      <c r="BC1012" s="10">
        <f t="shared" si="1008"/>
        <v>0</v>
      </c>
      <c r="BD1012" s="10">
        <f t="shared" si="1008"/>
        <v>0</v>
      </c>
      <c r="BE1012" s="10">
        <f t="shared" si="1008"/>
        <v>0</v>
      </c>
      <c r="BF1012" s="10">
        <f t="shared" si="1008"/>
        <v>0</v>
      </c>
      <c r="BG1012" s="10">
        <f t="shared" si="1008"/>
        <v>0</v>
      </c>
      <c r="BH1012" s="10">
        <f t="shared" si="1008"/>
        <v>0</v>
      </c>
      <c r="BI1012" s="10">
        <f t="shared" si="1008"/>
        <v>0</v>
      </c>
      <c r="BJ1012" s="10">
        <f t="shared" si="1008"/>
        <v>0</v>
      </c>
      <c r="BK1012" s="10">
        <f t="shared" si="1008"/>
        <v>0</v>
      </c>
      <c r="BL1012" s="10">
        <f t="shared" si="1008"/>
        <v>0</v>
      </c>
      <c r="BM1012" s="10">
        <f t="shared" si="1008"/>
        <v>0</v>
      </c>
      <c r="BN1012" s="10">
        <f t="shared" si="1008"/>
        <v>0</v>
      </c>
      <c r="BO1012" s="10">
        <f t="shared" si="1008"/>
        <v>0</v>
      </c>
      <c r="BP1012" s="10">
        <f t="shared" si="1008"/>
        <v>0</v>
      </c>
      <c r="BQ1012" s="10">
        <f t="shared" si="1008"/>
        <v>0</v>
      </c>
      <c r="BR1012" s="10">
        <f t="shared" si="1008"/>
        <v>0</v>
      </c>
      <c r="BS1012" s="10">
        <f t="shared" si="1008"/>
        <v>0</v>
      </c>
      <c r="BT1012" s="10">
        <f t="shared" si="1008"/>
        <v>0</v>
      </c>
      <c r="BU1012" s="10">
        <f t="shared" si="1008"/>
        <v>0</v>
      </c>
      <c r="BV1012" s="10">
        <f t="shared" si="1008"/>
        <v>0</v>
      </c>
      <c r="BX1012" s="10">
        <f t="shared" ref="BX1012:CI1012" si="1009">BX$289</f>
        <v>0</v>
      </c>
      <c r="BY1012" s="10">
        <f t="shared" si="1009"/>
        <v>0</v>
      </c>
      <c r="BZ1012" s="10">
        <f t="shared" si="1009"/>
        <v>0</v>
      </c>
      <c r="CA1012" s="10">
        <f t="shared" si="1009"/>
        <v>0</v>
      </c>
      <c r="CB1012" s="10">
        <f t="shared" si="1009"/>
        <v>0</v>
      </c>
      <c r="CC1012" s="10">
        <f t="shared" si="1009"/>
        <v>0</v>
      </c>
      <c r="CD1012" s="10">
        <f t="shared" si="1009"/>
        <v>0</v>
      </c>
      <c r="CE1012" s="10">
        <f t="shared" si="1009"/>
        <v>0</v>
      </c>
      <c r="CF1012" s="10">
        <f t="shared" si="1009"/>
        <v>0</v>
      </c>
      <c r="CG1012" s="10">
        <f t="shared" si="1009"/>
        <v>0</v>
      </c>
      <c r="CH1012" s="10">
        <f t="shared" si="1009"/>
        <v>0</v>
      </c>
      <c r="CI1012" s="10">
        <f t="shared" si="1009"/>
        <v>0</v>
      </c>
      <c r="CK1012" s="11"/>
      <c r="CM1012" s="11"/>
      <c r="DF1012" s="11"/>
      <c r="EY1012" s="10" t="str">
        <f t="shared" si="997"/>
        <v/>
      </c>
    </row>
    <row r="1013" spans="1:155" s="5" customFormat="1" x14ac:dyDescent="0.35">
      <c r="A1013"/>
      <c r="B1013" s="69" t="str" cm="1">
        <f t="array" aca="1" ref="B1013" ca="1">HYPERLINK(CONCATENATE("#",CELL("address",$D$303)),$D$303)</f>
        <v>Loan 14</v>
      </c>
      <c r="C1013" s="211"/>
      <c r="D1013" s="49">
        <f>D$26</f>
        <v>0</v>
      </c>
      <c r="E1013" s="49" t="str">
        <f>F$26</f>
        <v/>
      </c>
      <c r="F1013" s="49"/>
      <c r="G1013"/>
      <c r="H1013" s="9"/>
      <c r="I1013" s="40" t="s">
        <v>665</v>
      </c>
      <c r="J1013"/>
      <c r="K1013"/>
      <c r="L1013"/>
      <c r="M1013"/>
      <c r="N1013"/>
      <c r="O1013"/>
      <c r="P1013"/>
      <c r="Q1013"/>
      <c r="R1013"/>
      <c r="S1013"/>
      <c r="T1013"/>
      <c r="U1013"/>
      <c r="V1013" s="133">
        <f>V$308</f>
        <v>0</v>
      </c>
      <c r="W1013" s="10">
        <f>W$308</f>
        <v>0</v>
      </c>
      <c r="X1013" s="10">
        <f>X$308</f>
        <v>0</v>
      </c>
      <c r="Y1013" s="10">
        <f>Y$308</f>
        <v>0</v>
      </c>
      <c r="Z1013"/>
      <c r="AA1013" s="10">
        <f t="shared" ref="AA1013:BV1013" si="1010">AA$308</f>
        <v>0</v>
      </c>
      <c r="AB1013" s="10">
        <f t="shared" si="1010"/>
        <v>0</v>
      </c>
      <c r="AC1013" s="10">
        <f t="shared" si="1010"/>
        <v>0</v>
      </c>
      <c r="AD1013" s="10">
        <f t="shared" si="1010"/>
        <v>0</v>
      </c>
      <c r="AE1013" s="10">
        <f t="shared" si="1010"/>
        <v>0</v>
      </c>
      <c r="AF1013" s="10">
        <f t="shared" si="1010"/>
        <v>0</v>
      </c>
      <c r="AG1013" s="10">
        <f t="shared" si="1010"/>
        <v>0</v>
      </c>
      <c r="AH1013" s="10">
        <f t="shared" si="1010"/>
        <v>0</v>
      </c>
      <c r="AI1013" s="10">
        <f t="shared" si="1010"/>
        <v>0</v>
      </c>
      <c r="AJ1013" s="10">
        <f t="shared" si="1010"/>
        <v>0</v>
      </c>
      <c r="AK1013" s="10">
        <f t="shared" si="1010"/>
        <v>0</v>
      </c>
      <c r="AL1013" s="10">
        <f t="shared" si="1010"/>
        <v>0</v>
      </c>
      <c r="AM1013" s="10">
        <f t="shared" si="1010"/>
        <v>0</v>
      </c>
      <c r="AN1013" s="10">
        <f t="shared" si="1010"/>
        <v>0</v>
      </c>
      <c r="AO1013" s="10">
        <f t="shared" si="1010"/>
        <v>0</v>
      </c>
      <c r="AP1013" s="10">
        <f t="shared" si="1010"/>
        <v>0</v>
      </c>
      <c r="AQ1013" s="10">
        <f t="shared" si="1010"/>
        <v>0</v>
      </c>
      <c r="AR1013" s="10">
        <f t="shared" si="1010"/>
        <v>0</v>
      </c>
      <c r="AS1013" s="10">
        <f t="shared" si="1010"/>
        <v>0</v>
      </c>
      <c r="AT1013" s="10">
        <f t="shared" si="1010"/>
        <v>0</v>
      </c>
      <c r="AU1013" s="10">
        <f t="shared" si="1010"/>
        <v>0</v>
      </c>
      <c r="AV1013" s="10">
        <f t="shared" si="1010"/>
        <v>0</v>
      </c>
      <c r="AW1013" s="10">
        <f t="shared" si="1010"/>
        <v>0</v>
      </c>
      <c r="AX1013" s="10">
        <f t="shared" si="1010"/>
        <v>0</v>
      </c>
      <c r="AY1013" s="10">
        <f t="shared" si="1010"/>
        <v>0</v>
      </c>
      <c r="AZ1013" s="10">
        <f t="shared" si="1010"/>
        <v>0</v>
      </c>
      <c r="BA1013" s="10">
        <f t="shared" si="1010"/>
        <v>0</v>
      </c>
      <c r="BB1013" s="10">
        <f t="shared" si="1010"/>
        <v>0</v>
      </c>
      <c r="BC1013" s="10">
        <f t="shared" si="1010"/>
        <v>0</v>
      </c>
      <c r="BD1013" s="10">
        <f t="shared" si="1010"/>
        <v>0</v>
      </c>
      <c r="BE1013" s="10">
        <f t="shared" si="1010"/>
        <v>0</v>
      </c>
      <c r="BF1013" s="10">
        <f t="shared" si="1010"/>
        <v>0</v>
      </c>
      <c r="BG1013" s="10">
        <f t="shared" si="1010"/>
        <v>0</v>
      </c>
      <c r="BH1013" s="10">
        <f t="shared" si="1010"/>
        <v>0</v>
      </c>
      <c r="BI1013" s="10">
        <f t="shared" si="1010"/>
        <v>0</v>
      </c>
      <c r="BJ1013" s="10">
        <f t="shared" si="1010"/>
        <v>0</v>
      </c>
      <c r="BK1013" s="10">
        <f t="shared" si="1010"/>
        <v>0</v>
      </c>
      <c r="BL1013" s="10">
        <f t="shared" si="1010"/>
        <v>0</v>
      </c>
      <c r="BM1013" s="10">
        <f t="shared" si="1010"/>
        <v>0</v>
      </c>
      <c r="BN1013" s="10">
        <f t="shared" si="1010"/>
        <v>0</v>
      </c>
      <c r="BO1013" s="10">
        <f t="shared" si="1010"/>
        <v>0</v>
      </c>
      <c r="BP1013" s="10">
        <f t="shared" si="1010"/>
        <v>0</v>
      </c>
      <c r="BQ1013" s="10">
        <f t="shared" si="1010"/>
        <v>0</v>
      </c>
      <c r="BR1013" s="10">
        <f t="shared" si="1010"/>
        <v>0</v>
      </c>
      <c r="BS1013" s="10">
        <f t="shared" si="1010"/>
        <v>0</v>
      </c>
      <c r="BT1013" s="10">
        <f t="shared" si="1010"/>
        <v>0</v>
      </c>
      <c r="BU1013" s="10">
        <f t="shared" si="1010"/>
        <v>0</v>
      </c>
      <c r="BV1013" s="10">
        <f t="shared" si="1010"/>
        <v>0</v>
      </c>
      <c r="BW1013"/>
      <c r="BX1013" s="10">
        <f t="shared" ref="BX1013:CI1013" si="1011">BX$308</f>
        <v>0</v>
      </c>
      <c r="BY1013" s="10">
        <f t="shared" si="1011"/>
        <v>0</v>
      </c>
      <c r="BZ1013" s="10">
        <f t="shared" si="1011"/>
        <v>0</v>
      </c>
      <c r="CA1013" s="10">
        <f t="shared" si="1011"/>
        <v>0</v>
      </c>
      <c r="CB1013" s="10">
        <f t="shared" si="1011"/>
        <v>0</v>
      </c>
      <c r="CC1013" s="10">
        <f t="shared" si="1011"/>
        <v>0</v>
      </c>
      <c r="CD1013" s="10">
        <f t="shared" si="1011"/>
        <v>0</v>
      </c>
      <c r="CE1013" s="10">
        <f t="shared" si="1011"/>
        <v>0</v>
      </c>
      <c r="CF1013" s="10">
        <f t="shared" si="1011"/>
        <v>0</v>
      </c>
      <c r="CG1013" s="10">
        <f t="shared" si="1011"/>
        <v>0</v>
      </c>
      <c r="CH1013" s="10">
        <f t="shared" si="1011"/>
        <v>0</v>
      </c>
      <c r="CI1013" s="10">
        <f t="shared" si="1011"/>
        <v>0</v>
      </c>
      <c r="CJ1013"/>
      <c r="CK1013" s="11"/>
      <c r="CL1013"/>
      <c r="CM1013" s="11"/>
      <c r="CN1013"/>
      <c r="CO1013"/>
      <c r="CP1013"/>
      <c r="CQ1013"/>
      <c r="CR1013"/>
      <c r="CS1013"/>
      <c r="CT1013"/>
      <c r="CU1013"/>
      <c r="CV1013"/>
      <c r="CW1013"/>
      <c r="CX1013"/>
      <c r="CY1013"/>
      <c r="CZ1013"/>
      <c r="DA1013"/>
      <c r="DB1013"/>
      <c r="DC1013"/>
      <c r="DD1013"/>
      <c r="DE1013"/>
      <c r="DF1013" s="11"/>
      <c r="EY1013" s="10" t="str">
        <f t="shared" si="997"/>
        <v/>
      </c>
    </row>
    <row r="1014" spans="1:155" x14ac:dyDescent="0.35">
      <c r="B1014" s="69" t="str" cm="1">
        <f t="array" aca="1" ref="B1014" ca="1">HYPERLINK(CONCATENATE("#",CELL("address",$D$322)),$D$322)</f>
        <v>Loan 15</v>
      </c>
      <c r="C1014" s="211"/>
      <c r="D1014" s="49">
        <f>D$27</f>
        <v>0</v>
      </c>
      <c r="E1014" s="49" t="str">
        <f>F$27</f>
        <v/>
      </c>
      <c r="F1014" s="49"/>
      <c r="H1014" s="9"/>
      <c r="I1014" s="40" t="s">
        <v>665</v>
      </c>
      <c r="V1014" s="133">
        <f>V$327</f>
        <v>0</v>
      </c>
      <c r="W1014" s="10">
        <f>W$327</f>
        <v>0</v>
      </c>
      <c r="X1014" s="10">
        <f>X$327</f>
        <v>0</v>
      </c>
      <c r="Y1014" s="10">
        <f>Y$327</f>
        <v>0</v>
      </c>
      <c r="AA1014" s="10">
        <f t="shared" ref="AA1014:BV1014" si="1012">AA$327</f>
        <v>0</v>
      </c>
      <c r="AB1014" s="10">
        <f t="shared" si="1012"/>
        <v>0</v>
      </c>
      <c r="AC1014" s="10">
        <f t="shared" si="1012"/>
        <v>0</v>
      </c>
      <c r="AD1014" s="10">
        <f t="shared" si="1012"/>
        <v>0</v>
      </c>
      <c r="AE1014" s="10">
        <f t="shared" si="1012"/>
        <v>0</v>
      </c>
      <c r="AF1014" s="10">
        <f t="shared" si="1012"/>
        <v>0</v>
      </c>
      <c r="AG1014" s="10">
        <f t="shared" si="1012"/>
        <v>0</v>
      </c>
      <c r="AH1014" s="10">
        <f t="shared" si="1012"/>
        <v>0</v>
      </c>
      <c r="AI1014" s="10">
        <f t="shared" si="1012"/>
        <v>0</v>
      </c>
      <c r="AJ1014" s="10">
        <f t="shared" si="1012"/>
        <v>0</v>
      </c>
      <c r="AK1014" s="10">
        <f t="shared" si="1012"/>
        <v>0</v>
      </c>
      <c r="AL1014" s="10">
        <f t="shared" si="1012"/>
        <v>0</v>
      </c>
      <c r="AM1014" s="10">
        <f t="shared" si="1012"/>
        <v>0</v>
      </c>
      <c r="AN1014" s="10">
        <f t="shared" si="1012"/>
        <v>0</v>
      </c>
      <c r="AO1014" s="10">
        <f t="shared" si="1012"/>
        <v>0</v>
      </c>
      <c r="AP1014" s="10">
        <f t="shared" si="1012"/>
        <v>0</v>
      </c>
      <c r="AQ1014" s="10">
        <f t="shared" si="1012"/>
        <v>0</v>
      </c>
      <c r="AR1014" s="10">
        <f t="shared" si="1012"/>
        <v>0</v>
      </c>
      <c r="AS1014" s="10">
        <f t="shared" si="1012"/>
        <v>0</v>
      </c>
      <c r="AT1014" s="10">
        <f t="shared" si="1012"/>
        <v>0</v>
      </c>
      <c r="AU1014" s="10">
        <f t="shared" si="1012"/>
        <v>0</v>
      </c>
      <c r="AV1014" s="10">
        <f t="shared" si="1012"/>
        <v>0</v>
      </c>
      <c r="AW1014" s="10">
        <f t="shared" si="1012"/>
        <v>0</v>
      </c>
      <c r="AX1014" s="10">
        <f t="shared" si="1012"/>
        <v>0</v>
      </c>
      <c r="AY1014" s="10">
        <f t="shared" si="1012"/>
        <v>0</v>
      </c>
      <c r="AZ1014" s="10">
        <f t="shared" si="1012"/>
        <v>0</v>
      </c>
      <c r="BA1014" s="10">
        <f t="shared" si="1012"/>
        <v>0</v>
      </c>
      <c r="BB1014" s="10">
        <f t="shared" si="1012"/>
        <v>0</v>
      </c>
      <c r="BC1014" s="10">
        <f t="shared" si="1012"/>
        <v>0</v>
      </c>
      <c r="BD1014" s="10">
        <f t="shared" si="1012"/>
        <v>0</v>
      </c>
      <c r="BE1014" s="10">
        <f t="shared" si="1012"/>
        <v>0</v>
      </c>
      <c r="BF1014" s="10">
        <f t="shared" si="1012"/>
        <v>0</v>
      </c>
      <c r="BG1014" s="10">
        <f t="shared" si="1012"/>
        <v>0</v>
      </c>
      <c r="BH1014" s="10">
        <f t="shared" si="1012"/>
        <v>0</v>
      </c>
      <c r="BI1014" s="10">
        <f t="shared" si="1012"/>
        <v>0</v>
      </c>
      <c r="BJ1014" s="10">
        <f t="shared" si="1012"/>
        <v>0</v>
      </c>
      <c r="BK1014" s="10">
        <f t="shared" si="1012"/>
        <v>0</v>
      </c>
      <c r="BL1014" s="10">
        <f t="shared" si="1012"/>
        <v>0</v>
      </c>
      <c r="BM1014" s="10">
        <f t="shared" si="1012"/>
        <v>0</v>
      </c>
      <c r="BN1014" s="10">
        <f t="shared" si="1012"/>
        <v>0</v>
      </c>
      <c r="BO1014" s="10">
        <f t="shared" si="1012"/>
        <v>0</v>
      </c>
      <c r="BP1014" s="10">
        <f t="shared" si="1012"/>
        <v>0</v>
      </c>
      <c r="BQ1014" s="10">
        <f t="shared" si="1012"/>
        <v>0</v>
      </c>
      <c r="BR1014" s="10">
        <f t="shared" si="1012"/>
        <v>0</v>
      </c>
      <c r="BS1014" s="10">
        <f t="shared" si="1012"/>
        <v>0</v>
      </c>
      <c r="BT1014" s="10">
        <f t="shared" si="1012"/>
        <v>0</v>
      </c>
      <c r="BU1014" s="10">
        <f t="shared" si="1012"/>
        <v>0</v>
      </c>
      <c r="BV1014" s="10">
        <f t="shared" si="1012"/>
        <v>0</v>
      </c>
      <c r="BX1014" s="10">
        <f t="shared" ref="BX1014:CI1014" si="1013">BX$327</f>
        <v>0</v>
      </c>
      <c r="BY1014" s="10">
        <f t="shared" si="1013"/>
        <v>0</v>
      </c>
      <c r="BZ1014" s="10">
        <f t="shared" si="1013"/>
        <v>0</v>
      </c>
      <c r="CA1014" s="10">
        <f t="shared" si="1013"/>
        <v>0</v>
      </c>
      <c r="CB1014" s="10">
        <f t="shared" si="1013"/>
        <v>0</v>
      </c>
      <c r="CC1014" s="10">
        <f t="shared" si="1013"/>
        <v>0</v>
      </c>
      <c r="CD1014" s="10">
        <f t="shared" si="1013"/>
        <v>0</v>
      </c>
      <c r="CE1014" s="10">
        <f t="shared" si="1013"/>
        <v>0</v>
      </c>
      <c r="CF1014" s="10">
        <f t="shared" si="1013"/>
        <v>0</v>
      </c>
      <c r="CG1014" s="10">
        <f t="shared" si="1013"/>
        <v>0</v>
      </c>
      <c r="CH1014" s="10">
        <f t="shared" si="1013"/>
        <v>0</v>
      </c>
      <c r="CI1014" s="10">
        <f t="shared" si="1013"/>
        <v>0</v>
      </c>
      <c r="CK1014" s="11"/>
      <c r="CM1014" s="11"/>
      <c r="DF1014" s="11"/>
      <c r="EY1014" s="10" t="str">
        <f t="shared" si="997"/>
        <v/>
      </c>
    </row>
    <row r="1015" spans="1:155" x14ac:dyDescent="0.35">
      <c r="B1015" s="69" t="str" cm="1">
        <f t="array" aca="1" ref="B1015" ca="1">HYPERLINK(CONCATENATE("#",CELL("address",$D$341)),$D$341)</f>
        <v>Loan 16</v>
      </c>
      <c r="C1015" s="211"/>
      <c r="D1015" s="49">
        <f>D$28</f>
        <v>0</v>
      </c>
      <c r="E1015" s="49" t="str">
        <f>F$28</f>
        <v/>
      </c>
      <c r="F1015" s="49"/>
      <c r="H1015" s="9"/>
      <c r="I1015" s="40" t="s">
        <v>665</v>
      </c>
      <c r="V1015" s="133">
        <f>V$346</f>
        <v>0</v>
      </c>
      <c r="W1015" s="10">
        <f>W$346</f>
        <v>0</v>
      </c>
      <c r="X1015" s="10">
        <f>X$346</f>
        <v>0</v>
      </c>
      <c r="Y1015" s="10">
        <f>Y$346</f>
        <v>0</v>
      </c>
      <c r="AA1015" s="10">
        <f t="shared" ref="AA1015:BV1015" si="1014">AA$346</f>
        <v>0</v>
      </c>
      <c r="AB1015" s="10">
        <f t="shared" si="1014"/>
        <v>0</v>
      </c>
      <c r="AC1015" s="10">
        <f t="shared" si="1014"/>
        <v>0</v>
      </c>
      <c r="AD1015" s="10">
        <f t="shared" si="1014"/>
        <v>0</v>
      </c>
      <c r="AE1015" s="10">
        <f t="shared" si="1014"/>
        <v>0</v>
      </c>
      <c r="AF1015" s="10">
        <f t="shared" si="1014"/>
        <v>0</v>
      </c>
      <c r="AG1015" s="10">
        <f t="shared" si="1014"/>
        <v>0</v>
      </c>
      <c r="AH1015" s="10">
        <f t="shared" si="1014"/>
        <v>0</v>
      </c>
      <c r="AI1015" s="10">
        <f t="shared" si="1014"/>
        <v>0</v>
      </c>
      <c r="AJ1015" s="10">
        <f t="shared" si="1014"/>
        <v>0</v>
      </c>
      <c r="AK1015" s="10">
        <f t="shared" si="1014"/>
        <v>0</v>
      </c>
      <c r="AL1015" s="10">
        <f t="shared" si="1014"/>
        <v>0</v>
      </c>
      <c r="AM1015" s="10">
        <f t="shared" si="1014"/>
        <v>0</v>
      </c>
      <c r="AN1015" s="10">
        <f t="shared" si="1014"/>
        <v>0</v>
      </c>
      <c r="AO1015" s="10">
        <f t="shared" si="1014"/>
        <v>0</v>
      </c>
      <c r="AP1015" s="10">
        <f t="shared" si="1014"/>
        <v>0</v>
      </c>
      <c r="AQ1015" s="10">
        <f t="shared" si="1014"/>
        <v>0</v>
      </c>
      <c r="AR1015" s="10">
        <f t="shared" si="1014"/>
        <v>0</v>
      </c>
      <c r="AS1015" s="10">
        <f t="shared" si="1014"/>
        <v>0</v>
      </c>
      <c r="AT1015" s="10">
        <f t="shared" si="1014"/>
        <v>0</v>
      </c>
      <c r="AU1015" s="10">
        <f t="shared" si="1014"/>
        <v>0</v>
      </c>
      <c r="AV1015" s="10">
        <f t="shared" si="1014"/>
        <v>0</v>
      </c>
      <c r="AW1015" s="10">
        <f t="shared" si="1014"/>
        <v>0</v>
      </c>
      <c r="AX1015" s="10">
        <f t="shared" si="1014"/>
        <v>0</v>
      </c>
      <c r="AY1015" s="10">
        <f t="shared" si="1014"/>
        <v>0</v>
      </c>
      <c r="AZ1015" s="10">
        <f t="shared" si="1014"/>
        <v>0</v>
      </c>
      <c r="BA1015" s="10">
        <f t="shared" si="1014"/>
        <v>0</v>
      </c>
      <c r="BB1015" s="10">
        <f t="shared" si="1014"/>
        <v>0</v>
      </c>
      <c r="BC1015" s="10">
        <f t="shared" si="1014"/>
        <v>0</v>
      </c>
      <c r="BD1015" s="10">
        <f t="shared" si="1014"/>
        <v>0</v>
      </c>
      <c r="BE1015" s="10">
        <f t="shared" si="1014"/>
        <v>0</v>
      </c>
      <c r="BF1015" s="10">
        <f t="shared" si="1014"/>
        <v>0</v>
      </c>
      <c r="BG1015" s="10">
        <f t="shared" si="1014"/>
        <v>0</v>
      </c>
      <c r="BH1015" s="10">
        <f t="shared" si="1014"/>
        <v>0</v>
      </c>
      <c r="BI1015" s="10">
        <f t="shared" si="1014"/>
        <v>0</v>
      </c>
      <c r="BJ1015" s="10">
        <f t="shared" si="1014"/>
        <v>0</v>
      </c>
      <c r="BK1015" s="10">
        <f t="shared" si="1014"/>
        <v>0</v>
      </c>
      <c r="BL1015" s="10">
        <f t="shared" si="1014"/>
        <v>0</v>
      </c>
      <c r="BM1015" s="10">
        <f t="shared" si="1014"/>
        <v>0</v>
      </c>
      <c r="BN1015" s="10">
        <f t="shared" si="1014"/>
        <v>0</v>
      </c>
      <c r="BO1015" s="10">
        <f t="shared" si="1014"/>
        <v>0</v>
      </c>
      <c r="BP1015" s="10">
        <f t="shared" si="1014"/>
        <v>0</v>
      </c>
      <c r="BQ1015" s="10">
        <f t="shared" si="1014"/>
        <v>0</v>
      </c>
      <c r="BR1015" s="10">
        <f t="shared" si="1014"/>
        <v>0</v>
      </c>
      <c r="BS1015" s="10">
        <f t="shared" si="1014"/>
        <v>0</v>
      </c>
      <c r="BT1015" s="10">
        <f t="shared" si="1014"/>
        <v>0</v>
      </c>
      <c r="BU1015" s="10">
        <f t="shared" si="1014"/>
        <v>0</v>
      </c>
      <c r="BV1015" s="10">
        <f t="shared" si="1014"/>
        <v>0</v>
      </c>
      <c r="BX1015" s="10">
        <f t="shared" ref="BX1015:CI1015" si="1015">BX$346</f>
        <v>0</v>
      </c>
      <c r="BY1015" s="10">
        <f t="shared" si="1015"/>
        <v>0</v>
      </c>
      <c r="BZ1015" s="10">
        <f t="shared" si="1015"/>
        <v>0</v>
      </c>
      <c r="CA1015" s="10">
        <f t="shared" si="1015"/>
        <v>0</v>
      </c>
      <c r="CB1015" s="10">
        <f t="shared" si="1015"/>
        <v>0</v>
      </c>
      <c r="CC1015" s="10">
        <f t="shared" si="1015"/>
        <v>0</v>
      </c>
      <c r="CD1015" s="10">
        <f t="shared" si="1015"/>
        <v>0</v>
      </c>
      <c r="CE1015" s="10">
        <f t="shared" si="1015"/>
        <v>0</v>
      </c>
      <c r="CF1015" s="10">
        <f t="shared" si="1015"/>
        <v>0</v>
      </c>
      <c r="CG1015" s="10">
        <f t="shared" si="1015"/>
        <v>0</v>
      </c>
      <c r="CH1015" s="10">
        <f t="shared" si="1015"/>
        <v>0</v>
      </c>
      <c r="CI1015" s="10">
        <f t="shared" si="1015"/>
        <v>0</v>
      </c>
      <c r="CK1015" s="11"/>
      <c r="CM1015" s="11"/>
      <c r="DF1015" s="11"/>
      <c r="EY1015" s="10" t="str">
        <f t="shared" si="997"/>
        <v/>
      </c>
    </row>
    <row r="1016" spans="1:155" x14ac:dyDescent="0.35">
      <c r="B1016" s="69" t="str" cm="1">
        <f t="array" aca="1" ref="B1016" ca="1">HYPERLINK(CONCATENATE("#",CELL("address",$D$360)),$D$360)</f>
        <v>Loan 17</v>
      </c>
      <c r="C1016" s="211"/>
      <c r="D1016" s="49">
        <f>D$29</f>
        <v>0</v>
      </c>
      <c r="E1016" s="49" t="str">
        <f>F$29</f>
        <v/>
      </c>
      <c r="F1016" s="49"/>
      <c r="H1016" s="9"/>
      <c r="I1016" s="40" t="s">
        <v>665</v>
      </c>
      <c r="V1016" s="133">
        <f>V$365</f>
        <v>0</v>
      </c>
      <c r="W1016" s="10">
        <f>W$365</f>
        <v>0</v>
      </c>
      <c r="X1016" s="10">
        <f>X$365</f>
        <v>0</v>
      </c>
      <c r="Y1016" s="10">
        <f>Y$365</f>
        <v>0</v>
      </c>
      <c r="AA1016" s="10">
        <f t="shared" ref="AA1016:BV1016" si="1016">AA$365</f>
        <v>0</v>
      </c>
      <c r="AB1016" s="10">
        <f t="shared" si="1016"/>
        <v>0</v>
      </c>
      <c r="AC1016" s="10">
        <f t="shared" si="1016"/>
        <v>0</v>
      </c>
      <c r="AD1016" s="10">
        <f t="shared" si="1016"/>
        <v>0</v>
      </c>
      <c r="AE1016" s="10">
        <f t="shared" si="1016"/>
        <v>0</v>
      </c>
      <c r="AF1016" s="10">
        <f t="shared" si="1016"/>
        <v>0</v>
      </c>
      <c r="AG1016" s="10">
        <f t="shared" si="1016"/>
        <v>0</v>
      </c>
      <c r="AH1016" s="10">
        <f t="shared" si="1016"/>
        <v>0</v>
      </c>
      <c r="AI1016" s="10">
        <f t="shared" si="1016"/>
        <v>0</v>
      </c>
      <c r="AJ1016" s="10">
        <f t="shared" si="1016"/>
        <v>0</v>
      </c>
      <c r="AK1016" s="10">
        <f t="shared" si="1016"/>
        <v>0</v>
      </c>
      <c r="AL1016" s="10">
        <f t="shared" si="1016"/>
        <v>0</v>
      </c>
      <c r="AM1016" s="10">
        <f t="shared" si="1016"/>
        <v>0</v>
      </c>
      <c r="AN1016" s="10">
        <f t="shared" si="1016"/>
        <v>0</v>
      </c>
      <c r="AO1016" s="10">
        <f t="shared" si="1016"/>
        <v>0</v>
      </c>
      <c r="AP1016" s="10">
        <f t="shared" si="1016"/>
        <v>0</v>
      </c>
      <c r="AQ1016" s="10">
        <f t="shared" si="1016"/>
        <v>0</v>
      </c>
      <c r="AR1016" s="10">
        <f t="shared" si="1016"/>
        <v>0</v>
      </c>
      <c r="AS1016" s="10">
        <f t="shared" si="1016"/>
        <v>0</v>
      </c>
      <c r="AT1016" s="10">
        <f t="shared" si="1016"/>
        <v>0</v>
      </c>
      <c r="AU1016" s="10">
        <f t="shared" si="1016"/>
        <v>0</v>
      </c>
      <c r="AV1016" s="10">
        <f t="shared" si="1016"/>
        <v>0</v>
      </c>
      <c r="AW1016" s="10">
        <f t="shared" si="1016"/>
        <v>0</v>
      </c>
      <c r="AX1016" s="10">
        <f t="shared" si="1016"/>
        <v>0</v>
      </c>
      <c r="AY1016" s="10">
        <f t="shared" si="1016"/>
        <v>0</v>
      </c>
      <c r="AZ1016" s="10">
        <f t="shared" si="1016"/>
        <v>0</v>
      </c>
      <c r="BA1016" s="10">
        <f t="shared" si="1016"/>
        <v>0</v>
      </c>
      <c r="BB1016" s="10">
        <f t="shared" si="1016"/>
        <v>0</v>
      </c>
      <c r="BC1016" s="10">
        <f t="shared" si="1016"/>
        <v>0</v>
      </c>
      <c r="BD1016" s="10">
        <f t="shared" si="1016"/>
        <v>0</v>
      </c>
      <c r="BE1016" s="10">
        <f t="shared" si="1016"/>
        <v>0</v>
      </c>
      <c r="BF1016" s="10">
        <f t="shared" si="1016"/>
        <v>0</v>
      </c>
      <c r="BG1016" s="10">
        <f t="shared" si="1016"/>
        <v>0</v>
      </c>
      <c r="BH1016" s="10">
        <f t="shared" si="1016"/>
        <v>0</v>
      </c>
      <c r="BI1016" s="10">
        <f t="shared" si="1016"/>
        <v>0</v>
      </c>
      <c r="BJ1016" s="10">
        <f t="shared" si="1016"/>
        <v>0</v>
      </c>
      <c r="BK1016" s="10">
        <f t="shared" si="1016"/>
        <v>0</v>
      </c>
      <c r="BL1016" s="10">
        <f t="shared" si="1016"/>
        <v>0</v>
      </c>
      <c r="BM1016" s="10">
        <f t="shared" si="1016"/>
        <v>0</v>
      </c>
      <c r="BN1016" s="10">
        <f t="shared" si="1016"/>
        <v>0</v>
      </c>
      <c r="BO1016" s="10">
        <f t="shared" si="1016"/>
        <v>0</v>
      </c>
      <c r="BP1016" s="10">
        <f t="shared" si="1016"/>
        <v>0</v>
      </c>
      <c r="BQ1016" s="10">
        <f t="shared" si="1016"/>
        <v>0</v>
      </c>
      <c r="BR1016" s="10">
        <f t="shared" si="1016"/>
        <v>0</v>
      </c>
      <c r="BS1016" s="10">
        <f t="shared" si="1016"/>
        <v>0</v>
      </c>
      <c r="BT1016" s="10">
        <f t="shared" si="1016"/>
        <v>0</v>
      </c>
      <c r="BU1016" s="10">
        <f t="shared" si="1016"/>
        <v>0</v>
      </c>
      <c r="BV1016" s="10">
        <f t="shared" si="1016"/>
        <v>0</v>
      </c>
      <c r="BX1016" s="10">
        <f t="shared" ref="BX1016:CI1016" si="1017">BX$365</f>
        <v>0</v>
      </c>
      <c r="BY1016" s="10">
        <f t="shared" si="1017"/>
        <v>0</v>
      </c>
      <c r="BZ1016" s="10">
        <f t="shared" si="1017"/>
        <v>0</v>
      </c>
      <c r="CA1016" s="10">
        <f t="shared" si="1017"/>
        <v>0</v>
      </c>
      <c r="CB1016" s="10">
        <f t="shared" si="1017"/>
        <v>0</v>
      </c>
      <c r="CC1016" s="10">
        <f t="shared" si="1017"/>
        <v>0</v>
      </c>
      <c r="CD1016" s="10">
        <f t="shared" si="1017"/>
        <v>0</v>
      </c>
      <c r="CE1016" s="10">
        <f t="shared" si="1017"/>
        <v>0</v>
      </c>
      <c r="CF1016" s="10">
        <f t="shared" si="1017"/>
        <v>0</v>
      </c>
      <c r="CG1016" s="10">
        <f t="shared" si="1017"/>
        <v>0</v>
      </c>
      <c r="CH1016" s="10">
        <f t="shared" si="1017"/>
        <v>0</v>
      </c>
      <c r="CI1016" s="10">
        <f t="shared" si="1017"/>
        <v>0</v>
      </c>
      <c r="CK1016" s="11"/>
      <c r="CM1016" s="11"/>
      <c r="DF1016" s="11"/>
      <c r="EY1016" s="10" t="str">
        <f t="shared" si="997"/>
        <v/>
      </c>
    </row>
    <row r="1017" spans="1:155" x14ac:dyDescent="0.35">
      <c r="B1017" s="69" t="str" cm="1">
        <f t="array" aca="1" ref="B1017" ca="1">HYPERLINK(CONCATENATE("#",CELL("address",$D$379)),$D$379)</f>
        <v>Loan 18</v>
      </c>
      <c r="C1017" s="211"/>
      <c r="D1017" s="49">
        <f>D$30</f>
        <v>0</v>
      </c>
      <c r="E1017" s="49" t="str">
        <f>F$30</f>
        <v/>
      </c>
      <c r="F1017" s="49"/>
      <c r="H1017" s="9"/>
      <c r="I1017" s="40" t="s">
        <v>665</v>
      </c>
      <c r="V1017" s="133">
        <f>V$384</f>
        <v>0</v>
      </c>
      <c r="W1017" s="10">
        <f>W$384</f>
        <v>0</v>
      </c>
      <c r="X1017" s="10">
        <f>X$384</f>
        <v>0</v>
      </c>
      <c r="Y1017" s="10">
        <f>Y$384</f>
        <v>0</v>
      </c>
      <c r="AA1017" s="10">
        <f t="shared" ref="AA1017:BV1017" si="1018">AA$384</f>
        <v>0</v>
      </c>
      <c r="AB1017" s="10">
        <f t="shared" si="1018"/>
        <v>0</v>
      </c>
      <c r="AC1017" s="10">
        <f t="shared" si="1018"/>
        <v>0</v>
      </c>
      <c r="AD1017" s="10">
        <f t="shared" si="1018"/>
        <v>0</v>
      </c>
      <c r="AE1017" s="10">
        <f t="shared" si="1018"/>
        <v>0</v>
      </c>
      <c r="AF1017" s="10">
        <f t="shared" si="1018"/>
        <v>0</v>
      </c>
      <c r="AG1017" s="10">
        <f t="shared" si="1018"/>
        <v>0</v>
      </c>
      <c r="AH1017" s="10">
        <f t="shared" si="1018"/>
        <v>0</v>
      </c>
      <c r="AI1017" s="10">
        <f t="shared" si="1018"/>
        <v>0</v>
      </c>
      <c r="AJ1017" s="10">
        <f t="shared" si="1018"/>
        <v>0</v>
      </c>
      <c r="AK1017" s="10">
        <f t="shared" si="1018"/>
        <v>0</v>
      </c>
      <c r="AL1017" s="10">
        <f t="shared" si="1018"/>
        <v>0</v>
      </c>
      <c r="AM1017" s="10">
        <f t="shared" si="1018"/>
        <v>0</v>
      </c>
      <c r="AN1017" s="10">
        <f t="shared" si="1018"/>
        <v>0</v>
      </c>
      <c r="AO1017" s="10">
        <f t="shared" si="1018"/>
        <v>0</v>
      </c>
      <c r="AP1017" s="10">
        <f t="shared" si="1018"/>
        <v>0</v>
      </c>
      <c r="AQ1017" s="10">
        <f t="shared" si="1018"/>
        <v>0</v>
      </c>
      <c r="AR1017" s="10">
        <f t="shared" si="1018"/>
        <v>0</v>
      </c>
      <c r="AS1017" s="10">
        <f t="shared" si="1018"/>
        <v>0</v>
      </c>
      <c r="AT1017" s="10">
        <f t="shared" si="1018"/>
        <v>0</v>
      </c>
      <c r="AU1017" s="10">
        <f t="shared" si="1018"/>
        <v>0</v>
      </c>
      <c r="AV1017" s="10">
        <f t="shared" si="1018"/>
        <v>0</v>
      </c>
      <c r="AW1017" s="10">
        <f t="shared" si="1018"/>
        <v>0</v>
      </c>
      <c r="AX1017" s="10">
        <f t="shared" si="1018"/>
        <v>0</v>
      </c>
      <c r="AY1017" s="10">
        <f t="shared" si="1018"/>
        <v>0</v>
      </c>
      <c r="AZ1017" s="10">
        <f t="shared" si="1018"/>
        <v>0</v>
      </c>
      <c r="BA1017" s="10">
        <f t="shared" si="1018"/>
        <v>0</v>
      </c>
      <c r="BB1017" s="10">
        <f t="shared" si="1018"/>
        <v>0</v>
      </c>
      <c r="BC1017" s="10">
        <f t="shared" si="1018"/>
        <v>0</v>
      </c>
      <c r="BD1017" s="10">
        <f t="shared" si="1018"/>
        <v>0</v>
      </c>
      <c r="BE1017" s="10">
        <f t="shared" si="1018"/>
        <v>0</v>
      </c>
      <c r="BF1017" s="10">
        <f t="shared" si="1018"/>
        <v>0</v>
      </c>
      <c r="BG1017" s="10">
        <f t="shared" si="1018"/>
        <v>0</v>
      </c>
      <c r="BH1017" s="10">
        <f t="shared" si="1018"/>
        <v>0</v>
      </c>
      <c r="BI1017" s="10">
        <f t="shared" si="1018"/>
        <v>0</v>
      </c>
      <c r="BJ1017" s="10">
        <f t="shared" si="1018"/>
        <v>0</v>
      </c>
      <c r="BK1017" s="10">
        <f t="shared" si="1018"/>
        <v>0</v>
      </c>
      <c r="BL1017" s="10">
        <f t="shared" si="1018"/>
        <v>0</v>
      </c>
      <c r="BM1017" s="10">
        <f t="shared" si="1018"/>
        <v>0</v>
      </c>
      <c r="BN1017" s="10">
        <f t="shared" si="1018"/>
        <v>0</v>
      </c>
      <c r="BO1017" s="10">
        <f t="shared" si="1018"/>
        <v>0</v>
      </c>
      <c r="BP1017" s="10">
        <f t="shared" si="1018"/>
        <v>0</v>
      </c>
      <c r="BQ1017" s="10">
        <f t="shared" si="1018"/>
        <v>0</v>
      </c>
      <c r="BR1017" s="10">
        <f t="shared" si="1018"/>
        <v>0</v>
      </c>
      <c r="BS1017" s="10">
        <f t="shared" si="1018"/>
        <v>0</v>
      </c>
      <c r="BT1017" s="10">
        <f t="shared" si="1018"/>
        <v>0</v>
      </c>
      <c r="BU1017" s="10">
        <f t="shared" si="1018"/>
        <v>0</v>
      </c>
      <c r="BV1017" s="10">
        <f t="shared" si="1018"/>
        <v>0</v>
      </c>
      <c r="BX1017" s="10">
        <f t="shared" ref="BX1017:CI1017" si="1019">BX$384</f>
        <v>0</v>
      </c>
      <c r="BY1017" s="10">
        <f t="shared" si="1019"/>
        <v>0</v>
      </c>
      <c r="BZ1017" s="10">
        <f t="shared" si="1019"/>
        <v>0</v>
      </c>
      <c r="CA1017" s="10">
        <f t="shared" si="1019"/>
        <v>0</v>
      </c>
      <c r="CB1017" s="10">
        <f t="shared" si="1019"/>
        <v>0</v>
      </c>
      <c r="CC1017" s="10">
        <f t="shared" si="1019"/>
        <v>0</v>
      </c>
      <c r="CD1017" s="10">
        <f t="shared" si="1019"/>
        <v>0</v>
      </c>
      <c r="CE1017" s="10">
        <f t="shared" si="1019"/>
        <v>0</v>
      </c>
      <c r="CF1017" s="10">
        <f t="shared" si="1019"/>
        <v>0</v>
      </c>
      <c r="CG1017" s="10">
        <f t="shared" si="1019"/>
        <v>0</v>
      </c>
      <c r="CH1017" s="10">
        <f t="shared" si="1019"/>
        <v>0</v>
      </c>
      <c r="CI1017" s="10">
        <f t="shared" si="1019"/>
        <v>0</v>
      </c>
      <c r="CK1017" s="11"/>
      <c r="CM1017" s="11"/>
      <c r="DF1017" s="11"/>
      <c r="EY1017" s="10" t="str">
        <f t="shared" si="997"/>
        <v/>
      </c>
    </row>
    <row r="1018" spans="1:155" x14ac:dyDescent="0.35">
      <c r="B1018" s="69" t="str" cm="1">
        <f t="array" aca="1" ref="B1018" ca="1">HYPERLINK(CONCATENATE("#",CELL("address",$D$398)),$D$398)</f>
        <v>Loan 19</v>
      </c>
      <c r="C1018" s="211"/>
      <c r="D1018" s="49">
        <f>D$31</f>
        <v>0</v>
      </c>
      <c r="E1018" s="49" t="str">
        <f>F$31</f>
        <v/>
      </c>
      <c r="F1018" s="49"/>
      <c r="H1018" s="9"/>
      <c r="I1018" s="40" t="s">
        <v>665</v>
      </c>
      <c r="V1018" s="133">
        <f>V$403</f>
        <v>0</v>
      </c>
      <c r="W1018" s="10">
        <f>W$403</f>
        <v>0</v>
      </c>
      <c r="X1018" s="10">
        <f>X$403</f>
        <v>0</v>
      </c>
      <c r="Y1018" s="10">
        <f>Y$403</f>
        <v>0</v>
      </c>
      <c r="AA1018" s="10">
        <f t="shared" ref="AA1018:BV1018" si="1020">AA$403</f>
        <v>0</v>
      </c>
      <c r="AB1018" s="10">
        <f t="shared" si="1020"/>
        <v>0</v>
      </c>
      <c r="AC1018" s="10">
        <f t="shared" si="1020"/>
        <v>0</v>
      </c>
      <c r="AD1018" s="10">
        <f t="shared" si="1020"/>
        <v>0</v>
      </c>
      <c r="AE1018" s="10">
        <f t="shared" si="1020"/>
        <v>0</v>
      </c>
      <c r="AF1018" s="10">
        <f t="shared" si="1020"/>
        <v>0</v>
      </c>
      <c r="AG1018" s="10">
        <f t="shared" si="1020"/>
        <v>0</v>
      </c>
      <c r="AH1018" s="10">
        <f t="shared" si="1020"/>
        <v>0</v>
      </c>
      <c r="AI1018" s="10">
        <f t="shared" si="1020"/>
        <v>0</v>
      </c>
      <c r="AJ1018" s="10">
        <f t="shared" si="1020"/>
        <v>0</v>
      </c>
      <c r="AK1018" s="10">
        <f t="shared" si="1020"/>
        <v>0</v>
      </c>
      <c r="AL1018" s="10">
        <f t="shared" si="1020"/>
        <v>0</v>
      </c>
      <c r="AM1018" s="10">
        <f t="shared" si="1020"/>
        <v>0</v>
      </c>
      <c r="AN1018" s="10">
        <f t="shared" si="1020"/>
        <v>0</v>
      </c>
      <c r="AO1018" s="10">
        <f t="shared" si="1020"/>
        <v>0</v>
      </c>
      <c r="AP1018" s="10">
        <f t="shared" si="1020"/>
        <v>0</v>
      </c>
      <c r="AQ1018" s="10">
        <f t="shared" si="1020"/>
        <v>0</v>
      </c>
      <c r="AR1018" s="10">
        <f t="shared" si="1020"/>
        <v>0</v>
      </c>
      <c r="AS1018" s="10">
        <f t="shared" si="1020"/>
        <v>0</v>
      </c>
      <c r="AT1018" s="10">
        <f t="shared" si="1020"/>
        <v>0</v>
      </c>
      <c r="AU1018" s="10">
        <f t="shared" si="1020"/>
        <v>0</v>
      </c>
      <c r="AV1018" s="10">
        <f t="shared" si="1020"/>
        <v>0</v>
      </c>
      <c r="AW1018" s="10">
        <f t="shared" si="1020"/>
        <v>0</v>
      </c>
      <c r="AX1018" s="10">
        <f t="shared" si="1020"/>
        <v>0</v>
      </c>
      <c r="AY1018" s="10">
        <f t="shared" si="1020"/>
        <v>0</v>
      </c>
      <c r="AZ1018" s="10">
        <f t="shared" si="1020"/>
        <v>0</v>
      </c>
      <c r="BA1018" s="10">
        <f t="shared" si="1020"/>
        <v>0</v>
      </c>
      <c r="BB1018" s="10">
        <f t="shared" si="1020"/>
        <v>0</v>
      </c>
      <c r="BC1018" s="10">
        <f t="shared" si="1020"/>
        <v>0</v>
      </c>
      <c r="BD1018" s="10">
        <f t="shared" si="1020"/>
        <v>0</v>
      </c>
      <c r="BE1018" s="10">
        <f t="shared" si="1020"/>
        <v>0</v>
      </c>
      <c r="BF1018" s="10">
        <f t="shared" si="1020"/>
        <v>0</v>
      </c>
      <c r="BG1018" s="10">
        <f t="shared" si="1020"/>
        <v>0</v>
      </c>
      <c r="BH1018" s="10">
        <f t="shared" si="1020"/>
        <v>0</v>
      </c>
      <c r="BI1018" s="10">
        <f t="shared" si="1020"/>
        <v>0</v>
      </c>
      <c r="BJ1018" s="10">
        <f t="shared" si="1020"/>
        <v>0</v>
      </c>
      <c r="BK1018" s="10">
        <f t="shared" si="1020"/>
        <v>0</v>
      </c>
      <c r="BL1018" s="10">
        <f t="shared" si="1020"/>
        <v>0</v>
      </c>
      <c r="BM1018" s="10">
        <f t="shared" si="1020"/>
        <v>0</v>
      </c>
      <c r="BN1018" s="10">
        <f t="shared" si="1020"/>
        <v>0</v>
      </c>
      <c r="BO1018" s="10">
        <f t="shared" si="1020"/>
        <v>0</v>
      </c>
      <c r="BP1018" s="10">
        <f t="shared" si="1020"/>
        <v>0</v>
      </c>
      <c r="BQ1018" s="10">
        <f t="shared" si="1020"/>
        <v>0</v>
      </c>
      <c r="BR1018" s="10">
        <f t="shared" si="1020"/>
        <v>0</v>
      </c>
      <c r="BS1018" s="10">
        <f t="shared" si="1020"/>
        <v>0</v>
      </c>
      <c r="BT1018" s="10">
        <f t="shared" si="1020"/>
        <v>0</v>
      </c>
      <c r="BU1018" s="10">
        <f t="shared" si="1020"/>
        <v>0</v>
      </c>
      <c r="BV1018" s="10">
        <f t="shared" si="1020"/>
        <v>0</v>
      </c>
      <c r="BX1018" s="10">
        <f t="shared" ref="BX1018:CI1018" si="1021">BX$403</f>
        <v>0</v>
      </c>
      <c r="BY1018" s="10">
        <f t="shared" si="1021"/>
        <v>0</v>
      </c>
      <c r="BZ1018" s="10">
        <f t="shared" si="1021"/>
        <v>0</v>
      </c>
      <c r="CA1018" s="10">
        <f t="shared" si="1021"/>
        <v>0</v>
      </c>
      <c r="CB1018" s="10">
        <f t="shared" si="1021"/>
        <v>0</v>
      </c>
      <c r="CC1018" s="10">
        <f t="shared" si="1021"/>
        <v>0</v>
      </c>
      <c r="CD1018" s="10">
        <f t="shared" si="1021"/>
        <v>0</v>
      </c>
      <c r="CE1018" s="10">
        <f t="shared" si="1021"/>
        <v>0</v>
      </c>
      <c r="CF1018" s="10">
        <f t="shared" si="1021"/>
        <v>0</v>
      </c>
      <c r="CG1018" s="10">
        <f t="shared" si="1021"/>
        <v>0</v>
      </c>
      <c r="CH1018" s="10">
        <f t="shared" si="1021"/>
        <v>0</v>
      </c>
      <c r="CI1018" s="10">
        <f t="shared" si="1021"/>
        <v>0</v>
      </c>
      <c r="CK1018" s="11"/>
      <c r="CM1018" s="11"/>
      <c r="DF1018" s="11"/>
      <c r="EY1018" s="10" t="str">
        <f t="shared" si="997"/>
        <v/>
      </c>
    </row>
    <row r="1019" spans="1:155" x14ac:dyDescent="0.35">
      <c r="B1019" s="69" t="str" cm="1">
        <f t="array" aca="1" ref="B1019" ca="1">HYPERLINK(CONCATENATE("#",CELL("address",$D$417)),$D$417)</f>
        <v>Loan 20</v>
      </c>
      <c r="C1019" s="211"/>
      <c r="D1019" s="49">
        <f>D$32</f>
        <v>0</v>
      </c>
      <c r="E1019" s="49" t="str">
        <f>F$32</f>
        <v/>
      </c>
      <c r="F1019" s="49"/>
      <c r="H1019" s="9"/>
      <c r="I1019" s="40" t="s">
        <v>665</v>
      </c>
      <c r="V1019" s="133">
        <f>V$422</f>
        <v>0</v>
      </c>
      <c r="W1019" s="10">
        <f>W$422</f>
        <v>0</v>
      </c>
      <c r="X1019" s="10">
        <f>X$422</f>
        <v>0</v>
      </c>
      <c r="Y1019" s="10">
        <f>Y$422</f>
        <v>0</v>
      </c>
      <c r="AA1019" s="10">
        <f t="shared" ref="AA1019:BV1019" si="1022">AA$422</f>
        <v>0</v>
      </c>
      <c r="AB1019" s="10">
        <f t="shared" si="1022"/>
        <v>0</v>
      </c>
      <c r="AC1019" s="10">
        <f t="shared" si="1022"/>
        <v>0</v>
      </c>
      <c r="AD1019" s="10">
        <f t="shared" si="1022"/>
        <v>0</v>
      </c>
      <c r="AE1019" s="10">
        <f t="shared" si="1022"/>
        <v>0</v>
      </c>
      <c r="AF1019" s="10">
        <f t="shared" si="1022"/>
        <v>0</v>
      </c>
      <c r="AG1019" s="10">
        <f t="shared" si="1022"/>
        <v>0</v>
      </c>
      <c r="AH1019" s="10">
        <f t="shared" si="1022"/>
        <v>0</v>
      </c>
      <c r="AI1019" s="10">
        <f t="shared" si="1022"/>
        <v>0</v>
      </c>
      <c r="AJ1019" s="10">
        <f t="shared" si="1022"/>
        <v>0</v>
      </c>
      <c r="AK1019" s="10">
        <f t="shared" si="1022"/>
        <v>0</v>
      </c>
      <c r="AL1019" s="10">
        <f t="shared" si="1022"/>
        <v>0</v>
      </c>
      <c r="AM1019" s="10">
        <f t="shared" si="1022"/>
        <v>0</v>
      </c>
      <c r="AN1019" s="10">
        <f t="shared" si="1022"/>
        <v>0</v>
      </c>
      <c r="AO1019" s="10">
        <f t="shared" si="1022"/>
        <v>0</v>
      </c>
      <c r="AP1019" s="10">
        <f t="shared" si="1022"/>
        <v>0</v>
      </c>
      <c r="AQ1019" s="10">
        <f t="shared" si="1022"/>
        <v>0</v>
      </c>
      <c r="AR1019" s="10">
        <f t="shared" si="1022"/>
        <v>0</v>
      </c>
      <c r="AS1019" s="10">
        <f t="shared" si="1022"/>
        <v>0</v>
      </c>
      <c r="AT1019" s="10">
        <f t="shared" si="1022"/>
        <v>0</v>
      </c>
      <c r="AU1019" s="10">
        <f t="shared" si="1022"/>
        <v>0</v>
      </c>
      <c r="AV1019" s="10">
        <f t="shared" si="1022"/>
        <v>0</v>
      </c>
      <c r="AW1019" s="10">
        <f t="shared" si="1022"/>
        <v>0</v>
      </c>
      <c r="AX1019" s="10">
        <f t="shared" si="1022"/>
        <v>0</v>
      </c>
      <c r="AY1019" s="10">
        <f t="shared" si="1022"/>
        <v>0</v>
      </c>
      <c r="AZ1019" s="10">
        <f t="shared" si="1022"/>
        <v>0</v>
      </c>
      <c r="BA1019" s="10">
        <f t="shared" si="1022"/>
        <v>0</v>
      </c>
      <c r="BB1019" s="10">
        <f t="shared" si="1022"/>
        <v>0</v>
      </c>
      <c r="BC1019" s="10">
        <f t="shared" si="1022"/>
        <v>0</v>
      </c>
      <c r="BD1019" s="10">
        <f t="shared" si="1022"/>
        <v>0</v>
      </c>
      <c r="BE1019" s="10">
        <f t="shared" si="1022"/>
        <v>0</v>
      </c>
      <c r="BF1019" s="10">
        <f t="shared" si="1022"/>
        <v>0</v>
      </c>
      <c r="BG1019" s="10">
        <f t="shared" si="1022"/>
        <v>0</v>
      </c>
      <c r="BH1019" s="10">
        <f t="shared" si="1022"/>
        <v>0</v>
      </c>
      <c r="BI1019" s="10">
        <f t="shared" si="1022"/>
        <v>0</v>
      </c>
      <c r="BJ1019" s="10">
        <f t="shared" si="1022"/>
        <v>0</v>
      </c>
      <c r="BK1019" s="10">
        <f t="shared" si="1022"/>
        <v>0</v>
      </c>
      <c r="BL1019" s="10">
        <f t="shared" si="1022"/>
        <v>0</v>
      </c>
      <c r="BM1019" s="10">
        <f t="shared" si="1022"/>
        <v>0</v>
      </c>
      <c r="BN1019" s="10">
        <f t="shared" si="1022"/>
        <v>0</v>
      </c>
      <c r="BO1019" s="10">
        <f t="shared" si="1022"/>
        <v>0</v>
      </c>
      <c r="BP1019" s="10">
        <f t="shared" si="1022"/>
        <v>0</v>
      </c>
      <c r="BQ1019" s="10">
        <f t="shared" si="1022"/>
        <v>0</v>
      </c>
      <c r="BR1019" s="10">
        <f t="shared" si="1022"/>
        <v>0</v>
      </c>
      <c r="BS1019" s="10">
        <f t="shared" si="1022"/>
        <v>0</v>
      </c>
      <c r="BT1019" s="10">
        <f t="shared" si="1022"/>
        <v>0</v>
      </c>
      <c r="BU1019" s="10">
        <f t="shared" si="1022"/>
        <v>0</v>
      </c>
      <c r="BV1019" s="10">
        <f t="shared" si="1022"/>
        <v>0</v>
      </c>
      <c r="BX1019" s="10">
        <f t="shared" ref="BX1019:CI1019" si="1023">BX$422</f>
        <v>0</v>
      </c>
      <c r="BY1019" s="10">
        <f t="shared" si="1023"/>
        <v>0</v>
      </c>
      <c r="BZ1019" s="10">
        <f t="shared" si="1023"/>
        <v>0</v>
      </c>
      <c r="CA1019" s="10">
        <f t="shared" si="1023"/>
        <v>0</v>
      </c>
      <c r="CB1019" s="10">
        <f t="shared" si="1023"/>
        <v>0</v>
      </c>
      <c r="CC1019" s="10">
        <f t="shared" si="1023"/>
        <v>0</v>
      </c>
      <c r="CD1019" s="10">
        <f t="shared" si="1023"/>
        <v>0</v>
      </c>
      <c r="CE1019" s="10">
        <f t="shared" si="1023"/>
        <v>0</v>
      </c>
      <c r="CF1019" s="10">
        <f t="shared" si="1023"/>
        <v>0</v>
      </c>
      <c r="CG1019" s="10">
        <f t="shared" si="1023"/>
        <v>0</v>
      </c>
      <c r="CH1019" s="10">
        <f t="shared" si="1023"/>
        <v>0</v>
      </c>
      <c r="CI1019" s="10">
        <f t="shared" si="1023"/>
        <v>0</v>
      </c>
      <c r="CK1019" s="11"/>
      <c r="CM1019" s="11"/>
      <c r="DF1019" s="11"/>
      <c r="EY1019" s="10" t="str">
        <f t="shared" si="997"/>
        <v/>
      </c>
    </row>
    <row r="1020" spans="1:155" ht="6.75" customHeight="1" x14ac:dyDescent="0.35">
      <c r="C1020" s="211"/>
      <c r="D1020" s="1"/>
      <c r="E1020"/>
      <c r="F1020"/>
      <c r="BY1020" s="6"/>
      <c r="CK1020" s="35"/>
      <c r="CM1020" s="35"/>
      <c r="CV1020" s="120"/>
      <c r="DF1020" s="35"/>
      <c r="EY1020" s="10" t="str">
        <f t="shared" si="997"/>
        <v/>
      </c>
    </row>
    <row r="1021" spans="1:155" x14ac:dyDescent="0.35">
      <c r="C1021" s="211"/>
      <c r="D1021" s="50" t="s">
        <v>1334</v>
      </c>
      <c r="E1021"/>
      <c r="F1021"/>
      <c r="CK1021" s="11"/>
      <c r="CM1021" s="11"/>
      <c r="CV1021" s="120"/>
      <c r="DF1021" s="11"/>
      <c r="EY1021" s="10" t="str">
        <f t="shared" si="997"/>
        <v/>
      </c>
    </row>
    <row r="1022" spans="1:155" x14ac:dyDescent="0.35">
      <c r="B1022" s="5" t="s">
        <v>1229</v>
      </c>
      <c r="C1022" s="211"/>
      <c r="D1022" s="5" t="s">
        <v>1020</v>
      </c>
      <c r="E1022" s="5" t="s">
        <v>1248</v>
      </c>
      <c r="F1022" s="5"/>
      <c r="AA1022" s="126" t="s">
        <v>122</v>
      </c>
      <c r="CK1022" s="11"/>
      <c r="CM1022" s="11"/>
      <c r="CV1022" s="120"/>
      <c r="DF1022" s="11"/>
      <c r="EY1022" s="10" t="str">
        <f t="shared" si="997"/>
        <v/>
      </c>
    </row>
    <row r="1023" spans="1:155" x14ac:dyDescent="0.35">
      <c r="B1023" s="69" t="str" cm="1">
        <f t="array" aca="1" ref="B1023" ca="1">HYPERLINK(CONCATENATE("#",CELL("address",$D$56)),$D$56)</f>
        <v>Loan 1</v>
      </c>
      <c r="C1023" s="211"/>
      <c r="D1023" s="49">
        <f>D$13</f>
        <v>0</v>
      </c>
      <c r="E1023" s="49" t="str">
        <f>F$13</f>
        <v/>
      </c>
      <c r="F1023" s="49"/>
      <c r="H1023" s="9"/>
      <c r="I1023" s="40" t="s">
        <v>665</v>
      </c>
      <c r="J1023" s="54"/>
      <c r="V1023" s="106"/>
      <c r="W1023" s="133">
        <f t="shared" ref="W1023:Y1042" ca="1" si="1024">INDEX($AA1023:$BV1023, MATCH(W$5, $AA$5:$BV$5, 0))</f>
        <v>0</v>
      </c>
      <c r="X1023" s="133">
        <f t="shared" ca="1" si="1024"/>
        <v>0</v>
      </c>
      <c r="Y1023" s="133">
        <f t="shared" ca="1" si="1024"/>
        <v>0</v>
      </c>
      <c r="AA1023" s="133">
        <f ca="1">IF($E1023=Parameters!$D$69, AA883, MIN(AA883,-SUM(OFFSET(AA860, 0, MIN(12, COUNTA(AB$3:$BV$3)), , -MIN(12, COUNTA(AB$3:$BV$3))))))</f>
        <v>0</v>
      </c>
      <c r="AB1023" s="133">
        <f ca="1">IF($E1023=Parameters!$D$69, AB883, MIN(AB883,-SUM(OFFSET(AB860, 0, MIN(12, COUNTA(AC$3:$BV$3)), , -MIN(12, COUNTA(AC$3:$BV$3))))))</f>
        <v>0</v>
      </c>
      <c r="AC1023" s="133">
        <f ca="1">IF($E1023=Parameters!$D$69, AC883, MIN(AC883,-SUM(OFFSET(AC860, 0, MIN(12, COUNTA(AD$3:$BV$3)), , -MIN(12, COUNTA(AD$3:$BV$3))))))</f>
        <v>0</v>
      </c>
      <c r="AD1023" s="133">
        <f ca="1">IF($E1023=Parameters!$D$69, AD883, MIN(AD883,-SUM(OFFSET(AD860, 0, MIN(12, COUNTA(AE$3:$BV$3)), , -MIN(12, COUNTA(AE$3:$BV$3))))))</f>
        <v>0</v>
      </c>
      <c r="AE1023" s="133">
        <f ca="1">IF($E1023=Parameters!$D$69, AE883, MIN(AE883,-SUM(OFFSET(AE860, 0, MIN(12, COUNTA(AF$3:$BV$3)), , -MIN(12, COUNTA(AF$3:$BV$3))))))</f>
        <v>0</v>
      </c>
      <c r="AF1023" s="133">
        <f ca="1">IF($E1023=Parameters!$D$69, AF883, MIN(AF883,-SUM(OFFSET(AF860, 0, MIN(12, COUNTA(AG$3:$BV$3)), , -MIN(12, COUNTA(AG$3:$BV$3))))))</f>
        <v>0</v>
      </c>
      <c r="AG1023" s="133">
        <f ca="1">IF($E1023=Parameters!$D$69, AG883, MIN(AG883,-SUM(OFFSET(AG860, 0, MIN(12, COUNTA(AH$3:$BV$3)), , -MIN(12, COUNTA(AH$3:$BV$3))))))</f>
        <v>0</v>
      </c>
      <c r="AH1023" s="133">
        <f ca="1">IF($E1023=Parameters!$D$69, AH883, MIN(AH883,-SUM(OFFSET(AH860, 0, MIN(12, COUNTA(AI$3:$BV$3)), , -MIN(12, COUNTA(AI$3:$BV$3))))))</f>
        <v>0</v>
      </c>
      <c r="AI1023" s="133">
        <f ca="1">IF($E1023=Parameters!$D$69, AI883, MIN(AI883,-SUM(OFFSET(AI860, 0, MIN(12, COUNTA(AJ$3:$BV$3)), , -MIN(12, COUNTA(AJ$3:$BV$3))))))</f>
        <v>0</v>
      </c>
      <c r="AJ1023" s="133">
        <f ca="1">IF($E1023=Parameters!$D$69, AJ883, MIN(AJ883,-SUM(OFFSET(AJ860, 0, MIN(12, COUNTA(AK$3:$BV$3)), , -MIN(12, COUNTA(AK$3:$BV$3))))))</f>
        <v>0</v>
      </c>
      <c r="AK1023" s="133">
        <f ca="1">IF($E1023=Parameters!$D$69, AK883, MIN(AK883,-SUM(OFFSET(AK860, 0, MIN(12, COUNTA(AL$3:$BV$3)), , -MIN(12, COUNTA(AL$3:$BV$3))))))</f>
        <v>0</v>
      </c>
      <c r="AL1023" s="133">
        <f ca="1">IF($E1023=Parameters!$D$69, AL883, MIN(AL883,-SUM(OFFSET(AL860, 0, MIN(12, COUNTA(AM$3:$BV$3)), , -MIN(12, COUNTA(AM$3:$BV$3))))))</f>
        <v>0</v>
      </c>
      <c r="AM1023" s="133">
        <f ca="1">IF($E1023=Parameters!$D$69, AM883, MIN(AM883,-SUM(OFFSET(AM860, 0, MIN(12, COUNTA(AN$3:$BV$3)), , -MIN(12, COUNTA(AN$3:$BV$3))))))</f>
        <v>0</v>
      </c>
      <c r="AN1023" s="133">
        <f ca="1">IF($E1023=Parameters!$D$69, AN883, MIN(AN883,-SUM(OFFSET(AN860, 0, MIN(12, COUNTA(AO$3:$BV$3)), , -MIN(12, COUNTA(AO$3:$BV$3))))))</f>
        <v>0</v>
      </c>
      <c r="AO1023" s="133">
        <f ca="1">IF($E1023=Parameters!$D$69, AO883, MIN(AO883,-SUM(OFFSET(AO860, 0, MIN(12, COUNTA(AP$3:$BV$3)), , -MIN(12, COUNTA(AP$3:$BV$3))))))</f>
        <v>0</v>
      </c>
      <c r="AP1023" s="133">
        <f ca="1">IF($E1023=Parameters!$D$69, AP883, MIN(AP883,-SUM(OFFSET(AP860, 0, MIN(12, COUNTA(AQ$3:$BV$3)), , -MIN(12, COUNTA(AQ$3:$BV$3))))))</f>
        <v>0</v>
      </c>
      <c r="AQ1023" s="133">
        <f ca="1">IF($E1023=Parameters!$D$69, AQ883, MIN(AQ883,-SUM(OFFSET(AQ860, 0, MIN(12, COUNTA(AR$3:$BV$3)), , -MIN(12, COUNTA(AR$3:$BV$3))))))</f>
        <v>0</v>
      </c>
      <c r="AR1023" s="133">
        <f ca="1">IF($E1023=Parameters!$D$69, AR883, MIN(AR883,-SUM(OFFSET(AR860, 0, MIN(12, COUNTA(AS$3:$BV$3)), , -MIN(12, COUNTA(AS$3:$BV$3))))))</f>
        <v>0</v>
      </c>
      <c r="AS1023" s="133">
        <f ca="1">IF($E1023=Parameters!$D$69, AS883, MIN(AS883,-SUM(OFFSET(AS860, 0, MIN(12, COUNTA(AT$3:$BV$3)), , -MIN(12, COUNTA(AT$3:$BV$3))))))</f>
        <v>0</v>
      </c>
      <c r="AT1023" s="133">
        <f ca="1">IF($E1023=Parameters!$D$69, AT883, MIN(AT883,-SUM(OFFSET(AT860, 0, MIN(12, COUNTA(AU$3:$BV$3)), , -MIN(12, COUNTA(AU$3:$BV$3))))))</f>
        <v>0</v>
      </c>
      <c r="AU1023" s="133">
        <f ca="1">IF($E1023=Parameters!$D$69, AU883, MIN(AU883,-SUM(OFFSET(AU860, 0, MIN(12, COUNTA(AV$3:$BV$3)), , -MIN(12, COUNTA(AV$3:$BV$3))))))</f>
        <v>0</v>
      </c>
      <c r="AV1023" s="133">
        <f ca="1">IF($E1023=Parameters!$D$69, AV883, MIN(AV883,-SUM(OFFSET(AV860, 0, MIN(12, COUNTA(AW$3:$BV$3)), , -MIN(12, COUNTA(AW$3:$BV$3))))))</f>
        <v>0</v>
      </c>
      <c r="AW1023" s="133">
        <f ca="1">IF($E1023=Parameters!$D$69, AW883, MIN(AW883,-SUM(OFFSET(AW860, 0, MIN(12, COUNTA(AX$3:$BV$3)), , -MIN(12, COUNTA(AX$3:$BV$3))))))</f>
        <v>0</v>
      </c>
      <c r="AX1023" s="133">
        <f ca="1">IF($E1023=Parameters!$D$69, AX883, MIN(AX883,-SUM(OFFSET(AX860, 0, MIN(12, COUNTA(AY$3:$BV$3)), , -MIN(12, COUNTA(AY$3:$BV$3))))))</f>
        <v>0</v>
      </c>
      <c r="AY1023" s="133">
        <f ca="1">IF($E1023=Parameters!$D$69, AY883, MIN(AY883,-SUM(OFFSET(AY860, 0, MIN(12, COUNTA(AZ$3:$BV$3)), , -MIN(12, COUNTA(AZ$3:$BV$3))))))</f>
        <v>0</v>
      </c>
      <c r="AZ1023" s="133">
        <f ca="1">IF($E1023=Parameters!$D$69, AZ883, MIN(AZ883,-SUM(OFFSET(AZ860, 0, MIN(12, COUNTA(BA$3:$BV$3)), , -MIN(12, COUNTA(BA$3:$BV$3))))))</f>
        <v>0</v>
      </c>
      <c r="BA1023" s="133">
        <f ca="1">IF($E1023=Parameters!$D$69, BA883, MIN(BA883,-SUM(OFFSET(BA860, 0, MIN(12, COUNTA(BB$3:$BV$3)), , -MIN(12, COUNTA(BB$3:$BV$3))))))</f>
        <v>0</v>
      </c>
      <c r="BB1023" s="133">
        <f ca="1">IF($E1023=Parameters!$D$69, BB883, MIN(BB883,-SUM(OFFSET(BB860, 0, MIN(12, COUNTA(BC$3:$BV$3)), , -MIN(12, COUNTA(BC$3:$BV$3))))))</f>
        <v>0</v>
      </c>
      <c r="BC1023" s="133">
        <f ca="1">IF($E1023=Parameters!$D$69, BC883, MIN(BC883,-SUM(OFFSET(BC860, 0, MIN(12, COUNTA(BD$3:$BV$3)), , -MIN(12, COUNTA(BD$3:$BV$3))))))</f>
        <v>0</v>
      </c>
      <c r="BD1023" s="133">
        <f ca="1">IF($E1023=Parameters!$D$69, BD883, MIN(BD883,-SUM(OFFSET(BD860, 0, MIN(12, COUNTA(BE$3:$BV$3)), , -MIN(12, COUNTA(BE$3:$BV$3))))))</f>
        <v>0</v>
      </c>
      <c r="BE1023" s="133">
        <f ca="1">IF($E1023=Parameters!$D$69, BE883, MIN(BE883,-SUM(OFFSET(BE860, 0, MIN(12, COUNTA(BF$3:$BV$3)), , -MIN(12, COUNTA(BF$3:$BV$3))))))</f>
        <v>0</v>
      </c>
      <c r="BF1023" s="133">
        <f ca="1">IF($E1023=Parameters!$D$69, BF883, MIN(BF883,-SUM(OFFSET(BF860, 0, MIN(12, COUNTA(BG$3:$BV$3)), , -MIN(12, COUNTA(BG$3:$BV$3))))))</f>
        <v>0</v>
      </c>
      <c r="BG1023" s="133">
        <f ca="1">IF($E1023=Parameters!$D$69, BG883, MIN(BG883,-SUM(OFFSET(BG860, 0, MIN(12, COUNTA(BH$3:$BV$3)), , -MIN(12, COUNTA(BH$3:$BV$3))))))</f>
        <v>0</v>
      </c>
      <c r="BH1023" s="133">
        <f ca="1">IF($E1023=Parameters!$D$69, BH883, MIN(BH883,-SUM(OFFSET(BH860, 0, MIN(12, COUNTA(BI$3:$BV$3)), , -MIN(12, COUNTA(BI$3:$BV$3))))))</f>
        <v>0</v>
      </c>
      <c r="BI1023" s="133">
        <f ca="1">IF($E1023=Parameters!$D$69, BI883, MIN(BI883,-SUM(OFFSET(BI860, 0, MIN(12, COUNTA(BJ$3:$BV$3)), , -MIN(12, COUNTA(BJ$3:$BV$3))))))</f>
        <v>0</v>
      </c>
      <c r="BJ1023" s="133">
        <f ca="1">IF($E1023=Parameters!$D$69, BJ883, MIN(BJ883,-SUM(OFFSET(BJ860, 0, MIN(12, COUNTA(BK$3:$BV$3)), , -MIN(12, COUNTA(BK$3:$BV$3))))))</f>
        <v>0</v>
      </c>
      <c r="BK1023" s="106"/>
      <c r="BL1023" s="106"/>
      <c r="BM1023" s="106"/>
      <c r="BN1023" s="106"/>
      <c r="BO1023" s="106"/>
      <c r="BP1023" s="106"/>
      <c r="BQ1023" s="106"/>
      <c r="BR1023" s="106"/>
      <c r="BS1023" s="106"/>
      <c r="BT1023" s="106"/>
      <c r="BU1023" s="106"/>
      <c r="BV1023" s="106"/>
      <c r="BX1023" s="106"/>
      <c r="BY1023" s="12">
        <f t="shared" ref="BY1023:BY1042" ca="1" si="1025">W1023</f>
        <v>0</v>
      </c>
      <c r="BZ1023" s="12">
        <f t="shared" ref="BZ1023:BZ1042" ca="1" si="1026">X1023</f>
        <v>0</v>
      </c>
      <c r="CA1023" s="12">
        <f t="shared" ref="CA1023:CA1042" ca="1" si="1027">Y1023</f>
        <v>0</v>
      </c>
      <c r="CB1023" s="106"/>
      <c r="CC1023" s="106"/>
      <c r="CD1023" s="106"/>
      <c r="CE1023" s="106"/>
      <c r="CF1023" s="106"/>
      <c r="CG1023" s="106"/>
      <c r="CH1023" s="106"/>
      <c r="CI1023" s="106"/>
      <c r="CK1023" s="11"/>
      <c r="CM1023" s="11"/>
      <c r="CV1023" s="120"/>
      <c r="DF1023" s="11"/>
      <c r="EY1023" s="10" t="str">
        <f t="shared" si="997"/>
        <v/>
      </c>
    </row>
    <row r="1024" spans="1:155" x14ac:dyDescent="0.35">
      <c r="B1024" s="69" t="str" cm="1">
        <f t="array" aca="1" ref="B1024" ca="1">HYPERLINK(CONCATENATE("#",CELL("address",$D$75)),$D$75)</f>
        <v>Loan 2</v>
      </c>
      <c r="C1024" s="211"/>
      <c r="D1024" s="49">
        <f>D$14</f>
        <v>0</v>
      </c>
      <c r="E1024" s="49" t="str">
        <f>F$14</f>
        <v/>
      </c>
      <c r="F1024" s="49"/>
      <c r="H1024" s="9"/>
      <c r="I1024" s="40" t="s">
        <v>665</v>
      </c>
      <c r="V1024" s="106"/>
      <c r="W1024" s="133">
        <f t="shared" ca="1" si="1024"/>
        <v>0</v>
      </c>
      <c r="X1024" s="133">
        <f t="shared" ca="1" si="1024"/>
        <v>0</v>
      </c>
      <c r="Y1024" s="133">
        <f t="shared" ca="1" si="1024"/>
        <v>0</v>
      </c>
      <c r="AA1024" s="133">
        <f ca="1">IF($E1024=Parameters!$D$69, AA884, MIN(AA884,-SUM(OFFSET(AA861, 0, MIN(12, COUNTA(AB$3:$BV$3)), , -MIN(12, COUNTA(AB$3:$BV$3))))))</f>
        <v>0</v>
      </c>
      <c r="AB1024" s="133">
        <f ca="1">IF($E1024=Parameters!$D$69, AB884, MIN(AB884,-SUM(OFFSET(AB861, 0, MIN(12, COUNTA(AC$3:$BV$3)), , -MIN(12, COUNTA(AC$3:$BV$3))))))</f>
        <v>0</v>
      </c>
      <c r="AC1024" s="133">
        <f ca="1">IF($E1024=Parameters!$D$69, AC884, MIN(AC884,-SUM(OFFSET(AC861, 0, MIN(12, COUNTA(AD$3:$BV$3)), , -MIN(12, COUNTA(AD$3:$BV$3))))))</f>
        <v>0</v>
      </c>
      <c r="AD1024" s="133">
        <f ca="1">IF($E1024=Parameters!$D$69, AD884, MIN(AD884,-SUM(OFFSET(AD861, 0, MIN(12, COUNTA(AE$3:$BV$3)), , -MIN(12, COUNTA(AE$3:$BV$3))))))</f>
        <v>0</v>
      </c>
      <c r="AE1024" s="133">
        <f ca="1">IF($E1024=Parameters!$D$69, AE884, MIN(AE884,-SUM(OFFSET(AE861, 0, MIN(12, COUNTA(AF$3:$BV$3)), , -MIN(12, COUNTA(AF$3:$BV$3))))))</f>
        <v>0</v>
      </c>
      <c r="AF1024" s="133">
        <f ca="1">IF($E1024=Parameters!$D$69, AF884, MIN(AF884,-SUM(OFFSET(AF861, 0, MIN(12, COUNTA(AG$3:$BV$3)), , -MIN(12, COUNTA(AG$3:$BV$3))))))</f>
        <v>0</v>
      </c>
      <c r="AG1024" s="133">
        <f ca="1">IF($E1024=Parameters!$D$69, AG884, MIN(AG884,-SUM(OFFSET(AG861, 0, MIN(12, COUNTA(AH$3:$BV$3)), , -MIN(12, COUNTA(AH$3:$BV$3))))))</f>
        <v>0</v>
      </c>
      <c r="AH1024" s="133">
        <f ca="1">IF($E1024=Parameters!$D$69, AH884, MIN(AH884,-SUM(OFFSET(AH861, 0, MIN(12, COUNTA(AI$3:$BV$3)), , -MIN(12, COUNTA(AI$3:$BV$3))))))</f>
        <v>0</v>
      </c>
      <c r="AI1024" s="133">
        <f ca="1">IF($E1024=Parameters!$D$69, AI884, MIN(AI884,-SUM(OFFSET(AI861, 0, MIN(12, COUNTA(AJ$3:$BV$3)), , -MIN(12, COUNTA(AJ$3:$BV$3))))))</f>
        <v>0</v>
      </c>
      <c r="AJ1024" s="133">
        <f ca="1">IF($E1024=Parameters!$D$69, AJ884, MIN(AJ884,-SUM(OFFSET(AJ861, 0, MIN(12, COUNTA(AK$3:$BV$3)), , -MIN(12, COUNTA(AK$3:$BV$3))))))</f>
        <v>0</v>
      </c>
      <c r="AK1024" s="133">
        <f ca="1">IF($E1024=Parameters!$D$69, AK884, MIN(AK884,-SUM(OFFSET(AK861, 0, MIN(12, COUNTA(AL$3:$BV$3)), , -MIN(12, COUNTA(AL$3:$BV$3))))))</f>
        <v>0</v>
      </c>
      <c r="AL1024" s="133">
        <f ca="1">IF($E1024=Parameters!$D$69, AL884, MIN(AL884,-SUM(OFFSET(AL861, 0, MIN(12, COUNTA(AM$3:$BV$3)), , -MIN(12, COUNTA(AM$3:$BV$3))))))</f>
        <v>0</v>
      </c>
      <c r="AM1024" s="133">
        <f ca="1">IF($E1024=Parameters!$D$69, AM884, MIN(AM884,-SUM(OFFSET(AM861, 0, MIN(12, COUNTA(AN$3:$BV$3)), , -MIN(12, COUNTA(AN$3:$BV$3))))))</f>
        <v>0</v>
      </c>
      <c r="AN1024" s="133">
        <f ca="1">IF($E1024=Parameters!$D$69, AN884, MIN(AN884,-SUM(OFFSET(AN861, 0, MIN(12, COUNTA(AO$3:$BV$3)), , -MIN(12, COUNTA(AO$3:$BV$3))))))</f>
        <v>0</v>
      </c>
      <c r="AO1024" s="133">
        <f ca="1">IF($E1024=Parameters!$D$69, AO884, MIN(AO884,-SUM(OFFSET(AO861, 0, MIN(12, COUNTA(AP$3:$BV$3)), , -MIN(12, COUNTA(AP$3:$BV$3))))))</f>
        <v>0</v>
      </c>
      <c r="AP1024" s="133">
        <f ca="1">IF($E1024=Parameters!$D$69, AP884, MIN(AP884,-SUM(OFFSET(AP861, 0, MIN(12, COUNTA(AQ$3:$BV$3)), , -MIN(12, COUNTA(AQ$3:$BV$3))))))</f>
        <v>0</v>
      </c>
      <c r="AQ1024" s="133">
        <f ca="1">IF($E1024=Parameters!$D$69, AQ884, MIN(AQ884,-SUM(OFFSET(AQ861, 0, MIN(12, COUNTA(AR$3:$BV$3)), , -MIN(12, COUNTA(AR$3:$BV$3))))))</f>
        <v>0</v>
      </c>
      <c r="AR1024" s="133">
        <f ca="1">IF($E1024=Parameters!$D$69, AR884, MIN(AR884,-SUM(OFFSET(AR861, 0, MIN(12, COUNTA(AS$3:$BV$3)), , -MIN(12, COUNTA(AS$3:$BV$3))))))</f>
        <v>0</v>
      </c>
      <c r="AS1024" s="133">
        <f ca="1">IF($E1024=Parameters!$D$69, AS884, MIN(AS884,-SUM(OFFSET(AS861, 0, MIN(12, COUNTA(AT$3:$BV$3)), , -MIN(12, COUNTA(AT$3:$BV$3))))))</f>
        <v>0</v>
      </c>
      <c r="AT1024" s="133">
        <f ca="1">IF($E1024=Parameters!$D$69, AT884, MIN(AT884,-SUM(OFFSET(AT861, 0, MIN(12, COUNTA(AU$3:$BV$3)), , -MIN(12, COUNTA(AU$3:$BV$3))))))</f>
        <v>0</v>
      </c>
      <c r="AU1024" s="133">
        <f ca="1">IF($E1024=Parameters!$D$69, AU884, MIN(AU884,-SUM(OFFSET(AU861, 0, MIN(12, COUNTA(AV$3:$BV$3)), , -MIN(12, COUNTA(AV$3:$BV$3))))))</f>
        <v>0</v>
      </c>
      <c r="AV1024" s="133">
        <f ca="1">IF($E1024=Parameters!$D$69, AV884, MIN(AV884,-SUM(OFFSET(AV861, 0, MIN(12, COUNTA(AW$3:$BV$3)), , -MIN(12, COUNTA(AW$3:$BV$3))))))</f>
        <v>0</v>
      </c>
      <c r="AW1024" s="133">
        <f ca="1">IF($E1024=Parameters!$D$69, AW884, MIN(AW884,-SUM(OFFSET(AW861, 0, MIN(12, COUNTA(AX$3:$BV$3)), , -MIN(12, COUNTA(AX$3:$BV$3))))))</f>
        <v>0</v>
      </c>
      <c r="AX1024" s="133">
        <f ca="1">IF($E1024=Parameters!$D$69, AX884, MIN(AX884,-SUM(OFFSET(AX861, 0, MIN(12, COUNTA(AY$3:$BV$3)), , -MIN(12, COUNTA(AY$3:$BV$3))))))</f>
        <v>0</v>
      </c>
      <c r="AY1024" s="133">
        <f ca="1">IF($E1024=Parameters!$D$69, AY884, MIN(AY884,-SUM(OFFSET(AY861, 0, MIN(12, COUNTA(AZ$3:$BV$3)), , -MIN(12, COUNTA(AZ$3:$BV$3))))))</f>
        <v>0</v>
      </c>
      <c r="AZ1024" s="133">
        <f ca="1">IF($E1024=Parameters!$D$69, AZ884, MIN(AZ884,-SUM(OFFSET(AZ861, 0, MIN(12, COUNTA(BA$3:$BV$3)), , -MIN(12, COUNTA(BA$3:$BV$3))))))</f>
        <v>0</v>
      </c>
      <c r="BA1024" s="133">
        <f ca="1">IF($E1024=Parameters!$D$69, BA884, MIN(BA884,-SUM(OFFSET(BA861, 0, MIN(12, COUNTA(BB$3:$BV$3)), , -MIN(12, COUNTA(BB$3:$BV$3))))))</f>
        <v>0</v>
      </c>
      <c r="BB1024" s="133">
        <f ca="1">IF($E1024=Parameters!$D$69, BB884, MIN(BB884,-SUM(OFFSET(BB861, 0, MIN(12, COUNTA(BC$3:$BV$3)), , -MIN(12, COUNTA(BC$3:$BV$3))))))</f>
        <v>0</v>
      </c>
      <c r="BC1024" s="133">
        <f ca="1">IF($E1024=Parameters!$D$69, BC884, MIN(BC884,-SUM(OFFSET(BC861, 0, MIN(12, COUNTA(BD$3:$BV$3)), , -MIN(12, COUNTA(BD$3:$BV$3))))))</f>
        <v>0</v>
      </c>
      <c r="BD1024" s="133">
        <f ca="1">IF($E1024=Parameters!$D$69, BD884, MIN(BD884,-SUM(OFFSET(BD861, 0, MIN(12, COUNTA(BE$3:$BV$3)), , -MIN(12, COUNTA(BE$3:$BV$3))))))</f>
        <v>0</v>
      </c>
      <c r="BE1024" s="133">
        <f ca="1">IF($E1024=Parameters!$D$69, BE884, MIN(BE884,-SUM(OFFSET(BE861, 0, MIN(12, COUNTA(BF$3:$BV$3)), , -MIN(12, COUNTA(BF$3:$BV$3))))))</f>
        <v>0</v>
      </c>
      <c r="BF1024" s="133">
        <f ca="1">IF($E1024=Parameters!$D$69, BF884, MIN(BF884,-SUM(OFFSET(BF861, 0, MIN(12, COUNTA(BG$3:$BV$3)), , -MIN(12, COUNTA(BG$3:$BV$3))))))</f>
        <v>0</v>
      </c>
      <c r="BG1024" s="133">
        <f ca="1">IF($E1024=Parameters!$D$69, BG884, MIN(BG884,-SUM(OFFSET(BG861, 0, MIN(12, COUNTA(BH$3:$BV$3)), , -MIN(12, COUNTA(BH$3:$BV$3))))))</f>
        <v>0</v>
      </c>
      <c r="BH1024" s="133">
        <f ca="1">IF($E1024=Parameters!$D$69, BH884, MIN(BH884,-SUM(OFFSET(BH861, 0, MIN(12, COUNTA(BI$3:$BV$3)), , -MIN(12, COUNTA(BI$3:$BV$3))))))</f>
        <v>0</v>
      </c>
      <c r="BI1024" s="133">
        <f ca="1">IF($E1024=Parameters!$D$69, BI884, MIN(BI884,-SUM(OFFSET(BI861, 0, MIN(12, COUNTA(BJ$3:$BV$3)), , -MIN(12, COUNTA(BJ$3:$BV$3))))))</f>
        <v>0</v>
      </c>
      <c r="BJ1024" s="133">
        <f ca="1">IF($E1024=Parameters!$D$69, BJ884, MIN(BJ884,-SUM(OFFSET(BJ861, 0, MIN(12, COUNTA(BK$3:$BV$3)), , -MIN(12, COUNTA(BK$3:$BV$3))))))</f>
        <v>0</v>
      </c>
      <c r="BK1024" s="106"/>
      <c r="BL1024" s="106"/>
      <c r="BM1024" s="106"/>
      <c r="BN1024" s="106"/>
      <c r="BO1024" s="106"/>
      <c r="BP1024" s="106"/>
      <c r="BQ1024" s="106"/>
      <c r="BR1024" s="106"/>
      <c r="BS1024" s="106"/>
      <c r="BT1024" s="106"/>
      <c r="BU1024" s="106"/>
      <c r="BV1024" s="106"/>
      <c r="BX1024" s="106"/>
      <c r="BY1024" s="12">
        <f t="shared" ca="1" si="1025"/>
        <v>0</v>
      </c>
      <c r="BZ1024" s="12">
        <f t="shared" ca="1" si="1026"/>
        <v>0</v>
      </c>
      <c r="CA1024" s="12">
        <f t="shared" ca="1" si="1027"/>
        <v>0</v>
      </c>
      <c r="CB1024" s="106"/>
      <c r="CC1024" s="106"/>
      <c r="CD1024" s="106"/>
      <c r="CE1024" s="106"/>
      <c r="CF1024" s="106"/>
      <c r="CG1024" s="106"/>
      <c r="CH1024" s="106"/>
      <c r="CI1024" s="106"/>
      <c r="CK1024" s="11"/>
      <c r="CM1024" s="11"/>
      <c r="CV1024" s="120"/>
      <c r="DF1024" s="11"/>
      <c r="EY1024" s="10" t="str">
        <f t="shared" si="997"/>
        <v/>
      </c>
    </row>
    <row r="1025" spans="1:155" x14ac:dyDescent="0.35">
      <c r="B1025" s="69" t="str" cm="1">
        <f t="array" aca="1" ref="B1025" ca="1">HYPERLINK(CONCATENATE("#",CELL("address",$D$94)),$D$94)</f>
        <v>Loan 3</v>
      </c>
      <c r="C1025" s="211"/>
      <c r="D1025" s="49">
        <f>D$15</f>
        <v>0</v>
      </c>
      <c r="E1025" s="49" t="str">
        <f>F$15</f>
        <v/>
      </c>
      <c r="F1025" s="49"/>
      <c r="H1025" s="9"/>
      <c r="I1025" s="40" t="s">
        <v>665</v>
      </c>
      <c r="V1025" s="106"/>
      <c r="W1025" s="133">
        <f t="shared" ca="1" si="1024"/>
        <v>0</v>
      </c>
      <c r="X1025" s="133">
        <f t="shared" ca="1" si="1024"/>
        <v>0</v>
      </c>
      <c r="Y1025" s="133">
        <f t="shared" ca="1" si="1024"/>
        <v>0</v>
      </c>
      <c r="AA1025" s="133">
        <f ca="1">IF($E1025=Parameters!$D$69, AA885, MIN(AA885,-SUM(OFFSET(AA862, 0, MIN(12, COUNTA(AB$3:$BV$3)), , -MIN(12, COUNTA(AB$3:$BV$3))))))</f>
        <v>0</v>
      </c>
      <c r="AB1025" s="133">
        <f ca="1">IF($E1025=Parameters!$D$69, AB885, MIN(AB885,-SUM(OFFSET(AB862, 0, MIN(12, COUNTA(AC$3:$BV$3)), , -MIN(12, COUNTA(AC$3:$BV$3))))))</f>
        <v>0</v>
      </c>
      <c r="AC1025" s="133">
        <f ca="1">IF($E1025=Parameters!$D$69, AC885, MIN(AC885,-SUM(OFFSET(AC862, 0, MIN(12, COUNTA(AD$3:$BV$3)), , -MIN(12, COUNTA(AD$3:$BV$3))))))</f>
        <v>0</v>
      </c>
      <c r="AD1025" s="133">
        <f ca="1">IF($E1025=Parameters!$D$69, AD885, MIN(AD885,-SUM(OFFSET(AD862, 0, MIN(12, COUNTA(AE$3:$BV$3)), , -MIN(12, COUNTA(AE$3:$BV$3))))))</f>
        <v>0</v>
      </c>
      <c r="AE1025" s="133">
        <f ca="1">IF($E1025=Parameters!$D$69, AE885, MIN(AE885,-SUM(OFFSET(AE862, 0, MIN(12, COUNTA(AF$3:$BV$3)), , -MIN(12, COUNTA(AF$3:$BV$3))))))</f>
        <v>0</v>
      </c>
      <c r="AF1025" s="133">
        <f ca="1">IF($E1025=Parameters!$D$69, AF885, MIN(AF885,-SUM(OFFSET(AF862, 0, MIN(12, COUNTA(AG$3:$BV$3)), , -MIN(12, COUNTA(AG$3:$BV$3))))))</f>
        <v>0</v>
      </c>
      <c r="AG1025" s="133">
        <f ca="1">IF($E1025=Parameters!$D$69, AG885, MIN(AG885,-SUM(OFFSET(AG862, 0, MIN(12, COUNTA(AH$3:$BV$3)), , -MIN(12, COUNTA(AH$3:$BV$3))))))</f>
        <v>0</v>
      </c>
      <c r="AH1025" s="133">
        <f ca="1">IF($E1025=Parameters!$D$69, AH885, MIN(AH885,-SUM(OFFSET(AH862, 0, MIN(12, COUNTA(AI$3:$BV$3)), , -MIN(12, COUNTA(AI$3:$BV$3))))))</f>
        <v>0</v>
      </c>
      <c r="AI1025" s="133">
        <f ca="1">IF($E1025=Parameters!$D$69, AI885, MIN(AI885,-SUM(OFFSET(AI862, 0, MIN(12, COUNTA(AJ$3:$BV$3)), , -MIN(12, COUNTA(AJ$3:$BV$3))))))</f>
        <v>0</v>
      </c>
      <c r="AJ1025" s="133">
        <f ca="1">IF($E1025=Parameters!$D$69, AJ885, MIN(AJ885,-SUM(OFFSET(AJ862, 0, MIN(12, COUNTA(AK$3:$BV$3)), , -MIN(12, COUNTA(AK$3:$BV$3))))))</f>
        <v>0</v>
      </c>
      <c r="AK1025" s="133">
        <f ca="1">IF($E1025=Parameters!$D$69, AK885, MIN(AK885,-SUM(OFFSET(AK862, 0, MIN(12, COUNTA(AL$3:$BV$3)), , -MIN(12, COUNTA(AL$3:$BV$3))))))</f>
        <v>0</v>
      </c>
      <c r="AL1025" s="133">
        <f ca="1">IF($E1025=Parameters!$D$69, AL885, MIN(AL885,-SUM(OFFSET(AL862, 0, MIN(12, COUNTA(AM$3:$BV$3)), , -MIN(12, COUNTA(AM$3:$BV$3))))))</f>
        <v>0</v>
      </c>
      <c r="AM1025" s="133">
        <f ca="1">IF($E1025=Parameters!$D$69, AM885, MIN(AM885,-SUM(OFFSET(AM862, 0, MIN(12, COUNTA(AN$3:$BV$3)), , -MIN(12, COUNTA(AN$3:$BV$3))))))</f>
        <v>0</v>
      </c>
      <c r="AN1025" s="133">
        <f ca="1">IF($E1025=Parameters!$D$69, AN885, MIN(AN885,-SUM(OFFSET(AN862, 0, MIN(12, COUNTA(AO$3:$BV$3)), , -MIN(12, COUNTA(AO$3:$BV$3))))))</f>
        <v>0</v>
      </c>
      <c r="AO1025" s="133">
        <f ca="1">IF($E1025=Parameters!$D$69, AO885, MIN(AO885,-SUM(OFFSET(AO862, 0, MIN(12, COUNTA(AP$3:$BV$3)), , -MIN(12, COUNTA(AP$3:$BV$3))))))</f>
        <v>0</v>
      </c>
      <c r="AP1025" s="133">
        <f ca="1">IF($E1025=Parameters!$D$69, AP885, MIN(AP885,-SUM(OFFSET(AP862, 0, MIN(12, COUNTA(AQ$3:$BV$3)), , -MIN(12, COUNTA(AQ$3:$BV$3))))))</f>
        <v>0</v>
      </c>
      <c r="AQ1025" s="133">
        <f ca="1">IF($E1025=Parameters!$D$69, AQ885, MIN(AQ885,-SUM(OFFSET(AQ862, 0, MIN(12, COUNTA(AR$3:$BV$3)), , -MIN(12, COUNTA(AR$3:$BV$3))))))</f>
        <v>0</v>
      </c>
      <c r="AR1025" s="133">
        <f ca="1">IF($E1025=Parameters!$D$69, AR885, MIN(AR885,-SUM(OFFSET(AR862, 0, MIN(12, COUNTA(AS$3:$BV$3)), , -MIN(12, COUNTA(AS$3:$BV$3))))))</f>
        <v>0</v>
      </c>
      <c r="AS1025" s="133">
        <f ca="1">IF($E1025=Parameters!$D$69, AS885, MIN(AS885,-SUM(OFFSET(AS862, 0, MIN(12, COUNTA(AT$3:$BV$3)), , -MIN(12, COUNTA(AT$3:$BV$3))))))</f>
        <v>0</v>
      </c>
      <c r="AT1025" s="133">
        <f ca="1">IF($E1025=Parameters!$D$69, AT885, MIN(AT885,-SUM(OFFSET(AT862, 0, MIN(12, COUNTA(AU$3:$BV$3)), , -MIN(12, COUNTA(AU$3:$BV$3))))))</f>
        <v>0</v>
      </c>
      <c r="AU1025" s="133">
        <f ca="1">IF($E1025=Parameters!$D$69, AU885, MIN(AU885,-SUM(OFFSET(AU862, 0, MIN(12, COUNTA(AV$3:$BV$3)), , -MIN(12, COUNTA(AV$3:$BV$3))))))</f>
        <v>0</v>
      </c>
      <c r="AV1025" s="133">
        <f ca="1">IF($E1025=Parameters!$D$69, AV885, MIN(AV885,-SUM(OFFSET(AV862, 0, MIN(12, COUNTA(AW$3:$BV$3)), , -MIN(12, COUNTA(AW$3:$BV$3))))))</f>
        <v>0</v>
      </c>
      <c r="AW1025" s="133">
        <f ca="1">IF($E1025=Parameters!$D$69, AW885, MIN(AW885,-SUM(OFFSET(AW862, 0, MIN(12, COUNTA(AX$3:$BV$3)), , -MIN(12, COUNTA(AX$3:$BV$3))))))</f>
        <v>0</v>
      </c>
      <c r="AX1025" s="133">
        <f ca="1">IF($E1025=Parameters!$D$69, AX885, MIN(AX885,-SUM(OFFSET(AX862, 0, MIN(12, COUNTA(AY$3:$BV$3)), , -MIN(12, COUNTA(AY$3:$BV$3))))))</f>
        <v>0</v>
      </c>
      <c r="AY1025" s="133">
        <f ca="1">IF($E1025=Parameters!$D$69, AY885, MIN(AY885,-SUM(OFFSET(AY862, 0, MIN(12, COUNTA(AZ$3:$BV$3)), , -MIN(12, COUNTA(AZ$3:$BV$3))))))</f>
        <v>0</v>
      </c>
      <c r="AZ1025" s="133">
        <f ca="1">IF($E1025=Parameters!$D$69, AZ885, MIN(AZ885,-SUM(OFFSET(AZ862, 0, MIN(12, COUNTA(BA$3:$BV$3)), , -MIN(12, COUNTA(BA$3:$BV$3))))))</f>
        <v>0</v>
      </c>
      <c r="BA1025" s="133">
        <f ca="1">IF($E1025=Parameters!$D$69, BA885, MIN(BA885,-SUM(OFFSET(BA862, 0, MIN(12, COUNTA(BB$3:$BV$3)), , -MIN(12, COUNTA(BB$3:$BV$3))))))</f>
        <v>0</v>
      </c>
      <c r="BB1025" s="133">
        <f ca="1">IF($E1025=Parameters!$D$69, BB885, MIN(BB885,-SUM(OFFSET(BB862, 0, MIN(12, COUNTA(BC$3:$BV$3)), , -MIN(12, COUNTA(BC$3:$BV$3))))))</f>
        <v>0</v>
      </c>
      <c r="BC1025" s="133">
        <f ca="1">IF($E1025=Parameters!$D$69, BC885, MIN(BC885,-SUM(OFFSET(BC862, 0, MIN(12, COUNTA(BD$3:$BV$3)), , -MIN(12, COUNTA(BD$3:$BV$3))))))</f>
        <v>0</v>
      </c>
      <c r="BD1025" s="133">
        <f ca="1">IF($E1025=Parameters!$D$69, BD885, MIN(BD885,-SUM(OFFSET(BD862, 0, MIN(12, COUNTA(BE$3:$BV$3)), , -MIN(12, COUNTA(BE$3:$BV$3))))))</f>
        <v>0</v>
      </c>
      <c r="BE1025" s="133">
        <f ca="1">IF($E1025=Parameters!$D$69, BE885, MIN(BE885,-SUM(OFFSET(BE862, 0, MIN(12, COUNTA(BF$3:$BV$3)), , -MIN(12, COUNTA(BF$3:$BV$3))))))</f>
        <v>0</v>
      </c>
      <c r="BF1025" s="133">
        <f ca="1">IF($E1025=Parameters!$D$69, BF885, MIN(BF885,-SUM(OFFSET(BF862, 0, MIN(12, COUNTA(BG$3:$BV$3)), , -MIN(12, COUNTA(BG$3:$BV$3))))))</f>
        <v>0</v>
      </c>
      <c r="BG1025" s="133">
        <f ca="1">IF($E1025=Parameters!$D$69, BG885, MIN(BG885,-SUM(OFFSET(BG862, 0, MIN(12, COUNTA(BH$3:$BV$3)), , -MIN(12, COUNTA(BH$3:$BV$3))))))</f>
        <v>0</v>
      </c>
      <c r="BH1025" s="133">
        <f ca="1">IF($E1025=Parameters!$D$69, BH885, MIN(BH885,-SUM(OFFSET(BH862, 0, MIN(12, COUNTA(BI$3:$BV$3)), , -MIN(12, COUNTA(BI$3:$BV$3))))))</f>
        <v>0</v>
      </c>
      <c r="BI1025" s="133">
        <f ca="1">IF($E1025=Parameters!$D$69, BI885, MIN(BI885,-SUM(OFFSET(BI862, 0, MIN(12, COUNTA(BJ$3:$BV$3)), , -MIN(12, COUNTA(BJ$3:$BV$3))))))</f>
        <v>0</v>
      </c>
      <c r="BJ1025" s="133">
        <f ca="1">IF($E1025=Parameters!$D$69, BJ885, MIN(BJ885,-SUM(OFFSET(BJ862, 0, MIN(12, COUNTA(BK$3:$BV$3)), , -MIN(12, COUNTA(BK$3:$BV$3))))))</f>
        <v>0</v>
      </c>
      <c r="BK1025" s="106"/>
      <c r="BL1025" s="106"/>
      <c r="BM1025" s="106"/>
      <c r="BN1025" s="106"/>
      <c r="BO1025" s="106"/>
      <c r="BP1025" s="106"/>
      <c r="BQ1025" s="106"/>
      <c r="BR1025" s="106"/>
      <c r="BS1025" s="106"/>
      <c r="BT1025" s="106"/>
      <c r="BU1025" s="106"/>
      <c r="BV1025" s="106"/>
      <c r="BX1025" s="106"/>
      <c r="BY1025" s="12">
        <f t="shared" ca="1" si="1025"/>
        <v>0</v>
      </c>
      <c r="BZ1025" s="12">
        <f t="shared" ca="1" si="1026"/>
        <v>0</v>
      </c>
      <c r="CA1025" s="12">
        <f t="shared" ca="1" si="1027"/>
        <v>0</v>
      </c>
      <c r="CB1025" s="106"/>
      <c r="CC1025" s="106"/>
      <c r="CD1025" s="106"/>
      <c r="CE1025" s="106"/>
      <c r="CF1025" s="106"/>
      <c r="CG1025" s="106"/>
      <c r="CH1025" s="106"/>
      <c r="CI1025" s="106"/>
      <c r="CK1025" s="11"/>
      <c r="CM1025" s="11"/>
      <c r="CV1025" s="120"/>
      <c r="DF1025" s="11"/>
      <c r="EY1025" s="10" t="str">
        <f t="shared" si="997"/>
        <v/>
      </c>
    </row>
    <row r="1026" spans="1:155" x14ac:dyDescent="0.35">
      <c r="B1026" s="69" t="str" cm="1">
        <f t="array" aca="1" ref="B1026" ca="1">HYPERLINK(CONCATENATE("#",CELL("address",$D$113)),$D$113)</f>
        <v>Loan 4</v>
      </c>
      <c r="C1026" s="211"/>
      <c r="D1026" s="49">
        <f>D$16</f>
        <v>0</v>
      </c>
      <c r="E1026" s="49" t="str">
        <f>F$16</f>
        <v/>
      </c>
      <c r="F1026" s="49"/>
      <c r="H1026" s="9"/>
      <c r="I1026" s="40" t="s">
        <v>665</v>
      </c>
      <c r="V1026" s="106"/>
      <c r="W1026" s="133">
        <f t="shared" ca="1" si="1024"/>
        <v>0</v>
      </c>
      <c r="X1026" s="133">
        <f t="shared" ca="1" si="1024"/>
        <v>0</v>
      </c>
      <c r="Y1026" s="133">
        <f t="shared" ca="1" si="1024"/>
        <v>0</v>
      </c>
      <c r="AA1026" s="133">
        <f ca="1">IF($E1026=Parameters!$D$69, AA886, MIN(AA886,-SUM(OFFSET(AA863, 0, MIN(12, COUNTA(AB$3:$BV$3)), , -MIN(12, COUNTA(AB$3:$BV$3))))))</f>
        <v>0</v>
      </c>
      <c r="AB1026" s="133">
        <f ca="1">IF($E1026=Parameters!$D$69, AB886, MIN(AB886,-SUM(OFFSET(AB863, 0, MIN(12, COUNTA(AC$3:$BV$3)), , -MIN(12, COUNTA(AC$3:$BV$3))))))</f>
        <v>0</v>
      </c>
      <c r="AC1026" s="133">
        <f ca="1">IF($E1026=Parameters!$D$69, AC886, MIN(AC886,-SUM(OFFSET(AC863, 0, MIN(12, COUNTA(AD$3:$BV$3)), , -MIN(12, COUNTA(AD$3:$BV$3))))))</f>
        <v>0</v>
      </c>
      <c r="AD1026" s="133">
        <f ca="1">IF($E1026=Parameters!$D$69, AD886, MIN(AD886,-SUM(OFFSET(AD863, 0, MIN(12, COUNTA(AE$3:$BV$3)), , -MIN(12, COUNTA(AE$3:$BV$3))))))</f>
        <v>0</v>
      </c>
      <c r="AE1026" s="133">
        <f ca="1">IF($E1026=Parameters!$D$69, AE886, MIN(AE886,-SUM(OFFSET(AE863, 0, MIN(12, COUNTA(AF$3:$BV$3)), , -MIN(12, COUNTA(AF$3:$BV$3))))))</f>
        <v>0</v>
      </c>
      <c r="AF1026" s="133">
        <f ca="1">IF($E1026=Parameters!$D$69, AF886, MIN(AF886,-SUM(OFFSET(AF863, 0, MIN(12, COUNTA(AG$3:$BV$3)), , -MIN(12, COUNTA(AG$3:$BV$3))))))</f>
        <v>0</v>
      </c>
      <c r="AG1026" s="133">
        <f ca="1">IF($E1026=Parameters!$D$69, AG886, MIN(AG886,-SUM(OFFSET(AG863, 0, MIN(12, COUNTA(AH$3:$BV$3)), , -MIN(12, COUNTA(AH$3:$BV$3))))))</f>
        <v>0</v>
      </c>
      <c r="AH1026" s="133">
        <f ca="1">IF($E1026=Parameters!$D$69, AH886, MIN(AH886,-SUM(OFFSET(AH863, 0, MIN(12, COUNTA(AI$3:$BV$3)), , -MIN(12, COUNTA(AI$3:$BV$3))))))</f>
        <v>0</v>
      </c>
      <c r="AI1026" s="133">
        <f ca="1">IF($E1026=Parameters!$D$69, AI886, MIN(AI886,-SUM(OFFSET(AI863, 0, MIN(12, COUNTA(AJ$3:$BV$3)), , -MIN(12, COUNTA(AJ$3:$BV$3))))))</f>
        <v>0</v>
      </c>
      <c r="AJ1026" s="133">
        <f ca="1">IF($E1026=Parameters!$D$69, AJ886, MIN(AJ886,-SUM(OFFSET(AJ863, 0, MIN(12, COUNTA(AK$3:$BV$3)), , -MIN(12, COUNTA(AK$3:$BV$3))))))</f>
        <v>0</v>
      </c>
      <c r="AK1026" s="133">
        <f ca="1">IF($E1026=Parameters!$D$69, AK886, MIN(AK886,-SUM(OFFSET(AK863, 0, MIN(12, COUNTA(AL$3:$BV$3)), , -MIN(12, COUNTA(AL$3:$BV$3))))))</f>
        <v>0</v>
      </c>
      <c r="AL1026" s="133">
        <f ca="1">IF($E1026=Parameters!$D$69, AL886, MIN(AL886,-SUM(OFFSET(AL863, 0, MIN(12, COUNTA(AM$3:$BV$3)), , -MIN(12, COUNTA(AM$3:$BV$3))))))</f>
        <v>0</v>
      </c>
      <c r="AM1026" s="133">
        <f ca="1">IF($E1026=Parameters!$D$69, AM886, MIN(AM886,-SUM(OFFSET(AM863, 0, MIN(12, COUNTA(AN$3:$BV$3)), , -MIN(12, COUNTA(AN$3:$BV$3))))))</f>
        <v>0</v>
      </c>
      <c r="AN1026" s="133">
        <f ca="1">IF($E1026=Parameters!$D$69, AN886, MIN(AN886,-SUM(OFFSET(AN863, 0, MIN(12, COUNTA(AO$3:$BV$3)), , -MIN(12, COUNTA(AO$3:$BV$3))))))</f>
        <v>0</v>
      </c>
      <c r="AO1026" s="133">
        <f ca="1">IF($E1026=Parameters!$D$69, AO886, MIN(AO886,-SUM(OFFSET(AO863, 0, MIN(12, COUNTA(AP$3:$BV$3)), , -MIN(12, COUNTA(AP$3:$BV$3))))))</f>
        <v>0</v>
      </c>
      <c r="AP1026" s="133">
        <f ca="1">IF($E1026=Parameters!$D$69, AP886, MIN(AP886,-SUM(OFFSET(AP863, 0, MIN(12, COUNTA(AQ$3:$BV$3)), , -MIN(12, COUNTA(AQ$3:$BV$3))))))</f>
        <v>0</v>
      </c>
      <c r="AQ1026" s="133">
        <f ca="1">IF($E1026=Parameters!$D$69, AQ886, MIN(AQ886,-SUM(OFFSET(AQ863, 0, MIN(12, COUNTA(AR$3:$BV$3)), , -MIN(12, COUNTA(AR$3:$BV$3))))))</f>
        <v>0</v>
      </c>
      <c r="AR1026" s="133">
        <f ca="1">IF($E1026=Parameters!$D$69, AR886, MIN(AR886,-SUM(OFFSET(AR863, 0, MIN(12, COUNTA(AS$3:$BV$3)), , -MIN(12, COUNTA(AS$3:$BV$3))))))</f>
        <v>0</v>
      </c>
      <c r="AS1026" s="133">
        <f ca="1">IF($E1026=Parameters!$D$69, AS886, MIN(AS886,-SUM(OFFSET(AS863, 0, MIN(12, COUNTA(AT$3:$BV$3)), , -MIN(12, COUNTA(AT$3:$BV$3))))))</f>
        <v>0</v>
      </c>
      <c r="AT1026" s="133">
        <f ca="1">IF($E1026=Parameters!$D$69, AT886, MIN(AT886,-SUM(OFFSET(AT863, 0, MIN(12, COUNTA(AU$3:$BV$3)), , -MIN(12, COUNTA(AU$3:$BV$3))))))</f>
        <v>0</v>
      </c>
      <c r="AU1026" s="133">
        <f ca="1">IF($E1026=Parameters!$D$69, AU886, MIN(AU886,-SUM(OFFSET(AU863, 0, MIN(12, COUNTA(AV$3:$BV$3)), , -MIN(12, COUNTA(AV$3:$BV$3))))))</f>
        <v>0</v>
      </c>
      <c r="AV1026" s="133">
        <f ca="1">IF($E1026=Parameters!$D$69, AV886, MIN(AV886,-SUM(OFFSET(AV863, 0, MIN(12, COUNTA(AW$3:$BV$3)), , -MIN(12, COUNTA(AW$3:$BV$3))))))</f>
        <v>0</v>
      </c>
      <c r="AW1026" s="133">
        <f ca="1">IF($E1026=Parameters!$D$69, AW886, MIN(AW886,-SUM(OFFSET(AW863, 0, MIN(12, COUNTA(AX$3:$BV$3)), , -MIN(12, COUNTA(AX$3:$BV$3))))))</f>
        <v>0</v>
      </c>
      <c r="AX1026" s="133">
        <f ca="1">IF($E1026=Parameters!$D$69, AX886, MIN(AX886,-SUM(OFFSET(AX863, 0, MIN(12, COUNTA(AY$3:$BV$3)), , -MIN(12, COUNTA(AY$3:$BV$3))))))</f>
        <v>0</v>
      </c>
      <c r="AY1026" s="133">
        <f ca="1">IF($E1026=Parameters!$D$69, AY886, MIN(AY886,-SUM(OFFSET(AY863, 0, MIN(12, COUNTA(AZ$3:$BV$3)), , -MIN(12, COUNTA(AZ$3:$BV$3))))))</f>
        <v>0</v>
      </c>
      <c r="AZ1026" s="133">
        <f ca="1">IF($E1026=Parameters!$D$69, AZ886, MIN(AZ886,-SUM(OFFSET(AZ863, 0, MIN(12, COUNTA(BA$3:$BV$3)), , -MIN(12, COUNTA(BA$3:$BV$3))))))</f>
        <v>0</v>
      </c>
      <c r="BA1026" s="133">
        <f ca="1">IF($E1026=Parameters!$D$69, BA886, MIN(BA886,-SUM(OFFSET(BA863, 0, MIN(12, COUNTA(BB$3:$BV$3)), , -MIN(12, COUNTA(BB$3:$BV$3))))))</f>
        <v>0</v>
      </c>
      <c r="BB1026" s="133">
        <f ca="1">IF($E1026=Parameters!$D$69, BB886, MIN(BB886,-SUM(OFFSET(BB863, 0, MIN(12, COUNTA(BC$3:$BV$3)), , -MIN(12, COUNTA(BC$3:$BV$3))))))</f>
        <v>0</v>
      </c>
      <c r="BC1026" s="133">
        <f ca="1">IF($E1026=Parameters!$D$69, BC886, MIN(BC886,-SUM(OFFSET(BC863, 0, MIN(12, COUNTA(BD$3:$BV$3)), , -MIN(12, COUNTA(BD$3:$BV$3))))))</f>
        <v>0</v>
      </c>
      <c r="BD1026" s="133">
        <f ca="1">IF($E1026=Parameters!$D$69, BD886, MIN(BD886,-SUM(OFFSET(BD863, 0, MIN(12, COUNTA(BE$3:$BV$3)), , -MIN(12, COUNTA(BE$3:$BV$3))))))</f>
        <v>0</v>
      </c>
      <c r="BE1026" s="133">
        <f ca="1">IF($E1026=Parameters!$D$69, BE886, MIN(BE886,-SUM(OFFSET(BE863, 0, MIN(12, COUNTA(BF$3:$BV$3)), , -MIN(12, COUNTA(BF$3:$BV$3))))))</f>
        <v>0</v>
      </c>
      <c r="BF1026" s="133">
        <f ca="1">IF($E1026=Parameters!$D$69, BF886, MIN(BF886,-SUM(OFFSET(BF863, 0, MIN(12, COUNTA(BG$3:$BV$3)), , -MIN(12, COUNTA(BG$3:$BV$3))))))</f>
        <v>0</v>
      </c>
      <c r="BG1026" s="133">
        <f ca="1">IF($E1026=Parameters!$D$69, BG886, MIN(BG886,-SUM(OFFSET(BG863, 0, MIN(12, COUNTA(BH$3:$BV$3)), , -MIN(12, COUNTA(BH$3:$BV$3))))))</f>
        <v>0</v>
      </c>
      <c r="BH1026" s="133">
        <f ca="1">IF($E1026=Parameters!$D$69, BH886, MIN(BH886,-SUM(OFFSET(BH863, 0, MIN(12, COUNTA(BI$3:$BV$3)), , -MIN(12, COUNTA(BI$3:$BV$3))))))</f>
        <v>0</v>
      </c>
      <c r="BI1026" s="133">
        <f ca="1">IF($E1026=Parameters!$D$69, BI886, MIN(BI886,-SUM(OFFSET(BI863, 0, MIN(12, COUNTA(BJ$3:$BV$3)), , -MIN(12, COUNTA(BJ$3:$BV$3))))))</f>
        <v>0</v>
      </c>
      <c r="BJ1026" s="133">
        <f ca="1">IF($E1026=Parameters!$D$69, BJ886, MIN(BJ886,-SUM(OFFSET(BJ863, 0, MIN(12, COUNTA(BK$3:$BV$3)), , -MIN(12, COUNTA(BK$3:$BV$3))))))</f>
        <v>0</v>
      </c>
      <c r="BK1026" s="106"/>
      <c r="BL1026" s="106"/>
      <c r="BM1026" s="106"/>
      <c r="BN1026" s="106"/>
      <c r="BO1026" s="106"/>
      <c r="BP1026" s="106"/>
      <c r="BQ1026" s="106"/>
      <c r="BR1026" s="106"/>
      <c r="BS1026" s="106"/>
      <c r="BT1026" s="106"/>
      <c r="BU1026" s="106"/>
      <c r="BV1026" s="106"/>
      <c r="BX1026" s="106"/>
      <c r="BY1026" s="12">
        <f t="shared" ca="1" si="1025"/>
        <v>0</v>
      </c>
      <c r="BZ1026" s="12">
        <f t="shared" ca="1" si="1026"/>
        <v>0</v>
      </c>
      <c r="CA1026" s="12">
        <f t="shared" ca="1" si="1027"/>
        <v>0</v>
      </c>
      <c r="CB1026" s="106"/>
      <c r="CC1026" s="106"/>
      <c r="CD1026" s="106"/>
      <c r="CE1026" s="106"/>
      <c r="CF1026" s="106"/>
      <c r="CG1026" s="106"/>
      <c r="CH1026" s="106"/>
      <c r="CI1026" s="106"/>
      <c r="CK1026" s="11"/>
      <c r="CM1026" s="11"/>
      <c r="CV1026" s="120"/>
      <c r="DF1026" s="11"/>
      <c r="EY1026" s="10" t="str">
        <f t="shared" si="997"/>
        <v/>
      </c>
    </row>
    <row r="1027" spans="1:155" x14ac:dyDescent="0.35">
      <c r="B1027" s="69" t="str" cm="1">
        <f t="array" aca="1" ref="B1027" ca="1">HYPERLINK(CONCATENATE("#",CELL("address",$D$132)),$D$132)</f>
        <v>Loan 5</v>
      </c>
      <c r="C1027" s="211"/>
      <c r="D1027" s="49">
        <f>D$17</f>
        <v>0</v>
      </c>
      <c r="E1027" s="49" t="str">
        <f>F$17</f>
        <v/>
      </c>
      <c r="F1027" s="49"/>
      <c r="H1027" s="9"/>
      <c r="I1027" s="40" t="s">
        <v>665</v>
      </c>
      <c r="V1027" s="106"/>
      <c r="W1027" s="133">
        <f t="shared" ca="1" si="1024"/>
        <v>0</v>
      </c>
      <c r="X1027" s="133">
        <f t="shared" ca="1" si="1024"/>
        <v>0</v>
      </c>
      <c r="Y1027" s="133">
        <f t="shared" ca="1" si="1024"/>
        <v>0</v>
      </c>
      <c r="AA1027" s="133">
        <f ca="1">IF($E1027=Parameters!$D$69, AA887, MIN(AA887,-SUM(OFFSET(AA864, 0, MIN(12, COUNTA(AB$3:$BV$3)), , -MIN(12, COUNTA(AB$3:$BV$3))))))</f>
        <v>0</v>
      </c>
      <c r="AB1027" s="133">
        <f ca="1">IF($E1027=Parameters!$D$69, AB887, MIN(AB887,-SUM(OFFSET(AB864, 0, MIN(12, COUNTA(AC$3:$BV$3)), , -MIN(12, COUNTA(AC$3:$BV$3))))))</f>
        <v>0</v>
      </c>
      <c r="AC1027" s="133">
        <f ca="1">IF($E1027=Parameters!$D$69, AC887, MIN(AC887,-SUM(OFFSET(AC864, 0, MIN(12, COUNTA(AD$3:$BV$3)), , -MIN(12, COUNTA(AD$3:$BV$3))))))</f>
        <v>0</v>
      </c>
      <c r="AD1027" s="133">
        <f ca="1">IF($E1027=Parameters!$D$69, AD887, MIN(AD887,-SUM(OFFSET(AD864, 0, MIN(12, COUNTA(AE$3:$BV$3)), , -MIN(12, COUNTA(AE$3:$BV$3))))))</f>
        <v>0</v>
      </c>
      <c r="AE1027" s="133">
        <f ca="1">IF($E1027=Parameters!$D$69, AE887, MIN(AE887,-SUM(OFFSET(AE864, 0, MIN(12, COUNTA(AF$3:$BV$3)), , -MIN(12, COUNTA(AF$3:$BV$3))))))</f>
        <v>0</v>
      </c>
      <c r="AF1027" s="133">
        <f ca="1">IF($E1027=Parameters!$D$69, AF887, MIN(AF887,-SUM(OFFSET(AF864, 0, MIN(12, COUNTA(AG$3:$BV$3)), , -MIN(12, COUNTA(AG$3:$BV$3))))))</f>
        <v>0</v>
      </c>
      <c r="AG1027" s="133">
        <f ca="1">IF($E1027=Parameters!$D$69, AG887, MIN(AG887,-SUM(OFFSET(AG864, 0, MIN(12, COUNTA(AH$3:$BV$3)), , -MIN(12, COUNTA(AH$3:$BV$3))))))</f>
        <v>0</v>
      </c>
      <c r="AH1027" s="133">
        <f ca="1">IF($E1027=Parameters!$D$69, AH887, MIN(AH887,-SUM(OFFSET(AH864, 0, MIN(12, COUNTA(AI$3:$BV$3)), , -MIN(12, COUNTA(AI$3:$BV$3))))))</f>
        <v>0</v>
      </c>
      <c r="AI1027" s="133">
        <f ca="1">IF($E1027=Parameters!$D$69, AI887, MIN(AI887,-SUM(OFFSET(AI864, 0, MIN(12, COUNTA(AJ$3:$BV$3)), , -MIN(12, COUNTA(AJ$3:$BV$3))))))</f>
        <v>0</v>
      </c>
      <c r="AJ1027" s="133">
        <f ca="1">IF($E1027=Parameters!$D$69, AJ887, MIN(AJ887,-SUM(OFFSET(AJ864, 0, MIN(12, COUNTA(AK$3:$BV$3)), , -MIN(12, COUNTA(AK$3:$BV$3))))))</f>
        <v>0</v>
      </c>
      <c r="AK1027" s="133">
        <f ca="1">IF($E1027=Parameters!$D$69, AK887, MIN(AK887,-SUM(OFFSET(AK864, 0, MIN(12, COUNTA(AL$3:$BV$3)), , -MIN(12, COUNTA(AL$3:$BV$3))))))</f>
        <v>0</v>
      </c>
      <c r="AL1027" s="133">
        <f ca="1">IF($E1027=Parameters!$D$69, AL887, MIN(AL887,-SUM(OFFSET(AL864, 0, MIN(12, COUNTA(AM$3:$BV$3)), , -MIN(12, COUNTA(AM$3:$BV$3))))))</f>
        <v>0</v>
      </c>
      <c r="AM1027" s="133">
        <f ca="1">IF($E1027=Parameters!$D$69, AM887, MIN(AM887,-SUM(OFFSET(AM864, 0, MIN(12, COUNTA(AN$3:$BV$3)), , -MIN(12, COUNTA(AN$3:$BV$3))))))</f>
        <v>0</v>
      </c>
      <c r="AN1027" s="133">
        <f ca="1">IF($E1027=Parameters!$D$69, AN887, MIN(AN887,-SUM(OFFSET(AN864, 0, MIN(12, COUNTA(AO$3:$BV$3)), , -MIN(12, COUNTA(AO$3:$BV$3))))))</f>
        <v>0</v>
      </c>
      <c r="AO1027" s="133">
        <f ca="1">IF($E1027=Parameters!$D$69, AO887, MIN(AO887,-SUM(OFFSET(AO864, 0, MIN(12, COUNTA(AP$3:$BV$3)), , -MIN(12, COUNTA(AP$3:$BV$3))))))</f>
        <v>0</v>
      </c>
      <c r="AP1027" s="133">
        <f ca="1">IF($E1027=Parameters!$D$69, AP887, MIN(AP887,-SUM(OFFSET(AP864, 0, MIN(12, COUNTA(AQ$3:$BV$3)), , -MIN(12, COUNTA(AQ$3:$BV$3))))))</f>
        <v>0</v>
      </c>
      <c r="AQ1027" s="133">
        <f ca="1">IF($E1027=Parameters!$D$69, AQ887, MIN(AQ887,-SUM(OFFSET(AQ864, 0, MIN(12, COUNTA(AR$3:$BV$3)), , -MIN(12, COUNTA(AR$3:$BV$3))))))</f>
        <v>0</v>
      </c>
      <c r="AR1027" s="133">
        <f ca="1">IF($E1027=Parameters!$D$69, AR887, MIN(AR887,-SUM(OFFSET(AR864, 0, MIN(12, COUNTA(AS$3:$BV$3)), , -MIN(12, COUNTA(AS$3:$BV$3))))))</f>
        <v>0</v>
      </c>
      <c r="AS1027" s="133">
        <f ca="1">IF($E1027=Parameters!$D$69, AS887, MIN(AS887,-SUM(OFFSET(AS864, 0, MIN(12, COUNTA(AT$3:$BV$3)), , -MIN(12, COUNTA(AT$3:$BV$3))))))</f>
        <v>0</v>
      </c>
      <c r="AT1027" s="133">
        <f ca="1">IF($E1027=Parameters!$D$69, AT887, MIN(AT887,-SUM(OFFSET(AT864, 0, MIN(12, COUNTA(AU$3:$BV$3)), , -MIN(12, COUNTA(AU$3:$BV$3))))))</f>
        <v>0</v>
      </c>
      <c r="AU1027" s="133">
        <f ca="1">IF($E1027=Parameters!$D$69, AU887, MIN(AU887,-SUM(OFFSET(AU864, 0, MIN(12, COUNTA(AV$3:$BV$3)), , -MIN(12, COUNTA(AV$3:$BV$3))))))</f>
        <v>0</v>
      </c>
      <c r="AV1027" s="133">
        <f ca="1">IF($E1027=Parameters!$D$69, AV887, MIN(AV887,-SUM(OFFSET(AV864, 0, MIN(12, COUNTA(AW$3:$BV$3)), , -MIN(12, COUNTA(AW$3:$BV$3))))))</f>
        <v>0</v>
      </c>
      <c r="AW1027" s="133">
        <f ca="1">IF($E1027=Parameters!$D$69, AW887, MIN(AW887,-SUM(OFFSET(AW864, 0, MIN(12, COUNTA(AX$3:$BV$3)), , -MIN(12, COUNTA(AX$3:$BV$3))))))</f>
        <v>0</v>
      </c>
      <c r="AX1027" s="133">
        <f ca="1">IF($E1027=Parameters!$D$69, AX887, MIN(AX887,-SUM(OFFSET(AX864, 0, MIN(12, COUNTA(AY$3:$BV$3)), , -MIN(12, COUNTA(AY$3:$BV$3))))))</f>
        <v>0</v>
      </c>
      <c r="AY1027" s="133">
        <f ca="1">IF($E1027=Parameters!$D$69, AY887, MIN(AY887,-SUM(OFFSET(AY864, 0, MIN(12, COUNTA(AZ$3:$BV$3)), , -MIN(12, COUNTA(AZ$3:$BV$3))))))</f>
        <v>0</v>
      </c>
      <c r="AZ1027" s="133">
        <f ca="1">IF($E1027=Parameters!$D$69, AZ887, MIN(AZ887,-SUM(OFFSET(AZ864, 0, MIN(12, COUNTA(BA$3:$BV$3)), , -MIN(12, COUNTA(BA$3:$BV$3))))))</f>
        <v>0</v>
      </c>
      <c r="BA1027" s="133">
        <f ca="1">IF($E1027=Parameters!$D$69, BA887, MIN(BA887,-SUM(OFFSET(BA864, 0, MIN(12, COUNTA(BB$3:$BV$3)), , -MIN(12, COUNTA(BB$3:$BV$3))))))</f>
        <v>0</v>
      </c>
      <c r="BB1027" s="133">
        <f ca="1">IF($E1027=Parameters!$D$69, BB887, MIN(BB887,-SUM(OFFSET(BB864, 0, MIN(12, COUNTA(BC$3:$BV$3)), , -MIN(12, COUNTA(BC$3:$BV$3))))))</f>
        <v>0</v>
      </c>
      <c r="BC1027" s="133">
        <f ca="1">IF($E1027=Parameters!$D$69, BC887, MIN(BC887,-SUM(OFFSET(BC864, 0, MIN(12, COUNTA(BD$3:$BV$3)), , -MIN(12, COUNTA(BD$3:$BV$3))))))</f>
        <v>0</v>
      </c>
      <c r="BD1027" s="133">
        <f ca="1">IF($E1027=Parameters!$D$69, BD887, MIN(BD887,-SUM(OFFSET(BD864, 0, MIN(12, COUNTA(BE$3:$BV$3)), , -MIN(12, COUNTA(BE$3:$BV$3))))))</f>
        <v>0</v>
      </c>
      <c r="BE1027" s="133">
        <f ca="1">IF($E1027=Parameters!$D$69, BE887, MIN(BE887,-SUM(OFFSET(BE864, 0, MIN(12, COUNTA(BF$3:$BV$3)), , -MIN(12, COUNTA(BF$3:$BV$3))))))</f>
        <v>0</v>
      </c>
      <c r="BF1027" s="133">
        <f ca="1">IF($E1027=Parameters!$D$69, BF887, MIN(BF887,-SUM(OFFSET(BF864, 0, MIN(12, COUNTA(BG$3:$BV$3)), , -MIN(12, COUNTA(BG$3:$BV$3))))))</f>
        <v>0</v>
      </c>
      <c r="BG1027" s="133">
        <f ca="1">IF($E1027=Parameters!$D$69, BG887, MIN(BG887,-SUM(OFFSET(BG864, 0, MIN(12, COUNTA(BH$3:$BV$3)), , -MIN(12, COUNTA(BH$3:$BV$3))))))</f>
        <v>0</v>
      </c>
      <c r="BH1027" s="133">
        <f ca="1">IF($E1027=Parameters!$D$69, BH887, MIN(BH887,-SUM(OFFSET(BH864, 0, MIN(12, COUNTA(BI$3:$BV$3)), , -MIN(12, COUNTA(BI$3:$BV$3))))))</f>
        <v>0</v>
      </c>
      <c r="BI1027" s="133">
        <f ca="1">IF($E1027=Parameters!$D$69, BI887, MIN(BI887,-SUM(OFFSET(BI864, 0, MIN(12, COUNTA(BJ$3:$BV$3)), , -MIN(12, COUNTA(BJ$3:$BV$3))))))</f>
        <v>0</v>
      </c>
      <c r="BJ1027" s="133">
        <f ca="1">IF($E1027=Parameters!$D$69, BJ887, MIN(BJ887,-SUM(OFFSET(BJ864, 0, MIN(12, COUNTA(BK$3:$BV$3)), , -MIN(12, COUNTA(BK$3:$BV$3))))))</f>
        <v>0</v>
      </c>
      <c r="BK1027" s="106"/>
      <c r="BL1027" s="106"/>
      <c r="BM1027" s="106"/>
      <c r="BN1027" s="106"/>
      <c r="BO1027" s="106"/>
      <c r="BP1027" s="106"/>
      <c r="BQ1027" s="106"/>
      <c r="BR1027" s="106"/>
      <c r="BS1027" s="106"/>
      <c r="BT1027" s="106"/>
      <c r="BU1027" s="106"/>
      <c r="BV1027" s="106"/>
      <c r="BX1027" s="106"/>
      <c r="BY1027" s="12">
        <f t="shared" ca="1" si="1025"/>
        <v>0</v>
      </c>
      <c r="BZ1027" s="12">
        <f t="shared" ca="1" si="1026"/>
        <v>0</v>
      </c>
      <c r="CA1027" s="12">
        <f t="shared" ca="1" si="1027"/>
        <v>0</v>
      </c>
      <c r="CB1027" s="106"/>
      <c r="CC1027" s="106"/>
      <c r="CD1027" s="106"/>
      <c r="CE1027" s="106"/>
      <c r="CF1027" s="106"/>
      <c r="CG1027" s="106"/>
      <c r="CH1027" s="106"/>
      <c r="CI1027" s="106"/>
      <c r="CK1027" s="11"/>
      <c r="CM1027" s="11"/>
      <c r="CV1027" s="120"/>
      <c r="DF1027" s="11"/>
      <c r="EY1027" s="10" t="str">
        <f t="shared" si="997"/>
        <v/>
      </c>
    </row>
    <row r="1028" spans="1:155" x14ac:dyDescent="0.35">
      <c r="B1028" s="69" t="str" cm="1">
        <f t="array" aca="1" ref="B1028" ca="1">HYPERLINK(CONCATENATE("#",CELL("address",$D$151)),$D$151)</f>
        <v>Loan 6</v>
      </c>
      <c r="C1028" s="211"/>
      <c r="D1028" s="49">
        <f>D$18</f>
        <v>0</v>
      </c>
      <c r="E1028" s="49" t="str">
        <f>F$18</f>
        <v/>
      </c>
      <c r="F1028" s="49"/>
      <c r="H1028" s="9"/>
      <c r="I1028" s="40" t="s">
        <v>665</v>
      </c>
      <c r="V1028" s="106"/>
      <c r="W1028" s="133">
        <f t="shared" ca="1" si="1024"/>
        <v>0</v>
      </c>
      <c r="X1028" s="133">
        <f t="shared" ca="1" si="1024"/>
        <v>0</v>
      </c>
      <c r="Y1028" s="133">
        <f t="shared" ca="1" si="1024"/>
        <v>0</v>
      </c>
      <c r="AA1028" s="133">
        <f ca="1">IF($E1028=Parameters!$D$69, AA888, MIN(AA888,-SUM(OFFSET(AA865, 0, MIN(12, COUNTA(AB$3:$BV$3)), , -MIN(12, COUNTA(AB$3:$BV$3))))))</f>
        <v>0</v>
      </c>
      <c r="AB1028" s="133">
        <f ca="1">IF($E1028=Parameters!$D$69, AB888, MIN(AB888,-SUM(OFFSET(AB865, 0, MIN(12, COUNTA(AC$3:$BV$3)), , -MIN(12, COUNTA(AC$3:$BV$3))))))</f>
        <v>0</v>
      </c>
      <c r="AC1028" s="133">
        <f ca="1">IF($E1028=Parameters!$D$69, AC888, MIN(AC888,-SUM(OFFSET(AC865, 0, MIN(12, COUNTA(AD$3:$BV$3)), , -MIN(12, COUNTA(AD$3:$BV$3))))))</f>
        <v>0</v>
      </c>
      <c r="AD1028" s="133">
        <f ca="1">IF($E1028=Parameters!$D$69, AD888, MIN(AD888,-SUM(OFFSET(AD865, 0, MIN(12, COUNTA(AE$3:$BV$3)), , -MIN(12, COUNTA(AE$3:$BV$3))))))</f>
        <v>0</v>
      </c>
      <c r="AE1028" s="133">
        <f ca="1">IF($E1028=Parameters!$D$69, AE888, MIN(AE888,-SUM(OFFSET(AE865, 0, MIN(12, COUNTA(AF$3:$BV$3)), , -MIN(12, COUNTA(AF$3:$BV$3))))))</f>
        <v>0</v>
      </c>
      <c r="AF1028" s="133">
        <f ca="1">IF($E1028=Parameters!$D$69, AF888, MIN(AF888,-SUM(OFFSET(AF865, 0, MIN(12, COUNTA(AG$3:$BV$3)), , -MIN(12, COUNTA(AG$3:$BV$3))))))</f>
        <v>0</v>
      </c>
      <c r="AG1028" s="133">
        <f ca="1">IF($E1028=Parameters!$D$69, AG888, MIN(AG888,-SUM(OFFSET(AG865, 0, MIN(12, COUNTA(AH$3:$BV$3)), , -MIN(12, COUNTA(AH$3:$BV$3))))))</f>
        <v>0</v>
      </c>
      <c r="AH1028" s="133">
        <f ca="1">IF($E1028=Parameters!$D$69, AH888, MIN(AH888,-SUM(OFFSET(AH865, 0, MIN(12, COUNTA(AI$3:$BV$3)), , -MIN(12, COUNTA(AI$3:$BV$3))))))</f>
        <v>0</v>
      </c>
      <c r="AI1028" s="133">
        <f ca="1">IF($E1028=Parameters!$D$69, AI888, MIN(AI888,-SUM(OFFSET(AI865, 0, MIN(12, COUNTA(AJ$3:$BV$3)), , -MIN(12, COUNTA(AJ$3:$BV$3))))))</f>
        <v>0</v>
      </c>
      <c r="AJ1028" s="133">
        <f ca="1">IF($E1028=Parameters!$D$69, AJ888, MIN(AJ888,-SUM(OFFSET(AJ865, 0, MIN(12, COUNTA(AK$3:$BV$3)), , -MIN(12, COUNTA(AK$3:$BV$3))))))</f>
        <v>0</v>
      </c>
      <c r="AK1028" s="133">
        <f ca="1">IF($E1028=Parameters!$D$69, AK888, MIN(AK888,-SUM(OFFSET(AK865, 0, MIN(12, COUNTA(AL$3:$BV$3)), , -MIN(12, COUNTA(AL$3:$BV$3))))))</f>
        <v>0</v>
      </c>
      <c r="AL1028" s="133">
        <f ca="1">IF($E1028=Parameters!$D$69, AL888, MIN(AL888,-SUM(OFFSET(AL865, 0, MIN(12, COUNTA(AM$3:$BV$3)), , -MIN(12, COUNTA(AM$3:$BV$3))))))</f>
        <v>0</v>
      </c>
      <c r="AM1028" s="133">
        <f ca="1">IF($E1028=Parameters!$D$69, AM888, MIN(AM888,-SUM(OFFSET(AM865, 0, MIN(12, COUNTA(AN$3:$BV$3)), , -MIN(12, COUNTA(AN$3:$BV$3))))))</f>
        <v>0</v>
      </c>
      <c r="AN1028" s="133">
        <f ca="1">IF($E1028=Parameters!$D$69, AN888, MIN(AN888,-SUM(OFFSET(AN865, 0, MIN(12, COUNTA(AO$3:$BV$3)), , -MIN(12, COUNTA(AO$3:$BV$3))))))</f>
        <v>0</v>
      </c>
      <c r="AO1028" s="133">
        <f ca="1">IF($E1028=Parameters!$D$69, AO888, MIN(AO888,-SUM(OFFSET(AO865, 0, MIN(12, COUNTA(AP$3:$BV$3)), , -MIN(12, COUNTA(AP$3:$BV$3))))))</f>
        <v>0</v>
      </c>
      <c r="AP1028" s="133">
        <f ca="1">IF($E1028=Parameters!$D$69, AP888, MIN(AP888,-SUM(OFFSET(AP865, 0, MIN(12, COUNTA(AQ$3:$BV$3)), , -MIN(12, COUNTA(AQ$3:$BV$3))))))</f>
        <v>0</v>
      </c>
      <c r="AQ1028" s="133">
        <f ca="1">IF($E1028=Parameters!$D$69, AQ888, MIN(AQ888,-SUM(OFFSET(AQ865, 0, MIN(12, COUNTA(AR$3:$BV$3)), , -MIN(12, COUNTA(AR$3:$BV$3))))))</f>
        <v>0</v>
      </c>
      <c r="AR1028" s="133">
        <f ca="1">IF($E1028=Parameters!$D$69, AR888, MIN(AR888,-SUM(OFFSET(AR865, 0, MIN(12, COUNTA(AS$3:$BV$3)), , -MIN(12, COUNTA(AS$3:$BV$3))))))</f>
        <v>0</v>
      </c>
      <c r="AS1028" s="133">
        <f ca="1">IF($E1028=Parameters!$D$69, AS888, MIN(AS888,-SUM(OFFSET(AS865, 0, MIN(12, COUNTA(AT$3:$BV$3)), , -MIN(12, COUNTA(AT$3:$BV$3))))))</f>
        <v>0</v>
      </c>
      <c r="AT1028" s="133">
        <f ca="1">IF($E1028=Parameters!$D$69, AT888, MIN(AT888,-SUM(OFFSET(AT865, 0, MIN(12, COUNTA(AU$3:$BV$3)), , -MIN(12, COUNTA(AU$3:$BV$3))))))</f>
        <v>0</v>
      </c>
      <c r="AU1028" s="133">
        <f ca="1">IF($E1028=Parameters!$D$69, AU888, MIN(AU888,-SUM(OFFSET(AU865, 0, MIN(12, COUNTA(AV$3:$BV$3)), , -MIN(12, COUNTA(AV$3:$BV$3))))))</f>
        <v>0</v>
      </c>
      <c r="AV1028" s="133">
        <f ca="1">IF($E1028=Parameters!$D$69, AV888, MIN(AV888,-SUM(OFFSET(AV865, 0, MIN(12, COUNTA(AW$3:$BV$3)), , -MIN(12, COUNTA(AW$3:$BV$3))))))</f>
        <v>0</v>
      </c>
      <c r="AW1028" s="133">
        <f ca="1">IF($E1028=Parameters!$D$69, AW888, MIN(AW888,-SUM(OFFSET(AW865, 0, MIN(12, COUNTA(AX$3:$BV$3)), , -MIN(12, COUNTA(AX$3:$BV$3))))))</f>
        <v>0</v>
      </c>
      <c r="AX1028" s="133">
        <f ca="1">IF($E1028=Parameters!$D$69, AX888, MIN(AX888,-SUM(OFFSET(AX865, 0, MIN(12, COUNTA(AY$3:$BV$3)), , -MIN(12, COUNTA(AY$3:$BV$3))))))</f>
        <v>0</v>
      </c>
      <c r="AY1028" s="133">
        <f ca="1">IF($E1028=Parameters!$D$69, AY888, MIN(AY888,-SUM(OFFSET(AY865, 0, MIN(12, COUNTA(AZ$3:$BV$3)), , -MIN(12, COUNTA(AZ$3:$BV$3))))))</f>
        <v>0</v>
      </c>
      <c r="AZ1028" s="133">
        <f ca="1">IF($E1028=Parameters!$D$69, AZ888, MIN(AZ888,-SUM(OFFSET(AZ865, 0, MIN(12, COUNTA(BA$3:$BV$3)), , -MIN(12, COUNTA(BA$3:$BV$3))))))</f>
        <v>0</v>
      </c>
      <c r="BA1028" s="133">
        <f ca="1">IF($E1028=Parameters!$D$69, BA888, MIN(BA888,-SUM(OFFSET(BA865, 0, MIN(12, COUNTA(BB$3:$BV$3)), , -MIN(12, COUNTA(BB$3:$BV$3))))))</f>
        <v>0</v>
      </c>
      <c r="BB1028" s="133">
        <f ca="1">IF($E1028=Parameters!$D$69, BB888, MIN(BB888,-SUM(OFFSET(BB865, 0, MIN(12, COUNTA(BC$3:$BV$3)), , -MIN(12, COUNTA(BC$3:$BV$3))))))</f>
        <v>0</v>
      </c>
      <c r="BC1028" s="133">
        <f ca="1">IF($E1028=Parameters!$D$69, BC888, MIN(BC888,-SUM(OFFSET(BC865, 0, MIN(12, COUNTA(BD$3:$BV$3)), , -MIN(12, COUNTA(BD$3:$BV$3))))))</f>
        <v>0</v>
      </c>
      <c r="BD1028" s="133">
        <f ca="1">IF($E1028=Parameters!$D$69, BD888, MIN(BD888,-SUM(OFFSET(BD865, 0, MIN(12, COUNTA(BE$3:$BV$3)), , -MIN(12, COUNTA(BE$3:$BV$3))))))</f>
        <v>0</v>
      </c>
      <c r="BE1028" s="133">
        <f ca="1">IF($E1028=Parameters!$D$69, BE888, MIN(BE888,-SUM(OFFSET(BE865, 0, MIN(12, COUNTA(BF$3:$BV$3)), , -MIN(12, COUNTA(BF$3:$BV$3))))))</f>
        <v>0</v>
      </c>
      <c r="BF1028" s="133">
        <f ca="1">IF($E1028=Parameters!$D$69, BF888, MIN(BF888,-SUM(OFFSET(BF865, 0, MIN(12, COUNTA(BG$3:$BV$3)), , -MIN(12, COUNTA(BG$3:$BV$3))))))</f>
        <v>0</v>
      </c>
      <c r="BG1028" s="133">
        <f ca="1">IF($E1028=Parameters!$D$69, BG888, MIN(BG888,-SUM(OFFSET(BG865, 0, MIN(12, COUNTA(BH$3:$BV$3)), , -MIN(12, COUNTA(BH$3:$BV$3))))))</f>
        <v>0</v>
      </c>
      <c r="BH1028" s="133">
        <f ca="1">IF($E1028=Parameters!$D$69, BH888, MIN(BH888,-SUM(OFFSET(BH865, 0, MIN(12, COUNTA(BI$3:$BV$3)), , -MIN(12, COUNTA(BI$3:$BV$3))))))</f>
        <v>0</v>
      </c>
      <c r="BI1028" s="133">
        <f ca="1">IF($E1028=Parameters!$D$69, BI888, MIN(BI888,-SUM(OFFSET(BI865, 0, MIN(12, COUNTA(BJ$3:$BV$3)), , -MIN(12, COUNTA(BJ$3:$BV$3))))))</f>
        <v>0</v>
      </c>
      <c r="BJ1028" s="133">
        <f ca="1">IF($E1028=Parameters!$D$69, BJ888, MIN(BJ888,-SUM(OFFSET(BJ865, 0, MIN(12, COUNTA(BK$3:$BV$3)), , -MIN(12, COUNTA(BK$3:$BV$3))))))</f>
        <v>0</v>
      </c>
      <c r="BK1028" s="106"/>
      <c r="BL1028" s="106"/>
      <c r="BM1028" s="106"/>
      <c r="BN1028" s="106"/>
      <c r="BO1028" s="106"/>
      <c r="BP1028" s="106"/>
      <c r="BQ1028" s="106"/>
      <c r="BR1028" s="106"/>
      <c r="BS1028" s="106"/>
      <c r="BT1028" s="106"/>
      <c r="BU1028" s="106"/>
      <c r="BV1028" s="106"/>
      <c r="BX1028" s="106"/>
      <c r="BY1028" s="12">
        <f t="shared" ca="1" si="1025"/>
        <v>0</v>
      </c>
      <c r="BZ1028" s="12">
        <f t="shared" ca="1" si="1026"/>
        <v>0</v>
      </c>
      <c r="CA1028" s="12">
        <f t="shared" ca="1" si="1027"/>
        <v>0</v>
      </c>
      <c r="CB1028" s="106"/>
      <c r="CC1028" s="106"/>
      <c r="CD1028" s="106"/>
      <c r="CE1028" s="106"/>
      <c r="CF1028" s="106"/>
      <c r="CG1028" s="106"/>
      <c r="CH1028" s="106"/>
      <c r="CI1028" s="106"/>
      <c r="CK1028" s="11"/>
      <c r="CM1028" s="11"/>
      <c r="CV1028" s="120"/>
      <c r="DF1028" s="11"/>
      <c r="EY1028" s="10" t="str">
        <f t="shared" si="997"/>
        <v/>
      </c>
    </row>
    <row r="1029" spans="1:155" x14ac:dyDescent="0.35">
      <c r="B1029" s="69" t="str" cm="1">
        <f t="array" aca="1" ref="B1029" ca="1">HYPERLINK(CONCATENATE("#",CELL("address",$D$170)),$D$170)</f>
        <v>Loan 7</v>
      </c>
      <c r="C1029" s="211"/>
      <c r="D1029" s="49">
        <f>D$19</f>
        <v>0</v>
      </c>
      <c r="E1029" s="49" t="str">
        <f>F$19</f>
        <v/>
      </c>
      <c r="F1029" s="49"/>
      <c r="H1029" s="9"/>
      <c r="I1029" s="40" t="s">
        <v>665</v>
      </c>
      <c r="V1029" s="106"/>
      <c r="W1029" s="133">
        <f t="shared" ca="1" si="1024"/>
        <v>0</v>
      </c>
      <c r="X1029" s="133">
        <f t="shared" ca="1" si="1024"/>
        <v>0</v>
      </c>
      <c r="Y1029" s="133">
        <f t="shared" ca="1" si="1024"/>
        <v>0</v>
      </c>
      <c r="AA1029" s="133">
        <f ca="1">IF($E1029=Parameters!$D$69, AA889, MIN(AA889,-SUM(OFFSET(AA866, 0, MIN(12, COUNTA(AB$3:$BV$3)), , -MIN(12, COUNTA(AB$3:$BV$3))))))</f>
        <v>0</v>
      </c>
      <c r="AB1029" s="133">
        <f ca="1">IF($E1029=Parameters!$D$69, AB889, MIN(AB889,-SUM(OFFSET(AB866, 0, MIN(12, COUNTA(AC$3:$BV$3)), , -MIN(12, COUNTA(AC$3:$BV$3))))))</f>
        <v>0</v>
      </c>
      <c r="AC1029" s="133">
        <f ca="1">IF($E1029=Parameters!$D$69, AC889, MIN(AC889,-SUM(OFFSET(AC866, 0, MIN(12, COUNTA(AD$3:$BV$3)), , -MIN(12, COUNTA(AD$3:$BV$3))))))</f>
        <v>0</v>
      </c>
      <c r="AD1029" s="133">
        <f ca="1">IF($E1029=Parameters!$D$69, AD889, MIN(AD889,-SUM(OFFSET(AD866, 0, MIN(12, COUNTA(AE$3:$BV$3)), , -MIN(12, COUNTA(AE$3:$BV$3))))))</f>
        <v>0</v>
      </c>
      <c r="AE1029" s="133">
        <f ca="1">IF($E1029=Parameters!$D$69, AE889, MIN(AE889,-SUM(OFFSET(AE866, 0, MIN(12, COUNTA(AF$3:$BV$3)), , -MIN(12, COUNTA(AF$3:$BV$3))))))</f>
        <v>0</v>
      </c>
      <c r="AF1029" s="133">
        <f ca="1">IF($E1029=Parameters!$D$69, AF889, MIN(AF889,-SUM(OFFSET(AF866, 0, MIN(12, COUNTA(AG$3:$BV$3)), , -MIN(12, COUNTA(AG$3:$BV$3))))))</f>
        <v>0</v>
      </c>
      <c r="AG1029" s="133">
        <f ca="1">IF($E1029=Parameters!$D$69, AG889, MIN(AG889,-SUM(OFFSET(AG866, 0, MIN(12, COUNTA(AH$3:$BV$3)), , -MIN(12, COUNTA(AH$3:$BV$3))))))</f>
        <v>0</v>
      </c>
      <c r="AH1029" s="133">
        <f ca="1">IF($E1029=Parameters!$D$69, AH889, MIN(AH889,-SUM(OFFSET(AH866, 0, MIN(12, COUNTA(AI$3:$BV$3)), , -MIN(12, COUNTA(AI$3:$BV$3))))))</f>
        <v>0</v>
      </c>
      <c r="AI1029" s="133">
        <f ca="1">IF($E1029=Parameters!$D$69, AI889, MIN(AI889,-SUM(OFFSET(AI866, 0, MIN(12, COUNTA(AJ$3:$BV$3)), , -MIN(12, COUNTA(AJ$3:$BV$3))))))</f>
        <v>0</v>
      </c>
      <c r="AJ1029" s="133">
        <f ca="1">IF($E1029=Parameters!$D$69, AJ889, MIN(AJ889,-SUM(OFFSET(AJ866, 0, MIN(12, COUNTA(AK$3:$BV$3)), , -MIN(12, COUNTA(AK$3:$BV$3))))))</f>
        <v>0</v>
      </c>
      <c r="AK1029" s="133">
        <f ca="1">IF($E1029=Parameters!$D$69, AK889, MIN(AK889,-SUM(OFFSET(AK866, 0, MIN(12, COUNTA(AL$3:$BV$3)), , -MIN(12, COUNTA(AL$3:$BV$3))))))</f>
        <v>0</v>
      </c>
      <c r="AL1029" s="133">
        <f ca="1">IF($E1029=Parameters!$D$69, AL889, MIN(AL889,-SUM(OFFSET(AL866, 0, MIN(12, COUNTA(AM$3:$BV$3)), , -MIN(12, COUNTA(AM$3:$BV$3))))))</f>
        <v>0</v>
      </c>
      <c r="AM1029" s="133">
        <f ca="1">IF($E1029=Parameters!$D$69, AM889, MIN(AM889,-SUM(OFFSET(AM866, 0, MIN(12, COUNTA(AN$3:$BV$3)), , -MIN(12, COUNTA(AN$3:$BV$3))))))</f>
        <v>0</v>
      </c>
      <c r="AN1029" s="133">
        <f ca="1">IF($E1029=Parameters!$D$69, AN889, MIN(AN889,-SUM(OFFSET(AN866, 0, MIN(12, COUNTA(AO$3:$BV$3)), , -MIN(12, COUNTA(AO$3:$BV$3))))))</f>
        <v>0</v>
      </c>
      <c r="AO1029" s="133">
        <f ca="1">IF($E1029=Parameters!$D$69, AO889, MIN(AO889,-SUM(OFFSET(AO866, 0, MIN(12, COUNTA(AP$3:$BV$3)), , -MIN(12, COUNTA(AP$3:$BV$3))))))</f>
        <v>0</v>
      </c>
      <c r="AP1029" s="133">
        <f ca="1">IF($E1029=Parameters!$D$69, AP889, MIN(AP889,-SUM(OFFSET(AP866, 0, MIN(12, COUNTA(AQ$3:$BV$3)), , -MIN(12, COUNTA(AQ$3:$BV$3))))))</f>
        <v>0</v>
      </c>
      <c r="AQ1029" s="133">
        <f ca="1">IF($E1029=Parameters!$D$69, AQ889, MIN(AQ889,-SUM(OFFSET(AQ866, 0, MIN(12, COUNTA(AR$3:$BV$3)), , -MIN(12, COUNTA(AR$3:$BV$3))))))</f>
        <v>0</v>
      </c>
      <c r="AR1029" s="133">
        <f ca="1">IF($E1029=Parameters!$D$69, AR889, MIN(AR889,-SUM(OFFSET(AR866, 0, MIN(12, COUNTA(AS$3:$BV$3)), , -MIN(12, COUNTA(AS$3:$BV$3))))))</f>
        <v>0</v>
      </c>
      <c r="AS1029" s="133">
        <f ca="1">IF($E1029=Parameters!$D$69, AS889, MIN(AS889,-SUM(OFFSET(AS866, 0, MIN(12, COUNTA(AT$3:$BV$3)), , -MIN(12, COUNTA(AT$3:$BV$3))))))</f>
        <v>0</v>
      </c>
      <c r="AT1029" s="133">
        <f ca="1">IF($E1029=Parameters!$D$69, AT889, MIN(AT889,-SUM(OFFSET(AT866, 0, MIN(12, COUNTA(AU$3:$BV$3)), , -MIN(12, COUNTA(AU$3:$BV$3))))))</f>
        <v>0</v>
      </c>
      <c r="AU1029" s="133">
        <f ca="1">IF($E1029=Parameters!$D$69, AU889, MIN(AU889,-SUM(OFFSET(AU866, 0, MIN(12, COUNTA(AV$3:$BV$3)), , -MIN(12, COUNTA(AV$3:$BV$3))))))</f>
        <v>0</v>
      </c>
      <c r="AV1029" s="133">
        <f ca="1">IF($E1029=Parameters!$D$69, AV889, MIN(AV889,-SUM(OFFSET(AV866, 0, MIN(12, COUNTA(AW$3:$BV$3)), , -MIN(12, COUNTA(AW$3:$BV$3))))))</f>
        <v>0</v>
      </c>
      <c r="AW1029" s="133">
        <f ca="1">IF($E1029=Parameters!$D$69, AW889, MIN(AW889,-SUM(OFFSET(AW866, 0, MIN(12, COUNTA(AX$3:$BV$3)), , -MIN(12, COUNTA(AX$3:$BV$3))))))</f>
        <v>0</v>
      </c>
      <c r="AX1029" s="133">
        <f ca="1">IF($E1029=Parameters!$D$69, AX889, MIN(AX889,-SUM(OFFSET(AX866, 0, MIN(12, COUNTA(AY$3:$BV$3)), , -MIN(12, COUNTA(AY$3:$BV$3))))))</f>
        <v>0</v>
      </c>
      <c r="AY1029" s="133">
        <f ca="1">IF($E1029=Parameters!$D$69, AY889, MIN(AY889,-SUM(OFFSET(AY866, 0, MIN(12, COUNTA(AZ$3:$BV$3)), , -MIN(12, COUNTA(AZ$3:$BV$3))))))</f>
        <v>0</v>
      </c>
      <c r="AZ1029" s="133">
        <f ca="1">IF($E1029=Parameters!$D$69, AZ889, MIN(AZ889,-SUM(OFFSET(AZ866, 0, MIN(12, COUNTA(BA$3:$BV$3)), , -MIN(12, COUNTA(BA$3:$BV$3))))))</f>
        <v>0</v>
      </c>
      <c r="BA1029" s="133">
        <f ca="1">IF($E1029=Parameters!$D$69, BA889, MIN(BA889,-SUM(OFFSET(BA866, 0, MIN(12, COUNTA(BB$3:$BV$3)), , -MIN(12, COUNTA(BB$3:$BV$3))))))</f>
        <v>0</v>
      </c>
      <c r="BB1029" s="133">
        <f ca="1">IF($E1029=Parameters!$D$69, BB889, MIN(BB889,-SUM(OFFSET(BB866, 0, MIN(12, COUNTA(BC$3:$BV$3)), , -MIN(12, COUNTA(BC$3:$BV$3))))))</f>
        <v>0</v>
      </c>
      <c r="BC1029" s="133">
        <f ca="1">IF($E1029=Parameters!$D$69, BC889, MIN(BC889,-SUM(OFFSET(BC866, 0, MIN(12, COUNTA(BD$3:$BV$3)), , -MIN(12, COUNTA(BD$3:$BV$3))))))</f>
        <v>0</v>
      </c>
      <c r="BD1029" s="133">
        <f ca="1">IF($E1029=Parameters!$D$69, BD889, MIN(BD889,-SUM(OFFSET(BD866, 0, MIN(12, COUNTA(BE$3:$BV$3)), , -MIN(12, COUNTA(BE$3:$BV$3))))))</f>
        <v>0</v>
      </c>
      <c r="BE1029" s="133">
        <f ca="1">IF($E1029=Parameters!$D$69, BE889, MIN(BE889,-SUM(OFFSET(BE866, 0, MIN(12, COUNTA(BF$3:$BV$3)), , -MIN(12, COUNTA(BF$3:$BV$3))))))</f>
        <v>0</v>
      </c>
      <c r="BF1029" s="133">
        <f ca="1">IF($E1029=Parameters!$D$69, BF889, MIN(BF889,-SUM(OFFSET(BF866, 0, MIN(12, COUNTA(BG$3:$BV$3)), , -MIN(12, COUNTA(BG$3:$BV$3))))))</f>
        <v>0</v>
      </c>
      <c r="BG1029" s="133">
        <f ca="1">IF($E1029=Parameters!$D$69, BG889, MIN(BG889,-SUM(OFFSET(BG866, 0, MIN(12, COUNTA(BH$3:$BV$3)), , -MIN(12, COUNTA(BH$3:$BV$3))))))</f>
        <v>0</v>
      </c>
      <c r="BH1029" s="133">
        <f ca="1">IF($E1029=Parameters!$D$69, BH889, MIN(BH889,-SUM(OFFSET(BH866, 0, MIN(12, COUNTA(BI$3:$BV$3)), , -MIN(12, COUNTA(BI$3:$BV$3))))))</f>
        <v>0</v>
      </c>
      <c r="BI1029" s="133">
        <f ca="1">IF($E1029=Parameters!$D$69, BI889, MIN(BI889,-SUM(OFFSET(BI866, 0, MIN(12, COUNTA(BJ$3:$BV$3)), , -MIN(12, COUNTA(BJ$3:$BV$3))))))</f>
        <v>0</v>
      </c>
      <c r="BJ1029" s="133">
        <f ca="1">IF($E1029=Parameters!$D$69, BJ889, MIN(BJ889,-SUM(OFFSET(BJ866, 0, MIN(12, COUNTA(BK$3:$BV$3)), , -MIN(12, COUNTA(BK$3:$BV$3))))))</f>
        <v>0</v>
      </c>
      <c r="BK1029" s="106"/>
      <c r="BL1029" s="106"/>
      <c r="BM1029" s="106"/>
      <c r="BN1029" s="106"/>
      <c r="BO1029" s="106"/>
      <c r="BP1029" s="106"/>
      <c r="BQ1029" s="106"/>
      <c r="BR1029" s="106"/>
      <c r="BS1029" s="106"/>
      <c r="BT1029" s="106"/>
      <c r="BU1029" s="106"/>
      <c r="BV1029" s="106"/>
      <c r="BX1029" s="106"/>
      <c r="BY1029" s="12">
        <f t="shared" ca="1" si="1025"/>
        <v>0</v>
      </c>
      <c r="BZ1029" s="12">
        <f t="shared" ca="1" si="1026"/>
        <v>0</v>
      </c>
      <c r="CA1029" s="12">
        <f t="shared" ca="1" si="1027"/>
        <v>0</v>
      </c>
      <c r="CB1029" s="106"/>
      <c r="CC1029" s="106"/>
      <c r="CD1029" s="106"/>
      <c r="CE1029" s="106"/>
      <c r="CF1029" s="106"/>
      <c r="CG1029" s="106"/>
      <c r="CH1029" s="106"/>
      <c r="CI1029" s="106"/>
      <c r="CK1029" s="11"/>
      <c r="CM1029" s="11"/>
      <c r="CV1029" s="120"/>
      <c r="DF1029" s="11"/>
      <c r="EY1029" s="10" t="str">
        <f t="shared" si="997"/>
        <v/>
      </c>
    </row>
    <row r="1030" spans="1:155" x14ac:dyDescent="0.35">
      <c r="B1030" s="69" t="str" cm="1">
        <f t="array" aca="1" ref="B1030" ca="1">HYPERLINK(CONCATENATE("#",CELL("address",$D$189)),$D$189)</f>
        <v>Loan 8</v>
      </c>
      <c r="C1030" s="211"/>
      <c r="D1030" s="49">
        <f>D$20</f>
        <v>0</v>
      </c>
      <c r="E1030" s="49" t="str">
        <f>F$20</f>
        <v/>
      </c>
      <c r="F1030" s="49"/>
      <c r="H1030" s="9"/>
      <c r="I1030" s="40" t="s">
        <v>665</v>
      </c>
      <c r="V1030" s="106"/>
      <c r="W1030" s="133">
        <f t="shared" ca="1" si="1024"/>
        <v>0</v>
      </c>
      <c r="X1030" s="133">
        <f t="shared" ca="1" si="1024"/>
        <v>0</v>
      </c>
      <c r="Y1030" s="133">
        <f t="shared" ca="1" si="1024"/>
        <v>0</v>
      </c>
      <c r="AA1030" s="133">
        <f ca="1">IF($E1030=Parameters!$D$69, AA890, MIN(AA890,-SUM(OFFSET(AA867, 0, MIN(12, COUNTA(AB$3:$BV$3)), , -MIN(12, COUNTA(AB$3:$BV$3))))))</f>
        <v>0</v>
      </c>
      <c r="AB1030" s="133">
        <f ca="1">IF($E1030=Parameters!$D$69, AB890, MIN(AB890,-SUM(OFFSET(AB867, 0, MIN(12, COUNTA(AC$3:$BV$3)), , -MIN(12, COUNTA(AC$3:$BV$3))))))</f>
        <v>0</v>
      </c>
      <c r="AC1030" s="133">
        <f ca="1">IF($E1030=Parameters!$D$69, AC890, MIN(AC890,-SUM(OFFSET(AC867, 0, MIN(12, COUNTA(AD$3:$BV$3)), , -MIN(12, COUNTA(AD$3:$BV$3))))))</f>
        <v>0</v>
      </c>
      <c r="AD1030" s="133">
        <f ca="1">IF($E1030=Parameters!$D$69, AD890, MIN(AD890,-SUM(OFFSET(AD867, 0, MIN(12, COUNTA(AE$3:$BV$3)), , -MIN(12, COUNTA(AE$3:$BV$3))))))</f>
        <v>0</v>
      </c>
      <c r="AE1030" s="133">
        <f ca="1">IF($E1030=Parameters!$D$69, AE890, MIN(AE890,-SUM(OFFSET(AE867, 0, MIN(12, COUNTA(AF$3:$BV$3)), , -MIN(12, COUNTA(AF$3:$BV$3))))))</f>
        <v>0</v>
      </c>
      <c r="AF1030" s="133">
        <f ca="1">IF($E1030=Parameters!$D$69, AF890, MIN(AF890,-SUM(OFFSET(AF867, 0, MIN(12, COUNTA(AG$3:$BV$3)), , -MIN(12, COUNTA(AG$3:$BV$3))))))</f>
        <v>0</v>
      </c>
      <c r="AG1030" s="133">
        <f ca="1">IF($E1030=Parameters!$D$69, AG890, MIN(AG890,-SUM(OFFSET(AG867, 0, MIN(12, COUNTA(AH$3:$BV$3)), , -MIN(12, COUNTA(AH$3:$BV$3))))))</f>
        <v>0</v>
      </c>
      <c r="AH1030" s="133">
        <f ca="1">IF($E1030=Parameters!$D$69, AH890, MIN(AH890,-SUM(OFFSET(AH867, 0, MIN(12, COUNTA(AI$3:$BV$3)), , -MIN(12, COUNTA(AI$3:$BV$3))))))</f>
        <v>0</v>
      </c>
      <c r="AI1030" s="133">
        <f ca="1">IF($E1030=Parameters!$D$69, AI890, MIN(AI890,-SUM(OFFSET(AI867, 0, MIN(12, COUNTA(AJ$3:$BV$3)), , -MIN(12, COUNTA(AJ$3:$BV$3))))))</f>
        <v>0</v>
      </c>
      <c r="AJ1030" s="133">
        <f ca="1">IF($E1030=Parameters!$D$69, AJ890, MIN(AJ890,-SUM(OFFSET(AJ867, 0, MIN(12, COUNTA(AK$3:$BV$3)), , -MIN(12, COUNTA(AK$3:$BV$3))))))</f>
        <v>0</v>
      </c>
      <c r="AK1030" s="133">
        <f ca="1">IF($E1030=Parameters!$D$69, AK890, MIN(AK890,-SUM(OFFSET(AK867, 0, MIN(12, COUNTA(AL$3:$BV$3)), , -MIN(12, COUNTA(AL$3:$BV$3))))))</f>
        <v>0</v>
      </c>
      <c r="AL1030" s="133">
        <f ca="1">IF($E1030=Parameters!$D$69, AL890, MIN(AL890,-SUM(OFFSET(AL867, 0, MIN(12, COUNTA(AM$3:$BV$3)), , -MIN(12, COUNTA(AM$3:$BV$3))))))</f>
        <v>0</v>
      </c>
      <c r="AM1030" s="133">
        <f ca="1">IF($E1030=Parameters!$D$69, AM890, MIN(AM890,-SUM(OFFSET(AM867, 0, MIN(12, COUNTA(AN$3:$BV$3)), , -MIN(12, COUNTA(AN$3:$BV$3))))))</f>
        <v>0</v>
      </c>
      <c r="AN1030" s="133">
        <f ca="1">IF($E1030=Parameters!$D$69, AN890, MIN(AN890,-SUM(OFFSET(AN867, 0, MIN(12, COUNTA(AO$3:$BV$3)), , -MIN(12, COUNTA(AO$3:$BV$3))))))</f>
        <v>0</v>
      </c>
      <c r="AO1030" s="133">
        <f ca="1">IF($E1030=Parameters!$D$69, AO890, MIN(AO890,-SUM(OFFSET(AO867, 0, MIN(12, COUNTA(AP$3:$BV$3)), , -MIN(12, COUNTA(AP$3:$BV$3))))))</f>
        <v>0</v>
      </c>
      <c r="AP1030" s="133">
        <f ca="1">IF($E1030=Parameters!$D$69, AP890, MIN(AP890,-SUM(OFFSET(AP867, 0, MIN(12, COUNTA(AQ$3:$BV$3)), , -MIN(12, COUNTA(AQ$3:$BV$3))))))</f>
        <v>0</v>
      </c>
      <c r="AQ1030" s="133">
        <f ca="1">IF($E1030=Parameters!$D$69, AQ890, MIN(AQ890,-SUM(OFFSET(AQ867, 0, MIN(12, COUNTA(AR$3:$BV$3)), , -MIN(12, COUNTA(AR$3:$BV$3))))))</f>
        <v>0</v>
      </c>
      <c r="AR1030" s="133">
        <f ca="1">IF($E1030=Parameters!$D$69, AR890, MIN(AR890,-SUM(OFFSET(AR867, 0, MIN(12, COUNTA(AS$3:$BV$3)), , -MIN(12, COUNTA(AS$3:$BV$3))))))</f>
        <v>0</v>
      </c>
      <c r="AS1030" s="133">
        <f ca="1">IF($E1030=Parameters!$D$69, AS890, MIN(AS890,-SUM(OFFSET(AS867, 0, MIN(12, COUNTA(AT$3:$BV$3)), , -MIN(12, COUNTA(AT$3:$BV$3))))))</f>
        <v>0</v>
      </c>
      <c r="AT1030" s="133">
        <f ca="1">IF($E1030=Parameters!$D$69, AT890, MIN(AT890,-SUM(OFFSET(AT867, 0, MIN(12, COUNTA(AU$3:$BV$3)), , -MIN(12, COUNTA(AU$3:$BV$3))))))</f>
        <v>0</v>
      </c>
      <c r="AU1030" s="133">
        <f ca="1">IF($E1030=Parameters!$D$69, AU890, MIN(AU890,-SUM(OFFSET(AU867, 0, MIN(12, COUNTA(AV$3:$BV$3)), , -MIN(12, COUNTA(AV$3:$BV$3))))))</f>
        <v>0</v>
      </c>
      <c r="AV1030" s="133">
        <f ca="1">IF($E1030=Parameters!$D$69, AV890, MIN(AV890,-SUM(OFFSET(AV867, 0, MIN(12, COUNTA(AW$3:$BV$3)), , -MIN(12, COUNTA(AW$3:$BV$3))))))</f>
        <v>0</v>
      </c>
      <c r="AW1030" s="133">
        <f ca="1">IF($E1030=Parameters!$D$69, AW890, MIN(AW890,-SUM(OFFSET(AW867, 0, MIN(12, COUNTA(AX$3:$BV$3)), , -MIN(12, COUNTA(AX$3:$BV$3))))))</f>
        <v>0</v>
      </c>
      <c r="AX1030" s="133">
        <f ca="1">IF($E1030=Parameters!$D$69, AX890, MIN(AX890,-SUM(OFFSET(AX867, 0, MIN(12, COUNTA(AY$3:$BV$3)), , -MIN(12, COUNTA(AY$3:$BV$3))))))</f>
        <v>0</v>
      </c>
      <c r="AY1030" s="133">
        <f ca="1">IF($E1030=Parameters!$D$69, AY890, MIN(AY890,-SUM(OFFSET(AY867, 0, MIN(12, COUNTA(AZ$3:$BV$3)), , -MIN(12, COUNTA(AZ$3:$BV$3))))))</f>
        <v>0</v>
      </c>
      <c r="AZ1030" s="133">
        <f ca="1">IF($E1030=Parameters!$D$69, AZ890, MIN(AZ890,-SUM(OFFSET(AZ867, 0, MIN(12, COUNTA(BA$3:$BV$3)), , -MIN(12, COUNTA(BA$3:$BV$3))))))</f>
        <v>0</v>
      </c>
      <c r="BA1030" s="133">
        <f ca="1">IF($E1030=Parameters!$D$69, BA890, MIN(BA890,-SUM(OFFSET(BA867, 0, MIN(12, COUNTA(BB$3:$BV$3)), , -MIN(12, COUNTA(BB$3:$BV$3))))))</f>
        <v>0</v>
      </c>
      <c r="BB1030" s="133">
        <f ca="1">IF($E1030=Parameters!$D$69, BB890, MIN(BB890,-SUM(OFFSET(BB867, 0, MIN(12, COUNTA(BC$3:$BV$3)), , -MIN(12, COUNTA(BC$3:$BV$3))))))</f>
        <v>0</v>
      </c>
      <c r="BC1030" s="133">
        <f ca="1">IF($E1030=Parameters!$D$69, BC890, MIN(BC890,-SUM(OFFSET(BC867, 0, MIN(12, COUNTA(BD$3:$BV$3)), , -MIN(12, COUNTA(BD$3:$BV$3))))))</f>
        <v>0</v>
      </c>
      <c r="BD1030" s="133">
        <f ca="1">IF($E1030=Parameters!$D$69, BD890, MIN(BD890,-SUM(OFFSET(BD867, 0, MIN(12, COUNTA(BE$3:$BV$3)), , -MIN(12, COUNTA(BE$3:$BV$3))))))</f>
        <v>0</v>
      </c>
      <c r="BE1030" s="133">
        <f ca="1">IF($E1030=Parameters!$D$69, BE890, MIN(BE890,-SUM(OFFSET(BE867, 0, MIN(12, COUNTA(BF$3:$BV$3)), , -MIN(12, COUNTA(BF$3:$BV$3))))))</f>
        <v>0</v>
      </c>
      <c r="BF1030" s="133">
        <f ca="1">IF($E1030=Parameters!$D$69, BF890, MIN(BF890,-SUM(OFFSET(BF867, 0, MIN(12, COUNTA(BG$3:$BV$3)), , -MIN(12, COUNTA(BG$3:$BV$3))))))</f>
        <v>0</v>
      </c>
      <c r="BG1030" s="133">
        <f ca="1">IF($E1030=Parameters!$D$69, BG890, MIN(BG890,-SUM(OFFSET(BG867, 0, MIN(12, COUNTA(BH$3:$BV$3)), , -MIN(12, COUNTA(BH$3:$BV$3))))))</f>
        <v>0</v>
      </c>
      <c r="BH1030" s="133">
        <f ca="1">IF($E1030=Parameters!$D$69, BH890, MIN(BH890,-SUM(OFFSET(BH867, 0, MIN(12, COUNTA(BI$3:$BV$3)), , -MIN(12, COUNTA(BI$3:$BV$3))))))</f>
        <v>0</v>
      </c>
      <c r="BI1030" s="133">
        <f ca="1">IF($E1030=Parameters!$D$69, BI890, MIN(BI890,-SUM(OFFSET(BI867, 0, MIN(12, COUNTA(BJ$3:$BV$3)), , -MIN(12, COUNTA(BJ$3:$BV$3))))))</f>
        <v>0</v>
      </c>
      <c r="BJ1030" s="133">
        <f ca="1">IF($E1030=Parameters!$D$69, BJ890, MIN(BJ890,-SUM(OFFSET(BJ867, 0, MIN(12, COUNTA(BK$3:$BV$3)), , -MIN(12, COUNTA(BK$3:$BV$3))))))</f>
        <v>0</v>
      </c>
      <c r="BK1030" s="106"/>
      <c r="BL1030" s="106"/>
      <c r="BM1030" s="106"/>
      <c r="BN1030" s="106"/>
      <c r="BO1030" s="106"/>
      <c r="BP1030" s="106"/>
      <c r="BQ1030" s="106"/>
      <c r="BR1030" s="106"/>
      <c r="BS1030" s="106"/>
      <c r="BT1030" s="106"/>
      <c r="BU1030" s="106"/>
      <c r="BV1030" s="106"/>
      <c r="BX1030" s="106"/>
      <c r="BY1030" s="12">
        <f t="shared" ca="1" si="1025"/>
        <v>0</v>
      </c>
      <c r="BZ1030" s="12">
        <f t="shared" ca="1" si="1026"/>
        <v>0</v>
      </c>
      <c r="CA1030" s="12">
        <f t="shared" ca="1" si="1027"/>
        <v>0</v>
      </c>
      <c r="CB1030" s="106"/>
      <c r="CC1030" s="106"/>
      <c r="CD1030" s="106"/>
      <c r="CE1030" s="106"/>
      <c r="CF1030" s="106"/>
      <c r="CG1030" s="106"/>
      <c r="CH1030" s="106"/>
      <c r="CI1030" s="106"/>
      <c r="CK1030" s="11"/>
      <c r="CM1030" s="11"/>
      <c r="CV1030" s="120"/>
      <c r="DF1030" s="11"/>
      <c r="EY1030" s="10" t="str">
        <f t="shared" si="997"/>
        <v/>
      </c>
    </row>
    <row r="1031" spans="1:155" x14ac:dyDescent="0.35">
      <c r="B1031" s="69" t="str" cm="1">
        <f t="array" aca="1" ref="B1031" ca="1">HYPERLINK(CONCATENATE("#",CELL("address",$D$208)),$D$208)</f>
        <v>Loan 9</v>
      </c>
      <c r="C1031" s="211"/>
      <c r="D1031" s="49">
        <f>D$21</f>
        <v>0</v>
      </c>
      <c r="E1031" s="49" t="str">
        <f>F$21</f>
        <v/>
      </c>
      <c r="F1031" s="49"/>
      <c r="H1031" s="9"/>
      <c r="I1031" s="40" t="s">
        <v>665</v>
      </c>
      <c r="V1031" s="106"/>
      <c r="W1031" s="133">
        <f t="shared" ca="1" si="1024"/>
        <v>0</v>
      </c>
      <c r="X1031" s="133">
        <f t="shared" ca="1" si="1024"/>
        <v>0</v>
      </c>
      <c r="Y1031" s="133">
        <f t="shared" ca="1" si="1024"/>
        <v>0</v>
      </c>
      <c r="AA1031" s="133">
        <f ca="1">IF($E1031=Parameters!$D$69, AA891, MIN(AA891,-SUM(OFFSET(AA868, 0, MIN(12, COUNTA(AB$3:$BV$3)), , -MIN(12, COUNTA(AB$3:$BV$3))))))</f>
        <v>0</v>
      </c>
      <c r="AB1031" s="133">
        <f ca="1">IF($E1031=Parameters!$D$69, AB891, MIN(AB891,-SUM(OFFSET(AB868, 0, MIN(12, COUNTA(AC$3:$BV$3)), , -MIN(12, COUNTA(AC$3:$BV$3))))))</f>
        <v>0</v>
      </c>
      <c r="AC1031" s="133">
        <f ca="1">IF($E1031=Parameters!$D$69, AC891, MIN(AC891,-SUM(OFFSET(AC868, 0, MIN(12, COUNTA(AD$3:$BV$3)), , -MIN(12, COUNTA(AD$3:$BV$3))))))</f>
        <v>0</v>
      </c>
      <c r="AD1031" s="133">
        <f ca="1">IF($E1031=Parameters!$D$69, AD891, MIN(AD891,-SUM(OFFSET(AD868, 0, MIN(12, COUNTA(AE$3:$BV$3)), , -MIN(12, COUNTA(AE$3:$BV$3))))))</f>
        <v>0</v>
      </c>
      <c r="AE1031" s="133">
        <f ca="1">IF($E1031=Parameters!$D$69, AE891, MIN(AE891,-SUM(OFFSET(AE868, 0, MIN(12, COUNTA(AF$3:$BV$3)), , -MIN(12, COUNTA(AF$3:$BV$3))))))</f>
        <v>0</v>
      </c>
      <c r="AF1031" s="133">
        <f ca="1">IF($E1031=Parameters!$D$69, AF891, MIN(AF891,-SUM(OFFSET(AF868, 0, MIN(12, COUNTA(AG$3:$BV$3)), , -MIN(12, COUNTA(AG$3:$BV$3))))))</f>
        <v>0</v>
      </c>
      <c r="AG1031" s="133">
        <f ca="1">IF($E1031=Parameters!$D$69, AG891, MIN(AG891,-SUM(OFFSET(AG868, 0, MIN(12, COUNTA(AH$3:$BV$3)), , -MIN(12, COUNTA(AH$3:$BV$3))))))</f>
        <v>0</v>
      </c>
      <c r="AH1031" s="133">
        <f ca="1">IF($E1031=Parameters!$D$69, AH891, MIN(AH891,-SUM(OFFSET(AH868, 0, MIN(12, COUNTA(AI$3:$BV$3)), , -MIN(12, COUNTA(AI$3:$BV$3))))))</f>
        <v>0</v>
      </c>
      <c r="AI1031" s="133">
        <f ca="1">IF($E1031=Parameters!$D$69, AI891, MIN(AI891,-SUM(OFFSET(AI868, 0, MIN(12, COUNTA(AJ$3:$BV$3)), , -MIN(12, COUNTA(AJ$3:$BV$3))))))</f>
        <v>0</v>
      </c>
      <c r="AJ1031" s="133">
        <f ca="1">IF($E1031=Parameters!$D$69, AJ891, MIN(AJ891,-SUM(OFFSET(AJ868, 0, MIN(12, COUNTA(AK$3:$BV$3)), , -MIN(12, COUNTA(AK$3:$BV$3))))))</f>
        <v>0</v>
      </c>
      <c r="AK1031" s="133">
        <f ca="1">IF($E1031=Parameters!$D$69, AK891, MIN(AK891,-SUM(OFFSET(AK868, 0, MIN(12, COUNTA(AL$3:$BV$3)), , -MIN(12, COUNTA(AL$3:$BV$3))))))</f>
        <v>0</v>
      </c>
      <c r="AL1031" s="133">
        <f ca="1">IF($E1031=Parameters!$D$69, AL891, MIN(AL891,-SUM(OFFSET(AL868, 0, MIN(12, COUNTA(AM$3:$BV$3)), , -MIN(12, COUNTA(AM$3:$BV$3))))))</f>
        <v>0</v>
      </c>
      <c r="AM1031" s="133">
        <f ca="1">IF($E1031=Parameters!$D$69, AM891, MIN(AM891,-SUM(OFFSET(AM868, 0, MIN(12, COUNTA(AN$3:$BV$3)), , -MIN(12, COUNTA(AN$3:$BV$3))))))</f>
        <v>0</v>
      </c>
      <c r="AN1031" s="133">
        <f ca="1">IF($E1031=Parameters!$D$69, AN891, MIN(AN891,-SUM(OFFSET(AN868, 0, MIN(12, COUNTA(AO$3:$BV$3)), , -MIN(12, COUNTA(AO$3:$BV$3))))))</f>
        <v>0</v>
      </c>
      <c r="AO1031" s="133">
        <f ca="1">IF($E1031=Parameters!$D$69, AO891, MIN(AO891,-SUM(OFFSET(AO868, 0, MIN(12, COUNTA(AP$3:$BV$3)), , -MIN(12, COUNTA(AP$3:$BV$3))))))</f>
        <v>0</v>
      </c>
      <c r="AP1031" s="133">
        <f ca="1">IF($E1031=Parameters!$D$69, AP891, MIN(AP891,-SUM(OFFSET(AP868, 0, MIN(12, COUNTA(AQ$3:$BV$3)), , -MIN(12, COUNTA(AQ$3:$BV$3))))))</f>
        <v>0</v>
      </c>
      <c r="AQ1031" s="133">
        <f ca="1">IF($E1031=Parameters!$D$69, AQ891, MIN(AQ891,-SUM(OFFSET(AQ868, 0, MIN(12, COUNTA(AR$3:$BV$3)), , -MIN(12, COUNTA(AR$3:$BV$3))))))</f>
        <v>0</v>
      </c>
      <c r="AR1031" s="133">
        <f ca="1">IF($E1031=Parameters!$D$69, AR891, MIN(AR891,-SUM(OFFSET(AR868, 0, MIN(12, COUNTA(AS$3:$BV$3)), , -MIN(12, COUNTA(AS$3:$BV$3))))))</f>
        <v>0</v>
      </c>
      <c r="AS1031" s="133">
        <f ca="1">IF($E1031=Parameters!$D$69, AS891, MIN(AS891,-SUM(OFFSET(AS868, 0, MIN(12, COUNTA(AT$3:$BV$3)), , -MIN(12, COUNTA(AT$3:$BV$3))))))</f>
        <v>0</v>
      </c>
      <c r="AT1031" s="133">
        <f ca="1">IF($E1031=Parameters!$D$69, AT891, MIN(AT891,-SUM(OFFSET(AT868, 0, MIN(12, COUNTA(AU$3:$BV$3)), , -MIN(12, COUNTA(AU$3:$BV$3))))))</f>
        <v>0</v>
      </c>
      <c r="AU1031" s="133">
        <f ca="1">IF($E1031=Parameters!$D$69, AU891, MIN(AU891,-SUM(OFFSET(AU868, 0, MIN(12, COUNTA(AV$3:$BV$3)), , -MIN(12, COUNTA(AV$3:$BV$3))))))</f>
        <v>0</v>
      </c>
      <c r="AV1031" s="133">
        <f ca="1">IF($E1031=Parameters!$D$69, AV891, MIN(AV891,-SUM(OFFSET(AV868, 0, MIN(12, COUNTA(AW$3:$BV$3)), , -MIN(12, COUNTA(AW$3:$BV$3))))))</f>
        <v>0</v>
      </c>
      <c r="AW1031" s="133">
        <f ca="1">IF($E1031=Parameters!$D$69, AW891, MIN(AW891,-SUM(OFFSET(AW868, 0, MIN(12, COUNTA(AX$3:$BV$3)), , -MIN(12, COUNTA(AX$3:$BV$3))))))</f>
        <v>0</v>
      </c>
      <c r="AX1031" s="133">
        <f ca="1">IF($E1031=Parameters!$D$69, AX891, MIN(AX891,-SUM(OFFSET(AX868, 0, MIN(12, COUNTA(AY$3:$BV$3)), , -MIN(12, COUNTA(AY$3:$BV$3))))))</f>
        <v>0</v>
      </c>
      <c r="AY1031" s="133">
        <f ca="1">IF($E1031=Parameters!$D$69, AY891, MIN(AY891,-SUM(OFFSET(AY868, 0, MIN(12, COUNTA(AZ$3:$BV$3)), , -MIN(12, COUNTA(AZ$3:$BV$3))))))</f>
        <v>0</v>
      </c>
      <c r="AZ1031" s="133">
        <f ca="1">IF($E1031=Parameters!$D$69, AZ891, MIN(AZ891,-SUM(OFFSET(AZ868, 0, MIN(12, COUNTA(BA$3:$BV$3)), , -MIN(12, COUNTA(BA$3:$BV$3))))))</f>
        <v>0</v>
      </c>
      <c r="BA1031" s="133">
        <f ca="1">IF($E1031=Parameters!$D$69, BA891, MIN(BA891,-SUM(OFFSET(BA868, 0, MIN(12, COUNTA(BB$3:$BV$3)), , -MIN(12, COUNTA(BB$3:$BV$3))))))</f>
        <v>0</v>
      </c>
      <c r="BB1031" s="133">
        <f ca="1">IF($E1031=Parameters!$D$69, BB891, MIN(BB891,-SUM(OFFSET(BB868, 0, MIN(12, COUNTA(BC$3:$BV$3)), , -MIN(12, COUNTA(BC$3:$BV$3))))))</f>
        <v>0</v>
      </c>
      <c r="BC1031" s="133">
        <f ca="1">IF($E1031=Parameters!$D$69, BC891, MIN(BC891,-SUM(OFFSET(BC868, 0, MIN(12, COUNTA(BD$3:$BV$3)), , -MIN(12, COUNTA(BD$3:$BV$3))))))</f>
        <v>0</v>
      </c>
      <c r="BD1031" s="133">
        <f ca="1">IF($E1031=Parameters!$D$69, BD891, MIN(BD891,-SUM(OFFSET(BD868, 0, MIN(12, COUNTA(BE$3:$BV$3)), , -MIN(12, COUNTA(BE$3:$BV$3))))))</f>
        <v>0</v>
      </c>
      <c r="BE1031" s="133">
        <f ca="1">IF($E1031=Parameters!$D$69, BE891, MIN(BE891,-SUM(OFFSET(BE868, 0, MIN(12, COUNTA(BF$3:$BV$3)), , -MIN(12, COUNTA(BF$3:$BV$3))))))</f>
        <v>0</v>
      </c>
      <c r="BF1031" s="133">
        <f ca="1">IF($E1031=Parameters!$D$69, BF891, MIN(BF891,-SUM(OFFSET(BF868, 0, MIN(12, COUNTA(BG$3:$BV$3)), , -MIN(12, COUNTA(BG$3:$BV$3))))))</f>
        <v>0</v>
      </c>
      <c r="BG1031" s="133">
        <f ca="1">IF($E1031=Parameters!$D$69, BG891, MIN(BG891,-SUM(OFFSET(BG868, 0, MIN(12, COUNTA(BH$3:$BV$3)), , -MIN(12, COUNTA(BH$3:$BV$3))))))</f>
        <v>0</v>
      </c>
      <c r="BH1031" s="133">
        <f ca="1">IF($E1031=Parameters!$D$69, BH891, MIN(BH891,-SUM(OFFSET(BH868, 0, MIN(12, COUNTA(BI$3:$BV$3)), , -MIN(12, COUNTA(BI$3:$BV$3))))))</f>
        <v>0</v>
      </c>
      <c r="BI1031" s="133">
        <f ca="1">IF($E1031=Parameters!$D$69, BI891, MIN(BI891,-SUM(OFFSET(BI868, 0, MIN(12, COUNTA(BJ$3:$BV$3)), , -MIN(12, COUNTA(BJ$3:$BV$3))))))</f>
        <v>0</v>
      </c>
      <c r="BJ1031" s="133">
        <f ca="1">IF($E1031=Parameters!$D$69, BJ891, MIN(BJ891,-SUM(OFFSET(BJ868, 0, MIN(12, COUNTA(BK$3:$BV$3)), , -MIN(12, COUNTA(BK$3:$BV$3))))))</f>
        <v>0</v>
      </c>
      <c r="BK1031" s="106"/>
      <c r="BL1031" s="106"/>
      <c r="BM1031" s="106"/>
      <c r="BN1031" s="106"/>
      <c r="BO1031" s="106"/>
      <c r="BP1031" s="106"/>
      <c r="BQ1031" s="106"/>
      <c r="BR1031" s="106"/>
      <c r="BS1031" s="106"/>
      <c r="BT1031" s="106"/>
      <c r="BU1031" s="106"/>
      <c r="BV1031" s="106"/>
      <c r="BX1031" s="106"/>
      <c r="BY1031" s="12">
        <f t="shared" ca="1" si="1025"/>
        <v>0</v>
      </c>
      <c r="BZ1031" s="12">
        <f t="shared" ca="1" si="1026"/>
        <v>0</v>
      </c>
      <c r="CA1031" s="12">
        <f t="shared" ca="1" si="1027"/>
        <v>0</v>
      </c>
      <c r="CB1031" s="106"/>
      <c r="CC1031" s="106"/>
      <c r="CD1031" s="106"/>
      <c r="CE1031" s="106"/>
      <c r="CF1031" s="106"/>
      <c r="CG1031" s="106"/>
      <c r="CH1031" s="106"/>
      <c r="CI1031" s="106"/>
      <c r="CK1031" s="11"/>
      <c r="CM1031" s="11"/>
      <c r="CV1031" s="120"/>
      <c r="DF1031" s="11"/>
      <c r="EY1031" s="10" t="str">
        <f t="shared" si="997"/>
        <v/>
      </c>
    </row>
    <row r="1032" spans="1:155" x14ac:dyDescent="0.35">
      <c r="B1032" s="69" t="str" cm="1">
        <f t="array" aca="1" ref="B1032" ca="1">HYPERLINK(CONCATENATE("#",CELL("address",$D$227)),$D$227)</f>
        <v>Loan 10</v>
      </c>
      <c r="C1032" s="211"/>
      <c r="D1032" s="49">
        <f>D$22</f>
        <v>0</v>
      </c>
      <c r="E1032" s="49" t="str">
        <f>F$22</f>
        <v/>
      </c>
      <c r="F1032" s="49"/>
      <c r="H1032" s="9"/>
      <c r="I1032" s="40" t="s">
        <v>665</v>
      </c>
      <c r="V1032" s="106"/>
      <c r="W1032" s="133">
        <f t="shared" ca="1" si="1024"/>
        <v>0</v>
      </c>
      <c r="X1032" s="133">
        <f t="shared" ca="1" si="1024"/>
        <v>0</v>
      </c>
      <c r="Y1032" s="133">
        <f t="shared" ca="1" si="1024"/>
        <v>0</v>
      </c>
      <c r="AA1032" s="133">
        <f ca="1">IF($E1032=Parameters!$D$69, AA892, MIN(AA892,-SUM(OFFSET(AA869, 0, MIN(12, COUNTA(AB$3:$BV$3)), , -MIN(12, COUNTA(AB$3:$BV$3))))))</f>
        <v>0</v>
      </c>
      <c r="AB1032" s="133">
        <f ca="1">IF($E1032=Parameters!$D$69, AB892, MIN(AB892,-SUM(OFFSET(AB869, 0, MIN(12, COUNTA(AC$3:$BV$3)), , -MIN(12, COUNTA(AC$3:$BV$3))))))</f>
        <v>0</v>
      </c>
      <c r="AC1032" s="133">
        <f ca="1">IF($E1032=Parameters!$D$69, AC892, MIN(AC892,-SUM(OFFSET(AC869, 0, MIN(12, COUNTA(AD$3:$BV$3)), , -MIN(12, COUNTA(AD$3:$BV$3))))))</f>
        <v>0</v>
      </c>
      <c r="AD1032" s="133">
        <f ca="1">IF($E1032=Parameters!$D$69, AD892, MIN(AD892,-SUM(OFFSET(AD869, 0, MIN(12, COUNTA(AE$3:$BV$3)), , -MIN(12, COUNTA(AE$3:$BV$3))))))</f>
        <v>0</v>
      </c>
      <c r="AE1032" s="133">
        <f ca="1">IF($E1032=Parameters!$D$69, AE892, MIN(AE892,-SUM(OFFSET(AE869, 0, MIN(12, COUNTA(AF$3:$BV$3)), , -MIN(12, COUNTA(AF$3:$BV$3))))))</f>
        <v>0</v>
      </c>
      <c r="AF1032" s="133">
        <f ca="1">IF($E1032=Parameters!$D$69, AF892, MIN(AF892,-SUM(OFFSET(AF869, 0, MIN(12, COUNTA(AG$3:$BV$3)), , -MIN(12, COUNTA(AG$3:$BV$3))))))</f>
        <v>0</v>
      </c>
      <c r="AG1032" s="133">
        <f ca="1">IF($E1032=Parameters!$D$69, AG892, MIN(AG892,-SUM(OFFSET(AG869, 0, MIN(12, COUNTA(AH$3:$BV$3)), , -MIN(12, COUNTA(AH$3:$BV$3))))))</f>
        <v>0</v>
      </c>
      <c r="AH1032" s="133">
        <f ca="1">IF($E1032=Parameters!$D$69, AH892, MIN(AH892,-SUM(OFFSET(AH869, 0, MIN(12, COUNTA(AI$3:$BV$3)), , -MIN(12, COUNTA(AI$3:$BV$3))))))</f>
        <v>0</v>
      </c>
      <c r="AI1032" s="133">
        <f ca="1">IF($E1032=Parameters!$D$69, AI892, MIN(AI892,-SUM(OFFSET(AI869, 0, MIN(12, COUNTA(AJ$3:$BV$3)), , -MIN(12, COUNTA(AJ$3:$BV$3))))))</f>
        <v>0</v>
      </c>
      <c r="AJ1032" s="133">
        <f ca="1">IF($E1032=Parameters!$D$69, AJ892, MIN(AJ892,-SUM(OFFSET(AJ869, 0, MIN(12, COUNTA(AK$3:$BV$3)), , -MIN(12, COUNTA(AK$3:$BV$3))))))</f>
        <v>0</v>
      </c>
      <c r="AK1032" s="133">
        <f ca="1">IF($E1032=Parameters!$D$69, AK892, MIN(AK892,-SUM(OFFSET(AK869, 0, MIN(12, COUNTA(AL$3:$BV$3)), , -MIN(12, COUNTA(AL$3:$BV$3))))))</f>
        <v>0</v>
      </c>
      <c r="AL1032" s="133">
        <f ca="1">IF($E1032=Parameters!$D$69, AL892, MIN(AL892,-SUM(OFFSET(AL869, 0, MIN(12, COUNTA(AM$3:$BV$3)), , -MIN(12, COUNTA(AM$3:$BV$3))))))</f>
        <v>0</v>
      </c>
      <c r="AM1032" s="133">
        <f ca="1">IF($E1032=Parameters!$D$69, AM892, MIN(AM892,-SUM(OFFSET(AM869, 0, MIN(12, COUNTA(AN$3:$BV$3)), , -MIN(12, COUNTA(AN$3:$BV$3))))))</f>
        <v>0</v>
      </c>
      <c r="AN1032" s="133">
        <f ca="1">IF($E1032=Parameters!$D$69, AN892, MIN(AN892,-SUM(OFFSET(AN869, 0, MIN(12, COUNTA(AO$3:$BV$3)), , -MIN(12, COUNTA(AO$3:$BV$3))))))</f>
        <v>0</v>
      </c>
      <c r="AO1032" s="133">
        <f ca="1">IF($E1032=Parameters!$D$69, AO892, MIN(AO892,-SUM(OFFSET(AO869, 0, MIN(12, COUNTA(AP$3:$BV$3)), , -MIN(12, COUNTA(AP$3:$BV$3))))))</f>
        <v>0</v>
      </c>
      <c r="AP1032" s="133">
        <f ca="1">IF($E1032=Parameters!$D$69, AP892, MIN(AP892,-SUM(OFFSET(AP869, 0, MIN(12, COUNTA(AQ$3:$BV$3)), , -MIN(12, COUNTA(AQ$3:$BV$3))))))</f>
        <v>0</v>
      </c>
      <c r="AQ1032" s="133">
        <f ca="1">IF($E1032=Parameters!$D$69, AQ892, MIN(AQ892,-SUM(OFFSET(AQ869, 0, MIN(12, COUNTA(AR$3:$BV$3)), , -MIN(12, COUNTA(AR$3:$BV$3))))))</f>
        <v>0</v>
      </c>
      <c r="AR1032" s="133">
        <f ca="1">IF($E1032=Parameters!$D$69, AR892, MIN(AR892,-SUM(OFFSET(AR869, 0, MIN(12, COUNTA(AS$3:$BV$3)), , -MIN(12, COUNTA(AS$3:$BV$3))))))</f>
        <v>0</v>
      </c>
      <c r="AS1032" s="133">
        <f ca="1">IF($E1032=Parameters!$D$69, AS892, MIN(AS892,-SUM(OFFSET(AS869, 0, MIN(12, COUNTA(AT$3:$BV$3)), , -MIN(12, COUNTA(AT$3:$BV$3))))))</f>
        <v>0</v>
      </c>
      <c r="AT1032" s="133">
        <f ca="1">IF($E1032=Parameters!$D$69, AT892, MIN(AT892,-SUM(OFFSET(AT869, 0, MIN(12, COUNTA(AU$3:$BV$3)), , -MIN(12, COUNTA(AU$3:$BV$3))))))</f>
        <v>0</v>
      </c>
      <c r="AU1032" s="133">
        <f ca="1">IF($E1032=Parameters!$D$69, AU892, MIN(AU892,-SUM(OFFSET(AU869, 0, MIN(12, COUNTA(AV$3:$BV$3)), , -MIN(12, COUNTA(AV$3:$BV$3))))))</f>
        <v>0</v>
      </c>
      <c r="AV1032" s="133">
        <f ca="1">IF($E1032=Parameters!$D$69, AV892, MIN(AV892,-SUM(OFFSET(AV869, 0, MIN(12, COUNTA(AW$3:$BV$3)), , -MIN(12, COUNTA(AW$3:$BV$3))))))</f>
        <v>0</v>
      </c>
      <c r="AW1032" s="133">
        <f ca="1">IF($E1032=Parameters!$D$69, AW892, MIN(AW892,-SUM(OFFSET(AW869, 0, MIN(12, COUNTA(AX$3:$BV$3)), , -MIN(12, COUNTA(AX$3:$BV$3))))))</f>
        <v>0</v>
      </c>
      <c r="AX1032" s="133">
        <f ca="1">IF($E1032=Parameters!$D$69, AX892, MIN(AX892,-SUM(OFFSET(AX869, 0, MIN(12, COUNTA(AY$3:$BV$3)), , -MIN(12, COUNTA(AY$3:$BV$3))))))</f>
        <v>0</v>
      </c>
      <c r="AY1032" s="133">
        <f ca="1">IF($E1032=Parameters!$D$69, AY892, MIN(AY892,-SUM(OFFSET(AY869, 0, MIN(12, COUNTA(AZ$3:$BV$3)), , -MIN(12, COUNTA(AZ$3:$BV$3))))))</f>
        <v>0</v>
      </c>
      <c r="AZ1032" s="133">
        <f ca="1">IF($E1032=Parameters!$D$69, AZ892, MIN(AZ892,-SUM(OFFSET(AZ869, 0, MIN(12, COUNTA(BA$3:$BV$3)), , -MIN(12, COUNTA(BA$3:$BV$3))))))</f>
        <v>0</v>
      </c>
      <c r="BA1032" s="133">
        <f ca="1">IF($E1032=Parameters!$D$69, BA892, MIN(BA892,-SUM(OFFSET(BA869, 0, MIN(12, COUNTA(BB$3:$BV$3)), , -MIN(12, COUNTA(BB$3:$BV$3))))))</f>
        <v>0</v>
      </c>
      <c r="BB1032" s="133">
        <f ca="1">IF($E1032=Parameters!$D$69, BB892, MIN(BB892,-SUM(OFFSET(BB869, 0, MIN(12, COUNTA(BC$3:$BV$3)), , -MIN(12, COUNTA(BC$3:$BV$3))))))</f>
        <v>0</v>
      </c>
      <c r="BC1032" s="133">
        <f ca="1">IF($E1032=Parameters!$D$69, BC892, MIN(BC892,-SUM(OFFSET(BC869, 0, MIN(12, COUNTA(BD$3:$BV$3)), , -MIN(12, COUNTA(BD$3:$BV$3))))))</f>
        <v>0</v>
      </c>
      <c r="BD1032" s="133">
        <f ca="1">IF($E1032=Parameters!$D$69, BD892, MIN(BD892,-SUM(OFFSET(BD869, 0, MIN(12, COUNTA(BE$3:$BV$3)), , -MIN(12, COUNTA(BE$3:$BV$3))))))</f>
        <v>0</v>
      </c>
      <c r="BE1032" s="133">
        <f ca="1">IF($E1032=Parameters!$D$69, BE892, MIN(BE892,-SUM(OFFSET(BE869, 0, MIN(12, COUNTA(BF$3:$BV$3)), , -MIN(12, COUNTA(BF$3:$BV$3))))))</f>
        <v>0</v>
      </c>
      <c r="BF1032" s="133">
        <f ca="1">IF($E1032=Parameters!$D$69, BF892, MIN(BF892,-SUM(OFFSET(BF869, 0, MIN(12, COUNTA(BG$3:$BV$3)), , -MIN(12, COUNTA(BG$3:$BV$3))))))</f>
        <v>0</v>
      </c>
      <c r="BG1032" s="133">
        <f ca="1">IF($E1032=Parameters!$D$69, BG892, MIN(BG892,-SUM(OFFSET(BG869, 0, MIN(12, COUNTA(BH$3:$BV$3)), , -MIN(12, COUNTA(BH$3:$BV$3))))))</f>
        <v>0</v>
      </c>
      <c r="BH1032" s="133">
        <f ca="1">IF($E1032=Parameters!$D$69, BH892, MIN(BH892,-SUM(OFFSET(BH869, 0, MIN(12, COUNTA(BI$3:$BV$3)), , -MIN(12, COUNTA(BI$3:$BV$3))))))</f>
        <v>0</v>
      </c>
      <c r="BI1032" s="133">
        <f ca="1">IF($E1032=Parameters!$D$69, BI892, MIN(BI892,-SUM(OFFSET(BI869, 0, MIN(12, COUNTA(BJ$3:$BV$3)), , -MIN(12, COUNTA(BJ$3:$BV$3))))))</f>
        <v>0</v>
      </c>
      <c r="BJ1032" s="133">
        <f ca="1">IF($E1032=Parameters!$D$69, BJ892, MIN(BJ892,-SUM(OFFSET(BJ869, 0, MIN(12, COUNTA(BK$3:$BV$3)), , -MIN(12, COUNTA(BK$3:$BV$3))))))</f>
        <v>0</v>
      </c>
      <c r="BK1032" s="106"/>
      <c r="BL1032" s="106"/>
      <c r="BM1032" s="106"/>
      <c r="BN1032" s="106"/>
      <c r="BO1032" s="106"/>
      <c r="BP1032" s="106"/>
      <c r="BQ1032" s="106"/>
      <c r="BR1032" s="106"/>
      <c r="BS1032" s="106"/>
      <c r="BT1032" s="106"/>
      <c r="BU1032" s="106"/>
      <c r="BV1032" s="106"/>
      <c r="BX1032" s="106"/>
      <c r="BY1032" s="12">
        <f t="shared" ca="1" si="1025"/>
        <v>0</v>
      </c>
      <c r="BZ1032" s="12">
        <f t="shared" ca="1" si="1026"/>
        <v>0</v>
      </c>
      <c r="CA1032" s="12">
        <f t="shared" ca="1" si="1027"/>
        <v>0</v>
      </c>
      <c r="CB1032" s="106"/>
      <c r="CC1032" s="106"/>
      <c r="CD1032" s="106"/>
      <c r="CE1032" s="106"/>
      <c r="CF1032" s="106"/>
      <c r="CG1032" s="106"/>
      <c r="CH1032" s="106"/>
      <c r="CI1032" s="106"/>
      <c r="CK1032" s="11"/>
      <c r="CM1032" s="11"/>
      <c r="CV1032" s="120"/>
      <c r="DF1032" s="11"/>
      <c r="EY1032" s="10" t="str">
        <f t="shared" si="997"/>
        <v/>
      </c>
    </row>
    <row r="1033" spans="1:155" x14ac:dyDescent="0.35">
      <c r="B1033" s="69" t="str" cm="1">
        <f t="array" aca="1" ref="B1033" ca="1">HYPERLINK(CONCATENATE("#",CELL("address",$D$246)),$D$246)</f>
        <v>Loan 11</v>
      </c>
      <c r="C1033" s="211"/>
      <c r="D1033" s="49">
        <f>D$23</f>
        <v>0</v>
      </c>
      <c r="E1033" s="49" t="str">
        <f>F$23</f>
        <v/>
      </c>
      <c r="F1033" s="49"/>
      <c r="H1033" s="9"/>
      <c r="I1033" s="40" t="s">
        <v>665</v>
      </c>
      <c r="V1033" s="106"/>
      <c r="W1033" s="133">
        <f t="shared" ca="1" si="1024"/>
        <v>0</v>
      </c>
      <c r="X1033" s="133">
        <f t="shared" ca="1" si="1024"/>
        <v>0</v>
      </c>
      <c r="Y1033" s="133">
        <f t="shared" ca="1" si="1024"/>
        <v>0</v>
      </c>
      <c r="AA1033" s="133">
        <f ca="1">IF($E1033=Parameters!$D$69, AA893, MIN(AA893,-SUM(OFFSET(AA870, 0, MIN(12, COUNTA(AB$3:$BV$3)), , -MIN(12, COUNTA(AB$3:$BV$3))))))</f>
        <v>0</v>
      </c>
      <c r="AB1033" s="133">
        <f ca="1">IF($E1033=Parameters!$D$69, AB893, MIN(AB893,-SUM(OFFSET(AB870, 0, MIN(12, COUNTA(AC$3:$BV$3)), , -MIN(12, COUNTA(AC$3:$BV$3))))))</f>
        <v>0</v>
      </c>
      <c r="AC1033" s="133">
        <f ca="1">IF($E1033=Parameters!$D$69, AC893, MIN(AC893,-SUM(OFFSET(AC870, 0, MIN(12, COUNTA(AD$3:$BV$3)), , -MIN(12, COUNTA(AD$3:$BV$3))))))</f>
        <v>0</v>
      </c>
      <c r="AD1033" s="133">
        <f ca="1">IF($E1033=Parameters!$D$69, AD893, MIN(AD893,-SUM(OFFSET(AD870, 0, MIN(12, COUNTA(AE$3:$BV$3)), , -MIN(12, COUNTA(AE$3:$BV$3))))))</f>
        <v>0</v>
      </c>
      <c r="AE1033" s="133">
        <f ca="1">IF($E1033=Parameters!$D$69, AE893, MIN(AE893,-SUM(OFFSET(AE870, 0, MIN(12, COUNTA(AF$3:$BV$3)), , -MIN(12, COUNTA(AF$3:$BV$3))))))</f>
        <v>0</v>
      </c>
      <c r="AF1033" s="133">
        <f ca="1">IF($E1033=Parameters!$D$69, AF893, MIN(AF893,-SUM(OFFSET(AF870, 0, MIN(12, COUNTA(AG$3:$BV$3)), , -MIN(12, COUNTA(AG$3:$BV$3))))))</f>
        <v>0</v>
      </c>
      <c r="AG1033" s="133">
        <f ca="1">IF($E1033=Parameters!$D$69, AG893, MIN(AG893,-SUM(OFFSET(AG870, 0, MIN(12, COUNTA(AH$3:$BV$3)), , -MIN(12, COUNTA(AH$3:$BV$3))))))</f>
        <v>0</v>
      </c>
      <c r="AH1033" s="133">
        <f ca="1">IF($E1033=Parameters!$D$69, AH893, MIN(AH893,-SUM(OFFSET(AH870, 0, MIN(12, COUNTA(AI$3:$BV$3)), , -MIN(12, COUNTA(AI$3:$BV$3))))))</f>
        <v>0</v>
      </c>
      <c r="AI1033" s="133">
        <f ca="1">IF($E1033=Parameters!$D$69, AI893, MIN(AI893,-SUM(OFFSET(AI870, 0, MIN(12, COUNTA(AJ$3:$BV$3)), , -MIN(12, COUNTA(AJ$3:$BV$3))))))</f>
        <v>0</v>
      </c>
      <c r="AJ1033" s="133">
        <f ca="1">IF($E1033=Parameters!$D$69, AJ893, MIN(AJ893,-SUM(OFFSET(AJ870, 0, MIN(12, COUNTA(AK$3:$BV$3)), , -MIN(12, COUNTA(AK$3:$BV$3))))))</f>
        <v>0</v>
      </c>
      <c r="AK1033" s="133">
        <f ca="1">IF($E1033=Parameters!$D$69, AK893, MIN(AK893,-SUM(OFFSET(AK870, 0, MIN(12, COUNTA(AL$3:$BV$3)), , -MIN(12, COUNTA(AL$3:$BV$3))))))</f>
        <v>0</v>
      </c>
      <c r="AL1033" s="133">
        <f ca="1">IF($E1033=Parameters!$D$69, AL893, MIN(AL893,-SUM(OFFSET(AL870, 0, MIN(12, COUNTA(AM$3:$BV$3)), , -MIN(12, COUNTA(AM$3:$BV$3))))))</f>
        <v>0</v>
      </c>
      <c r="AM1033" s="133">
        <f ca="1">IF($E1033=Parameters!$D$69, AM893, MIN(AM893,-SUM(OFFSET(AM870, 0, MIN(12, COUNTA(AN$3:$BV$3)), , -MIN(12, COUNTA(AN$3:$BV$3))))))</f>
        <v>0</v>
      </c>
      <c r="AN1033" s="133">
        <f ca="1">IF($E1033=Parameters!$D$69, AN893, MIN(AN893,-SUM(OFFSET(AN870, 0, MIN(12, COUNTA(AO$3:$BV$3)), , -MIN(12, COUNTA(AO$3:$BV$3))))))</f>
        <v>0</v>
      </c>
      <c r="AO1033" s="133">
        <f ca="1">IF($E1033=Parameters!$D$69, AO893, MIN(AO893,-SUM(OFFSET(AO870, 0, MIN(12, COUNTA(AP$3:$BV$3)), , -MIN(12, COUNTA(AP$3:$BV$3))))))</f>
        <v>0</v>
      </c>
      <c r="AP1033" s="133">
        <f ca="1">IF($E1033=Parameters!$D$69, AP893, MIN(AP893,-SUM(OFFSET(AP870, 0, MIN(12, COUNTA(AQ$3:$BV$3)), , -MIN(12, COUNTA(AQ$3:$BV$3))))))</f>
        <v>0</v>
      </c>
      <c r="AQ1033" s="133">
        <f ca="1">IF($E1033=Parameters!$D$69, AQ893, MIN(AQ893,-SUM(OFFSET(AQ870, 0, MIN(12, COUNTA(AR$3:$BV$3)), , -MIN(12, COUNTA(AR$3:$BV$3))))))</f>
        <v>0</v>
      </c>
      <c r="AR1033" s="133">
        <f ca="1">IF($E1033=Parameters!$D$69, AR893, MIN(AR893,-SUM(OFFSET(AR870, 0, MIN(12, COUNTA(AS$3:$BV$3)), , -MIN(12, COUNTA(AS$3:$BV$3))))))</f>
        <v>0</v>
      </c>
      <c r="AS1033" s="133">
        <f ca="1">IF($E1033=Parameters!$D$69, AS893, MIN(AS893,-SUM(OFFSET(AS870, 0, MIN(12, COUNTA(AT$3:$BV$3)), , -MIN(12, COUNTA(AT$3:$BV$3))))))</f>
        <v>0</v>
      </c>
      <c r="AT1033" s="133">
        <f ca="1">IF($E1033=Parameters!$D$69, AT893, MIN(AT893,-SUM(OFFSET(AT870, 0, MIN(12, COUNTA(AU$3:$BV$3)), , -MIN(12, COUNTA(AU$3:$BV$3))))))</f>
        <v>0</v>
      </c>
      <c r="AU1033" s="133">
        <f ca="1">IF($E1033=Parameters!$D$69, AU893, MIN(AU893,-SUM(OFFSET(AU870, 0, MIN(12, COUNTA(AV$3:$BV$3)), , -MIN(12, COUNTA(AV$3:$BV$3))))))</f>
        <v>0</v>
      </c>
      <c r="AV1033" s="133">
        <f ca="1">IF($E1033=Parameters!$D$69, AV893, MIN(AV893,-SUM(OFFSET(AV870, 0, MIN(12, COUNTA(AW$3:$BV$3)), , -MIN(12, COUNTA(AW$3:$BV$3))))))</f>
        <v>0</v>
      </c>
      <c r="AW1033" s="133">
        <f ca="1">IF($E1033=Parameters!$D$69, AW893, MIN(AW893,-SUM(OFFSET(AW870, 0, MIN(12, COUNTA(AX$3:$BV$3)), , -MIN(12, COUNTA(AX$3:$BV$3))))))</f>
        <v>0</v>
      </c>
      <c r="AX1033" s="133">
        <f ca="1">IF($E1033=Parameters!$D$69, AX893, MIN(AX893,-SUM(OFFSET(AX870, 0, MIN(12, COUNTA(AY$3:$BV$3)), , -MIN(12, COUNTA(AY$3:$BV$3))))))</f>
        <v>0</v>
      </c>
      <c r="AY1033" s="133">
        <f ca="1">IF($E1033=Parameters!$D$69, AY893, MIN(AY893,-SUM(OFFSET(AY870, 0, MIN(12, COUNTA(AZ$3:$BV$3)), , -MIN(12, COUNTA(AZ$3:$BV$3))))))</f>
        <v>0</v>
      </c>
      <c r="AZ1033" s="133">
        <f ca="1">IF($E1033=Parameters!$D$69, AZ893, MIN(AZ893,-SUM(OFFSET(AZ870, 0, MIN(12, COUNTA(BA$3:$BV$3)), , -MIN(12, COUNTA(BA$3:$BV$3))))))</f>
        <v>0</v>
      </c>
      <c r="BA1033" s="133">
        <f ca="1">IF($E1033=Parameters!$D$69, BA893, MIN(BA893,-SUM(OFFSET(BA870, 0, MIN(12, COUNTA(BB$3:$BV$3)), , -MIN(12, COUNTA(BB$3:$BV$3))))))</f>
        <v>0</v>
      </c>
      <c r="BB1033" s="133">
        <f ca="1">IF($E1033=Parameters!$D$69, BB893, MIN(BB893,-SUM(OFFSET(BB870, 0, MIN(12, COUNTA(BC$3:$BV$3)), , -MIN(12, COUNTA(BC$3:$BV$3))))))</f>
        <v>0</v>
      </c>
      <c r="BC1033" s="133">
        <f ca="1">IF($E1033=Parameters!$D$69, BC893, MIN(BC893,-SUM(OFFSET(BC870, 0, MIN(12, COUNTA(BD$3:$BV$3)), , -MIN(12, COUNTA(BD$3:$BV$3))))))</f>
        <v>0</v>
      </c>
      <c r="BD1033" s="133">
        <f ca="1">IF($E1033=Parameters!$D$69, BD893, MIN(BD893,-SUM(OFFSET(BD870, 0, MIN(12, COUNTA(BE$3:$BV$3)), , -MIN(12, COUNTA(BE$3:$BV$3))))))</f>
        <v>0</v>
      </c>
      <c r="BE1033" s="133">
        <f ca="1">IF($E1033=Parameters!$D$69, BE893, MIN(BE893,-SUM(OFFSET(BE870, 0, MIN(12, COUNTA(BF$3:$BV$3)), , -MIN(12, COUNTA(BF$3:$BV$3))))))</f>
        <v>0</v>
      </c>
      <c r="BF1033" s="133">
        <f ca="1">IF($E1033=Parameters!$D$69, BF893, MIN(BF893,-SUM(OFFSET(BF870, 0, MIN(12, COUNTA(BG$3:$BV$3)), , -MIN(12, COUNTA(BG$3:$BV$3))))))</f>
        <v>0</v>
      </c>
      <c r="BG1033" s="133">
        <f ca="1">IF($E1033=Parameters!$D$69, BG893, MIN(BG893,-SUM(OFFSET(BG870, 0, MIN(12, COUNTA(BH$3:$BV$3)), , -MIN(12, COUNTA(BH$3:$BV$3))))))</f>
        <v>0</v>
      </c>
      <c r="BH1033" s="133">
        <f ca="1">IF($E1033=Parameters!$D$69, BH893, MIN(BH893,-SUM(OFFSET(BH870, 0, MIN(12, COUNTA(BI$3:$BV$3)), , -MIN(12, COUNTA(BI$3:$BV$3))))))</f>
        <v>0</v>
      </c>
      <c r="BI1033" s="133">
        <f ca="1">IF($E1033=Parameters!$D$69, BI893, MIN(BI893,-SUM(OFFSET(BI870, 0, MIN(12, COUNTA(BJ$3:$BV$3)), , -MIN(12, COUNTA(BJ$3:$BV$3))))))</f>
        <v>0</v>
      </c>
      <c r="BJ1033" s="133">
        <f ca="1">IF($E1033=Parameters!$D$69, BJ893, MIN(BJ893,-SUM(OFFSET(BJ870, 0, MIN(12, COUNTA(BK$3:$BV$3)), , -MIN(12, COUNTA(BK$3:$BV$3))))))</f>
        <v>0</v>
      </c>
      <c r="BK1033" s="106"/>
      <c r="BL1033" s="106"/>
      <c r="BM1033" s="106"/>
      <c r="BN1033" s="106"/>
      <c r="BO1033" s="106"/>
      <c r="BP1033" s="106"/>
      <c r="BQ1033" s="106"/>
      <c r="BR1033" s="106"/>
      <c r="BS1033" s="106"/>
      <c r="BT1033" s="106"/>
      <c r="BU1033" s="106"/>
      <c r="BV1033" s="106"/>
      <c r="BX1033" s="106"/>
      <c r="BY1033" s="12">
        <f t="shared" ca="1" si="1025"/>
        <v>0</v>
      </c>
      <c r="BZ1033" s="12">
        <f t="shared" ca="1" si="1026"/>
        <v>0</v>
      </c>
      <c r="CA1033" s="12">
        <f t="shared" ca="1" si="1027"/>
        <v>0</v>
      </c>
      <c r="CB1033" s="106"/>
      <c r="CC1033" s="106"/>
      <c r="CD1033" s="106"/>
      <c r="CE1033" s="106"/>
      <c r="CF1033" s="106"/>
      <c r="CG1033" s="106"/>
      <c r="CH1033" s="106"/>
      <c r="CI1033" s="106"/>
      <c r="CK1033" s="11"/>
      <c r="CM1033" s="11"/>
      <c r="CV1033" s="120"/>
      <c r="DF1033" s="11"/>
      <c r="EY1033" s="10" t="str">
        <f t="shared" si="997"/>
        <v/>
      </c>
    </row>
    <row r="1034" spans="1:155" x14ac:dyDescent="0.35">
      <c r="B1034" s="69" t="str" cm="1">
        <f t="array" aca="1" ref="B1034" ca="1">HYPERLINK(CONCATENATE("#",CELL("address",$D$265)),$D$265)</f>
        <v>Loan 12</v>
      </c>
      <c r="C1034" s="211"/>
      <c r="D1034" s="49">
        <f>D$24</f>
        <v>0</v>
      </c>
      <c r="E1034" s="49" t="str">
        <f>F$24</f>
        <v/>
      </c>
      <c r="F1034" s="49"/>
      <c r="H1034" s="9"/>
      <c r="I1034" s="40" t="s">
        <v>665</v>
      </c>
      <c r="V1034" s="106"/>
      <c r="W1034" s="133">
        <f t="shared" ca="1" si="1024"/>
        <v>0</v>
      </c>
      <c r="X1034" s="133">
        <f t="shared" ca="1" si="1024"/>
        <v>0</v>
      </c>
      <c r="Y1034" s="133">
        <f t="shared" ca="1" si="1024"/>
        <v>0</v>
      </c>
      <c r="AA1034" s="133">
        <f ca="1">IF($E1034=Parameters!$D$69, AA894, MIN(AA894,-SUM(OFFSET(AA871, 0, MIN(12, COUNTA(AB$3:$BV$3)), , -MIN(12, COUNTA(AB$3:$BV$3))))))</f>
        <v>0</v>
      </c>
      <c r="AB1034" s="133">
        <f ca="1">IF($E1034=Parameters!$D$69, AB894, MIN(AB894,-SUM(OFFSET(AB871, 0, MIN(12, COUNTA(AC$3:$BV$3)), , -MIN(12, COUNTA(AC$3:$BV$3))))))</f>
        <v>0</v>
      </c>
      <c r="AC1034" s="133">
        <f ca="1">IF($E1034=Parameters!$D$69, AC894, MIN(AC894,-SUM(OFFSET(AC871, 0, MIN(12, COUNTA(AD$3:$BV$3)), , -MIN(12, COUNTA(AD$3:$BV$3))))))</f>
        <v>0</v>
      </c>
      <c r="AD1034" s="133">
        <f ca="1">IF($E1034=Parameters!$D$69, AD894, MIN(AD894,-SUM(OFFSET(AD871, 0, MIN(12, COUNTA(AE$3:$BV$3)), , -MIN(12, COUNTA(AE$3:$BV$3))))))</f>
        <v>0</v>
      </c>
      <c r="AE1034" s="133">
        <f ca="1">IF($E1034=Parameters!$D$69, AE894, MIN(AE894,-SUM(OFFSET(AE871, 0, MIN(12, COUNTA(AF$3:$BV$3)), , -MIN(12, COUNTA(AF$3:$BV$3))))))</f>
        <v>0</v>
      </c>
      <c r="AF1034" s="133">
        <f ca="1">IF($E1034=Parameters!$D$69, AF894, MIN(AF894,-SUM(OFFSET(AF871, 0, MIN(12, COUNTA(AG$3:$BV$3)), , -MIN(12, COUNTA(AG$3:$BV$3))))))</f>
        <v>0</v>
      </c>
      <c r="AG1034" s="133">
        <f ca="1">IF($E1034=Parameters!$D$69, AG894, MIN(AG894,-SUM(OFFSET(AG871, 0, MIN(12, COUNTA(AH$3:$BV$3)), , -MIN(12, COUNTA(AH$3:$BV$3))))))</f>
        <v>0</v>
      </c>
      <c r="AH1034" s="133">
        <f ca="1">IF($E1034=Parameters!$D$69, AH894, MIN(AH894,-SUM(OFFSET(AH871, 0, MIN(12, COUNTA(AI$3:$BV$3)), , -MIN(12, COUNTA(AI$3:$BV$3))))))</f>
        <v>0</v>
      </c>
      <c r="AI1034" s="133">
        <f ca="1">IF($E1034=Parameters!$D$69, AI894, MIN(AI894,-SUM(OFFSET(AI871, 0, MIN(12, COUNTA(AJ$3:$BV$3)), , -MIN(12, COUNTA(AJ$3:$BV$3))))))</f>
        <v>0</v>
      </c>
      <c r="AJ1034" s="133">
        <f ca="1">IF($E1034=Parameters!$D$69, AJ894, MIN(AJ894,-SUM(OFFSET(AJ871, 0, MIN(12, COUNTA(AK$3:$BV$3)), , -MIN(12, COUNTA(AK$3:$BV$3))))))</f>
        <v>0</v>
      </c>
      <c r="AK1034" s="133">
        <f ca="1">IF($E1034=Parameters!$D$69, AK894, MIN(AK894,-SUM(OFFSET(AK871, 0, MIN(12, COUNTA(AL$3:$BV$3)), , -MIN(12, COUNTA(AL$3:$BV$3))))))</f>
        <v>0</v>
      </c>
      <c r="AL1034" s="133">
        <f ca="1">IF($E1034=Parameters!$D$69, AL894, MIN(AL894,-SUM(OFFSET(AL871, 0, MIN(12, COUNTA(AM$3:$BV$3)), , -MIN(12, COUNTA(AM$3:$BV$3))))))</f>
        <v>0</v>
      </c>
      <c r="AM1034" s="133">
        <f ca="1">IF($E1034=Parameters!$D$69, AM894, MIN(AM894,-SUM(OFFSET(AM871, 0, MIN(12, COUNTA(AN$3:$BV$3)), , -MIN(12, COUNTA(AN$3:$BV$3))))))</f>
        <v>0</v>
      </c>
      <c r="AN1034" s="133">
        <f ca="1">IF($E1034=Parameters!$D$69, AN894, MIN(AN894,-SUM(OFFSET(AN871, 0, MIN(12, COUNTA(AO$3:$BV$3)), , -MIN(12, COUNTA(AO$3:$BV$3))))))</f>
        <v>0</v>
      </c>
      <c r="AO1034" s="133">
        <f ca="1">IF($E1034=Parameters!$D$69, AO894, MIN(AO894,-SUM(OFFSET(AO871, 0, MIN(12, COUNTA(AP$3:$BV$3)), , -MIN(12, COUNTA(AP$3:$BV$3))))))</f>
        <v>0</v>
      </c>
      <c r="AP1034" s="133">
        <f ca="1">IF($E1034=Parameters!$D$69, AP894, MIN(AP894,-SUM(OFFSET(AP871, 0, MIN(12, COUNTA(AQ$3:$BV$3)), , -MIN(12, COUNTA(AQ$3:$BV$3))))))</f>
        <v>0</v>
      </c>
      <c r="AQ1034" s="133">
        <f ca="1">IF($E1034=Parameters!$D$69, AQ894, MIN(AQ894,-SUM(OFFSET(AQ871, 0, MIN(12, COUNTA(AR$3:$BV$3)), , -MIN(12, COUNTA(AR$3:$BV$3))))))</f>
        <v>0</v>
      </c>
      <c r="AR1034" s="133">
        <f ca="1">IF($E1034=Parameters!$D$69, AR894, MIN(AR894,-SUM(OFFSET(AR871, 0, MIN(12, COUNTA(AS$3:$BV$3)), , -MIN(12, COUNTA(AS$3:$BV$3))))))</f>
        <v>0</v>
      </c>
      <c r="AS1034" s="133">
        <f ca="1">IF($E1034=Parameters!$D$69, AS894, MIN(AS894,-SUM(OFFSET(AS871, 0, MIN(12, COUNTA(AT$3:$BV$3)), , -MIN(12, COUNTA(AT$3:$BV$3))))))</f>
        <v>0</v>
      </c>
      <c r="AT1034" s="133">
        <f ca="1">IF($E1034=Parameters!$D$69, AT894, MIN(AT894,-SUM(OFFSET(AT871, 0, MIN(12, COUNTA(AU$3:$BV$3)), , -MIN(12, COUNTA(AU$3:$BV$3))))))</f>
        <v>0</v>
      </c>
      <c r="AU1034" s="133">
        <f ca="1">IF($E1034=Parameters!$D$69, AU894, MIN(AU894,-SUM(OFFSET(AU871, 0, MIN(12, COUNTA(AV$3:$BV$3)), , -MIN(12, COUNTA(AV$3:$BV$3))))))</f>
        <v>0</v>
      </c>
      <c r="AV1034" s="133">
        <f ca="1">IF($E1034=Parameters!$D$69, AV894, MIN(AV894,-SUM(OFFSET(AV871, 0, MIN(12, COUNTA(AW$3:$BV$3)), , -MIN(12, COUNTA(AW$3:$BV$3))))))</f>
        <v>0</v>
      </c>
      <c r="AW1034" s="133">
        <f ca="1">IF($E1034=Parameters!$D$69, AW894, MIN(AW894,-SUM(OFFSET(AW871, 0, MIN(12, COUNTA(AX$3:$BV$3)), , -MIN(12, COUNTA(AX$3:$BV$3))))))</f>
        <v>0</v>
      </c>
      <c r="AX1034" s="133">
        <f ca="1">IF($E1034=Parameters!$D$69, AX894, MIN(AX894,-SUM(OFFSET(AX871, 0, MIN(12, COUNTA(AY$3:$BV$3)), , -MIN(12, COUNTA(AY$3:$BV$3))))))</f>
        <v>0</v>
      </c>
      <c r="AY1034" s="133">
        <f ca="1">IF($E1034=Parameters!$D$69, AY894, MIN(AY894,-SUM(OFFSET(AY871, 0, MIN(12, COUNTA(AZ$3:$BV$3)), , -MIN(12, COUNTA(AZ$3:$BV$3))))))</f>
        <v>0</v>
      </c>
      <c r="AZ1034" s="133">
        <f ca="1">IF($E1034=Parameters!$D$69, AZ894, MIN(AZ894,-SUM(OFFSET(AZ871, 0, MIN(12, COUNTA(BA$3:$BV$3)), , -MIN(12, COUNTA(BA$3:$BV$3))))))</f>
        <v>0</v>
      </c>
      <c r="BA1034" s="133">
        <f ca="1">IF($E1034=Parameters!$D$69, BA894, MIN(BA894,-SUM(OFFSET(BA871, 0, MIN(12, COUNTA(BB$3:$BV$3)), , -MIN(12, COUNTA(BB$3:$BV$3))))))</f>
        <v>0</v>
      </c>
      <c r="BB1034" s="133">
        <f ca="1">IF($E1034=Parameters!$D$69, BB894, MIN(BB894,-SUM(OFFSET(BB871, 0, MIN(12, COUNTA(BC$3:$BV$3)), , -MIN(12, COUNTA(BC$3:$BV$3))))))</f>
        <v>0</v>
      </c>
      <c r="BC1034" s="133">
        <f ca="1">IF($E1034=Parameters!$D$69, BC894, MIN(BC894,-SUM(OFFSET(BC871, 0, MIN(12, COUNTA(BD$3:$BV$3)), , -MIN(12, COUNTA(BD$3:$BV$3))))))</f>
        <v>0</v>
      </c>
      <c r="BD1034" s="133">
        <f ca="1">IF($E1034=Parameters!$D$69, BD894, MIN(BD894,-SUM(OFFSET(BD871, 0, MIN(12, COUNTA(BE$3:$BV$3)), , -MIN(12, COUNTA(BE$3:$BV$3))))))</f>
        <v>0</v>
      </c>
      <c r="BE1034" s="133">
        <f ca="1">IF($E1034=Parameters!$D$69, BE894, MIN(BE894,-SUM(OFFSET(BE871, 0, MIN(12, COUNTA(BF$3:$BV$3)), , -MIN(12, COUNTA(BF$3:$BV$3))))))</f>
        <v>0</v>
      </c>
      <c r="BF1034" s="133">
        <f ca="1">IF($E1034=Parameters!$D$69, BF894, MIN(BF894,-SUM(OFFSET(BF871, 0, MIN(12, COUNTA(BG$3:$BV$3)), , -MIN(12, COUNTA(BG$3:$BV$3))))))</f>
        <v>0</v>
      </c>
      <c r="BG1034" s="133">
        <f ca="1">IF($E1034=Parameters!$D$69, BG894, MIN(BG894,-SUM(OFFSET(BG871, 0, MIN(12, COUNTA(BH$3:$BV$3)), , -MIN(12, COUNTA(BH$3:$BV$3))))))</f>
        <v>0</v>
      </c>
      <c r="BH1034" s="133">
        <f ca="1">IF($E1034=Parameters!$D$69, BH894, MIN(BH894,-SUM(OFFSET(BH871, 0, MIN(12, COUNTA(BI$3:$BV$3)), , -MIN(12, COUNTA(BI$3:$BV$3))))))</f>
        <v>0</v>
      </c>
      <c r="BI1034" s="133">
        <f ca="1">IF($E1034=Parameters!$D$69, BI894, MIN(BI894,-SUM(OFFSET(BI871, 0, MIN(12, COUNTA(BJ$3:$BV$3)), , -MIN(12, COUNTA(BJ$3:$BV$3))))))</f>
        <v>0</v>
      </c>
      <c r="BJ1034" s="133">
        <f ca="1">IF($E1034=Parameters!$D$69, BJ894, MIN(BJ894,-SUM(OFFSET(BJ871, 0, MIN(12, COUNTA(BK$3:$BV$3)), , -MIN(12, COUNTA(BK$3:$BV$3))))))</f>
        <v>0</v>
      </c>
      <c r="BK1034" s="106"/>
      <c r="BL1034" s="106"/>
      <c r="BM1034" s="106"/>
      <c r="BN1034" s="106"/>
      <c r="BO1034" s="106"/>
      <c r="BP1034" s="106"/>
      <c r="BQ1034" s="106"/>
      <c r="BR1034" s="106"/>
      <c r="BS1034" s="106"/>
      <c r="BT1034" s="106"/>
      <c r="BU1034" s="106"/>
      <c r="BV1034" s="106"/>
      <c r="BX1034" s="106"/>
      <c r="BY1034" s="12">
        <f t="shared" ca="1" si="1025"/>
        <v>0</v>
      </c>
      <c r="BZ1034" s="12">
        <f t="shared" ca="1" si="1026"/>
        <v>0</v>
      </c>
      <c r="CA1034" s="12">
        <f t="shared" ca="1" si="1027"/>
        <v>0</v>
      </c>
      <c r="CB1034" s="106"/>
      <c r="CC1034" s="106"/>
      <c r="CD1034" s="106"/>
      <c r="CE1034" s="106"/>
      <c r="CF1034" s="106"/>
      <c r="CG1034" s="106"/>
      <c r="CH1034" s="106"/>
      <c r="CI1034" s="106"/>
      <c r="CK1034" s="11"/>
      <c r="CM1034" s="11"/>
      <c r="CV1034" s="120"/>
      <c r="DF1034" s="11"/>
      <c r="EY1034" s="10" t="str">
        <f t="shared" si="997"/>
        <v/>
      </c>
    </row>
    <row r="1035" spans="1:155" x14ac:dyDescent="0.35">
      <c r="B1035" s="69" t="str" cm="1">
        <f t="array" aca="1" ref="B1035" ca="1">HYPERLINK(CONCATENATE("#",CELL("address",$D$284)),$D$284)</f>
        <v>Loan 13</v>
      </c>
      <c r="C1035" s="211"/>
      <c r="D1035" s="49">
        <f>D$25</f>
        <v>0</v>
      </c>
      <c r="E1035" s="49" t="str">
        <f>F$25</f>
        <v/>
      </c>
      <c r="F1035" s="49"/>
      <c r="H1035" s="9"/>
      <c r="I1035" s="40" t="s">
        <v>665</v>
      </c>
      <c r="V1035" s="106"/>
      <c r="W1035" s="133">
        <f t="shared" ca="1" si="1024"/>
        <v>0</v>
      </c>
      <c r="X1035" s="133">
        <f t="shared" ca="1" si="1024"/>
        <v>0</v>
      </c>
      <c r="Y1035" s="133">
        <f t="shared" ca="1" si="1024"/>
        <v>0</v>
      </c>
      <c r="AA1035" s="133">
        <f ca="1">IF($E1035=Parameters!$D$69, AA895, MIN(AA895,-SUM(OFFSET(AA872, 0, MIN(12, COUNTA(AB$3:$BV$3)), , -MIN(12, COUNTA(AB$3:$BV$3))))))</f>
        <v>0</v>
      </c>
      <c r="AB1035" s="133">
        <f ca="1">IF($E1035=Parameters!$D$69, AB895, MIN(AB895,-SUM(OFFSET(AB872, 0, MIN(12, COUNTA(AC$3:$BV$3)), , -MIN(12, COUNTA(AC$3:$BV$3))))))</f>
        <v>0</v>
      </c>
      <c r="AC1035" s="133">
        <f ca="1">IF($E1035=Parameters!$D$69, AC895, MIN(AC895,-SUM(OFFSET(AC872, 0, MIN(12, COUNTA(AD$3:$BV$3)), , -MIN(12, COUNTA(AD$3:$BV$3))))))</f>
        <v>0</v>
      </c>
      <c r="AD1035" s="133">
        <f ca="1">IF($E1035=Parameters!$D$69, AD895, MIN(AD895,-SUM(OFFSET(AD872, 0, MIN(12, COUNTA(AE$3:$BV$3)), , -MIN(12, COUNTA(AE$3:$BV$3))))))</f>
        <v>0</v>
      </c>
      <c r="AE1035" s="133">
        <f ca="1">IF($E1035=Parameters!$D$69, AE895, MIN(AE895,-SUM(OFFSET(AE872, 0, MIN(12, COUNTA(AF$3:$BV$3)), , -MIN(12, COUNTA(AF$3:$BV$3))))))</f>
        <v>0</v>
      </c>
      <c r="AF1035" s="133">
        <f ca="1">IF($E1035=Parameters!$D$69, AF895, MIN(AF895,-SUM(OFFSET(AF872, 0, MIN(12, COUNTA(AG$3:$BV$3)), , -MIN(12, COUNTA(AG$3:$BV$3))))))</f>
        <v>0</v>
      </c>
      <c r="AG1035" s="133">
        <f ca="1">IF($E1035=Parameters!$D$69, AG895, MIN(AG895,-SUM(OFFSET(AG872, 0, MIN(12, COUNTA(AH$3:$BV$3)), , -MIN(12, COUNTA(AH$3:$BV$3))))))</f>
        <v>0</v>
      </c>
      <c r="AH1035" s="133">
        <f ca="1">IF($E1035=Parameters!$D$69, AH895, MIN(AH895,-SUM(OFFSET(AH872, 0, MIN(12, COUNTA(AI$3:$BV$3)), , -MIN(12, COUNTA(AI$3:$BV$3))))))</f>
        <v>0</v>
      </c>
      <c r="AI1035" s="133">
        <f ca="1">IF($E1035=Parameters!$D$69, AI895, MIN(AI895,-SUM(OFFSET(AI872, 0, MIN(12, COUNTA(AJ$3:$BV$3)), , -MIN(12, COUNTA(AJ$3:$BV$3))))))</f>
        <v>0</v>
      </c>
      <c r="AJ1035" s="133">
        <f ca="1">IF($E1035=Parameters!$D$69, AJ895, MIN(AJ895,-SUM(OFFSET(AJ872, 0, MIN(12, COUNTA(AK$3:$BV$3)), , -MIN(12, COUNTA(AK$3:$BV$3))))))</f>
        <v>0</v>
      </c>
      <c r="AK1035" s="133">
        <f ca="1">IF($E1035=Parameters!$D$69, AK895, MIN(AK895,-SUM(OFFSET(AK872, 0, MIN(12, COUNTA(AL$3:$BV$3)), , -MIN(12, COUNTA(AL$3:$BV$3))))))</f>
        <v>0</v>
      </c>
      <c r="AL1035" s="133">
        <f ca="1">IF($E1035=Parameters!$D$69, AL895, MIN(AL895,-SUM(OFFSET(AL872, 0, MIN(12, COUNTA(AM$3:$BV$3)), , -MIN(12, COUNTA(AM$3:$BV$3))))))</f>
        <v>0</v>
      </c>
      <c r="AM1035" s="133">
        <f ca="1">IF($E1035=Parameters!$D$69, AM895, MIN(AM895,-SUM(OFFSET(AM872, 0, MIN(12, COUNTA(AN$3:$BV$3)), , -MIN(12, COUNTA(AN$3:$BV$3))))))</f>
        <v>0</v>
      </c>
      <c r="AN1035" s="133">
        <f ca="1">IF($E1035=Parameters!$D$69, AN895, MIN(AN895,-SUM(OFFSET(AN872, 0, MIN(12, COUNTA(AO$3:$BV$3)), , -MIN(12, COUNTA(AO$3:$BV$3))))))</f>
        <v>0</v>
      </c>
      <c r="AO1035" s="133">
        <f ca="1">IF($E1035=Parameters!$D$69, AO895, MIN(AO895,-SUM(OFFSET(AO872, 0, MIN(12, COUNTA(AP$3:$BV$3)), , -MIN(12, COUNTA(AP$3:$BV$3))))))</f>
        <v>0</v>
      </c>
      <c r="AP1035" s="133">
        <f ca="1">IF($E1035=Parameters!$D$69, AP895, MIN(AP895,-SUM(OFFSET(AP872, 0, MIN(12, COUNTA(AQ$3:$BV$3)), , -MIN(12, COUNTA(AQ$3:$BV$3))))))</f>
        <v>0</v>
      </c>
      <c r="AQ1035" s="133">
        <f ca="1">IF($E1035=Parameters!$D$69, AQ895, MIN(AQ895,-SUM(OFFSET(AQ872, 0, MIN(12, COUNTA(AR$3:$BV$3)), , -MIN(12, COUNTA(AR$3:$BV$3))))))</f>
        <v>0</v>
      </c>
      <c r="AR1035" s="133">
        <f ca="1">IF($E1035=Parameters!$D$69, AR895, MIN(AR895,-SUM(OFFSET(AR872, 0, MIN(12, COUNTA(AS$3:$BV$3)), , -MIN(12, COUNTA(AS$3:$BV$3))))))</f>
        <v>0</v>
      </c>
      <c r="AS1035" s="133">
        <f ca="1">IF($E1035=Parameters!$D$69, AS895, MIN(AS895,-SUM(OFFSET(AS872, 0, MIN(12, COUNTA(AT$3:$BV$3)), , -MIN(12, COUNTA(AT$3:$BV$3))))))</f>
        <v>0</v>
      </c>
      <c r="AT1035" s="133">
        <f ca="1">IF($E1035=Parameters!$D$69, AT895, MIN(AT895,-SUM(OFFSET(AT872, 0, MIN(12, COUNTA(AU$3:$BV$3)), , -MIN(12, COUNTA(AU$3:$BV$3))))))</f>
        <v>0</v>
      </c>
      <c r="AU1035" s="133">
        <f ca="1">IF($E1035=Parameters!$D$69, AU895, MIN(AU895,-SUM(OFFSET(AU872, 0, MIN(12, COUNTA(AV$3:$BV$3)), , -MIN(12, COUNTA(AV$3:$BV$3))))))</f>
        <v>0</v>
      </c>
      <c r="AV1035" s="133">
        <f ca="1">IF($E1035=Parameters!$D$69, AV895, MIN(AV895,-SUM(OFFSET(AV872, 0, MIN(12, COUNTA(AW$3:$BV$3)), , -MIN(12, COUNTA(AW$3:$BV$3))))))</f>
        <v>0</v>
      </c>
      <c r="AW1035" s="133">
        <f ca="1">IF($E1035=Parameters!$D$69, AW895, MIN(AW895,-SUM(OFFSET(AW872, 0, MIN(12, COUNTA(AX$3:$BV$3)), , -MIN(12, COUNTA(AX$3:$BV$3))))))</f>
        <v>0</v>
      </c>
      <c r="AX1035" s="133">
        <f ca="1">IF($E1035=Parameters!$D$69, AX895, MIN(AX895,-SUM(OFFSET(AX872, 0, MIN(12, COUNTA(AY$3:$BV$3)), , -MIN(12, COUNTA(AY$3:$BV$3))))))</f>
        <v>0</v>
      </c>
      <c r="AY1035" s="133">
        <f ca="1">IF($E1035=Parameters!$D$69, AY895, MIN(AY895,-SUM(OFFSET(AY872, 0, MIN(12, COUNTA(AZ$3:$BV$3)), , -MIN(12, COUNTA(AZ$3:$BV$3))))))</f>
        <v>0</v>
      </c>
      <c r="AZ1035" s="133">
        <f ca="1">IF($E1035=Parameters!$D$69, AZ895, MIN(AZ895,-SUM(OFFSET(AZ872, 0, MIN(12, COUNTA(BA$3:$BV$3)), , -MIN(12, COUNTA(BA$3:$BV$3))))))</f>
        <v>0</v>
      </c>
      <c r="BA1035" s="133">
        <f ca="1">IF($E1035=Parameters!$D$69, BA895, MIN(BA895,-SUM(OFFSET(BA872, 0, MIN(12, COUNTA(BB$3:$BV$3)), , -MIN(12, COUNTA(BB$3:$BV$3))))))</f>
        <v>0</v>
      </c>
      <c r="BB1035" s="133">
        <f ca="1">IF($E1035=Parameters!$D$69, BB895, MIN(BB895,-SUM(OFFSET(BB872, 0, MIN(12, COUNTA(BC$3:$BV$3)), , -MIN(12, COUNTA(BC$3:$BV$3))))))</f>
        <v>0</v>
      </c>
      <c r="BC1035" s="133">
        <f ca="1">IF($E1035=Parameters!$D$69, BC895, MIN(BC895,-SUM(OFFSET(BC872, 0, MIN(12, COUNTA(BD$3:$BV$3)), , -MIN(12, COUNTA(BD$3:$BV$3))))))</f>
        <v>0</v>
      </c>
      <c r="BD1035" s="133">
        <f ca="1">IF($E1035=Parameters!$D$69, BD895, MIN(BD895,-SUM(OFFSET(BD872, 0, MIN(12, COUNTA(BE$3:$BV$3)), , -MIN(12, COUNTA(BE$3:$BV$3))))))</f>
        <v>0</v>
      </c>
      <c r="BE1035" s="133">
        <f ca="1">IF($E1035=Parameters!$D$69, BE895, MIN(BE895,-SUM(OFFSET(BE872, 0, MIN(12, COUNTA(BF$3:$BV$3)), , -MIN(12, COUNTA(BF$3:$BV$3))))))</f>
        <v>0</v>
      </c>
      <c r="BF1035" s="133">
        <f ca="1">IF($E1035=Parameters!$D$69, BF895, MIN(BF895,-SUM(OFFSET(BF872, 0, MIN(12, COUNTA(BG$3:$BV$3)), , -MIN(12, COUNTA(BG$3:$BV$3))))))</f>
        <v>0</v>
      </c>
      <c r="BG1035" s="133">
        <f ca="1">IF($E1035=Parameters!$D$69, BG895, MIN(BG895,-SUM(OFFSET(BG872, 0, MIN(12, COUNTA(BH$3:$BV$3)), , -MIN(12, COUNTA(BH$3:$BV$3))))))</f>
        <v>0</v>
      </c>
      <c r="BH1035" s="133">
        <f ca="1">IF($E1035=Parameters!$D$69, BH895, MIN(BH895,-SUM(OFFSET(BH872, 0, MIN(12, COUNTA(BI$3:$BV$3)), , -MIN(12, COUNTA(BI$3:$BV$3))))))</f>
        <v>0</v>
      </c>
      <c r="BI1035" s="133">
        <f ca="1">IF($E1035=Parameters!$D$69, BI895, MIN(BI895,-SUM(OFFSET(BI872, 0, MIN(12, COUNTA(BJ$3:$BV$3)), , -MIN(12, COUNTA(BJ$3:$BV$3))))))</f>
        <v>0</v>
      </c>
      <c r="BJ1035" s="133">
        <f ca="1">IF($E1035=Parameters!$D$69, BJ895, MIN(BJ895,-SUM(OFFSET(BJ872, 0, MIN(12, COUNTA(BK$3:$BV$3)), , -MIN(12, COUNTA(BK$3:$BV$3))))))</f>
        <v>0</v>
      </c>
      <c r="BK1035" s="106"/>
      <c r="BL1035" s="106"/>
      <c r="BM1035" s="106"/>
      <c r="BN1035" s="106"/>
      <c r="BO1035" s="106"/>
      <c r="BP1035" s="106"/>
      <c r="BQ1035" s="106"/>
      <c r="BR1035" s="106"/>
      <c r="BS1035" s="106"/>
      <c r="BT1035" s="106"/>
      <c r="BU1035" s="106"/>
      <c r="BV1035" s="106"/>
      <c r="BX1035" s="106"/>
      <c r="BY1035" s="12">
        <f t="shared" ca="1" si="1025"/>
        <v>0</v>
      </c>
      <c r="BZ1035" s="12">
        <f t="shared" ca="1" si="1026"/>
        <v>0</v>
      </c>
      <c r="CA1035" s="12">
        <f t="shared" ca="1" si="1027"/>
        <v>0</v>
      </c>
      <c r="CB1035" s="106"/>
      <c r="CC1035" s="106"/>
      <c r="CD1035" s="106"/>
      <c r="CE1035" s="106"/>
      <c r="CF1035" s="106"/>
      <c r="CG1035" s="106"/>
      <c r="CH1035" s="106"/>
      <c r="CI1035" s="106"/>
      <c r="CK1035" s="11"/>
      <c r="CM1035" s="11"/>
      <c r="CV1035" s="120"/>
      <c r="DF1035" s="11"/>
      <c r="EY1035" s="10" t="str">
        <f t="shared" si="997"/>
        <v/>
      </c>
    </row>
    <row r="1036" spans="1:155" s="5" customFormat="1" x14ac:dyDescent="0.35">
      <c r="A1036"/>
      <c r="B1036" s="69" t="str" cm="1">
        <f t="array" aca="1" ref="B1036" ca="1">HYPERLINK(CONCATENATE("#",CELL("address",$D$303)),$D$303)</f>
        <v>Loan 14</v>
      </c>
      <c r="C1036" s="211"/>
      <c r="D1036" s="49">
        <f>D$26</f>
        <v>0</v>
      </c>
      <c r="E1036" s="49" t="str">
        <f>F$26</f>
        <v/>
      </c>
      <c r="F1036" s="49"/>
      <c r="G1036"/>
      <c r="H1036" s="9"/>
      <c r="I1036" s="40" t="s">
        <v>665</v>
      </c>
      <c r="J1036"/>
      <c r="K1036"/>
      <c r="L1036"/>
      <c r="M1036"/>
      <c r="N1036"/>
      <c r="O1036"/>
      <c r="P1036"/>
      <c r="Q1036"/>
      <c r="R1036"/>
      <c r="S1036"/>
      <c r="T1036"/>
      <c r="U1036"/>
      <c r="V1036" s="106"/>
      <c r="W1036" s="133">
        <f t="shared" ca="1" si="1024"/>
        <v>0</v>
      </c>
      <c r="X1036" s="133">
        <f t="shared" ca="1" si="1024"/>
        <v>0</v>
      </c>
      <c r="Y1036" s="133">
        <f t="shared" ca="1" si="1024"/>
        <v>0</v>
      </c>
      <c r="Z1036"/>
      <c r="AA1036" s="133">
        <f ca="1">IF($E1036=Parameters!$D$69, AA896, MIN(AA896,-SUM(OFFSET(AA873, 0, MIN(12, COUNTA(AB$3:$BV$3)), , -MIN(12, COUNTA(AB$3:$BV$3))))))</f>
        <v>0</v>
      </c>
      <c r="AB1036" s="133">
        <f ca="1">IF($E1036=Parameters!$D$69, AB896, MIN(AB896,-SUM(OFFSET(AB873, 0, MIN(12, COUNTA(AC$3:$BV$3)), , -MIN(12, COUNTA(AC$3:$BV$3))))))</f>
        <v>0</v>
      </c>
      <c r="AC1036" s="133">
        <f ca="1">IF($E1036=Parameters!$D$69, AC896, MIN(AC896,-SUM(OFFSET(AC873, 0, MIN(12, COUNTA(AD$3:$BV$3)), , -MIN(12, COUNTA(AD$3:$BV$3))))))</f>
        <v>0</v>
      </c>
      <c r="AD1036" s="133">
        <f ca="1">IF($E1036=Parameters!$D$69, AD896, MIN(AD896,-SUM(OFFSET(AD873, 0, MIN(12, COUNTA(AE$3:$BV$3)), , -MIN(12, COUNTA(AE$3:$BV$3))))))</f>
        <v>0</v>
      </c>
      <c r="AE1036" s="133">
        <f ca="1">IF($E1036=Parameters!$D$69, AE896, MIN(AE896,-SUM(OFFSET(AE873, 0, MIN(12, COUNTA(AF$3:$BV$3)), , -MIN(12, COUNTA(AF$3:$BV$3))))))</f>
        <v>0</v>
      </c>
      <c r="AF1036" s="133">
        <f ca="1">IF($E1036=Parameters!$D$69, AF896, MIN(AF896,-SUM(OFFSET(AF873, 0, MIN(12, COUNTA(AG$3:$BV$3)), , -MIN(12, COUNTA(AG$3:$BV$3))))))</f>
        <v>0</v>
      </c>
      <c r="AG1036" s="133">
        <f ca="1">IF($E1036=Parameters!$D$69, AG896, MIN(AG896,-SUM(OFFSET(AG873, 0, MIN(12, COUNTA(AH$3:$BV$3)), , -MIN(12, COUNTA(AH$3:$BV$3))))))</f>
        <v>0</v>
      </c>
      <c r="AH1036" s="133">
        <f ca="1">IF($E1036=Parameters!$D$69, AH896, MIN(AH896,-SUM(OFFSET(AH873, 0, MIN(12, COUNTA(AI$3:$BV$3)), , -MIN(12, COUNTA(AI$3:$BV$3))))))</f>
        <v>0</v>
      </c>
      <c r="AI1036" s="133">
        <f ca="1">IF($E1036=Parameters!$D$69, AI896, MIN(AI896,-SUM(OFFSET(AI873, 0, MIN(12, COUNTA(AJ$3:$BV$3)), , -MIN(12, COUNTA(AJ$3:$BV$3))))))</f>
        <v>0</v>
      </c>
      <c r="AJ1036" s="133">
        <f ca="1">IF($E1036=Parameters!$D$69, AJ896, MIN(AJ896,-SUM(OFFSET(AJ873, 0, MIN(12, COUNTA(AK$3:$BV$3)), , -MIN(12, COUNTA(AK$3:$BV$3))))))</f>
        <v>0</v>
      </c>
      <c r="AK1036" s="133">
        <f ca="1">IF($E1036=Parameters!$D$69, AK896, MIN(AK896,-SUM(OFFSET(AK873, 0, MIN(12, COUNTA(AL$3:$BV$3)), , -MIN(12, COUNTA(AL$3:$BV$3))))))</f>
        <v>0</v>
      </c>
      <c r="AL1036" s="133">
        <f ca="1">IF($E1036=Parameters!$D$69, AL896, MIN(AL896,-SUM(OFFSET(AL873, 0, MIN(12, COUNTA(AM$3:$BV$3)), , -MIN(12, COUNTA(AM$3:$BV$3))))))</f>
        <v>0</v>
      </c>
      <c r="AM1036" s="133">
        <f ca="1">IF($E1036=Parameters!$D$69, AM896, MIN(AM896,-SUM(OFFSET(AM873, 0, MIN(12, COUNTA(AN$3:$BV$3)), , -MIN(12, COUNTA(AN$3:$BV$3))))))</f>
        <v>0</v>
      </c>
      <c r="AN1036" s="133">
        <f ca="1">IF($E1036=Parameters!$D$69, AN896, MIN(AN896,-SUM(OFFSET(AN873, 0, MIN(12, COUNTA(AO$3:$BV$3)), , -MIN(12, COUNTA(AO$3:$BV$3))))))</f>
        <v>0</v>
      </c>
      <c r="AO1036" s="133">
        <f ca="1">IF($E1036=Parameters!$D$69, AO896, MIN(AO896,-SUM(OFFSET(AO873, 0, MIN(12, COUNTA(AP$3:$BV$3)), , -MIN(12, COUNTA(AP$3:$BV$3))))))</f>
        <v>0</v>
      </c>
      <c r="AP1036" s="133">
        <f ca="1">IF($E1036=Parameters!$D$69, AP896, MIN(AP896,-SUM(OFFSET(AP873, 0, MIN(12, COUNTA(AQ$3:$BV$3)), , -MIN(12, COUNTA(AQ$3:$BV$3))))))</f>
        <v>0</v>
      </c>
      <c r="AQ1036" s="133">
        <f ca="1">IF($E1036=Parameters!$D$69, AQ896, MIN(AQ896,-SUM(OFFSET(AQ873, 0, MIN(12, COUNTA(AR$3:$BV$3)), , -MIN(12, COUNTA(AR$3:$BV$3))))))</f>
        <v>0</v>
      </c>
      <c r="AR1036" s="133">
        <f ca="1">IF($E1036=Parameters!$D$69, AR896, MIN(AR896,-SUM(OFFSET(AR873, 0, MIN(12, COUNTA(AS$3:$BV$3)), , -MIN(12, COUNTA(AS$3:$BV$3))))))</f>
        <v>0</v>
      </c>
      <c r="AS1036" s="133">
        <f ca="1">IF($E1036=Parameters!$D$69, AS896, MIN(AS896,-SUM(OFFSET(AS873, 0, MIN(12, COUNTA(AT$3:$BV$3)), , -MIN(12, COUNTA(AT$3:$BV$3))))))</f>
        <v>0</v>
      </c>
      <c r="AT1036" s="133">
        <f ca="1">IF($E1036=Parameters!$D$69, AT896, MIN(AT896,-SUM(OFFSET(AT873, 0, MIN(12, COUNTA(AU$3:$BV$3)), , -MIN(12, COUNTA(AU$3:$BV$3))))))</f>
        <v>0</v>
      </c>
      <c r="AU1036" s="133">
        <f ca="1">IF($E1036=Parameters!$D$69, AU896, MIN(AU896,-SUM(OFFSET(AU873, 0, MIN(12, COUNTA(AV$3:$BV$3)), , -MIN(12, COUNTA(AV$3:$BV$3))))))</f>
        <v>0</v>
      </c>
      <c r="AV1036" s="133">
        <f ca="1">IF($E1036=Parameters!$D$69, AV896, MIN(AV896,-SUM(OFFSET(AV873, 0, MIN(12, COUNTA(AW$3:$BV$3)), , -MIN(12, COUNTA(AW$3:$BV$3))))))</f>
        <v>0</v>
      </c>
      <c r="AW1036" s="133">
        <f ca="1">IF($E1036=Parameters!$D$69, AW896, MIN(AW896,-SUM(OFFSET(AW873, 0, MIN(12, COUNTA(AX$3:$BV$3)), , -MIN(12, COUNTA(AX$3:$BV$3))))))</f>
        <v>0</v>
      </c>
      <c r="AX1036" s="133">
        <f ca="1">IF($E1036=Parameters!$D$69, AX896, MIN(AX896,-SUM(OFFSET(AX873, 0, MIN(12, COUNTA(AY$3:$BV$3)), , -MIN(12, COUNTA(AY$3:$BV$3))))))</f>
        <v>0</v>
      </c>
      <c r="AY1036" s="133">
        <f ca="1">IF($E1036=Parameters!$D$69, AY896, MIN(AY896,-SUM(OFFSET(AY873, 0, MIN(12, COUNTA(AZ$3:$BV$3)), , -MIN(12, COUNTA(AZ$3:$BV$3))))))</f>
        <v>0</v>
      </c>
      <c r="AZ1036" s="133">
        <f ca="1">IF($E1036=Parameters!$D$69, AZ896, MIN(AZ896,-SUM(OFFSET(AZ873, 0, MIN(12, COUNTA(BA$3:$BV$3)), , -MIN(12, COUNTA(BA$3:$BV$3))))))</f>
        <v>0</v>
      </c>
      <c r="BA1036" s="133">
        <f ca="1">IF($E1036=Parameters!$D$69, BA896, MIN(BA896,-SUM(OFFSET(BA873, 0, MIN(12, COUNTA(BB$3:$BV$3)), , -MIN(12, COUNTA(BB$3:$BV$3))))))</f>
        <v>0</v>
      </c>
      <c r="BB1036" s="133">
        <f ca="1">IF($E1036=Parameters!$D$69, BB896, MIN(BB896,-SUM(OFFSET(BB873, 0, MIN(12, COUNTA(BC$3:$BV$3)), , -MIN(12, COUNTA(BC$3:$BV$3))))))</f>
        <v>0</v>
      </c>
      <c r="BC1036" s="133">
        <f ca="1">IF($E1036=Parameters!$D$69, BC896, MIN(BC896,-SUM(OFFSET(BC873, 0, MIN(12, COUNTA(BD$3:$BV$3)), , -MIN(12, COUNTA(BD$3:$BV$3))))))</f>
        <v>0</v>
      </c>
      <c r="BD1036" s="133">
        <f ca="1">IF($E1036=Parameters!$D$69, BD896, MIN(BD896,-SUM(OFFSET(BD873, 0, MIN(12, COUNTA(BE$3:$BV$3)), , -MIN(12, COUNTA(BE$3:$BV$3))))))</f>
        <v>0</v>
      </c>
      <c r="BE1036" s="133">
        <f ca="1">IF($E1036=Parameters!$D$69, BE896, MIN(BE896,-SUM(OFFSET(BE873, 0, MIN(12, COUNTA(BF$3:$BV$3)), , -MIN(12, COUNTA(BF$3:$BV$3))))))</f>
        <v>0</v>
      </c>
      <c r="BF1036" s="133">
        <f ca="1">IF($E1036=Parameters!$D$69, BF896, MIN(BF896,-SUM(OFFSET(BF873, 0, MIN(12, COUNTA(BG$3:$BV$3)), , -MIN(12, COUNTA(BG$3:$BV$3))))))</f>
        <v>0</v>
      </c>
      <c r="BG1036" s="133">
        <f ca="1">IF($E1036=Parameters!$D$69, BG896, MIN(BG896,-SUM(OFFSET(BG873, 0, MIN(12, COUNTA(BH$3:$BV$3)), , -MIN(12, COUNTA(BH$3:$BV$3))))))</f>
        <v>0</v>
      </c>
      <c r="BH1036" s="133">
        <f ca="1">IF($E1036=Parameters!$D$69, BH896, MIN(BH896,-SUM(OFFSET(BH873, 0, MIN(12, COUNTA(BI$3:$BV$3)), , -MIN(12, COUNTA(BI$3:$BV$3))))))</f>
        <v>0</v>
      </c>
      <c r="BI1036" s="133">
        <f ca="1">IF($E1036=Parameters!$D$69, BI896, MIN(BI896,-SUM(OFFSET(BI873, 0, MIN(12, COUNTA(BJ$3:$BV$3)), , -MIN(12, COUNTA(BJ$3:$BV$3))))))</f>
        <v>0</v>
      </c>
      <c r="BJ1036" s="133">
        <f ca="1">IF($E1036=Parameters!$D$69, BJ896, MIN(BJ896,-SUM(OFFSET(BJ873, 0, MIN(12, COUNTA(BK$3:$BV$3)), , -MIN(12, COUNTA(BK$3:$BV$3))))))</f>
        <v>0</v>
      </c>
      <c r="BK1036" s="106"/>
      <c r="BL1036" s="106"/>
      <c r="BM1036" s="106"/>
      <c r="BN1036" s="106"/>
      <c r="BO1036" s="106"/>
      <c r="BP1036" s="106"/>
      <c r="BQ1036" s="106"/>
      <c r="BR1036" s="106"/>
      <c r="BS1036" s="106"/>
      <c r="BT1036" s="106"/>
      <c r="BU1036" s="106"/>
      <c r="BV1036" s="106"/>
      <c r="BW1036"/>
      <c r="BX1036" s="106"/>
      <c r="BY1036" s="12">
        <f t="shared" ca="1" si="1025"/>
        <v>0</v>
      </c>
      <c r="BZ1036" s="12">
        <f t="shared" ca="1" si="1026"/>
        <v>0</v>
      </c>
      <c r="CA1036" s="12">
        <f t="shared" ca="1" si="1027"/>
        <v>0</v>
      </c>
      <c r="CB1036" s="106"/>
      <c r="CC1036" s="106"/>
      <c r="CD1036" s="106"/>
      <c r="CE1036" s="106"/>
      <c r="CF1036" s="106"/>
      <c r="CG1036" s="106"/>
      <c r="CH1036" s="106"/>
      <c r="CI1036" s="106"/>
      <c r="CJ1036"/>
      <c r="CK1036" s="11"/>
      <c r="CL1036"/>
      <c r="CM1036" s="11"/>
      <c r="CN1036"/>
      <c r="CO1036"/>
      <c r="CP1036"/>
      <c r="CQ1036"/>
      <c r="CR1036"/>
      <c r="CS1036"/>
      <c r="CT1036"/>
      <c r="CU1036"/>
      <c r="CV1036" s="120"/>
      <c r="CW1036"/>
      <c r="CX1036"/>
      <c r="CY1036"/>
      <c r="CZ1036"/>
      <c r="DA1036"/>
      <c r="DB1036"/>
      <c r="DC1036"/>
      <c r="DD1036"/>
      <c r="DE1036"/>
      <c r="DF1036" s="11"/>
      <c r="EY1036" s="10" t="str">
        <f t="shared" si="997"/>
        <v/>
      </c>
    </row>
    <row r="1037" spans="1:155" x14ac:dyDescent="0.35">
      <c r="B1037" s="69" t="str" cm="1">
        <f t="array" aca="1" ref="B1037" ca="1">HYPERLINK(CONCATENATE("#",CELL("address",$D$322)),$D$322)</f>
        <v>Loan 15</v>
      </c>
      <c r="C1037" s="211"/>
      <c r="D1037" s="49">
        <f>D$27</f>
        <v>0</v>
      </c>
      <c r="E1037" s="49" t="str">
        <f>F$27</f>
        <v/>
      </c>
      <c r="F1037" s="49"/>
      <c r="H1037" s="9"/>
      <c r="I1037" s="40" t="s">
        <v>665</v>
      </c>
      <c r="V1037" s="106"/>
      <c r="W1037" s="133">
        <f t="shared" ca="1" si="1024"/>
        <v>0</v>
      </c>
      <c r="X1037" s="133">
        <f t="shared" ca="1" si="1024"/>
        <v>0</v>
      </c>
      <c r="Y1037" s="133">
        <f t="shared" ca="1" si="1024"/>
        <v>0</v>
      </c>
      <c r="AA1037" s="133">
        <f ca="1">IF($E1037=Parameters!$D$69, AA897, MIN(AA897,-SUM(OFFSET(AA874, 0, MIN(12, COUNTA(AB$3:$BV$3)), , -MIN(12, COUNTA(AB$3:$BV$3))))))</f>
        <v>0</v>
      </c>
      <c r="AB1037" s="133">
        <f ca="1">IF($E1037=Parameters!$D$69, AB897, MIN(AB897,-SUM(OFFSET(AB874, 0, MIN(12, COUNTA(AC$3:$BV$3)), , -MIN(12, COUNTA(AC$3:$BV$3))))))</f>
        <v>0</v>
      </c>
      <c r="AC1037" s="133">
        <f ca="1">IF($E1037=Parameters!$D$69, AC897, MIN(AC897,-SUM(OFFSET(AC874, 0, MIN(12, COUNTA(AD$3:$BV$3)), , -MIN(12, COUNTA(AD$3:$BV$3))))))</f>
        <v>0</v>
      </c>
      <c r="AD1037" s="133">
        <f ca="1">IF($E1037=Parameters!$D$69, AD897, MIN(AD897,-SUM(OFFSET(AD874, 0, MIN(12, COUNTA(AE$3:$BV$3)), , -MIN(12, COUNTA(AE$3:$BV$3))))))</f>
        <v>0</v>
      </c>
      <c r="AE1037" s="133">
        <f ca="1">IF($E1037=Parameters!$D$69, AE897, MIN(AE897,-SUM(OFFSET(AE874, 0, MIN(12, COUNTA(AF$3:$BV$3)), , -MIN(12, COUNTA(AF$3:$BV$3))))))</f>
        <v>0</v>
      </c>
      <c r="AF1037" s="133">
        <f ca="1">IF($E1037=Parameters!$D$69, AF897, MIN(AF897,-SUM(OFFSET(AF874, 0, MIN(12, COUNTA(AG$3:$BV$3)), , -MIN(12, COUNTA(AG$3:$BV$3))))))</f>
        <v>0</v>
      </c>
      <c r="AG1037" s="133">
        <f ca="1">IF($E1037=Parameters!$D$69, AG897, MIN(AG897,-SUM(OFFSET(AG874, 0, MIN(12, COUNTA(AH$3:$BV$3)), , -MIN(12, COUNTA(AH$3:$BV$3))))))</f>
        <v>0</v>
      </c>
      <c r="AH1037" s="133">
        <f ca="1">IF($E1037=Parameters!$D$69, AH897, MIN(AH897,-SUM(OFFSET(AH874, 0, MIN(12, COUNTA(AI$3:$BV$3)), , -MIN(12, COUNTA(AI$3:$BV$3))))))</f>
        <v>0</v>
      </c>
      <c r="AI1037" s="133">
        <f ca="1">IF($E1037=Parameters!$D$69, AI897, MIN(AI897,-SUM(OFFSET(AI874, 0, MIN(12, COUNTA(AJ$3:$BV$3)), , -MIN(12, COUNTA(AJ$3:$BV$3))))))</f>
        <v>0</v>
      </c>
      <c r="AJ1037" s="133">
        <f ca="1">IF($E1037=Parameters!$D$69, AJ897, MIN(AJ897,-SUM(OFFSET(AJ874, 0, MIN(12, COUNTA(AK$3:$BV$3)), , -MIN(12, COUNTA(AK$3:$BV$3))))))</f>
        <v>0</v>
      </c>
      <c r="AK1037" s="133">
        <f ca="1">IF($E1037=Parameters!$D$69, AK897, MIN(AK897,-SUM(OFFSET(AK874, 0, MIN(12, COUNTA(AL$3:$BV$3)), , -MIN(12, COUNTA(AL$3:$BV$3))))))</f>
        <v>0</v>
      </c>
      <c r="AL1037" s="133">
        <f ca="1">IF($E1037=Parameters!$D$69, AL897, MIN(AL897,-SUM(OFFSET(AL874, 0, MIN(12, COUNTA(AM$3:$BV$3)), , -MIN(12, COUNTA(AM$3:$BV$3))))))</f>
        <v>0</v>
      </c>
      <c r="AM1037" s="133">
        <f ca="1">IF($E1037=Parameters!$D$69, AM897, MIN(AM897,-SUM(OFFSET(AM874, 0, MIN(12, COUNTA(AN$3:$BV$3)), , -MIN(12, COUNTA(AN$3:$BV$3))))))</f>
        <v>0</v>
      </c>
      <c r="AN1037" s="133">
        <f ca="1">IF($E1037=Parameters!$D$69, AN897, MIN(AN897,-SUM(OFFSET(AN874, 0, MIN(12, COUNTA(AO$3:$BV$3)), , -MIN(12, COUNTA(AO$3:$BV$3))))))</f>
        <v>0</v>
      </c>
      <c r="AO1037" s="133">
        <f ca="1">IF($E1037=Parameters!$D$69, AO897, MIN(AO897,-SUM(OFFSET(AO874, 0, MIN(12, COUNTA(AP$3:$BV$3)), , -MIN(12, COUNTA(AP$3:$BV$3))))))</f>
        <v>0</v>
      </c>
      <c r="AP1037" s="133">
        <f ca="1">IF($E1037=Parameters!$D$69, AP897, MIN(AP897,-SUM(OFFSET(AP874, 0, MIN(12, COUNTA(AQ$3:$BV$3)), , -MIN(12, COUNTA(AQ$3:$BV$3))))))</f>
        <v>0</v>
      </c>
      <c r="AQ1037" s="133">
        <f ca="1">IF($E1037=Parameters!$D$69, AQ897, MIN(AQ897,-SUM(OFFSET(AQ874, 0, MIN(12, COUNTA(AR$3:$BV$3)), , -MIN(12, COUNTA(AR$3:$BV$3))))))</f>
        <v>0</v>
      </c>
      <c r="AR1037" s="133">
        <f ca="1">IF($E1037=Parameters!$D$69, AR897, MIN(AR897,-SUM(OFFSET(AR874, 0, MIN(12, COUNTA(AS$3:$BV$3)), , -MIN(12, COUNTA(AS$3:$BV$3))))))</f>
        <v>0</v>
      </c>
      <c r="AS1037" s="133">
        <f ca="1">IF($E1037=Parameters!$D$69, AS897, MIN(AS897,-SUM(OFFSET(AS874, 0, MIN(12, COUNTA(AT$3:$BV$3)), , -MIN(12, COUNTA(AT$3:$BV$3))))))</f>
        <v>0</v>
      </c>
      <c r="AT1037" s="133">
        <f ca="1">IF($E1037=Parameters!$D$69, AT897, MIN(AT897,-SUM(OFFSET(AT874, 0, MIN(12, COUNTA(AU$3:$BV$3)), , -MIN(12, COUNTA(AU$3:$BV$3))))))</f>
        <v>0</v>
      </c>
      <c r="AU1037" s="133">
        <f ca="1">IF($E1037=Parameters!$D$69, AU897, MIN(AU897,-SUM(OFFSET(AU874, 0, MIN(12, COUNTA(AV$3:$BV$3)), , -MIN(12, COUNTA(AV$3:$BV$3))))))</f>
        <v>0</v>
      </c>
      <c r="AV1037" s="133">
        <f ca="1">IF($E1037=Parameters!$D$69, AV897, MIN(AV897,-SUM(OFFSET(AV874, 0, MIN(12, COUNTA(AW$3:$BV$3)), , -MIN(12, COUNTA(AW$3:$BV$3))))))</f>
        <v>0</v>
      </c>
      <c r="AW1037" s="133">
        <f ca="1">IF($E1037=Parameters!$D$69, AW897, MIN(AW897,-SUM(OFFSET(AW874, 0, MIN(12, COUNTA(AX$3:$BV$3)), , -MIN(12, COUNTA(AX$3:$BV$3))))))</f>
        <v>0</v>
      </c>
      <c r="AX1037" s="133">
        <f ca="1">IF($E1037=Parameters!$D$69, AX897, MIN(AX897,-SUM(OFFSET(AX874, 0, MIN(12, COUNTA(AY$3:$BV$3)), , -MIN(12, COUNTA(AY$3:$BV$3))))))</f>
        <v>0</v>
      </c>
      <c r="AY1037" s="133">
        <f ca="1">IF($E1037=Parameters!$D$69, AY897, MIN(AY897,-SUM(OFFSET(AY874, 0, MIN(12, COUNTA(AZ$3:$BV$3)), , -MIN(12, COUNTA(AZ$3:$BV$3))))))</f>
        <v>0</v>
      </c>
      <c r="AZ1037" s="133">
        <f ca="1">IF($E1037=Parameters!$D$69, AZ897, MIN(AZ897,-SUM(OFFSET(AZ874, 0, MIN(12, COUNTA(BA$3:$BV$3)), , -MIN(12, COUNTA(BA$3:$BV$3))))))</f>
        <v>0</v>
      </c>
      <c r="BA1037" s="133">
        <f ca="1">IF($E1037=Parameters!$D$69, BA897, MIN(BA897,-SUM(OFFSET(BA874, 0, MIN(12, COUNTA(BB$3:$BV$3)), , -MIN(12, COUNTA(BB$3:$BV$3))))))</f>
        <v>0</v>
      </c>
      <c r="BB1037" s="133">
        <f ca="1">IF($E1037=Parameters!$D$69, BB897, MIN(BB897,-SUM(OFFSET(BB874, 0, MIN(12, COUNTA(BC$3:$BV$3)), , -MIN(12, COUNTA(BC$3:$BV$3))))))</f>
        <v>0</v>
      </c>
      <c r="BC1037" s="133">
        <f ca="1">IF($E1037=Parameters!$D$69, BC897, MIN(BC897,-SUM(OFFSET(BC874, 0, MIN(12, COUNTA(BD$3:$BV$3)), , -MIN(12, COUNTA(BD$3:$BV$3))))))</f>
        <v>0</v>
      </c>
      <c r="BD1037" s="133">
        <f ca="1">IF($E1037=Parameters!$D$69, BD897, MIN(BD897,-SUM(OFFSET(BD874, 0, MIN(12, COUNTA(BE$3:$BV$3)), , -MIN(12, COUNTA(BE$3:$BV$3))))))</f>
        <v>0</v>
      </c>
      <c r="BE1037" s="133">
        <f ca="1">IF($E1037=Parameters!$D$69, BE897, MIN(BE897,-SUM(OFFSET(BE874, 0, MIN(12, COUNTA(BF$3:$BV$3)), , -MIN(12, COUNTA(BF$3:$BV$3))))))</f>
        <v>0</v>
      </c>
      <c r="BF1037" s="133">
        <f ca="1">IF($E1037=Parameters!$D$69, BF897, MIN(BF897,-SUM(OFFSET(BF874, 0, MIN(12, COUNTA(BG$3:$BV$3)), , -MIN(12, COUNTA(BG$3:$BV$3))))))</f>
        <v>0</v>
      </c>
      <c r="BG1037" s="133">
        <f ca="1">IF($E1037=Parameters!$D$69, BG897, MIN(BG897,-SUM(OFFSET(BG874, 0, MIN(12, COUNTA(BH$3:$BV$3)), , -MIN(12, COUNTA(BH$3:$BV$3))))))</f>
        <v>0</v>
      </c>
      <c r="BH1037" s="133">
        <f ca="1">IF($E1037=Parameters!$D$69, BH897, MIN(BH897,-SUM(OFFSET(BH874, 0, MIN(12, COUNTA(BI$3:$BV$3)), , -MIN(12, COUNTA(BI$3:$BV$3))))))</f>
        <v>0</v>
      </c>
      <c r="BI1037" s="133">
        <f ca="1">IF($E1037=Parameters!$D$69, BI897, MIN(BI897,-SUM(OFFSET(BI874, 0, MIN(12, COUNTA(BJ$3:$BV$3)), , -MIN(12, COUNTA(BJ$3:$BV$3))))))</f>
        <v>0</v>
      </c>
      <c r="BJ1037" s="133">
        <f ca="1">IF($E1037=Parameters!$D$69, BJ897, MIN(BJ897,-SUM(OFFSET(BJ874, 0, MIN(12, COUNTA(BK$3:$BV$3)), , -MIN(12, COUNTA(BK$3:$BV$3))))))</f>
        <v>0</v>
      </c>
      <c r="BK1037" s="106"/>
      <c r="BL1037" s="106"/>
      <c r="BM1037" s="106"/>
      <c r="BN1037" s="106"/>
      <c r="BO1037" s="106"/>
      <c r="BP1037" s="106"/>
      <c r="BQ1037" s="106"/>
      <c r="BR1037" s="106"/>
      <c r="BS1037" s="106"/>
      <c r="BT1037" s="106"/>
      <c r="BU1037" s="106"/>
      <c r="BV1037" s="106"/>
      <c r="BX1037" s="106"/>
      <c r="BY1037" s="12">
        <f t="shared" ca="1" si="1025"/>
        <v>0</v>
      </c>
      <c r="BZ1037" s="12">
        <f t="shared" ca="1" si="1026"/>
        <v>0</v>
      </c>
      <c r="CA1037" s="12">
        <f t="shared" ca="1" si="1027"/>
        <v>0</v>
      </c>
      <c r="CB1037" s="106"/>
      <c r="CC1037" s="106"/>
      <c r="CD1037" s="106"/>
      <c r="CE1037" s="106"/>
      <c r="CF1037" s="106"/>
      <c r="CG1037" s="106"/>
      <c r="CH1037" s="106"/>
      <c r="CI1037" s="106"/>
      <c r="CK1037" s="11"/>
      <c r="CM1037" s="11"/>
      <c r="CV1037" s="120"/>
      <c r="DF1037" s="11"/>
      <c r="EY1037" s="10" t="str">
        <f t="shared" si="997"/>
        <v/>
      </c>
    </row>
    <row r="1038" spans="1:155" x14ac:dyDescent="0.35">
      <c r="B1038" s="69" t="str" cm="1">
        <f t="array" aca="1" ref="B1038" ca="1">HYPERLINK(CONCATENATE("#",CELL("address",$D$341)),$D$341)</f>
        <v>Loan 16</v>
      </c>
      <c r="C1038" s="211"/>
      <c r="D1038" s="49">
        <f>D$28</f>
        <v>0</v>
      </c>
      <c r="E1038" s="49" t="str">
        <f>F$28</f>
        <v/>
      </c>
      <c r="F1038" s="49"/>
      <c r="H1038" s="9"/>
      <c r="I1038" s="40" t="s">
        <v>665</v>
      </c>
      <c r="V1038" s="106"/>
      <c r="W1038" s="133">
        <f t="shared" ca="1" si="1024"/>
        <v>0</v>
      </c>
      <c r="X1038" s="133">
        <f t="shared" ca="1" si="1024"/>
        <v>0</v>
      </c>
      <c r="Y1038" s="133">
        <f t="shared" ca="1" si="1024"/>
        <v>0</v>
      </c>
      <c r="AA1038" s="133">
        <f ca="1">IF($E1038=Parameters!$D$69, AA898, MIN(AA898,-SUM(OFFSET(AA875, 0, MIN(12, COUNTA(AB$3:$BV$3)), , -MIN(12, COUNTA(AB$3:$BV$3))))))</f>
        <v>0</v>
      </c>
      <c r="AB1038" s="133">
        <f ca="1">IF($E1038=Parameters!$D$69, AB898, MIN(AB898,-SUM(OFFSET(AB875, 0, MIN(12, COUNTA(AC$3:$BV$3)), , -MIN(12, COUNTA(AC$3:$BV$3))))))</f>
        <v>0</v>
      </c>
      <c r="AC1038" s="133">
        <f ca="1">IF($E1038=Parameters!$D$69, AC898, MIN(AC898,-SUM(OFFSET(AC875, 0, MIN(12, COUNTA(AD$3:$BV$3)), , -MIN(12, COUNTA(AD$3:$BV$3))))))</f>
        <v>0</v>
      </c>
      <c r="AD1038" s="133">
        <f ca="1">IF($E1038=Parameters!$D$69, AD898, MIN(AD898,-SUM(OFFSET(AD875, 0, MIN(12, COUNTA(AE$3:$BV$3)), , -MIN(12, COUNTA(AE$3:$BV$3))))))</f>
        <v>0</v>
      </c>
      <c r="AE1038" s="133">
        <f ca="1">IF($E1038=Parameters!$D$69, AE898, MIN(AE898,-SUM(OFFSET(AE875, 0, MIN(12, COUNTA(AF$3:$BV$3)), , -MIN(12, COUNTA(AF$3:$BV$3))))))</f>
        <v>0</v>
      </c>
      <c r="AF1038" s="133">
        <f ca="1">IF($E1038=Parameters!$D$69, AF898, MIN(AF898,-SUM(OFFSET(AF875, 0, MIN(12, COUNTA(AG$3:$BV$3)), , -MIN(12, COUNTA(AG$3:$BV$3))))))</f>
        <v>0</v>
      </c>
      <c r="AG1038" s="133">
        <f ca="1">IF($E1038=Parameters!$D$69, AG898, MIN(AG898,-SUM(OFFSET(AG875, 0, MIN(12, COUNTA(AH$3:$BV$3)), , -MIN(12, COUNTA(AH$3:$BV$3))))))</f>
        <v>0</v>
      </c>
      <c r="AH1038" s="133">
        <f ca="1">IF($E1038=Parameters!$D$69, AH898, MIN(AH898,-SUM(OFFSET(AH875, 0, MIN(12, COUNTA(AI$3:$BV$3)), , -MIN(12, COUNTA(AI$3:$BV$3))))))</f>
        <v>0</v>
      </c>
      <c r="AI1038" s="133">
        <f ca="1">IF($E1038=Parameters!$D$69, AI898, MIN(AI898,-SUM(OFFSET(AI875, 0, MIN(12, COUNTA(AJ$3:$BV$3)), , -MIN(12, COUNTA(AJ$3:$BV$3))))))</f>
        <v>0</v>
      </c>
      <c r="AJ1038" s="133">
        <f ca="1">IF($E1038=Parameters!$D$69, AJ898, MIN(AJ898,-SUM(OFFSET(AJ875, 0, MIN(12, COUNTA(AK$3:$BV$3)), , -MIN(12, COUNTA(AK$3:$BV$3))))))</f>
        <v>0</v>
      </c>
      <c r="AK1038" s="133">
        <f ca="1">IF($E1038=Parameters!$D$69, AK898, MIN(AK898,-SUM(OFFSET(AK875, 0, MIN(12, COUNTA(AL$3:$BV$3)), , -MIN(12, COUNTA(AL$3:$BV$3))))))</f>
        <v>0</v>
      </c>
      <c r="AL1038" s="133">
        <f ca="1">IF($E1038=Parameters!$D$69, AL898, MIN(AL898,-SUM(OFFSET(AL875, 0, MIN(12, COUNTA(AM$3:$BV$3)), , -MIN(12, COUNTA(AM$3:$BV$3))))))</f>
        <v>0</v>
      </c>
      <c r="AM1038" s="133">
        <f ca="1">IF($E1038=Parameters!$D$69, AM898, MIN(AM898,-SUM(OFFSET(AM875, 0, MIN(12, COUNTA(AN$3:$BV$3)), , -MIN(12, COUNTA(AN$3:$BV$3))))))</f>
        <v>0</v>
      </c>
      <c r="AN1038" s="133">
        <f ca="1">IF($E1038=Parameters!$D$69, AN898, MIN(AN898,-SUM(OFFSET(AN875, 0, MIN(12, COUNTA(AO$3:$BV$3)), , -MIN(12, COUNTA(AO$3:$BV$3))))))</f>
        <v>0</v>
      </c>
      <c r="AO1038" s="133">
        <f ca="1">IF($E1038=Parameters!$D$69, AO898, MIN(AO898,-SUM(OFFSET(AO875, 0, MIN(12, COUNTA(AP$3:$BV$3)), , -MIN(12, COUNTA(AP$3:$BV$3))))))</f>
        <v>0</v>
      </c>
      <c r="AP1038" s="133">
        <f ca="1">IF($E1038=Parameters!$D$69, AP898, MIN(AP898,-SUM(OFFSET(AP875, 0, MIN(12, COUNTA(AQ$3:$BV$3)), , -MIN(12, COUNTA(AQ$3:$BV$3))))))</f>
        <v>0</v>
      </c>
      <c r="AQ1038" s="133">
        <f ca="1">IF($E1038=Parameters!$D$69, AQ898, MIN(AQ898,-SUM(OFFSET(AQ875, 0, MIN(12, COUNTA(AR$3:$BV$3)), , -MIN(12, COUNTA(AR$3:$BV$3))))))</f>
        <v>0</v>
      </c>
      <c r="AR1038" s="133">
        <f ca="1">IF($E1038=Parameters!$D$69, AR898, MIN(AR898,-SUM(OFFSET(AR875, 0, MIN(12, COUNTA(AS$3:$BV$3)), , -MIN(12, COUNTA(AS$3:$BV$3))))))</f>
        <v>0</v>
      </c>
      <c r="AS1038" s="133">
        <f ca="1">IF($E1038=Parameters!$D$69, AS898, MIN(AS898,-SUM(OFFSET(AS875, 0, MIN(12, COUNTA(AT$3:$BV$3)), , -MIN(12, COUNTA(AT$3:$BV$3))))))</f>
        <v>0</v>
      </c>
      <c r="AT1038" s="133">
        <f ca="1">IF($E1038=Parameters!$D$69, AT898, MIN(AT898,-SUM(OFFSET(AT875, 0, MIN(12, COUNTA(AU$3:$BV$3)), , -MIN(12, COUNTA(AU$3:$BV$3))))))</f>
        <v>0</v>
      </c>
      <c r="AU1038" s="133">
        <f ca="1">IF($E1038=Parameters!$D$69, AU898, MIN(AU898,-SUM(OFFSET(AU875, 0, MIN(12, COUNTA(AV$3:$BV$3)), , -MIN(12, COUNTA(AV$3:$BV$3))))))</f>
        <v>0</v>
      </c>
      <c r="AV1038" s="133">
        <f ca="1">IF($E1038=Parameters!$D$69, AV898, MIN(AV898,-SUM(OFFSET(AV875, 0, MIN(12, COUNTA(AW$3:$BV$3)), , -MIN(12, COUNTA(AW$3:$BV$3))))))</f>
        <v>0</v>
      </c>
      <c r="AW1038" s="133">
        <f ca="1">IF($E1038=Parameters!$D$69, AW898, MIN(AW898,-SUM(OFFSET(AW875, 0, MIN(12, COUNTA(AX$3:$BV$3)), , -MIN(12, COUNTA(AX$3:$BV$3))))))</f>
        <v>0</v>
      </c>
      <c r="AX1038" s="133">
        <f ca="1">IF($E1038=Parameters!$D$69, AX898, MIN(AX898,-SUM(OFFSET(AX875, 0, MIN(12, COUNTA(AY$3:$BV$3)), , -MIN(12, COUNTA(AY$3:$BV$3))))))</f>
        <v>0</v>
      </c>
      <c r="AY1038" s="133">
        <f ca="1">IF($E1038=Parameters!$D$69, AY898, MIN(AY898,-SUM(OFFSET(AY875, 0, MIN(12, COUNTA(AZ$3:$BV$3)), , -MIN(12, COUNTA(AZ$3:$BV$3))))))</f>
        <v>0</v>
      </c>
      <c r="AZ1038" s="133">
        <f ca="1">IF($E1038=Parameters!$D$69, AZ898, MIN(AZ898,-SUM(OFFSET(AZ875, 0, MIN(12, COUNTA(BA$3:$BV$3)), , -MIN(12, COUNTA(BA$3:$BV$3))))))</f>
        <v>0</v>
      </c>
      <c r="BA1038" s="133">
        <f ca="1">IF($E1038=Parameters!$D$69, BA898, MIN(BA898,-SUM(OFFSET(BA875, 0, MIN(12, COUNTA(BB$3:$BV$3)), , -MIN(12, COUNTA(BB$3:$BV$3))))))</f>
        <v>0</v>
      </c>
      <c r="BB1038" s="133">
        <f ca="1">IF($E1038=Parameters!$D$69, BB898, MIN(BB898,-SUM(OFFSET(BB875, 0, MIN(12, COUNTA(BC$3:$BV$3)), , -MIN(12, COUNTA(BC$3:$BV$3))))))</f>
        <v>0</v>
      </c>
      <c r="BC1038" s="133">
        <f ca="1">IF($E1038=Parameters!$D$69, BC898, MIN(BC898,-SUM(OFFSET(BC875, 0, MIN(12, COUNTA(BD$3:$BV$3)), , -MIN(12, COUNTA(BD$3:$BV$3))))))</f>
        <v>0</v>
      </c>
      <c r="BD1038" s="133">
        <f ca="1">IF($E1038=Parameters!$D$69, BD898, MIN(BD898,-SUM(OFFSET(BD875, 0, MIN(12, COUNTA(BE$3:$BV$3)), , -MIN(12, COUNTA(BE$3:$BV$3))))))</f>
        <v>0</v>
      </c>
      <c r="BE1038" s="133">
        <f ca="1">IF($E1038=Parameters!$D$69, BE898, MIN(BE898,-SUM(OFFSET(BE875, 0, MIN(12, COUNTA(BF$3:$BV$3)), , -MIN(12, COUNTA(BF$3:$BV$3))))))</f>
        <v>0</v>
      </c>
      <c r="BF1038" s="133">
        <f ca="1">IF($E1038=Parameters!$D$69, BF898, MIN(BF898,-SUM(OFFSET(BF875, 0, MIN(12, COUNTA(BG$3:$BV$3)), , -MIN(12, COUNTA(BG$3:$BV$3))))))</f>
        <v>0</v>
      </c>
      <c r="BG1038" s="133">
        <f ca="1">IF($E1038=Parameters!$D$69, BG898, MIN(BG898,-SUM(OFFSET(BG875, 0, MIN(12, COUNTA(BH$3:$BV$3)), , -MIN(12, COUNTA(BH$3:$BV$3))))))</f>
        <v>0</v>
      </c>
      <c r="BH1038" s="133">
        <f ca="1">IF($E1038=Parameters!$D$69, BH898, MIN(BH898,-SUM(OFFSET(BH875, 0, MIN(12, COUNTA(BI$3:$BV$3)), , -MIN(12, COUNTA(BI$3:$BV$3))))))</f>
        <v>0</v>
      </c>
      <c r="BI1038" s="133">
        <f ca="1">IF($E1038=Parameters!$D$69, BI898, MIN(BI898,-SUM(OFFSET(BI875, 0, MIN(12, COUNTA(BJ$3:$BV$3)), , -MIN(12, COUNTA(BJ$3:$BV$3))))))</f>
        <v>0</v>
      </c>
      <c r="BJ1038" s="133">
        <f ca="1">IF($E1038=Parameters!$D$69, BJ898, MIN(BJ898,-SUM(OFFSET(BJ875, 0, MIN(12, COUNTA(BK$3:$BV$3)), , -MIN(12, COUNTA(BK$3:$BV$3))))))</f>
        <v>0</v>
      </c>
      <c r="BK1038" s="106"/>
      <c r="BL1038" s="106"/>
      <c r="BM1038" s="106"/>
      <c r="BN1038" s="106"/>
      <c r="BO1038" s="106"/>
      <c r="BP1038" s="106"/>
      <c r="BQ1038" s="106"/>
      <c r="BR1038" s="106"/>
      <c r="BS1038" s="106"/>
      <c r="BT1038" s="106"/>
      <c r="BU1038" s="106"/>
      <c r="BV1038" s="106"/>
      <c r="BX1038" s="106"/>
      <c r="BY1038" s="12">
        <f t="shared" ca="1" si="1025"/>
        <v>0</v>
      </c>
      <c r="BZ1038" s="12">
        <f t="shared" ca="1" si="1026"/>
        <v>0</v>
      </c>
      <c r="CA1038" s="12">
        <f t="shared" ca="1" si="1027"/>
        <v>0</v>
      </c>
      <c r="CB1038" s="106"/>
      <c r="CC1038" s="106"/>
      <c r="CD1038" s="106"/>
      <c r="CE1038" s="106"/>
      <c r="CF1038" s="106"/>
      <c r="CG1038" s="106"/>
      <c r="CH1038" s="106"/>
      <c r="CI1038" s="106"/>
      <c r="CK1038" s="11"/>
      <c r="CM1038" s="11"/>
      <c r="CV1038" s="120"/>
      <c r="DF1038" s="11"/>
      <c r="EY1038" s="10" t="str">
        <f t="shared" ref="EY1038:EY1068" si="1028">IF($C1038="","",$D1038)</f>
        <v/>
      </c>
    </row>
    <row r="1039" spans="1:155" x14ac:dyDescent="0.35">
      <c r="B1039" s="69" t="str" cm="1">
        <f t="array" aca="1" ref="B1039" ca="1">HYPERLINK(CONCATENATE("#",CELL("address",$D$360)),$D$360)</f>
        <v>Loan 17</v>
      </c>
      <c r="C1039" s="211"/>
      <c r="D1039" s="49">
        <f>D$29</f>
        <v>0</v>
      </c>
      <c r="E1039" s="49" t="str">
        <f>F$29</f>
        <v/>
      </c>
      <c r="F1039" s="49"/>
      <c r="H1039" s="9"/>
      <c r="I1039" s="40" t="s">
        <v>665</v>
      </c>
      <c r="V1039" s="106"/>
      <c r="W1039" s="133">
        <f t="shared" ca="1" si="1024"/>
        <v>0</v>
      </c>
      <c r="X1039" s="133">
        <f t="shared" ca="1" si="1024"/>
        <v>0</v>
      </c>
      <c r="Y1039" s="133">
        <f t="shared" ca="1" si="1024"/>
        <v>0</v>
      </c>
      <c r="AA1039" s="133">
        <f ca="1">IF($E1039=Parameters!$D$69, AA899, MIN(AA899,-SUM(OFFSET(AA876, 0, MIN(12, COUNTA(AB$3:$BV$3)), , -MIN(12, COUNTA(AB$3:$BV$3))))))</f>
        <v>0</v>
      </c>
      <c r="AB1039" s="133">
        <f ca="1">IF($E1039=Parameters!$D$69, AB899, MIN(AB899,-SUM(OFFSET(AB876, 0, MIN(12, COUNTA(AC$3:$BV$3)), , -MIN(12, COUNTA(AC$3:$BV$3))))))</f>
        <v>0</v>
      </c>
      <c r="AC1039" s="133">
        <f ca="1">IF($E1039=Parameters!$D$69, AC899, MIN(AC899,-SUM(OFFSET(AC876, 0, MIN(12, COUNTA(AD$3:$BV$3)), , -MIN(12, COUNTA(AD$3:$BV$3))))))</f>
        <v>0</v>
      </c>
      <c r="AD1039" s="133">
        <f ca="1">IF($E1039=Parameters!$D$69, AD899, MIN(AD899,-SUM(OFFSET(AD876, 0, MIN(12, COUNTA(AE$3:$BV$3)), , -MIN(12, COUNTA(AE$3:$BV$3))))))</f>
        <v>0</v>
      </c>
      <c r="AE1039" s="133">
        <f ca="1">IF($E1039=Parameters!$D$69, AE899, MIN(AE899,-SUM(OFFSET(AE876, 0, MIN(12, COUNTA(AF$3:$BV$3)), , -MIN(12, COUNTA(AF$3:$BV$3))))))</f>
        <v>0</v>
      </c>
      <c r="AF1039" s="133">
        <f ca="1">IF($E1039=Parameters!$D$69, AF899, MIN(AF899,-SUM(OFFSET(AF876, 0, MIN(12, COUNTA(AG$3:$BV$3)), , -MIN(12, COUNTA(AG$3:$BV$3))))))</f>
        <v>0</v>
      </c>
      <c r="AG1039" s="133">
        <f ca="1">IF($E1039=Parameters!$D$69, AG899, MIN(AG899,-SUM(OFFSET(AG876, 0, MIN(12, COUNTA(AH$3:$BV$3)), , -MIN(12, COUNTA(AH$3:$BV$3))))))</f>
        <v>0</v>
      </c>
      <c r="AH1039" s="133">
        <f ca="1">IF($E1039=Parameters!$D$69, AH899, MIN(AH899,-SUM(OFFSET(AH876, 0, MIN(12, COUNTA(AI$3:$BV$3)), , -MIN(12, COUNTA(AI$3:$BV$3))))))</f>
        <v>0</v>
      </c>
      <c r="AI1039" s="133">
        <f ca="1">IF($E1039=Parameters!$D$69, AI899, MIN(AI899,-SUM(OFFSET(AI876, 0, MIN(12, COUNTA(AJ$3:$BV$3)), , -MIN(12, COUNTA(AJ$3:$BV$3))))))</f>
        <v>0</v>
      </c>
      <c r="AJ1039" s="133">
        <f ca="1">IF($E1039=Parameters!$D$69, AJ899, MIN(AJ899,-SUM(OFFSET(AJ876, 0, MIN(12, COUNTA(AK$3:$BV$3)), , -MIN(12, COUNTA(AK$3:$BV$3))))))</f>
        <v>0</v>
      </c>
      <c r="AK1039" s="133">
        <f ca="1">IF($E1039=Parameters!$D$69, AK899, MIN(AK899,-SUM(OFFSET(AK876, 0, MIN(12, COUNTA(AL$3:$BV$3)), , -MIN(12, COUNTA(AL$3:$BV$3))))))</f>
        <v>0</v>
      </c>
      <c r="AL1039" s="133">
        <f ca="1">IF($E1039=Parameters!$D$69, AL899, MIN(AL899,-SUM(OFFSET(AL876, 0, MIN(12, COUNTA(AM$3:$BV$3)), , -MIN(12, COUNTA(AM$3:$BV$3))))))</f>
        <v>0</v>
      </c>
      <c r="AM1039" s="133">
        <f ca="1">IF($E1039=Parameters!$D$69, AM899, MIN(AM899,-SUM(OFFSET(AM876, 0, MIN(12, COUNTA(AN$3:$BV$3)), , -MIN(12, COUNTA(AN$3:$BV$3))))))</f>
        <v>0</v>
      </c>
      <c r="AN1039" s="133">
        <f ca="1">IF($E1039=Parameters!$D$69, AN899, MIN(AN899,-SUM(OFFSET(AN876, 0, MIN(12, COUNTA(AO$3:$BV$3)), , -MIN(12, COUNTA(AO$3:$BV$3))))))</f>
        <v>0</v>
      </c>
      <c r="AO1039" s="133">
        <f ca="1">IF($E1039=Parameters!$D$69, AO899, MIN(AO899,-SUM(OFFSET(AO876, 0, MIN(12, COUNTA(AP$3:$BV$3)), , -MIN(12, COUNTA(AP$3:$BV$3))))))</f>
        <v>0</v>
      </c>
      <c r="AP1039" s="133">
        <f ca="1">IF($E1039=Parameters!$D$69, AP899, MIN(AP899,-SUM(OFFSET(AP876, 0, MIN(12, COUNTA(AQ$3:$BV$3)), , -MIN(12, COUNTA(AQ$3:$BV$3))))))</f>
        <v>0</v>
      </c>
      <c r="AQ1039" s="133">
        <f ca="1">IF($E1039=Parameters!$D$69, AQ899, MIN(AQ899,-SUM(OFFSET(AQ876, 0, MIN(12, COUNTA(AR$3:$BV$3)), , -MIN(12, COUNTA(AR$3:$BV$3))))))</f>
        <v>0</v>
      </c>
      <c r="AR1039" s="133">
        <f ca="1">IF($E1039=Parameters!$D$69, AR899, MIN(AR899,-SUM(OFFSET(AR876, 0, MIN(12, COUNTA(AS$3:$BV$3)), , -MIN(12, COUNTA(AS$3:$BV$3))))))</f>
        <v>0</v>
      </c>
      <c r="AS1039" s="133">
        <f ca="1">IF($E1039=Parameters!$D$69, AS899, MIN(AS899,-SUM(OFFSET(AS876, 0, MIN(12, COUNTA(AT$3:$BV$3)), , -MIN(12, COUNTA(AT$3:$BV$3))))))</f>
        <v>0</v>
      </c>
      <c r="AT1039" s="133">
        <f ca="1">IF($E1039=Parameters!$D$69, AT899, MIN(AT899,-SUM(OFFSET(AT876, 0, MIN(12, COUNTA(AU$3:$BV$3)), , -MIN(12, COUNTA(AU$3:$BV$3))))))</f>
        <v>0</v>
      </c>
      <c r="AU1039" s="133">
        <f ca="1">IF($E1039=Parameters!$D$69, AU899, MIN(AU899,-SUM(OFFSET(AU876, 0, MIN(12, COUNTA(AV$3:$BV$3)), , -MIN(12, COUNTA(AV$3:$BV$3))))))</f>
        <v>0</v>
      </c>
      <c r="AV1039" s="133">
        <f ca="1">IF($E1039=Parameters!$D$69, AV899, MIN(AV899,-SUM(OFFSET(AV876, 0, MIN(12, COUNTA(AW$3:$BV$3)), , -MIN(12, COUNTA(AW$3:$BV$3))))))</f>
        <v>0</v>
      </c>
      <c r="AW1039" s="133">
        <f ca="1">IF($E1039=Parameters!$D$69, AW899, MIN(AW899,-SUM(OFFSET(AW876, 0, MIN(12, COUNTA(AX$3:$BV$3)), , -MIN(12, COUNTA(AX$3:$BV$3))))))</f>
        <v>0</v>
      </c>
      <c r="AX1039" s="133">
        <f ca="1">IF($E1039=Parameters!$D$69, AX899, MIN(AX899,-SUM(OFFSET(AX876, 0, MIN(12, COUNTA(AY$3:$BV$3)), , -MIN(12, COUNTA(AY$3:$BV$3))))))</f>
        <v>0</v>
      </c>
      <c r="AY1039" s="133">
        <f ca="1">IF($E1039=Parameters!$D$69, AY899, MIN(AY899,-SUM(OFFSET(AY876, 0, MIN(12, COUNTA(AZ$3:$BV$3)), , -MIN(12, COUNTA(AZ$3:$BV$3))))))</f>
        <v>0</v>
      </c>
      <c r="AZ1039" s="133">
        <f ca="1">IF($E1039=Parameters!$D$69, AZ899, MIN(AZ899,-SUM(OFFSET(AZ876, 0, MIN(12, COUNTA(BA$3:$BV$3)), , -MIN(12, COUNTA(BA$3:$BV$3))))))</f>
        <v>0</v>
      </c>
      <c r="BA1039" s="133">
        <f ca="1">IF($E1039=Parameters!$D$69, BA899, MIN(BA899,-SUM(OFFSET(BA876, 0, MIN(12, COUNTA(BB$3:$BV$3)), , -MIN(12, COUNTA(BB$3:$BV$3))))))</f>
        <v>0</v>
      </c>
      <c r="BB1039" s="133">
        <f ca="1">IF($E1039=Parameters!$D$69, BB899, MIN(BB899,-SUM(OFFSET(BB876, 0, MIN(12, COUNTA(BC$3:$BV$3)), , -MIN(12, COUNTA(BC$3:$BV$3))))))</f>
        <v>0</v>
      </c>
      <c r="BC1039" s="133">
        <f ca="1">IF($E1039=Parameters!$D$69, BC899, MIN(BC899,-SUM(OFFSET(BC876, 0, MIN(12, COUNTA(BD$3:$BV$3)), , -MIN(12, COUNTA(BD$3:$BV$3))))))</f>
        <v>0</v>
      </c>
      <c r="BD1039" s="133">
        <f ca="1">IF($E1039=Parameters!$D$69, BD899, MIN(BD899,-SUM(OFFSET(BD876, 0, MIN(12, COUNTA(BE$3:$BV$3)), , -MIN(12, COUNTA(BE$3:$BV$3))))))</f>
        <v>0</v>
      </c>
      <c r="BE1039" s="133">
        <f ca="1">IF($E1039=Parameters!$D$69, BE899, MIN(BE899,-SUM(OFFSET(BE876, 0, MIN(12, COUNTA(BF$3:$BV$3)), , -MIN(12, COUNTA(BF$3:$BV$3))))))</f>
        <v>0</v>
      </c>
      <c r="BF1039" s="133">
        <f ca="1">IF($E1039=Parameters!$D$69, BF899, MIN(BF899,-SUM(OFFSET(BF876, 0, MIN(12, COUNTA(BG$3:$BV$3)), , -MIN(12, COUNTA(BG$3:$BV$3))))))</f>
        <v>0</v>
      </c>
      <c r="BG1039" s="133">
        <f ca="1">IF($E1039=Parameters!$D$69, BG899, MIN(BG899,-SUM(OFFSET(BG876, 0, MIN(12, COUNTA(BH$3:$BV$3)), , -MIN(12, COUNTA(BH$3:$BV$3))))))</f>
        <v>0</v>
      </c>
      <c r="BH1039" s="133">
        <f ca="1">IF($E1039=Parameters!$D$69, BH899, MIN(BH899,-SUM(OFFSET(BH876, 0, MIN(12, COUNTA(BI$3:$BV$3)), , -MIN(12, COUNTA(BI$3:$BV$3))))))</f>
        <v>0</v>
      </c>
      <c r="BI1039" s="133">
        <f ca="1">IF($E1039=Parameters!$D$69, BI899, MIN(BI899,-SUM(OFFSET(BI876, 0, MIN(12, COUNTA(BJ$3:$BV$3)), , -MIN(12, COUNTA(BJ$3:$BV$3))))))</f>
        <v>0</v>
      </c>
      <c r="BJ1039" s="133">
        <f ca="1">IF($E1039=Parameters!$D$69, BJ899, MIN(BJ899,-SUM(OFFSET(BJ876, 0, MIN(12, COUNTA(BK$3:$BV$3)), , -MIN(12, COUNTA(BK$3:$BV$3))))))</f>
        <v>0</v>
      </c>
      <c r="BK1039" s="106"/>
      <c r="BL1039" s="106"/>
      <c r="BM1039" s="106"/>
      <c r="BN1039" s="106"/>
      <c r="BO1039" s="106"/>
      <c r="BP1039" s="106"/>
      <c r="BQ1039" s="106"/>
      <c r="BR1039" s="106"/>
      <c r="BS1039" s="106"/>
      <c r="BT1039" s="106"/>
      <c r="BU1039" s="106"/>
      <c r="BV1039" s="106"/>
      <c r="BX1039" s="106"/>
      <c r="BY1039" s="12">
        <f t="shared" ca="1" si="1025"/>
        <v>0</v>
      </c>
      <c r="BZ1039" s="12">
        <f t="shared" ca="1" si="1026"/>
        <v>0</v>
      </c>
      <c r="CA1039" s="12">
        <f t="shared" ca="1" si="1027"/>
        <v>0</v>
      </c>
      <c r="CB1039" s="106"/>
      <c r="CC1039" s="106"/>
      <c r="CD1039" s="106"/>
      <c r="CE1039" s="106"/>
      <c r="CF1039" s="106"/>
      <c r="CG1039" s="106"/>
      <c r="CH1039" s="106"/>
      <c r="CI1039" s="106"/>
      <c r="CK1039" s="11"/>
      <c r="CM1039" s="11"/>
      <c r="CV1039" s="120"/>
      <c r="DF1039" s="11"/>
      <c r="EY1039" s="10" t="str">
        <f t="shared" si="1028"/>
        <v/>
      </c>
    </row>
    <row r="1040" spans="1:155" x14ac:dyDescent="0.35">
      <c r="B1040" s="69" t="str" cm="1">
        <f t="array" aca="1" ref="B1040" ca="1">HYPERLINK(CONCATENATE("#",CELL("address",$D$379)),$D$379)</f>
        <v>Loan 18</v>
      </c>
      <c r="C1040" s="211"/>
      <c r="D1040" s="49">
        <f>D$30</f>
        <v>0</v>
      </c>
      <c r="E1040" s="49" t="str">
        <f>F$30</f>
        <v/>
      </c>
      <c r="F1040" s="49"/>
      <c r="H1040" s="9"/>
      <c r="I1040" s="40" t="s">
        <v>665</v>
      </c>
      <c r="V1040" s="106"/>
      <c r="W1040" s="133">
        <f t="shared" ca="1" si="1024"/>
        <v>0</v>
      </c>
      <c r="X1040" s="133">
        <f t="shared" ca="1" si="1024"/>
        <v>0</v>
      </c>
      <c r="Y1040" s="133">
        <f t="shared" ca="1" si="1024"/>
        <v>0</v>
      </c>
      <c r="AA1040" s="133">
        <f ca="1">IF($E1040=Parameters!$D$69, AA900, MIN(AA900,-SUM(OFFSET(AA877, 0, MIN(12, COUNTA(AB$3:$BV$3)), , -MIN(12, COUNTA(AB$3:$BV$3))))))</f>
        <v>0</v>
      </c>
      <c r="AB1040" s="133">
        <f ca="1">IF($E1040=Parameters!$D$69, AB900, MIN(AB900,-SUM(OFFSET(AB877, 0, MIN(12, COUNTA(AC$3:$BV$3)), , -MIN(12, COUNTA(AC$3:$BV$3))))))</f>
        <v>0</v>
      </c>
      <c r="AC1040" s="133">
        <f ca="1">IF($E1040=Parameters!$D$69, AC900, MIN(AC900,-SUM(OFFSET(AC877, 0, MIN(12, COUNTA(AD$3:$BV$3)), , -MIN(12, COUNTA(AD$3:$BV$3))))))</f>
        <v>0</v>
      </c>
      <c r="AD1040" s="133">
        <f ca="1">IF($E1040=Parameters!$D$69, AD900, MIN(AD900,-SUM(OFFSET(AD877, 0, MIN(12, COUNTA(AE$3:$BV$3)), , -MIN(12, COUNTA(AE$3:$BV$3))))))</f>
        <v>0</v>
      </c>
      <c r="AE1040" s="133">
        <f ca="1">IF($E1040=Parameters!$D$69, AE900, MIN(AE900,-SUM(OFFSET(AE877, 0, MIN(12, COUNTA(AF$3:$BV$3)), , -MIN(12, COUNTA(AF$3:$BV$3))))))</f>
        <v>0</v>
      </c>
      <c r="AF1040" s="133">
        <f ca="1">IF($E1040=Parameters!$D$69, AF900, MIN(AF900,-SUM(OFFSET(AF877, 0, MIN(12, COUNTA(AG$3:$BV$3)), , -MIN(12, COUNTA(AG$3:$BV$3))))))</f>
        <v>0</v>
      </c>
      <c r="AG1040" s="133">
        <f ca="1">IF($E1040=Parameters!$D$69, AG900, MIN(AG900,-SUM(OFFSET(AG877, 0, MIN(12, COUNTA(AH$3:$BV$3)), , -MIN(12, COUNTA(AH$3:$BV$3))))))</f>
        <v>0</v>
      </c>
      <c r="AH1040" s="133">
        <f ca="1">IF($E1040=Parameters!$D$69, AH900, MIN(AH900,-SUM(OFFSET(AH877, 0, MIN(12, COUNTA(AI$3:$BV$3)), , -MIN(12, COUNTA(AI$3:$BV$3))))))</f>
        <v>0</v>
      </c>
      <c r="AI1040" s="133">
        <f ca="1">IF($E1040=Parameters!$D$69, AI900, MIN(AI900,-SUM(OFFSET(AI877, 0, MIN(12, COUNTA(AJ$3:$BV$3)), , -MIN(12, COUNTA(AJ$3:$BV$3))))))</f>
        <v>0</v>
      </c>
      <c r="AJ1040" s="133">
        <f ca="1">IF($E1040=Parameters!$D$69, AJ900, MIN(AJ900,-SUM(OFFSET(AJ877, 0, MIN(12, COUNTA(AK$3:$BV$3)), , -MIN(12, COUNTA(AK$3:$BV$3))))))</f>
        <v>0</v>
      </c>
      <c r="AK1040" s="133">
        <f ca="1">IF($E1040=Parameters!$D$69, AK900, MIN(AK900,-SUM(OFFSET(AK877, 0, MIN(12, COUNTA(AL$3:$BV$3)), , -MIN(12, COUNTA(AL$3:$BV$3))))))</f>
        <v>0</v>
      </c>
      <c r="AL1040" s="133">
        <f ca="1">IF($E1040=Parameters!$D$69, AL900, MIN(AL900,-SUM(OFFSET(AL877, 0, MIN(12, COUNTA(AM$3:$BV$3)), , -MIN(12, COUNTA(AM$3:$BV$3))))))</f>
        <v>0</v>
      </c>
      <c r="AM1040" s="133">
        <f ca="1">IF($E1040=Parameters!$D$69, AM900, MIN(AM900,-SUM(OFFSET(AM877, 0, MIN(12, COUNTA(AN$3:$BV$3)), , -MIN(12, COUNTA(AN$3:$BV$3))))))</f>
        <v>0</v>
      </c>
      <c r="AN1040" s="133">
        <f ca="1">IF($E1040=Parameters!$D$69, AN900, MIN(AN900,-SUM(OFFSET(AN877, 0, MIN(12, COUNTA(AO$3:$BV$3)), , -MIN(12, COUNTA(AO$3:$BV$3))))))</f>
        <v>0</v>
      </c>
      <c r="AO1040" s="133">
        <f ca="1">IF($E1040=Parameters!$D$69, AO900, MIN(AO900,-SUM(OFFSET(AO877, 0, MIN(12, COUNTA(AP$3:$BV$3)), , -MIN(12, COUNTA(AP$3:$BV$3))))))</f>
        <v>0</v>
      </c>
      <c r="AP1040" s="133">
        <f ca="1">IF($E1040=Parameters!$D$69, AP900, MIN(AP900,-SUM(OFFSET(AP877, 0, MIN(12, COUNTA(AQ$3:$BV$3)), , -MIN(12, COUNTA(AQ$3:$BV$3))))))</f>
        <v>0</v>
      </c>
      <c r="AQ1040" s="133">
        <f ca="1">IF($E1040=Parameters!$D$69, AQ900, MIN(AQ900,-SUM(OFFSET(AQ877, 0, MIN(12, COUNTA(AR$3:$BV$3)), , -MIN(12, COUNTA(AR$3:$BV$3))))))</f>
        <v>0</v>
      </c>
      <c r="AR1040" s="133">
        <f ca="1">IF($E1040=Parameters!$D$69, AR900, MIN(AR900,-SUM(OFFSET(AR877, 0, MIN(12, COUNTA(AS$3:$BV$3)), , -MIN(12, COUNTA(AS$3:$BV$3))))))</f>
        <v>0</v>
      </c>
      <c r="AS1040" s="133">
        <f ca="1">IF($E1040=Parameters!$D$69, AS900, MIN(AS900,-SUM(OFFSET(AS877, 0, MIN(12, COUNTA(AT$3:$BV$3)), , -MIN(12, COUNTA(AT$3:$BV$3))))))</f>
        <v>0</v>
      </c>
      <c r="AT1040" s="133">
        <f ca="1">IF($E1040=Parameters!$D$69, AT900, MIN(AT900,-SUM(OFFSET(AT877, 0, MIN(12, COUNTA(AU$3:$BV$3)), , -MIN(12, COUNTA(AU$3:$BV$3))))))</f>
        <v>0</v>
      </c>
      <c r="AU1040" s="133">
        <f ca="1">IF($E1040=Parameters!$D$69, AU900, MIN(AU900,-SUM(OFFSET(AU877, 0, MIN(12, COUNTA(AV$3:$BV$3)), , -MIN(12, COUNTA(AV$3:$BV$3))))))</f>
        <v>0</v>
      </c>
      <c r="AV1040" s="133">
        <f ca="1">IF($E1040=Parameters!$D$69, AV900, MIN(AV900,-SUM(OFFSET(AV877, 0, MIN(12, COUNTA(AW$3:$BV$3)), , -MIN(12, COUNTA(AW$3:$BV$3))))))</f>
        <v>0</v>
      </c>
      <c r="AW1040" s="133">
        <f ca="1">IF($E1040=Parameters!$D$69, AW900, MIN(AW900,-SUM(OFFSET(AW877, 0, MIN(12, COUNTA(AX$3:$BV$3)), , -MIN(12, COUNTA(AX$3:$BV$3))))))</f>
        <v>0</v>
      </c>
      <c r="AX1040" s="133">
        <f ca="1">IF($E1040=Parameters!$D$69, AX900, MIN(AX900,-SUM(OFFSET(AX877, 0, MIN(12, COUNTA(AY$3:$BV$3)), , -MIN(12, COUNTA(AY$3:$BV$3))))))</f>
        <v>0</v>
      </c>
      <c r="AY1040" s="133">
        <f ca="1">IF($E1040=Parameters!$D$69, AY900, MIN(AY900,-SUM(OFFSET(AY877, 0, MIN(12, COUNTA(AZ$3:$BV$3)), , -MIN(12, COUNTA(AZ$3:$BV$3))))))</f>
        <v>0</v>
      </c>
      <c r="AZ1040" s="133">
        <f ca="1">IF($E1040=Parameters!$D$69, AZ900, MIN(AZ900,-SUM(OFFSET(AZ877, 0, MIN(12, COUNTA(BA$3:$BV$3)), , -MIN(12, COUNTA(BA$3:$BV$3))))))</f>
        <v>0</v>
      </c>
      <c r="BA1040" s="133">
        <f ca="1">IF($E1040=Parameters!$D$69, BA900, MIN(BA900,-SUM(OFFSET(BA877, 0, MIN(12, COUNTA(BB$3:$BV$3)), , -MIN(12, COUNTA(BB$3:$BV$3))))))</f>
        <v>0</v>
      </c>
      <c r="BB1040" s="133">
        <f ca="1">IF($E1040=Parameters!$D$69, BB900, MIN(BB900,-SUM(OFFSET(BB877, 0, MIN(12, COUNTA(BC$3:$BV$3)), , -MIN(12, COUNTA(BC$3:$BV$3))))))</f>
        <v>0</v>
      </c>
      <c r="BC1040" s="133">
        <f ca="1">IF($E1040=Parameters!$D$69, BC900, MIN(BC900,-SUM(OFFSET(BC877, 0, MIN(12, COUNTA(BD$3:$BV$3)), , -MIN(12, COUNTA(BD$3:$BV$3))))))</f>
        <v>0</v>
      </c>
      <c r="BD1040" s="133">
        <f ca="1">IF($E1040=Parameters!$D$69, BD900, MIN(BD900,-SUM(OFFSET(BD877, 0, MIN(12, COUNTA(BE$3:$BV$3)), , -MIN(12, COUNTA(BE$3:$BV$3))))))</f>
        <v>0</v>
      </c>
      <c r="BE1040" s="133">
        <f ca="1">IF($E1040=Parameters!$D$69, BE900, MIN(BE900,-SUM(OFFSET(BE877, 0, MIN(12, COUNTA(BF$3:$BV$3)), , -MIN(12, COUNTA(BF$3:$BV$3))))))</f>
        <v>0</v>
      </c>
      <c r="BF1040" s="133">
        <f ca="1">IF($E1040=Parameters!$D$69, BF900, MIN(BF900,-SUM(OFFSET(BF877, 0, MIN(12, COUNTA(BG$3:$BV$3)), , -MIN(12, COUNTA(BG$3:$BV$3))))))</f>
        <v>0</v>
      </c>
      <c r="BG1040" s="133">
        <f ca="1">IF($E1040=Parameters!$D$69, BG900, MIN(BG900,-SUM(OFFSET(BG877, 0, MIN(12, COUNTA(BH$3:$BV$3)), , -MIN(12, COUNTA(BH$3:$BV$3))))))</f>
        <v>0</v>
      </c>
      <c r="BH1040" s="133">
        <f ca="1">IF($E1040=Parameters!$D$69, BH900, MIN(BH900,-SUM(OFFSET(BH877, 0, MIN(12, COUNTA(BI$3:$BV$3)), , -MIN(12, COUNTA(BI$3:$BV$3))))))</f>
        <v>0</v>
      </c>
      <c r="BI1040" s="133">
        <f ca="1">IF($E1040=Parameters!$D$69, BI900, MIN(BI900,-SUM(OFFSET(BI877, 0, MIN(12, COUNTA(BJ$3:$BV$3)), , -MIN(12, COUNTA(BJ$3:$BV$3))))))</f>
        <v>0</v>
      </c>
      <c r="BJ1040" s="133">
        <f ca="1">IF($E1040=Parameters!$D$69, BJ900, MIN(BJ900,-SUM(OFFSET(BJ877, 0, MIN(12, COUNTA(BK$3:$BV$3)), , -MIN(12, COUNTA(BK$3:$BV$3))))))</f>
        <v>0</v>
      </c>
      <c r="BK1040" s="106"/>
      <c r="BL1040" s="106"/>
      <c r="BM1040" s="106"/>
      <c r="BN1040" s="106"/>
      <c r="BO1040" s="106"/>
      <c r="BP1040" s="106"/>
      <c r="BQ1040" s="106"/>
      <c r="BR1040" s="106"/>
      <c r="BS1040" s="106"/>
      <c r="BT1040" s="106"/>
      <c r="BU1040" s="106"/>
      <c r="BV1040" s="106"/>
      <c r="BX1040" s="106"/>
      <c r="BY1040" s="12">
        <f t="shared" ca="1" si="1025"/>
        <v>0</v>
      </c>
      <c r="BZ1040" s="12">
        <f t="shared" ca="1" si="1026"/>
        <v>0</v>
      </c>
      <c r="CA1040" s="12">
        <f t="shared" ca="1" si="1027"/>
        <v>0</v>
      </c>
      <c r="CB1040" s="106"/>
      <c r="CC1040" s="106"/>
      <c r="CD1040" s="106"/>
      <c r="CE1040" s="106"/>
      <c r="CF1040" s="106"/>
      <c r="CG1040" s="106"/>
      <c r="CH1040" s="106"/>
      <c r="CI1040" s="106"/>
      <c r="CK1040" s="11"/>
      <c r="CM1040" s="11"/>
      <c r="CV1040" s="120"/>
      <c r="DF1040" s="11"/>
      <c r="EY1040" s="10" t="str">
        <f t="shared" si="1028"/>
        <v/>
      </c>
    </row>
    <row r="1041" spans="2:155" x14ac:dyDescent="0.35">
      <c r="B1041" s="69" t="str" cm="1">
        <f t="array" aca="1" ref="B1041" ca="1">HYPERLINK(CONCATENATE("#",CELL("address",$D$398)),$D$398)</f>
        <v>Loan 19</v>
      </c>
      <c r="C1041" s="211"/>
      <c r="D1041" s="49">
        <f>D$31</f>
        <v>0</v>
      </c>
      <c r="E1041" s="49" t="str">
        <f>F$31</f>
        <v/>
      </c>
      <c r="F1041" s="49"/>
      <c r="H1041" s="9"/>
      <c r="I1041" s="40" t="s">
        <v>665</v>
      </c>
      <c r="V1041" s="106"/>
      <c r="W1041" s="133">
        <f t="shared" ca="1" si="1024"/>
        <v>0</v>
      </c>
      <c r="X1041" s="133">
        <f t="shared" ca="1" si="1024"/>
        <v>0</v>
      </c>
      <c r="Y1041" s="133">
        <f t="shared" ca="1" si="1024"/>
        <v>0</v>
      </c>
      <c r="AA1041" s="133">
        <f ca="1">IF($E1041=Parameters!$D$69, AA901, MIN(AA901,-SUM(OFFSET(AA878, 0, MIN(12, COUNTA(AB$3:$BV$3)), , -MIN(12, COUNTA(AB$3:$BV$3))))))</f>
        <v>0</v>
      </c>
      <c r="AB1041" s="133">
        <f ca="1">IF($E1041=Parameters!$D$69, AB901, MIN(AB901,-SUM(OFFSET(AB878, 0, MIN(12, COUNTA(AC$3:$BV$3)), , -MIN(12, COUNTA(AC$3:$BV$3))))))</f>
        <v>0</v>
      </c>
      <c r="AC1041" s="133">
        <f ca="1">IF($E1041=Parameters!$D$69, AC901, MIN(AC901,-SUM(OFFSET(AC878, 0, MIN(12, COUNTA(AD$3:$BV$3)), , -MIN(12, COUNTA(AD$3:$BV$3))))))</f>
        <v>0</v>
      </c>
      <c r="AD1041" s="133">
        <f ca="1">IF($E1041=Parameters!$D$69, AD901, MIN(AD901,-SUM(OFFSET(AD878, 0, MIN(12, COUNTA(AE$3:$BV$3)), , -MIN(12, COUNTA(AE$3:$BV$3))))))</f>
        <v>0</v>
      </c>
      <c r="AE1041" s="133">
        <f ca="1">IF($E1041=Parameters!$D$69, AE901, MIN(AE901,-SUM(OFFSET(AE878, 0, MIN(12, COUNTA(AF$3:$BV$3)), , -MIN(12, COUNTA(AF$3:$BV$3))))))</f>
        <v>0</v>
      </c>
      <c r="AF1041" s="133">
        <f ca="1">IF($E1041=Parameters!$D$69, AF901, MIN(AF901,-SUM(OFFSET(AF878, 0, MIN(12, COUNTA(AG$3:$BV$3)), , -MIN(12, COUNTA(AG$3:$BV$3))))))</f>
        <v>0</v>
      </c>
      <c r="AG1041" s="133">
        <f ca="1">IF($E1041=Parameters!$D$69, AG901, MIN(AG901,-SUM(OFFSET(AG878, 0, MIN(12, COUNTA(AH$3:$BV$3)), , -MIN(12, COUNTA(AH$3:$BV$3))))))</f>
        <v>0</v>
      </c>
      <c r="AH1041" s="133">
        <f ca="1">IF($E1041=Parameters!$D$69, AH901, MIN(AH901,-SUM(OFFSET(AH878, 0, MIN(12, COUNTA(AI$3:$BV$3)), , -MIN(12, COUNTA(AI$3:$BV$3))))))</f>
        <v>0</v>
      </c>
      <c r="AI1041" s="133">
        <f ca="1">IF($E1041=Parameters!$D$69, AI901, MIN(AI901,-SUM(OFFSET(AI878, 0, MIN(12, COUNTA(AJ$3:$BV$3)), , -MIN(12, COUNTA(AJ$3:$BV$3))))))</f>
        <v>0</v>
      </c>
      <c r="AJ1041" s="133">
        <f ca="1">IF($E1041=Parameters!$D$69, AJ901, MIN(AJ901,-SUM(OFFSET(AJ878, 0, MIN(12, COUNTA(AK$3:$BV$3)), , -MIN(12, COUNTA(AK$3:$BV$3))))))</f>
        <v>0</v>
      </c>
      <c r="AK1041" s="133">
        <f ca="1">IF($E1041=Parameters!$D$69, AK901, MIN(AK901,-SUM(OFFSET(AK878, 0, MIN(12, COUNTA(AL$3:$BV$3)), , -MIN(12, COUNTA(AL$3:$BV$3))))))</f>
        <v>0</v>
      </c>
      <c r="AL1041" s="133">
        <f ca="1">IF($E1041=Parameters!$D$69, AL901, MIN(AL901,-SUM(OFFSET(AL878, 0, MIN(12, COUNTA(AM$3:$BV$3)), , -MIN(12, COUNTA(AM$3:$BV$3))))))</f>
        <v>0</v>
      </c>
      <c r="AM1041" s="133">
        <f ca="1">IF($E1041=Parameters!$D$69, AM901, MIN(AM901,-SUM(OFFSET(AM878, 0, MIN(12, COUNTA(AN$3:$BV$3)), , -MIN(12, COUNTA(AN$3:$BV$3))))))</f>
        <v>0</v>
      </c>
      <c r="AN1041" s="133">
        <f ca="1">IF($E1041=Parameters!$D$69, AN901, MIN(AN901,-SUM(OFFSET(AN878, 0, MIN(12, COUNTA(AO$3:$BV$3)), , -MIN(12, COUNTA(AO$3:$BV$3))))))</f>
        <v>0</v>
      </c>
      <c r="AO1041" s="133">
        <f ca="1">IF($E1041=Parameters!$D$69, AO901, MIN(AO901,-SUM(OFFSET(AO878, 0, MIN(12, COUNTA(AP$3:$BV$3)), , -MIN(12, COUNTA(AP$3:$BV$3))))))</f>
        <v>0</v>
      </c>
      <c r="AP1041" s="133">
        <f ca="1">IF($E1041=Parameters!$D$69, AP901, MIN(AP901,-SUM(OFFSET(AP878, 0, MIN(12, COUNTA(AQ$3:$BV$3)), , -MIN(12, COUNTA(AQ$3:$BV$3))))))</f>
        <v>0</v>
      </c>
      <c r="AQ1041" s="133">
        <f ca="1">IF($E1041=Parameters!$D$69, AQ901, MIN(AQ901,-SUM(OFFSET(AQ878, 0, MIN(12, COUNTA(AR$3:$BV$3)), , -MIN(12, COUNTA(AR$3:$BV$3))))))</f>
        <v>0</v>
      </c>
      <c r="AR1041" s="133">
        <f ca="1">IF($E1041=Parameters!$D$69, AR901, MIN(AR901,-SUM(OFFSET(AR878, 0, MIN(12, COUNTA(AS$3:$BV$3)), , -MIN(12, COUNTA(AS$3:$BV$3))))))</f>
        <v>0</v>
      </c>
      <c r="AS1041" s="133">
        <f ca="1">IF($E1041=Parameters!$D$69, AS901, MIN(AS901,-SUM(OFFSET(AS878, 0, MIN(12, COUNTA(AT$3:$BV$3)), , -MIN(12, COUNTA(AT$3:$BV$3))))))</f>
        <v>0</v>
      </c>
      <c r="AT1041" s="133">
        <f ca="1">IF($E1041=Parameters!$D$69, AT901, MIN(AT901,-SUM(OFFSET(AT878, 0, MIN(12, COUNTA(AU$3:$BV$3)), , -MIN(12, COUNTA(AU$3:$BV$3))))))</f>
        <v>0</v>
      </c>
      <c r="AU1041" s="133">
        <f ca="1">IF($E1041=Parameters!$D$69, AU901, MIN(AU901,-SUM(OFFSET(AU878, 0, MIN(12, COUNTA(AV$3:$BV$3)), , -MIN(12, COUNTA(AV$3:$BV$3))))))</f>
        <v>0</v>
      </c>
      <c r="AV1041" s="133">
        <f ca="1">IF($E1041=Parameters!$D$69, AV901, MIN(AV901,-SUM(OFFSET(AV878, 0, MIN(12, COUNTA(AW$3:$BV$3)), , -MIN(12, COUNTA(AW$3:$BV$3))))))</f>
        <v>0</v>
      </c>
      <c r="AW1041" s="133">
        <f ca="1">IF($E1041=Parameters!$D$69, AW901, MIN(AW901,-SUM(OFFSET(AW878, 0, MIN(12, COUNTA(AX$3:$BV$3)), , -MIN(12, COUNTA(AX$3:$BV$3))))))</f>
        <v>0</v>
      </c>
      <c r="AX1041" s="133">
        <f ca="1">IF($E1041=Parameters!$D$69, AX901, MIN(AX901,-SUM(OFFSET(AX878, 0, MIN(12, COUNTA(AY$3:$BV$3)), , -MIN(12, COUNTA(AY$3:$BV$3))))))</f>
        <v>0</v>
      </c>
      <c r="AY1041" s="133">
        <f ca="1">IF($E1041=Parameters!$D$69, AY901, MIN(AY901,-SUM(OFFSET(AY878, 0, MIN(12, COUNTA(AZ$3:$BV$3)), , -MIN(12, COUNTA(AZ$3:$BV$3))))))</f>
        <v>0</v>
      </c>
      <c r="AZ1041" s="133">
        <f ca="1">IF($E1041=Parameters!$D$69, AZ901, MIN(AZ901,-SUM(OFFSET(AZ878, 0, MIN(12, COUNTA(BA$3:$BV$3)), , -MIN(12, COUNTA(BA$3:$BV$3))))))</f>
        <v>0</v>
      </c>
      <c r="BA1041" s="133">
        <f ca="1">IF($E1041=Parameters!$D$69, BA901, MIN(BA901,-SUM(OFFSET(BA878, 0, MIN(12, COUNTA(BB$3:$BV$3)), , -MIN(12, COUNTA(BB$3:$BV$3))))))</f>
        <v>0</v>
      </c>
      <c r="BB1041" s="133">
        <f ca="1">IF($E1041=Parameters!$D$69, BB901, MIN(BB901,-SUM(OFFSET(BB878, 0, MIN(12, COUNTA(BC$3:$BV$3)), , -MIN(12, COUNTA(BC$3:$BV$3))))))</f>
        <v>0</v>
      </c>
      <c r="BC1041" s="133">
        <f ca="1">IF($E1041=Parameters!$D$69, BC901, MIN(BC901,-SUM(OFFSET(BC878, 0, MIN(12, COUNTA(BD$3:$BV$3)), , -MIN(12, COUNTA(BD$3:$BV$3))))))</f>
        <v>0</v>
      </c>
      <c r="BD1041" s="133">
        <f ca="1">IF($E1041=Parameters!$D$69, BD901, MIN(BD901,-SUM(OFFSET(BD878, 0, MIN(12, COUNTA(BE$3:$BV$3)), , -MIN(12, COUNTA(BE$3:$BV$3))))))</f>
        <v>0</v>
      </c>
      <c r="BE1041" s="133">
        <f ca="1">IF($E1041=Parameters!$D$69, BE901, MIN(BE901,-SUM(OFFSET(BE878, 0, MIN(12, COUNTA(BF$3:$BV$3)), , -MIN(12, COUNTA(BF$3:$BV$3))))))</f>
        <v>0</v>
      </c>
      <c r="BF1041" s="133">
        <f ca="1">IF($E1041=Parameters!$D$69, BF901, MIN(BF901,-SUM(OFFSET(BF878, 0, MIN(12, COUNTA(BG$3:$BV$3)), , -MIN(12, COUNTA(BG$3:$BV$3))))))</f>
        <v>0</v>
      </c>
      <c r="BG1041" s="133">
        <f ca="1">IF($E1041=Parameters!$D$69, BG901, MIN(BG901,-SUM(OFFSET(BG878, 0, MIN(12, COUNTA(BH$3:$BV$3)), , -MIN(12, COUNTA(BH$3:$BV$3))))))</f>
        <v>0</v>
      </c>
      <c r="BH1041" s="133">
        <f ca="1">IF($E1041=Parameters!$D$69, BH901, MIN(BH901,-SUM(OFFSET(BH878, 0, MIN(12, COUNTA(BI$3:$BV$3)), , -MIN(12, COUNTA(BI$3:$BV$3))))))</f>
        <v>0</v>
      </c>
      <c r="BI1041" s="133">
        <f ca="1">IF($E1041=Parameters!$D$69, BI901, MIN(BI901,-SUM(OFFSET(BI878, 0, MIN(12, COUNTA(BJ$3:$BV$3)), , -MIN(12, COUNTA(BJ$3:$BV$3))))))</f>
        <v>0</v>
      </c>
      <c r="BJ1041" s="133">
        <f ca="1">IF($E1041=Parameters!$D$69, BJ901, MIN(BJ901,-SUM(OFFSET(BJ878, 0, MIN(12, COUNTA(BK$3:$BV$3)), , -MIN(12, COUNTA(BK$3:$BV$3))))))</f>
        <v>0</v>
      </c>
      <c r="BK1041" s="106"/>
      <c r="BL1041" s="106"/>
      <c r="BM1041" s="106"/>
      <c r="BN1041" s="106"/>
      <c r="BO1041" s="106"/>
      <c r="BP1041" s="106"/>
      <c r="BQ1041" s="106"/>
      <c r="BR1041" s="106"/>
      <c r="BS1041" s="106"/>
      <c r="BT1041" s="106"/>
      <c r="BU1041" s="106"/>
      <c r="BV1041" s="106"/>
      <c r="BX1041" s="106"/>
      <c r="BY1041" s="12">
        <f t="shared" ca="1" si="1025"/>
        <v>0</v>
      </c>
      <c r="BZ1041" s="12">
        <f t="shared" ca="1" si="1026"/>
        <v>0</v>
      </c>
      <c r="CA1041" s="12">
        <f t="shared" ca="1" si="1027"/>
        <v>0</v>
      </c>
      <c r="CB1041" s="106"/>
      <c r="CC1041" s="106"/>
      <c r="CD1041" s="106"/>
      <c r="CE1041" s="106"/>
      <c r="CF1041" s="106"/>
      <c r="CG1041" s="106"/>
      <c r="CH1041" s="106"/>
      <c r="CI1041" s="106"/>
      <c r="CK1041" s="11"/>
      <c r="CM1041" s="11"/>
      <c r="CV1041" s="120"/>
      <c r="DF1041" s="11"/>
      <c r="EY1041" s="10" t="str">
        <f t="shared" si="1028"/>
        <v/>
      </c>
    </row>
    <row r="1042" spans="2:155" x14ac:dyDescent="0.35">
      <c r="B1042" s="69" t="str" cm="1">
        <f t="array" aca="1" ref="B1042" ca="1">HYPERLINK(CONCATENATE("#",CELL("address",$D$417)),$D$417)</f>
        <v>Loan 20</v>
      </c>
      <c r="C1042" s="211"/>
      <c r="D1042" s="49">
        <f>D$32</f>
        <v>0</v>
      </c>
      <c r="E1042" s="49" t="str">
        <f>F$32</f>
        <v/>
      </c>
      <c r="F1042" s="49"/>
      <c r="H1042" s="9"/>
      <c r="I1042" s="40" t="s">
        <v>665</v>
      </c>
      <c r="V1042" s="106"/>
      <c r="W1042" s="133">
        <f t="shared" ca="1" si="1024"/>
        <v>0</v>
      </c>
      <c r="X1042" s="133">
        <f t="shared" ca="1" si="1024"/>
        <v>0</v>
      </c>
      <c r="Y1042" s="133">
        <f t="shared" ca="1" si="1024"/>
        <v>0</v>
      </c>
      <c r="AA1042" s="133">
        <f ca="1">IF($E1042=Parameters!$D$69, AA902, MIN(AA902,-SUM(OFFSET(AA879, 0, MIN(12, COUNTA(AB$3:$BV$3)), , -MIN(12, COUNTA(AB$3:$BV$3))))))</f>
        <v>0</v>
      </c>
      <c r="AB1042" s="133">
        <f ca="1">IF($E1042=Parameters!$D$69, AB902, MIN(AB902,-SUM(OFFSET(AB879, 0, MIN(12, COUNTA(AC$3:$BV$3)), , -MIN(12, COUNTA(AC$3:$BV$3))))))</f>
        <v>0</v>
      </c>
      <c r="AC1042" s="133">
        <f ca="1">IF($E1042=Parameters!$D$69, AC902, MIN(AC902,-SUM(OFFSET(AC879, 0, MIN(12, COUNTA(AD$3:$BV$3)), , -MIN(12, COUNTA(AD$3:$BV$3))))))</f>
        <v>0</v>
      </c>
      <c r="AD1042" s="133">
        <f ca="1">IF($E1042=Parameters!$D$69, AD902, MIN(AD902,-SUM(OFFSET(AD879, 0, MIN(12, COUNTA(AE$3:$BV$3)), , -MIN(12, COUNTA(AE$3:$BV$3))))))</f>
        <v>0</v>
      </c>
      <c r="AE1042" s="133">
        <f ca="1">IF($E1042=Parameters!$D$69, AE902, MIN(AE902,-SUM(OFFSET(AE879, 0, MIN(12, COUNTA(AF$3:$BV$3)), , -MIN(12, COUNTA(AF$3:$BV$3))))))</f>
        <v>0</v>
      </c>
      <c r="AF1042" s="133">
        <f ca="1">IF($E1042=Parameters!$D$69, AF902, MIN(AF902,-SUM(OFFSET(AF879, 0, MIN(12, COUNTA(AG$3:$BV$3)), , -MIN(12, COUNTA(AG$3:$BV$3))))))</f>
        <v>0</v>
      </c>
      <c r="AG1042" s="133">
        <f ca="1">IF($E1042=Parameters!$D$69, AG902, MIN(AG902,-SUM(OFFSET(AG879, 0, MIN(12, COUNTA(AH$3:$BV$3)), , -MIN(12, COUNTA(AH$3:$BV$3))))))</f>
        <v>0</v>
      </c>
      <c r="AH1042" s="133">
        <f ca="1">IF($E1042=Parameters!$D$69, AH902, MIN(AH902,-SUM(OFFSET(AH879, 0, MIN(12, COUNTA(AI$3:$BV$3)), , -MIN(12, COUNTA(AI$3:$BV$3))))))</f>
        <v>0</v>
      </c>
      <c r="AI1042" s="133">
        <f ca="1">IF($E1042=Parameters!$D$69, AI902, MIN(AI902,-SUM(OFFSET(AI879, 0, MIN(12, COUNTA(AJ$3:$BV$3)), , -MIN(12, COUNTA(AJ$3:$BV$3))))))</f>
        <v>0</v>
      </c>
      <c r="AJ1042" s="133">
        <f ca="1">IF($E1042=Parameters!$D$69, AJ902, MIN(AJ902,-SUM(OFFSET(AJ879, 0, MIN(12, COUNTA(AK$3:$BV$3)), , -MIN(12, COUNTA(AK$3:$BV$3))))))</f>
        <v>0</v>
      </c>
      <c r="AK1042" s="133">
        <f ca="1">IF($E1042=Parameters!$D$69, AK902, MIN(AK902,-SUM(OFFSET(AK879, 0, MIN(12, COUNTA(AL$3:$BV$3)), , -MIN(12, COUNTA(AL$3:$BV$3))))))</f>
        <v>0</v>
      </c>
      <c r="AL1042" s="133">
        <f ca="1">IF($E1042=Parameters!$D$69, AL902, MIN(AL902,-SUM(OFFSET(AL879, 0, MIN(12, COUNTA(AM$3:$BV$3)), , -MIN(12, COUNTA(AM$3:$BV$3))))))</f>
        <v>0</v>
      </c>
      <c r="AM1042" s="133">
        <f ca="1">IF($E1042=Parameters!$D$69, AM902, MIN(AM902,-SUM(OFFSET(AM879, 0, MIN(12, COUNTA(AN$3:$BV$3)), , -MIN(12, COUNTA(AN$3:$BV$3))))))</f>
        <v>0</v>
      </c>
      <c r="AN1042" s="133">
        <f ca="1">IF($E1042=Parameters!$D$69, AN902, MIN(AN902,-SUM(OFFSET(AN879, 0, MIN(12, COUNTA(AO$3:$BV$3)), , -MIN(12, COUNTA(AO$3:$BV$3))))))</f>
        <v>0</v>
      </c>
      <c r="AO1042" s="133">
        <f ca="1">IF($E1042=Parameters!$D$69, AO902, MIN(AO902,-SUM(OFFSET(AO879, 0, MIN(12, COUNTA(AP$3:$BV$3)), , -MIN(12, COUNTA(AP$3:$BV$3))))))</f>
        <v>0</v>
      </c>
      <c r="AP1042" s="133">
        <f ca="1">IF($E1042=Parameters!$D$69, AP902, MIN(AP902,-SUM(OFFSET(AP879, 0, MIN(12, COUNTA(AQ$3:$BV$3)), , -MIN(12, COUNTA(AQ$3:$BV$3))))))</f>
        <v>0</v>
      </c>
      <c r="AQ1042" s="133">
        <f ca="1">IF($E1042=Parameters!$D$69, AQ902, MIN(AQ902,-SUM(OFFSET(AQ879, 0, MIN(12, COUNTA(AR$3:$BV$3)), , -MIN(12, COUNTA(AR$3:$BV$3))))))</f>
        <v>0</v>
      </c>
      <c r="AR1042" s="133">
        <f ca="1">IF($E1042=Parameters!$D$69, AR902, MIN(AR902,-SUM(OFFSET(AR879, 0, MIN(12, COUNTA(AS$3:$BV$3)), , -MIN(12, COUNTA(AS$3:$BV$3))))))</f>
        <v>0</v>
      </c>
      <c r="AS1042" s="133">
        <f ca="1">IF($E1042=Parameters!$D$69, AS902, MIN(AS902,-SUM(OFFSET(AS879, 0, MIN(12, COUNTA(AT$3:$BV$3)), , -MIN(12, COUNTA(AT$3:$BV$3))))))</f>
        <v>0</v>
      </c>
      <c r="AT1042" s="133">
        <f ca="1">IF($E1042=Parameters!$D$69, AT902, MIN(AT902,-SUM(OFFSET(AT879, 0, MIN(12, COUNTA(AU$3:$BV$3)), , -MIN(12, COUNTA(AU$3:$BV$3))))))</f>
        <v>0</v>
      </c>
      <c r="AU1042" s="133">
        <f ca="1">IF($E1042=Parameters!$D$69, AU902, MIN(AU902,-SUM(OFFSET(AU879, 0, MIN(12, COUNTA(AV$3:$BV$3)), , -MIN(12, COUNTA(AV$3:$BV$3))))))</f>
        <v>0</v>
      </c>
      <c r="AV1042" s="133">
        <f ca="1">IF($E1042=Parameters!$D$69, AV902, MIN(AV902,-SUM(OFFSET(AV879, 0, MIN(12, COUNTA(AW$3:$BV$3)), , -MIN(12, COUNTA(AW$3:$BV$3))))))</f>
        <v>0</v>
      </c>
      <c r="AW1042" s="133">
        <f ca="1">IF($E1042=Parameters!$D$69, AW902, MIN(AW902,-SUM(OFFSET(AW879, 0, MIN(12, COUNTA(AX$3:$BV$3)), , -MIN(12, COUNTA(AX$3:$BV$3))))))</f>
        <v>0</v>
      </c>
      <c r="AX1042" s="133">
        <f ca="1">IF($E1042=Parameters!$D$69, AX902, MIN(AX902,-SUM(OFFSET(AX879, 0, MIN(12, COUNTA(AY$3:$BV$3)), , -MIN(12, COUNTA(AY$3:$BV$3))))))</f>
        <v>0</v>
      </c>
      <c r="AY1042" s="133">
        <f ca="1">IF($E1042=Parameters!$D$69, AY902, MIN(AY902,-SUM(OFFSET(AY879, 0, MIN(12, COUNTA(AZ$3:$BV$3)), , -MIN(12, COUNTA(AZ$3:$BV$3))))))</f>
        <v>0</v>
      </c>
      <c r="AZ1042" s="133">
        <f ca="1">IF($E1042=Parameters!$D$69, AZ902, MIN(AZ902,-SUM(OFFSET(AZ879, 0, MIN(12, COUNTA(BA$3:$BV$3)), , -MIN(12, COUNTA(BA$3:$BV$3))))))</f>
        <v>0</v>
      </c>
      <c r="BA1042" s="133">
        <f ca="1">IF($E1042=Parameters!$D$69, BA902, MIN(BA902,-SUM(OFFSET(BA879, 0, MIN(12, COUNTA(BB$3:$BV$3)), , -MIN(12, COUNTA(BB$3:$BV$3))))))</f>
        <v>0</v>
      </c>
      <c r="BB1042" s="133">
        <f ca="1">IF($E1042=Parameters!$D$69, BB902, MIN(BB902,-SUM(OFFSET(BB879, 0, MIN(12, COUNTA(BC$3:$BV$3)), , -MIN(12, COUNTA(BC$3:$BV$3))))))</f>
        <v>0</v>
      </c>
      <c r="BC1042" s="133">
        <f ca="1">IF($E1042=Parameters!$D$69, BC902, MIN(BC902,-SUM(OFFSET(BC879, 0, MIN(12, COUNTA(BD$3:$BV$3)), , -MIN(12, COUNTA(BD$3:$BV$3))))))</f>
        <v>0</v>
      </c>
      <c r="BD1042" s="133">
        <f ca="1">IF($E1042=Parameters!$D$69, BD902, MIN(BD902,-SUM(OFFSET(BD879, 0, MIN(12, COUNTA(BE$3:$BV$3)), , -MIN(12, COUNTA(BE$3:$BV$3))))))</f>
        <v>0</v>
      </c>
      <c r="BE1042" s="133">
        <f ca="1">IF($E1042=Parameters!$D$69, BE902, MIN(BE902,-SUM(OFFSET(BE879, 0, MIN(12, COUNTA(BF$3:$BV$3)), , -MIN(12, COUNTA(BF$3:$BV$3))))))</f>
        <v>0</v>
      </c>
      <c r="BF1042" s="133">
        <f ca="1">IF($E1042=Parameters!$D$69, BF902, MIN(BF902,-SUM(OFFSET(BF879, 0, MIN(12, COUNTA(BG$3:$BV$3)), , -MIN(12, COUNTA(BG$3:$BV$3))))))</f>
        <v>0</v>
      </c>
      <c r="BG1042" s="133">
        <f ca="1">IF($E1042=Parameters!$D$69, BG902, MIN(BG902,-SUM(OFFSET(BG879, 0, MIN(12, COUNTA(BH$3:$BV$3)), , -MIN(12, COUNTA(BH$3:$BV$3))))))</f>
        <v>0</v>
      </c>
      <c r="BH1042" s="133">
        <f ca="1">IF($E1042=Parameters!$D$69, BH902, MIN(BH902,-SUM(OFFSET(BH879, 0, MIN(12, COUNTA(BI$3:$BV$3)), , -MIN(12, COUNTA(BI$3:$BV$3))))))</f>
        <v>0</v>
      </c>
      <c r="BI1042" s="133">
        <f ca="1">IF($E1042=Parameters!$D$69, BI902, MIN(BI902,-SUM(OFFSET(BI879, 0, MIN(12, COUNTA(BJ$3:$BV$3)), , -MIN(12, COUNTA(BJ$3:$BV$3))))))</f>
        <v>0</v>
      </c>
      <c r="BJ1042" s="133">
        <f ca="1">IF($E1042=Parameters!$D$69, BJ902, MIN(BJ902,-SUM(OFFSET(BJ879, 0, MIN(12, COUNTA(BK$3:$BV$3)), , -MIN(12, COUNTA(BK$3:$BV$3))))))</f>
        <v>0</v>
      </c>
      <c r="BK1042" s="106"/>
      <c r="BL1042" s="106"/>
      <c r="BM1042" s="106"/>
      <c r="BN1042" s="106"/>
      <c r="BO1042" s="106"/>
      <c r="BP1042" s="106"/>
      <c r="BQ1042" s="106"/>
      <c r="BR1042" s="106"/>
      <c r="BS1042" s="106"/>
      <c r="BT1042" s="106"/>
      <c r="BU1042" s="106"/>
      <c r="BV1042" s="106"/>
      <c r="BX1042" s="106"/>
      <c r="BY1042" s="12">
        <f t="shared" ca="1" si="1025"/>
        <v>0</v>
      </c>
      <c r="BZ1042" s="12">
        <f t="shared" ca="1" si="1026"/>
        <v>0</v>
      </c>
      <c r="CA1042" s="12">
        <f t="shared" ca="1" si="1027"/>
        <v>0</v>
      </c>
      <c r="CB1042" s="106"/>
      <c r="CC1042" s="106"/>
      <c r="CD1042" s="106"/>
      <c r="CE1042" s="106"/>
      <c r="CF1042" s="106"/>
      <c r="CG1042" s="106"/>
      <c r="CH1042" s="106"/>
      <c r="CI1042" s="106"/>
      <c r="CK1042" s="11"/>
      <c r="CM1042" s="11"/>
      <c r="CV1042" s="120"/>
      <c r="DF1042" s="11"/>
      <c r="EY1042" s="10" t="str">
        <f t="shared" si="1028"/>
        <v/>
      </c>
    </row>
    <row r="1043" spans="2:155" ht="6.75" customHeight="1" x14ac:dyDescent="0.35">
      <c r="C1043" s="211"/>
      <c r="D1043" s="1"/>
      <c r="E1043"/>
      <c r="F1043"/>
      <c r="I1043" s="40"/>
      <c r="BY1043" s="6"/>
      <c r="CK1043" s="35"/>
      <c r="CM1043" s="35"/>
      <c r="CV1043" s="120"/>
      <c r="DF1043" s="35"/>
      <c r="EY1043" s="10" t="str">
        <f t="shared" si="1028"/>
        <v/>
      </c>
    </row>
    <row r="1044" spans="2:155" x14ac:dyDescent="0.35">
      <c r="C1044" s="211"/>
      <c r="D1044" s="50" t="s">
        <v>1335</v>
      </c>
      <c r="E1044"/>
      <c r="F1044"/>
      <c r="CK1044" s="11"/>
      <c r="CM1044" s="11"/>
      <c r="CV1044" s="120"/>
      <c r="DF1044" s="11"/>
      <c r="EY1044" s="10" t="str">
        <f t="shared" si="1028"/>
        <v/>
      </c>
    </row>
    <row r="1045" spans="2:155" x14ac:dyDescent="0.35">
      <c r="B1045" s="5" t="s">
        <v>1229</v>
      </c>
      <c r="C1045" s="211"/>
      <c r="D1045" s="5" t="s">
        <v>1020</v>
      </c>
      <c r="E1045" s="5" t="s">
        <v>1248</v>
      </c>
      <c r="F1045" s="5"/>
      <c r="AA1045" s="126" t="s">
        <v>122</v>
      </c>
      <c r="CK1045" s="11"/>
      <c r="CM1045" s="11"/>
      <c r="CV1045" s="120"/>
      <c r="DF1045" s="11"/>
      <c r="EY1045" s="10" t="str">
        <f t="shared" si="1028"/>
        <v/>
      </c>
    </row>
    <row r="1046" spans="2:155" x14ac:dyDescent="0.35">
      <c r="B1046" s="69" t="str" cm="1">
        <f t="array" aca="1" ref="B1046" ca="1">HYPERLINK(CONCATENATE("#",CELL("address",$D$56)),$D$56)</f>
        <v>Loan 1</v>
      </c>
      <c r="C1046" s="211"/>
      <c r="D1046" s="49">
        <f>D$13</f>
        <v>0</v>
      </c>
      <c r="E1046" s="49" t="str">
        <f>F$13</f>
        <v/>
      </c>
      <c r="F1046" s="49"/>
      <c r="H1046" s="9"/>
      <c r="I1046" s="40" t="s">
        <v>665</v>
      </c>
      <c r="J1046" s="54"/>
      <c r="V1046" s="106"/>
      <c r="W1046" s="133">
        <f t="shared" ref="W1046:Y1065" ca="1" si="1029">INDEX($AA1046:$BV1046, MATCH(W$5, $AA$5:$BV$5, 0))</f>
        <v>0</v>
      </c>
      <c r="X1046" s="133">
        <f t="shared" ca="1" si="1029"/>
        <v>0</v>
      </c>
      <c r="Y1046" s="133">
        <f t="shared" ca="1" si="1029"/>
        <v>0</v>
      </c>
      <c r="AA1046" s="133">
        <f t="shared" ref="AA1046:BJ1046" ca="1" si="1030">AA883-AA1023</f>
        <v>0</v>
      </c>
      <c r="AB1046" s="133">
        <f t="shared" ca="1" si="1030"/>
        <v>0</v>
      </c>
      <c r="AC1046" s="133">
        <f t="shared" ca="1" si="1030"/>
        <v>0</v>
      </c>
      <c r="AD1046" s="133">
        <f t="shared" ca="1" si="1030"/>
        <v>0</v>
      </c>
      <c r="AE1046" s="133">
        <f t="shared" ca="1" si="1030"/>
        <v>0</v>
      </c>
      <c r="AF1046" s="133">
        <f t="shared" ca="1" si="1030"/>
        <v>0</v>
      </c>
      <c r="AG1046" s="133">
        <f t="shared" ca="1" si="1030"/>
        <v>0</v>
      </c>
      <c r="AH1046" s="133">
        <f t="shared" ca="1" si="1030"/>
        <v>0</v>
      </c>
      <c r="AI1046" s="133">
        <f t="shared" ca="1" si="1030"/>
        <v>0</v>
      </c>
      <c r="AJ1046" s="133">
        <f t="shared" ca="1" si="1030"/>
        <v>0</v>
      </c>
      <c r="AK1046" s="133">
        <f t="shared" ca="1" si="1030"/>
        <v>0</v>
      </c>
      <c r="AL1046" s="133">
        <f t="shared" ca="1" si="1030"/>
        <v>0</v>
      </c>
      <c r="AM1046" s="133">
        <f t="shared" ca="1" si="1030"/>
        <v>0</v>
      </c>
      <c r="AN1046" s="133">
        <f t="shared" ca="1" si="1030"/>
        <v>0</v>
      </c>
      <c r="AO1046" s="133">
        <f t="shared" ca="1" si="1030"/>
        <v>0</v>
      </c>
      <c r="AP1046" s="133">
        <f t="shared" ca="1" si="1030"/>
        <v>0</v>
      </c>
      <c r="AQ1046" s="133">
        <f t="shared" ca="1" si="1030"/>
        <v>0</v>
      </c>
      <c r="AR1046" s="133">
        <f t="shared" ca="1" si="1030"/>
        <v>0</v>
      </c>
      <c r="AS1046" s="133">
        <f t="shared" ca="1" si="1030"/>
        <v>0</v>
      </c>
      <c r="AT1046" s="133">
        <f t="shared" ca="1" si="1030"/>
        <v>0</v>
      </c>
      <c r="AU1046" s="133">
        <f t="shared" ca="1" si="1030"/>
        <v>0</v>
      </c>
      <c r="AV1046" s="133">
        <f t="shared" ca="1" si="1030"/>
        <v>0</v>
      </c>
      <c r="AW1046" s="133">
        <f t="shared" ca="1" si="1030"/>
        <v>0</v>
      </c>
      <c r="AX1046" s="133">
        <f t="shared" ca="1" si="1030"/>
        <v>0</v>
      </c>
      <c r="AY1046" s="133">
        <f t="shared" ca="1" si="1030"/>
        <v>0</v>
      </c>
      <c r="AZ1046" s="133">
        <f t="shared" ca="1" si="1030"/>
        <v>0</v>
      </c>
      <c r="BA1046" s="133">
        <f t="shared" ca="1" si="1030"/>
        <v>0</v>
      </c>
      <c r="BB1046" s="133">
        <f t="shared" ca="1" si="1030"/>
        <v>0</v>
      </c>
      <c r="BC1046" s="133">
        <f t="shared" ca="1" si="1030"/>
        <v>0</v>
      </c>
      <c r="BD1046" s="133">
        <f t="shared" ca="1" si="1030"/>
        <v>0</v>
      </c>
      <c r="BE1046" s="133">
        <f t="shared" ca="1" si="1030"/>
        <v>0</v>
      </c>
      <c r="BF1046" s="133">
        <f t="shared" ca="1" si="1030"/>
        <v>0</v>
      </c>
      <c r="BG1046" s="133">
        <f t="shared" ca="1" si="1030"/>
        <v>0</v>
      </c>
      <c r="BH1046" s="133">
        <f t="shared" ca="1" si="1030"/>
        <v>0</v>
      </c>
      <c r="BI1046" s="133">
        <f t="shared" ca="1" si="1030"/>
        <v>0</v>
      </c>
      <c r="BJ1046" s="133">
        <f t="shared" ca="1" si="1030"/>
        <v>0</v>
      </c>
      <c r="BK1046" s="106"/>
      <c r="BL1046" s="106"/>
      <c r="BM1046" s="106"/>
      <c r="BN1046" s="106"/>
      <c r="BO1046" s="106"/>
      <c r="BP1046" s="106"/>
      <c r="BQ1046" s="106"/>
      <c r="BR1046" s="106"/>
      <c r="BS1046" s="106"/>
      <c r="BT1046" s="106"/>
      <c r="BU1046" s="106"/>
      <c r="BV1046" s="106"/>
      <c r="BX1046" s="106"/>
      <c r="BY1046" s="12">
        <f t="shared" ref="BY1046:BY1065" ca="1" si="1031">W1046</f>
        <v>0</v>
      </c>
      <c r="BZ1046" s="12">
        <f t="shared" ref="BZ1046:BZ1065" ca="1" si="1032">X1046</f>
        <v>0</v>
      </c>
      <c r="CA1046" s="12">
        <f t="shared" ref="CA1046:CA1065" ca="1" si="1033">Y1046</f>
        <v>0</v>
      </c>
      <c r="CB1046" s="106"/>
      <c r="CC1046" s="106"/>
      <c r="CD1046" s="106"/>
      <c r="CE1046" s="106"/>
      <c r="CF1046" s="106"/>
      <c r="CG1046" s="106"/>
      <c r="CH1046" s="106"/>
      <c r="CI1046" s="106"/>
      <c r="CK1046" s="11"/>
      <c r="CM1046" s="11"/>
      <c r="CV1046" s="120"/>
      <c r="DF1046" s="11"/>
      <c r="EY1046" s="10" t="str">
        <f t="shared" si="1028"/>
        <v/>
      </c>
    </row>
    <row r="1047" spans="2:155" x14ac:dyDescent="0.35">
      <c r="B1047" s="69" t="str" cm="1">
        <f t="array" aca="1" ref="B1047" ca="1">HYPERLINK(CONCATENATE("#",CELL("address",$D$75)),$D$75)</f>
        <v>Loan 2</v>
      </c>
      <c r="C1047" s="211"/>
      <c r="D1047" s="49">
        <f>D$14</f>
        <v>0</v>
      </c>
      <c r="E1047" s="49" t="str">
        <f>F$14</f>
        <v/>
      </c>
      <c r="F1047" s="49"/>
      <c r="H1047" s="9"/>
      <c r="I1047" s="40" t="s">
        <v>665</v>
      </c>
      <c r="V1047" s="106"/>
      <c r="W1047" s="133">
        <f t="shared" ca="1" si="1029"/>
        <v>0</v>
      </c>
      <c r="X1047" s="133">
        <f t="shared" ca="1" si="1029"/>
        <v>0</v>
      </c>
      <c r="Y1047" s="133">
        <f t="shared" ca="1" si="1029"/>
        <v>0</v>
      </c>
      <c r="AA1047" s="133">
        <f t="shared" ref="AA1047:BJ1047" ca="1" si="1034">AA884-AA1024</f>
        <v>0</v>
      </c>
      <c r="AB1047" s="133">
        <f t="shared" ca="1" si="1034"/>
        <v>0</v>
      </c>
      <c r="AC1047" s="133">
        <f t="shared" ca="1" si="1034"/>
        <v>0</v>
      </c>
      <c r="AD1047" s="133">
        <f t="shared" ca="1" si="1034"/>
        <v>0</v>
      </c>
      <c r="AE1047" s="133">
        <f t="shared" ca="1" si="1034"/>
        <v>0</v>
      </c>
      <c r="AF1047" s="133">
        <f t="shared" ca="1" si="1034"/>
        <v>0</v>
      </c>
      <c r="AG1047" s="133">
        <f t="shared" ca="1" si="1034"/>
        <v>0</v>
      </c>
      <c r="AH1047" s="133">
        <f t="shared" ca="1" si="1034"/>
        <v>0</v>
      </c>
      <c r="AI1047" s="133">
        <f t="shared" ca="1" si="1034"/>
        <v>0</v>
      </c>
      <c r="AJ1047" s="133">
        <f t="shared" ca="1" si="1034"/>
        <v>0</v>
      </c>
      <c r="AK1047" s="133">
        <f t="shared" ca="1" si="1034"/>
        <v>0</v>
      </c>
      <c r="AL1047" s="133">
        <f t="shared" ca="1" si="1034"/>
        <v>0</v>
      </c>
      <c r="AM1047" s="133">
        <f t="shared" ca="1" si="1034"/>
        <v>0</v>
      </c>
      <c r="AN1047" s="133">
        <f t="shared" ca="1" si="1034"/>
        <v>0</v>
      </c>
      <c r="AO1047" s="133">
        <f t="shared" ca="1" si="1034"/>
        <v>0</v>
      </c>
      <c r="AP1047" s="133">
        <f t="shared" ca="1" si="1034"/>
        <v>0</v>
      </c>
      <c r="AQ1047" s="133">
        <f t="shared" ca="1" si="1034"/>
        <v>0</v>
      </c>
      <c r="AR1047" s="133">
        <f t="shared" ca="1" si="1034"/>
        <v>0</v>
      </c>
      <c r="AS1047" s="133">
        <f t="shared" ca="1" si="1034"/>
        <v>0</v>
      </c>
      <c r="AT1047" s="133">
        <f t="shared" ca="1" si="1034"/>
        <v>0</v>
      </c>
      <c r="AU1047" s="133">
        <f t="shared" ca="1" si="1034"/>
        <v>0</v>
      </c>
      <c r="AV1047" s="133">
        <f t="shared" ca="1" si="1034"/>
        <v>0</v>
      </c>
      <c r="AW1047" s="133">
        <f t="shared" ca="1" si="1034"/>
        <v>0</v>
      </c>
      <c r="AX1047" s="133">
        <f t="shared" ca="1" si="1034"/>
        <v>0</v>
      </c>
      <c r="AY1047" s="133">
        <f t="shared" ca="1" si="1034"/>
        <v>0</v>
      </c>
      <c r="AZ1047" s="133">
        <f t="shared" ca="1" si="1034"/>
        <v>0</v>
      </c>
      <c r="BA1047" s="133">
        <f t="shared" ca="1" si="1034"/>
        <v>0</v>
      </c>
      <c r="BB1047" s="133">
        <f t="shared" ca="1" si="1034"/>
        <v>0</v>
      </c>
      <c r="BC1047" s="133">
        <f t="shared" ca="1" si="1034"/>
        <v>0</v>
      </c>
      <c r="BD1047" s="133">
        <f t="shared" ca="1" si="1034"/>
        <v>0</v>
      </c>
      <c r="BE1047" s="133">
        <f t="shared" ca="1" si="1034"/>
        <v>0</v>
      </c>
      <c r="BF1047" s="133">
        <f t="shared" ca="1" si="1034"/>
        <v>0</v>
      </c>
      <c r="BG1047" s="133">
        <f t="shared" ca="1" si="1034"/>
        <v>0</v>
      </c>
      <c r="BH1047" s="133">
        <f t="shared" ca="1" si="1034"/>
        <v>0</v>
      </c>
      <c r="BI1047" s="133">
        <f t="shared" ca="1" si="1034"/>
        <v>0</v>
      </c>
      <c r="BJ1047" s="133">
        <f t="shared" ca="1" si="1034"/>
        <v>0</v>
      </c>
      <c r="BK1047" s="106"/>
      <c r="BL1047" s="106"/>
      <c r="BM1047" s="106"/>
      <c r="BN1047" s="106"/>
      <c r="BO1047" s="106"/>
      <c r="BP1047" s="106"/>
      <c r="BQ1047" s="106"/>
      <c r="BR1047" s="106"/>
      <c r="BS1047" s="106"/>
      <c r="BT1047" s="106"/>
      <c r="BU1047" s="106"/>
      <c r="BV1047" s="106"/>
      <c r="BX1047" s="106"/>
      <c r="BY1047" s="12">
        <f t="shared" ca="1" si="1031"/>
        <v>0</v>
      </c>
      <c r="BZ1047" s="12">
        <f t="shared" ca="1" si="1032"/>
        <v>0</v>
      </c>
      <c r="CA1047" s="12">
        <f t="shared" ca="1" si="1033"/>
        <v>0</v>
      </c>
      <c r="CB1047" s="106"/>
      <c r="CC1047" s="106"/>
      <c r="CD1047" s="106"/>
      <c r="CE1047" s="106"/>
      <c r="CF1047" s="106"/>
      <c r="CG1047" s="106"/>
      <c r="CH1047" s="106"/>
      <c r="CI1047" s="106"/>
      <c r="CK1047" s="11"/>
      <c r="CM1047" s="11"/>
      <c r="CV1047" s="120"/>
      <c r="DF1047" s="11"/>
      <c r="EY1047" s="10" t="str">
        <f t="shared" si="1028"/>
        <v/>
      </c>
    </row>
    <row r="1048" spans="2:155" x14ac:dyDescent="0.35">
      <c r="B1048" s="69" t="str" cm="1">
        <f t="array" aca="1" ref="B1048" ca="1">HYPERLINK(CONCATENATE("#",CELL("address",$D$94)),$D$94)</f>
        <v>Loan 3</v>
      </c>
      <c r="C1048" s="211"/>
      <c r="D1048" s="49">
        <f>D$15</f>
        <v>0</v>
      </c>
      <c r="E1048" s="49" t="str">
        <f>F$15</f>
        <v/>
      </c>
      <c r="F1048" s="49"/>
      <c r="H1048" s="9"/>
      <c r="I1048" s="40" t="s">
        <v>665</v>
      </c>
      <c r="V1048" s="106"/>
      <c r="W1048" s="133">
        <f t="shared" ca="1" si="1029"/>
        <v>0</v>
      </c>
      <c r="X1048" s="133">
        <f t="shared" ca="1" si="1029"/>
        <v>0</v>
      </c>
      <c r="Y1048" s="133">
        <f t="shared" ca="1" si="1029"/>
        <v>0</v>
      </c>
      <c r="AA1048" s="133">
        <f t="shared" ref="AA1048:BJ1048" ca="1" si="1035">AA885-AA1025</f>
        <v>0</v>
      </c>
      <c r="AB1048" s="133">
        <f t="shared" ca="1" si="1035"/>
        <v>0</v>
      </c>
      <c r="AC1048" s="133">
        <f t="shared" ca="1" si="1035"/>
        <v>0</v>
      </c>
      <c r="AD1048" s="133">
        <f t="shared" ca="1" si="1035"/>
        <v>0</v>
      </c>
      <c r="AE1048" s="133">
        <f t="shared" ca="1" si="1035"/>
        <v>0</v>
      </c>
      <c r="AF1048" s="133">
        <f t="shared" ca="1" si="1035"/>
        <v>0</v>
      </c>
      <c r="AG1048" s="133">
        <f t="shared" ca="1" si="1035"/>
        <v>0</v>
      </c>
      <c r="AH1048" s="133">
        <f t="shared" ca="1" si="1035"/>
        <v>0</v>
      </c>
      <c r="AI1048" s="133">
        <f t="shared" ca="1" si="1035"/>
        <v>0</v>
      </c>
      <c r="AJ1048" s="133">
        <f t="shared" ca="1" si="1035"/>
        <v>0</v>
      </c>
      <c r="AK1048" s="133">
        <f t="shared" ca="1" si="1035"/>
        <v>0</v>
      </c>
      <c r="AL1048" s="133">
        <f t="shared" ca="1" si="1035"/>
        <v>0</v>
      </c>
      <c r="AM1048" s="133">
        <f t="shared" ca="1" si="1035"/>
        <v>0</v>
      </c>
      <c r="AN1048" s="133">
        <f t="shared" ca="1" si="1035"/>
        <v>0</v>
      </c>
      <c r="AO1048" s="133">
        <f t="shared" ca="1" si="1035"/>
        <v>0</v>
      </c>
      <c r="AP1048" s="133">
        <f t="shared" ca="1" si="1035"/>
        <v>0</v>
      </c>
      <c r="AQ1048" s="133">
        <f t="shared" ca="1" si="1035"/>
        <v>0</v>
      </c>
      <c r="AR1048" s="133">
        <f t="shared" ca="1" si="1035"/>
        <v>0</v>
      </c>
      <c r="AS1048" s="133">
        <f t="shared" ca="1" si="1035"/>
        <v>0</v>
      </c>
      <c r="AT1048" s="133">
        <f t="shared" ca="1" si="1035"/>
        <v>0</v>
      </c>
      <c r="AU1048" s="133">
        <f t="shared" ca="1" si="1035"/>
        <v>0</v>
      </c>
      <c r="AV1048" s="133">
        <f t="shared" ca="1" si="1035"/>
        <v>0</v>
      </c>
      <c r="AW1048" s="133">
        <f t="shared" ca="1" si="1035"/>
        <v>0</v>
      </c>
      <c r="AX1048" s="133">
        <f t="shared" ca="1" si="1035"/>
        <v>0</v>
      </c>
      <c r="AY1048" s="133">
        <f t="shared" ca="1" si="1035"/>
        <v>0</v>
      </c>
      <c r="AZ1048" s="133">
        <f t="shared" ca="1" si="1035"/>
        <v>0</v>
      </c>
      <c r="BA1048" s="133">
        <f t="shared" ca="1" si="1035"/>
        <v>0</v>
      </c>
      <c r="BB1048" s="133">
        <f t="shared" ca="1" si="1035"/>
        <v>0</v>
      </c>
      <c r="BC1048" s="133">
        <f t="shared" ca="1" si="1035"/>
        <v>0</v>
      </c>
      <c r="BD1048" s="133">
        <f t="shared" ca="1" si="1035"/>
        <v>0</v>
      </c>
      <c r="BE1048" s="133">
        <f t="shared" ca="1" si="1035"/>
        <v>0</v>
      </c>
      <c r="BF1048" s="133">
        <f t="shared" ca="1" si="1035"/>
        <v>0</v>
      </c>
      <c r="BG1048" s="133">
        <f t="shared" ca="1" si="1035"/>
        <v>0</v>
      </c>
      <c r="BH1048" s="133">
        <f t="shared" ca="1" si="1035"/>
        <v>0</v>
      </c>
      <c r="BI1048" s="133">
        <f t="shared" ca="1" si="1035"/>
        <v>0</v>
      </c>
      <c r="BJ1048" s="133">
        <f t="shared" ca="1" si="1035"/>
        <v>0</v>
      </c>
      <c r="BK1048" s="106"/>
      <c r="BL1048" s="106"/>
      <c r="BM1048" s="106"/>
      <c r="BN1048" s="106"/>
      <c r="BO1048" s="106"/>
      <c r="BP1048" s="106"/>
      <c r="BQ1048" s="106"/>
      <c r="BR1048" s="106"/>
      <c r="BS1048" s="106"/>
      <c r="BT1048" s="106"/>
      <c r="BU1048" s="106"/>
      <c r="BV1048" s="106"/>
      <c r="BX1048" s="106"/>
      <c r="BY1048" s="12">
        <f t="shared" ca="1" si="1031"/>
        <v>0</v>
      </c>
      <c r="BZ1048" s="12">
        <f t="shared" ca="1" si="1032"/>
        <v>0</v>
      </c>
      <c r="CA1048" s="12">
        <f t="shared" ca="1" si="1033"/>
        <v>0</v>
      </c>
      <c r="CB1048" s="106"/>
      <c r="CC1048" s="106"/>
      <c r="CD1048" s="106"/>
      <c r="CE1048" s="106"/>
      <c r="CF1048" s="106"/>
      <c r="CG1048" s="106"/>
      <c r="CH1048" s="106"/>
      <c r="CI1048" s="106"/>
      <c r="CK1048" s="11"/>
      <c r="CM1048" s="11"/>
      <c r="CV1048" s="120"/>
      <c r="DF1048" s="11"/>
      <c r="EY1048" s="10" t="str">
        <f t="shared" si="1028"/>
        <v/>
      </c>
    </row>
    <row r="1049" spans="2:155" x14ac:dyDescent="0.35">
      <c r="B1049" s="69" t="str" cm="1">
        <f t="array" aca="1" ref="B1049" ca="1">HYPERLINK(CONCATENATE("#",CELL("address",$D$113)),$D$113)</f>
        <v>Loan 4</v>
      </c>
      <c r="C1049" s="211"/>
      <c r="D1049" s="49">
        <f>D$16</f>
        <v>0</v>
      </c>
      <c r="E1049" s="49" t="str">
        <f>F$16</f>
        <v/>
      </c>
      <c r="F1049" s="49"/>
      <c r="H1049" s="9"/>
      <c r="I1049" s="40" t="s">
        <v>665</v>
      </c>
      <c r="V1049" s="106"/>
      <c r="W1049" s="133">
        <f t="shared" ca="1" si="1029"/>
        <v>0</v>
      </c>
      <c r="X1049" s="133">
        <f t="shared" ca="1" si="1029"/>
        <v>0</v>
      </c>
      <c r="Y1049" s="133">
        <f t="shared" ca="1" si="1029"/>
        <v>0</v>
      </c>
      <c r="AA1049" s="133">
        <f t="shared" ref="AA1049:BJ1049" ca="1" si="1036">AA886-AA1026</f>
        <v>0</v>
      </c>
      <c r="AB1049" s="133">
        <f t="shared" ca="1" si="1036"/>
        <v>0</v>
      </c>
      <c r="AC1049" s="133">
        <f t="shared" ca="1" si="1036"/>
        <v>0</v>
      </c>
      <c r="AD1049" s="133">
        <f t="shared" ca="1" si="1036"/>
        <v>0</v>
      </c>
      <c r="AE1049" s="133">
        <f t="shared" ca="1" si="1036"/>
        <v>0</v>
      </c>
      <c r="AF1049" s="133">
        <f t="shared" ca="1" si="1036"/>
        <v>0</v>
      </c>
      <c r="AG1049" s="133">
        <f t="shared" ca="1" si="1036"/>
        <v>0</v>
      </c>
      <c r="AH1049" s="133">
        <f t="shared" ca="1" si="1036"/>
        <v>0</v>
      </c>
      <c r="AI1049" s="133">
        <f t="shared" ca="1" si="1036"/>
        <v>0</v>
      </c>
      <c r="AJ1049" s="133">
        <f t="shared" ca="1" si="1036"/>
        <v>0</v>
      </c>
      <c r="AK1049" s="133">
        <f t="shared" ca="1" si="1036"/>
        <v>0</v>
      </c>
      <c r="AL1049" s="133">
        <f t="shared" ca="1" si="1036"/>
        <v>0</v>
      </c>
      <c r="AM1049" s="133">
        <f t="shared" ca="1" si="1036"/>
        <v>0</v>
      </c>
      <c r="AN1049" s="133">
        <f t="shared" ca="1" si="1036"/>
        <v>0</v>
      </c>
      <c r="AO1049" s="133">
        <f t="shared" ca="1" si="1036"/>
        <v>0</v>
      </c>
      <c r="AP1049" s="133">
        <f t="shared" ca="1" si="1036"/>
        <v>0</v>
      </c>
      <c r="AQ1049" s="133">
        <f t="shared" ca="1" si="1036"/>
        <v>0</v>
      </c>
      <c r="AR1049" s="133">
        <f t="shared" ca="1" si="1036"/>
        <v>0</v>
      </c>
      <c r="AS1049" s="133">
        <f t="shared" ca="1" si="1036"/>
        <v>0</v>
      </c>
      <c r="AT1049" s="133">
        <f t="shared" ca="1" si="1036"/>
        <v>0</v>
      </c>
      <c r="AU1049" s="133">
        <f t="shared" ca="1" si="1036"/>
        <v>0</v>
      </c>
      <c r="AV1049" s="133">
        <f t="shared" ca="1" si="1036"/>
        <v>0</v>
      </c>
      <c r="AW1049" s="133">
        <f t="shared" ca="1" si="1036"/>
        <v>0</v>
      </c>
      <c r="AX1049" s="133">
        <f t="shared" ca="1" si="1036"/>
        <v>0</v>
      </c>
      <c r="AY1049" s="133">
        <f t="shared" ca="1" si="1036"/>
        <v>0</v>
      </c>
      <c r="AZ1049" s="133">
        <f t="shared" ca="1" si="1036"/>
        <v>0</v>
      </c>
      <c r="BA1049" s="133">
        <f t="shared" ca="1" si="1036"/>
        <v>0</v>
      </c>
      <c r="BB1049" s="133">
        <f t="shared" ca="1" si="1036"/>
        <v>0</v>
      </c>
      <c r="BC1049" s="133">
        <f t="shared" ca="1" si="1036"/>
        <v>0</v>
      </c>
      <c r="BD1049" s="133">
        <f t="shared" ca="1" si="1036"/>
        <v>0</v>
      </c>
      <c r="BE1049" s="133">
        <f t="shared" ca="1" si="1036"/>
        <v>0</v>
      </c>
      <c r="BF1049" s="133">
        <f t="shared" ca="1" si="1036"/>
        <v>0</v>
      </c>
      <c r="BG1049" s="133">
        <f t="shared" ca="1" si="1036"/>
        <v>0</v>
      </c>
      <c r="BH1049" s="133">
        <f t="shared" ca="1" si="1036"/>
        <v>0</v>
      </c>
      <c r="BI1049" s="133">
        <f t="shared" ca="1" si="1036"/>
        <v>0</v>
      </c>
      <c r="BJ1049" s="133">
        <f t="shared" ca="1" si="1036"/>
        <v>0</v>
      </c>
      <c r="BK1049" s="106"/>
      <c r="BL1049" s="106"/>
      <c r="BM1049" s="106"/>
      <c r="BN1049" s="106"/>
      <c r="BO1049" s="106"/>
      <c r="BP1049" s="106"/>
      <c r="BQ1049" s="106"/>
      <c r="BR1049" s="106"/>
      <c r="BS1049" s="106"/>
      <c r="BT1049" s="106"/>
      <c r="BU1049" s="106"/>
      <c r="BV1049" s="106"/>
      <c r="BX1049" s="106"/>
      <c r="BY1049" s="12">
        <f t="shared" ca="1" si="1031"/>
        <v>0</v>
      </c>
      <c r="BZ1049" s="12">
        <f t="shared" ca="1" si="1032"/>
        <v>0</v>
      </c>
      <c r="CA1049" s="12">
        <f t="shared" ca="1" si="1033"/>
        <v>0</v>
      </c>
      <c r="CB1049" s="106"/>
      <c r="CC1049" s="106"/>
      <c r="CD1049" s="106"/>
      <c r="CE1049" s="106"/>
      <c r="CF1049" s="106"/>
      <c r="CG1049" s="106"/>
      <c r="CH1049" s="106"/>
      <c r="CI1049" s="106"/>
      <c r="CK1049" s="11"/>
      <c r="CM1049" s="11"/>
      <c r="CV1049" s="120"/>
      <c r="DF1049" s="11"/>
      <c r="EY1049" s="10" t="str">
        <f t="shared" si="1028"/>
        <v/>
      </c>
    </row>
    <row r="1050" spans="2:155" x14ac:dyDescent="0.35">
      <c r="B1050" s="69" t="str" cm="1">
        <f t="array" aca="1" ref="B1050" ca="1">HYPERLINK(CONCATENATE("#",CELL("address",$D$132)),$D$132)</f>
        <v>Loan 5</v>
      </c>
      <c r="C1050" s="211"/>
      <c r="D1050" s="49">
        <f>D$17</f>
        <v>0</v>
      </c>
      <c r="E1050" s="49" t="str">
        <f>F$17</f>
        <v/>
      </c>
      <c r="F1050" s="49"/>
      <c r="H1050" s="9"/>
      <c r="I1050" s="40" t="s">
        <v>665</v>
      </c>
      <c r="V1050" s="106"/>
      <c r="W1050" s="133">
        <f t="shared" ca="1" si="1029"/>
        <v>0</v>
      </c>
      <c r="X1050" s="133">
        <f t="shared" ca="1" si="1029"/>
        <v>0</v>
      </c>
      <c r="Y1050" s="133">
        <f t="shared" ca="1" si="1029"/>
        <v>0</v>
      </c>
      <c r="AA1050" s="133">
        <f t="shared" ref="AA1050:BJ1050" ca="1" si="1037">AA887-AA1027</f>
        <v>0</v>
      </c>
      <c r="AB1050" s="133">
        <f t="shared" ca="1" si="1037"/>
        <v>0</v>
      </c>
      <c r="AC1050" s="133">
        <f t="shared" ca="1" si="1037"/>
        <v>0</v>
      </c>
      <c r="AD1050" s="133">
        <f t="shared" ca="1" si="1037"/>
        <v>0</v>
      </c>
      <c r="AE1050" s="133">
        <f t="shared" ca="1" si="1037"/>
        <v>0</v>
      </c>
      <c r="AF1050" s="133">
        <f t="shared" ca="1" si="1037"/>
        <v>0</v>
      </c>
      <c r="AG1050" s="133">
        <f t="shared" ca="1" si="1037"/>
        <v>0</v>
      </c>
      <c r="AH1050" s="133">
        <f t="shared" ca="1" si="1037"/>
        <v>0</v>
      </c>
      <c r="AI1050" s="133">
        <f t="shared" ca="1" si="1037"/>
        <v>0</v>
      </c>
      <c r="AJ1050" s="133">
        <f t="shared" ca="1" si="1037"/>
        <v>0</v>
      </c>
      <c r="AK1050" s="133">
        <f t="shared" ca="1" si="1037"/>
        <v>0</v>
      </c>
      <c r="AL1050" s="133">
        <f t="shared" ca="1" si="1037"/>
        <v>0</v>
      </c>
      <c r="AM1050" s="133">
        <f t="shared" ca="1" si="1037"/>
        <v>0</v>
      </c>
      <c r="AN1050" s="133">
        <f t="shared" ca="1" si="1037"/>
        <v>0</v>
      </c>
      <c r="AO1050" s="133">
        <f t="shared" ca="1" si="1037"/>
        <v>0</v>
      </c>
      <c r="AP1050" s="133">
        <f t="shared" ca="1" si="1037"/>
        <v>0</v>
      </c>
      <c r="AQ1050" s="133">
        <f t="shared" ca="1" si="1037"/>
        <v>0</v>
      </c>
      <c r="AR1050" s="133">
        <f t="shared" ca="1" si="1037"/>
        <v>0</v>
      </c>
      <c r="AS1050" s="133">
        <f t="shared" ca="1" si="1037"/>
        <v>0</v>
      </c>
      <c r="AT1050" s="133">
        <f t="shared" ca="1" si="1037"/>
        <v>0</v>
      </c>
      <c r="AU1050" s="133">
        <f t="shared" ca="1" si="1037"/>
        <v>0</v>
      </c>
      <c r="AV1050" s="133">
        <f t="shared" ca="1" si="1037"/>
        <v>0</v>
      </c>
      <c r="AW1050" s="133">
        <f t="shared" ca="1" si="1037"/>
        <v>0</v>
      </c>
      <c r="AX1050" s="133">
        <f t="shared" ca="1" si="1037"/>
        <v>0</v>
      </c>
      <c r="AY1050" s="133">
        <f t="shared" ca="1" si="1037"/>
        <v>0</v>
      </c>
      <c r="AZ1050" s="133">
        <f t="shared" ca="1" si="1037"/>
        <v>0</v>
      </c>
      <c r="BA1050" s="133">
        <f t="shared" ca="1" si="1037"/>
        <v>0</v>
      </c>
      <c r="BB1050" s="133">
        <f t="shared" ca="1" si="1037"/>
        <v>0</v>
      </c>
      <c r="BC1050" s="133">
        <f t="shared" ca="1" si="1037"/>
        <v>0</v>
      </c>
      <c r="BD1050" s="133">
        <f t="shared" ca="1" si="1037"/>
        <v>0</v>
      </c>
      <c r="BE1050" s="133">
        <f t="shared" ca="1" si="1037"/>
        <v>0</v>
      </c>
      <c r="BF1050" s="133">
        <f t="shared" ca="1" si="1037"/>
        <v>0</v>
      </c>
      <c r="BG1050" s="133">
        <f t="shared" ca="1" si="1037"/>
        <v>0</v>
      </c>
      <c r="BH1050" s="133">
        <f t="shared" ca="1" si="1037"/>
        <v>0</v>
      </c>
      <c r="BI1050" s="133">
        <f t="shared" ca="1" si="1037"/>
        <v>0</v>
      </c>
      <c r="BJ1050" s="133">
        <f t="shared" ca="1" si="1037"/>
        <v>0</v>
      </c>
      <c r="BK1050" s="106"/>
      <c r="BL1050" s="106"/>
      <c r="BM1050" s="106"/>
      <c r="BN1050" s="106"/>
      <c r="BO1050" s="106"/>
      <c r="BP1050" s="106"/>
      <c r="BQ1050" s="106"/>
      <c r="BR1050" s="106"/>
      <c r="BS1050" s="106"/>
      <c r="BT1050" s="106"/>
      <c r="BU1050" s="106"/>
      <c r="BV1050" s="106"/>
      <c r="BX1050" s="106"/>
      <c r="BY1050" s="12">
        <f t="shared" ca="1" si="1031"/>
        <v>0</v>
      </c>
      <c r="BZ1050" s="12">
        <f t="shared" ca="1" si="1032"/>
        <v>0</v>
      </c>
      <c r="CA1050" s="12">
        <f t="shared" ca="1" si="1033"/>
        <v>0</v>
      </c>
      <c r="CB1050" s="106"/>
      <c r="CC1050" s="106"/>
      <c r="CD1050" s="106"/>
      <c r="CE1050" s="106"/>
      <c r="CF1050" s="106"/>
      <c r="CG1050" s="106"/>
      <c r="CH1050" s="106"/>
      <c r="CI1050" s="106"/>
      <c r="CK1050" s="11"/>
      <c r="CM1050" s="11"/>
      <c r="CV1050" s="120"/>
      <c r="DF1050" s="11"/>
      <c r="EY1050" s="10" t="str">
        <f t="shared" si="1028"/>
        <v/>
      </c>
    </row>
    <row r="1051" spans="2:155" x14ac:dyDescent="0.35">
      <c r="B1051" s="69" t="str" cm="1">
        <f t="array" aca="1" ref="B1051" ca="1">HYPERLINK(CONCATENATE("#",CELL("address",$D$151)),$D$151)</f>
        <v>Loan 6</v>
      </c>
      <c r="C1051" s="211"/>
      <c r="D1051" s="49">
        <f>D$18</f>
        <v>0</v>
      </c>
      <c r="E1051" s="49" t="str">
        <f>F$18</f>
        <v/>
      </c>
      <c r="F1051" s="49"/>
      <c r="H1051" s="9"/>
      <c r="I1051" s="40" t="s">
        <v>665</v>
      </c>
      <c r="V1051" s="106"/>
      <c r="W1051" s="133">
        <f t="shared" ca="1" si="1029"/>
        <v>0</v>
      </c>
      <c r="X1051" s="133">
        <f t="shared" ca="1" si="1029"/>
        <v>0</v>
      </c>
      <c r="Y1051" s="133">
        <f t="shared" ca="1" si="1029"/>
        <v>0</v>
      </c>
      <c r="AA1051" s="133">
        <f t="shared" ref="AA1051:BJ1051" ca="1" si="1038">AA888-AA1028</f>
        <v>0</v>
      </c>
      <c r="AB1051" s="133">
        <f t="shared" ca="1" si="1038"/>
        <v>0</v>
      </c>
      <c r="AC1051" s="133">
        <f t="shared" ca="1" si="1038"/>
        <v>0</v>
      </c>
      <c r="AD1051" s="133">
        <f t="shared" ca="1" si="1038"/>
        <v>0</v>
      </c>
      <c r="AE1051" s="133">
        <f t="shared" ca="1" si="1038"/>
        <v>0</v>
      </c>
      <c r="AF1051" s="133">
        <f t="shared" ca="1" si="1038"/>
        <v>0</v>
      </c>
      <c r="AG1051" s="133">
        <f t="shared" ca="1" si="1038"/>
        <v>0</v>
      </c>
      <c r="AH1051" s="133">
        <f t="shared" ca="1" si="1038"/>
        <v>0</v>
      </c>
      <c r="AI1051" s="133">
        <f t="shared" ca="1" si="1038"/>
        <v>0</v>
      </c>
      <c r="AJ1051" s="133">
        <f t="shared" ca="1" si="1038"/>
        <v>0</v>
      </c>
      <c r="AK1051" s="133">
        <f t="shared" ca="1" si="1038"/>
        <v>0</v>
      </c>
      <c r="AL1051" s="133">
        <f t="shared" ca="1" si="1038"/>
        <v>0</v>
      </c>
      <c r="AM1051" s="133">
        <f t="shared" ca="1" si="1038"/>
        <v>0</v>
      </c>
      <c r="AN1051" s="133">
        <f t="shared" ca="1" si="1038"/>
        <v>0</v>
      </c>
      <c r="AO1051" s="133">
        <f t="shared" ca="1" si="1038"/>
        <v>0</v>
      </c>
      <c r="AP1051" s="133">
        <f t="shared" ca="1" si="1038"/>
        <v>0</v>
      </c>
      <c r="AQ1051" s="133">
        <f t="shared" ca="1" si="1038"/>
        <v>0</v>
      </c>
      <c r="AR1051" s="133">
        <f t="shared" ca="1" si="1038"/>
        <v>0</v>
      </c>
      <c r="AS1051" s="133">
        <f t="shared" ca="1" si="1038"/>
        <v>0</v>
      </c>
      <c r="AT1051" s="133">
        <f t="shared" ca="1" si="1038"/>
        <v>0</v>
      </c>
      <c r="AU1051" s="133">
        <f t="shared" ca="1" si="1038"/>
        <v>0</v>
      </c>
      <c r="AV1051" s="133">
        <f t="shared" ca="1" si="1038"/>
        <v>0</v>
      </c>
      <c r="AW1051" s="133">
        <f t="shared" ca="1" si="1038"/>
        <v>0</v>
      </c>
      <c r="AX1051" s="133">
        <f t="shared" ca="1" si="1038"/>
        <v>0</v>
      </c>
      <c r="AY1051" s="133">
        <f t="shared" ca="1" si="1038"/>
        <v>0</v>
      </c>
      <c r="AZ1051" s="133">
        <f t="shared" ca="1" si="1038"/>
        <v>0</v>
      </c>
      <c r="BA1051" s="133">
        <f t="shared" ca="1" si="1038"/>
        <v>0</v>
      </c>
      <c r="BB1051" s="133">
        <f t="shared" ca="1" si="1038"/>
        <v>0</v>
      </c>
      <c r="BC1051" s="133">
        <f t="shared" ca="1" si="1038"/>
        <v>0</v>
      </c>
      <c r="BD1051" s="133">
        <f t="shared" ca="1" si="1038"/>
        <v>0</v>
      </c>
      <c r="BE1051" s="133">
        <f t="shared" ca="1" si="1038"/>
        <v>0</v>
      </c>
      <c r="BF1051" s="133">
        <f t="shared" ca="1" si="1038"/>
        <v>0</v>
      </c>
      <c r="BG1051" s="133">
        <f t="shared" ca="1" si="1038"/>
        <v>0</v>
      </c>
      <c r="BH1051" s="133">
        <f t="shared" ca="1" si="1038"/>
        <v>0</v>
      </c>
      <c r="BI1051" s="133">
        <f t="shared" ca="1" si="1038"/>
        <v>0</v>
      </c>
      <c r="BJ1051" s="133">
        <f t="shared" ca="1" si="1038"/>
        <v>0</v>
      </c>
      <c r="BK1051" s="106"/>
      <c r="BL1051" s="106"/>
      <c r="BM1051" s="106"/>
      <c r="BN1051" s="106"/>
      <c r="BO1051" s="106"/>
      <c r="BP1051" s="106"/>
      <c r="BQ1051" s="106"/>
      <c r="BR1051" s="106"/>
      <c r="BS1051" s="106"/>
      <c r="BT1051" s="106"/>
      <c r="BU1051" s="106"/>
      <c r="BV1051" s="106"/>
      <c r="BX1051" s="106"/>
      <c r="BY1051" s="12">
        <f t="shared" ca="1" si="1031"/>
        <v>0</v>
      </c>
      <c r="BZ1051" s="12">
        <f t="shared" ca="1" si="1032"/>
        <v>0</v>
      </c>
      <c r="CA1051" s="12">
        <f t="shared" ca="1" si="1033"/>
        <v>0</v>
      </c>
      <c r="CB1051" s="106"/>
      <c r="CC1051" s="106"/>
      <c r="CD1051" s="106"/>
      <c r="CE1051" s="106"/>
      <c r="CF1051" s="106"/>
      <c r="CG1051" s="106"/>
      <c r="CH1051" s="106"/>
      <c r="CI1051" s="106"/>
      <c r="CK1051" s="11"/>
      <c r="CM1051" s="11"/>
      <c r="CV1051" s="120"/>
      <c r="DF1051" s="11"/>
      <c r="EY1051" s="10" t="str">
        <f t="shared" si="1028"/>
        <v/>
      </c>
    </row>
    <row r="1052" spans="2:155" x14ac:dyDescent="0.35">
      <c r="B1052" s="69" t="str" cm="1">
        <f t="array" aca="1" ref="B1052" ca="1">HYPERLINK(CONCATENATE("#",CELL("address",$D$170)),$D$170)</f>
        <v>Loan 7</v>
      </c>
      <c r="C1052" s="211"/>
      <c r="D1052" s="49">
        <f>D$19</f>
        <v>0</v>
      </c>
      <c r="E1052" s="49" t="str">
        <f>F$19</f>
        <v/>
      </c>
      <c r="F1052" s="49"/>
      <c r="H1052" s="9"/>
      <c r="I1052" s="40" t="s">
        <v>665</v>
      </c>
      <c r="V1052" s="106"/>
      <c r="W1052" s="133">
        <f t="shared" ca="1" si="1029"/>
        <v>0</v>
      </c>
      <c r="X1052" s="133">
        <f t="shared" ca="1" si="1029"/>
        <v>0</v>
      </c>
      <c r="Y1052" s="133">
        <f t="shared" ca="1" si="1029"/>
        <v>0</v>
      </c>
      <c r="AA1052" s="133">
        <f t="shared" ref="AA1052:BJ1052" ca="1" si="1039">AA889-AA1029</f>
        <v>0</v>
      </c>
      <c r="AB1052" s="133">
        <f t="shared" ca="1" si="1039"/>
        <v>0</v>
      </c>
      <c r="AC1052" s="133">
        <f t="shared" ca="1" si="1039"/>
        <v>0</v>
      </c>
      <c r="AD1052" s="133">
        <f t="shared" ca="1" si="1039"/>
        <v>0</v>
      </c>
      <c r="AE1052" s="133">
        <f t="shared" ca="1" si="1039"/>
        <v>0</v>
      </c>
      <c r="AF1052" s="133">
        <f t="shared" ca="1" si="1039"/>
        <v>0</v>
      </c>
      <c r="AG1052" s="133">
        <f t="shared" ca="1" si="1039"/>
        <v>0</v>
      </c>
      <c r="AH1052" s="133">
        <f t="shared" ca="1" si="1039"/>
        <v>0</v>
      </c>
      <c r="AI1052" s="133">
        <f t="shared" ca="1" si="1039"/>
        <v>0</v>
      </c>
      <c r="AJ1052" s="133">
        <f t="shared" ca="1" si="1039"/>
        <v>0</v>
      </c>
      <c r="AK1052" s="133">
        <f t="shared" ca="1" si="1039"/>
        <v>0</v>
      </c>
      <c r="AL1052" s="133">
        <f t="shared" ca="1" si="1039"/>
        <v>0</v>
      </c>
      <c r="AM1052" s="133">
        <f t="shared" ca="1" si="1039"/>
        <v>0</v>
      </c>
      <c r="AN1052" s="133">
        <f t="shared" ca="1" si="1039"/>
        <v>0</v>
      </c>
      <c r="AO1052" s="133">
        <f t="shared" ca="1" si="1039"/>
        <v>0</v>
      </c>
      <c r="AP1052" s="133">
        <f t="shared" ca="1" si="1039"/>
        <v>0</v>
      </c>
      <c r="AQ1052" s="133">
        <f t="shared" ca="1" si="1039"/>
        <v>0</v>
      </c>
      <c r="AR1052" s="133">
        <f t="shared" ca="1" si="1039"/>
        <v>0</v>
      </c>
      <c r="AS1052" s="133">
        <f t="shared" ca="1" si="1039"/>
        <v>0</v>
      </c>
      <c r="AT1052" s="133">
        <f t="shared" ca="1" si="1039"/>
        <v>0</v>
      </c>
      <c r="AU1052" s="133">
        <f t="shared" ca="1" si="1039"/>
        <v>0</v>
      </c>
      <c r="AV1052" s="133">
        <f t="shared" ca="1" si="1039"/>
        <v>0</v>
      </c>
      <c r="AW1052" s="133">
        <f t="shared" ca="1" si="1039"/>
        <v>0</v>
      </c>
      <c r="AX1052" s="133">
        <f t="shared" ca="1" si="1039"/>
        <v>0</v>
      </c>
      <c r="AY1052" s="133">
        <f t="shared" ca="1" si="1039"/>
        <v>0</v>
      </c>
      <c r="AZ1052" s="133">
        <f t="shared" ca="1" si="1039"/>
        <v>0</v>
      </c>
      <c r="BA1052" s="133">
        <f t="shared" ca="1" si="1039"/>
        <v>0</v>
      </c>
      <c r="BB1052" s="133">
        <f t="shared" ca="1" si="1039"/>
        <v>0</v>
      </c>
      <c r="BC1052" s="133">
        <f t="shared" ca="1" si="1039"/>
        <v>0</v>
      </c>
      <c r="BD1052" s="133">
        <f t="shared" ca="1" si="1039"/>
        <v>0</v>
      </c>
      <c r="BE1052" s="133">
        <f t="shared" ca="1" si="1039"/>
        <v>0</v>
      </c>
      <c r="BF1052" s="133">
        <f t="shared" ca="1" si="1039"/>
        <v>0</v>
      </c>
      <c r="BG1052" s="133">
        <f t="shared" ca="1" si="1039"/>
        <v>0</v>
      </c>
      <c r="BH1052" s="133">
        <f t="shared" ca="1" si="1039"/>
        <v>0</v>
      </c>
      <c r="BI1052" s="133">
        <f t="shared" ca="1" si="1039"/>
        <v>0</v>
      </c>
      <c r="BJ1052" s="133">
        <f t="shared" ca="1" si="1039"/>
        <v>0</v>
      </c>
      <c r="BK1052" s="106"/>
      <c r="BL1052" s="106"/>
      <c r="BM1052" s="106"/>
      <c r="BN1052" s="106"/>
      <c r="BO1052" s="106"/>
      <c r="BP1052" s="106"/>
      <c r="BQ1052" s="106"/>
      <c r="BR1052" s="106"/>
      <c r="BS1052" s="106"/>
      <c r="BT1052" s="106"/>
      <c r="BU1052" s="106"/>
      <c r="BV1052" s="106"/>
      <c r="BX1052" s="106"/>
      <c r="BY1052" s="12">
        <f t="shared" ca="1" si="1031"/>
        <v>0</v>
      </c>
      <c r="BZ1052" s="12">
        <f t="shared" ca="1" si="1032"/>
        <v>0</v>
      </c>
      <c r="CA1052" s="12">
        <f t="shared" ca="1" si="1033"/>
        <v>0</v>
      </c>
      <c r="CB1052" s="106"/>
      <c r="CC1052" s="106"/>
      <c r="CD1052" s="106"/>
      <c r="CE1052" s="106"/>
      <c r="CF1052" s="106"/>
      <c r="CG1052" s="106"/>
      <c r="CH1052" s="106"/>
      <c r="CI1052" s="106"/>
      <c r="CK1052" s="11"/>
      <c r="CM1052" s="11"/>
      <c r="CV1052" s="120"/>
      <c r="DF1052" s="11"/>
      <c r="EY1052" s="10" t="str">
        <f t="shared" si="1028"/>
        <v/>
      </c>
    </row>
    <row r="1053" spans="2:155" x14ac:dyDescent="0.35">
      <c r="B1053" s="69" t="str" cm="1">
        <f t="array" aca="1" ref="B1053" ca="1">HYPERLINK(CONCATENATE("#",CELL("address",$D$189)),$D$189)</f>
        <v>Loan 8</v>
      </c>
      <c r="C1053" s="211"/>
      <c r="D1053" s="49">
        <f>D$20</f>
        <v>0</v>
      </c>
      <c r="E1053" s="49" t="str">
        <f>F$20</f>
        <v/>
      </c>
      <c r="F1053" s="49"/>
      <c r="H1053" s="9"/>
      <c r="I1053" s="40" t="s">
        <v>665</v>
      </c>
      <c r="V1053" s="106"/>
      <c r="W1053" s="133">
        <f t="shared" ca="1" si="1029"/>
        <v>0</v>
      </c>
      <c r="X1053" s="133">
        <f t="shared" ca="1" si="1029"/>
        <v>0</v>
      </c>
      <c r="Y1053" s="133">
        <f t="shared" ca="1" si="1029"/>
        <v>0</v>
      </c>
      <c r="AA1053" s="133">
        <f t="shared" ref="AA1053:BJ1053" ca="1" si="1040">AA890-AA1030</f>
        <v>0</v>
      </c>
      <c r="AB1053" s="133">
        <f t="shared" ca="1" si="1040"/>
        <v>0</v>
      </c>
      <c r="AC1053" s="133">
        <f t="shared" ca="1" si="1040"/>
        <v>0</v>
      </c>
      <c r="AD1053" s="133">
        <f t="shared" ca="1" si="1040"/>
        <v>0</v>
      </c>
      <c r="AE1053" s="133">
        <f t="shared" ca="1" si="1040"/>
        <v>0</v>
      </c>
      <c r="AF1053" s="133">
        <f t="shared" ca="1" si="1040"/>
        <v>0</v>
      </c>
      <c r="AG1053" s="133">
        <f t="shared" ca="1" si="1040"/>
        <v>0</v>
      </c>
      <c r="AH1053" s="133">
        <f t="shared" ca="1" si="1040"/>
        <v>0</v>
      </c>
      <c r="AI1053" s="133">
        <f t="shared" ca="1" si="1040"/>
        <v>0</v>
      </c>
      <c r="AJ1053" s="133">
        <f t="shared" ca="1" si="1040"/>
        <v>0</v>
      </c>
      <c r="AK1053" s="133">
        <f t="shared" ca="1" si="1040"/>
        <v>0</v>
      </c>
      <c r="AL1053" s="133">
        <f t="shared" ca="1" si="1040"/>
        <v>0</v>
      </c>
      <c r="AM1053" s="133">
        <f t="shared" ca="1" si="1040"/>
        <v>0</v>
      </c>
      <c r="AN1053" s="133">
        <f t="shared" ca="1" si="1040"/>
        <v>0</v>
      </c>
      <c r="AO1053" s="133">
        <f t="shared" ca="1" si="1040"/>
        <v>0</v>
      </c>
      <c r="AP1053" s="133">
        <f t="shared" ca="1" si="1040"/>
        <v>0</v>
      </c>
      <c r="AQ1053" s="133">
        <f t="shared" ca="1" si="1040"/>
        <v>0</v>
      </c>
      <c r="AR1053" s="133">
        <f t="shared" ca="1" si="1040"/>
        <v>0</v>
      </c>
      <c r="AS1053" s="133">
        <f t="shared" ca="1" si="1040"/>
        <v>0</v>
      </c>
      <c r="AT1053" s="133">
        <f t="shared" ca="1" si="1040"/>
        <v>0</v>
      </c>
      <c r="AU1053" s="133">
        <f t="shared" ca="1" si="1040"/>
        <v>0</v>
      </c>
      <c r="AV1053" s="133">
        <f t="shared" ca="1" si="1040"/>
        <v>0</v>
      </c>
      <c r="AW1053" s="133">
        <f t="shared" ca="1" si="1040"/>
        <v>0</v>
      </c>
      <c r="AX1053" s="133">
        <f t="shared" ca="1" si="1040"/>
        <v>0</v>
      </c>
      <c r="AY1053" s="133">
        <f t="shared" ca="1" si="1040"/>
        <v>0</v>
      </c>
      <c r="AZ1053" s="133">
        <f t="shared" ca="1" si="1040"/>
        <v>0</v>
      </c>
      <c r="BA1053" s="133">
        <f t="shared" ca="1" si="1040"/>
        <v>0</v>
      </c>
      <c r="BB1053" s="133">
        <f t="shared" ca="1" si="1040"/>
        <v>0</v>
      </c>
      <c r="BC1053" s="133">
        <f t="shared" ca="1" si="1040"/>
        <v>0</v>
      </c>
      <c r="BD1053" s="133">
        <f t="shared" ca="1" si="1040"/>
        <v>0</v>
      </c>
      <c r="BE1053" s="133">
        <f t="shared" ca="1" si="1040"/>
        <v>0</v>
      </c>
      <c r="BF1053" s="133">
        <f t="shared" ca="1" si="1040"/>
        <v>0</v>
      </c>
      <c r="BG1053" s="133">
        <f t="shared" ca="1" si="1040"/>
        <v>0</v>
      </c>
      <c r="BH1053" s="133">
        <f t="shared" ca="1" si="1040"/>
        <v>0</v>
      </c>
      <c r="BI1053" s="133">
        <f t="shared" ca="1" si="1040"/>
        <v>0</v>
      </c>
      <c r="BJ1053" s="133">
        <f t="shared" ca="1" si="1040"/>
        <v>0</v>
      </c>
      <c r="BK1053" s="106"/>
      <c r="BL1053" s="106"/>
      <c r="BM1053" s="106"/>
      <c r="BN1053" s="106"/>
      <c r="BO1053" s="106"/>
      <c r="BP1053" s="106"/>
      <c r="BQ1053" s="106"/>
      <c r="BR1053" s="106"/>
      <c r="BS1053" s="106"/>
      <c r="BT1053" s="106"/>
      <c r="BU1053" s="106"/>
      <c r="BV1053" s="106"/>
      <c r="BX1053" s="106"/>
      <c r="BY1053" s="12">
        <f t="shared" ca="1" si="1031"/>
        <v>0</v>
      </c>
      <c r="BZ1053" s="12">
        <f t="shared" ca="1" si="1032"/>
        <v>0</v>
      </c>
      <c r="CA1053" s="12">
        <f t="shared" ca="1" si="1033"/>
        <v>0</v>
      </c>
      <c r="CB1053" s="106"/>
      <c r="CC1053" s="106"/>
      <c r="CD1053" s="106"/>
      <c r="CE1053" s="106"/>
      <c r="CF1053" s="106"/>
      <c r="CG1053" s="106"/>
      <c r="CH1053" s="106"/>
      <c r="CI1053" s="106"/>
      <c r="CK1053" s="11"/>
      <c r="CM1053" s="11"/>
      <c r="CV1053" s="120"/>
      <c r="DF1053" s="11"/>
      <c r="EY1053" s="10" t="str">
        <f t="shared" si="1028"/>
        <v/>
      </c>
    </row>
    <row r="1054" spans="2:155" x14ac:dyDescent="0.35">
      <c r="B1054" s="69" t="str" cm="1">
        <f t="array" aca="1" ref="B1054" ca="1">HYPERLINK(CONCATENATE("#",CELL("address",$D$208)),$D$208)</f>
        <v>Loan 9</v>
      </c>
      <c r="C1054" s="211"/>
      <c r="D1054" s="49">
        <f>D$21</f>
        <v>0</v>
      </c>
      <c r="E1054" s="49" t="str">
        <f>F$21</f>
        <v/>
      </c>
      <c r="F1054" s="49"/>
      <c r="H1054" s="9"/>
      <c r="I1054" s="40" t="s">
        <v>665</v>
      </c>
      <c r="V1054" s="106"/>
      <c r="W1054" s="133">
        <f t="shared" ca="1" si="1029"/>
        <v>0</v>
      </c>
      <c r="X1054" s="133">
        <f t="shared" ca="1" si="1029"/>
        <v>0</v>
      </c>
      <c r="Y1054" s="133">
        <f t="shared" ca="1" si="1029"/>
        <v>0</v>
      </c>
      <c r="AA1054" s="133">
        <f t="shared" ref="AA1054:BJ1054" ca="1" si="1041">AA891-AA1031</f>
        <v>0</v>
      </c>
      <c r="AB1054" s="133">
        <f t="shared" ca="1" si="1041"/>
        <v>0</v>
      </c>
      <c r="AC1054" s="133">
        <f t="shared" ca="1" si="1041"/>
        <v>0</v>
      </c>
      <c r="AD1054" s="133">
        <f t="shared" ca="1" si="1041"/>
        <v>0</v>
      </c>
      <c r="AE1054" s="133">
        <f t="shared" ca="1" si="1041"/>
        <v>0</v>
      </c>
      <c r="AF1054" s="133">
        <f t="shared" ca="1" si="1041"/>
        <v>0</v>
      </c>
      <c r="AG1054" s="133">
        <f t="shared" ca="1" si="1041"/>
        <v>0</v>
      </c>
      <c r="AH1054" s="133">
        <f t="shared" ca="1" si="1041"/>
        <v>0</v>
      </c>
      <c r="AI1054" s="133">
        <f t="shared" ca="1" si="1041"/>
        <v>0</v>
      </c>
      <c r="AJ1054" s="133">
        <f t="shared" ca="1" si="1041"/>
        <v>0</v>
      </c>
      <c r="AK1054" s="133">
        <f t="shared" ca="1" si="1041"/>
        <v>0</v>
      </c>
      <c r="AL1054" s="133">
        <f t="shared" ca="1" si="1041"/>
        <v>0</v>
      </c>
      <c r="AM1054" s="133">
        <f t="shared" ca="1" si="1041"/>
        <v>0</v>
      </c>
      <c r="AN1054" s="133">
        <f t="shared" ca="1" si="1041"/>
        <v>0</v>
      </c>
      <c r="AO1054" s="133">
        <f t="shared" ca="1" si="1041"/>
        <v>0</v>
      </c>
      <c r="AP1054" s="133">
        <f t="shared" ca="1" si="1041"/>
        <v>0</v>
      </c>
      <c r="AQ1054" s="133">
        <f t="shared" ca="1" si="1041"/>
        <v>0</v>
      </c>
      <c r="AR1054" s="133">
        <f t="shared" ca="1" si="1041"/>
        <v>0</v>
      </c>
      <c r="AS1054" s="133">
        <f t="shared" ca="1" si="1041"/>
        <v>0</v>
      </c>
      <c r="AT1054" s="133">
        <f t="shared" ca="1" si="1041"/>
        <v>0</v>
      </c>
      <c r="AU1054" s="133">
        <f t="shared" ca="1" si="1041"/>
        <v>0</v>
      </c>
      <c r="AV1054" s="133">
        <f t="shared" ca="1" si="1041"/>
        <v>0</v>
      </c>
      <c r="AW1054" s="133">
        <f t="shared" ca="1" si="1041"/>
        <v>0</v>
      </c>
      <c r="AX1054" s="133">
        <f t="shared" ca="1" si="1041"/>
        <v>0</v>
      </c>
      <c r="AY1054" s="133">
        <f t="shared" ca="1" si="1041"/>
        <v>0</v>
      </c>
      <c r="AZ1054" s="133">
        <f t="shared" ca="1" si="1041"/>
        <v>0</v>
      </c>
      <c r="BA1054" s="133">
        <f t="shared" ca="1" si="1041"/>
        <v>0</v>
      </c>
      <c r="BB1054" s="133">
        <f t="shared" ca="1" si="1041"/>
        <v>0</v>
      </c>
      <c r="BC1054" s="133">
        <f t="shared" ca="1" si="1041"/>
        <v>0</v>
      </c>
      <c r="BD1054" s="133">
        <f t="shared" ca="1" si="1041"/>
        <v>0</v>
      </c>
      <c r="BE1054" s="133">
        <f t="shared" ca="1" si="1041"/>
        <v>0</v>
      </c>
      <c r="BF1054" s="133">
        <f t="shared" ca="1" si="1041"/>
        <v>0</v>
      </c>
      <c r="BG1054" s="133">
        <f t="shared" ca="1" si="1041"/>
        <v>0</v>
      </c>
      <c r="BH1054" s="133">
        <f t="shared" ca="1" si="1041"/>
        <v>0</v>
      </c>
      <c r="BI1054" s="133">
        <f t="shared" ca="1" si="1041"/>
        <v>0</v>
      </c>
      <c r="BJ1054" s="133">
        <f t="shared" ca="1" si="1041"/>
        <v>0</v>
      </c>
      <c r="BK1054" s="106"/>
      <c r="BL1054" s="106"/>
      <c r="BM1054" s="106"/>
      <c r="BN1054" s="106"/>
      <c r="BO1054" s="106"/>
      <c r="BP1054" s="106"/>
      <c r="BQ1054" s="106"/>
      <c r="BR1054" s="106"/>
      <c r="BS1054" s="106"/>
      <c r="BT1054" s="106"/>
      <c r="BU1054" s="106"/>
      <c r="BV1054" s="106"/>
      <c r="BX1054" s="106"/>
      <c r="BY1054" s="12">
        <f t="shared" ca="1" si="1031"/>
        <v>0</v>
      </c>
      <c r="BZ1054" s="12">
        <f t="shared" ca="1" si="1032"/>
        <v>0</v>
      </c>
      <c r="CA1054" s="12">
        <f t="shared" ca="1" si="1033"/>
        <v>0</v>
      </c>
      <c r="CB1054" s="106"/>
      <c r="CC1054" s="106"/>
      <c r="CD1054" s="106"/>
      <c r="CE1054" s="106"/>
      <c r="CF1054" s="106"/>
      <c r="CG1054" s="106"/>
      <c r="CH1054" s="106"/>
      <c r="CI1054" s="106"/>
      <c r="CK1054" s="11"/>
      <c r="CM1054" s="11"/>
      <c r="CV1054" s="120"/>
      <c r="DF1054" s="11"/>
      <c r="EY1054" s="10" t="str">
        <f t="shared" si="1028"/>
        <v/>
      </c>
    </row>
    <row r="1055" spans="2:155" x14ac:dyDescent="0.35">
      <c r="B1055" s="69" t="str" cm="1">
        <f t="array" aca="1" ref="B1055" ca="1">HYPERLINK(CONCATENATE("#",CELL("address",$D$227)),$D$227)</f>
        <v>Loan 10</v>
      </c>
      <c r="C1055" s="211"/>
      <c r="D1055" s="49">
        <f>D$22</f>
        <v>0</v>
      </c>
      <c r="E1055" s="49" t="str">
        <f>F$22</f>
        <v/>
      </c>
      <c r="F1055" s="49"/>
      <c r="H1055" s="9"/>
      <c r="I1055" s="40" t="s">
        <v>665</v>
      </c>
      <c r="V1055" s="106"/>
      <c r="W1055" s="133">
        <f t="shared" ca="1" si="1029"/>
        <v>0</v>
      </c>
      <c r="X1055" s="133">
        <f t="shared" ca="1" si="1029"/>
        <v>0</v>
      </c>
      <c r="Y1055" s="133">
        <f t="shared" ca="1" si="1029"/>
        <v>0</v>
      </c>
      <c r="AA1055" s="133">
        <f t="shared" ref="AA1055:BJ1055" ca="1" si="1042">AA892-AA1032</f>
        <v>0</v>
      </c>
      <c r="AB1055" s="133">
        <f t="shared" ca="1" si="1042"/>
        <v>0</v>
      </c>
      <c r="AC1055" s="133">
        <f t="shared" ca="1" si="1042"/>
        <v>0</v>
      </c>
      <c r="AD1055" s="133">
        <f t="shared" ca="1" si="1042"/>
        <v>0</v>
      </c>
      <c r="AE1055" s="133">
        <f t="shared" ca="1" si="1042"/>
        <v>0</v>
      </c>
      <c r="AF1055" s="133">
        <f t="shared" ca="1" si="1042"/>
        <v>0</v>
      </c>
      <c r="AG1055" s="133">
        <f t="shared" ca="1" si="1042"/>
        <v>0</v>
      </c>
      <c r="AH1055" s="133">
        <f t="shared" ca="1" si="1042"/>
        <v>0</v>
      </c>
      <c r="AI1055" s="133">
        <f t="shared" ca="1" si="1042"/>
        <v>0</v>
      </c>
      <c r="AJ1055" s="133">
        <f t="shared" ca="1" si="1042"/>
        <v>0</v>
      </c>
      <c r="AK1055" s="133">
        <f t="shared" ca="1" si="1042"/>
        <v>0</v>
      </c>
      <c r="AL1055" s="133">
        <f t="shared" ca="1" si="1042"/>
        <v>0</v>
      </c>
      <c r="AM1055" s="133">
        <f t="shared" ca="1" si="1042"/>
        <v>0</v>
      </c>
      <c r="AN1055" s="133">
        <f t="shared" ca="1" si="1042"/>
        <v>0</v>
      </c>
      <c r="AO1055" s="133">
        <f t="shared" ca="1" si="1042"/>
        <v>0</v>
      </c>
      <c r="AP1055" s="133">
        <f t="shared" ca="1" si="1042"/>
        <v>0</v>
      </c>
      <c r="AQ1055" s="133">
        <f t="shared" ca="1" si="1042"/>
        <v>0</v>
      </c>
      <c r="AR1055" s="133">
        <f t="shared" ca="1" si="1042"/>
        <v>0</v>
      </c>
      <c r="AS1055" s="133">
        <f t="shared" ca="1" si="1042"/>
        <v>0</v>
      </c>
      <c r="AT1055" s="133">
        <f t="shared" ca="1" si="1042"/>
        <v>0</v>
      </c>
      <c r="AU1055" s="133">
        <f t="shared" ca="1" si="1042"/>
        <v>0</v>
      </c>
      <c r="AV1055" s="133">
        <f t="shared" ca="1" si="1042"/>
        <v>0</v>
      </c>
      <c r="AW1055" s="133">
        <f t="shared" ca="1" si="1042"/>
        <v>0</v>
      </c>
      <c r="AX1055" s="133">
        <f t="shared" ca="1" si="1042"/>
        <v>0</v>
      </c>
      <c r="AY1055" s="133">
        <f t="shared" ca="1" si="1042"/>
        <v>0</v>
      </c>
      <c r="AZ1055" s="133">
        <f t="shared" ca="1" si="1042"/>
        <v>0</v>
      </c>
      <c r="BA1055" s="133">
        <f t="shared" ca="1" si="1042"/>
        <v>0</v>
      </c>
      <c r="BB1055" s="133">
        <f t="shared" ca="1" si="1042"/>
        <v>0</v>
      </c>
      <c r="BC1055" s="133">
        <f t="shared" ca="1" si="1042"/>
        <v>0</v>
      </c>
      <c r="BD1055" s="133">
        <f t="shared" ca="1" si="1042"/>
        <v>0</v>
      </c>
      <c r="BE1055" s="133">
        <f t="shared" ca="1" si="1042"/>
        <v>0</v>
      </c>
      <c r="BF1055" s="133">
        <f t="shared" ca="1" si="1042"/>
        <v>0</v>
      </c>
      <c r="BG1055" s="133">
        <f t="shared" ca="1" si="1042"/>
        <v>0</v>
      </c>
      <c r="BH1055" s="133">
        <f t="shared" ca="1" si="1042"/>
        <v>0</v>
      </c>
      <c r="BI1055" s="133">
        <f t="shared" ca="1" si="1042"/>
        <v>0</v>
      </c>
      <c r="BJ1055" s="133">
        <f t="shared" ca="1" si="1042"/>
        <v>0</v>
      </c>
      <c r="BK1055" s="106"/>
      <c r="BL1055" s="106"/>
      <c r="BM1055" s="106"/>
      <c r="BN1055" s="106"/>
      <c r="BO1055" s="106"/>
      <c r="BP1055" s="106"/>
      <c r="BQ1055" s="106"/>
      <c r="BR1055" s="106"/>
      <c r="BS1055" s="106"/>
      <c r="BT1055" s="106"/>
      <c r="BU1055" s="106"/>
      <c r="BV1055" s="106"/>
      <c r="BX1055" s="106"/>
      <c r="BY1055" s="12">
        <f t="shared" ca="1" si="1031"/>
        <v>0</v>
      </c>
      <c r="BZ1055" s="12">
        <f t="shared" ca="1" si="1032"/>
        <v>0</v>
      </c>
      <c r="CA1055" s="12">
        <f t="shared" ca="1" si="1033"/>
        <v>0</v>
      </c>
      <c r="CB1055" s="106"/>
      <c r="CC1055" s="106"/>
      <c r="CD1055" s="106"/>
      <c r="CE1055" s="106"/>
      <c r="CF1055" s="106"/>
      <c r="CG1055" s="106"/>
      <c r="CH1055" s="106"/>
      <c r="CI1055" s="106"/>
      <c r="CK1055" s="11"/>
      <c r="CM1055" s="11"/>
      <c r="CV1055" s="120"/>
      <c r="DF1055" s="11"/>
      <c r="EY1055" s="10" t="str">
        <f t="shared" si="1028"/>
        <v/>
      </c>
    </row>
    <row r="1056" spans="2:155" x14ac:dyDescent="0.35">
      <c r="B1056" s="69" t="str" cm="1">
        <f t="array" aca="1" ref="B1056" ca="1">HYPERLINK(CONCATENATE("#",CELL("address",$D$246)),$D$246)</f>
        <v>Loan 11</v>
      </c>
      <c r="C1056" s="211"/>
      <c r="D1056" s="49">
        <f>D$23</f>
        <v>0</v>
      </c>
      <c r="E1056" s="49" t="str">
        <f>F$23</f>
        <v/>
      </c>
      <c r="F1056" s="49"/>
      <c r="H1056" s="9"/>
      <c r="I1056" s="40" t="s">
        <v>665</v>
      </c>
      <c r="V1056" s="106"/>
      <c r="W1056" s="133">
        <f t="shared" ca="1" si="1029"/>
        <v>0</v>
      </c>
      <c r="X1056" s="133">
        <f t="shared" ca="1" si="1029"/>
        <v>0</v>
      </c>
      <c r="Y1056" s="133">
        <f t="shared" ca="1" si="1029"/>
        <v>0</v>
      </c>
      <c r="AA1056" s="133">
        <f t="shared" ref="AA1056:BJ1056" ca="1" si="1043">AA893-AA1033</f>
        <v>0</v>
      </c>
      <c r="AB1056" s="133">
        <f t="shared" ca="1" si="1043"/>
        <v>0</v>
      </c>
      <c r="AC1056" s="133">
        <f t="shared" ca="1" si="1043"/>
        <v>0</v>
      </c>
      <c r="AD1056" s="133">
        <f t="shared" ca="1" si="1043"/>
        <v>0</v>
      </c>
      <c r="AE1056" s="133">
        <f t="shared" ca="1" si="1043"/>
        <v>0</v>
      </c>
      <c r="AF1056" s="133">
        <f t="shared" ca="1" si="1043"/>
        <v>0</v>
      </c>
      <c r="AG1056" s="133">
        <f t="shared" ca="1" si="1043"/>
        <v>0</v>
      </c>
      <c r="AH1056" s="133">
        <f t="shared" ca="1" si="1043"/>
        <v>0</v>
      </c>
      <c r="AI1056" s="133">
        <f t="shared" ca="1" si="1043"/>
        <v>0</v>
      </c>
      <c r="AJ1056" s="133">
        <f t="shared" ca="1" si="1043"/>
        <v>0</v>
      </c>
      <c r="AK1056" s="133">
        <f t="shared" ca="1" si="1043"/>
        <v>0</v>
      </c>
      <c r="AL1056" s="133">
        <f t="shared" ca="1" si="1043"/>
        <v>0</v>
      </c>
      <c r="AM1056" s="133">
        <f t="shared" ca="1" si="1043"/>
        <v>0</v>
      </c>
      <c r="AN1056" s="133">
        <f t="shared" ca="1" si="1043"/>
        <v>0</v>
      </c>
      <c r="AO1056" s="133">
        <f t="shared" ca="1" si="1043"/>
        <v>0</v>
      </c>
      <c r="AP1056" s="133">
        <f t="shared" ca="1" si="1043"/>
        <v>0</v>
      </c>
      <c r="AQ1056" s="133">
        <f t="shared" ca="1" si="1043"/>
        <v>0</v>
      </c>
      <c r="AR1056" s="133">
        <f t="shared" ca="1" si="1043"/>
        <v>0</v>
      </c>
      <c r="AS1056" s="133">
        <f t="shared" ca="1" si="1043"/>
        <v>0</v>
      </c>
      <c r="AT1056" s="133">
        <f t="shared" ca="1" si="1043"/>
        <v>0</v>
      </c>
      <c r="AU1056" s="133">
        <f t="shared" ca="1" si="1043"/>
        <v>0</v>
      </c>
      <c r="AV1056" s="133">
        <f t="shared" ca="1" si="1043"/>
        <v>0</v>
      </c>
      <c r="AW1056" s="133">
        <f t="shared" ca="1" si="1043"/>
        <v>0</v>
      </c>
      <c r="AX1056" s="133">
        <f t="shared" ca="1" si="1043"/>
        <v>0</v>
      </c>
      <c r="AY1056" s="133">
        <f t="shared" ca="1" si="1043"/>
        <v>0</v>
      </c>
      <c r="AZ1056" s="133">
        <f t="shared" ca="1" si="1043"/>
        <v>0</v>
      </c>
      <c r="BA1056" s="133">
        <f t="shared" ca="1" si="1043"/>
        <v>0</v>
      </c>
      <c r="BB1056" s="133">
        <f t="shared" ca="1" si="1043"/>
        <v>0</v>
      </c>
      <c r="BC1056" s="133">
        <f t="shared" ca="1" si="1043"/>
        <v>0</v>
      </c>
      <c r="BD1056" s="133">
        <f t="shared" ca="1" si="1043"/>
        <v>0</v>
      </c>
      <c r="BE1056" s="133">
        <f t="shared" ca="1" si="1043"/>
        <v>0</v>
      </c>
      <c r="BF1056" s="133">
        <f t="shared" ca="1" si="1043"/>
        <v>0</v>
      </c>
      <c r="BG1056" s="133">
        <f t="shared" ca="1" si="1043"/>
        <v>0</v>
      </c>
      <c r="BH1056" s="133">
        <f t="shared" ca="1" si="1043"/>
        <v>0</v>
      </c>
      <c r="BI1056" s="133">
        <f t="shared" ca="1" si="1043"/>
        <v>0</v>
      </c>
      <c r="BJ1056" s="133">
        <f t="shared" ca="1" si="1043"/>
        <v>0</v>
      </c>
      <c r="BK1056" s="106"/>
      <c r="BL1056" s="106"/>
      <c r="BM1056" s="106"/>
      <c r="BN1056" s="106"/>
      <c r="BO1056" s="106"/>
      <c r="BP1056" s="106"/>
      <c r="BQ1056" s="106"/>
      <c r="BR1056" s="106"/>
      <c r="BS1056" s="106"/>
      <c r="BT1056" s="106"/>
      <c r="BU1056" s="106"/>
      <c r="BV1056" s="106"/>
      <c r="BX1056" s="106"/>
      <c r="BY1056" s="12">
        <f t="shared" ca="1" si="1031"/>
        <v>0</v>
      </c>
      <c r="BZ1056" s="12">
        <f t="shared" ca="1" si="1032"/>
        <v>0</v>
      </c>
      <c r="CA1056" s="12">
        <f t="shared" ca="1" si="1033"/>
        <v>0</v>
      </c>
      <c r="CB1056" s="106"/>
      <c r="CC1056" s="106"/>
      <c r="CD1056" s="106"/>
      <c r="CE1056" s="106"/>
      <c r="CF1056" s="106"/>
      <c r="CG1056" s="106"/>
      <c r="CH1056" s="106"/>
      <c r="CI1056" s="106"/>
      <c r="CK1056" s="11"/>
      <c r="CM1056" s="11"/>
      <c r="CV1056" s="120"/>
      <c r="DF1056" s="11"/>
      <c r="EY1056" s="10" t="str">
        <f t="shared" si="1028"/>
        <v/>
      </c>
    </row>
    <row r="1057" spans="1:155" x14ac:dyDescent="0.35">
      <c r="B1057" s="69" t="str" cm="1">
        <f t="array" aca="1" ref="B1057" ca="1">HYPERLINK(CONCATENATE("#",CELL("address",$D$265)),$D$265)</f>
        <v>Loan 12</v>
      </c>
      <c r="C1057" s="211"/>
      <c r="D1057" s="49">
        <f>D$24</f>
        <v>0</v>
      </c>
      <c r="E1057" s="49" t="str">
        <f>F$24</f>
        <v/>
      </c>
      <c r="F1057" s="49"/>
      <c r="H1057" s="9"/>
      <c r="I1057" s="40" t="s">
        <v>665</v>
      </c>
      <c r="V1057" s="106"/>
      <c r="W1057" s="133">
        <f t="shared" ca="1" si="1029"/>
        <v>0</v>
      </c>
      <c r="X1057" s="133">
        <f t="shared" ca="1" si="1029"/>
        <v>0</v>
      </c>
      <c r="Y1057" s="133">
        <f t="shared" ca="1" si="1029"/>
        <v>0</v>
      </c>
      <c r="AA1057" s="133">
        <f t="shared" ref="AA1057:BJ1057" ca="1" si="1044">AA894-AA1034</f>
        <v>0</v>
      </c>
      <c r="AB1057" s="133">
        <f t="shared" ca="1" si="1044"/>
        <v>0</v>
      </c>
      <c r="AC1057" s="133">
        <f t="shared" ca="1" si="1044"/>
        <v>0</v>
      </c>
      <c r="AD1057" s="133">
        <f t="shared" ca="1" si="1044"/>
        <v>0</v>
      </c>
      <c r="AE1057" s="133">
        <f t="shared" ca="1" si="1044"/>
        <v>0</v>
      </c>
      <c r="AF1057" s="133">
        <f t="shared" ca="1" si="1044"/>
        <v>0</v>
      </c>
      <c r="AG1057" s="133">
        <f t="shared" ca="1" si="1044"/>
        <v>0</v>
      </c>
      <c r="AH1057" s="133">
        <f t="shared" ca="1" si="1044"/>
        <v>0</v>
      </c>
      <c r="AI1057" s="133">
        <f t="shared" ca="1" si="1044"/>
        <v>0</v>
      </c>
      <c r="AJ1057" s="133">
        <f t="shared" ca="1" si="1044"/>
        <v>0</v>
      </c>
      <c r="AK1057" s="133">
        <f t="shared" ca="1" si="1044"/>
        <v>0</v>
      </c>
      <c r="AL1057" s="133">
        <f t="shared" ca="1" si="1044"/>
        <v>0</v>
      </c>
      <c r="AM1057" s="133">
        <f t="shared" ca="1" si="1044"/>
        <v>0</v>
      </c>
      <c r="AN1057" s="133">
        <f t="shared" ca="1" si="1044"/>
        <v>0</v>
      </c>
      <c r="AO1057" s="133">
        <f t="shared" ca="1" si="1044"/>
        <v>0</v>
      </c>
      <c r="AP1057" s="133">
        <f t="shared" ca="1" si="1044"/>
        <v>0</v>
      </c>
      <c r="AQ1057" s="133">
        <f t="shared" ca="1" si="1044"/>
        <v>0</v>
      </c>
      <c r="AR1057" s="133">
        <f t="shared" ca="1" si="1044"/>
        <v>0</v>
      </c>
      <c r="AS1057" s="133">
        <f t="shared" ca="1" si="1044"/>
        <v>0</v>
      </c>
      <c r="AT1057" s="133">
        <f t="shared" ca="1" si="1044"/>
        <v>0</v>
      </c>
      <c r="AU1057" s="133">
        <f t="shared" ca="1" si="1044"/>
        <v>0</v>
      </c>
      <c r="AV1057" s="133">
        <f t="shared" ca="1" si="1044"/>
        <v>0</v>
      </c>
      <c r="AW1057" s="133">
        <f t="shared" ca="1" si="1044"/>
        <v>0</v>
      </c>
      <c r="AX1057" s="133">
        <f t="shared" ca="1" si="1044"/>
        <v>0</v>
      </c>
      <c r="AY1057" s="133">
        <f t="shared" ca="1" si="1044"/>
        <v>0</v>
      </c>
      <c r="AZ1057" s="133">
        <f t="shared" ca="1" si="1044"/>
        <v>0</v>
      </c>
      <c r="BA1057" s="133">
        <f t="shared" ca="1" si="1044"/>
        <v>0</v>
      </c>
      <c r="BB1057" s="133">
        <f t="shared" ca="1" si="1044"/>
        <v>0</v>
      </c>
      <c r="BC1057" s="133">
        <f t="shared" ca="1" si="1044"/>
        <v>0</v>
      </c>
      <c r="BD1057" s="133">
        <f t="shared" ca="1" si="1044"/>
        <v>0</v>
      </c>
      <c r="BE1057" s="133">
        <f t="shared" ca="1" si="1044"/>
        <v>0</v>
      </c>
      <c r="BF1057" s="133">
        <f t="shared" ca="1" si="1044"/>
        <v>0</v>
      </c>
      <c r="BG1057" s="133">
        <f t="shared" ca="1" si="1044"/>
        <v>0</v>
      </c>
      <c r="BH1057" s="133">
        <f t="shared" ca="1" si="1044"/>
        <v>0</v>
      </c>
      <c r="BI1057" s="133">
        <f t="shared" ca="1" si="1044"/>
        <v>0</v>
      </c>
      <c r="BJ1057" s="133">
        <f t="shared" ca="1" si="1044"/>
        <v>0</v>
      </c>
      <c r="BK1057" s="106"/>
      <c r="BL1057" s="106"/>
      <c r="BM1057" s="106"/>
      <c r="BN1057" s="106"/>
      <c r="BO1057" s="106"/>
      <c r="BP1057" s="106"/>
      <c r="BQ1057" s="106"/>
      <c r="BR1057" s="106"/>
      <c r="BS1057" s="106"/>
      <c r="BT1057" s="106"/>
      <c r="BU1057" s="106"/>
      <c r="BV1057" s="106"/>
      <c r="BX1057" s="106"/>
      <c r="BY1057" s="12">
        <f t="shared" ca="1" si="1031"/>
        <v>0</v>
      </c>
      <c r="BZ1057" s="12">
        <f t="shared" ca="1" si="1032"/>
        <v>0</v>
      </c>
      <c r="CA1057" s="12">
        <f t="shared" ca="1" si="1033"/>
        <v>0</v>
      </c>
      <c r="CB1057" s="106"/>
      <c r="CC1057" s="106"/>
      <c r="CD1057" s="106"/>
      <c r="CE1057" s="106"/>
      <c r="CF1057" s="106"/>
      <c r="CG1057" s="106"/>
      <c r="CH1057" s="106"/>
      <c r="CI1057" s="106"/>
      <c r="CK1057" s="11"/>
      <c r="CM1057" s="11"/>
      <c r="CV1057" s="120"/>
      <c r="DF1057" s="11"/>
      <c r="EY1057" s="10" t="str">
        <f t="shared" si="1028"/>
        <v/>
      </c>
    </row>
    <row r="1058" spans="1:155" x14ac:dyDescent="0.35">
      <c r="B1058" s="69" t="str" cm="1">
        <f t="array" aca="1" ref="B1058" ca="1">HYPERLINK(CONCATENATE("#",CELL("address",$D$284)),$D$284)</f>
        <v>Loan 13</v>
      </c>
      <c r="C1058" s="211"/>
      <c r="D1058" s="49">
        <f>D$25</f>
        <v>0</v>
      </c>
      <c r="E1058" s="49" t="str">
        <f>F$25</f>
        <v/>
      </c>
      <c r="F1058" s="49"/>
      <c r="H1058" s="9"/>
      <c r="I1058" s="40" t="s">
        <v>665</v>
      </c>
      <c r="V1058" s="106"/>
      <c r="W1058" s="133">
        <f t="shared" ca="1" si="1029"/>
        <v>0</v>
      </c>
      <c r="X1058" s="133">
        <f t="shared" ca="1" si="1029"/>
        <v>0</v>
      </c>
      <c r="Y1058" s="133">
        <f t="shared" ca="1" si="1029"/>
        <v>0</v>
      </c>
      <c r="AA1058" s="133">
        <f t="shared" ref="AA1058:BJ1058" ca="1" si="1045">AA895-AA1035</f>
        <v>0</v>
      </c>
      <c r="AB1058" s="133">
        <f t="shared" ca="1" si="1045"/>
        <v>0</v>
      </c>
      <c r="AC1058" s="133">
        <f t="shared" ca="1" si="1045"/>
        <v>0</v>
      </c>
      <c r="AD1058" s="133">
        <f t="shared" ca="1" si="1045"/>
        <v>0</v>
      </c>
      <c r="AE1058" s="133">
        <f t="shared" ca="1" si="1045"/>
        <v>0</v>
      </c>
      <c r="AF1058" s="133">
        <f t="shared" ca="1" si="1045"/>
        <v>0</v>
      </c>
      <c r="AG1058" s="133">
        <f t="shared" ca="1" si="1045"/>
        <v>0</v>
      </c>
      <c r="AH1058" s="133">
        <f t="shared" ca="1" si="1045"/>
        <v>0</v>
      </c>
      <c r="AI1058" s="133">
        <f t="shared" ca="1" si="1045"/>
        <v>0</v>
      </c>
      <c r="AJ1058" s="133">
        <f t="shared" ca="1" si="1045"/>
        <v>0</v>
      </c>
      <c r="AK1058" s="133">
        <f t="shared" ca="1" si="1045"/>
        <v>0</v>
      </c>
      <c r="AL1058" s="133">
        <f t="shared" ca="1" si="1045"/>
        <v>0</v>
      </c>
      <c r="AM1058" s="133">
        <f t="shared" ca="1" si="1045"/>
        <v>0</v>
      </c>
      <c r="AN1058" s="133">
        <f t="shared" ca="1" si="1045"/>
        <v>0</v>
      </c>
      <c r="AO1058" s="133">
        <f t="shared" ca="1" si="1045"/>
        <v>0</v>
      </c>
      <c r="AP1058" s="133">
        <f t="shared" ca="1" si="1045"/>
        <v>0</v>
      </c>
      <c r="AQ1058" s="133">
        <f t="shared" ca="1" si="1045"/>
        <v>0</v>
      </c>
      <c r="AR1058" s="133">
        <f t="shared" ca="1" si="1045"/>
        <v>0</v>
      </c>
      <c r="AS1058" s="133">
        <f t="shared" ca="1" si="1045"/>
        <v>0</v>
      </c>
      <c r="AT1058" s="133">
        <f t="shared" ca="1" si="1045"/>
        <v>0</v>
      </c>
      <c r="AU1058" s="133">
        <f t="shared" ca="1" si="1045"/>
        <v>0</v>
      </c>
      <c r="AV1058" s="133">
        <f t="shared" ca="1" si="1045"/>
        <v>0</v>
      </c>
      <c r="AW1058" s="133">
        <f t="shared" ca="1" si="1045"/>
        <v>0</v>
      </c>
      <c r="AX1058" s="133">
        <f t="shared" ca="1" si="1045"/>
        <v>0</v>
      </c>
      <c r="AY1058" s="133">
        <f t="shared" ca="1" si="1045"/>
        <v>0</v>
      </c>
      <c r="AZ1058" s="133">
        <f t="shared" ca="1" si="1045"/>
        <v>0</v>
      </c>
      <c r="BA1058" s="133">
        <f t="shared" ca="1" si="1045"/>
        <v>0</v>
      </c>
      <c r="BB1058" s="133">
        <f t="shared" ca="1" si="1045"/>
        <v>0</v>
      </c>
      <c r="BC1058" s="133">
        <f t="shared" ca="1" si="1045"/>
        <v>0</v>
      </c>
      <c r="BD1058" s="133">
        <f t="shared" ca="1" si="1045"/>
        <v>0</v>
      </c>
      <c r="BE1058" s="133">
        <f t="shared" ca="1" si="1045"/>
        <v>0</v>
      </c>
      <c r="BF1058" s="133">
        <f t="shared" ca="1" si="1045"/>
        <v>0</v>
      </c>
      <c r="BG1058" s="133">
        <f t="shared" ca="1" si="1045"/>
        <v>0</v>
      </c>
      <c r="BH1058" s="133">
        <f t="shared" ca="1" si="1045"/>
        <v>0</v>
      </c>
      <c r="BI1058" s="133">
        <f t="shared" ca="1" si="1045"/>
        <v>0</v>
      </c>
      <c r="BJ1058" s="133">
        <f t="shared" ca="1" si="1045"/>
        <v>0</v>
      </c>
      <c r="BK1058" s="106"/>
      <c r="BL1058" s="106"/>
      <c r="BM1058" s="106"/>
      <c r="BN1058" s="106"/>
      <c r="BO1058" s="106"/>
      <c r="BP1058" s="106"/>
      <c r="BQ1058" s="106"/>
      <c r="BR1058" s="106"/>
      <c r="BS1058" s="106"/>
      <c r="BT1058" s="106"/>
      <c r="BU1058" s="106"/>
      <c r="BV1058" s="106"/>
      <c r="BX1058" s="106"/>
      <c r="BY1058" s="12">
        <f t="shared" ca="1" si="1031"/>
        <v>0</v>
      </c>
      <c r="BZ1058" s="12">
        <f t="shared" ca="1" si="1032"/>
        <v>0</v>
      </c>
      <c r="CA1058" s="12">
        <f t="shared" ca="1" si="1033"/>
        <v>0</v>
      </c>
      <c r="CB1058" s="106"/>
      <c r="CC1058" s="106"/>
      <c r="CD1058" s="106"/>
      <c r="CE1058" s="106"/>
      <c r="CF1058" s="106"/>
      <c r="CG1058" s="106"/>
      <c r="CH1058" s="106"/>
      <c r="CI1058" s="106"/>
      <c r="CK1058" s="11"/>
      <c r="CM1058" s="11"/>
      <c r="CV1058" s="120"/>
      <c r="DF1058" s="11"/>
      <c r="EY1058" s="10" t="str">
        <f t="shared" si="1028"/>
        <v/>
      </c>
    </row>
    <row r="1059" spans="1:155" s="5" customFormat="1" x14ac:dyDescent="0.35">
      <c r="A1059"/>
      <c r="B1059" s="69" t="str" cm="1">
        <f t="array" aca="1" ref="B1059" ca="1">HYPERLINK(CONCATENATE("#",CELL("address",$D$303)),$D$303)</f>
        <v>Loan 14</v>
      </c>
      <c r="C1059" s="211"/>
      <c r="D1059" s="49">
        <f>D$26</f>
        <v>0</v>
      </c>
      <c r="E1059" s="49" t="str">
        <f>F$26</f>
        <v/>
      </c>
      <c r="F1059" s="49"/>
      <c r="G1059"/>
      <c r="H1059" s="9"/>
      <c r="I1059" s="40" t="s">
        <v>665</v>
      </c>
      <c r="J1059"/>
      <c r="K1059"/>
      <c r="L1059"/>
      <c r="M1059"/>
      <c r="N1059"/>
      <c r="O1059"/>
      <c r="P1059"/>
      <c r="Q1059"/>
      <c r="R1059"/>
      <c r="S1059"/>
      <c r="T1059"/>
      <c r="U1059"/>
      <c r="V1059" s="106"/>
      <c r="W1059" s="133">
        <f t="shared" ca="1" si="1029"/>
        <v>0</v>
      </c>
      <c r="X1059" s="133">
        <f t="shared" ca="1" si="1029"/>
        <v>0</v>
      </c>
      <c r="Y1059" s="133">
        <f t="shared" ca="1" si="1029"/>
        <v>0</v>
      </c>
      <c r="Z1059"/>
      <c r="AA1059" s="133">
        <f t="shared" ref="AA1059:BJ1059" ca="1" si="1046">AA896-AA1036</f>
        <v>0</v>
      </c>
      <c r="AB1059" s="133">
        <f t="shared" ca="1" si="1046"/>
        <v>0</v>
      </c>
      <c r="AC1059" s="133">
        <f t="shared" ca="1" si="1046"/>
        <v>0</v>
      </c>
      <c r="AD1059" s="133">
        <f t="shared" ca="1" si="1046"/>
        <v>0</v>
      </c>
      <c r="AE1059" s="133">
        <f t="shared" ca="1" si="1046"/>
        <v>0</v>
      </c>
      <c r="AF1059" s="133">
        <f t="shared" ca="1" si="1046"/>
        <v>0</v>
      </c>
      <c r="AG1059" s="133">
        <f t="shared" ca="1" si="1046"/>
        <v>0</v>
      </c>
      <c r="AH1059" s="133">
        <f t="shared" ca="1" si="1046"/>
        <v>0</v>
      </c>
      <c r="AI1059" s="133">
        <f t="shared" ca="1" si="1046"/>
        <v>0</v>
      </c>
      <c r="AJ1059" s="133">
        <f t="shared" ca="1" si="1046"/>
        <v>0</v>
      </c>
      <c r="AK1059" s="133">
        <f t="shared" ca="1" si="1046"/>
        <v>0</v>
      </c>
      <c r="AL1059" s="133">
        <f t="shared" ca="1" si="1046"/>
        <v>0</v>
      </c>
      <c r="AM1059" s="133">
        <f t="shared" ca="1" si="1046"/>
        <v>0</v>
      </c>
      <c r="AN1059" s="133">
        <f t="shared" ca="1" si="1046"/>
        <v>0</v>
      </c>
      <c r="AO1059" s="133">
        <f t="shared" ca="1" si="1046"/>
        <v>0</v>
      </c>
      <c r="AP1059" s="133">
        <f t="shared" ca="1" si="1046"/>
        <v>0</v>
      </c>
      <c r="AQ1059" s="133">
        <f t="shared" ca="1" si="1046"/>
        <v>0</v>
      </c>
      <c r="AR1059" s="133">
        <f t="shared" ca="1" si="1046"/>
        <v>0</v>
      </c>
      <c r="AS1059" s="133">
        <f t="shared" ca="1" si="1046"/>
        <v>0</v>
      </c>
      <c r="AT1059" s="133">
        <f t="shared" ca="1" si="1046"/>
        <v>0</v>
      </c>
      <c r="AU1059" s="133">
        <f t="shared" ca="1" si="1046"/>
        <v>0</v>
      </c>
      <c r="AV1059" s="133">
        <f t="shared" ca="1" si="1046"/>
        <v>0</v>
      </c>
      <c r="AW1059" s="133">
        <f t="shared" ca="1" si="1046"/>
        <v>0</v>
      </c>
      <c r="AX1059" s="133">
        <f t="shared" ca="1" si="1046"/>
        <v>0</v>
      </c>
      <c r="AY1059" s="133">
        <f t="shared" ca="1" si="1046"/>
        <v>0</v>
      </c>
      <c r="AZ1059" s="133">
        <f t="shared" ca="1" si="1046"/>
        <v>0</v>
      </c>
      <c r="BA1059" s="133">
        <f t="shared" ca="1" si="1046"/>
        <v>0</v>
      </c>
      <c r="BB1059" s="133">
        <f t="shared" ca="1" si="1046"/>
        <v>0</v>
      </c>
      <c r="BC1059" s="133">
        <f t="shared" ca="1" si="1046"/>
        <v>0</v>
      </c>
      <c r="BD1059" s="133">
        <f t="shared" ca="1" si="1046"/>
        <v>0</v>
      </c>
      <c r="BE1059" s="133">
        <f t="shared" ca="1" si="1046"/>
        <v>0</v>
      </c>
      <c r="BF1059" s="133">
        <f t="shared" ca="1" si="1046"/>
        <v>0</v>
      </c>
      <c r="BG1059" s="133">
        <f t="shared" ca="1" si="1046"/>
        <v>0</v>
      </c>
      <c r="BH1059" s="133">
        <f t="shared" ca="1" si="1046"/>
        <v>0</v>
      </c>
      <c r="BI1059" s="133">
        <f t="shared" ca="1" si="1046"/>
        <v>0</v>
      </c>
      <c r="BJ1059" s="133">
        <f t="shared" ca="1" si="1046"/>
        <v>0</v>
      </c>
      <c r="BK1059" s="106"/>
      <c r="BL1059" s="106"/>
      <c r="BM1059" s="106"/>
      <c r="BN1059" s="106"/>
      <c r="BO1059" s="106"/>
      <c r="BP1059" s="106"/>
      <c r="BQ1059" s="106"/>
      <c r="BR1059" s="106"/>
      <c r="BS1059" s="106"/>
      <c r="BT1059" s="106"/>
      <c r="BU1059" s="106"/>
      <c r="BV1059" s="106"/>
      <c r="BW1059"/>
      <c r="BX1059" s="106"/>
      <c r="BY1059" s="12">
        <f t="shared" ca="1" si="1031"/>
        <v>0</v>
      </c>
      <c r="BZ1059" s="12">
        <f t="shared" ca="1" si="1032"/>
        <v>0</v>
      </c>
      <c r="CA1059" s="12">
        <f t="shared" ca="1" si="1033"/>
        <v>0</v>
      </c>
      <c r="CB1059" s="106"/>
      <c r="CC1059" s="106"/>
      <c r="CD1059" s="106"/>
      <c r="CE1059" s="106"/>
      <c r="CF1059" s="106"/>
      <c r="CG1059" s="106"/>
      <c r="CH1059" s="106"/>
      <c r="CI1059" s="106"/>
      <c r="CJ1059"/>
      <c r="CK1059" s="11"/>
      <c r="CL1059"/>
      <c r="CM1059" s="11"/>
      <c r="CN1059"/>
      <c r="CO1059"/>
      <c r="CP1059"/>
      <c r="CQ1059"/>
      <c r="CR1059"/>
      <c r="CS1059"/>
      <c r="CT1059"/>
      <c r="CU1059"/>
      <c r="CV1059" s="120"/>
      <c r="CW1059"/>
      <c r="CX1059"/>
      <c r="CY1059"/>
      <c r="CZ1059"/>
      <c r="DA1059"/>
      <c r="DB1059"/>
      <c r="DC1059"/>
      <c r="DD1059"/>
      <c r="DE1059"/>
      <c r="DF1059" s="11"/>
      <c r="EY1059" s="10" t="str">
        <f t="shared" si="1028"/>
        <v/>
      </c>
    </row>
    <row r="1060" spans="1:155" x14ac:dyDescent="0.35">
      <c r="B1060" s="69" t="str" cm="1">
        <f t="array" aca="1" ref="B1060" ca="1">HYPERLINK(CONCATENATE("#",CELL("address",$D$322)),$D$322)</f>
        <v>Loan 15</v>
      </c>
      <c r="C1060" s="211"/>
      <c r="D1060" s="49">
        <f>D$27</f>
        <v>0</v>
      </c>
      <c r="E1060" s="49" t="str">
        <f>F$27</f>
        <v/>
      </c>
      <c r="F1060" s="49"/>
      <c r="H1060" s="9"/>
      <c r="I1060" s="40" t="s">
        <v>665</v>
      </c>
      <c r="V1060" s="106"/>
      <c r="W1060" s="133">
        <f t="shared" ca="1" si="1029"/>
        <v>0</v>
      </c>
      <c r="X1060" s="133">
        <f t="shared" ca="1" si="1029"/>
        <v>0</v>
      </c>
      <c r="Y1060" s="133">
        <f t="shared" ca="1" si="1029"/>
        <v>0</v>
      </c>
      <c r="AA1060" s="133">
        <f t="shared" ref="AA1060:BJ1060" ca="1" si="1047">AA897-AA1037</f>
        <v>0</v>
      </c>
      <c r="AB1060" s="133">
        <f t="shared" ca="1" si="1047"/>
        <v>0</v>
      </c>
      <c r="AC1060" s="133">
        <f t="shared" ca="1" si="1047"/>
        <v>0</v>
      </c>
      <c r="AD1060" s="133">
        <f t="shared" ca="1" si="1047"/>
        <v>0</v>
      </c>
      <c r="AE1060" s="133">
        <f t="shared" ca="1" si="1047"/>
        <v>0</v>
      </c>
      <c r="AF1060" s="133">
        <f t="shared" ca="1" si="1047"/>
        <v>0</v>
      </c>
      <c r="AG1060" s="133">
        <f t="shared" ca="1" si="1047"/>
        <v>0</v>
      </c>
      <c r="AH1060" s="133">
        <f t="shared" ca="1" si="1047"/>
        <v>0</v>
      </c>
      <c r="AI1060" s="133">
        <f t="shared" ca="1" si="1047"/>
        <v>0</v>
      </c>
      <c r="AJ1060" s="133">
        <f t="shared" ca="1" si="1047"/>
        <v>0</v>
      </c>
      <c r="AK1060" s="133">
        <f t="shared" ca="1" si="1047"/>
        <v>0</v>
      </c>
      <c r="AL1060" s="133">
        <f t="shared" ca="1" si="1047"/>
        <v>0</v>
      </c>
      <c r="AM1060" s="133">
        <f t="shared" ca="1" si="1047"/>
        <v>0</v>
      </c>
      <c r="AN1060" s="133">
        <f t="shared" ca="1" si="1047"/>
        <v>0</v>
      </c>
      <c r="AO1060" s="133">
        <f t="shared" ca="1" si="1047"/>
        <v>0</v>
      </c>
      <c r="AP1060" s="133">
        <f t="shared" ca="1" si="1047"/>
        <v>0</v>
      </c>
      <c r="AQ1060" s="133">
        <f t="shared" ca="1" si="1047"/>
        <v>0</v>
      </c>
      <c r="AR1060" s="133">
        <f t="shared" ca="1" si="1047"/>
        <v>0</v>
      </c>
      <c r="AS1060" s="133">
        <f t="shared" ca="1" si="1047"/>
        <v>0</v>
      </c>
      <c r="AT1060" s="133">
        <f t="shared" ca="1" si="1047"/>
        <v>0</v>
      </c>
      <c r="AU1060" s="133">
        <f t="shared" ca="1" si="1047"/>
        <v>0</v>
      </c>
      <c r="AV1060" s="133">
        <f t="shared" ca="1" si="1047"/>
        <v>0</v>
      </c>
      <c r="AW1060" s="133">
        <f t="shared" ca="1" si="1047"/>
        <v>0</v>
      </c>
      <c r="AX1060" s="133">
        <f t="shared" ca="1" si="1047"/>
        <v>0</v>
      </c>
      <c r="AY1060" s="133">
        <f t="shared" ca="1" si="1047"/>
        <v>0</v>
      </c>
      <c r="AZ1060" s="133">
        <f t="shared" ca="1" si="1047"/>
        <v>0</v>
      </c>
      <c r="BA1060" s="133">
        <f t="shared" ca="1" si="1047"/>
        <v>0</v>
      </c>
      <c r="BB1060" s="133">
        <f t="shared" ca="1" si="1047"/>
        <v>0</v>
      </c>
      <c r="BC1060" s="133">
        <f t="shared" ca="1" si="1047"/>
        <v>0</v>
      </c>
      <c r="BD1060" s="133">
        <f t="shared" ca="1" si="1047"/>
        <v>0</v>
      </c>
      <c r="BE1060" s="133">
        <f t="shared" ca="1" si="1047"/>
        <v>0</v>
      </c>
      <c r="BF1060" s="133">
        <f t="shared" ca="1" si="1047"/>
        <v>0</v>
      </c>
      <c r="BG1060" s="133">
        <f t="shared" ca="1" si="1047"/>
        <v>0</v>
      </c>
      <c r="BH1060" s="133">
        <f t="shared" ca="1" si="1047"/>
        <v>0</v>
      </c>
      <c r="BI1060" s="133">
        <f t="shared" ca="1" si="1047"/>
        <v>0</v>
      </c>
      <c r="BJ1060" s="133">
        <f t="shared" ca="1" si="1047"/>
        <v>0</v>
      </c>
      <c r="BK1060" s="106"/>
      <c r="BL1060" s="106"/>
      <c r="BM1060" s="106"/>
      <c r="BN1060" s="106"/>
      <c r="BO1060" s="106"/>
      <c r="BP1060" s="106"/>
      <c r="BQ1060" s="106"/>
      <c r="BR1060" s="106"/>
      <c r="BS1060" s="106"/>
      <c r="BT1060" s="106"/>
      <c r="BU1060" s="106"/>
      <c r="BV1060" s="106"/>
      <c r="BX1060" s="106"/>
      <c r="BY1060" s="12">
        <f t="shared" ca="1" si="1031"/>
        <v>0</v>
      </c>
      <c r="BZ1060" s="12">
        <f t="shared" ca="1" si="1032"/>
        <v>0</v>
      </c>
      <c r="CA1060" s="12">
        <f t="shared" ca="1" si="1033"/>
        <v>0</v>
      </c>
      <c r="CB1060" s="106"/>
      <c r="CC1060" s="106"/>
      <c r="CD1060" s="106"/>
      <c r="CE1060" s="106"/>
      <c r="CF1060" s="106"/>
      <c r="CG1060" s="106"/>
      <c r="CH1060" s="106"/>
      <c r="CI1060" s="106"/>
      <c r="CK1060" s="11"/>
      <c r="CM1060" s="11"/>
      <c r="CV1060" s="120"/>
      <c r="DF1060" s="11"/>
      <c r="EY1060" s="10" t="str">
        <f t="shared" si="1028"/>
        <v/>
      </c>
    </row>
    <row r="1061" spans="1:155" x14ac:dyDescent="0.35">
      <c r="B1061" s="69" t="str" cm="1">
        <f t="array" aca="1" ref="B1061" ca="1">HYPERLINK(CONCATENATE("#",CELL("address",$D$341)),$D$341)</f>
        <v>Loan 16</v>
      </c>
      <c r="C1061" s="211"/>
      <c r="D1061" s="49">
        <f>D$28</f>
        <v>0</v>
      </c>
      <c r="E1061" s="49" t="str">
        <f>F$28</f>
        <v/>
      </c>
      <c r="F1061" s="49"/>
      <c r="H1061" s="9"/>
      <c r="I1061" s="40" t="s">
        <v>665</v>
      </c>
      <c r="V1061" s="106"/>
      <c r="W1061" s="133">
        <f t="shared" ca="1" si="1029"/>
        <v>0</v>
      </c>
      <c r="X1061" s="133">
        <f t="shared" ca="1" si="1029"/>
        <v>0</v>
      </c>
      <c r="Y1061" s="133">
        <f t="shared" ca="1" si="1029"/>
        <v>0</v>
      </c>
      <c r="AA1061" s="133">
        <f t="shared" ref="AA1061:BJ1061" ca="1" si="1048">AA898-AA1038</f>
        <v>0</v>
      </c>
      <c r="AB1061" s="133">
        <f t="shared" ca="1" si="1048"/>
        <v>0</v>
      </c>
      <c r="AC1061" s="133">
        <f t="shared" ca="1" si="1048"/>
        <v>0</v>
      </c>
      <c r="AD1061" s="133">
        <f t="shared" ca="1" si="1048"/>
        <v>0</v>
      </c>
      <c r="AE1061" s="133">
        <f t="shared" ca="1" si="1048"/>
        <v>0</v>
      </c>
      <c r="AF1061" s="133">
        <f t="shared" ca="1" si="1048"/>
        <v>0</v>
      </c>
      <c r="AG1061" s="133">
        <f t="shared" ca="1" si="1048"/>
        <v>0</v>
      </c>
      <c r="AH1061" s="133">
        <f t="shared" ca="1" si="1048"/>
        <v>0</v>
      </c>
      <c r="AI1061" s="133">
        <f t="shared" ca="1" si="1048"/>
        <v>0</v>
      </c>
      <c r="AJ1061" s="133">
        <f t="shared" ca="1" si="1048"/>
        <v>0</v>
      </c>
      <c r="AK1061" s="133">
        <f t="shared" ca="1" si="1048"/>
        <v>0</v>
      </c>
      <c r="AL1061" s="133">
        <f t="shared" ca="1" si="1048"/>
        <v>0</v>
      </c>
      <c r="AM1061" s="133">
        <f t="shared" ca="1" si="1048"/>
        <v>0</v>
      </c>
      <c r="AN1061" s="133">
        <f t="shared" ca="1" si="1048"/>
        <v>0</v>
      </c>
      <c r="AO1061" s="133">
        <f t="shared" ca="1" si="1048"/>
        <v>0</v>
      </c>
      <c r="AP1061" s="133">
        <f t="shared" ca="1" si="1048"/>
        <v>0</v>
      </c>
      <c r="AQ1061" s="133">
        <f t="shared" ca="1" si="1048"/>
        <v>0</v>
      </c>
      <c r="AR1061" s="133">
        <f t="shared" ca="1" si="1048"/>
        <v>0</v>
      </c>
      <c r="AS1061" s="133">
        <f t="shared" ca="1" si="1048"/>
        <v>0</v>
      </c>
      <c r="AT1061" s="133">
        <f t="shared" ca="1" si="1048"/>
        <v>0</v>
      </c>
      <c r="AU1061" s="133">
        <f t="shared" ca="1" si="1048"/>
        <v>0</v>
      </c>
      <c r="AV1061" s="133">
        <f t="shared" ca="1" si="1048"/>
        <v>0</v>
      </c>
      <c r="AW1061" s="133">
        <f t="shared" ca="1" si="1048"/>
        <v>0</v>
      </c>
      <c r="AX1061" s="133">
        <f t="shared" ca="1" si="1048"/>
        <v>0</v>
      </c>
      <c r="AY1061" s="133">
        <f t="shared" ca="1" si="1048"/>
        <v>0</v>
      </c>
      <c r="AZ1061" s="133">
        <f t="shared" ca="1" si="1048"/>
        <v>0</v>
      </c>
      <c r="BA1061" s="133">
        <f t="shared" ca="1" si="1048"/>
        <v>0</v>
      </c>
      <c r="BB1061" s="133">
        <f t="shared" ca="1" si="1048"/>
        <v>0</v>
      </c>
      <c r="BC1061" s="133">
        <f t="shared" ca="1" si="1048"/>
        <v>0</v>
      </c>
      <c r="BD1061" s="133">
        <f t="shared" ca="1" si="1048"/>
        <v>0</v>
      </c>
      <c r="BE1061" s="133">
        <f t="shared" ca="1" si="1048"/>
        <v>0</v>
      </c>
      <c r="BF1061" s="133">
        <f t="shared" ca="1" si="1048"/>
        <v>0</v>
      </c>
      <c r="BG1061" s="133">
        <f t="shared" ca="1" si="1048"/>
        <v>0</v>
      </c>
      <c r="BH1061" s="133">
        <f t="shared" ca="1" si="1048"/>
        <v>0</v>
      </c>
      <c r="BI1061" s="133">
        <f t="shared" ca="1" si="1048"/>
        <v>0</v>
      </c>
      <c r="BJ1061" s="133">
        <f t="shared" ca="1" si="1048"/>
        <v>0</v>
      </c>
      <c r="BK1061" s="106"/>
      <c r="BL1061" s="106"/>
      <c r="BM1061" s="106"/>
      <c r="BN1061" s="106"/>
      <c r="BO1061" s="106"/>
      <c r="BP1061" s="106"/>
      <c r="BQ1061" s="106"/>
      <c r="BR1061" s="106"/>
      <c r="BS1061" s="106"/>
      <c r="BT1061" s="106"/>
      <c r="BU1061" s="106"/>
      <c r="BV1061" s="106"/>
      <c r="BX1061" s="106"/>
      <c r="BY1061" s="12">
        <f t="shared" ca="1" si="1031"/>
        <v>0</v>
      </c>
      <c r="BZ1061" s="12">
        <f t="shared" ca="1" si="1032"/>
        <v>0</v>
      </c>
      <c r="CA1061" s="12">
        <f t="shared" ca="1" si="1033"/>
        <v>0</v>
      </c>
      <c r="CB1061" s="106"/>
      <c r="CC1061" s="106"/>
      <c r="CD1061" s="106"/>
      <c r="CE1061" s="106"/>
      <c r="CF1061" s="106"/>
      <c r="CG1061" s="106"/>
      <c r="CH1061" s="106"/>
      <c r="CI1061" s="106"/>
      <c r="CK1061" s="11"/>
      <c r="CM1061" s="11"/>
      <c r="CV1061" s="120"/>
      <c r="DF1061" s="11"/>
      <c r="EY1061" s="10" t="str">
        <f t="shared" si="1028"/>
        <v/>
      </c>
    </row>
    <row r="1062" spans="1:155" x14ac:dyDescent="0.35">
      <c r="B1062" s="69" t="str" cm="1">
        <f t="array" aca="1" ref="B1062" ca="1">HYPERLINK(CONCATENATE("#",CELL("address",$D$360)),$D$360)</f>
        <v>Loan 17</v>
      </c>
      <c r="C1062" s="211"/>
      <c r="D1062" s="49">
        <f>D$29</f>
        <v>0</v>
      </c>
      <c r="E1062" s="49" t="str">
        <f>F$29</f>
        <v/>
      </c>
      <c r="F1062" s="49"/>
      <c r="H1062" s="9"/>
      <c r="I1062" s="40" t="s">
        <v>665</v>
      </c>
      <c r="V1062" s="106"/>
      <c r="W1062" s="133">
        <f t="shared" ca="1" si="1029"/>
        <v>0</v>
      </c>
      <c r="X1062" s="133">
        <f t="shared" ca="1" si="1029"/>
        <v>0</v>
      </c>
      <c r="Y1062" s="133">
        <f t="shared" ca="1" si="1029"/>
        <v>0</v>
      </c>
      <c r="AA1062" s="133">
        <f t="shared" ref="AA1062:BJ1062" ca="1" si="1049">AA899-AA1039</f>
        <v>0</v>
      </c>
      <c r="AB1062" s="133">
        <f t="shared" ca="1" si="1049"/>
        <v>0</v>
      </c>
      <c r="AC1062" s="133">
        <f t="shared" ca="1" si="1049"/>
        <v>0</v>
      </c>
      <c r="AD1062" s="133">
        <f t="shared" ca="1" si="1049"/>
        <v>0</v>
      </c>
      <c r="AE1062" s="133">
        <f t="shared" ca="1" si="1049"/>
        <v>0</v>
      </c>
      <c r="AF1062" s="133">
        <f t="shared" ca="1" si="1049"/>
        <v>0</v>
      </c>
      <c r="AG1062" s="133">
        <f t="shared" ca="1" si="1049"/>
        <v>0</v>
      </c>
      <c r="AH1062" s="133">
        <f t="shared" ca="1" si="1049"/>
        <v>0</v>
      </c>
      <c r="AI1062" s="133">
        <f t="shared" ca="1" si="1049"/>
        <v>0</v>
      </c>
      <c r="AJ1062" s="133">
        <f t="shared" ca="1" si="1049"/>
        <v>0</v>
      </c>
      <c r="AK1062" s="133">
        <f t="shared" ca="1" si="1049"/>
        <v>0</v>
      </c>
      <c r="AL1062" s="133">
        <f t="shared" ca="1" si="1049"/>
        <v>0</v>
      </c>
      <c r="AM1062" s="133">
        <f t="shared" ca="1" si="1049"/>
        <v>0</v>
      </c>
      <c r="AN1062" s="133">
        <f t="shared" ca="1" si="1049"/>
        <v>0</v>
      </c>
      <c r="AO1062" s="133">
        <f t="shared" ca="1" si="1049"/>
        <v>0</v>
      </c>
      <c r="AP1062" s="133">
        <f t="shared" ca="1" si="1049"/>
        <v>0</v>
      </c>
      <c r="AQ1062" s="133">
        <f t="shared" ca="1" si="1049"/>
        <v>0</v>
      </c>
      <c r="AR1062" s="133">
        <f t="shared" ca="1" si="1049"/>
        <v>0</v>
      </c>
      <c r="AS1062" s="133">
        <f t="shared" ca="1" si="1049"/>
        <v>0</v>
      </c>
      <c r="AT1062" s="133">
        <f t="shared" ca="1" si="1049"/>
        <v>0</v>
      </c>
      <c r="AU1062" s="133">
        <f t="shared" ca="1" si="1049"/>
        <v>0</v>
      </c>
      <c r="AV1062" s="133">
        <f t="shared" ca="1" si="1049"/>
        <v>0</v>
      </c>
      <c r="AW1062" s="133">
        <f t="shared" ca="1" si="1049"/>
        <v>0</v>
      </c>
      <c r="AX1062" s="133">
        <f t="shared" ca="1" si="1049"/>
        <v>0</v>
      </c>
      <c r="AY1062" s="133">
        <f t="shared" ca="1" si="1049"/>
        <v>0</v>
      </c>
      <c r="AZ1062" s="133">
        <f t="shared" ca="1" si="1049"/>
        <v>0</v>
      </c>
      <c r="BA1062" s="133">
        <f t="shared" ca="1" si="1049"/>
        <v>0</v>
      </c>
      <c r="BB1062" s="133">
        <f t="shared" ca="1" si="1049"/>
        <v>0</v>
      </c>
      <c r="BC1062" s="133">
        <f t="shared" ca="1" si="1049"/>
        <v>0</v>
      </c>
      <c r="BD1062" s="133">
        <f t="shared" ca="1" si="1049"/>
        <v>0</v>
      </c>
      <c r="BE1062" s="133">
        <f t="shared" ca="1" si="1049"/>
        <v>0</v>
      </c>
      <c r="BF1062" s="133">
        <f t="shared" ca="1" si="1049"/>
        <v>0</v>
      </c>
      <c r="BG1062" s="133">
        <f t="shared" ca="1" si="1049"/>
        <v>0</v>
      </c>
      <c r="BH1062" s="133">
        <f t="shared" ca="1" si="1049"/>
        <v>0</v>
      </c>
      <c r="BI1062" s="133">
        <f t="shared" ca="1" si="1049"/>
        <v>0</v>
      </c>
      <c r="BJ1062" s="133">
        <f t="shared" ca="1" si="1049"/>
        <v>0</v>
      </c>
      <c r="BK1062" s="106"/>
      <c r="BL1062" s="106"/>
      <c r="BM1062" s="106"/>
      <c r="BN1062" s="106"/>
      <c r="BO1062" s="106"/>
      <c r="BP1062" s="106"/>
      <c r="BQ1062" s="106"/>
      <c r="BR1062" s="106"/>
      <c r="BS1062" s="106"/>
      <c r="BT1062" s="106"/>
      <c r="BU1062" s="106"/>
      <c r="BV1062" s="106"/>
      <c r="BX1062" s="106"/>
      <c r="BY1062" s="12">
        <f t="shared" ca="1" si="1031"/>
        <v>0</v>
      </c>
      <c r="BZ1062" s="12">
        <f t="shared" ca="1" si="1032"/>
        <v>0</v>
      </c>
      <c r="CA1062" s="12">
        <f t="shared" ca="1" si="1033"/>
        <v>0</v>
      </c>
      <c r="CB1062" s="106"/>
      <c r="CC1062" s="106"/>
      <c r="CD1062" s="106"/>
      <c r="CE1062" s="106"/>
      <c r="CF1062" s="106"/>
      <c r="CG1062" s="106"/>
      <c r="CH1062" s="106"/>
      <c r="CI1062" s="106"/>
      <c r="CK1062" s="11"/>
      <c r="CM1062" s="11"/>
      <c r="CV1062" s="120"/>
      <c r="DF1062" s="11"/>
      <c r="EY1062" s="10" t="str">
        <f t="shared" si="1028"/>
        <v/>
      </c>
    </row>
    <row r="1063" spans="1:155" x14ac:dyDescent="0.35">
      <c r="B1063" s="69" t="str" cm="1">
        <f t="array" aca="1" ref="B1063" ca="1">HYPERLINK(CONCATENATE("#",CELL("address",$D$379)),$D$379)</f>
        <v>Loan 18</v>
      </c>
      <c r="C1063" s="211"/>
      <c r="D1063" s="49">
        <f>D$30</f>
        <v>0</v>
      </c>
      <c r="E1063" s="49" t="str">
        <f>F$30</f>
        <v/>
      </c>
      <c r="F1063" s="49"/>
      <c r="H1063" s="9"/>
      <c r="I1063" s="40" t="s">
        <v>665</v>
      </c>
      <c r="V1063" s="106"/>
      <c r="W1063" s="133">
        <f t="shared" ca="1" si="1029"/>
        <v>0</v>
      </c>
      <c r="X1063" s="133">
        <f t="shared" ca="1" si="1029"/>
        <v>0</v>
      </c>
      <c r="Y1063" s="133">
        <f t="shared" ca="1" si="1029"/>
        <v>0</v>
      </c>
      <c r="AA1063" s="133">
        <f t="shared" ref="AA1063:BJ1063" ca="1" si="1050">AA900-AA1040</f>
        <v>0</v>
      </c>
      <c r="AB1063" s="133">
        <f t="shared" ca="1" si="1050"/>
        <v>0</v>
      </c>
      <c r="AC1063" s="133">
        <f t="shared" ca="1" si="1050"/>
        <v>0</v>
      </c>
      <c r="AD1063" s="133">
        <f t="shared" ca="1" si="1050"/>
        <v>0</v>
      </c>
      <c r="AE1063" s="133">
        <f t="shared" ca="1" si="1050"/>
        <v>0</v>
      </c>
      <c r="AF1063" s="133">
        <f t="shared" ca="1" si="1050"/>
        <v>0</v>
      </c>
      <c r="AG1063" s="133">
        <f t="shared" ca="1" si="1050"/>
        <v>0</v>
      </c>
      <c r="AH1063" s="133">
        <f t="shared" ca="1" si="1050"/>
        <v>0</v>
      </c>
      <c r="AI1063" s="133">
        <f t="shared" ca="1" si="1050"/>
        <v>0</v>
      </c>
      <c r="AJ1063" s="133">
        <f t="shared" ca="1" si="1050"/>
        <v>0</v>
      </c>
      <c r="AK1063" s="133">
        <f t="shared" ca="1" si="1050"/>
        <v>0</v>
      </c>
      <c r="AL1063" s="133">
        <f t="shared" ca="1" si="1050"/>
        <v>0</v>
      </c>
      <c r="AM1063" s="133">
        <f t="shared" ca="1" si="1050"/>
        <v>0</v>
      </c>
      <c r="AN1063" s="133">
        <f t="shared" ca="1" si="1050"/>
        <v>0</v>
      </c>
      <c r="AO1063" s="133">
        <f t="shared" ca="1" si="1050"/>
        <v>0</v>
      </c>
      <c r="AP1063" s="133">
        <f t="shared" ca="1" si="1050"/>
        <v>0</v>
      </c>
      <c r="AQ1063" s="133">
        <f t="shared" ca="1" si="1050"/>
        <v>0</v>
      </c>
      <c r="AR1063" s="133">
        <f t="shared" ca="1" si="1050"/>
        <v>0</v>
      </c>
      <c r="AS1063" s="133">
        <f t="shared" ca="1" si="1050"/>
        <v>0</v>
      </c>
      <c r="AT1063" s="133">
        <f t="shared" ca="1" si="1050"/>
        <v>0</v>
      </c>
      <c r="AU1063" s="133">
        <f t="shared" ca="1" si="1050"/>
        <v>0</v>
      </c>
      <c r="AV1063" s="133">
        <f t="shared" ca="1" si="1050"/>
        <v>0</v>
      </c>
      <c r="AW1063" s="133">
        <f t="shared" ca="1" si="1050"/>
        <v>0</v>
      </c>
      <c r="AX1063" s="133">
        <f t="shared" ca="1" si="1050"/>
        <v>0</v>
      </c>
      <c r="AY1063" s="133">
        <f t="shared" ca="1" si="1050"/>
        <v>0</v>
      </c>
      <c r="AZ1063" s="133">
        <f t="shared" ca="1" si="1050"/>
        <v>0</v>
      </c>
      <c r="BA1063" s="133">
        <f t="shared" ca="1" si="1050"/>
        <v>0</v>
      </c>
      <c r="BB1063" s="133">
        <f t="shared" ca="1" si="1050"/>
        <v>0</v>
      </c>
      <c r="BC1063" s="133">
        <f t="shared" ca="1" si="1050"/>
        <v>0</v>
      </c>
      <c r="BD1063" s="133">
        <f t="shared" ca="1" si="1050"/>
        <v>0</v>
      </c>
      <c r="BE1063" s="133">
        <f t="shared" ca="1" si="1050"/>
        <v>0</v>
      </c>
      <c r="BF1063" s="133">
        <f t="shared" ca="1" si="1050"/>
        <v>0</v>
      </c>
      <c r="BG1063" s="133">
        <f t="shared" ca="1" si="1050"/>
        <v>0</v>
      </c>
      <c r="BH1063" s="133">
        <f t="shared" ca="1" si="1050"/>
        <v>0</v>
      </c>
      <c r="BI1063" s="133">
        <f t="shared" ca="1" si="1050"/>
        <v>0</v>
      </c>
      <c r="BJ1063" s="133">
        <f t="shared" ca="1" si="1050"/>
        <v>0</v>
      </c>
      <c r="BK1063" s="106"/>
      <c r="BL1063" s="106"/>
      <c r="BM1063" s="106"/>
      <c r="BN1063" s="106"/>
      <c r="BO1063" s="106"/>
      <c r="BP1063" s="106"/>
      <c r="BQ1063" s="106"/>
      <c r="BR1063" s="106"/>
      <c r="BS1063" s="106"/>
      <c r="BT1063" s="106"/>
      <c r="BU1063" s="106"/>
      <c r="BV1063" s="106"/>
      <c r="BX1063" s="106"/>
      <c r="BY1063" s="12">
        <f t="shared" ca="1" si="1031"/>
        <v>0</v>
      </c>
      <c r="BZ1063" s="12">
        <f t="shared" ca="1" si="1032"/>
        <v>0</v>
      </c>
      <c r="CA1063" s="12">
        <f t="shared" ca="1" si="1033"/>
        <v>0</v>
      </c>
      <c r="CB1063" s="106"/>
      <c r="CC1063" s="106"/>
      <c r="CD1063" s="106"/>
      <c r="CE1063" s="106"/>
      <c r="CF1063" s="106"/>
      <c r="CG1063" s="106"/>
      <c r="CH1063" s="106"/>
      <c r="CI1063" s="106"/>
      <c r="CK1063" s="11"/>
      <c r="CM1063" s="11"/>
      <c r="CV1063" s="120"/>
      <c r="DF1063" s="11"/>
      <c r="EY1063" s="10" t="str">
        <f t="shared" si="1028"/>
        <v/>
      </c>
    </row>
    <row r="1064" spans="1:155" x14ac:dyDescent="0.35">
      <c r="B1064" s="69" t="str" cm="1">
        <f t="array" aca="1" ref="B1064" ca="1">HYPERLINK(CONCATENATE("#",CELL("address",$D$398)),$D$398)</f>
        <v>Loan 19</v>
      </c>
      <c r="C1064" s="211"/>
      <c r="D1064" s="49">
        <f>D$31</f>
        <v>0</v>
      </c>
      <c r="E1064" s="49" t="str">
        <f>F$31</f>
        <v/>
      </c>
      <c r="F1064" s="49"/>
      <c r="H1064" s="9"/>
      <c r="I1064" s="40" t="s">
        <v>665</v>
      </c>
      <c r="V1064" s="106"/>
      <c r="W1064" s="133">
        <f t="shared" ca="1" si="1029"/>
        <v>0</v>
      </c>
      <c r="X1064" s="133">
        <f t="shared" ca="1" si="1029"/>
        <v>0</v>
      </c>
      <c r="Y1064" s="133">
        <f t="shared" ca="1" si="1029"/>
        <v>0</v>
      </c>
      <c r="AA1064" s="133">
        <f t="shared" ref="AA1064:BJ1064" ca="1" si="1051">AA901-AA1041</f>
        <v>0</v>
      </c>
      <c r="AB1064" s="133">
        <f t="shared" ca="1" si="1051"/>
        <v>0</v>
      </c>
      <c r="AC1064" s="133">
        <f t="shared" ca="1" si="1051"/>
        <v>0</v>
      </c>
      <c r="AD1064" s="133">
        <f t="shared" ca="1" si="1051"/>
        <v>0</v>
      </c>
      <c r="AE1064" s="133">
        <f t="shared" ca="1" si="1051"/>
        <v>0</v>
      </c>
      <c r="AF1064" s="133">
        <f t="shared" ca="1" si="1051"/>
        <v>0</v>
      </c>
      <c r="AG1064" s="133">
        <f t="shared" ca="1" si="1051"/>
        <v>0</v>
      </c>
      <c r="AH1064" s="133">
        <f t="shared" ca="1" si="1051"/>
        <v>0</v>
      </c>
      <c r="AI1064" s="133">
        <f t="shared" ca="1" si="1051"/>
        <v>0</v>
      </c>
      <c r="AJ1064" s="133">
        <f t="shared" ca="1" si="1051"/>
        <v>0</v>
      </c>
      <c r="AK1064" s="133">
        <f t="shared" ca="1" si="1051"/>
        <v>0</v>
      </c>
      <c r="AL1064" s="133">
        <f t="shared" ca="1" si="1051"/>
        <v>0</v>
      </c>
      <c r="AM1064" s="133">
        <f t="shared" ca="1" si="1051"/>
        <v>0</v>
      </c>
      <c r="AN1064" s="133">
        <f t="shared" ca="1" si="1051"/>
        <v>0</v>
      </c>
      <c r="AO1064" s="133">
        <f t="shared" ca="1" si="1051"/>
        <v>0</v>
      </c>
      <c r="AP1064" s="133">
        <f t="shared" ca="1" si="1051"/>
        <v>0</v>
      </c>
      <c r="AQ1064" s="133">
        <f t="shared" ca="1" si="1051"/>
        <v>0</v>
      </c>
      <c r="AR1064" s="133">
        <f t="shared" ca="1" si="1051"/>
        <v>0</v>
      </c>
      <c r="AS1064" s="133">
        <f t="shared" ca="1" si="1051"/>
        <v>0</v>
      </c>
      <c r="AT1064" s="133">
        <f t="shared" ca="1" si="1051"/>
        <v>0</v>
      </c>
      <c r="AU1064" s="133">
        <f t="shared" ca="1" si="1051"/>
        <v>0</v>
      </c>
      <c r="AV1064" s="133">
        <f t="shared" ca="1" si="1051"/>
        <v>0</v>
      </c>
      <c r="AW1064" s="133">
        <f t="shared" ca="1" si="1051"/>
        <v>0</v>
      </c>
      <c r="AX1064" s="133">
        <f t="shared" ca="1" si="1051"/>
        <v>0</v>
      </c>
      <c r="AY1064" s="133">
        <f t="shared" ca="1" si="1051"/>
        <v>0</v>
      </c>
      <c r="AZ1064" s="133">
        <f t="shared" ca="1" si="1051"/>
        <v>0</v>
      </c>
      <c r="BA1064" s="133">
        <f t="shared" ca="1" si="1051"/>
        <v>0</v>
      </c>
      <c r="BB1064" s="133">
        <f t="shared" ca="1" si="1051"/>
        <v>0</v>
      </c>
      <c r="BC1064" s="133">
        <f t="shared" ca="1" si="1051"/>
        <v>0</v>
      </c>
      <c r="BD1064" s="133">
        <f t="shared" ca="1" si="1051"/>
        <v>0</v>
      </c>
      <c r="BE1064" s="133">
        <f t="shared" ca="1" si="1051"/>
        <v>0</v>
      </c>
      <c r="BF1064" s="133">
        <f t="shared" ca="1" si="1051"/>
        <v>0</v>
      </c>
      <c r="BG1064" s="133">
        <f t="shared" ca="1" si="1051"/>
        <v>0</v>
      </c>
      <c r="BH1064" s="133">
        <f t="shared" ca="1" si="1051"/>
        <v>0</v>
      </c>
      <c r="BI1064" s="133">
        <f t="shared" ca="1" si="1051"/>
        <v>0</v>
      </c>
      <c r="BJ1064" s="133">
        <f t="shared" ca="1" si="1051"/>
        <v>0</v>
      </c>
      <c r="BK1064" s="106"/>
      <c r="BL1064" s="106"/>
      <c r="BM1064" s="106"/>
      <c r="BN1064" s="106"/>
      <c r="BO1064" s="106"/>
      <c r="BP1064" s="106"/>
      <c r="BQ1064" s="106"/>
      <c r="BR1064" s="106"/>
      <c r="BS1064" s="106"/>
      <c r="BT1064" s="106"/>
      <c r="BU1064" s="106"/>
      <c r="BV1064" s="106"/>
      <c r="BX1064" s="106"/>
      <c r="BY1064" s="12">
        <f t="shared" ca="1" si="1031"/>
        <v>0</v>
      </c>
      <c r="BZ1064" s="12">
        <f t="shared" ca="1" si="1032"/>
        <v>0</v>
      </c>
      <c r="CA1064" s="12">
        <f t="shared" ca="1" si="1033"/>
        <v>0</v>
      </c>
      <c r="CB1064" s="106"/>
      <c r="CC1064" s="106"/>
      <c r="CD1064" s="106"/>
      <c r="CE1064" s="106"/>
      <c r="CF1064" s="106"/>
      <c r="CG1064" s="106"/>
      <c r="CH1064" s="106"/>
      <c r="CI1064" s="106"/>
      <c r="CK1064" s="11"/>
      <c r="CM1064" s="11"/>
      <c r="CV1064" s="120"/>
      <c r="DF1064" s="11"/>
      <c r="EY1064" s="10" t="str">
        <f t="shared" si="1028"/>
        <v/>
      </c>
    </row>
    <row r="1065" spans="1:155" x14ac:dyDescent="0.35">
      <c r="B1065" s="69" t="str" cm="1">
        <f t="array" aca="1" ref="B1065" ca="1">HYPERLINK(CONCATENATE("#",CELL("address",$D$417)),$D$417)</f>
        <v>Loan 20</v>
      </c>
      <c r="C1065" s="211"/>
      <c r="D1065" s="49">
        <f>D$32</f>
        <v>0</v>
      </c>
      <c r="E1065" s="49" t="str">
        <f>F$32</f>
        <v/>
      </c>
      <c r="F1065" s="49"/>
      <c r="H1065" s="9"/>
      <c r="I1065" s="40" t="s">
        <v>665</v>
      </c>
      <c r="V1065" s="106"/>
      <c r="W1065" s="133">
        <f t="shared" ca="1" si="1029"/>
        <v>0</v>
      </c>
      <c r="X1065" s="133">
        <f t="shared" ca="1" si="1029"/>
        <v>0</v>
      </c>
      <c r="Y1065" s="133">
        <f t="shared" ca="1" si="1029"/>
        <v>0</v>
      </c>
      <c r="AA1065" s="133">
        <f t="shared" ref="AA1065:BJ1065" ca="1" si="1052">AA902-AA1042</f>
        <v>0</v>
      </c>
      <c r="AB1065" s="133">
        <f t="shared" ca="1" si="1052"/>
        <v>0</v>
      </c>
      <c r="AC1065" s="133">
        <f t="shared" ca="1" si="1052"/>
        <v>0</v>
      </c>
      <c r="AD1065" s="133">
        <f t="shared" ca="1" si="1052"/>
        <v>0</v>
      </c>
      <c r="AE1065" s="133">
        <f t="shared" ca="1" si="1052"/>
        <v>0</v>
      </c>
      <c r="AF1065" s="133">
        <f t="shared" ca="1" si="1052"/>
        <v>0</v>
      </c>
      <c r="AG1065" s="133">
        <f t="shared" ca="1" si="1052"/>
        <v>0</v>
      </c>
      <c r="AH1065" s="133">
        <f t="shared" ca="1" si="1052"/>
        <v>0</v>
      </c>
      <c r="AI1065" s="133">
        <f t="shared" ca="1" si="1052"/>
        <v>0</v>
      </c>
      <c r="AJ1065" s="133">
        <f t="shared" ca="1" si="1052"/>
        <v>0</v>
      </c>
      <c r="AK1065" s="133">
        <f t="shared" ca="1" si="1052"/>
        <v>0</v>
      </c>
      <c r="AL1065" s="133">
        <f t="shared" ca="1" si="1052"/>
        <v>0</v>
      </c>
      <c r="AM1065" s="133">
        <f t="shared" ca="1" si="1052"/>
        <v>0</v>
      </c>
      <c r="AN1065" s="133">
        <f t="shared" ca="1" si="1052"/>
        <v>0</v>
      </c>
      <c r="AO1065" s="133">
        <f t="shared" ca="1" si="1052"/>
        <v>0</v>
      </c>
      <c r="AP1065" s="133">
        <f t="shared" ca="1" si="1052"/>
        <v>0</v>
      </c>
      <c r="AQ1065" s="133">
        <f t="shared" ca="1" si="1052"/>
        <v>0</v>
      </c>
      <c r="AR1065" s="133">
        <f t="shared" ca="1" si="1052"/>
        <v>0</v>
      </c>
      <c r="AS1065" s="133">
        <f t="shared" ca="1" si="1052"/>
        <v>0</v>
      </c>
      <c r="AT1065" s="133">
        <f t="shared" ca="1" si="1052"/>
        <v>0</v>
      </c>
      <c r="AU1065" s="133">
        <f t="shared" ca="1" si="1052"/>
        <v>0</v>
      </c>
      <c r="AV1065" s="133">
        <f t="shared" ca="1" si="1052"/>
        <v>0</v>
      </c>
      <c r="AW1065" s="133">
        <f t="shared" ca="1" si="1052"/>
        <v>0</v>
      </c>
      <c r="AX1065" s="133">
        <f t="shared" ca="1" si="1052"/>
        <v>0</v>
      </c>
      <c r="AY1065" s="133">
        <f t="shared" ca="1" si="1052"/>
        <v>0</v>
      </c>
      <c r="AZ1065" s="133">
        <f t="shared" ca="1" si="1052"/>
        <v>0</v>
      </c>
      <c r="BA1065" s="133">
        <f t="shared" ca="1" si="1052"/>
        <v>0</v>
      </c>
      <c r="BB1065" s="133">
        <f t="shared" ca="1" si="1052"/>
        <v>0</v>
      </c>
      <c r="BC1065" s="133">
        <f t="shared" ca="1" si="1052"/>
        <v>0</v>
      </c>
      <c r="BD1065" s="133">
        <f t="shared" ca="1" si="1052"/>
        <v>0</v>
      </c>
      <c r="BE1065" s="133">
        <f t="shared" ca="1" si="1052"/>
        <v>0</v>
      </c>
      <c r="BF1065" s="133">
        <f t="shared" ca="1" si="1052"/>
        <v>0</v>
      </c>
      <c r="BG1065" s="133">
        <f t="shared" ca="1" si="1052"/>
        <v>0</v>
      </c>
      <c r="BH1065" s="133">
        <f t="shared" ca="1" si="1052"/>
        <v>0</v>
      </c>
      <c r="BI1065" s="133">
        <f t="shared" ca="1" si="1052"/>
        <v>0</v>
      </c>
      <c r="BJ1065" s="133">
        <f t="shared" ca="1" si="1052"/>
        <v>0</v>
      </c>
      <c r="BK1065" s="106"/>
      <c r="BL1065" s="106"/>
      <c r="BM1065" s="106"/>
      <c r="BN1065" s="106"/>
      <c r="BO1065" s="106"/>
      <c r="BP1065" s="106"/>
      <c r="BQ1065" s="106"/>
      <c r="BR1065" s="106"/>
      <c r="BS1065" s="106"/>
      <c r="BT1065" s="106"/>
      <c r="BU1065" s="106"/>
      <c r="BV1065" s="106"/>
      <c r="BX1065" s="106"/>
      <c r="BY1065" s="12">
        <f t="shared" ca="1" si="1031"/>
        <v>0</v>
      </c>
      <c r="BZ1065" s="12">
        <f t="shared" ca="1" si="1032"/>
        <v>0</v>
      </c>
      <c r="CA1065" s="12">
        <f t="shared" ca="1" si="1033"/>
        <v>0</v>
      </c>
      <c r="CB1065" s="106"/>
      <c r="CC1065" s="106"/>
      <c r="CD1065" s="106"/>
      <c r="CE1065" s="106"/>
      <c r="CF1065" s="106"/>
      <c r="CG1065" s="106"/>
      <c r="CH1065" s="106"/>
      <c r="CI1065" s="106"/>
      <c r="CK1065" s="11"/>
      <c r="CM1065" s="11"/>
      <c r="CV1065" s="120"/>
      <c r="DF1065" s="11"/>
      <c r="EY1065" s="10" t="str">
        <f t="shared" si="1028"/>
        <v/>
      </c>
    </row>
    <row r="1066" spans="1:155" ht="6.75" customHeight="1" x14ac:dyDescent="0.35">
      <c r="C1066" s="211"/>
      <c r="D1066" s="1"/>
      <c r="E1066"/>
      <c r="F1066"/>
      <c r="BY1066" s="6"/>
      <c r="CK1066" s="35"/>
      <c r="CM1066" s="35"/>
      <c r="CV1066" s="120"/>
      <c r="DF1066" s="35"/>
      <c r="EY1066" s="10" t="str">
        <f t="shared" si="1028"/>
        <v/>
      </c>
    </row>
    <row r="1067" spans="1:155" ht="29" x14ac:dyDescent="0.35">
      <c r="C1067" s="211"/>
      <c r="D1067" s="50" t="s">
        <v>1336</v>
      </c>
      <c r="E1067"/>
      <c r="F1067"/>
      <c r="CK1067" s="11"/>
      <c r="CM1067" s="11"/>
      <c r="CV1067" s="120"/>
      <c r="DF1067" s="11"/>
      <c r="EY1067" s="10" t="str">
        <f t="shared" si="1028"/>
        <v/>
      </c>
    </row>
    <row r="1068" spans="1:155" x14ac:dyDescent="0.35">
      <c r="B1068" s="5" t="s">
        <v>1229</v>
      </c>
      <c r="C1068" s="211"/>
      <c r="D1068" s="5" t="s">
        <v>1020</v>
      </c>
      <c r="E1068" s="5" t="s">
        <v>1248</v>
      </c>
      <c r="F1068" s="5"/>
      <c r="AA1068" s="126" t="s">
        <v>122</v>
      </c>
      <c r="CK1068" s="11"/>
      <c r="CM1068" s="11"/>
      <c r="CV1068" s="120"/>
      <c r="DF1068" s="11"/>
      <c r="EY1068" s="10" t="str">
        <f t="shared" si="1028"/>
        <v/>
      </c>
    </row>
    <row r="1069" spans="1:155" x14ac:dyDescent="0.35">
      <c r="B1069" s="69" t="str" cm="1">
        <f t="array" aca="1" ref="B1069" ca="1">HYPERLINK(CONCATENATE("#",CELL("address",$D$56)),$D$56)</f>
        <v>Loan 1</v>
      </c>
      <c r="C1069" s="211" t="str">
        <f t="shared" ref="C1069:C1088" si="1053">CONCATENATE("ST-", C883)</f>
        <v>ST-LN-1-2CB</v>
      </c>
      <c r="D1069" s="49">
        <f>D$13</f>
        <v>0</v>
      </c>
      <c r="E1069" s="49" t="str">
        <f>F$13</f>
        <v/>
      </c>
      <c r="F1069" s="49"/>
      <c r="H1069" s="9"/>
      <c r="I1069" s="40" t="s">
        <v>665</v>
      </c>
      <c r="J1069" s="54"/>
      <c r="V1069" s="106"/>
      <c r="W1069" s="133">
        <f t="shared" ref="W1069:Y1088" ca="1" si="1054">INDEX($AA1069:$BV1069, MATCH(W$5, $AA$5:$BV$5, 0))</f>
        <v>0</v>
      </c>
      <c r="X1069" s="133">
        <f t="shared" ca="1" si="1054"/>
        <v>0</v>
      </c>
      <c r="Y1069" s="133">
        <f t="shared" ca="1" si="1054"/>
        <v>0</v>
      </c>
      <c r="AA1069" s="133">
        <f ca="1">AA1023+AA1046*Timeline!AA367</f>
        <v>0</v>
      </c>
      <c r="AB1069" s="133">
        <f ca="1">AB1023+AB1046*Timeline!AB367</f>
        <v>0</v>
      </c>
      <c r="AC1069" s="133">
        <f ca="1">AC1023+AC1046*Timeline!AC367</f>
        <v>0</v>
      </c>
      <c r="AD1069" s="133">
        <f ca="1">AD1023+AD1046*Timeline!AD367</f>
        <v>0</v>
      </c>
      <c r="AE1069" s="133">
        <f ca="1">AE1023+AE1046*Timeline!AE367</f>
        <v>0</v>
      </c>
      <c r="AF1069" s="133">
        <f ca="1">AF1023+AF1046*Timeline!AF367</f>
        <v>0</v>
      </c>
      <c r="AG1069" s="133">
        <f ca="1">AG1023+AG1046*Timeline!AG367</f>
        <v>0</v>
      </c>
      <c r="AH1069" s="133">
        <f ca="1">AH1023+AH1046*Timeline!AH367</f>
        <v>0</v>
      </c>
      <c r="AI1069" s="133">
        <f ca="1">AI1023+AI1046*Timeline!AI367</f>
        <v>0</v>
      </c>
      <c r="AJ1069" s="133">
        <f ca="1">AJ1023+AJ1046*Timeline!AJ367</f>
        <v>0</v>
      </c>
      <c r="AK1069" s="133">
        <f ca="1">AK1023+AK1046*Timeline!AK367</f>
        <v>0</v>
      </c>
      <c r="AL1069" s="133">
        <f ca="1">AL1023+AL1046*Timeline!AL367</f>
        <v>0</v>
      </c>
      <c r="AM1069" s="133">
        <f ca="1">AM1023+AM1046*Timeline!AM367</f>
        <v>0</v>
      </c>
      <c r="AN1069" s="133">
        <f ca="1">AN1023+AN1046*Timeline!AN367</f>
        <v>0</v>
      </c>
      <c r="AO1069" s="133">
        <f ca="1">AO1023+AO1046*Timeline!AO367</f>
        <v>0</v>
      </c>
      <c r="AP1069" s="133">
        <f ca="1">AP1023+AP1046*Timeline!AP367</f>
        <v>0</v>
      </c>
      <c r="AQ1069" s="133">
        <f ca="1">AQ1023+AQ1046*Timeline!AQ367</f>
        <v>0</v>
      </c>
      <c r="AR1069" s="133">
        <f ca="1">AR1023+AR1046*Timeline!AR367</f>
        <v>0</v>
      </c>
      <c r="AS1069" s="133">
        <f ca="1">AS1023+AS1046*Timeline!AS367</f>
        <v>0</v>
      </c>
      <c r="AT1069" s="133">
        <f ca="1">AT1023+AT1046*Timeline!AT367</f>
        <v>0</v>
      </c>
      <c r="AU1069" s="133">
        <f ca="1">AU1023+AU1046*Timeline!AU367</f>
        <v>0</v>
      </c>
      <c r="AV1069" s="133">
        <f ca="1">AV1023+AV1046*Timeline!AV367</f>
        <v>0</v>
      </c>
      <c r="AW1069" s="133">
        <f ca="1">AW1023+AW1046*Timeline!AW367</f>
        <v>0</v>
      </c>
      <c r="AX1069" s="133">
        <f ca="1">AX1023+AX1046*Timeline!AX367</f>
        <v>0</v>
      </c>
      <c r="AY1069" s="133">
        <f ca="1">AY1023+AY1046*Timeline!AY367</f>
        <v>0</v>
      </c>
      <c r="AZ1069" s="133">
        <f ca="1">AZ1023+AZ1046*Timeline!AZ367</f>
        <v>0</v>
      </c>
      <c r="BA1069" s="133">
        <f ca="1">BA1023+BA1046*Timeline!BA367</f>
        <v>0</v>
      </c>
      <c r="BB1069" s="133">
        <f ca="1">BB1023+BB1046*Timeline!BB367</f>
        <v>0</v>
      </c>
      <c r="BC1069" s="133">
        <f ca="1">BC1023+BC1046*Timeline!BC367</f>
        <v>0</v>
      </c>
      <c r="BD1069" s="133">
        <f ca="1">BD1023+BD1046*Timeline!BD367</f>
        <v>0</v>
      </c>
      <c r="BE1069" s="133">
        <f ca="1">BE1023+BE1046*Timeline!BE367</f>
        <v>0</v>
      </c>
      <c r="BF1069" s="133">
        <f ca="1">BF1023+BF1046*Timeline!BF367</f>
        <v>0</v>
      </c>
      <c r="BG1069" s="133">
        <f ca="1">BG1023+BG1046*Timeline!BG367</f>
        <v>0</v>
      </c>
      <c r="BH1069" s="133">
        <f ca="1">BH1023+BH1046*Timeline!BH367</f>
        <v>0</v>
      </c>
      <c r="BI1069" s="133">
        <f ca="1">BI1023+BI1046*Timeline!BI367</f>
        <v>0</v>
      </c>
      <c r="BJ1069" s="133">
        <f ca="1">BJ1023+BJ1046*Timeline!BJ367</f>
        <v>0</v>
      </c>
      <c r="BK1069" s="106"/>
      <c r="BL1069" s="106"/>
      <c r="BM1069" s="106"/>
      <c r="BN1069" s="106"/>
      <c r="BO1069" s="106"/>
      <c r="BP1069" s="106"/>
      <c r="BQ1069" s="106"/>
      <c r="BR1069" s="106"/>
      <c r="BS1069" s="106"/>
      <c r="BT1069" s="106"/>
      <c r="BU1069" s="106"/>
      <c r="BV1069" s="106"/>
      <c r="BX1069" s="106"/>
      <c r="BY1069" s="12">
        <f t="shared" ref="BY1069:BY1088" ca="1" si="1055">W1069</f>
        <v>0</v>
      </c>
      <c r="BZ1069" s="12">
        <f t="shared" ref="BZ1069:BZ1088" ca="1" si="1056">X1069</f>
        <v>0</v>
      </c>
      <c r="CA1069" s="12">
        <f t="shared" ref="CA1069:CA1088" ca="1" si="1057">Y1069</f>
        <v>0</v>
      </c>
      <c r="CB1069" s="106"/>
      <c r="CC1069" s="106"/>
      <c r="CD1069" s="106"/>
      <c r="CE1069" s="106"/>
      <c r="CF1069" s="106"/>
      <c r="CG1069" s="106"/>
      <c r="CH1069" s="106"/>
      <c r="CI1069" s="106"/>
      <c r="CK1069" s="11"/>
      <c r="CM1069" s="11"/>
      <c r="CV1069" s="120"/>
      <c r="DF1069" s="11"/>
      <c r="EY1069" s="12" t="str">
        <f t="shared" ref="EY1069:EY1088" ca="1" si="1058">IF($C1069="","",CONCATENATE(D$1067," ", $B1069))</f>
        <v>Interest Payable Amount due within one year after Covenant Breach Adjustment Loan 1</v>
      </c>
    </row>
    <row r="1070" spans="1:155" x14ac:dyDescent="0.35">
      <c r="B1070" s="69" t="str" cm="1">
        <f t="array" aca="1" ref="B1070" ca="1">HYPERLINK(CONCATENATE("#",CELL("address",$D$75)),$D$75)</f>
        <v>Loan 2</v>
      </c>
      <c r="C1070" s="211" t="str">
        <f t="shared" si="1053"/>
        <v>ST-LN-2-2CB</v>
      </c>
      <c r="D1070" s="49">
        <f>D$14</f>
        <v>0</v>
      </c>
      <c r="E1070" s="49" t="str">
        <f>F$14</f>
        <v/>
      </c>
      <c r="F1070" s="49"/>
      <c r="H1070" s="9"/>
      <c r="I1070" s="40" t="s">
        <v>665</v>
      </c>
      <c r="V1070" s="106"/>
      <c r="W1070" s="133">
        <f t="shared" ca="1" si="1054"/>
        <v>0</v>
      </c>
      <c r="X1070" s="133">
        <f t="shared" ca="1" si="1054"/>
        <v>0</v>
      </c>
      <c r="Y1070" s="133">
        <f t="shared" ca="1" si="1054"/>
        <v>0</v>
      </c>
      <c r="AA1070" s="133">
        <f ca="1">AA1024+AA1047*Timeline!AA368</f>
        <v>0</v>
      </c>
      <c r="AB1070" s="133">
        <f ca="1">AB1024+AB1047*Timeline!AB368</f>
        <v>0</v>
      </c>
      <c r="AC1070" s="133">
        <f ca="1">AC1024+AC1047*Timeline!AC368</f>
        <v>0</v>
      </c>
      <c r="AD1070" s="133">
        <f ca="1">AD1024+AD1047*Timeline!AD368</f>
        <v>0</v>
      </c>
      <c r="AE1070" s="133">
        <f ca="1">AE1024+AE1047*Timeline!AE368</f>
        <v>0</v>
      </c>
      <c r="AF1070" s="133">
        <f ca="1">AF1024+AF1047*Timeline!AF368</f>
        <v>0</v>
      </c>
      <c r="AG1070" s="133">
        <f ca="1">AG1024+AG1047*Timeline!AG368</f>
        <v>0</v>
      </c>
      <c r="AH1070" s="133">
        <f ca="1">AH1024+AH1047*Timeline!AH368</f>
        <v>0</v>
      </c>
      <c r="AI1070" s="133">
        <f ca="1">AI1024+AI1047*Timeline!AI368</f>
        <v>0</v>
      </c>
      <c r="AJ1070" s="133">
        <f ca="1">AJ1024+AJ1047*Timeline!AJ368</f>
        <v>0</v>
      </c>
      <c r="AK1070" s="133">
        <f ca="1">AK1024+AK1047*Timeline!AK368</f>
        <v>0</v>
      </c>
      <c r="AL1070" s="133">
        <f ca="1">AL1024+AL1047*Timeline!AL368</f>
        <v>0</v>
      </c>
      <c r="AM1070" s="133">
        <f ca="1">AM1024+AM1047*Timeline!AM368</f>
        <v>0</v>
      </c>
      <c r="AN1070" s="133">
        <f ca="1">AN1024+AN1047*Timeline!AN368</f>
        <v>0</v>
      </c>
      <c r="AO1070" s="133">
        <f ca="1">AO1024+AO1047*Timeline!AO368</f>
        <v>0</v>
      </c>
      <c r="AP1070" s="133">
        <f ca="1">AP1024+AP1047*Timeline!AP368</f>
        <v>0</v>
      </c>
      <c r="AQ1070" s="133">
        <f ca="1">AQ1024+AQ1047*Timeline!AQ368</f>
        <v>0</v>
      </c>
      <c r="AR1070" s="133">
        <f ca="1">AR1024+AR1047*Timeline!AR368</f>
        <v>0</v>
      </c>
      <c r="AS1070" s="133">
        <f ca="1">AS1024+AS1047*Timeline!AS368</f>
        <v>0</v>
      </c>
      <c r="AT1070" s="133">
        <f ca="1">AT1024+AT1047*Timeline!AT368</f>
        <v>0</v>
      </c>
      <c r="AU1070" s="133">
        <f ca="1">AU1024+AU1047*Timeline!AU368</f>
        <v>0</v>
      </c>
      <c r="AV1070" s="133">
        <f ca="1">AV1024+AV1047*Timeline!AV368</f>
        <v>0</v>
      </c>
      <c r="AW1070" s="133">
        <f ca="1">AW1024+AW1047*Timeline!AW368</f>
        <v>0</v>
      </c>
      <c r="AX1070" s="133">
        <f ca="1">AX1024+AX1047*Timeline!AX368</f>
        <v>0</v>
      </c>
      <c r="AY1070" s="133">
        <f ca="1">AY1024+AY1047*Timeline!AY368</f>
        <v>0</v>
      </c>
      <c r="AZ1070" s="133">
        <f ca="1">AZ1024+AZ1047*Timeline!AZ368</f>
        <v>0</v>
      </c>
      <c r="BA1070" s="133">
        <f ca="1">BA1024+BA1047*Timeline!BA368</f>
        <v>0</v>
      </c>
      <c r="BB1070" s="133">
        <f ca="1">BB1024+BB1047*Timeline!BB368</f>
        <v>0</v>
      </c>
      <c r="BC1070" s="133">
        <f ca="1">BC1024+BC1047*Timeline!BC368</f>
        <v>0</v>
      </c>
      <c r="BD1070" s="133">
        <f ca="1">BD1024+BD1047*Timeline!BD368</f>
        <v>0</v>
      </c>
      <c r="BE1070" s="133">
        <f ca="1">BE1024+BE1047*Timeline!BE368</f>
        <v>0</v>
      </c>
      <c r="BF1070" s="133">
        <f ca="1">BF1024+BF1047*Timeline!BF368</f>
        <v>0</v>
      </c>
      <c r="BG1070" s="133">
        <f ca="1">BG1024+BG1047*Timeline!BG368</f>
        <v>0</v>
      </c>
      <c r="BH1070" s="133">
        <f ca="1">BH1024+BH1047*Timeline!BH368</f>
        <v>0</v>
      </c>
      <c r="BI1070" s="133">
        <f ca="1">BI1024+BI1047*Timeline!BI368</f>
        <v>0</v>
      </c>
      <c r="BJ1070" s="133">
        <f ca="1">BJ1024+BJ1047*Timeline!BJ368</f>
        <v>0</v>
      </c>
      <c r="BK1070" s="106"/>
      <c r="BL1070" s="106"/>
      <c r="BM1070" s="106"/>
      <c r="BN1070" s="106"/>
      <c r="BO1070" s="106"/>
      <c r="BP1070" s="106"/>
      <c r="BQ1070" s="106"/>
      <c r="BR1070" s="106"/>
      <c r="BS1070" s="106"/>
      <c r="BT1070" s="106"/>
      <c r="BU1070" s="106"/>
      <c r="BV1070" s="106"/>
      <c r="BX1070" s="106"/>
      <c r="BY1070" s="12">
        <f t="shared" ca="1" si="1055"/>
        <v>0</v>
      </c>
      <c r="BZ1070" s="12">
        <f t="shared" ca="1" si="1056"/>
        <v>0</v>
      </c>
      <c r="CA1070" s="12">
        <f t="shared" ca="1" si="1057"/>
        <v>0</v>
      </c>
      <c r="CB1070" s="106"/>
      <c r="CC1070" s="106"/>
      <c r="CD1070" s="106"/>
      <c r="CE1070" s="106"/>
      <c r="CF1070" s="106"/>
      <c r="CG1070" s="106"/>
      <c r="CH1070" s="106"/>
      <c r="CI1070" s="106"/>
      <c r="CK1070" s="11"/>
      <c r="CM1070" s="11"/>
      <c r="CV1070" s="120"/>
      <c r="DF1070" s="11"/>
      <c r="EY1070" s="12" t="str">
        <f t="shared" ca="1" si="1058"/>
        <v>Interest Payable Amount due within one year after Covenant Breach Adjustment Loan 2</v>
      </c>
    </row>
    <row r="1071" spans="1:155" x14ac:dyDescent="0.35">
      <c r="B1071" s="69" t="str" cm="1">
        <f t="array" aca="1" ref="B1071" ca="1">HYPERLINK(CONCATENATE("#",CELL("address",$D$94)),$D$94)</f>
        <v>Loan 3</v>
      </c>
      <c r="C1071" s="211" t="str">
        <f t="shared" si="1053"/>
        <v>ST-LN-3-2CB</v>
      </c>
      <c r="D1071" s="49">
        <f>D$15</f>
        <v>0</v>
      </c>
      <c r="E1071" s="49" t="str">
        <f>F$15</f>
        <v/>
      </c>
      <c r="F1071" s="49"/>
      <c r="H1071" s="9"/>
      <c r="I1071" s="40" t="s">
        <v>665</v>
      </c>
      <c r="V1071" s="106"/>
      <c r="W1071" s="133">
        <f t="shared" ca="1" si="1054"/>
        <v>0</v>
      </c>
      <c r="X1071" s="133">
        <f t="shared" ca="1" si="1054"/>
        <v>0</v>
      </c>
      <c r="Y1071" s="133">
        <f t="shared" ca="1" si="1054"/>
        <v>0</v>
      </c>
      <c r="AA1071" s="133">
        <f ca="1">AA1025+AA1048*Timeline!AA369</f>
        <v>0</v>
      </c>
      <c r="AB1071" s="133">
        <f ca="1">AB1025+AB1048*Timeline!AB369</f>
        <v>0</v>
      </c>
      <c r="AC1071" s="133">
        <f ca="1">AC1025+AC1048*Timeline!AC369</f>
        <v>0</v>
      </c>
      <c r="AD1071" s="133">
        <f ca="1">AD1025+AD1048*Timeline!AD369</f>
        <v>0</v>
      </c>
      <c r="AE1071" s="133">
        <f ca="1">AE1025+AE1048*Timeline!AE369</f>
        <v>0</v>
      </c>
      <c r="AF1071" s="133">
        <f ca="1">AF1025+AF1048*Timeline!AF369</f>
        <v>0</v>
      </c>
      <c r="AG1071" s="133">
        <f ca="1">AG1025+AG1048*Timeline!AG369</f>
        <v>0</v>
      </c>
      <c r="AH1071" s="133">
        <f ca="1">AH1025+AH1048*Timeline!AH369</f>
        <v>0</v>
      </c>
      <c r="AI1071" s="133">
        <f ca="1">AI1025+AI1048*Timeline!AI369</f>
        <v>0</v>
      </c>
      <c r="AJ1071" s="133">
        <f ca="1">AJ1025+AJ1048*Timeline!AJ369</f>
        <v>0</v>
      </c>
      <c r="AK1071" s="133">
        <f ca="1">AK1025+AK1048*Timeline!AK369</f>
        <v>0</v>
      </c>
      <c r="AL1071" s="133">
        <f ca="1">AL1025+AL1048*Timeline!AL369</f>
        <v>0</v>
      </c>
      <c r="AM1071" s="133">
        <f ca="1">AM1025+AM1048*Timeline!AM369</f>
        <v>0</v>
      </c>
      <c r="AN1071" s="133">
        <f ca="1">AN1025+AN1048*Timeline!AN369</f>
        <v>0</v>
      </c>
      <c r="AO1071" s="133">
        <f ca="1">AO1025+AO1048*Timeline!AO369</f>
        <v>0</v>
      </c>
      <c r="AP1071" s="133">
        <f ca="1">AP1025+AP1048*Timeline!AP369</f>
        <v>0</v>
      </c>
      <c r="AQ1071" s="133">
        <f ca="1">AQ1025+AQ1048*Timeline!AQ369</f>
        <v>0</v>
      </c>
      <c r="AR1071" s="133">
        <f ca="1">AR1025+AR1048*Timeline!AR369</f>
        <v>0</v>
      </c>
      <c r="AS1071" s="133">
        <f ca="1">AS1025+AS1048*Timeline!AS369</f>
        <v>0</v>
      </c>
      <c r="AT1071" s="133">
        <f ca="1">AT1025+AT1048*Timeline!AT369</f>
        <v>0</v>
      </c>
      <c r="AU1071" s="133">
        <f ca="1">AU1025+AU1048*Timeline!AU369</f>
        <v>0</v>
      </c>
      <c r="AV1071" s="133">
        <f ca="1">AV1025+AV1048*Timeline!AV369</f>
        <v>0</v>
      </c>
      <c r="AW1071" s="133">
        <f ca="1">AW1025+AW1048*Timeline!AW369</f>
        <v>0</v>
      </c>
      <c r="AX1071" s="133">
        <f ca="1">AX1025+AX1048*Timeline!AX369</f>
        <v>0</v>
      </c>
      <c r="AY1071" s="133">
        <f ca="1">AY1025+AY1048*Timeline!AY369</f>
        <v>0</v>
      </c>
      <c r="AZ1071" s="133">
        <f ca="1">AZ1025+AZ1048*Timeline!AZ369</f>
        <v>0</v>
      </c>
      <c r="BA1071" s="133">
        <f ca="1">BA1025+BA1048*Timeline!BA369</f>
        <v>0</v>
      </c>
      <c r="BB1071" s="133">
        <f ca="1">BB1025+BB1048*Timeline!BB369</f>
        <v>0</v>
      </c>
      <c r="BC1071" s="133">
        <f ca="1">BC1025+BC1048*Timeline!BC369</f>
        <v>0</v>
      </c>
      <c r="BD1071" s="133">
        <f ca="1">BD1025+BD1048*Timeline!BD369</f>
        <v>0</v>
      </c>
      <c r="BE1071" s="133">
        <f ca="1">BE1025+BE1048*Timeline!BE369</f>
        <v>0</v>
      </c>
      <c r="BF1071" s="133">
        <f ca="1">BF1025+BF1048*Timeline!BF369</f>
        <v>0</v>
      </c>
      <c r="BG1071" s="133">
        <f ca="1">BG1025+BG1048*Timeline!BG369</f>
        <v>0</v>
      </c>
      <c r="BH1071" s="133">
        <f ca="1">BH1025+BH1048*Timeline!BH369</f>
        <v>0</v>
      </c>
      <c r="BI1071" s="133">
        <f ca="1">BI1025+BI1048*Timeline!BI369</f>
        <v>0</v>
      </c>
      <c r="BJ1071" s="133">
        <f ca="1">BJ1025+BJ1048*Timeline!BJ369</f>
        <v>0</v>
      </c>
      <c r="BK1071" s="106"/>
      <c r="BL1071" s="106"/>
      <c r="BM1071" s="106"/>
      <c r="BN1071" s="106"/>
      <c r="BO1071" s="106"/>
      <c r="BP1071" s="106"/>
      <c r="BQ1071" s="106"/>
      <c r="BR1071" s="106"/>
      <c r="BS1071" s="106"/>
      <c r="BT1071" s="106"/>
      <c r="BU1071" s="106"/>
      <c r="BV1071" s="106"/>
      <c r="BX1071" s="106"/>
      <c r="BY1071" s="12">
        <f t="shared" ca="1" si="1055"/>
        <v>0</v>
      </c>
      <c r="BZ1071" s="12">
        <f t="shared" ca="1" si="1056"/>
        <v>0</v>
      </c>
      <c r="CA1071" s="12">
        <f t="shared" ca="1" si="1057"/>
        <v>0</v>
      </c>
      <c r="CB1071" s="106"/>
      <c r="CC1071" s="106"/>
      <c r="CD1071" s="106"/>
      <c r="CE1071" s="106"/>
      <c r="CF1071" s="106"/>
      <c r="CG1071" s="106"/>
      <c r="CH1071" s="106"/>
      <c r="CI1071" s="106"/>
      <c r="CK1071" s="11"/>
      <c r="CM1071" s="11"/>
      <c r="CV1071" s="120"/>
      <c r="DF1071" s="11"/>
      <c r="EY1071" s="12" t="str">
        <f t="shared" ca="1" si="1058"/>
        <v>Interest Payable Amount due within one year after Covenant Breach Adjustment Loan 3</v>
      </c>
    </row>
    <row r="1072" spans="1:155" x14ac:dyDescent="0.35">
      <c r="B1072" s="69" t="str" cm="1">
        <f t="array" aca="1" ref="B1072" ca="1">HYPERLINK(CONCATENATE("#",CELL("address",$D$113)),$D$113)</f>
        <v>Loan 4</v>
      </c>
      <c r="C1072" s="211" t="str">
        <f t="shared" si="1053"/>
        <v>ST-LN-4-2CB</v>
      </c>
      <c r="D1072" s="49">
        <f>D$16</f>
        <v>0</v>
      </c>
      <c r="E1072" s="49" t="str">
        <f>F$16</f>
        <v/>
      </c>
      <c r="F1072" s="49"/>
      <c r="H1072" s="9"/>
      <c r="I1072" s="40" t="s">
        <v>665</v>
      </c>
      <c r="V1072" s="106"/>
      <c r="W1072" s="133">
        <f t="shared" ca="1" si="1054"/>
        <v>0</v>
      </c>
      <c r="X1072" s="133">
        <f t="shared" ca="1" si="1054"/>
        <v>0</v>
      </c>
      <c r="Y1072" s="133">
        <f t="shared" ca="1" si="1054"/>
        <v>0</v>
      </c>
      <c r="AA1072" s="133">
        <f ca="1">AA1026+AA1049*Timeline!AA370</f>
        <v>0</v>
      </c>
      <c r="AB1072" s="133">
        <f ca="1">AB1026+AB1049*Timeline!AB370</f>
        <v>0</v>
      </c>
      <c r="AC1072" s="133">
        <f ca="1">AC1026+AC1049*Timeline!AC370</f>
        <v>0</v>
      </c>
      <c r="AD1072" s="133">
        <f ca="1">AD1026+AD1049*Timeline!AD370</f>
        <v>0</v>
      </c>
      <c r="AE1072" s="133">
        <f ca="1">AE1026+AE1049*Timeline!AE370</f>
        <v>0</v>
      </c>
      <c r="AF1072" s="133">
        <f ca="1">AF1026+AF1049*Timeline!AF370</f>
        <v>0</v>
      </c>
      <c r="AG1072" s="133">
        <f ca="1">AG1026+AG1049*Timeline!AG370</f>
        <v>0</v>
      </c>
      <c r="AH1072" s="133">
        <f ca="1">AH1026+AH1049*Timeline!AH370</f>
        <v>0</v>
      </c>
      <c r="AI1072" s="133">
        <f ca="1">AI1026+AI1049*Timeline!AI370</f>
        <v>0</v>
      </c>
      <c r="AJ1072" s="133">
        <f ca="1">AJ1026+AJ1049*Timeline!AJ370</f>
        <v>0</v>
      </c>
      <c r="AK1072" s="133">
        <f ca="1">AK1026+AK1049*Timeline!AK370</f>
        <v>0</v>
      </c>
      <c r="AL1072" s="133">
        <f ca="1">AL1026+AL1049*Timeline!AL370</f>
        <v>0</v>
      </c>
      <c r="AM1072" s="133">
        <f ca="1">AM1026+AM1049*Timeline!AM370</f>
        <v>0</v>
      </c>
      <c r="AN1072" s="133">
        <f ca="1">AN1026+AN1049*Timeline!AN370</f>
        <v>0</v>
      </c>
      <c r="AO1072" s="133">
        <f ca="1">AO1026+AO1049*Timeline!AO370</f>
        <v>0</v>
      </c>
      <c r="AP1072" s="133">
        <f ca="1">AP1026+AP1049*Timeline!AP370</f>
        <v>0</v>
      </c>
      <c r="AQ1072" s="133">
        <f ca="1">AQ1026+AQ1049*Timeline!AQ370</f>
        <v>0</v>
      </c>
      <c r="AR1072" s="133">
        <f ca="1">AR1026+AR1049*Timeline!AR370</f>
        <v>0</v>
      </c>
      <c r="AS1072" s="133">
        <f ca="1">AS1026+AS1049*Timeline!AS370</f>
        <v>0</v>
      </c>
      <c r="AT1072" s="133">
        <f ca="1">AT1026+AT1049*Timeline!AT370</f>
        <v>0</v>
      </c>
      <c r="AU1072" s="133">
        <f ca="1">AU1026+AU1049*Timeline!AU370</f>
        <v>0</v>
      </c>
      <c r="AV1072" s="133">
        <f ca="1">AV1026+AV1049*Timeline!AV370</f>
        <v>0</v>
      </c>
      <c r="AW1072" s="133">
        <f ca="1">AW1026+AW1049*Timeline!AW370</f>
        <v>0</v>
      </c>
      <c r="AX1072" s="133">
        <f ca="1">AX1026+AX1049*Timeline!AX370</f>
        <v>0</v>
      </c>
      <c r="AY1072" s="133">
        <f ca="1">AY1026+AY1049*Timeline!AY370</f>
        <v>0</v>
      </c>
      <c r="AZ1072" s="133">
        <f ca="1">AZ1026+AZ1049*Timeline!AZ370</f>
        <v>0</v>
      </c>
      <c r="BA1072" s="133">
        <f ca="1">BA1026+BA1049*Timeline!BA370</f>
        <v>0</v>
      </c>
      <c r="BB1072" s="133">
        <f ca="1">BB1026+BB1049*Timeline!BB370</f>
        <v>0</v>
      </c>
      <c r="BC1072" s="133">
        <f ca="1">BC1026+BC1049*Timeline!BC370</f>
        <v>0</v>
      </c>
      <c r="BD1072" s="133">
        <f ca="1">BD1026+BD1049*Timeline!BD370</f>
        <v>0</v>
      </c>
      <c r="BE1072" s="133">
        <f ca="1">BE1026+BE1049*Timeline!BE370</f>
        <v>0</v>
      </c>
      <c r="BF1072" s="133">
        <f ca="1">BF1026+BF1049*Timeline!BF370</f>
        <v>0</v>
      </c>
      <c r="BG1072" s="133">
        <f ca="1">BG1026+BG1049*Timeline!BG370</f>
        <v>0</v>
      </c>
      <c r="BH1072" s="133">
        <f ca="1">BH1026+BH1049*Timeline!BH370</f>
        <v>0</v>
      </c>
      <c r="BI1072" s="133">
        <f ca="1">BI1026+BI1049*Timeline!BI370</f>
        <v>0</v>
      </c>
      <c r="BJ1072" s="133">
        <f ca="1">BJ1026+BJ1049*Timeline!BJ370</f>
        <v>0</v>
      </c>
      <c r="BK1072" s="106"/>
      <c r="BL1072" s="106"/>
      <c r="BM1072" s="106"/>
      <c r="BN1072" s="106"/>
      <c r="BO1072" s="106"/>
      <c r="BP1072" s="106"/>
      <c r="BQ1072" s="106"/>
      <c r="BR1072" s="106"/>
      <c r="BS1072" s="106"/>
      <c r="BT1072" s="106"/>
      <c r="BU1072" s="106"/>
      <c r="BV1072" s="106"/>
      <c r="BX1072" s="106"/>
      <c r="BY1072" s="12">
        <f t="shared" ca="1" si="1055"/>
        <v>0</v>
      </c>
      <c r="BZ1072" s="12">
        <f t="shared" ca="1" si="1056"/>
        <v>0</v>
      </c>
      <c r="CA1072" s="12">
        <f t="shared" ca="1" si="1057"/>
        <v>0</v>
      </c>
      <c r="CB1072" s="106"/>
      <c r="CC1072" s="106"/>
      <c r="CD1072" s="106"/>
      <c r="CE1072" s="106"/>
      <c r="CF1072" s="106"/>
      <c r="CG1072" s="106"/>
      <c r="CH1072" s="106"/>
      <c r="CI1072" s="106"/>
      <c r="CK1072" s="11"/>
      <c r="CM1072" s="11"/>
      <c r="CV1072" s="120"/>
      <c r="DF1072" s="11"/>
      <c r="EY1072" s="12" t="str">
        <f t="shared" ca="1" si="1058"/>
        <v>Interest Payable Amount due within one year after Covenant Breach Adjustment Loan 4</v>
      </c>
    </row>
    <row r="1073" spans="1:155" x14ac:dyDescent="0.35">
      <c r="B1073" s="69" t="str" cm="1">
        <f t="array" aca="1" ref="B1073" ca="1">HYPERLINK(CONCATENATE("#",CELL("address",$D$132)),$D$132)</f>
        <v>Loan 5</v>
      </c>
      <c r="C1073" s="211" t="str">
        <f t="shared" si="1053"/>
        <v>ST-LN-5-2CB</v>
      </c>
      <c r="D1073" s="49">
        <f>D$17</f>
        <v>0</v>
      </c>
      <c r="E1073" s="49" t="str">
        <f>F$17</f>
        <v/>
      </c>
      <c r="F1073" s="49"/>
      <c r="H1073" s="9"/>
      <c r="I1073" s="40" t="s">
        <v>665</v>
      </c>
      <c r="V1073" s="106"/>
      <c r="W1073" s="133">
        <f t="shared" ca="1" si="1054"/>
        <v>0</v>
      </c>
      <c r="X1073" s="133">
        <f t="shared" ca="1" si="1054"/>
        <v>0</v>
      </c>
      <c r="Y1073" s="133">
        <f t="shared" ca="1" si="1054"/>
        <v>0</v>
      </c>
      <c r="AA1073" s="133">
        <f ca="1">AA1027+AA1050*Timeline!AA371</f>
        <v>0</v>
      </c>
      <c r="AB1073" s="133">
        <f ca="1">AB1027+AB1050*Timeline!AB371</f>
        <v>0</v>
      </c>
      <c r="AC1073" s="133">
        <f ca="1">AC1027+AC1050*Timeline!AC371</f>
        <v>0</v>
      </c>
      <c r="AD1073" s="133">
        <f ca="1">AD1027+AD1050*Timeline!AD371</f>
        <v>0</v>
      </c>
      <c r="AE1073" s="133">
        <f ca="1">AE1027+AE1050*Timeline!AE371</f>
        <v>0</v>
      </c>
      <c r="AF1073" s="133">
        <f ca="1">AF1027+AF1050*Timeline!AF371</f>
        <v>0</v>
      </c>
      <c r="AG1073" s="133">
        <f ca="1">AG1027+AG1050*Timeline!AG371</f>
        <v>0</v>
      </c>
      <c r="AH1073" s="133">
        <f ca="1">AH1027+AH1050*Timeline!AH371</f>
        <v>0</v>
      </c>
      <c r="AI1073" s="133">
        <f ca="1">AI1027+AI1050*Timeline!AI371</f>
        <v>0</v>
      </c>
      <c r="AJ1073" s="133">
        <f ca="1">AJ1027+AJ1050*Timeline!AJ371</f>
        <v>0</v>
      </c>
      <c r="AK1073" s="133">
        <f ca="1">AK1027+AK1050*Timeline!AK371</f>
        <v>0</v>
      </c>
      <c r="AL1073" s="133">
        <f ca="1">AL1027+AL1050*Timeline!AL371</f>
        <v>0</v>
      </c>
      <c r="AM1073" s="133">
        <f ca="1">AM1027+AM1050*Timeline!AM371</f>
        <v>0</v>
      </c>
      <c r="AN1073" s="133">
        <f ca="1">AN1027+AN1050*Timeline!AN371</f>
        <v>0</v>
      </c>
      <c r="AO1073" s="133">
        <f ca="1">AO1027+AO1050*Timeline!AO371</f>
        <v>0</v>
      </c>
      <c r="AP1073" s="133">
        <f ca="1">AP1027+AP1050*Timeline!AP371</f>
        <v>0</v>
      </c>
      <c r="AQ1073" s="133">
        <f ca="1">AQ1027+AQ1050*Timeline!AQ371</f>
        <v>0</v>
      </c>
      <c r="AR1073" s="133">
        <f ca="1">AR1027+AR1050*Timeline!AR371</f>
        <v>0</v>
      </c>
      <c r="AS1073" s="133">
        <f ca="1">AS1027+AS1050*Timeline!AS371</f>
        <v>0</v>
      </c>
      <c r="AT1073" s="133">
        <f ca="1">AT1027+AT1050*Timeline!AT371</f>
        <v>0</v>
      </c>
      <c r="AU1073" s="133">
        <f ca="1">AU1027+AU1050*Timeline!AU371</f>
        <v>0</v>
      </c>
      <c r="AV1073" s="133">
        <f ca="1">AV1027+AV1050*Timeline!AV371</f>
        <v>0</v>
      </c>
      <c r="AW1073" s="133">
        <f ca="1">AW1027+AW1050*Timeline!AW371</f>
        <v>0</v>
      </c>
      <c r="AX1073" s="133">
        <f ca="1">AX1027+AX1050*Timeline!AX371</f>
        <v>0</v>
      </c>
      <c r="AY1073" s="133">
        <f ca="1">AY1027+AY1050*Timeline!AY371</f>
        <v>0</v>
      </c>
      <c r="AZ1073" s="133">
        <f ca="1">AZ1027+AZ1050*Timeline!AZ371</f>
        <v>0</v>
      </c>
      <c r="BA1073" s="133">
        <f ca="1">BA1027+BA1050*Timeline!BA371</f>
        <v>0</v>
      </c>
      <c r="BB1073" s="133">
        <f ca="1">BB1027+BB1050*Timeline!BB371</f>
        <v>0</v>
      </c>
      <c r="BC1073" s="133">
        <f ca="1">BC1027+BC1050*Timeline!BC371</f>
        <v>0</v>
      </c>
      <c r="BD1073" s="133">
        <f ca="1">BD1027+BD1050*Timeline!BD371</f>
        <v>0</v>
      </c>
      <c r="BE1073" s="133">
        <f ca="1">BE1027+BE1050*Timeline!BE371</f>
        <v>0</v>
      </c>
      <c r="BF1073" s="133">
        <f ca="1">BF1027+BF1050*Timeline!BF371</f>
        <v>0</v>
      </c>
      <c r="BG1073" s="133">
        <f ca="1">BG1027+BG1050*Timeline!BG371</f>
        <v>0</v>
      </c>
      <c r="BH1073" s="133">
        <f ca="1">BH1027+BH1050*Timeline!BH371</f>
        <v>0</v>
      </c>
      <c r="BI1073" s="133">
        <f ca="1">BI1027+BI1050*Timeline!BI371</f>
        <v>0</v>
      </c>
      <c r="BJ1073" s="133">
        <f ca="1">BJ1027+BJ1050*Timeline!BJ371</f>
        <v>0</v>
      </c>
      <c r="BK1073" s="106"/>
      <c r="BL1073" s="106"/>
      <c r="BM1073" s="106"/>
      <c r="BN1073" s="106"/>
      <c r="BO1073" s="106"/>
      <c r="BP1073" s="106"/>
      <c r="BQ1073" s="106"/>
      <c r="BR1073" s="106"/>
      <c r="BS1073" s="106"/>
      <c r="BT1073" s="106"/>
      <c r="BU1073" s="106"/>
      <c r="BV1073" s="106"/>
      <c r="BX1073" s="106"/>
      <c r="BY1073" s="12">
        <f t="shared" ca="1" si="1055"/>
        <v>0</v>
      </c>
      <c r="BZ1073" s="12">
        <f t="shared" ca="1" si="1056"/>
        <v>0</v>
      </c>
      <c r="CA1073" s="12">
        <f t="shared" ca="1" si="1057"/>
        <v>0</v>
      </c>
      <c r="CB1073" s="106"/>
      <c r="CC1073" s="106"/>
      <c r="CD1073" s="106"/>
      <c r="CE1073" s="106"/>
      <c r="CF1073" s="106"/>
      <c r="CG1073" s="106"/>
      <c r="CH1073" s="106"/>
      <c r="CI1073" s="106"/>
      <c r="CK1073" s="11"/>
      <c r="CM1073" s="11"/>
      <c r="CV1073" s="120"/>
      <c r="DF1073" s="11"/>
      <c r="EY1073" s="12" t="str">
        <f t="shared" ca="1" si="1058"/>
        <v>Interest Payable Amount due within one year after Covenant Breach Adjustment Loan 5</v>
      </c>
    </row>
    <row r="1074" spans="1:155" x14ac:dyDescent="0.35">
      <c r="B1074" s="69" t="str" cm="1">
        <f t="array" aca="1" ref="B1074" ca="1">HYPERLINK(CONCATENATE("#",CELL("address",$D$151)),$D$151)</f>
        <v>Loan 6</v>
      </c>
      <c r="C1074" s="211" t="str">
        <f t="shared" si="1053"/>
        <v>ST-LN-6-2CB</v>
      </c>
      <c r="D1074" s="49">
        <f>D$18</f>
        <v>0</v>
      </c>
      <c r="E1074" s="49" t="str">
        <f>F$18</f>
        <v/>
      </c>
      <c r="F1074" s="49"/>
      <c r="H1074" s="9"/>
      <c r="I1074" s="40" t="s">
        <v>665</v>
      </c>
      <c r="V1074" s="106"/>
      <c r="W1074" s="133">
        <f t="shared" ca="1" si="1054"/>
        <v>0</v>
      </c>
      <c r="X1074" s="133">
        <f t="shared" ca="1" si="1054"/>
        <v>0</v>
      </c>
      <c r="Y1074" s="133">
        <f t="shared" ca="1" si="1054"/>
        <v>0</v>
      </c>
      <c r="AA1074" s="133">
        <f ca="1">AA1028+AA1051*Timeline!AA372</f>
        <v>0</v>
      </c>
      <c r="AB1074" s="133">
        <f ca="1">AB1028+AB1051*Timeline!AB372</f>
        <v>0</v>
      </c>
      <c r="AC1074" s="133">
        <f ca="1">AC1028+AC1051*Timeline!AC372</f>
        <v>0</v>
      </c>
      <c r="AD1074" s="133">
        <f ca="1">AD1028+AD1051*Timeline!AD372</f>
        <v>0</v>
      </c>
      <c r="AE1074" s="133">
        <f ca="1">AE1028+AE1051*Timeline!AE372</f>
        <v>0</v>
      </c>
      <c r="AF1074" s="133">
        <f ca="1">AF1028+AF1051*Timeline!AF372</f>
        <v>0</v>
      </c>
      <c r="AG1074" s="133">
        <f ca="1">AG1028+AG1051*Timeline!AG372</f>
        <v>0</v>
      </c>
      <c r="AH1074" s="133">
        <f ca="1">AH1028+AH1051*Timeline!AH372</f>
        <v>0</v>
      </c>
      <c r="AI1074" s="133">
        <f ca="1">AI1028+AI1051*Timeline!AI372</f>
        <v>0</v>
      </c>
      <c r="AJ1074" s="133">
        <f ca="1">AJ1028+AJ1051*Timeline!AJ372</f>
        <v>0</v>
      </c>
      <c r="AK1074" s="133">
        <f ca="1">AK1028+AK1051*Timeline!AK372</f>
        <v>0</v>
      </c>
      <c r="AL1074" s="133">
        <f ca="1">AL1028+AL1051*Timeline!AL372</f>
        <v>0</v>
      </c>
      <c r="AM1074" s="133">
        <f ca="1">AM1028+AM1051*Timeline!AM372</f>
        <v>0</v>
      </c>
      <c r="AN1074" s="133">
        <f ca="1">AN1028+AN1051*Timeline!AN372</f>
        <v>0</v>
      </c>
      <c r="AO1074" s="133">
        <f ca="1">AO1028+AO1051*Timeline!AO372</f>
        <v>0</v>
      </c>
      <c r="AP1074" s="133">
        <f ca="1">AP1028+AP1051*Timeline!AP372</f>
        <v>0</v>
      </c>
      <c r="AQ1074" s="133">
        <f ca="1">AQ1028+AQ1051*Timeline!AQ372</f>
        <v>0</v>
      </c>
      <c r="AR1074" s="133">
        <f ca="1">AR1028+AR1051*Timeline!AR372</f>
        <v>0</v>
      </c>
      <c r="AS1074" s="133">
        <f ca="1">AS1028+AS1051*Timeline!AS372</f>
        <v>0</v>
      </c>
      <c r="AT1074" s="133">
        <f ca="1">AT1028+AT1051*Timeline!AT372</f>
        <v>0</v>
      </c>
      <c r="AU1074" s="133">
        <f ca="1">AU1028+AU1051*Timeline!AU372</f>
        <v>0</v>
      </c>
      <c r="AV1074" s="133">
        <f ca="1">AV1028+AV1051*Timeline!AV372</f>
        <v>0</v>
      </c>
      <c r="AW1074" s="133">
        <f ca="1">AW1028+AW1051*Timeline!AW372</f>
        <v>0</v>
      </c>
      <c r="AX1074" s="133">
        <f ca="1">AX1028+AX1051*Timeline!AX372</f>
        <v>0</v>
      </c>
      <c r="AY1074" s="133">
        <f ca="1">AY1028+AY1051*Timeline!AY372</f>
        <v>0</v>
      </c>
      <c r="AZ1074" s="133">
        <f ca="1">AZ1028+AZ1051*Timeline!AZ372</f>
        <v>0</v>
      </c>
      <c r="BA1074" s="133">
        <f ca="1">BA1028+BA1051*Timeline!BA372</f>
        <v>0</v>
      </c>
      <c r="BB1074" s="133">
        <f ca="1">BB1028+BB1051*Timeline!BB372</f>
        <v>0</v>
      </c>
      <c r="BC1074" s="133">
        <f ca="1">BC1028+BC1051*Timeline!BC372</f>
        <v>0</v>
      </c>
      <c r="BD1074" s="133">
        <f ca="1">BD1028+BD1051*Timeline!BD372</f>
        <v>0</v>
      </c>
      <c r="BE1074" s="133">
        <f ca="1">BE1028+BE1051*Timeline!BE372</f>
        <v>0</v>
      </c>
      <c r="BF1074" s="133">
        <f ca="1">BF1028+BF1051*Timeline!BF372</f>
        <v>0</v>
      </c>
      <c r="BG1074" s="133">
        <f ca="1">BG1028+BG1051*Timeline!BG372</f>
        <v>0</v>
      </c>
      <c r="BH1074" s="133">
        <f ca="1">BH1028+BH1051*Timeline!BH372</f>
        <v>0</v>
      </c>
      <c r="BI1074" s="133">
        <f ca="1">BI1028+BI1051*Timeline!BI372</f>
        <v>0</v>
      </c>
      <c r="BJ1074" s="133">
        <f ca="1">BJ1028+BJ1051*Timeline!BJ372</f>
        <v>0</v>
      </c>
      <c r="BK1074" s="106"/>
      <c r="BL1074" s="106"/>
      <c r="BM1074" s="106"/>
      <c r="BN1074" s="106"/>
      <c r="BO1074" s="106"/>
      <c r="BP1074" s="106"/>
      <c r="BQ1074" s="106"/>
      <c r="BR1074" s="106"/>
      <c r="BS1074" s="106"/>
      <c r="BT1074" s="106"/>
      <c r="BU1074" s="106"/>
      <c r="BV1074" s="106"/>
      <c r="BX1074" s="106"/>
      <c r="BY1074" s="12">
        <f t="shared" ca="1" si="1055"/>
        <v>0</v>
      </c>
      <c r="BZ1074" s="12">
        <f t="shared" ca="1" si="1056"/>
        <v>0</v>
      </c>
      <c r="CA1074" s="12">
        <f t="shared" ca="1" si="1057"/>
        <v>0</v>
      </c>
      <c r="CB1074" s="106"/>
      <c r="CC1074" s="106"/>
      <c r="CD1074" s="106"/>
      <c r="CE1074" s="106"/>
      <c r="CF1074" s="106"/>
      <c r="CG1074" s="106"/>
      <c r="CH1074" s="106"/>
      <c r="CI1074" s="106"/>
      <c r="CK1074" s="11"/>
      <c r="CM1074" s="11"/>
      <c r="CV1074" s="120"/>
      <c r="DF1074" s="11"/>
      <c r="EY1074" s="12" t="str">
        <f t="shared" ca="1" si="1058"/>
        <v>Interest Payable Amount due within one year after Covenant Breach Adjustment Loan 6</v>
      </c>
    </row>
    <row r="1075" spans="1:155" x14ac:dyDescent="0.35">
      <c r="B1075" s="69" t="str" cm="1">
        <f t="array" aca="1" ref="B1075" ca="1">HYPERLINK(CONCATENATE("#",CELL("address",$D$170)),$D$170)</f>
        <v>Loan 7</v>
      </c>
      <c r="C1075" s="211" t="str">
        <f t="shared" si="1053"/>
        <v>ST-LN-7-2CB</v>
      </c>
      <c r="D1075" s="49">
        <f>D$19</f>
        <v>0</v>
      </c>
      <c r="E1075" s="49" t="str">
        <f>F$19</f>
        <v/>
      </c>
      <c r="F1075" s="49"/>
      <c r="H1075" s="9"/>
      <c r="I1075" s="40" t="s">
        <v>665</v>
      </c>
      <c r="V1075" s="106"/>
      <c r="W1075" s="133">
        <f t="shared" ca="1" si="1054"/>
        <v>0</v>
      </c>
      <c r="X1075" s="133">
        <f t="shared" ca="1" si="1054"/>
        <v>0</v>
      </c>
      <c r="Y1075" s="133">
        <f t="shared" ca="1" si="1054"/>
        <v>0</v>
      </c>
      <c r="AA1075" s="133">
        <f ca="1">AA1029+AA1052*Timeline!AA373</f>
        <v>0</v>
      </c>
      <c r="AB1075" s="133">
        <f ca="1">AB1029+AB1052*Timeline!AB373</f>
        <v>0</v>
      </c>
      <c r="AC1075" s="133">
        <f ca="1">AC1029+AC1052*Timeline!AC373</f>
        <v>0</v>
      </c>
      <c r="AD1075" s="133">
        <f ca="1">AD1029+AD1052*Timeline!AD373</f>
        <v>0</v>
      </c>
      <c r="AE1075" s="133">
        <f ca="1">AE1029+AE1052*Timeline!AE373</f>
        <v>0</v>
      </c>
      <c r="AF1075" s="133">
        <f ca="1">AF1029+AF1052*Timeline!AF373</f>
        <v>0</v>
      </c>
      <c r="AG1075" s="133">
        <f ca="1">AG1029+AG1052*Timeline!AG373</f>
        <v>0</v>
      </c>
      <c r="AH1075" s="133">
        <f ca="1">AH1029+AH1052*Timeline!AH373</f>
        <v>0</v>
      </c>
      <c r="AI1075" s="133">
        <f ca="1">AI1029+AI1052*Timeline!AI373</f>
        <v>0</v>
      </c>
      <c r="AJ1075" s="133">
        <f ca="1">AJ1029+AJ1052*Timeline!AJ373</f>
        <v>0</v>
      </c>
      <c r="AK1075" s="133">
        <f ca="1">AK1029+AK1052*Timeline!AK373</f>
        <v>0</v>
      </c>
      <c r="AL1075" s="133">
        <f ca="1">AL1029+AL1052*Timeline!AL373</f>
        <v>0</v>
      </c>
      <c r="AM1075" s="133">
        <f ca="1">AM1029+AM1052*Timeline!AM373</f>
        <v>0</v>
      </c>
      <c r="AN1075" s="133">
        <f ca="1">AN1029+AN1052*Timeline!AN373</f>
        <v>0</v>
      </c>
      <c r="AO1075" s="133">
        <f ca="1">AO1029+AO1052*Timeline!AO373</f>
        <v>0</v>
      </c>
      <c r="AP1075" s="133">
        <f ca="1">AP1029+AP1052*Timeline!AP373</f>
        <v>0</v>
      </c>
      <c r="AQ1075" s="133">
        <f ca="1">AQ1029+AQ1052*Timeline!AQ373</f>
        <v>0</v>
      </c>
      <c r="AR1075" s="133">
        <f ca="1">AR1029+AR1052*Timeline!AR373</f>
        <v>0</v>
      </c>
      <c r="AS1075" s="133">
        <f ca="1">AS1029+AS1052*Timeline!AS373</f>
        <v>0</v>
      </c>
      <c r="AT1075" s="133">
        <f ca="1">AT1029+AT1052*Timeline!AT373</f>
        <v>0</v>
      </c>
      <c r="AU1075" s="133">
        <f ca="1">AU1029+AU1052*Timeline!AU373</f>
        <v>0</v>
      </c>
      <c r="AV1075" s="133">
        <f ca="1">AV1029+AV1052*Timeline!AV373</f>
        <v>0</v>
      </c>
      <c r="AW1075" s="133">
        <f ca="1">AW1029+AW1052*Timeline!AW373</f>
        <v>0</v>
      </c>
      <c r="AX1075" s="133">
        <f ca="1">AX1029+AX1052*Timeline!AX373</f>
        <v>0</v>
      </c>
      <c r="AY1075" s="133">
        <f ca="1">AY1029+AY1052*Timeline!AY373</f>
        <v>0</v>
      </c>
      <c r="AZ1075" s="133">
        <f ca="1">AZ1029+AZ1052*Timeline!AZ373</f>
        <v>0</v>
      </c>
      <c r="BA1075" s="133">
        <f ca="1">BA1029+BA1052*Timeline!BA373</f>
        <v>0</v>
      </c>
      <c r="BB1075" s="133">
        <f ca="1">BB1029+BB1052*Timeline!BB373</f>
        <v>0</v>
      </c>
      <c r="BC1075" s="133">
        <f ca="1">BC1029+BC1052*Timeline!BC373</f>
        <v>0</v>
      </c>
      <c r="BD1075" s="133">
        <f ca="1">BD1029+BD1052*Timeline!BD373</f>
        <v>0</v>
      </c>
      <c r="BE1075" s="133">
        <f ca="1">BE1029+BE1052*Timeline!BE373</f>
        <v>0</v>
      </c>
      <c r="BF1075" s="133">
        <f ca="1">BF1029+BF1052*Timeline!BF373</f>
        <v>0</v>
      </c>
      <c r="BG1075" s="133">
        <f ca="1">BG1029+BG1052*Timeline!BG373</f>
        <v>0</v>
      </c>
      <c r="BH1075" s="133">
        <f ca="1">BH1029+BH1052*Timeline!BH373</f>
        <v>0</v>
      </c>
      <c r="BI1075" s="133">
        <f ca="1">BI1029+BI1052*Timeline!BI373</f>
        <v>0</v>
      </c>
      <c r="BJ1075" s="133">
        <f ca="1">BJ1029+BJ1052*Timeline!BJ373</f>
        <v>0</v>
      </c>
      <c r="BK1075" s="106"/>
      <c r="BL1075" s="106"/>
      <c r="BM1075" s="106"/>
      <c r="BN1075" s="106"/>
      <c r="BO1075" s="106"/>
      <c r="BP1075" s="106"/>
      <c r="BQ1075" s="106"/>
      <c r="BR1075" s="106"/>
      <c r="BS1075" s="106"/>
      <c r="BT1075" s="106"/>
      <c r="BU1075" s="106"/>
      <c r="BV1075" s="106"/>
      <c r="BX1075" s="106"/>
      <c r="BY1075" s="12">
        <f t="shared" ca="1" si="1055"/>
        <v>0</v>
      </c>
      <c r="BZ1075" s="12">
        <f t="shared" ca="1" si="1056"/>
        <v>0</v>
      </c>
      <c r="CA1075" s="12">
        <f t="shared" ca="1" si="1057"/>
        <v>0</v>
      </c>
      <c r="CB1075" s="106"/>
      <c r="CC1075" s="106"/>
      <c r="CD1075" s="106"/>
      <c r="CE1075" s="106"/>
      <c r="CF1075" s="106"/>
      <c r="CG1075" s="106"/>
      <c r="CH1075" s="106"/>
      <c r="CI1075" s="106"/>
      <c r="CK1075" s="11"/>
      <c r="CM1075" s="11"/>
      <c r="CV1075" s="120"/>
      <c r="DF1075" s="11"/>
      <c r="EY1075" s="12" t="str">
        <f t="shared" ca="1" si="1058"/>
        <v>Interest Payable Amount due within one year after Covenant Breach Adjustment Loan 7</v>
      </c>
    </row>
    <row r="1076" spans="1:155" x14ac:dyDescent="0.35">
      <c r="B1076" s="69" t="str" cm="1">
        <f t="array" aca="1" ref="B1076" ca="1">HYPERLINK(CONCATENATE("#",CELL("address",$D$189)),$D$189)</f>
        <v>Loan 8</v>
      </c>
      <c r="C1076" s="211" t="str">
        <f t="shared" si="1053"/>
        <v>ST-LN-8-2CB</v>
      </c>
      <c r="D1076" s="49">
        <f>D$20</f>
        <v>0</v>
      </c>
      <c r="E1076" s="49" t="str">
        <f>F$20</f>
        <v/>
      </c>
      <c r="F1076" s="49"/>
      <c r="H1076" s="9"/>
      <c r="I1076" s="40" t="s">
        <v>665</v>
      </c>
      <c r="V1076" s="106"/>
      <c r="W1076" s="133">
        <f t="shared" ca="1" si="1054"/>
        <v>0</v>
      </c>
      <c r="X1076" s="133">
        <f t="shared" ca="1" si="1054"/>
        <v>0</v>
      </c>
      <c r="Y1076" s="133">
        <f t="shared" ca="1" si="1054"/>
        <v>0</v>
      </c>
      <c r="AA1076" s="133">
        <f ca="1">AA1030+AA1053*Timeline!AA374</f>
        <v>0</v>
      </c>
      <c r="AB1076" s="133">
        <f ca="1">AB1030+AB1053*Timeline!AB374</f>
        <v>0</v>
      </c>
      <c r="AC1076" s="133">
        <f ca="1">AC1030+AC1053*Timeline!AC374</f>
        <v>0</v>
      </c>
      <c r="AD1076" s="133">
        <f ca="1">AD1030+AD1053*Timeline!AD374</f>
        <v>0</v>
      </c>
      <c r="AE1076" s="133">
        <f ca="1">AE1030+AE1053*Timeline!AE374</f>
        <v>0</v>
      </c>
      <c r="AF1076" s="133">
        <f ca="1">AF1030+AF1053*Timeline!AF374</f>
        <v>0</v>
      </c>
      <c r="AG1076" s="133">
        <f ca="1">AG1030+AG1053*Timeline!AG374</f>
        <v>0</v>
      </c>
      <c r="AH1076" s="133">
        <f ca="1">AH1030+AH1053*Timeline!AH374</f>
        <v>0</v>
      </c>
      <c r="AI1076" s="133">
        <f ca="1">AI1030+AI1053*Timeline!AI374</f>
        <v>0</v>
      </c>
      <c r="AJ1076" s="133">
        <f ca="1">AJ1030+AJ1053*Timeline!AJ374</f>
        <v>0</v>
      </c>
      <c r="AK1076" s="133">
        <f ca="1">AK1030+AK1053*Timeline!AK374</f>
        <v>0</v>
      </c>
      <c r="AL1076" s="133">
        <f ca="1">AL1030+AL1053*Timeline!AL374</f>
        <v>0</v>
      </c>
      <c r="AM1076" s="133">
        <f ca="1">AM1030+AM1053*Timeline!AM374</f>
        <v>0</v>
      </c>
      <c r="AN1076" s="133">
        <f ca="1">AN1030+AN1053*Timeline!AN374</f>
        <v>0</v>
      </c>
      <c r="AO1076" s="133">
        <f ca="1">AO1030+AO1053*Timeline!AO374</f>
        <v>0</v>
      </c>
      <c r="AP1076" s="133">
        <f ca="1">AP1030+AP1053*Timeline!AP374</f>
        <v>0</v>
      </c>
      <c r="AQ1076" s="133">
        <f ca="1">AQ1030+AQ1053*Timeline!AQ374</f>
        <v>0</v>
      </c>
      <c r="AR1076" s="133">
        <f ca="1">AR1030+AR1053*Timeline!AR374</f>
        <v>0</v>
      </c>
      <c r="AS1076" s="133">
        <f ca="1">AS1030+AS1053*Timeline!AS374</f>
        <v>0</v>
      </c>
      <c r="AT1076" s="133">
        <f ca="1">AT1030+AT1053*Timeline!AT374</f>
        <v>0</v>
      </c>
      <c r="AU1076" s="133">
        <f ca="1">AU1030+AU1053*Timeline!AU374</f>
        <v>0</v>
      </c>
      <c r="AV1076" s="133">
        <f ca="1">AV1030+AV1053*Timeline!AV374</f>
        <v>0</v>
      </c>
      <c r="AW1076" s="133">
        <f ca="1">AW1030+AW1053*Timeline!AW374</f>
        <v>0</v>
      </c>
      <c r="AX1076" s="133">
        <f ca="1">AX1030+AX1053*Timeline!AX374</f>
        <v>0</v>
      </c>
      <c r="AY1076" s="133">
        <f ca="1">AY1030+AY1053*Timeline!AY374</f>
        <v>0</v>
      </c>
      <c r="AZ1076" s="133">
        <f ca="1">AZ1030+AZ1053*Timeline!AZ374</f>
        <v>0</v>
      </c>
      <c r="BA1076" s="133">
        <f ca="1">BA1030+BA1053*Timeline!BA374</f>
        <v>0</v>
      </c>
      <c r="BB1076" s="133">
        <f ca="1">BB1030+BB1053*Timeline!BB374</f>
        <v>0</v>
      </c>
      <c r="BC1076" s="133">
        <f ca="1">BC1030+BC1053*Timeline!BC374</f>
        <v>0</v>
      </c>
      <c r="BD1076" s="133">
        <f ca="1">BD1030+BD1053*Timeline!BD374</f>
        <v>0</v>
      </c>
      <c r="BE1076" s="133">
        <f ca="1">BE1030+BE1053*Timeline!BE374</f>
        <v>0</v>
      </c>
      <c r="BF1076" s="133">
        <f ca="1">BF1030+BF1053*Timeline!BF374</f>
        <v>0</v>
      </c>
      <c r="BG1076" s="133">
        <f ca="1">BG1030+BG1053*Timeline!BG374</f>
        <v>0</v>
      </c>
      <c r="BH1076" s="133">
        <f ca="1">BH1030+BH1053*Timeline!BH374</f>
        <v>0</v>
      </c>
      <c r="BI1076" s="133">
        <f ca="1">BI1030+BI1053*Timeline!BI374</f>
        <v>0</v>
      </c>
      <c r="BJ1076" s="133">
        <f ca="1">BJ1030+BJ1053*Timeline!BJ374</f>
        <v>0</v>
      </c>
      <c r="BK1076" s="106"/>
      <c r="BL1076" s="106"/>
      <c r="BM1076" s="106"/>
      <c r="BN1076" s="106"/>
      <c r="BO1076" s="106"/>
      <c r="BP1076" s="106"/>
      <c r="BQ1076" s="106"/>
      <c r="BR1076" s="106"/>
      <c r="BS1076" s="106"/>
      <c r="BT1076" s="106"/>
      <c r="BU1076" s="106"/>
      <c r="BV1076" s="106"/>
      <c r="BX1076" s="106"/>
      <c r="BY1076" s="12">
        <f t="shared" ca="1" si="1055"/>
        <v>0</v>
      </c>
      <c r="BZ1076" s="12">
        <f t="shared" ca="1" si="1056"/>
        <v>0</v>
      </c>
      <c r="CA1076" s="12">
        <f t="shared" ca="1" si="1057"/>
        <v>0</v>
      </c>
      <c r="CB1076" s="106"/>
      <c r="CC1076" s="106"/>
      <c r="CD1076" s="106"/>
      <c r="CE1076" s="106"/>
      <c r="CF1076" s="106"/>
      <c r="CG1076" s="106"/>
      <c r="CH1076" s="106"/>
      <c r="CI1076" s="106"/>
      <c r="CK1076" s="11"/>
      <c r="CM1076" s="11"/>
      <c r="CV1076" s="120"/>
      <c r="DF1076" s="11"/>
      <c r="EY1076" s="12" t="str">
        <f t="shared" ca="1" si="1058"/>
        <v>Interest Payable Amount due within one year after Covenant Breach Adjustment Loan 8</v>
      </c>
    </row>
    <row r="1077" spans="1:155" x14ac:dyDescent="0.35">
      <c r="B1077" s="69" t="str" cm="1">
        <f t="array" aca="1" ref="B1077" ca="1">HYPERLINK(CONCATENATE("#",CELL("address",$D$208)),$D$208)</f>
        <v>Loan 9</v>
      </c>
      <c r="C1077" s="211" t="str">
        <f t="shared" si="1053"/>
        <v>ST-LN-9-2CB</v>
      </c>
      <c r="D1077" s="49">
        <f>D$21</f>
        <v>0</v>
      </c>
      <c r="E1077" s="49" t="str">
        <f>F$21</f>
        <v/>
      </c>
      <c r="F1077" s="49"/>
      <c r="H1077" s="9"/>
      <c r="I1077" s="40" t="s">
        <v>665</v>
      </c>
      <c r="V1077" s="106"/>
      <c r="W1077" s="133">
        <f t="shared" ca="1" si="1054"/>
        <v>0</v>
      </c>
      <c r="X1077" s="133">
        <f t="shared" ca="1" si="1054"/>
        <v>0</v>
      </c>
      <c r="Y1077" s="133">
        <f t="shared" ca="1" si="1054"/>
        <v>0</v>
      </c>
      <c r="AA1077" s="133">
        <f ca="1">AA1031+AA1054*Timeline!AA375</f>
        <v>0</v>
      </c>
      <c r="AB1077" s="133">
        <f ca="1">AB1031+AB1054*Timeline!AB375</f>
        <v>0</v>
      </c>
      <c r="AC1077" s="133">
        <f ca="1">AC1031+AC1054*Timeline!AC375</f>
        <v>0</v>
      </c>
      <c r="AD1077" s="133">
        <f ca="1">AD1031+AD1054*Timeline!AD375</f>
        <v>0</v>
      </c>
      <c r="AE1077" s="133">
        <f ca="1">AE1031+AE1054*Timeline!AE375</f>
        <v>0</v>
      </c>
      <c r="AF1077" s="133">
        <f ca="1">AF1031+AF1054*Timeline!AF375</f>
        <v>0</v>
      </c>
      <c r="AG1077" s="133">
        <f ca="1">AG1031+AG1054*Timeline!AG375</f>
        <v>0</v>
      </c>
      <c r="AH1077" s="133">
        <f ca="1">AH1031+AH1054*Timeline!AH375</f>
        <v>0</v>
      </c>
      <c r="AI1077" s="133">
        <f ca="1">AI1031+AI1054*Timeline!AI375</f>
        <v>0</v>
      </c>
      <c r="AJ1077" s="133">
        <f ca="1">AJ1031+AJ1054*Timeline!AJ375</f>
        <v>0</v>
      </c>
      <c r="AK1077" s="133">
        <f ca="1">AK1031+AK1054*Timeline!AK375</f>
        <v>0</v>
      </c>
      <c r="AL1077" s="133">
        <f ca="1">AL1031+AL1054*Timeline!AL375</f>
        <v>0</v>
      </c>
      <c r="AM1077" s="133">
        <f ca="1">AM1031+AM1054*Timeline!AM375</f>
        <v>0</v>
      </c>
      <c r="AN1077" s="133">
        <f ca="1">AN1031+AN1054*Timeline!AN375</f>
        <v>0</v>
      </c>
      <c r="AO1077" s="133">
        <f ca="1">AO1031+AO1054*Timeline!AO375</f>
        <v>0</v>
      </c>
      <c r="AP1077" s="133">
        <f ca="1">AP1031+AP1054*Timeline!AP375</f>
        <v>0</v>
      </c>
      <c r="AQ1077" s="133">
        <f ca="1">AQ1031+AQ1054*Timeline!AQ375</f>
        <v>0</v>
      </c>
      <c r="AR1077" s="133">
        <f ca="1">AR1031+AR1054*Timeline!AR375</f>
        <v>0</v>
      </c>
      <c r="AS1077" s="133">
        <f ca="1">AS1031+AS1054*Timeline!AS375</f>
        <v>0</v>
      </c>
      <c r="AT1077" s="133">
        <f ca="1">AT1031+AT1054*Timeline!AT375</f>
        <v>0</v>
      </c>
      <c r="AU1077" s="133">
        <f ca="1">AU1031+AU1054*Timeline!AU375</f>
        <v>0</v>
      </c>
      <c r="AV1077" s="133">
        <f ca="1">AV1031+AV1054*Timeline!AV375</f>
        <v>0</v>
      </c>
      <c r="AW1077" s="133">
        <f ca="1">AW1031+AW1054*Timeline!AW375</f>
        <v>0</v>
      </c>
      <c r="AX1077" s="133">
        <f ca="1">AX1031+AX1054*Timeline!AX375</f>
        <v>0</v>
      </c>
      <c r="AY1077" s="133">
        <f ca="1">AY1031+AY1054*Timeline!AY375</f>
        <v>0</v>
      </c>
      <c r="AZ1077" s="133">
        <f ca="1">AZ1031+AZ1054*Timeline!AZ375</f>
        <v>0</v>
      </c>
      <c r="BA1077" s="133">
        <f ca="1">BA1031+BA1054*Timeline!BA375</f>
        <v>0</v>
      </c>
      <c r="BB1077" s="133">
        <f ca="1">BB1031+BB1054*Timeline!BB375</f>
        <v>0</v>
      </c>
      <c r="BC1077" s="133">
        <f ca="1">BC1031+BC1054*Timeline!BC375</f>
        <v>0</v>
      </c>
      <c r="BD1077" s="133">
        <f ca="1">BD1031+BD1054*Timeline!BD375</f>
        <v>0</v>
      </c>
      <c r="BE1077" s="133">
        <f ca="1">BE1031+BE1054*Timeline!BE375</f>
        <v>0</v>
      </c>
      <c r="BF1077" s="133">
        <f ca="1">BF1031+BF1054*Timeline!BF375</f>
        <v>0</v>
      </c>
      <c r="BG1077" s="133">
        <f ca="1">BG1031+BG1054*Timeline!BG375</f>
        <v>0</v>
      </c>
      <c r="BH1077" s="133">
        <f ca="1">BH1031+BH1054*Timeline!BH375</f>
        <v>0</v>
      </c>
      <c r="BI1077" s="133">
        <f ca="1">BI1031+BI1054*Timeline!BI375</f>
        <v>0</v>
      </c>
      <c r="BJ1077" s="133">
        <f ca="1">BJ1031+BJ1054*Timeline!BJ375</f>
        <v>0</v>
      </c>
      <c r="BK1077" s="106"/>
      <c r="BL1077" s="106"/>
      <c r="BM1077" s="106"/>
      <c r="BN1077" s="106"/>
      <c r="BO1077" s="106"/>
      <c r="BP1077" s="106"/>
      <c r="BQ1077" s="106"/>
      <c r="BR1077" s="106"/>
      <c r="BS1077" s="106"/>
      <c r="BT1077" s="106"/>
      <c r="BU1077" s="106"/>
      <c r="BV1077" s="106"/>
      <c r="BX1077" s="106"/>
      <c r="BY1077" s="12">
        <f t="shared" ca="1" si="1055"/>
        <v>0</v>
      </c>
      <c r="BZ1077" s="12">
        <f t="shared" ca="1" si="1056"/>
        <v>0</v>
      </c>
      <c r="CA1077" s="12">
        <f t="shared" ca="1" si="1057"/>
        <v>0</v>
      </c>
      <c r="CB1077" s="106"/>
      <c r="CC1077" s="106"/>
      <c r="CD1077" s="106"/>
      <c r="CE1077" s="106"/>
      <c r="CF1077" s="106"/>
      <c r="CG1077" s="106"/>
      <c r="CH1077" s="106"/>
      <c r="CI1077" s="106"/>
      <c r="CK1077" s="11"/>
      <c r="CM1077" s="11"/>
      <c r="CV1077" s="120"/>
      <c r="DF1077" s="11"/>
      <c r="EY1077" s="12" t="str">
        <f t="shared" ca="1" si="1058"/>
        <v>Interest Payable Amount due within one year after Covenant Breach Adjustment Loan 9</v>
      </c>
    </row>
    <row r="1078" spans="1:155" x14ac:dyDescent="0.35">
      <c r="B1078" s="69" t="str" cm="1">
        <f t="array" aca="1" ref="B1078" ca="1">HYPERLINK(CONCATENATE("#",CELL("address",$D$227)),$D$227)</f>
        <v>Loan 10</v>
      </c>
      <c r="C1078" s="211" t="str">
        <f t="shared" si="1053"/>
        <v>ST-LN-10-2CB</v>
      </c>
      <c r="D1078" s="49">
        <f>D$22</f>
        <v>0</v>
      </c>
      <c r="E1078" s="49" t="str">
        <f>F$22</f>
        <v/>
      </c>
      <c r="F1078" s="49"/>
      <c r="H1078" s="9"/>
      <c r="I1078" s="40" t="s">
        <v>665</v>
      </c>
      <c r="V1078" s="106"/>
      <c r="W1078" s="133">
        <f t="shared" ca="1" si="1054"/>
        <v>0</v>
      </c>
      <c r="X1078" s="133">
        <f t="shared" ca="1" si="1054"/>
        <v>0</v>
      </c>
      <c r="Y1078" s="133">
        <f t="shared" ca="1" si="1054"/>
        <v>0</v>
      </c>
      <c r="AA1078" s="133">
        <f ca="1">AA1032+AA1055*Timeline!AA376</f>
        <v>0</v>
      </c>
      <c r="AB1078" s="133">
        <f ca="1">AB1032+AB1055*Timeline!AB376</f>
        <v>0</v>
      </c>
      <c r="AC1078" s="133">
        <f ca="1">AC1032+AC1055*Timeline!AC376</f>
        <v>0</v>
      </c>
      <c r="AD1078" s="133">
        <f ca="1">AD1032+AD1055*Timeline!AD376</f>
        <v>0</v>
      </c>
      <c r="AE1078" s="133">
        <f ca="1">AE1032+AE1055*Timeline!AE376</f>
        <v>0</v>
      </c>
      <c r="AF1078" s="133">
        <f ca="1">AF1032+AF1055*Timeline!AF376</f>
        <v>0</v>
      </c>
      <c r="AG1078" s="133">
        <f ca="1">AG1032+AG1055*Timeline!AG376</f>
        <v>0</v>
      </c>
      <c r="AH1078" s="133">
        <f ca="1">AH1032+AH1055*Timeline!AH376</f>
        <v>0</v>
      </c>
      <c r="AI1078" s="133">
        <f ca="1">AI1032+AI1055*Timeline!AI376</f>
        <v>0</v>
      </c>
      <c r="AJ1078" s="133">
        <f ca="1">AJ1032+AJ1055*Timeline!AJ376</f>
        <v>0</v>
      </c>
      <c r="AK1078" s="133">
        <f ca="1">AK1032+AK1055*Timeline!AK376</f>
        <v>0</v>
      </c>
      <c r="AL1078" s="133">
        <f ca="1">AL1032+AL1055*Timeline!AL376</f>
        <v>0</v>
      </c>
      <c r="AM1078" s="133">
        <f ca="1">AM1032+AM1055*Timeline!AM376</f>
        <v>0</v>
      </c>
      <c r="AN1078" s="133">
        <f ca="1">AN1032+AN1055*Timeline!AN376</f>
        <v>0</v>
      </c>
      <c r="AO1078" s="133">
        <f ca="1">AO1032+AO1055*Timeline!AO376</f>
        <v>0</v>
      </c>
      <c r="AP1078" s="133">
        <f ca="1">AP1032+AP1055*Timeline!AP376</f>
        <v>0</v>
      </c>
      <c r="AQ1078" s="133">
        <f ca="1">AQ1032+AQ1055*Timeline!AQ376</f>
        <v>0</v>
      </c>
      <c r="AR1078" s="133">
        <f ca="1">AR1032+AR1055*Timeline!AR376</f>
        <v>0</v>
      </c>
      <c r="AS1078" s="133">
        <f ca="1">AS1032+AS1055*Timeline!AS376</f>
        <v>0</v>
      </c>
      <c r="AT1078" s="133">
        <f ca="1">AT1032+AT1055*Timeline!AT376</f>
        <v>0</v>
      </c>
      <c r="AU1078" s="133">
        <f ca="1">AU1032+AU1055*Timeline!AU376</f>
        <v>0</v>
      </c>
      <c r="AV1078" s="133">
        <f ca="1">AV1032+AV1055*Timeline!AV376</f>
        <v>0</v>
      </c>
      <c r="AW1078" s="133">
        <f ca="1">AW1032+AW1055*Timeline!AW376</f>
        <v>0</v>
      </c>
      <c r="AX1078" s="133">
        <f ca="1">AX1032+AX1055*Timeline!AX376</f>
        <v>0</v>
      </c>
      <c r="AY1078" s="133">
        <f ca="1">AY1032+AY1055*Timeline!AY376</f>
        <v>0</v>
      </c>
      <c r="AZ1078" s="133">
        <f ca="1">AZ1032+AZ1055*Timeline!AZ376</f>
        <v>0</v>
      </c>
      <c r="BA1078" s="133">
        <f ca="1">BA1032+BA1055*Timeline!BA376</f>
        <v>0</v>
      </c>
      <c r="BB1078" s="133">
        <f ca="1">BB1032+BB1055*Timeline!BB376</f>
        <v>0</v>
      </c>
      <c r="BC1078" s="133">
        <f ca="1">BC1032+BC1055*Timeline!BC376</f>
        <v>0</v>
      </c>
      <c r="BD1078" s="133">
        <f ca="1">BD1032+BD1055*Timeline!BD376</f>
        <v>0</v>
      </c>
      <c r="BE1078" s="133">
        <f ca="1">BE1032+BE1055*Timeline!BE376</f>
        <v>0</v>
      </c>
      <c r="BF1078" s="133">
        <f ca="1">BF1032+BF1055*Timeline!BF376</f>
        <v>0</v>
      </c>
      <c r="BG1078" s="133">
        <f ca="1">BG1032+BG1055*Timeline!BG376</f>
        <v>0</v>
      </c>
      <c r="BH1078" s="133">
        <f ca="1">BH1032+BH1055*Timeline!BH376</f>
        <v>0</v>
      </c>
      <c r="BI1078" s="133">
        <f ca="1">BI1032+BI1055*Timeline!BI376</f>
        <v>0</v>
      </c>
      <c r="BJ1078" s="133">
        <f ca="1">BJ1032+BJ1055*Timeline!BJ376</f>
        <v>0</v>
      </c>
      <c r="BK1078" s="106"/>
      <c r="BL1078" s="106"/>
      <c r="BM1078" s="106"/>
      <c r="BN1078" s="106"/>
      <c r="BO1078" s="106"/>
      <c r="BP1078" s="106"/>
      <c r="BQ1078" s="106"/>
      <c r="BR1078" s="106"/>
      <c r="BS1078" s="106"/>
      <c r="BT1078" s="106"/>
      <c r="BU1078" s="106"/>
      <c r="BV1078" s="106"/>
      <c r="BX1078" s="106"/>
      <c r="BY1078" s="12">
        <f t="shared" ca="1" si="1055"/>
        <v>0</v>
      </c>
      <c r="BZ1078" s="12">
        <f t="shared" ca="1" si="1056"/>
        <v>0</v>
      </c>
      <c r="CA1078" s="12">
        <f t="shared" ca="1" si="1057"/>
        <v>0</v>
      </c>
      <c r="CB1078" s="106"/>
      <c r="CC1078" s="106"/>
      <c r="CD1078" s="106"/>
      <c r="CE1078" s="106"/>
      <c r="CF1078" s="106"/>
      <c r="CG1078" s="106"/>
      <c r="CH1078" s="106"/>
      <c r="CI1078" s="106"/>
      <c r="CK1078" s="11"/>
      <c r="CM1078" s="11"/>
      <c r="CV1078" s="120"/>
      <c r="DF1078" s="11"/>
      <c r="EY1078" s="12" t="str">
        <f t="shared" ca="1" si="1058"/>
        <v>Interest Payable Amount due within one year after Covenant Breach Adjustment Loan 10</v>
      </c>
    </row>
    <row r="1079" spans="1:155" x14ac:dyDescent="0.35">
      <c r="B1079" s="69" t="str" cm="1">
        <f t="array" aca="1" ref="B1079" ca="1">HYPERLINK(CONCATENATE("#",CELL("address",$D$246)),$D$246)</f>
        <v>Loan 11</v>
      </c>
      <c r="C1079" s="211" t="str">
        <f t="shared" si="1053"/>
        <v>ST-LN-11-2CB</v>
      </c>
      <c r="D1079" s="49">
        <f>D$23</f>
        <v>0</v>
      </c>
      <c r="E1079" s="49" t="str">
        <f>F$23</f>
        <v/>
      </c>
      <c r="F1079" s="49"/>
      <c r="H1079" s="9"/>
      <c r="I1079" s="40" t="s">
        <v>665</v>
      </c>
      <c r="V1079" s="106"/>
      <c r="W1079" s="133">
        <f t="shared" ca="1" si="1054"/>
        <v>0</v>
      </c>
      <c r="X1079" s="133">
        <f t="shared" ca="1" si="1054"/>
        <v>0</v>
      </c>
      <c r="Y1079" s="133">
        <f t="shared" ca="1" si="1054"/>
        <v>0</v>
      </c>
      <c r="AA1079" s="133">
        <f ca="1">AA1033+AA1056*Timeline!AA377</f>
        <v>0</v>
      </c>
      <c r="AB1079" s="133">
        <f ca="1">AB1033+AB1056*Timeline!AB377</f>
        <v>0</v>
      </c>
      <c r="AC1079" s="133">
        <f ca="1">AC1033+AC1056*Timeline!AC377</f>
        <v>0</v>
      </c>
      <c r="AD1079" s="133">
        <f ca="1">AD1033+AD1056*Timeline!AD377</f>
        <v>0</v>
      </c>
      <c r="AE1079" s="133">
        <f ca="1">AE1033+AE1056*Timeline!AE377</f>
        <v>0</v>
      </c>
      <c r="AF1079" s="133">
        <f ca="1">AF1033+AF1056*Timeline!AF377</f>
        <v>0</v>
      </c>
      <c r="AG1079" s="133">
        <f ca="1">AG1033+AG1056*Timeline!AG377</f>
        <v>0</v>
      </c>
      <c r="AH1079" s="133">
        <f ca="1">AH1033+AH1056*Timeline!AH377</f>
        <v>0</v>
      </c>
      <c r="AI1079" s="133">
        <f ca="1">AI1033+AI1056*Timeline!AI377</f>
        <v>0</v>
      </c>
      <c r="AJ1079" s="133">
        <f ca="1">AJ1033+AJ1056*Timeline!AJ377</f>
        <v>0</v>
      </c>
      <c r="AK1079" s="133">
        <f ca="1">AK1033+AK1056*Timeline!AK377</f>
        <v>0</v>
      </c>
      <c r="AL1079" s="133">
        <f ca="1">AL1033+AL1056*Timeline!AL377</f>
        <v>0</v>
      </c>
      <c r="AM1079" s="133">
        <f ca="1">AM1033+AM1056*Timeline!AM377</f>
        <v>0</v>
      </c>
      <c r="AN1079" s="133">
        <f ca="1">AN1033+AN1056*Timeline!AN377</f>
        <v>0</v>
      </c>
      <c r="AO1079" s="133">
        <f ca="1">AO1033+AO1056*Timeline!AO377</f>
        <v>0</v>
      </c>
      <c r="AP1079" s="133">
        <f ca="1">AP1033+AP1056*Timeline!AP377</f>
        <v>0</v>
      </c>
      <c r="AQ1079" s="133">
        <f ca="1">AQ1033+AQ1056*Timeline!AQ377</f>
        <v>0</v>
      </c>
      <c r="AR1079" s="133">
        <f ca="1">AR1033+AR1056*Timeline!AR377</f>
        <v>0</v>
      </c>
      <c r="AS1079" s="133">
        <f ca="1">AS1033+AS1056*Timeline!AS377</f>
        <v>0</v>
      </c>
      <c r="AT1079" s="133">
        <f ca="1">AT1033+AT1056*Timeline!AT377</f>
        <v>0</v>
      </c>
      <c r="AU1079" s="133">
        <f ca="1">AU1033+AU1056*Timeline!AU377</f>
        <v>0</v>
      </c>
      <c r="AV1079" s="133">
        <f ca="1">AV1033+AV1056*Timeline!AV377</f>
        <v>0</v>
      </c>
      <c r="AW1079" s="133">
        <f ca="1">AW1033+AW1056*Timeline!AW377</f>
        <v>0</v>
      </c>
      <c r="AX1079" s="133">
        <f ca="1">AX1033+AX1056*Timeline!AX377</f>
        <v>0</v>
      </c>
      <c r="AY1079" s="133">
        <f ca="1">AY1033+AY1056*Timeline!AY377</f>
        <v>0</v>
      </c>
      <c r="AZ1079" s="133">
        <f ca="1">AZ1033+AZ1056*Timeline!AZ377</f>
        <v>0</v>
      </c>
      <c r="BA1079" s="133">
        <f ca="1">BA1033+BA1056*Timeline!BA377</f>
        <v>0</v>
      </c>
      <c r="BB1079" s="133">
        <f ca="1">BB1033+BB1056*Timeline!BB377</f>
        <v>0</v>
      </c>
      <c r="BC1079" s="133">
        <f ca="1">BC1033+BC1056*Timeline!BC377</f>
        <v>0</v>
      </c>
      <c r="BD1079" s="133">
        <f ca="1">BD1033+BD1056*Timeline!BD377</f>
        <v>0</v>
      </c>
      <c r="BE1079" s="133">
        <f ca="1">BE1033+BE1056*Timeline!BE377</f>
        <v>0</v>
      </c>
      <c r="BF1079" s="133">
        <f ca="1">BF1033+BF1056*Timeline!BF377</f>
        <v>0</v>
      </c>
      <c r="BG1079" s="133">
        <f ca="1">BG1033+BG1056*Timeline!BG377</f>
        <v>0</v>
      </c>
      <c r="BH1079" s="133">
        <f ca="1">BH1033+BH1056*Timeline!BH377</f>
        <v>0</v>
      </c>
      <c r="BI1079" s="133">
        <f ca="1">BI1033+BI1056*Timeline!BI377</f>
        <v>0</v>
      </c>
      <c r="BJ1079" s="133">
        <f ca="1">BJ1033+BJ1056*Timeline!BJ377</f>
        <v>0</v>
      </c>
      <c r="BK1079" s="106"/>
      <c r="BL1079" s="106"/>
      <c r="BM1079" s="106"/>
      <c r="BN1079" s="106"/>
      <c r="BO1079" s="106"/>
      <c r="BP1079" s="106"/>
      <c r="BQ1079" s="106"/>
      <c r="BR1079" s="106"/>
      <c r="BS1079" s="106"/>
      <c r="BT1079" s="106"/>
      <c r="BU1079" s="106"/>
      <c r="BV1079" s="106"/>
      <c r="BX1079" s="106"/>
      <c r="BY1079" s="12">
        <f t="shared" ca="1" si="1055"/>
        <v>0</v>
      </c>
      <c r="BZ1079" s="12">
        <f t="shared" ca="1" si="1056"/>
        <v>0</v>
      </c>
      <c r="CA1079" s="12">
        <f t="shared" ca="1" si="1057"/>
        <v>0</v>
      </c>
      <c r="CB1079" s="106"/>
      <c r="CC1079" s="106"/>
      <c r="CD1079" s="106"/>
      <c r="CE1079" s="106"/>
      <c r="CF1079" s="106"/>
      <c r="CG1079" s="106"/>
      <c r="CH1079" s="106"/>
      <c r="CI1079" s="106"/>
      <c r="CK1079" s="11"/>
      <c r="CM1079" s="11"/>
      <c r="CV1079" s="120"/>
      <c r="DF1079" s="11"/>
      <c r="EY1079" s="12" t="str">
        <f t="shared" ca="1" si="1058"/>
        <v>Interest Payable Amount due within one year after Covenant Breach Adjustment Loan 11</v>
      </c>
    </row>
    <row r="1080" spans="1:155" x14ac:dyDescent="0.35">
      <c r="B1080" s="69" t="str" cm="1">
        <f t="array" aca="1" ref="B1080" ca="1">HYPERLINK(CONCATENATE("#",CELL("address",$D$265)),$D$265)</f>
        <v>Loan 12</v>
      </c>
      <c r="C1080" s="211" t="str">
        <f t="shared" si="1053"/>
        <v>ST-LN-12-2CB</v>
      </c>
      <c r="D1080" s="49">
        <f>D$24</f>
        <v>0</v>
      </c>
      <c r="E1080" s="49" t="str">
        <f>F$24</f>
        <v/>
      </c>
      <c r="F1080" s="49"/>
      <c r="H1080" s="9"/>
      <c r="I1080" s="40" t="s">
        <v>665</v>
      </c>
      <c r="V1080" s="106"/>
      <c r="W1080" s="133">
        <f t="shared" ca="1" si="1054"/>
        <v>0</v>
      </c>
      <c r="X1080" s="133">
        <f t="shared" ca="1" si="1054"/>
        <v>0</v>
      </c>
      <c r="Y1080" s="133">
        <f t="shared" ca="1" si="1054"/>
        <v>0</v>
      </c>
      <c r="AA1080" s="133">
        <f ca="1">AA1034+AA1057*Timeline!AA378</f>
        <v>0</v>
      </c>
      <c r="AB1080" s="133">
        <f ca="1">AB1034+AB1057*Timeline!AB378</f>
        <v>0</v>
      </c>
      <c r="AC1080" s="133">
        <f ca="1">AC1034+AC1057*Timeline!AC378</f>
        <v>0</v>
      </c>
      <c r="AD1080" s="133">
        <f ca="1">AD1034+AD1057*Timeline!AD378</f>
        <v>0</v>
      </c>
      <c r="AE1080" s="133">
        <f ca="1">AE1034+AE1057*Timeline!AE378</f>
        <v>0</v>
      </c>
      <c r="AF1080" s="133">
        <f ca="1">AF1034+AF1057*Timeline!AF378</f>
        <v>0</v>
      </c>
      <c r="AG1080" s="133">
        <f ca="1">AG1034+AG1057*Timeline!AG378</f>
        <v>0</v>
      </c>
      <c r="AH1080" s="133">
        <f ca="1">AH1034+AH1057*Timeline!AH378</f>
        <v>0</v>
      </c>
      <c r="AI1080" s="133">
        <f ca="1">AI1034+AI1057*Timeline!AI378</f>
        <v>0</v>
      </c>
      <c r="AJ1080" s="133">
        <f ca="1">AJ1034+AJ1057*Timeline!AJ378</f>
        <v>0</v>
      </c>
      <c r="AK1080" s="133">
        <f ca="1">AK1034+AK1057*Timeline!AK378</f>
        <v>0</v>
      </c>
      <c r="AL1080" s="133">
        <f ca="1">AL1034+AL1057*Timeline!AL378</f>
        <v>0</v>
      </c>
      <c r="AM1080" s="133">
        <f ca="1">AM1034+AM1057*Timeline!AM378</f>
        <v>0</v>
      </c>
      <c r="AN1080" s="133">
        <f ca="1">AN1034+AN1057*Timeline!AN378</f>
        <v>0</v>
      </c>
      <c r="AO1080" s="133">
        <f ca="1">AO1034+AO1057*Timeline!AO378</f>
        <v>0</v>
      </c>
      <c r="AP1080" s="133">
        <f ca="1">AP1034+AP1057*Timeline!AP378</f>
        <v>0</v>
      </c>
      <c r="AQ1080" s="133">
        <f ca="1">AQ1034+AQ1057*Timeline!AQ378</f>
        <v>0</v>
      </c>
      <c r="AR1080" s="133">
        <f ca="1">AR1034+AR1057*Timeline!AR378</f>
        <v>0</v>
      </c>
      <c r="AS1080" s="133">
        <f ca="1">AS1034+AS1057*Timeline!AS378</f>
        <v>0</v>
      </c>
      <c r="AT1080" s="133">
        <f ca="1">AT1034+AT1057*Timeline!AT378</f>
        <v>0</v>
      </c>
      <c r="AU1080" s="133">
        <f ca="1">AU1034+AU1057*Timeline!AU378</f>
        <v>0</v>
      </c>
      <c r="AV1080" s="133">
        <f ca="1">AV1034+AV1057*Timeline!AV378</f>
        <v>0</v>
      </c>
      <c r="AW1080" s="133">
        <f ca="1">AW1034+AW1057*Timeline!AW378</f>
        <v>0</v>
      </c>
      <c r="AX1080" s="133">
        <f ca="1">AX1034+AX1057*Timeline!AX378</f>
        <v>0</v>
      </c>
      <c r="AY1080" s="133">
        <f ca="1">AY1034+AY1057*Timeline!AY378</f>
        <v>0</v>
      </c>
      <c r="AZ1080" s="133">
        <f ca="1">AZ1034+AZ1057*Timeline!AZ378</f>
        <v>0</v>
      </c>
      <c r="BA1080" s="133">
        <f ca="1">BA1034+BA1057*Timeline!BA378</f>
        <v>0</v>
      </c>
      <c r="BB1080" s="133">
        <f ca="1">BB1034+BB1057*Timeline!BB378</f>
        <v>0</v>
      </c>
      <c r="BC1080" s="133">
        <f ca="1">BC1034+BC1057*Timeline!BC378</f>
        <v>0</v>
      </c>
      <c r="BD1080" s="133">
        <f ca="1">BD1034+BD1057*Timeline!BD378</f>
        <v>0</v>
      </c>
      <c r="BE1080" s="133">
        <f ca="1">BE1034+BE1057*Timeline!BE378</f>
        <v>0</v>
      </c>
      <c r="BF1080" s="133">
        <f ca="1">BF1034+BF1057*Timeline!BF378</f>
        <v>0</v>
      </c>
      <c r="BG1080" s="133">
        <f ca="1">BG1034+BG1057*Timeline!BG378</f>
        <v>0</v>
      </c>
      <c r="BH1080" s="133">
        <f ca="1">BH1034+BH1057*Timeline!BH378</f>
        <v>0</v>
      </c>
      <c r="BI1080" s="133">
        <f ca="1">BI1034+BI1057*Timeline!BI378</f>
        <v>0</v>
      </c>
      <c r="BJ1080" s="133">
        <f ca="1">BJ1034+BJ1057*Timeline!BJ378</f>
        <v>0</v>
      </c>
      <c r="BK1080" s="106"/>
      <c r="BL1080" s="106"/>
      <c r="BM1080" s="106"/>
      <c r="BN1080" s="106"/>
      <c r="BO1080" s="106"/>
      <c r="BP1080" s="106"/>
      <c r="BQ1080" s="106"/>
      <c r="BR1080" s="106"/>
      <c r="BS1080" s="106"/>
      <c r="BT1080" s="106"/>
      <c r="BU1080" s="106"/>
      <c r="BV1080" s="106"/>
      <c r="BX1080" s="106"/>
      <c r="BY1080" s="12">
        <f t="shared" ca="1" si="1055"/>
        <v>0</v>
      </c>
      <c r="BZ1080" s="12">
        <f t="shared" ca="1" si="1056"/>
        <v>0</v>
      </c>
      <c r="CA1080" s="12">
        <f t="shared" ca="1" si="1057"/>
        <v>0</v>
      </c>
      <c r="CB1080" s="106"/>
      <c r="CC1080" s="106"/>
      <c r="CD1080" s="106"/>
      <c r="CE1080" s="106"/>
      <c r="CF1080" s="106"/>
      <c r="CG1080" s="106"/>
      <c r="CH1080" s="106"/>
      <c r="CI1080" s="106"/>
      <c r="CK1080" s="11"/>
      <c r="CM1080" s="11"/>
      <c r="CV1080" s="120"/>
      <c r="DF1080" s="11"/>
      <c r="EY1080" s="12" t="str">
        <f t="shared" ca="1" si="1058"/>
        <v>Interest Payable Amount due within one year after Covenant Breach Adjustment Loan 12</v>
      </c>
    </row>
    <row r="1081" spans="1:155" x14ac:dyDescent="0.35">
      <c r="B1081" s="69" t="str" cm="1">
        <f t="array" aca="1" ref="B1081" ca="1">HYPERLINK(CONCATENATE("#",CELL("address",$D$284)),$D$284)</f>
        <v>Loan 13</v>
      </c>
      <c r="C1081" s="211" t="str">
        <f t="shared" si="1053"/>
        <v>ST-LN-13-2CB</v>
      </c>
      <c r="D1081" s="49">
        <f>D$25</f>
        <v>0</v>
      </c>
      <c r="E1081" s="49" t="str">
        <f>F$25</f>
        <v/>
      </c>
      <c r="F1081" s="49"/>
      <c r="H1081" s="9"/>
      <c r="I1081" s="40" t="s">
        <v>665</v>
      </c>
      <c r="V1081" s="106"/>
      <c r="W1081" s="133">
        <f t="shared" ca="1" si="1054"/>
        <v>0</v>
      </c>
      <c r="X1081" s="133">
        <f t="shared" ca="1" si="1054"/>
        <v>0</v>
      </c>
      <c r="Y1081" s="133">
        <f t="shared" ca="1" si="1054"/>
        <v>0</v>
      </c>
      <c r="AA1081" s="133">
        <f ca="1">AA1035+AA1058*Timeline!AA379</f>
        <v>0</v>
      </c>
      <c r="AB1081" s="133">
        <f ca="1">AB1035+AB1058*Timeline!AB379</f>
        <v>0</v>
      </c>
      <c r="AC1081" s="133">
        <f ca="1">AC1035+AC1058*Timeline!AC379</f>
        <v>0</v>
      </c>
      <c r="AD1081" s="133">
        <f ca="1">AD1035+AD1058*Timeline!AD379</f>
        <v>0</v>
      </c>
      <c r="AE1081" s="133">
        <f ca="1">AE1035+AE1058*Timeline!AE379</f>
        <v>0</v>
      </c>
      <c r="AF1081" s="133">
        <f ca="1">AF1035+AF1058*Timeline!AF379</f>
        <v>0</v>
      </c>
      <c r="AG1081" s="133">
        <f ca="1">AG1035+AG1058*Timeline!AG379</f>
        <v>0</v>
      </c>
      <c r="AH1081" s="133">
        <f ca="1">AH1035+AH1058*Timeline!AH379</f>
        <v>0</v>
      </c>
      <c r="AI1081" s="133">
        <f ca="1">AI1035+AI1058*Timeline!AI379</f>
        <v>0</v>
      </c>
      <c r="AJ1081" s="133">
        <f ca="1">AJ1035+AJ1058*Timeline!AJ379</f>
        <v>0</v>
      </c>
      <c r="AK1081" s="133">
        <f ca="1">AK1035+AK1058*Timeline!AK379</f>
        <v>0</v>
      </c>
      <c r="AL1081" s="133">
        <f ca="1">AL1035+AL1058*Timeline!AL379</f>
        <v>0</v>
      </c>
      <c r="AM1081" s="133">
        <f ca="1">AM1035+AM1058*Timeline!AM379</f>
        <v>0</v>
      </c>
      <c r="AN1081" s="133">
        <f ca="1">AN1035+AN1058*Timeline!AN379</f>
        <v>0</v>
      </c>
      <c r="AO1081" s="133">
        <f ca="1">AO1035+AO1058*Timeline!AO379</f>
        <v>0</v>
      </c>
      <c r="AP1081" s="133">
        <f ca="1">AP1035+AP1058*Timeline!AP379</f>
        <v>0</v>
      </c>
      <c r="AQ1081" s="133">
        <f ca="1">AQ1035+AQ1058*Timeline!AQ379</f>
        <v>0</v>
      </c>
      <c r="AR1081" s="133">
        <f ca="1">AR1035+AR1058*Timeline!AR379</f>
        <v>0</v>
      </c>
      <c r="AS1081" s="133">
        <f ca="1">AS1035+AS1058*Timeline!AS379</f>
        <v>0</v>
      </c>
      <c r="AT1081" s="133">
        <f ca="1">AT1035+AT1058*Timeline!AT379</f>
        <v>0</v>
      </c>
      <c r="AU1081" s="133">
        <f ca="1">AU1035+AU1058*Timeline!AU379</f>
        <v>0</v>
      </c>
      <c r="AV1081" s="133">
        <f ca="1">AV1035+AV1058*Timeline!AV379</f>
        <v>0</v>
      </c>
      <c r="AW1081" s="133">
        <f ca="1">AW1035+AW1058*Timeline!AW379</f>
        <v>0</v>
      </c>
      <c r="AX1081" s="133">
        <f ca="1">AX1035+AX1058*Timeline!AX379</f>
        <v>0</v>
      </c>
      <c r="AY1081" s="133">
        <f ca="1">AY1035+AY1058*Timeline!AY379</f>
        <v>0</v>
      </c>
      <c r="AZ1081" s="133">
        <f ca="1">AZ1035+AZ1058*Timeline!AZ379</f>
        <v>0</v>
      </c>
      <c r="BA1081" s="133">
        <f ca="1">BA1035+BA1058*Timeline!BA379</f>
        <v>0</v>
      </c>
      <c r="BB1081" s="133">
        <f ca="1">BB1035+BB1058*Timeline!BB379</f>
        <v>0</v>
      </c>
      <c r="BC1081" s="133">
        <f ca="1">BC1035+BC1058*Timeline!BC379</f>
        <v>0</v>
      </c>
      <c r="BD1081" s="133">
        <f ca="1">BD1035+BD1058*Timeline!BD379</f>
        <v>0</v>
      </c>
      <c r="BE1081" s="133">
        <f ca="1">BE1035+BE1058*Timeline!BE379</f>
        <v>0</v>
      </c>
      <c r="BF1081" s="133">
        <f ca="1">BF1035+BF1058*Timeline!BF379</f>
        <v>0</v>
      </c>
      <c r="BG1081" s="133">
        <f ca="1">BG1035+BG1058*Timeline!BG379</f>
        <v>0</v>
      </c>
      <c r="BH1081" s="133">
        <f ca="1">BH1035+BH1058*Timeline!BH379</f>
        <v>0</v>
      </c>
      <c r="BI1081" s="133">
        <f ca="1">BI1035+BI1058*Timeline!BI379</f>
        <v>0</v>
      </c>
      <c r="BJ1081" s="133">
        <f ca="1">BJ1035+BJ1058*Timeline!BJ379</f>
        <v>0</v>
      </c>
      <c r="BK1081" s="106"/>
      <c r="BL1081" s="106"/>
      <c r="BM1081" s="106"/>
      <c r="BN1081" s="106"/>
      <c r="BO1081" s="106"/>
      <c r="BP1081" s="106"/>
      <c r="BQ1081" s="106"/>
      <c r="BR1081" s="106"/>
      <c r="BS1081" s="106"/>
      <c r="BT1081" s="106"/>
      <c r="BU1081" s="106"/>
      <c r="BV1081" s="106"/>
      <c r="BX1081" s="106"/>
      <c r="BY1081" s="12">
        <f t="shared" ca="1" si="1055"/>
        <v>0</v>
      </c>
      <c r="BZ1081" s="12">
        <f t="shared" ca="1" si="1056"/>
        <v>0</v>
      </c>
      <c r="CA1081" s="12">
        <f t="shared" ca="1" si="1057"/>
        <v>0</v>
      </c>
      <c r="CB1081" s="106"/>
      <c r="CC1081" s="106"/>
      <c r="CD1081" s="106"/>
      <c r="CE1081" s="106"/>
      <c r="CF1081" s="106"/>
      <c r="CG1081" s="106"/>
      <c r="CH1081" s="106"/>
      <c r="CI1081" s="106"/>
      <c r="CK1081" s="11"/>
      <c r="CM1081" s="11"/>
      <c r="CV1081" s="120"/>
      <c r="DF1081" s="11"/>
      <c r="EY1081" s="12" t="str">
        <f t="shared" ca="1" si="1058"/>
        <v>Interest Payable Amount due within one year after Covenant Breach Adjustment Loan 13</v>
      </c>
    </row>
    <row r="1082" spans="1:155" s="5" customFormat="1" x14ac:dyDescent="0.35">
      <c r="A1082"/>
      <c r="B1082" s="69" t="str" cm="1">
        <f t="array" aca="1" ref="B1082" ca="1">HYPERLINK(CONCATENATE("#",CELL("address",$D$303)),$D$303)</f>
        <v>Loan 14</v>
      </c>
      <c r="C1082" s="211" t="str">
        <f t="shared" si="1053"/>
        <v>ST-LN-14-2CB</v>
      </c>
      <c r="D1082" s="49">
        <f>D$26</f>
        <v>0</v>
      </c>
      <c r="E1082" s="49" t="str">
        <f>F$26</f>
        <v/>
      </c>
      <c r="F1082" s="49"/>
      <c r="G1082"/>
      <c r="H1082" s="9"/>
      <c r="I1082" s="40" t="s">
        <v>665</v>
      </c>
      <c r="J1082"/>
      <c r="K1082"/>
      <c r="L1082"/>
      <c r="M1082"/>
      <c r="N1082"/>
      <c r="O1082"/>
      <c r="P1082"/>
      <c r="Q1082"/>
      <c r="R1082"/>
      <c r="S1082"/>
      <c r="T1082"/>
      <c r="U1082"/>
      <c r="V1082" s="106"/>
      <c r="W1082" s="133">
        <f t="shared" ca="1" si="1054"/>
        <v>0</v>
      </c>
      <c r="X1082" s="133">
        <f t="shared" ca="1" si="1054"/>
        <v>0</v>
      </c>
      <c r="Y1082" s="133">
        <f t="shared" ca="1" si="1054"/>
        <v>0</v>
      </c>
      <c r="Z1082"/>
      <c r="AA1082" s="133">
        <f ca="1">AA1036+AA1059*Timeline!AA380</f>
        <v>0</v>
      </c>
      <c r="AB1082" s="133">
        <f ca="1">AB1036+AB1059*Timeline!AB380</f>
        <v>0</v>
      </c>
      <c r="AC1082" s="133">
        <f ca="1">AC1036+AC1059*Timeline!AC380</f>
        <v>0</v>
      </c>
      <c r="AD1082" s="133">
        <f ca="1">AD1036+AD1059*Timeline!AD380</f>
        <v>0</v>
      </c>
      <c r="AE1082" s="133">
        <f ca="1">AE1036+AE1059*Timeline!AE380</f>
        <v>0</v>
      </c>
      <c r="AF1082" s="133">
        <f ca="1">AF1036+AF1059*Timeline!AF380</f>
        <v>0</v>
      </c>
      <c r="AG1082" s="133">
        <f ca="1">AG1036+AG1059*Timeline!AG380</f>
        <v>0</v>
      </c>
      <c r="AH1082" s="133">
        <f ca="1">AH1036+AH1059*Timeline!AH380</f>
        <v>0</v>
      </c>
      <c r="AI1082" s="133">
        <f ca="1">AI1036+AI1059*Timeline!AI380</f>
        <v>0</v>
      </c>
      <c r="AJ1082" s="133">
        <f ca="1">AJ1036+AJ1059*Timeline!AJ380</f>
        <v>0</v>
      </c>
      <c r="AK1082" s="133">
        <f ca="1">AK1036+AK1059*Timeline!AK380</f>
        <v>0</v>
      </c>
      <c r="AL1082" s="133">
        <f ca="1">AL1036+AL1059*Timeline!AL380</f>
        <v>0</v>
      </c>
      <c r="AM1082" s="133">
        <f ca="1">AM1036+AM1059*Timeline!AM380</f>
        <v>0</v>
      </c>
      <c r="AN1082" s="133">
        <f ca="1">AN1036+AN1059*Timeline!AN380</f>
        <v>0</v>
      </c>
      <c r="AO1082" s="133">
        <f ca="1">AO1036+AO1059*Timeline!AO380</f>
        <v>0</v>
      </c>
      <c r="AP1082" s="133">
        <f ca="1">AP1036+AP1059*Timeline!AP380</f>
        <v>0</v>
      </c>
      <c r="AQ1082" s="133">
        <f ca="1">AQ1036+AQ1059*Timeline!AQ380</f>
        <v>0</v>
      </c>
      <c r="AR1082" s="133">
        <f ca="1">AR1036+AR1059*Timeline!AR380</f>
        <v>0</v>
      </c>
      <c r="AS1082" s="133">
        <f ca="1">AS1036+AS1059*Timeline!AS380</f>
        <v>0</v>
      </c>
      <c r="AT1082" s="133">
        <f ca="1">AT1036+AT1059*Timeline!AT380</f>
        <v>0</v>
      </c>
      <c r="AU1082" s="133">
        <f ca="1">AU1036+AU1059*Timeline!AU380</f>
        <v>0</v>
      </c>
      <c r="AV1082" s="133">
        <f ca="1">AV1036+AV1059*Timeline!AV380</f>
        <v>0</v>
      </c>
      <c r="AW1082" s="133">
        <f ca="1">AW1036+AW1059*Timeline!AW380</f>
        <v>0</v>
      </c>
      <c r="AX1082" s="133">
        <f ca="1">AX1036+AX1059*Timeline!AX380</f>
        <v>0</v>
      </c>
      <c r="AY1082" s="133">
        <f ca="1">AY1036+AY1059*Timeline!AY380</f>
        <v>0</v>
      </c>
      <c r="AZ1082" s="133">
        <f ca="1">AZ1036+AZ1059*Timeline!AZ380</f>
        <v>0</v>
      </c>
      <c r="BA1082" s="133">
        <f ca="1">BA1036+BA1059*Timeline!BA380</f>
        <v>0</v>
      </c>
      <c r="BB1082" s="133">
        <f ca="1">BB1036+BB1059*Timeline!BB380</f>
        <v>0</v>
      </c>
      <c r="BC1082" s="133">
        <f ca="1">BC1036+BC1059*Timeline!BC380</f>
        <v>0</v>
      </c>
      <c r="BD1082" s="133">
        <f ca="1">BD1036+BD1059*Timeline!BD380</f>
        <v>0</v>
      </c>
      <c r="BE1082" s="133">
        <f ca="1">BE1036+BE1059*Timeline!BE380</f>
        <v>0</v>
      </c>
      <c r="BF1082" s="133">
        <f ca="1">BF1036+BF1059*Timeline!BF380</f>
        <v>0</v>
      </c>
      <c r="BG1082" s="133">
        <f ca="1">BG1036+BG1059*Timeline!BG380</f>
        <v>0</v>
      </c>
      <c r="BH1082" s="133">
        <f ca="1">BH1036+BH1059*Timeline!BH380</f>
        <v>0</v>
      </c>
      <c r="BI1082" s="133">
        <f ca="1">BI1036+BI1059*Timeline!BI380</f>
        <v>0</v>
      </c>
      <c r="BJ1082" s="133">
        <f ca="1">BJ1036+BJ1059*Timeline!BJ380</f>
        <v>0</v>
      </c>
      <c r="BK1082" s="106"/>
      <c r="BL1082" s="106"/>
      <c r="BM1082" s="106"/>
      <c r="BN1082" s="106"/>
      <c r="BO1082" s="106"/>
      <c r="BP1082" s="106"/>
      <c r="BQ1082" s="106"/>
      <c r="BR1082" s="106"/>
      <c r="BS1082" s="106"/>
      <c r="BT1082" s="106"/>
      <c r="BU1082" s="106"/>
      <c r="BV1082" s="106"/>
      <c r="BW1082"/>
      <c r="BX1082" s="106"/>
      <c r="BY1082" s="12">
        <f t="shared" ca="1" si="1055"/>
        <v>0</v>
      </c>
      <c r="BZ1082" s="12">
        <f t="shared" ca="1" si="1056"/>
        <v>0</v>
      </c>
      <c r="CA1082" s="12">
        <f t="shared" ca="1" si="1057"/>
        <v>0</v>
      </c>
      <c r="CB1082" s="106"/>
      <c r="CC1082" s="106"/>
      <c r="CD1082" s="106"/>
      <c r="CE1082" s="106"/>
      <c r="CF1082" s="106"/>
      <c r="CG1082" s="106"/>
      <c r="CH1082" s="106"/>
      <c r="CI1082" s="106"/>
      <c r="CJ1082"/>
      <c r="CK1082" s="11"/>
      <c r="CL1082"/>
      <c r="CM1082" s="11"/>
      <c r="CN1082"/>
      <c r="CO1082"/>
      <c r="CP1082"/>
      <c r="CQ1082"/>
      <c r="CR1082"/>
      <c r="CS1082"/>
      <c r="CT1082"/>
      <c r="CU1082"/>
      <c r="CV1082" s="120"/>
      <c r="CW1082"/>
      <c r="CX1082"/>
      <c r="CY1082"/>
      <c r="CZ1082"/>
      <c r="DA1082"/>
      <c r="DB1082"/>
      <c r="DC1082"/>
      <c r="DD1082"/>
      <c r="DE1082"/>
      <c r="DF1082" s="11"/>
      <c r="EY1082" s="12" t="str">
        <f t="shared" ca="1" si="1058"/>
        <v>Interest Payable Amount due within one year after Covenant Breach Adjustment Loan 14</v>
      </c>
    </row>
    <row r="1083" spans="1:155" x14ac:dyDescent="0.35">
      <c r="B1083" s="69" t="str" cm="1">
        <f t="array" aca="1" ref="B1083" ca="1">HYPERLINK(CONCATENATE("#",CELL("address",$D$322)),$D$322)</f>
        <v>Loan 15</v>
      </c>
      <c r="C1083" s="211" t="str">
        <f t="shared" si="1053"/>
        <v>ST-LN-15-2CB</v>
      </c>
      <c r="D1083" s="49">
        <f>D$27</f>
        <v>0</v>
      </c>
      <c r="E1083" s="49" t="str">
        <f>F$27</f>
        <v/>
      </c>
      <c r="F1083" s="49"/>
      <c r="H1083" s="9"/>
      <c r="I1083" s="40" t="s">
        <v>665</v>
      </c>
      <c r="V1083" s="106"/>
      <c r="W1083" s="133">
        <f t="shared" ca="1" si="1054"/>
        <v>0</v>
      </c>
      <c r="X1083" s="133">
        <f t="shared" ca="1" si="1054"/>
        <v>0</v>
      </c>
      <c r="Y1083" s="133">
        <f t="shared" ca="1" si="1054"/>
        <v>0</v>
      </c>
      <c r="AA1083" s="133">
        <f ca="1">AA1037+AA1060*Timeline!AA381</f>
        <v>0</v>
      </c>
      <c r="AB1083" s="133">
        <f ca="1">AB1037+AB1060*Timeline!AB381</f>
        <v>0</v>
      </c>
      <c r="AC1083" s="133">
        <f ca="1">AC1037+AC1060*Timeline!AC381</f>
        <v>0</v>
      </c>
      <c r="AD1083" s="133">
        <f ca="1">AD1037+AD1060*Timeline!AD381</f>
        <v>0</v>
      </c>
      <c r="AE1083" s="133">
        <f ca="1">AE1037+AE1060*Timeline!AE381</f>
        <v>0</v>
      </c>
      <c r="AF1083" s="133">
        <f ca="1">AF1037+AF1060*Timeline!AF381</f>
        <v>0</v>
      </c>
      <c r="AG1083" s="133">
        <f ca="1">AG1037+AG1060*Timeline!AG381</f>
        <v>0</v>
      </c>
      <c r="AH1083" s="133">
        <f ca="1">AH1037+AH1060*Timeline!AH381</f>
        <v>0</v>
      </c>
      <c r="AI1083" s="133">
        <f ca="1">AI1037+AI1060*Timeline!AI381</f>
        <v>0</v>
      </c>
      <c r="AJ1083" s="133">
        <f ca="1">AJ1037+AJ1060*Timeline!AJ381</f>
        <v>0</v>
      </c>
      <c r="AK1083" s="133">
        <f ca="1">AK1037+AK1060*Timeline!AK381</f>
        <v>0</v>
      </c>
      <c r="AL1083" s="133">
        <f ca="1">AL1037+AL1060*Timeline!AL381</f>
        <v>0</v>
      </c>
      <c r="AM1083" s="133">
        <f ca="1">AM1037+AM1060*Timeline!AM381</f>
        <v>0</v>
      </c>
      <c r="AN1083" s="133">
        <f ca="1">AN1037+AN1060*Timeline!AN381</f>
        <v>0</v>
      </c>
      <c r="AO1083" s="133">
        <f ca="1">AO1037+AO1060*Timeline!AO381</f>
        <v>0</v>
      </c>
      <c r="AP1083" s="133">
        <f ca="1">AP1037+AP1060*Timeline!AP381</f>
        <v>0</v>
      </c>
      <c r="AQ1083" s="133">
        <f ca="1">AQ1037+AQ1060*Timeline!AQ381</f>
        <v>0</v>
      </c>
      <c r="AR1083" s="133">
        <f ca="1">AR1037+AR1060*Timeline!AR381</f>
        <v>0</v>
      </c>
      <c r="AS1083" s="133">
        <f ca="1">AS1037+AS1060*Timeline!AS381</f>
        <v>0</v>
      </c>
      <c r="AT1083" s="133">
        <f ca="1">AT1037+AT1060*Timeline!AT381</f>
        <v>0</v>
      </c>
      <c r="AU1083" s="133">
        <f ca="1">AU1037+AU1060*Timeline!AU381</f>
        <v>0</v>
      </c>
      <c r="AV1083" s="133">
        <f ca="1">AV1037+AV1060*Timeline!AV381</f>
        <v>0</v>
      </c>
      <c r="AW1083" s="133">
        <f ca="1">AW1037+AW1060*Timeline!AW381</f>
        <v>0</v>
      </c>
      <c r="AX1083" s="133">
        <f ca="1">AX1037+AX1060*Timeline!AX381</f>
        <v>0</v>
      </c>
      <c r="AY1083" s="133">
        <f ca="1">AY1037+AY1060*Timeline!AY381</f>
        <v>0</v>
      </c>
      <c r="AZ1083" s="133">
        <f ca="1">AZ1037+AZ1060*Timeline!AZ381</f>
        <v>0</v>
      </c>
      <c r="BA1083" s="133">
        <f ca="1">BA1037+BA1060*Timeline!BA381</f>
        <v>0</v>
      </c>
      <c r="BB1083" s="133">
        <f ca="1">BB1037+BB1060*Timeline!BB381</f>
        <v>0</v>
      </c>
      <c r="BC1083" s="133">
        <f ca="1">BC1037+BC1060*Timeline!BC381</f>
        <v>0</v>
      </c>
      <c r="BD1083" s="133">
        <f ca="1">BD1037+BD1060*Timeline!BD381</f>
        <v>0</v>
      </c>
      <c r="BE1083" s="133">
        <f ca="1">BE1037+BE1060*Timeline!BE381</f>
        <v>0</v>
      </c>
      <c r="BF1083" s="133">
        <f ca="1">BF1037+BF1060*Timeline!BF381</f>
        <v>0</v>
      </c>
      <c r="BG1083" s="133">
        <f ca="1">BG1037+BG1060*Timeline!BG381</f>
        <v>0</v>
      </c>
      <c r="BH1083" s="133">
        <f ca="1">BH1037+BH1060*Timeline!BH381</f>
        <v>0</v>
      </c>
      <c r="BI1083" s="133">
        <f ca="1">BI1037+BI1060*Timeline!BI381</f>
        <v>0</v>
      </c>
      <c r="BJ1083" s="133">
        <f ca="1">BJ1037+BJ1060*Timeline!BJ381</f>
        <v>0</v>
      </c>
      <c r="BK1083" s="106"/>
      <c r="BL1083" s="106"/>
      <c r="BM1083" s="106"/>
      <c r="BN1083" s="106"/>
      <c r="BO1083" s="106"/>
      <c r="BP1083" s="106"/>
      <c r="BQ1083" s="106"/>
      <c r="BR1083" s="106"/>
      <c r="BS1083" s="106"/>
      <c r="BT1083" s="106"/>
      <c r="BU1083" s="106"/>
      <c r="BV1083" s="106"/>
      <c r="BX1083" s="106"/>
      <c r="BY1083" s="12">
        <f t="shared" ca="1" si="1055"/>
        <v>0</v>
      </c>
      <c r="BZ1083" s="12">
        <f t="shared" ca="1" si="1056"/>
        <v>0</v>
      </c>
      <c r="CA1083" s="12">
        <f t="shared" ca="1" si="1057"/>
        <v>0</v>
      </c>
      <c r="CB1083" s="106"/>
      <c r="CC1083" s="106"/>
      <c r="CD1083" s="106"/>
      <c r="CE1083" s="106"/>
      <c r="CF1083" s="106"/>
      <c r="CG1083" s="106"/>
      <c r="CH1083" s="106"/>
      <c r="CI1083" s="106"/>
      <c r="CK1083" s="11"/>
      <c r="CM1083" s="11"/>
      <c r="CV1083" s="120"/>
      <c r="DF1083" s="11"/>
      <c r="EY1083" s="12" t="str">
        <f t="shared" ca="1" si="1058"/>
        <v>Interest Payable Amount due within one year after Covenant Breach Adjustment Loan 15</v>
      </c>
    </row>
    <row r="1084" spans="1:155" x14ac:dyDescent="0.35">
      <c r="B1084" s="69" t="str" cm="1">
        <f t="array" aca="1" ref="B1084" ca="1">HYPERLINK(CONCATENATE("#",CELL("address",$D$341)),$D$341)</f>
        <v>Loan 16</v>
      </c>
      <c r="C1084" s="211" t="str">
        <f t="shared" si="1053"/>
        <v>ST-LN-16-2CB</v>
      </c>
      <c r="D1084" s="49">
        <f>D$28</f>
        <v>0</v>
      </c>
      <c r="E1084" s="49" t="str">
        <f>F$28</f>
        <v/>
      </c>
      <c r="F1084" s="49"/>
      <c r="H1084" s="9"/>
      <c r="I1084" s="40" t="s">
        <v>665</v>
      </c>
      <c r="V1084" s="106"/>
      <c r="W1084" s="133">
        <f t="shared" ca="1" si="1054"/>
        <v>0</v>
      </c>
      <c r="X1084" s="133">
        <f t="shared" ca="1" si="1054"/>
        <v>0</v>
      </c>
      <c r="Y1084" s="133">
        <f t="shared" ca="1" si="1054"/>
        <v>0</v>
      </c>
      <c r="AA1084" s="133">
        <f ca="1">AA1038+AA1061*Timeline!AA382</f>
        <v>0</v>
      </c>
      <c r="AB1084" s="133">
        <f ca="1">AB1038+AB1061*Timeline!AB382</f>
        <v>0</v>
      </c>
      <c r="AC1084" s="133">
        <f ca="1">AC1038+AC1061*Timeline!AC382</f>
        <v>0</v>
      </c>
      <c r="AD1084" s="133">
        <f ca="1">AD1038+AD1061*Timeline!AD382</f>
        <v>0</v>
      </c>
      <c r="AE1084" s="133">
        <f ca="1">AE1038+AE1061*Timeline!AE382</f>
        <v>0</v>
      </c>
      <c r="AF1084" s="133">
        <f ca="1">AF1038+AF1061*Timeline!AF382</f>
        <v>0</v>
      </c>
      <c r="AG1084" s="133">
        <f ca="1">AG1038+AG1061*Timeline!AG382</f>
        <v>0</v>
      </c>
      <c r="AH1084" s="133">
        <f ca="1">AH1038+AH1061*Timeline!AH382</f>
        <v>0</v>
      </c>
      <c r="AI1084" s="133">
        <f ca="1">AI1038+AI1061*Timeline!AI382</f>
        <v>0</v>
      </c>
      <c r="AJ1084" s="133">
        <f ca="1">AJ1038+AJ1061*Timeline!AJ382</f>
        <v>0</v>
      </c>
      <c r="AK1084" s="133">
        <f ca="1">AK1038+AK1061*Timeline!AK382</f>
        <v>0</v>
      </c>
      <c r="AL1084" s="133">
        <f ca="1">AL1038+AL1061*Timeline!AL382</f>
        <v>0</v>
      </c>
      <c r="AM1084" s="133">
        <f ca="1">AM1038+AM1061*Timeline!AM382</f>
        <v>0</v>
      </c>
      <c r="AN1084" s="133">
        <f ca="1">AN1038+AN1061*Timeline!AN382</f>
        <v>0</v>
      </c>
      <c r="AO1084" s="133">
        <f ca="1">AO1038+AO1061*Timeline!AO382</f>
        <v>0</v>
      </c>
      <c r="AP1084" s="133">
        <f ca="1">AP1038+AP1061*Timeline!AP382</f>
        <v>0</v>
      </c>
      <c r="AQ1084" s="133">
        <f ca="1">AQ1038+AQ1061*Timeline!AQ382</f>
        <v>0</v>
      </c>
      <c r="AR1084" s="133">
        <f ca="1">AR1038+AR1061*Timeline!AR382</f>
        <v>0</v>
      </c>
      <c r="AS1084" s="133">
        <f ca="1">AS1038+AS1061*Timeline!AS382</f>
        <v>0</v>
      </c>
      <c r="AT1084" s="133">
        <f ca="1">AT1038+AT1061*Timeline!AT382</f>
        <v>0</v>
      </c>
      <c r="AU1084" s="133">
        <f ca="1">AU1038+AU1061*Timeline!AU382</f>
        <v>0</v>
      </c>
      <c r="AV1084" s="133">
        <f ca="1">AV1038+AV1061*Timeline!AV382</f>
        <v>0</v>
      </c>
      <c r="AW1084" s="133">
        <f ca="1">AW1038+AW1061*Timeline!AW382</f>
        <v>0</v>
      </c>
      <c r="AX1084" s="133">
        <f ca="1">AX1038+AX1061*Timeline!AX382</f>
        <v>0</v>
      </c>
      <c r="AY1084" s="133">
        <f ca="1">AY1038+AY1061*Timeline!AY382</f>
        <v>0</v>
      </c>
      <c r="AZ1084" s="133">
        <f ca="1">AZ1038+AZ1061*Timeline!AZ382</f>
        <v>0</v>
      </c>
      <c r="BA1084" s="133">
        <f ca="1">BA1038+BA1061*Timeline!BA382</f>
        <v>0</v>
      </c>
      <c r="BB1084" s="133">
        <f ca="1">BB1038+BB1061*Timeline!BB382</f>
        <v>0</v>
      </c>
      <c r="BC1084" s="133">
        <f ca="1">BC1038+BC1061*Timeline!BC382</f>
        <v>0</v>
      </c>
      <c r="BD1084" s="133">
        <f ca="1">BD1038+BD1061*Timeline!BD382</f>
        <v>0</v>
      </c>
      <c r="BE1084" s="133">
        <f ca="1">BE1038+BE1061*Timeline!BE382</f>
        <v>0</v>
      </c>
      <c r="BF1084" s="133">
        <f ca="1">BF1038+BF1061*Timeline!BF382</f>
        <v>0</v>
      </c>
      <c r="BG1084" s="133">
        <f ca="1">BG1038+BG1061*Timeline!BG382</f>
        <v>0</v>
      </c>
      <c r="BH1084" s="133">
        <f ca="1">BH1038+BH1061*Timeline!BH382</f>
        <v>0</v>
      </c>
      <c r="BI1084" s="133">
        <f ca="1">BI1038+BI1061*Timeline!BI382</f>
        <v>0</v>
      </c>
      <c r="BJ1084" s="133">
        <f ca="1">BJ1038+BJ1061*Timeline!BJ382</f>
        <v>0</v>
      </c>
      <c r="BK1084" s="106"/>
      <c r="BL1084" s="106"/>
      <c r="BM1084" s="106"/>
      <c r="BN1084" s="106"/>
      <c r="BO1084" s="106"/>
      <c r="BP1084" s="106"/>
      <c r="BQ1084" s="106"/>
      <c r="BR1084" s="106"/>
      <c r="BS1084" s="106"/>
      <c r="BT1084" s="106"/>
      <c r="BU1084" s="106"/>
      <c r="BV1084" s="106"/>
      <c r="BX1084" s="106"/>
      <c r="BY1084" s="12">
        <f t="shared" ca="1" si="1055"/>
        <v>0</v>
      </c>
      <c r="BZ1084" s="12">
        <f t="shared" ca="1" si="1056"/>
        <v>0</v>
      </c>
      <c r="CA1084" s="12">
        <f t="shared" ca="1" si="1057"/>
        <v>0</v>
      </c>
      <c r="CB1084" s="106"/>
      <c r="CC1084" s="106"/>
      <c r="CD1084" s="106"/>
      <c r="CE1084" s="106"/>
      <c r="CF1084" s="106"/>
      <c r="CG1084" s="106"/>
      <c r="CH1084" s="106"/>
      <c r="CI1084" s="106"/>
      <c r="CK1084" s="11"/>
      <c r="CM1084" s="11"/>
      <c r="CV1084" s="120"/>
      <c r="DF1084" s="11"/>
      <c r="EY1084" s="12" t="str">
        <f t="shared" ca="1" si="1058"/>
        <v>Interest Payable Amount due within one year after Covenant Breach Adjustment Loan 16</v>
      </c>
    </row>
    <row r="1085" spans="1:155" x14ac:dyDescent="0.35">
      <c r="B1085" s="69" t="str" cm="1">
        <f t="array" aca="1" ref="B1085" ca="1">HYPERLINK(CONCATENATE("#",CELL("address",$D$360)),$D$360)</f>
        <v>Loan 17</v>
      </c>
      <c r="C1085" s="211" t="str">
        <f t="shared" si="1053"/>
        <v>ST-LN-17-2CB</v>
      </c>
      <c r="D1085" s="49">
        <f>D$29</f>
        <v>0</v>
      </c>
      <c r="E1085" s="49" t="str">
        <f>F$29</f>
        <v/>
      </c>
      <c r="F1085" s="49"/>
      <c r="H1085" s="9"/>
      <c r="I1085" s="40" t="s">
        <v>665</v>
      </c>
      <c r="V1085" s="106"/>
      <c r="W1085" s="133">
        <f t="shared" ca="1" si="1054"/>
        <v>0</v>
      </c>
      <c r="X1085" s="133">
        <f t="shared" ca="1" si="1054"/>
        <v>0</v>
      </c>
      <c r="Y1085" s="133">
        <f t="shared" ca="1" si="1054"/>
        <v>0</v>
      </c>
      <c r="AA1085" s="133">
        <f ca="1">AA1039+AA1062*Timeline!AA383</f>
        <v>0</v>
      </c>
      <c r="AB1085" s="133">
        <f ca="1">AB1039+AB1062*Timeline!AB383</f>
        <v>0</v>
      </c>
      <c r="AC1085" s="133">
        <f ca="1">AC1039+AC1062*Timeline!AC383</f>
        <v>0</v>
      </c>
      <c r="AD1085" s="133">
        <f ca="1">AD1039+AD1062*Timeline!AD383</f>
        <v>0</v>
      </c>
      <c r="AE1085" s="133">
        <f ca="1">AE1039+AE1062*Timeline!AE383</f>
        <v>0</v>
      </c>
      <c r="AF1085" s="133">
        <f ca="1">AF1039+AF1062*Timeline!AF383</f>
        <v>0</v>
      </c>
      <c r="AG1085" s="133">
        <f ca="1">AG1039+AG1062*Timeline!AG383</f>
        <v>0</v>
      </c>
      <c r="AH1085" s="133">
        <f ca="1">AH1039+AH1062*Timeline!AH383</f>
        <v>0</v>
      </c>
      <c r="AI1085" s="133">
        <f ca="1">AI1039+AI1062*Timeline!AI383</f>
        <v>0</v>
      </c>
      <c r="AJ1085" s="133">
        <f ca="1">AJ1039+AJ1062*Timeline!AJ383</f>
        <v>0</v>
      </c>
      <c r="AK1085" s="133">
        <f ca="1">AK1039+AK1062*Timeline!AK383</f>
        <v>0</v>
      </c>
      <c r="AL1085" s="133">
        <f ca="1">AL1039+AL1062*Timeline!AL383</f>
        <v>0</v>
      </c>
      <c r="AM1085" s="133">
        <f ca="1">AM1039+AM1062*Timeline!AM383</f>
        <v>0</v>
      </c>
      <c r="AN1085" s="133">
        <f ca="1">AN1039+AN1062*Timeline!AN383</f>
        <v>0</v>
      </c>
      <c r="AO1085" s="133">
        <f ca="1">AO1039+AO1062*Timeline!AO383</f>
        <v>0</v>
      </c>
      <c r="AP1085" s="133">
        <f ca="1">AP1039+AP1062*Timeline!AP383</f>
        <v>0</v>
      </c>
      <c r="AQ1085" s="133">
        <f ca="1">AQ1039+AQ1062*Timeline!AQ383</f>
        <v>0</v>
      </c>
      <c r="AR1085" s="133">
        <f ca="1">AR1039+AR1062*Timeline!AR383</f>
        <v>0</v>
      </c>
      <c r="AS1085" s="133">
        <f ca="1">AS1039+AS1062*Timeline!AS383</f>
        <v>0</v>
      </c>
      <c r="AT1085" s="133">
        <f ca="1">AT1039+AT1062*Timeline!AT383</f>
        <v>0</v>
      </c>
      <c r="AU1085" s="133">
        <f ca="1">AU1039+AU1062*Timeline!AU383</f>
        <v>0</v>
      </c>
      <c r="AV1085" s="133">
        <f ca="1">AV1039+AV1062*Timeline!AV383</f>
        <v>0</v>
      </c>
      <c r="AW1085" s="133">
        <f ca="1">AW1039+AW1062*Timeline!AW383</f>
        <v>0</v>
      </c>
      <c r="AX1085" s="133">
        <f ca="1">AX1039+AX1062*Timeline!AX383</f>
        <v>0</v>
      </c>
      <c r="AY1085" s="133">
        <f ca="1">AY1039+AY1062*Timeline!AY383</f>
        <v>0</v>
      </c>
      <c r="AZ1085" s="133">
        <f ca="1">AZ1039+AZ1062*Timeline!AZ383</f>
        <v>0</v>
      </c>
      <c r="BA1085" s="133">
        <f ca="1">BA1039+BA1062*Timeline!BA383</f>
        <v>0</v>
      </c>
      <c r="BB1085" s="133">
        <f ca="1">BB1039+BB1062*Timeline!BB383</f>
        <v>0</v>
      </c>
      <c r="BC1085" s="133">
        <f ca="1">BC1039+BC1062*Timeline!BC383</f>
        <v>0</v>
      </c>
      <c r="BD1085" s="133">
        <f ca="1">BD1039+BD1062*Timeline!BD383</f>
        <v>0</v>
      </c>
      <c r="BE1085" s="133">
        <f ca="1">BE1039+BE1062*Timeline!BE383</f>
        <v>0</v>
      </c>
      <c r="BF1085" s="133">
        <f ca="1">BF1039+BF1062*Timeline!BF383</f>
        <v>0</v>
      </c>
      <c r="BG1085" s="133">
        <f ca="1">BG1039+BG1062*Timeline!BG383</f>
        <v>0</v>
      </c>
      <c r="BH1085" s="133">
        <f ca="1">BH1039+BH1062*Timeline!BH383</f>
        <v>0</v>
      </c>
      <c r="BI1085" s="133">
        <f ca="1">BI1039+BI1062*Timeline!BI383</f>
        <v>0</v>
      </c>
      <c r="BJ1085" s="133">
        <f ca="1">BJ1039+BJ1062*Timeline!BJ383</f>
        <v>0</v>
      </c>
      <c r="BK1085" s="106"/>
      <c r="BL1085" s="106"/>
      <c r="BM1085" s="106"/>
      <c r="BN1085" s="106"/>
      <c r="BO1085" s="106"/>
      <c r="BP1085" s="106"/>
      <c r="BQ1085" s="106"/>
      <c r="BR1085" s="106"/>
      <c r="BS1085" s="106"/>
      <c r="BT1085" s="106"/>
      <c r="BU1085" s="106"/>
      <c r="BV1085" s="106"/>
      <c r="BX1085" s="106"/>
      <c r="BY1085" s="12">
        <f t="shared" ca="1" si="1055"/>
        <v>0</v>
      </c>
      <c r="BZ1085" s="12">
        <f t="shared" ca="1" si="1056"/>
        <v>0</v>
      </c>
      <c r="CA1085" s="12">
        <f t="shared" ca="1" si="1057"/>
        <v>0</v>
      </c>
      <c r="CB1085" s="106"/>
      <c r="CC1085" s="106"/>
      <c r="CD1085" s="106"/>
      <c r="CE1085" s="106"/>
      <c r="CF1085" s="106"/>
      <c r="CG1085" s="106"/>
      <c r="CH1085" s="106"/>
      <c r="CI1085" s="106"/>
      <c r="CK1085" s="11"/>
      <c r="CM1085" s="11"/>
      <c r="CV1085" s="120"/>
      <c r="DF1085" s="11"/>
      <c r="EY1085" s="12" t="str">
        <f t="shared" ca="1" si="1058"/>
        <v>Interest Payable Amount due within one year after Covenant Breach Adjustment Loan 17</v>
      </c>
    </row>
    <row r="1086" spans="1:155" x14ac:dyDescent="0.35">
      <c r="B1086" s="69" t="str" cm="1">
        <f t="array" aca="1" ref="B1086" ca="1">HYPERLINK(CONCATENATE("#",CELL("address",$D$379)),$D$379)</f>
        <v>Loan 18</v>
      </c>
      <c r="C1086" s="211" t="str">
        <f t="shared" si="1053"/>
        <v>ST-LN-18-2CB</v>
      </c>
      <c r="D1086" s="49">
        <f>D$30</f>
        <v>0</v>
      </c>
      <c r="E1086" s="49" t="str">
        <f>F$30</f>
        <v/>
      </c>
      <c r="F1086" s="49"/>
      <c r="H1086" s="9"/>
      <c r="I1086" s="40" t="s">
        <v>665</v>
      </c>
      <c r="V1086" s="106"/>
      <c r="W1086" s="133">
        <f t="shared" ca="1" si="1054"/>
        <v>0</v>
      </c>
      <c r="X1086" s="133">
        <f t="shared" ca="1" si="1054"/>
        <v>0</v>
      </c>
      <c r="Y1086" s="133">
        <f t="shared" ca="1" si="1054"/>
        <v>0</v>
      </c>
      <c r="AA1086" s="133">
        <f ca="1">AA1040+AA1063*Timeline!AA384</f>
        <v>0</v>
      </c>
      <c r="AB1086" s="133">
        <f ca="1">AB1040+AB1063*Timeline!AB384</f>
        <v>0</v>
      </c>
      <c r="AC1086" s="133">
        <f ca="1">AC1040+AC1063*Timeline!AC384</f>
        <v>0</v>
      </c>
      <c r="AD1086" s="133">
        <f ca="1">AD1040+AD1063*Timeline!AD384</f>
        <v>0</v>
      </c>
      <c r="AE1086" s="133">
        <f ca="1">AE1040+AE1063*Timeline!AE384</f>
        <v>0</v>
      </c>
      <c r="AF1086" s="133">
        <f ca="1">AF1040+AF1063*Timeline!AF384</f>
        <v>0</v>
      </c>
      <c r="AG1086" s="133">
        <f ca="1">AG1040+AG1063*Timeline!AG384</f>
        <v>0</v>
      </c>
      <c r="AH1086" s="133">
        <f ca="1">AH1040+AH1063*Timeline!AH384</f>
        <v>0</v>
      </c>
      <c r="AI1086" s="133">
        <f ca="1">AI1040+AI1063*Timeline!AI384</f>
        <v>0</v>
      </c>
      <c r="AJ1086" s="133">
        <f ca="1">AJ1040+AJ1063*Timeline!AJ384</f>
        <v>0</v>
      </c>
      <c r="AK1086" s="133">
        <f ca="1">AK1040+AK1063*Timeline!AK384</f>
        <v>0</v>
      </c>
      <c r="AL1086" s="133">
        <f ca="1">AL1040+AL1063*Timeline!AL384</f>
        <v>0</v>
      </c>
      <c r="AM1086" s="133">
        <f ca="1">AM1040+AM1063*Timeline!AM384</f>
        <v>0</v>
      </c>
      <c r="AN1086" s="133">
        <f ca="1">AN1040+AN1063*Timeline!AN384</f>
        <v>0</v>
      </c>
      <c r="AO1086" s="133">
        <f ca="1">AO1040+AO1063*Timeline!AO384</f>
        <v>0</v>
      </c>
      <c r="AP1086" s="133">
        <f ca="1">AP1040+AP1063*Timeline!AP384</f>
        <v>0</v>
      </c>
      <c r="AQ1086" s="133">
        <f ca="1">AQ1040+AQ1063*Timeline!AQ384</f>
        <v>0</v>
      </c>
      <c r="AR1086" s="133">
        <f ca="1">AR1040+AR1063*Timeline!AR384</f>
        <v>0</v>
      </c>
      <c r="AS1086" s="133">
        <f ca="1">AS1040+AS1063*Timeline!AS384</f>
        <v>0</v>
      </c>
      <c r="AT1086" s="133">
        <f ca="1">AT1040+AT1063*Timeline!AT384</f>
        <v>0</v>
      </c>
      <c r="AU1086" s="133">
        <f ca="1">AU1040+AU1063*Timeline!AU384</f>
        <v>0</v>
      </c>
      <c r="AV1086" s="133">
        <f ca="1">AV1040+AV1063*Timeline!AV384</f>
        <v>0</v>
      </c>
      <c r="AW1086" s="133">
        <f ca="1">AW1040+AW1063*Timeline!AW384</f>
        <v>0</v>
      </c>
      <c r="AX1086" s="133">
        <f ca="1">AX1040+AX1063*Timeline!AX384</f>
        <v>0</v>
      </c>
      <c r="AY1086" s="133">
        <f ca="1">AY1040+AY1063*Timeline!AY384</f>
        <v>0</v>
      </c>
      <c r="AZ1086" s="133">
        <f ca="1">AZ1040+AZ1063*Timeline!AZ384</f>
        <v>0</v>
      </c>
      <c r="BA1086" s="133">
        <f ca="1">BA1040+BA1063*Timeline!BA384</f>
        <v>0</v>
      </c>
      <c r="BB1086" s="133">
        <f ca="1">BB1040+BB1063*Timeline!BB384</f>
        <v>0</v>
      </c>
      <c r="BC1086" s="133">
        <f ca="1">BC1040+BC1063*Timeline!BC384</f>
        <v>0</v>
      </c>
      <c r="BD1086" s="133">
        <f ca="1">BD1040+BD1063*Timeline!BD384</f>
        <v>0</v>
      </c>
      <c r="BE1086" s="133">
        <f ca="1">BE1040+BE1063*Timeline!BE384</f>
        <v>0</v>
      </c>
      <c r="BF1086" s="133">
        <f ca="1">BF1040+BF1063*Timeline!BF384</f>
        <v>0</v>
      </c>
      <c r="BG1086" s="133">
        <f ca="1">BG1040+BG1063*Timeline!BG384</f>
        <v>0</v>
      </c>
      <c r="BH1086" s="133">
        <f ca="1">BH1040+BH1063*Timeline!BH384</f>
        <v>0</v>
      </c>
      <c r="BI1086" s="133">
        <f ca="1">BI1040+BI1063*Timeline!BI384</f>
        <v>0</v>
      </c>
      <c r="BJ1086" s="133">
        <f ca="1">BJ1040+BJ1063*Timeline!BJ384</f>
        <v>0</v>
      </c>
      <c r="BK1086" s="106"/>
      <c r="BL1086" s="106"/>
      <c r="BM1086" s="106"/>
      <c r="BN1086" s="106"/>
      <c r="BO1086" s="106"/>
      <c r="BP1086" s="106"/>
      <c r="BQ1086" s="106"/>
      <c r="BR1086" s="106"/>
      <c r="BS1086" s="106"/>
      <c r="BT1086" s="106"/>
      <c r="BU1086" s="106"/>
      <c r="BV1086" s="106"/>
      <c r="BX1086" s="106"/>
      <c r="BY1086" s="12">
        <f t="shared" ca="1" si="1055"/>
        <v>0</v>
      </c>
      <c r="BZ1086" s="12">
        <f t="shared" ca="1" si="1056"/>
        <v>0</v>
      </c>
      <c r="CA1086" s="12">
        <f t="shared" ca="1" si="1057"/>
        <v>0</v>
      </c>
      <c r="CB1086" s="106"/>
      <c r="CC1086" s="106"/>
      <c r="CD1086" s="106"/>
      <c r="CE1086" s="106"/>
      <c r="CF1086" s="106"/>
      <c r="CG1086" s="106"/>
      <c r="CH1086" s="106"/>
      <c r="CI1086" s="106"/>
      <c r="CK1086" s="11"/>
      <c r="CM1086" s="11"/>
      <c r="CV1086" s="120"/>
      <c r="DF1086" s="11"/>
      <c r="EY1086" s="12" t="str">
        <f t="shared" ca="1" si="1058"/>
        <v>Interest Payable Amount due within one year after Covenant Breach Adjustment Loan 18</v>
      </c>
    </row>
    <row r="1087" spans="1:155" x14ac:dyDescent="0.35">
      <c r="B1087" s="69" t="str" cm="1">
        <f t="array" aca="1" ref="B1087" ca="1">HYPERLINK(CONCATENATE("#",CELL("address",$D$398)),$D$398)</f>
        <v>Loan 19</v>
      </c>
      <c r="C1087" s="211" t="str">
        <f t="shared" si="1053"/>
        <v>ST-LN-19-2CB</v>
      </c>
      <c r="D1087" s="49">
        <f>D$31</f>
        <v>0</v>
      </c>
      <c r="E1087" s="49" t="str">
        <f>F$31</f>
        <v/>
      </c>
      <c r="F1087" s="49"/>
      <c r="H1087" s="9"/>
      <c r="I1087" s="40" t="s">
        <v>665</v>
      </c>
      <c r="V1087" s="106"/>
      <c r="W1087" s="133">
        <f t="shared" ca="1" si="1054"/>
        <v>0</v>
      </c>
      <c r="X1087" s="133">
        <f t="shared" ca="1" si="1054"/>
        <v>0</v>
      </c>
      <c r="Y1087" s="133">
        <f t="shared" ca="1" si="1054"/>
        <v>0</v>
      </c>
      <c r="AA1087" s="133">
        <f ca="1">AA1041+AA1064*Timeline!AA385</f>
        <v>0</v>
      </c>
      <c r="AB1087" s="133">
        <f ca="1">AB1041+AB1064*Timeline!AB385</f>
        <v>0</v>
      </c>
      <c r="AC1087" s="133">
        <f ca="1">AC1041+AC1064*Timeline!AC385</f>
        <v>0</v>
      </c>
      <c r="AD1087" s="133">
        <f ca="1">AD1041+AD1064*Timeline!AD385</f>
        <v>0</v>
      </c>
      <c r="AE1087" s="133">
        <f ca="1">AE1041+AE1064*Timeline!AE385</f>
        <v>0</v>
      </c>
      <c r="AF1087" s="133">
        <f ca="1">AF1041+AF1064*Timeline!AF385</f>
        <v>0</v>
      </c>
      <c r="AG1087" s="133">
        <f ca="1">AG1041+AG1064*Timeline!AG385</f>
        <v>0</v>
      </c>
      <c r="AH1087" s="133">
        <f ca="1">AH1041+AH1064*Timeline!AH385</f>
        <v>0</v>
      </c>
      <c r="AI1087" s="133">
        <f ca="1">AI1041+AI1064*Timeline!AI385</f>
        <v>0</v>
      </c>
      <c r="AJ1087" s="133">
        <f ca="1">AJ1041+AJ1064*Timeline!AJ385</f>
        <v>0</v>
      </c>
      <c r="AK1087" s="133">
        <f ca="1">AK1041+AK1064*Timeline!AK385</f>
        <v>0</v>
      </c>
      <c r="AL1087" s="133">
        <f ca="1">AL1041+AL1064*Timeline!AL385</f>
        <v>0</v>
      </c>
      <c r="AM1087" s="133">
        <f ca="1">AM1041+AM1064*Timeline!AM385</f>
        <v>0</v>
      </c>
      <c r="AN1087" s="133">
        <f ca="1">AN1041+AN1064*Timeline!AN385</f>
        <v>0</v>
      </c>
      <c r="AO1087" s="133">
        <f ca="1">AO1041+AO1064*Timeline!AO385</f>
        <v>0</v>
      </c>
      <c r="AP1087" s="133">
        <f ca="1">AP1041+AP1064*Timeline!AP385</f>
        <v>0</v>
      </c>
      <c r="AQ1087" s="133">
        <f ca="1">AQ1041+AQ1064*Timeline!AQ385</f>
        <v>0</v>
      </c>
      <c r="AR1087" s="133">
        <f ca="1">AR1041+AR1064*Timeline!AR385</f>
        <v>0</v>
      </c>
      <c r="AS1087" s="133">
        <f ca="1">AS1041+AS1064*Timeline!AS385</f>
        <v>0</v>
      </c>
      <c r="AT1087" s="133">
        <f ca="1">AT1041+AT1064*Timeline!AT385</f>
        <v>0</v>
      </c>
      <c r="AU1087" s="133">
        <f ca="1">AU1041+AU1064*Timeline!AU385</f>
        <v>0</v>
      </c>
      <c r="AV1087" s="133">
        <f ca="1">AV1041+AV1064*Timeline!AV385</f>
        <v>0</v>
      </c>
      <c r="AW1087" s="133">
        <f ca="1">AW1041+AW1064*Timeline!AW385</f>
        <v>0</v>
      </c>
      <c r="AX1087" s="133">
        <f ca="1">AX1041+AX1064*Timeline!AX385</f>
        <v>0</v>
      </c>
      <c r="AY1087" s="133">
        <f ca="1">AY1041+AY1064*Timeline!AY385</f>
        <v>0</v>
      </c>
      <c r="AZ1087" s="133">
        <f ca="1">AZ1041+AZ1064*Timeline!AZ385</f>
        <v>0</v>
      </c>
      <c r="BA1087" s="133">
        <f ca="1">BA1041+BA1064*Timeline!BA385</f>
        <v>0</v>
      </c>
      <c r="BB1087" s="133">
        <f ca="1">BB1041+BB1064*Timeline!BB385</f>
        <v>0</v>
      </c>
      <c r="BC1087" s="133">
        <f ca="1">BC1041+BC1064*Timeline!BC385</f>
        <v>0</v>
      </c>
      <c r="BD1087" s="133">
        <f ca="1">BD1041+BD1064*Timeline!BD385</f>
        <v>0</v>
      </c>
      <c r="BE1087" s="133">
        <f ca="1">BE1041+BE1064*Timeline!BE385</f>
        <v>0</v>
      </c>
      <c r="BF1087" s="133">
        <f ca="1">BF1041+BF1064*Timeline!BF385</f>
        <v>0</v>
      </c>
      <c r="BG1087" s="133">
        <f ca="1">BG1041+BG1064*Timeline!BG385</f>
        <v>0</v>
      </c>
      <c r="BH1087" s="133">
        <f ca="1">BH1041+BH1064*Timeline!BH385</f>
        <v>0</v>
      </c>
      <c r="BI1087" s="133">
        <f ca="1">BI1041+BI1064*Timeline!BI385</f>
        <v>0</v>
      </c>
      <c r="BJ1087" s="133">
        <f ca="1">BJ1041+BJ1064*Timeline!BJ385</f>
        <v>0</v>
      </c>
      <c r="BK1087" s="106"/>
      <c r="BL1087" s="106"/>
      <c r="BM1087" s="106"/>
      <c r="BN1087" s="106"/>
      <c r="BO1087" s="106"/>
      <c r="BP1087" s="106"/>
      <c r="BQ1087" s="106"/>
      <c r="BR1087" s="106"/>
      <c r="BS1087" s="106"/>
      <c r="BT1087" s="106"/>
      <c r="BU1087" s="106"/>
      <c r="BV1087" s="106"/>
      <c r="BX1087" s="106"/>
      <c r="BY1087" s="12">
        <f t="shared" ca="1" si="1055"/>
        <v>0</v>
      </c>
      <c r="BZ1087" s="12">
        <f t="shared" ca="1" si="1056"/>
        <v>0</v>
      </c>
      <c r="CA1087" s="12">
        <f t="shared" ca="1" si="1057"/>
        <v>0</v>
      </c>
      <c r="CB1087" s="106"/>
      <c r="CC1087" s="106"/>
      <c r="CD1087" s="106"/>
      <c r="CE1087" s="106"/>
      <c r="CF1087" s="106"/>
      <c r="CG1087" s="106"/>
      <c r="CH1087" s="106"/>
      <c r="CI1087" s="106"/>
      <c r="CK1087" s="11"/>
      <c r="CM1087" s="11"/>
      <c r="CV1087" s="120"/>
      <c r="DF1087" s="11"/>
      <c r="EY1087" s="12" t="str">
        <f t="shared" ca="1" si="1058"/>
        <v>Interest Payable Amount due within one year after Covenant Breach Adjustment Loan 19</v>
      </c>
    </row>
    <row r="1088" spans="1:155" x14ac:dyDescent="0.35">
      <c r="B1088" s="69" t="str" cm="1">
        <f t="array" aca="1" ref="B1088" ca="1">HYPERLINK(CONCATENATE("#",CELL("address",$D$417)),$D$417)</f>
        <v>Loan 20</v>
      </c>
      <c r="C1088" s="211" t="str">
        <f t="shared" si="1053"/>
        <v>ST-LN-20-2CB</v>
      </c>
      <c r="D1088" s="49">
        <f>D$32</f>
        <v>0</v>
      </c>
      <c r="E1088" s="49" t="str">
        <f>F$32</f>
        <v/>
      </c>
      <c r="F1088" s="49"/>
      <c r="H1088" s="9"/>
      <c r="I1088" s="40" t="s">
        <v>665</v>
      </c>
      <c r="V1088" s="106"/>
      <c r="W1088" s="133">
        <f t="shared" ca="1" si="1054"/>
        <v>0</v>
      </c>
      <c r="X1088" s="133">
        <f t="shared" ca="1" si="1054"/>
        <v>0</v>
      </c>
      <c r="Y1088" s="133">
        <f t="shared" ca="1" si="1054"/>
        <v>0</v>
      </c>
      <c r="AA1088" s="133">
        <f ca="1">AA1042+AA1065*Timeline!AA386</f>
        <v>0</v>
      </c>
      <c r="AB1088" s="133">
        <f ca="1">AB1042+AB1065*Timeline!AB386</f>
        <v>0</v>
      </c>
      <c r="AC1088" s="133">
        <f ca="1">AC1042+AC1065*Timeline!AC386</f>
        <v>0</v>
      </c>
      <c r="AD1088" s="133">
        <f ca="1">AD1042+AD1065*Timeline!AD386</f>
        <v>0</v>
      </c>
      <c r="AE1088" s="133">
        <f ca="1">AE1042+AE1065*Timeline!AE386</f>
        <v>0</v>
      </c>
      <c r="AF1088" s="133">
        <f ca="1">AF1042+AF1065*Timeline!AF386</f>
        <v>0</v>
      </c>
      <c r="AG1088" s="133">
        <f ca="1">AG1042+AG1065*Timeline!AG386</f>
        <v>0</v>
      </c>
      <c r="AH1088" s="133">
        <f ca="1">AH1042+AH1065*Timeline!AH386</f>
        <v>0</v>
      </c>
      <c r="AI1088" s="133">
        <f ca="1">AI1042+AI1065*Timeline!AI386</f>
        <v>0</v>
      </c>
      <c r="AJ1088" s="133">
        <f ca="1">AJ1042+AJ1065*Timeline!AJ386</f>
        <v>0</v>
      </c>
      <c r="AK1088" s="133">
        <f ca="1">AK1042+AK1065*Timeline!AK386</f>
        <v>0</v>
      </c>
      <c r="AL1088" s="133">
        <f ca="1">AL1042+AL1065*Timeline!AL386</f>
        <v>0</v>
      </c>
      <c r="AM1088" s="133">
        <f ca="1">AM1042+AM1065*Timeline!AM386</f>
        <v>0</v>
      </c>
      <c r="AN1088" s="133">
        <f ca="1">AN1042+AN1065*Timeline!AN386</f>
        <v>0</v>
      </c>
      <c r="AO1088" s="133">
        <f ca="1">AO1042+AO1065*Timeline!AO386</f>
        <v>0</v>
      </c>
      <c r="AP1088" s="133">
        <f ca="1">AP1042+AP1065*Timeline!AP386</f>
        <v>0</v>
      </c>
      <c r="AQ1088" s="133">
        <f ca="1">AQ1042+AQ1065*Timeline!AQ386</f>
        <v>0</v>
      </c>
      <c r="AR1088" s="133">
        <f ca="1">AR1042+AR1065*Timeline!AR386</f>
        <v>0</v>
      </c>
      <c r="AS1088" s="133">
        <f ca="1">AS1042+AS1065*Timeline!AS386</f>
        <v>0</v>
      </c>
      <c r="AT1088" s="133">
        <f ca="1">AT1042+AT1065*Timeline!AT386</f>
        <v>0</v>
      </c>
      <c r="AU1088" s="133">
        <f ca="1">AU1042+AU1065*Timeline!AU386</f>
        <v>0</v>
      </c>
      <c r="AV1088" s="133">
        <f ca="1">AV1042+AV1065*Timeline!AV386</f>
        <v>0</v>
      </c>
      <c r="AW1088" s="133">
        <f ca="1">AW1042+AW1065*Timeline!AW386</f>
        <v>0</v>
      </c>
      <c r="AX1088" s="133">
        <f ca="1">AX1042+AX1065*Timeline!AX386</f>
        <v>0</v>
      </c>
      <c r="AY1088" s="133">
        <f ca="1">AY1042+AY1065*Timeline!AY386</f>
        <v>0</v>
      </c>
      <c r="AZ1088" s="133">
        <f ca="1">AZ1042+AZ1065*Timeline!AZ386</f>
        <v>0</v>
      </c>
      <c r="BA1088" s="133">
        <f ca="1">BA1042+BA1065*Timeline!BA386</f>
        <v>0</v>
      </c>
      <c r="BB1088" s="133">
        <f ca="1">BB1042+BB1065*Timeline!BB386</f>
        <v>0</v>
      </c>
      <c r="BC1088" s="133">
        <f ca="1">BC1042+BC1065*Timeline!BC386</f>
        <v>0</v>
      </c>
      <c r="BD1088" s="133">
        <f ca="1">BD1042+BD1065*Timeline!BD386</f>
        <v>0</v>
      </c>
      <c r="BE1088" s="133">
        <f ca="1">BE1042+BE1065*Timeline!BE386</f>
        <v>0</v>
      </c>
      <c r="BF1088" s="133">
        <f ca="1">BF1042+BF1065*Timeline!BF386</f>
        <v>0</v>
      </c>
      <c r="BG1088" s="133">
        <f ca="1">BG1042+BG1065*Timeline!BG386</f>
        <v>0</v>
      </c>
      <c r="BH1088" s="133">
        <f ca="1">BH1042+BH1065*Timeline!BH386</f>
        <v>0</v>
      </c>
      <c r="BI1088" s="133">
        <f ca="1">BI1042+BI1065*Timeline!BI386</f>
        <v>0</v>
      </c>
      <c r="BJ1088" s="133">
        <f ca="1">BJ1042+BJ1065*Timeline!BJ386</f>
        <v>0</v>
      </c>
      <c r="BK1088" s="106"/>
      <c r="BL1088" s="106"/>
      <c r="BM1088" s="106"/>
      <c r="BN1088" s="106"/>
      <c r="BO1088" s="106"/>
      <c r="BP1088" s="106"/>
      <c r="BQ1088" s="106"/>
      <c r="BR1088" s="106"/>
      <c r="BS1088" s="106"/>
      <c r="BT1088" s="106"/>
      <c r="BU1088" s="106"/>
      <c r="BV1088" s="106"/>
      <c r="BX1088" s="106"/>
      <c r="BY1088" s="12">
        <f t="shared" ca="1" si="1055"/>
        <v>0</v>
      </c>
      <c r="BZ1088" s="12">
        <f t="shared" ca="1" si="1056"/>
        <v>0</v>
      </c>
      <c r="CA1088" s="12">
        <f t="shared" ca="1" si="1057"/>
        <v>0</v>
      </c>
      <c r="CB1088" s="106"/>
      <c r="CC1088" s="106"/>
      <c r="CD1088" s="106"/>
      <c r="CE1088" s="106"/>
      <c r="CF1088" s="106"/>
      <c r="CG1088" s="106"/>
      <c r="CH1088" s="106"/>
      <c r="CI1088" s="106"/>
      <c r="CK1088" s="11"/>
      <c r="CM1088" s="11"/>
      <c r="CV1088" s="120"/>
      <c r="DF1088" s="11"/>
      <c r="EY1088" s="12" t="str">
        <f t="shared" ca="1" si="1058"/>
        <v>Interest Payable Amount due within one year after Covenant Breach Adjustment Loan 20</v>
      </c>
    </row>
    <row r="1089" spans="1:155" ht="6.75" customHeight="1" x14ac:dyDescent="0.35">
      <c r="C1089" s="211"/>
      <c r="D1089" s="1"/>
      <c r="E1089"/>
      <c r="F1089"/>
      <c r="BY1089" s="6"/>
      <c r="CK1089" s="35"/>
      <c r="CM1089" s="35"/>
      <c r="CV1089" s="120"/>
      <c r="DF1089" s="35"/>
      <c r="EY1089" s="10" t="str">
        <f>IF($C1089="","",$D1089)</f>
        <v/>
      </c>
    </row>
    <row r="1090" spans="1:155" x14ac:dyDescent="0.35">
      <c r="A1090" s="34"/>
      <c r="B1090" s="34"/>
      <c r="C1090" s="238"/>
      <c r="D1090" s="34" t="s">
        <v>1337</v>
      </c>
      <c r="E1090" s="34"/>
      <c r="F1090" s="34"/>
      <c r="G1090" s="34"/>
      <c r="H1090" s="34"/>
      <c r="I1090" s="34"/>
      <c r="J1090" s="34"/>
      <c r="K1090" s="34"/>
      <c r="L1090" s="34"/>
      <c r="M1090" s="34"/>
      <c r="N1090" s="34"/>
      <c r="O1090" s="34"/>
      <c r="P1090" s="34"/>
      <c r="Q1090" s="34"/>
      <c r="R1090" s="34"/>
      <c r="S1090" s="34"/>
      <c r="T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11"/>
      <c r="CM1090" s="11"/>
      <c r="CV1090" s="120"/>
      <c r="DF1090" s="11"/>
      <c r="EY1090" s="10" t="str">
        <f>IF($C1090="","",$D1090)</f>
        <v/>
      </c>
    </row>
    <row r="1091" spans="1:155" ht="6.75" customHeight="1" x14ac:dyDescent="0.35">
      <c r="C1091" s="211"/>
      <c r="D1091" s="1"/>
      <c r="E1091"/>
      <c r="F1091"/>
      <c r="BY1091" s="6"/>
      <c r="CK1091" s="35"/>
      <c r="CM1091" s="35"/>
      <c r="CV1091" s="120"/>
      <c r="DF1091" s="35"/>
      <c r="EY1091" s="10" t="str">
        <f>IF($C1091="","",$D1091)</f>
        <v/>
      </c>
    </row>
    <row r="1092" spans="1:155" x14ac:dyDescent="0.35">
      <c r="C1092" s="211"/>
      <c r="D1092" s="50" t="s">
        <v>1083</v>
      </c>
      <c r="CK1092" s="11"/>
      <c r="CM1092" s="11"/>
      <c r="CV1092" s="120"/>
      <c r="DF1092" s="11"/>
      <c r="EY1092" s="10" t="str">
        <f>IF($C1092="","",$D1092)</f>
        <v/>
      </c>
    </row>
    <row r="1093" spans="1:155" x14ac:dyDescent="0.35">
      <c r="C1093" s="211"/>
      <c r="D1093" t="s">
        <v>664</v>
      </c>
      <c r="H1093" s="9"/>
      <c r="I1093" s="40" t="s">
        <v>665</v>
      </c>
      <c r="V1093" s="133">
        <f>SUMIFS(V$509:V$528, $E$509:$E$528, $D1093)</f>
        <v>0</v>
      </c>
      <c r="W1093" s="10">
        <f>SUMIFS(W$509:W$528, $E$509:$E$528, $D1093)</f>
        <v>0</v>
      </c>
      <c r="X1093" s="10">
        <f>SUMIFS(X$509:X$528, $E$509:$E$528, $D1093)</f>
        <v>0</v>
      </c>
      <c r="Y1093" s="10">
        <f>SUMIFS(Y$509:Y$528, $E$509:$E$528, $D1093)</f>
        <v>0</v>
      </c>
      <c r="AA1093" s="10">
        <f t="shared" ref="AA1093:BV1093" si="1059">SUMIFS(AA$509:AA$528, $E$509:$E$528, $D1093)</f>
        <v>0</v>
      </c>
      <c r="AB1093" s="10">
        <f t="shared" si="1059"/>
        <v>0</v>
      </c>
      <c r="AC1093" s="10">
        <f t="shared" si="1059"/>
        <v>0</v>
      </c>
      <c r="AD1093" s="10">
        <f t="shared" si="1059"/>
        <v>0</v>
      </c>
      <c r="AE1093" s="10">
        <f t="shared" si="1059"/>
        <v>0</v>
      </c>
      <c r="AF1093" s="10">
        <f t="shared" si="1059"/>
        <v>0</v>
      </c>
      <c r="AG1093" s="10">
        <f t="shared" si="1059"/>
        <v>0</v>
      </c>
      <c r="AH1093" s="10">
        <f t="shared" si="1059"/>
        <v>0</v>
      </c>
      <c r="AI1093" s="10">
        <f t="shared" si="1059"/>
        <v>0</v>
      </c>
      <c r="AJ1093" s="10">
        <f t="shared" si="1059"/>
        <v>0</v>
      </c>
      <c r="AK1093" s="10">
        <f t="shared" si="1059"/>
        <v>0</v>
      </c>
      <c r="AL1093" s="10">
        <f t="shared" si="1059"/>
        <v>0</v>
      </c>
      <c r="AM1093" s="10">
        <f t="shared" si="1059"/>
        <v>0</v>
      </c>
      <c r="AN1093" s="10">
        <f t="shared" si="1059"/>
        <v>0</v>
      </c>
      <c r="AO1093" s="10">
        <f t="shared" si="1059"/>
        <v>0</v>
      </c>
      <c r="AP1093" s="10">
        <f t="shared" si="1059"/>
        <v>0</v>
      </c>
      <c r="AQ1093" s="10">
        <f t="shared" si="1059"/>
        <v>0</v>
      </c>
      <c r="AR1093" s="10">
        <f t="shared" si="1059"/>
        <v>0</v>
      </c>
      <c r="AS1093" s="10">
        <f t="shared" si="1059"/>
        <v>0</v>
      </c>
      <c r="AT1093" s="10">
        <f t="shared" si="1059"/>
        <v>0</v>
      </c>
      <c r="AU1093" s="10">
        <f t="shared" si="1059"/>
        <v>0</v>
      </c>
      <c r="AV1093" s="10">
        <f t="shared" si="1059"/>
        <v>0</v>
      </c>
      <c r="AW1093" s="10">
        <f t="shared" si="1059"/>
        <v>0</v>
      </c>
      <c r="AX1093" s="10">
        <f t="shared" si="1059"/>
        <v>0</v>
      </c>
      <c r="AY1093" s="10">
        <f t="shared" si="1059"/>
        <v>0</v>
      </c>
      <c r="AZ1093" s="10">
        <f t="shared" si="1059"/>
        <v>0</v>
      </c>
      <c r="BA1093" s="10">
        <f t="shared" si="1059"/>
        <v>0</v>
      </c>
      <c r="BB1093" s="10">
        <f t="shared" si="1059"/>
        <v>0</v>
      </c>
      <c r="BC1093" s="10">
        <f t="shared" si="1059"/>
        <v>0</v>
      </c>
      <c r="BD1093" s="10">
        <f t="shared" si="1059"/>
        <v>0</v>
      </c>
      <c r="BE1093" s="10">
        <f t="shared" si="1059"/>
        <v>0</v>
      </c>
      <c r="BF1093" s="10">
        <f t="shared" si="1059"/>
        <v>0</v>
      </c>
      <c r="BG1093" s="10">
        <f t="shared" si="1059"/>
        <v>0</v>
      </c>
      <c r="BH1093" s="10">
        <f t="shared" si="1059"/>
        <v>0</v>
      </c>
      <c r="BI1093" s="10">
        <f t="shared" si="1059"/>
        <v>0</v>
      </c>
      <c r="BJ1093" s="10">
        <f t="shared" si="1059"/>
        <v>0</v>
      </c>
      <c r="BK1093" s="10">
        <f t="shared" si="1059"/>
        <v>0</v>
      </c>
      <c r="BL1093" s="10">
        <f t="shared" si="1059"/>
        <v>0</v>
      </c>
      <c r="BM1093" s="10">
        <f t="shared" si="1059"/>
        <v>0</v>
      </c>
      <c r="BN1093" s="10">
        <f t="shared" si="1059"/>
        <v>0</v>
      </c>
      <c r="BO1093" s="10">
        <f t="shared" si="1059"/>
        <v>0</v>
      </c>
      <c r="BP1093" s="10">
        <f t="shared" si="1059"/>
        <v>0</v>
      </c>
      <c r="BQ1093" s="10">
        <f t="shared" si="1059"/>
        <v>0</v>
      </c>
      <c r="BR1093" s="10">
        <f t="shared" si="1059"/>
        <v>0</v>
      </c>
      <c r="BS1093" s="10">
        <f t="shared" si="1059"/>
        <v>0</v>
      </c>
      <c r="BT1093" s="10">
        <f t="shared" si="1059"/>
        <v>0</v>
      </c>
      <c r="BU1093" s="10">
        <f t="shared" si="1059"/>
        <v>0</v>
      </c>
      <c r="BV1093" s="10">
        <f t="shared" si="1059"/>
        <v>0</v>
      </c>
      <c r="BX1093" s="10">
        <f t="shared" ref="BX1093:CI1093" si="1060">SUMIFS(BX$509:BX$528, $E$509:$E$528, $D1093)</f>
        <v>0</v>
      </c>
      <c r="BY1093" s="10">
        <f t="shared" si="1060"/>
        <v>0</v>
      </c>
      <c r="BZ1093" s="10">
        <f t="shared" si="1060"/>
        <v>0</v>
      </c>
      <c r="CA1093" s="10">
        <f t="shared" si="1060"/>
        <v>0</v>
      </c>
      <c r="CB1093" s="10">
        <f t="shared" si="1060"/>
        <v>0</v>
      </c>
      <c r="CC1093" s="10">
        <f t="shared" si="1060"/>
        <v>0</v>
      </c>
      <c r="CD1093" s="10">
        <f t="shared" si="1060"/>
        <v>0</v>
      </c>
      <c r="CE1093" s="10">
        <f t="shared" si="1060"/>
        <v>0</v>
      </c>
      <c r="CF1093" s="10">
        <f t="shared" si="1060"/>
        <v>0</v>
      </c>
      <c r="CG1093" s="10">
        <f t="shared" si="1060"/>
        <v>0</v>
      </c>
      <c r="CH1093" s="10">
        <f t="shared" si="1060"/>
        <v>0</v>
      </c>
      <c r="CI1093" s="10">
        <f t="shared" si="1060"/>
        <v>0</v>
      </c>
      <c r="CK1093" s="11"/>
      <c r="CM1093" s="11"/>
      <c r="CV1093" s="120"/>
      <c r="DF1093" s="11"/>
      <c r="EY1093" s="12" t="str">
        <f>IF($C1093="","",CONCATENATE(D1092," ", D1093))</f>
        <v/>
      </c>
    </row>
    <row r="1094" spans="1:155" x14ac:dyDescent="0.35">
      <c r="C1094" s="211"/>
      <c r="D1094" t="s">
        <v>667</v>
      </c>
      <c r="H1094" s="9"/>
      <c r="I1094" s="40" t="s">
        <v>665</v>
      </c>
      <c r="V1094" s="133">
        <f>SUMIFS(V$509:V$528, $E$509:$E$528, $D1094)</f>
        <v>0</v>
      </c>
      <c r="W1094" s="10">
        <f t="shared" ref="W1094:Y1095" si="1061">SUMIFS(W$509:W$528, $E$509:$E$528, $D1094)</f>
        <v>0</v>
      </c>
      <c r="X1094" s="10">
        <f t="shared" si="1061"/>
        <v>0</v>
      </c>
      <c r="Y1094" s="10">
        <f t="shared" si="1061"/>
        <v>0</v>
      </c>
      <c r="AA1094" s="10">
        <f t="shared" ref="AA1094:AJ1095" si="1062">SUMIFS(AA$509:AA$528, $E$509:$E$528, $D1094)</f>
        <v>0</v>
      </c>
      <c r="AB1094" s="10">
        <f t="shared" si="1062"/>
        <v>0</v>
      </c>
      <c r="AC1094" s="10">
        <f t="shared" si="1062"/>
        <v>0</v>
      </c>
      <c r="AD1094" s="10">
        <f t="shared" si="1062"/>
        <v>0</v>
      </c>
      <c r="AE1094" s="10">
        <f t="shared" si="1062"/>
        <v>0</v>
      </c>
      <c r="AF1094" s="10">
        <f t="shared" si="1062"/>
        <v>0</v>
      </c>
      <c r="AG1094" s="10">
        <f t="shared" si="1062"/>
        <v>0</v>
      </c>
      <c r="AH1094" s="10">
        <f t="shared" si="1062"/>
        <v>0</v>
      </c>
      <c r="AI1094" s="10">
        <f t="shared" si="1062"/>
        <v>0</v>
      </c>
      <c r="AJ1094" s="10">
        <f t="shared" si="1062"/>
        <v>0</v>
      </c>
      <c r="AK1094" s="10">
        <f t="shared" ref="AK1094:AT1095" si="1063">SUMIFS(AK$509:AK$528, $E$509:$E$528, $D1094)</f>
        <v>0</v>
      </c>
      <c r="AL1094" s="10">
        <f t="shared" si="1063"/>
        <v>0</v>
      </c>
      <c r="AM1094" s="10">
        <f t="shared" si="1063"/>
        <v>0</v>
      </c>
      <c r="AN1094" s="10">
        <f t="shared" si="1063"/>
        <v>0</v>
      </c>
      <c r="AO1094" s="10">
        <f t="shared" si="1063"/>
        <v>0</v>
      </c>
      <c r="AP1094" s="10">
        <f t="shared" si="1063"/>
        <v>0</v>
      </c>
      <c r="AQ1094" s="10">
        <f t="shared" si="1063"/>
        <v>0</v>
      </c>
      <c r="AR1094" s="10">
        <f t="shared" si="1063"/>
        <v>0</v>
      </c>
      <c r="AS1094" s="10">
        <f t="shared" si="1063"/>
        <v>0</v>
      </c>
      <c r="AT1094" s="10">
        <f t="shared" si="1063"/>
        <v>0</v>
      </c>
      <c r="AU1094" s="10">
        <f t="shared" ref="AU1094:BD1095" si="1064">SUMIFS(AU$509:AU$528, $E$509:$E$528, $D1094)</f>
        <v>0</v>
      </c>
      <c r="AV1094" s="10">
        <f t="shared" si="1064"/>
        <v>0</v>
      </c>
      <c r="AW1094" s="10">
        <f t="shared" si="1064"/>
        <v>0</v>
      </c>
      <c r="AX1094" s="10">
        <f t="shared" si="1064"/>
        <v>0</v>
      </c>
      <c r="AY1094" s="10">
        <f t="shared" si="1064"/>
        <v>0</v>
      </c>
      <c r="AZ1094" s="10">
        <f t="shared" si="1064"/>
        <v>0</v>
      </c>
      <c r="BA1094" s="10">
        <f t="shared" si="1064"/>
        <v>0</v>
      </c>
      <c r="BB1094" s="10">
        <f t="shared" si="1064"/>
        <v>0</v>
      </c>
      <c r="BC1094" s="10">
        <f t="shared" si="1064"/>
        <v>0</v>
      </c>
      <c r="BD1094" s="10">
        <f t="shared" si="1064"/>
        <v>0</v>
      </c>
      <c r="BE1094" s="10">
        <f t="shared" ref="BE1094:BN1095" si="1065">SUMIFS(BE$509:BE$528, $E$509:$E$528, $D1094)</f>
        <v>0</v>
      </c>
      <c r="BF1094" s="10">
        <f t="shared" si="1065"/>
        <v>0</v>
      </c>
      <c r="BG1094" s="10">
        <f t="shared" si="1065"/>
        <v>0</v>
      </c>
      <c r="BH1094" s="10">
        <f t="shared" si="1065"/>
        <v>0</v>
      </c>
      <c r="BI1094" s="10">
        <f t="shared" si="1065"/>
        <v>0</v>
      </c>
      <c r="BJ1094" s="10">
        <f t="shared" si="1065"/>
        <v>0</v>
      </c>
      <c r="BK1094" s="10">
        <f t="shared" si="1065"/>
        <v>0</v>
      </c>
      <c r="BL1094" s="10">
        <f t="shared" si="1065"/>
        <v>0</v>
      </c>
      <c r="BM1094" s="10">
        <f t="shared" si="1065"/>
        <v>0</v>
      </c>
      <c r="BN1094" s="10">
        <f t="shared" si="1065"/>
        <v>0</v>
      </c>
      <c r="BO1094" s="10">
        <f t="shared" ref="BO1094:BV1095" si="1066">SUMIFS(BO$509:BO$528, $E$509:$E$528, $D1094)</f>
        <v>0</v>
      </c>
      <c r="BP1094" s="10">
        <f t="shared" si="1066"/>
        <v>0</v>
      </c>
      <c r="BQ1094" s="10">
        <f t="shared" si="1066"/>
        <v>0</v>
      </c>
      <c r="BR1094" s="10">
        <f t="shared" si="1066"/>
        <v>0</v>
      </c>
      <c r="BS1094" s="10">
        <f t="shared" si="1066"/>
        <v>0</v>
      </c>
      <c r="BT1094" s="10">
        <f t="shared" si="1066"/>
        <v>0</v>
      </c>
      <c r="BU1094" s="10">
        <f t="shared" si="1066"/>
        <v>0</v>
      </c>
      <c r="BV1094" s="10">
        <f t="shared" si="1066"/>
        <v>0</v>
      </c>
      <c r="BX1094" s="10">
        <f t="shared" ref="BX1094:CI1095" si="1067">SUMIFS(BX$509:BX$528, $E$509:$E$528, $D1094)</f>
        <v>0</v>
      </c>
      <c r="BY1094" s="10">
        <f t="shared" si="1067"/>
        <v>0</v>
      </c>
      <c r="BZ1094" s="10">
        <f t="shared" si="1067"/>
        <v>0</v>
      </c>
      <c r="CA1094" s="10">
        <f t="shared" si="1067"/>
        <v>0</v>
      </c>
      <c r="CB1094" s="10">
        <f t="shared" si="1067"/>
        <v>0</v>
      </c>
      <c r="CC1094" s="10">
        <f t="shared" si="1067"/>
        <v>0</v>
      </c>
      <c r="CD1094" s="10">
        <f t="shared" si="1067"/>
        <v>0</v>
      </c>
      <c r="CE1094" s="10">
        <f t="shared" si="1067"/>
        <v>0</v>
      </c>
      <c r="CF1094" s="10">
        <f t="shared" si="1067"/>
        <v>0</v>
      </c>
      <c r="CG1094" s="10">
        <f t="shared" si="1067"/>
        <v>0</v>
      </c>
      <c r="CH1094" s="10">
        <f t="shared" si="1067"/>
        <v>0</v>
      </c>
      <c r="CI1094" s="10">
        <f t="shared" si="1067"/>
        <v>0</v>
      </c>
      <c r="CK1094" s="11"/>
      <c r="CM1094" s="11"/>
      <c r="CV1094" s="120"/>
      <c r="DF1094" s="11"/>
      <c r="EY1094" s="12" t="str">
        <f>IF($C1094="","",CONCATENATE(D1092," ", D1094))</f>
        <v/>
      </c>
    </row>
    <row r="1095" spans="1:155" x14ac:dyDescent="0.35">
      <c r="C1095" s="211"/>
      <c r="D1095" t="s">
        <v>1338</v>
      </c>
      <c r="H1095" s="9"/>
      <c r="I1095" s="40" t="s">
        <v>665</v>
      </c>
      <c r="V1095" s="133">
        <f>SUMIFS(V$509:V$528, $E$509:$E$528, $D1095)</f>
        <v>0</v>
      </c>
      <c r="W1095" s="10">
        <f t="shared" si="1061"/>
        <v>0</v>
      </c>
      <c r="X1095" s="10">
        <f t="shared" si="1061"/>
        <v>0</v>
      </c>
      <c r="Y1095" s="10">
        <f t="shared" si="1061"/>
        <v>0</v>
      </c>
      <c r="AA1095" s="10">
        <f t="shared" si="1062"/>
        <v>0</v>
      </c>
      <c r="AB1095" s="10">
        <f t="shared" si="1062"/>
        <v>0</v>
      </c>
      <c r="AC1095" s="10">
        <f t="shared" si="1062"/>
        <v>0</v>
      </c>
      <c r="AD1095" s="10">
        <f t="shared" si="1062"/>
        <v>0</v>
      </c>
      <c r="AE1095" s="10">
        <f t="shared" si="1062"/>
        <v>0</v>
      </c>
      <c r="AF1095" s="10">
        <f t="shared" si="1062"/>
        <v>0</v>
      </c>
      <c r="AG1095" s="10">
        <f t="shared" si="1062"/>
        <v>0</v>
      </c>
      <c r="AH1095" s="10">
        <f t="shared" si="1062"/>
        <v>0</v>
      </c>
      <c r="AI1095" s="10">
        <f t="shared" si="1062"/>
        <v>0</v>
      </c>
      <c r="AJ1095" s="10">
        <f t="shared" si="1062"/>
        <v>0</v>
      </c>
      <c r="AK1095" s="10">
        <f t="shared" si="1063"/>
        <v>0</v>
      </c>
      <c r="AL1095" s="10">
        <f t="shared" si="1063"/>
        <v>0</v>
      </c>
      <c r="AM1095" s="10">
        <f t="shared" si="1063"/>
        <v>0</v>
      </c>
      <c r="AN1095" s="10">
        <f t="shared" si="1063"/>
        <v>0</v>
      </c>
      <c r="AO1095" s="10">
        <f t="shared" si="1063"/>
        <v>0</v>
      </c>
      <c r="AP1095" s="10">
        <f t="shared" si="1063"/>
        <v>0</v>
      </c>
      <c r="AQ1095" s="10">
        <f t="shared" si="1063"/>
        <v>0</v>
      </c>
      <c r="AR1095" s="10">
        <f t="shared" si="1063"/>
        <v>0</v>
      </c>
      <c r="AS1095" s="10">
        <f t="shared" si="1063"/>
        <v>0</v>
      </c>
      <c r="AT1095" s="10">
        <f t="shared" si="1063"/>
        <v>0</v>
      </c>
      <c r="AU1095" s="10">
        <f t="shared" si="1064"/>
        <v>0</v>
      </c>
      <c r="AV1095" s="10">
        <f t="shared" si="1064"/>
        <v>0</v>
      </c>
      <c r="AW1095" s="10">
        <f t="shared" si="1064"/>
        <v>0</v>
      </c>
      <c r="AX1095" s="10">
        <f t="shared" si="1064"/>
        <v>0</v>
      </c>
      <c r="AY1095" s="10">
        <f t="shared" si="1064"/>
        <v>0</v>
      </c>
      <c r="AZ1095" s="10">
        <f t="shared" si="1064"/>
        <v>0</v>
      </c>
      <c r="BA1095" s="10">
        <f t="shared" si="1064"/>
        <v>0</v>
      </c>
      <c r="BB1095" s="10">
        <f t="shared" si="1064"/>
        <v>0</v>
      </c>
      <c r="BC1095" s="10">
        <f t="shared" si="1064"/>
        <v>0</v>
      </c>
      <c r="BD1095" s="10">
        <f t="shared" si="1064"/>
        <v>0</v>
      </c>
      <c r="BE1095" s="10">
        <f t="shared" si="1065"/>
        <v>0</v>
      </c>
      <c r="BF1095" s="10">
        <f t="shared" si="1065"/>
        <v>0</v>
      </c>
      <c r="BG1095" s="10">
        <f t="shared" si="1065"/>
        <v>0</v>
      </c>
      <c r="BH1095" s="10">
        <f t="shared" si="1065"/>
        <v>0</v>
      </c>
      <c r="BI1095" s="10">
        <f t="shared" si="1065"/>
        <v>0</v>
      </c>
      <c r="BJ1095" s="10">
        <f t="shared" si="1065"/>
        <v>0</v>
      </c>
      <c r="BK1095" s="10">
        <f t="shared" si="1065"/>
        <v>0</v>
      </c>
      <c r="BL1095" s="10">
        <f t="shared" si="1065"/>
        <v>0</v>
      </c>
      <c r="BM1095" s="10">
        <f t="shared" si="1065"/>
        <v>0</v>
      </c>
      <c r="BN1095" s="10">
        <f t="shared" si="1065"/>
        <v>0</v>
      </c>
      <c r="BO1095" s="10">
        <f t="shared" si="1066"/>
        <v>0</v>
      </c>
      <c r="BP1095" s="10">
        <f t="shared" si="1066"/>
        <v>0</v>
      </c>
      <c r="BQ1095" s="10">
        <f t="shared" si="1066"/>
        <v>0</v>
      </c>
      <c r="BR1095" s="10">
        <f t="shared" si="1066"/>
        <v>0</v>
      </c>
      <c r="BS1095" s="10">
        <f t="shared" si="1066"/>
        <v>0</v>
      </c>
      <c r="BT1095" s="10">
        <f t="shared" si="1066"/>
        <v>0</v>
      </c>
      <c r="BU1095" s="10">
        <f t="shared" si="1066"/>
        <v>0</v>
      </c>
      <c r="BV1095" s="10">
        <f t="shared" si="1066"/>
        <v>0</v>
      </c>
      <c r="BX1095" s="10">
        <f t="shared" si="1067"/>
        <v>0</v>
      </c>
      <c r="BY1095" s="10">
        <f t="shared" si="1067"/>
        <v>0</v>
      </c>
      <c r="BZ1095" s="10">
        <f t="shared" si="1067"/>
        <v>0</v>
      </c>
      <c r="CA1095" s="10">
        <f t="shared" si="1067"/>
        <v>0</v>
      </c>
      <c r="CB1095" s="10">
        <f t="shared" si="1067"/>
        <v>0</v>
      </c>
      <c r="CC1095" s="10">
        <f t="shared" si="1067"/>
        <v>0</v>
      </c>
      <c r="CD1095" s="10">
        <f t="shared" si="1067"/>
        <v>0</v>
      </c>
      <c r="CE1095" s="10">
        <f t="shared" si="1067"/>
        <v>0</v>
      </c>
      <c r="CF1095" s="10">
        <f t="shared" si="1067"/>
        <v>0</v>
      </c>
      <c r="CG1095" s="10">
        <f t="shared" si="1067"/>
        <v>0</v>
      </c>
      <c r="CH1095" s="10">
        <f t="shared" si="1067"/>
        <v>0</v>
      </c>
      <c r="CI1095" s="10">
        <f t="shared" si="1067"/>
        <v>0</v>
      </c>
      <c r="CK1095" s="11"/>
      <c r="CM1095" s="11"/>
      <c r="CV1095" s="120"/>
      <c r="DF1095" s="11"/>
      <c r="EY1095" s="12" t="str">
        <f>IF($C1095="","",CONCATENATE(D1092," ", D1095))</f>
        <v/>
      </c>
    </row>
    <row r="1096" spans="1:155" x14ac:dyDescent="0.35">
      <c r="C1096" s="211"/>
      <c r="D1096" s="5" t="s">
        <v>778</v>
      </c>
      <c r="G1096" s="5"/>
      <c r="H1096" s="96"/>
      <c r="I1096" s="102" t="s">
        <v>665</v>
      </c>
      <c r="V1096" s="135">
        <f>SUM(V1093:V1095)</f>
        <v>0</v>
      </c>
      <c r="W1096" s="12">
        <f>SUM(W1093:W1095)</f>
        <v>0</v>
      </c>
      <c r="X1096" s="12">
        <f>SUM(X1093:X1095)</f>
        <v>0</v>
      </c>
      <c r="Y1096" s="12">
        <f>SUM(Y1093:Y1095)</f>
        <v>0</v>
      </c>
      <c r="AA1096" s="12">
        <f t="shared" ref="AA1096:BV1096" si="1068">SUM(AA1093:AA1095)</f>
        <v>0</v>
      </c>
      <c r="AB1096" s="12">
        <f t="shared" si="1068"/>
        <v>0</v>
      </c>
      <c r="AC1096" s="12">
        <f t="shared" si="1068"/>
        <v>0</v>
      </c>
      <c r="AD1096" s="12">
        <f t="shared" si="1068"/>
        <v>0</v>
      </c>
      <c r="AE1096" s="12">
        <f t="shared" si="1068"/>
        <v>0</v>
      </c>
      <c r="AF1096" s="12">
        <f t="shared" si="1068"/>
        <v>0</v>
      </c>
      <c r="AG1096" s="12">
        <f t="shared" si="1068"/>
        <v>0</v>
      </c>
      <c r="AH1096" s="12">
        <f t="shared" si="1068"/>
        <v>0</v>
      </c>
      <c r="AI1096" s="12">
        <f t="shared" si="1068"/>
        <v>0</v>
      </c>
      <c r="AJ1096" s="12">
        <f t="shared" si="1068"/>
        <v>0</v>
      </c>
      <c r="AK1096" s="12">
        <f t="shared" si="1068"/>
        <v>0</v>
      </c>
      <c r="AL1096" s="12">
        <f t="shared" si="1068"/>
        <v>0</v>
      </c>
      <c r="AM1096" s="12">
        <f t="shared" si="1068"/>
        <v>0</v>
      </c>
      <c r="AN1096" s="12">
        <f t="shared" si="1068"/>
        <v>0</v>
      </c>
      <c r="AO1096" s="12">
        <f t="shared" si="1068"/>
        <v>0</v>
      </c>
      <c r="AP1096" s="12">
        <f t="shared" si="1068"/>
        <v>0</v>
      </c>
      <c r="AQ1096" s="12">
        <f t="shared" si="1068"/>
        <v>0</v>
      </c>
      <c r="AR1096" s="12">
        <f t="shared" si="1068"/>
        <v>0</v>
      </c>
      <c r="AS1096" s="12">
        <f t="shared" si="1068"/>
        <v>0</v>
      </c>
      <c r="AT1096" s="12">
        <f t="shared" si="1068"/>
        <v>0</v>
      </c>
      <c r="AU1096" s="12">
        <f t="shared" si="1068"/>
        <v>0</v>
      </c>
      <c r="AV1096" s="12">
        <f t="shared" si="1068"/>
        <v>0</v>
      </c>
      <c r="AW1096" s="12">
        <f t="shared" si="1068"/>
        <v>0</v>
      </c>
      <c r="AX1096" s="12">
        <f t="shared" si="1068"/>
        <v>0</v>
      </c>
      <c r="AY1096" s="12">
        <f t="shared" si="1068"/>
        <v>0</v>
      </c>
      <c r="AZ1096" s="12">
        <f t="shared" si="1068"/>
        <v>0</v>
      </c>
      <c r="BA1096" s="12">
        <f t="shared" si="1068"/>
        <v>0</v>
      </c>
      <c r="BB1096" s="12">
        <f t="shared" si="1068"/>
        <v>0</v>
      </c>
      <c r="BC1096" s="12">
        <f t="shared" si="1068"/>
        <v>0</v>
      </c>
      <c r="BD1096" s="12">
        <f t="shared" si="1068"/>
        <v>0</v>
      </c>
      <c r="BE1096" s="12">
        <f t="shared" si="1068"/>
        <v>0</v>
      </c>
      <c r="BF1096" s="12">
        <f t="shared" si="1068"/>
        <v>0</v>
      </c>
      <c r="BG1096" s="12">
        <f t="shared" si="1068"/>
        <v>0</v>
      </c>
      <c r="BH1096" s="12">
        <f t="shared" si="1068"/>
        <v>0</v>
      </c>
      <c r="BI1096" s="12">
        <f t="shared" si="1068"/>
        <v>0</v>
      </c>
      <c r="BJ1096" s="12">
        <f t="shared" si="1068"/>
        <v>0</v>
      </c>
      <c r="BK1096" s="12">
        <f t="shared" si="1068"/>
        <v>0</v>
      </c>
      <c r="BL1096" s="12">
        <f t="shared" si="1068"/>
        <v>0</v>
      </c>
      <c r="BM1096" s="12">
        <f t="shared" si="1068"/>
        <v>0</v>
      </c>
      <c r="BN1096" s="12">
        <f t="shared" si="1068"/>
        <v>0</v>
      </c>
      <c r="BO1096" s="12">
        <f t="shared" si="1068"/>
        <v>0</v>
      </c>
      <c r="BP1096" s="12">
        <f t="shared" si="1068"/>
        <v>0</v>
      </c>
      <c r="BQ1096" s="12">
        <f t="shared" si="1068"/>
        <v>0</v>
      </c>
      <c r="BR1096" s="12">
        <f t="shared" si="1068"/>
        <v>0</v>
      </c>
      <c r="BS1096" s="12">
        <f t="shared" si="1068"/>
        <v>0</v>
      </c>
      <c r="BT1096" s="12">
        <f t="shared" si="1068"/>
        <v>0</v>
      </c>
      <c r="BU1096" s="12">
        <f t="shared" si="1068"/>
        <v>0</v>
      </c>
      <c r="BV1096" s="12">
        <f t="shared" si="1068"/>
        <v>0</v>
      </c>
      <c r="BX1096" s="12">
        <f t="shared" ref="BX1096:CI1096" si="1069">SUM(BX1093:BX1095)</f>
        <v>0</v>
      </c>
      <c r="BY1096" s="12">
        <f t="shared" si="1069"/>
        <v>0</v>
      </c>
      <c r="BZ1096" s="12">
        <f t="shared" si="1069"/>
        <v>0</v>
      </c>
      <c r="CA1096" s="12">
        <f t="shared" si="1069"/>
        <v>0</v>
      </c>
      <c r="CB1096" s="12">
        <f t="shared" si="1069"/>
        <v>0</v>
      </c>
      <c r="CC1096" s="12">
        <f t="shared" si="1069"/>
        <v>0</v>
      </c>
      <c r="CD1096" s="12">
        <f t="shared" si="1069"/>
        <v>0</v>
      </c>
      <c r="CE1096" s="12">
        <f t="shared" si="1069"/>
        <v>0</v>
      </c>
      <c r="CF1096" s="12">
        <f t="shared" si="1069"/>
        <v>0</v>
      </c>
      <c r="CG1096" s="12">
        <f t="shared" si="1069"/>
        <v>0</v>
      </c>
      <c r="CH1096" s="12">
        <f t="shared" si="1069"/>
        <v>0</v>
      </c>
      <c r="CI1096" s="12">
        <f t="shared" si="1069"/>
        <v>0</v>
      </c>
      <c r="CK1096" s="11"/>
      <c r="CM1096" s="11"/>
      <c r="CV1096" s="120"/>
      <c r="DF1096" s="11"/>
      <c r="EY1096" s="12" t="str">
        <f>IF($C1096="","",CONCATENATE(D1092," ", D1096))</f>
        <v/>
      </c>
    </row>
    <row r="1097" spans="1:155" ht="6.75" customHeight="1" x14ac:dyDescent="0.35">
      <c r="C1097" s="211"/>
      <c r="D1097" s="1"/>
      <c r="BY1097" s="6"/>
      <c r="CK1097" s="35"/>
      <c r="CM1097" s="35"/>
      <c r="CV1097" s="120"/>
      <c r="DF1097" s="35"/>
      <c r="EY1097" s="10" t="str">
        <f>IF($C1097="","",$D1097)</f>
        <v/>
      </c>
    </row>
    <row r="1098" spans="1:155" x14ac:dyDescent="0.35">
      <c r="C1098" s="211"/>
      <c r="D1098" s="50" t="s">
        <v>1339</v>
      </c>
      <c r="CK1098" s="11"/>
      <c r="CM1098" s="11"/>
      <c r="CV1098" s="120"/>
      <c r="DF1098" s="11"/>
      <c r="EY1098" s="10" t="str">
        <f>IF($C1098="","",$D1098)</f>
        <v/>
      </c>
    </row>
    <row r="1099" spans="1:155" x14ac:dyDescent="0.35">
      <c r="C1099" s="211"/>
      <c r="D1099" t="s">
        <v>664</v>
      </c>
      <c r="H1099" s="9"/>
      <c r="I1099" s="40" t="s">
        <v>665</v>
      </c>
      <c r="V1099" s="12">
        <f>'Opening Balances'!$W$37</f>
        <v>0</v>
      </c>
      <c r="W1099" s="10">
        <f t="shared" ref="W1099:Y1101" si="1070">SUMIFS(W$954:W$973, $E$954:$E$973, $D1099)</f>
        <v>0</v>
      </c>
      <c r="X1099" s="10">
        <f t="shared" si="1070"/>
        <v>0</v>
      </c>
      <c r="Y1099" s="10">
        <f t="shared" si="1070"/>
        <v>0</v>
      </c>
      <c r="AA1099" s="10">
        <f t="shared" ref="AA1099:AJ1101" si="1071">SUMIFS(AA$954:AA$973, $E$954:$E$973, $D1099)</f>
        <v>0</v>
      </c>
      <c r="AB1099" s="10">
        <f t="shared" si="1071"/>
        <v>0</v>
      </c>
      <c r="AC1099" s="10">
        <f t="shared" si="1071"/>
        <v>0</v>
      </c>
      <c r="AD1099" s="10">
        <f t="shared" si="1071"/>
        <v>0</v>
      </c>
      <c r="AE1099" s="10">
        <f t="shared" si="1071"/>
        <v>0</v>
      </c>
      <c r="AF1099" s="10">
        <f t="shared" si="1071"/>
        <v>0</v>
      </c>
      <c r="AG1099" s="10">
        <f t="shared" si="1071"/>
        <v>0</v>
      </c>
      <c r="AH1099" s="10">
        <f t="shared" si="1071"/>
        <v>0</v>
      </c>
      <c r="AI1099" s="10">
        <f t="shared" si="1071"/>
        <v>0</v>
      </c>
      <c r="AJ1099" s="10">
        <f t="shared" si="1071"/>
        <v>0</v>
      </c>
      <c r="AK1099" s="10">
        <f t="shared" ref="AK1099:AT1101" si="1072">SUMIFS(AK$954:AK$973, $E$954:$E$973, $D1099)</f>
        <v>0</v>
      </c>
      <c r="AL1099" s="10">
        <f t="shared" si="1072"/>
        <v>0</v>
      </c>
      <c r="AM1099" s="10">
        <f t="shared" si="1072"/>
        <v>0</v>
      </c>
      <c r="AN1099" s="10">
        <f t="shared" si="1072"/>
        <v>0</v>
      </c>
      <c r="AO1099" s="10">
        <f t="shared" si="1072"/>
        <v>0</v>
      </c>
      <c r="AP1099" s="10">
        <f t="shared" si="1072"/>
        <v>0</v>
      </c>
      <c r="AQ1099" s="10">
        <f t="shared" si="1072"/>
        <v>0</v>
      </c>
      <c r="AR1099" s="10">
        <f t="shared" si="1072"/>
        <v>0</v>
      </c>
      <c r="AS1099" s="10">
        <f t="shared" si="1072"/>
        <v>0</v>
      </c>
      <c r="AT1099" s="10">
        <f t="shared" si="1072"/>
        <v>0</v>
      </c>
      <c r="AU1099" s="10">
        <f t="shared" ref="AU1099:BD1101" si="1073">SUMIFS(AU$954:AU$973, $E$954:$E$973, $D1099)</f>
        <v>0</v>
      </c>
      <c r="AV1099" s="10">
        <f t="shared" si="1073"/>
        <v>0</v>
      </c>
      <c r="AW1099" s="10">
        <f t="shared" si="1073"/>
        <v>0</v>
      </c>
      <c r="AX1099" s="10">
        <f t="shared" si="1073"/>
        <v>0</v>
      </c>
      <c r="AY1099" s="10">
        <f t="shared" si="1073"/>
        <v>0</v>
      </c>
      <c r="AZ1099" s="10">
        <f t="shared" si="1073"/>
        <v>0</v>
      </c>
      <c r="BA1099" s="10">
        <f t="shared" si="1073"/>
        <v>0</v>
      </c>
      <c r="BB1099" s="10">
        <f t="shared" si="1073"/>
        <v>0</v>
      </c>
      <c r="BC1099" s="10">
        <f t="shared" si="1073"/>
        <v>0</v>
      </c>
      <c r="BD1099" s="10">
        <f t="shared" si="1073"/>
        <v>0</v>
      </c>
      <c r="BE1099" s="10">
        <f t="shared" ref="BE1099:BN1101" si="1074">SUMIFS(BE$954:BE$973, $E$954:$E$973, $D1099)</f>
        <v>0</v>
      </c>
      <c r="BF1099" s="10">
        <f t="shared" si="1074"/>
        <v>0</v>
      </c>
      <c r="BG1099" s="10">
        <f t="shared" si="1074"/>
        <v>0</v>
      </c>
      <c r="BH1099" s="10">
        <f t="shared" si="1074"/>
        <v>0</v>
      </c>
      <c r="BI1099" s="10">
        <f t="shared" si="1074"/>
        <v>0</v>
      </c>
      <c r="BJ1099" s="10">
        <f t="shared" si="1074"/>
        <v>0</v>
      </c>
      <c r="BK1099" s="10">
        <f t="shared" si="1074"/>
        <v>0</v>
      </c>
      <c r="BL1099" s="10">
        <f t="shared" si="1074"/>
        <v>0</v>
      </c>
      <c r="BM1099" s="10">
        <f t="shared" si="1074"/>
        <v>0</v>
      </c>
      <c r="BN1099" s="10">
        <f t="shared" si="1074"/>
        <v>0</v>
      </c>
      <c r="BO1099" s="10">
        <f t="shared" ref="BO1099:BV1101" si="1075">SUMIFS(BO$954:BO$973, $E$954:$E$973, $D1099)</f>
        <v>0</v>
      </c>
      <c r="BP1099" s="10">
        <f t="shared" si="1075"/>
        <v>0</v>
      </c>
      <c r="BQ1099" s="10">
        <f t="shared" si="1075"/>
        <v>0</v>
      </c>
      <c r="BR1099" s="10">
        <f t="shared" si="1075"/>
        <v>0</v>
      </c>
      <c r="BS1099" s="10">
        <f t="shared" si="1075"/>
        <v>0</v>
      </c>
      <c r="BT1099" s="10">
        <f t="shared" si="1075"/>
        <v>0</v>
      </c>
      <c r="BU1099" s="10">
        <f t="shared" si="1075"/>
        <v>0</v>
      </c>
      <c r="BV1099" s="10">
        <f t="shared" si="1075"/>
        <v>0</v>
      </c>
      <c r="BX1099" s="12">
        <f>'Opening Balances'!$W$37</f>
        <v>0</v>
      </c>
      <c r="BY1099" s="10">
        <f t="shared" ref="BY1099:CA1101" si="1076">SUMIFS(BY$954:BY$973, $E$954:$E$973, $D1099)</f>
        <v>0</v>
      </c>
      <c r="BZ1099" s="10">
        <f t="shared" si="1076"/>
        <v>0</v>
      </c>
      <c r="CA1099" s="10">
        <f t="shared" si="1076"/>
        <v>0</v>
      </c>
      <c r="CB1099" s="106"/>
      <c r="CC1099" s="106"/>
      <c r="CD1099" s="106"/>
      <c r="CE1099" s="106"/>
      <c r="CF1099" s="106"/>
      <c r="CG1099" s="106"/>
      <c r="CH1099" s="106"/>
      <c r="CI1099" s="106"/>
      <c r="CK1099" s="11"/>
      <c r="CM1099" s="11"/>
      <c r="CV1099" s="120"/>
      <c r="DF1099" s="11"/>
      <c r="EY1099" s="12" t="str">
        <f>IF($C1099="","",CONCATENATE(D1098," ", D1099))</f>
        <v/>
      </c>
    </row>
    <row r="1100" spans="1:155" x14ac:dyDescent="0.35">
      <c r="C1100" s="211"/>
      <c r="D1100" t="s">
        <v>667</v>
      </c>
      <c r="H1100" s="9"/>
      <c r="I1100" s="40" t="s">
        <v>665</v>
      </c>
      <c r="V1100" s="12">
        <f>'Opening Balances'!$W$38</f>
        <v>0</v>
      </c>
      <c r="W1100" s="10">
        <f t="shared" si="1070"/>
        <v>0</v>
      </c>
      <c r="X1100" s="10">
        <f t="shared" si="1070"/>
        <v>0</v>
      </c>
      <c r="Y1100" s="10">
        <f t="shared" si="1070"/>
        <v>0</v>
      </c>
      <c r="AA1100" s="10">
        <f t="shared" si="1071"/>
        <v>0</v>
      </c>
      <c r="AB1100" s="10">
        <f t="shared" si="1071"/>
        <v>0</v>
      </c>
      <c r="AC1100" s="10">
        <f t="shared" si="1071"/>
        <v>0</v>
      </c>
      <c r="AD1100" s="10">
        <f t="shared" si="1071"/>
        <v>0</v>
      </c>
      <c r="AE1100" s="10">
        <f t="shared" si="1071"/>
        <v>0</v>
      </c>
      <c r="AF1100" s="10">
        <f t="shared" si="1071"/>
        <v>0</v>
      </c>
      <c r="AG1100" s="10">
        <f t="shared" si="1071"/>
        <v>0</v>
      </c>
      <c r="AH1100" s="10">
        <f t="shared" si="1071"/>
        <v>0</v>
      </c>
      <c r="AI1100" s="10">
        <f t="shared" si="1071"/>
        <v>0</v>
      </c>
      <c r="AJ1100" s="10">
        <f t="shared" si="1071"/>
        <v>0</v>
      </c>
      <c r="AK1100" s="10">
        <f t="shared" si="1072"/>
        <v>0</v>
      </c>
      <c r="AL1100" s="10">
        <f t="shared" si="1072"/>
        <v>0</v>
      </c>
      <c r="AM1100" s="10">
        <f t="shared" si="1072"/>
        <v>0</v>
      </c>
      <c r="AN1100" s="10">
        <f t="shared" si="1072"/>
        <v>0</v>
      </c>
      <c r="AO1100" s="10">
        <f t="shared" si="1072"/>
        <v>0</v>
      </c>
      <c r="AP1100" s="10">
        <f t="shared" si="1072"/>
        <v>0</v>
      </c>
      <c r="AQ1100" s="10">
        <f t="shared" si="1072"/>
        <v>0</v>
      </c>
      <c r="AR1100" s="10">
        <f t="shared" si="1072"/>
        <v>0</v>
      </c>
      <c r="AS1100" s="10">
        <f t="shared" si="1072"/>
        <v>0</v>
      </c>
      <c r="AT1100" s="10">
        <f t="shared" si="1072"/>
        <v>0</v>
      </c>
      <c r="AU1100" s="10">
        <f t="shared" si="1073"/>
        <v>0</v>
      </c>
      <c r="AV1100" s="10">
        <f t="shared" si="1073"/>
        <v>0</v>
      </c>
      <c r="AW1100" s="10">
        <f t="shared" si="1073"/>
        <v>0</v>
      </c>
      <c r="AX1100" s="10">
        <f t="shared" si="1073"/>
        <v>0</v>
      </c>
      <c r="AY1100" s="10">
        <f t="shared" si="1073"/>
        <v>0</v>
      </c>
      <c r="AZ1100" s="10">
        <f t="shared" si="1073"/>
        <v>0</v>
      </c>
      <c r="BA1100" s="10">
        <f t="shared" si="1073"/>
        <v>0</v>
      </c>
      <c r="BB1100" s="10">
        <f t="shared" si="1073"/>
        <v>0</v>
      </c>
      <c r="BC1100" s="10">
        <f t="shared" si="1073"/>
        <v>0</v>
      </c>
      <c r="BD1100" s="10">
        <f t="shared" si="1073"/>
        <v>0</v>
      </c>
      <c r="BE1100" s="10">
        <f t="shared" si="1074"/>
        <v>0</v>
      </c>
      <c r="BF1100" s="10">
        <f t="shared" si="1074"/>
        <v>0</v>
      </c>
      <c r="BG1100" s="10">
        <f t="shared" si="1074"/>
        <v>0</v>
      </c>
      <c r="BH1100" s="10">
        <f t="shared" si="1074"/>
        <v>0</v>
      </c>
      <c r="BI1100" s="10">
        <f t="shared" si="1074"/>
        <v>0</v>
      </c>
      <c r="BJ1100" s="10">
        <f t="shared" si="1074"/>
        <v>0</v>
      </c>
      <c r="BK1100" s="10">
        <f t="shared" si="1074"/>
        <v>0</v>
      </c>
      <c r="BL1100" s="10">
        <f t="shared" si="1074"/>
        <v>0</v>
      </c>
      <c r="BM1100" s="10">
        <f t="shared" si="1074"/>
        <v>0</v>
      </c>
      <c r="BN1100" s="10">
        <f t="shared" si="1074"/>
        <v>0</v>
      </c>
      <c r="BO1100" s="10">
        <f t="shared" si="1075"/>
        <v>0</v>
      </c>
      <c r="BP1100" s="10">
        <f t="shared" si="1075"/>
        <v>0</v>
      </c>
      <c r="BQ1100" s="10">
        <f t="shared" si="1075"/>
        <v>0</v>
      </c>
      <c r="BR1100" s="10">
        <f t="shared" si="1075"/>
        <v>0</v>
      </c>
      <c r="BS1100" s="10">
        <f t="shared" si="1075"/>
        <v>0</v>
      </c>
      <c r="BT1100" s="10">
        <f t="shared" si="1075"/>
        <v>0</v>
      </c>
      <c r="BU1100" s="10">
        <f t="shared" si="1075"/>
        <v>0</v>
      </c>
      <c r="BV1100" s="10">
        <f t="shared" si="1075"/>
        <v>0</v>
      </c>
      <c r="BX1100" s="12">
        <f>'Opening Balances'!$W$38</f>
        <v>0</v>
      </c>
      <c r="BY1100" s="10">
        <f t="shared" si="1076"/>
        <v>0</v>
      </c>
      <c r="BZ1100" s="10">
        <f t="shared" si="1076"/>
        <v>0</v>
      </c>
      <c r="CA1100" s="10">
        <f t="shared" si="1076"/>
        <v>0</v>
      </c>
      <c r="CB1100" s="106"/>
      <c r="CC1100" s="106"/>
      <c r="CD1100" s="106"/>
      <c r="CE1100" s="106"/>
      <c r="CF1100" s="106"/>
      <c r="CG1100" s="106"/>
      <c r="CH1100" s="106"/>
      <c r="CI1100" s="106"/>
      <c r="CK1100" s="11"/>
      <c r="CM1100" s="11"/>
      <c r="CV1100" s="120"/>
      <c r="DF1100" s="11"/>
      <c r="EY1100" s="12" t="str">
        <f>IF($C1100="","",CONCATENATE(D1098," ", D1100))</f>
        <v/>
      </c>
    </row>
    <row r="1101" spans="1:155" x14ac:dyDescent="0.35">
      <c r="C1101" s="211"/>
      <c r="D1101" t="s">
        <v>1338</v>
      </c>
      <c r="H1101" s="9"/>
      <c r="I1101" s="40" t="s">
        <v>665</v>
      </c>
      <c r="V1101" s="12">
        <f>'Opening Balances'!$W$39</f>
        <v>0</v>
      </c>
      <c r="W1101" s="10">
        <f t="shared" si="1070"/>
        <v>0</v>
      </c>
      <c r="X1101" s="10">
        <f t="shared" si="1070"/>
        <v>0</v>
      </c>
      <c r="Y1101" s="10">
        <f t="shared" si="1070"/>
        <v>0</v>
      </c>
      <c r="AA1101" s="10">
        <f t="shared" si="1071"/>
        <v>0</v>
      </c>
      <c r="AB1101" s="10">
        <f t="shared" si="1071"/>
        <v>0</v>
      </c>
      <c r="AC1101" s="10">
        <f t="shared" si="1071"/>
        <v>0</v>
      </c>
      <c r="AD1101" s="10">
        <f t="shared" si="1071"/>
        <v>0</v>
      </c>
      <c r="AE1101" s="10">
        <f t="shared" si="1071"/>
        <v>0</v>
      </c>
      <c r="AF1101" s="10">
        <f t="shared" si="1071"/>
        <v>0</v>
      </c>
      <c r="AG1101" s="10">
        <f t="shared" si="1071"/>
        <v>0</v>
      </c>
      <c r="AH1101" s="10">
        <f t="shared" si="1071"/>
        <v>0</v>
      </c>
      <c r="AI1101" s="10">
        <f t="shared" si="1071"/>
        <v>0</v>
      </c>
      <c r="AJ1101" s="10">
        <f t="shared" si="1071"/>
        <v>0</v>
      </c>
      <c r="AK1101" s="10">
        <f t="shared" si="1072"/>
        <v>0</v>
      </c>
      <c r="AL1101" s="10">
        <f t="shared" si="1072"/>
        <v>0</v>
      </c>
      <c r="AM1101" s="10">
        <f t="shared" si="1072"/>
        <v>0</v>
      </c>
      <c r="AN1101" s="10">
        <f t="shared" si="1072"/>
        <v>0</v>
      </c>
      <c r="AO1101" s="10">
        <f t="shared" si="1072"/>
        <v>0</v>
      </c>
      <c r="AP1101" s="10">
        <f t="shared" si="1072"/>
        <v>0</v>
      </c>
      <c r="AQ1101" s="10">
        <f t="shared" si="1072"/>
        <v>0</v>
      </c>
      <c r="AR1101" s="10">
        <f t="shared" si="1072"/>
        <v>0</v>
      </c>
      <c r="AS1101" s="10">
        <f t="shared" si="1072"/>
        <v>0</v>
      </c>
      <c r="AT1101" s="10">
        <f t="shared" si="1072"/>
        <v>0</v>
      </c>
      <c r="AU1101" s="10">
        <f t="shared" si="1073"/>
        <v>0</v>
      </c>
      <c r="AV1101" s="10">
        <f t="shared" si="1073"/>
        <v>0</v>
      </c>
      <c r="AW1101" s="10">
        <f t="shared" si="1073"/>
        <v>0</v>
      </c>
      <c r="AX1101" s="10">
        <f t="shared" si="1073"/>
        <v>0</v>
      </c>
      <c r="AY1101" s="10">
        <f t="shared" si="1073"/>
        <v>0</v>
      </c>
      <c r="AZ1101" s="10">
        <f t="shared" si="1073"/>
        <v>0</v>
      </c>
      <c r="BA1101" s="10">
        <f t="shared" si="1073"/>
        <v>0</v>
      </c>
      <c r="BB1101" s="10">
        <f t="shared" si="1073"/>
        <v>0</v>
      </c>
      <c r="BC1101" s="10">
        <f t="shared" si="1073"/>
        <v>0</v>
      </c>
      <c r="BD1101" s="10">
        <f t="shared" si="1073"/>
        <v>0</v>
      </c>
      <c r="BE1101" s="10">
        <f t="shared" si="1074"/>
        <v>0</v>
      </c>
      <c r="BF1101" s="10">
        <f t="shared" si="1074"/>
        <v>0</v>
      </c>
      <c r="BG1101" s="10">
        <f t="shared" si="1074"/>
        <v>0</v>
      </c>
      <c r="BH1101" s="10">
        <f t="shared" si="1074"/>
        <v>0</v>
      </c>
      <c r="BI1101" s="10">
        <f t="shared" si="1074"/>
        <v>0</v>
      </c>
      <c r="BJ1101" s="10">
        <f t="shared" si="1074"/>
        <v>0</v>
      </c>
      <c r="BK1101" s="10">
        <f t="shared" si="1074"/>
        <v>0</v>
      </c>
      <c r="BL1101" s="10">
        <f t="shared" si="1074"/>
        <v>0</v>
      </c>
      <c r="BM1101" s="10">
        <f t="shared" si="1074"/>
        <v>0</v>
      </c>
      <c r="BN1101" s="10">
        <f t="shared" si="1074"/>
        <v>0</v>
      </c>
      <c r="BO1101" s="10">
        <f t="shared" si="1075"/>
        <v>0</v>
      </c>
      <c r="BP1101" s="10">
        <f t="shared" si="1075"/>
        <v>0</v>
      </c>
      <c r="BQ1101" s="10">
        <f t="shared" si="1075"/>
        <v>0</v>
      </c>
      <c r="BR1101" s="10">
        <f t="shared" si="1075"/>
        <v>0</v>
      </c>
      <c r="BS1101" s="10">
        <f t="shared" si="1075"/>
        <v>0</v>
      </c>
      <c r="BT1101" s="10">
        <f t="shared" si="1075"/>
        <v>0</v>
      </c>
      <c r="BU1101" s="10">
        <f t="shared" si="1075"/>
        <v>0</v>
      </c>
      <c r="BV1101" s="10">
        <f t="shared" si="1075"/>
        <v>0</v>
      </c>
      <c r="BX1101" s="12">
        <f>'Opening Balances'!$W$39</f>
        <v>0</v>
      </c>
      <c r="BY1101" s="10">
        <f t="shared" si="1076"/>
        <v>0</v>
      </c>
      <c r="BZ1101" s="10">
        <f t="shared" si="1076"/>
        <v>0</v>
      </c>
      <c r="CA1101" s="10">
        <f t="shared" si="1076"/>
        <v>0</v>
      </c>
      <c r="CB1101" s="106"/>
      <c r="CC1101" s="106"/>
      <c r="CD1101" s="106"/>
      <c r="CE1101" s="106"/>
      <c r="CF1101" s="106"/>
      <c r="CG1101" s="106"/>
      <c r="CH1101" s="106"/>
      <c r="CI1101" s="106"/>
      <c r="CK1101" s="11"/>
      <c r="CM1101" s="11"/>
      <c r="CV1101" s="120"/>
      <c r="DF1101" s="11"/>
      <c r="EY1101" s="12" t="str">
        <f>IF($C1101="","",CONCATENATE(D1098," ", D1101))</f>
        <v/>
      </c>
    </row>
    <row r="1102" spans="1:155" x14ac:dyDescent="0.35">
      <c r="C1102" s="211"/>
      <c r="D1102" s="5" t="s">
        <v>778</v>
      </c>
      <c r="G1102" s="5"/>
      <c r="H1102" s="96"/>
      <c r="I1102" s="102" t="s">
        <v>665</v>
      </c>
      <c r="V1102" s="12">
        <f>SUM(V1099:V1101)</f>
        <v>0</v>
      </c>
      <c r="W1102" s="12">
        <f>SUM(W1099:W1101)</f>
        <v>0</v>
      </c>
      <c r="X1102" s="12">
        <f>SUM(X1099:X1101)</f>
        <v>0</v>
      </c>
      <c r="Y1102" s="12">
        <f>SUM(Y1099:Y1101)</f>
        <v>0</v>
      </c>
      <c r="AA1102" s="12">
        <f t="shared" ref="AA1102:BV1102" si="1077">SUM(AA1099:AA1101)</f>
        <v>0</v>
      </c>
      <c r="AB1102" s="12">
        <f t="shared" si="1077"/>
        <v>0</v>
      </c>
      <c r="AC1102" s="12">
        <f t="shared" si="1077"/>
        <v>0</v>
      </c>
      <c r="AD1102" s="12">
        <f t="shared" si="1077"/>
        <v>0</v>
      </c>
      <c r="AE1102" s="12">
        <f t="shared" si="1077"/>
        <v>0</v>
      </c>
      <c r="AF1102" s="12">
        <f t="shared" si="1077"/>
        <v>0</v>
      </c>
      <c r="AG1102" s="12">
        <f t="shared" si="1077"/>
        <v>0</v>
      </c>
      <c r="AH1102" s="12">
        <f t="shared" si="1077"/>
        <v>0</v>
      </c>
      <c r="AI1102" s="12">
        <f t="shared" si="1077"/>
        <v>0</v>
      </c>
      <c r="AJ1102" s="12">
        <f t="shared" si="1077"/>
        <v>0</v>
      </c>
      <c r="AK1102" s="12">
        <f t="shared" si="1077"/>
        <v>0</v>
      </c>
      <c r="AL1102" s="12">
        <f t="shared" si="1077"/>
        <v>0</v>
      </c>
      <c r="AM1102" s="12">
        <f t="shared" si="1077"/>
        <v>0</v>
      </c>
      <c r="AN1102" s="12">
        <f t="shared" si="1077"/>
        <v>0</v>
      </c>
      <c r="AO1102" s="12">
        <f t="shared" si="1077"/>
        <v>0</v>
      </c>
      <c r="AP1102" s="12">
        <f t="shared" si="1077"/>
        <v>0</v>
      </c>
      <c r="AQ1102" s="12">
        <f t="shared" si="1077"/>
        <v>0</v>
      </c>
      <c r="AR1102" s="12">
        <f t="shared" si="1077"/>
        <v>0</v>
      </c>
      <c r="AS1102" s="12">
        <f t="shared" si="1077"/>
        <v>0</v>
      </c>
      <c r="AT1102" s="12">
        <f t="shared" si="1077"/>
        <v>0</v>
      </c>
      <c r="AU1102" s="12">
        <f t="shared" si="1077"/>
        <v>0</v>
      </c>
      <c r="AV1102" s="12">
        <f t="shared" si="1077"/>
        <v>0</v>
      </c>
      <c r="AW1102" s="12">
        <f t="shared" si="1077"/>
        <v>0</v>
      </c>
      <c r="AX1102" s="12">
        <f t="shared" si="1077"/>
        <v>0</v>
      </c>
      <c r="AY1102" s="12">
        <f t="shared" si="1077"/>
        <v>0</v>
      </c>
      <c r="AZ1102" s="12">
        <f t="shared" si="1077"/>
        <v>0</v>
      </c>
      <c r="BA1102" s="12">
        <f t="shared" si="1077"/>
        <v>0</v>
      </c>
      <c r="BB1102" s="12">
        <f t="shared" si="1077"/>
        <v>0</v>
      </c>
      <c r="BC1102" s="12">
        <f t="shared" si="1077"/>
        <v>0</v>
      </c>
      <c r="BD1102" s="12">
        <f t="shared" si="1077"/>
        <v>0</v>
      </c>
      <c r="BE1102" s="12">
        <f t="shared" si="1077"/>
        <v>0</v>
      </c>
      <c r="BF1102" s="12">
        <f t="shared" si="1077"/>
        <v>0</v>
      </c>
      <c r="BG1102" s="12">
        <f t="shared" si="1077"/>
        <v>0</v>
      </c>
      <c r="BH1102" s="12">
        <f t="shared" si="1077"/>
        <v>0</v>
      </c>
      <c r="BI1102" s="12">
        <f t="shared" si="1077"/>
        <v>0</v>
      </c>
      <c r="BJ1102" s="12">
        <f t="shared" si="1077"/>
        <v>0</v>
      </c>
      <c r="BK1102" s="12">
        <f t="shared" si="1077"/>
        <v>0</v>
      </c>
      <c r="BL1102" s="12">
        <f t="shared" si="1077"/>
        <v>0</v>
      </c>
      <c r="BM1102" s="12">
        <f t="shared" si="1077"/>
        <v>0</v>
      </c>
      <c r="BN1102" s="12">
        <f t="shared" si="1077"/>
        <v>0</v>
      </c>
      <c r="BO1102" s="12">
        <f t="shared" si="1077"/>
        <v>0</v>
      </c>
      <c r="BP1102" s="12">
        <f t="shared" si="1077"/>
        <v>0</v>
      </c>
      <c r="BQ1102" s="12">
        <f t="shared" si="1077"/>
        <v>0</v>
      </c>
      <c r="BR1102" s="12">
        <f t="shared" si="1077"/>
        <v>0</v>
      </c>
      <c r="BS1102" s="12">
        <f t="shared" si="1077"/>
        <v>0</v>
      </c>
      <c r="BT1102" s="12">
        <f t="shared" si="1077"/>
        <v>0</v>
      </c>
      <c r="BU1102" s="12">
        <f t="shared" si="1077"/>
        <v>0</v>
      </c>
      <c r="BV1102" s="12">
        <f t="shared" si="1077"/>
        <v>0</v>
      </c>
      <c r="BX1102" s="12">
        <f t="shared" ref="BX1102:CI1102" si="1078">SUM(BX1099:BX1101)</f>
        <v>0</v>
      </c>
      <c r="BY1102" s="12">
        <f t="shared" si="1078"/>
        <v>0</v>
      </c>
      <c r="BZ1102" s="12">
        <f t="shared" si="1078"/>
        <v>0</v>
      </c>
      <c r="CA1102" s="12">
        <f t="shared" si="1078"/>
        <v>0</v>
      </c>
      <c r="CB1102" s="12">
        <f t="shared" si="1078"/>
        <v>0</v>
      </c>
      <c r="CC1102" s="12">
        <f t="shared" si="1078"/>
        <v>0</v>
      </c>
      <c r="CD1102" s="12">
        <f t="shared" si="1078"/>
        <v>0</v>
      </c>
      <c r="CE1102" s="12">
        <f t="shared" si="1078"/>
        <v>0</v>
      </c>
      <c r="CF1102" s="12">
        <f t="shared" si="1078"/>
        <v>0</v>
      </c>
      <c r="CG1102" s="12">
        <f t="shared" si="1078"/>
        <v>0</v>
      </c>
      <c r="CH1102" s="12">
        <f t="shared" si="1078"/>
        <v>0</v>
      </c>
      <c r="CI1102" s="12">
        <f t="shared" si="1078"/>
        <v>0</v>
      </c>
      <c r="CK1102" s="11"/>
      <c r="CM1102" s="11"/>
      <c r="CV1102" s="120"/>
      <c r="DF1102" s="11"/>
      <c r="EY1102" s="12" t="str">
        <f>IF($C1102="","",CONCATENATE(D1098," ", D1102))</f>
        <v/>
      </c>
    </row>
    <row r="1103" spans="1:155" ht="6.75" customHeight="1" x14ac:dyDescent="0.35">
      <c r="C1103" s="211"/>
      <c r="D1103" s="1"/>
      <c r="CK1103" s="35"/>
      <c r="CM1103" s="35"/>
      <c r="CV1103" s="120"/>
      <c r="DF1103" s="35"/>
      <c r="EY1103" s="10" t="str">
        <f>IF($C1103="","",$D1103)</f>
        <v/>
      </c>
    </row>
    <row r="1104" spans="1:155" x14ac:dyDescent="0.35">
      <c r="C1104" s="211"/>
      <c r="D1104" s="50" t="s">
        <v>1340</v>
      </c>
      <c r="CK1104" s="11"/>
      <c r="CM1104" s="11"/>
      <c r="CV1104" s="120"/>
      <c r="DF1104" s="11"/>
      <c r="EY1104" s="10" t="str">
        <f>IF($C1104="","",$D1104)</f>
        <v/>
      </c>
    </row>
    <row r="1105" spans="3:155" x14ac:dyDescent="0.35">
      <c r="C1105" s="211"/>
      <c r="D1105" t="s">
        <v>664</v>
      </c>
      <c r="H1105" s="9"/>
      <c r="I1105" s="40" t="s">
        <v>665</v>
      </c>
      <c r="V1105" s="133">
        <f t="shared" ref="V1105:Y1107" si="1079">SUMIFS(V$463:V$482, $E$463:$E$482, $D1105)</f>
        <v>0</v>
      </c>
      <c r="W1105" s="10">
        <f t="shared" si="1079"/>
        <v>0</v>
      </c>
      <c r="X1105" s="10">
        <f t="shared" si="1079"/>
        <v>0</v>
      </c>
      <c r="Y1105" s="10">
        <f t="shared" si="1079"/>
        <v>0</v>
      </c>
      <c r="AA1105" s="10">
        <f t="shared" ref="AA1105:AJ1107" si="1080">SUMIFS(AA$463:AA$482, $E$463:$E$482, $D1105)</f>
        <v>0</v>
      </c>
      <c r="AB1105" s="10">
        <f t="shared" si="1080"/>
        <v>0</v>
      </c>
      <c r="AC1105" s="10">
        <f t="shared" si="1080"/>
        <v>0</v>
      </c>
      <c r="AD1105" s="10">
        <f t="shared" si="1080"/>
        <v>0</v>
      </c>
      <c r="AE1105" s="10">
        <f t="shared" si="1080"/>
        <v>0</v>
      </c>
      <c r="AF1105" s="10">
        <f t="shared" si="1080"/>
        <v>0</v>
      </c>
      <c r="AG1105" s="10">
        <f t="shared" si="1080"/>
        <v>0</v>
      </c>
      <c r="AH1105" s="10">
        <f t="shared" si="1080"/>
        <v>0</v>
      </c>
      <c r="AI1105" s="10">
        <f t="shared" si="1080"/>
        <v>0</v>
      </c>
      <c r="AJ1105" s="10">
        <f t="shared" si="1080"/>
        <v>0</v>
      </c>
      <c r="AK1105" s="10">
        <f t="shared" ref="AK1105:AT1107" si="1081">SUMIFS(AK$463:AK$482, $E$463:$E$482, $D1105)</f>
        <v>0</v>
      </c>
      <c r="AL1105" s="10">
        <f t="shared" si="1081"/>
        <v>0</v>
      </c>
      <c r="AM1105" s="10">
        <f t="shared" si="1081"/>
        <v>0</v>
      </c>
      <c r="AN1105" s="10">
        <f t="shared" si="1081"/>
        <v>0</v>
      </c>
      <c r="AO1105" s="10">
        <f t="shared" si="1081"/>
        <v>0</v>
      </c>
      <c r="AP1105" s="10">
        <f t="shared" si="1081"/>
        <v>0</v>
      </c>
      <c r="AQ1105" s="10">
        <f t="shared" si="1081"/>
        <v>0</v>
      </c>
      <c r="AR1105" s="10">
        <f t="shared" si="1081"/>
        <v>0</v>
      </c>
      <c r="AS1105" s="10">
        <f t="shared" si="1081"/>
        <v>0</v>
      </c>
      <c r="AT1105" s="10">
        <f t="shared" si="1081"/>
        <v>0</v>
      </c>
      <c r="AU1105" s="10">
        <f t="shared" ref="AU1105:BD1107" si="1082">SUMIFS(AU$463:AU$482, $E$463:$E$482, $D1105)</f>
        <v>0</v>
      </c>
      <c r="AV1105" s="10">
        <f t="shared" si="1082"/>
        <v>0</v>
      </c>
      <c r="AW1105" s="10">
        <f t="shared" si="1082"/>
        <v>0</v>
      </c>
      <c r="AX1105" s="10">
        <f t="shared" si="1082"/>
        <v>0</v>
      </c>
      <c r="AY1105" s="10">
        <f t="shared" si="1082"/>
        <v>0</v>
      </c>
      <c r="AZ1105" s="10">
        <f t="shared" si="1082"/>
        <v>0</v>
      </c>
      <c r="BA1105" s="10">
        <f t="shared" si="1082"/>
        <v>0</v>
      </c>
      <c r="BB1105" s="10">
        <f t="shared" si="1082"/>
        <v>0</v>
      </c>
      <c r="BC1105" s="10">
        <f t="shared" si="1082"/>
        <v>0</v>
      </c>
      <c r="BD1105" s="10">
        <f t="shared" si="1082"/>
        <v>0</v>
      </c>
      <c r="BE1105" s="10">
        <f t="shared" ref="BE1105:BN1107" si="1083">SUMIFS(BE$463:BE$482, $E$463:$E$482, $D1105)</f>
        <v>0</v>
      </c>
      <c r="BF1105" s="10">
        <f t="shared" si="1083"/>
        <v>0</v>
      </c>
      <c r="BG1105" s="10">
        <f t="shared" si="1083"/>
        <v>0</v>
      </c>
      <c r="BH1105" s="10">
        <f t="shared" si="1083"/>
        <v>0</v>
      </c>
      <c r="BI1105" s="10">
        <f t="shared" si="1083"/>
        <v>0</v>
      </c>
      <c r="BJ1105" s="10">
        <f t="shared" si="1083"/>
        <v>0</v>
      </c>
      <c r="BK1105" s="10">
        <f t="shared" si="1083"/>
        <v>0</v>
      </c>
      <c r="BL1105" s="10">
        <f t="shared" si="1083"/>
        <v>0</v>
      </c>
      <c r="BM1105" s="10">
        <f t="shared" si="1083"/>
        <v>0</v>
      </c>
      <c r="BN1105" s="10">
        <f t="shared" si="1083"/>
        <v>0</v>
      </c>
      <c r="BO1105" s="10">
        <f t="shared" ref="BO1105:BV1107" si="1084">SUMIFS(BO$463:BO$482, $E$463:$E$482, $D1105)</f>
        <v>0</v>
      </c>
      <c r="BP1105" s="10">
        <f t="shared" si="1084"/>
        <v>0</v>
      </c>
      <c r="BQ1105" s="10">
        <f t="shared" si="1084"/>
        <v>0</v>
      </c>
      <c r="BR1105" s="10">
        <f t="shared" si="1084"/>
        <v>0</v>
      </c>
      <c r="BS1105" s="10">
        <f t="shared" si="1084"/>
        <v>0</v>
      </c>
      <c r="BT1105" s="10">
        <f t="shared" si="1084"/>
        <v>0</v>
      </c>
      <c r="BU1105" s="10">
        <f t="shared" si="1084"/>
        <v>0</v>
      </c>
      <c r="BV1105" s="10">
        <f t="shared" si="1084"/>
        <v>0</v>
      </c>
      <c r="BX1105" s="10">
        <f t="shared" ref="BX1105:CI1107" si="1085">SUMIFS(BX$463:BX$482, $E$463:$E$482, $D1105)</f>
        <v>0</v>
      </c>
      <c r="BY1105" s="10">
        <f t="shared" si="1085"/>
        <v>0</v>
      </c>
      <c r="BZ1105" s="10">
        <f t="shared" si="1085"/>
        <v>0</v>
      </c>
      <c r="CA1105" s="10">
        <f t="shared" si="1085"/>
        <v>0</v>
      </c>
      <c r="CB1105" s="10">
        <f t="shared" si="1085"/>
        <v>0</v>
      </c>
      <c r="CC1105" s="10">
        <f t="shared" si="1085"/>
        <v>0</v>
      </c>
      <c r="CD1105" s="10">
        <f t="shared" si="1085"/>
        <v>0</v>
      </c>
      <c r="CE1105" s="10">
        <f t="shared" si="1085"/>
        <v>0</v>
      </c>
      <c r="CF1105" s="10">
        <f t="shared" si="1085"/>
        <v>0</v>
      </c>
      <c r="CG1105" s="10">
        <f t="shared" si="1085"/>
        <v>0</v>
      </c>
      <c r="CH1105" s="10">
        <f t="shared" si="1085"/>
        <v>0</v>
      </c>
      <c r="CI1105" s="10">
        <f t="shared" si="1085"/>
        <v>0</v>
      </c>
      <c r="CK1105" s="11"/>
      <c r="CM1105" s="11"/>
      <c r="CV1105" s="120"/>
      <c r="DF1105" s="11"/>
      <c r="EY1105" s="12" t="str">
        <f>IF($C1105="","",CONCATENATE(D1104," ", D1105))</f>
        <v/>
      </c>
    </row>
    <row r="1106" spans="3:155" x14ac:dyDescent="0.35">
      <c r="C1106" s="211"/>
      <c r="D1106" t="s">
        <v>667</v>
      </c>
      <c r="H1106" s="9"/>
      <c r="I1106" s="40" t="s">
        <v>665</v>
      </c>
      <c r="V1106" s="10">
        <f t="shared" si="1079"/>
        <v>0</v>
      </c>
      <c r="W1106" s="10">
        <f t="shared" si="1079"/>
        <v>0</v>
      </c>
      <c r="X1106" s="10">
        <f t="shared" si="1079"/>
        <v>0</v>
      </c>
      <c r="Y1106" s="10">
        <f t="shared" si="1079"/>
        <v>0</v>
      </c>
      <c r="AA1106" s="10">
        <f t="shared" si="1080"/>
        <v>0</v>
      </c>
      <c r="AB1106" s="10">
        <f t="shared" si="1080"/>
        <v>0</v>
      </c>
      <c r="AC1106" s="10">
        <f t="shared" si="1080"/>
        <v>0</v>
      </c>
      <c r="AD1106" s="10">
        <f t="shared" si="1080"/>
        <v>0</v>
      </c>
      <c r="AE1106" s="10">
        <f t="shared" si="1080"/>
        <v>0</v>
      </c>
      <c r="AF1106" s="10">
        <f t="shared" si="1080"/>
        <v>0</v>
      </c>
      <c r="AG1106" s="10">
        <f t="shared" si="1080"/>
        <v>0</v>
      </c>
      <c r="AH1106" s="10">
        <f t="shared" si="1080"/>
        <v>0</v>
      </c>
      <c r="AI1106" s="10">
        <f t="shared" si="1080"/>
        <v>0</v>
      </c>
      <c r="AJ1106" s="10">
        <f t="shared" si="1080"/>
        <v>0</v>
      </c>
      <c r="AK1106" s="10">
        <f t="shared" si="1081"/>
        <v>0</v>
      </c>
      <c r="AL1106" s="10">
        <f t="shared" si="1081"/>
        <v>0</v>
      </c>
      <c r="AM1106" s="10">
        <f t="shared" si="1081"/>
        <v>0</v>
      </c>
      <c r="AN1106" s="10">
        <f t="shared" si="1081"/>
        <v>0</v>
      </c>
      <c r="AO1106" s="10">
        <f t="shared" si="1081"/>
        <v>0</v>
      </c>
      <c r="AP1106" s="10">
        <f t="shared" si="1081"/>
        <v>0</v>
      </c>
      <c r="AQ1106" s="10">
        <f t="shared" si="1081"/>
        <v>0</v>
      </c>
      <c r="AR1106" s="10">
        <f t="shared" si="1081"/>
        <v>0</v>
      </c>
      <c r="AS1106" s="10">
        <f t="shared" si="1081"/>
        <v>0</v>
      </c>
      <c r="AT1106" s="10">
        <f t="shared" si="1081"/>
        <v>0</v>
      </c>
      <c r="AU1106" s="10">
        <f t="shared" si="1082"/>
        <v>0</v>
      </c>
      <c r="AV1106" s="10">
        <f t="shared" si="1082"/>
        <v>0</v>
      </c>
      <c r="AW1106" s="10">
        <f t="shared" si="1082"/>
        <v>0</v>
      </c>
      <c r="AX1106" s="10">
        <f t="shared" si="1082"/>
        <v>0</v>
      </c>
      <c r="AY1106" s="10">
        <f t="shared" si="1082"/>
        <v>0</v>
      </c>
      <c r="AZ1106" s="10">
        <f t="shared" si="1082"/>
        <v>0</v>
      </c>
      <c r="BA1106" s="10">
        <f t="shared" si="1082"/>
        <v>0</v>
      </c>
      <c r="BB1106" s="10">
        <f t="shared" si="1082"/>
        <v>0</v>
      </c>
      <c r="BC1106" s="10">
        <f t="shared" si="1082"/>
        <v>0</v>
      </c>
      <c r="BD1106" s="10">
        <f t="shared" si="1082"/>
        <v>0</v>
      </c>
      <c r="BE1106" s="10">
        <f t="shared" si="1083"/>
        <v>0</v>
      </c>
      <c r="BF1106" s="10">
        <f t="shared" si="1083"/>
        <v>0</v>
      </c>
      <c r="BG1106" s="10">
        <f t="shared" si="1083"/>
        <v>0</v>
      </c>
      <c r="BH1106" s="10">
        <f t="shared" si="1083"/>
        <v>0</v>
      </c>
      <c r="BI1106" s="10">
        <f t="shared" si="1083"/>
        <v>0</v>
      </c>
      <c r="BJ1106" s="10">
        <f t="shared" si="1083"/>
        <v>0</v>
      </c>
      <c r="BK1106" s="10">
        <f t="shared" si="1083"/>
        <v>0</v>
      </c>
      <c r="BL1106" s="10">
        <f t="shared" si="1083"/>
        <v>0</v>
      </c>
      <c r="BM1106" s="10">
        <f t="shared" si="1083"/>
        <v>0</v>
      </c>
      <c r="BN1106" s="10">
        <f t="shared" si="1083"/>
        <v>0</v>
      </c>
      <c r="BO1106" s="10">
        <f t="shared" si="1084"/>
        <v>0</v>
      </c>
      <c r="BP1106" s="10">
        <f t="shared" si="1084"/>
        <v>0</v>
      </c>
      <c r="BQ1106" s="10">
        <f t="shared" si="1084"/>
        <v>0</v>
      </c>
      <c r="BR1106" s="10">
        <f t="shared" si="1084"/>
        <v>0</v>
      </c>
      <c r="BS1106" s="10">
        <f t="shared" si="1084"/>
        <v>0</v>
      </c>
      <c r="BT1106" s="10">
        <f t="shared" si="1084"/>
        <v>0</v>
      </c>
      <c r="BU1106" s="10">
        <f t="shared" si="1084"/>
        <v>0</v>
      </c>
      <c r="BV1106" s="10">
        <f t="shared" si="1084"/>
        <v>0</v>
      </c>
      <c r="BX1106" s="10">
        <f t="shared" si="1085"/>
        <v>0</v>
      </c>
      <c r="BY1106" s="10">
        <f t="shared" si="1085"/>
        <v>0</v>
      </c>
      <c r="BZ1106" s="10">
        <f t="shared" si="1085"/>
        <v>0</v>
      </c>
      <c r="CA1106" s="10">
        <f t="shared" si="1085"/>
        <v>0</v>
      </c>
      <c r="CB1106" s="10">
        <f t="shared" si="1085"/>
        <v>0</v>
      </c>
      <c r="CC1106" s="10">
        <f t="shared" si="1085"/>
        <v>0</v>
      </c>
      <c r="CD1106" s="10">
        <f t="shared" si="1085"/>
        <v>0</v>
      </c>
      <c r="CE1106" s="10">
        <f t="shared" si="1085"/>
        <v>0</v>
      </c>
      <c r="CF1106" s="10">
        <f t="shared" si="1085"/>
        <v>0</v>
      </c>
      <c r="CG1106" s="10">
        <f t="shared" si="1085"/>
        <v>0</v>
      </c>
      <c r="CH1106" s="10">
        <f t="shared" si="1085"/>
        <v>0</v>
      </c>
      <c r="CI1106" s="10">
        <f t="shared" si="1085"/>
        <v>0</v>
      </c>
      <c r="CK1106" s="11"/>
      <c r="CM1106" s="11"/>
      <c r="CV1106" s="120"/>
      <c r="DF1106" s="11"/>
      <c r="EY1106" s="12" t="str">
        <f>IF($C1106="","",CONCATENATE(D1104," ", D1106))</f>
        <v/>
      </c>
    </row>
    <row r="1107" spans="3:155" x14ac:dyDescent="0.35">
      <c r="C1107" s="211"/>
      <c r="D1107" t="s">
        <v>1338</v>
      </c>
      <c r="H1107" s="9"/>
      <c r="I1107" s="40" t="s">
        <v>665</v>
      </c>
      <c r="V1107" s="10">
        <f t="shared" si="1079"/>
        <v>0</v>
      </c>
      <c r="W1107" s="10">
        <f t="shared" si="1079"/>
        <v>0</v>
      </c>
      <c r="X1107" s="10">
        <f t="shared" si="1079"/>
        <v>0</v>
      </c>
      <c r="Y1107" s="10">
        <f t="shared" si="1079"/>
        <v>0</v>
      </c>
      <c r="AA1107" s="10">
        <f t="shared" si="1080"/>
        <v>0</v>
      </c>
      <c r="AB1107" s="10">
        <f t="shared" si="1080"/>
        <v>0</v>
      </c>
      <c r="AC1107" s="10">
        <f t="shared" si="1080"/>
        <v>0</v>
      </c>
      <c r="AD1107" s="10">
        <f t="shared" si="1080"/>
        <v>0</v>
      </c>
      <c r="AE1107" s="10">
        <f t="shared" si="1080"/>
        <v>0</v>
      </c>
      <c r="AF1107" s="10">
        <f t="shared" si="1080"/>
        <v>0</v>
      </c>
      <c r="AG1107" s="10">
        <f t="shared" si="1080"/>
        <v>0</v>
      </c>
      <c r="AH1107" s="10">
        <f t="shared" si="1080"/>
        <v>0</v>
      </c>
      <c r="AI1107" s="10">
        <f t="shared" si="1080"/>
        <v>0</v>
      </c>
      <c r="AJ1107" s="10">
        <f t="shared" si="1080"/>
        <v>0</v>
      </c>
      <c r="AK1107" s="10">
        <f t="shared" si="1081"/>
        <v>0</v>
      </c>
      <c r="AL1107" s="10">
        <f t="shared" si="1081"/>
        <v>0</v>
      </c>
      <c r="AM1107" s="10">
        <f t="shared" si="1081"/>
        <v>0</v>
      </c>
      <c r="AN1107" s="10">
        <f t="shared" si="1081"/>
        <v>0</v>
      </c>
      <c r="AO1107" s="10">
        <f t="shared" si="1081"/>
        <v>0</v>
      </c>
      <c r="AP1107" s="10">
        <f t="shared" si="1081"/>
        <v>0</v>
      </c>
      <c r="AQ1107" s="10">
        <f t="shared" si="1081"/>
        <v>0</v>
      </c>
      <c r="AR1107" s="10">
        <f t="shared" si="1081"/>
        <v>0</v>
      </c>
      <c r="AS1107" s="10">
        <f t="shared" si="1081"/>
        <v>0</v>
      </c>
      <c r="AT1107" s="10">
        <f t="shared" si="1081"/>
        <v>0</v>
      </c>
      <c r="AU1107" s="10">
        <f t="shared" si="1082"/>
        <v>0</v>
      </c>
      <c r="AV1107" s="10">
        <f t="shared" si="1082"/>
        <v>0</v>
      </c>
      <c r="AW1107" s="10">
        <f t="shared" si="1082"/>
        <v>0</v>
      </c>
      <c r="AX1107" s="10">
        <f t="shared" si="1082"/>
        <v>0</v>
      </c>
      <c r="AY1107" s="10">
        <f t="shared" si="1082"/>
        <v>0</v>
      </c>
      <c r="AZ1107" s="10">
        <f t="shared" si="1082"/>
        <v>0</v>
      </c>
      <c r="BA1107" s="10">
        <f t="shared" si="1082"/>
        <v>0</v>
      </c>
      <c r="BB1107" s="10">
        <f t="shared" si="1082"/>
        <v>0</v>
      </c>
      <c r="BC1107" s="10">
        <f t="shared" si="1082"/>
        <v>0</v>
      </c>
      <c r="BD1107" s="10">
        <f t="shared" si="1082"/>
        <v>0</v>
      </c>
      <c r="BE1107" s="10">
        <f t="shared" si="1083"/>
        <v>0</v>
      </c>
      <c r="BF1107" s="10">
        <f t="shared" si="1083"/>
        <v>0</v>
      </c>
      <c r="BG1107" s="10">
        <f t="shared" si="1083"/>
        <v>0</v>
      </c>
      <c r="BH1107" s="10">
        <f t="shared" si="1083"/>
        <v>0</v>
      </c>
      <c r="BI1107" s="10">
        <f t="shared" si="1083"/>
        <v>0</v>
      </c>
      <c r="BJ1107" s="10">
        <f t="shared" si="1083"/>
        <v>0</v>
      </c>
      <c r="BK1107" s="10">
        <f t="shared" si="1083"/>
        <v>0</v>
      </c>
      <c r="BL1107" s="10">
        <f t="shared" si="1083"/>
        <v>0</v>
      </c>
      <c r="BM1107" s="10">
        <f t="shared" si="1083"/>
        <v>0</v>
      </c>
      <c r="BN1107" s="10">
        <f t="shared" si="1083"/>
        <v>0</v>
      </c>
      <c r="BO1107" s="10">
        <f t="shared" si="1084"/>
        <v>0</v>
      </c>
      <c r="BP1107" s="10">
        <f t="shared" si="1084"/>
        <v>0</v>
      </c>
      <c r="BQ1107" s="10">
        <f t="shared" si="1084"/>
        <v>0</v>
      </c>
      <c r="BR1107" s="10">
        <f t="shared" si="1084"/>
        <v>0</v>
      </c>
      <c r="BS1107" s="10">
        <f t="shared" si="1084"/>
        <v>0</v>
      </c>
      <c r="BT1107" s="10">
        <f t="shared" si="1084"/>
        <v>0</v>
      </c>
      <c r="BU1107" s="10">
        <f t="shared" si="1084"/>
        <v>0</v>
      </c>
      <c r="BV1107" s="10">
        <f t="shared" si="1084"/>
        <v>0</v>
      </c>
      <c r="BX1107" s="10">
        <f t="shared" si="1085"/>
        <v>0</v>
      </c>
      <c r="BY1107" s="10">
        <f t="shared" si="1085"/>
        <v>0</v>
      </c>
      <c r="BZ1107" s="10">
        <f t="shared" si="1085"/>
        <v>0</v>
      </c>
      <c r="CA1107" s="10">
        <f t="shared" si="1085"/>
        <v>0</v>
      </c>
      <c r="CB1107" s="10">
        <f t="shared" si="1085"/>
        <v>0</v>
      </c>
      <c r="CC1107" s="10">
        <f t="shared" si="1085"/>
        <v>0</v>
      </c>
      <c r="CD1107" s="10">
        <f t="shared" si="1085"/>
        <v>0</v>
      </c>
      <c r="CE1107" s="10">
        <f t="shared" si="1085"/>
        <v>0</v>
      </c>
      <c r="CF1107" s="10">
        <f t="shared" si="1085"/>
        <v>0</v>
      </c>
      <c r="CG1107" s="10">
        <f t="shared" si="1085"/>
        <v>0</v>
      </c>
      <c r="CH1107" s="10">
        <f t="shared" si="1085"/>
        <v>0</v>
      </c>
      <c r="CI1107" s="10">
        <f t="shared" si="1085"/>
        <v>0</v>
      </c>
      <c r="CK1107" s="11"/>
      <c r="CM1107" s="11"/>
      <c r="CV1107" s="120"/>
      <c r="DF1107" s="11"/>
      <c r="EY1107" s="12" t="str">
        <f>IF($C1107="","",CONCATENATE(D1104," ", D1107))</f>
        <v/>
      </c>
    </row>
    <row r="1108" spans="3:155" x14ac:dyDescent="0.35">
      <c r="C1108" s="211"/>
      <c r="D1108" s="5" t="s">
        <v>778</v>
      </c>
      <c r="G1108" s="5"/>
      <c r="H1108" s="96"/>
      <c r="I1108" s="102" t="s">
        <v>665</v>
      </c>
      <c r="V1108" s="12">
        <f>SUM(V1105:V1107)</f>
        <v>0</v>
      </c>
      <c r="W1108" s="12">
        <f>SUM(W1105:W1107)</f>
        <v>0</v>
      </c>
      <c r="X1108" s="12">
        <f>SUM(X1105:X1107)</f>
        <v>0</v>
      </c>
      <c r="Y1108" s="12">
        <f>SUM(Y1105:Y1107)</f>
        <v>0</v>
      </c>
      <c r="AA1108" s="12">
        <f t="shared" ref="AA1108:BV1108" si="1086">SUM(AA1105:AA1107)</f>
        <v>0</v>
      </c>
      <c r="AB1108" s="12">
        <f t="shared" si="1086"/>
        <v>0</v>
      </c>
      <c r="AC1108" s="12">
        <f t="shared" si="1086"/>
        <v>0</v>
      </c>
      <c r="AD1108" s="12">
        <f t="shared" si="1086"/>
        <v>0</v>
      </c>
      <c r="AE1108" s="12">
        <f t="shared" si="1086"/>
        <v>0</v>
      </c>
      <c r="AF1108" s="12">
        <f t="shared" si="1086"/>
        <v>0</v>
      </c>
      <c r="AG1108" s="12">
        <f t="shared" si="1086"/>
        <v>0</v>
      </c>
      <c r="AH1108" s="12">
        <f t="shared" si="1086"/>
        <v>0</v>
      </c>
      <c r="AI1108" s="12">
        <f t="shared" si="1086"/>
        <v>0</v>
      </c>
      <c r="AJ1108" s="12">
        <f t="shared" si="1086"/>
        <v>0</v>
      </c>
      <c r="AK1108" s="12">
        <f t="shared" si="1086"/>
        <v>0</v>
      </c>
      <c r="AL1108" s="12">
        <f t="shared" si="1086"/>
        <v>0</v>
      </c>
      <c r="AM1108" s="12">
        <f t="shared" si="1086"/>
        <v>0</v>
      </c>
      <c r="AN1108" s="12">
        <f t="shared" si="1086"/>
        <v>0</v>
      </c>
      <c r="AO1108" s="12">
        <f t="shared" si="1086"/>
        <v>0</v>
      </c>
      <c r="AP1108" s="12">
        <f t="shared" si="1086"/>
        <v>0</v>
      </c>
      <c r="AQ1108" s="12">
        <f t="shared" si="1086"/>
        <v>0</v>
      </c>
      <c r="AR1108" s="12">
        <f t="shared" si="1086"/>
        <v>0</v>
      </c>
      <c r="AS1108" s="12">
        <f t="shared" si="1086"/>
        <v>0</v>
      </c>
      <c r="AT1108" s="12">
        <f t="shared" si="1086"/>
        <v>0</v>
      </c>
      <c r="AU1108" s="12">
        <f t="shared" si="1086"/>
        <v>0</v>
      </c>
      <c r="AV1108" s="12">
        <f t="shared" si="1086"/>
        <v>0</v>
      </c>
      <c r="AW1108" s="12">
        <f t="shared" si="1086"/>
        <v>0</v>
      </c>
      <c r="AX1108" s="12">
        <f t="shared" si="1086"/>
        <v>0</v>
      </c>
      <c r="AY1108" s="12">
        <f t="shared" si="1086"/>
        <v>0</v>
      </c>
      <c r="AZ1108" s="12">
        <f t="shared" si="1086"/>
        <v>0</v>
      </c>
      <c r="BA1108" s="12">
        <f t="shared" si="1086"/>
        <v>0</v>
      </c>
      <c r="BB1108" s="12">
        <f t="shared" si="1086"/>
        <v>0</v>
      </c>
      <c r="BC1108" s="12">
        <f t="shared" si="1086"/>
        <v>0</v>
      </c>
      <c r="BD1108" s="12">
        <f t="shared" si="1086"/>
        <v>0</v>
      </c>
      <c r="BE1108" s="12">
        <f t="shared" si="1086"/>
        <v>0</v>
      </c>
      <c r="BF1108" s="12">
        <f t="shared" si="1086"/>
        <v>0</v>
      </c>
      <c r="BG1108" s="12">
        <f t="shared" si="1086"/>
        <v>0</v>
      </c>
      <c r="BH1108" s="12">
        <f t="shared" si="1086"/>
        <v>0</v>
      </c>
      <c r="BI1108" s="12">
        <f t="shared" si="1086"/>
        <v>0</v>
      </c>
      <c r="BJ1108" s="12">
        <f t="shared" si="1086"/>
        <v>0</v>
      </c>
      <c r="BK1108" s="12">
        <f t="shared" si="1086"/>
        <v>0</v>
      </c>
      <c r="BL1108" s="12">
        <f t="shared" si="1086"/>
        <v>0</v>
      </c>
      <c r="BM1108" s="12">
        <f t="shared" si="1086"/>
        <v>0</v>
      </c>
      <c r="BN1108" s="12">
        <f t="shared" si="1086"/>
        <v>0</v>
      </c>
      <c r="BO1108" s="12">
        <f t="shared" si="1086"/>
        <v>0</v>
      </c>
      <c r="BP1108" s="12">
        <f t="shared" si="1086"/>
        <v>0</v>
      </c>
      <c r="BQ1108" s="12">
        <f t="shared" si="1086"/>
        <v>0</v>
      </c>
      <c r="BR1108" s="12">
        <f t="shared" si="1086"/>
        <v>0</v>
      </c>
      <c r="BS1108" s="12">
        <f t="shared" si="1086"/>
        <v>0</v>
      </c>
      <c r="BT1108" s="12">
        <f t="shared" si="1086"/>
        <v>0</v>
      </c>
      <c r="BU1108" s="12">
        <f t="shared" si="1086"/>
        <v>0</v>
      </c>
      <c r="BV1108" s="12">
        <f t="shared" si="1086"/>
        <v>0</v>
      </c>
      <c r="BX1108" s="12">
        <f t="shared" ref="BX1108:CI1108" si="1087">SUM(BX1105:BX1107)</f>
        <v>0</v>
      </c>
      <c r="BY1108" s="12">
        <f t="shared" si="1087"/>
        <v>0</v>
      </c>
      <c r="BZ1108" s="12">
        <f t="shared" si="1087"/>
        <v>0</v>
      </c>
      <c r="CA1108" s="12">
        <f t="shared" si="1087"/>
        <v>0</v>
      </c>
      <c r="CB1108" s="12">
        <f t="shared" si="1087"/>
        <v>0</v>
      </c>
      <c r="CC1108" s="12">
        <f t="shared" si="1087"/>
        <v>0</v>
      </c>
      <c r="CD1108" s="12">
        <f t="shared" si="1087"/>
        <v>0</v>
      </c>
      <c r="CE1108" s="12">
        <f t="shared" si="1087"/>
        <v>0</v>
      </c>
      <c r="CF1108" s="12">
        <f t="shared" si="1087"/>
        <v>0</v>
      </c>
      <c r="CG1108" s="12">
        <f t="shared" si="1087"/>
        <v>0</v>
      </c>
      <c r="CH1108" s="12">
        <f t="shared" si="1087"/>
        <v>0</v>
      </c>
      <c r="CI1108" s="12">
        <f t="shared" si="1087"/>
        <v>0</v>
      </c>
      <c r="CK1108" s="11"/>
      <c r="CM1108" s="11"/>
      <c r="CV1108" s="120"/>
      <c r="DF1108" s="11"/>
      <c r="EY1108" s="12" t="str">
        <f>IF($C1108="","",CONCATENATE(D1104," ", D1108))</f>
        <v/>
      </c>
    </row>
    <row r="1109" spans="3:155" ht="6.75" customHeight="1" x14ac:dyDescent="0.35">
      <c r="C1109" s="211"/>
      <c r="D1109" s="1"/>
      <c r="CK1109" s="35"/>
      <c r="CM1109" s="35"/>
      <c r="CV1109" s="120"/>
      <c r="DF1109" s="35"/>
      <c r="EY1109" s="10" t="str">
        <f>IF($C1109="","",$D1109)</f>
        <v/>
      </c>
    </row>
    <row r="1110" spans="3:155" x14ac:dyDescent="0.35">
      <c r="C1110" s="211"/>
      <c r="D1110" s="50" t="s">
        <v>1078</v>
      </c>
      <c r="CK1110" s="11"/>
      <c r="CM1110" s="11"/>
      <c r="CV1110" s="120"/>
      <c r="DF1110" s="11"/>
      <c r="EY1110" s="10" t="str">
        <f>IF($C1110="","",$D1110)</f>
        <v/>
      </c>
    </row>
    <row r="1111" spans="3:155" x14ac:dyDescent="0.35">
      <c r="C1111" s="211"/>
      <c r="D1111" t="s">
        <v>664</v>
      </c>
      <c r="H1111" s="9"/>
      <c r="I1111" s="40" t="s">
        <v>1079</v>
      </c>
      <c r="V1111" s="133">
        <f t="shared" ref="V1111:Y1113" si="1088">SUMIFS(V$977:V$996, $E$977:$E$996, $D1111)</f>
        <v>0</v>
      </c>
      <c r="W1111" s="133">
        <f t="shared" si="1088"/>
        <v>0</v>
      </c>
      <c r="X1111" s="133">
        <f t="shared" si="1088"/>
        <v>0</v>
      </c>
      <c r="Y1111" s="133">
        <f t="shared" si="1088"/>
        <v>0</v>
      </c>
      <c r="AA1111" s="133">
        <f t="shared" ref="AA1111:AJ1113" si="1089">SUMIFS(AA$977:AA$996, $E$977:$E$996, $D1111)</f>
        <v>0</v>
      </c>
      <c r="AB1111" s="133">
        <f t="shared" si="1089"/>
        <v>0</v>
      </c>
      <c r="AC1111" s="133">
        <f t="shared" si="1089"/>
        <v>0</v>
      </c>
      <c r="AD1111" s="133">
        <f t="shared" si="1089"/>
        <v>0</v>
      </c>
      <c r="AE1111" s="133">
        <f t="shared" si="1089"/>
        <v>0</v>
      </c>
      <c r="AF1111" s="133">
        <f t="shared" si="1089"/>
        <v>0</v>
      </c>
      <c r="AG1111" s="133">
        <f t="shared" si="1089"/>
        <v>0</v>
      </c>
      <c r="AH1111" s="133">
        <f t="shared" si="1089"/>
        <v>0</v>
      </c>
      <c r="AI1111" s="133">
        <f t="shared" si="1089"/>
        <v>0</v>
      </c>
      <c r="AJ1111" s="133">
        <f t="shared" si="1089"/>
        <v>0</v>
      </c>
      <c r="AK1111" s="133">
        <f t="shared" ref="AK1111:AT1113" si="1090">SUMIFS(AK$977:AK$996, $E$977:$E$996, $D1111)</f>
        <v>0</v>
      </c>
      <c r="AL1111" s="133">
        <f t="shared" si="1090"/>
        <v>0</v>
      </c>
      <c r="AM1111" s="133">
        <f t="shared" si="1090"/>
        <v>0</v>
      </c>
      <c r="AN1111" s="133">
        <f t="shared" si="1090"/>
        <v>0</v>
      </c>
      <c r="AO1111" s="133">
        <f t="shared" si="1090"/>
        <v>0</v>
      </c>
      <c r="AP1111" s="133">
        <f t="shared" si="1090"/>
        <v>0</v>
      </c>
      <c r="AQ1111" s="133">
        <f t="shared" si="1090"/>
        <v>0</v>
      </c>
      <c r="AR1111" s="133">
        <f t="shared" si="1090"/>
        <v>0</v>
      </c>
      <c r="AS1111" s="133">
        <f t="shared" si="1090"/>
        <v>0</v>
      </c>
      <c r="AT1111" s="133">
        <f t="shared" si="1090"/>
        <v>0</v>
      </c>
      <c r="AU1111" s="133">
        <f t="shared" ref="AU1111:BD1113" si="1091">SUMIFS(AU$977:AU$996, $E$977:$E$996, $D1111)</f>
        <v>0</v>
      </c>
      <c r="AV1111" s="133">
        <f t="shared" si="1091"/>
        <v>0</v>
      </c>
      <c r="AW1111" s="133">
        <f t="shared" si="1091"/>
        <v>0</v>
      </c>
      <c r="AX1111" s="133">
        <f t="shared" si="1091"/>
        <v>0</v>
      </c>
      <c r="AY1111" s="133">
        <f t="shared" si="1091"/>
        <v>0</v>
      </c>
      <c r="AZ1111" s="133">
        <f t="shared" si="1091"/>
        <v>0</v>
      </c>
      <c r="BA1111" s="133">
        <f t="shared" si="1091"/>
        <v>0</v>
      </c>
      <c r="BB1111" s="133">
        <f t="shared" si="1091"/>
        <v>0</v>
      </c>
      <c r="BC1111" s="133">
        <f t="shared" si="1091"/>
        <v>0</v>
      </c>
      <c r="BD1111" s="133">
        <f t="shared" si="1091"/>
        <v>0</v>
      </c>
      <c r="BE1111" s="133">
        <f t="shared" ref="BE1111:BN1113" si="1092">SUMIFS(BE$977:BE$996, $E$977:$E$996, $D1111)</f>
        <v>0</v>
      </c>
      <c r="BF1111" s="133">
        <f t="shared" si="1092"/>
        <v>0</v>
      </c>
      <c r="BG1111" s="133">
        <f t="shared" si="1092"/>
        <v>0</v>
      </c>
      <c r="BH1111" s="133">
        <f t="shared" si="1092"/>
        <v>0</v>
      </c>
      <c r="BI1111" s="133">
        <f t="shared" si="1092"/>
        <v>0</v>
      </c>
      <c r="BJ1111" s="133">
        <f t="shared" si="1092"/>
        <v>0</v>
      </c>
      <c r="BK1111" s="133">
        <f t="shared" si="1092"/>
        <v>0</v>
      </c>
      <c r="BL1111" s="133">
        <f t="shared" si="1092"/>
        <v>0</v>
      </c>
      <c r="BM1111" s="133">
        <f t="shared" si="1092"/>
        <v>0</v>
      </c>
      <c r="BN1111" s="133">
        <f t="shared" si="1092"/>
        <v>0</v>
      </c>
      <c r="BO1111" s="133">
        <f t="shared" ref="BO1111:BV1113" si="1093">SUMIFS(BO$977:BO$996, $E$977:$E$996, $D1111)</f>
        <v>0</v>
      </c>
      <c r="BP1111" s="133">
        <f t="shared" si="1093"/>
        <v>0</v>
      </c>
      <c r="BQ1111" s="133">
        <f t="shared" si="1093"/>
        <v>0</v>
      </c>
      <c r="BR1111" s="133">
        <f t="shared" si="1093"/>
        <v>0</v>
      </c>
      <c r="BS1111" s="133">
        <f t="shared" si="1093"/>
        <v>0</v>
      </c>
      <c r="BT1111" s="133">
        <f t="shared" si="1093"/>
        <v>0</v>
      </c>
      <c r="BU1111" s="133">
        <f t="shared" si="1093"/>
        <v>0</v>
      </c>
      <c r="BV1111" s="133">
        <f t="shared" si="1093"/>
        <v>0</v>
      </c>
      <c r="BX1111" s="133">
        <f t="shared" ref="BX1111:CI1113" si="1094">SUMIFS(BX$977:BX$996, $E$977:$E$996, $D1111)</f>
        <v>0</v>
      </c>
      <c r="BY1111" s="133">
        <f t="shared" si="1094"/>
        <v>0</v>
      </c>
      <c r="BZ1111" s="133">
        <f t="shared" si="1094"/>
        <v>0</v>
      </c>
      <c r="CA1111" s="133">
        <f t="shared" si="1094"/>
        <v>0</v>
      </c>
      <c r="CB1111" s="133">
        <f t="shared" si="1094"/>
        <v>0</v>
      </c>
      <c r="CC1111" s="133">
        <f t="shared" si="1094"/>
        <v>0</v>
      </c>
      <c r="CD1111" s="133">
        <f t="shared" si="1094"/>
        <v>0</v>
      </c>
      <c r="CE1111" s="133">
        <f t="shared" si="1094"/>
        <v>0</v>
      </c>
      <c r="CF1111" s="133">
        <f t="shared" si="1094"/>
        <v>0</v>
      </c>
      <c r="CG1111" s="133">
        <f t="shared" si="1094"/>
        <v>0</v>
      </c>
      <c r="CH1111" s="133">
        <f t="shared" si="1094"/>
        <v>0</v>
      </c>
      <c r="CI1111" s="133">
        <f t="shared" si="1094"/>
        <v>0</v>
      </c>
      <c r="CK1111" s="11"/>
      <c r="CM1111" s="11"/>
      <c r="CV1111" s="120"/>
      <c r="DF1111" s="11"/>
      <c r="EY1111" s="12" t="str">
        <f>IF($C1111="","",CONCATENATE(D1110," ", D1111))</f>
        <v/>
      </c>
    </row>
    <row r="1112" spans="3:155" x14ac:dyDescent="0.35">
      <c r="C1112" s="211"/>
      <c r="D1112" t="s">
        <v>667</v>
      </c>
      <c r="H1112" s="9"/>
      <c r="I1112" s="40" t="s">
        <v>1079</v>
      </c>
      <c r="V1112" s="133">
        <f t="shared" si="1088"/>
        <v>0</v>
      </c>
      <c r="W1112" s="133">
        <f t="shared" si="1088"/>
        <v>0</v>
      </c>
      <c r="X1112" s="133">
        <f t="shared" si="1088"/>
        <v>0</v>
      </c>
      <c r="Y1112" s="133">
        <f t="shared" si="1088"/>
        <v>0</v>
      </c>
      <c r="AA1112" s="133">
        <f t="shared" si="1089"/>
        <v>0</v>
      </c>
      <c r="AB1112" s="133">
        <f t="shared" si="1089"/>
        <v>0</v>
      </c>
      <c r="AC1112" s="133">
        <f t="shared" si="1089"/>
        <v>0</v>
      </c>
      <c r="AD1112" s="133">
        <f t="shared" si="1089"/>
        <v>0</v>
      </c>
      <c r="AE1112" s="133">
        <f t="shared" si="1089"/>
        <v>0</v>
      </c>
      <c r="AF1112" s="133">
        <f t="shared" si="1089"/>
        <v>0</v>
      </c>
      <c r="AG1112" s="133">
        <f t="shared" si="1089"/>
        <v>0</v>
      </c>
      <c r="AH1112" s="133">
        <f t="shared" si="1089"/>
        <v>0</v>
      </c>
      <c r="AI1112" s="133">
        <f t="shared" si="1089"/>
        <v>0</v>
      </c>
      <c r="AJ1112" s="133">
        <f t="shared" si="1089"/>
        <v>0</v>
      </c>
      <c r="AK1112" s="133">
        <f t="shared" si="1090"/>
        <v>0</v>
      </c>
      <c r="AL1112" s="133">
        <f t="shared" si="1090"/>
        <v>0</v>
      </c>
      <c r="AM1112" s="133">
        <f t="shared" si="1090"/>
        <v>0</v>
      </c>
      <c r="AN1112" s="133">
        <f t="shared" si="1090"/>
        <v>0</v>
      </c>
      <c r="AO1112" s="133">
        <f t="shared" si="1090"/>
        <v>0</v>
      </c>
      <c r="AP1112" s="133">
        <f t="shared" si="1090"/>
        <v>0</v>
      </c>
      <c r="AQ1112" s="133">
        <f t="shared" si="1090"/>
        <v>0</v>
      </c>
      <c r="AR1112" s="133">
        <f t="shared" si="1090"/>
        <v>0</v>
      </c>
      <c r="AS1112" s="133">
        <f t="shared" si="1090"/>
        <v>0</v>
      </c>
      <c r="AT1112" s="133">
        <f t="shared" si="1090"/>
        <v>0</v>
      </c>
      <c r="AU1112" s="133">
        <f t="shared" si="1091"/>
        <v>0</v>
      </c>
      <c r="AV1112" s="133">
        <f t="shared" si="1091"/>
        <v>0</v>
      </c>
      <c r="AW1112" s="133">
        <f t="shared" si="1091"/>
        <v>0</v>
      </c>
      <c r="AX1112" s="133">
        <f t="shared" si="1091"/>
        <v>0</v>
      </c>
      <c r="AY1112" s="133">
        <f t="shared" si="1091"/>
        <v>0</v>
      </c>
      <c r="AZ1112" s="133">
        <f t="shared" si="1091"/>
        <v>0</v>
      </c>
      <c r="BA1112" s="133">
        <f t="shared" si="1091"/>
        <v>0</v>
      </c>
      <c r="BB1112" s="133">
        <f t="shared" si="1091"/>
        <v>0</v>
      </c>
      <c r="BC1112" s="133">
        <f t="shared" si="1091"/>
        <v>0</v>
      </c>
      <c r="BD1112" s="133">
        <f t="shared" si="1091"/>
        <v>0</v>
      </c>
      <c r="BE1112" s="133">
        <f t="shared" si="1092"/>
        <v>0</v>
      </c>
      <c r="BF1112" s="133">
        <f t="shared" si="1092"/>
        <v>0</v>
      </c>
      <c r="BG1112" s="133">
        <f t="shared" si="1092"/>
        <v>0</v>
      </c>
      <c r="BH1112" s="133">
        <f t="shared" si="1092"/>
        <v>0</v>
      </c>
      <c r="BI1112" s="133">
        <f t="shared" si="1092"/>
        <v>0</v>
      </c>
      <c r="BJ1112" s="133">
        <f t="shared" si="1092"/>
        <v>0</v>
      </c>
      <c r="BK1112" s="133">
        <f t="shared" si="1092"/>
        <v>0</v>
      </c>
      <c r="BL1112" s="133">
        <f t="shared" si="1092"/>
        <v>0</v>
      </c>
      <c r="BM1112" s="133">
        <f t="shared" si="1092"/>
        <v>0</v>
      </c>
      <c r="BN1112" s="133">
        <f t="shared" si="1092"/>
        <v>0</v>
      </c>
      <c r="BO1112" s="133">
        <f t="shared" si="1093"/>
        <v>0</v>
      </c>
      <c r="BP1112" s="133">
        <f t="shared" si="1093"/>
        <v>0</v>
      </c>
      <c r="BQ1112" s="133">
        <f t="shared" si="1093"/>
        <v>0</v>
      </c>
      <c r="BR1112" s="133">
        <f t="shared" si="1093"/>
        <v>0</v>
      </c>
      <c r="BS1112" s="133">
        <f t="shared" si="1093"/>
        <v>0</v>
      </c>
      <c r="BT1112" s="133">
        <f t="shared" si="1093"/>
        <v>0</v>
      </c>
      <c r="BU1112" s="133">
        <f t="shared" si="1093"/>
        <v>0</v>
      </c>
      <c r="BV1112" s="133">
        <f t="shared" si="1093"/>
        <v>0</v>
      </c>
      <c r="BX1112" s="133">
        <f t="shared" si="1094"/>
        <v>0</v>
      </c>
      <c r="BY1112" s="133">
        <f t="shared" si="1094"/>
        <v>0</v>
      </c>
      <c r="BZ1112" s="133">
        <f t="shared" si="1094"/>
        <v>0</v>
      </c>
      <c r="CA1112" s="133">
        <f t="shared" si="1094"/>
        <v>0</v>
      </c>
      <c r="CB1112" s="133">
        <f t="shared" si="1094"/>
        <v>0</v>
      </c>
      <c r="CC1112" s="133">
        <f t="shared" si="1094"/>
        <v>0</v>
      </c>
      <c r="CD1112" s="133">
        <f t="shared" si="1094"/>
        <v>0</v>
      </c>
      <c r="CE1112" s="133">
        <f t="shared" si="1094"/>
        <v>0</v>
      </c>
      <c r="CF1112" s="133">
        <f t="shared" si="1094"/>
        <v>0</v>
      </c>
      <c r="CG1112" s="133">
        <f t="shared" si="1094"/>
        <v>0</v>
      </c>
      <c r="CH1112" s="133">
        <f t="shared" si="1094"/>
        <v>0</v>
      </c>
      <c r="CI1112" s="133">
        <f t="shared" si="1094"/>
        <v>0</v>
      </c>
      <c r="CK1112" s="11"/>
      <c r="CM1112" s="11"/>
      <c r="CV1112" s="120"/>
      <c r="DF1112" s="11"/>
      <c r="EY1112" s="12" t="str">
        <f>IF($C1112="","",CONCATENATE(D1110," ", D1112))</f>
        <v/>
      </c>
    </row>
    <row r="1113" spans="3:155" x14ac:dyDescent="0.35">
      <c r="C1113" s="211"/>
      <c r="D1113" t="s">
        <v>1338</v>
      </c>
      <c r="H1113" s="9"/>
      <c r="I1113" s="40" t="s">
        <v>1079</v>
      </c>
      <c r="V1113" s="133">
        <f t="shared" si="1088"/>
        <v>0</v>
      </c>
      <c r="W1113" s="133">
        <f t="shared" si="1088"/>
        <v>0</v>
      </c>
      <c r="X1113" s="133">
        <f t="shared" si="1088"/>
        <v>0</v>
      </c>
      <c r="Y1113" s="133">
        <f t="shared" si="1088"/>
        <v>0</v>
      </c>
      <c r="AA1113" s="133">
        <f t="shared" si="1089"/>
        <v>0</v>
      </c>
      <c r="AB1113" s="133">
        <f t="shared" si="1089"/>
        <v>0</v>
      </c>
      <c r="AC1113" s="133">
        <f t="shared" si="1089"/>
        <v>0</v>
      </c>
      <c r="AD1113" s="133">
        <f t="shared" si="1089"/>
        <v>0</v>
      </c>
      <c r="AE1113" s="133">
        <f t="shared" si="1089"/>
        <v>0</v>
      </c>
      <c r="AF1113" s="133">
        <f t="shared" si="1089"/>
        <v>0</v>
      </c>
      <c r="AG1113" s="133">
        <f t="shared" si="1089"/>
        <v>0</v>
      </c>
      <c r="AH1113" s="133">
        <f t="shared" si="1089"/>
        <v>0</v>
      </c>
      <c r="AI1113" s="133">
        <f t="shared" si="1089"/>
        <v>0</v>
      </c>
      <c r="AJ1113" s="133">
        <f t="shared" si="1089"/>
        <v>0</v>
      </c>
      <c r="AK1113" s="133">
        <f t="shared" si="1090"/>
        <v>0</v>
      </c>
      <c r="AL1113" s="133">
        <f t="shared" si="1090"/>
        <v>0</v>
      </c>
      <c r="AM1113" s="133">
        <f t="shared" si="1090"/>
        <v>0</v>
      </c>
      <c r="AN1113" s="133">
        <f t="shared" si="1090"/>
        <v>0</v>
      </c>
      <c r="AO1113" s="133">
        <f t="shared" si="1090"/>
        <v>0</v>
      </c>
      <c r="AP1113" s="133">
        <f t="shared" si="1090"/>
        <v>0</v>
      </c>
      <c r="AQ1113" s="133">
        <f t="shared" si="1090"/>
        <v>0</v>
      </c>
      <c r="AR1113" s="133">
        <f t="shared" si="1090"/>
        <v>0</v>
      </c>
      <c r="AS1113" s="133">
        <f t="shared" si="1090"/>
        <v>0</v>
      </c>
      <c r="AT1113" s="133">
        <f t="shared" si="1090"/>
        <v>0</v>
      </c>
      <c r="AU1113" s="133">
        <f t="shared" si="1091"/>
        <v>0</v>
      </c>
      <c r="AV1113" s="133">
        <f t="shared" si="1091"/>
        <v>0</v>
      </c>
      <c r="AW1113" s="133">
        <f t="shared" si="1091"/>
        <v>0</v>
      </c>
      <c r="AX1113" s="133">
        <f t="shared" si="1091"/>
        <v>0</v>
      </c>
      <c r="AY1113" s="133">
        <f t="shared" si="1091"/>
        <v>0</v>
      </c>
      <c r="AZ1113" s="133">
        <f t="shared" si="1091"/>
        <v>0</v>
      </c>
      <c r="BA1113" s="133">
        <f t="shared" si="1091"/>
        <v>0</v>
      </c>
      <c r="BB1113" s="133">
        <f t="shared" si="1091"/>
        <v>0</v>
      </c>
      <c r="BC1113" s="133">
        <f t="shared" si="1091"/>
        <v>0</v>
      </c>
      <c r="BD1113" s="133">
        <f t="shared" si="1091"/>
        <v>0</v>
      </c>
      <c r="BE1113" s="133">
        <f t="shared" si="1092"/>
        <v>0</v>
      </c>
      <c r="BF1113" s="133">
        <f t="shared" si="1092"/>
        <v>0</v>
      </c>
      <c r="BG1113" s="133">
        <f t="shared" si="1092"/>
        <v>0</v>
      </c>
      <c r="BH1113" s="133">
        <f t="shared" si="1092"/>
        <v>0</v>
      </c>
      <c r="BI1113" s="133">
        <f t="shared" si="1092"/>
        <v>0</v>
      </c>
      <c r="BJ1113" s="133">
        <f t="shared" si="1092"/>
        <v>0</v>
      </c>
      <c r="BK1113" s="133">
        <f t="shared" si="1092"/>
        <v>0</v>
      </c>
      <c r="BL1113" s="133">
        <f t="shared" si="1092"/>
        <v>0</v>
      </c>
      <c r="BM1113" s="133">
        <f t="shared" si="1092"/>
        <v>0</v>
      </c>
      <c r="BN1113" s="133">
        <f t="shared" si="1092"/>
        <v>0</v>
      </c>
      <c r="BO1113" s="133">
        <f t="shared" si="1093"/>
        <v>0</v>
      </c>
      <c r="BP1113" s="133">
        <f t="shared" si="1093"/>
        <v>0</v>
      </c>
      <c r="BQ1113" s="133">
        <f t="shared" si="1093"/>
        <v>0</v>
      </c>
      <c r="BR1113" s="133">
        <f t="shared" si="1093"/>
        <v>0</v>
      </c>
      <c r="BS1113" s="133">
        <f t="shared" si="1093"/>
        <v>0</v>
      </c>
      <c r="BT1113" s="133">
        <f t="shared" si="1093"/>
        <v>0</v>
      </c>
      <c r="BU1113" s="133">
        <f t="shared" si="1093"/>
        <v>0</v>
      </c>
      <c r="BV1113" s="133">
        <f t="shared" si="1093"/>
        <v>0</v>
      </c>
      <c r="BX1113" s="133">
        <f t="shared" si="1094"/>
        <v>0</v>
      </c>
      <c r="BY1113" s="133">
        <f t="shared" si="1094"/>
        <v>0</v>
      </c>
      <c r="BZ1113" s="133">
        <f t="shared" si="1094"/>
        <v>0</v>
      </c>
      <c r="CA1113" s="133">
        <f t="shared" si="1094"/>
        <v>0</v>
      </c>
      <c r="CB1113" s="133">
        <f t="shared" si="1094"/>
        <v>0</v>
      </c>
      <c r="CC1113" s="133">
        <f t="shared" si="1094"/>
        <v>0</v>
      </c>
      <c r="CD1113" s="133">
        <f t="shared" si="1094"/>
        <v>0</v>
      </c>
      <c r="CE1113" s="133">
        <f t="shared" si="1094"/>
        <v>0</v>
      </c>
      <c r="CF1113" s="133">
        <f t="shared" si="1094"/>
        <v>0</v>
      </c>
      <c r="CG1113" s="133">
        <f t="shared" si="1094"/>
        <v>0</v>
      </c>
      <c r="CH1113" s="133">
        <f t="shared" si="1094"/>
        <v>0</v>
      </c>
      <c r="CI1113" s="133">
        <f t="shared" si="1094"/>
        <v>0</v>
      </c>
      <c r="CK1113" s="11"/>
      <c r="CM1113" s="11"/>
      <c r="CV1113" s="120"/>
      <c r="DF1113" s="11"/>
      <c r="EY1113" s="12" t="str">
        <f>IF($C1113="","",CONCATENATE(D1110," ", D1113))</f>
        <v/>
      </c>
    </row>
    <row r="1114" spans="3:155" x14ac:dyDescent="0.35">
      <c r="C1114" s="211"/>
      <c r="D1114" s="5" t="s">
        <v>778</v>
      </c>
      <c r="G1114" s="5"/>
      <c r="H1114" s="96"/>
      <c r="I1114" s="102" t="s">
        <v>1079</v>
      </c>
      <c r="V1114" s="12">
        <f>SUM(V1111:V1113)</f>
        <v>0</v>
      </c>
      <c r="W1114" s="12">
        <f>SUM(W1111:W1113)</f>
        <v>0</v>
      </c>
      <c r="X1114" s="12">
        <f>SUM(X1111:X1113)</f>
        <v>0</v>
      </c>
      <c r="Y1114" s="12">
        <f>SUM(Y1111:Y1113)</f>
        <v>0</v>
      </c>
      <c r="AA1114" s="12">
        <f t="shared" ref="AA1114:BV1114" si="1095">SUM(AA1111:AA1113)</f>
        <v>0</v>
      </c>
      <c r="AB1114" s="12">
        <f t="shared" si="1095"/>
        <v>0</v>
      </c>
      <c r="AC1114" s="12">
        <f t="shared" si="1095"/>
        <v>0</v>
      </c>
      <c r="AD1114" s="12">
        <f t="shared" si="1095"/>
        <v>0</v>
      </c>
      <c r="AE1114" s="12">
        <f t="shared" si="1095"/>
        <v>0</v>
      </c>
      <c r="AF1114" s="12">
        <f t="shared" si="1095"/>
        <v>0</v>
      </c>
      <c r="AG1114" s="12">
        <f t="shared" si="1095"/>
        <v>0</v>
      </c>
      <c r="AH1114" s="12">
        <f t="shared" si="1095"/>
        <v>0</v>
      </c>
      <c r="AI1114" s="12">
        <f t="shared" si="1095"/>
        <v>0</v>
      </c>
      <c r="AJ1114" s="12">
        <f t="shared" si="1095"/>
        <v>0</v>
      </c>
      <c r="AK1114" s="12">
        <f t="shared" si="1095"/>
        <v>0</v>
      </c>
      <c r="AL1114" s="12">
        <f t="shared" si="1095"/>
        <v>0</v>
      </c>
      <c r="AM1114" s="12">
        <f t="shared" si="1095"/>
        <v>0</v>
      </c>
      <c r="AN1114" s="12">
        <f t="shared" si="1095"/>
        <v>0</v>
      </c>
      <c r="AO1114" s="12">
        <f t="shared" si="1095"/>
        <v>0</v>
      </c>
      <c r="AP1114" s="12">
        <f t="shared" si="1095"/>
        <v>0</v>
      </c>
      <c r="AQ1114" s="12">
        <f t="shared" si="1095"/>
        <v>0</v>
      </c>
      <c r="AR1114" s="12">
        <f t="shared" si="1095"/>
        <v>0</v>
      </c>
      <c r="AS1114" s="12">
        <f t="shared" si="1095"/>
        <v>0</v>
      </c>
      <c r="AT1114" s="12">
        <f t="shared" si="1095"/>
        <v>0</v>
      </c>
      <c r="AU1114" s="12">
        <f t="shared" si="1095"/>
        <v>0</v>
      </c>
      <c r="AV1114" s="12">
        <f t="shared" si="1095"/>
        <v>0</v>
      </c>
      <c r="AW1114" s="12">
        <f t="shared" si="1095"/>
        <v>0</v>
      </c>
      <c r="AX1114" s="12">
        <f t="shared" si="1095"/>
        <v>0</v>
      </c>
      <c r="AY1114" s="12">
        <f t="shared" si="1095"/>
        <v>0</v>
      </c>
      <c r="AZ1114" s="12">
        <f t="shared" si="1095"/>
        <v>0</v>
      </c>
      <c r="BA1114" s="12">
        <f t="shared" si="1095"/>
        <v>0</v>
      </c>
      <c r="BB1114" s="12">
        <f t="shared" si="1095"/>
        <v>0</v>
      </c>
      <c r="BC1114" s="12">
        <f t="shared" si="1095"/>
        <v>0</v>
      </c>
      <c r="BD1114" s="12">
        <f t="shared" si="1095"/>
        <v>0</v>
      </c>
      <c r="BE1114" s="12">
        <f t="shared" si="1095"/>
        <v>0</v>
      </c>
      <c r="BF1114" s="12">
        <f t="shared" si="1095"/>
        <v>0</v>
      </c>
      <c r="BG1114" s="12">
        <f t="shared" si="1095"/>
        <v>0</v>
      </c>
      <c r="BH1114" s="12">
        <f t="shared" si="1095"/>
        <v>0</v>
      </c>
      <c r="BI1114" s="12">
        <f t="shared" si="1095"/>
        <v>0</v>
      </c>
      <c r="BJ1114" s="12">
        <f t="shared" si="1095"/>
        <v>0</v>
      </c>
      <c r="BK1114" s="12">
        <f t="shared" si="1095"/>
        <v>0</v>
      </c>
      <c r="BL1114" s="12">
        <f t="shared" si="1095"/>
        <v>0</v>
      </c>
      <c r="BM1114" s="12">
        <f t="shared" si="1095"/>
        <v>0</v>
      </c>
      <c r="BN1114" s="12">
        <f t="shared" si="1095"/>
        <v>0</v>
      </c>
      <c r="BO1114" s="12">
        <f t="shared" si="1095"/>
        <v>0</v>
      </c>
      <c r="BP1114" s="12">
        <f t="shared" si="1095"/>
        <v>0</v>
      </c>
      <c r="BQ1114" s="12">
        <f t="shared" si="1095"/>
        <v>0</v>
      </c>
      <c r="BR1114" s="12">
        <f t="shared" si="1095"/>
        <v>0</v>
      </c>
      <c r="BS1114" s="12">
        <f t="shared" si="1095"/>
        <v>0</v>
      </c>
      <c r="BT1114" s="12">
        <f t="shared" si="1095"/>
        <v>0</v>
      </c>
      <c r="BU1114" s="12">
        <f t="shared" si="1095"/>
        <v>0</v>
      </c>
      <c r="BV1114" s="12">
        <f t="shared" si="1095"/>
        <v>0</v>
      </c>
      <c r="BX1114" s="12">
        <f t="shared" ref="BX1114:CI1114" si="1096">SUM(BX1111:BX1113)</f>
        <v>0</v>
      </c>
      <c r="BY1114" s="12">
        <f t="shared" si="1096"/>
        <v>0</v>
      </c>
      <c r="BZ1114" s="12">
        <f t="shared" si="1096"/>
        <v>0</v>
      </c>
      <c r="CA1114" s="12">
        <f t="shared" si="1096"/>
        <v>0</v>
      </c>
      <c r="CB1114" s="12">
        <f t="shared" si="1096"/>
        <v>0</v>
      </c>
      <c r="CC1114" s="12">
        <f t="shared" si="1096"/>
        <v>0</v>
      </c>
      <c r="CD1114" s="12">
        <f t="shared" si="1096"/>
        <v>0</v>
      </c>
      <c r="CE1114" s="12">
        <f t="shared" si="1096"/>
        <v>0</v>
      </c>
      <c r="CF1114" s="12">
        <f t="shared" si="1096"/>
        <v>0</v>
      </c>
      <c r="CG1114" s="12">
        <f t="shared" si="1096"/>
        <v>0</v>
      </c>
      <c r="CH1114" s="12">
        <f t="shared" si="1096"/>
        <v>0</v>
      </c>
      <c r="CI1114" s="12">
        <f t="shared" si="1096"/>
        <v>0</v>
      </c>
      <c r="CK1114" s="11"/>
      <c r="CM1114" s="11"/>
      <c r="CV1114" s="120"/>
      <c r="DF1114" s="11"/>
      <c r="EY1114" s="12" t="str">
        <f>IF($C1114="","",CONCATENATE(D1110," ", D1114))</f>
        <v/>
      </c>
    </row>
    <row r="1115" spans="3:155" ht="6.75" customHeight="1" x14ac:dyDescent="0.35">
      <c r="C1115" s="211"/>
      <c r="D1115" s="1"/>
      <c r="CK1115" s="35"/>
      <c r="CM1115" s="35"/>
      <c r="CV1115" s="120"/>
      <c r="DF1115" s="35"/>
      <c r="EY1115" s="10" t="str">
        <f>IF($C1115="","",$D1115)</f>
        <v/>
      </c>
    </row>
    <row r="1116" spans="3:155" x14ac:dyDescent="0.35">
      <c r="C1116" s="211"/>
      <c r="D1116" s="50" t="s">
        <v>1341</v>
      </c>
      <c r="CK1116" s="11"/>
      <c r="CM1116" s="11"/>
      <c r="CV1116" s="120"/>
      <c r="DF1116" s="11"/>
      <c r="EY1116" s="10" t="str">
        <f>IF($C1116="","",$D1116)</f>
        <v/>
      </c>
    </row>
    <row r="1117" spans="3:155" x14ac:dyDescent="0.35">
      <c r="C1117" s="211"/>
      <c r="D1117" t="s">
        <v>664</v>
      </c>
      <c r="H1117" s="9"/>
      <c r="I1117" s="40" t="s">
        <v>1079</v>
      </c>
      <c r="V1117" s="133">
        <f t="shared" ref="V1117:Y1119" si="1097">SUMIFS(V$486:V$505, $E$486:$E$505, $D1117)-V1111</f>
        <v>0</v>
      </c>
      <c r="W1117" s="133">
        <f t="shared" si="1097"/>
        <v>0</v>
      </c>
      <c r="X1117" s="133">
        <f t="shared" si="1097"/>
        <v>0</v>
      </c>
      <c r="Y1117" s="133">
        <f t="shared" si="1097"/>
        <v>0</v>
      </c>
      <c r="AA1117" s="133">
        <f t="shared" ref="AA1117:BV1117" si="1098">SUMIFS(AA$486:AA$505, $E$486:$E$505, $D1117)-AA1111</f>
        <v>0</v>
      </c>
      <c r="AB1117" s="133">
        <f t="shared" si="1098"/>
        <v>0</v>
      </c>
      <c r="AC1117" s="133">
        <f t="shared" si="1098"/>
        <v>0</v>
      </c>
      <c r="AD1117" s="133">
        <f t="shared" si="1098"/>
        <v>0</v>
      </c>
      <c r="AE1117" s="133">
        <f t="shared" si="1098"/>
        <v>0</v>
      </c>
      <c r="AF1117" s="133">
        <f t="shared" si="1098"/>
        <v>0</v>
      </c>
      <c r="AG1117" s="133">
        <f t="shared" si="1098"/>
        <v>0</v>
      </c>
      <c r="AH1117" s="133">
        <f t="shared" si="1098"/>
        <v>0</v>
      </c>
      <c r="AI1117" s="133">
        <f t="shared" si="1098"/>
        <v>0</v>
      </c>
      <c r="AJ1117" s="133">
        <f t="shared" si="1098"/>
        <v>0</v>
      </c>
      <c r="AK1117" s="133">
        <f t="shared" si="1098"/>
        <v>0</v>
      </c>
      <c r="AL1117" s="133">
        <f t="shared" si="1098"/>
        <v>0</v>
      </c>
      <c r="AM1117" s="133">
        <f t="shared" si="1098"/>
        <v>0</v>
      </c>
      <c r="AN1117" s="133">
        <f t="shared" si="1098"/>
        <v>0</v>
      </c>
      <c r="AO1117" s="133">
        <f t="shared" si="1098"/>
        <v>0</v>
      </c>
      <c r="AP1117" s="133">
        <f t="shared" si="1098"/>
        <v>0</v>
      </c>
      <c r="AQ1117" s="133">
        <f t="shared" si="1098"/>
        <v>0</v>
      </c>
      <c r="AR1117" s="133">
        <f t="shared" si="1098"/>
        <v>0</v>
      </c>
      <c r="AS1117" s="133">
        <f t="shared" si="1098"/>
        <v>0</v>
      </c>
      <c r="AT1117" s="133">
        <f t="shared" si="1098"/>
        <v>0</v>
      </c>
      <c r="AU1117" s="133">
        <f t="shared" si="1098"/>
        <v>0</v>
      </c>
      <c r="AV1117" s="133">
        <f t="shared" si="1098"/>
        <v>0</v>
      </c>
      <c r="AW1117" s="133">
        <f t="shared" si="1098"/>
        <v>0</v>
      </c>
      <c r="AX1117" s="133">
        <f t="shared" si="1098"/>
        <v>0</v>
      </c>
      <c r="AY1117" s="133">
        <f t="shared" si="1098"/>
        <v>0</v>
      </c>
      <c r="AZ1117" s="133">
        <f t="shared" si="1098"/>
        <v>0</v>
      </c>
      <c r="BA1117" s="133">
        <f t="shared" si="1098"/>
        <v>0</v>
      </c>
      <c r="BB1117" s="133">
        <f t="shared" si="1098"/>
        <v>0</v>
      </c>
      <c r="BC1117" s="133">
        <f t="shared" si="1098"/>
        <v>0</v>
      </c>
      <c r="BD1117" s="133">
        <f t="shared" si="1098"/>
        <v>0</v>
      </c>
      <c r="BE1117" s="133">
        <f t="shared" si="1098"/>
        <v>0</v>
      </c>
      <c r="BF1117" s="133">
        <f t="shared" si="1098"/>
        <v>0</v>
      </c>
      <c r="BG1117" s="133">
        <f t="shared" si="1098"/>
        <v>0</v>
      </c>
      <c r="BH1117" s="133">
        <f t="shared" si="1098"/>
        <v>0</v>
      </c>
      <c r="BI1117" s="133">
        <f t="shared" si="1098"/>
        <v>0</v>
      </c>
      <c r="BJ1117" s="133">
        <f t="shared" si="1098"/>
        <v>0</v>
      </c>
      <c r="BK1117" s="133">
        <f t="shared" si="1098"/>
        <v>0</v>
      </c>
      <c r="BL1117" s="133">
        <f t="shared" si="1098"/>
        <v>0</v>
      </c>
      <c r="BM1117" s="133">
        <f t="shared" si="1098"/>
        <v>0</v>
      </c>
      <c r="BN1117" s="133">
        <f t="shared" si="1098"/>
        <v>0</v>
      </c>
      <c r="BO1117" s="133">
        <f t="shared" si="1098"/>
        <v>0</v>
      </c>
      <c r="BP1117" s="133">
        <f t="shared" si="1098"/>
        <v>0</v>
      </c>
      <c r="BQ1117" s="133">
        <f t="shared" si="1098"/>
        <v>0</v>
      </c>
      <c r="BR1117" s="133">
        <f t="shared" si="1098"/>
        <v>0</v>
      </c>
      <c r="BS1117" s="133">
        <f t="shared" si="1098"/>
        <v>0</v>
      </c>
      <c r="BT1117" s="133">
        <f t="shared" si="1098"/>
        <v>0</v>
      </c>
      <c r="BU1117" s="133">
        <f t="shared" si="1098"/>
        <v>0</v>
      </c>
      <c r="BV1117" s="133">
        <f t="shared" si="1098"/>
        <v>0</v>
      </c>
      <c r="BX1117" s="133">
        <f t="shared" ref="BX1117:CI1117" si="1099">SUMIFS(BX$486:BX$505, $E$486:$E$505, $D1117)-BX1111</f>
        <v>0</v>
      </c>
      <c r="BY1117" s="133">
        <f t="shared" si="1099"/>
        <v>0</v>
      </c>
      <c r="BZ1117" s="133">
        <f t="shared" si="1099"/>
        <v>0</v>
      </c>
      <c r="CA1117" s="133">
        <f t="shared" si="1099"/>
        <v>0</v>
      </c>
      <c r="CB1117" s="133">
        <f t="shared" si="1099"/>
        <v>0</v>
      </c>
      <c r="CC1117" s="133">
        <f t="shared" si="1099"/>
        <v>0</v>
      </c>
      <c r="CD1117" s="133">
        <f t="shared" si="1099"/>
        <v>0</v>
      </c>
      <c r="CE1117" s="133">
        <f t="shared" si="1099"/>
        <v>0</v>
      </c>
      <c r="CF1117" s="133">
        <f t="shared" si="1099"/>
        <v>0</v>
      </c>
      <c r="CG1117" s="133">
        <f t="shared" si="1099"/>
        <v>0</v>
      </c>
      <c r="CH1117" s="133">
        <f t="shared" si="1099"/>
        <v>0</v>
      </c>
      <c r="CI1117" s="133">
        <f t="shared" si="1099"/>
        <v>0</v>
      </c>
      <c r="CK1117" s="11"/>
      <c r="CM1117" s="11"/>
      <c r="CV1117" s="120"/>
      <c r="DF1117" s="11"/>
      <c r="EY1117" s="12" t="str">
        <f>IF($C1117="","",CONCATENATE(D1116," ", D1117))</f>
        <v/>
      </c>
    </row>
    <row r="1118" spans="3:155" x14ac:dyDescent="0.35">
      <c r="C1118" s="211"/>
      <c r="D1118" t="s">
        <v>667</v>
      </c>
      <c r="H1118" s="9"/>
      <c r="I1118" s="40" t="s">
        <v>1079</v>
      </c>
      <c r="V1118" s="133">
        <f t="shared" si="1097"/>
        <v>0</v>
      </c>
      <c r="W1118" s="133">
        <f t="shared" si="1097"/>
        <v>0</v>
      </c>
      <c r="X1118" s="133">
        <f t="shared" si="1097"/>
        <v>0</v>
      </c>
      <c r="Y1118" s="133">
        <f t="shared" si="1097"/>
        <v>0</v>
      </c>
      <c r="AA1118" s="133">
        <f t="shared" ref="AA1118:BV1118" si="1100">SUMIFS(AA$486:AA$505, $E$486:$E$505, $D1118)-AA1112</f>
        <v>0</v>
      </c>
      <c r="AB1118" s="133">
        <f t="shared" si="1100"/>
        <v>0</v>
      </c>
      <c r="AC1118" s="133">
        <f t="shared" si="1100"/>
        <v>0</v>
      </c>
      <c r="AD1118" s="133">
        <f t="shared" si="1100"/>
        <v>0</v>
      </c>
      <c r="AE1118" s="133">
        <f t="shared" si="1100"/>
        <v>0</v>
      </c>
      <c r="AF1118" s="133">
        <f t="shared" si="1100"/>
        <v>0</v>
      </c>
      <c r="AG1118" s="133">
        <f t="shared" si="1100"/>
        <v>0</v>
      </c>
      <c r="AH1118" s="133">
        <f t="shared" si="1100"/>
        <v>0</v>
      </c>
      <c r="AI1118" s="133">
        <f t="shared" si="1100"/>
        <v>0</v>
      </c>
      <c r="AJ1118" s="133">
        <f t="shared" si="1100"/>
        <v>0</v>
      </c>
      <c r="AK1118" s="133">
        <f t="shared" si="1100"/>
        <v>0</v>
      </c>
      <c r="AL1118" s="133">
        <f t="shared" si="1100"/>
        <v>0</v>
      </c>
      <c r="AM1118" s="133">
        <f t="shared" si="1100"/>
        <v>0</v>
      </c>
      <c r="AN1118" s="133">
        <f t="shared" si="1100"/>
        <v>0</v>
      </c>
      <c r="AO1118" s="133">
        <f t="shared" si="1100"/>
        <v>0</v>
      </c>
      <c r="AP1118" s="133">
        <f t="shared" si="1100"/>
        <v>0</v>
      </c>
      <c r="AQ1118" s="133">
        <f t="shared" si="1100"/>
        <v>0</v>
      </c>
      <c r="AR1118" s="133">
        <f t="shared" si="1100"/>
        <v>0</v>
      </c>
      <c r="AS1118" s="133">
        <f t="shared" si="1100"/>
        <v>0</v>
      </c>
      <c r="AT1118" s="133">
        <f t="shared" si="1100"/>
        <v>0</v>
      </c>
      <c r="AU1118" s="133">
        <f t="shared" si="1100"/>
        <v>0</v>
      </c>
      <c r="AV1118" s="133">
        <f t="shared" si="1100"/>
        <v>0</v>
      </c>
      <c r="AW1118" s="133">
        <f t="shared" si="1100"/>
        <v>0</v>
      </c>
      <c r="AX1118" s="133">
        <f t="shared" si="1100"/>
        <v>0</v>
      </c>
      <c r="AY1118" s="133">
        <f t="shared" si="1100"/>
        <v>0</v>
      </c>
      <c r="AZ1118" s="133">
        <f t="shared" si="1100"/>
        <v>0</v>
      </c>
      <c r="BA1118" s="133">
        <f t="shared" si="1100"/>
        <v>0</v>
      </c>
      <c r="BB1118" s="133">
        <f t="shared" si="1100"/>
        <v>0</v>
      </c>
      <c r="BC1118" s="133">
        <f t="shared" si="1100"/>
        <v>0</v>
      </c>
      <c r="BD1118" s="133">
        <f t="shared" si="1100"/>
        <v>0</v>
      </c>
      <c r="BE1118" s="133">
        <f t="shared" si="1100"/>
        <v>0</v>
      </c>
      <c r="BF1118" s="133">
        <f t="shared" si="1100"/>
        <v>0</v>
      </c>
      <c r="BG1118" s="133">
        <f t="shared" si="1100"/>
        <v>0</v>
      </c>
      <c r="BH1118" s="133">
        <f t="shared" si="1100"/>
        <v>0</v>
      </c>
      <c r="BI1118" s="133">
        <f t="shared" si="1100"/>
        <v>0</v>
      </c>
      <c r="BJ1118" s="133">
        <f t="shared" si="1100"/>
        <v>0</v>
      </c>
      <c r="BK1118" s="133">
        <f t="shared" si="1100"/>
        <v>0</v>
      </c>
      <c r="BL1118" s="133">
        <f t="shared" si="1100"/>
        <v>0</v>
      </c>
      <c r="BM1118" s="133">
        <f t="shared" si="1100"/>
        <v>0</v>
      </c>
      <c r="BN1118" s="133">
        <f t="shared" si="1100"/>
        <v>0</v>
      </c>
      <c r="BO1118" s="133">
        <f t="shared" si="1100"/>
        <v>0</v>
      </c>
      <c r="BP1118" s="133">
        <f t="shared" si="1100"/>
        <v>0</v>
      </c>
      <c r="BQ1118" s="133">
        <f t="shared" si="1100"/>
        <v>0</v>
      </c>
      <c r="BR1118" s="133">
        <f t="shared" si="1100"/>
        <v>0</v>
      </c>
      <c r="BS1118" s="133">
        <f t="shared" si="1100"/>
        <v>0</v>
      </c>
      <c r="BT1118" s="133">
        <f t="shared" si="1100"/>
        <v>0</v>
      </c>
      <c r="BU1118" s="133">
        <f t="shared" si="1100"/>
        <v>0</v>
      </c>
      <c r="BV1118" s="133">
        <f t="shared" si="1100"/>
        <v>0</v>
      </c>
      <c r="BX1118" s="133">
        <f t="shared" ref="BX1118:CI1118" si="1101">SUMIFS(BX$486:BX$505, $E$486:$E$505, $D1118)-BX1112</f>
        <v>0</v>
      </c>
      <c r="BY1118" s="133">
        <f t="shared" si="1101"/>
        <v>0</v>
      </c>
      <c r="BZ1118" s="133">
        <f t="shared" si="1101"/>
        <v>0</v>
      </c>
      <c r="CA1118" s="133">
        <f t="shared" si="1101"/>
        <v>0</v>
      </c>
      <c r="CB1118" s="133">
        <f t="shared" si="1101"/>
        <v>0</v>
      </c>
      <c r="CC1118" s="133">
        <f t="shared" si="1101"/>
        <v>0</v>
      </c>
      <c r="CD1118" s="133">
        <f t="shared" si="1101"/>
        <v>0</v>
      </c>
      <c r="CE1118" s="133">
        <f t="shared" si="1101"/>
        <v>0</v>
      </c>
      <c r="CF1118" s="133">
        <f t="shared" si="1101"/>
        <v>0</v>
      </c>
      <c r="CG1118" s="133">
        <f t="shared" si="1101"/>
        <v>0</v>
      </c>
      <c r="CH1118" s="133">
        <f t="shared" si="1101"/>
        <v>0</v>
      </c>
      <c r="CI1118" s="133">
        <f t="shared" si="1101"/>
        <v>0</v>
      </c>
      <c r="CK1118" s="11"/>
      <c r="CM1118" s="11"/>
      <c r="CV1118" s="120"/>
      <c r="DF1118" s="11"/>
      <c r="EY1118" s="12" t="str">
        <f>IF($C1118="","",CONCATENATE(D1116," ", D1118))</f>
        <v/>
      </c>
    </row>
    <row r="1119" spans="3:155" x14ac:dyDescent="0.35">
      <c r="C1119" s="211"/>
      <c r="D1119" t="s">
        <v>1338</v>
      </c>
      <c r="H1119" s="9"/>
      <c r="I1119" s="40" t="s">
        <v>1079</v>
      </c>
      <c r="V1119" s="133">
        <f t="shared" si="1097"/>
        <v>0</v>
      </c>
      <c r="W1119" s="133">
        <f t="shared" si="1097"/>
        <v>0</v>
      </c>
      <c r="X1119" s="133">
        <f t="shared" si="1097"/>
        <v>0</v>
      </c>
      <c r="Y1119" s="133">
        <f t="shared" si="1097"/>
        <v>0</v>
      </c>
      <c r="AA1119" s="133">
        <f t="shared" ref="AA1119:BV1119" si="1102">SUMIFS(AA$486:AA$505, $E$486:$E$505, $D1119)-AA1113</f>
        <v>0</v>
      </c>
      <c r="AB1119" s="133">
        <f t="shared" si="1102"/>
        <v>0</v>
      </c>
      <c r="AC1119" s="133">
        <f t="shared" si="1102"/>
        <v>0</v>
      </c>
      <c r="AD1119" s="133">
        <f t="shared" si="1102"/>
        <v>0</v>
      </c>
      <c r="AE1119" s="133">
        <f t="shared" si="1102"/>
        <v>0</v>
      </c>
      <c r="AF1119" s="133">
        <f t="shared" si="1102"/>
        <v>0</v>
      </c>
      <c r="AG1119" s="133">
        <f t="shared" si="1102"/>
        <v>0</v>
      </c>
      <c r="AH1119" s="133">
        <f t="shared" si="1102"/>
        <v>0</v>
      </c>
      <c r="AI1119" s="133">
        <f t="shared" si="1102"/>
        <v>0</v>
      </c>
      <c r="AJ1119" s="133">
        <f t="shared" si="1102"/>
        <v>0</v>
      </c>
      <c r="AK1119" s="133">
        <f t="shared" si="1102"/>
        <v>0</v>
      </c>
      <c r="AL1119" s="133">
        <f t="shared" si="1102"/>
        <v>0</v>
      </c>
      <c r="AM1119" s="133">
        <f t="shared" si="1102"/>
        <v>0</v>
      </c>
      <c r="AN1119" s="133">
        <f t="shared" si="1102"/>
        <v>0</v>
      </c>
      <c r="AO1119" s="133">
        <f t="shared" si="1102"/>
        <v>0</v>
      </c>
      <c r="AP1119" s="133">
        <f t="shared" si="1102"/>
        <v>0</v>
      </c>
      <c r="AQ1119" s="133">
        <f t="shared" si="1102"/>
        <v>0</v>
      </c>
      <c r="AR1119" s="133">
        <f t="shared" si="1102"/>
        <v>0</v>
      </c>
      <c r="AS1119" s="133">
        <f t="shared" si="1102"/>
        <v>0</v>
      </c>
      <c r="AT1119" s="133">
        <f t="shared" si="1102"/>
        <v>0</v>
      </c>
      <c r="AU1119" s="133">
        <f t="shared" si="1102"/>
        <v>0</v>
      </c>
      <c r="AV1119" s="133">
        <f t="shared" si="1102"/>
        <v>0</v>
      </c>
      <c r="AW1119" s="133">
        <f t="shared" si="1102"/>
        <v>0</v>
      </c>
      <c r="AX1119" s="133">
        <f t="shared" si="1102"/>
        <v>0</v>
      </c>
      <c r="AY1119" s="133">
        <f t="shared" si="1102"/>
        <v>0</v>
      </c>
      <c r="AZ1119" s="133">
        <f t="shared" si="1102"/>
        <v>0</v>
      </c>
      <c r="BA1119" s="133">
        <f t="shared" si="1102"/>
        <v>0</v>
      </c>
      <c r="BB1119" s="133">
        <f t="shared" si="1102"/>
        <v>0</v>
      </c>
      <c r="BC1119" s="133">
        <f t="shared" si="1102"/>
        <v>0</v>
      </c>
      <c r="BD1119" s="133">
        <f t="shared" si="1102"/>
        <v>0</v>
      </c>
      <c r="BE1119" s="133">
        <f t="shared" si="1102"/>
        <v>0</v>
      </c>
      <c r="BF1119" s="133">
        <f t="shared" si="1102"/>
        <v>0</v>
      </c>
      <c r="BG1119" s="133">
        <f t="shared" si="1102"/>
        <v>0</v>
      </c>
      <c r="BH1119" s="133">
        <f t="shared" si="1102"/>
        <v>0</v>
      </c>
      <c r="BI1119" s="133">
        <f t="shared" si="1102"/>
        <v>0</v>
      </c>
      <c r="BJ1119" s="133">
        <f t="shared" si="1102"/>
        <v>0</v>
      </c>
      <c r="BK1119" s="133">
        <f t="shared" si="1102"/>
        <v>0</v>
      </c>
      <c r="BL1119" s="133">
        <f t="shared" si="1102"/>
        <v>0</v>
      </c>
      <c r="BM1119" s="133">
        <f t="shared" si="1102"/>
        <v>0</v>
      </c>
      <c r="BN1119" s="133">
        <f t="shared" si="1102"/>
        <v>0</v>
      </c>
      <c r="BO1119" s="133">
        <f t="shared" si="1102"/>
        <v>0</v>
      </c>
      <c r="BP1119" s="133">
        <f t="shared" si="1102"/>
        <v>0</v>
      </c>
      <c r="BQ1119" s="133">
        <f t="shared" si="1102"/>
        <v>0</v>
      </c>
      <c r="BR1119" s="133">
        <f t="shared" si="1102"/>
        <v>0</v>
      </c>
      <c r="BS1119" s="133">
        <f t="shared" si="1102"/>
        <v>0</v>
      </c>
      <c r="BT1119" s="133">
        <f t="shared" si="1102"/>
        <v>0</v>
      </c>
      <c r="BU1119" s="133">
        <f t="shared" si="1102"/>
        <v>0</v>
      </c>
      <c r="BV1119" s="133">
        <f t="shared" si="1102"/>
        <v>0</v>
      </c>
      <c r="BX1119" s="133">
        <f t="shared" ref="BX1119:CI1119" si="1103">SUMIFS(BX$486:BX$505, $E$486:$E$505, $D1119)-BX1113</f>
        <v>0</v>
      </c>
      <c r="BY1119" s="133">
        <f t="shared" si="1103"/>
        <v>0</v>
      </c>
      <c r="BZ1119" s="133">
        <f t="shared" si="1103"/>
        <v>0</v>
      </c>
      <c r="CA1119" s="133">
        <f t="shared" si="1103"/>
        <v>0</v>
      </c>
      <c r="CB1119" s="133">
        <f t="shared" si="1103"/>
        <v>0</v>
      </c>
      <c r="CC1119" s="133">
        <f t="shared" si="1103"/>
        <v>0</v>
      </c>
      <c r="CD1119" s="133">
        <f t="shared" si="1103"/>
        <v>0</v>
      </c>
      <c r="CE1119" s="133">
        <f t="shared" si="1103"/>
        <v>0</v>
      </c>
      <c r="CF1119" s="133">
        <f t="shared" si="1103"/>
        <v>0</v>
      </c>
      <c r="CG1119" s="133">
        <f t="shared" si="1103"/>
        <v>0</v>
      </c>
      <c r="CH1119" s="133">
        <f t="shared" si="1103"/>
        <v>0</v>
      </c>
      <c r="CI1119" s="133">
        <f t="shared" si="1103"/>
        <v>0</v>
      </c>
      <c r="CK1119" s="11"/>
      <c r="CM1119" s="11"/>
      <c r="CV1119" s="120"/>
      <c r="DF1119" s="11"/>
      <c r="EY1119" s="12" t="str">
        <f>IF($C1119="","",CONCATENATE(D1116," ", D1119))</f>
        <v/>
      </c>
    </row>
    <row r="1120" spans="3:155" x14ac:dyDescent="0.35">
      <c r="C1120" s="211"/>
      <c r="D1120" s="5" t="s">
        <v>778</v>
      </c>
      <c r="G1120" s="5"/>
      <c r="H1120" s="96"/>
      <c r="I1120" s="102" t="s">
        <v>1079</v>
      </c>
      <c r="V1120" s="12">
        <f>SUM(V1117:V1119)</f>
        <v>0</v>
      </c>
      <c r="W1120" s="12">
        <f>SUM(W1117:W1119)</f>
        <v>0</v>
      </c>
      <c r="X1120" s="12">
        <f>SUM(X1117:X1119)</f>
        <v>0</v>
      </c>
      <c r="Y1120" s="12">
        <f>SUM(Y1117:Y1119)</f>
        <v>0</v>
      </c>
      <c r="AA1120" s="12">
        <f t="shared" ref="AA1120:BV1120" si="1104">SUM(AA1117:AA1119)</f>
        <v>0</v>
      </c>
      <c r="AB1120" s="12">
        <f t="shared" si="1104"/>
        <v>0</v>
      </c>
      <c r="AC1120" s="12">
        <f t="shared" si="1104"/>
        <v>0</v>
      </c>
      <c r="AD1120" s="12">
        <f t="shared" si="1104"/>
        <v>0</v>
      </c>
      <c r="AE1120" s="12">
        <f t="shared" si="1104"/>
        <v>0</v>
      </c>
      <c r="AF1120" s="12">
        <f t="shared" si="1104"/>
        <v>0</v>
      </c>
      <c r="AG1120" s="12">
        <f t="shared" si="1104"/>
        <v>0</v>
      </c>
      <c r="AH1120" s="12">
        <f t="shared" si="1104"/>
        <v>0</v>
      </c>
      <c r="AI1120" s="12">
        <f t="shared" si="1104"/>
        <v>0</v>
      </c>
      <c r="AJ1120" s="12">
        <f t="shared" si="1104"/>
        <v>0</v>
      </c>
      <c r="AK1120" s="12">
        <f t="shared" si="1104"/>
        <v>0</v>
      </c>
      <c r="AL1120" s="12">
        <f t="shared" si="1104"/>
        <v>0</v>
      </c>
      <c r="AM1120" s="12">
        <f t="shared" si="1104"/>
        <v>0</v>
      </c>
      <c r="AN1120" s="12">
        <f t="shared" si="1104"/>
        <v>0</v>
      </c>
      <c r="AO1120" s="12">
        <f t="shared" si="1104"/>
        <v>0</v>
      </c>
      <c r="AP1120" s="12">
        <f t="shared" si="1104"/>
        <v>0</v>
      </c>
      <c r="AQ1120" s="12">
        <f t="shared" si="1104"/>
        <v>0</v>
      </c>
      <c r="AR1120" s="12">
        <f t="shared" si="1104"/>
        <v>0</v>
      </c>
      <c r="AS1120" s="12">
        <f t="shared" si="1104"/>
        <v>0</v>
      </c>
      <c r="AT1120" s="12">
        <f t="shared" si="1104"/>
        <v>0</v>
      </c>
      <c r="AU1120" s="12">
        <f t="shared" si="1104"/>
        <v>0</v>
      </c>
      <c r="AV1120" s="12">
        <f t="shared" si="1104"/>
        <v>0</v>
      </c>
      <c r="AW1120" s="12">
        <f t="shared" si="1104"/>
        <v>0</v>
      </c>
      <c r="AX1120" s="12">
        <f t="shared" si="1104"/>
        <v>0</v>
      </c>
      <c r="AY1120" s="12">
        <f t="shared" si="1104"/>
        <v>0</v>
      </c>
      <c r="AZ1120" s="12">
        <f t="shared" si="1104"/>
        <v>0</v>
      </c>
      <c r="BA1120" s="12">
        <f t="shared" si="1104"/>
        <v>0</v>
      </c>
      <c r="BB1120" s="12">
        <f t="shared" si="1104"/>
        <v>0</v>
      </c>
      <c r="BC1120" s="12">
        <f t="shared" si="1104"/>
        <v>0</v>
      </c>
      <c r="BD1120" s="12">
        <f t="shared" si="1104"/>
        <v>0</v>
      </c>
      <c r="BE1120" s="12">
        <f t="shared" si="1104"/>
        <v>0</v>
      </c>
      <c r="BF1120" s="12">
        <f t="shared" si="1104"/>
        <v>0</v>
      </c>
      <c r="BG1120" s="12">
        <f t="shared" si="1104"/>
        <v>0</v>
      </c>
      <c r="BH1120" s="12">
        <f t="shared" si="1104"/>
        <v>0</v>
      </c>
      <c r="BI1120" s="12">
        <f t="shared" si="1104"/>
        <v>0</v>
      </c>
      <c r="BJ1120" s="12">
        <f t="shared" si="1104"/>
        <v>0</v>
      </c>
      <c r="BK1120" s="12">
        <f t="shared" si="1104"/>
        <v>0</v>
      </c>
      <c r="BL1120" s="12">
        <f t="shared" si="1104"/>
        <v>0</v>
      </c>
      <c r="BM1120" s="12">
        <f t="shared" si="1104"/>
        <v>0</v>
      </c>
      <c r="BN1120" s="12">
        <f t="shared" si="1104"/>
        <v>0</v>
      </c>
      <c r="BO1120" s="12">
        <f t="shared" si="1104"/>
        <v>0</v>
      </c>
      <c r="BP1120" s="12">
        <f t="shared" si="1104"/>
        <v>0</v>
      </c>
      <c r="BQ1120" s="12">
        <f t="shared" si="1104"/>
        <v>0</v>
      </c>
      <c r="BR1120" s="12">
        <f t="shared" si="1104"/>
        <v>0</v>
      </c>
      <c r="BS1120" s="12">
        <f t="shared" si="1104"/>
        <v>0</v>
      </c>
      <c r="BT1120" s="12">
        <f t="shared" si="1104"/>
        <v>0</v>
      </c>
      <c r="BU1120" s="12">
        <f t="shared" si="1104"/>
        <v>0</v>
      </c>
      <c r="BV1120" s="12">
        <f t="shared" si="1104"/>
        <v>0</v>
      </c>
      <c r="BX1120" s="12">
        <f t="shared" ref="BX1120:CI1120" si="1105">SUM(BX1117:BX1119)</f>
        <v>0</v>
      </c>
      <c r="BY1120" s="12">
        <f t="shared" si="1105"/>
        <v>0</v>
      </c>
      <c r="BZ1120" s="12">
        <f t="shared" si="1105"/>
        <v>0</v>
      </c>
      <c r="CA1120" s="12">
        <f t="shared" si="1105"/>
        <v>0</v>
      </c>
      <c r="CB1120" s="12">
        <f t="shared" si="1105"/>
        <v>0</v>
      </c>
      <c r="CC1120" s="12">
        <f t="shared" si="1105"/>
        <v>0</v>
      </c>
      <c r="CD1120" s="12">
        <f t="shared" si="1105"/>
        <v>0</v>
      </c>
      <c r="CE1120" s="12">
        <f t="shared" si="1105"/>
        <v>0</v>
      </c>
      <c r="CF1120" s="12">
        <f t="shared" si="1105"/>
        <v>0</v>
      </c>
      <c r="CG1120" s="12">
        <f t="shared" si="1105"/>
        <v>0</v>
      </c>
      <c r="CH1120" s="12">
        <f t="shared" si="1105"/>
        <v>0</v>
      </c>
      <c r="CI1120" s="12">
        <f t="shared" si="1105"/>
        <v>0</v>
      </c>
      <c r="CK1120" s="11"/>
      <c r="CM1120" s="11"/>
      <c r="CV1120" s="120"/>
      <c r="DF1120" s="11"/>
      <c r="EY1120" s="12" t="str">
        <f>IF($C1120="","",CONCATENATE(D1116," ", D1120))</f>
        <v/>
      </c>
    </row>
    <row r="1121" spans="3:155" ht="6.75" customHeight="1" x14ac:dyDescent="0.35">
      <c r="C1121" s="211"/>
      <c r="D1121" s="1"/>
      <c r="CK1121" s="35"/>
      <c r="CM1121" s="35"/>
      <c r="CV1121" s="120"/>
      <c r="DF1121" s="35"/>
      <c r="EY1121" s="10" t="str">
        <f>IF($C1121="","",$D1121)</f>
        <v/>
      </c>
    </row>
    <row r="1122" spans="3:155" x14ac:dyDescent="0.35">
      <c r="C1122" s="211"/>
      <c r="D1122" s="50" t="s">
        <v>1342</v>
      </c>
      <c r="CK1122" s="11"/>
      <c r="CM1122" s="11"/>
      <c r="CV1122" s="120"/>
      <c r="DF1122" s="11"/>
      <c r="EY1122" s="10" t="str">
        <f>IF($C1122="","",$D1122)</f>
        <v/>
      </c>
    </row>
    <row r="1123" spans="3:155" x14ac:dyDescent="0.35">
      <c r="C1123" s="211"/>
      <c r="D1123" t="s">
        <v>664</v>
      </c>
      <c r="H1123" s="9"/>
      <c r="I1123" s="40" t="s">
        <v>1079</v>
      </c>
      <c r="V1123" s="133">
        <f t="shared" ref="V1123:Y1125" si="1106">SUMIFS(V$860:V$879, $E$860:$E$879, $D1123)</f>
        <v>0</v>
      </c>
      <c r="W1123" s="10">
        <f t="shared" si="1106"/>
        <v>0</v>
      </c>
      <c r="X1123" s="10">
        <f t="shared" si="1106"/>
        <v>0</v>
      </c>
      <c r="Y1123" s="10">
        <f t="shared" si="1106"/>
        <v>0</v>
      </c>
      <c r="AA1123" s="10">
        <f t="shared" ref="AA1123:AJ1125" si="1107">SUMIFS(AA$860:AA$879, $E$860:$E$879, $D1123)</f>
        <v>0</v>
      </c>
      <c r="AB1123" s="10">
        <f t="shared" si="1107"/>
        <v>0</v>
      </c>
      <c r="AC1123" s="10">
        <f t="shared" si="1107"/>
        <v>0</v>
      </c>
      <c r="AD1123" s="10">
        <f t="shared" si="1107"/>
        <v>0</v>
      </c>
      <c r="AE1123" s="10">
        <f t="shared" si="1107"/>
        <v>0</v>
      </c>
      <c r="AF1123" s="10">
        <f t="shared" si="1107"/>
        <v>0</v>
      </c>
      <c r="AG1123" s="10">
        <f t="shared" si="1107"/>
        <v>0</v>
      </c>
      <c r="AH1123" s="10">
        <f t="shared" si="1107"/>
        <v>0</v>
      </c>
      <c r="AI1123" s="10">
        <f t="shared" si="1107"/>
        <v>0</v>
      </c>
      <c r="AJ1123" s="10">
        <f t="shared" si="1107"/>
        <v>0</v>
      </c>
      <c r="AK1123" s="10">
        <f t="shared" ref="AK1123:AT1125" si="1108">SUMIFS(AK$860:AK$879, $E$860:$E$879, $D1123)</f>
        <v>0</v>
      </c>
      <c r="AL1123" s="10">
        <f t="shared" si="1108"/>
        <v>0</v>
      </c>
      <c r="AM1123" s="10">
        <f t="shared" si="1108"/>
        <v>0</v>
      </c>
      <c r="AN1123" s="10">
        <f t="shared" si="1108"/>
        <v>0</v>
      </c>
      <c r="AO1123" s="10">
        <f t="shared" si="1108"/>
        <v>0</v>
      </c>
      <c r="AP1123" s="10">
        <f t="shared" si="1108"/>
        <v>0</v>
      </c>
      <c r="AQ1123" s="10">
        <f t="shared" si="1108"/>
        <v>0</v>
      </c>
      <c r="AR1123" s="10">
        <f t="shared" si="1108"/>
        <v>0</v>
      </c>
      <c r="AS1123" s="10">
        <f t="shared" si="1108"/>
        <v>0</v>
      </c>
      <c r="AT1123" s="10">
        <f t="shared" si="1108"/>
        <v>0</v>
      </c>
      <c r="AU1123" s="10">
        <f t="shared" ref="AU1123:BD1125" si="1109">SUMIFS(AU$860:AU$879, $E$860:$E$879, $D1123)</f>
        <v>0</v>
      </c>
      <c r="AV1123" s="10">
        <f t="shared" si="1109"/>
        <v>0</v>
      </c>
      <c r="AW1123" s="10">
        <f t="shared" si="1109"/>
        <v>0</v>
      </c>
      <c r="AX1123" s="10">
        <f t="shared" si="1109"/>
        <v>0</v>
      </c>
      <c r="AY1123" s="10">
        <f t="shared" si="1109"/>
        <v>0</v>
      </c>
      <c r="AZ1123" s="10">
        <f t="shared" si="1109"/>
        <v>0</v>
      </c>
      <c r="BA1123" s="10">
        <f t="shared" si="1109"/>
        <v>0</v>
      </c>
      <c r="BB1123" s="10">
        <f t="shared" si="1109"/>
        <v>0</v>
      </c>
      <c r="BC1123" s="10">
        <f t="shared" si="1109"/>
        <v>0</v>
      </c>
      <c r="BD1123" s="10">
        <f t="shared" si="1109"/>
        <v>0</v>
      </c>
      <c r="BE1123" s="10">
        <f t="shared" ref="BE1123:BN1125" si="1110">SUMIFS(BE$860:BE$879, $E$860:$E$879, $D1123)</f>
        <v>0</v>
      </c>
      <c r="BF1123" s="10">
        <f t="shared" si="1110"/>
        <v>0</v>
      </c>
      <c r="BG1123" s="10">
        <f t="shared" si="1110"/>
        <v>0</v>
      </c>
      <c r="BH1123" s="10">
        <f t="shared" si="1110"/>
        <v>0</v>
      </c>
      <c r="BI1123" s="10">
        <f t="shared" si="1110"/>
        <v>0</v>
      </c>
      <c r="BJ1123" s="10">
        <f t="shared" si="1110"/>
        <v>0</v>
      </c>
      <c r="BK1123" s="10">
        <f t="shared" si="1110"/>
        <v>0</v>
      </c>
      <c r="BL1123" s="10">
        <f t="shared" si="1110"/>
        <v>0</v>
      </c>
      <c r="BM1123" s="10">
        <f t="shared" si="1110"/>
        <v>0</v>
      </c>
      <c r="BN1123" s="10">
        <f t="shared" si="1110"/>
        <v>0</v>
      </c>
      <c r="BO1123" s="10">
        <f t="shared" ref="BO1123:BV1125" si="1111">SUMIFS(BO$860:BO$879, $E$860:$E$879, $D1123)</f>
        <v>0</v>
      </c>
      <c r="BP1123" s="10">
        <f t="shared" si="1111"/>
        <v>0</v>
      </c>
      <c r="BQ1123" s="10">
        <f t="shared" si="1111"/>
        <v>0</v>
      </c>
      <c r="BR1123" s="10">
        <f t="shared" si="1111"/>
        <v>0</v>
      </c>
      <c r="BS1123" s="10">
        <f t="shared" si="1111"/>
        <v>0</v>
      </c>
      <c r="BT1123" s="10">
        <f t="shared" si="1111"/>
        <v>0</v>
      </c>
      <c r="BU1123" s="10">
        <f t="shared" si="1111"/>
        <v>0</v>
      </c>
      <c r="BV1123" s="10">
        <f t="shared" si="1111"/>
        <v>0</v>
      </c>
      <c r="BX1123" s="10">
        <f t="shared" ref="BX1123:CI1125" si="1112">SUMIFS(BX$860:BX$879, $E$860:$E$879, $D1123)</f>
        <v>0</v>
      </c>
      <c r="BY1123" s="10">
        <f t="shared" si="1112"/>
        <v>0</v>
      </c>
      <c r="BZ1123" s="10">
        <f t="shared" si="1112"/>
        <v>0</v>
      </c>
      <c r="CA1123" s="10">
        <f t="shared" si="1112"/>
        <v>0</v>
      </c>
      <c r="CB1123" s="10">
        <f t="shared" si="1112"/>
        <v>0</v>
      </c>
      <c r="CC1123" s="10">
        <f t="shared" si="1112"/>
        <v>0</v>
      </c>
      <c r="CD1123" s="10">
        <f t="shared" si="1112"/>
        <v>0</v>
      </c>
      <c r="CE1123" s="10">
        <f t="shared" si="1112"/>
        <v>0</v>
      </c>
      <c r="CF1123" s="10">
        <f t="shared" si="1112"/>
        <v>0</v>
      </c>
      <c r="CG1123" s="10">
        <f t="shared" si="1112"/>
        <v>0</v>
      </c>
      <c r="CH1123" s="10">
        <f t="shared" si="1112"/>
        <v>0</v>
      </c>
      <c r="CI1123" s="10">
        <f t="shared" si="1112"/>
        <v>0</v>
      </c>
      <c r="CK1123" s="11"/>
      <c r="CM1123" s="11"/>
      <c r="CV1123" s="120"/>
      <c r="DF1123" s="11"/>
      <c r="EY1123" s="12" t="str">
        <f>IF($C1123="","",CONCATENATE(D1122," ", D1123))</f>
        <v/>
      </c>
    </row>
    <row r="1124" spans="3:155" x14ac:dyDescent="0.35">
      <c r="C1124" s="211"/>
      <c r="D1124" t="s">
        <v>667</v>
      </c>
      <c r="H1124" s="9"/>
      <c r="I1124" s="40" t="s">
        <v>1079</v>
      </c>
      <c r="V1124" s="10">
        <f t="shared" si="1106"/>
        <v>0</v>
      </c>
      <c r="W1124" s="10">
        <f t="shared" si="1106"/>
        <v>0</v>
      </c>
      <c r="X1124" s="10">
        <f t="shared" si="1106"/>
        <v>0</v>
      </c>
      <c r="Y1124" s="10">
        <f t="shared" si="1106"/>
        <v>0</v>
      </c>
      <c r="AA1124" s="10">
        <f t="shared" si="1107"/>
        <v>0</v>
      </c>
      <c r="AB1124" s="10">
        <f t="shared" si="1107"/>
        <v>0</v>
      </c>
      <c r="AC1124" s="10">
        <f t="shared" si="1107"/>
        <v>0</v>
      </c>
      <c r="AD1124" s="10">
        <f t="shared" si="1107"/>
        <v>0</v>
      </c>
      <c r="AE1124" s="10">
        <f t="shared" si="1107"/>
        <v>0</v>
      </c>
      <c r="AF1124" s="10">
        <f t="shared" si="1107"/>
        <v>0</v>
      </c>
      <c r="AG1124" s="10">
        <f t="shared" si="1107"/>
        <v>0</v>
      </c>
      <c r="AH1124" s="10">
        <f t="shared" si="1107"/>
        <v>0</v>
      </c>
      <c r="AI1124" s="10">
        <f t="shared" si="1107"/>
        <v>0</v>
      </c>
      <c r="AJ1124" s="10">
        <f t="shared" si="1107"/>
        <v>0</v>
      </c>
      <c r="AK1124" s="10">
        <f t="shared" si="1108"/>
        <v>0</v>
      </c>
      <c r="AL1124" s="10">
        <f t="shared" si="1108"/>
        <v>0</v>
      </c>
      <c r="AM1124" s="10">
        <f t="shared" si="1108"/>
        <v>0</v>
      </c>
      <c r="AN1124" s="10">
        <f t="shared" si="1108"/>
        <v>0</v>
      </c>
      <c r="AO1124" s="10">
        <f t="shared" si="1108"/>
        <v>0</v>
      </c>
      <c r="AP1124" s="10">
        <f t="shared" si="1108"/>
        <v>0</v>
      </c>
      <c r="AQ1124" s="10">
        <f t="shared" si="1108"/>
        <v>0</v>
      </c>
      <c r="AR1124" s="10">
        <f t="shared" si="1108"/>
        <v>0</v>
      </c>
      <c r="AS1124" s="10">
        <f t="shared" si="1108"/>
        <v>0</v>
      </c>
      <c r="AT1124" s="10">
        <f t="shared" si="1108"/>
        <v>0</v>
      </c>
      <c r="AU1124" s="10">
        <f t="shared" si="1109"/>
        <v>0</v>
      </c>
      <c r="AV1124" s="10">
        <f t="shared" si="1109"/>
        <v>0</v>
      </c>
      <c r="AW1124" s="10">
        <f t="shared" si="1109"/>
        <v>0</v>
      </c>
      <c r="AX1124" s="10">
        <f t="shared" si="1109"/>
        <v>0</v>
      </c>
      <c r="AY1124" s="10">
        <f t="shared" si="1109"/>
        <v>0</v>
      </c>
      <c r="AZ1124" s="10">
        <f t="shared" si="1109"/>
        <v>0</v>
      </c>
      <c r="BA1124" s="10">
        <f t="shared" si="1109"/>
        <v>0</v>
      </c>
      <c r="BB1124" s="10">
        <f t="shared" si="1109"/>
        <v>0</v>
      </c>
      <c r="BC1124" s="10">
        <f t="shared" si="1109"/>
        <v>0</v>
      </c>
      <c r="BD1124" s="10">
        <f t="shared" si="1109"/>
        <v>0</v>
      </c>
      <c r="BE1124" s="10">
        <f t="shared" si="1110"/>
        <v>0</v>
      </c>
      <c r="BF1124" s="10">
        <f t="shared" si="1110"/>
        <v>0</v>
      </c>
      <c r="BG1124" s="10">
        <f t="shared" si="1110"/>
        <v>0</v>
      </c>
      <c r="BH1124" s="10">
        <f t="shared" si="1110"/>
        <v>0</v>
      </c>
      <c r="BI1124" s="10">
        <f t="shared" si="1110"/>
        <v>0</v>
      </c>
      <c r="BJ1124" s="10">
        <f t="shared" si="1110"/>
        <v>0</v>
      </c>
      <c r="BK1124" s="10">
        <f t="shared" si="1110"/>
        <v>0</v>
      </c>
      <c r="BL1124" s="10">
        <f t="shared" si="1110"/>
        <v>0</v>
      </c>
      <c r="BM1124" s="10">
        <f t="shared" si="1110"/>
        <v>0</v>
      </c>
      <c r="BN1124" s="10">
        <f t="shared" si="1110"/>
        <v>0</v>
      </c>
      <c r="BO1124" s="10">
        <f t="shared" si="1111"/>
        <v>0</v>
      </c>
      <c r="BP1124" s="10">
        <f t="shared" si="1111"/>
        <v>0</v>
      </c>
      <c r="BQ1124" s="10">
        <f t="shared" si="1111"/>
        <v>0</v>
      </c>
      <c r="BR1124" s="10">
        <f t="shared" si="1111"/>
        <v>0</v>
      </c>
      <c r="BS1124" s="10">
        <f t="shared" si="1111"/>
        <v>0</v>
      </c>
      <c r="BT1124" s="10">
        <f t="shared" si="1111"/>
        <v>0</v>
      </c>
      <c r="BU1124" s="10">
        <f t="shared" si="1111"/>
        <v>0</v>
      </c>
      <c r="BV1124" s="10">
        <f t="shared" si="1111"/>
        <v>0</v>
      </c>
      <c r="BX1124" s="10">
        <f t="shared" si="1112"/>
        <v>0</v>
      </c>
      <c r="BY1124" s="10">
        <f t="shared" si="1112"/>
        <v>0</v>
      </c>
      <c r="BZ1124" s="10">
        <f t="shared" si="1112"/>
        <v>0</v>
      </c>
      <c r="CA1124" s="10">
        <f t="shared" si="1112"/>
        <v>0</v>
      </c>
      <c r="CB1124" s="10">
        <f t="shared" si="1112"/>
        <v>0</v>
      </c>
      <c r="CC1124" s="10">
        <f t="shared" si="1112"/>
        <v>0</v>
      </c>
      <c r="CD1124" s="10">
        <f t="shared" si="1112"/>
        <v>0</v>
      </c>
      <c r="CE1124" s="10">
        <f t="shared" si="1112"/>
        <v>0</v>
      </c>
      <c r="CF1124" s="10">
        <f t="shared" si="1112"/>
        <v>0</v>
      </c>
      <c r="CG1124" s="10">
        <f t="shared" si="1112"/>
        <v>0</v>
      </c>
      <c r="CH1124" s="10">
        <f t="shared" si="1112"/>
        <v>0</v>
      </c>
      <c r="CI1124" s="10">
        <f t="shared" si="1112"/>
        <v>0</v>
      </c>
      <c r="CK1124" s="11"/>
      <c r="CM1124" s="11"/>
      <c r="CV1124" s="120"/>
      <c r="DF1124" s="11"/>
      <c r="EY1124" s="12" t="str">
        <f>IF($C1124="","",CONCATENATE(D1122," ", D1124))</f>
        <v/>
      </c>
    </row>
    <row r="1125" spans="3:155" x14ac:dyDescent="0.35">
      <c r="C1125" s="211"/>
      <c r="D1125" t="s">
        <v>1338</v>
      </c>
      <c r="H1125" s="9"/>
      <c r="I1125" s="40" t="s">
        <v>1079</v>
      </c>
      <c r="V1125" s="10">
        <f t="shared" si="1106"/>
        <v>0</v>
      </c>
      <c r="W1125" s="10">
        <f t="shared" si="1106"/>
        <v>0</v>
      </c>
      <c r="X1125" s="10">
        <f t="shared" si="1106"/>
        <v>0</v>
      </c>
      <c r="Y1125" s="10">
        <f t="shared" si="1106"/>
        <v>0</v>
      </c>
      <c r="AA1125" s="10">
        <f t="shared" si="1107"/>
        <v>0</v>
      </c>
      <c r="AB1125" s="10">
        <f t="shared" si="1107"/>
        <v>0</v>
      </c>
      <c r="AC1125" s="10">
        <f t="shared" si="1107"/>
        <v>0</v>
      </c>
      <c r="AD1125" s="10">
        <f t="shared" si="1107"/>
        <v>0</v>
      </c>
      <c r="AE1125" s="10">
        <f t="shared" si="1107"/>
        <v>0</v>
      </c>
      <c r="AF1125" s="10">
        <f t="shared" si="1107"/>
        <v>0</v>
      </c>
      <c r="AG1125" s="10">
        <f t="shared" si="1107"/>
        <v>0</v>
      </c>
      <c r="AH1125" s="10">
        <f t="shared" si="1107"/>
        <v>0</v>
      </c>
      <c r="AI1125" s="10">
        <f t="shared" si="1107"/>
        <v>0</v>
      </c>
      <c r="AJ1125" s="10">
        <f t="shared" si="1107"/>
        <v>0</v>
      </c>
      <c r="AK1125" s="10">
        <f t="shared" si="1108"/>
        <v>0</v>
      </c>
      <c r="AL1125" s="10">
        <f t="shared" si="1108"/>
        <v>0</v>
      </c>
      <c r="AM1125" s="10">
        <f t="shared" si="1108"/>
        <v>0</v>
      </c>
      <c r="AN1125" s="10">
        <f t="shared" si="1108"/>
        <v>0</v>
      </c>
      <c r="AO1125" s="10">
        <f t="shared" si="1108"/>
        <v>0</v>
      </c>
      <c r="AP1125" s="10">
        <f t="shared" si="1108"/>
        <v>0</v>
      </c>
      <c r="AQ1125" s="10">
        <f t="shared" si="1108"/>
        <v>0</v>
      </c>
      <c r="AR1125" s="10">
        <f t="shared" si="1108"/>
        <v>0</v>
      </c>
      <c r="AS1125" s="10">
        <f t="shared" si="1108"/>
        <v>0</v>
      </c>
      <c r="AT1125" s="10">
        <f t="shared" si="1108"/>
        <v>0</v>
      </c>
      <c r="AU1125" s="10">
        <f t="shared" si="1109"/>
        <v>0</v>
      </c>
      <c r="AV1125" s="10">
        <f t="shared" si="1109"/>
        <v>0</v>
      </c>
      <c r="AW1125" s="10">
        <f t="shared" si="1109"/>
        <v>0</v>
      </c>
      <c r="AX1125" s="10">
        <f t="shared" si="1109"/>
        <v>0</v>
      </c>
      <c r="AY1125" s="10">
        <f t="shared" si="1109"/>
        <v>0</v>
      </c>
      <c r="AZ1125" s="10">
        <f t="shared" si="1109"/>
        <v>0</v>
      </c>
      <c r="BA1125" s="10">
        <f t="shared" si="1109"/>
        <v>0</v>
      </c>
      <c r="BB1125" s="10">
        <f t="shared" si="1109"/>
        <v>0</v>
      </c>
      <c r="BC1125" s="10">
        <f t="shared" si="1109"/>
        <v>0</v>
      </c>
      <c r="BD1125" s="10">
        <f t="shared" si="1109"/>
        <v>0</v>
      </c>
      <c r="BE1125" s="10">
        <f t="shared" si="1110"/>
        <v>0</v>
      </c>
      <c r="BF1125" s="10">
        <f t="shared" si="1110"/>
        <v>0</v>
      </c>
      <c r="BG1125" s="10">
        <f t="shared" si="1110"/>
        <v>0</v>
      </c>
      <c r="BH1125" s="10">
        <f t="shared" si="1110"/>
        <v>0</v>
      </c>
      <c r="BI1125" s="10">
        <f t="shared" si="1110"/>
        <v>0</v>
      </c>
      <c r="BJ1125" s="10">
        <f t="shared" si="1110"/>
        <v>0</v>
      </c>
      <c r="BK1125" s="10">
        <f t="shared" si="1110"/>
        <v>0</v>
      </c>
      <c r="BL1125" s="10">
        <f t="shared" si="1110"/>
        <v>0</v>
      </c>
      <c r="BM1125" s="10">
        <f t="shared" si="1110"/>
        <v>0</v>
      </c>
      <c r="BN1125" s="10">
        <f t="shared" si="1110"/>
        <v>0</v>
      </c>
      <c r="BO1125" s="10">
        <f t="shared" si="1111"/>
        <v>0</v>
      </c>
      <c r="BP1125" s="10">
        <f t="shared" si="1111"/>
        <v>0</v>
      </c>
      <c r="BQ1125" s="10">
        <f t="shared" si="1111"/>
        <v>0</v>
      </c>
      <c r="BR1125" s="10">
        <f t="shared" si="1111"/>
        <v>0</v>
      </c>
      <c r="BS1125" s="10">
        <f t="shared" si="1111"/>
        <v>0</v>
      </c>
      <c r="BT1125" s="10">
        <f t="shared" si="1111"/>
        <v>0</v>
      </c>
      <c r="BU1125" s="10">
        <f t="shared" si="1111"/>
        <v>0</v>
      </c>
      <c r="BV1125" s="10">
        <f t="shared" si="1111"/>
        <v>0</v>
      </c>
      <c r="BX1125" s="10">
        <f t="shared" si="1112"/>
        <v>0</v>
      </c>
      <c r="BY1125" s="10">
        <f t="shared" si="1112"/>
        <v>0</v>
      </c>
      <c r="BZ1125" s="10">
        <f t="shared" si="1112"/>
        <v>0</v>
      </c>
      <c r="CA1125" s="10">
        <f t="shared" si="1112"/>
        <v>0</v>
      </c>
      <c r="CB1125" s="10">
        <f t="shared" si="1112"/>
        <v>0</v>
      </c>
      <c r="CC1125" s="10">
        <f t="shared" si="1112"/>
        <v>0</v>
      </c>
      <c r="CD1125" s="10">
        <f t="shared" si="1112"/>
        <v>0</v>
      </c>
      <c r="CE1125" s="10">
        <f t="shared" si="1112"/>
        <v>0</v>
      </c>
      <c r="CF1125" s="10">
        <f t="shared" si="1112"/>
        <v>0</v>
      </c>
      <c r="CG1125" s="10">
        <f t="shared" si="1112"/>
        <v>0</v>
      </c>
      <c r="CH1125" s="10">
        <f t="shared" si="1112"/>
        <v>0</v>
      </c>
      <c r="CI1125" s="10">
        <f t="shared" si="1112"/>
        <v>0</v>
      </c>
      <c r="CK1125" s="11"/>
      <c r="CM1125" s="11"/>
      <c r="CV1125" s="120"/>
      <c r="DF1125" s="11"/>
      <c r="EY1125" s="12" t="str">
        <f>IF($C1125="","",CONCATENATE(D1122," ", D1125))</f>
        <v/>
      </c>
    </row>
    <row r="1126" spans="3:155" x14ac:dyDescent="0.35">
      <c r="C1126" s="211"/>
      <c r="D1126" s="5" t="s">
        <v>778</v>
      </c>
      <c r="G1126" s="5"/>
      <c r="H1126" s="96"/>
      <c r="I1126" s="102" t="s">
        <v>646</v>
      </c>
      <c r="V1126" s="12">
        <f>SUM(V1123:V1125)</f>
        <v>0</v>
      </c>
      <c r="W1126" s="12">
        <f>SUM(W1123:W1125)</f>
        <v>0</v>
      </c>
      <c r="X1126" s="12">
        <f>SUM(X1123:X1125)</f>
        <v>0</v>
      </c>
      <c r="Y1126" s="12">
        <f>SUM(Y1123:Y1125)</f>
        <v>0</v>
      </c>
      <c r="AA1126" s="12">
        <f t="shared" ref="AA1126:BV1126" si="1113">SUM(AA1123:AA1125)</f>
        <v>0</v>
      </c>
      <c r="AB1126" s="12">
        <f t="shared" si="1113"/>
        <v>0</v>
      </c>
      <c r="AC1126" s="12">
        <f t="shared" si="1113"/>
        <v>0</v>
      </c>
      <c r="AD1126" s="12">
        <f t="shared" si="1113"/>
        <v>0</v>
      </c>
      <c r="AE1126" s="12">
        <f t="shared" si="1113"/>
        <v>0</v>
      </c>
      <c r="AF1126" s="12">
        <f t="shared" si="1113"/>
        <v>0</v>
      </c>
      <c r="AG1126" s="12">
        <f t="shared" si="1113"/>
        <v>0</v>
      </c>
      <c r="AH1126" s="12">
        <f t="shared" si="1113"/>
        <v>0</v>
      </c>
      <c r="AI1126" s="12">
        <f t="shared" si="1113"/>
        <v>0</v>
      </c>
      <c r="AJ1126" s="12">
        <f t="shared" si="1113"/>
        <v>0</v>
      </c>
      <c r="AK1126" s="12">
        <f t="shared" si="1113"/>
        <v>0</v>
      </c>
      <c r="AL1126" s="12">
        <f t="shared" si="1113"/>
        <v>0</v>
      </c>
      <c r="AM1126" s="12">
        <f t="shared" si="1113"/>
        <v>0</v>
      </c>
      <c r="AN1126" s="12">
        <f t="shared" si="1113"/>
        <v>0</v>
      </c>
      <c r="AO1126" s="12">
        <f t="shared" si="1113"/>
        <v>0</v>
      </c>
      <c r="AP1126" s="12">
        <f t="shared" si="1113"/>
        <v>0</v>
      </c>
      <c r="AQ1126" s="12">
        <f t="shared" si="1113"/>
        <v>0</v>
      </c>
      <c r="AR1126" s="12">
        <f t="shared" si="1113"/>
        <v>0</v>
      </c>
      <c r="AS1126" s="12">
        <f t="shared" si="1113"/>
        <v>0</v>
      </c>
      <c r="AT1126" s="12">
        <f t="shared" si="1113"/>
        <v>0</v>
      </c>
      <c r="AU1126" s="12">
        <f t="shared" si="1113"/>
        <v>0</v>
      </c>
      <c r="AV1126" s="12">
        <f t="shared" si="1113"/>
        <v>0</v>
      </c>
      <c r="AW1126" s="12">
        <f t="shared" si="1113"/>
        <v>0</v>
      </c>
      <c r="AX1126" s="12">
        <f t="shared" si="1113"/>
        <v>0</v>
      </c>
      <c r="AY1126" s="12">
        <f t="shared" si="1113"/>
        <v>0</v>
      </c>
      <c r="AZ1126" s="12">
        <f t="shared" si="1113"/>
        <v>0</v>
      </c>
      <c r="BA1126" s="12">
        <f t="shared" si="1113"/>
        <v>0</v>
      </c>
      <c r="BB1126" s="12">
        <f t="shared" si="1113"/>
        <v>0</v>
      </c>
      <c r="BC1126" s="12">
        <f t="shared" si="1113"/>
        <v>0</v>
      </c>
      <c r="BD1126" s="12">
        <f t="shared" si="1113"/>
        <v>0</v>
      </c>
      <c r="BE1126" s="12">
        <f t="shared" si="1113"/>
        <v>0</v>
      </c>
      <c r="BF1126" s="12">
        <f t="shared" si="1113"/>
        <v>0</v>
      </c>
      <c r="BG1126" s="12">
        <f t="shared" si="1113"/>
        <v>0</v>
      </c>
      <c r="BH1126" s="12">
        <f t="shared" si="1113"/>
        <v>0</v>
      </c>
      <c r="BI1126" s="12">
        <f t="shared" si="1113"/>
        <v>0</v>
      </c>
      <c r="BJ1126" s="12">
        <f t="shared" si="1113"/>
        <v>0</v>
      </c>
      <c r="BK1126" s="12">
        <f t="shared" si="1113"/>
        <v>0</v>
      </c>
      <c r="BL1126" s="12">
        <f t="shared" si="1113"/>
        <v>0</v>
      </c>
      <c r="BM1126" s="12">
        <f t="shared" si="1113"/>
        <v>0</v>
      </c>
      <c r="BN1126" s="12">
        <f t="shared" si="1113"/>
        <v>0</v>
      </c>
      <c r="BO1126" s="12">
        <f t="shared" si="1113"/>
        <v>0</v>
      </c>
      <c r="BP1126" s="12">
        <f t="shared" si="1113"/>
        <v>0</v>
      </c>
      <c r="BQ1126" s="12">
        <f t="shared" si="1113"/>
        <v>0</v>
      </c>
      <c r="BR1126" s="12">
        <f t="shared" si="1113"/>
        <v>0</v>
      </c>
      <c r="BS1126" s="12">
        <f t="shared" si="1113"/>
        <v>0</v>
      </c>
      <c r="BT1126" s="12">
        <f t="shared" si="1113"/>
        <v>0</v>
      </c>
      <c r="BU1126" s="12">
        <f t="shared" si="1113"/>
        <v>0</v>
      </c>
      <c r="BV1126" s="12">
        <f t="shared" si="1113"/>
        <v>0</v>
      </c>
      <c r="BX1126" s="12">
        <f t="shared" ref="BX1126:CI1126" si="1114">SUM(BX1123:BX1125)</f>
        <v>0</v>
      </c>
      <c r="BY1126" s="12">
        <f t="shared" si="1114"/>
        <v>0</v>
      </c>
      <c r="BZ1126" s="12">
        <f t="shared" si="1114"/>
        <v>0</v>
      </c>
      <c r="CA1126" s="12">
        <f t="shared" si="1114"/>
        <v>0</v>
      </c>
      <c r="CB1126" s="12">
        <f t="shared" si="1114"/>
        <v>0</v>
      </c>
      <c r="CC1126" s="12">
        <f t="shared" si="1114"/>
        <v>0</v>
      </c>
      <c r="CD1126" s="12">
        <f t="shared" si="1114"/>
        <v>0</v>
      </c>
      <c r="CE1126" s="12">
        <f t="shared" si="1114"/>
        <v>0</v>
      </c>
      <c r="CF1126" s="12">
        <f t="shared" si="1114"/>
        <v>0</v>
      </c>
      <c r="CG1126" s="12">
        <f t="shared" si="1114"/>
        <v>0</v>
      </c>
      <c r="CH1126" s="12">
        <f t="shared" si="1114"/>
        <v>0</v>
      </c>
      <c r="CI1126" s="12">
        <f t="shared" si="1114"/>
        <v>0</v>
      </c>
      <c r="CK1126" s="11"/>
      <c r="CM1126" s="11"/>
      <c r="CV1126" s="120"/>
      <c r="DF1126" s="11"/>
      <c r="EY1126" s="12" t="str">
        <f>IF($C1126="","",CONCATENATE(D1122," ", D1126))</f>
        <v/>
      </c>
    </row>
    <row r="1127" spans="3:155" ht="6.75" customHeight="1" x14ac:dyDescent="0.35">
      <c r="C1127" s="211"/>
      <c r="D1127" s="1"/>
      <c r="CK1127" s="35"/>
      <c r="CM1127" s="35"/>
      <c r="CV1127" s="120"/>
      <c r="DF1127" s="35"/>
      <c r="EY1127" s="10" t="str">
        <f>IF($C1127="","",$D1127)</f>
        <v/>
      </c>
    </row>
    <row r="1128" spans="3:155" x14ac:dyDescent="0.35">
      <c r="C1128" s="211"/>
      <c r="D1128" s="50" t="s">
        <v>1343</v>
      </c>
      <c r="CK1128" s="11"/>
      <c r="CM1128" s="11"/>
      <c r="CV1128" s="120"/>
      <c r="DF1128" s="11"/>
      <c r="EY1128" s="10" t="str">
        <f>IF($C1128="","",$D1128)</f>
        <v/>
      </c>
    </row>
    <row r="1129" spans="3:155" x14ac:dyDescent="0.35">
      <c r="C1129" s="211"/>
      <c r="D1129" t="s">
        <v>664</v>
      </c>
      <c r="H1129" s="9"/>
      <c r="I1129" s="40" t="s">
        <v>665</v>
      </c>
      <c r="V1129" s="133">
        <f t="shared" ref="V1129:Y1131" si="1115">SUMIFS(V$837:V$856, $E$837:$E$856, $D1129)</f>
        <v>0</v>
      </c>
      <c r="W1129" s="10">
        <f t="shared" si="1115"/>
        <v>0</v>
      </c>
      <c r="X1129" s="10">
        <f t="shared" si="1115"/>
        <v>0</v>
      </c>
      <c r="Y1129" s="10">
        <f t="shared" si="1115"/>
        <v>0</v>
      </c>
      <c r="AA1129" s="10">
        <f t="shared" ref="AA1129:AJ1131" si="1116">SUMIFS(AA$837:AA$856, $E$837:$E$856, $D1129)</f>
        <v>0</v>
      </c>
      <c r="AB1129" s="10">
        <f t="shared" si="1116"/>
        <v>0</v>
      </c>
      <c r="AC1129" s="10">
        <f t="shared" si="1116"/>
        <v>0</v>
      </c>
      <c r="AD1129" s="10">
        <f t="shared" si="1116"/>
        <v>0</v>
      </c>
      <c r="AE1129" s="10">
        <f t="shared" si="1116"/>
        <v>0</v>
      </c>
      <c r="AF1129" s="10">
        <f t="shared" si="1116"/>
        <v>0</v>
      </c>
      <c r="AG1129" s="10">
        <f t="shared" si="1116"/>
        <v>0</v>
      </c>
      <c r="AH1129" s="10">
        <f t="shared" si="1116"/>
        <v>0</v>
      </c>
      <c r="AI1129" s="10">
        <f t="shared" si="1116"/>
        <v>0</v>
      </c>
      <c r="AJ1129" s="10">
        <f t="shared" si="1116"/>
        <v>0</v>
      </c>
      <c r="AK1129" s="10">
        <f t="shared" ref="AK1129:AT1131" si="1117">SUMIFS(AK$837:AK$856, $E$837:$E$856, $D1129)</f>
        <v>0</v>
      </c>
      <c r="AL1129" s="10">
        <f t="shared" si="1117"/>
        <v>0</v>
      </c>
      <c r="AM1129" s="10">
        <f t="shared" si="1117"/>
        <v>0</v>
      </c>
      <c r="AN1129" s="10">
        <f t="shared" si="1117"/>
        <v>0</v>
      </c>
      <c r="AO1129" s="10">
        <f t="shared" si="1117"/>
        <v>0</v>
      </c>
      <c r="AP1129" s="10">
        <f t="shared" si="1117"/>
        <v>0</v>
      </c>
      <c r="AQ1129" s="10">
        <f t="shared" si="1117"/>
        <v>0</v>
      </c>
      <c r="AR1129" s="10">
        <f t="shared" si="1117"/>
        <v>0</v>
      </c>
      <c r="AS1129" s="10">
        <f t="shared" si="1117"/>
        <v>0</v>
      </c>
      <c r="AT1129" s="10">
        <f t="shared" si="1117"/>
        <v>0</v>
      </c>
      <c r="AU1129" s="10">
        <f t="shared" ref="AU1129:BD1131" si="1118">SUMIFS(AU$837:AU$856, $E$837:$E$856, $D1129)</f>
        <v>0</v>
      </c>
      <c r="AV1129" s="10">
        <f t="shared" si="1118"/>
        <v>0</v>
      </c>
      <c r="AW1129" s="10">
        <f t="shared" si="1118"/>
        <v>0</v>
      </c>
      <c r="AX1129" s="10">
        <f t="shared" si="1118"/>
        <v>0</v>
      </c>
      <c r="AY1129" s="10">
        <f t="shared" si="1118"/>
        <v>0</v>
      </c>
      <c r="AZ1129" s="10">
        <f t="shared" si="1118"/>
        <v>0</v>
      </c>
      <c r="BA1129" s="10">
        <f t="shared" si="1118"/>
        <v>0</v>
      </c>
      <c r="BB1129" s="10">
        <f t="shared" si="1118"/>
        <v>0</v>
      </c>
      <c r="BC1129" s="10">
        <f t="shared" si="1118"/>
        <v>0</v>
      </c>
      <c r="BD1129" s="10">
        <f t="shared" si="1118"/>
        <v>0</v>
      </c>
      <c r="BE1129" s="10">
        <f t="shared" ref="BE1129:BN1131" si="1119">SUMIFS(BE$837:BE$856, $E$837:$E$856, $D1129)</f>
        <v>0</v>
      </c>
      <c r="BF1129" s="10">
        <f t="shared" si="1119"/>
        <v>0</v>
      </c>
      <c r="BG1129" s="10">
        <f t="shared" si="1119"/>
        <v>0</v>
      </c>
      <c r="BH1129" s="10">
        <f t="shared" si="1119"/>
        <v>0</v>
      </c>
      <c r="BI1129" s="10">
        <f t="shared" si="1119"/>
        <v>0</v>
      </c>
      <c r="BJ1129" s="10">
        <f t="shared" si="1119"/>
        <v>0</v>
      </c>
      <c r="BK1129" s="10">
        <f t="shared" si="1119"/>
        <v>0</v>
      </c>
      <c r="BL1129" s="10">
        <f t="shared" si="1119"/>
        <v>0</v>
      </c>
      <c r="BM1129" s="10">
        <f t="shared" si="1119"/>
        <v>0</v>
      </c>
      <c r="BN1129" s="10">
        <f t="shared" si="1119"/>
        <v>0</v>
      </c>
      <c r="BO1129" s="10">
        <f t="shared" ref="BO1129:BV1131" si="1120">SUMIFS(BO$837:BO$856, $E$837:$E$856, $D1129)</f>
        <v>0</v>
      </c>
      <c r="BP1129" s="10">
        <f t="shared" si="1120"/>
        <v>0</v>
      </c>
      <c r="BQ1129" s="10">
        <f t="shared" si="1120"/>
        <v>0</v>
      </c>
      <c r="BR1129" s="10">
        <f t="shared" si="1120"/>
        <v>0</v>
      </c>
      <c r="BS1129" s="10">
        <f t="shared" si="1120"/>
        <v>0</v>
      </c>
      <c r="BT1129" s="10">
        <f t="shared" si="1120"/>
        <v>0</v>
      </c>
      <c r="BU1129" s="10">
        <f t="shared" si="1120"/>
        <v>0</v>
      </c>
      <c r="BV1129" s="10">
        <f t="shared" si="1120"/>
        <v>0</v>
      </c>
      <c r="BX1129" s="10">
        <f t="shared" ref="BX1129:CI1131" si="1121">SUMIFS(BX$837:BX$856, $E$837:$E$856, $D1129)</f>
        <v>0</v>
      </c>
      <c r="BY1129" s="10">
        <f t="shared" si="1121"/>
        <v>0</v>
      </c>
      <c r="BZ1129" s="10">
        <f t="shared" si="1121"/>
        <v>0</v>
      </c>
      <c r="CA1129" s="10">
        <f t="shared" si="1121"/>
        <v>0</v>
      </c>
      <c r="CB1129" s="10">
        <f t="shared" si="1121"/>
        <v>0</v>
      </c>
      <c r="CC1129" s="10">
        <f t="shared" si="1121"/>
        <v>0</v>
      </c>
      <c r="CD1129" s="10">
        <f t="shared" si="1121"/>
        <v>0</v>
      </c>
      <c r="CE1129" s="10">
        <f t="shared" si="1121"/>
        <v>0</v>
      </c>
      <c r="CF1129" s="10">
        <f t="shared" si="1121"/>
        <v>0</v>
      </c>
      <c r="CG1129" s="10">
        <f t="shared" si="1121"/>
        <v>0</v>
      </c>
      <c r="CH1129" s="10">
        <f t="shared" si="1121"/>
        <v>0</v>
      </c>
      <c r="CI1129" s="10">
        <f t="shared" si="1121"/>
        <v>0</v>
      </c>
      <c r="CK1129" s="11"/>
      <c r="CM1129" s="11"/>
      <c r="CV1129" s="120"/>
      <c r="DF1129" s="11"/>
      <c r="EY1129" s="12" t="str">
        <f>IF($C1129="","",CONCATENATE(D1128," ", D1129))</f>
        <v/>
      </c>
    </row>
    <row r="1130" spans="3:155" x14ac:dyDescent="0.35">
      <c r="C1130" s="211"/>
      <c r="D1130" t="s">
        <v>667</v>
      </c>
      <c r="H1130" s="9"/>
      <c r="I1130" s="40" t="s">
        <v>665</v>
      </c>
      <c r="V1130" s="10">
        <f t="shared" si="1115"/>
        <v>0</v>
      </c>
      <c r="W1130" s="10">
        <f t="shared" si="1115"/>
        <v>0</v>
      </c>
      <c r="X1130" s="10">
        <f t="shared" si="1115"/>
        <v>0</v>
      </c>
      <c r="Y1130" s="10">
        <f t="shared" si="1115"/>
        <v>0</v>
      </c>
      <c r="AA1130" s="10">
        <f t="shared" si="1116"/>
        <v>0</v>
      </c>
      <c r="AB1130" s="10">
        <f t="shared" si="1116"/>
        <v>0</v>
      </c>
      <c r="AC1130" s="10">
        <f t="shared" si="1116"/>
        <v>0</v>
      </c>
      <c r="AD1130" s="10">
        <f t="shared" si="1116"/>
        <v>0</v>
      </c>
      <c r="AE1130" s="10">
        <f t="shared" si="1116"/>
        <v>0</v>
      </c>
      <c r="AF1130" s="10">
        <f t="shared" si="1116"/>
        <v>0</v>
      </c>
      <c r="AG1130" s="10">
        <f t="shared" si="1116"/>
        <v>0</v>
      </c>
      <c r="AH1130" s="10">
        <f t="shared" si="1116"/>
        <v>0</v>
      </c>
      <c r="AI1130" s="10">
        <f t="shared" si="1116"/>
        <v>0</v>
      </c>
      <c r="AJ1130" s="10">
        <f t="shared" si="1116"/>
        <v>0</v>
      </c>
      <c r="AK1130" s="10">
        <f t="shared" si="1117"/>
        <v>0</v>
      </c>
      <c r="AL1130" s="10">
        <f t="shared" si="1117"/>
        <v>0</v>
      </c>
      <c r="AM1130" s="10">
        <f t="shared" si="1117"/>
        <v>0</v>
      </c>
      <c r="AN1130" s="10">
        <f t="shared" si="1117"/>
        <v>0</v>
      </c>
      <c r="AO1130" s="10">
        <f t="shared" si="1117"/>
        <v>0</v>
      </c>
      <c r="AP1130" s="10">
        <f t="shared" si="1117"/>
        <v>0</v>
      </c>
      <c r="AQ1130" s="10">
        <f t="shared" si="1117"/>
        <v>0</v>
      </c>
      <c r="AR1130" s="10">
        <f t="shared" si="1117"/>
        <v>0</v>
      </c>
      <c r="AS1130" s="10">
        <f t="shared" si="1117"/>
        <v>0</v>
      </c>
      <c r="AT1130" s="10">
        <f t="shared" si="1117"/>
        <v>0</v>
      </c>
      <c r="AU1130" s="10">
        <f t="shared" si="1118"/>
        <v>0</v>
      </c>
      <c r="AV1130" s="10">
        <f t="shared" si="1118"/>
        <v>0</v>
      </c>
      <c r="AW1130" s="10">
        <f t="shared" si="1118"/>
        <v>0</v>
      </c>
      <c r="AX1130" s="10">
        <f t="shared" si="1118"/>
        <v>0</v>
      </c>
      <c r="AY1130" s="10">
        <f t="shared" si="1118"/>
        <v>0</v>
      </c>
      <c r="AZ1130" s="10">
        <f t="shared" si="1118"/>
        <v>0</v>
      </c>
      <c r="BA1130" s="10">
        <f t="shared" si="1118"/>
        <v>0</v>
      </c>
      <c r="BB1130" s="10">
        <f t="shared" si="1118"/>
        <v>0</v>
      </c>
      <c r="BC1130" s="10">
        <f t="shared" si="1118"/>
        <v>0</v>
      </c>
      <c r="BD1130" s="10">
        <f t="shared" si="1118"/>
        <v>0</v>
      </c>
      <c r="BE1130" s="10">
        <f t="shared" si="1119"/>
        <v>0</v>
      </c>
      <c r="BF1130" s="10">
        <f t="shared" si="1119"/>
        <v>0</v>
      </c>
      <c r="BG1130" s="10">
        <f t="shared" si="1119"/>
        <v>0</v>
      </c>
      <c r="BH1130" s="10">
        <f t="shared" si="1119"/>
        <v>0</v>
      </c>
      <c r="BI1130" s="10">
        <f t="shared" si="1119"/>
        <v>0</v>
      </c>
      <c r="BJ1130" s="10">
        <f t="shared" si="1119"/>
        <v>0</v>
      </c>
      <c r="BK1130" s="10">
        <f t="shared" si="1119"/>
        <v>0</v>
      </c>
      <c r="BL1130" s="10">
        <f t="shared" si="1119"/>
        <v>0</v>
      </c>
      <c r="BM1130" s="10">
        <f t="shared" si="1119"/>
        <v>0</v>
      </c>
      <c r="BN1130" s="10">
        <f t="shared" si="1119"/>
        <v>0</v>
      </c>
      <c r="BO1130" s="10">
        <f t="shared" si="1120"/>
        <v>0</v>
      </c>
      <c r="BP1130" s="10">
        <f t="shared" si="1120"/>
        <v>0</v>
      </c>
      <c r="BQ1130" s="10">
        <f t="shared" si="1120"/>
        <v>0</v>
      </c>
      <c r="BR1130" s="10">
        <f t="shared" si="1120"/>
        <v>0</v>
      </c>
      <c r="BS1130" s="10">
        <f t="shared" si="1120"/>
        <v>0</v>
      </c>
      <c r="BT1130" s="10">
        <f t="shared" si="1120"/>
        <v>0</v>
      </c>
      <c r="BU1130" s="10">
        <f t="shared" si="1120"/>
        <v>0</v>
      </c>
      <c r="BV1130" s="10">
        <f t="shared" si="1120"/>
        <v>0</v>
      </c>
      <c r="BX1130" s="10">
        <f t="shared" si="1121"/>
        <v>0</v>
      </c>
      <c r="BY1130" s="10">
        <f t="shared" si="1121"/>
        <v>0</v>
      </c>
      <c r="BZ1130" s="10">
        <f t="shared" si="1121"/>
        <v>0</v>
      </c>
      <c r="CA1130" s="10">
        <f t="shared" si="1121"/>
        <v>0</v>
      </c>
      <c r="CB1130" s="10">
        <f t="shared" si="1121"/>
        <v>0</v>
      </c>
      <c r="CC1130" s="10">
        <f t="shared" si="1121"/>
        <v>0</v>
      </c>
      <c r="CD1130" s="10">
        <f t="shared" si="1121"/>
        <v>0</v>
      </c>
      <c r="CE1130" s="10">
        <f t="shared" si="1121"/>
        <v>0</v>
      </c>
      <c r="CF1130" s="10">
        <f t="shared" si="1121"/>
        <v>0</v>
      </c>
      <c r="CG1130" s="10">
        <f t="shared" si="1121"/>
        <v>0</v>
      </c>
      <c r="CH1130" s="10">
        <f t="shared" si="1121"/>
        <v>0</v>
      </c>
      <c r="CI1130" s="10">
        <f t="shared" si="1121"/>
        <v>0</v>
      </c>
      <c r="CK1130" s="11"/>
      <c r="CM1130" s="11"/>
      <c r="CV1130" s="120"/>
      <c r="DF1130" s="11"/>
      <c r="EY1130" s="12" t="str">
        <f>IF($C1130="","",CONCATENATE(D1128," ", D1130))</f>
        <v/>
      </c>
    </row>
    <row r="1131" spans="3:155" x14ac:dyDescent="0.35">
      <c r="C1131" s="211"/>
      <c r="D1131" t="s">
        <v>1338</v>
      </c>
      <c r="H1131" s="9"/>
      <c r="I1131" s="40" t="s">
        <v>665</v>
      </c>
      <c r="V1131" s="10">
        <f t="shared" si="1115"/>
        <v>0</v>
      </c>
      <c r="W1131" s="133">
        <f t="shared" si="1115"/>
        <v>0</v>
      </c>
      <c r="X1131" s="133">
        <f t="shared" si="1115"/>
        <v>0</v>
      </c>
      <c r="Y1131" s="10">
        <f t="shared" si="1115"/>
        <v>0</v>
      </c>
      <c r="AA1131" s="10">
        <f t="shared" si="1116"/>
        <v>0</v>
      </c>
      <c r="AB1131" s="10">
        <f t="shared" si="1116"/>
        <v>0</v>
      </c>
      <c r="AC1131" s="10">
        <f t="shared" si="1116"/>
        <v>0</v>
      </c>
      <c r="AD1131" s="10">
        <f t="shared" si="1116"/>
        <v>0</v>
      </c>
      <c r="AE1131" s="10">
        <f t="shared" si="1116"/>
        <v>0</v>
      </c>
      <c r="AF1131" s="10">
        <f t="shared" si="1116"/>
        <v>0</v>
      </c>
      <c r="AG1131" s="10">
        <f t="shared" si="1116"/>
        <v>0</v>
      </c>
      <c r="AH1131" s="10">
        <f t="shared" si="1116"/>
        <v>0</v>
      </c>
      <c r="AI1131" s="10">
        <f t="shared" si="1116"/>
        <v>0</v>
      </c>
      <c r="AJ1131" s="10">
        <f t="shared" si="1116"/>
        <v>0</v>
      </c>
      <c r="AK1131" s="10">
        <f t="shared" si="1117"/>
        <v>0</v>
      </c>
      <c r="AL1131" s="10">
        <f t="shared" si="1117"/>
        <v>0</v>
      </c>
      <c r="AM1131" s="10">
        <f t="shared" si="1117"/>
        <v>0</v>
      </c>
      <c r="AN1131" s="10">
        <f t="shared" si="1117"/>
        <v>0</v>
      </c>
      <c r="AO1131" s="10">
        <f t="shared" si="1117"/>
        <v>0</v>
      </c>
      <c r="AP1131" s="10">
        <f t="shared" si="1117"/>
        <v>0</v>
      </c>
      <c r="AQ1131" s="10">
        <f t="shared" si="1117"/>
        <v>0</v>
      </c>
      <c r="AR1131" s="10">
        <f t="shared" si="1117"/>
        <v>0</v>
      </c>
      <c r="AS1131" s="10">
        <f t="shared" si="1117"/>
        <v>0</v>
      </c>
      <c r="AT1131" s="10">
        <f t="shared" si="1117"/>
        <v>0</v>
      </c>
      <c r="AU1131" s="10">
        <f t="shared" si="1118"/>
        <v>0</v>
      </c>
      <c r="AV1131" s="10">
        <f t="shared" si="1118"/>
        <v>0</v>
      </c>
      <c r="AW1131" s="10">
        <f t="shared" si="1118"/>
        <v>0</v>
      </c>
      <c r="AX1131" s="10">
        <f t="shared" si="1118"/>
        <v>0</v>
      </c>
      <c r="AY1131" s="10">
        <f t="shared" si="1118"/>
        <v>0</v>
      </c>
      <c r="AZ1131" s="10">
        <f t="shared" si="1118"/>
        <v>0</v>
      </c>
      <c r="BA1131" s="10">
        <f t="shared" si="1118"/>
        <v>0</v>
      </c>
      <c r="BB1131" s="10">
        <f t="shared" si="1118"/>
        <v>0</v>
      </c>
      <c r="BC1131" s="10">
        <f t="shared" si="1118"/>
        <v>0</v>
      </c>
      <c r="BD1131" s="10">
        <f t="shared" si="1118"/>
        <v>0</v>
      </c>
      <c r="BE1131" s="10">
        <f t="shared" si="1119"/>
        <v>0</v>
      </c>
      <c r="BF1131" s="10">
        <f t="shared" si="1119"/>
        <v>0</v>
      </c>
      <c r="BG1131" s="10">
        <f t="shared" si="1119"/>
        <v>0</v>
      </c>
      <c r="BH1131" s="10">
        <f t="shared" si="1119"/>
        <v>0</v>
      </c>
      <c r="BI1131" s="10">
        <f t="shared" si="1119"/>
        <v>0</v>
      </c>
      <c r="BJ1131" s="10">
        <f t="shared" si="1119"/>
        <v>0</v>
      </c>
      <c r="BK1131" s="10">
        <f t="shared" si="1119"/>
        <v>0</v>
      </c>
      <c r="BL1131" s="10">
        <f t="shared" si="1119"/>
        <v>0</v>
      </c>
      <c r="BM1131" s="10">
        <f t="shared" si="1119"/>
        <v>0</v>
      </c>
      <c r="BN1131" s="10">
        <f t="shared" si="1119"/>
        <v>0</v>
      </c>
      <c r="BO1131" s="10">
        <f t="shared" si="1120"/>
        <v>0</v>
      </c>
      <c r="BP1131" s="10">
        <f t="shared" si="1120"/>
        <v>0</v>
      </c>
      <c r="BQ1131" s="10">
        <f t="shared" si="1120"/>
        <v>0</v>
      </c>
      <c r="BR1131" s="10">
        <f t="shared" si="1120"/>
        <v>0</v>
      </c>
      <c r="BS1131" s="10">
        <f t="shared" si="1120"/>
        <v>0</v>
      </c>
      <c r="BT1131" s="10">
        <f t="shared" si="1120"/>
        <v>0</v>
      </c>
      <c r="BU1131" s="10">
        <f t="shared" si="1120"/>
        <v>0</v>
      </c>
      <c r="BV1131" s="10">
        <f t="shared" si="1120"/>
        <v>0</v>
      </c>
      <c r="BX1131" s="10">
        <f t="shared" si="1121"/>
        <v>0</v>
      </c>
      <c r="BY1131" s="10">
        <f t="shared" si="1121"/>
        <v>0</v>
      </c>
      <c r="BZ1131" s="10">
        <f t="shared" si="1121"/>
        <v>0</v>
      </c>
      <c r="CA1131" s="10">
        <f t="shared" si="1121"/>
        <v>0</v>
      </c>
      <c r="CB1131" s="10">
        <f t="shared" si="1121"/>
        <v>0</v>
      </c>
      <c r="CC1131" s="10">
        <f t="shared" si="1121"/>
        <v>0</v>
      </c>
      <c r="CD1131" s="10">
        <f t="shared" si="1121"/>
        <v>0</v>
      </c>
      <c r="CE1131" s="10">
        <f t="shared" si="1121"/>
        <v>0</v>
      </c>
      <c r="CF1131" s="10">
        <f t="shared" si="1121"/>
        <v>0</v>
      </c>
      <c r="CG1131" s="10">
        <f t="shared" si="1121"/>
        <v>0</v>
      </c>
      <c r="CH1131" s="10">
        <f t="shared" si="1121"/>
        <v>0</v>
      </c>
      <c r="CI1131" s="10">
        <f t="shared" si="1121"/>
        <v>0</v>
      </c>
      <c r="CK1131" s="11"/>
      <c r="CM1131" s="11"/>
      <c r="CV1131" s="120"/>
      <c r="DF1131" s="11"/>
      <c r="EY1131" s="12" t="str">
        <f>IF($C1131="","",CONCATENATE(D1128," ", D1131))</f>
        <v/>
      </c>
    </row>
    <row r="1132" spans="3:155" x14ac:dyDescent="0.35">
      <c r="C1132" s="211"/>
      <c r="D1132" s="5" t="s">
        <v>778</v>
      </c>
      <c r="G1132" s="5"/>
      <c r="H1132" s="96"/>
      <c r="I1132" s="102" t="s">
        <v>665</v>
      </c>
      <c r="V1132" s="12">
        <f>SUM(V1129:V1131)</f>
        <v>0</v>
      </c>
      <c r="W1132" s="12">
        <f>SUM(W1129:W1131)</f>
        <v>0</v>
      </c>
      <c r="X1132" s="12">
        <f>SUM(X1129:X1131)</f>
        <v>0</v>
      </c>
      <c r="Y1132" s="12">
        <f>SUM(Y1129:Y1131)</f>
        <v>0</v>
      </c>
      <c r="AA1132" s="12">
        <f t="shared" ref="AA1132:BV1132" si="1122">SUM(AA1129:AA1131)</f>
        <v>0</v>
      </c>
      <c r="AB1132" s="12">
        <f t="shared" si="1122"/>
        <v>0</v>
      </c>
      <c r="AC1132" s="12">
        <f t="shared" si="1122"/>
        <v>0</v>
      </c>
      <c r="AD1132" s="12">
        <f t="shared" si="1122"/>
        <v>0</v>
      </c>
      <c r="AE1132" s="12">
        <f t="shared" si="1122"/>
        <v>0</v>
      </c>
      <c r="AF1132" s="12">
        <f t="shared" si="1122"/>
        <v>0</v>
      </c>
      <c r="AG1132" s="12">
        <f t="shared" si="1122"/>
        <v>0</v>
      </c>
      <c r="AH1132" s="12">
        <f t="shared" si="1122"/>
        <v>0</v>
      </c>
      <c r="AI1132" s="12">
        <f t="shared" si="1122"/>
        <v>0</v>
      </c>
      <c r="AJ1132" s="12">
        <f t="shared" si="1122"/>
        <v>0</v>
      </c>
      <c r="AK1132" s="12">
        <f t="shared" si="1122"/>
        <v>0</v>
      </c>
      <c r="AL1132" s="12">
        <f t="shared" si="1122"/>
        <v>0</v>
      </c>
      <c r="AM1132" s="12">
        <f t="shared" si="1122"/>
        <v>0</v>
      </c>
      <c r="AN1132" s="12">
        <f t="shared" si="1122"/>
        <v>0</v>
      </c>
      <c r="AO1132" s="12">
        <f t="shared" si="1122"/>
        <v>0</v>
      </c>
      <c r="AP1132" s="12">
        <f t="shared" si="1122"/>
        <v>0</v>
      </c>
      <c r="AQ1132" s="12">
        <f t="shared" si="1122"/>
        <v>0</v>
      </c>
      <c r="AR1132" s="12">
        <f t="shared" si="1122"/>
        <v>0</v>
      </c>
      <c r="AS1132" s="12">
        <f t="shared" si="1122"/>
        <v>0</v>
      </c>
      <c r="AT1132" s="12">
        <f t="shared" si="1122"/>
        <v>0</v>
      </c>
      <c r="AU1132" s="12">
        <f t="shared" si="1122"/>
        <v>0</v>
      </c>
      <c r="AV1132" s="12">
        <f t="shared" si="1122"/>
        <v>0</v>
      </c>
      <c r="AW1132" s="12">
        <f t="shared" si="1122"/>
        <v>0</v>
      </c>
      <c r="AX1132" s="12">
        <f t="shared" si="1122"/>
        <v>0</v>
      </c>
      <c r="AY1132" s="12">
        <f t="shared" si="1122"/>
        <v>0</v>
      </c>
      <c r="AZ1132" s="12">
        <f t="shared" si="1122"/>
        <v>0</v>
      </c>
      <c r="BA1132" s="12">
        <f t="shared" si="1122"/>
        <v>0</v>
      </c>
      <c r="BB1132" s="12">
        <f t="shared" si="1122"/>
        <v>0</v>
      </c>
      <c r="BC1132" s="12">
        <f t="shared" si="1122"/>
        <v>0</v>
      </c>
      <c r="BD1132" s="12">
        <f t="shared" si="1122"/>
        <v>0</v>
      </c>
      <c r="BE1132" s="12">
        <f t="shared" si="1122"/>
        <v>0</v>
      </c>
      <c r="BF1132" s="12">
        <f t="shared" si="1122"/>
        <v>0</v>
      </c>
      <c r="BG1132" s="12">
        <f t="shared" si="1122"/>
        <v>0</v>
      </c>
      <c r="BH1132" s="12">
        <f t="shared" si="1122"/>
        <v>0</v>
      </c>
      <c r="BI1132" s="12">
        <f t="shared" si="1122"/>
        <v>0</v>
      </c>
      <c r="BJ1132" s="12">
        <f t="shared" si="1122"/>
        <v>0</v>
      </c>
      <c r="BK1132" s="12">
        <f t="shared" si="1122"/>
        <v>0</v>
      </c>
      <c r="BL1132" s="12">
        <f t="shared" si="1122"/>
        <v>0</v>
      </c>
      <c r="BM1132" s="12">
        <f t="shared" si="1122"/>
        <v>0</v>
      </c>
      <c r="BN1132" s="12">
        <f t="shared" si="1122"/>
        <v>0</v>
      </c>
      <c r="BO1132" s="12">
        <f t="shared" si="1122"/>
        <v>0</v>
      </c>
      <c r="BP1132" s="12">
        <f t="shared" si="1122"/>
        <v>0</v>
      </c>
      <c r="BQ1132" s="12">
        <f t="shared" si="1122"/>
        <v>0</v>
      </c>
      <c r="BR1132" s="12">
        <f t="shared" si="1122"/>
        <v>0</v>
      </c>
      <c r="BS1132" s="12">
        <f t="shared" si="1122"/>
        <v>0</v>
      </c>
      <c r="BT1132" s="12">
        <f t="shared" si="1122"/>
        <v>0</v>
      </c>
      <c r="BU1132" s="12">
        <f t="shared" si="1122"/>
        <v>0</v>
      </c>
      <c r="BV1132" s="12">
        <f t="shared" si="1122"/>
        <v>0</v>
      </c>
      <c r="BX1132" s="12">
        <f t="shared" ref="BX1132:CI1132" si="1123">SUM(BX1129:BX1131)</f>
        <v>0</v>
      </c>
      <c r="BY1132" s="12">
        <f t="shared" si="1123"/>
        <v>0</v>
      </c>
      <c r="BZ1132" s="12">
        <f t="shared" si="1123"/>
        <v>0</v>
      </c>
      <c r="CA1132" s="12">
        <f t="shared" si="1123"/>
        <v>0</v>
      </c>
      <c r="CB1132" s="12">
        <f t="shared" si="1123"/>
        <v>0</v>
      </c>
      <c r="CC1132" s="12">
        <f t="shared" si="1123"/>
        <v>0</v>
      </c>
      <c r="CD1132" s="12">
        <f t="shared" si="1123"/>
        <v>0</v>
      </c>
      <c r="CE1132" s="12">
        <f t="shared" si="1123"/>
        <v>0</v>
      </c>
      <c r="CF1132" s="12">
        <f t="shared" si="1123"/>
        <v>0</v>
      </c>
      <c r="CG1132" s="12">
        <f t="shared" si="1123"/>
        <v>0</v>
      </c>
      <c r="CH1132" s="12">
        <f t="shared" si="1123"/>
        <v>0</v>
      </c>
      <c r="CI1132" s="12">
        <f t="shared" si="1123"/>
        <v>0</v>
      </c>
      <c r="CK1132" s="11"/>
      <c r="CM1132" s="11"/>
      <c r="CV1132" s="120"/>
      <c r="DF1132" s="11"/>
      <c r="EY1132" s="12" t="str">
        <f>IF($C1132="","",CONCATENATE(D1128," ", D1132))</f>
        <v/>
      </c>
    </row>
    <row r="1133" spans="3:155" ht="6.75" customHeight="1" x14ac:dyDescent="0.35">
      <c r="C1133" s="211"/>
      <c r="D1133" s="1"/>
      <c r="CK1133" s="35"/>
      <c r="CM1133" s="35"/>
      <c r="CV1133" s="120"/>
      <c r="DF1133" s="35"/>
      <c r="EY1133" s="10" t="str">
        <f>IF($C1133="","",$D1133)</f>
        <v/>
      </c>
    </row>
    <row r="1134" spans="3:155" x14ac:dyDescent="0.35">
      <c r="C1134" s="211"/>
      <c r="D1134" s="50" t="s">
        <v>1091</v>
      </c>
      <c r="CK1134" s="11"/>
      <c r="CM1134" s="11"/>
      <c r="CV1134" s="120"/>
      <c r="DF1134" s="11"/>
      <c r="EY1134" s="10" t="str">
        <f>IF($C1134="","",$D1134)</f>
        <v/>
      </c>
    </row>
    <row r="1135" spans="3:155" x14ac:dyDescent="0.35">
      <c r="C1135" s="211"/>
      <c r="D1135" t="s">
        <v>664</v>
      </c>
      <c r="H1135" s="9"/>
      <c r="I1135" s="40" t="s">
        <v>317</v>
      </c>
      <c r="V1135" s="133">
        <f t="shared" ref="V1135:Y1137" si="1124">SUMIFS(V$883:V$902, $E$883:$E$902, $D1135)</f>
        <v>0</v>
      </c>
      <c r="W1135" s="10">
        <f t="shared" si="1124"/>
        <v>0</v>
      </c>
      <c r="X1135" s="10">
        <f t="shared" si="1124"/>
        <v>0</v>
      </c>
      <c r="Y1135" s="10">
        <f t="shared" si="1124"/>
        <v>0</v>
      </c>
      <c r="AA1135" s="10">
        <f t="shared" ref="AA1135:AJ1137" si="1125">SUMIFS(AA$883:AA$902, $E$883:$E$902, $D1135)</f>
        <v>0</v>
      </c>
      <c r="AB1135" s="10">
        <f t="shared" si="1125"/>
        <v>0</v>
      </c>
      <c r="AC1135" s="10">
        <f t="shared" si="1125"/>
        <v>0</v>
      </c>
      <c r="AD1135" s="10">
        <f t="shared" si="1125"/>
        <v>0</v>
      </c>
      <c r="AE1135" s="10">
        <f t="shared" si="1125"/>
        <v>0</v>
      </c>
      <c r="AF1135" s="10">
        <f t="shared" si="1125"/>
        <v>0</v>
      </c>
      <c r="AG1135" s="10">
        <f t="shared" si="1125"/>
        <v>0</v>
      </c>
      <c r="AH1135" s="10">
        <f t="shared" si="1125"/>
        <v>0</v>
      </c>
      <c r="AI1135" s="10">
        <f t="shared" si="1125"/>
        <v>0</v>
      </c>
      <c r="AJ1135" s="10">
        <f t="shared" si="1125"/>
        <v>0</v>
      </c>
      <c r="AK1135" s="10">
        <f t="shared" ref="AK1135:AT1137" si="1126">SUMIFS(AK$883:AK$902, $E$883:$E$902, $D1135)</f>
        <v>0</v>
      </c>
      <c r="AL1135" s="10">
        <f t="shared" si="1126"/>
        <v>0</v>
      </c>
      <c r="AM1135" s="10">
        <f t="shared" si="1126"/>
        <v>0</v>
      </c>
      <c r="AN1135" s="10">
        <f t="shared" si="1126"/>
        <v>0</v>
      </c>
      <c r="AO1135" s="10">
        <f t="shared" si="1126"/>
        <v>0</v>
      </c>
      <c r="AP1135" s="10">
        <f t="shared" si="1126"/>
        <v>0</v>
      </c>
      <c r="AQ1135" s="10">
        <f t="shared" si="1126"/>
        <v>0</v>
      </c>
      <c r="AR1135" s="10">
        <f t="shared" si="1126"/>
        <v>0</v>
      </c>
      <c r="AS1135" s="10">
        <f t="shared" si="1126"/>
        <v>0</v>
      </c>
      <c r="AT1135" s="10">
        <f t="shared" si="1126"/>
        <v>0</v>
      </c>
      <c r="AU1135" s="10">
        <f t="shared" ref="AU1135:BD1137" si="1127">SUMIFS(AU$883:AU$902, $E$883:$E$902, $D1135)</f>
        <v>0</v>
      </c>
      <c r="AV1135" s="10">
        <f t="shared" si="1127"/>
        <v>0</v>
      </c>
      <c r="AW1135" s="10">
        <f t="shared" si="1127"/>
        <v>0</v>
      </c>
      <c r="AX1135" s="10">
        <f t="shared" si="1127"/>
        <v>0</v>
      </c>
      <c r="AY1135" s="10">
        <f t="shared" si="1127"/>
        <v>0</v>
      </c>
      <c r="AZ1135" s="10">
        <f t="shared" si="1127"/>
        <v>0</v>
      </c>
      <c r="BA1135" s="10">
        <f t="shared" si="1127"/>
        <v>0</v>
      </c>
      <c r="BB1135" s="10">
        <f t="shared" si="1127"/>
        <v>0</v>
      </c>
      <c r="BC1135" s="10">
        <f t="shared" si="1127"/>
        <v>0</v>
      </c>
      <c r="BD1135" s="10">
        <f t="shared" si="1127"/>
        <v>0</v>
      </c>
      <c r="BE1135" s="10">
        <f t="shared" ref="BE1135:BN1137" si="1128">SUMIFS(BE$883:BE$902, $E$883:$E$902, $D1135)</f>
        <v>0</v>
      </c>
      <c r="BF1135" s="10">
        <f t="shared" si="1128"/>
        <v>0</v>
      </c>
      <c r="BG1135" s="10">
        <f t="shared" si="1128"/>
        <v>0</v>
      </c>
      <c r="BH1135" s="10">
        <f t="shared" si="1128"/>
        <v>0</v>
      </c>
      <c r="BI1135" s="10">
        <f t="shared" si="1128"/>
        <v>0</v>
      </c>
      <c r="BJ1135" s="10">
        <f t="shared" si="1128"/>
        <v>0</v>
      </c>
      <c r="BK1135" s="10">
        <f t="shared" si="1128"/>
        <v>0</v>
      </c>
      <c r="BL1135" s="10">
        <f t="shared" si="1128"/>
        <v>0</v>
      </c>
      <c r="BM1135" s="10">
        <f t="shared" si="1128"/>
        <v>0</v>
      </c>
      <c r="BN1135" s="10">
        <f t="shared" si="1128"/>
        <v>0</v>
      </c>
      <c r="BO1135" s="10">
        <f t="shared" ref="BO1135:BV1137" si="1129">SUMIFS(BO$883:BO$902, $E$883:$E$902, $D1135)</f>
        <v>0</v>
      </c>
      <c r="BP1135" s="10">
        <f t="shared" si="1129"/>
        <v>0</v>
      </c>
      <c r="BQ1135" s="10">
        <f t="shared" si="1129"/>
        <v>0</v>
      </c>
      <c r="BR1135" s="10">
        <f t="shared" si="1129"/>
        <v>0</v>
      </c>
      <c r="BS1135" s="10">
        <f t="shared" si="1129"/>
        <v>0</v>
      </c>
      <c r="BT1135" s="10">
        <f t="shared" si="1129"/>
        <v>0</v>
      </c>
      <c r="BU1135" s="10">
        <f t="shared" si="1129"/>
        <v>0</v>
      </c>
      <c r="BV1135" s="10">
        <f t="shared" si="1129"/>
        <v>0</v>
      </c>
      <c r="BX1135" s="10">
        <f t="shared" ref="BX1135:CI1137" si="1130">SUMIFS(BX$883:BX$902, $E$883:$E$902, $D1135)</f>
        <v>0</v>
      </c>
      <c r="BY1135" s="10">
        <f t="shared" si="1130"/>
        <v>0</v>
      </c>
      <c r="BZ1135" s="10">
        <f t="shared" si="1130"/>
        <v>0</v>
      </c>
      <c r="CA1135" s="10">
        <f t="shared" si="1130"/>
        <v>0</v>
      </c>
      <c r="CB1135" s="10">
        <f t="shared" si="1130"/>
        <v>0</v>
      </c>
      <c r="CC1135" s="10">
        <f t="shared" si="1130"/>
        <v>0</v>
      </c>
      <c r="CD1135" s="10">
        <f t="shared" si="1130"/>
        <v>0</v>
      </c>
      <c r="CE1135" s="10">
        <f t="shared" si="1130"/>
        <v>0</v>
      </c>
      <c r="CF1135" s="10">
        <f t="shared" si="1130"/>
        <v>0</v>
      </c>
      <c r="CG1135" s="10">
        <f t="shared" si="1130"/>
        <v>0</v>
      </c>
      <c r="CH1135" s="10">
        <f t="shared" si="1130"/>
        <v>0</v>
      </c>
      <c r="CI1135" s="10">
        <f t="shared" si="1130"/>
        <v>0</v>
      </c>
      <c r="CK1135" s="11"/>
      <c r="CM1135" s="11"/>
      <c r="CV1135" s="120"/>
      <c r="DF1135" s="11"/>
      <c r="EY1135" s="12" t="str">
        <f>IF($C1135="","",CONCATENATE(D1134," ", D1135))</f>
        <v/>
      </c>
    </row>
    <row r="1136" spans="3:155" x14ac:dyDescent="0.35">
      <c r="C1136" s="211"/>
      <c r="D1136" t="s">
        <v>667</v>
      </c>
      <c r="H1136" s="9"/>
      <c r="I1136" s="40" t="s">
        <v>317</v>
      </c>
      <c r="V1136" s="10">
        <f t="shared" si="1124"/>
        <v>0</v>
      </c>
      <c r="W1136" s="10">
        <f t="shared" si="1124"/>
        <v>0</v>
      </c>
      <c r="X1136" s="10">
        <f t="shared" si="1124"/>
        <v>0</v>
      </c>
      <c r="Y1136" s="10">
        <f t="shared" si="1124"/>
        <v>0</v>
      </c>
      <c r="AA1136" s="10">
        <f t="shared" si="1125"/>
        <v>0</v>
      </c>
      <c r="AB1136" s="10">
        <f t="shared" si="1125"/>
        <v>0</v>
      </c>
      <c r="AC1136" s="10">
        <f t="shared" si="1125"/>
        <v>0</v>
      </c>
      <c r="AD1136" s="10">
        <f t="shared" si="1125"/>
        <v>0</v>
      </c>
      <c r="AE1136" s="10">
        <f t="shared" si="1125"/>
        <v>0</v>
      </c>
      <c r="AF1136" s="10">
        <f t="shared" si="1125"/>
        <v>0</v>
      </c>
      <c r="AG1136" s="10">
        <f t="shared" si="1125"/>
        <v>0</v>
      </c>
      <c r="AH1136" s="10">
        <f t="shared" si="1125"/>
        <v>0</v>
      </c>
      <c r="AI1136" s="10">
        <f t="shared" si="1125"/>
        <v>0</v>
      </c>
      <c r="AJ1136" s="10">
        <f t="shared" si="1125"/>
        <v>0</v>
      </c>
      <c r="AK1136" s="10">
        <f t="shared" si="1126"/>
        <v>0</v>
      </c>
      <c r="AL1136" s="10">
        <f t="shared" si="1126"/>
        <v>0</v>
      </c>
      <c r="AM1136" s="10">
        <f t="shared" si="1126"/>
        <v>0</v>
      </c>
      <c r="AN1136" s="10">
        <f t="shared" si="1126"/>
        <v>0</v>
      </c>
      <c r="AO1136" s="10">
        <f t="shared" si="1126"/>
        <v>0</v>
      </c>
      <c r="AP1136" s="10">
        <f t="shared" si="1126"/>
        <v>0</v>
      </c>
      <c r="AQ1136" s="10">
        <f t="shared" si="1126"/>
        <v>0</v>
      </c>
      <c r="AR1136" s="10">
        <f t="shared" si="1126"/>
        <v>0</v>
      </c>
      <c r="AS1136" s="10">
        <f t="shared" si="1126"/>
        <v>0</v>
      </c>
      <c r="AT1136" s="10">
        <f t="shared" si="1126"/>
        <v>0</v>
      </c>
      <c r="AU1136" s="10">
        <f t="shared" si="1127"/>
        <v>0</v>
      </c>
      <c r="AV1136" s="10">
        <f t="shared" si="1127"/>
        <v>0</v>
      </c>
      <c r="AW1136" s="10">
        <f t="shared" si="1127"/>
        <v>0</v>
      </c>
      <c r="AX1136" s="10">
        <f t="shared" si="1127"/>
        <v>0</v>
      </c>
      <c r="AY1136" s="10">
        <f t="shared" si="1127"/>
        <v>0</v>
      </c>
      <c r="AZ1136" s="10">
        <f t="shared" si="1127"/>
        <v>0</v>
      </c>
      <c r="BA1136" s="10">
        <f t="shared" si="1127"/>
        <v>0</v>
      </c>
      <c r="BB1136" s="10">
        <f t="shared" si="1127"/>
        <v>0</v>
      </c>
      <c r="BC1136" s="10">
        <f t="shared" si="1127"/>
        <v>0</v>
      </c>
      <c r="BD1136" s="10">
        <f t="shared" si="1127"/>
        <v>0</v>
      </c>
      <c r="BE1136" s="10">
        <f t="shared" si="1128"/>
        <v>0</v>
      </c>
      <c r="BF1136" s="10">
        <f t="shared" si="1128"/>
        <v>0</v>
      </c>
      <c r="BG1136" s="10">
        <f t="shared" si="1128"/>
        <v>0</v>
      </c>
      <c r="BH1136" s="10">
        <f t="shared" si="1128"/>
        <v>0</v>
      </c>
      <c r="BI1136" s="10">
        <f t="shared" si="1128"/>
        <v>0</v>
      </c>
      <c r="BJ1136" s="10">
        <f t="shared" si="1128"/>
        <v>0</v>
      </c>
      <c r="BK1136" s="10">
        <f t="shared" si="1128"/>
        <v>0</v>
      </c>
      <c r="BL1136" s="10">
        <f t="shared" si="1128"/>
        <v>0</v>
      </c>
      <c r="BM1136" s="10">
        <f t="shared" si="1128"/>
        <v>0</v>
      </c>
      <c r="BN1136" s="10">
        <f t="shared" si="1128"/>
        <v>0</v>
      </c>
      <c r="BO1136" s="10">
        <f t="shared" si="1129"/>
        <v>0</v>
      </c>
      <c r="BP1136" s="10">
        <f t="shared" si="1129"/>
        <v>0</v>
      </c>
      <c r="BQ1136" s="10">
        <f t="shared" si="1129"/>
        <v>0</v>
      </c>
      <c r="BR1136" s="10">
        <f t="shared" si="1129"/>
        <v>0</v>
      </c>
      <c r="BS1136" s="10">
        <f t="shared" si="1129"/>
        <v>0</v>
      </c>
      <c r="BT1136" s="10">
        <f t="shared" si="1129"/>
        <v>0</v>
      </c>
      <c r="BU1136" s="10">
        <f t="shared" si="1129"/>
        <v>0</v>
      </c>
      <c r="BV1136" s="10">
        <f t="shared" si="1129"/>
        <v>0</v>
      </c>
      <c r="BX1136" s="10">
        <f t="shared" si="1130"/>
        <v>0</v>
      </c>
      <c r="BY1136" s="10">
        <f t="shared" si="1130"/>
        <v>0</v>
      </c>
      <c r="BZ1136" s="10">
        <f t="shared" si="1130"/>
        <v>0</v>
      </c>
      <c r="CA1136" s="10">
        <f t="shared" si="1130"/>
        <v>0</v>
      </c>
      <c r="CB1136" s="10">
        <f t="shared" si="1130"/>
        <v>0</v>
      </c>
      <c r="CC1136" s="10">
        <f t="shared" si="1130"/>
        <v>0</v>
      </c>
      <c r="CD1136" s="10">
        <f t="shared" si="1130"/>
        <v>0</v>
      </c>
      <c r="CE1136" s="10">
        <f t="shared" si="1130"/>
        <v>0</v>
      </c>
      <c r="CF1136" s="10">
        <f t="shared" si="1130"/>
        <v>0</v>
      </c>
      <c r="CG1136" s="10">
        <f t="shared" si="1130"/>
        <v>0</v>
      </c>
      <c r="CH1136" s="10">
        <f t="shared" si="1130"/>
        <v>0</v>
      </c>
      <c r="CI1136" s="10">
        <f t="shared" si="1130"/>
        <v>0</v>
      </c>
      <c r="CK1136" s="11"/>
      <c r="CM1136" s="11"/>
      <c r="CV1136" s="120"/>
      <c r="DF1136" s="11"/>
      <c r="EY1136" s="12" t="str">
        <f>IF($C1136="","",CONCATENATE(D1134," ", D1136))</f>
        <v/>
      </c>
    </row>
    <row r="1137" spans="3:155" x14ac:dyDescent="0.35">
      <c r="C1137" s="211"/>
      <c r="D1137" t="s">
        <v>1338</v>
      </c>
      <c r="H1137" s="9"/>
      <c r="I1137" s="40" t="s">
        <v>317</v>
      </c>
      <c r="V1137" s="10">
        <f t="shared" si="1124"/>
        <v>0</v>
      </c>
      <c r="W1137" s="10">
        <f t="shared" si="1124"/>
        <v>0</v>
      </c>
      <c r="X1137" s="133">
        <f t="shared" si="1124"/>
        <v>0</v>
      </c>
      <c r="Y1137" s="133">
        <f t="shared" si="1124"/>
        <v>0</v>
      </c>
      <c r="AA1137" s="10">
        <f t="shared" si="1125"/>
        <v>0</v>
      </c>
      <c r="AB1137" s="10">
        <f t="shared" si="1125"/>
        <v>0</v>
      </c>
      <c r="AC1137" s="10">
        <f t="shared" si="1125"/>
        <v>0</v>
      </c>
      <c r="AD1137" s="10">
        <f t="shared" si="1125"/>
        <v>0</v>
      </c>
      <c r="AE1137" s="10">
        <f t="shared" si="1125"/>
        <v>0</v>
      </c>
      <c r="AF1137" s="10">
        <f t="shared" si="1125"/>
        <v>0</v>
      </c>
      <c r="AG1137" s="10">
        <f t="shared" si="1125"/>
        <v>0</v>
      </c>
      <c r="AH1137" s="10">
        <f t="shared" si="1125"/>
        <v>0</v>
      </c>
      <c r="AI1137" s="10">
        <f t="shared" si="1125"/>
        <v>0</v>
      </c>
      <c r="AJ1137" s="10">
        <f t="shared" si="1125"/>
        <v>0</v>
      </c>
      <c r="AK1137" s="10">
        <f t="shared" si="1126"/>
        <v>0</v>
      </c>
      <c r="AL1137" s="10">
        <f t="shared" si="1126"/>
        <v>0</v>
      </c>
      <c r="AM1137" s="10">
        <f t="shared" si="1126"/>
        <v>0</v>
      </c>
      <c r="AN1137" s="10">
        <f t="shared" si="1126"/>
        <v>0</v>
      </c>
      <c r="AO1137" s="10">
        <f t="shared" si="1126"/>
        <v>0</v>
      </c>
      <c r="AP1137" s="10">
        <f t="shared" si="1126"/>
        <v>0</v>
      </c>
      <c r="AQ1137" s="10">
        <f t="shared" si="1126"/>
        <v>0</v>
      </c>
      <c r="AR1137" s="10">
        <f t="shared" si="1126"/>
        <v>0</v>
      </c>
      <c r="AS1137" s="10">
        <f t="shared" si="1126"/>
        <v>0</v>
      </c>
      <c r="AT1137" s="10">
        <f t="shared" si="1126"/>
        <v>0</v>
      </c>
      <c r="AU1137" s="10">
        <f t="shared" si="1127"/>
        <v>0</v>
      </c>
      <c r="AV1137" s="10">
        <f t="shared" si="1127"/>
        <v>0</v>
      </c>
      <c r="AW1137" s="10">
        <f t="shared" si="1127"/>
        <v>0</v>
      </c>
      <c r="AX1137" s="10">
        <f t="shared" si="1127"/>
        <v>0</v>
      </c>
      <c r="AY1137" s="10">
        <f t="shared" si="1127"/>
        <v>0</v>
      </c>
      <c r="AZ1137" s="10">
        <f t="shared" si="1127"/>
        <v>0</v>
      </c>
      <c r="BA1137" s="10">
        <f t="shared" si="1127"/>
        <v>0</v>
      </c>
      <c r="BB1137" s="10">
        <f t="shared" si="1127"/>
        <v>0</v>
      </c>
      <c r="BC1137" s="10">
        <f t="shared" si="1127"/>
        <v>0</v>
      </c>
      <c r="BD1137" s="10">
        <f t="shared" si="1127"/>
        <v>0</v>
      </c>
      <c r="BE1137" s="10">
        <f t="shared" si="1128"/>
        <v>0</v>
      </c>
      <c r="BF1137" s="10">
        <f t="shared" si="1128"/>
        <v>0</v>
      </c>
      <c r="BG1137" s="10">
        <f t="shared" si="1128"/>
        <v>0</v>
      </c>
      <c r="BH1137" s="10">
        <f t="shared" si="1128"/>
        <v>0</v>
      </c>
      <c r="BI1137" s="10">
        <f t="shared" si="1128"/>
        <v>0</v>
      </c>
      <c r="BJ1137" s="10">
        <f t="shared" si="1128"/>
        <v>0</v>
      </c>
      <c r="BK1137" s="10">
        <f t="shared" si="1128"/>
        <v>0</v>
      </c>
      <c r="BL1137" s="10">
        <f t="shared" si="1128"/>
        <v>0</v>
      </c>
      <c r="BM1137" s="10">
        <f t="shared" si="1128"/>
        <v>0</v>
      </c>
      <c r="BN1137" s="10">
        <f t="shared" si="1128"/>
        <v>0</v>
      </c>
      <c r="BO1137" s="10">
        <f t="shared" si="1129"/>
        <v>0</v>
      </c>
      <c r="BP1137" s="10">
        <f t="shared" si="1129"/>
        <v>0</v>
      </c>
      <c r="BQ1137" s="10">
        <f t="shared" si="1129"/>
        <v>0</v>
      </c>
      <c r="BR1137" s="10">
        <f t="shared" si="1129"/>
        <v>0</v>
      </c>
      <c r="BS1137" s="10">
        <f t="shared" si="1129"/>
        <v>0</v>
      </c>
      <c r="BT1137" s="10">
        <f t="shared" si="1129"/>
        <v>0</v>
      </c>
      <c r="BU1137" s="10">
        <f t="shared" si="1129"/>
        <v>0</v>
      </c>
      <c r="BV1137" s="10">
        <f t="shared" si="1129"/>
        <v>0</v>
      </c>
      <c r="BX1137" s="10">
        <f t="shared" si="1130"/>
        <v>0</v>
      </c>
      <c r="BY1137" s="10">
        <f t="shared" si="1130"/>
        <v>0</v>
      </c>
      <c r="BZ1137" s="10">
        <f t="shared" si="1130"/>
        <v>0</v>
      </c>
      <c r="CA1137" s="10">
        <f t="shared" si="1130"/>
        <v>0</v>
      </c>
      <c r="CB1137" s="10">
        <f t="shared" si="1130"/>
        <v>0</v>
      </c>
      <c r="CC1137" s="10">
        <f t="shared" si="1130"/>
        <v>0</v>
      </c>
      <c r="CD1137" s="10">
        <f t="shared" si="1130"/>
        <v>0</v>
      </c>
      <c r="CE1137" s="10">
        <f t="shared" si="1130"/>
        <v>0</v>
      </c>
      <c r="CF1137" s="10">
        <f t="shared" si="1130"/>
        <v>0</v>
      </c>
      <c r="CG1137" s="10">
        <f t="shared" si="1130"/>
        <v>0</v>
      </c>
      <c r="CH1137" s="10">
        <f t="shared" si="1130"/>
        <v>0</v>
      </c>
      <c r="CI1137" s="10">
        <f t="shared" si="1130"/>
        <v>0</v>
      </c>
      <c r="CK1137" s="11"/>
      <c r="CM1137" s="11"/>
      <c r="CV1137" s="120"/>
      <c r="DF1137" s="11"/>
      <c r="EY1137" s="12" t="str">
        <f>IF($C1137="","",CONCATENATE(D1134," ", D1137))</f>
        <v/>
      </c>
    </row>
    <row r="1138" spans="3:155" x14ac:dyDescent="0.35">
      <c r="C1138" s="211"/>
      <c r="D1138" s="5" t="s">
        <v>778</v>
      </c>
      <c r="G1138" s="5"/>
      <c r="H1138" s="96"/>
      <c r="I1138" s="102" t="s">
        <v>317</v>
      </c>
      <c r="V1138" s="12">
        <f>SUM(V1135:V1137)</f>
        <v>0</v>
      </c>
      <c r="W1138" s="12">
        <f>SUM(W1135:W1137)</f>
        <v>0</v>
      </c>
      <c r="X1138" s="12">
        <f>SUM(X1135:X1137)</f>
        <v>0</v>
      </c>
      <c r="Y1138" s="12">
        <f>SUM(Y1135:Y1137)</f>
        <v>0</v>
      </c>
      <c r="AA1138" s="12">
        <f t="shared" ref="AA1138:BV1138" si="1131">SUM(AA1135:AA1137)</f>
        <v>0</v>
      </c>
      <c r="AB1138" s="12">
        <f t="shared" si="1131"/>
        <v>0</v>
      </c>
      <c r="AC1138" s="12">
        <f t="shared" si="1131"/>
        <v>0</v>
      </c>
      <c r="AD1138" s="12">
        <f t="shared" si="1131"/>
        <v>0</v>
      </c>
      <c r="AE1138" s="12">
        <f t="shared" si="1131"/>
        <v>0</v>
      </c>
      <c r="AF1138" s="12">
        <f t="shared" si="1131"/>
        <v>0</v>
      </c>
      <c r="AG1138" s="12">
        <f t="shared" si="1131"/>
        <v>0</v>
      </c>
      <c r="AH1138" s="12">
        <f t="shared" si="1131"/>
        <v>0</v>
      </c>
      <c r="AI1138" s="12">
        <f t="shared" si="1131"/>
        <v>0</v>
      </c>
      <c r="AJ1138" s="12">
        <f t="shared" si="1131"/>
        <v>0</v>
      </c>
      <c r="AK1138" s="12">
        <f t="shared" si="1131"/>
        <v>0</v>
      </c>
      <c r="AL1138" s="12">
        <f t="shared" si="1131"/>
        <v>0</v>
      </c>
      <c r="AM1138" s="12">
        <f t="shared" si="1131"/>
        <v>0</v>
      </c>
      <c r="AN1138" s="12">
        <f t="shared" si="1131"/>
        <v>0</v>
      </c>
      <c r="AO1138" s="12">
        <f t="shared" si="1131"/>
        <v>0</v>
      </c>
      <c r="AP1138" s="12">
        <f t="shared" si="1131"/>
        <v>0</v>
      </c>
      <c r="AQ1138" s="12">
        <f t="shared" si="1131"/>
        <v>0</v>
      </c>
      <c r="AR1138" s="12">
        <f t="shared" si="1131"/>
        <v>0</v>
      </c>
      <c r="AS1138" s="12">
        <f t="shared" si="1131"/>
        <v>0</v>
      </c>
      <c r="AT1138" s="12">
        <f t="shared" si="1131"/>
        <v>0</v>
      </c>
      <c r="AU1138" s="12">
        <f t="shared" si="1131"/>
        <v>0</v>
      </c>
      <c r="AV1138" s="12">
        <f t="shared" si="1131"/>
        <v>0</v>
      </c>
      <c r="AW1138" s="12">
        <f t="shared" si="1131"/>
        <v>0</v>
      </c>
      <c r="AX1138" s="12">
        <f t="shared" si="1131"/>
        <v>0</v>
      </c>
      <c r="AY1138" s="12">
        <f t="shared" si="1131"/>
        <v>0</v>
      </c>
      <c r="AZ1138" s="12">
        <f t="shared" si="1131"/>
        <v>0</v>
      </c>
      <c r="BA1138" s="12">
        <f t="shared" si="1131"/>
        <v>0</v>
      </c>
      <c r="BB1138" s="12">
        <f t="shared" si="1131"/>
        <v>0</v>
      </c>
      <c r="BC1138" s="12">
        <f t="shared" si="1131"/>
        <v>0</v>
      </c>
      <c r="BD1138" s="12">
        <f t="shared" si="1131"/>
        <v>0</v>
      </c>
      <c r="BE1138" s="12">
        <f t="shared" si="1131"/>
        <v>0</v>
      </c>
      <c r="BF1138" s="12">
        <f t="shared" si="1131"/>
        <v>0</v>
      </c>
      <c r="BG1138" s="12">
        <f t="shared" si="1131"/>
        <v>0</v>
      </c>
      <c r="BH1138" s="12">
        <f t="shared" si="1131"/>
        <v>0</v>
      </c>
      <c r="BI1138" s="12">
        <f t="shared" si="1131"/>
        <v>0</v>
      </c>
      <c r="BJ1138" s="12">
        <f t="shared" si="1131"/>
        <v>0</v>
      </c>
      <c r="BK1138" s="12">
        <f t="shared" si="1131"/>
        <v>0</v>
      </c>
      <c r="BL1138" s="12">
        <f t="shared" si="1131"/>
        <v>0</v>
      </c>
      <c r="BM1138" s="12">
        <f t="shared" si="1131"/>
        <v>0</v>
      </c>
      <c r="BN1138" s="12">
        <f t="shared" si="1131"/>
        <v>0</v>
      </c>
      <c r="BO1138" s="12">
        <f t="shared" si="1131"/>
        <v>0</v>
      </c>
      <c r="BP1138" s="12">
        <f t="shared" si="1131"/>
        <v>0</v>
      </c>
      <c r="BQ1138" s="12">
        <f t="shared" si="1131"/>
        <v>0</v>
      </c>
      <c r="BR1138" s="12">
        <f t="shared" si="1131"/>
        <v>0</v>
      </c>
      <c r="BS1138" s="12">
        <f t="shared" si="1131"/>
        <v>0</v>
      </c>
      <c r="BT1138" s="12">
        <f t="shared" si="1131"/>
        <v>0</v>
      </c>
      <c r="BU1138" s="12">
        <f t="shared" si="1131"/>
        <v>0</v>
      </c>
      <c r="BV1138" s="12">
        <f t="shared" si="1131"/>
        <v>0</v>
      </c>
      <c r="BX1138" s="12">
        <f t="shared" ref="BX1138:CI1138" si="1132">SUM(BX1135:BX1137)</f>
        <v>0</v>
      </c>
      <c r="BY1138" s="12">
        <f t="shared" si="1132"/>
        <v>0</v>
      </c>
      <c r="BZ1138" s="12">
        <f t="shared" si="1132"/>
        <v>0</v>
      </c>
      <c r="CA1138" s="12">
        <f t="shared" si="1132"/>
        <v>0</v>
      </c>
      <c r="CB1138" s="12">
        <f t="shared" si="1132"/>
        <v>0</v>
      </c>
      <c r="CC1138" s="12">
        <f t="shared" si="1132"/>
        <v>0</v>
      </c>
      <c r="CD1138" s="12">
        <f t="shared" si="1132"/>
        <v>0</v>
      </c>
      <c r="CE1138" s="12">
        <f t="shared" si="1132"/>
        <v>0</v>
      </c>
      <c r="CF1138" s="12">
        <f t="shared" si="1132"/>
        <v>0</v>
      </c>
      <c r="CG1138" s="12">
        <f t="shared" si="1132"/>
        <v>0</v>
      </c>
      <c r="CH1138" s="12">
        <f t="shared" si="1132"/>
        <v>0</v>
      </c>
      <c r="CI1138" s="12">
        <f t="shared" si="1132"/>
        <v>0</v>
      </c>
      <c r="CK1138" s="11"/>
      <c r="CM1138" s="11"/>
      <c r="DF1138" s="11"/>
      <c r="EY1138" s="12" t="str">
        <f>IF($C1138="","",CONCATENATE(D1134," ", D1138))</f>
        <v/>
      </c>
    </row>
    <row r="1139" spans="3:155" ht="6.75" customHeight="1" x14ac:dyDescent="0.35">
      <c r="C1139" s="211"/>
      <c r="D1139" s="1"/>
      <c r="CK1139" s="35"/>
      <c r="CM1139" s="35"/>
      <c r="CV1139" s="120"/>
      <c r="DF1139" s="35"/>
      <c r="EY1139" s="10" t="str">
        <f>IF($C1139="","",$D1139)</f>
        <v/>
      </c>
    </row>
    <row r="1140" spans="3:155" x14ac:dyDescent="0.35">
      <c r="C1140" s="211"/>
      <c r="D1140" s="50" t="s">
        <v>1344</v>
      </c>
      <c r="CK1140" s="11"/>
      <c r="CM1140" s="11"/>
      <c r="CV1140" s="120"/>
      <c r="DF1140" s="11"/>
      <c r="EY1140" s="10" t="str">
        <f>IF($C1140="","",$D1140)</f>
        <v/>
      </c>
    </row>
    <row r="1141" spans="3:155" x14ac:dyDescent="0.35">
      <c r="C1141" s="211"/>
      <c r="D1141" t="s">
        <v>664</v>
      </c>
      <c r="H1141" s="9"/>
      <c r="I1141" s="40" t="s">
        <v>317</v>
      </c>
      <c r="V1141" s="106"/>
      <c r="W1141" s="10">
        <f t="shared" ref="W1141:Y1143" si="1133">SUMIFS(W$1069:W$1088, $E$1069:$E$1088, $D1141)</f>
        <v>0</v>
      </c>
      <c r="X1141" s="10">
        <f t="shared" si="1133"/>
        <v>0</v>
      </c>
      <c r="Y1141" s="10">
        <f t="shared" si="1133"/>
        <v>0</v>
      </c>
      <c r="AA1141" s="10">
        <f t="shared" ref="AA1141:AJ1143" si="1134">SUMIFS(AA$1069:AA$1088, $E$1069:$E$1088, $D1141)</f>
        <v>0</v>
      </c>
      <c r="AB1141" s="10">
        <f t="shared" si="1134"/>
        <v>0</v>
      </c>
      <c r="AC1141" s="10">
        <f t="shared" si="1134"/>
        <v>0</v>
      </c>
      <c r="AD1141" s="10">
        <f t="shared" si="1134"/>
        <v>0</v>
      </c>
      <c r="AE1141" s="10">
        <f t="shared" si="1134"/>
        <v>0</v>
      </c>
      <c r="AF1141" s="10">
        <f t="shared" si="1134"/>
        <v>0</v>
      </c>
      <c r="AG1141" s="10">
        <f t="shared" si="1134"/>
        <v>0</v>
      </c>
      <c r="AH1141" s="10">
        <f t="shared" si="1134"/>
        <v>0</v>
      </c>
      <c r="AI1141" s="10">
        <f t="shared" si="1134"/>
        <v>0</v>
      </c>
      <c r="AJ1141" s="10">
        <f t="shared" si="1134"/>
        <v>0</v>
      </c>
      <c r="AK1141" s="10">
        <f t="shared" ref="AK1141:AT1143" si="1135">SUMIFS(AK$1069:AK$1088, $E$1069:$E$1088, $D1141)</f>
        <v>0</v>
      </c>
      <c r="AL1141" s="10">
        <f t="shared" si="1135"/>
        <v>0</v>
      </c>
      <c r="AM1141" s="10">
        <f t="shared" si="1135"/>
        <v>0</v>
      </c>
      <c r="AN1141" s="10">
        <f t="shared" si="1135"/>
        <v>0</v>
      </c>
      <c r="AO1141" s="10">
        <f t="shared" si="1135"/>
        <v>0</v>
      </c>
      <c r="AP1141" s="10">
        <f t="shared" si="1135"/>
        <v>0</v>
      </c>
      <c r="AQ1141" s="10">
        <f t="shared" si="1135"/>
        <v>0</v>
      </c>
      <c r="AR1141" s="10">
        <f t="shared" si="1135"/>
        <v>0</v>
      </c>
      <c r="AS1141" s="10">
        <f t="shared" si="1135"/>
        <v>0</v>
      </c>
      <c r="AT1141" s="10">
        <f t="shared" si="1135"/>
        <v>0</v>
      </c>
      <c r="AU1141" s="10">
        <f t="shared" ref="AU1141:BD1143" si="1136">SUMIFS(AU$1069:AU$1088, $E$1069:$E$1088, $D1141)</f>
        <v>0</v>
      </c>
      <c r="AV1141" s="10">
        <f t="shared" si="1136"/>
        <v>0</v>
      </c>
      <c r="AW1141" s="10">
        <f t="shared" si="1136"/>
        <v>0</v>
      </c>
      <c r="AX1141" s="10">
        <f t="shared" si="1136"/>
        <v>0</v>
      </c>
      <c r="AY1141" s="10">
        <f t="shared" si="1136"/>
        <v>0</v>
      </c>
      <c r="AZ1141" s="10">
        <f t="shared" si="1136"/>
        <v>0</v>
      </c>
      <c r="BA1141" s="10">
        <f t="shared" si="1136"/>
        <v>0</v>
      </c>
      <c r="BB1141" s="10">
        <f t="shared" si="1136"/>
        <v>0</v>
      </c>
      <c r="BC1141" s="10">
        <f t="shared" si="1136"/>
        <v>0</v>
      </c>
      <c r="BD1141" s="10">
        <f t="shared" si="1136"/>
        <v>0</v>
      </c>
      <c r="BE1141" s="10">
        <f t="shared" ref="BE1141:BN1143" si="1137">SUMIFS(BE$1069:BE$1088, $E$1069:$E$1088, $D1141)</f>
        <v>0</v>
      </c>
      <c r="BF1141" s="10">
        <f t="shared" si="1137"/>
        <v>0</v>
      </c>
      <c r="BG1141" s="10">
        <f t="shared" si="1137"/>
        <v>0</v>
      </c>
      <c r="BH1141" s="10">
        <f t="shared" si="1137"/>
        <v>0</v>
      </c>
      <c r="BI1141" s="10">
        <f t="shared" si="1137"/>
        <v>0</v>
      </c>
      <c r="BJ1141" s="10">
        <f t="shared" si="1137"/>
        <v>0</v>
      </c>
      <c r="BK1141" s="10">
        <f t="shared" si="1137"/>
        <v>0</v>
      </c>
      <c r="BL1141" s="10">
        <f t="shared" si="1137"/>
        <v>0</v>
      </c>
      <c r="BM1141" s="10">
        <f t="shared" si="1137"/>
        <v>0</v>
      </c>
      <c r="BN1141" s="10">
        <f t="shared" si="1137"/>
        <v>0</v>
      </c>
      <c r="BO1141" s="10">
        <f t="shared" ref="BO1141:BV1143" si="1138">SUMIFS(BO$1069:BO$1088, $E$1069:$E$1088, $D1141)</f>
        <v>0</v>
      </c>
      <c r="BP1141" s="10">
        <f t="shared" si="1138"/>
        <v>0</v>
      </c>
      <c r="BQ1141" s="10">
        <f t="shared" si="1138"/>
        <v>0</v>
      </c>
      <c r="BR1141" s="10">
        <f t="shared" si="1138"/>
        <v>0</v>
      </c>
      <c r="BS1141" s="10">
        <f t="shared" si="1138"/>
        <v>0</v>
      </c>
      <c r="BT1141" s="10">
        <f t="shared" si="1138"/>
        <v>0</v>
      </c>
      <c r="BU1141" s="10">
        <f t="shared" si="1138"/>
        <v>0</v>
      </c>
      <c r="BV1141" s="10">
        <f t="shared" si="1138"/>
        <v>0</v>
      </c>
      <c r="BX1141" s="106"/>
      <c r="BY1141" s="10">
        <f t="shared" ref="BY1141:CA1143" si="1139">SUMIFS(BY$1069:BY$1088, $E$1069:$E$1088, $D1141)</f>
        <v>0</v>
      </c>
      <c r="BZ1141" s="10">
        <f t="shared" si="1139"/>
        <v>0</v>
      </c>
      <c r="CA1141" s="10">
        <f t="shared" si="1139"/>
        <v>0</v>
      </c>
      <c r="CB1141" s="106"/>
      <c r="CC1141" s="106"/>
      <c r="CD1141" s="106"/>
      <c r="CE1141" s="106"/>
      <c r="CF1141" s="106"/>
      <c r="CG1141" s="106"/>
      <c r="CH1141" s="106"/>
      <c r="CI1141" s="106"/>
      <c r="CK1141" s="11"/>
      <c r="CM1141" s="11"/>
      <c r="CV1141" s="120"/>
      <c r="DF1141" s="11"/>
      <c r="EY1141" s="12" t="str">
        <f>IF($C1141="","",CONCATENATE(D1140," ", D1141))</f>
        <v/>
      </c>
    </row>
    <row r="1142" spans="3:155" x14ac:dyDescent="0.35">
      <c r="C1142" s="211"/>
      <c r="D1142" t="s">
        <v>667</v>
      </c>
      <c r="H1142" s="9"/>
      <c r="I1142" s="40" t="s">
        <v>317</v>
      </c>
      <c r="V1142" s="106"/>
      <c r="W1142" s="10">
        <f t="shared" si="1133"/>
        <v>0</v>
      </c>
      <c r="X1142" s="10">
        <f t="shared" si="1133"/>
        <v>0</v>
      </c>
      <c r="Y1142" s="10">
        <f t="shared" si="1133"/>
        <v>0</v>
      </c>
      <c r="AA1142" s="10">
        <f t="shared" si="1134"/>
        <v>0</v>
      </c>
      <c r="AB1142" s="10">
        <f t="shared" si="1134"/>
        <v>0</v>
      </c>
      <c r="AC1142" s="10">
        <f t="shared" si="1134"/>
        <v>0</v>
      </c>
      <c r="AD1142" s="10">
        <f t="shared" si="1134"/>
        <v>0</v>
      </c>
      <c r="AE1142" s="10">
        <f t="shared" si="1134"/>
        <v>0</v>
      </c>
      <c r="AF1142" s="10">
        <f t="shared" si="1134"/>
        <v>0</v>
      </c>
      <c r="AG1142" s="10">
        <f t="shared" si="1134"/>
        <v>0</v>
      </c>
      <c r="AH1142" s="10">
        <f t="shared" si="1134"/>
        <v>0</v>
      </c>
      <c r="AI1142" s="10">
        <f t="shared" si="1134"/>
        <v>0</v>
      </c>
      <c r="AJ1142" s="10">
        <f t="shared" si="1134"/>
        <v>0</v>
      </c>
      <c r="AK1142" s="10">
        <f t="shared" si="1135"/>
        <v>0</v>
      </c>
      <c r="AL1142" s="10">
        <f t="shared" si="1135"/>
        <v>0</v>
      </c>
      <c r="AM1142" s="10">
        <f t="shared" si="1135"/>
        <v>0</v>
      </c>
      <c r="AN1142" s="10">
        <f t="shared" si="1135"/>
        <v>0</v>
      </c>
      <c r="AO1142" s="10">
        <f t="shared" si="1135"/>
        <v>0</v>
      </c>
      <c r="AP1142" s="10">
        <f t="shared" si="1135"/>
        <v>0</v>
      </c>
      <c r="AQ1142" s="10">
        <f t="shared" si="1135"/>
        <v>0</v>
      </c>
      <c r="AR1142" s="10">
        <f t="shared" si="1135"/>
        <v>0</v>
      </c>
      <c r="AS1142" s="10">
        <f t="shared" si="1135"/>
        <v>0</v>
      </c>
      <c r="AT1142" s="10">
        <f t="shared" si="1135"/>
        <v>0</v>
      </c>
      <c r="AU1142" s="10">
        <f t="shared" si="1136"/>
        <v>0</v>
      </c>
      <c r="AV1142" s="10">
        <f t="shared" si="1136"/>
        <v>0</v>
      </c>
      <c r="AW1142" s="10">
        <f t="shared" si="1136"/>
        <v>0</v>
      </c>
      <c r="AX1142" s="10">
        <f t="shared" si="1136"/>
        <v>0</v>
      </c>
      <c r="AY1142" s="10">
        <f t="shared" si="1136"/>
        <v>0</v>
      </c>
      <c r="AZ1142" s="10">
        <f t="shared" si="1136"/>
        <v>0</v>
      </c>
      <c r="BA1142" s="10">
        <f t="shared" si="1136"/>
        <v>0</v>
      </c>
      <c r="BB1142" s="10">
        <f t="shared" si="1136"/>
        <v>0</v>
      </c>
      <c r="BC1142" s="10">
        <f t="shared" si="1136"/>
        <v>0</v>
      </c>
      <c r="BD1142" s="10">
        <f t="shared" si="1136"/>
        <v>0</v>
      </c>
      <c r="BE1142" s="10">
        <f t="shared" si="1137"/>
        <v>0</v>
      </c>
      <c r="BF1142" s="10">
        <f t="shared" si="1137"/>
        <v>0</v>
      </c>
      <c r="BG1142" s="10">
        <f t="shared" si="1137"/>
        <v>0</v>
      </c>
      <c r="BH1142" s="10">
        <f t="shared" si="1137"/>
        <v>0</v>
      </c>
      <c r="BI1142" s="10">
        <f t="shared" si="1137"/>
        <v>0</v>
      </c>
      <c r="BJ1142" s="10">
        <f t="shared" si="1137"/>
        <v>0</v>
      </c>
      <c r="BK1142" s="10">
        <f t="shared" si="1137"/>
        <v>0</v>
      </c>
      <c r="BL1142" s="10">
        <f t="shared" si="1137"/>
        <v>0</v>
      </c>
      <c r="BM1142" s="10">
        <f t="shared" si="1137"/>
        <v>0</v>
      </c>
      <c r="BN1142" s="10">
        <f t="shared" si="1137"/>
        <v>0</v>
      </c>
      <c r="BO1142" s="10">
        <f t="shared" si="1138"/>
        <v>0</v>
      </c>
      <c r="BP1142" s="10">
        <f t="shared" si="1138"/>
        <v>0</v>
      </c>
      <c r="BQ1142" s="10">
        <f t="shared" si="1138"/>
        <v>0</v>
      </c>
      <c r="BR1142" s="10">
        <f t="shared" si="1138"/>
        <v>0</v>
      </c>
      <c r="BS1142" s="10">
        <f t="shared" si="1138"/>
        <v>0</v>
      </c>
      <c r="BT1142" s="10">
        <f t="shared" si="1138"/>
        <v>0</v>
      </c>
      <c r="BU1142" s="10">
        <f t="shared" si="1138"/>
        <v>0</v>
      </c>
      <c r="BV1142" s="10">
        <f t="shared" si="1138"/>
        <v>0</v>
      </c>
      <c r="BX1142" s="106"/>
      <c r="BY1142" s="10">
        <f t="shared" si="1139"/>
        <v>0</v>
      </c>
      <c r="BZ1142" s="10">
        <f t="shared" si="1139"/>
        <v>0</v>
      </c>
      <c r="CA1142" s="10">
        <f t="shared" si="1139"/>
        <v>0</v>
      </c>
      <c r="CB1142" s="106"/>
      <c r="CC1142" s="106"/>
      <c r="CD1142" s="106"/>
      <c r="CE1142" s="106"/>
      <c r="CF1142" s="106"/>
      <c r="CG1142" s="106"/>
      <c r="CH1142" s="106"/>
      <c r="CI1142" s="106"/>
      <c r="CK1142" s="11"/>
      <c r="CM1142" s="11"/>
      <c r="CV1142" s="120"/>
      <c r="DF1142" s="11"/>
      <c r="EY1142" s="12" t="str">
        <f>IF($C1142="","",CONCATENATE(D1140," ", D1142))</f>
        <v/>
      </c>
    </row>
    <row r="1143" spans="3:155" x14ac:dyDescent="0.35">
      <c r="C1143" s="211"/>
      <c r="D1143" t="s">
        <v>1338</v>
      </c>
      <c r="H1143" s="9"/>
      <c r="I1143" s="40" t="s">
        <v>317</v>
      </c>
      <c r="V1143" s="106"/>
      <c r="W1143" s="10">
        <f t="shared" si="1133"/>
        <v>0</v>
      </c>
      <c r="X1143" s="10">
        <f t="shared" si="1133"/>
        <v>0</v>
      </c>
      <c r="Y1143" s="10">
        <f t="shared" si="1133"/>
        <v>0</v>
      </c>
      <c r="AA1143" s="10">
        <f t="shared" si="1134"/>
        <v>0</v>
      </c>
      <c r="AB1143" s="10">
        <f t="shared" si="1134"/>
        <v>0</v>
      </c>
      <c r="AC1143" s="10">
        <f t="shared" si="1134"/>
        <v>0</v>
      </c>
      <c r="AD1143" s="10">
        <f t="shared" si="1134"/>
        <v>0</v>
      </c>
      <c r="AE1143" s="10">
        <f t="shared" si="1134"/>
        <v>0</v>
      </c>
      <c r="AF1143" s="10">
        <f t="shared" si="1134"/>
        <v>0</v>
      </c>
      <c r="AG1143" s="10">
        <f t="shared" si="1134"/>
        <v>0</v>
      </c>
      <c r="AH1143" s="10">
        <f t="shared" si="1134"/>
        <v>0</v>
      </c>
      <c r="AI1143" s="10">
        <f t="shared" si="1134"/>
        <v>0</v>
      </c>
      <c r="AJ1143" s="10">
        <f t="shared" si="1134"/>
        <v>0</v>
      </c>
      <c r="AK1143" s="10">
        <f t="shared" si="1135"/>
        <v>0</v>
      </c>
      <c r="AL1143" s="10">
        <f t="shared" si="1135"/>
        <v>0</v>
      </c>
      <c r="AM1143" s="10">
        <f t="shared" si="1135"/>
        <v>0</v>
      </c>
      <c r="AN1143" s="10">
        <f t="shared" si="1135"/>
        <v>0</v>
      </c>
      <c r="AO1143" s="10">
        <f t="shared" si="1135"/>
        <v>0</v>
      </c>
      <c r="AP1143" s="10">
        <f t="shared" si="1135"/>
        <v>0</v>
      </c>
      <c r="AQ1143" s="10">
        <f t="shared" si="1135"/>
        <v>0</v>
      </c>
      <c r="AR1143" s="10">
        <f t="shared" si="1135"/>
        <v>0</v>
      </c>
      <c r="AS1143" s="10">
        <f t="shared" si="1135"/>
        <v>0</v>
      </c>
      <c r="AT1143" s="10">
        <f t="shared" si="1135"/>
        <v>0</v>
      </c>
      <c r="AU1143" s="10">
        <f t="shared" si="1136"/>
        <v>0</v>
      </c>
      <c r="AV1143" s="10">
        <f t="shared" si="1136"/>
        <v>0</v>
      </c>
      <c r="AW1143" s="10">
        <f t="shared" si="1136"/>
        <v>0</v>
      </c>
      <c r="AX1143" s="10">
        <f t="shared" si="1136"/>
        <v>0</v>
      </c>
      <c r="AY1143" s="10">
        <f t="shared" si="1136"/>
        <v>0</v>
      </c>
      <c r="AZ1143" s="10">
        <f t="shared" si="1136"/>
        <v>0</v>
      </c>
      <c r="BA1143" s="10">
        <f t="shared" si="1136"/>
        <v>0</v>
      </c>
      <c r="BB1143" s="10">
        <f t="shared" si="1136"/>
        <v>0</v>
      </c>
      <c r="BC1143" s="10">
        <f t="shared" si="1136"/>
        <v>0</v>
      </c>
      <c r="BD1143" s="10">
        <f t="shared" si="1136"/>
        <v>0</v>
      </c>
      <c r="BE1143" s="10">
        <f t="shared" si="1137"/>
        <v>0</v>
      </c>
      <c r="BF1143" s="10">
        <f t="shared" si="1137"/>
        <v>0</v>
      </c>
      <c r="BG1143" s="10">
        <f t="shared" si="1137"/>
        <v>0</v>
      </c>
      <c r="BH1143" s="10">
        <f t="shared" si="1137"/>
        <v>0</v>
      </c>
      <c r="BI1143" s="10">
        <f t="shared" si="1137"/>
        <v>0</v>
      </c>
      <c r="BJ1143" s="10">
        <f t="shared" si="1137"/>
        <v>0</v>
      </c>
      <c r="BK1143" s="10">
        <f t="shared" si="1137"/>
        <v>0</v>
      </c>
      <c r="BL1143" s="10">
        <f t="shared" si="1137"/>
        <v>0</v>
      </c>
      <c r="BM1143" s="10">
        <f t="shared" si="1137"/>
        <v>0</v>
      </c>
      <c r="BN1143" s="10">
        <f t="shared" si="1137"/>
        <v>0</v>
      </c>
      <c r="BO1143" s="10">
        <f t="shared" si="1138"/>
        <v>0</v>
      </c>
      <c r="BP1143" s="10">
        <f t="shared" si="1138"/>
        <v>0</v>
      </c>
      <c r="BQ1143" s="10">
        <f t="shared" si="1138"/>
        <v>0</v>
      </c>
      <c r="BR1143" s="10">
        <f t="shared" si="1138"/>
        <v>0</v>
      </c>
      <c r="BS1143" s="10">
        <f t="shared" si="1138"/>
        <v>0</v>
      </c>
      <c r="BT1143" s="10">
        <f t="shared" si="1138"/>
        <v>0</v>
      </c>
      <c r="BU1143" s="10">
        <f t="shared" si="1138"/>
        <v>0</v>
      </c>
      <c r="BV1143" s="10">
        <f t="shared" si="1138"/>
        <v>0</v>
      </c>
      <c r="BX1143" s="106"/>
      <c r="BY1143" s="10">
        <f t="shared" si="1139"/>
        <v>0</v>
      </c>
      <c r="BZ1143" s="10">
        <f t="shared" si="1139"/>
        <v>0</v>
      </c>
      <c r="CA1143" s="10">
        <f t="shared" si="1139"/>
        <v>0</v>
      </c>
      <c r="CB1143" s="106"/>
      <c r="CC1143" s="106"/>
      <c r="CD1143" s="106"/>
      <c r="CE1143" s="106"/>
      <c r="CF1143" s="106"/>
      <c r="CG1143" s="106"/>
      <c r="CH1143" s="106"/>
      <c r="CI1143" s="106"/>
      <c r="CK1143" s="11"/>
      <c r="CM1143" s="11"/>
      <c r="CV1143" s="120"/>
      <c r="DF1143" s="11"/>
      <c r="EY1143" s="12" t="str">
        <f>IF($C1143="","",CONCATENATE(D1140," ", D1143))</f>
        <v/>
      </c>
    </row>
    <row r="1144" spans="3:155" x14ac:dyDescent="0.35">
      <c r="C1144" s="211"/>
      <c r="D1144" s="5" t="s">
        <v>778</v>
      </c>
      <c r="G1144" s="5"/>
      <c r="H1144" s="96"/>
      <c r="I1144" s="102" t="s">
        <v>317</v>
      </c>
      <c r="V1144" s="12">
        <f>'Opening Balances'!$W$42</f>
        <v>0</v>
      </c>
      <c r="W1144" s="12">
        <f>SUM(W1141:W1143)</f>
        <v>0</v>
      </c>
      <c r="X1144" s="12">
        <f>SUM(X1141:X1143)</f>
        <v>0</v>
      </c>
      <c r="Y1144" s="12">
        <f>SUM(Y1141:Y1143)</f>
        <v>0</v>
      </c>
      <c r="AA1144" s="12">
        <f t="shared" ref="AA1144:BV1144" si="1140">SUM(AA1141:AA1143)</f>
        <v>0</v>
      </c>
      <c r="AB1144" s="12">
        <f t="shared" si="1140"/>
        <v>0</v>
      </c>
      <c r="AC1144" s="12">
        <f t="shared" si="1140"/>
        <v>0</v>
      </c>
      <c r="AD1144" s="12">
        <f t="shared" si="1140"/>
        <v>0</v>
      </c>
      <c r="AE1144" s="12">
        <f t="shared" si="1140"/>
        <v>0</v>
      </c>
      <c r="AF1144" s="12">
        <f t="shared" si="1140"/>
        <v>0</v>
      </c>
      <c r="AG1144" s="12">
        <f t="shared" si="1140"/>
        <v>0</v>
      </c>
      <c r="AH1144" s="12">
        <f t="shared" si="1140"/>
        <v>0</v>
      </c>
      <c r="AI1144" s="12">
        <f t="shared" si="1140"/>
        <v>0</v>
      </c>
      <c r="AJ1144" s="12">
        <f t="shared" si="1140"/>
        <v>0</v>
      </c>
      <c r="AK1144" s="12">
        <f t="shared" si="1140"/>
        <v>0</v>
      </c>
      <c r="AL1144" s="12">
        <f t="shared" si="1140"/>
        <v>0</v>
      </c>
      <c r="AM1144" s="12">
        <f t="shared" si="1140"/>
        <v>0</v>
      </c>
      <c r="AN1144" s="12">
        <f t="shared" si="1140"/>
        <v>0</v>
      </c>
      <c r="AO1144" s="12">
        <f t="shared" si="1140"/>
        <v>0</v>
      </c>
      <c r="AP1144" s="12">
        <f t="shared" si="1140"/>
        <v>0</v>
      </c>
      <c r="AQ1144" s="12">
        <f t="shared" si="1140"/>
        <v>0</v>
      </c>
      <c r="AR1144" s="12">
        <f t="shared" si="1140"/>
        <v>0</v>
      </c>
      <c r="AS1144" s="12">
        <f t="shared" si="1140"/>
        <v>0</v>
      </c>
      <c r="AT1144" s="12">
        <f t="shared" si="1140"/>
        <v>0</v>
      </c>
      <c r="AU1144" s="12">
        <f t="shared" si="1140"/>
        <v>0</v>
      </c>
      <c r="AV1144" s="12">
        <f t="shared" si="1140"/>
        <v>0</v>
      </c>
      <c r="AW1144" s="12">
        <f t="shared" si="1140"/>
        <v>0</v>
      </c>
      <c r="AX1144" s="12">
        <f t="shared" si="1140"/>
        <v>0</v>
      </c>
      <c r="AY1144" s="12">
        <f t="shared" si="1140"/>
        <v>0</v>
      </c>
      <c r="AZ1144" s="12">
        <f t="shared" si="1140"/>
        <v>0</v>
      </c>
      <c r="BA1144" s="12">
        <f t="shared" si="1140"/>
        <v>0</v>
      </c>
      <c r="BB1144" s="12">
        <f t="shared" si="1140"/>
        <v>0</v>
      </c>
      <c r="BC1144" s="12">
        <f t="shared" si="1140"/>
        <v>0</v>
      </c>
      <c r="BD1144" s="12">
        <f t="shared" si="1140"/>
        <v>0</v>
      </c>
      <c r="BE1144" s="12">
        <f t="shared" si="1140"/>
        <v>0</v>
      </c>
      <c r="BF1144" s="12">
        <f t="shared" si="1140"/>
        <v>0</v>
      </c>
      <c r="BG1144" s="12">
        <f t="shared" si="1140"/>
        <v>0</v>
      </c>
      <c r="BH1144" s="12">
        <f t="shared" si="1140"/>
        <v>0</v>
      </c>
      <c r="BI1144" s="12">
        <f t="shared" si="1140"/>
        <v>0</v>
      </c>
      <c r="BJ1144" s="12">
        <f t="shared" si="1140"/>
        <v>0</v>
      </c>
      <c r="BK1144" s="12">
        <f t="shared" si="1140"/>
        <v>0</v>
      </c>
      <c r="BL1144" s="12">
        <f t="shared" si="1140"/>
        <v>0</v>
      </c>
      <c r="BM1144" s="12">
        <f t="shared" si="1140"/>
        <v>0</v>
      </c>
      <c r="BN1144" s="12">
        <f t="shared" si="1140"/>
        <v>0</v>
      </c>
      <c r="BO1144" s="12">
        <f t="shared" si="1140"/>
        <v>0</v>
      </c>
      <c r="BP1144" s="12">
        <f t="shared" si="1140"/>
        <v>0</v>
      </c>
      <c r="BQ1144" s="12">
        <f t="shared" si="1140"/>
        <v>0</v>
      </c>
      <c r="BR1144" s="12">
        <f t="shared" si="1140"/>
        <v>0</v>
      </c>
      <c r="BS1144" s="12">
        <f t="shared" si="1140"/>
        <v>0</v>
      </c>
      <c r="BT1144" s="12">
        <f t="shared" si="1140"/>
        <v>0</v>
      </c>
      <c r="BU1144" s="12">
        <f t="shared" si="1140"/>
        <v>0</v>
      </c>
      <c r="BV1144" s="12">
        <f t="shared" si="1140"/>
        <v>0</v>
      </c>
      <c r="BX1144" s="12">
        <f>'Opening Balances'!$W$42</f>
        <v>0</v>
      </c>
      <c r="BY1144" s="12">
        <f t="shared" ref="BY1144:CI1144" si="1141">SUM(BY1141:BY1143)</f>
        <v>0</v>
      </c>
      <c r="BZ1144" s="12">
        <f t="shared" si="1141"/>
        <v>0</v>
      </c>
      <c r="CA1144" s="12">
        <f t="shared" si="1141"/>
        <v>0</v>
      </c>
      <c r="CB1144" s="12">
        <f t="shared" si="1141"/>
        <v>0</v>
      </c>
      <c r="CC1144" s="12">
        <f t="shared" si="1141"/>
        <v>0</v>
      </c>
      <c r="CD1144" s="12">
        <f t="shared" si="1141"/>
        <v>0</v>
      </c>
      <c r="CE1144" s="12">
        <f t="shared" si="1141"/>
        <v>0</v>
      </c>
      <c r="CF1144" s="12">
        <f t="shared" si="1141"/>
        <v>0</v>
      </c>
      <c r="CG1144" s="12">
        <f t="shared" si="1141"/>
        <v>0</v>
      </c>
      <c r="CH1144" s="12">
        <f t="shared" si="1141"/>
        <v>0</v>
      </c>
      <c r="CI1144" s="12">
        <f t="shared" si="1141"/>
        <v>0</v>
      </c>
      <c r="CK1144" s="11"/>
      <c r="CM1144" s="11"/>
      <c r="DF1144" s="11"/>
      <c r="EY1144" s="12" t="str">
        <f>IF($C1144="","",CONCATENATE(D1140," ", D1144))</f>
        <v/>
      </c>
    </row>
    <row r="1145" spans="3:155" ht="6.75" customHeight="1" x14ac:dyDescent="0.35">
      <c r="C1145" s="211"/>
      <c r="D1145" s="1"/>
      <c r="CK1145" s="35"/>
      <c r="CM1145" s="35"/>
      <c r="CV1145" s="120"/>
      <c r="DF1145" s="35"/>
      <c r="EY1145" s="10" t="str">
        <f>IF($C1145="","",$D1145)</f>
        <v/>
      </c>
    </row>
    <row r="1146" spans="3:155" x14ac:dyDescent="0.35">
      <c r="C1146" s="211"/>
      <c r="D1146" s="50" t="s">
        <v>1093</v>
      </c>
      <c r="CK1146" s="11"/>
      <c r="CM1146" s="11"/>
      <c r="CV1146" s="120"/>
      <c r="DF1146" s="11"/>
      <c r="EY1146" s="10" t="str">
        <f>IF($C1146="","",$D1146)</f>
        <v/>
      </c>
    </row>
    <row r="1147" spans="3:155" x14ac:dyDescent="0.35">
      <c r="C1147" s="211"/>
      <c r="D1147" t="s">
        <v>664</v>
      </c>
      <c r="H1147" s="9"/>
      <c r="I1147" s="40" t="s">
        <v>665</v>
      </c>
      <c r="V1147" s="133">
        <f t="shared" ref="V1147:Y1149" si="1142">SUMIFS(V$624:V$643, $E$624:$E$643, $D1147)</f>
        <v>0</v>
      </c>
      <c r="W1147" s="133">
        <f t="shared" si="1142"/>
        <v>0</v>
      </c>
      <c r="X1147" s="133">
        <f t="shared" si="1142"/>
        <v>0</v>
      </c>
      <c r="Y1147" s="133">
        <f t="shared" si="1142"/>
        <v>0</v>
      </c>
      <c r="AA1147" s="133">
        <f t="shared" ref="AA1147:AJ1149" si="1143">SUMIFS(AA$624:AA$643, $E$624:$E$643, $D1147)</f>
        <v>0</v>
      </c>
      <c r="AB1147" s="133">
        <f t="shared" si="1143"/>
        <v>0</v>
      </c>
      <c r="AC1147" s="133">
        <f t="shared" si="1143"/>
        <v>0</v>
      </c>
      <c r="AD1147" s="133">
        <f t="shared" si="1143"/>
        <v>0</v>
      </c>
      <c r="AE1147" s="133">
        <f t="shared" si="1143"/>
        <v>0</v>
      </c>
      <c r="AF1147" s="133">
        <f t="shared" si="1143"/>
        <v>0</v>
      </c>
      <c r="AG1147" s="133">
        <f t="shared" si="1143"/>
        <v>0</v>
      </c>
      <c r="AH1147" s="133">
        <f t="shared" si="1143"/>
        <v>0</v>
      </c>
      <c r="AI1147" s="133">
        <f t="shared" si="1143"/>
        <v>0</v>
      </c>
      <c r="AJ1147" s="133">
        <f t="shared" si="1143"/>
        <v>0</v>
      </c>
      <c r="AK1147" s="133">
        <f t="shared" ref="AK1147:AT1149" si="1144">SUMIFS(AK$624:AK$643, $E$624:$E$643, $D1147)</f>
        <v>0</v>
      </c>
      <c r="AL1147" s="133">
        <f t="shared" si="1144"/>
        <v>0</v>
      </c>
      <c r="AM1147" s="133">
        <f t="shared" si="1144"/>
        <v>0</v>
      </c>
      <c r="AN1147" s="133">
        <f t="shared" si="1144"/>
        <v>0</v>
      </c>
      <c r="AO1147" s="133">
        <f t="shared" si="1144"/>
        <v>0</v>
      </c>
      <c r="AP1147" s="133">
        <f t="shared" si="1144"/>
        <v>0</v>
      </c>
      <c r="AQ1147" s="133">
        <f t="shared" si="1144"/>
        <v>0</v>
      </c>
      <c r="AR1147" s="133">
        <f t="shared" si="1144"/>
        <v>0</v>
      </c>
      <c r="AS1147" s="133">
        <f t="shared" si="1144"/>
        <v>0</v>
      </c>
      <c r="AT1147" s="133">
        <f t="shared" si="1144"/>
        <v>0</v>
      </c>
      <c r="AU1147" s="133">
        <f t="shared" ref="AU1147:BD1149" si="1145">SUMIFS(AU$624:AU$643, $E$624:$E$643, $D1147)</f>
        <v>0</v>
      </c>
      <c r="AV1147" s="133">
        <f t="shared" si="1145"/>
        <v>0</v>
      </c>
      <c r="AW1147" s="133">
        <f t="shared" si="1145"/>
        <v>0</v>
      </c>
      <c r="AX1147" s="133">
        <f t="shared" si="1145"/>
        <v>0</v>
      </c>
      <c r="AY1147" s="133">
        <f t="shared" si="1145"/>
        <v>0</v>
      </c>
      <c r="AZ1147" s="133">
        <f t="shared" si="1145"/>
        <v>0</v>
      </c>
      <c r="BA1147" s="133">
        <f t="shared" si="1145"/>
        <v>0</v>
      </c>
      <c r="BB1147" s="133">
        <f t="shared" si="1145"/>
        <v>0</v>
      </c>
      <c r="BC1147" s="133">
        <f t="shared" si="1145"/>
        <v>0</v>
      </c>
      <c r="BD1147" s="133">
        <f t="shared" si="1145"/>
        <v>0</v>
      </c>
      <c r="BE1147" s="133">
        <f t="shared" ref="BE1147:BN1149" si="1146">SUMIFS(BE$624:BE$643, $E$624:$E$643, $D1147)</f>
        <v>0</v>
      </c>
      <c r="BF1147" s="133">
        <f t="shared" si="1146"/>
        <v>0</v>
      </c>
      <c r="BG1147" s="133">
        <f t="shared" si="1146"/>
        <v>0</v>
      </c>
      <c r="BH1147" s="133">
        <f t="shared" si="1146"/>
        <v>0</v>
      </c>
      <c r="BI1147" s="133">
        <f t="shared" si="1146"/>
        <v>0</v>
      </c>
      <c r="BJ1147" s="133">
        <f t="shared" si="1146"/>
        <v>0</v>
      </c>
      <c r="BK1147" s="133">
        <f t="shared" si="1146"/>
        <v>0</v>
      </c>
      <c r="BL1147" s="133">
        <f t="shared" si="1146"/>
        <v>0</v>
      </c>
      <c r="BM1147" s="133">
        <f t="shared" si="1146"/>
        <v>0</v>
      </c>
      <c r="BN1147" s="133">
        <f t="shared" si="1146"/>
        <v>0</v>
      </c>
      <c r="BO1147" s="133">
        <f t="shared" ref="BO1147:BV1149" si="1147">SUMIFS(BO$624:BO$643, $E$624:$E$643, $D1147)</f>
        <v>0</v>
      </c>
      <c r="BP1147" s="133">
        <f t="shared" si="1147"/>
        <v>0</v>
      </c>
      <c r="BQ1147" s="133">
        <f t="shared" si="1147"/>
        <v>0</v>
      </c>
      <c r="BR1147" s="133">
        <f t="shared" si="1147"/>
        <v>0</v>
      </c>
      <c r="BS1147" s="133">
        <f t="shared" si="1147"/>
        <v>0</v>
      </c>
      <c r="BT1147" s="133">
        <f t="shared" si="1147"/>
        <v>0</v>
      </c>
      <c r="BU1147" s="133">
        <f t="shared" si="1147"/>
        <v>0</v>
      </c>
      <c r="BV1147" s="133">
        <f t="shared" si="1147"/>
        <v>0</v>
      </c>
      <c r="BX1147" s="133">
        <f t="shared" ref="BX1147:CI1149" si="1148">SUMIFS(BX$624:BX$643, $E$624:$E$643, $D1147)</f>
        <v>0</v>
      </c>
      <c r="BY1147" s="133">
        <f t="shared" si="1148"/>
        <v>0</v>
      </c>
      <c r="BZ1147" s="133">
        <f t="shared" si="1148"/>
        <v>0</v>
      </c>
      <c r="CA1147" s="133">
        <f t="shared" si="1148"/>
        <v>0</v>
      </c>
      <c r="CB1147" s="133">
        <f t="shared" si="1148"/>
        <v>0</v>
      </c>
      <c r="CC1147" s="133">
        <f t="shared" si="1148"/>
        <v>0</v>
      </c>
      <c r="CD1147" s="133">
        <f t="shared" si="1148"/>
        <v>0</v>
      </c>
      <c r="CE1147" s="133">
        <f t="shared" si="1148"/>
        <v>0</v>
      </c>
      <c r="CF1147" s="133">
        <f t="shared" si="1148"/>
        <v>0</v>
      </c>
      <c r="CG1147" s="133">
        <f t="shared" si="1148"/>
        <v>0</v>
      </c>
      <c r="CH1147" s="133">
        <f t="shared" si="1148"/>
        <v>0</v>
      </c>
      <c r="CI1147" s="133">
        <f t="shared" si="1148"/>
        <v>0</v>
      </c>
      <c r="CK1147" s="11"/>
      <c r="CM1147" s="11"/>
      <c r="CV1147" s="120"/>
      <c r="DF1147" s="11"/>
      <c r="EY1147" s="12" t="str">
        <f>IF($C1147="","",CONCATENATE(D1146," ", D1147))</f>
        <v/>
      </c>
    </row>
    <row r="1148" spans="3:155" x14ac:dyDescent="0.35">
      <c r="C1148" s="211"/>
      <c r="D1148" t="s">
        <v>667</v>
      </c>
      <c r="H1148" s="9"/>
      <c r="I1148" s="40" t="s">
        <v>665</v>
      </c>
      <c r="V1148" s="133">
        <f t="shared" si="1142"/>
        <v>0</v>
      </c>
      <c r="W1148" s="133">
        <f t="shared" si="1142"/>
        <v>0</v>
      </c>
      <c r="X1148" s="133">
        <f t="shared" si="1142"/>
        <v>0</v>
      </c>
      <c r="Y1148" s="133">
        <f t="shared" si="1142"/>
        <v>0</v>
      </c>
      <c r="AA1148" s="133">
        <f t="shared" si="1143"/>
        <v>0</v>
      </c>
      <c r="AB1148" s="133">
        <f t="shared" si="1143"/>
        <v>0</v>
      </c>
      <c r="AC1148" s="133">
        <f t="shared" si="1143"/>
        <v>0</v>
      </c>
      <c r="AD1148" s="133">
        <f t="shared" si="1143"/>
        <v>0</v>
      </c>
      <c r="AE1148" s="133">
        <f t="shared" si="1143"/>
        <v>0</v>
      </c>
      <c r="AF1148" s="133">
        <f t="shared" si="1143"/>
        <v>0</v>
      </c>
      <c r="AG1148" s="133">
        <f t="shared" si="1143"/>
        <v>0</v>
      </c>
      <c r="AH1148" s="133">
        <f t="shared" si="1143"/>
        <v>0</v>
      </c>
      <c r="AI1148" s="133">
        <f t="shared" si="1143"/>
        <v>0</v>
      </c>
      <c r="AJ1148" s="133">
        <f t="shared" si="1143"/>
        <v>0</v>
      </c>
      <c r="AK1148" s="133">
        <f t="shared" si="1144"/>
        <v>0</v>
      </c>
      <c r="AL1148" s="133">
        <f t="shared" si="1144"/>
        <v>0</v>
      </c>
      <c r="AM1148" s="133">
        <f t="shared" si="1144"/>
        <v>0</v>
      </c>
      <c r="AN1148" s="133">
        <f t="shared" si="1144"/>
        <v>0</v>
      </c>
      <c r="AO1148" s="133">
        <f t="shared" si="1144"/>
        <v>0</v>
      </c>
      <c r="AP1148" s="133">
        <f t="shared" si="1144"/>
        <v>0</v>
      </c>
      <c r="AQ1148" s="133">
        <f t="shared" si="1144"/>
        <v>0</v>
      </c>
      <c r="AR1148" s="133">
        <f t="shared" si="1144"/>
        <v>0</v>
      </c>
      <c r="AS1148" s="133">
        <f t="shared" si="1144"/>
        <v>0</v>
      </c>
      <c r="AT1148" s="133">
        <f t="shared" si="1144"/>
        <v>0</v>
      </c>
      <c r="AU1148" s="133">
        <f t="shared" si="1145"/>
        <v>0</v>
      </c>
      <c r="AV1148" s="133">
        <f t="shared" si="1145"/>
        <v>0</v>
      </c>
      <c r="AW1148" s="133">
        <f t="shared" si="1145"/>
        <v>0</v>
      </c>
      <c r="AX1148" s="133">
        <f t="shared" si="1145"/>
        <v>0</v>
      </c>
      <c r="AY1148" s="133">
        <f t="shared" si="1145"/>
        <v>0</v>
      </c>
      <c r="AZ1148" s="133">
        <f t="shared" si="1145"/>
        <v>0</v>
      </c>
      <c r="BA1148" s="133">
        <f t="shared" si="1145"/>
        <v>0</v>
      </c>
      <c r="BB1148" s="133">
        <f t="shared" si="1145"/>
        <v>0</v>
      </c>
      <c r="BC1148" s="133">
        <f t="shared" si="1145"/>
        <v>0</v>
      </c>
      <c r="BD1148" s="133">
        <f t="shared" si="1145"/>
        <v>0</v>
      </c>
      <c r="BE1148" s="133">
        <f t="shared" si="1146"/>
        <v>0</v>
      </c>
      <c r="BF1148" s="133">
        <f t="shared" si="1146"/>
        <v>0</v>
      </c>
      <c r="BG1148" s="133">
        <f t="shared" si="1146"/>
        <v>0</v>
      </c>
      <c r="BH1148" s="133">
        <f t="shared" si="1146"/>
        <v>0</v>
      </c>
      <c r="BI1148" s="133">
        <f t="shared" si="1146"/>
        <v>0</v>
      </c>
      <c r="BJ1148" s="133">
        <f t="shared" si="1146"/>
        <v>0</v>
      </c>
      <c r="BK1148" s="133">
        <f t="shared" si="1146"/>
        <v>0</v>
      </c>
      <c r="BL1148" s="133">
        <f t="shared" si="1146"/>
        <v>0</v>
      </c>
      <c r="BM1148" s="133">
        <f t="shared" si="1146"/>
        <v>0</v>
      </c>
      <c r="BN1148" s="133">
        <f t="shared" si="1146"/>
        <v>0</v>
      </c>
      <c r="BO1148" s="133">
        <f t="shared" si="1147"/>
        <v>0</v>
      </c>
      <c r="BP1148" s="133">
        <f t="shared" si="1147"/>
        <v>0</v>
      </c>
      <c r="BQ1148" s="133">
        <f t="shared" si="1147"/>
        <v>0</v>
      </c>
      <c r="BR1148" s="133">
        <f t="shared" si="1147"/>
        <v>0</v>
      </c>
      <c r="BS1148" s="133">
        <f t="shared" si="1147"/>
        <v>0</v>
      </c>
      <c r="BT1148" s="133">
        <f t="shared" si="1147"/>
        <v>0</v>
      </c>
      <c r="BU1148" s="133">
        <f t="shared" si="1147"/>
        <v>0</v>
      </c>
      <c r="BV1148" s="133">
        <f t="shared" si="1147"/>
        <v>0</v>
      </c>
      <c r="BX1148" s="133">
        <f t="shared" si="1148"/>
        <v>0</v>
      </c>
      <c r="BY1148" s="133">
        <f t="shared" si="1148"/>
        <v>0</v>
      </c>
      <c r="BZ1148" s="133">
        <f t="shared" si="1148"/>
        <v>0</v>
      </c>
      <c r="CA1148" s="133">
        <f t="shared" si="1148"/>
        <v>0</v>
      </c>
      <c r="CB1148" s="133">
        <f t="shared" si="1148"/>
        <v>0</v>
      </c>
      <c r="CC1148" s="133">
        <f t="shared" si="1148"/>
        <v>0</v>
      </c>
      <c r="CD1148" s="133">
        <f t="shared" si="1148"/>
        <v>0</v>
      </c>
      <c r="CE1148" s="133">
        <f t="shared" si="1148"/>
        <v>0</v>
      </c>
      <c r="CF1148" s="133">
        <f t="shared" si="1148"/>
        <v>0</v>
      </c>
      <c r="CG1148" s="133">
        <f t="shared" si="1148"/>
        <v>0</v>
      </c>
      <c r="CH1148" s="133">
        <f t="shared" si="1148"/>
        <v>0</v>
      </c>
      <c r="CI1148" s="133">
        <f t="shared" si="1148"/>
        <v>0</v>
      </c>
      <c r="CK1148" s="11"/>
      <c r="CM1148" s="11"/>
      <c r="CV1148" s="120"/>
      <c r="DF1148" s="11"/>
      <c r="EY1148" s="12" t="str">
        <f>IF($C1148="","",CONCATENATE(D1146," ", D1148))</f>
        <v/>
      </c>
    </row>
    <row r="1149" spans="3:155" x14ac:dyDescent="0.35">
      <c r="C1149" s="211"/>
      <c r="D1149" t="s">
        <v>1338</v>
      </c>
      <c r="H1149" s="9"/>
      <c r="I1149" s="40" t="s">
        <v>665</v>
      </c>
      <c r="V1149" s="133">
        <f t="shared" si="1142"/>
        <v>0</v>
      </c>
      <c r="W1149" s="133">
        <f t="shared" si="1142"/>
        <v>0</v>
      </c>
      <c r="X1149" s="133">
        <f t="shared" si="1142"/>
        <v>0</v>
      </c>
      <c r="Y1149" s="133">
        <f t="shared" si="1142"/>
        <v>0</v>
      </c>
      <c r="AA1149" s="133">
        <f t="shared" si="1143"/>
        <v>0</v>
      </c>
      <c r="AB1149" s="133">
        <f t="shared" si="1143"/>
        <v>0</v>
      </c>
      <c r="AC1149" s="133">
        <f t="shared" si="1143"/>
        <v>0</v>
      </c>
      <c r="AD1149" s="133">
        <f t="shared" si="1143"/>
        <v>0</v>
      </c>
      <c r="AE1149" s="133">
        <f t="shared" si="1143"/>
        <v>0</v>
      </c>
      <c r="AF1149" s="133">
        <f t="shared" si="1143"/>
        <v>0</v>
      </c>
      <c r="AG1149" s="133">
        <f t="shared" si="1143"/>
        <v>0</v>
      </c>
      <c r="AH1149" s="133">
        <f t="shared" si="1143"/>
        <v>0</v>
      </c>
      <c r="AI1149" s="133">
        <f t="shared" si="1143"/>
        <v>0</v>
      </c>
      <c r="AJ1149" s="133">
        <f t="shared" si="1143"/>
        <v>0</v>
      </c>
      <c r="AK1149" s="133">
        <f t="shared" si="1144"/>
        <v>0</v>
      </c>
      <c r="AL1149" s="133">
        <f t="shared" si="1144"/>
        <v>0</v>
      </c>
      <c r="AM1149" s="133">
        <f t="shared" si="1144"/>
        <v>0</v>
      </c>
      <c r="AN1149" s="133">
        <f t="shared" si="1144"/>
        <v>0</v>
      </c>
      <c r="AO1149" s="133">
        <f t="shared" si="1144"/>
        <v>0</v>
      </c>
      <c r="AP1149" s="133">
        <f t="shared" si="1144"/>
        <v>0</v>
      </c>
      <c r="AQ1149" s="133">
        <f t="shared" si="1144"/>
        <v>0</v>
      </c>
      <c r="AR1149" s="133">
        <f t="shared" si="1144"/>
        <v>0</v>
      </c>
      <c r="AS1149" s="133">
        <f t="shared" si="1144"/>
        <v>0</v>
      </c>
      <c r="AT1149" s="133">
        <f t="shared" si="1144"/>
        <v>0</v>
      </c>
      <c r="AU1149" s="133">
        <f t="shared" si="1145"/>
        <v>0</v>
      </c>
      <c r="AV1149" s="133">
        <f t="shared" si="1145"/>
        <v>0</v>
      </c>
      <c r="AW1149" s="133">
        <f t="shared" si="1145"/>
        <v>0</v>
      </c>
      <c r="AX1149" s="133">
        <f t="shared" si="1145"/>
        <v>0</v>
      </c>
      <c r="AY1149" s="133">
        <f t="shared" si="1145"/>
        <v>0</v>
      </c>
      <c r="AZ1149" s="133">
        <f t="shared" si="1145"/>
        <v>0</v>
      </c>
      <c r="BA1149" s="133">
        <f t="shared" si="1145"/>
        <v>0</v>
      </c>
      <c r="BB1149" s="133">
        <f t="shared" si="1145"/>
        <v>0</v>
      </c>
      <c r="BC1149" s="133">
        <f t="shared" si="1145"/>
        <v>0</v>
      </c>
      <c r="BD1149" s="133">
        <f t="shared" si="1145"/>
        <v>0</v>
      </c>
      <c r="BE1149" s="133">
        <f t="shared" si="1146"/>
        <v>0</v>
      </c>
      <c r="BF1149" s="133">
        <f t="shared" si="1146"/>
        <v>0</v>
      </c>
      <c r="BG1149" s="133">
        <f t="shared" si="1146"/>
        <v>0</v>
      </c>
      <c r="BH1149" s="133">
        <f t="shared" si="1146"/>
        <v>0</v>
      </c>
      <c r="BI1149" s="133">
        <f t="shared" si="1146"/>
        <v>0</v>
      </c>
      <c r="BJ1149" s="133">
        <f t="shared" si="1146"/>
        <v>0</v>
      </c>
      <c r="BK1149" s="133">
        <f t="shared" si="1146"/>
        <v>0</v>
      </c>
      <c r="BL1149" s="133">
        <f t="shared" si="1146"/>
        <v>0</v>
      </c>
      <c r="BM1149" s="133">
        <f t="shared" si="1146"/>
        <v>0</v>
      </c>
      <c r="BN1149" s="133">
        <f t="shared" si="1146"/>
        <v>0</v>
      </c>
      <c r="BO1149" s="133">
        <f t="shared" si="1147"/>
        <v>0</v>
      </c>
      <c r="BP1149" s="133">
        <f t="shared" si="1147"/>
        <v>0</v>
      </c>
      <c r="BQ1149" s="133">
        <f t="shared" si="1147"/>
        <v>0</v>
      </c>
      <c r="BR1149" s="133">
        <f t="shared" si="1147"/>
        <v>0</v>
      </c>
      <c r="BS1149" s="133">
        <f t="shared" si="1147"/>
        <v>0</v>
      </c>
      <c r="BT1149" s="133">
        <f t="shared" si="1147"/>
        <v>0</v>
      </c>
      <c r="BU1149" s="133">
        <f t="shared" si="1147"/>
        <v>0</v>
      </c>
      <c r="BV1149" s="133">
        <f t="shared" si="1147"/>
        <v>0</v>
      </c>
      <c r="BX1149" s="133">
        <f t="shared" si="1148"/>
        <v>0</v>
      </c>
      <c r="BY1149" s="133">
        <f t="shared" si="1148"/>
        <v>0</v>
      </c>
      <c r="BZ1149" s="133">
        <f t="shared" si="1148"/>
        <v>0</v>
      </c>
      <c r="CA1149" s="133">
        <f t="shared" si="1148"/>
        <v>0</v>
      </c>
      <c r="CB1149" s="133">
        <f t="shared" si="1148"/>
        <v>0</v>
      </c>
      <c r="CC1149" s="133">
        <f t="shared" si="1148"/>
        <v>0</v>
      </c>
      <c r="CD1149" s="133">
        <f t="shared" si="1148"/>
        <v>0</v>
      </c>
      <c r="CE1149" s="133">
        <f t="shared" si="1148"/>
        <v>0</v>
      </c>
      <c r="CF1149" s="133">
        <f t="shared" si="1148"/>
        <v>0</v>
      </c>
      <c r="CG1149" s="133">
        <f t="shared" si="1148"/>
        <v>0</v>
      </c>
      <c r="CH1149" s="133">
        <f t="shared" si="1148"/>
        <v>0</v>
      </c>
      <c r="CI1149" s="133">
        <f t="shared" si="1148"/>
        <v>0</v>
      </c>
      <c r="CK1149" s="11"/>
      <c r="CM1149" s="11"/>
      <c r="CV1149" s="120"/>
      <c r="DF1149" s="11"/>
      <c r="EY1149" s="12" t="str">
        <f>IF($C1149="","",CONCATENATE(D1146," ", D1149))</f>
        <v/>
      </c>
    </row>
    <row r="1150" spans="3:155" x14ac:dyDescent="0.35">
      <c r="C1150" s="211"/>
      <c r="D1150" s="5" t="s">
        <v>778</v>
      </c>
      <c r="G1150" s="5"/>
      <c r="H1150" s="96"/>
      <c r="I1150" s="102" t="s">
        <v>665</v>
      </c>
      <c r="V1150" s="12">
        <f>SUM(V1147:V1149)</f>
        <v>0</v>
      </c>
      <c r="W1150" s="12">
        <f>SUM(W1147:W1149)</f>
        <v>0</v>
      </c>
      <c r="X1150" s="12">
        <f>SUM(X1147:X1149)</f>
        <v>0</v>
      </c>
      <c r="Y1150" s="12">
        <f>SUM(Y1147:Y1149)</f>
        <v>0</v>
      </c>
      <c r="AA1150" s="12">
        <f t="shared" ref="AA1150:BV1150" si="1149">SUM(AA1147:AA1149)</f>
        <v>0</v>
      </c>
      <c r="AB1150" s="12">
        <f t="shared" si="1149"/>
        <v>0</v>
      </c>
      <c r="AC1150" s="12">
        <f t="shared" si="1149"/>
        <v>0</v>
      </c>
      <c r="AD1150" s="12">
        <f t="shared" si="1149"/>
        <v>0</v>
      </c>
      <c r="AE1150" s="12">
        <f t="shared" si="1149"/>
        <v>0</v>
      </c>
      <c r="AF1150" s="12">
        <f t="shared" si="1149"/>
        <v>0</v>
      </c>
      <c r="AG1150" s="12">
        <f t="shared" si="1149"/>
        <v>0</v>
      </c>
      <c r="AH1150" s="12">
        <f t="shared" si="1149"/>
        <v>0</v>
      </c>
      <c r="AI1150" s="12">
        <f t="shared" si="1149"/>
        <v>0</v>
      </c>
      <c r="AJ1150" s="12">
        <f t="shared" si="1149"/>
        <v>0</v>
      </c>
      <c r="AK1150" s="12">
        <f t="shared" si="1149"/>
        <v>0</v>
      </c>
      <c r="AL1150" s="12">
        <f t="shared" si="1149"/>
        <v>0</v>
      </c>
      <c r="AM1150" s="12">
        <f t="shared" si="1149"/>
        <v>0</v>
      </c>
      <c r="AN1150" s="12">
        <f t="shared" si="1149"/>
        <v>0</v>
      </c>
      <c r="AO1150" s="12">
        <f t="shared" si="1149"/>
        <v>0</v>
      </c>
      <c r="AP1150" s="12">
        <f t="shared" si="1149"/>
        <v>0</v>
      </c>
      <c r="AQ1150" s="12">
        <f t="shared" si="1149"/>
        <v>0</v>
      </c>
      <c r="AR1150" s="12">
        <f t="shared" si="1149"/>
        <v>0</v>
      </c>
      <c r="AS1150" s="12">
        <f t="shared" si="1149"/>
        <v>0</v>
      </c>
      <c r="AT1150" s="12">
        <f t="shared" si="1149"/>
        <v>0</v>
      </c>
      <c r="AU1150" s="12">
        <f t="shared" si="1149"/>
        <v>0</v>
      </c>
      <c r="AV1150" s="12">
        <f t="shared" si="1149"/>
        <v>0</v>
      </c>
      <c r="AW1150" s="12">
        <f t="shared" si="1149"/>
        <v>0</v>
      </c>
      <c r="AX1150" s="12">
        <f t="shared" si="1149"/>
        <v>0</v>
      </c>
      <c r="AY1150" s="12">
        <f t="shared" si="1149"/>
        <v>0</v>
      </c>
      <c r="AZ1150" s="12">
        <f t="shared" si="1149"/>
        <v>0</v>
      </c>
      <c r="BA1150" s="12">
        <f t="shared" si="1149"/>
        <v>0</v>
      </c>
      <c r="BB1150" s="12">
        <f t="shared" si="1149"/>
        <v>0</v>
      </c>
      <c r="BC1150" s="12">
        <f t="shared" si="1149"/>
        <v>0</v>
      </c>
      <c r="BD1150" s="12">
        <f t="shared" si="1149"/>
        <v>0</v>
      </c>
      <c r="BE1150" s="12">
        <f t="shared" si="1149"/>
        <v>0</v>
      </c>
      <c r="BF1150" s="12">
        <f t="shared" si="1149"/>
        <v>0</v>
      </c>
      <c r="BG1150" s="12">
        <f t="shared" si="1149"/>
        <v>0</v>
      </c>
      <c r="BH1150" s="12">
        <f t="shared" si="1149"/>
        <v>0</v>
      </c>
      <c r="BI1150" s="12">
        <f t="shared" si="1149"/>
        <v>0</v>
      </c>
      <c r="BJ1150" s="12">
        <f t="shared" si="1149"/>
        <v>0</v>
      </c>
      <c r="BK1150" s="12">
        <f t="shared" si="1149"/>
        <v>0</v>
      </c>
      <c r="BL1150" s="12">
        <f t="shared" si="1149"/>
        <v>0</v>
      </c>
      <c r="BM1150" s="12">
        <f t="shared" si="1149"/>
        <v>0</v>
      </c>
      <c r="BN1150" s="12">
        <f t="shared" si="1149"/>
        <v>0</v>
      </c>
      <c r="BO1150" s="12">
        <f t="shared" si="1149"/>
        <v>0</v>
      </c>
      <c r="BP1150" s="12">
        <f t="shared" si="1149"/>
        <v>0</v>
      </c>
      <c r="BQ1150" s="12">
        <f t="shared" si="1149"/>
        <v>0</v>
      </c>
      <c r="BR1150" s="12">
        <f t="shared" si="1149"/>
        <v>0</v>
      </c>
      <c r="BS1150" s="12">
        <f t="shared" si="1149"/>
        <v>0</v>
      </c>
      <c r="BT1150" s="12">
        <f t="shared" si="1149"/>
        <v>0</v>
      </c>
      <c r="BU1150" s="12">
        <f t="shared" si="1149"/>
        <v>0</v>
      </c>
      <c r="BV1150" s="12">
        <f t="shared" si="1149"/>
        <v>0</v>
      </c>
      <c r="BX1150" s="12">
        <f t="shared" ref="BX1150:CI1150" si="1150">SUM(BX1147:BX1149)</f>
        <v>0</v>
      </c>
      <c r="BY1150" s="12">
        <f t="shared" si="1150"/>
        <v>0</v>
      </c>
      <c r="BZ1150" s="12">
        <f t="shared" si="1150"/>
        <v>0</v>
      </c>
      <c r="CA1150" s="12">
        <f t="shared" si="1150"/>
        <v>0</v>
      </c>
      <c r="CB1150" s="12">
        <f t="shared" si="1150"/>
        <v>0</v>
      </c>
      <c r="CC1150" s="12">
        <f t="shared" si="1150"/>
        <v>0</v>
      </c>
      <c r="CD1150" s="12">
        <f t="shared" si="1150"/>
        <v>0</v>
      </c>
      <c r="CE1150" s="12">
        <f t="shared" si="1150"/>
        <v>0</v>
      </c>
      <c r="CF1150" s="12">
        <f t="shared" si="1150"/>
        <v>0</v>
      </c>
      <c r="CG1150" s="12">
        <f t="shared" si="1150"/>
        <v>0</v>
      </c>
      <c r="CH1150" s="12">
        <f t="shared" si="1150"/>
        <v>0</v>
      </c>
      <c r="CI1150" s="12">
        <f t="shared" si="1150"/>
        <v>0</v>
      </c>
      <c r="CK1150" s="11"/>
      <c r="CM1150" s="11"/>
      <c r="CV1150" s="120"/>
      <c r="DF1150" s="11"/>
      <c r="EY1150" s="12" t="str">
        <f>IF($C1150="","",CONCATENATE(D1146," ", D1150))</f>
        <v/>
      </c>
    </row>
    <row r="1151" spans="3:155" ht="6.75" customHeight="1" x14ac:dyDescent="0.35">
      <c r="C1151" s="211"/>
      <c r="D1151" s="1"/>
      <c r="CK1151" s="35"/>
      <c r="CM1151" s="35"/>
      <c r="CV1151" s="120"/>
      <c r="DF1151" s="35"/>
      <c r="EY1151" s="10" t="str">
        <f>IF($C1151="","",$D1151)</f>
        <v/>
      </c>
    </row>
    <row r="1152" spans="3:155" x14ac:dyDescent="0.35">
      <c r="C1152" s="211"/>
      <c r="D1152" s="50" t="s">
        <v>1345</v>
      </c>
      <c r="CK1152" s="11"/>
      <c r="CM1152" s="11"/>
      <c r="CV1152" s="120"/>
      <c r="DF1152" s="11"/>
      <c r="EY1152" s="10" t="str">
        <f>IF($C1152="","",$D1152)</f>
        <v/>
      </c>
    </row>
    <row r="1153" spans="1:155" x14ac:dyDescent="0.35">
      <c r="C1153" s="211"/>
      <c r="D1153" t="s">
        <v>664</v>
      </c>
      <c r="H1153" s="9"/>
      <c r="I1153" s="40" t="s">
        <v>665</v>
      </c>
      <c r="V1153" s="133">
        <f t="shared" ref="V1153:Y1155" si="1151">V1147+V1129</f>
        <v>0</v>
      </c>
      <c r="W1153" s="133">
        <f t="shared" si="1151"/>
        <v>0</v>
      </c>
      <c r="X1153" s="133">
        <f t="shared" si="1151"/>
        <v>0</v>
      </c>
      <c r="Y1153" s="133">
        <f t="shared" si="1151"/>
        <v>0</v>
      </c>
      <c r="AA1153" s="133">
        <f t="shared" ref="AA1153:BV1153" si="1152">AA1147+AA1129</f>
        <v>0</v>
      </c>
      <c r="AB1153" s="133">
        <f t="shared" si="1152"/>
        <v>0</v>
      </c>
      <c r="AC1153" s="133">
        <f t="shared" si="1152"/>
        <v>0</v>
      </c>
      <c r="AD1153" s="133">
        <f t="shared" si="1152"/>
        <v>0</v>
      </c>
      <c r="AE1153" s="133">
        <f t="shared" si="1152"/>
        <v>0</v>
      </c>
      <c r="AF1153" s="133">
        <f t="shared" si="1152"/>
        <v>0</v>
      </c>
      <c r="AG1153" s="133">
        <f t="shared" si="1152"/>
        <v>0</v>
      </c>
      <c r="AH1153" s="133">
        <f t="shared" si="1152"/>
        <v>0</v>
      </c>
      <c r="AI1153" s="133">
        <f t="shared" si="1152"/>
        <v>0</v>
      </c>
      <c r="AJ1153" s="133">
        <f t="shared" si="1152"/>
        <v>0</v>
      </c>
      <c r="AK1153" s="133">
        <f t="shared" si="1152"/>
        <v>0</v>
      </c>
      <c r="AL1153" s="133">
        <f t="shared" si="1152"/>
        <v>0</v>
      </c>
      <c r="AM1153" s="133">
        <f t="shared" si="1152"/>
        <v>0</v>
      </c>
      <c r="AN1153" s="133">
        <f t="shared" si="1152"/>
        <v>0</v>
      </c>
      <c r="AO1153" s="133">
        <f t="shared" si="1152"/>
        <v>0</v>
      </c>
      <c r="AP1153" s="133">
        <f t="shared" si="1152"/>
        <v>0</v>
      </c>
      <c r="AQ1153" s="133">
        <f t="shared" si="1152"/>
        <v>0</v>
      </c>
      <c r="AR1153" s="133">
        <f t="shared" si="1152"/>
        <v>0</v>
      </c>
      <c r="AS1153" s="133">
        <f t="shared" si="1152"/>
        <v>0</v>
      </c>
      <c r="AT1153" s="133">
        <f t="shared" si="1152"/>
        <v>0</v>
      </c>
      <c r="AU1153" s="133">
        <f t="shared" si="1152"/>
        <v>0</v>
      </c>
      <c r="AV1153" s="133">
        <f t="shared" si="1152"/>
        <v>0</v>
      </c>
      <c r="AW1153" s="133">
        <f t="shared" si="1152"/>
        <v>0</v>
      </c>
      <c r="AX1153" s="133">
        <f t="shared" si="1152"/>
        <v>0</v>
      </c>
      <c r="AY1153" s="133">
        <f t="shared" si="1152"/>
        <v>0</v>
      </c>
      <c r="AZ1153" s="133">
        <f t="shared" si="1152"/>
        <v>0</v>
      </c>
      <c r="BA1153" s="133">
        <f t="shared" si="1152"/>
        <v>0</v>
      </c>
      <c r="BB1153" s="133">
        <f t="shared" si="1152"/>
        <v>0</v>
      </c>
      <c r="BC1153" s="133">
        <f t="shared" si="1152"/>
        <v>0</v>
      </c>
      <c r="BD1153" s="133">
        <f t="shared" si="1152"/>
        <v>0</v>
      </c>
      <c r="BE1153" s="133">
        <f t="shared" si="1152"/>
        <v>0</v>
      </c>
      <c r="BF1153" s="133">
        <f t="shared" si="1152"/>
        <v>0</v>
      </c>
      <c r="BG1153" s="133">
        <f t="shared" si="1152"/>
        <v>0</v>
      </c>
      <c r="BH1153" s="133">
        <f t="shared" si="1152"/>
        <v>0</v>
      </c>
      <c r="BI1153" s="133">
        <f t="shared" si="1152"/>
        <v>0</v>
      </c>
      <c r="BJ1153" s="133">
        <f t="shared" si="1152"/>
        <v>0</v>
      </c>
      <c r="BK1153" s="133">
        <f t="shared" si="1152"/>
        <v>0</v>
      </c>
      <c r="BL1153" s="133">
        <f t="shared" si="1152"/>
        <v>0</v>
      </c>
      <c r="BM1153" s="133">
        <f t="shared" si="1152"/>
        <v>0</v>
      </c>
      <c r="BN1153" s="133">
        <f t="shared" si="1152"/>
        <v>0</v>
      </c>
      <c r="BO1153" s="133">
        <f t="shared" si="1152"/>
        <v>0</v>
      </c>
      <c r="BP1153" s="133">
        <f t="shared" si="1152"/>
        <v>0</v>
      </c>
      <c r="BQ1153" s="133">
        <f t="shared" si="1152"/>
        <v>0</v>
      </c>
      <c r="BR1153" s="133">
        <f t="shared" si="1152"/>
        <v>0</v>
      </c>
      <c r="BS1153" s="133">
        <f t="shared" si="1152"/>
        <v>0</v>
      </c>
      <c r="BT1153" s="133">
        <f t="shared" si="1152"/>
        <v>0</v>
      </c>
      <c r="BU1153" s="133">
        <f t="shared" si="1152"/>
        <v>0</v>
      </c>
      <c r="BV1153" s="133">
        <f t="shared" si="1152"/>
        <v>0</v>
      </c>
      <c r="BX1153" s="133">
        <f t="shared" ref="BX1153:CI1153" si="1153">BX1147+BX1129</f>
        <v>0</v>
      </c>
      <c r="BY1153" s="133">
        <f t="shared" si="1153"/>
        <v>0</v>
      </c>
      <c r="BZ1153" s="133">
        <f t="shared" si="1153"/>
        <v>0</v>
      </c>
      <c r="CA1153" s="133">
        <f t="shared" si="1153"/>
        <v>0</v>
      </c>
      <c r="CB1153" s="133">
        <f t="shared" si="1153"/>
        <v>0</v>
      </c>
      <c r="CC1153" s="133">
        <f t="shared" si="1153"/>
        <v>0</v>
      </c>
      <c r="CD1153" s="133">
        <f t="shared" si="1153"/>
        <v>0</v>
      </c>
      <c r="CE1153" s="133">
        <f t="shared" si="1153"/>
        <v>0</v>
      </c>
      <c r="CF1153" s="133">
        <f t="shared" si="1153"/>
        <v>0</v>
      </c>
      <c r="CG1153" s="133">
        <f t="shared" si="1153"/>
        <v>0</v>
      </c>
      <c r="CH1153" s="133">
        <f t="shared" si="1153"/>
        <v>0</v>
      </c>
      <c r="CI1153" s="133">
        <f t="shared" si="1153"/>
        <v>0</v>
      </c>
      <c r="CK1153" s="11"/>
      <c r="CM1153" s="11"/>
      <c r="CV1153" s="120"/>
      <c r="DF1153" s="11"/>
      <c r="EY1153" s="12" t="str">
        <f>IF($C1153="","",CONCATENATE(D1152," ", D1153))</f>
        <v/>
      </c>
    </row>
    <row r="1154" spans="1:155" x14ac:dyDescent="0.35">
      <c r="C1154" s="211"/>
      <c r="D1154" t="s">
        <v>667</v>
      </c>
      <c r="H1154" s="9"/>
      <c r="I1154" s="40" t="s">
        <v>665</v>
      </c>
      <c r="V1154" s="133">
        <f t="shared" si="1151"/>
        <v>0</v>
      </c>
      <c r="W1154" s="133">
        <f t="shared" si="1151"/>
        <v>0</v>
      </c>
      <c r="X1154" s="133">
        <f t="shared" si="1151"/>
        <v>0</v>
      </c>
      <c r="Y1154" s="133">
        <f t="shared" si="1151"/>
        <v>0</v>
      </c>
      <c r="AA1154" s="133">
        <f t="shared" ref="AA1154:BV1154" si="1154">AA1148+AA1130</f>
        <v>0</v>
      </c>
      <c r="AB1154" s="133">
        <f t="shared" si="1154"/>
        <v>0</v>
      </c>
      <c r="AC1154" s="133">
        <f t="shared" si="1154"/>
        <v>0</v>
      </c>
      <c r="AD1154" s="133">
        <f t="shared" si="1154"/>
        <v>0</v>
      </c>
      <c r="AE1154" s="133">
        <f t="shared" si="1154"/>
        <v>0</v>
      </c>
      <c r="AF1154" s="133">
        <f t="shared" si="1154"/>
        <v>0</v>
      </c>
      <c r="AG1154" s="133">
        <f t="shared" si="1154"/>
        <v>0</v>
      </c>
      <c r="AH1154" s="133">
        <f t="shared" si="1154"/>
        <v>0</v>
      </c>
      <c r="AI1154" s="133">
        <f t="shared" si="1154"/>
        <v>0</v>
      </c>
      <c r="AJ1154" s="133">
        <f t="shared" si="1154"/>
        <v>0</v>
      </c>
      <c r="AK1154" s="133">
        <f t="shared" si="1154"/>
        <v>0</v>
      </c>
      <c r="AL1154" s="133">
        <f t="shared" si="1154"/>
        <v>0</v>
      </c>
      <c r="AM1154" s="133">
        <f t="shared" si="1154"/>
        <v>0</v>
      </c>
      <c r="AN1154" s="133">
        <f t="shared" si="1154"/>
        <v>0</v>
      </c>
      <c r="AO1154" s="133">
        <f t="shared" si="1154"/>
        <v>0</v>
      </c>
      <c r="AP1154" s="133">
        <f t="shared" si="1154"/>
        <v>0</v>
      </c>
      <c r="AQ1154" s="133">
        <f t="shared" si="1154"/>
        <v>0</v>
      </c>
      <c r="AR1154" s="133">
        <f t="shared" si="1154"/>
        <v>0</v>
      </c>
      <c r="AS1154" s="133">
        <f t="shared" si="1154"/>
        <v>0</v>
      </c>
      <c r="AT1154" s="133">
        <f t="shared" si="1154"/>
        <v>0</v>
      </c>
      <c r="AU1154" s="133">
        <f t="shared" si="1154"/>
        <v>0</v>
      </c>
      <c r="AV1154" s="133">
        <f t="shared" si="1154"/>
        <v>0</v>
      </c>
      <c r="AW1154" s="133">
        <f t="shared" si="1154"/>
        <v>0</v>
      </c>
      <c r="AX1154" s="133">
        <f t="shared" si="1154"/>
        <v>0</v>
      </c>
      <c r="AY1154" s="133">
        <f t="shared" si="1154"/>
        <v>0</v>
      </c>
      <c r="AZ1154" s="133">
        <f t="shared" si="1154"/>
        <v>0</v>
      </c>
      <c r="BA1154" s="133">
        <f t="shared" si="1154"/>
        <v>0</v>
      </c>
      <c r="BB1154" s="133">
        <f t="shared" si="1154"/>
        <v>0</v>
      </c>
      <c r="BC1154" s="133">
        <f t="shared" si="1154"/>
        <v>0</v>
      </c>
      <c r="BD1154" s="133">
        <f t="shared" si="1154"/>
        <v>0</v>
      </c>
      <c r="BE1154" s="133">
        <f t="shared" si="1154"/>
        <v>0</v>
      </c>
      <c r="BF1154" s="133">
        <f t="shared" si="1154"/>
        <v>0</v>
      </c>
      <c r="BG1154" s="133">
        <f t="shared" si="1154"/>
        <v>0</v>
      </c>
      <c r="BH1154" s="133">
        <f t="shared" si="1154"/>
        <v>0</v>
      </c>
      <c r="BI1154" s="133">
        <f t="shared" si="1154"/>
        <v>0</v>
      </c>
      <c r="BJ1154" s="133">
        <f t="shared" si="1154"/>
        <v>0</v>
      </c>
      <c r="BK1154" s="133">
        <f t="shared" si="1154"/>
        <v>0</v>
      </c>
      <c r="BL1154" s="133">
        <f t="shared" si="1154"/>
        <v>0</v>
      </c>
      <c r="BM1154" s="133">
        <f t="shared" si="1154"/>
        <v>0</v>
      </c>
      <c r="BN1154" s="133">
        <f t="shared" si="1154"/>
        <v>0</v>
      </c>
      <c r="BO1154" s="133">
        <f t="shared" si="1154"/>
        <v>0</v>
      </c>
      <c r="BP1154" s="133">
        <f t="shared" si="1154"/>
        <v>0</v>
      </c>
      <c r="BQ1154" s="133">
        <f t="shared" si="1154"/>
        <v>0</v>
      </c>
      <c r="BR1154" s="133">
        <f t="shared" si="1154"/>
        <v>0</v>
      </c>
      <c r="BS1154" s="133">
        <f t="shared" si="1154"/>
        <v>0</v>
      </c>
      <c r="BT1154" s="133">
        <f t="shared" si="1154"/>
        <v>0</v>
      </c>
      <c r="BU1154" s="133">
        <f t="shared" si="1154"/>
        <v>0</v>
      </c>
      <c r="BV1154" s="133">
        <f t="shared" si="1154"/>
        <v>0</v>
      </c>
      <c r="BX1154" s="133">
        <f t="shared" ref="BX1154:CI1154" si="1155">BX1148+BX1130</f>
        <v>0</v>
      </c>
      <c r="BY1154" s="133">
        <f t="shared" si="1155"/>
        <v>0</v>
      </c>
      <c r="BZ1154" s="133">
        <f t="shared" si="1155"/>
        <v>0</v>
      </c>
      <c r="CA1154" s="133">
        <f t="shared" si="1155"/>
        <v>0</v>
      </c>
      <c r="CB1154" s="133">
        <f t="shared" si="1155"/>
        <v>0</v>
      </c>
      <c r="CC1154" s="133">
        <f t="shared" si="1155"/>
        <v>0</v>
      </c>
      <c r="CD1154" s="133">
        <f t="shared" si="1155"/>
        <v>0</v>
      </c>
      <c r="CE1154" s="133">
        <f t="shared" si="1155"/>
        <v>0</v>
      </c>
      <c r="CF1154" s="133">
        <f t="shared" si="1155"/>
        <v>0</v>
      </c>
      <c r="CG1154" s="133">
        <f t="shared" si="1155"/>
        <v>0</v>
      </c>
      <c r="CH1154" s="133">
        <f t="shared" si="1155"/>
        <v>0</v>
      </c>
      <c r="CI1154" s="133">
        <f t="shared" si="1155"/>
        <v>0</v>
      </c>
      <c r="CK1154" s="11"/>
      <c r="CM1154" s="11"/>
      <c r="CV1154" s="120"/>
      <c r="DF1154" s="11"/>
      <c r="EY1154" s="12" t="str">
        <f>IF($C1154="","",CONCATENATE(D1152," ", D1154))</f>
        <v/>
      </c>
    </row>
    <row r="1155" spans="1:155" x14ac:dyDescent="0.35">
      <c r="C1155" s="211"/>
      <c r="D1155" t="s">
        <v>1338</v>
      </c>
      <c r="H1155" s="9"/>
      <c r="I1155" s="40" t="s">
        <v>665</v>
      </c>
      <c r="V1155" s="133">
        <f t="shared" si="1151"/>
        <v>0</v>
      </c>
      <c r="W1155" s="133">
        <f t="shared" si="1151"/>
        <v>0</v>
      </c>
      <c r="X1155" s="133">
        <f t="shared" si="1151"/>
        <v>0</v>
      </c>
      <c r="Y1155" s="133">
        <f t="shared" si="1151"/>
        <v>0</v>
      </c>
      <c r="AA1155" s="133">
        <f t="shared" ref="AA1155:BV1155" si="1156">AA1149+AA1131</f>
        <v>0</v>
      </c>
      <c r="AB1155" s="133">
        <f t="shared" si="1156"/>
        <v>0</v>
      </c>
      <c r="AC1155" s="133">
        <f t="shared" si="1156"/>
        <v>0</v>
      </c>
      <c r="AD1155" s="133">
        <f t="shared" si="1156"/>
        <v>0</v>
      </c>
      <c r="AE1155" s="133">
        <f t="shared" si="1156"/>
        <v>0</v>
      </c>
      <c r="AF1155" s="133">
        <f t="shared" si="1156"/>
        <v>0</v>
      </c>
      <c r="AG1155" s="133">
        <f t="shared" si="1156"/>
        <v>0</v>
      </c>
      <c r="AH1155" s="133">
        <f t="shared" si="1156"/>
        <v>0</v>
      </c>
      <c r="AI1155" s="133">
        <f t="shared" si="1156"/>
        <v>0</v>
      </c>
      <c r="AJ1155" s="133">
        <f t="shared" si="1156"/>
        <v>0</v>
      </c>
      <c r="AK1155" s="133">
        <f t="shared" si="1156"/>
        <v>0</v>
      </c>
      <c r="AL1155" s="133">
        <f t="shared" si="1156"/>
        <v>0</v>
      </c>
      <c r="AM1155" s="133">
        <f t="shared" si="1156"/>
        <v>0</v>
      </c>
      <c r="AN1155" s="133">
        <f t="shared" si="1156"/>
        <v>0</v>
      </c>
      <c r="AO1155" s="133">
        <f t="shared" si="1156"/>
        <v>0</v>
      </c>
      <c r="AP1155" s="133">
        <f t="shared" si="1156"/>
        <v>0</v>
      </c>
      <c r="AQ1155" s="133">
        <f t="shared" si="1156"/>
        <v>0</v>
      </c>
      <c r="AR1155" s="133">
        <f t="shared" si="1156"/>
        <v>0</v>
      </c>
      <c r="AS1155" s="133">
        <f t="shared" si="1156"/>
        <v>0</v>
      </c>
      <c r="AT1155" s="133">
        <f t="shared" si="1156"/>
        <v>0</v>
      </c>
      <c r="AU1155" s="133">
        <f t="shared" si="1156"/>
        <v>0</v>
      </c>
      <c r="AV1155" s="133">
        <f t="shared" si="1156"/>
        <v>0</v>
      </c>
      <c r="AW1155" s="133">
        <f t="shared" si="1156"/>
        <v>0</v>
      </c>
      <c r="AX1155" s="133">
        <f t="shared" si="1156"/>
        <v>0</v>
      </c>
      <c r="AY1155" s="133">
        <f t="shared" si="1156"/>
        <v>0</v>
      </c>
      <c r="AZ1155" s="133">
        <f t="shared" si="1156"/>
        <v>0</v>
      </c>
      <c r="BA1155" s="133">
        <f t="shared" si="1156"/>
        <v>0</v>
      </c>
      <c r="BB1155" s="133">
        <f t="shared" si="1156"/>
        <v>0</v>
      </c>
      <c r="BC1155" s="133">
        <f t="shared" si="1156"/>
        <v>0</v>
      </c>
      <c r="BD1155" s="133">
        <f t="shared" si="1156"/>
        <v>0</v>
      </c>
      <c r="BE1155" s="133">
        <f t="shared" si="1156"/>
        <v>0</v>
      </c>
      <c r="BF1155" s="133">
        <f t="shared" si="1156"/>
        <v>0</v>
      </c>
      <c r="BG1155" s="133">
        <f t="shared" si="1156"/>
        <v>0</v>
      </c>
      <c r="BH1155" s="133">
        <f t="shared" si="1156"/>
        <v>0</v>
      </c>
      <c r="BI1155" s="133">
        <f t="shared" si="1156"/>
        <v>0</v>
      </c>
      <c r="BJ1155" s="133">
        <f t="shared" si="1156"/>
        <v>0</v>
      </c>
      <c r="BK1155" s="133">
        <f t="shared" si="1156"/>
        <v>0</v>
      </c>
      <c r="BL1155" s="133">
        <f t="shared" si="1156"/>
        <v>0</v>
      </c>
      <c r="BM1155" s="133">
        <f t="shared" si="1156"/>
        <v>0</v>
      </c>
      <c r="BN1155" s="133">
        <f t="shared" si="1156"/>
        <v>0</v>
      </c>
      <c r="BO1155" s="133">
        <f t="shared" si="1156"/>
        <v>0</v>
      </c>
      <c r="BP1155" s="133">
        <f t="shared" si="1156"/>
        <v>0</v>
      </c>
      <c r="BQ1155" s="133">
        <f t="shared" si="1156"/>
        <v>0</v>
      </c>
      <c r="BR1155" s="133">
        <f t="shared" si="1156"/>
        <v>0</v>
      </c>
      <c r="BS1155" s="133">
        <f t="shared" si="1156"/>
        <v>0</v>
      </c>
      <c r="BT1155" s="133">
        <f t="shared" si="1156"/>
        <v>0</v>
      </c>
      <c r="BU1155" s="133">
        <f t="shared" si="1156"/>
        <v>0</v>
      </c>
      <c r="BV1155" s="133">
        <f t="shared" si="1156"/>
        <v>0</v>
      </c>
      <c r="BX1155" s="133">
        <f t="shared" ref="BX1155:CI1155" si="1157">BX1149+BX1131</f>
        <v>0</v>
      </c>
      <c r="BY1155" s="133">
        <f t="shared" si="1157"/>
        <v>0</v>
      </c>
      <c r="BZ1155" s="133">
        <f t="shared" si="1157"/>
        <v>0</v>
      </c>
      <c r="CA1155" s="133">
        <f t="shared" si="1157"/>
        <v>0</v>
      </c>
      <c r="CB1155" s="133">
        <f t="shared" si="1157"/>
        <v>0</v>
      </c>
      <c r="CC1155" s="133">
        <f t="shared" si="1157"/>
        <v>0</v>
      </c>
      <c r="CD1155" s="133">
        <f t="shared" si="1157"/>
        <v>0</v>
      </c>
      <c r="CE1155" s="133">
        <f t="shared" si="1157"/>
        <v>0</v>
      </c>
      <c r="CF1155" s="133">
        <f t="shared" si="1157"/>
        <v>0</v>
      </c>
      <c r="CG1155" s="133">
        <f t="shared" si="1157"/>
        <v>0</v>
      </c>
      <c r="CH1155" s="133">
        <f t="shared" si="1157"/>
        <v>0</v>
      </c>
      <c r="CI1155" s="133">
        <f t="shared" si="1157"/>
        <v>0</v>
      </c>
      <c r="CK1155" s="11"/>
      <c r="CM1155" s="11"/>
      <c r="CV1155" s="120"/>
      <c r="DF1155" s="11"/>
      <c r="EY1155" s="12" t="str">
        <f>IF($C1155="","",CONCATENATE(D1152," ", D1155))</f>
        <v/>
      </c>
    </row>
    <row r="1156" spans="1:155" x14ac:dyDescent="0.35">
      <c r="C1156" s="211"/>
      <c r="D1156" s="5" t="s">
        <v>778</v>
      </c>
      <c r="G1156" s="5"/>
      <c r="H1156" s="96"/>
      <c r="I1156" s="102" t="s">
        <v>665</v>
      </c>
      <c r="V1156" s="12">
        <f>SUM(V1153:V1155)</f>
        <v>0</v>
      </c>
      <c r="W1156" s="12">
        <f>SUM(W1153:W1155)</f>
        <v>0</v>
      </c>
      <c r="X1156" s="12">
        <f>SUM(X1153:X1155)</f>
        <v>0</v>
      </c>
      <c r="Y1156" s="12">
        <f>SUM(Y1153:Y1155)</f>
        <v>0</v>
      </c>
      <c r="AA1156" s="12">
        <f t="shared" ref="AA1156:BV1156" si="1158">SUM(AA1153:AA1155)</f>
        <v>0</v>
      </c>
      <c r="AB1156" s="12">
        <f t="shared" si="1158"/>
        <v>0</v>
      </c>
      <c r="AC1156" s="12">
        <f t="shared" si="1158"/>
        <v>0</v>
      </c>
      <c r="AD1156" s="12">
        <f t="shared" si="1158"/>
        <v>0</v>
      </c>
      <c r="AE1156" s="12">
        <f t="shared" si="1158"/>
        <v>0</v>
      </c>
      <c r="AF1156" s="12">
        <f t="shared" si="1158"/>
        <v>0</v>
      </c>
      <c r="AG1156" s="12">
        <f t="shared" si="1158"/>
        <v>0</v>
      </c>
      <c r="AH1156" s="12">
        <f t="shared" si="1158"/>
        <v>0</v>
      </c>
      <c r="AI1156" s="12">
        <f t="shared" si="1158"/>
        <v>0</v>
      </c>
      <c r="AJ1156" s="12">
        <f t="shared" si="1158"/>
        <v>0</v>
      </c>
      <c r="AK1156" s="12">
        <f t="shared" si="1158"/>
        <v>0</v>
      </c>
      <c r="AL1156" s="12">
        <f t="shared" si="1158"/>
        <v>0</v>
      </c>
      <c r="AM1156" s="12">
        <f t="shared" si="1158"/>
        <v>0</v>
      </c>
      <c r="AN1156" s="12">
        <f t="shared" si="1158"/>
        <v>0</v>
      </c>
      <c r="AO1156" s="12">
        <f t="shared" si="1158"/>
        <v>0</v>
      </c>
      <c r="AP1156" s="12">
        <f t="shared" si="1158"/>
        <v>0</v>
      </c>
      <c r="AQ1156" s="12">
        <f t="shared" si="1158"/>
        <v>0</v>
      </c>
      <c r="AR1156" s="12">
        <f t="shared" si="1158"/>
        <v>0</v>
      </c>
      <c r="AS1156" s="12">
        <f t="shared" si="1158"/>
        <v>0</v>
      </c>
      <c r="AT1156" s="12">
        <f t="shared" si="1158"/>
        <v>0</v>
      </c>
      <c r="AU1156" s="12">
        <f t="shared" si="1158"/>
        <v>0</v>
      </c>
      <c r="AV1156" s="12">
        <f t="shared" si="1158"/>
        <v>0</v>
      </c>
      <c r="AW1156" s="12">
        <f t="shared" si="1158"/>
        <v>0</v>
      </c>
      <c r="AX1156" s="12">
        <f t="shared" si="1158"/>
        <v>0</v>
      </c>
      <c r="AY1156" s="12">
        <f t="shared" si="1158"/>
        <v>0</v>
      </c>
      <c r="AZ1156" s="12">
        <f t="shared" si="1158"/>
        <v>0</v>
      </c>
      <c r="BA1156" s="12">
        <f t="shared" si="1158"/>
        <v>0</v>
      </c>
      <c r="BB1156" s="12">
        <f t="shared" si="1158"/>
        <v>0</v>
      </c>
      <c r="BC1156" s="12">
        <f t="shared" si="1158"/>
        <v>0</v>
      </c>
      <c r="BD1156" s="12">
        <f t="shared" si="1158"/>
        <v>0</v>
      </c>
      <c r="BE1156" s="12">
        <f t="shared" si="1158"/>
        <v>0</v>
      </c>
      <c r="BF1156" s="12">
        <f t="shared" si="1158"/>
        <v>0</v>
      </c>
      <c r="BG1156" s="12">
        <f t="shared" si="1158"/>
        <v>0</v>
      </c>
      <c r="BH1156" s="12">
        <f t="shared" si="1158"/>
        <v>0</v>
      </c>
      <c r="BI1156" s="12">
        <f t="shared" si="1158"/>
        <v>0</v>
      </c>
      <c r="BJ1156" s="12">
        <f t="shared" si="1158"/>
        <v>0</v>
      </c>
      <c r="BK1156" s="12">
        <f t="shared" si="1158"/>
        <v>0</v>
      </c>
      <c r="BL1156" s="12">
        <f t="shared" si="1158"/>
        <v>0</v>
      </c>
      <c r="BM1156" s="12">
        <f t="shared" si="1158"/>
        <v>0</v>
      </c>
      <c r="BN1156" s="12">
        <f t="shared" si="1158"/>
        <v>0</v>
      </c>
      <c r="BO1156" s="12">
        <f t="shared" si="1158"/>
        <v>0</v>
      </c>
      <c r="BP1156" s="12">
        <f t="shared" si="1158"/>
        <v>0</v>
      </c>
      <c r="BQ1156" s="12">
        <f t="shared" si="1158"/>
        <v>0</v>
      </c>
      <c r="BR1156" s="12">
        <f t="shared" si="1158"/>
        <v>0</v>
      </c>
      <c r="BS1156" s="12">
        <f t="shared" si="1158"/>
        <v>0</v>
      </c>
      <c r="BT1156" s="12">
        <f t="shared" si="1158"/>
        <v>0</v>
      </c>
      <c r="BU1156" s="12">
        <f t="shared" si="1158"/>
        <v>0</v>
      </c>
      <c r="BV1156" s="12">
        <f t="shared" si="1158"/>
        <v>0</v>
      </c>
      <c r="BX1156" s="12">
        <f t="shared" ref="BX1156:CI1156" si="1159">SUM(BX1153:BX1155)</f>
        <v>0</v>
      </c>
      <c r="BY1156" s="12">
        <f t="shared" si="1159"/>
        <v>0</v>
      </c>
      <c r="BZ1156" s="12">
        <f t="shared" si="1159"/>
        <v>0</v>
      </c>
      <c r="CA1156" s="12">
        <f t="shared" si="1159"/>
        <v>0</v>
      </c>
      <c r="CB1156" s="12">
        <f t="shared" si="1159"/>
        <v>0</v>
      </c>
      <c r="CC1156" s="12">
        <f t="shared" si="1159"/>
        <v>0</v>
      </c>
      <c r="CD1156" s="12">
        <f t="shared" si="1159"/>
        <v>0</v>
      </c>
      <c r="CE1156" s="12">
        <f t="shared" si="1159"/>
        <v>0</v>
      </c>
      <c r="CF1156" s="12">
        <f t="shared" si="1159"/>
        <v>0</v>
      </c>
      <c r="CG1156" s="12">
        <f t="shared" si="1159"/>
        <v>0</v>
      </c>
      <c r="CH1156" s="12">
        <f t="shared" si="1159"/>
        <v>0</v>
      </c>
      <c r="CI1156" s="12">
        <f t="shared" si="1159"/>
        <v>0</v>
      </c>
      <c r="CK1156" s="11"/>
      <c r="CM1156" s="11"/>
      <c r="CV1156" s="120"/>
      <c r="DF1156" s="11"/>
      <c r="EY1156" s="12" t="str">
        <f>IF($C1156="","",CONCATENATE(D1152," ", D1156))</f>
        <v/>
      </c>
    </row>
    <row r="1157" spans="1:155" ht="6.75" customHeight="1" x14ac:dyDescent="0.35">
      <c r="C1157" s="211"/>
      <c r="D1157" s="1"/>
      <c r="E1157"/>
      <c r="F1157"/>
      <c r="BY1157" s="6"/>
      <c r="CK1157" s="35"/>
      <c r="CM1157" s="35"/>
      <c r="DF1157" s="35"/>
      <c r="EY1157" s="10" t="str">
        <f>IF($C1157="","",$D1157)</f>
        <v/>
      </c>
    </row>
    <row r="1158" spans="1:155" s="5" customFormat="1" x14ac:dyDescent="0.35">
      <c r="A1158"/>
      <c r="C1158" s="211"/>
      <c r="D1158" s="61" t="s">
        <v>1346</v>
      </c>
      <c r="E1158" t="s">
        <v>462</v>
      </c>
      <c r="F1158"/>
      <c r="S1158"/>
      <c r="T1158"/>
      <c r="U1158"/>
      <c r="V1158" s="12">
        <f>1*(SUMIFS(V57:V435, $DH$57:$DH$435, 1)&lt;&gt;0)</f>
        <v>0</v>
      </c>
      <c r="W1158" s="106"/>
      <c r="X1158" s="106"/>
      <c r="Y1158" s="106"/>
      <c r="Z1158"/>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c r="BX1158" s="106"/>
      <c r="BY1158" s="106"/>
      <c r="BZ1158" s="106"/>
      <c r="CA1158" s="106"/>
      <c r="CB1158" s="12">
        <f t="shared" ref="CB1158:CI1158" si="1160">1*(SUMIFS(CB57:CB435, $DI$57:$DI$435, 1)&lt;&gt;0)</f>
        <v>0</v>
      </c>
      <c r="CC1158" s="12">
        <f t="shared" si="1160"/>
        <v>0</v>
      </c>
      <c r="CD1158" s="12">
        <f t="shared" si="1160"/>
        <v>0</v>
      </c>
      <c r="CE1158" s="12">
        <f t="shared" si="1160"/>
        <v>0</v>
      </c>
      <c r="CF1158" s="12">
        <f t="shared" si="1160"/>
        <v>0</v>
      </c>
      <c r="CG1158" s="12">
        <f t="shared" si="1160"/>
        <v>0</v>
      </c>
      <c r="CH1158" s="12">
        <f t="shared" si="1160"/>
        <v>0</v>
      </c>
      <c r="CI1158" s="12">
        <f t="shared" si="1160"/>
        <v>0</v>
      </c>
      <c r="CK1158" s="11"/>
      <c r="CL1158"/>
      <c r="CM1158" s="11"/>
      <c r="CP1158"/>
      <c r="CQ1158"/>
      <c r="CR1158"/>
      <c r="CS1158"/>
      <c r="CZ1158"/>
      <c r="DA1158"/>
      <c r="DB1158"/>
      <c r="DC1158"/>
      <c r="DD1158"/>
      <c r="DF1158" s="11"/>
      <c r="EY1158" s="10" t="str">
        <f>IF($C1158="","",$D1158)</f>
        <v/>
      </c>
    </row>
    <row r="1159" spans="1:155" x14ac:dyDescent="0.35">
      <c r="B1159" s="85" t="s">
        <v>122</v>
      </c>
      <c r="C1159" s="211"/>
      <c r="D1159" s="61" t="s">
        <v>1347</v>
      </c>
      <c r="E1159" s="38">
        <v>1</v>
      </c>
      <c r="F1159" s="38"/>
      <c r="G1159" s="38">
        <f>IF(COUNTA(G13:H32)=0, 1, 0)</f>
        <v>1</v>
      </c>
      <c r="H1159" s="5"/>
      <c r="J1159" s="5"/>
      <c r="K1159" s="5"/>
      <c r="L1159" s="5"/>
      <c r="M1159" s="5"/>
      <c r="N1159" s="5"/>
      <c r="O1159" s="5"/>
      <c r="P1159" s="5"/>
      <c r="Q1159" s="5"/>
      <c r="R1159" s="5"/>
      <c r="S1159" s="5"/>
      <c r="V1159" s="12">
        <f>IF($G1159=1,1, IF(V1158=0, 0, 1))</f>
        <v>1</v>
      </c>
      <c r="W1159" s="38">
        <f>$E1159</f>
        <v>1</v>
      </c>
      <c r="X1159" s="38">
        <f>$E1159</f>
        <v>1</v>
      </c>
      <c r="Y1159" s="38">
        <f>$E1159</f>
        <v>1</v>
      </c>
      <c r="AA1159" s="38">
        <f t="shared" ref="AA1159:BJ1159" si="1161">$E1159</f>
        <v>1</v>
      </c>
      <c r="AB1159" s="38">
        <f t="shared" si="1161"/>
        <v>1</v>
      </c>
      <c r="AC1159" s="38">
        <f t="shared" si="1161"/>
        <v>1</v>
      </c>
      <c r="AD1159" s="38">
        <f t="shared" si="1161"/>
        <v>1</v>
      </c>
      <c r="AE1159" s="38">
        <f t="shared" si="1161"/>
        <v>1</v>
      </c>
      <c r="AF1159" s="38">
        <f t="shared" si="1161"/>
        <v>1</v>
      </c>
      <c r="AG1159" s="38">
        <f t="shared" si="1161"/>
        <v>1</v>
      </c>
      <c r="AH1159" s="38">
        <f t="shared" si="1161"/>
        <v>1</v>
      </c>
      <c r="AI1159" s="38">
        <f t="shared" si="1161"/>
        <v>1</v>
      </c>
      <c r="AJ1159" s="38">
        <f t="shared" si="1161"/>
        <v>1</v>
      </c>
      <c r="AK1159" s="38">
        <f t="shared" si="1161"/>
        <v>1</v>
      </c>
      <c r="AL1159" s="38">
        <f t="shared" si="1161"/>
        <v>1</v>
      </c>
      <c r="AM1159" s="38">
        <f t="shared" si="1161"/>
        <v>1</v>
      </c>
      <c r="AN1159" s="38">
        <f t="shared" si="1161"/>
        <v>1</v>
      </c>
      <c r="AO1159" s="38">
        <f t="shared" si="1161"/>
        <v>1</v>
      </c>
      <c r="AP1159" s="38">
        <f t="shared" si="1161"/>
        <v>1</v>
      </c>
      <c r="AQ1159" s="38">
        <f t="shared" si="1161"/>
        <v>1</v>
      </c>
      <c r="AR1159" s="38">
        <f t="shared" si="1161"/>
        <v>1</v>
      </c>
      <c r="AS1159" s="38">
        <f t="shared" si="1161"/>
        <v>1</v>
      </c>
      <c r="AT1159" s="38">
        <f t="shared" si="1161"/>
        <v>1</v>
      </c>
      <c r="AU1159" s="38">
        <f t="shared" si="1161"/>
        <v>1</v>
      </c>
      <c r="AV1159" s="38">
        <f t="shared" si="1161"/>
        <v>1</v>
      </c>
      <c r="AW1159" s="38">
        <f t="shared" si="1161"/>
        <v>1</v>
      </c>
      <c r="AX1159" s="38">
        <f t="shared" si="1161"/>
        <v>1</v>
      </c>
      <c r="AY1159" s="38">
        <f t="shared" si="1161"/>
        <v>1</v>
      </c>
      <c r="AZ1159" s="38">
        <f t="shared" si="1161"/>
        <v>1</v>
      </c>
      <c r="BA1159" s="38">
        <f t="shared" si="1161"/>
        <v>1</v>
      </c>
      <c r="BB1159" s="38">
        <f t="shared" si="1161"/>
        <v>1</v>
      </c>
      <c r="BC1159" s="38">
        <f t="shared" si="1161"/>
        <v>1</v>
      </c>
      <c r="BD1159" s="38">
        <f t="shared" si="1161"/>
        <v>1</v>
      </c>
      <c r="BE1159" s="38">
        <f t="shared" si="1161"/>
        <v>1</v>
      </c>
      <c r="BF1159" s="38">
        <f t="shared" si="1161"/>
        <v>1</v>
      </c>
      <c r="BG1159" s="38">
        <f t="shared" si="1161"/>
        <v>1</v>
      </c>
      <c r="BH1159" s="38">
        <f t="shared" si="1161"/>
        <v>1</v>
      </c>
      <c r="BI1159" s="38">
        <f t="shared" si="1161"/>
        <v>1</v>
      </c>
      <c r="BJ1159" s="38">
        <f t="shared" si="1161"/>
        <v>1</v>
      </c>
      <c r="BK1159" s="38"/>
      <c r="BL1159" s="38"/>
      <c r="BM1159" s="38"/>
      <c r="BN1159" s="38"/>
      <c r="BO1159" s="38"/>
      <c r="BP1159" s="38"/>
      <c r="BQ1159" s="38"/>
      <c r="BR1159" s="38"/>
      <c r="BS1159" s="38"/>
      <c r="BT1159" s="38"/>
      <c r="BU1159" s="38"/>
      <c r="BV1159" s="38"/>
      <c r="BX1159" s="257">
        <f>V1159</f>
        <v>1</v>
      </c>
      <c r="BY1159" s="257">
        <f>W1159</f>
        <v>1</v>
      </c>
      <c r="BZ1159" s="257">
        <f>X1159</f>
        <v>1</v>
      </c>
      <c r="CA1159" s="257">
        <f>Y1159</f>
        <v>1</v>
      </c>
      <c r="CB1159" s="12">
        <f t="shared" ref="CB1159:CI1159" si="1162" xml:space="preserve"> IF($G1159=1, 1, IF(CB1158=0, 0, 1))</f>
        <v>1</v>
      </c>
      <c r="CC1159" s="12">
        <f t="shared" si="1162"/>
        <v>1</v>
      </c>
      <c r="CD1159" s="12">
        <f t="shared" si="1162"/>
        <v>1</v>
      </c>
      <c r="CE1159" s="12">
        <f t="shared" si="1162"/>
        <v>1</v>
      </c>
      <c r="CF1159" s="12">
        <f t="shared" si="1162"/>
        <v>1</v>
      </c>
      <c r="CG1159" s="12">
        <f t="shared" si="1162"/>
        <v>1</v>
      </c>
      <c r="CH1159" s="12">
        <f t="shared" si="1162"/>
        <v>1</v>
      </c>
      <c r="CI1159" s="12">
        <f t="shared" si="1162"/>
        <v>1</v>
      </c>
      <c r="CK1159" s="11"/>
      <c r="CM1159" s="11"/>
      <c r="DF1159" s="11"/>
      <c r="EY1159" s="10" t="str">
        <f>IF($C1159="","",$D1159)</f>
        <v/>
      </c>
    </row>
    <row r="1160" spans="1:155" ht="6.75" customHeight="1" x14ac:dyDescent="0.35">
      <c r="C1160" s="211"/>
      <c r="D1160" s="1"/>
      <c r="E1160"/>
      <c r="F1160"/>
      <c r="BY1160" s="6"/>
      <c r="CK1160" s="35"/>
      <c r="CM1160" s="35"/>
      <c r="DF1160" s="35"/>
      <c r="DG1160" s="5"/>
      <c r="DH1160" s="5"/>
      <c r="DI1160" s="5"/>
      <c r="EY1160" s="10" t="str">
        <f>IF($C1160="","",$D1160)</f>
        <v/>
      </c>
    </row>
    <row r="1161" spans="1:155" x14ac:dyDescent="0.35">
      <c r="A1161" s="11" t="s">
        <v>16</v>
      </c>
      <c r="B1161" s="11" t="s">
        <v>16</v>
      </c>
      <c r="C1161" s="11" t="s">
        <v>16</v>
      </c>
      <c r="D1161" s="11" t="s">
        <v>16</v>
      </c>
      <c r="E1161" s="43" t="s">
        <v>16</v>
      </c>
      <c r="F1161" s="43"/>
      <c r="G1161" s="11" t="s">
        <v>16</v>
      </c>
      <c r="H1161" s="11" t="s">
        <v>16</v>
      </c>
      <c r="I1161" s="11" t="s">
        <v>16</v>
      </c>
      <c r="J1161" s="11" t="s">
        <v>16</v>
      </c>
      <c r="K1161" s="11" t="s">
        <v>16</v>
      </c>
      <c r="L1161" s="11" t="s">
        <v>16</v>
      </c>
      <c r="M1161" s="11" t="s">
        <v>16</v>
      </c>
      <c r="N1161" s="11" t="s">
        <v>16</v>
      </c>
      <c r="O1161" s="11" t="s">
        <v>16</v>
      </c>
      <c r="P1161" s="11" t="s">
        <v>16</v>
      </c>
      <c r="Q1161" s="11" t="s">
        <v>16</v>
      </c>
      <c r="R1161" s="11" t="s">
        <v>16</v>
      </c>
      <c r="S1161" s="11" t="s">
        <v>16</v>
      </c>
      <c r="T1161" s="11"/>
      <c r="U1161" s="11" t="s">
        <v>16</v>
      </c>
      <c r="V1161" s="11" t="s">
        <v>16</v>
      </c>
      <c r="W1161" s="11" t="s">
        <v>16</v>
      </c>
      <c r="X1161" s="11"/>
      <c r="Y1161" s="11"/>
      <c r="Z1161" s="11" t="s">
        <v>16</v>
      </c>
      <c r="AA1161" s="11" t="s">
        <v>16</v>
      </c>
      <c r="AB1161" s="11" t="s">
        <v>16</v>
      </c>
      <c r="AC1161" s="11" t="s">
        <v>16</v>
      </c>
      <c r="AD1161" s="11" t="s">
        <v>16</v>
      </c>
      <c r="AE1161" s="11" t="s">
        <v>16</v>
      </c>
      <c r="AF1161" s="11" t="s">
        <v>16</v>
      </c>
      <c r="AG1161" s="11" t="s">
        <v>16</v>
      </c>
      <c r="AH1161" s="11" t="s">
        <v>16</v>
      </c>
      <c r="AI1161" s="11" t="s">
        <v>16</v>
      </c>
      <c r="AJ1161" s="11" t="s">
        <v>16</v>
      </c>
      <c r="AK1161" s="11" t="s">
        <v>16</v>
      </c>
      <c r="AL1161" s="11" t="s">
        <v>16</v>
      </c>
      <c r="AM1161" s="11" t="s">
        <v>16</v>
      </c>
      <c r="AN1161" s="11" t="s">
        <v>16</v>
      </c>
      <c r="AO1161" s="11" t="s">
        <v>16</v>
      </c>
      <c r="AP1161" s="11" t="s">
        <v>16</v>
      </c>
      <c r="AQ1161" s="11" t="s">
        <v>16</v>
      </c>
      <c r="AR1161" s="11" t="s">
        <v>16</v>
      </c>
      <c r="AS1161" s="11" t="s">
        <v>16</v>
      </c>
      <c r="AT1161" s="11" t="s">
        <v>16</v>
      </c>
      <c r="AU1161" s="11" t="s">
        <v>16</v>
      </c>
      <c r="AV1161" s="11" t="s">
        <v>16</v>
      </c>
      <c r="AW1161" s="11" t="s">
        <v>16</v>
      </c>
      <c r="AX1161" s="11" t="s">
        <v>16</v>
      </c>
      <c r="AY1161" s="11" t="s">
        <v>16</v>
      </c>
      <c r="AZ1161" s="11" t="s">
        <v>16</v>
      </c>
      <c r="BA1161" s="11" t="s">
        <v>16</v>
      </c>
      <c r="BB1161" s="11" t="s">
        <v>16</v>
      </c>
      <c r="BC1161" s="11" t="s">
        <v>16</v>
      </c>
      <c r="BD1161" s="11" t="s">
        <v>16</v>
      </c>
      <c r="BE1161" s="11" t="s">
        <v>16</v>
      </c>
      <c r="BF1161" s="11" t="s">
        <v>16</v>
      </c>
      <c r="BG1161" s="11" t="s">
        <v>16</v>
      </c>
      <c r="BH1161" s="11" t="s">
        <v>16</v>
      </c>
      <c r="BI1161" s="11" t="s">
        <v>16</v>
      </c>
      <c r="BJ1161" s="11" t="s">
        <v>16</v>
      </c>
      <c r="BK1161" s="11"/>
      <c r="BL1161" s="11"/>
      <c r="BM1161" s="11"/>
      <c r="BN1161" s="11"/>
      <c r="BO1161" s="11"/>
      <c r="BP1161" s="11"/>
      <c r="BQ1161" s="11"/>
      <c r="BR1161" s="11"/>
      <c r="BS1161" s="11"/>
      <c r="BT1161" s="11"/>
      <c r="BU1161" s="11"/>
      <c r="BV1161" s="11"/>
      <c r="BW1161" s="11" t="s">
        <v>16</v>
      </c>
      <c r="BX1161" s="11" t="s">
        <v>16</v>
      </c>
      <c r="BY1161" s="11" t="s">
        <v>16</v>
      </c>
      <c r="BZ1161" s="11" t="s">
        <v>16</v>
      </c>
      <c r="CA1161" s="11" t="s">
        <v>16</v>
      </c>
      <c r="CB1161" s="11" t="s">
        <v>16</v>
      </c>
      <c r="CC1161" s="11" t="s">
        <v>16</v>
      </c>
      <c r="CD1161" s="11" t="s">
        <v>16</v>
      </c>
      <c r="CE1161" s="11" t="s">
        <v>16</v>
      </c>
      <c r="CF1161" s="11" t="s">
        <v>16</v>
      </c>
      <c r="CG1161" s="11" t="s">
        <v>16</v>
      </c>
      <c r="CH1161" s="11" t="s">
        <v>16</v>
      </c>
      <c r="CI1161" s="11" t="s">
        <v>16</v>
      </c>
      <c r="CJ1161" s="11" t="s">
        <v>16</v>
      </c>
      <c r="CK1161" s="11" t="s">
        <v>16</v>
      </c>
      <c r="CL1161" s="11"/>
      <c r="CM1161" s="11" t="s">
        <v>16</v>
      </c>
      <c r="CN1161" s="11"/>
      <c r="CO1161" s="11"/>
      <c r="CP1161" s="11"/>
      <c r="CQ1161" s="11"/>
      <c r="CR1161" s="11"/>
      <c r="CS1161" s="11"/>
      <c r="CT1161" s="11" t="s">
        <v>16</v>
      </c>
      <c r="CU1161" s="11" t="s">
        <v>16</v>
      </c>
      <c r="CV1161" s="11" t="s">
        <v>16</v>
      </c>
      <c r="CW1161" s="11" t="s">
        <v>16</v>
      </c>
      <c r="CX1161" s="11" t="s">
        <v>16</v>
      </c>
      <c r="CY1161" s="11"/>
      <c r="CZ1161" s="11"/>
      <c r="DA1161" s="11"/>
      <c r="DB1161" s="11"/>
      <c r="DC1161" s="11"/>
      <c r="DD1161" s="11"/>
      <c r="DE1161" s="11" t="s">
        <v>16</v>
      </c>
      <c r="DF1161" s="11" t="s">
        <v>16</v>
      </c>
      <c r="EY1161" s="10" t="str">
        <f>IF($C1161="","",$D1161)</f>
        <v>*</v>
      </c>
    </row>
  </sheetData>
  <sheetProtection algorithmName="SHA-512" hashValue="xrXF1uDWeVO8DifDcow+B7owAjb2RE0HXFhiruF3H6r3i+JlPQ2uSFXGz9c4bBQa3SIVFVAx7lKbJXieANDccg==" saltValue="MBfojKM4VLTLfYbhVU8M5Q==" spinCount="100000" sheet="1" objects="1" scenarios="1"/>
  <mergeCells count="24">
    <mergeCell ref="CK1:CK6"/>
    <mergeCell ref="DD3:DD6"/>
    <mergeCell ref="CN2:CN6"/>
    <mergeCell ref="CO2:CO6"/>
    <mergeCell ref="CM1:CM6"/>
    <mergeCell ref="CQ3:CQ6"/>
    <mergeCell ref="CP3:CP6"/>
    <mergeCell ref="CR3:CR6"/>
    <mergeCell ref="CS3:CS6"/>
    <mergeCell ref="CT3:CT6"/>
    <mergeCell ref="DC3:DC6"/>
    <mergeCell ref="CY3:CY6"/>
    <mergeCell ref="DG3:DG6"/>
    <mergeCell ref="DH3:DH6"/>
    <mergeCell ref="DI3:DI6"/>
    <mergeCell ref="DF1:DF6"/>
    <mergeCell ref="CU3:CU6"/>
    <mergeCell ref="CW3:CW6"/>
    <mergeCell ref="CX3:CX6"/>
    <mergeCell ref="DE3:DE6"/>
    <mergeCell ref="CV3:CV6"/>
    <mergeCell ref="CZ3:CZ6"/>
    <mergeCell ref="DA3:DA6"/>
    <mergeCell ref="DB3:DB6"/>
  </mergeCells>
  <phoneticPr fontId="9" type="noConversion"/>
  <conditionalFormatting sqref="A1:A2">
    <cfRule type="cellIs" dxfId="985" priority="527" operator="greaterThan">
      <formula>0</formula>
    </cfRule>
    <cfRule type="cellIs" dxfId="984" priority="526" operator="equal">
      <formula>0</formula>
    </cfRule>
  </conditionalFormatting>
  <conditionalFormatting sqref="A13:A45 A49:A52 A58:A60 A63:A64 A67:A68 A71 A73 A77:A79 A82:A83 A86:A87 A90 A92 A96:A98 A101:A102 A105:A106 A109 A111 A115:A117 A120:A121 A124:A125 A128 A130 A134:A136 A139:A140 A143:A144 A147 A149 A153:A155 A158:A159 A162:A163 A166 A168 A172:A174 A177:A178 A181:A182 A185 A187 A191:A193 A196:A197 A200:A201 A204 A206 A210:A212 A215:A216 A219:A220 A223 A225 A229:A231 A234:A235 A238:A239 A242 A244 A248:A250 A253:A254 A257:A258 A261 A263 A267:A269 A272:A273 A276:A277 A280 A282 A286:A288 A291:A292 A295:A296 A299 A301 A305:A307 A310:A311 A314:A315 A318 A320 A324:A326 A329:A330 A333:A334 A337 A339 A343:A345 A348:A349 A352:A353 A356 A358 A362:A364 A367:A368 A371:A372 A375 A377 A381:A383 A386:A387 A390:A391 A394 A396 A400:A402 A405:A406 A409:A410 A413 A415 A419:A421 A424:A425 A428:A429 A432 A434 A645 A695:A714">
    <cfRule type="cellIs" dxfId="983" priority="322" operator="equal">
      <formula>0</formula>
    </cfRule>
    <cfRule type="cellIs" dxfId="982" priority="323" operator="greaterThan">
      <formula>0</formula>
    </cfRule>
  </conditionalFormatting>
  <conditionalFormatting sqref="J49:J51 CN49:CN52 CO52">
    <cfRule type="cellIs" dxfId="981" priority="1186" operator="equal">
      <formula>0</formula>
    </cfRule>
  </conditionalFormatting>
  <conditionalFormatting sqref="J49:J52">
    <cfRule type="cellIs" dxfId="980" priority="1194" operator="lessThan">
      <formula>0</formula>
    </cfRule>
    <cfRule type="cellIs" dxfId="979" priority="1195" operator="greaterThan">
      <formula>0</formula>
    </cfRule>
  </conditionalFormatting>
  <conditionalFormatting sqref="J52:K52">
    <cfRule type="cellIs" dxfId="978" priority="1165" operator="equal">
      <formula>0</formula>
    </cfRule>
  </conditionalFormatting>
  <conditionalFormatting sqref="K52">
    <cfRule type="cellIs" dxfId="977" priority="1164" operator="greaterThan">
      <formula>0</formula>
    </cfRule>
    <cfRule type="cellIs" dxfId="976" priority="1163" operator="lessThan">
      <formula>0</formula>
    </cfRule>
  </conditionalFormatting>
  <conditionalFormatting sqref="M13:M32">
    <cfRule type="expression" dxfId="975" priority="524">
      <formula>$L13=1</formula>
    </cfRule>
  </conditionalFormatting>
  <conditionalFormatting sqref="R13:U32">
    <cfRule type="expression" dxfId="974" priority="528">
      <formula>$Q13&lt;&gt;1</formula>
    </cfRule>
  </conditionalFormatting>
  <conditionalFormatting sqref="V63:Y64 AA63:BV64 BX63:CI64">
    <cfRule type="cellIs" dxfId="973" priority="1755" operator="greaterThan">
      <formula>0</formula>
    </cfRule>
    <cfRule type="cellIs" dxfId="972" priority="1754" operator="equal">
      <formula>0</formula>
    </cfRule>
  </conditionalFormatting>
  <conditionalFormatting sqref="V73:Y73 AA73:BV73 BX73:CI73">
    <cfRule type="cellIs" dxfId="971" priority="532" operator="equal">
      <formula>0</formula>
    </cfRule>
    <cfRule type="cellIs" dxfId="970" priority="533" operator="greaterThan">
      <formula>0</formula>
    </cfRule>
  </conditionalFormatting>
  <conditionalFormatting sqref="V82:Y83 AA82:BV83 BX82:CI83 CX82:CX83">
    <cfRule type="cellIs" dxfId="969" priority="248" operator="equal">
      <formula>0</formula>
    </cfRule>
  </conditionalFormatting>
  <conditionalFormatting sqref="V82:Y83 BX82:CI83 CX82:CX83 V101:Y102 BX101:CI102 CX101:CX102 V120:Y121 BX120:CI121 CX120:CX121 V139:Y140 BX139:CI140 CX139:CX140 V158:Y159 BX158:CI159 CX158:CX159 V177:Y178 BX177:CI178 CX177:CX178 V196:Y197 BX196:CI197 CX196:CX197 V215:Y216 BX215:CI216 CX215:CX216 V234:Y235 BX234:CI235 CX234:CX235 V253:Y254 BX253:CI254 CX253:CX254 V272:Y273 BX272:CI273 CX272:CX273 V291:Y292 BX291:CI292 CX291:CX292 V310:Y311 BX310:CI311 CX310:CX311 V329:Y330 BX329:CI330 CX329:CX330 V348:Y349 BX348:CI349 CX348:CX349 V367:Y368 BX367:CI368 CX367:CX368 V386:Y387 BX386:CI387 CX386:CX387 V405:Y406 BX405:CI406 CX405:CX406 V424:Y425 BX424:CI425 CX424:CX425">
    <cfRule type="cellIs" dxfId="968" priority="1243" operator="greaterThan">
      <formula>0</formula>
    </cfRule>
  </conditionalFormatting>
  <conditionalFormatting sqref="V92:Y92 AA92:BV92 BX92:CI92 V111:Y111 AA111:BV111 BX111:CI111 V130:Y130 AA130:BV130 BX130:CI130 V149:Y149 AA149:BV149 BX149:CI149 V168:Y168 AA168:BV168 BX168:CI168 V187:Y187 AA187:BV187 BX187:CI187 V206:Y206 AA206:BV206 BX206:CI206 V225:Y225 AA225:BV225 BX225:CI225 V244:Y244 AA244:BV244 BX244:CI244 V263:Y263 AA263:BV263 BX263:CI263 V282:Y282 AA282:BV282 BX282:CI282 V301:Y301 AA301:BV301 BX301:CI301 V320:Y320 AA320:BV320 BX320:CI320 V339:Y339 AA339:BV339 BX339:CI339 V358:Y358 AA358:BV358 BX358:CI358 V377:Y377 AA377:BV377 BX377:CI377 V396:Y396 AA396:BV396 BX396:CI396 V415:Y415 AA415:BV415 BX415:CI415">
    <cfRule type="cellIs" dxfId="967" priority="534" operator="equal">
      <formula>0</formula>
    </cfRule>
    <cfRule type="cellIs" dxfId="966" priority="535" operator="greaterThan">
      <formula>0</formula>
    </cfRule>
  </conditionalFormatting>
  <conditionalFormatting sqref="V101:Y102 AA101:BV102 BX101:CI102 CX101:CX102 V120:Y121 AA120:BV121 BX120:CI121 CX120:CX121 V139:Y140 AA139:BV140 BX139:CI140 CX139:CX140 V158:Y159 AA158:BV159 BX158:CI159 CX158:CX159 V177:Y178 AA177:BV178 BX177:CI178 CX177:CX178 V196:Y197 AA196:BV197 BX196:CI197 CX196:CX197 V215:Y216 AA215:BV216 BX215:CI216 CX215:CX216 V234:Y235 AA234:BV235 BX234:CI235 CX234:CX235 V253:Y254 AA253:BV254 BX253:CI254 CX253:CX254 V272:Y273 AA272:BV273 BX272:CI273 CX272:CX273 V291:Y292 AA291:BV292 BX291:CI292 CX291:CX292 V310:Y311 AA310:BV311 BX310:CI311 CX310:CX311 V329:Y330 AA329:BV330 BX329:CI330 CX329:CX330 V348:Y349 AA348:BV349 BX348:CI349 CX348:CX349 V367:Y368 AA367:BV368 BX367:CI368 CX367:CX368 V386:Y387 AA386:BV387 BX386:CI387 CX386:CX387 V405:Y406 AA405:BV406 BX405:CI406 CX405:CX406 V424:Y425 AA424:BV425 BX424:CI425 CX424:CX425">
    <cfRule type="cellIs" dxfId="965" priority="246" operator="equal">
      <formula>0</formula>
    </cfRule>
  </conditionalFormatting>
  <conditionalFormatting sqref="V434:Y434 AA434:BV434 BX434:CI434">
    <cfRule type="cellIs" dxfId="964" priority="538" operator="equal">
      <formula>0</formula>
    </cfRule>
    <cfRule type="cellIs" dxfId="963" priority="539" operator="greaterThan">
      <formula>0</formula>
    </cfRule>
  </conditionalFormatting>
  <conditionalFormatting sqref="V645:Y645 AA645:BV645 BX645:CI645">
    <cfRule type="cellIs" dxfId="962" priority="1290" operator="equal">
      <formula>0</formula>
    </cfRule>
    <cfRule type="cellIs" dxfId="961" priority="1291" operator="greaterThan">
      <formula>0</formula>
    </cfRule>
  </conditionalFormatting>
  <conditionalFormatting sqref="AA58:BI60 AA67:BI68 AA71:BI71 AA77:BI79 AA86:AI87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
    <cfRule type="expression" dxfId="960" priority="307">
      <formula>AND(AA$4=0,AB$4=1)</formula>
    </cfRule>
  </conditionalFormatting>
  <conditionalFormatting sqref="AA13:BV32">
    <cfRule type="expression" dxfId="959" priority="522">
      <formula>$L13=0</formula>
    </cfRule>
  </conditionalFormatting>
  <conditionalFormatting sqref="AA82:BV83">
    <cfRule type="cellIs" dxfId="958" priority="249" operator="greaterThan">
      <formula>0</formula>
    </cfRule>
  </conditionalFormatting>
  <conditionalFormatting sqref="AA101:BV102 AA120:BV121 AA139:BV140 AA158:BV159 AA177:BV178 AA196:BV197 AA215:BV216 AA234:BV235 AA253:BV254 AA272:BV273 AA291:BV292 AA310:BV311 AA329:BV330 AA348:BV349 AA367:BV368 AA386:BV387 AA405:BV406 AA424:BV425">
    <cfRule type="cellIs" dxfId="957" priority="247" operator="greaterThan">
      <formula>0</formula>
    </cfRule>
  </conditionalFormatting>
  <conditionalFormatting 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
    <cfRule type="expression" dxfId="956" priority="301">
      <formula>AND(BJ$4=0,BW$4=1)</formula>
    </cfRule>
  </conditionalFormatting>
  <conditionalFormatting sqref="CL2">
    <cfRule type="cellIs" dxfId="955" priority="311" operator="equal">
      <formula>0</formula>
    </cfRule>
    <cfRule type="cellIs" dxfId="954" priority="310" operator="greaterThan">
      <formula>0</formula>
    </cfRule>
  </conditionalFormatting>
  <conditionalFormatting sqref="CL58:CL60">
    <cfRule type="cellIs" dxfId="953" priority="314" operator="greaterThan">
      <formula>0</formula>
    </cfRule>
    <cfRule type="cellIs" dxfId="952" priority="315" operator="equal">
      <formula>0</formula>
    </cfRule>
  </conditionalFormatting>
  <conditionalFormatting sqref="CL60">
    <cfRule type="cellIs" dxfId="951" priority="441" operator="greaterThan">
      <formula>0</formula>
    </cfRule>
  </conditionalFormatting>
  <conditionalFormatting sqref="CL67:CL68 CL71 CL77:CL79 CL86:CL87 CL90 CL96:CL98 CL105:CL106 CL109 CL115:CL117 CL124:CL125 CL128 CL134:CL136 CL143:CL144 CL147 CL153:CL155 CL162:CL163 CL166 CL172:CL174 CL181:CL182 CL185 CL191:CL193 CL200:CL201 CL204 CL210:CL212 CL219:CL220 CL223 CL229:CL231 CL238:CL239 CL242 CL248:CL250 CL257:CL258 CL261 CL267:CL269 CL276:CL277 CL280 CL286:CL288 CL295:CL296 CL299 CL305:CL307 CL314:CL315 CL318 CL324:CL326 CL333:CL334 CL337 CL343:CL345 CL352:CL353 CL356 CL362:CL364 CL371:CL372 CL375 CL381:CL383 CL390:CL391 CL394 CL400:CL402 CL409:CL410 CL413 CL419:CL421 CL428:CL429 CL432">
    <cfRule type="cellIs" dxfId="950" priority="313" operator="equal">
      <formula>0</formula>
    </cfRule>
    <cfRule type="cellIs" dxfId="949" priority="312" operator="greaterThan">
      <formula>0</formula>
    </cfRule>
  </conditionalFormatting>
  <conditionalFormatting sqref="CN49:CN52 CO52">
    <cfRule type="cellIs" dxfId="948" priority="1187" operator="equal">
      <formula>1</formula>
    </cfRule>
  </conditionalFormatting>
  <conditionalFormatting sqref="CP13:CW32">
    <cfRule type="cellIs" dxfId="947" priority="530" operator="equal">
      <formula>0</formula>
    </cfRule>
    <cfRule type="cellIs" dxfId="946" priority="531" operator="greaterThan">
      <formula>0</formula>
    </cfRule>
  </conditionalFormatting>
  <conditionalFormatting sqref="CW695:CW714">
    <cfRule type="cellIs" dxfId="945" priority="1306" operator="equal">
      <formula>0</formula>
    </cfRule>
    <cfRule type="cellIs" dxfId="944" priority="1307" operator="greaterThan">
      <formula>0</formula>
    </cfRule>
  </conditionalFormatting>
  <conditionalFormatting sqref="CX63:CX64">
    <cfRule type="cellIs" dxfId="943" priority="1874" operator="equal">
      <formula>0</formula>
    </cfRule>
    <cfRule type="cellIs" dxfId="942" priority="1875" operator="greaterThan">
      <formula>0</formula>
    </cfRule>
  </conditionalFormatting>
  <conditionalFormatting sqref="CX73">
    <cfRule type="cellIs" dxfId="941" priority="680" operator="equal">
      <formula>0</formula>
    </cfRule>
    <cfRule type="cellIs" dxfId="940" priority="681" operator="greaterThan">
      <formula>0</formula>
    </cfRule>
  </conditionalFormatting>
  <conditionalFormatting sqref="CX92">
    <cfRule type="cellIs" dxfId="939" priority="644" operator="equal">
      <formula>0</formula>
    </cfRule>
    <cfRule type="cellIs" dxfId="938" priority="645" operator="greaterThan">
      <formula>0</formula>
    </cfRule>
  </conditionalFormatting>
  <conditionalFormatting sqref="CX111">
    <cfRule type="cellIs" dxfId="937" priority="638" operator="equal">
      <formula>0</formula>
    </cfRule>
    <cfRule type="cellIs" dxfId="936" priority="639" operator="greaterThan">
      <formula>0</formula>
    </cfRule>
  </conditionalFormatting>
  <conditionalFormatting sqref="CX130">
    <cfRule type="cellIs" dxfId="935" priority="632" operator="equal">
      <formula>0</formula>
    </cfRule>
    <cfRule type="cellIs" dxfId="934" priority="633" operator="greaterThan">
      <formula>0</formula>
    </cfRule>
  </conditionalFormatting>
  <conditionalFormatting sqref="CX149">
    <cfRule type="cellIs" dxfId="933" priority="626" operator="equal">
      <formula>0</formula>
    </cfRule>
    <cfRule type="cellIs" dxfId="932" priority="627" operator="greaterThan">
      <formula>0</formula>
    </cfRule>
  </conditionalFormatting>
  <conditionalFormatting sqref="CX168">
    <cfRule type="cellIs" dxfId="931" priority="620" operator="equal">
      <formula>0</formula>
    </cfRule>
    <cfRule type="cellIs" dxfId="930" priority="621" operator="greaterThan">
      <formula>0</formula>
    </cfRule>
  </conditionalFormatting>
  <conditionalFormatting sqref="CX187">
    <cfRule type="cellIs" dxfId="929" priority="615" operator="greaterThan">
      <formula>0</formula>
    </cfRule>
    <cfRule type="cellIs" dxfId="928" priority="614" operator="equal">
      <formula>0</formula>
    </cfRule>
  </conditionalFormatting>
  <conditionalFormatting sqref="CX206">
    <cfRule type="cellIs" dxfId="927" priority="609" operator="greaterThan">
      <formula>0</formula>
    </cfRule>
    <cfRule type="cellIs" dxfId="926" priority="608" operator="equal">
      <formula>0</formula>
    </cfRule>
  </conditionalFormatting>
  <conditionalFormatting sqref="CX225">
    <cfRule type="cellIs" dxfId="925" priority="602" operator="equal">
      <formula>0</formula>
    </cfRule>
    <cfRule type="cellIs" dxfId="924" priority="603" operator="greaterThan">
      <formula>0</formula>
    </cfRule>
  </conditionalFormatting>
  <conditionalFormatting sqref="CX244">
    <cfRule type="cellIs" dxfId="923" priority="597" operator="greaterThan">
      <formula>0</formula>
    </cfRule>
    <cfRule type="cellIs" dxfId="922" priority="596" operator="equal">
      <formula>0</formula>
    </cfRule>
  </conditionalFormatting>
  <conditionalFormatting sqref="CX263">
    <cfRule type="cellIs" dxfId="921" priority="591" operator="greaterThan">
      <formula>0</formula>
    </cfRule>
    <cfRule type="cellIs" dxfId="920" priority="590" operator="equal">
      <formula>0</formula>
    </cfRule>
  </conditionalFormatting>
  <conditionalFormatting sqref="CX282">
    <cfRule type="cellIs" dxfId="919" priority="585" operator="greaterThan">
      <formula>0</formula>
    </cfRule>
    <cfRule type="cellIs" dxfId="918" priority="584" operator="equal">
      <formula>0</formula>
    </cfRule>
  </conditionalFormatting>
  <conditionalFormatting sqref="CX301">
    <cfRule type="cellIs" dxfId="917" priority="579" operator="greaterThan">
      <formula>0</formula>
    </cfRule>
    <cfRule type="cellIs" dxfId="916" priority="578" operator="equal">
      <formula>0</formula>
    </cfRule>
  </conditionalFormatting>
  <conditionalFormatting sqref="CX320">
    <cfRule type="cellIs" dxfId="915" priority="573" operator="greaterThan">
      <formula>0</formula>
    </cfRule>
    <cfRule type="cellIs" dxfId="914" priority="572" operator="equal">
      <formula>0</formula>
    </cfRule>
  </conditionalFormatting>
  <conditionalFormatting sqref="CX339">
    <cfRule type="cellIs" dxfId="913" priority="567" operator="greaterThan">
      <formula>0</formula>
    </cfRule>
    <cfRule type="cellIs" dxfId="912" priority="566" operator="equal">
      <formula>0</formula>
    </cfRule>
  </conditionalFormatting>
  <conditionalFormatting sqref="CX358">
    <cfRule type="cellIs" dxfId="911" priority="561" operator="greaterThan">
      <formula>0</formula>
    </cfRule>
    <cfRule type="cellIs" dxfId="910" priority="560" operator="equal">
      <formula>0</formula>
    </cfRule>
  </conditionalFormatting>
  <conditionalFormatting sqref="CX377">
    <cfRule type="cellIs" dxfId="909" priority="555" operator="greaterThan">
      <formula>0</formula>
    </cfRule>
    <cfRule type="cellIs" dxfId="908" priority="554" operator="equal">
      <formula>0</formula>
    </cfRule>
  </conditionalFormatting>
  <conditionalFormatting sqref="CX396">
    <cfRule type="cellIs" dxfId="907" priority="549" operator="greaterThan">
      <formula>0</formula>
    </cfRule>
    <cfRule type="cellIs" dxfId="906" priority="548" operator="equal">
      <formula>0</formula>
    </cfRule>
  </conditionalFormatting>
  <conditionalFormatting sqref="CX415">
    <cfRule type="cellIs" dxfId="905" priority="542" operator="equal">
      <formula>0</formula>
    </cfRule>
    <cfRule type="cellIs" dxfId="904" priority="543" operator="greaterThan">
      <formula>0</formula>
    </cfRule>
  </conditionalFormatting>
  <conditionalFormatting sqref="CX434">
    <cfRule type="cellIs" dxfId="903" priority="537" operator="greaterThan">
      <formula>0</formula>
    </cfRule>
    <cfRule type="cellIs" dxfId="902" priority="536" operator="equal">
      <formula>0</formula>
    </cfRule>
  </conditionalFormatting>
  <conditionalFormatting sqref="CY13:CY32">
    <cfRule type="cellIs" dxfId="901" priority="122" operator="greaterThan">
      <formula>0</formula>
    </cfRule>
    <cfRule type="cellIs" dxfId="900" priority="121" operator="equal">
      <formula>0</formula>
    </cfRule>
  </conditionalFormatting>
  <conditionalFormatting sqref="CY57:CY60">
    <cfRule type="cellIs" dxfId="899" priority="120" operator="greaterThan">
      <formula>0</formula>
    </cfRule>
    <cfRule type="cellIs" dxfId="898" priority="119" operator="equal">
      <formula>0</formula>
    </cfRule>
  </conditionalFormatting>
  <conditionalFormatting sqref="CY66:CY68">
    <cfRule type="cellIs" dxfId="897" priority="118" operator="greaterThan">
      <formula>0</formula>
    </cfRule>
    <cfRule type="cellIs" dxfId="896" priority="117" operator="equal">
      <formula>0</formula>
    </cfRule>
  </conditionalFormatting>
  <conditionalFormatting sqref="CY76:CY79">
    <cfRule type="cellIs" dxfId="895" priority="114" operator="greaterThan">
      <formula>0</formula>
    </cfRule>
    <cfRule type="cellIs" dxfId="894" priority="113" operator="equal">
      <formula>0</formula>
    </cfRule>
  </conditionalFormatting>
  <conditionalFormatting sqref="CY85:CY87">
    <cfRule type="cellIs" dxfId="893" priority="111" operator="equal">
      <formula>0</formula>
    </cfRule>
    <cfRule type="cellIs" dxfId="892" priority="112" operator="greaterThan">
      <formula>0</formula>
    </cfRule>
  </conditionalFormatting>
  <conditionalFormatting sqref="CY95:CY98">
    <cfRule type="cellIs" dxfId="891" priority="108" operator="greaterThan">
      <formula>0</formula>
    </cfRule>
    <cfRule type="cellIs" dxfId="890" priority="107" operator="equal">
      <formula>0</formula>
    </cfRule>
  </conditionalFormatting>
  <conditionalFormatting sqref="CY104:CY106">
    <cfRule type="cellIs" dxfId="889" priority="106" operator="greaterThan">
      <formula>0</formula>
    </cfRule>
    <cfRule type="cellIs" dxfId="888" priority="105" operator="equal">
      <formula>0</formula>
    </cfRule>
  </conditionalFormatting>
  <conditionalFormatting sqref="CY114:CY117">
    <cfRule type="cellIs" dxfId="887" priority="102" operator="greaterThan">
      <formula>0</formula>
    </cfRule>
    <cfRule type="cellIs" dxfId="886" priority="101" operator="equal">
      <formula>0</formula>
    </cfRule>
  </conditionalFormatting>
  <conditionalFormatting sqref="CY123:CY125">
    <cfRule type="cellIs" dxfId="885" priority="100" operator="greaterThan">
      <formula>0</formula>
    </cfRule>
    <cfRule type="cellIs" dxfId="884" priority="99" operator="equal">
      <formula>0</formula>
    </cfRule>
  </conditionalFormatting>
  <conditionalFormatting sqref="CY133:CY136">
    <cfRule type="cellIs" dxfId="883" priority="95" operator="equal">
      <formula>0</formula>
    </cfRule>
    <cfRule type="cellIs" dxfId="882" priority="96" operator="greaterThan">
      <formula>0</formula>
    </cfRule>
  </conditionalFormatting>
  <conditionalFormatting sqref="CY142:CY144">
    <cfRule type="cellIs" dxfId="881" priority="94" operator="greaterThan">
      <formula>0</formula>
    </cfRule>
    <cfRule type="cellIs" dxfId="880" priority="93" operator="equal">
      <formula>0</formula>
    </cfRule>
  </conditionalFormatting>
  <conditionalFormatting sqref="CY152:CY155">
    <cfRule type="cellIs" dxfId="879" priority="90" operator="greaterThan">
      <formula>0</formula>
    </cfRule>
    <cfRule type="cellIs" dxfId="878" priority="89" operator="equal">
      <formula>0</formula>
    </cfRule>
  </conditionalFormatting>
  <conditionalFormatting sqref="CY161:CY163">
    <cfRule type="cellIs" dxfId="877" priority="88" operator="greaterThan">
      <formula>0</formula>
    </cfRule>
    <cfRule type="cellIs" dxfId="876" priority="87" operator="equal">
      <formula>0</formula>
    </cfRule>
  </conditionalFormatting>
  <conditionalFormatting sqref="CY171:CY174">
    <cfRule type="cellIs" dxfId="875" priority="84" operator="greaterThan">
      <formula>0</formula>
    </cfRule>
    <cfRule type="cellIs" dxfId="874" priority="83" operator="equal">
      <formula>0</formula>
    </cfRule>
  </conditionalFormatting>
  <conditionalFormatting sqref="CY180:CY182">
    <cfRule type="cellIs" dxfId="873" priority="82" operator="greaterThan">
      <formula>0</formula>
    </cfRule>
    <cfRule type="cellIs" dxfId="872" priority="81" operator="equal">
      <formula>0</formula>
    </cfRule>
  </conditionalFormatting>
  <conditionalFormatting sqref="CY190:CY193">
    <cfRule type="cellIs" dxfId="871" priority="78" operator="greaterThan">
      <formula>0</formula>
    </cfRule>
    <cfRule type="cellIs" dxfId="870" priority="77" operator="equal">
      <formula>0</formula>
    </cfRule>
  </conditionalFormatting>
  <conditionalFormatting sqref="CY199:CY201">
    <cfRule type="cellIs" dxfId="869" priority="75" operator="equal">
      <formula>0</formula>
    </cfRule>
    <cfRule type="cellIs" dxfId="868" priority="76" operator="greaterThan">
      <formula>0</formula>
    </cfRule>
  </conditionalFormatting>
  <conditionalFormatting sqref="CY209:CY212">
    <cfRule type="cellIs" dxfId="867" priority="72" operator="greaterThan">
      <formula>0</formula>
    </cfRule>
    <cfRule type="cellIs" dxfId="866" priority="71" operator="equal">
      <formula>0</formula>
    </cfRule>
  </conditionalFormatting>
  <conditionalFormatting sqref="CY218:CY220">
    <cfRule type="cellIs" dxfId="865" priority="69" operator="equal">
      <formula>0</formula>
    </cfRule>
    <cfRule type="cellIs" dxfId="864" priority="70" operator="greaterThan">
      <formula>0</formula>
    </cfRule>
  </conditionalFormatting>
  <conditionalFormatting sqref="CY228:CY231">
    <cfRule type="cellIs" dxfId="863" priority="66" operator="greaterThan">
      <formula>0</formula>
    </cfRule>
    <cfRule type="cellIs" dxfId="862" priority="65" operator="equal">
      <formula>0</formula>
    </cfRule>
  </conditionalFormatting>
  <conditionalFormatting sqref="CY237:CY239">
    <cfRule type="cellIs" dxfId="861" priority="63" operator="equal">
      <formula>0</formula>
    </cfRule>
    <cfRule type="cellIs" dxfId="860" priority="64" operator="greaterThan">
      <formula>0</formula>
    </cfRule>
  </conditionalFormatting>
  <conditionalFormatting sqref="CY247:CY250">
    <cfRule type="cellIs" dxfId="859" priority="60" operator="greaterThan">
      <formula>0</formula>
    </cfRule>
    <cfRule type="cellIs" dxfId="858" priority="59" operator="equal">
      <formula>0</formula>
    </cfRule>
  </conditionalFormatting>
  <conditionalFormatting sqref="CY256:CY258">
    <cfRule type="cellIs" dxfId="857" priority="58" operator="greaterThan">
      <formula>0</formula>
    </cfRule>
    <cfRule type="cellIs" dxfId="856" priority="57" operator="equal">
      <formula>0</formula>
    </cfRule>
  </conditionalFormatting>
  <conditionalFormatting sqref="CY266:CY269">
    <cfRule type="cellIs" dxfId="855" priority="54" operator="greaterThan">
      <formula>0</formula>
    </cfRule>
    <cfRule type="cellIs" dxfId="854" priority="53" operator="equal">
      <formula>0</formula>
    </cfRule>
  </conditionalFormatting>
  <conditionalFormatting sqref="CY275:CY277">
    <cfRule type="cellIs" dxfId="853" priority="52" operator="greaterThan">
      <formula>0</formula>
    </cfRule>
    <cfRule type="cellIs" dxfId="852" priority="51" operator="equal">
      <formula>0</formula>
    </cfRule>
  </conditionalFormatting>
  <conditionalFormatting sqref="CY285:CY288">
    <cfRule type="cellIs" dxfId="851" priority="48" operator="greaterThan">
      <formula>0</formula>
    </cfRule>
    <cfRule type="cellIs" dxfId="850" priority="47" operator="equal">
      <formula>0</formula>
    </cfRule>
  </conditionalFormatting>
  <conditionalFormatting sqref="CY294:CY296">
    <cfRule type="cellIs" dxfId="849" priority="45" operator="equal">
      <formula>0</formula>
    </cfRule>
    <cfRule type="cellIs" dxfId="848" priority="46" operator="greaterThan">
      <formula>0</formula>
    </cfRule>
  </conditionalFormatting>
  <conditionalFormatting sqref="CY304:CY307">
    <cfRule type="cellIs" dxfId="847" priority="41" operator="equal">
      <formula>0</formula>
    </cfRule>
    <cfRule type="cellIs" dxfId="846" priority="42" operator="greaterThan">
      <formula>0</formula>
    </cfRule>
  </conditionalFormatting>
  <conditionalFormatting sqref="CY313:CY315">
    <cfRule type="cellIs" dxfId="845" priority="40" operator="greaterThan">
      <formula>0</formula>
    </cfRule>
    <cfRule type="cellIs" dxfId="844" priority="39" operator="equal">
      <formula>0</formula>
    </cfRule>
  </conditionalFormatting>
  <conditionalFormatting sqref="CY323:CY326">
    <cfRule type="cellIs" dxfId="843" priority="36" operator="greaterThan">
      <formula>0</formula>
    </cfRule>
    <cfRule type="cellIs" dxfId="842" priority="35" operator="equal">
      <formula>0</formula>
    </cfRule>
  </conditionalFormatting>
  <conditionalFormatting sqref="CY332:CY334">
    <cfRule type="cellIs" dxfId="841" priority="33" operator="equal">
      <formula>0</formula>
    </cfRule>
    <cfRule type="cellIs" dxfId="840" priority="34" operator="greaterThan">
      <formula>0</formula>
    </cfRule>
  </conditionalFormatting>
  <conditionalFormatting sqref="CY342:CY345">
    <cfRule type="cellIs" dxfId="839" priority="29" operator="equal">
      <formula>0</formula>
    </cfRule>
    <cfRule type="cellIs" dxfId="838" priority="30" operator="greaterThan">
      <formula>0</formula>
    </cfRule>
  </conditionalFormatting>
  <conditionalFormatting sqref="CY351:CY353">
    <cfRule type="cellIs" dxfId="837" priority="27" operator="equal">
      <formula>0</formula>
    </cfRule>
    <cfRule type="cellIs" dxfId="836" priority="28" operator="greaterThan">
      <formula>0</formula>
    </cfRule>
  </conditionalFormatting>
  <conditionalFormatting sqref="CY361:CY364">
    <cfRule type="cellIs" dxfId="835" priority="23" operator="equal">
      <formula>0</formula>
    </cfRule>
    <cfRule type="cellIs" dxfId="834" priority="24" operator="greaterThan">
      <formula>0</formula>
    </cfRule>
  </conditionalFormatting>
  <conditionalFormatting sqref="CY370:CY372">
    <cfRule type="cellIs" dxfId="833" priority="21" operator="equal">
      <formula>0</formula>
    </cfRule>
    <cfRule type="cellIs" dxfId="832" priority="22" operator="greaterThan">
      <formula>0</formula>
    </cfRule>
  </conditionalFormatting>
  <conditionalFormatting sqref="CY380:CY383">
    <cfRule type="cellIs" dxfId="831" priority="18" operator="greaterThan">
      <formula>0</formula>
    </cfRule>
    <cfRule type="cellIs" dxfId="830" priority="17" operator="equal">
      <formula>0</formula>
    </cfRule>
  </conditionalFormatting>
  <conditionalFormatting sqref="CY389:CY391">
    <cfRule type="cellIs" dxfId="829" priority="16" operator="greaterThan">
      <formula>0</formula>
    </cfRule>
    <cfRule type="cellIs" dxfId="828" priority="15" operator="equal">
      <formula>0</formula>
    </cfRule>
  </conditionalFormatting>
  <conditionalFormatting sqref="CY399:CY402">
    <cfRule type="cellIs" dxfId="827" priority="11" operator="equal">
      <formula>0</formula>
    </cfRule>
    <cfRule type="cellIs" dxfId="826" priority="12" operator="greaterThan">
      <formula>0</formula>
    </cfRule>
  </conditionalFormatting>
  <conditionalFormatting sqref="CY408:CY410">
    <cfRule type="cellIs" dxfId="825" priority="10" operator="greaterThan">
      <formula>0</formula>
    </cfRule>
    <cfRule type="cellIs" dxfId="824" priority="9" operator="equal">
      <formula>0</formula>
    </cfRule>
  </conditionalFormatting>
  <conditionalFormatting sqref="CY418:CY421">
    <cfRule type="cellIs" dxfId="823" priority="5" operator="equal">
      <formula>0</formula>
    </cfRule>
    <cfRule type="cellIs" dxfId="822" priority="6" operator="greaterThan">
      <formula>0</formula>
    </cfRule>
  </conditionalFormatting>
  <conditionalFormatting sqref="CY427:CY429">
    <cfRule type="cellIs" dxfId="821" priority="4" operator="greaterThan">
      <formula>0</formula>
    </cfRule>
    <cfRule type="cellIs" dxfId="820" priority="3" operator="equal">
      <formula>0</formula>
    </cfRule>
  </conditionalFormatting>
  <conditionalFormatting sqref="CY71:DD71">
    <cfRule type="cellIs" dxfId="819" priority="115" operator="equal">
      <formula>0</formula>
    </cfRule>
    <cfRule type="cellIs" dxfId="818" priority="116" operator="greaterThan">
      <formula>0</formula>
    </cfRule>
  </conditionalFormatting>
  <conditionalFormatting sqref="CY90:DD90">
    <cfRule type="cellIs" dxfId="817" priority="110" operator="greaterThan">
      <formula>0</formula>
    </cfRule>
    <cfRule type="cellIs" dxfId="816" priority="109" operator="equal">
      <formula>0</formula>
    </cfRule>
  </conditionalFormatting>
  <conditionalFormatting sqref="CY109:DD109">
    <cfRule type="cellIs" dxfId="815" priority="103" operator="equal">
      <formula>0</formula>
    </cfRule>
    <cfRule type="cellIs" dxfId="814" priority="104" operator="greaterThan">
      <formula>0</formula>
    </cfRule>
  </conditionalFormatting>
  <conditionalFormatting sqref="CY128:DD128">
    <cfRule type="cellIs" dxfId="813" priority="98" operator="greaterThan">
      <formula>0</formula>
    </cfRule>
    <cfRule type="cellIs" dxfId="812" priority="97" operator="equal">
      <formula>0</formula>
    </cfRule>
  </conditionalFormatting>
  <conditionalFormatting sqref="CY147:DD147">
    <cfRule type="cellIs" dxfId="811" priority="92" operator="greaterThan">
      <formula>0</formula>
    </cfRule>
    <cfRule type="cellIs" dxfId="810" priority="91" operator="equal">
      <formula>0</formula>
    </cfRule>
  </conditionalFormatting>
  <conditionalFormatting sqref="CY166:DD166">
    <cfRule type="cellIs" dxfId="809" priority="85" operator="equal">
      <formula>0</formula>
    </cfRule>
    <cfRule type="cellIs" dxfId="808" priority="86" operator="greaterThan">
      <formula>0</formula>
    </cfRule>
  </conditionalFormatting>
  <conditionalFormatting sqref="CY185:DD185">
    <cfRule type="cellIs" dxfId="807" priority="79" operator="equal">
      <formula>0</formula>
    </cfRule>
    <cfRule type="cellIs" dxfId="806" priority="80" operator="greaterThan">
      <formula>0</formula>
    </cfRule>
  </conditionalFormatting>
  <conditionalFormatting sqref="CY204:DD204">
    <cfRule type="cellIs" dxfId="805" priority="73" operator="equal">
      <formula>0</formula>
    </cfRule>
    <cfRule type="cellIs" dxfId="804" priority="74" operator="greaterThan">
      <formula>0</formula>
    </cfRule>
  </conditionalFormatting>
  <conditionalFormatting sqref="CY223:DD223">
    <cfRule type="cellIs" dxfId="803" priority="67" operator="equal">
      <formula>0</formula>
    </cfRule>
    <cfRule type="cellIs" dxfId="802" priority="68" operator="greaterThan">
      <formula>0</formula>
    </cfRule>
  </conditionalFormatting>
  <conditionalFormatting sqref="CY242:DD242">
    <cfRule type="cellIs" dxfId="801" priority="61" operator="equal">
      <formula>0</formula>
    </cfRule>
    <cfRule type="cellIs" dxfId="800" priority="62" operator="greaterThan">
      <formula>0</formula>
    </cfRule>
  </conditionalFormatting>
  <conditionalFormatting sqref="CY261:DD261">
    <cfRule type="cellIs" dxfId="799" priority="55" operator="equal">
      <formula>0</formula>
    </cfRule>
    <cfRule type="cellIs" dxfId="798" priority="56" operator="greaterThan">
      <formula>0</formula>
    </cfRule>
  </conditionalFormatting>
  <conditionalFormatting sqref="CY280:DD280">
    <cfRule type="cellIs" dxfId="797" priority="49" operator="equal">
      <formula>0</formula>
    </cfRule>
    <cfRule type="cellIs" dxfId="796" priority="50" operator="greaterThan">
      <formula>0</formula>
    </cfRule>
  </conditionalFormatting>
  <conditionalFormatting sqref="CY299:DD299">
    <cfRule type="cellIs" dxfId="795" priority="44" operator="greaterThan">
      <formula>0</formula>
    </cfRule>
    <cfRule type="cellIs" dxfId="794" priority="43" operator="equal">
      <formula>0</formula>
    </cfRule>
  </conditionalFormatting>
  <conditionalFormatting sqref="CY318:DD318">
    <cfRule type="cellIs" dxfId="793" priority="37" operator="equal">
      <formula>0</formula>
    </cfRule>
    <cfRule type="cellIs" dxfId="792" priority="38" operator="greaterThan">
      <formula>0</formula>
    </cfRule>
  </conditionalFormatting>
  <conditionalFormatting sqref="CY337:DD337">
    <cfRule type="cellIs" dxfId="791" priority="31" operator="equal">
      <formula>0</formula>
    </cfRule>
    <cfRule type="cellIs" dxfId="790" priority="32" operator="greaterThan">
      <formula>0</formula>
    </cfRule>
  </conditionalFormatting>
  <conditionalFormatting sqref="CY356:DD356">
    <cfRule type="cellIs" dxfId="789" priority="26" operator="greaterThan">
      <formula>0</formula>
    </cfRule>
    <cfRule type="cellIs" dxfId="788" priority="25" operator="equal">
      <formula>0</formula>
    </cfRule>
  </conditionalFormatting>
  <conditionalFormatting sqref="CY375:DD375">
    <cfRule type="cellIs" dxfId="787" priority="20" operator="greaterThan">
      <formula>0</formula>
    </cfRule>
    <cfRule type="cellIs" dxfId="786" priority="19" operator="equal">
      <formula>0</formula>
    </cfRule>
  </conditionalFormatting>
  <conditionalFormatting sqref="CY394:DD394">
    <cfRule type="cellIs" dxfId="785" priority="13" operator="equal">
      <formula>0</formula>
    </cfRule>
    <cfRule type="cellIs" dxfId="784" priority="14" operator="greaterThan">
      <formula>0</formula>
    </cfRule>
  </conditionalFormatting>
  <conditionalFormatting sqref="CY413:DD413">
    <cfRule type="cellIs" dxfId="783" priority="7" operator="equal">
      <formula>0</formula>
    </cfRule>
    <cfRule type="cellIs" dxfId="782" priority="8" operator="greaterThan">
      <formula>0</formula>
    </cfRule>
  </conditionalFormatting>
  <conditionalFormatting sqref="CY432:DD432">
    <cfRule type="cellIs" dxfId="781" priority="1" operator="equal">
      <formula>0</formula>
    </cfRule>
    <cfRule type="cellIs" dxfId="780" priority="2" operator="greaterThan">
      <formula>0</formula>
    </cfRule>
  </conditionalFormatting>
  <conditionalFormatting sqref="CZ58:DD60">
    <cfRule type="cellIs" dxfId="779" priority="240" operator="equal">
      <formula>0</formula>
    </cfRule>
    <cfRule type="cellIs" dxfId="778" priority="241" operator="greaterThan">
      <formula>0</formula>
    </cfRule>
  </conditionalFormatting>
  <conditionalFormatting sqref="CZ67:DD68 CZ86:DD87 CZ105:DD106 CZ124:DD125 CZ143:DD144 CZ162:DD163 CZ181:DD182 CZ200:DD201 CZ219:DD220 CZ238:DD239 CZ257:DD258 CZ276:DD277 CZ295:DD296 CZ314:DD315 CZ333:DD334 CZ352:DD353 CZ371:DD372 CZ390:DD391 CZ409:DD410 CZ428:DD429">
    <cfRule type="cellIs" dxfId="777" priority="242" operator="equal">
      <formula>0</formula>
    </cfRule>
    <cfRule type="cellIs" dxfId="776" priority="243" operator="greaterThan">
      <formula>0</formula>
    </cfRule>
  </conditionalFormatting>
  <conditionalFormatting sqref="CZ77:DD79">
    <cfRule type="cellIs" dxfId="775" priority="237" operator="greaterThan">
      <formula>0</formula>
    </cfRule>
    <cfRule type="cellIs" dxfId="774" priority="236" operator="equal">
      <formula>0</formula>
    </cfRule>
  </conditionalFormatting>
  <conditionalFormatting sqref="CZ96:DD98">
    <cfRule type="cellIs" dxfId="773" priority="232" operator="equal">
      <formula>0</formula>
    </cfRule>
    <cfRule type="cellIs" dxfId="772" priority="233" operator="greaterThan">
      <formula>0</formula>
    </cfRule>
  </conditionalFormatting>
  <conditionalFormatting sqref="CZ115:DD117">
    <cfRule type="cellIs" dxfId="771" priority="228" operator="equal">
      <formula>0</formula>
    </cfRule>
    <cfRule type="cellIs" dxfId="770" priority="229" operator="greaterThan">
      <formula>0</formula>
    </cfRule>
  </conditionalFormatting>
  <conditionalFormatting sqref="CZ134:DD136">
    <cfRule type="cellIs" dxfId="769" priority="224" operator="equal">
      <formula>0</formula>
    </cfRule>
    <cfRule type="cellIs" dxfId="768" priority="225" operator="greaterThan">
      <formula>0</formula>
    </cfRule>
  </conditionalFormatting>
  <conditionalFormatting sqref="CZ153:DD155">
    <cfRule type="cellIs" dxfId="767" priority="220" operator="equal">
      <formula>0</formula>
    </cfRule>
    <cfRule type="cellIs" dxfId="766" priority="221" operator="greaterThan">
      <formula>0</formula>
    </cfRule>
  </conditionalFormatting>
  <conditionalFormatting sqref="CZ172:DD174">
    <cfRule type="cellIs" dxfId="765" priority="216" operator="equal">
      <formula>0</formula>
    </cfRule>
    <cfRule type="cellIs" dxfId="764" priority="217" operator="greaterThan">
      <formula>0</formula>
    </cfRule>
  </conditionalFormatting>
  <conditionalFormatting sqref="CZ191:DD193">
    <cfRule type="cellIs" dxfId="763" priority="213" operator="greaterThan">
      <formula>0</formula>
    </cfRule>
    <cfRule type="cellIs" dxfId="762" priority="212" operator="equal">
      <formula>0</formula>
    </cfRule>
  </conditionalFormatting>
  <conditionalFormatting sqref="CZ210:DD212">
    <cfRule type="cellIs" dxfId="761" priority="208" operator="equal">
      <formula>0</formula>
    </cfRule>
    <cfRule type="cellIs" dxfId="760" priority="209" operator="greaterThan">
      <formula>0</formula>
    </cfRule>
  </conditionalFormatting>
  <conditionalFormatting sqref="CZ229:DD231">
    <cfRule type="cellIs" dxfId="759" priority="204" operator="equal">
      <formula>0</formula>
    </cfRule>
    <cfRule type="cellIs" dxfId="758" priority="205" operator="greaterThan">
      <formula>0</formula>
    </cfRule>
  </conditionalFormatting>
  <conditionalFormatting sqref="CZ248:DD250">
    <cfRule type="cellIs" dxfId="757" priority="200" operator="equal">
      <formula>0</formula>
    </cfRule>
    <cfRule type="cellIs" dxfId="756" priority="201" operator="greaterThan">
      <formula>0</formula>
    </cfRule>
  </conditionalFormatting>
  <conditionalFormatting sqref="CZ267:DD269">
    <cfRule type="cellIs" dxfId="755" priority="196" operator="equal">
      <formula>0</formula>
    </cfRule>
    <cfRule type="cellIs" dxfId="754" priority="197" operator="greaterThan">
      <formula>0</formula>
    </cfRule>
  </conditionalFormatting>
  <conditionalFormatting sqref="CZ286:DD288">
    <cfRule type="cellIs" dxfId="753" priority="193" operator="greaterThan">
      <formula>0</formula>
    </cfRule>
    <cfRule type="cellIs" dxfId="752" priority="192" operator="equal">
      <formula>0</formula>
    </cfRule>
  </conditionalFormatting>
  <conditionalFormatting sqref="CZ305:DD307">
    <cfRule type="cellIs" dxfId="751" priority="188" operator="equal">
      <formula>0</formula>
    </cfRule>
    <cfRule type="cellIs" dxfId="750" priority="189" operator="greaterThan">
      <formula>0</formula>
    </cfRule>
  </conditionalFormatting>
  <conditionalFormatting sqref="CZ324:DD326">
    <cfRule type="cellIs" dxfId="749" priority="184" operator="equal">
      <formula>0</formula>
    </cfRule>
    <cfRule type="cellIs" dxfId="748" priority="185" operator="greaterThan">
      <formula>0</formula>
    </cfRule>
  </conditionalFormatting>
  <conditionalFormatting sqref="CZ343:DD345">
    <cfRule type="cellIs" dxfId="747" priority="180" operator="equal">
      <formula>0</formula>
    </cfRule>
    <cfRule type="cellIs" dxfId="746" priority="181" operator="greaterThan">
      <formula>0</formula>
    </cfRule>
  </conditionalFormatting>
  <conditionalFormatting sqref="CZ362:DD364">
    <cfRule type="cellIs" dxfId="745" priority="176" operator="equal">
      <formula>0</formula>
    </cfRule>
    <cfRule type="cellIs" dxfId="744" priority="177" operator="greaterThan">
      <formula>0</formula>
    </cfRule>
  </conditionalFormatting>
  <conditionalFormatting sqref="CZ381:DD383">
    <cfRule type="cellIs" dxfId="743" priority="172" operator="equal">
      <formula>0</formula>
    </cfRule>
    <cfRule type="cellIs" dxfId="742" priority="173" operator="greaterThan">
      <formula>0</formula>
    </cfRule>
  </conditionalFormatting>
  <conditionalFormatting sqref="CZ400:DD402">
    <cfRule type="cellIs" dxfId="741" priority="169" operator="greaterThan">
      <formula>0</formula>
    </cfRule>
    <cfRule type="cellIs" dxfId="740" priority="168" operator="equal">
      <formula>0</formula>
    </cfRule>
  </conditionalFormatting>
  <conditionalFormatting sqref="CZ419:DD421">
    <cfRule type="cellIs" dxfId="739" priority="164" operator="equal">
      <formula>0</formula>
    </cfRule>
    <cfRule type="cellIs" dxfId="738" priority="165" operator="greaterThan">
      <formula>0</formula>
    </cfRule>
  </conditionalFormatting>
  <conditionalFormatting sqref="DE645">
    <cfRule type="cellIs" dxfId="737" priority="1246" operator="equal">
      <formula>0</formula>
    </cfRule>
    <cfRule type="cellIs" dxfId="736" priority="1247" operator="greaterThan">
      <formula>0</formula>
    </cfRule>
  </conditionalFormatting>
  <dataValidations count="50">
    <dataValidation allowBlank="1" showInputMessage="1" promptTitle="Automated Interest Calcs option" prompt="You can enter loan interest expense and payments manually or use the automated calculation option. The automated calc applies to intr. expense and payments for forecast periods only._x000a__x000a_Use the dropdown menu to state if the automated intr. calc is used._x000a__x000a_" sqref="Q9" xr:uid="{86BCF7F2-4E8F-42E7-A2BC-01834C6A0D86}"/>
    <dataValidation allowBlank="1" showInputMessage="1" promptTitle="Automated Loan Calc Option" prompt="Make sure an option for automated loan calculations is selected from the dropdown menu in column Q._x000a__x000a_" sqref="CT7" xr:uid="{21CF294B-70BD-4D64-9D61-E8BB26546269}"/>
    <dataValidation allowBlank="1" showInputMessage="1" promptTitle="Fixed vs Variable Interest rate" prompt="You can enter a fixed forecast interest rate (the model assumes this as the default) or use the timeline to enter variable interest rates over time._x000a__x000a_Use the dropdown menu to state if a variable interest rate is used:_x000a_No = fixed rate_x000a_Yes = variable rate_x000a__x000a_" sqref="L9" xr:uid="{34B4CA9C-9B9E-4FA7-B44C-C7BC676AA381}"/>
    <dataValidation allowBlank="1" showInputMessage="1" promptTitle="Automated Loan Calc Option" prompt="If you have selected the variable interest option make sure that variable interest inputs are provided across the full timeline._x000a__x000a_" sqref="CU7" xr:uid="{A4EB4C94-2CEF-44EB-81CF-688E4F701C4F}"/>
    <dataValidation allowBlank="1" showInputMessage="1" promptTitle="Interest accrues at period end" prompt="The interest on a loan facility may accrue at the beginning (assumed as the default) or at the end of the period._x000a__x000a_Use the dropdown menu to state if interest accrues at the end of the period, i.e. after any repayments in the period._x000a__x000a_" sqref="U9" xr:uid="{B6B7C858-F294-485F-A295-EE75EC36D209}"/>
    <dataValidation allowBlank="1" showInputMessage="1" promptTitle="Interest Expense Calc" prompt="&gt;Use input data in actuals periods;_x000a_&gt;Set to 0 if automated intr. calc not in use;_x000a_&gt;Else calculate accrued interest as:_x000a__x000a_Base= Open Bal. +Drawdown + Repay (if end period compounding) + Compounded Interest_x000a_X_x000a_times compounded periodic interest rate" sqref="AA694" xr:uid="{428E63F3-AF40-471E-9C4F-9E15AE196E1D}"/>
    <dataValidation type="list" allowBlank="1" showInputMessage="1" showErrorMessage="1" sqref="L13:L32 U13:U32 Q13:Q32" xr:uid="{9AD7D1ED-DDA5-43C5-BFC1-ECD45803C55E}">
      <formula1>List_YesNo</formula1>
    </dataValidation>
    <dataValidation allowBlank="1" showInputMessage="1" promptTitle="1st Forecast Intr. Payment date" prompt="Checks if first forecast interest payment date is provided in case the calculated option is in use. _x000a__x000a_The first forecast interest payment date is the first payment date expected in the forecast period. It cannot be prior to the last actuals date._x000a_" sqref="CV7" xr:uid="{A1081835-A895-4B6F-90CF-6A3FDDD54469}"/>
    <dataValidation allowBlank="1" showInputMessage="1" promptTitle="1st Forecast Intr. Payment date" prompt="The first forecast interest payment date is the first payment date expected in the forecast period. It cannot be prior to the last actuals date._x000a_" sqref="R9" xr:uid="{539B5593-F049-419A-A363-4F2FA89BC60D}"/>
    <dataValidation allowBlank="1" showInputMessage="1" promptTitle="Interest frequency selection" prompt="Checks if a valid option has been selected for interest compounding and interest payment frequencies from the dropdown menu._x000a__x000a_This is particularly valid where the loan interest automated calculation is used._x000a_" sqref="CW7" xr:uid="{3AD2DC4A-213C-4BC6-BC7E-2598F1C814FB}"/>
    <dataValidation allowBlank="1" showInputMessage="1" promptTitle="Compounded Interest Calc" prompt="The formula accumulates the accrued interest over time at each interest compounding period (less the compounded interest since the previous compounding period)._x000a__x000a_" sqref="AA717" xr:uid="{2FB3E007-06A0-451A-8832-C0820F990991}"/>
    <dataValidation allowBlank="1" showInputMessage="1" promptTitle="Due Interest Payment Calc" prompt="&gt;During actuals pariods &gt; pick interest payment data from manual inputs_x000a_&gt;During forecast periods - calculate due interest payment the total of outstanding balance in prior period + interest expense in the current period._x000a__x000a_" sqref="AA763" xr:uid="{51973209-9927-4141-A07B-92EE8C28975C}"/>
    <dataValidation allowBlank="1" showInputMessage="1" promptTitle="Year 1 reconciliation" prompt="Checks if the sum of monthly inputs for year 1 reconciles against the annual timeline." sqref="CZ7" xr:uid="{63DE2D7F-24E7-461F-81C1-9DA29004A650}"/>
    <dataValidation allowBlank="1" showInputMessage="1" promptTitle="Covenant Breach date" prompt="The inputted covenant breach date should be within the Loan term period. _x000a__x000a_It should also be within the 3 year period represented on the monthly timeline (the non-optional time periods)._x000a_" sqref="CP7" xr:uid="{16858A78-E66C-4B43-A6BB-ECF9A0F5CA9A}"/>
    <dataValidation allowBlank="1" showInputMessage="1" promptTitle="Early Repayment Fee check" prompt="Early Repayment Fees can only occur within the loan term period. _x000a__x000a_If an early repayment fee is recorded before or after this loan term period the error check will be triggered._x000a__x000a__x000a_" sqref="B92 B111 B130 B149 B168 B187 B206 B225 B244 B263 B282 B301 B320 B339 B358 B377 B396 B415 B434 B73" xr:uid="{3D92018B-9940-459B-B04F-AB8177F877FC}"/>
    <dataValidation allowBlank="1" showInputMessage="1" promptTitle="Loan Initial Balance" prompt="For existing loans enter the loan balance as at the first day of Year 1. For new loans leave blank._x000a__x000a_The sum of opening balances across loans in each category should match the opening balance inputs on the &quot;Opening Balances&quot; sheet (within + after 1 year)_x000a_" sqref="H9" xr:uid="{C6D6E656-43AF-4258-BE87-87FB003318B5}"/>
    <dataValidation allowBlank="1" showInputMessage="1" promptTitle="Total Loan Amount" prompt="Provide the total loan amount for each loan. _x000a__x000a_The loan balance may not exceed this amount at any point in time (an error flag will be triggered if it does)._x000a__x000a_" sqref="G9" xr:uid="{DC1A6DE5-84FE-4463-B29F-5B7165547090}"/>
    <dataValidation allowBlank="1" showInputMessage="1" promptTitle="Loan Initial Balance" prompt="Enter any accrued interest balance as at the first day of Year 1 if applicable. _x000a__x000a_The sum of opening interest balances across loans should match the opening interest balance inputs on the &quot;Opening Balances&quot; sheet (within + after 1 year)._x000a_" sqref="I9" xr:uid="{A6A766D1-1F05-4D0E-A065-A9C40EB15205}"/>
    <dataValidation allowBlank="1" showInputMessage="1" promptTitle="Forecast annual Interest Rate" prompt="If the automated intr calc is not used, intr rates don't impact calcs but are needed by ESFA for sensitivity testing_x000a__x000a_If the automated intr calc is used intr rates need to be provided:_x000a_&gt;here as a fixed rate_x000a_&gt;or as a variable rate on the monthly timeline_x000a_" sqref="M9" xr:uid="{EA34A516-20A9-4416-8E68-CE3C74469C52}"/>
    <dataValidation allowBlank="1" showInputMessage="1" promptTitle="Loan covennant breach date" prompt="Use this column to state on what date a loan covenant has been breached or is expected to be breached if applicable._x000a__x000a_This will impact the classification of debt into short and long term. CFFR classifies loans that have been breached as due within 1 year_x000a_" sqref="N9" xr:uid="{523D2F36-7E2D-45DE-A82B-F21CA913B3D0}"/>
    <dataValidation allowBlank="1" showInputMessage="1" promptTitle="Loan covennant breach date" prompt="Use this column to state the minimum cash position covenant for each loan if applicable._x000a__x000a_This will impact the classification of debt into short and long term. CFFR classifies loans that have been breached as &quot;due within 1 year&quot;._x000a_" sqref="O9" xr:uid="{F6F102B1-DE96-4108-8D5A-762739E1FD6D}"/>
    <dataValidation allowBlank="1" showInputMessage="1" promptTitle="Loan covennant breach date" prompt="Use this column to state the minimum DSCR covenant for each loan if applicable._x000a__x000a_This will impact the classification of debt into short and long term. CFFR classifies loans that have been breached as &quot;due within 1 year&quot;._x000a_" sqref="P9" xr:uid="{4F4DE72B-17AC-4E36-9210-71496A55E4D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159" xr:uid="{F9018667-CE6F-441A-A458-40808D6F61CD}"/>
    <dataValidation allowBlank="1" showInputMessage="1" promptTitle="Year 2 reconciliation" prompt="Checks if the sum of monthly inputs for year 2 reconciles against the annual timeline." sqref="DA7" xr:uid="{A9ABA413-CD25-44A6-96D7-CBA1C9614374}"/>
    <dataValidation allowBlank="1" showInputMessage="1" promptTitle="Year 3 reconciliation" prompt="Checks if the sum of monthly inputs for year 3 reconciles against the annual timeline." sqref="DB7" xr:uid="{0AF397B5-67C2-4B7B-96A4-778A244C269B}"/>
    <dataValidation allowBlank="1" showInputMessage="1" promptTitle="Prior Year reconciliation" prompt="Checks if the prior year value on the 4 year timeline matches the prior year value on the 12 year timeline" sqref="DD7" xr:uid="{25725F29-DFB0-40A7-B6FB-CC6335A6D5FB}"/>
    <dataValidation allowBlank="1" showInputMessage="1" promptTitle="Applicable data for intr. calc" prompt="Checks that if the Automated Interest Calc option is NOT USED (No selected from the dropdown menu in column Q), the data required for automated calculations is NOT entered._x000a__x000a_" sqref="CQ7" xr:uid="{E66BB382-3670-46CD-80B3-7897155235DE}"/>
    <dataValidation allowBlank="1" showInputMessage="1" promptTitle="Loan Opening Ballance checks" prompt="Checks that the loan opening balance does not exceed the overall loan amount._x000a__x000a__x000a__x000a_" sqref="CR7" xr:uid="{0B345DF6-FE58-4758-A181-B83D710FA302}"/>
    <dataValidation allowBlank="1" showInputMessage="1" promptTitle="Loan Term dates" prompt="Checks if Loan Term start date is before Loan Term end date._x000a__x000a__x000a_" sqref="CS7" xr:uid="{3B037278-5F69-4654-A7A8-9953706B2833}"/>
    <dataValidation allowBlank="1" showInputMessage="1" promptTitle="Manual Loan Inputs checks" prompt="Checks if:_x000a_&gt; Loan balance &lt; overal loan amount at any point in time_x000a_&gt;Loan balance is not negative_x000a_&gt;There is no outstanding loan balance after the Loan term end_x000a_&gt; Early repayment fees are only applied within the Loan term period_x000a__x000a_" sqref="CX7" xr:uid="{F48BAB2B-F02E-4240-B66D-ECC87D19615D}"/>
    <dataValidation allowBlank="1" showInputMessage="1" promptTitle="Loans Opening Balance check" prompt="Checks if:_x000a_sum of loan opening balances on &quot;Loans&quot; sheet = Debt opening balance on &quot;Opening Balances&quot; sheet _x000a__x000a_by loan category" sqref="CN7" xr:uid="{09513A63-7C4B-40BF-8B5A-9AE78F67CFD5}"/>
    <dataValidation allowBlank="1" showInputMessage="1" promptTitle="Interest Opening Balance check" prompt="Checks if:_x000a_sum of loan accrued interest opening balances on &quot;Loans&quot; sheet = Interest opening balance on &quot;Opening Balances&quot; sheet " sqref="CO7" xr:uid="{8842B040-97FA-47C3-BB27-179292BA71F0}"/>
    <dataValidation allowBlank="1" showInputMessage="1" promptTitle="Manual Inputs reconciliation" prompt="Checks that the manual inputs reconcile to the manual inputs references in the calculated section" sqref="DE7" xr:uid="{463E88D8-F312-4A91-A4F2-FF79E6C83EC1}"/>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BFF93774-68C3-4FF9-84AC-EE253D3CB738}"/>
    <dataValidation allowBlank="1" showInputMessage="1" promptTitle="Compounded Interest rate" prompt="The formula converts the annual interest rate to a compounded periodic interest rate, based on how frequently interest is compounded._x000a__x000a_If the automated interest calculation option is not applied, the value is set to 0._x000a_" sqref="AA671" xr:uid="{FBF7478A-2868-45C4-889F-C36B470090E0}"/>
    <dataValidation allowBlank="1" showInputMessage="1" promptTitle="Compounded Interest Calc" prompt="The formula adds any accrued interest initial balance to the compounded interest for forecast periods._x000a__x000a_The value is set to 0 for actuals periods since the actuals interest expense amounts are applied._x000a__x000a__x000a_" sqref="AA740" xr:uid="{8FA2D0A1-EC29-41A7-9744-4C5DEFBDD0FC}"/>
    <dataValidation allowBlank="1" showInputMessage="1" promptTitle="Calculated Interest payment " prompt="Calculates intr. payments as:_x000a_Min of intr. balance and intr. expense, where intr. expense equals:_x000a_- manual inputs in actuals periods_x000a_- cumulative intr. expense less intr. payments to date in forecast periods_x000a__x000a_At loan term end set to intr. balance_x000a__x000a__x000a__x000a__x000a_" sqref="AA786" xr:uid="{36B83F40-A03A-4F05-A46A-EE8A10F99D0C}"/>
    <dataValidation allowBlank="1" showInputMessage="1" showErrorMessage="1" promptTitle="Closing Interest Balance" prompt="Calculated as:_x000a_Opening interest balance + accrued interest expense - interest payment in period_x000a__x000a_In the first period, the opening balance is taken as the initial accrued interest balance entered on the &quot;Opening Balances&quot; sheet." sqref="AA809" xr:uid="{3BB92847-8A74-4A38-9925-6B0E331C19CA}"/>
    <dataValidation allowBlank="1" showInputMessage="1" showErrorMessage="1" promptTitle="Selected Interest" prompt="The entire section selects between the manual interest entries and the automated interest calculations based on whether the Automated Interest Calc option was applied via the dropdown selection in the Loans table (refer to table column starting at P13)." sqref="AA835" xr:uid="{5B7A1F40-FEA9-4526-A7A2-371949617016}"/>
    <dataValidation allowBlank="1" showInputMessage="1" showErrorMessage="1" promptTitle="Amount Due within 1 year" prompt="The formula classifies loan amounts due within one year by looking at payments for the next 12 months._x000a__x000a_Overdrafts are set to being within 1 year regardless of the payment pattern due to the short-term nature of such facilities." sqref="AA907" xr:uid="{C71BE088-F6A9-413B-A04B-9EAE828FC7C4}"/>
    <dataValidation allowBlank="1" showInputMessage="1" showErrorMessage="1" promptTitle="Amount Due after 1 year" prompt="Loan amounts due after 1 year are the remaining loan balances:_x000a_Total loan balance - loan due within 1 year" sqref="AA930" xr:uid="{016B2353-ACDB-4F06-8C2D-99CA9B48248B}"/>
    <dataValidation allowBlank="1" showInputMessage="1" showErrorMessage="1" promptTitle="Amount due after 1 year " prompt="This formula further classifies loans to being due within 1 year if there has been a covenant breach._x000a__x000a_The covenant breach flag is based on:_x000a_&gt; covenant breach date provided_x000a_&gt; minimum cash position covenant not being met_x000a_&gt; min DSCR covenant not being met" sqref="AA953" xr:uid="{171C8534-32B9-4F0E-A3A0-DA83353B21EC}"/>
    <dataValidation allowBlank="1" showInputMessage="1" showErrorMessage="1" promptTitle="Amount Due within 1 year" prompt="The formula classifies interest amounts due within one year by looking at payments for the next 12 months._x000a__x000a_Interest on overdrafts is set to being within 1 year regardless of the payment pattern due to the short-term nature of such facilities." sqref="AA1022" xr:uid="{92C9C0DB-F6BA-401D-94DA-915DC8DCA015}"/>
    <dataValidation allowBlank="1" showInputMessage="1" showErrorMessage="1" promptTitle="Amount Due after 1 year" prompt="Loan interest amounts due after 1 year are the remaining interest balances:_x000a_Total loan interest balance - loan interest due within 1 year" sqref="AA1045" xr:uid="{6E0F6E96-E804-4049-9F7D-E968674DB861}"/>
    <dataValidation allowBlank="1" showInputMessage="1" showErrorMessage="1" promptTitle="Amount due after 1 year " prompt="This formula further classifies intr. to being due within 1 year if there has been a covenant breach._x000a__x000a_The covenant breach flag is based on:_x000a_&gt; covenant breach date provided_x000a_&gt; minimum cash position covenant not being met_x000a_&gt; min DSCR covenant not being met" sqref="AA1068" xr:uid="{4DBCE3E6-AD90-420D-AE96-39AED951FE26}"/>
    <dataValidation allowBlank="1" showInputMessage="1" promptTitle="Automated Interest Calcs option" prompt="You can:_x000a_&gt; enter loan interest data manually here;_x000a_&gt;or use the automated calculation option for forecast periods only. _x000a__x000a_Actuals intr. data needs to be entered here for actuals periods even if the auto calc is used for the forecast periods._x000a__x000a__x000a__x000a_" sqref="B67:B68 B86:B87 B105:B106 B124:B125 B143:B144 B162:B163 B181:B182 B200:B201 B219:B220 B238:B239 B257:B258 B276:B277 B295:B296 B314:B315 B428:B429 B333:B334 B352:B353 B371:B372 B390:B391 B409:B410" xr:uid="{3B0D72DD-9774-46F9-9771-92FCA9375E64}"/>
    <dataValidation type="date" operator="greaterThan" allowBlank="1" showInputMessage="1" showErrorMessage="1" error="Please enter your date in dd/mm/yyyy or dd-mon-yy format." sqref="N13:N32 R13:R32 J13:K32" xr:uid="{4A76252C-88DA-4165-A326-B915ABCF640E}">
      <formula1>18264</formula1>
    </dataValidation>
    <dataValidation allowBlank="1" showInputMessage="1" promptTitle="Year 3 reconciliation" prompt="Checks if the sum of monthly inputs for year 4 reconciles against the annual timeline." sqref="DC7" xr:uid="{5CFF5220-A594-44A6-B7AD-A085268E5EB6}"/>
    <dataValidation allowBlank="1" showInputMessage="1" promptTitle="Input validation check" prompt="Flags where a cell contains invalid characters, such as full stops, dashes and spaces._x000a_" sqref="CY7" xr:uid="{36892871-04E8-44F1-939C-218E3B4BBA2C}"/>
    <dataValidation allowBlank="1" showInputMessage="1" promptTitle="Loan Category" prompt="Please select loan category from the dropdown menu:_x000a_&gt;Overdraft_x000a_&gt;EFS/RF_x000a_&gt;Commercial_x000a__x000a_If not selected the loans data will not filter through correctly into the Financial Statements._x000a__x000a_" sqref="E9:F9" xr:uid="{9151B952-F8CC-4335-B708-5C5281A4A6BF}"/>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 - FOR PUBLIC RELEASE&amp;1#_x000D_</oddHeader>
    <oddFooter>&amp;C_x000D_&amp;1#&amp;"Aptos"&amp;11&amp;K000000 OFFICIAL - FOR PUBLIC RELEASE</oddFooter>
  </headerFooter>
  <ignoredErrors>
    <ignoredError sqref="G39" formula="1"/>
  </ignoredErrors>
  <extLst>
    <ext xmlns:x14="http://schemas.microsoft.com/office/spreadsheetml/2009/9/main" uri="{78C0D931-6437-407d-A8EE-F0AAD7539E65}">
      <x14:conditionalFormattings>
        <x14:conditionalFormatting xmlns:xm="http://schemas.microsoft.com/office/excel/2006/main">
          <x14:cfRule type="expression" priority="123" id="{5003E256-3A25-45FA-B06A-682FD9AF1FB9}">
            <xm:f>OR($D$2='Dash Data'!$D$95, $D$2='Dash Data'!$D$96, $D$2='Dash Data'!$D$98)</xm:f>
            <x14:dxf>
              <numFmt numFmtId="14" formatCode="0.00%"/>
            </x14:dxf>
          </x14:cfRule>
          <xm:sqref>V2:Y2</xm:sqref>
        </x14:conditionalFormatting>
        <x14:conditionalFormatting xmlns:xm="http://schemas.microsoft.com/office/excel/2006/main">
          <x14:cfRule type="expression" priority="306" id="{37AE75BA-31A5-44D2-9255-63BBAB8D3734}">
            <xm:f>AND('Cover Sheet'!$E$29=0, AA$4=0, AB$4=0)</xm:f>
            <x14:dxf>
              <fill>
                <patternFill>
                  <bgColor theme="0"/>
                </patternFill>
              </fill>
            </x14:dxf>
          </x14:cfRule>
          <xm:sqref>AA58:BI60 AA67:BI68 AA71:BI71 AA77:BI79 AA86:AI87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xm:sqref>
        </x14:conditionalFormatting>
        <x14:conditionalFormatting xmlns:xm="http://schemas.microsoft.com/office/excel/2006/main">
          <x14:cfRule type="expression" priority="302" id="{2B2B845F-1D8F-4875-A53D-853274EA1FD8}">
            <xm:f>AND('Cover Sheet'!$E$29=0, BJ$4=0, BW$4=0)</xm:f>
            <x14:dxf>
              <fill>
                <patternFill>
                  <bgColor theme="0"/>
                </patternFill>
              </fill>
            </x14:dxf>
          </x14:cfRule>
          <xm: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6964140-A83F-42F9-A738-BF5FCA366840}">
          <x14:formula1>
            <xm:f>Parameters!$D$87:$D$90</xm:f>
          </x14:formula1>
          <xm:sqref>T13:T32</xm:sqref>
        </x14:dataValidation>
        <x14:dataValidation type="list" allowBlank="1" showInputMessage="1" showErrorMessage="1" xr:uid="{EEB3447B-3880-4288-A861-04C0A0E7B3A1}">
          <x14:formula1>
            <xm:f>'Dash Data'!$D$93:$D$100</xm:f>
          </x14:formula1>
          <xm:sqref>D2</xm:sqref>
        </x14:dataValidation>
        <x14:dataValidation type="list" allowBlank="1" showInputMessage="1" showErrorMessage="1" xr:uid="{6723EBD1-FCCB-4E2A-8125-66584E692B65}">
          <x14:formula1>
            <xm:f>Parameters!$D$69:$D$77</xm:f>
          </x14:formula1>
          <xm:sqref>E13:E32</xm:sqref>
        </x14:dataValidation>
        <x14:dataValidation type="list" allowBlank="1" showInputMessage="1" showErrorMessage="1" xr:uid="{FF56EF53-C60D-4945-B3DD-82A9BFC0A15C}">
          <x14:formula1>
            <xm:f>Parameters!$D$81:$D$81</xm:f>
          </x14:formula1>
          <xm:sqref>S13:S32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E458C-8C1D-43BC-A0CE-57C2F426A5E2}">
  <sheetPr codeName="Sheet8">
    <tabColor theme="7" tint="0.59999389629810485"/>
    <outlinePr summaryBelow="0" summaryRight="0"/>
    <pageSetUpPr autoPageBreaks="0"/>
  </sheetPr>
  <dimension ref="A1:EY289"/>
  <sheetViews>
    <sheetView showGridLines="0" zoomScaleNormal="100" workbookViewId="0">
      <pane xSplit="8" ySplit="7" topLeftCell="X8" activePane="bottomRight" state="frozen"/>
      <selection pane="topRight" activeCell="V123" sqref="V123"/>
      <selection pane="bottomLeft" activeCell="V123" sqref="V123"/>
      <selection pane="bottomRight"/>
    </sheetView>
  </sheetViews>
  <sheetFormatPr defaultColWidth="8.81640625" defaultRowHeight="14.5" outlineLevelCol="2" x14ac:dyDescent="0.35"/>
  <cols>
    <col min="1" max="1" width="6.81640625" bestFit="1" customWidth="1"/>
    <col min="2" max="2" width="9.453125" customWidth="1"/>
    <col min="3" max="3" width="9.1796875" customWidth="1"/>
    <col min="4" max="4" width="55.54296875" style="1" customWidth="1"/>
    <col min="5" max="5" width="13.81640625" customWidth="1"/>
    <col min="6" max="6" width="2" bestFit="1" customWidth="1"/>
    <col min="7" max="7" width="2" customWidth="1"/>
    <col min="8" max="8" width="15" customWidth="1"/>
    <col min="9" max="9" width="2" bestFit="1" customWidth="1" collapsed="1"/>
    <col min="10" max="10" width="2" hidden="1" customWidth="1" outlineLevel="1"/>
    <col min="11" max="14" width="8.81640625" hidden="1" customWidth="1" outlineLevel="1"/>
    <col min="15" max="15" width="10.1796875" hidden="1" customWidth="1" outlineLevel="1"/>
    <col min="16" max="16" width="12.54296875" hidden="1" customWidth="1" outlineLevel="1"/>
    <col min="17" max="17" width="10.81640625" hidden="1" customWidth="1" outlineLevel="1"/>
    <col min="18" max="18" width="9.81640625" hidden="1" customWidth="1" outlineLevel="1"/>
    <col min="19" max="19" width="3.1796875" hidden="1" customWidth="1" outlineLevel="1"/>
    <col min="20" max="21" width="11.1796875" hidden="1" customWidth="1" outlineLevel="1"/>
    <col min="22"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0" width="13.1796875" customWidth="1"/>
    <col min="91" max="91" width="3.453125" customWidth="1"/>
    <col min="92" max="97" width="13.1796875" customWidth="1"/>
    <col min="98" max="98" width="2.81640625" customWidth="1"/>
    <col min="101" max="101" width="9.81640625" customWidth="1"/>
    <col min="154" max="154" width="8.81640625" collapsed="1"/>
    <col min="155" max="155" width="49.1796875" hidden="1" customWidth="1" outlineLevel="2"/>
  </cols>
  <sheetData>
    <row r="1" spans="1:155" x14ac:dyDescent="0.35">
      <c r="A1" s="7">
        <f ca="1">ToC!A1</f>
        <v>0</v>
      </c>
      <c r="B1" s="13" t="s">
        <v>1348</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t="s">
        <v>1349</v>
      </c>
      <c r="CM1" s="663"/>
      <c r="CN1" s="5" t="s">
        <v>175</v>
      </c>
      <c r="CO1" s="5"/>
      <c r="CT1" s="663"/>
      <c r="CU1" s="5" t="s">
        <v>296</v>
      </c>
      <c r="EY1" s="5" t="s">
        <v>177</v>
      </c>
    </row>
    <row r="2" spans="1:155" ht="14.65" customHeight="1" x14ac:dyDescent="0.35">
      <c r="A2" s="220" cm="1">
        <f t="array" aca="1" ref="A2" ca="1">HYPERLINK(CONCATENATE("#",CELL("address",IF(SUM(A$7:A$289)=0,$A$2,INDEX(A$7:A$289,MATCH(1,A$7:A$289,0))))),SUM(A$7:A$289))</f>
        <v>0</v>
      </c>
      <c r="B2" s="67" t="str" cm="1">
        <f t="array" aca="1" ref="B2" ca="1">HYPERLINK(CONCATENATE("#",CELL("address",Guide!$C$109)),Guide!$B$1)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HYPERLINK(CONCATENATE("#",CELL("address",IF(SUM(CL$7:CL$289)=0,$CL$2,INDEX(CL$7:CL$289,MATCH(1,CL$7:CL$289,0))))),SUM(CL$7:CL$289))</f>
        <v>0</v>
      </c>
      <c r="CM2" s="663"/>
      <c r="CR2" s="57"/>
      <c r="CT2" s="663"/>
      <c r="CU2" s="664" t="s">
        <v>308</v>
      </c>
      <c r="CV2" s="664" t="s">
        <v>743</v>
      </c>
      <c r="CW2" s="664" t="s">
        <v>1350</v>
      </c>
    </row>
    <row r="3" spans="1:155" x14ac:dyDescent="0.35">
      <c r="A3" s="67" t="str" cm="1">
        <f t="array" aca="1" ref="A3" ca="1">HYPERLINK(CONCATENATE("#",CELL("address",ToC!$A$1)),ToC!$C$1)</f>
        <v>ToC</v>
      </c>
      <c r="B3" s="67" t="str" cm="1">
        <f t="array" aca="1" ref="B3" ca="1">HYPERLINK(CONCATENATE("#",CELL("address",$B$22)),"NCA")</f>
        <v>NCA</v>
      </c>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N3" s="664" t="s">
        <v>1351</v>
      </c>
      <c r="CO3" s="664" t="s">
        <v>270</v>
      </c>
      <c r="CP3" s="664" t="s">
        <v>1352</v>
      </c>
      <c r="CQ3" s="664" t="s">
        <v>1353</v>
      </c>
      <c r="CR3" s="664" t="s">
        <v>749</v>
      </c>
      <c r="CS3" s="664" t="s">
        <v>1354</v>
      </c>
      <c r="CT3" s="663"/>
      <c r="CU3" s="664"/>
      <c r="CV3" s="664"/>
      <c r="CW3" s="664"/>
    </row>
    <row r="4" spans="1:155" x14ac:dyDescent="0.35">
      <c r="A4" s="13"/>
      <c r="B4" s="67" t="str" cm="1">
        <f t="array" aca="1" ref="B4" ca="1">HYPERLINK(CONCATENATE("#",CELL("address",$B$49)),"Current Assets")</f>
        <v>Current Assets</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311</v>
      </c>
      <c r="CM4" s="663"/>
      <c r="CN4" s="664"/>
      <c r="CO4" s="664"/>
      <c r="CP4" s="664"/>
      <c r="CQ4" s="664"/>
      <c r="CR4" s="664"/>
      <c r="CS4" s="664"/>
      <c r="CT4" s="663"/>
      <c r="CU4" s="664"/>
      <c r="CV4" s="664"/>
      <c r="CW4" s="664"/>
    </row>
    <row r="5" spans="1:155" x14ac:dyDescent="0.35">
      <c r="A5" s="13"/>
      <c r="B5" s="67" t="str" cm="1">
        <f t="array" aca="1" ref="B5" ca="1">HYPERLINK(CONCATENATE("#",CELL("address",B91)),"Liabilities")</f>
        <v>Liabilities</v>
      </c>
      <c r="C5" s="67" t="str" cm="1">
        <f t="array" aca="1" ref="C5" ca="1">HYPERLINK(CONCATENATE("#",CELL("address",$B$261)),"Reserves")</f>
        <v>Reserves</v>
      </c>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64"/>
      <c r="CO5" s="664"/>
      <c r="CP5" s="664"/>
      <c r="CQ5" s="664"/>
      <c r="CR5" s="664"/>
      <c r="CS5" s="664"/>
      <c r="CT5" s="663"/>
      <c r="CU5" s="664"/>
      <c r="CV5" s="664"/>
      <c r="CW5" s="664"/>
    </row>
    <row r="6" spans="1:155" x14ac:dyDescent="0.35">
      <c r="A6" s="67" t="str" cm="1">
        <f t="array" aca="1" ref="A6" ca="1">HYPERLINK(CONCATENATE("#",CELL("address",CM7)),"Check")</f>
        <v>Check</v>
      </c>
      <c r="B6" s="13"/>
      <c r="C6" s="13" t="s">
        <v>183</v>
      </c>
      <c r="D6" s="13" t="s">
        <v>19</v>
      </c>
      <c r="E6" s="37"/>
      <c r="F6" s="13"/>
      <c r="G6" s="13"/>
      <c r="H6" s="13" t="s">
        <v>313</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64"/>
      <c r="CO6" s="664"/>
      <c r="CP6" s="664"/>
      <c r="CQ6" s="664"/>
      <c r="CR6" s="664"/>
      <c r="CS6" s="664"/>
      <c r="CT6" s="663"/>
      <c r="CU6" s="664"/>
      <c r="CV6" s="664"/>
      <c r="CW6" s="664"/>
    </row>
    <row r="7" spans="1:155" x14ac:dyDescent="0.35">
      <c r="A7" s="220">
        <f>MAX(AH7:AI7)</f>
        <v>0</v>
      </c>
      <c r="B7" s="97" t="s">
        <v>184</v>
      </c>
      <c r="C7" s="229"/>
      <c r="AA7" s="38">
        <f>IF(SUMIFS(AA10:BJ10, AA4:BJ4,0)=0,0,1)</f>
        <v>1</v>
      </c>
      <c r="AH7" s="609" cm="1">
        <f t="array" ref="AH7">IF(SUM(ABS(AH42:AH82),ABS(AH86),ABS(AH127:AH129),ABS(AH132),ABS(AH143:AH154),ABS(AH157),ABS(AH167:AH175),ABS(AH182:AH203),ABS(AH207:AH216),ABS(AH221:AH225),ABS(AH230:AH235),ABS(AH240:AH241),ABS(AH265),ABS(AH271),ABS(AH277),'Cover Sheet'!$E$29)=0,1,0)</f>
        <v>0</v>
      </c>
      <c r="AI7" s="609" cm="1">
        <f t="array" ref="AI7">IF(SUM(ABS(AI42:AI82),ABS(AI86),ABS(AI127:AI129),ABS(AI132),ABS(AI143:AI154),ABS(AI157),ABS(AI167:AI175),ABS(AI182:AI203),ABS(AI207:AI216),ABS(AI221:AI225),ABS(AI230:AI235),ABS(AI240:AI241),ABS(AI265),ABS(AI271),ABS(AI277),'Cover Sheet'!$E$29)=0,1,0)</f>
        <v>0</v>
      </c>
      <c r="CK7" s="35"/>
      <c r="CL7" s="85" t="s">
        <v>122</v>
      </c>
      <c r="CM7" s="35"/>
      <c r="CN7" s="85" t="s">
        <v>122</v>
      </c>
      <c r="CO7" s="85" t="s">
        <v>122</v>
      </c>
      <c r="CP7" s="85" t="s">
        <v>122</v>
      </c>
      <c r="CQ7" s="85" t="s">
        <v>122</v>
      </c>
      <c r="CR7" s="85" t="s">
        <v>122</v>
      </c>
      <c r="CS7" s="85" t="s">
        <v>122</v>
      </c>
      <c r="CT7" s="35"/>
    </row>
    <row r="8" spans="1:155" x14ac:dyDescent="0.35">
      <c r="A8" s="34"/>
      <c r="B8" s="34"/>
      <c r="C8" s="230"/>
      <c r="D8" s="34" t="s">
        <v>1355</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610" t="str">
        <f>IF(AH7=1,"i","")</f>
        <v/>
      </c>
      <c r="AI8" s="610"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T8" s="11"/>
      <c r="EY8" s="10" t="str">
        <f t="shared" ref="EY8:EY24" si="0">IF($C8="","",$D8)</f>
        <v/>
      </c>
    </row>
    <row r="9" spans="1:155" ht="8.25" customHeight="1" x14ac:dyDescent="0.35">
      <c r="C9" s="234"/>
      <c r="CK9" s="11"/>
      <c r="CM9" s="11"/>
      <c r="CT9" s="11"/>
      <c r="EY9" s="10" t="str">
        <f t="shared" si="0"/>
        <v/>
      </c>
    </row>
    <row r="10" spans="1:155" x14ac:dyDescent="0.35">
      <c r="B10" s="85" t="s">
        <v>122</v>
      </c>
      <c r="C10" s="234"/>
      <c r="D10" s="1" t="s">
        <v>1356</v>
      </c>
      <c r="V10" s="12">
        <f>'I&amp;E Monthly'!V$184*'Investing Inputs'!V$356*Loans!V$1159*'BS Forecasts'!V$287*'Opening Balances'!$V$86</f>
        <v>0</v>
      </c>
      <c r="W10" s="38">
        <f>'I&amp;E Monthly'!W$184*'Investing Inputs'!W$356*Loans!W$1159*'BS Forecasts'!W$287</f>
        <v>1</v>
      </c>
      <c r="X10" s="38">
        <f>'I&amp;E Monthly'!X$184*'Investing Inputs'!X$356*Loans!X$1159*'BS Forecasts'!X$287</f>
        <v>1</v>
      </c>
      <c r="Y10" s="38">
        <f>'I&amp;E Monthly'!Y$184*'Investing Inputs'!Y$356*Loans!Y$1159*'BS Forecasts'!Y$287</f>
        <v>1</v>
      </c>
      <c r="AA10" s="38">
        <f>'I&amp;E Monthly'!AA$184*'Investing Inputs'!AA$356*Loans!AA$1159*'BS Forecasts'!AA$287</f>
        <v>1</v>
      </c>
      <c r="AB10" s="38">
        <f>'I&amp;E Monthly'!AB$184*'Investing Inputs'!AB$356*Loans!AB$1159*'BS Forecasts'!AB$287</f>
        <v>1</v>
      </c>
      <c r="AC10" s="38">
        <f>'I&amp;E Monthly'!AC$184*'Investing Inputs'!AC$356*Loans!AC$1159*'BS Forecasts'!AC$287</f>
        <v>1</v>
      </c>
      <c r="AD10" s="38">
        <f>'I&amp;E Monthly'!AD$184*'Investing Inputs'!AD$356*Loans!AD$1159*'BS Forecasts'!AD$287</f>
        <v>1</v>
      </c>
      <c r="AE10" s="38">
        <f>'I&amp;E Monthly'!AE$184*'Investing Inputs'!AE$356*Loans!AE$1159*'BS Forecasts'!AE$287</f>
        <v>1</v>
      </c>
      <c r="AF10" s="38">
        <f>'I&amp;E Monthly'!AF$184*'Investing Inputs'!AF$356*Loans!AF$1159*'BS Forecasts'!AF$287</f>
        <v>1</v>
      </c>
      <c r="AG10" s="38">
        <f>'I&amp;E Monthly'!AG$184*'Investing Inputs'!AG$356*Loans!AG$1159*'BS Forecasts'!AG$287</f>
        <v>1</v>
      </c>
      <c r="AH10" s="38">
        <f>'I&amp;E Monthly'!AH$184*'Investing Inputs'!AH$356*Loans!AH$1159*'BS Forecasts'!AH$287</f>
        <v>1</v>
      </c>
      <c r="AI10" s="38">
        <f>'I&amp;E Monthly'!AI$184*'Investing Inputs'!AI$356*Loans!AI$1159*'BS Forecasts'!AI$287</f>
        <v>1</v>
      </c>
      <c r="AJ10" s="38">
        <f>'I&amp;E Monthly'!AJ$184*'Investing Inputs'!AJ$356*Loans!AJ$1159*'BS Forecasts'!AJ$287</f>
        <v>1</v>
      </c>
      <c r="AK10" s="38">
        <f>'I&amp;E Monthly'!AK$184*'Investing Inputs'!AK$356*Loans!AK$1159*'BS Forecasts'!AK$287</f>
        <v>1</v>
      </c>
      <c r="AL10" s="38">
        <f>'I&amp;E Monthly'!AL$184*'Investing Inputs'!AL$356*Loans!AL$1159*'BS Forecasts'!AL$287</f>
        <v>1</v>
      </c>
      <c r="AM10" s="38">
        <f>'I&amp;E Monthly'!AM$184*'Investing Inputs'!AM$356*Loans!AM$1159*'BS Forecasts'!AM$287</f>
        <v>1</v>
      </c>
      <c r="AN10" s="38">
        <f>'I&amp;E Monthly'!AN$184*'Investing Inputs'!AN$356*Loans!AN$1159*'BS Forecasts'!AN$287</f>
        <v>1</v>
      </c>
      <c r="AO10" s="38">
        <f>'I&amp;E Monthly'!AO$184*'Investing Inputs'!AO$356*Loans!AO$1159*'BS Forecasts'!AO$287</f>
        <v>1</v>
      </c>
      <c r="AP10" s="38">
        <f>'I&amp;E Monthly'!AP$184*'Investing Inputs'!AP$356*Loans!AP$1159*'BS Forecasts'!AP$287</f>
        <v>1</v>
      </c>
      <c r="AQ10" s="38">
        <f>'I&amp;E Monthly'!AQ$184*'Investing Inputs'!AQ$356*Loans!AQ$1159*'BS Forecasts'!AQ$287</f>
        <v>1</v>
      </c>
      <c r="AR10" s="38">
        <f>'I&amp;E Monthly'!AR$184*'Investing Inputs'!AR$356*Loans!AR$1159*'BS Forecasts'!AR$287</f>
        <v>1</v>
      </c>
      <c r="AS10" s="38">
        <f>'I&amp;E Monthly'!AS$184*'Investing Inputs'!AS$356*Loans!AS$1159*'BS Forecasts'!AS$287</f>
        <v>1</v>
      </c>
      <c r="AT10" s="38">
        <f>'I&amp;E Monthly'!AT$184*'Investing Inputs'!AT$356*Loans!AT$1159*'BS Forecasts'!AT$287</f>
        <v>1</v>
      </c>
      <c r="AU10" s="38">
        <f>'I&amp;E Monthly'!AU$184*'Investing Inputs'!AU$356*Loans!AU$1159*'BS Forecasts'!AU$287</f>
        <v>1</v>
      </c>
      <c r="AV10" s="38">
        <f>'I&amp;E Monthly'!AV$184*'Investing Inputs'!AV$356*Loans!AV$1159*'BS Forecasts'!AV$287</f>
        <v>1</v>
      </c>
      <c r="AW10" s="38">
        <f>'I&amp;E Monthly'!AW$184*'Investing Inputs'!AW$356*Loans!AW$1159*'BS Forecasts'!AW$287</f>
        <v>1</v>
      </c>
      <c r="AX10" s="38">
        <f>'I&amp;E Monthly'!AX$184*'Investing Inputs'!AX$356*Loans!AX$1159*'BS Forecasts'!AX$287</f>
        <v>1</v>
      </c>
      <c r="AY10" s="38">
        <f>'I&amp;E Monthly'!AY$184*'Investing Inputs'!AY$356*Loans!AY$1159*'BS Forecasts'!AY$287</f>
        <v>1</v>
      </c>
      <c r="AZ10" s="38">
        <f>'I&amp;E Monthly'!AZ$184*'Investing Inputs'!AZ$356*Loans!AZ$1159*'BS Forecasts'!AZ$287</f>
        <v>1</v>
      </c>
      <c r="BA10" s="38">
        <f>'I&amp;E Monthly'!BA$184*'Investing Inputs'!BA$356*Loans!BA$1159*'BS Forecasts'!BA$287</f>
        <v>1</v>
      </c>
      <c r="BB10" s="38">
        <f>'I&amp;E Monthly'!BB$184*'Investing Inputs'!BB$356*Loans!BB$1159*'BS Forecasts'!BB$287</f>
        <v>1</v>
      </c>
      <c r="BC10" s="38">
        <f>'I&amp;E Monthly'!BC$184*'Investing Inputs'!BC$356*Loans!BC$1159*'BS Forecasts'!BC$287</f>
        <v>1</v>
      </c>
      <c r="BD10" s="38">
        <f>'I&amp;E Monthly'!BD$184*'Investing Inputs'!BD$356*Loans!BD$1159*'BS Forecasts'!BD$287</f>
        <v>1</v>
      </c>
      <c r="BE10" s="38">
        <f>'I&amp;E Monthly'!BE$184*'Investing Inputs'!BE$356*Loans!BE$1159*'BS Forecasts'!BE$287</f>
        <v>1</v>
      </c>
      <c r="BF10" s="38">
        <f>'I&amp;E Monthly'!BF$184*'Investing Inputs'!BF$356*Loans!BF$1159*'BS Forecasts'!BF$287</f>
        <v>1</v>
      </c>
      <c r="BG10" s="38">
        <f>'I&amp;E Monthly'!BG$184*'Investing Inputs'!BG$356*Loans!BG$1159*'BS Forecasts'!BG$287</f>
        <v>1</v>
      </c>
      <c r="BH10" s="38">
        <f>'I&amp;E Monthly'!BH$184*'Investing Inputs'!BH$356*Loans!BH$1159*'BS Forecasts'!BH$287</f>
        <v>1</v>
      </c>
      <c r="BI10" s="38">
        <f>'I&amp;E Monthly'!BI$184*'Investing Inputs'!BI$356*Loans!BI$1159*'BS Forecasts'!BI$287</f>
        <v>1</v>
      </c>
      <c r="BJ10" s="38">
        <f>'I&amp;E Monthly'!BJ$184*'Investing Inputs'!BJ$356*Loans!BJ$1159*'BS Forecasts'!BJ$287</f>
        <v>1</v>
      </c>
      <c r="BX10" s="12">
        <f>V10</f>
        <v>0</v>
      </c>
      <c r="BY10" s="12">
        <f>W10</f>
        <v>1</v>
      </c>
      <c r="BZ10" s="12">
        <f>X10</f>
        <v>1</v>
      </c>
      <c r="CA10" s="12">
        <f>Y10</f>
        <v>1</v>
      </c>
      <c r="CB10" s="38">
        <f>'I&amp;E Monthly'!CB$184*'Investing Inputs'!CB$356*Loans!CB$1159*'BS Forecasts'!CB$287</f>
        <v>0</v>
      </c>
      <c r="CC10" s="38">
        <f>'I&amp;E Monthly'!CC$184*'Investing Inputs'!CC$356*Loans!CC$1159*'BS Forecasts'!CC$287</f>
        <v>0</v>
      </c>
      <c r="CD10" s="38">
        <f>'I&amp;E Monthly'!CD$184*'Investing Inputs'!CD$356*Loans!CD$1159*'BS Forecasts'!CD$287</f>
        <v>0</v>
      </c>
      <c r="CE10" s="38">
        <f>'I&amp;E Monthly'!CE$184*'Investing Inputs'!CE$356*Loans!CE$1159*'BS Forecasts'!CE$287</f>
        <v>0</v>
      </c>
      <c r="CF10" s="38">
        <f>'I&amp;E Monthly'!CF$184*'Investing Inputs'!CF$356*Loans!CF$1159*'BS Forecasts'!CF$287</f>
        <v>0</v>
      </c>
      <c r="CG10" s="38">
        <f>'I&amp;E Monthly'!CG$184*'Investing Inputs'!CG$356*Loans!CG$1159*'BS Forecasts'!CG$287</f>
        <v>0</v>
      </c>
      <c r="CH10" s="38">
        <f>'I&amp;E Monthly'!CH$184*'Investing Inputs'!CH$356*Loans!CH$1159*'BS Forecasts'!CH$287</f>
        <v>0</v>
      </c>
      <c r="CI10" s="38">
        <f>'I&amp;E Monthly'!CI$184*'Investing Inputs'!CI$356*Loans!CI$1159*'BS Forecasts'!CI$287</f>
        <v>0</v>
      </c>
      <c r="CK10" s="11"/>
      <c r="CM10" s="11"/>
      <c r="CT10" s="11"/>
      <c r="EY10" s="10" t="str">
        <f t="shared" si="0"/>
        <v/>
      </c>
    </row>
    <row r="11" spans="1:155" ht="8.25" customHeight="1" x14ac:dyDescent="0.35">
      <c r="C11" s="234"/>
      <c r="CK11" s="11"/>
      <c r="CM11" s="11"/>
      <c r="CT11" s="11"/>
      <c r="EY11" s="10" t="str">
        <f t="shared" si="0"/>
        <v/>
      </c>
    </row>
    <row r="12" spans="1:155" x14ac:dyDescent="0.35">
      <c r="A12" s="220" cm="1">
        <f t="array" aca="1" ref="A12" ca="1">HYPERLINK(CONCATENATE("#",CELL("address",IF(MAX($CM12:$CT12)=0,A12,INDEX($CM12:$CT12,MATCH(1,$CM12:$CT12,0))))),MAX($CM12:$CT12))</f>
        <v>0</v>
      </c>
      <c r="C12" s="234"/>
      <c r="D12" s="1" t="s">
        <v>634</v>
      </c>
      <c r="V12" s="133">
        <f>(V25+V28+V37+V44+V31+V34+V47)*V$10</f>
        <v>0</v>
      </c>
      <c r="W12" s="133">
        <f>(W25+W28+W37+W44+W31+W34+W47)*W$10</f>
        <v>0</v>
      </c>
      <c r="X12" s="133">
        <f>(X25+X28+X37+X44+X31+X34+X47)*X$10</f>
        <v>0</v>
      </c>
      <c r="Y12" s="133">
        <f>(Y25+Y28+Y37+Y44+Y31+Y34+Y47)*Y$10</f>
        <v>0</v>
      </c>
      <c r="AA12" s="133">
        <f t="shared" ref="AA12:BJ12" si="1">(AA25+AA28+AA37+AA44+AA31+AA34+AA47)*AA$10</f>
        <v>0</v>
      </c>
      <c r="AB12" s="133">
        <f t="shared" si="1"/>
        <v>0</v>
      </c>
      <c r="AC12" s="133">
        <f t="shared" si="1"/>
        <v>0</v>
      </c>
      <c r="AD12" s="133">
        <f t="shared" si="1"/>
        <v>0</v>
      </c>
      <c r="AE12" s="133">
        <f t="shared" si="1"/>
        <v>0</v>
      </c>
      <c r="AF12" s="133">
        <f t="shared" si="1"/>
        <v>0</v>
      </c>
      <c r="AG12" s="133">
        <f t="shared" si="1"/>
        <v>0</v>
      </c>
      <c r="AH12" s="133">
        <f t="shared" si="1"/>
        <v>0</v>
      </c>
      <c r="AI12" s="133">
        <f t="shared" si="1"/>
        <v>0</v>
      </c>
      <c r="AJ12" s="133">
        <f t="shared" si="1"/>
        <v>0</v>
      </c>
      <c r="AK12" s="133">
        <f t="shared" si="1"/>
        <v>0</v>
      </c>
      <c r="AL12" s="133">
        <f t="shared" si="1"/>
        <v>0</v>
      </c>
      <c r="AM12" s="133">
        <f t="shared" si="1"/>
        <v>0</v>
      </c>
      <c r="AN12" s="133">
        <f t="shared" si="1"/>
        <v>0</v>
      </c>
      <c r="AO12" s="133">
        <f t="shared" si="1"/>
        <v>0</v>
      </c>
      <c r="AP12" s="133">
        <f t="shared" si="1"/>
        <v>0</v>
      </c>
      <c r="AQ12" s="133">
        <f t="shared" si="1"/>
        <v>0</v>
      </c>
      <c r="AR12" s="133">
        <f t="shared" si="1"/>
        <v>0</v>
      </c>
      <c r="AS12" s="133">
        <f t="shared" si="1"/>
        <v>0</v>
      </c>
      <c r="AT12" s="133">
        <f t="shared" si="1"/>
        <v>0</v>
      </c>
      <c r="AU12" s="133">
        <f t="shared" si="1"/>
        <v>0</v>
      </c>
      <c r="AV12" s="133">
        <f t="shared" si="1"/>
        <v>0</v>
      </c>
      <c r="AW12" s="133">
        <f t="shared" si="1"/>
        <v>0</v>
      </c>
      <c r="AX12" s="133">
        <f t="shared" si="1"/>
        <v>0</v>
      </c>
      <c r="AY12" s="133">
        <f t="shared" si="1"/>
        <v>0</v>
      </c>
      <c r="AZ12" s="133">
        <f t="shared" si="1"/>
        <v>0</v>
      </c>
      <c r="BA12" s="133">
        <f t="shared" si="1"/>
        <v>0</v>
      </c>
      <c r="BB12" s="133">
        <f t="shared" si="1"/>
        <v>0</v>
      </c>
      <c r="BC12" s="133">
        <f t="shared" si="1"/>
        <v>0</v>
      </c>
      <c r="BD12" s="133">
        <f t="shared" si="1"/>
        <v>0</v>
      </c>
      <c r="BE12" s="133">
        <f t="shared" si="1"/>
        <v>0</v>
      </c>
      <c r="BF12" s="133">
        <f t="shared" si="1"/>
        <v>0</v>
      </c>
      <c r="BG12" s="133">
        <f t="shared" si="1"/>
        <v>0</v>
      </c>
      <c r="BH12" s="133">
        <f t="shared" si="1"/>
        <v>0</v>
      </c>
      <c r="BI12" s="133">
        <f t="shared" si="1"/>
        <v>0</v>
      </c>
      <c r="BJ12" s="133">
        <f t="shared" si="1"/>
        <v>0</v>
      </c>
      <c r="BX12" s="133">
        <f t="shared" ref="BX12:CI12" si="2">(BX25+BX28+BX37+BX44+BX31+BX34+BX47)*BX$10</f>
        <v>0</v>
      </c>
      <c r="BY12" s="133">
        <f t="shared" si="2"/>
        <v>0</v>
      </c>
      <c r="BZ12" s="133">
        <f t="shared" si="2"/>
        <v>0</v>
      </c>
      <c r="CA12" s="133">
        <f t="shared" si="2"/>
        <v>0</v>
      </c>
      <c r="CB12" s="133">
        <f t="shared" si="2"/>
        <v>0</v>
      </c>
      <c r="CC12" s="133">
        <f t="shared" si="2"/>
        <v>0</v>
      </c>
      <c r="CD12" s="133">
        <f t="shared" si="2"/>
        <v>0</v>
      </c>
      <c r="CE12" s="133">
        <f t="shared" si="2"/>
        <v>0</v>
      </c>
      <c r="CF12" s="133">
        <f t="shared" si="2"/>
        <v>0</v>
      </c>
      <c r="CG12" s="133">
        <f t="shared" si="2"/>
        <v>0</v>
      </c>
      <c r="CH12" s="133">
        <f t="shared" si="2"/>
        <v>0</v>
      </c>
      <c r="CI12" s="133">
        <f t="shared" si="2"/>
        <v>0</v>
      </c>
      <c r="CK12" s="11"/>
      <c r="CM12" s="11"/>
      <c r="CS12" s="7">
        <f>IF(SUM(V12:Y12)=SUM(BX12:CA12), 0, 1)</f>
        <v>0</v>
      </c>
      <c r="CT12" s="11"/>
      <c r="EY12" s="10" t="str">
        <f t="shared" si="0"/>
        <v/>
      </c>
    </row>
    <row r="13" spans="1:155" ht="8.25" customHeight="1" x14ac:dyDescent="0.35">
      <c r="C13" s="234"/>
      <c r="CK13" s="11"/>
      <c r="CM13" s="11"/>
      <c r="CT13" s="11"/>
      <c r="EY13" s="10" t="str">
        <f t="shared" si="0"/>
        <v/>
      </c>
    </row>
    <row r="14" spans="1:155" x14ac:dyDescent="0.35">
      <c r="A14" s="220" cm="1">
        <f t="array" aca="1" ref="A14" ca="1">HYPERLINK(CONCATENATE("#",CELL("address",IF(MAX($CM14:$CT14)=0,A14,INDEX($CM14:$CT14,MATCH(1,$CM14:$CT14,0))))),MAX($CM14:$CT14))</f>
        <v>0</v>
      </c>
      <c r="C14" s="234"/>
      <c r="D14" s="1" t="s">
        <v>660</v>
      </c>
      <c r="V14" s="10">
        <f>(V52+V56+V60+V64+V70+V73+V76++V79+V83+V86+V89)*V$10</f>
        <v>0</v>
      </c>
      <c r="W14" s="10">
        <f>(W52+W56+W60+W64+W70+W73+W76++W79+W83+W86+W89)*W$10</f>
        <v>0</v>
      </c>
      <c r="X14" s="10">
        <f>(X52+X56+X60+X64+X70+X73+X76++X79+X83+X86+X89)*X$10</f>
        <v>0</v>
      </c>
      <c r="Y14" s="10">
        <f>(Y52+Y56+Y60+Y64+Y70+Y73+Y76++Y79+Y83+Y86+Y89)*Y$10</f>
        <v>0</v>
      </c>
      <c r="AA14" s="10">
        <f t="shared" ref="AA14:BN14" si="3">(AA52+AA56+AA60+AA64+AA70+AA73+AA76++AA79+AA83+AA86+AA89)*AA$10</f>
        <v>0</v>
      </c>
      <c r="AB14" s="10">
        <f t="shared" si="3"/>
        <v>0</v>
      </c>
      <c r="AC14" s="10">
        <f t="shared" si="3"/>
        <v>0</v>
      </c>
      <c r="AD14" s="10">
        <f t="shared" si="3"/>
        <v>0</v>
      </c>
      <c r="AE14" s="10">
        <f t="shared" si="3"/>
        <v>0</v>
      </c>
      <c r="AF14" s="10">
        <f t="shared" si="3"/>
        <v>0</v>
      </c>
      <c r="AG14" s="10">
        <f t="shared" si="3"/>
        <v>0</v>
      </c>
      <c r="AH14" s="10">
        <f t="shared" si="3"/>
        <v>0</v>
      </c>
      <c r="AI14" s="10">
        <f t="shared" si="3"/>
        <v>0</v>
      </c>
      <c r="AJ14" s="10">
        <f t="shared" si="3"/>
        <v>0</v>
      </c>
      <c r="AK14" s="10">
        <f t="shared" si="3"/>
        <v>0</v>
      </c>
      <c r="AL14" s="10">
        <f t="shared" si="3"/>
        <v>0</v>
      </c>
      <c r="AM14" s="10">
        <f t="shared" si="3"/>
        <v>0</v>
      </c>
      <c r="AN14" s="10">
        <f t="shared" si="3"/>
        <v>0</v>
      </c>
      <c r="AO14" s="10">
        <f t="shared" si="3"/>
        <v>0</v>
      </c>
      <c r="AP14" s="10">
        <f t="shared" si="3"/>
        <v>0</v>
      </c>
      <c r="AQ14" s="10">
        <f t="shared" si="3"/>
        <v>0</v>
      </c>
      <c r="AR14" s="10">
        <f t="shared" si="3"/>
        <v>0</v>
      </c>
      <c r="AS14" s="10">
        <f t="shared" si="3"/>
        <v>0</v>
      </c>
      <c r="AT14" s="10">
        <f t="shared" si="3"/>
        <v>0</v>
      </c>
      <c r="AU14" s="10">
        <f t="shared" si="3"/>
        <v>0</v>
      </c>
      <c r="AV14" s="10">
        <f t="shared" si="3"/>
        <v>0</v>
      </c>
      <c r="AW14" s="10">
        <f t="shared" si="3"/>
        <v>0</v>
      </c>
      <c r="AX14" s="10">
        <f t="shared" si="3"/>
        <v>0</v>
      </c>
      <c r="AY14" s="10">
        <f t="shared" si="3"/>
        <v>0</v>
      </c>
      <c r="AZ14" s="10">
        <f t="shared" si="3"/>
        <v>0</v>
      </c>
      <c r="BA14" s="10">
        <f t="shared" si="3"/>
        <v>0</v>
      </c>
      <c r="BB14" s="10">
        <f t="shared" si="3"/>
        <v>0</v>
      </c>
      <c r="BC14" s="10">
        <f t="shared" si="3"/>
        <v>0</v>
      </c>
      <c r="BD14" s="10">
        <f t="shared" si="3"/>
        <v>0</v>
      </c>
      <c r="BE14" s="10">
        <f t="shared" si="3"/>
        <v>0</v>
      </c>
      <c r="BF14" s="10">
        <f t="shared" si="3"/>
        <v>0</v>
      </c>
      <c r="BG14" s="10">
        <f t="shared" si="3"/>
        <v>0</v>
      </c>
      <c r="BH14" s="10">
        <f t="shared" si="3"/>
        <v>0</v>
      </c>
      <c r="BI14" s="10">
        <f t="shared" si="3"/>
        <v>0</v>
      </c>
      <c r="BJ14" s="10">
        <f t="shared" si="3"/>
        <v>0</v>
      </c>
      <c r="BK14" s="10">
        <f t="shared" si="3"/>
        <v>0</v>
      </c>
      <c r="BL14" s="10">
        <f t="shared" si="3"/>
        <v>0</v>
      </c>
      <c r="BM14" s="10">
        <f t="shared" si="3"/>
        <v>0</v>
      </c>
      <c r="BN14" s="10">
        <f t="shared" si="3"/>
        <v>0</v>
      </c>
      <c r="BX14" s="10">
        <f t="shared" ref="BX14:CI14" si="4">(BX52+BX56+BX60+BX64+BX70+BX73+BX76++BX79+BX83+BX86+BX89)*BX$10</f>
        <v>0</v>
      </c>
      <c r="BY14" s="10">
        <f t="shared" si="4"/>
        <v>0</v>
      </c>
      <c r="BZ14" s="10">
        <f t="shared" si="4"/>
        <v>0</v>
      </c>
      <c r="CA14" s="10">
        <f t="shared" si="4"/>
        <v>0</v>
      </c>
      <c r="CB14" s="10">
        <f t="shared" si="4"/>
        <v>0</v>
      </c>
      <c r="CC14" s="10">
        <f t="shared" si="4"/>
        <v>0</v>
      </c>
      <c r="CD14" s="10">
        <f t="shared" si="4"/>
        <v>0</v>
      </c>
      <c r="CE14" s="10">
        <f t="shared" si="4"/>
        <v>0</v>
      </c>
      <c r="CF14" s="10">
        <f t="shared" si="4"/>
        <v>0</v>
      </c>
      <c r="CG14" s="10">
        <f t="shared" si="4"/>
        <v>0</v>
      </c>
      <c r="CH14" s="10">
        <f t="shared" si="4"/>
        <v>0</v>
      </c>
      <c r="CI14" s="10">
        <f t="shared" si="4"/>
        <v>0</v>
      </c>
      <c r="CK14" s="11"/>
      <c r="CM14" s="11"/>
      <c r="CS14" s="7">
        <f>IF(SUM(V14:Y14)=SUM(BX14:CA14), 0, 1)</f>
        <v>0</v>
      </c>
      <c r="CT14" s="11"/>
      <c r="EY14" s="10" t="str">
        <f t="shared" si="0"/>
        <v/>
      </c>
    </row>
    <row r="15" spans="1:155" ht="8.25" customHeight="1" x14ac:dyDescent="0.35">
      <c r="C15" s="234"/>
      <c r="CK15" s="11"/>
      <c r="CM15" s="11"/>
      <c r="CT15" s="11"/>
      <c r="EY15" s="10" t="str">
        <f t="shared" si="0"/>
        <v/>
      </c>
    </row>
    <row r="16" spans="1:155" x14ac:dyDescent="0.35">
      <c r="A16" s="220" cm="1">
        <f t="array" aca="1" ref="A16" ca="1">HYPERLINK(CONCATENATE("#",CELL("address",IF(MAX($CM16:$CT16)=0,A16,INDEX($CM16:$CT16,MATCH(1,$CM16:$CT16,0))))),MAX($CM16:$CT16))</f>
        <v>0</v>
      </c>
      <c r="C16" s="234"/>
      <c r="D16" s="1" t="s">
        <v>1357</v>
      </c>
      <c r="V16" s="10">
        <f>SUMIFS(V92:V260, $CW$92:$CW$260, 1)*V$10</f>
        <v>0</v>
      </c>
      <c r="W16" s="10">
        <f>SUMIFS(W92:W260, $CW$92:$CW$260, 1)*W$10</f>
        <v>0</v>
      </c>
      <c r="X16" s="10">
        <f>SUMIFS(X92:X260, $CW$92:$CW$260, 1)*X$10</f>
        <v>0</v>
      </c>
      <c r="Y16" s="10">
        <f>SUMIFS(Y92:Y260, $CW$92:$CW$260, 1)*Y$10</f>
        <v>0</v>
      </c>
      <c r="AA16" s="10">
        <f t="shared" ref="AA16:BJ16" si="5">SUMIFS(AA92:AA260, $CW$92:$CW$260, 1)*AA$10</f>
        <v>0</v>
      </c>
      <c r="AB16" s="10">
        <f t="shared" si="5"/>
        <v>0</v>
      </c>
      <c r="AC16" s="10">
        <f t="shared" si="5"/>
        <v>0</v>
      </c>
      <c r="AD16" s="10">
        <f t="shared" si="5"/>
        <v>0</v>
      </c>
      <c r="AE16" s="10">
        <f t="shared" si="5"/>
        <v>0</v>
      </c>
      <c r="AF16" s="10">
        <f t="shared" si="5"/>
        <v>0</v>
      </c>
      <c r="AG16" s="10">
        <f t="shared" si="5"/>
        <v>0</v>
      </c>
      <c r="AH16" s="10">
        <f t="shared" si="5"/>
        <v>0</v>
      </c>
      <c r="AI16" s="10">
        <f t="shared" si="5"/>
        <v>0</v>
      </c>
      <c r="AJ16" s="10">
        <f t="shared" si="5"/>
        <v>0</v>
      </c>
      <c r="AK16" s="10">
        <f t="shared" si="5"/>
        <v>0</v>
      </c>
      <c r="AL16" s="10">
        <f t="shared" si="5"/>
        <v>0</v>
      </c>
      <c r="AM16" s="10">
        <f t="shared" si="5"/>
        <v>0</v>
      </c>
      <c r="AN16" s="10">
        <f t="shared" si="5"/>
        <v>0</v>
      </c>
      <c r="AO16" s="10">
        <f t="shared" si="5"/>
        <v>0</v>
      </c>
      <c r="AP16" s="10">
        <f t="shared" si="5"/>
        <v>0</v>
      </c>
      <c r="AQ16" s="10">
        <f t="shared" si="5"/>
        <v>0</v>
      </c>
      <c r="AR16" s="10">
        <f t="shared" si="5"/>
        <v>0</v>
      </c>
      <c r="AS16" s="10">
        <f t="shared" si="5"/>
        <v>0</v>
      </c>
      <c r="AT16" s="10">
        <f t="shared" si="5"/>
        <v>0</v>
      </c>
      <c r="AU16" s="10">
        <f t="shared" si="5"/>
        <v>0</v>
      </c>
      <c r="AV16" s="10">
        <f t="shared" si="5"/>
        <v>0</v>
      </c>
      <c r="AW16" s="10">
        <f t="shared" si="5"/>
        <v>0</v>
      </c>
      <c r="AX16" s="10">
        <f t="shared" si="5"/>
        <v>0</v>
      </c>
      <c r="AY16" s="10">
        <f t="shared" si="5"/>
        <v>0</v>
      </c>
      <c r="AZ16" s="10">
        <f t="shared" si="5"/>
        <v>0</v>
      </c>
      <c r="BA16" s="10">
        <f t="shared" si="5"/>
        <v>0</v>
      </c>
      <c r="BB16" s="10">
        <f t="shared" si="5"/>
        <v>0</v>
      </c>
      <c r="BC16" s="10">
        <f t="shared" si="5"/>
        <v>0</v>
      </c>
      <c r="BD16" s="10">
        <f t="shared" si="5"/>
        <v>0</v>
      </c>
      <c r="BE16" s="10">
        <f t="shared" si="5"/>
        <v>0</v>
      </c>
      <c r="BF16" s="10">
        <f t="shared" si="5"/>
        <v>0</v>
      </c>
      <c r="BG16" s="10">
        <f t="shared" si="5"/>
        <v>0</v>
      </c>
      <c r="BH16" s="10">
        <f t="shared" si="5"/>
        <v>0</v>
      </c>
      <c r="BI16" s="10">
        <f t="shared" si="5"/>
        <v>0</v>
      </c>
      <c r="BJ16" s="10">
        <f t="shared" si="5"/>
        <v>0</v>
      </c>
      <c r="BX16" s="10">
        <f t="shared" ref="BX16:CI16" si="6">SUMIFS(BX92:BX260, $CW$92:$CW$260, 1)*BX$10</f>
        <v>0</v>
      </c>
      <c r="BY16" s="10">
        <f t="shared" si="6"/>
        <v>0</v>
      </c>
      <c r="BZ16" s="10">
        <f t="shared" si="6"/>
        <v>0</v>
      </c>
      <c r="CA16" s="10">
        <f t="shared" si="6"/>
        <v>0</v>
      </c>
      <c r="CB16" s="10">
        <f t="shared" si="6"/>
        <v>0</v>
      </c>
      <c r="CC16" s="10">
        <f t="shared" si="6"/>
        <v>0</v>
      </c>
      <c r="CD16" s="10">
        <f t="shared" si="6"/>
        <v>0</v>
      </c>
      <c r="CE16" s="10">
        <f t="shared" si="6"/>
        <v>0</v>
      </c>
      <c r="CF16" s="10">
        <f t="shared" si="6"/>
        <v>0</v>
      </c>
      <c r="CG16" s="10">
        <f t="shared" si="6"/>
        <v>0</v>
      </c>
      <c r="CH16" s="10">
        <f t="shared" si="6"/>
        <v>0</v>
      </c>
      <c r="CI16" s="10">
        <f t="shared" si="6"/>
        <v>0</v>
      </c>
      <c r="CK16" s="11"/>
      <c r="CM16" s="11"/>
      <c r="CS16" s="7">
        <f>IF(SUM(V16:Y16)=SUM(BX16:CA16), 0, 1)</f>
        <v>0</v>
      </c>
      <c r="CT16" s="11"/>
      <c r="EY16" s="10" t="str">
        <f t="shared" si="0"/>
        <v/>
      </c>
    </row>
    <row r="17" spans="1:155" ht="8.25" customHeight="1" x14ac:dyDescent="0.35">
      <c r="C17" s="234"/>
      <c r="CK17" s="11"/>
      <c r="CM17" s="11"/>
      <c r="CT17" s="11"/>
      <c r="EY17" s="10" t="str">
        <f t="shared" si="0"/>
        <v/>
      </c>
    </row>
    <row r="18" spans="1:155" x14ac:dyDescent="0.35">
      <c r="C18" s="234"/>
      <c r="D18" s="1" t="s">
        <v>1358</v>
      </c>
      <c r="V18" s="125">
        <f>ROUND(V12+V14-V16,Parameters!$D$36)</f>
        <v>0</v>
      </c>
      <c r="W18" s="125">
        <f>ROUND(W12+W14-W16,Parameters!$D$36)</f>
        <v>0</v>
      </c>
      <c r="X18" s="125">
        <f>ROUND(X12+X14-X16,Parameters!$D$36)</f>
        <v>0</v>
      </c>
      <c r="Y18" s="125">
        <f>ROUND(Y12+Y14-Y16,Parameters!$D$36)</f>
        <v>0</v>
      </c>
      <c r="AA18" s="125">
        <f>ROUND(AA12+AA14-AA16,Parameters!$D$36)</f>
        <v>0</v>
      </c>
      <c r="AB18" s="125">
        <f>ROUND(AB12+AB14-AB16,Parameters!$D$36)</f>
        <v>0</v>
      </c>
      <c r="AC18" s="125">
        <f>ROUND(AC12+AC14-AC16,Parameters!$D$36)</f>
        <v>0</v>
      </c>
      <c r="AD18" s="125">
        <f>ROUND(AD12+AD14-AD16,Parameters!$D$36)</f>
        <v>0</v>
      </c>
      <c r="AE18" s="125">
        <f>ROUND(AE12+AE14-AE16,Parameters!$D$36)</f>
        <v>0</v>
      </c>
      <c r="AF18" s="125">
        <f>ROUND(AF12+AF14-AF16,Parameters!$D$36)</f>
        <v>0</v>
      </c>
      <c r="AG18" s="125">
        <f>ROUND(AG12+AG14-AG16,Parameters!$D$36)</f>
        <v>0</v>
      </c>
      <c r="AH18" s="125">
        <f>ROUND(AH12+AH14-AH16,Parameters!$D$36)</f>
        <v>0</v>
      </c>
      <c r="AI18" s="125">
        <f>ROUND(AI12+AI14-AI16,Parameters!$D$36)</f>
        <v>0</v>
      </c>
      <c r="AJ18" s="125">
        <f>ROUND(AJ12+AJ14-AJ16,Parameters!$D$36)</f>
        <v>0</v>
      </c>
      <c r="AK18" s="125">
        <f>ROUND(AK12+AK14-AK16,Parameters!$D$36)</f>
        <v>0</v>
      </c>
      <c r="AL18" s="125">
        <f>ROUND(AL12+AL14-AL16,Parameters!$D$36)</f>
        <v>0</v>
      </c>
      <c r="AM18" s="125">
        <f>ROUND(AM12+AM14-AM16,Parameters!$D$36)</f>
        <v>0</v>
      </c>
      <c r="AN18" s="125">
        <f>ROUND(AN12+AN14-AN16,Parameters!$D$36)</f>
        <v>0</v>
      </c>
      <c r="AO18" s="125">
        <f>ROUND(AO12+AO14-AO16,Parameters!$D$36)</f>
        <v>0</v>
      </c>
      <c r="AP18" s="125">
        <f>ROUND(AP12+AP14-AP16,Parameters!$D$36)</f>
        <v>0</v>
      </c>
      <c r="AQ18" s="125">
        <f>ROUND(AQ12+AQ14-AQ16,Parameters!$D$36)</f>
        <v>0</v>
      </c>
      <c r="AR18" s="125">
        <f>ROUND(AR12+AR14-AR16,Parameters!$D$36)</f>
        <v>0</v>
      </c>
      <c r="AS18" s="125">
        <f>ROUND(AS12+AS14-AS16,Parameters!$D$36)</f>
        <v>0</v>
      </c>
      <c r="AT18" s="125">
        <f>ROUND(AT12+AT14-AT16,Parameters!$D$36)</f>
        <v>0</v>
      </c>
      <c r="AU18" s="125">
        <f>ROUND(AU12+AU14-AU16,Parameters!$D$36)</f>
        <v>0</v>
      </c>
      <c r="AV18" s="125">
        <f>ROUND(AV12+AV14-AV16,Parameters!$D$36)</f>
        <v>0</v>
      </c>
      <c r="AW18" s="125">
        <f>ROUND(AW12+AW14-AW16,Parameters!$D$36)</f>
        <v>0</v>
      </c>
      <c r="AX18" s="125">
        <f>ROUND(AX12+AX14-AX16,Parameters!$D$36)</f>
        <v>0</v>
      </c>
      <c r="AY18" s="125">
        <f>ROUND(AY12+AY14-AY16,Parameters!$D$36)</f>
        <v>0</v>
      </c>
      <c r="AZ18" s="125">
        <f>ROUND(AZ12+AZ14-AZ16,Parameters!$D$36)</f>
        <v>0</v>
      </c>
      <c r="BA18" s="125">
        <f>ROUND(BA12+BA14-BA16,Parameters!$D$36)</f>
        <v>0</v>
      </c>
      <c r="BB18" s="125">
        <f>ROUND(BB12+BB14-BB16,Parameters!$D$36)</f>
        <v>0</v>
      </c>
      <c r="BC18" s="125">
        <f>ROUND(BC12+BC14-BC16,Parameters!$D$36)</f>
        <v>0</v>
      </c>
      <c r="BD18" s="125">
        <f>ROUND(BD12+BD14-BD16,Parameters!$D$36)</f>
        <v>0</v>
      </c>
      <c r="BE18" s="125">
        <f>ROUND(BE12+BE14-BE16,Parameters!$D$36)</f>
        <v>0</v>
      </c>
      <c r="BF18" s="125">
        <f>ROUND(BF12+BF14-BF16,Parameters!$D$36)</f>
        <v>0</v>
      </c>
      <c r="BG18" s="125">
        <f>ROUND(BG12+BG14-BG16,Parameters!$D$36)</f>
        <v>0</v>
      </c>
      <c r="BH18" s="125">
        <f>ROUND(BH12+BH14-BH16,Parameters!$D$36)</f>
        <v>0</v>
      </c>
      <c r="BI18" s="125">
        <f>ROUND(BI12+BI14-BI16,Parameters!$D$36)</f>
        <v>0</v>
      </c>
      <c r="BJ18" s="125">
        <f>ROUND(BJ12+BJ14-BJ16,Parameters!$D$36)</f>
        <v>0</v>
      </c>
      <c r="BX18" s="125">
        <f>ROUND(BX12+BX14-BX16,Parameters!$D$36)</f>
        <v>0</v>
      </c>
      <c r="BY18" s="125">
        <f>ROUND(BY12+BY14-BY16,Parameters!$D$36)</f>
        <v>0</v>
      </c>
      <c r="BZ18" s="125">
        <f>ROUND(BZ12+BZ14-BZ16,Parameters!$D$36)</f>
        <v>0</v>
      </c>
      <c r="CA18" s="125">
        <f>ROUND(CA12+CA14-CA16,Parameters!$D$36)</f>
        <v>0</v>
      </c>
      <c r="CB18" s="125">
        <f>ROUND(CB12+CB14-CB16,Parameters!$D$36)</f>
        <v>0</v>
      </c>
      <c r="CC18" s="125">
        <f>ROUND(CC12+CC14-CC16,Parameters!$D$36)</f>
        <v>0</v>
      </c>
      <c r="CD18" s="125">
        <f>ROUND(CD12+CD14-CD16,Parameters!$D$36)</f>
        <v>0</v>
      </c>
      <c r="CE18" s="125">
        <f>ROUND(CE12+CE14-CE16,Parameters!$D$36)</f>
        <v>0</v>
      </c>
      <c r="CF18" s="125">
        <f>ROUND(CF12+CF14-CF16,Parameters!$D$36)</f>
        <v>0</v>
      </c>
      <c r="CG18" s="125">
        <f>ROUND(CG12+CG14-CG16,Parameters!$D$36)</f>
        <v>0</v>
      </c>
      <c r="CH18" s="125">
        <f>ROUND(CH12+CH14-CH16,Parameters!$D$36)</f>
        <v>0</v>
      </c>
      <c r="CI18" s="125">
        <f>ROUND(CI12+CI14-CI16,Parameters!$D$36)</f>
        <v>0</v>
      </c>
      <c r="CK18" s="11"/>
      <c r="CM18" s="11"/>
      <c r="CT18" s="11"/>
      <c r="EY18" s="10" t="str">
        <f t="shared" si="0"/>
        <v/>
      </c>
    </row>
    <row r="19" spans="1:155" ht="8.25" customHeight="1" x14ac:dyDescent="0.35">
      <c r="C19" s="234"/>
      <c r="CK19" s="11"/>
      <c r="CM19" s="11"/>
      <c r="CT19" s="11"/>
      <c r="EY19" s="10" t="str">
        <f t="shared" si="0"/>
        <v/>
      </c>
    </row>
    <row r="20" spans="1:155" x14ac:dyDescent="0.35">
      <c r="A20" s="220" cm="1">
        <f t="array" aca="1" ref="A20" ca="1">HYPERLINK(CONCATENATE("#",CELL("address",IF(MAX($CM20:$CT20)=0,A20,INDEX($CM20:$CT20,MATCH(1,$CM20:$CT20,0))))),MAX($CM20:$CT20))</f>
        <v>0</v>
      </c>
      <c r="C20" s="234"/>
      <c r="D20" s="1" t="s">
        <v>1353</v>
      </c>
      <c r="V20" s="125">
        <f>IF(ABS(V12+V14-V16)&lt;Parameters!$D$33, 0, 1)</f>
        <v>0</v>
      </c>
      <c r="W20" s="125">
        <f>IF(ABS(W12+W14-W16)&lt;Parameters!$D$33, 0, 1)</f>
        <v>0</v>
      </c>
      <c r="X20" s="125">
        <f>IF(ABS(X12+X14-X16)&lt;Parameters!$D$33, 0, 1)</f>
        <v>0</v>
      </c>
      <c r="Y20" s="125">
        <f>IF(ABS(Y12+Y14-Y16)&lt;Parameters!$D$33, 0, 1)</f>
        <v>0</v>
      </c>
      <c r="AA20" s="125">
        <f>IF(ABS(AA12+AA14-AA16)&lt;Parameters!$D$33, 0, 1)</f>
        <v>0</v>
      </c>
      <c r="AB20" s="125">
        <f>IF(ABS(AB12+AB14-AB16)&lt;Parameters!$D$33, 0, 1)</f>
        <v>0</v>
      </c>
      <c r="AC20" s="125">
        <f>IF(ABS(AC12+AC14-AC16)&lt;Parameters!$D$33, 0, 1)</f>
        <v>0</v>
      </c>
      <c r="AD20" s="125">
        <f>IF(ABS(AD12+AD14-AD16)&lt;Parameters!$D$33, 0, 1)</f>
        <v>0</v>
      </c>
      <c r="AE20" s="125">
        <f>IF(ABS(AE12+AE14-AE16)&lt;Parameters!$D$33, 0, 1)</f>
        <v>0</v>
      </c>
      <c r="AF20" s="125">
        <f>IF(ABS(AF12+AF14-AF16)&lt;Parameters!$D$33, 0, 1)</f>
        <v>0</v>
      </c>
      <c r="AG20" s="125">
        <f>IF(ABS(AG12+AG14-AG16)&lt;Parameters!$D$33, 0, 1)</f>
        <v>0</v>
      </c>
      <c r="AH20" s="125">
        <f>IF(ABS(AH12+AH14-AH16)&lt;Parameters!$D$33, 0, 1)</f>
        <v>0</v>
      </c>
      <c r="AI20" s="125">
        <f>IF(ABS(AI12+AI14-AI16)&lt;Parameters!$D$33, 0, 1)</f>
        <v>0</v>
      </c>
      <c r="AJ20" s="125">
        <f>IF(ABS(AJ12+AJ14-AJ16)&lt;Parameters!$D$33, 0, 1)</f>
        <v>0</v>
      </c>
      <c r="AK20" s="125">
        <f>IF(ABS(AK12+AK14-AK16)&lt;Parameters!$D$33, 0, 1)</f>
        <v>0</v>
      </c>
      <c r="AL20" s="125">
        <f>IF(ABS(AL12+AL14-AL16)&lt;Parameters!$D$33, 0, 1)</f>
        <v>0</v>
      </c>
      <c r="AM20" s="125">
        <f>IF(ABS(AM12+AM14-AM16)&lt;Parameters!$D$33, 0, 1)</f>
        <v>0</v>
      </c>
      <c r="AN20" s="125">
        <f>IF(ABS(AN12+AN14-AN16)&lt;Parameters!$D$33, 0, 1)</f>
        <v>0</v>
      </c>
      <c r="AO20" s="125">
        <f>IF(ABS(AO12+AO14-AO16)&lt;Parameters!$D$33, 0, 1)</f>
        <v>0</v>
      </c>
      <c r="AP20" s="125">
        <f>IF(ABS(AP12+AP14-AP16)&lt;Parameters!$D$33, 0, 1)</f>
        <v>0</v>
      </c>
      <c r="AQ20" s="125">
        <f>IF(ABS(AQ12+AQ14-AQ16)&lt;Parameters!$D$33, 0, 1)</f>
        <v>0</v>
      </c>
      <c r="AR20" s="125">
        <f>IF(ABS(AR12+AR14-AR16)&lt;Parameters!$D$33, 0, 1)</f>
        <v>0</v>
      </c>
      <c r="AS20" s="125">
        <f>IF(ABS(AS12+AS14-AS16)&lt;Parameters!$D$33, 0, 1)</f>
        <v>0</v>
      </c>
      <c r="AT20" s="125">
        <f>IF(ABS(AT12+AT14-AT16)&lt;Parameters!$D$33, 0, 1)</f>
        <v>0</v>
      </c>
      <c r="AU20" s="125">
        <f>IF(ABS(AU12+AU14-AU16)&lt;Parameters!$D$33, 0, 1)</f>
        <v>0</v>
      </c>
      <c r="AV20" s="125">
        <f>IF(ABS(AV12+AV14-AV16)&lt;Parameters!$D$33, 0, 1)</f>
        <v>0</v>
      </c>
      <c r="AW20" s="125">
        <f>IF(ABS(AW12+AW14-AW16)&lt;Parameters!$D$33, 0, 1)</f>
        <v>0</v>
      </c>
      <c r="AX20" s="125">
        <f>IF(ABS(AX12+AX14-AX16)&lt;Parameters!$D$33, 0, 1)</f>
        <v>0</v>
      </c>
      <c r="AY20" s="125">
        <f>IF(ABS(AY12+AY14-AY16)&lt;Parameters!$D$33, 0, 1)</f>
        <v>0</v>
      </c>
      <c r="AZ20" s="125">
        <f>IF(ABS(AZ12+AZ14-AZ16)&lt;Parameters!$D$33, 0, 1)</f>
        <v>0</v>
      </c>
      <c r="BA20" s="125">
        <f>IF(ABS(BA12+BA14-BA16)&lt;Parameters!$D$33, 0, 1)</f>
        <v>0</v>
      </c>
      <c r="BB20" s="125">
        <f>IF(ABS(BB12+BB14-BB16)&lt;Parameters!$D$33, 0, 1)</f>
        <v>0</v>
      </c>
      <c r="BC20" s="125">
        <f>IF(ABS(BC12+BC14-BC16)&lt;Parameters!$D$33, 0, 1)</f>
        <v>0</v>
      </c>
      <c r="BD20" s="125">
        <f>IF(ABS(BD12+BD14-BD16)&lt;Parameters!$D$33, 0, 1)</f>
        <v>0</v>
      </c>
      <c r="BE20" s="125">
        <f>IF(ABS(BE12+BE14-BE16)&lt;Parameters!$D$33, 0, 1)</f>
        <v>0</v>
      </c>
      <c r="BF20" s="125">
        <f>IF(ABS(BF12+BF14-BF16)&lt;Parameters!$D$33, 0, 1)</f>
        <v>0</v>
      </c>
      <c r="BG20" s="125">
        <f>IF(ABS(BG12+BG14-BG16)&lt;Parameters!$D$33, 0, 1)</f>
        <v>0</v>
      </c>
      <c r="BH20" s="125">
        <f>IF(ABS(BH12+BH14-BH16)&lt;Parameters!$D$33, 0, 1)</f>
        <v>0</v>
      </c>
      <c r="BI20" s="125">
        <f>IF(ABS(BI12+BI14-BI16)&lt;Parameters!$D$33, 0, 1)</f>
        <v>0</v>
      </c>
      <c r="BJ20" s="125">
        <f>IF(ABS(BJ12+BJ14-BJ16)&lt;Parameters!$D$33, 0, 1)</f>
        <v>0</v>
      </c>
      <c r="BX20" s="125">
        <f>IF(ABS(BX12+BX14-BX16)&lt;Parameters!$D$33, 0, 1)</f>
        <v>0</v>
      </c>
      <c r="BY20" s="125">
        <f>IF(ABS(BY12+BY14-BY16)&lt;Parameters!$D$33, 0, 1)</f>
        <v>0</v>
      </c>
      <c r="BZ20" s="125">
        <f>IF(ABS(BZ12+BZ14-BZ16)&lt;Parameters!$D$33, 0, 1)</f>
        <v>0</v>
      </c>
      <c r="CA20" s="125">
        <f>IF(ABS(CA12+CA14-CA16)&lt;Parameters!$D$33, 0, 1)</f>
        <v>0</v>
      </c>
      <c r="CB20" s="125">
        <f>IF(ABS(CB12+CB14-CB16)&lt;Parameters!$D$33, 0, 1)</f>
        <v>0</v>
      </c>
      <c r="CC20" s="125">
        <f>IF(ABS(CC12+CC14-CC16)&lt;Parameters!$D$33, 0, 1)</f>
        <v>0</v>
      </c>
      <c r="CD20" s="125">
        <f>IF(ABS(CD12+CD14-CD16)&lt;Parameters!$D$33, 0, 1)</f>
        <v>0</v>
      </c>
      <c r="CE20" s="125">
        <f>IF(ABS(CE12+CE14-CE16)&lt;Parameters!$D$33, 0, 1)</f>
        <v>0</v>
      </c>
      <c r="CF20" s="125">
        <f>IF(ABS(CF12+CF14-CF16)&lt;Parameters!$D$33, 0, 1)</f>
        <v>0</v>
      </c>
      <c r="CG20" s="125">
        <f>IF(ABS(CG12+CG14-CG16)&lt;Parameters!$D$33, 0, 1)</f>
        <v>0</v>
      </c>
      <c r="CH20" s="125">
        <f>IF(ABS(CH12+CH14-CH16)&lt;Parameters!$D$33, 0, 1)</f>
        <v>0</v>
      </c>
      <c r="CI20" s="125">
        <f>IF(ABS(CI12+CI14-CI16)&lt;Parameters!$D$33, 0, 1)</f>
        <v>0</v>
      </c>
      <c r="CK20" s="11"/>
      <c r="CM20" s="11"/>
      <c r="CQ20" s="7">
        <f>IF(SUM($V20:$CI20)&gt;0,1,0)</f>
        <v>0</v>
      </c>
      <c r="CT20" s="11"/>
      <c r="EY20" s="10" t="str">
        <f t="shared" si="0"/>
        <v/>
      </c>
    </row>
    <row r="21" spans="1:155" ht="8.25" customHeight="1" x14ac:dyDescent="0.35">
      <c r="C21" s="234"/>
      <c r="CK21" s="11"/>
      <c r="CM21" s="11"/>
      <c r="CT21" s="11"/>
      <c r="EY21" s="10" t="str">
        <f t="shared" si="0"/>
        <v/>
      </c>
    </row>
    <row r="22" spans="1:155" x14ac:dyDescent="0.35">
      <c r="A22" s="34"/>
      <c r="B22" s="34"/>
      <c r="C22" s="231"/>
      <c r="D22" s="34" t="s">
        <v>617</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11"/>
      <c r="CM22" s="11"/>
      <c r="CT22" s="11"/>
      <c r="EY22" s="10" t="str">
        <f t="shared" si="0"/>
        <v/>
      </c>
    </row>
    <row r="23" spans="1:155" ht="8.25" customHeight="1" x14ac:dyDescent="0.35">
      <c r="C23" s="234"/>
      <c r="D23"/>
      <c r="CK23" s="11"/>
      <c r="CM23" s="11"/>
      <c r="CT23" s="11"/>
      <c r="EY23" s="10" t="str">
        <f t="shared" si="0"/>
        <v/>
      </c>
    </row>
    <row r="24" spans="1:155" x14ac:dyDescent="0.35">
      <c r="B24" s="5"/>
      <c r="C24" s="249"/>
      <c r="D24" s="5" t="s">
        <v>619</v>
      </c>
      <c r="CK24" s="11"/>
      <c r="CM24" s="11"/>
      <c r="CT24" s="11"/>
      <c r="EY24" s="10" t="str">
        <f t="shared" si="0"/>
        <v/>
      </c>
    </row>
    <row r="25" spans="1:155" x14ac:dyDescent="0.35">
      <c r="A25" s="220" cm="1">
        <f t="array" aca="1" ref="A25" ca="1">HYPERLINK(CONCATENATE("#",CELL("address",IF(MAX($CM25:$CT25)=0,A25,INDEX($CM25:$CT25,MATCH(1,$CM25:$CT25,0))))),MAX($CM25:$CT25))</f>
        <v>0</v>
      </c>
      <c r="C25" s="211" t="str">
        <f>'Investing Inputs'!C229</f>
        <v>B-1a-CB</v>
      </c>
      <c r="D25" t="s">
        <v>906</v>
      </c>
      <c r="H25" t="s">
        <v>620</v>
      </c>
      <c r="V25" s="133">
        <f>'Investing Inputs'!V$229</f>
        <v>0</v>
      </c>
      <c r="W25" s="10">
        <f>'Investing Inputs'!W$229</f>
        <v>0</v>
      </c>
      <c r="X25" s="10">
        <f>'Investing Inputs'!X$229</f>
        <v>0</v>
      </c>
      <c r="Y25" s="10">
        <f>'Investing Inputs'!Y$229</f>
        <v>0</v>
      </c>
      <c r="AA25" s="10">
        <f>'Investing Inputs'!AA$229</f>
        <v>0</v>
      </c>
      <c r="AB25" s="10">
        <f>'Investing Inputs'!AB$229</f>
        <v>0</v>
      </c>
      <c r="AC25" s="10">
        <f>'Investing Inputs'!AC$229</f>
        <v>0</v>
      </c>
      <c r="AD25" s="10">
        <f>'Investing Inputs'!AD$229</f>
        <v>0</v>
      </c>
      <c r="AE25" s="10">
        <f>'Investing Inputs'!AE$229</f>
        <v>0</v>
      </c>
      <c r="AF25" s="10">
        <f>'Investing Inputs'!AF$229</f>
        <v>0</v>
      </c>
      <c r="AG25" s="10">
        <f>'Investing Inputs'!AG$229</f>
        <v>0</v>
      </c>
      <c r="AH25" s="10">
        <f>'Investing Inputs'!AH$229</f>
        <v>0</v>
      </c>
      <c r="AI25" s="10">
        <f>'Investing Inputs'!AI$229</f>
        <v>0</v>
      </c>
      <c r="AJ25" s="10">
        <f>'Investing Inputs'!AJ$229</f>
        <v>0</v>
      </c>
      <c r="AK25" s="10">
        <f>'Investing Inputs'!AK$229</f>
        <v>0</v>
      </c>
      <c r="AL25" s="10">
        <f>'Investing Inputs'!AL$229</f>
        <v>0</v>
      </c>
      <c r="AM25" s="10">
        <f>'Investing Inputs'!AM$229</f>
        <v>0</v>
      </c>
      <c r="AN25" s="10">
        <f>'Investing Inputs'!AN$229</f>
        <v>0</v>
      </c>
      <c r="AO25" s="10">
        <f>'Investing Inputs'!AO$229</f>
        <v>0</v>
      </c>
      <c r="AP25" s="10">
        <f>'Investing Inputs'!AP$229</f>
        <v>0</v>
      </c>
      <c r="AQ25" s="10">
        <f>'Investing Inputs'!AQ$229</f>
        <v>0</v>
      </c>
      <c r="AR25" s="10">
        <f>'Investing Inputs'!AR$229</f>
        <v>0</v>
      </c>
      <c r="AS25" s="10">
        <f>'Investing Inputs'!AS$229</f>
        <v>0</v>
      </c>
      <c r="AT25" s="10">
        <f>'Investing Inputs'!AT$229</f>
        <v>0</v>
      </c>
      <c r="AU25" s="10">
        <f>'Investing Inputs'!AU$229</f>
        <v>0</v>
      </c>
      <c r="AV25" s="10">
        <f>'Investing Inputs'!AV$229</f>
        <v>0</v>
      </c>
      <c r="AW25" s="10">
        <f>'Investing Inputs'!AW$229</f>
        <v>0</v>
      </c>
      <c r="AX25" s="10">
        <f>'Investing Inputs'!AX$229</f>
        <v>0</v>
      </c>
      <c r="AY25" s="10">
        <f>'Investing Inputs'!AY$229</f>
        <v>0</v>
      </c>
      <c r="AZ25" s="10">
        <f>'Investing Inputs'!AZ$229</f>
        <v>0</v>
      </c>
      <c r="BA25" s="10">
        <f>'Investing Inputs'!BA$229</f>
        <v>0</v>
      </c>
      <c r="BB25" s="10">
        <f>'Investing Inputs'!BB$229</f>
        <v>0</v>
      </c>
      <c r="BC25" s="10">
        <f>'Investing Inputs'!BC$229</f>
        <v>0</v>
      </c>
      <c r="BD25" s="10">
        <f>'Investing Inputs'!BD$229</f>
        <v>0</v>
      </c>
      <c r="BE25" s="10">
        <f>'Investing Inputs'!BE$229</f>
        <v>0</v>
      </c>
      <c r="BF25" s="10">
        <f>'Investing Inputs'!BF$229</f>
        <v>0</v>
      </c>
      <c r="BG25" s="10">
        <f>'Investing Inputs'!BG$229</f>
        <v>0</v>
      </c>
      <c r="BH25" s="10">
        <f>'Investing Inputs'!BH$229</f>
        <v>0</v>
      </c>
      <c r="BI25" s="10">
        <f>'Investing Inputs'!BI$229</f>
        <v>0</v>
      </c>
      <c r="BJ25" s="10">
        <f>'Investing Inputs'!BJ$229</f>
        <v>0</v>
      </c>
      <c r="BX25" s="10">
        <f>'Investing Inputs'!BX$229</f>
        <v>0</v>
      </c>
      <c r="BY25" s="10">
        <f>'Investing Inputs'!BY$229</f>
        <v>0</v>
      </c>
      <c r="BZ25" s="10">
        <f>'Investing Inputs'!BZ$229</f>
        <v>0</v>
      </c>
      <c r="CA25" s="10">
        <f>'Investing Inputs'!CA$229</f>
        <v>0</v>
      </c>
      <c r="CB25" s="10">
        <f>'Investing Inputs'!CB$229</f>
        <v>0</v>
      </c>
      <c r="CC25" s="10">
        <f>'Investing Inputs'!CC$229</f>
        <v>0</v>
      </c>
      <c r="CD25" s="10">
        <f>'Investing Inputs'!CD$229</f>
        <v>0</v>
      </c>
      <c r="CE25" s="10">
        <f>'Investing Inputs'!CE$229</f>
        <v>0</v>
      </c>
      <c r="CF25" s="10">
        <f>'Investing Inputs'!CF$229</f>
        <v>0</v>
      </c>
      <c r="CG25" s="10">
        <f>'Investing Inputs'!CG$229</f>
        <v>0</v>
      </c>
      <c r="CH25" s="10">
        <f>'Investing Inputs'!CH$229</f>
        <v>0</v>
      </c>
      <c r="CI25" s="10">
        <f>'Investing Inputs'!CI$229</f>
        <v>0</v>
      </c>
      <c r="CK25" s="11"/>
      <c r="CM25" s="11"/>
      <c r="CS25" s="7">
        <f>IF(SUM(V25:Y25)=SUM(BX25:CA25), 0, 1)</f>
        <v>0</v>
      </c>
      <c r="CT25" s="11"/>
      <c r="CU25">
        <v>0</v>
      </c>
      <c r="CV25">
        <v>0</v>
      </c>
      <c r="EY25" s="12" t="str">
        <f>IF($C25="","",CONCATENATE(D24," ",D25))</f>
        <v>Land &amp; Buildings Closing Balance</v>
      </c>
    </row>
    <row r="26" spans="1:155" ht="8.25" customHeight="1" x14ac:dyDescent="0.35">
      <c r="C26" s="234"/>
      <c r="D26"/>
      <c r="CK26" s="11"/>
      <c r="CM26" s="11"/>
      <c r="CT26" s="11"/>
      <c r="CU26">
        <v>0</v>
      </c>
      <c r="CV26">
        <v>0</v>
      </c>
      <c r="EY26" s="10" t="str">
        <f>IF($C26="","",$D26)</f>
        <v/>
      </c>
    </row>
    <row r="27" spans="1:155" x14ac:dyDescent="0.35">
      <c r="B27" s="5"/>
      <c r="C27" s="249"/>
      <c r="D27" s="5" t="s">
        <v>622</v>
      </c>
      <c r="CK27" s="11"/>
      <c r="CM27" s="11"/>
      <c r="CT27" s="11"/>
      <c r="CU27">
        <v>0</v>
      </c>
      <c r="CV27">
        <v>0</v>
      </c>
      <c r="EY27" s="10" t="str">
        <f>IF($C27="","",$D27)</f>
        <v/>
      </c>
    </row>
    <row r="28" spans="1:155" x14ac:dyDescent="0.35">
      <c r="A28" s="220" cm="1">
        <f t="array" aca="1" ref="A28" ca="1">HYPERLINK(CONCATENATE("#",CELL("address",IF(MAX($CM28:$CT28)=0,A28,INDEX($CM28:$CT28,MATCH(1,$CM28:$CT28,0))))),MAX($CM28:$CT28))</f>
        <v>0</v>
      </c>
      <c r="C28" s="211" t="str">
        <f>'Investing Inputs'!C243</f>
        <v>B-1b-CB</v>
      </c>
      <c r="D28" t="s">
        <v>906</v>
      </c>
      <c r="H28" t="s">
        <v>620</v>
      </c>
      <c r="V28" s="133">
        <f>'Investing Inputs'!V$243</f>
        <v>0</v>
      </c>
      <c r="W28" s="10">
        <f>'Investing Inputs'!W$243</f>
        <v>0</v>
      </c>
      <c r="X28" s="10">
        <f>'Investing Inputs'!X$243</f>
        <v>0</v>
      </c>
      <c r="Y28" s="10">
        <f>'Investing Inputs'!Y$243</f>
        <v>0</v>
      </c>
      <c r="AA28" s="10">
        <f>'Investing Inputs'!AA$243</f>
        <v>0</v>
      </c>
      <c r="AB28" s="10">
        <f>'Investing Inputs'!AB$243</f>
        <v>0</v>
      </c>
      <c r="AC28" s="10">
        <f>'Investing Inputs'!AC$243</f>
        <v>0</v>
      </c>
      <c r="AD28" s="10">
        <f>'Investing Inputs'!AD$243</f>
        <v>0</v>
      </c>
      <c r="AE28" s="10">
        <f>'Investing Inputs'!AE$243</f>
        <v>0</v>
      </c>
      <c r="AF28" s="10">
        <f>'Investing Inputs'!AF$243</f>
        <v>0</v>
      </c>
      <c r="AG28" s="10">
        <f>'Investing Inputs'!AG$243</f>
        <v>0</v>
      </c>
      <c r="AH28" s="10">
        <f>'Investing Inputs'!AH$243</f>
        <v>0</v>
      </c>
      <c r="AI28" s="10">
        <f>'Investing Inputs'!AI$243</f>
        <v>0</v>
      </c>
      <c r="AJ28" s="10">
        <f>'Investing Inputs'!AJ$243</f>
        <v>0</v>
      </c>
      <c r="AK28" s="10">
        <f>'Investing Inputs'!AK$243</f>
        <v>0</v>
      </c>
      <c r="AL28" s="10">
        <f>'Investing Inputs'!AL$243</f>
        <v>0</v>
      </c>
      <c r="AM28" s="10">
        <f>'Investing Inputs'!AM$243</f>
        <v>0</v>
      </c>
      <c r="AN28" s="10">
        <f>'Investing Inputs'!AN$243</f>
        <v>0</v>
      </c>
      <c r="AO28" s="10">
        <f>'Investing Inputs'!AO$243</f>
        <v>0</v>
      </c>
      <c r="AP28" s="10">
        <f>'Investing Inputs'!AP$243</f>
        <v>0</v>
      </c>
      <c r="AQ28" s="10">
        <f>'Investing Inputs'!AQ$243</f>
        <v>0</v>
      </c>
      <c r="AR28" s="10">
        <f>'Investing Inputs'!AR$243</f>
        <v>0</v>
      </c>
      <c r="AS28" s="10">
        <f>'Investing Inputs'!AS$243</f>
        <v>0</v>
      </c>
      <c r="AT28" s="10">
        <f>'Investing Inputs'!AT$243</f>
        <v>0</v>
      </c>
      <c r="AU28" s="10">
        <f>'Investing Inputs'!AU$243</f>
        <v>0</v>
      </c>
      <c r="AV28" s="10">
        <f>'Investing Inputs'!AV$243</f>
        <v>0</v>
      </c>
      <c r="AW28" s="10">
        <f>'Investing Inputs'!AW$243</f>
        <v>0</v>
      </c>
      <c r="AX28" s="10">
        <f>'Investing Inputs'!AX$243</f>
        <v>0</v>
      </c>
      <c r="AY28" s="10">
        <f>'Investing Inputs'!AY$243</f>
        <v>0</v>
      </c>
      <c r="AZ28" s="10">
        <f>'Investing Inputs'!AZ$243</f>
        <v>0</v>
      </c>
      <c r="BA28" s="10">
        <f>'Investing Inputs'!BA$243</f>
        <v>0</v>
      </c>
      <c r="BB28" s="10">
        <f>'Investing Inputs'!BB$243</f>
        <v>0</v>
      </c>
      <c r="BC28" s="10">
        <f>'Investing Inputs'!BC$243</f>
        <v>0</v>
      </c>
      <c r="BD28" s="10">
        <f>'Investing Inputs'!BD$243</f>
        <v>0</v>
      </c>
      <c r="BE28" s="10">
        <f>'Investing Inputs'!BE$243</f>
        <v>0</v>
      </c>
      <c r="BF28" s="10">
        <f>'Investing Inputs'!BF$243</f>
        <v>0</v>
      </c>
      <c r="BG28" s="10">
        <f>'Investing Inputs'!BG$243</f>
        <v>0</v>
      </c>
      <c r="BH28" s="10">
        <f>'Investing Inputs'!BH$243</f>
        <v>0</v>
      </c>
      <c r="BI28" s="10">
        <f>'Investing Inputs'!BI$243</f>
        <v>0</v>
      </c>
      <c r="BJ28" s="10">
        <f>'Investing Inputs'!BJ$243</f>
        <v>0</v>
      </c>
      <c r="BX28" s="10">
        <f>'Investing Inputs'!BX$243</f>
        <v>0</v>
      </c>
      <c r="BY28" s="10">
        <f>'Investing Inputs'!BY$243</f>
        <v>0</v>
      </c>
      <c r="BZ28" s="10">
        <f>'Investing Inputs'!BZ$243</f>
        <v>0</v>
      </c>
      <c r="CA28" s="10">
        <f>'Investing Inputs'!CA$243</f>
        <v>0</v>
      </c>
      <c r="CB28" s="10">
        <f>'Investing Inputs'!CB$243</f>
        <v>0</v>
      </c>
      <c r="CC28" s="10">
        <f>'Investing Inputs'!CC$243</f>
        <v>0</v>
      </c>
      <c r="CD28" s="10">
        <f>'Investing Inputs'!CD$243</f>
        <v>0</v>
      </c>
      <c r="CE28" s="10">
        <f>'Investing Inputs'!CE$243</f>
        <v>0</v>
      </c>
      <c r="CF28" s="10">
        <f>'Investing Inputs'!CF$243</f>
        <v>0</v>
      </c>
      <c r="CG28" s="10">
        <f>'Investing Inputs'!CG$243</f>
        <v>0</v>
      </c>
      <c r="CH28" s="10">
        <f>'Investing Inputs'!CH$243</f>
        <v>0</v>
      </c>
      <c r="CI28" s="10">
        <f>'Investing Inputs'!CI$243</f>
        <v>0</v>
      </c>
      <c r="CK28" s="11"/>
      <c r="CM28" s="11"/>
      <c r="CS28" s="7">
        <f>IF(SUM(V28:Y28)=SUM(BX28:CA28), 0, 1)</f>
        <v>0</v>
      </c>
      <c r="CT28" s="11"/>
      <c r="CU28">
        <v>0</v>
      </c>
      <c r="CV28">
        <v>0</v>
      </c>
      <c r="EY28" s="12" t="str">
        <f>IF($C28="","",CONCATENATE(D27," ",D28))</f>
        <v>Equipment Closing Balance</v>
      </c>
    </row>
    <row r="29" spans="1:155" ht="8.25" customHeight="1" x14ac:dyDescent="0.35">
      <c r="C29" s="234"/>
      <c r="D29"/>
      <c r="CK29" s="11"/>
      <c r="CM29" s="11"/>
      <c r="CT29" s="11"/>
      <c r="CU29">
        <v>0</v>
      </c>
      <c r="CV29">
        <v>0</v>
      </c>
      <c r="EY29" s="10" t="str">
        <f>IF($C29="","",$D29)</f>
        <v/>
      </c>
    </row>
    <row r="30" spans="1:155" x14ac:dyDescent="0.35">
      <c r="B30" s="5"/>
      <c r="C30" s="249"/>
      <c r="D30" s="5" t="str">
        <f>'Investing Inputs'!D247</f>
        <v>Other NCA</v>
      </c>
      <c r="CK30" s="11"/>
      <c r="CM30" s="11"/>
      <c r="CT30" s="11"/>
      <c r="CU30">
        <v>0</v>
      </c>
      <c r="CV30">
        <v>0</v>
      </c>
      <c r="EY30" s="10" t="str">
        <f>IF($C30="","",$D30)</f>
        <v/>
      </c>
    </row>
    <row r="31" spans="1:155" x14ac:dyDescent="0.35">
      <c r="A31" s="220" cm="1">
        <f t="array" aca="1" ref="A31" ca="1">HYPERLINK(CONCATENATE("#",CELL("address",IF(MAX($CM31:$CT31)=0,A31,INDEX($CM31:$CT31,MATCH(1,$CM31:$CT31,0))))),MAX($CM31:$CT31))</f>
        <v>0</v>
      </c>
      <c r="C31" s="211" t="str">
        <f>'Investing Inputs'!C257</f>
        <v>B-1c-CB</v>
      </c>
      <c r="D31" t="s">
        <v>906</v>
      </c>
      <c r="H31" t="s">
        <v>620</v>
      </c>
      <c r="V31" s="133">
        <f>'Investing Inputs'!V257</f>
        <v>0</v>
      </c>
      <c r="W31" s="10">
        <f>'Investing Inputs'!W257</f>
        <v>0</v>
      </c>
      <c r="X31" s="10">
        <f>'Investing Inputs'!X257</f>
        <v>0</v>
      </c>
      <c r="Y31" s="10">
        <f>'Investing Inputs'!Y257</f>
        <v>0</v>
      </c>
      <c r="AA31" s="10">
        <f>'Investing Inputs'!AA257</f>
        <v>0</v>
      </c>
      <c r="AB31" s="10">
        <f>'Investing Inputs'!AB257</f>
        <v>0</v>
      </c>
      <c r="AC31" s="10">
        <f>'Investing Inputs'!AC257</f>
        <v>0</v>
      </c>
      <c r="AD31" s="10">
        <f>'Investing Inputs'!AD257</f>
        <v>0</v>
      </c>
      <c r="AE31" s="10">
        <f>'Investing Inputs'!AE257</f>
        <v>0</v>
      </c>
      <c r="AF31" s="10">
        <f>'Investing Inputs'!AF257</f>
        <v>0</v>
      </c>
      <c r="AG31" s="10">
        <f>'Investing Inputs'!AG257</f>
        <v>0</v>
      </c>
      <c r="AH31" s="10">
        <f>'Investing Inputs'!AH257</f>
        <v>0</v>
      </c>
      <c r="AI31" s="10">
        <f>'Investing Inputs'!AI257</f>
        <v>0</v>
      </c>
      <c r="AJ31" s="10">
        <f>'Investing Inputs'!AJ257</f>
        <v>0</v>
      </c>
      <c r="AK31" s="10">
        <f>'Investing Inputs'!AK257</f>
        <v>0</v>
      </c>
      <c r="AL31" s="10">
        <f>'Investing Inputs'!AL257</f>
        <v>0</v>
      </c>
      <c r="AM31" s="10">
        <f>'Investing Inputs'!AM257</f>
        <v>0</v>
      </c>
      <c r="AN31" s="10">
        <f>'Investing Inputs'!AN257</f>
        <v>0</v>
      </c>
      <c r="AO31" s="10">
        <f>'Investing Inputs'!AO257</f>
        <v>0</v>
      </c>
      <c r="AP31" s="10">
        <f>'Investing Inputs'!AP257</f>
        <v>0</v>
      </c>
      <c r="AQ31" s="10">
        <f>'Investing Inputs'!AQ257</f>
        <v>0</v>
      </c>
      <c r="AR31" s="10">
        <f>'Investing Inputs'!AR257</f>
        <v>0</v>
      </c>
      <c r="AS31" s="10">
        <f>'Investing Inputs'!AS257</f>
        <v>0</v>
      </c>
      <c r="AT31" s="10">
        <f>'Investing Inputs'!AT257</f>
        <v>0</v>
      </c>
      <c r="AU31" s="10">
        <f>'Investing Inputs'!AU257</f>
        <v>0</v>
      </c>
      <c r="AV31" s="10">
        <f>'Investing Inputs'!AV257</f>
        <v>0</v>
      </c>
      <c r="AW31" s="10">
        <f>'Investing Inputs'!AW257</f>
        <v>0</v>
      </c>
      <c r="AX31" s="10">
        <f>'Investing Inputs'!AX257</f>
        <v>0</v>
      </c>
      <c r="AY31" s="10">
        <f>'Investing Inputs'!AY257</f>
        <v>0</v>
      </c>
      <c r="AZ31" s="10">
        <f>'Investing Inputs'!AZ257</f>
        <v>0</v>
      </c>
      <c r="BA31" s="10">
        <f>'Investing Inputs'!BA257</f>
        <v>0</v>
      </c>
      <c r="BB31" s="10">
        <f>'Investing Inputs'!BB257</f>
        <v>0</v>
      </c>
      <c r="BC31" s="10">
        <f>'Investing Inputs'!BC257</f>
        <v>0</v>
      </c>
      <c r="BD31" s="10">
        <f>'Investing Inputs'!BD257</f>
        <v>0</v>
      </c>
      <c r="BE31" s="10">
        <f>'Investing Inputs'!BE257</f>
        <v>0</v>
      </c>
      <c r="BF31" s="10">
        <f>'Investing Inputs'!BF257</f>
        <v>0</v>
      </c>
      <c r="BG31" s="10">
        <f>'Investing Inputs'!BG257</f>
        <v>0</v>
      </c>
      <c r="BH31" s="10">
        <f>'Investing Inputs'!BH257</f>
        <v>0</v>
      </c>
      <c r="BI31" s="10">
        <f>'Investing Inputs'!BI257</f>
        <v>0</v>
      </c>
      <c r="BJ31" s="10">
        <f>'Investing Inputs'!BJ257</f>
        <v>0</v>
      </c>
      <c r="BX31" s="10">
        <f>'Investing Inputs'!BX257</f>
        <v>0</v>
      </c>
      <c r="BY31" s="10">
        <f>'Investing Inputs'!BY257</f>
        <v>0</v>
      </c>
      <c r="BZ31" s="10">
        <f>'Investing Inputs'!BZ257</f>
        <v>0</v>
      </c>
      <c r="CA31" s="10">
        <f>'Investing Inputs'!CA257</f>
        <v>0</v>
      </c>
      <c r="CB31" s="10">
        <f>'Investing Inputs'!CB257</f>
        <v>0</v>
      </c>
      <c r="CC31" s="10">
        <f>'Investing Inputs'!CC257</f>
        <v>0</v>
      </c>
      <c r="CD31" s="10">
        <f>'Investing Inputs'!CD257</f>
        <v>0</v>
      </c>
      <c r="CE31" s="10">
        <f>'Investing Inputs'!CE257</f>
        <v>0</v>
      </c>
      <c r="CF31" s="10">
        <f>'Investing Inputs'!CF257</f>
        <v>0</v>
      </c>
      <c r="CG31" s="10">
        <f>'Investing Inputs'!CG257</f>
        <v>0</v>
      </c>
      <c r="CH31" s="10">
        <f>'Investing Inputs'!CH257</f>
        <v>0</v>
      </c>
      <c r="CI31" s="10">
        <f>'Investing Inputs'!CI257</f>
        <v>0</v>
      </c>
      <c r="CK31" s="11"/>
      <c r="CM31" s="11"/>
      <c r="CS31" s="7">
        <f>IF(SUM(V31:Y31)=SUM(BX31:CA31), 0, 1)</f>
        <v>0</v>
      </c>
      <c r="CT31" s="11"/>
      <c r="CU31">
        <v>0</v>
      </c>
      <c r="CV31">
        <v>0</v>
      </c>
      <c r="EY31" s="12" t="str">
        <f>IF($C31="","",CONCATENATE(D30," ",D31))</f>
        <v>Other NCA Closing Balance</v>
      </c>
    </row>
    <row r="32" spans="1:155" ht="8.25" customHeight="1" x14ac:dyDescent="0.35">
      <c r="C32" s="234"/>
      <c r="D32"/>
      <c r="CK32" s="11"/>
      <c r="CM32" s="11"/>
      <c r="CT32" s="11"/>
      <c r="CU32">
        <v>0</v>
      </c>
      <c r="CV32">
        <v>0</v>
      </c>
      <c r="EY32" s="10" t="str">
        <f>IF($C32="","",$D32)</f>
        <v/>
      </c>
    </row>
    <row r="33" spans="1:155" x14ac:dyDescent="0.35">
      <c r="B33" s="5"/>
      <c r="C33" s="249"/>
      <c r="D33" s="5" t="str">
        <f>'Investing Inputs'!D273</f>
        <v>Assets under Construction</v>
      </c>
      <c r="CK33" s="11"/>
      <c r="CM33" s="11"/>
      <c r="CT33" s="11"/>
      <c r="CU33">
        <v>0</v>
      </c>
      <c r="CV33">
        <v>0</v>
      </c>
      <c r="EY33" s="10" t="str">
        <f>IF($C33="","",$D33)</f>
        <v/>
      </c>
    </row>
    <row r="34" spans="1:155" x14ac:dyDescent="0.35">
      <c r="A34" s="220" cm="1">
        <f t="array" aca="1" ref="A34" ca="1">HYPERLINK(CONCATENATE("#",CELL("address",IF(MAX($CM34:$CT34)=0,A34,INDEX($CM34:$CT34,MATCH(1,$CM34:$CT34,0))))),MAX($CM34:$CT34))</f>
        <v>0</v>
      </c>
      <c r="C34" s="211" t="str">
        <f>'Investing Inputs'!C278</f>
        <v>B-1d-CB</v>
      </c>
      <c r="D34" t="s">
        <v>906</v>
      </c>
      <c r="H34" t="s">
        <v>620</v>
      </c>
      <c r="V34" s="133">
        <f>'Investing Inputs'!V278</f>
        <v>0</v>
      </c>
      <c r="W34" s="10">
        <f>'Investing Inputs'!W278</f>
        <v>0</v>
      </c>
      <c r="X34" s="10">
        <f>'Investing Inputs'!X278</f>
        <v>0</v>
      </c>
      <c r="Y34" s="10">
        <f>'Investing Inputs'!Y278</f>
        <v>0</v>
      </c>
      <c r="AA34" s="10">
        <f>'Investing Inputs'!AA278</f>
        <v>0</v>
      </c>
      <c r="AB34" s="10">
        <f>'Investing Inputs'!AB278</f>
        <v>0</v>
      </c>
      <c r="AC34" s="10">
        <f>'Investing Inputs'!AC278</f>
        <v>0</v>
      </c>
      <c r="AD34" s="10">
        <f>'Investing Inputs'!AD278</f>
        <v>0</v>
      </c>
      <c r="AE34" s="10">
        <f>'Investing Inputs'!AE278</f>
        <v>0</v>
      </c>
      <c r="AF34" s="10">
        <f>'Investing Inputs'!AF278</f>
        <v>0</v>
      </c>
      <c r="AG34" s="10">
        <f>'Investing Inputs'!AG278</f>
        <v>0</v>
      </c>
      <c r="AH34" s="10">
        <f>'Investing Inputs'!AH278</f>
        <v>0</v>
      </c>
      <c r="AI34" s="10">
        <f>'Investing Inputs'!AI278</f>
        <v>0</v>
      </c>
      <c r="AJ34" s="10">
        <f>'Investing Inputs'!AJ278</f>
        <v>0</v>
      </c>
      <c r="AK34" s="10">
        <f>'Investing Inputs'!AK278</f>
        <v>0</v>
      </c>
      <c r="AL34" s="10">
        <f>'Investing Inputs'!AL278</f>
        <v>0</v>
      </c>
      <c r="AM34" s="10">
        <f>'Investing Inputs'!AM278</f>
        <v>0</v>
      </c>
      <c r="AN34" s="10">
        <f>'Investing Inputs'!AN278</f>
        <v>0</v>
      </c>
      <c r="AO34" s="10">
        <f>'Investing Inputs'!AO278</f>
        <v>0</v>
      </c>
      <c r="AP34" s="10">
        <f>'Investing Inputs'!AP278</f>
        <v>0</v>
      </c>
      <c r="AQ34" s="10">
        <f>'Investing Inputs'!AQ278</f>
        <v>0</v>
      </c>
      <c r="AR34" s="10">
        <f>'Investing Inputs'!AR278</f>
        <v>0</v>
      </c>
      <c r="AS34" s="10">
        <f>'Investing Inputs'!AS278</f>
        <v>0</v>
      </c>
      <c r="AT34" s="10">
        <f>'Investing Inputs'!AT278</f>
        <v>0</v>
      </c>
      <c r="AU34" s="10">
        <f>'Investing Inputs'!AU278</f>
        <v>0</v>
      </c>
      <c r="AV34" s="10">
        <f>'Investing Inputs'!AV278</f>
        <v>0</v>
      </c>
      <c r="AW34" s="10">
        <f>'Investing Inputs'!AW278</f>
        <v>0</v>
      </c>
      <c r="AX34" s="10">
        <f>'Investing Inputs'!AX278</f>
        <v>0</v>
      </c>
      <c r="AY34" s="10">
        <f>'Investing Inputs'!AY278</f>
        <v>0</v>
      </c>
      <c r="AZ34" s="10">
        <f>'Investing Inputs'!AZ278</f>
        <v>0</v>
      </c>
      <c r="BA34" s="10">
        <f>'Investing Inputs'!BA278</f>
        <v>0</v>
      </c>
      <c r="BB34" s="10">
        <f>'Investing Inputs'!BB278</f>
        <v>0</v>
      </c>
      <c r="BC34" s="10">
        <f>'Investing Inputs'!BC278</f>
        <v>0</v>
      </c>
      <c r="BD34" s="10">
        <f>'Investing Inputs'!BD278</f>
        <v>0</v>
      </c>
      <c r="BE34" s="10">
        <f>'Investing Inputs'!BE278</f>
        <v>0</v>
      </c>
      <c r="BF34" s="10">
        <f>'Investing Inputs'!BF278</f>
        <v>0</v>
      </c>
      <c r="BG34" s="10">
        <f>'Investing Inputs'!BG278</f>
        <v>0</v>
      </c>
      <c r="BH34" s="10">
        <f>'Investing Inputs'!BH278</f>
        <v>0</v>
      </c>
      <c r="BI34" s="10">
        <f>'Investing Inputs'!BI278</f>
        <v>0</v>
      </c>
      <c r="BJ34" s="10">
        <f>'Investing Inputs'!BJ278</f>
        <v>0</v>
      </c>
      <c r="BX34" s="10">
        <f>'Investing Inputs'!BX278</f>
        <v>0</v>
      </c>
      <c r="BY34" s="10">
        <f>'Investing Inputs'!BY278</f>
        <v>0</v>
      </c>
      <c r="BZ34" s="10">
        <f>'Investing Inputs'!BZ278</f>
        <v>0</v>
      </c>
      <c r="CA34" s="10">
        <f>'Investing Inputs'!CA278</f>
        <v>0</v>
      </c>
      <c r="CB34" s="10">
        <f>'Investing Inputs'!CB278</f>
        <v>0</v>
      </c>
      <c r="CC34" s="10">
        <f>'Investing Inputs'!CC278</f>
        <v>0</v>
      </c>
      <c r="CD34" s="10">
        <f>'Investing Inputs'!CD278</f>
        <v>0</v>
      </c>
      <c r="CE34" s="10">
        <f>'Investing Inputs'!CE278</f>
        <v>0</v>
      </c>
      <c r="CF34" s="10">
        <f>'Investing Inputs'!CF278</f>
        <v>0</v>
      </c>
      <c r="CG34" s="10">
        <f>'Investing Inputs'!CG278</f>
        <v>0</v>
      </c>
      <c r="CH34" s="10">
        <f>'Investing Inputs'!CH278</f>
        <v>0</v>
      </c>
      <c r="CI34" s="10">
        <f>'Investing Inputs'!CI278</f>
        <v>0</v>
      </c>
      <c r="CK34" s="11"/>
      <c r="CM34" s="11"/>
      <c r="CS34" s="7">
        <f>IF(SUM(V34:Y34)=SUM(BX34:CA34), 0, 1)</f>
        <v>0</v>
      </c>
      <c r="CT34" s="11"/>
      <c r="CU34">
        <v>0</v>
      </c>
      <c r="CV34">
        <v>0</v>
      </c>
      <c r="EY34" s="12" t="str">
        <f>IF($C34="","",CONCATENATE(D33," ",D34))</f>
        <v>Assets under Construction Closing Balance</v>
      </c>
    </row>
    <row r="35" spans="1:155" ht="8.25" customHeight="1" x14ac:dyDescent="0.35">
      <c r="C35" s="234"/>
      <c r="D35"/>
      <c r="CK35" s="11"/>
      <c r="CM35" s="11"/>
      <c r="CT35" s="11"/>
      <c r="CU35">
        <v>0</v>
      </c>
      <c r="CV35">
        <v>0</v>
      </c>
      <c r="EY35" s="10" t="str">
        <f>IF($C35="","",$D35)</f>
        <v/>
      </c>
    </row>
    <row r="36" spans="1:155" x14ac:dyDescent="0.35">
      <c r="B36" s="5"/>
      <c r="C36" s="249"/>
      <c r="D36" s="5" t="str">
        <f>'Investing Inputs'!D261</f>
        <v>Investments</v>
      </c>
      <c r="CK36" s="11"/>
      <c r="CM36" s="11"/>
      <c r="CT36" s="11"/>
      <c r="CU36">
        <v>0</v>
      </c>
      <c r="CV36">
        <v>0</v>
      </c>
      <c r="EY36" s="10" t="str">
        <f>IF($C36="","",$D36)</f>
        <v/>
      </c>
    </row>
    <row r="37" spans="1:155" x14ac:dyDescent="0.35">
      <c r="A37" s="220" cm="1">
        <f t="array" aca="1" ref="A37" ca="1">HYPERLINK(CONCATENATE("#",CELL("address",IF(MAX($CM37:$CT37)=0,A37,INDEX($CM37:$CT37,MATCH(1,$CM37:$CT37,0))))),MAX($CM37:$CT37))</f>
        <v>0</v>
      </c>
      <c r="C37" s="211" t="str">
        <f>'Investing Inputs'!C269</f>
        <v>B-1e-CB</v>
      </c>
      <c r="D37" t="s">
        <v>906</v>
      </c>
      <c r="H37" t="s">
        <v>620</v>
      </c>
      <c r="V37" s="133">
        <f>'Investing Inputs'!V$269</f>
        <v>0</v>
      </c>
      <c r="W37" s="10">
        <f>'Investing Inputs'!W$269</f>
        <v>0</v>
      </c>
      <c r="X37" s="10">
        <f>'Investing Inputs'!X$269</f>
        <v>0</v>
      </c>
      <c r="Y37" s="10">
        <f>'Investing Inputs'!Y$269</f>
        <v>0</v>
      </c>
      <c r="AA37" s="10">
        <f>'Investing Inputs'!AA$269</f>
        <v>0</v>
      </c>
      <c r="AB37" s="10">
        <f>'Investing Inputs'!AB$269</f>
        <v>0</v>
      </c>
      <c r="AC37" s="10">
        <f>'Investing Inputs'!AC$269</f>
        <v>0</v>
      </c>
      <c r="AD37" s="10">
        <f>'Investing Inputs'!AD$269</f>
        <v>0</v>
      </c>
      <c r="AE37" s="10">
        <f>'Investing Inputs'!AE$269</f>
        <v>0</v>
      </c>
      <c r="AF37" s="10">
        <f>'Investing Inputs'!AF$269</f>
        <v>0</v>
      </c>
      <c r="AG37" s="10">
        <f>'Investing Inputs'!AG$269</f>
        <v>0</v>
      </c>
      <c r="AH37" s="10">
        <f>'Investing Inputs'!AH$269</f>
        <v>0</v>
      </c>
      <c r="AI37" s="10">
        <f>'Investing Inputs'!AI$269</f>
        <v>0</v>
      </c>
      <c r="AJ37" s="10">
        <f>'Investing Inputs'!AJ$269</f>
        <v>0</v>
      </c>
      <c r="AK37" s="10">
        <f>'Investing Inputs'!AK$269</f>
        <v>0</v>
      </c>
      <c r="AL37" s="10">
        <f>'Investing Inputs'!AL$269</f>
        <v>0</v>
      </c>
      <c r="AM37" s="10">
        <f>'Investing Inputs'!AM$269</f>
        <v>0</v>
      </c>
      <c r="AN37" s="10">
        <f>'Investing Inputs'!AN$269</f>
        <v>0</v>
      </c>
      <c r="AO37" s="10">
        <f>'Investing Inputs'!AO$269</f>
        <v>0</v>
      </c>
      <c r="AP37" s="10">
        <f>'Investing Inputs'!AP$269</f>
        <v>0</v>
      </c>
      <c r="AQ37" s="10">
        <f>'Investing Inputs'!AQ$269</f>
        <v>0</v>
      </c>
      <c r="AR37" s="10">
        <f>'Investing Inputs'!AR$269</f>
        <v>0</v>
      </c>
      <c r="AS37" s="10">
        <f>'Investing Inputs'!AS$269</f>
        <v>0</v>
      </c>
      <c r="AT37" s="10">
        <f>'Investing Inputs'!AT$269</f>
        <v>0</v>
      </c>
      <c r="AU37" s="10">
        <f>'Investing Inputs'!AU$269</f>
        <v>0</v>
      </c>
      <c r="AV37" s="10">
        <f>'Investing Inputs'!AV$269</f>
        <v>0</v>
      </c>
      <c r="AW37" s="10">
        <f>'Investing Inputs'!AW$269</f>
        <v>0</v>
      </c>
      <c r="AX37" s="10">
        <f>'Investing Inputs'!AX$269</f>
        <v>0</v>
      </c>
      <c r="AY37" s="10">
        <f>'Investing Inputs'!AY$269</f>
        <v>0</v>
      </c>
      <c r="AZ37" s="10">
        <f>'Investing Inputs'!AZ$269</f>
        <v>0</v>
      </c>
      <c r="BA37" s="10">
        <f>'Investing Inputs'!BA$269</f>
        <v>0</v>
      </c>
      <c r="BB37" s="10">
        <f>'Investing Inputs'!BB$269</f>
        <v>0</v>
      </c>
      <c r="BC37" s="10">
        <f>'Investing Inputs'!BC$269</f>
        <v>0</v>
      </c>
      <c r="BD37" s="10">
        <f>'Investing Inputs'!BD$269</f>
        <v>0</v>
      </c>
      <c r="BE37" s="10">
        <f>'Investing Inputs'!BE$269</f>
        <v>0</v>
      </c>
      <c r="BF37" s="10">
        <f>'Investing Inputs'!BF$269</f>
        <v>0</v>
      </c>
      <c r="BG37" s="10">
        <f>'Investing Inputs'!BG$269</f>
        <v>0</v>
      </c>
      <c r="BH37" s="10">
        <f>'Investing Inputs'!BH$269</f>
        <v>0</v>
      </c>
      <c r="BI37" s="10">
        <f>'Investing Inputs'!BI$269</f>
        <v>0</v>
      </c>
      <c r="BJ37" s="10">
        <f>'Investing Inputs'!BJ$269</f>
        <v>0</v>
      </c>
      <c r="BX37" s="10">
        <f>'Investing Inputs'!BX$269</f>
        <v>0</v>
      </c>
      <c r="BY37" s="10">
        <f>'Investing Inputs'!BY$269</f>
        <v>0</v>
      </c>
      <c r="BZ37" s="10">
        <f>'Investing Inputs'!BZ$269</f>
        <v>0</v>
      </c>
      <c r="CA37" s="10">
        <f>'Investing Inputs'!CA$269</f>
        <v>0</v>
      </c>
      <c r="CB37" s="10">
        <f>'Investing Inputs'!CB$269</f>
        <v>0</v>
      </c>
      <c r="CC37" s="10">
        <f>'Investing Inputs'!CC$269</f>
        <v>0</v>
      </c>
      <c r="CD37" s="10">
        <f>'Investing Inputs'!CD$269</f>
        <v>0</v>
      </c>
      <c r="CE37" s="10">
        <f>'Investing Inputs'!CE$269</f>
        <v>0</v>
      </c>
      <c r="CF37" s="10">
        <f>'Investing Inputs'!CF$269</f>
        <v>0</v>
      </c>
      <c r="CG37" s="10">
        <f>'Investing Inputs'!CG$269</f>
        <v>0</v>
      </c>
      <c r="CH37" s="10">
        <f>'Investing Inputs'!CH$269</f>
        <v>0</v>
      </c>
      <c r="CI37" s="10">
        <f>'Investing Inputs'!CI$269</f>
        <v>0</v>
      </c>
      <c r="CK37" s="11"/>
      <c r="CM37" s="11"/>
      <c r="CS37" s="7">
        <f>IF(SUM(V37:Y37)=SUM(BX37:CA37), 0, 1)</f>
        <v>0</v>
      </c>
      <c r="CT37" s="11"/>
      <c r="CU37">
        <v>0</v>
      </c>
      <c r="CV37">
        <v>0</v>
      </c>
      <c r="EY37" s="12" t="str">
        <f>IF($C37="","",CONCATENATE(D36," ",D37))</f>
        <v>Investments Closing Balance</v>
      </c>
    </row>
    <row r="38" spans="1:155" ht="8.25" customHeight="1" x14ac:dyDescent="0.35">
      <c r="C38" s="234"/>
      <c r="BY38" s="6"/>
      <c r="CK38" s="11"/>
      <c r="CM38" s="11"/>
      <c r="CT38" s="11"/>
      <c r="CU38">
        <v>0</v>
      </c>
      <c r="CV38">
        <v>0</v>
      </c>
      <c r="EY38" s="10" t="str">
        <f>IF($C38="","",$D38)</f>
        <v/>
      </c>
    </row>
    <row r="39" spans="1:155" x14ac:dyDescent="0.35">
      <c r="B39" s="5"/>
      <c r="C39" s="234"/>
      <c r="D39" s="24" t="s">
        <v>630</v>
      </c>
      <c r="BY39" s="6"/>
      <c r="BZ39" s="6"/>
      <c r="CK39" s="11"/>
      <c r="CM39" s="11"/>
      <c r="CT39" s="11"/>
      <c r="CU39">
        <v>0</v>
      </c>
      <c r="CV39">
        <v>0</v>
      </c>
      <c r="EY39" s="10" t="str">
        <f>IF($C39="","",$D39)</f>
        <v/>
      </c>
    </row>
    <row r="40" spans="1:155" x14ac:dyDescent="0.35">
      <c r="A40" s="220" cm="1">
        <f t="array" aca="1" ref="A40" ca="1">HYPERLINK(CONCATENATE("#",CELL("address",IF(MAX($CM40:$CT40)=0,A40,INDEX($CM40:$CT40,MATCH(1,$CM40:$CT40,0))))),MAX($CM40:$CT40))</f>
        <v>0</v>
      </c>
      <c r="C40" s="211" t="str">
        <f>CONCATENATE("BS-",'Opening Balances'!$C$15)</f>
        <v>BS-B-1f-OB</v>
      </c>
      <c r="D40" s="33" t="s">
        <v>890</v>
      </c>
      <c r="G40" s="8"/>
      <c r="H40" s="9" t="s">
        <v>620</v>
      </c>
      <c r="V40" s="12">
        <f>'Opening Balances'!$V$15</f>
        <v>0</v>
      </c>
      <c r="W40" s="10">
        <f>V44</f>
        <v>0</v>
      </c>
      <c r="X40" s="10">
        <f>W44</f>
        <v>0</v>
      </c>
      <c r="Y40" s="10">
        <f>X44</f>
        <v>0</v>
      </c>
      <c r="AA40" s="10">
        <f>W40</f>
        <v>0</v>
      </c>
      <c r="AB40" s="10">
        <f t="shared" ref="AB40:BJ40" si="7">AA44</f>
        <v>0</v>
      </c>
      <c r="AC40" s="10">
        <f t="shared" si="7"/>
        <v>0</v>
      </c>
      <c r="AD40" s="10">
        <f t="shared" si="7"/>
        <v>0</v>
      </c>
      <c r="AE40" s="10">
        <f t="shared" si="7"/>
        <v>0</v>
      </c>
      <c r="AF40" s="10">
        <f t="shared" si="7"/>
        <v>0</v>
      </c>
      <c r="AG40" s="10">
        <f t="shared" si="7"/>
        <v>0</v>
      </c>
      <c r="AH40" s="10">
        <f t="shared" si="7"/>
        <v>0</v>
      </c>
      <c r="AI40" s="10">
        <f t="shared" si="7"/>
        <v>0</v>
      </c>
      <c r="AJ40" s="10">
        <f t="shared" si="7"/>
        <v>0</v>
      </c>
      <c r="AK40" s="10">
        <f t="shared" si="7"/>
        <v>0</v>
      </c>
      <c r="AL40" s="10">
        <f t="shared" si="7"/>
        <v>0</v>
      </c>
      <c r="AM40" s="10">
        <f t="shared" si="7"/>
        <v>0</v>
      </c>
      <c r="AN40" s="10">
        <f t="shared" si="7"/>
        <v>0</v>
      </c>
      <c r="AO40" s="10">
        <f t="shared" si="7"/>
        <v>0</v>
      </c>
      <c r="AP40" s="10">
        <f t="shared" si="7"/>
        <v>0</v>
      </c>
      <c r="AQ40" s="10">
        <f t="shared" si="7"/>
        <v>0</v>
      </c>
      <c r="AR40" s="10">
        <f t="shared" si="7"/>
        <v>0</v>
      </c>
      <c r="AS40" s="10">
        <f t="shared" si="7"/>
        <v>0</v>
      </c>
      <c r="AT40" s="10">
        <f t="shared" si="7"/>
        <v>0</v>
      </c>
      <c r="AU40" s="10">
        <f t="shared" si="7"/>
        <v>0</v>
      </c>
      <c r="AV40" s="10">
        <f t="shared" si="7"/>
        <v>0</v>
      </c>
      <c r="AW40" s="10">
        <f t="shared" si="7"/>
        <v>0</v>
      </c>
      <c r="AX40" s="10">
        <f t="shared" si="7"/>
        <v>0</v>
      </c>
      <c r="AY40" s="10">
        <f t="shared" si="7"/>
        <v>0</v>
      </c>
      <c r="AZ40" s="10">
        <f t="shared" si="7"/>
        <v>0</v>
      </c>
      <c r="BA40" s="10">
        <f t="shared" si="7"/>
        <v>0</v>
      </c>
      <c r="BB40" s="10">
        <f t="shared" si="7"/>
        <v>0</v>
      </c>
      <c r="BC40" s="10">
        <f t="shared" si="7"/>
        <v>0</v>
      </c>
      <c r="BD40" s="10">
        <f t="shared" si="7"/>
        <v>0</v>
      </c>
      <c r="BE40" s="10">
        <f t="shared" si="7"/>
        <v>0</v>
      </c>
      <c r="BF40" s="10">
        <f t="shared" si="7"/>
        <v>0</v>
      </c>
      <c r="BG40" s="10">
        <f t="shared" si="7"/>
        <v>0</v>
      </c>
      <c r="BH40" s="10">
        <f t="shared" si="7"/>
        <v>0</v>
      </c>
      <c r="BI40" s="10">
        <f t="shared" si="7"/>
        <v>0</v>
      </c>
      <c r="BJ40" s="10">
        <f t="shared" si="7"/>
        <v>0</v>
      </c>
      <c r="BX40" s="12">
        <f>V40</f>
        <v>0</v>
      </c>
      <c r="BY40" s="12">
        <f>W40</f>
        <v>0</v>
      </c>
      <c r="BZ40" s="12">
        <f>X40</f>
        <v>0</v>
      </c>
      <c r="CA40" s="12">
        <f>Y40</f>
        <v>0</v>
      </c>
      <c r="CB40" s="10">
        <f t="shared" ref="CB40:CI40" si="8">CA44</f>
        <v>0</v>
      </c>
      <c r="CC40" s="10">
        <f t="shared" si="8"/>
        <v>0</v>
      </c>
      <c r="CD40" s="10">
        <f t="shared" si="8"/>
        <v>0</v>
      </c>
      <c r="CE40" s="10">
        <f t="shared" si="8"/>
        <v>0</v>
      </c>
      <c r="CF40" s="10">
        <f t="shared" si="8"/>
        <v>0</v>
      </c>
      <c r="CG40" s="10">
        <f t="shared" si="8"/>
        <v>0</v>
      </c>
      <c r="CH40" s="10">
        <f t="shared" si="8"/>
        <v>0</v>
      </c>
      <c r="CI40" s="10">
        <f t="shared" si="8"/>
        <v>0</v>
      </c>
      <c r="CK40" s="11"/>
      <c r="CM40" s="11"/>
      <c r="CS40" s="7">
        <f>IF(SUM(V40:Y40)=SUM(BX40:CA40), 0, 1)</f>
        <v>0</v>
      </c>
      <c r="CT40" s="11"/>
      <c r="CU40">
        <v>0</v>
      </c>
      <c r="CV40">
        <v>0</v>
      </c>
      <c r="EY40" s="12" t="str">
        <f>IF($C40="","",CONCATENATE(D$39," ",D40))</f>
        <v>Investment in JVs and Associates (inc. overseas) Opening Balance</v>
      </c>
    </row>
    <row r="41" spans="1:155" x14ac:dyDescent="0.35">
      <c r="A41" s="220" cm="1">
        <f t="array" aca="1" ref="A41" ca="1">HYPERLINK(CONCATENATE("#",CELL("address",IF(MAX($CM41:$CT41)=0,A41,INDEX($CM41:$CT41,MATCH(1,$CM41:$CT41,0))))),MAX($CM41:$CT41))</f>
        <v>0</v>
      </c>
      <c r="C41" s="211" t="s">
        <v>1359</v>
      </c>
      <c r="D41" s="33" t="s">
        <v>1360</v>
      </c>
      <c r="G41" s="8"/>
      <c r="H41" s="9" t="s">
        <v>403</v>
      </c>
      <c r="V41" s="12">
        <f>BX41</f>
        <v>0</v>
      </c>
      <c r="W41" s="12">
        <f>BY41</f>
        <v>0</v>
      </c>
      <c r="X41" s="12">
        <f>BZ41</f>
        <v>0</v>
      </c>
      <c r="Y41" s="12">
        <f>CA41</f>
        <v>0</v>
      </c>
      <c r="AA41" s="10">
        <f>'I&amp;E Annual'!AA162</f>
        <v>0</v>
      </c>
      <c r="AB41" s="10">
        <f>'I&amp;E Annual'!AB162</f>
        <v>0</v>
      </c>
      <c r="AC41" s="10">
        <f>'I&amp;E Annual'!AC162</f>
        <v>0</v>
      </c>
      <c r="AD41" s="10">
        <f>'I&amp;E Annual'!AD162</f>
        <v>0</v>
      </c>
      <c r="AE41" s="10">
        <f>'I&amp;E Annual'!AE162</f>
        <v>0</v>
      </c>
      <c r="AF41" s="10">
        <f>'I&amp;E Annual'!AF162</f>
        <v>0</v>
      </c>
      <c r="AG41" s="10">
        <f>'I&amp;E Annual'!AG162</f>
        <v>0</v>
      </c>
      <c r="AH41" s="10">
        <f>'I&amp;E Annual'!AH162</f>
        <v>0</v>
      </c>
      <c r="AI41" s="10">
        <f>'I&amp;E Annual'!AI162</f>
        <v>0</v>
      </c>
      <c r="AJ41" s="10">
        <f>'I&amp;E Annual'!AJ162</f>
        <v>0</v>
      </c>
      <c r="AK41" s="10">
        <f>'I&amp;E Annual'!AK162</f>
        <v>0</v>
      </c>
      <c r="AL41" s="10">
        <f>'I&amp;E Annual'!AL162</f>
        <v>0</v>
      </c>
      <c r="AM41" s="10">
        <f>'I&amp;E Annual'!AM162</f>
        <v>0</v>
      </c>
      <c r="AN41" s="10">
        <f>'I&amp;E Annual'!AN162</f>
        <v>0</v>
      </c>
      <c r="AO41" s="10">
        <f>'I&amp;E Annual'!AO162</f>
        <v>0</v>
      </c>
      <c r="AP41" s="10">
        <f>'I&amp;E Annual'!AP162</f>
        <v>0</v>
      </c>
      <c r="AQ41" s="10">
        <f>'I&amp;E Annual'!AQ162</f>
        <v>0</v>
      </c>
      <c r="AR41" s="10">
        <f>'I&amp;E Annual'!AR162</f>
        <v>0</v>
      </c>
      <c r="AS41" s="10">
        <f>'I&amp;E Annual'!AS162</f>
        <v>0</v>
      </c>
      <c r="AT41" s="10">
        <f>'I&amp;E Annual'!AT162</f>
        <v>0</v>
      </c>
      <c r="AU41" s="10">
        <f>'I&amp;E Annual'!AU162</f>
        <v>0</v>
      </c>
      <c r="AV41" s="10">
        <f>'I&amp;E Annual'!AV162</f>
        <v>0</v>
      </c>
      <c r="AW41" s="10">
        <f>'I&amp;E Annual'!AW162</f>
        <v>0</v>
      </c>
      <c r="AX41" s="10">
        <f>'I&amp;E Annual'!AX162</f>
        <v>0</v>
      </c>
      <c r="AY41" s="10">
        <f>'I&amp;E Annual'!AY162</f>
        <v>0</v>
      </c>
      <c r="AZ41" s="10">
        <f>'I&amp;E Annual'!AZ162</f>
        <v>0</v>
      </c>
      <c r="BA41" s="10">
        <f>'I&amp;E Annual'!BA162</f>
        <v>0</v>
      </c>
      <c r="BB41" s="10">
        <f>'I&amp;E Annual'!BB162</f>
        <v>0</v>
      </c>
      <c r="BC41" s="10">
        <f>'I&amp;E Annual'!BC162</f>
        <v>0</v>
      </c>
      <c r="BD41" s="10">
        <f>'I&amp;E Annual'!BD162</f>
        <v>0</v>
      </c>
      <c r="BE41" s="10">
        <f>'I&amp;E Annual'!BE162</f>
        <v>0</v>
      </c>
      <c r="BF41" s="10">
        <f>'I&amp;E Annual'!BF162</f>
        <v>0</v>
      </c>
      <c r="BG41" s="10">
        <f>'I&amp;E Annual'!BG162</f>
        <v>0</v>
      </c>
      <c r="BH41" s="10">
        <f>'I&amp;E Annual'!BH162</f>
        <v>0</v>
      </c>
      <c r="BI41" s="10">
        <f>'I&amp;E Annual'!BI162</f>
        <v>0</v>
      </c>
      <c r="BJ41" s="10">
        <f>'I&amp;E Annual'!BJ162</f>
        <v>0</v>
      </c>
      <c r="BX41" s="10">
        <f>'I&amp;E Annual'!BX162</f>
        <v>0</v>
      </c>
      <c r="BY41" s="10">
        <f>'I&amp;E Annual'!BY162</f>
        <v>0</v>
      </c>
      <c r="BZ41" s="10">
        <f>'I&amp;E Annual'!BZ162</f>
        <v>0</v>
      </c>
      <c r="CA41" s="10">
        <f>'I&amp;E Annual'!CA162</f>
        <v>0</v>
      </c>
      <c r="CB41" s="10">
        <f>'I&amp;E Annual'!CB162</f>
        <v>0</v>
      </c>
      <c r="CC41" s="10">
        <f>'I&amp;E Annual'!CC162</f>
        <v>0</v>
      </c>
      <c r="CD41" s="10">
        <f>'I&amp;E Annual'!CD162</f>
        <v>0</v>
      </c>
      <c r="CE41" s="10">
        <f>'I&amp;E Annual'!CE162</f>
        <v>0</v>
      </c>
      <c r="CF41" s="10">
        <f>'I&amp;E Annual'!CF162</f>
        <v>0</v>
      </c>
      <c r="CG41" s="10">
        <f>'I&amp;E Annual'!CG162</f>
        <v>0</v>
      </c>
      <c r="CH41" s="10">
        <f>'I&amp;E Annual'!CH162</f>
        <v>0</v>
      </c>
      <c r="CI41" s="10">
        <f>'I&amp;E Annual'!CI162</f>
        <v>0</v>
      </c>
      <c r="CK41" s="11"/>
      <c r="CM41" s="11"/>
      <c r="CS41" s="7">
        <f>IF(SUM(V41:Y41)=SUM(BX41:CA41), 0, 1)</f>
        <v>0</v>
      </c>
      <c r="CT41" s="11"/>
      <c r="CU41">
        <v>0</v>
      </c>
      <c r="CV41">
        <v>0</v>
      </c>
      <c r="EY41" s="12" t="str">
        <f>IF($C41="","",CONCATENATE(D$39," ",D41))</f>
        <v>Investment in JVs and Associates (inc. overseas) Share of surplus/(deficit) in joint ventures</v>
      </c>
    </row>
    <row r="42" spans="1:155" x14ac:dyDescent="0.35">
      <c r="A42" s="220" cm="1">
        <f t="array" aca="1" ref="A42" ca="1">HYPERLINK(CONCATENATE("#",CELL("address",IF(MAX($CM42:$CT42)=0,A42,INDEX($CM42:$CT42,MATCH(1,$CM42:$CT42,0))))),MAX($CM42:$CT42))</f>
        <v>0</v>
      </c>
      <c r="C42" s="211" t="s">
        <v>1361</v>
      </c>
      <c r="D42" s="33" t="s">
        <v>1362</v>
      </c>
      <c r="E42" s="85" t="s">
        <v>122</v>
      </c>
      <c r="G42" s="8"/>
      <c r="H42" s="9" t="s">
        <v>646</v>
      </c>
      <c r="V42" s="12">
        <f>(V44-SUM(V40:V41))*$V$10</f>
        <v>0</v>
      </c>
      <c r="W42" s="133">
        <f t="shared" ref="W42:Y43" si="9" xml:space="preserve"> SUMIFS($AA42:$BJ42, $AA$3:$BJ$3, W$3)</f>
        <v>0</v>
      </c>
      <c r="X42" s="133">
        <f t="shared" si="9"/>
        <v>0</v>
      </c>
      <c r="Y42" s="133">
        <f t="shared" si="9"/>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3" si="10">V42</f>
        <v>0</v>
      </c>
      <c r="BY42" s="10">
        <f t="shared" si="10"/>
        <v>0</v>
      </c>
      <c r="BZ42" s="10">
        <f t="shared" si="10"/>
        <v>0</v>
      </c>
      <c r="CA42" s="10">
        <f t="shared" si="10"/>
        <v>0</v>
      </c>
      <c r="CB42" s="109"/>
      <c r="CC42" s="109"/>
      <c r="CD42" s="109"/>
      <c r="CE42" s="109"/>
      <c r="CF42" s="109"/>
      <c r="CG42" s="109"/>
      <c r="CH42" s="109"/>
      <c r="CI42" s="109"/>
      <c r="CK42" s="11"/>
      <c r="CL42" s="221">
        <f>IF(MAX($V42:$CI42)&gt;0, 1, 0)</f>
        <v>0</v>
      </c>
      <c r="CM42" s="11"/>
      <c r="CO42" s="7" cm="1">
        <f t="array" ref="CO42">SUMPRODUCT(--NOT(ISNUMBER(V42:CI42)),--NOT(ISBLANK(V42:CI42)))</f>
        <v>0</v>
      </c>
      <c r="CS42" s="7">
        <f>IF(SUM(V42:Y42)=SUM(BX42:CA42), 0, 1)</f>
        <v>0</v>
      </c>
      <c r="CT42" s="11"/>
      <c r="CU42">
        <v>0</v>
      </c>
      <c r="CV42">
        <v>1</v>
      </c>
      <c r="EY42" s="12" t="str">
        <f>IF($C42="","",CONCATENATE(D$39," ",D42))</f>
        <v>Investment in JVs and Associates (inc. overseas) Dividends received</v>
      </c>
    </row>
    <row r="43" spans="1:155" x14ac:dyDescent="0.35">
      <c r="A43" s="220" cm="1">
        <f t="array" aca="1" ref="A43" ca="1">HYPERLINK(CONCATENATE("#",CELL("address",IF(MAX($CM43:$CT43)=0,A43,INDEX($CM43:$CT43,MATCH(1,$CM43:$CT43,0))))),MAX($CM43:$CT43))</f>
        <v>0</v>
      </c>
      <c r="C43" s="211" t="s">
        <v>1363</v>
      </c>
      <c r="D43" s="1" t="s">
        <v>901</v>
      </c>
      <c r="E43" s="283" t="s">
        <v>904</v>
      </c>
      <c r="G43" s="8"/>
      <c r="H43" s="9" t="s">
        <v>403</v>
      </c>
      <c r="V43" s="109"/>
      <c r="W43" s="133">
        <f t="shared" si="9"/>
        <v>0</v>
      </c>
      <c r="X43" s="133">
        <f t="shared" si="9"/>
        <v>0</v>
      </c>
      <c r="Y43" s="133">
        <f t="shared" si="9"/>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2">
        <f t="shared" si="10"/>
        <v>0</v>
      </c>
      <c r="BY43" s="12">
        <f t="shared" si="10"/>
        <v>0</v>
      </c>
      <c r="BZ43" s="12">
        <f t="shared" si="10"/>
        <v>0</v>
      </c>
      <c r="CA43" s="12">
        <f t="shared" si="10"/>
        <v>0</v>
      </c>
      <c r="CB43" s="109"/>
      <c r="CC43" s="109"/>
      <c r="CD43" s="109"/>
      <c r="CE43" s="109"/>
      <c r="CF43" s="109"/>
      <c r="CG43" s="109"/>
      <c r="CH43" s="109"/>
      <c r="CI43" s="109"/>
      <c r="CK43" s="11"/>
      <c r="CM43" s="11"/>
      <c r="CO43" s="7" cm="1">
        <f t="array" ref="CO43">SUMPRODUCT(--NOT(ISNUMBER(V43:CI43)),--NOT(ISBLANK(V43:CI43)))</f>
        <v>0</v>
      </c>
      <c r="CS43" s="7">
        <f>IF(SUM(V43:Y43)=SUM(BX43:CA43), 0, 1)</f>
        <v>0</v>
      </c>
      <c r="CT43" s="11"/>
      <c r="CU43">
        <v>1</v>
      </c>
      <c r="CV43">
        <v>1</v>
      </c>
      <c r="EY43" s="12" t="str">
        <f>IF($C43="","",CONCATENATE(D$39," ",D43))</f>
        <v>Investment in JVs and Associates (inc. overseas) Movement due to mergers</v>
      </c>
    </row>
    <row r="44" spans="1:155" x14ac:dyDescent="0.35">
      <c r="A44" s="220" cm="1">
        <f t="array" aca="1" ref="A44" ca="1">HYPERLINK(CONCATENATE("#",CELL("address",IF(MAX($CM44:$CT44)=0,A44,INDEX($CM44:$CT44,MATCH(1,$CM44:$CT44,0))))),MAX($CM44:$CT44))</f>
        <v>0</v>
      </c>
      <c r="C44" s="211" t="s">
        <v>1364</v>
      </c>
      <c r="D44" s="33" t="s">
        <v>906</v>
      </c>
      <c r="E44" s="215">
        <f>ROUND(V44-SUM(V40:V43), rounding)*$V$10</f>
        <v>0</v>
      </c>
      <c r="G44" s="8"/>
      <c r="V44" s="12">
        <f>'Opening Balances'!W15</f>
        <v>0</v>
      </c>
      <c r="W44" s="10">
        <f>SUM(W40:W43)</f>
        <v>0</v>
      </c>
      <c r="X44" s="10">
        <f>SUM(X40:X43)</f>
        <v>0</v>
      </c>
      <c r="Y44" s="10">
        <f>SUM(Y40:Y43)</f>
        <v>0</v>
      </c>
      <c r="AA44" s="10">
        <f t="shared" ref="AA44:BJ44" si="11">SUM(AA40:AA43)</f>
        <v>0</v>
      </c>
      <c r="AB44" s="10">
        <f t="shared" si="11"/>
        <v>0</v>
      </c>
      <c r="AC44" s="10">
        <f t="shared" si="11"/>
        <v>0</v>
      </c>
      <c r="AD44" s="10">
        <f t="shared" si="11"/>
        <v>0</v>
      </c>
      <c r="AE44" s="10">
        <f t="shared" si="11"/>
        <v>0</v>
      </c>
      <c r="AF44" s="10">
        <f t="shared" si="11"/>
        <v>0</v>
      </c>
      <c r="AG44" s="10">
        <f t="shared" si="11"/>
        <v>0</v>
      </c>
      <c r="AH44" s="10">
        <f t="shared" si="11"/>
        <v>0</v>
      </c>
      <c r="AI44" s="10">
        <f t="shared" si="11"/>
        <v>0</v>
      </c>
      <c r="AJ44" s="10">
        <f t="shared" si="11"/>
        <v>0</v>
      </c>
      <c r="AK44" s="10">
        <f t="shared" si="11"/>
        <v>0</v>
      </c>
      <c r="AL44" s="10">
        <f t="shared" si="11"/>
        <v>0</v>
      </c>
      <c r="AM44" s="10">
        <f t="shared" si="11"/>
        <v>0</v>
      </c>
      <c r="AN44" s="10">
        <f t="shared" si="11"/>
        <v>0</v>
      </c>
      <c r="AO44" s="10">
        <f t="shared" si="11"/>
        <v>0</v>
      </c>
      <c r="AP44" s="10">
        <f t="shared" si="11"/>
        <v>0</v>
      </c>
      <c r="AQ44" s="10">
        <f t="shared" si="11"/>
        <v>0</v>
      </c>
      <c r="AR44" s="10">
        <f t="shared" si="11"/>
        <v>0</v>
      </c>
      <c r="AS44" s="10">
        <f t="shared" si="11"/>
        <v>0</v>
      </c>
      <c r="AT44" s="10">
        <f t="shared" si="11"/>
        <v>0</v>
      </c>
      <c r="AU44" s="10">
        <f t="shared" si="11"/>
        <v>0</v>
      </c>
      <c r="AV44" s="10">
        <f t="shared" si="11"/>
        <v>0</v>
      </c>
      <c r="AW44" s="10">
        <f t="shared" si="11"/>
        <v>0</v>
      </c>
      <c r="AX44" s="10">
        <f t="shared" si="11"/>
        <v>0</v>
      </c>
      <c r="AY44" s="10">
        <f t="shared" si="11"/>
        <v>0</v>
      </c>
      <c r="AZ44" s="10">
        <f t="shared" si="11"/>
        <v>0</v>
      </c>
      <c r="BA44" s="10">
        <f t="shared" si="11"/>
        <v>0</v>
      </c>
      <c r="BB44" s="10">
        <f t="shared" si="11"/>
        <v>0</v>
      </c>
      <c r="BC44" s="10">
        <f t="shared" si="11"/>
        <v>0</v>
      </c>
      <c r="BD44" s="10">
        <f t="shared" si="11"/>
        <v>0</v>
      </c>
      <c r="BE44" s="10">
        <f t="shared" si="11"/>
        <v>0</v>
      </c>
      <c r="BF44" s="10">
        <f t="shared" si="11"/>
        <v>0</v>
      </c>
      <c r="BG44" s="10">
        <f t="shared" si="11"/>
        <v>0</v>
      </c>
      <c r="BH44" s="10">
        <f t="shared" si="11"/>
        <v>0</v>
      </c>
      <c r="BI44" s="10">
        <f t="shared" si="11"/>
        <v>0</v>
      </c>
      <c r="BJ44" s="10">
        <f t="shared" si="11"/>
        <v>0</v>
      </c>
      <c r="BX44" s="12">
        <f>V44</f>
        <v>0</v>
      </c>
      <c r="BY44" s="10">
        <f t="shared" ref="BY44:CI44" si="12">SUM(BY40:BY43)</f>
        <v>0</v>
      </c>
      <c r="BZ44" s="10">
        <f t="shared" si="12"/>
        <v>0</v>
      </c>
      <c r="CA44" s="10">
        <f t="shared" si="12"/>
        <v>0</v>
      </c>
      <c r="CB44" s="10">
        <f t="shared" si="12"/>
        <v>0</v>
      </c>
      <c r="CC44" s="10">
        <f t="shared" si="12"/>
        <v>0</v>
      </c>
      <c r="CD44" s="10">
        <f t="shared" si="12"/>
        <v>0</v>
      </c>
      <c r="CE44" s="10">
        <f t="shared" si="12"/>
        <v>0</v>
      </c>
      <c r="CF44" s="10">
        <f t="shared" si="12"/>
        <v>0</v>
      </c>
      <c r="CG44" s="10">
        <f t="shared" si="12"/>
        <v>0</v>
      </c>
      <c r="CH44" s="10">
        <f t="shared" si="12"/>
        <v>0</v>
      </c>
      <c r="CI44" s="10">
        <f t="shared" si="12"/>
        <v>0</v>
      </c>
      <c r="CK44" s="11"/>
      <c r="CM44" s="11"/>
      <c r="CR44" s="7">
        <f>IF(ABS($E44)&gt;Parameters!$D$33, 1, 0)</f>
        <v>0</v>
      </c>
      <c r="CS44" s="7">
        <f>IF(SUM(V44:Y44)=SUM(BX44:CA44), 0, 1)</f>
        <v>0</v>
      </c>
      <c r="CT44" s="11"/>
      <c r="CU44">
        <v>0</v>
      </c>
      <c r="CV44">
        <v>0</v>
      </c>
      <c r="EY44" s="12" t="str">
        <f>IF($C44="","",CONCATENATE(D$39," ",D44))</f>
        <v>Investment in JVs and Associates (inc. overseas) Closing Balance</v>
      </c>
    </row>
    <row r="45" spans="1:155" ht="8.25" customHeight="1" x14ac:dyDescent="0.35">
      <c r="C45" s="234"/>
      <c r="D45"/>
      <c r="CK45" s="11"/>
      <c r="CM45" s="11"/>
      <c r="CT45" s="11"/>
      <c r="CU45">
        <v>0</v>
      </c>
      <c r="CV45">
        <v>0</v>
      </c>
      <c r="EY45" s="10" t="str">
        <f>IF($C45="","",$D45)</f>
        <v/>
      </c>
    </row>
    <row r="46" spans="1:155" x14ac:dyDescent="0.35">
      <c r="B46" s="5"/>
      <c r="C46" s="234"/>
      <c r="D46" s="24" t="s">
        <v>632</v>
      </c>
      <c r="BY46" s="6"/>
      <c r="BZ46" s="6"/>
      <c r="CK46" s="11"/>
      <c r="CM46" s="11"/>
      <c r="CT46" s="11"/>
      <c r="CU46">
        <v>0</v>
      </c>
      <c r="CV46">
        <v>0</v>
      </c>
      <c r="EY46" s="10" t="str">
        <f>IF($C46="","",$D46)</f>
        <v/>
      </c>
    </row>
    <row r="47" spans="1:155" x14ac:dyDescent="0.35">
      <c r="A47" s="220" cm="1">
        <f t="array" aca="1" ref="A47" ca="1">HYPERLINK(CONCATENATE("#",CELL("address",IF(MAX($CM47:$CT47)=0,A47,INDEX($CM47:$CT47,MATCH(1,$CM47:$CT47,0))))),MAX($CM47:$CT47))</f>
        <v>0</v>
      </c>
      <c r="C47" s="213" t="str">
        <f>REPLACE('Opening Balances'!$C$16, LEN('Opening Balances'!$C$16)-1, 1, "C")</f>
        <v>B-1g-CB</v>
      </c>
      <c r="D47" s="33" t="s">
        <v>906</v>
      </c>
      <c r="E47" s="33"/>
      <c r="G47" s="8"/>
      <c r="H47" s="9" t="s">
        <v>620</v>
      </c>
      <c r="V47" s="10">
        <f>'Investing Inputs'!V$160</f>
        <v>0</v>
      </c>
      <c r="W47" s="10">
        <f>'Investing Inputs'!W$160</f>
        <v>0</v>
      </c>
      <c r="X47" s="10">
        <f>'Investing Inputs'!X$160</f>
        <v>0</v>
      </c>
      <c r="Y47" s="10">
        <f>'Investing Inputs'!Y$160</f>
        <v>0</v>
      </c>
      <c r="AA47" s="10">
        <f>'Investing Inputs'!AA$160</f>
        <v>0</v>
      </c>
      <c r="AB47" s="10">
        <f>'Investing Inputs'!AB$160</f>
        <v>0</v>
      </c>
      <c r="AC47" s="10">
        <f>'Investing Inputs'!AC$160</f>
        <v>0</v>
      </c>
      <c r="AD47" s="10">
        <f>'Investing Inputs'!AD$160</f>
        <v>0</v>
      </c>
      <c r="AE47" s="10">
        <f>'Investing Inputs'!AE$160</f>
        <v>0</v>
      </c>
      <c r="AF47" s="10">
        <f>'Investing Inputs'!AF$160</f>
        <v>0</v>
      </c>
      <c r="AG47" s="10">
        <f>'Investing Inputs'!AG$160</f>
        <v>0</v>
      </c>
      <c r="AH47" s="10">
        <f>'Investing Inputs'!AH$160</f>
        <v>0</v>
      </c>
      <c r="AI47" s="10">
        <f>'Investing Inputs'!AI$160</f>
        <v>0</v>
      </c>
      <c r="AJ47" s="10">
        <f>'Investing Inputs'!AJ$160</f>
        <v>0</v>
      </c>
      <c r="AK47" s="10">
        <f>'Investing Inputs'!AK$160</f>
        <v>0</v>
      </c>
      <c r="AL47" s="10">
        <f>'Investing Inputs'!AL$160</f>
        <v>0</v>
      </c>
      <c r="AM47" s="10">
        <f>'Investing Inputs'!AM$160</f>
        <v>0</v>
      </c>
      <c r="AN47" s="10">
        <f>'Investing Inputs'!AN$160</f>
        <v>0</v>
      </c>
      <c r="AO47" s="10">
        <f>'Investing Inputs'!AO$160</f>
        <v>0</v>
      </c>
      <c r="AP47" s="10">
        <f>'Investing Inputs'!AP$160</f>
        <v>0</v>
      </c>
      <c r="AQ47" s="10">
        <f>'Investing Inputs'!AQ$160</f>
        <v>0</v>
      </c>
      <c r="AR47" s="10">
        <f>'Investing Inputs'!AR$160</f>
        <v>0</v>
      </c>
      <c r="AS47" s="10">
        <f>'Investing Inputs'!AS$160</f>
        <v>0</v>
      </c>
      <c r="AT47" s="10">
        <f>'Investing Inputs'!AT$160</f>
        <v>0</v>
      </c>
      <c r="AU47" s="10">
        <f>'Investing Inputs'!AU$160</f>
        <v>0</v>
      </c>
      <c r="AV47" s="10">
        <f>'Investing Inputs'!AV$160</f>
        <v>0</v>
      </c>
      <c r="AW47" s="10">
        <f>'Investing Inputs'!AW$160</f>
        <v>0</v>
      </c>
      <c r="AX47" s="10">
        <f>'Investing Inputs'!AX$160</f>
        <v>0</v>
      </c>
      <c r="AY47" s="10">
        <f>'Investing Inputs'!AY$160</f>
        <v>0</v>
      </c>
      <c r="AZ47" s="10">
        <f>'Investing Inputs'!AZ$160</f>
        <v>0</v>
      </c>
      <c r="BA47" s="10">
        <f>'Investing Inputs'!BA$160</f>
        <v>0</v>
      </c>
      <c r="BB47" s="10">
        <f>'Investing Inputs'!BB$160</f>
        <v>0</v>
      </c>
      <c r="BC47" s="10">
        <f>'Investing Inputs'!BC$160</f>
        <v>0</v>
      </c>
      <c r="BD47" s="10">
        <f>'Investing Inputs'!BD$160</f>
        <v>0</v>
      </c>
      <c r="BE47" s="10">
        <f>'Investing Inputs'!BE$160</f>
        <v>0</v>
      </c>
      <c r="BF47" s="10">
        <f>'Investing Inputs'!BF$160</f>
        <v>0</v>
      </c>
      <c r="BG47" s="10">
        <f>'Investing Inputs'!BG$160</f>
        <v>0</v>
      </c>
      <c r="BH47" s="10">
        <f>'Investing Inputs'!BH$160</f>
        <v>0</v>
      </c>
      <c r="BI47" s="10">
        <f>'Investing Inputs'!BI$160</f>
        <v>0</v>
      </c>
      <c r="BJ47" s="10">
        <f>'Investing Inputs'!BJ$160</f>
        <v>0</v>
      </c>
      <c r="BX47" s="10">
        <f>'Investing Inputs'!BX$160</f>
        <v>0</v>
      </c>
      <c r="BY47" s="10">
        <f>'Investing Inputs'!BY$160</f>
        <v>0</v>
      </c>
      <c r="BZ47" s="10">
        <f>'Investing Inputs'!BZ$160</f>
        <v>0</v>
      </c>
      <c r="CA47" s="10">
        <f>'Investing Inputs'!CA$160</f>
        <v>0</v>
      </c>
      <c r="CB47" s="10">
        <f>'Investing Inputs'!CB$160</f>
        <v>0</v>
      </c>
      <c r="CC47" s="10">
        <f>'Investing Inputs'!CC$160</f>
        <v>0</v>
      </c>
      <c r="CD47" s="10">
        <f>'Investing Inputs'!CD$160</f>
        <v>0</v>
      </c>
      <c r="CE47" s="10">
        <f>'Investing Inputs'!CE$160</f>
        <v>0</v>
      </c>
      <c r="CF47" s="10">
        <f>'Investing Inputs'!CF$160</f>
        <v>0</v>
      </c>
      <c r="CG47" s="10">
        <f>'Investing Inputs'!CG$160</f>
        <v>0</v>
      </c>
      <c r="CH47" s="10">
        <f>'Investing Inputs'!CH$160</f>
        <v>0</v>
      </c>
      <c r="CI47" s="10">
        <f>'Investing Inputs'!CI$160</f>
        <v>0</v>
      </c>
      <c r="CK47" s="11"/>
      <c r="CL47" s="221">
        <f>IF(MIN($V47:$CI47)&lt;0, 1, 0)</f>
        <v>0</v>
      </c>
      <c r="CM47" s="11"/>
      <c r="CT47" s="11"/>
      <c r="CU47">
        <v>0</v>
      </c>
      <c r="CV47">
        <v>0</v>
      </c>
      <c r="EY47" s="12" t="str">
        <f>IF($C47="","",CONCATENATE(D46," ",D47))</f>
        <v>Non-current asset debtors due after one year Closing Balance</v>
      </c>
    </row>
    <row r="48" spans="1:155" ht="8.25" customHeight="1" x14ac:dyDescent="0.35">
      <c r="C48" s="234"/>
      <c r="BY48" s="6"/>
      <c r="CK48" s="11"/>
      <c r="CM48" s="11"/>
      <c r="CT48" s="11"/>
      <c r="CU48">
        <v>0</v>
      </c>
      <c r="CV48">
        <v>0</v>
      </c>
      <c r="EY48" s="10" t="str">
        <f>IF($C48="","",$D48)</f>
        <v/>
      </c>
    </row>
    <row r="49" spans="1:155" x14ac:dyDescent="0.35">
      <c r="A49" s="34"/>
      <c r="B49" s="34"/>
      <c r="C49" s="231"/>
      <c r="D49" s="34" t="s">
        <v>635</v>
      </c>
      <c r="E49" s="34"/>
      <c r="F49" s="34"/>
      <c r="G49" s="39"/>
      <c r="H49" s="39"/>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11"/>
      <c r="CM49" s="11"/>
      <c r="CT49" s="11"/>
      <c r="CU49">
        <v>0</v>
      </c>
      <c r="CV49">
        <v>0</v>
      </c>
      <c r="EY49" s="10" t="str">
        <f>IF($C49="","",$D49)</f>
        <v/>
      </c>
    </row>
    <row r="50" spans="1:155" ht="8.25" customHeight="1" x14ac:dyDescent="0.35">
      <c r="C50" s="234"/>
      <c r="BY50" s="6"/>
      <c r="CK50" s="11"/>
      <c r="CM50" s="11"/>
      <c r="CT50" s="11"/>
      <c r="CU50">
        <v>0</v>
      </c>
      <c r="CV50">
        <v>0</v>
      </c>
      <c r="EY50" s="10" t="str">
        <f>IF($C50="","",$D50)</f>
        <v/>
      </c>
    </row>
    <row r="51" spans="1:155" x14ac:dyDescent="0.35">
      <c r="C51" s="234"/>
      <c r="D51" s="24" t="s">
        <v>637</v>
      </c>
      <c r="BY51" s="6"/>
      <c r="CK51" s="11"/>
      <c r="CM51" s="11"/>
      <c r="CT51" s="11"/>
      <c r="CU51">
        <v>0</v>
      </c>
      <c r="CV51">
        <v>0</v>
      </c>
      <c r="EY51" s="10" t="str">
        <f>IF($C51="","",$D51)</f>
        <v/>
      </c>
    </row>
    <row r="52" spans="1:155" x14ac:dyDescent="0.35">
      <c r="A52" s="220" cm="1">
        <f t="array" aca="1" ref="A52" ca="1">HYPERLINK(CONCATENATE("#",CELL("address",IF(MAX($CM52:$CT52)=0,A52,INDEX($CM52:$CT52,MATCH(1,$CM52:$CT52,0))))),MAX($CM52:$CT52))</f>
        <v>0</v>
      </c>
      <c r="C52" s="211" t="str">
        <f>'Investing Inputs'!C288</f>
        <v>B-2a-CB</v>
      </c>
      <c r="D52" s="33" t="s">
        <v>906</v>
      </c>
      <c r="E52" s="33"/>
      <c r="G52" s="8"/>
      <c r="H52" s="9" t="s">
        <v>620</v>
      </c>
      <c r="V52" s="10">
        <f>'Investing Inputs'!V$288</f>
        <v>0</v>
      </c>
      <c r="W52" s="10">
        <f>'Investing Inputs'!W$288</f>
        <v>0</v>
      </c>
      <c r="X52" s="10">
        <f>'Investing Inputs'!X$288</f>
        <v>0</v>
      </c>
      <c r="Y52" s="10">
        <f>'Investing Inputs'!Y$288</f>
        <v>0</v>
      </c>
      <c r="AA52" s="10">
        <f>'Investing Inputs'!AA$288</f>
        <v>0</v>
      </c>
      <c r="AB52" s="10">
        <f>'Investing Inputs'!AB$288</f>
        <v>0</v>
      </c>
      <c r="AC52" s="10">
        <f>'Investing Inputs'!AC$288</f>
        <v>0</v>
      </c>
      <c r="AD52" s="10">
        <f>'Investing Inputs'!AD$288</f>
        <v>0</v>
      </c>
      <c r="AE52" s="10">
        <f>'Investing Inputs'!AE$288</f>
        <v>0</v>
      </c>
      <c r="AF52" s="10">
        <f>'Investing Inputs'!AF$288</f>
        <v>0</v>
      </c>
      <c r="AG52" s="10">
        <f>'Investing Inputs'!AG$288</f>
        <v>0</v>
      </c>
      <c r="AH52" s="10">
        <f>'Investing Inputs'!AH$288</f>
        <v>0</v>
      </c>
      <c r="AI52" s="10">
        <f>'Investing Inputs'!AI$288</f>
        <v>0</v>
      </c>
      <c r="AJ52" s="10">
        <f>'Investing Inputs'!AJ$288</f>
        <v>0</v>
      </c>
      <c r="AK52" s="10">
        <f>'Investing Inputs'!AK$288</f>
        <v>0</v>
      </c>
      <c r="AL52" s="10">
        <f>'Investing Inputs'!AL$288</f>
        <v>0</v>
      </c>
      <c r="AM52" s="10">
        <f>'Investing Inputs'!AM$288</f>
        <v>0</v>
      </c>
      <c r="AN52" s="10">
        <f>'Investing Inputs'!AN$288</f>
        <v>0</v>
      </c>
      <c r="AO52" s="10">
        <f>'Investing Inputs'!AO$288</f>
        <v>0</v>
      </c>
      <c r="AP52" s="10">
        <f>'Investing Inputs'!AP$288</f>
        <v>0</v>
      </c>
      <c r="AQ52" s="10">
        <f>'Investing Inputs'!AQ$288</f>
        <v>0</v>
      </c>
      <c r="AR52" s="10">
        <f>'Investing Inputs'!AR$288</f>
        <v>0</v>
      </c>
      <c r="AS52" s="10">
        <f>'Investing Inputs'!AS$288</f>
        <v>0</v>
      </c>
      <c r="AT52" s="10">
        <f>'Investing Inputs'!AT$288</f>
        <v>0</v>
      </c>
      <c r="AU52" s="10">
        <f>'Investing Inputs'!AU$288</f>
        <v>0</v>
      </c>
      <c r="AV52" s="10">
        <f>'Investing Inputs'!AV$288</f>
        <v>0</v>
      </c>
      <c r="AW52" s="10">
        <f>'Investing Inputs'!AW$288</f>
        <v>0</v>
      </c>
      <c r="AX52" s="10">
        <f>'Investing Inputs'!AX$288</f>
        <v>0</v>
      </c>
      <c r="AY52" s="10">
        <f>'Investing Inputs'!AY$288</f>
        <v>0</v>
      </c>
      <c r="AZ52" s="10">
        <f>'Investing Inputs'!AZ$288</f>
        <v>0</v>
      </c>
      <c r="BA52" s="10">
        <f>'Investing Inputs'!BA$288</f>
        <v>0</v>
      </c>
      <c r="BB52" s="10">
        <f>'Investing Inputs'!BB$288</f>
        <v>0</v>
      </c>
      <c r="BC52" s="10">
        <f>'Investing Inputs'!BC$288</f>
        <v>0</v>
      </c>
      <c r="BD52" s="10">
        <f>'Investing Inputs'!BD$288</f>
        <v>0</v>
      </c>
      <c r="BE52" s="10">
        <f>'Investing Inputs'!BE$288</f>
        <v>0</v>
      </c>
      <c r="BF52" s="10">
        <f>'Investing Inputs'!BF$288</f>
        <v>0</v>
      </c>
      <c r="BG52" s="10">
        <f>'Investing Inputs'!BG$288</f>
        <v>0</v>
      </c>
      <c r="BH52" s="10">
        <f>'Investing Inputs'!BH$288</f>
        <v>0</v>
      </c>
      <c r="BI52" s="10">
        <f>'Investing Inputs'!BI$288</f>
        <v>0</v>
      </c>
      <c r="BJ52" s="10">
        <f>'Investing Inputs'!BJ$288</f>
        <v>0</v>
      </c>
      <c r="BX52" s="10">
        <f>'Investing Inputs'!BX$288</f>
        <v>0</v>
      </c>
      <c r="BY52" s="10">
        <f>'Investing Inputs'!BY$288</f>
        <v>0</v>
      </c>
      <c r="BZ52" s="10">
        <f>'Investing Inputs'!BZ$288</f>
        <v>0</v>
      </c>
      <c r="CA52" s="10">
        <f>'Investing Inputs'!CA$288</f>
        <v>0</v>
      </c>
      <c r="CB52" s="10">
        <f>'Investing Inputs'!CB$288</f>
        <v>0</v>
      </c>
      <c r="CC52" s="10">
        <f>'Investing Inputs'!CC$288</f>
        <v>0</v>
      </c>
      <c r="CD52" s="10">
        <f>'Investing Inputs'!CD$288</f>
        <v>0</v>
      </c>
      <c r="CE52" s="10">
        <f>'Investing Inputs'!CE$288</f>
        <v>0</v>
      </c>
      <c r="CF52" s="10">
        <f>'Investing Inputs'!CF$288</f>
        <v>0</v>
      </c>
      <c r="CG52" s="10">
        <f>'Investing Inputs'!CG$288</f>
        <v>0</v>
      </c>
      <c r="CH52" s="10">
        <f>'Investing Inputs'!CH$288</f>
        <v>0</v>
      </c>
      <c r="CI52" s="10">
        <f>'Investing Inputs'!CI$288</f>
        <v>0</v>
      </c>
      <c r="CK52" s="11"/>
      <c r="CM52" s="11"/>
      <c r="CS52" s="7">
        <f>IF(SUM(V52:Y52)=SUM(BX52:CA52), 0, 1)</f>
        <v>0</v>
      </c>
      <c r="CT52" s="11"/>
      <c r="CU52">
        <v>0</v>
      </c>
      <c r="CV52">
        <v>0</v>
      </c>
      <c r="EY52" s="12" t="str">
        <f>IF($C52="","",CONCATENATE(D51," ",D52))</f>
        <v>Assets Held for Sale  Closing Balance</v>
      </c>
    </row>
    <row r="53" spans="1:155" ht="8.25" customHeight="1" x14ac:dyDescent="0.35">
      <c r="C53" s="234"/>
      <c r="BY53" s="6"/>
      <c r="CK53" s="11"/>
      <c r="CM53" s="11"/>
      <c r="CT53" s="11"/>
      <c r="CU53">
        <v>0</v>
      </c>
      <c r="CV53">
        <v>0</v>
      </c>
      <c r="EY53" s="10" t="str">
        <f>IF($C53="","",$D53)</f>
        <v/>
      </c>
    </row>
    <row r="54" spans="1:155" x14ac:dyDescent="0.35">
      <c r="B54" s="5"/>
      <c r="C54" s="235"/>
      <c r="D54" s="24" t="s">
        <v>639</v>
      </c>
      <c r="BY54" s="6"/>
      <c r="BZ54" s="6"/>
      <c r="CK54" s="11"/>
      <c r="CM54" s="11"/>
      <c r="CT54" s="11"/>
      <c r="CU54">
        <v>0</v>
      </c>
      <c r="CV54">
        <v>0</v>
      </c>
      <c r="EY54" s="10" t="str">
        <f>IF($C54="","",$D54)</f>
        <v/>
      </c>
    </row>
    <row r="55" spans="1:155" x14ac:dyDescent="0.35">
      <c r="A55" s="220" cm="1">
        <f t="array" aca="1" ref="A55" ca="1">HYPERLINK(CONCATENATE("#",CELL("address",IF(MAX($CM55:$CT55)=0,A55,INDEX($CM55:$CT55,MATCH(1,$CM55:$CT55,0))))),MAX($CM55:$CT55))</f>
        <v>0</v>
      </c>
      <c r="C55" s="213" t="s">
        <v>1365</v>
      </c>
      <c r="D55" s="33" t="s">
        <v>1366</v>
      </c>
      <c r="G55" s="8"/>
      <c r="H55" s="9" t="s">
        <v>403</v>
      </c>
      <c r="V55" s="109"/>
      <c r="W55" s="133">
        <f xml:space="preserve"> SUMIFS($AA55:$BJ55, $AA$3:$BJ$3, W$3)</f>
        <v>0</v>
      </c>
      <c r="X55" s="133">
        <f xml:space="preserve"> SUMIFS($AA55:$BJ55, $AA$3:$BJ$3, X$3)</f>
        <v>0</v>
      </c>
      <c r="Y55" s="133">
        <f xml:space="preserve"> SUMIFS($AA55:$BJ55, $AA$3:$BJ$3, Y$3)</f>
        <v>0</v>
      </c>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X55" s="10">
        <f t="shared" ref="BX55:CA56" si="13">V55</f>
        <v>0</v>
      </c>
      <c r="BY55" s="10">
        <f t="shared" si="13"/>
        <v>0</v>
      </c>
      <c r="BZ55" s="10">
        <f t="shared" si="13"/>
        <v>0</v>
      </c>
      <c r="CA55" s="10">
        <f t="shared" si="13"/>
        <v>0</v>
      </c>
      <c r="CB55" s="109"/>
      <c r="CC55" s="109"/>
      <c r="CD55" s="109"/>
      <c r="CE55" s="109"/>
      <c r="CF55" s="109"/>
      <c r="CG55" s="109"/>
      <c r="CH55" s="109"/>
      <c r="CI55" s="109"/>
      <c r="CK55" s="11"/>
      <c r="CM55" s="11"/>
      <c r="CO55" s="7" cm="1">
        <f t="array" ref="CO55">SUMPRODUCT(--NOT(ISNUMBER(V55:CI55)),--NOT(ISBLANK(V55:CI55)))</f>
        <v>0</v>
      </c>
      <c r="CS55" s="7">
        <f>IF(SUM(V55:Y55)=SUM(BX55:CA55), 0, 1)</f>
        <v>0</v>
      </c>
      <c r="CT55" s="11"/>
      <c r="CU55">
        <v>1</v>
      </c>
      <c r="CV55">
        <v>1</v>
      </c>
      <c r="EY55" s="12" t="str">
        <f>IF($C55="","",CONCATENATE(D$54," ",D55))</f>
        <v>Stock Revaluations/(write-offs) (to SOCI other G/L)</v>
      </c>
    </row>
    <row r="56" spans="1:155" x14ac:dyDescent="0.35">
      <c r="A56" s="220" cm="1">
        <f t="array" aca="1" ref="A56" ca="1">HYPERLINK(CONCATENATE("#",CELL("address",IF(MAX($CM56:$CT56)=0,A56,INDEX($CM56:$CT56,MATCH(1,$CM56:$CT56,0))))),MAX($CM56:$CT56))</f>
        <v>0</v>
      </c>
      <c r="C56" s="213" t="str">
        <f>REPLACE('Opening Balances'!$C$22, LEN('Opening Balances'!$C$22)-1, 1, "C")</f>
        <v>B-2b-CB</v>
      </c>
      <c r="D56" s="33" t="s">
        <v>906</v>
      </c>
      <c r="E56" s="33"/>
      <c r="G56" s="8"/>
      <c r="H56" s="9" t="s">
        <v>620</v>
      </c>
      <c r="V56" s="12">
        <f>'Opening Balances'!W22</f>
        <v>0</v>
      </c>
      <c r="W56" s="10">
        <f>INDEX($AA56:$BJ56, MATCH(W$5, $AA$5:$BJ$5))</f>
        <v>0</v>
      </c>
      <c r="X56" s="10">
        <f>INDEX($AA56:$BJ56, MATCH(X$5, $AA$5:$BJ$5))</f>
        <v>0</v>
      </c>
      <c r="Y56" s="10">
        <f>INDEX($AA56:$BJ56, MATCH(Y$5, $AA$5:$BJ$5))</f>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X56" s="10">
        <f t="shared" si="13"/>
        <v>0</v>
      </c>
      <c r="BY56" s="10">
        <f t="shared" si="13"/>
        <v>0</v>
      </c>
      <c r="BZ56" s="10">
        <f t="shared" si="13"/>
        <v>0</v>
      </c>
      <c r="CA56" s="10">
        <f t="shared" si="13"/>
        <v>0</v>
      </c>
      <c r="CB56" s="109"/>
      <c r="CC56" s="109"/>
      <c r="CD56" s="109"/>
      <c r="CE56" s="109"/>
      <c r="CF56" s="109"/>
      <c r="CG56" s="109"/>
      <c r="CH56" s="109"/>
      <c r="CI56" s="109"/>
      <c r="CK56" s="11"/>
      <c r="CM56" s="11"/>
      <c r="CO56" s="7" cm="1">
        <f t="array" ref="CO56">SUMPRODUCT(--NOT(ISNUMBER(V56:CI56)),--NOT(ISBLANK(V56:CI56)))</f>
        <v>0</v>
      </c>
      <c r="CS56" s="7">
        <f>IF(SUM(V56:Y56)=SUM(BX56:CA56), 0, 1)</f>
        <v>0</v>
      </c>
      <c r="CT56" s="11"/>
      <c r="CU56">
        <v>0</v>
      </c>
      <c r="CV56">
        <v>1</v>
      </c>
      <c r="EY56" s="12" t="str">
        <f>IF($C56="","",CONCATENATE(D$54," ",D56))</f>
        <v>Stock Closing Balance</v>
      </c>
    </row>
    <row r="57" spans="1:155" ht="8.25" customHeight="1" x14ac:dyDescent="0.35">
      <c r="C57" s="235"/>
      <c r="BY57" s="6"/>
      <c r="CK57" s="11"/>
      <c r="CM57" s="11"/>
      <c r="CT57" s="11"/>
      <c r="CU57">
        <v>0</v>
      </c>
      <c r="CV57">
        <v>0</v>
      </c>
      <c r="EY57" s="10" t="str">
        <f>IF($C57="","",$D57)</f>
        <v/>
      </c>
    </row>
    <row r="58" spans="1:155" x14ac:dyDescent="0.35">
      <c r="B58" s="5"/>
      <c r="C58" s="235"/>
      <c r="D58" s="24" t="s">
        <v>641</v>
      </c>
      <c r="BY58" s="6"/>
      <c r="BZ58" s="6"/>
      <c r="CK58" s="11"/>
      <c r="CM58" s="11"/>
      <c r="CT58" s="11"/>
      <c r="CU58">
        <v>0</v>
      </c>
      <c r="CV58">
        <v>0</v>
      </c>
      <c r="EY58" s="10" t="str">
        <f>IF($C58="","",$D58)</f>
        <v/>
      </c>
    </row>
    <row r="59" spans="1:155" x14ac:dyDescent="0.35">
      <c r="A59" s="220" cm="1">
        <f t="array" aca="1" ref="A59" ca="1">HYPERLINK(CONCATENATE("#",CELL("address",IF(MAX($CM59:$CT59)=0,A59,INDEX($CM59:$CT59,MATCH(1,$CM59:$CT59,0))))),MAX($CM59:$CT59))</f>
        <v>0</v>
      </c>
      <c r="C59" s="213" t="s">
        <v>1367</v>
      </c>
      <c r="D59" s="33" t="s">
        <v>1368</v>
      </c>
      <c r="E59" s="33"/>
      <c r="G59" s="8"/>
      <c r="H59" s="9" t="s">
        <v>646</v>
      </c>
      <c r="V59" s="109"/>
      <c r="W59" s="133">
        <f xml:space="preserve"> SUMIFS($AA59:$BJ59, $AA$3:$BJ$3, W$3)</f>
        <v>0</v>
      </c>
      <c r="X59" s="133">
        <f xml:space="preserve"> SUMIFS($AA59:$BJ59, $AA$3:$BJ$3, X$3)</f>
        <v>0</v>
      </c>
      <c r="Y59" s="133">
        <f xml:space="preserve"> SUMIFS($AA59:$BJ59, $AA$3:$BJ$3, Y$3)</f>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ref="BX59:CA60" si="14">V59</f>
        <v>0</v>
      </c>
      <c r="BY59" s="10">
        <f t="shared" si="14"/>
        <v>0</v>
      </c>
      <c r="BZ59" s="10">
        <f t="shared" si="14"/>
        <v>0</v>
      </c>
      <c r="CA59" s="10">
        <f t="shared" si="14"/>
        <v>0</v>
      </c>
      <c r="CB59" s="109"/>
      <c r="CC59" s="109"/>
      <c r="CD59" s="109"/>
      <c r="CE59" s="109"/>
      <c r="CF59" s="109"/>
      <c r="CG59" s="109"/>
      <c r="CH59" s="109"/>
      <c r="CI59" s="109"/>
      <c r="CK59" s="11"/>
      <c r="CL59" s="221">
        <f>IF(MAX($V59:$CI59)&gt;0, 1, 0)</f>
        <v>0</v>
      </c>
      <c r="CM59" s="11"/>
      <c r="CO59" s="7" cm="1">
        <f t="array" ref="CO59">SUMPRODUCT(--NOT(ISNUMBER(V59:CI59)),--NOT(ISBLANK(V59:CI59)))</f>
        <v>0</v>
      </c>
      <c r="CS59" s="7">
        <f>IF(SUM(V59:Y59)=SUM(BX59:CA59), 0, 1)</f>
        <v>0</v>
      </c>
      <c r="CT59" s="11"/>
      <c r="CU59">
        <v>1</v>
      </c>
      <c r="CV59">
        <v>1</v>
      </c>
      <c r="EY59" s="12" t="str">
        <f>IF($C59="","",CONCATENATE(D$58," ",D59))</f>
        <v>Trade Receivables Bad debt write-off</v>
      </c>
    </row>
    <row r="60" spans="1:155" x14ac:dyDescent="0.35">
      <c r="A60" s="220" cm="1">
        <f t="array" aca="1" ref="A60" ca="1">HYPERLINK(CONCATENATE("#",CELL("address",IF(MAX($CM60:$CT60)=0,A60,INDEX($CM60:$CT60,MATCH(1,$CM60:$CT60,0))))),MAX($CM60:$CT60))</f>
        <v>0</v>
      </c>
      <c r="C60" s="213" t="str">
        <f>REPLACE('Opening Balances'!$C$23, LEN('Opening Balances'!$C$23)-1, 1, "C")</f>
        <v>B-2c-CB</v>
      </c>
      <c r="D60" s="33" t="s">
        <v>906</v>
      </c>
      <c r="E60" s="33"/>
      <c r="G60" s="8"/>
      <c r="H60" s="9" t="s">
        <v>620</v>
      </c>
      <c r="V60" s="12">
        <f>'Opening Balances'!W23</f>
        <v>0</v>
      </c>
      <c r="W60" s="10">
        <f>INDEX($AA60:$BJ60, MATCH(W$5, $AA$5:$BJ$5))</f>
        <v>0</v>
      </c>
      <c r="X60" s="10">
        <f>INDEX($AA60:$BJ60, MATCH(X$5, $AA$5:$BJ$5))</f>
        <v>0</v>
      </c>
      <c r="Y60" s="10">
        <f>INDEX($AA60:$BJ60, MATCH(Y$5, $AA$5:$BJ$5))</f>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X60" s="10">
        <f t="shared" si="14"/>
        <v>0</v>
      </c>
      <c r="BY60" s="10">
        <f t="shared" si="14"/>
        <v>0</v>
      </c>
      <c r="BZ60" s="10">
        <f t="shared" si="14"/>
        <v>0</v>
      </c>
      <c r="CA60" s="10">
        <f t="shared" si="14"/>
        <v>0</v>
      </c>
      <c r="CB60" s="109"/>
      <c r="CC60" s="109"/>
      <c r="CD60" s="109"/>
      <c r="CE60" s="109"/>
      <c r="CF60" s="109"/>
      <c r="CG60" s="109"/>
      <c r="CH60" s="109"/>
      <c r="CI60" s="109"/>
      <c r="CK60" s="11"/>
      <c r="CL60" s="221">
        <f>IF(MIN($V60:$CI60)&lt;0, 1, 0)</f>
        <v>0</v>
      </c>
      <c r="CM60" s="11"/>
      <c r="CO60" s="7" cm="1">
        <f t="array" ref="CO60">SUMPRODUCT(--NOT(ISNUMBER(V60:CI60)),--NOT(ISBLANK(V60:CI60)))</f>
        <v>0</v>
      </c>
      <c r="CS60" s="7">
        <f>IF(SUM(V60:Y60)=SUM(BX60:CA60), 0, 1)</f>
        <v>0</v>
      </c>
      <c r="CT60" s="11"/>
      <c r="CU60">
        <v>0</v>
      </c>
      <c r="CV60">
        <v>1</v>
      </c>
      <c r="EY60" s="12" t="str">
        <f>IF($C60="","",CONCATENATE(D$58," ",D60))</f>
        <v>Trade Receivables Closing Balance</v>
      </c>
    </row>
    <row r="61" spans="1:155" ht="8.25" customHeight="1" x14ac:dyDescent="0.35">
      <c r="C61" s="235"/>
      <c r="BY61" s="6"/>
      <c r="CK61" s="11"/>
      <c r="CM61" s="11"/>
      <c r="CT61" s="11"/>
      <c r="CU61">
        <v>0</v>
      </c>
      <c r="CV61">
        <v>0</v>
      </c>
      <c r="EY61" s="10" t="str">
        <f>IF($C61="","",$D61)</f>
        <v/>
      </c>
    </row>
    <row r="62" spans="1:155" x14ac:dyDescent="0.35">
      <c r="B62" s="5"/>
      <c r="C62" s="235"/>
      <c r="D62" s="24" t="s">
        <v>643</v>
      </c>
      <c r="BY62" s="6"/>
      <c r="BZ62" s="6"/>
      <c r="CK62" s="11"/>
      <c r="CM62" s="11"/>
      <c r="CT62" s="11"/>
      <c r="CU62">
        <v>0</v>
      </c>
      <c r="CV62">
        <v>0</v>
      </c>
      <c r="EY62" s="10" t="str">
        <f>IF($C62="","",$D62)</f>
        <v/>
      </c>
    </row>
    <row r="63" spans="1:155" x14ac:dyDescent="0.35">
      <c r="A63" s="220" cm="1">
        <f t="array" aca="1" ref="A63" ca="1">HYPERLINK(CONCATENATE("#",CELL("address",IF(MAX($CM63:$CT63)=0,A63,INDEX($CM63:$CT63,MATCH(1,$CM63:$CT63,0))))),MAX($CM63:$CT63))</f>
        <v>0</v>
      </c>
      <c r="C63" s="213" t="s">
        <v>1369</v>
      </c>
      <c r="D63" s="33" t="s">
        <v>1368</v>
      </c>
      <c r="E63" s="33"/>
      <c r="G63" s="8"/>
      <c r="H63" s="9" t="s">
        <v>646</v>
      </c>
      <c r="V63" s="109"/>
      <c r="W63" s="133">
        <f xml:space="preserve"> SUMIFS($AA63:$BJ63, $AA$3:$BJ$3, W$3)</f>
        <v>0</v>
      </c>
      <c r="X63" s="133">
        <f xml:space="preserve"> SUMIFS($AA63:$BJ63, $AA$3:$BJ$3, X$3)</f>
        <v>0</v>
      </c>
      <c r="Y63" s="133">
        <f xml:space="preserve"> SUMIFS($AA63:$BJ63, $AA$3:$BJ$3, Y$3)</f>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0">
        <f t="shared" ref="BX63:CA64" si="15">V63</f>
        <v>0</v>
      </c>
      <c r="BY63" s="10">
        <f t="shared" si="15"/>
        <v>0</v>
      </c>
      <c r="BZ63" s="10">
        <f t="shared" si="15"/>
        <v>0</v>
      </c>
      <c r="CA63" s="10">
        <f t="shared" si="15"/>
        <v>0</v>
      </c>
      <c r="CB63" s="109"/>
      <c r="CC63" s="109"/>
      <c r="CD63" s="109"/>
      <c r="CE63" s="109"/>
      <c r="CF63" s="109"/>
      <c r="CG63" s="109"/>
      <c r="CH63" s="109"/>
      <c r="CI63" s="109"/>
      <c r="CK63" s="11"/>
      <c r="CL63" s="221">
        <f>IF(MAX($V63:$CI63)&gt;0, 1, 0)</f>
        <v>0</v>
      </c>
      <c r="CM63" s="11"/>
      <c r="CO63" s="7" cm="1">
        <f t="array" ref="CO63">SUMPRODUCT(--NOT(ISNUMBER(V63:CI63)),--NOT(ISBLANK(V63:CI63)))</f>
        <v>0</v>
      </c>
      <c r="CS63" s="7">
        <f>IF(SUM(V63:Y63)=SUM(BX63:CA63), 0, 1)</f>
        <v>0</v>
      </c>
      <c r="CT63" s="11"/>
      <c r="CU63">
        <v>1</v>
      </c>
      <c r="CV63">
        <v>1</v>
      </c>
      <c r="EY63" s="12" t="str">
        <f>IF($C63="","",CONCATENATE(D$62," ",D63))</f>
        <v>Other Receivables Bad debt write-off</v>
      </c>
    </row>
    <row r="64" spans="1:155" ht="15" customHeight="1" x14ac:dyDescent="0.35">
      <c r="A64" s="220" cm="1">
        <f t="array" aca="1" ref="A64" ca="1">HYPERLINK(CONCATENATE("#",CELL("address",IF(MAX($CM64:$CT64)=0,A64,INDEX($CM64:$CT64,MATCH(1,$CM64:$CT64,0))))),MAX($CM64:$CT64))</f>
        <v>0</v>
      </c>
      <c r="C64" s="213" t="str">
        <f>REPLACE('Opening Balances'!$C$24, LEN('Opening Balances'!$C$24)-1, 1, "C")</f>
        <v>B-2d-CB</v>
      </c>
      <c r="D64" s="33" t="s">
        <v>906</v>
      </c>
      <c r="E64" s="33"/>
      <c r="G64" s="8"/>
      <c r="H64" s="9" t="s">
        <v>620</v>
      </c>
      <c r="V64" s="12">
        <f>'Opening Balances'!W24</f>
        <v>0</v>
      </c>
      <c r="W64" s="10">
        <f>INDEX($AA64:$BJ64, MATCH(W$5, $AA$5:$BJ$5))</f>
        <v>0</v>
      </c>
      <c r="X64" s="10">
        <f>INDEX($AA64:$BJ64, MATCH(X$5, $AA$5:$BJ$5))</f>
        <v>0</v>
      </c>
      <c r="Y64" s="10">
        <f>INDEX($AA64:$BJ64, MATCH(Y$5, $AA$5:$BJ$5))</f>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X64" s="10">
        <f t="shared" si="15"/>
        <v>0</v>
      </c>
      <c r="BY64" s="10">
        <f t="shared" si="15"/>
        <v>0</v>
      </c>
      <c r="BZ64" s="10">
        <f t="shared" si="15"/>
        <v>0</v>
      </c>
      <c r="CA64" s="10">
        <f t="shared" si="15"/>
        <v>0</v>
      </c>
      <c r="CB64" s="109"/>
      <c r="CC64" s="109"/>
      <c r="CD64" s="109"/>
      <c r="CE64" s="109"/>
      <c r="CF64" s="109"/>
      <c r="CG64" s="109"/>
      <c r="CH64" s="109"/>
      <c r="CI64" s="109"/>
      <c r="CK64" s="11"/>
      <c r="CL64" s="221">
        <f>IF(MIN($V64:$CI64)&lt;0, 1, 0)</f>
        <v>0</v>
      </c>
      <c r="CM64" s="11"/>
      <c r="CO64" s="7" cm="1">
        <f t="array" ref="CO64">SUMPRODUCT(--NOT(ISNUMBER(V64:CI64)),--NOT(ISBLANK(V64:CI64)))</f>
        <v>0</v>
      </c>
      <c r="CS64" s="7">
        <f>IF(SUM(V64:Y64)=SUM(BX64:CA64), 0, 1)</f>
        <v>0</v>
      </c>
      <c r="CT64" s="11"/>
      <c r="CU64">
        <v>0</v>
      </c>
      <c r="CV64">
        <v>1</v>
      </c>
      <c r="EY64" s="12" t="str">
        <f>IF($C64="","",CONCATENATE(D$62," ",D64))</f>
        <v>Other Receivables Closing Balance</v>
      </c>
    </row>
    <row r="65" spans="1:155" ht="8.25" customHeight="1" x14ac:dyDescent="0.35">
      <c r="C65" s="234"/>
      <c r="CK65" s="11"/>
      <c r="CM65" s="11"/>
      <c r="CT65" s="11"/>
      <c r="CU65">
        <v>0</v>
      </c>
      <c r="CV65">
        <v>0</v>
      </c>
      <c r="EY65" s="10" t="str">
        <f>IF($C65="","",$D65)</f>
        <v/>
      </c>
    </row>
    <row r="66" spans="1:155" x14ac:dyDescent="0.35">
      <c r="B66" s="5"/>
      <c r="C66" s="234"/>
      <c r="D66" s="24" t="s">
        <v>645</v>
      </c>
      <c r="CK66" s="11"/>
      <c r="CM66" s="11"/>
      <c r="CT66" s="11"/>
      <c r="CU66">
        <v>0</v>
      </c>
      <c r="CV66">
        <v>0</v>
      </c>
      <c r="EY66" s="10" t="str">
        <f>IF($C66="","",$D66)</f>
        <v/>
      </c>
    </row>
    <row r="67" spans="1:155" x14ac:dyDescent="0.35">
      <c r="A67" s="220" cm="1">
        <f t="array" aca="1" ref="A67" ca="1">HYPERLINK(CONCATENATE("#",CELL("address",IF(MAX($CM67:$CT67)=0,A67,INDEX($CM67:$CT67,MATCH(1,$CM67:$CT67,0))))),MAX($CM67:$CT67))</f>
        <v>0</v>
      </c>
      <c r="C67" s="211" t="str">
        <f>CONCATENATE("BS-",'Opening Balances'!$C$25)</f>
        <v>BS-B-2e-OB</v>
      </c>
      <c r="D67" s="33" t="s">
        <v>890</v>
      </c>
      <c r="G67" s="8"/>
      <c r="H67" s="9" t="s">
        <v>646</v>
      </c>
      <c r="V67" s="12">
        <f>'Opening Balances'!$V$25</f>
        <v>0</v>
      </c>
      <c r="W67" s="10">
        <f>V70</f>
        <v>0</v>
      </c>
      <c r="X67" s="10">
        <f>W70</f>
        <v>0</v>
      </c>
      <c r="Y67" s="10">
        <f>X70</f>
        <v>0</v>
      </c>
      <c r="AA67" s="10">
        <f>W67</f>
        <v>0</v>
      </c>
      <c r="AB67" s="10">
        <f t="shared" ref="AB67:BJ67" si="16">AA70</f>
        <v>0</v>
      </c>
      <c r="AC67" s="10">
        <f t="shared" si="16"/>
        <v>0</v>
      </c>
      <c r="AD67" s="10">
        <f t="shared" si="16"/>
        <v>0</v>
      </c>
      <c r="AE67" s="10">
        <f t="shared" si="16"/>
        <v>0</v>
      </c>
      <c r="AF67" s="10">
        <f t="shared" si="16"/>
        <v>0</v>
      </c>
      <c r="AG67" s="10">
        <f t="shared" si="16"/>
        <v>0</v>
      </c>
      <c r="AH67" s="10">
        <f t="shared" si="16"/>
        <v>0</v>
      </c>
      <c r="AI67" s="10">
        <f t="shared" si="16"/>
        <v>0</v>
      </c>
      <c r="AJ67" s="10">
        <f t="shared" si="16"/>
        <v>0</v>
      </c>
      <c r="AK67" s="10">
        <f t="shared" si="16"/>
        <v>0</v>
      </c>
      <c r="AL67" s="10">
        <f t="shared" si="16"/>
        <v>0</v>
      </c>
      <c r="AM67" s="10">
        <f t="shared" si="16"/>
        <v>0</v>
      </c>
      <c r="AN67" s="10">
        <f t="shared" si="16"/>
        <v>0</v>
      </c>
      <c r="AO67" s="10">
        <f t="shared" si="16"/>
        <v>0</v>
      </c>
      <c r="AP67" s="10">
        <f t="shared" si="16"/>
        <v>0</v>
      </c>
      <c r="AQ67" s="10">
        <f t="shared" si="16"/>
        <v>0</v>
      </c>
      <c r="AR67" s="10">
        <f t="shared" si="16"/>
        <v>0</v>
      </c>
      <c r="AS67" s="10">
        <f t="shared" si="16"/>
        <v>0</v>
      </c>
      <c r="AT67" s="10">
        <f t="shared" si="16"/>
        <v>0</v>
      </c>
      <c r="AU67" s="10">
        <f t="shared" si="16"/>
        <v>0</v>
      </c>
      <c r="AV67" s="10">
        <f t="shared" si="16"/>
        <v>0</v>
      </c>
      <c r="AW67" s="10">
        <f t="shared" si="16"/>
        <v>0</v>
      </c>
      <c r="AX67" s="10">
        <f t="shared" si="16"/>
        <v>0</v>
      </c>
      <c r="AY67" s="10">
        <f t="shared" si="16"/>
        <v>0</v>
      </c>
      <c r="AZ67" s="10">
        <f t="shared" si="16"/>
        <v>0</v>
      </c>
      <c r="BA67" s="10">
        <f t="shared" si="16"/>
        <v>0</v>
      </c>
      <c r="BB67" s="10">
        <f t="shared" si="16"/>
        <v>0</v>
      </c>
      <c r="BC67" s="10">
        <f t="shared" si="16"/>
        <v>0</v>
      </c>
      <c r="BD67" s="10">
        <f t="shared" si="16"/>
        <v>0</v>
      </c>
      <c r="BE67" s="10">
        <f t="shared" si="16"/>
        <v>0</v>
      </c>
      <c r="BF67" s="10">
        <f t="shared" si="16"/>
        <v>0</v>
      </c>
      <c r="BG67" s="10">
        <f t="shared" si="16"/>
        <v>0</v>
      </c>
      <c r="BH67" s="10">
        <f t="shared" si="16"/>
        <v>0</v>
      </c>
      <c r="BI67" s="10">
        <f t="shared" si="16"/>
        <v>0</v>
      </c>
      <c r="BJ67" s="10">
        <f t="shared" si="16"/>
        <v>0</v>
      </c>
      <c r="BX67" s="12">
        <f>V67</f>
        <v>0</v>
      </c>
      <c r="BY67" s="12">
        <f>W67</f>
        <v>0</v>
      </c>
      <c r="BZ67" s="12">
        <f>X67</f>
        <v>0</v>
      </c>
      <c r="CA67" s="12">
        <f>Y67</f>
        <v>0</v>
      </c>
      <c r="CB67" s="10">
        <f t="shared" ref="CB67:CI67" si="17">CA70</f>
        <v>0</v>
      </c>
      <c r="CC67" s="10">
        <f t="shared" si="17"/>
        <v>0</v>
      </c>
      <c r="CD67" s="10">
        <f t="shared" si="17"/>
        <v>0</v>
      </c>
      <c r="CE67" s="10">
        <f t="shared" si="17"/>
        <v>0</v>
      </c>
      <c r="CF67" s="10">
        <f t="shared" si="17"/>
        <v>0</v>
      </c>
      <c r="CG67" s="10">
        <f t="shared" si="17"/>
        <v>0</v>
      </c>
      <c r="CH67" s="10">
        <f t="shared" si="17"/>
        <v>0</v>
      </c>
      <c r="CI67" s="10">
        <f t="shared" si="17"/>
        <v>0</v>
      </c>
      <c r="CK67" s="11"/>
      <c r="CM67" s="11"/>
      <c r="CS67" s="7">
        <f>IF(SUM(V67:Y67)=SUM(BX67:CA67), 0, 1)</f>
        <v>0</v>
      </c>
      <c r="CT67" s="11"/>
      <c r="CU67">
        <v>0</v>
      </c>
      <c r="CV67">
        <v>0</v>
      </c>
      <c r="EY67" s="12" t="str">
        <f>IF($C67="","",CONCATENATE(D$66," ",D67))</f>
        <v>Bad Debt Provision Opening Balance</v>
      </c>
    </row>
    <row r="68" spans="1:155" x14ac:dyDescent="0.35">
      <c r="A68" s="220" cm="1">
        <f t="array" aca="1" ref="A68" ca="1">HYPERLINK(CONCATENATE("#",CELL("address",IF(MAX($CM68:$CT68)=0,A68,INDEX($CM68:$CT68,MATCH(1,$CM68:$CT68,0))))),MAX($CM68:$CT68))</f>
        <v>0</v>
      </c>
      <c r="C68" s="213" t="s">
        <v>1370</v>
      </c>
      <c r="D68" s="1" t="s">
        <v>1371</v>
      </c>
      <c r="E68" s="85" t="s">
        <v>122</v>
      </c>
      <c r="G68" s="8"/>
      <c r="H68" s="9" t="s">
        <v>1372</v>
      </c>
      <c r="V68" s="10">
        <f>V70-V67-V69</f>
        <v>0</v>
      </c>
      <c r="W68" s="10">
        <f>W70-W67-W69</f>
        <v>0</v>
      </c>
      <c r="X68" s="10">
        <f>X70-X67-X69</f>
        <v>0</v>
      </c>
      <c r="Y68" s="10">
        <f>Y70-Y67-Y69</f>
        <v>0</v>
      </c>
      <c r="AA68" s="10">
        <f t="shared" ref="AA68:BJ68" si="18">AA70-AA67-AA69</f>
        <v>0</v>
      </c>
      <c r="AB68" s="10">
        <f t="shared" si="18"/>
        <v>0</v>
      </c>
      <c r="AC68" s="10">
        <f t="shared" si="18"/>
        <v>0</v>
      </c>
      <c r="AD68" s="10">
        <f t="shared" si="18"/>
        <v>0</v>
      </c>
      <c r="AE68" s="10">
        <f t="shared" si="18"/>
        <v>0</v>
      </c>
      <c r="AF68" s="10">
        <f t="shared" si="18"/>
        <v>0</v>
      </c>
      <c r="AG68" s="10">
        <f t="shared" si="18"/>
        <v>0</v>
      </c>
      <c r="AH68" s="10">
        <f t="shared" si="18"/>
        <v>0</v>
      </c>
      <c r="AI68" s="10">
        <f t="shared" si="18"/>
        <v>0</v>
      </c>
      <c r="AJ68" s="10">
        <f t="shared" si="18"/>
        <v>0</v>
      </c>
      <c r="AK68" s="10">
        <f t="shared" si="18"/>
        <v>0</v>
      </c>
      <c r="AL68" s="10">
        <f t="shared" si="18"/>
        <v>0</v>
      </c>
      <c r="AM68" s="10">
        <f t="shared" si="18"/>
        <v>0</v>
      </c>
      <c r="AN68" s="10">
        <f t="shared" si="18"/>
        <v>0</v>
      </c>
      <c r="AO68" s="10">
        <f t="shared" si="18"/>
        <v>0</v>
      </c>
      <c r="AP68" s="10">
        <f t="shared" si="18"/>
        <v>0</v>
      </c>
      <c r="AQ68" s="10">
        <f t="shared" si="18"/>
        <v>0</v>
      </c>
      <c r="AR68" s="10">
        <f t="shared" si="18"/>
        <v>0</v>
      </c>
      <c r="AS68" s="10">
        <f t="shared" si="18"/>
        <v>0</v>
      </c>
      <c r="AT68" s="10">
        <f t="shared" si="18"/>
        <v>0</v>
      </c>
      <c r="AU68" s="10">
        <f t="shared" si="18"/>
        <v>0</v>
      </c>
      <c r="AV68" s="10">
        <f t="shared" si="18"/>
        <v>0</v>
      </c>
      <c r="AW68" s="10">
        <f t="shared" si="18"/>
        <v>0</v>
      </c>
      <c r="AX68" s="10">
        <f t="shared" si="18"/>
        <v>0</v>
      </c>
      <c r="AY68" s="10">
        <f t="shared" si="18"/>
        <v>0</v>
      </c>
      <c r="AZ68" s="10">
        <f t="shared" si="18"/>
        <v>0</v>
      </c>
      <c r="BA68" s="10">
        <f t="shared" si="18"/>
        <v>0</v>
      </c>
      <c r="BB68" s="10">
        <f t="shared" si="18"/>
        <v>0</v>
      </c>
      <c r="BC68" s="10">
        <f t="shared" si="18"/>
        <v>0</v>
      </c>
      <c r="BD68" s="10">
        <f t="shared" si="18"/>
        <v>0</v>
      </c>
      <c r="BE68" s="10">
        <f t="shared" si="18"/>
        <v>0</v>
      </c>
      <c r="BF68" s="10">
        <f t="shared" si="18"/>
        <v>0</v>
      </c>
      <c r="BG68" s="10">
        <f t="shared" si="18"/>
        <v>0</v>
      </c>
      <c r="BH68" s="10">
        <f t="shared" si="18"/>
        <v>0</v>
      </c>
      <c r="BI68" s="10">
        <f t="shared" si="18"/>
        <v>0</v>
      </c>
      <c r="BJ68" s="10">
        <f t="shared" si="18"/>
        <v>0</v>
      </c>
      <c r="BX68" s="10">
        <f t="shared" ref="BX68:CI68" si="19">BX70-BX67-BX69</f>
        <v>0</v>
      </c>
      <c r="BY68" s="10">
        <f t="shared" si="19"/>
        <v>0</v>
      </c>
      <c r="BZ68" s="10">
        <f t="shared" si="19"/>
        <v>0</v>
      </c>
      <c r="CA68" s="10">
        <f t="shared" si="19"/>
        <v>0</v>
      </c>
      <c r="CB68" s="10">
        <f t="shared" si="19"/>
        <v>0</v>
      </c>
      <c r="CC68" s="10">
        <f t="shared" si="19"/>
        <v>0</v>
      </c>
      <c r="CD68" s="10">
        <f t="shared" si="19"/>
        <v>0</v>
      </c>
      <c r="CE68" s="10">
        <f t="shared" si="19"/>
        <v>0</v>
      </c>
      <c r="CF68" s="10">
        <f t="shared" si="19"/>
        <v>0</v>
      </c>
      <c r="CG68" s="10">
        <f t="shared" si="19"/>
        <v>0</v>
      </c>
      <c r="CH68" s="10">
        <f t="shared" si="19"/>
        <v>0</v>
      </c>
      <c r="CI68" s="10">
        <f t="shared" si="19"/>
        <v>0</v>
      </c>
      <c r="CK68" s="11"/>
      <c r="CM68" s="11"/>
      <c r="CS68" s="7">
        <f>IF(SUM(V68:Y68)=SUM(BX68:CA68), 0, 1)</f>
        <v>0</v>
      </c>
      <c r="CT68" s="11"/>
      <c r="CU68">
        <v>0</v>
      </c>
      <c r="CV68">
        <v>0</v>
      </c>
      <c r="EY68" s="12" t="str">
        <f>IF($C68="","",CONCATENATE(D$66," ",D68))</f>
        <v>Bad Debt Provision Provided for/released in period</v>
      </c>
    </row>
    <row r="69" spans="1:155" x14ac:dyDescent="0.35">
      <c r="A69" s="220" cm="1">
        <f t="array" aca="1" ref="A69" ca="1">HYPERLINK(CONCATENATE("#",CELL("address",IF(MAX($CM69:$CT69)=0,A69,INDEX($CM69:$CT69,MATCH(1,$CM69:$CT69,0))))),MAX($CM69:$CT69))</f>
        <v>0</v>
      </c>
      <c r="C69" s="213" t="s">
        <v>1373</v>
      </c>
      <c r="D69" s="1" t="s">
        <v>1374</v>
      </c>
      <c r="E69" s="283" t="s">
        <v>904</v>
      </c>
      <c r="G69" s="8"/>
      <c r="H69" s="9" t="s">
        <v>620</v>
      </c>
      <c r="V69" s="10">
        <f>0-(V59+V63)</f>
        <v>0</v>
      </c>
      <c r="W69" s="10">
        <f>0-(W59+W63)</f>
        <v>0</v>
      </c>
      <c r="X69" s="10">
        <f>0-(X59+X63)</f>
        <v>0</v>
      </c>
      <c r="Y69" s="10">
        <f>0-(Y59+Y63)</f>
        <v>0</v>
      </c>
      <c r="AA69" s="10">
        <f t="shared" ref="AA69:BJ69" si="20">0-(AA59+AA63)</f>
        <v>0</v>
      </c>
      <c r="AB69" s="10">
        <f t="shared" si="20"/>
        <v>0</v>
      </c>
      <c r="AC69" s="10">
        <f t="shared" si="20"/>
        <v>0</v>
      </c>
      <c r="AD69" s="10">
        <f t="shared" si="20"/>
        <v>0</v>
      </c>
      <c r="AE69" s="10">
        <f t="shared" si="20"/>
        <v>0</v>
      </c>
      <c r="AF69" s="10">
        <f t="shared" si="20"/>
        <v>0</v>
      </c>
      <c r="AG69" s="10">
        <f t="shared" si="20"/>
        <v>0</v>
      </c>
      <c r="AH69" s="10">
        <f t="shared" si="20"/>
        <v>0</v>
      </c>
      <c r="AI69" s="10">
        <f t="shared" si="20"/>
        <v>0</v>
      </c>
      <c r="AJ69" s="10">
        <f t="shared" si="20"/>
        <v>0</v>
      </c>
      <c r="AK69" s="10">
        <f t="shared" si="20"/>
        <v>0</v>
      </c>
      <c r="AL69" s="10">
        <f t="shared" si="20"/>
        <v>0</v>
      </c>
      <c r="AM69" s="10">
        <f t="shared" si="20"/>
        <v>0</v>
      </c>
      <c r="AN69" s="10">
        <f t="shared" si="20"/>
        <v>0</v>
      </c>
      <c r="AO69" s="10">
        <f t="shared" si="20"/>
        <v>0</v>
      </c>
      <c r="AP69" s="10">
        <f t="shared" si="20"/>
        <v>0</v>
      </c>
      <c r="AQ69" s="10">
        <f t="shared" si="20"/>
        <v>0</v>
      </c>
      <c r="AR69" s="10">
        <f t="shared" si="20"/>
        <v>0</v>
      </c>
      <c r="AS69" s="10">
        <f t="shared" si="20"/>
        <v>0</v>
      </c>
      <c r="AT69" s="10">
        <f t="shared" si="20"/>
        <v>0</v>
      </c>
      <c r="AU69" s="10">
        <f t="shared" si="20"/>
        <v>0</v>
      </c>
      <c r="AV69" s="10">
        <f t="shared" si="20"/>
        <v>0</v>
      </c>
      <c r="AW69" s="10">
        <f t="shared" si="20"/>
        <v>0</v>
      </c>
      <c r="AX69" s="10">
        <f t="shared" si="20"/>
        <v>0</v>
      </c>
      <c r="AY69" s="10">
        <f t="shared" si="20"/>
        <v>0</v>
      </c>
      <c r="AZ69" s="10">
        <f t="shared" si="20"/>
        <v>0</v>
      </c>
      <c r="BA69" s="10">
        <f t="shared" si="20"/>
        <v>0</v>
      </c>
      <c r="BB69" s="10">
        <f t="shared" si="20"/>
        <v>0</v>
      </c>
      <c r="BC69" s="10">
        <f t="shared" si="20"/>
        <v>0</v>
      </c>
      <c r="BD69" s="10">
        <f t="shared" si="20"/>
        <v>0</v>
      </c>
      <c r="BE69" s="10">
        <f t="shared" si="20"/>
        <v>0</v>
      </c>
      <c r="BF69" s="10">
        <f t="shared" si="20"/>
        <v>0</v>
      </c>
      <c r="BG69" s="10">
        <f t="shared" si="20"/>
        <v>0</v>
      </c>
      <c r="BH69" s="10">
        <f t="shared" si="20"/>
        <v>0</v>
      </c>
      <c r="BI69" s="10">
        <f t="shared" si="20"/>
        <v>0</v>
      </c>
      <c r="BJ69" s="10">
        <f t="shared" si="20"/>
        <v>0</v>
      </c>
      <c r="BX69" s="10">
        <f t="shared" ref="BX69:CI69" si="21">0-(BX59+BX63)</f>
        <v>0</v>
      </c>
      <c r="BY69" s="10">
        <f t="shared" si="21"/>
        <v>0</v>
      </c>
      <c r="BZ69" s="10">
        <f t="shared" si="21"/>
        <v>0</v>
      </c>
      <c r="CA69" s="10">
        <f t="shared" si="21"/>
        <v>0</v>
      </c>
      <c r="CB69" s="10">
        <f t="shared" si="21"/>
        <v>0</v>
      </c>
      <c r="CC69" s="10">
        <f t="shared" si="21"/>
        <v>0</v>
      </c>
      <c r="CD69" s="10">
        <f t="shared" si="21"/>
        <v>0</v>
      </c>
      <c r="CE69" s="10">
        <f t="shared" si="21"/>
        <v>0</v>
      </c>
      <c r="CF69" s="10">
        <f t="shared" si="21"/>
        <v>0</v>
      </c>
      <c r="CG69" s="10">
        <f t="shared" si="21"/>
        <v>0</v>
      </c>
      <c r="CH69" s="10">
        <f t="shared" si="21"/>
        <v>0</v>
      </c>
      <c r="CI69" s="10">
        <f t="shared" si="21"/>
        <v>0</v>
      </c>
      <c r="CK69" s="11"/>
      <c r="CM69" s="11"/>
      <c r="CS69" s="7">
        <f>IF(SUM(V69:Y69)=SUM(BX69:CA69), 0, 1)</f>
        <v>0</v>
      </c>
      <c r="CT69" s="11"/>
      <c r="CU69">
        <v>0</v>
      </c>
      <c r="CV69">
        <v>0</v>
      </c>
      <c r="EY69" s="12" t="str">
        <f>IF($C69="","",CONCATENATE(D$66," ",D69))</f>
        <v>Bad Debt Provision Write-off in period</v>
      </c>
    </row>
    <row r="70" spans="1:155" x14ac:dyDescent="0.35">
      <c r="A70" s="220" cm="1">
        <f t="array" aca="1" ref="A70" ca="1">HYPERLINK(CONCATENATE("#",CELL("address",IF(MAX($CM70:$CT70)=0,A70,INDEX($CM70:$CT70,MATCH(1,$CM70:$CT70,0))))),MAX($CM70:$CT70))</f>
        <v>0</v>
      </c>
      <c r="B70" s="85" t="s">
        <v>122</v>
      </c>
      <c r="C70" s="213" t="str">
        <f>REPLACE('Opening Balances'!$C$25, LEN('Opening Balances'!$C$25)-1, 1, "C")</f>
        <v>B-2e-CB</v>
      </c>
      <c r="D70" s="33" t="s">
        <v>906</v>
      </c>
      <c r="E70" s="215">
        <f>ROUND(V70-SUM(V67:V69), rounding)*$V$10</f>
        <v>0</v>
      </c>
      <c r="G70" s="8"/>
      <c r="H70" s="9" t="s">
        <v>646</v>
      </c>
      <c r="V70" s="12">
        <f>'Opening Balances'!W25</f>
        <v>0</v>
      </c>
      <c r="W70" s="10">
        <f>INDEX($AA70:$BJ70, MATCH(W$5, $AA$5:$BJ$5))</f>
        <v>0</v>
      </c>
      <c r="X70" s="10">
        <f>INDEX($AA70:$BJ70, MATCH(X$5, $AA$5:$BJ$5))</f>
        <v>0</v>
      </c>
      <c r="Y70" s="10">
        <f>INDEX($AA70:$BJ70, MATCH(Y$5, $AA$5:$BJ$5))</f>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2">
        <f>V70</f>
        <v>0</v>
      </c>
      <c r="BY70" s="12">
        <f>W70</f>
        <v>0</v>
      </c>
      <c r="BZ70" s="12">
        <f>X70</f>
        <v>0</v>
      </c>
      <c r="CA70" s="12">
        <f>Y70</f>
        <v>0</v>
      </c>
      <c r="CB70" s="109"/>
      <c r="CC70" s="109"/>
      <c r="CD70" s="109"/>
      <c r="CE70" s="109"/>
      <c r="CF70" s="109"/>
      <c r="CG70" s="109"/>
      <c r="CH70" s="109"/>
      <c r="CI70" s="109"/>
      <c r="CK70" s="11"/>
      <c r="CL70" s="221">
        <f>IF(MAX($V70:$CI70)&gt;0, 1, 0)</f>
        <v>0</v>
      </c>
      <c r="CM70" s="11"/>
      <c r="CO70" s="7" cm="1">
        <f t="array" ref="CO70">SUMPRODUCT(--NOT(ISNUMBER(V70:CI70)),--NOT(ISBLANK(V70:CI70)))</f>
        <v>0</v>
      </c>
      <c r="CR70" s="7">
        <f>IF(ABS($E70)&gt;Parameters!$D$33, 1, 0)</f>
        <v>0</v>
      </c>
      <c r="CS70" s="7">
        <f>IF(SUM(V70:Y70)=SUM(BX70:CA70), 0, 1)</f>
        <v>0</v>
      </c>
      <c r="CT70" s="11"/>
      <c r="CU70">
        <v>0</v>
      </c>
      <c r="CV70">
        <v>1</v>
      </c>
      <c r="EY70" s="12" t="str">
        <f>IF($C70="","",CONCATENATE(D$66," ",D70))</f>
        <v>Bad Debt Provision Closing Balance</v>
      </c>
    </row>
    <row r="71" spans="1:155" ht="8.25" customHeight="1" x14ac:dyDescent="0.35">
      <c r="C71" s="235"/>
      <c r="CK71" s="11"/>
      <c r="CM71" s="11"/>
      <c r="CT71" s="11"/>
      <c r="CU71">
        <v>0</v>
      </c>
      <c r="CV71">
        <v>0</v>
      </c>
      <c r="EY71" s="10" t="str">
        <f>IF($C71="","",$D71)</f>
        <v/>
      </c>
    </row>
    <row r="72" spans="1:155" x14ac:dyDescent="0.35">
      <c r="B72" s="5"/>
      <c r="C72" s="235"/>
      <c r="D72" s="24" t="s">
        <v>648</v>
      </c>
      <c r="CK72" s="11"/>
      <c r="CM72" s="11"/>
      <c r="CT72" s="11"/>
      <c r="CU72">
        <v>0</v>
      </c>
      <c r="CV72">
        <v>0</v>
      </c>
      <c r="EY72" s="10" t="str">
        <f>IF($C72="","",$D72)</f>
        <v/>
      </c>
    </row>
    <row r="73" spans="1:155" x14ac:dyDescent="0.35">
      <c r="A73" s="220" cm="1">
        <f t="array" aca="1" ref="A73" ca="1">HYPERLINK(CONCATENATE("#",CELL("address",IF(MAX($CM73:$CT73)=0,A73,INDEX($CM73:$CT73,MATCH(1,$CM73:$CT73,0))))),MAX($CM73:$CT73))</f>
        <v>0</v>
      </c>
      <c r="C73" s="213" t="str">
        <f>REPLACE('Opening Balances'!$C$26, LEN('Opening Balances'!$C$26)-1, 1, "C")</f>
        <v>B-2f-CB</v>
      </c>
      <c r="D73" s="33" t="s">
        <v>906</v>
      </c>
      <c r="E73" s="33"/>
      <c r="G73" s="8"/>
      <c r="H73" s="9" t="s">
        <v>620</v>
      </c>
      <c r="V73" s="12">
        <f>'Opening Balances'!W26</f>
        <v>0</v>
      </c>
      <c r="W73" s="10">
        <f>INDEX($AA73:$BJ73, MATCH(W$5, $AA$5:$BJ$5))</f>
        <v>0</v>
      </c>
      <c r="X73" s="10">
        <f>INDEX($AA73:$BJ73, MATCH(X$5, $AA$5:$BJ$5))</f>
        <v>0</v>
      </c>
      <c r="Y73" s="10">
        <f>INDEX($AA73:$BJ73, MATCH(Y$5, $AA$5:$BJ$5))</f>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V73</f>
        <v>0</v>
      </c>
      <c r="BY73" s="10">
        <f>W73</f>
        <v>0</v>
      </c>
      <c r="BZ73" s="10">
        <f>X73</f>
        <v>0</v>
      </c>
      <c r="CA73" s="10">
        <f>Y73</f>
        <v>0</v>
      </c>
      <c r="CB73" s="109"/>
      <c r="CC73" s="109"/>
      <c r="CD73" s="109"/>
      <c r="CE73" s="109"/>
      <c r="CF73" s="109"/>
      <c r="CG73" s="109"/>
      <c r="CH73" s="109"/>
      <c r="CI73" s="109"/>
      <c r="CK73" s="11"/>
      <c r="CM73" s="11"/>
      <c r="CO73" s="7" cm="1">
        <f t="array" ref="CO73">SUMPRODUCT(--NOT(ISNUMBER(V73:CI73)),--NOT(ISBLANK(V73:CI73)))</f>
        <v>0</v>
      </c>
      <c r="CS73" s="7">
        <f>IF(SUM(V73:Y73)=SUM(BX73:CA73), 0, 1)</f>
        <v>0</v>
      </c>
      <c r="CT73" s="11"/>
      <c r="CU73">
        <v>0</v>
      </c>
      <c r="CV73">
        <v>1</v>
      </c>
      <c r="EY73" s="12" t="str">
        <f>IF($C73="","",CONCATENATE(D72," ",D73))</f>
        <v>Prepayments Closing Balance</v>
      </c>
    </row>
    <row r="74" spans="1:155" ht="8.25" customHeight="1" x14ac:dyDescent="0.35">
      <c r="C74" s="235"/>
      <c r="CK74" s="11"/>
      <c r="CM74" s="11"/>
      <c r="CT74" s="11"/>
      <c r="CU74">
        <v>0</v>
      </c>
      <c r="CV74">
        <v>0</v>
      </c>
      <c r="EY74" s="10" t="str">
        <f>IF($C74="","",$D74)</f>
        <v/>
      </c>
    </row>
    <row r="75" spans="1:155" x14ac:dyDescent="0.35">
      <c r="B75" s="5"/>
      <c r="C75" s="235"/>
      <c r="D75" s="24" t="s">
        <v>650</v>
      </c>
      <c r="CK75" s="11"/>
      <c r="CM75" s="11"/>
      <c r="CT75" s="11"/>
      <c r="CU75">
        <v>0</v>
      </c>
      <c r="CV75">
        <v>0</v>
      </c>
      <c r="EY75" s="10" t="str">
        <f>IF($C75="","",$D75)</f>
        <v/>
      </c>
    </row>
    <row r="76" spans="1:155" x14ac:dyDescent="0.35">
      <c r="A76" s="220" cm="1">
        <f t="array" aca="1" ref="A76" ca="1">HYPERLINK(CONCATENATE("#",CELL("address",IF(MAX($CM76:$CT76)=0,A76,INDEX($CM76:$CT76,MATCH(1,$CM76:$CT76,0))))),MAX($CM76:$CT76))</f>
        <v>0</v>
      </c>
      <c r="C76" s="213" t="str">
        <f>REPLACE('Opening Balances'!$C$27, LEN('Opening Balances'!$C$27)-1, 1, "C")</f>
        <v>B-2g-CB</v>
      </c>
      <c r="D76" s="33" t="s">
        <v>906</v>
      </c>
      <c r="E76" s="33"/>
      <c r="G76" s="8"/>
      <c r="H76" s="9" t="s">
        <v>620</v>
      </c>
      <c r="V76" s="12">
        <f>'Opening Balances'!W27</f>
        <v>0</v>
      </c>
      <c r="W76" s="10">
        <f>INDEX($AA76:$BJ76, MATCH(W$5, $AA$5:$BJ$5))</f>
        <v>0</v>
      </c>
      <c r="X76" s="10">
        <f>INDEX($AA76:$BJ76, MATCH(X$5, $AA$5:$BJ$5))</f>
        <v>0</v>
      </c>
      <c r="Y76" s="10">
        <f>INDEX($AA76:$BJ76, MATCH(Y$5, $AA$5:$BJ$5))</f>
        <v>0</v>
      </c>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X76" s="10">
        <f>V76</f>
        <v>0</v>
      </c>
      <c r="BY76" s="10">
        <f>W76</f>
        <v>0</v>
      </c>
      <c r="BZ76" s="10">
        <f>X76</f>
        <v>0</v>
      </c>
      <c r="CA76" s="10">
        <f>Y76</f>
        <v>0</v>
      </c>
      <c r="CB76" s="109"/>
      <c r="CC76" s="109"/>
      <c r="CD76" s="109"/>
      <c r="CE76" s="109"/>
      <c r="CF76" s="109"/>
      <c r="CG76" s="109"/>
      <c r="CH76" s="109"/>
      <c r="CI76" s="109"/>
      <c r="CK76" s="11"/>
      <c r="CM76" s="11"/>
      <c r="CO76" s="7" cm="1">
        <f t="array" ref="CO76">SUMPRODUCT(--NOT(ISNUMBER(V76:CI76)),--NOT(ISBLANK(V76:CI76)))</f>
        <v>0</v>
      </c>
      <c r="CS76" s="7">
        <f>IF(SUM(V76:Y76)=SUM(BX76:CA76), 0, 1)</f>
        <v>0</v>
      </c>
      <c r="CT76" s="11"/>
      <c r="CU76">
        <v>0</v>
      </c>
      <c r="CV76">
        <v>1</v>
      </c>
      <c r="EY76" s="12" t="str">
        <f>IF($C76="","",CONCATENATE(D75," ",D76))</f>
        <v>Accrued Income Closing Balance</v>
      </c>
    </row>
    <row r="77" spans="1:155" ht="8.25" customHeight="1" x14ac:dyDescent="0.35">
      <c r="C77" s="234"/>
      <c r="BY77" s="6"/>
      <c r="CK77" s="11"/>
      <c r="CM77" s="11"/>
      <c r="CT77" s="11"/>
      <c r="CU77">
        <v>0</v>
      </c>
      <c r="CV77">
        <v>0</v>
      </c>
      <c r="EY77" s="10" t="str">
        <f>IF($C77="","",$D77)</f>
        <v/>
      </c>
    </row>
    <row r="78" spans="1:155" x14ac:dyDescent="0.35">
      <c r="B78" s="5"/>
      <c r="C78" s="234"/>
      <c r="D78" s="24" t="s">
        <v>652</v>
      </c>
      <c r="BY78" s="6"/>
      <c r="BZ78" s="6"/>
      <c r="CK78" s="11"/>
      <c r="CM78" s="11"/>
      <c r="CT78" s="11"/>
      <c r="CU78">
        <v>0</v>
      </c>
      <c r="CV78">
        <v>0</v>
      </c>
      <c r="EY78" s="10" t="str">
        <f>IF($C78="","",$D78)</f>
        <v/>
      </c>
    </row>
    <row r="79" spans="1:155" x14ac:dyDescent="0.35">
      <c r="A79" s="220" cm="1">
        <f t="array" aca="1" ref="A79" ca="1">HYPERLINK(CONCATENATE("#",CELL("address",IF(MAX($CM79:$CT79)=0,A79,INDEX($CM79:$CT79,MATCH(1,$CM79:$CT79,0))))),MAX($CM79:$CT79))</f>
        <v>0</v>
      </c>
      <c r="C79" s="213" t="str">
        <f>REPLACE('Opening Balances'!$C$28, LEN('Opening Balances'!$C$28)-1, 1, "C")</f>
        <v>B-2h-CB</v>
      </c>
      <c r="D79" s="33" t="s">
        <v>906</v>
      </c>
      <c r="E79" s="33"/>
      <c r="G79" s="8"/>
      <c r="H79" s="9" t="s">
        <v>620</v>
      </c>
      <c r="V79" s="12">
        <f>'Opening Balances'!$W$28</f>
        <v>0</v>
      </c>
      <c r="W79" s="10">
        <f>INDEX($AA79:$BJ79, MATCH(W$5, $AA$5:$BJ$5))</f>
        <v>0</v>
      </c>
      <c r="X79" s="10">
        <f>INDEX($AA79:$BJ79, MATCH(X$5, $AA$5:$BJ$5))</f>
        <v>0</v>
      </c>
      <c r="Y79" s="10">
        <f>INDEX($AA79:$BJ79, MATCH(Y$5, $AA$5:$BJ$5))</f>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X79" s="10">
        <f>V79</f>
        <v>0</v>
      </c>
      <c r="BY79" s="10">
        <f>W79</f>
        <v>0</v>
      </c>
      <c r="BZ79" s="10">
        <f>X79</f>
        <v>0</v>
      </c>
      <c r="CA79" s="10">
        <f>Y79</f>
        <v>0</v>
      </c>
      <c r="CB79" s="109"/>
      <c r="CC79" s="109"/>
      <c r="CD79" s="109"/>
      <c r="CE79" s="109"/>
      <c r="CF79" s="109"/>
      <c r="CG79" s="109"/>
      <c r="CH79" s="109"/>
      <c r="CI79" s="109"/>
      <c r="CK79" s="11"/>
      <c r="CM79" s="11"/>
      <c r="CO79" s="7" cm="1">
        <f t="array" ref="CO79">SUMPRODUCT(--NOT(ISNUMBER(V79:CI79)),--NOT(ISBLANK(V79:CI79)))</f>
        <v>0</v>
      </c>
      <c r="CS79" s="7">
        <f>IF(SUM(V79:Y79)=SUM(BX79:CA79), 0, 1)</f>
        <v>0</v>
      </c>
      <c r="CT79" s="11"/>
      <c r="CU79">
        <v>0</v>
      </c>
      <c r="CV79">
        <v>1</v>
      </c>
      <c r="EY79" s="12" t="str">
        <f>IF($C79="","",CONCATENATE(D78," ",D79))</f>
        <v>Unrestricted Short-term Investments Closing Balance</v>
      </c>
    </row>
    <row r="80" spans="1:155" ht="8.25" customHeight="1" x14ac:dyDescent="0.35">
      <c r="C80" s="234"/>
      <c r="BY80" s="6"/>
      <c r="CK80" s="11"/>
      <c r="CM80" s="11"/>
      <c r="CT80" s="11"/>
      <c r="CU80">
        <v>0</v>
      </c>
      <c r="CV80">
        <v>0</v>
      </c>
      <c r="EY80" s="10" t="str">
        <f>IF($C80="","",$D80)</f>
        <v/>
      </c>
    </row>
    <row r="81" spans="1:155" x14ac:dyDescent="0.35">
      <c r="B81" s="5"/>
      <c r="C81" s="234"/>
      <c r="D81" s="24" t="s">
        <v>654</v>
      </c>
      <c r="BY81" s="6"/>
      <c r="BZ81" s="6"/>
      <c r="CK81" s="11"/>
      <c r="CM81" s="11"/>
      <c r="CT81" s="11"/>
      <c r="CU81">
        <v>0</v>
      </c>
      <c r="CV81">
        <v>0</v>
      </c>
      <c r="EY81" s="10" t="str">
        <f>IF($C81="","",$D81)</f>
        <v/>
      </c>
    </row>
    <row r="82" spans="1:155" x14ac:dyDescent="0.35">
      <c r="A82" s="220" cm="1">
        <f t="array" aca="1" ref="A82" ca="1">HYPERLINK(CONCATENATE("#",CELL("address",IF(MAX($CM82:$CT82)=0,A82,INDEX($CM82:$CT82,MATCH(1,$CM82:$CT82,0))))),MAX($CM82:$CT82))</f>
        <v>0</v>
      </c>
      <c r="C82" s="211" t="s">
        <v>1375</v>
      </c>
      <c r="D82" s="1" t="s">
        <v>901</v>
      </c>
      <c r="E82" s="33"/>
      <c r="G82" s="8"/>
      <c r="H82" s="9" t="s">
        <v>403</v>
      </c>
      <c r="V82" s="109"/>
      <c r="W82" s="133">
        <f xml:space="preserve"> SUMIFS($AA82:$BJ82, $AA$3:$BJ$3, W$3)</f>
        <v>0</v>
      </c>
      <c r="X82" s="133">
        <f xml:space="preserve"> SUMIFS($AA82:$BJ82, $AA$3:$BJ$3, X$3)</f>
        <v>0</v>
      </c>
      <c r="Y82" s="133">
        <f xml:space="preserve"> SUMIFS($AA82:$BJ82, $AA$3:$BJ$3, Y$3)</f>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2">
        <f>V82</f>
        <v>0</v>
      </c>
      <c r="BY82" s="12">
        <f>W82</f>
        <v>0</v>
      </c>
      <c r="BZ82" s="12">
        <f>X82</f>
        <v>0</v>
      </c>
      <c r="CA82" s="12">
        <f>Y82</f>
        <v>0</v>
      </c>
      <c r="CB82" s="109"/>
      <c r="CC82" s="109"/>
      <c r="CD82" s="109"/>
      <c r="CE82" s="109"/>
      <c r="CF82" s="109"/>
      <c r="CG82" s="109"/>
      <c r="CH82" s="109"/>
      <c r="CI82" s="109"/>
      <c r="CK82" s="11"/>
      <c r="CM82" s="11"/>
      <c r="CO82" s="7" cm="1">
        <f t="array" ref="CO82">SUMPRODUCT(--NOT(ISNUMBER(V82:CI82)),--NOT(ISBLANK(V82:CI82)))</f>
        <v>0</v>
      </c>
      <c r="CS82" s="7">
        <f>IF(SUM(V82:Y82)=SUM(BX82:CA82), 0, 1)</f>
        <v>0</v>
      </c>
      <c r="CT82" s="11"/>
      <c r="CU82">
        <v>1</v>
      </c>
      <c r="CV82">
        <v>1</v>
      </c>
      <c r="EY82" s="12" t="str">
        <f>IF($C82="","",CONCATENATE(D$81," ",D82))</f>
        <v>Unrestricted Cash and Cash Equivalents Movement due to mergers</v>
      </c>
    </row>
    <row r="83" spans="1:155" x14ac:dyDescent="0.35">
      <c r="A83" s="220" cm="1">
        <f t="array" aca="1" ref="A83" ca="1">HYPERLINK(CONCATENATE("#",CELL("address",IF(MAX($CM83:$CT83)=0,A83,INDEX($CM83:$CT83,MATCH(1,$CM83:$CT83,0))))),MAX($CM83:$CT83))</f>
        <v>0</v>
      </c>
      <c r="C83" s="213" t="str">
        <f>'Fin Stat'!$C$212</f>
        <v>IC-5</v>
      </c>
      <c r="D83" s="33" t="s">
        <v>906</v>
      </c>
      <c r="E83" s="33"/>
      <c r="G83" s="8"/>
      <c r="H83" s="9" t="s">
        <v>403</v>
      </c>
      <c r="V83" s="10">
        <f>'Fin Stat'!V212</f>
        <v>0</v>
      </c>
      <c r="W83" s="10">
        <f>'Fin Stat'!W212</f>
        <v>0</v>
      </c>
      <c r="X83" s="10">
        <f>'Fin Stat'!X212</f>
        <v>0</v>
      </c>
      <c r="Y83" s="10">
        <f>'Fin Stat'!Y212</f>
        <v>0</v>
      </c>
      <c r="AA83" s="10">
        <f>'Fin Stat'!AA212</f>
        <v>0</v>
      </c>
      <c r="AB83" s="10">
        <f>'Fin Stat'!AB212</f>
        <v>0</v>
      </c>
      <c r="AC83" s="10">
        <f>'Fin Stat'!AC212</f>
        <v>0</v>
      </c>
      <c r="AD83" s="10">
        <f>'Fin Stat'!AD212</f>
        <v>0</v>
      </c>
      <c r="AE83" s="10">
        <f>'Fin Stat'!AE212</f>
        <v>0</v>
      </c>
      <c r="AF83" s="10">
        <f>'Fin Stat'!AF212</f>
        <v>0</v>
      </c>
      <c r="AG83" s="10">
        <f>'Fin Stat'!AG212</f>
        <v>0</v>
      </c>
      <c r="AH83" s="10">
        <f>'Fin Stat'!AH212</f>
        <v>0</v>
      </c>
      <c r="AI83" s="10">
        <f>'Fin Stat'!AI212</f>
        <v>0</v>
      </c>
      <c r="AJ83" s="10">
        <f>'Fin Stat'!AJ212</f>
        <v>0</v>
      </c>
      <c r="AK83" s="10">
        <f>'Fin Stat'!AK212</f>
        <v>0</v>
      </c>
      <c r="AL83" s="10">
        <f>'Fin Stat'!AL212</f>
        <v>0</v>
      </c>
      <c r="AM83" s="10">
        <f>'Fin Stat'!AM212</f>
        <v>0</v>
      </c>
      <c r="AN83" s="10">
        <f>'Fin Stat'!AN212</f>
        <v>0</v>
      </c>
      <c r="AO83" s="10">
        <f>'Fin Stat'!AO212</f>
        <v>0</v>
      </c>
      <c r="AP83" s="10">
        <f>'Fin Stat'!AP212</f>
        <v>0</v>
      </c>
      <c r="AQ83" s="10">
        <f>'Fin Stat'!AQ212</f>
        <v>0</v>
      </c>
      <c r="AR83" s="10">
        <f>'Fin Stat'!AR212</f>
        <v>0</v>
      </c>
      <c r="AS83" s="10">
        <f>'Fin Stat'!AS212</f>
        <v>0</v>
      </c>
      <c r="AT83" s="10">
        <f>'Fin Stat'!AT212</f>
        <v>0</v>
      </c>
      <c r="AU83" s="10">
        <f>'Fin Stat'!AU212</f>
        <v>0</v>
      </c>
      <c r="AV83" s="10">
        <f>'Fin Stat'!AV212</f>
        <v>0</v>
      </c>
      <c r="AW83" s="10">
        <f>'Fin Stat'!AW212</f>
        <v>0</v>
      </c>
      <c r="AX83" s="10">
        <f>'Fin Stat'!AX212</f>
        <v>0</v>
      </c>
      <c r="AY83" s="10">
        <f>'Fin Stat'!AY212</f>
        <v>0</v>
      </c>
      <c r="AZ83" s="10">
        <f>'Fin Stat'!AZ212</f>
        <v>0</v>
      </c>
      <c r="BA83" s="10">
        <f>'Fin Stat'!BA212</f>
        <v>0</v>
      </c>
      <c r="BB83" s="10">
        <f>'Fin Stat'!BB212</f>
        <v>0</v>
      </c>
      <c r="BC83" s="10">
        <f>'Fin Stat'!BC212</f>
        <v>0</v>
      </c>
      <c r="BD83" s="10">
        <f>'Fin Stat'!BD212</f>
        <v>0</v>
      </c>
      <c r="BE83" s="10">
        <f>'Fin Stat'!BE212</f>
        <v>0</v>
      </c>
      <c r="BF83" s="10">
        <f>'Fin Stat'!BF212</f>
        <v>0</v>
      </c>
      <c r="BG83" s="10">
        <f>'Fin Stat'!BG212</f>
        <v>0</v>
      </c>
      <c r="BH83" s="10">
        <f>'Fin Stat'!BH212</f>
        <v>0</v>
      </c>
      <c r="BI83" s="10">
        <f>'Fin Stat'!BI212</f>
        <v>0</v>
      </c>
      <c r="BJ83" s="10">
        <f>'Fin Stat'!BJ212</f>
        <v>0</v>
      </c>
      <c r="BX83" s="10">
        <f>'Fin Stat'!BX212</f>
        <v>0</v>
      </c>
      <c r="BY83" s="10">
        <f>'Fin Stat'!BY212</f>
        <v>0</v>
      </c>
      <c r="BZ83" s="10">
        <f>'Fin Stat'!BZ212</f>
        <v>0</v>
      </c>
      <c r="CA83" s="10">
        <f>'Fin Stat'!CA212</f>
        <v>0</v>
      </c>
      <c r="CB83" s="10">
        <f>'Fin Stat'!CB212</f>
        <v>0</v>
      </c>
      <c r="CC83" s="10">
        <f>'Fin Stat'!CC212</f>
        <v>0</v>
      </c>
      <c r="CD83" s="10">
        <f>'Fin Stat'!CD212</f>
        <v>0</v>
      </c>
      <c r="CE83" s="10">
        <f>'Fin Stat'!CE212</f>
        <v>0</v>
      </c>
      <c r="CF83" s="10">
        <f>'Fin Stat'!CF212</f>
        <v>0</v>
      </c>
      <c r="CG83" s="10">
        <f>'Fin Stat'!CG212</f>
        <v>0</v>
      </c>
      <c r="CH83" s="10">
        <f>'Fin Stat'!CH212</f>
        <v>0</v>
      </c>
      <c r="CI83" s="10">
        <f>'Fin Stat'!CI212</f>
        <v>0</v>
      </c>
      <c r="CK83" s="11"/>
      <c r="CM83" s="11"/>
      <c r="CS83" s="7">
        <f>IF(SUM(V83:Y83)=SUM(BX83:CA83), 0, 1)</f>
        <v>0</v>
      </c>
      <c r="CT83" s="11"/>
      <c r="CU83">
        <v>0</v>
      </c>
      <c r="CV83">
        <v>0</v>
      </c>
      <c r="EY83" s="12" t="str">
        <f>IF($C83="","",CONCATENATE(D$81," ",D83))</f>
        <v>Unrestricted Cash and Cash Equivalents Closing Balance</v>
      </c>
    </row>
    <row r="84" spans="1:155" ht="8.25" customHeight="1" x14ac:dyDescent="0.35">
      <c r="C84" s="234"/>
      <c r="BY84" s="6"/>
      <c r="CK84" s="11"/>
      <c r="CM84" s="11"/>
      <c r="CT84" s="11"/>
      <c r="CU84">
        <v>0</v>
      </c>
      <c r="CV84">
        <v>0</v>
      </c>
      <c r="EY84" s="10" t="str">
        <f>IF($C84="","",$D84)</f>
        <v/>
      </c>
    </row>
    <row r="85" spans="1:155" x14ac:dyDescent="0.35">
      <c r="B85" s="5"/>
      <c r="C85" s="234"/>
      <c r="D85" s="24" t="s">
        <v>656</v>
      </c>
      <c r="BY85" s="6"/>
      <c r="BZ85" s="6"/>
      <c r="CK85" s="11"/>
      <c r="CM85" s="11"/>
      <c r="CT85" s="11"/>
      <c r="CU85">
        <v>0</v>
      </c>
      <c r="CV85">
        <v>0</v>
      </c>
      <c r="EY85" s="10" t="str">
        <f>IF($C85="","",$D85)</f>
        <v/>
      </c>
    </row>
    <row r="86" spans="1:155" x14ac:dyDescent="0.35">
      <c r="A86" s="220" cm="1">
        <f t="array" aca="1" ref="A86" ca="1">HYPERLINK(CONCATENATE("#",CELL("address",IF(MAX($CM86:$CT86)=0,A86,INDEX($CM86:$CT86,MATCH(1,$CM86:$CT86,0))))),MAX($CM86:$CT86))</f>
        <v>0</v>
      </c>
      <c r="C86" s="213" t="str">
        <f>REPLACE('Opening Balances'!$C$30, LEN('Opening Balances'!$C$30)-1, 1, "C")</f>
        <v>B-2j-CB</v>
      </c>
      <c r="D86" s="33" t="s">
        <v>906</v>
      </c>
      <c r="E86" s="33"/>
      <c r="G86" s="8"/>
      <c r="H86" s="9" t="s">
        <v>620</v>
      </c>
      <c r="V86" s="12">
        <f>'Opening Balances'!$W$30</f>
        <v>0</v>
      </c>
      <c r="W86" s="10">
        <f>INDEX($AA86:$BJ86, MATCH(W$5, $AA$5:$BJ$5))</f>
        <v>0</v>
      </c>
      <c r="X86" s="10">
        <f>INDEX($AA86:$BJ86, MATCH(X$5, $AA$5:$BJ$5))</f>
        <v>0</v>
      </c>
      <c r="Y86" s="10">
        <f>INDEX($AA86:$BJ86, MATCH(Y$5, $AA$5:$BJ$5))</f>
        <v>0</v>
      </c>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X86" s="10">
        <f>V86</f>
        <v>0</v>
      </c>
      <c r="BY86" s="10">
        <f>W86</f>
        <v>0</v>
      </c>
      <c r="BZ86" s="10">
        <f>X86</f>
        <v>0</v>
      </c>
      <c r="CA86" s="10">
        <f>Y86</f>
        <v>0</v>
      </c>
      <c r="CB86" s="109"/>
      <c r="CC86" s="109"/>
      <c r="CD86" s="109"/>
      <c r="CE86" s="109"/>
      <c r="CF86" s="109"/>
      <c r="CG86" s="109"/>
      <c r="CH86" s="109"/>
      <c r="CI86" s="109"/>
      <c r="CK86" s="11"/>
      <c r="CM86" s="11"/>
      <c r="CO86" s="7" cm="1">
        <f t="array" ref="CO86">SUMPRODUCT(--NOT(ISNUMBER(V86:CI86)),--NOT(ISBLANK(V86:CI86)))</f>
        <v>0</v>
      </c>
      <c r="CS86" s="7">
        <f>IF(SUM(V86:Y86)=SUM(BX86:CA86), 0, 1)</f>
        <v>0</v>
      </c>
      <c r="CT86" s="11"/>
      <c r="CU86">
        <v>0</v>
      </c>
      <c r="CV86">
        <v>1</v>
      </c>
      <c r="EY86" s="12" t="str">
        <f>IF($C86="","",CONCATENATE(D85," ",D86))</f>
        <v>Restricted Cash  Closing Balance</v>
      </c>
    </row>
    <row r="87" spans="1:155" ht="8.25" customHeight="1" x14ac:dyDescent="0.35">
      <c r="C87" s="234"/>
      <c r="D87"/>
      <c r="CK87" s="11"/>
      <c r="CM87" s="11"/>
      <c r="CT87" s="11"/>
      <c r="CU87">
        <v>0</v>
      </c>
      <c r="CV87">
        <v>0</v>
      </c>
      <c r="EY87" s="10" t="str">
        <f>IF($C87="","",$D87)</f>
        <v/>
      </c>
    </row>
    <row r="88" spans="1:155" x14ac:dyDescent="0.35">
      <c r="B88" s="5"/>
      <c r="C88" s="234"/>
      <c r="D88" s="24" t="s">
        <v>658</v>
      </c>
      <c r="BY88" s="6"/>
      <c r="BZ88" s="6"/>
      <c r="CK88" s="11"/>
      <c r="CM88" s="11"/>
      <c r="CT88" s="11"/>
      <c r="CU88">
        <v>0</v>
      </c>
      <c r="CV88">
        <v>0</v>
      </c>
      <c r="EY88" s="10" t="str">
        <f>IF($C88="","",$D88)</f>
        <v/>
      </c>
    </row>
    <row r="89" spans="1:155" x14ac:dyDescent="0.35">
      <c r="A89" s="220" cm="1">
        <f t="array" aca="1" ref="A89" ca="1">HYPERLINK(CONCATENATE("#",CELL("address",IF(MAX($CM89:$CT89)=0,A89,INDEX($CM89:$CT89,MATCH(1,$CM89:$CT89,0))))),MAX($CM89:$CT89))</f>
        <v>0</v>
      </c>
      <c r="C89" s="213" t="str">
        <f>REPLACE('Opening Balances'!$C$31, LEN('Opening Balances'!$C$31)-1, 1, "C")</f>
        <v>B-2k-CB</v>
      </c>
      <c r="D89" s="33" t="s">
        <v>906</v>
      </c>
      <c r="E89" s="33"/>
      <c r="G89" s="8"/>
      <c r="H89" s="9" t="s">
        <v>620</v>
      </c>
      <c r="V89" s="10">
        <f>'Investing Inputs'!V$159</f>
        <v>0</v>
      </c>
      <c r="W89" s="10">
        <f>'Investing Inputs'!W$159</f>
        <v>0</v>
      </c>
      <c r="X89" s="10">
        <f>'Investing Inputs'!X$159</f>
        <v>0</v>
      </c>
      <c r="Y89" s="10">
        <f>'Investing Inputs'!Y$159</f>
        <v>0</v>
      </c>
      <c r="AA89" s="10">
        <f>'Investing Inputs'!AA$159</f>
        <v>0</v>
      </c>
      <c r="AB89" s="10">
        <f>'Investing Inputs'!AB$159</f>
        <v>0</v>
      </c>
      <c r="AC89" s="10">
        <f>'Investing Inputs'!AC$159</f>
        <v>0</v>
      </c>
      <c r="AD89" s="10">
        <f>'Investing Inputs'!AD$159</f>
        <v>0</v>
      </c>
      <c r="AE89" s="10">
        <f>'Investing Inputs'!AE$159</f>
        <v>0</v>
      </c>
      <c r="AF89" s="10">
        <f>'Investing Inputs'!AF$159</f>
        <v>0</v>
      </c>
      <c r="AG89" s="10">
        <f>'Investing Inputs'!AG$159</f>
        <v>0</v>
      </c>
      <c r="AH89" s="10">
        <f>'Investing Inputs'!AH$159</f>
        <v>0</v>
      </c>
      <c r="AI89" s="10">
        <f>'Investing Inputs'!AI$159</f>
        <v>0</v>
      </c>
      <c r="AJ89" s="10">
        <f>'Investing Inputs'!AJ$159</f>
        <v>0</v>
      </c>
      <c r="AK89" s="10">
        <f>'Investing Inputs'!AK$159</f>
        <v>0</v>
      </c>
      <c r="AL89" s="10">
        <f>'Investing Inputs'!AL$159</f>
        <v>0</v>
      </c>
      <c r="AM89" s="10">
        <f>'Investing Inputs'!AM$159</f>
        <v>0</v>
      </c>
      <c r="AN89" s="10">
        <f>'Investing Inputs'!AN$159</f>
        <v>0</v>
      </c>
      <c r="AO89" s="10">
        <f>'Investing Inputs'!AO$159</f>
        <v>0</v>
      </c>
      <c r="AP89" s="10">
        <f>'Investing Inputs'!AP$159</f>
        <v>0</v>
      </c>
      <c r="AQ89" s="10">
        <f>'Investing Inputs'!AQ$159</f>
        <v>0</v>
      </c>
      <c r="AR89" s="10">
        <f>'Investing Inputs'!AR$159</f>
        <v>0</v>
      </c>
      <c r="AS89" s="10">
        <f>'Investing Inputs'!AS$159</f>
        <v>0</v>
      </c>
      <c r="AT89" s="10">
        <f>'Investing Inputs'!AT$159</f>
        <v>0</v>
      </c>
      <c r="AU89" s="10">
        <f>'Investing Inputs'!AU$159</f>
        <v>0</v>
      </c>
      <c r="AV89" s="10">
        <f>'Investing Inputs'!AV$159</f>
        <v>0</v>
      </c>
      <c r="AW89" s="10">
        <f>'Investing Inputs'!AW$159</f>
        <v>0</v>
      </c>
      <c r="AX89" s="10">
        <f>'Investing Inputs'!AX$159</f>
        <v>0</v>
      </c>
      <c r="AY89" s="10">
        <f>'Investing Inputs'!AY$159</f>
        <v>0</v>
      </c>
      <c r="AZ89" s="10">
        <f>'Investing Inputs'!AZ$159</f>
        <v>0</v>
      </c>
      <c r="BA89" s="10">
        <f>'Investing Inputs'!BA$159</f>
        <v>0</v>
      </c>
      <c r="BB89" s="10">
        <f>'Investing Inputs'!BB$159</f>
        <v>0</v>
      </c>
      <c r="BC89" s="10">
        <f>'Investing Inputs'!BC$159</f>
        <v>0</v>
      </c>
      <c r="BD89" s="10">
        <f>'Investing Inputs'!BD$159</f>
        <v>0</v>
      </c>
      <c r="BE89" s="10">
        <f>'Investing Inputs'!BE$159</f>
        <v>0</v>
      </c>
      <c r="BF89" s="10">
        <f>'Investing Inputs'!BF$159</f>
        <v>0</v>
      </c>
      <c r="BG89" s="10">
        <f>'Investing Inputs'!BG$159</f>
        <v>0</v>
      </c>
      <c r="BH89" s="10">
        <f>'Investing Inputs'!BH$159</f>
        <v>0</v>
      </c>
      <c r="BI89" s="10">
        <f>'Investing Inputs'!BI$159</f>
        <v>0</v>
      </c>
      <c r="BJ89" s="10">
        <f>'Investing Inputs'!BJ$159</f>
        <v>0</v>
      </c>
      <c r="BX89" s="10">
        <f>'Investing Inputs'!BX$159</f>
        <v>0</v>
      </c>
      <c r="BY89" s="10">
        <f>'Investing Inputs'!BY$159</f>
        <v>0</v>
      </c>
      <c r="BZ89" s="10">
        <f>'Investing Inputs'!BZ$159</f>
        <v>0</v>
      </c>
      <c r="CA89" s="10">
        <f>'Investing Inputs'!CA$159</f>
        <v>0</v>
      </c>
      <c r="CB89" s="10">
        <f>'Investing Inputs'!CB$159</f>
        <v>0</v>
      </c>
      <c r="CC89" s="10">
        <f>'Investing Inputs'!CC$159</f>
        <v>0</v>
      </c>
      <c r="CD89" s="10">
        <f>'Investing Inputs'!CD$159</f>
        <v>0</v>
      </c>
      <c r="CE89" s="10">
        <f>'Investing Inputs'!CE$159</f>
        <v>0</v>
      </c>
      <c r="CF89" s="10">
        <f>'Investing Inputs'!CF$159</f>
        <v>0</v>
      </c>
      <c r="CG89" s="10">
        <f>'Investing Inputs'!CG$159</f>
        <v>0</v>
      </c>
      <c r="CH89" s="10">
        <f>'Investing Inputs'!CH$159</f>
        <v>0</v>
      </c>
      <c r="CI89" s="10">
        <f>'Investing Inputs'!CI$159</f>
        <v>0</v>
      </c>
      <c r="CK89" s="11"/>
      <c r="CL89" s="221">
        <f>IF(MIN($V89:$CI89)&lt;0, 1, 0)</f>
        <v>0</v>
      </c>
      <c r="CM89" s="11"/>
      <c r="CT89" s="11"/>
      <c r="CU89">
        <v>0</v>
      </c>
      <c r="CV89">
        <v>0</v>
      </c>
      <c r="EY89" s="12" t="str">
        <f>IF($C89="","",CONCATENATE(D88," ",D89))</f>
        <v>Non-current asset debtors due within one year Closing Balance</v>
      </c>
    </row>
    <row r="90" spans="1:155" ht="8.25" customHeight="1" x14ac:dyDescent="0.35">
      <c r="C90" s="234"/>
      <c r="BY90" s="6"/>
      <c r="CK90" s="11"/>
      <c r="CM90" s="11"/>
      <c r="CT90" s="11"/>
      <c r="CU90">
        <v>0</v>
      </c>
      <c r="CV90">
        <v>0</v>
      </c>
      <c r="EY90" s="10" t="str">
        <f>IF($C90="","",$D90)</f>
        <v/>
      </c>
    </row>
    <row r="91" spans="1:155" x14ac:dyDescent="0.35">
      <c r="A91" s="34"/>
      <c r="B91" s="34"/>
      <c r="C91" s="231"/>
      <c r="D91" s="34" t="s">
        <v>661</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W91" s="34"/>
      <c r="BX91" s="34"/>
      <c r="BY91" s="34"/>
      <c r="BZ91" s="34"/>
      <c r="CA91" s="34"/>
      <c r="CB91" s="34"/>
      <c r="CC91" s="34"/>
      <c r="CD91" s="34"/>
      <c r="CE91" s="34"/>
      <c r="CF91" s="34"/>
      <c r="CG91" s="34"/>
      <c r="CH91" s="34"/>
      <c r="CI91" s="34"/>
      <c r="CJ91" s="34"/>
      <c r="CK91" s="11"/>
      <c r="CM91" s="11"/>
      <c r="CT91" s="11"/>
      <c r="CU91">
        <v>0</v>
      </c>
      <c r="CV91">
        <v>0</v>
      </c>
      <c r="EY91" s="10" t="str">
        <f>IF($C91="","",$D91)</f>
        <v/>
      </c>
    </row>
    <row r="92" spans="1:155" ht="8.25" customHeight="1" x14ac:dyDescent="0.35">
      <c r="C92" s="234"/>
      <c r="BY92" s="6"/>
      <c r="CK92" s="11"/>
      <c r="CM92" s="11"/>
      <c r="CT92" s="11"/>
      <c r="CU92">
        <v>0</v>
      </c>
      <c r="CV92">
        <v>0</v>
      </c>
      <c r="CW92">
        <v>0</v>
      </c>
      <c r="EY92" s="10" t="str">
        <f>IF($C92="","",$D92)</f>
        <v/>
      </c>
    </row>
    <row r="93" spans="1:155" x14ac:dyDescent="0.35">
      <c r="B93" s="5"/>
      <c r="C93" s="234"/>
      <c r="D93" s="24" t="s">
        <v>664</v>
      </c>
      <c r="CK93" s="11"/>
      <c r="CM93" s="11"/>
      <c r="CT93" s="11"/>
      <c r="CU93">
        <v>0</v>
      </c>
      <c r="CV93">
        <v>0</v>
      </c>
      <c r="CW93">
        <v>0</v>
      </c>
      <c r="EY93" s="10" t="str">
        <f>IF($C93="","",$D93)</f>
        <v/>
      </c>
    </row>
    <row r="94" spans="1:155" x14ac:dyDescent="0.35">
      <c r="A94" s="220" cm="1">
        <f t="array" aca="1" ref="A94" ca="1">HYPERLINK(CONCATENATE("#",CELL("address",IF(MAX($CM94:$CT94)=0,A94,INDEX($CM94:$CT94,MATCH(1,$CM94:$CT94,0))))),MAX($CM94:$CT94))</f>
        <v>0</v>
      </c>
      <c r="C94" s="213" t="str">
        <f>REPLACE('Opening Balances'!$C$37, LEN('Opening Balances'!$C$37)-1, 1, "C")</f>
        <v>B-3a-CB</v>
      </c>
      <c r="D94" t="s">
        <v>1376</v>
      </c>
      <c r="G94" s="8"/>
      <c r="H94" s="9" t="s">
        <v>665</v>
      </c>
      <c r="V94" s="133">
        <f>Loans!V$1093</f>
        <v>0</v>
      </c>
      <c r="W94" s="133">
        <f>Loans!W$1093</f>
        <v>0</v>
      </c>
      <c r="X94" s="133">
        <f>Loans!X$1093</f>
        <v>0</v>
      </c>
      <c r="Y94" s="133">
        <f>Loans!Y$1093</f>
        <v>0</v>
      </c>
      <c r="AA94" s="133">
        <f>Loans!AA$1093</f>
        <v>0</v>
      </c>
      <c r="AB94" s="133">
        <f>Loans!AB$1093</f>
        <v>0</v>
      </c>
      <c r="AC94" s="133">
        <f>Loans!AC$1093</f>
        <v>0</v>
      </c>
      <c r="AD94" s="133">
        <f>Loans!AD$1093</f>
        <v>0</v>
      </c>
      <c r="AE94" s="133">
        <f>Loans!AE$1093</f>
        <v>0</v>
      </c>
      <c r="AF94" s="133">
        <f>Loans!AF$1093</f>
        <v>0</v>
      </c>
      <c r="AG94" s="133">
        <f>Loans!AG$1093</f>
        <v>0</v>
      </c>
      <c r="AH94" s="133">
        <f>Loans!AH$1093</f>
        <v>0</v>
      </c>
      <c r="AI94" s="133">
        <f>Loans!AI$1093</f>
        <v>0</v>
      </c>
      <c r="AJ94" s="133">
        <f>Loans!AJ$1093</f>
        <v>0</v>
      </c>
      <c r="AK94" s="133">
        <f>Loans!AK$1093</f>
        <v>0</v>
      </c>
      <c r="AL94" s="133">
        <f>Loans!AL$1093</f>
        <v>0</v>
      </c>
      <c r="AM94" s="133">
        <f>Loans!AM$1093</f>
        <v>0</v>
      </c>
      <c r="AN94" s="133">
        <f>Loans!AN$1093</f>
        <v>0</v>
      </c>
      <c r="AO94" s="133">
        <f>Loans!AO$1093</f>
        <v>0</v>
      </c>
      <c r="AP94" s="133">
        <f>Loans!AP$1093</f>
        <v>0</v>
      </c>
      <c r="AQ94" s="133">
        <f>Loans!AQ$1093</f>
        <v>0</v>
      </c>
      <c r="AR94" s="133">
        <f>Loans!AR$1093</f>
        <v>0</v>
      </c>
      <c r="AS94" s="133">
        <f>Loans!AS$1093</f>
        <v>0</v>
      </c>
      <c r="AT94" s="133">
        <f>Loans!AT$1093</f>
        <v>0</v>
      </c>
      <c r="AU94" s="133">
        <f>Loans!AU$1093</f>
        <v>0</v>
      </c>
      <c r="AV94" s="133">
        <f>Loans!AV$1093</f>
        <v>0</v>
      </c>
      <c r="AW94" s="133">
        <f>Loans!AW$1093</f>
        <v>0</v>
      </c>
      <c r="AX94" s="133">
        <f>Loans!AX$1093</f>
        <v>0</v>
      </c>
      <c r="AY94" s="133">
        <f>Loans!AY$1093</f>
        <v>0</v>
      </c>
      <c r="AZ94" s="133">
        <f>Loans!AZ$1093</f>
        <v>0</v>
      </c>
      <c r="BA94" s="133">
        <f>Loans!BA$1093</f>
        <v>0</v>
      </c>
      <c r="BB94" s="133">
        <f>Loans!BB$1093</f>
        <v>0</v>
      </c>
      <c r="BC94" s="133">
        <f>Loans!BC$1093</f>
        <v>0</v>
      </c>
      <c r="BD94" s="133">
        <f>Loans!BD$1093</f>
        <v>0</v>
      </c>
      <c r="BE94" s="133">
        <f>Loans!BE$1093</f>
        <v>0</v>
      </c>
      <c r="BF94" s="133">
        <f>Loans!BF$1093</f>
        <v>0</v>
      </c>
      <c r="BG94" s="133">
        <f>Loans!BG$1093</f>
        <v>0</v>
      </c>
      <c r="BH94" s="133">
        <f>Loans!BH$1093</f>
        <v>0</v>
      </c>
      <c r="BI94" s="133">
        <f>Loans!BI$1093</f>
        <v>0</v>
      </c>
      <c r="BJ94" s="133">
        <f>Loans!BJ$1093</f>
        <v>0</v>
      </c>
      <c r="BX94" s="133">
        <f>Loans!BX$1093</f>
        <v>0</v>
      </c>
      <c r="BY94" s="133">
        <f>Loans!BY$1093</f>
        <v>0</v>
      </c>
      <c r="BZ94" s="133">
        <f>Loans!BZ$1093</f>
        <v>0</v>
      </c>
      <c r="CA94" s="133">
        <f>Loans!CA$1093</f>
        <v>0</v>
      </c>
      <c r="CB94" s="133">
        <f>Loans!CB$1093</f>
        <v>0</v>
      </c>
      <c r="CC94" s="133">
        <f>Loans!CC$1093</f>
        <v>0</v>
      </c>
      <c r="CD94" s="133">
        <f>Loans!CD$1093</f>
        <v>0</v>
      </c>
      <c r="CE94" s="133">
        <f>Loans!CE$1093</f>
        <v>0</v>
      </c>
      <c r="CF94" s="133">
        <f>Loans!CF$1093</f>
        <v>0</v>
      </c>
      <c r="CG94" s="133">
        <f>Loans!CG$1093</f>
        <v>0</v>
      </c>
      <c r="CH94" s="133">
        <f>Loans!CH$1093</f>
        <v>0</v>
      </c>
      <c r="CI94" s="133">
        <f>Loans!CI$1093</f>
        <v>0</v>
      </c>
      <c r="CK94" s="11"/>
      <c r="CM94" s="11"/>
      <c r="CS94" s="7">
        <f>IF(SUM(V94:Y94)=SUM(BX94:CA94), 0, 1)</f>
        <v>0</v>
      </c>
      <c r="CT94" s="11"/>
      <c r="CU94">
        <v>0</v>
      </c>
      <c r="CV94">
        <v>0</v>
      </c>
      <c r="CW94" s="1">
        <v>1</v>
      </c>
      <c r="EY94" s="12" t="str">
        <f>IF($C94="","",CONCATENATE(D93," ",D94))</f>
        <v>Overdrafts Closing overdraft balance</v>
      </c>
    </row>
    <row r="95" spans="1:155" ht="8.25" customHeight="1" x14ac:dyDescent="0.35">
      <c r="C95" s="234"/>
      <c r="CK95" s="11"/>
      <c r="CM95" s="11"/>
      <c r="CT95" s="11"/>
      <c r="CU95">
        <v>0</v>
      </c>
      <c r="CV95">
        <v>0</v>
      </c>
      <c r="CW95">
        <v>0</v>
      </c>
      <c r="EY95" s="10" t="str">
        <f>IF($C95="","",$D95)</f>
        <v/>
      </c>
    </row>
    <row r="96" spans="1:155" x14ac:dyDescent="0.35">
      <c r="B96" s="5"/>
      <c r="C96" s="234"/>
      <c r="D96" s="24" t="s">
        <v>667</v>
      </c>
      <c r="CK96" s="11"/>
      <c r="CM96" s="11"/>
      <c r="CT96" s="11"/>
      <c r="CU96">
        <v>0</v>
      </c>
      <c r="CV96">
        <v>0</v>
      </c>
      <c r="CW96">
        <v>0</v>
      </c>
      <c r="EY96" s="10" t="str">
        <f>IF($C96="","",$D96)</f>
        <v/>
      </c>
    </row>
    <row r="97" spans="1:155" x14ac:dyDescent="0.35">
      <c r="A97" s="220" cm="1">
        <f t="array" aca="1" ref="A97" ca="1">HYPERLINK(CONCATENATE("#",CELL("address",IF(MAX($CM97:$CT97)=0,A97,INDEX($CM97:$CT97,MATCH(1,$CM97:$CT97,0))))),MAX($CM97:$CT97))</f>
        <v>0</v>
      </c>
      <c r="C97" s="211" t="s">
        <v>1377</v>
      </c>
      <c r="D97" t="s">
        <v>1378</v>
      </c>
      <c r="G97" s="8"/>
      <c r="H97" s="9" t="s">
        <v>665</v>
      </c>
      <c r="V97" s="133">
        <f>Loans!V$1094</f>
        <v>0</v>
      </c>
      <c r="W97" s="133">
        <f>Loans!W$1094</f>
        <v>0</v>
      </c>
      <c r="X97" s="133">
        <f>Loans!X$1094</f>
        <v>0</v>
      </c>
      <c r="Y97" s="133">
        <f>Loans!Y$1094</f>
        <v>0</v>
      </c>
      <c r="AA97" s="133">
        <f>Loans!AA$1094</f>
        <v>0</v>
      </c>
      <c r="AB97" s="133">
        <f>Loans!AB$1094</f>
        <v>0</v>
      </c>
      <c r="AC97" s="133">
        <f>Loans!AC$1094</f>
        <v>0</v>
      </c>
      <c r="AD97" s="133">
        <f>Loans!AD$1094</f>
        <v>0</v>
      </c>
      <c r="AE97" s="133">
        <f>Loans!AE$1094</f>
        <v>0</v>
      </c>
      <c r="AF97" s="133">
        <f>Loans!AF$1094</f>
        <v>0</v>
      </c>
      <c r="AG97" s="133">
        <f>Loans!AG$1094</f>
        <v>0</v>
      </c>
      <c r="AH97" s="133">
        <f>Loans!AH$1094</f>
        <v>0</v>
      </c>
      <c r="AI97" s="133">
        <f>Loans!AI$1094</f>
        <v>0</v>
      </c>
      <c r="AJ97" s="133">
        <f>Loans!AJ$1094</f>
        <v>0</v>
      </c>
      <c r="AK97" s="133">
        <f>Loans!AK$1094</f>
        <v>0</v>
      </c>
      <c r="AL97" s="133">
        <f>Loans!AL$1094</f>
        <v>0</v>
      </c>
      <c r="AM97" s="133">
        <f>Loans!AM$1094</f>
        <v>0</v>
      </c>
      <c r="AN97" s="133">
        <f>Loans!AN$1094</f>
        <v>0</v>
      </c>
      <c r="AO97" s="133">
        <f>Loans!AO$1094</f>
        <v>0</v>
      </c>
      <c r="AP97" s="133">
        <f>Loans!AP$1094</f>
        <v>0</v>
      </c>
      <c r="AQ97" s="133">
        <f>Loans!AQ$1094</f>
        <v>0</v>
      </c>
      <c r="AR97" s="133">
        <f>Loans!AR$1094</f>
        <v>0</v>
      </c>
      <c r="AS97" s="133">
        <f>Loans!AS$1094</f>
        <v>0</v>
      </c>
      <c r="AT97" s="133">
        <f>Loans!AT$1094</f>
        <v>0</v>
      </c>
      <c r="AU97" s="133">
        <f>Loans!AU$1094</f>
        <v>0</v>
      </c>
      <c r="AV97" s="133">
        <f>Loans!AV$1094</f>
        <v>0</v>
      </c>
      <c r="AW97" s="133">
        <f>Loans!AW$1094</f>
        <v>0</v>
      </c>
      <c r="AX97" s="133">
        <f>Loans!AX$1094</f>
        <v>0</v>
      </c>
      <c r="AY97" s="133">
        <f>Loans!AY$1094</f>
        <v>0</v>
      </c>
      <c r="AZ97" s="133">
        <f>Loans!AZ$1094</f>
        <v>0</v>
      </c>
      <c r="BA97" s="133">
        <f>Loans!BA$1094</f>
        <v>0</v>
      </c>
      <c r="BB97" s="133">
        <f>Loans!BB$1094</f>
        <v>0</v>
      </c>
      <c r="BC97" s="133">
        <f>Loans!BC$1094</f>
        <v>0</v>
      </c>
      <c r="BD97" s="133">
        <f>Loans!BD$1094</f>
        <v>0</v>
      </c>
      <c r="BE97" s="133">
        <f>Loans!BE$1094</f>
        <v>0</v>
      </c>
      <c r="BF97" s="133">
        <f>Loans!BF$1094</f>
        <v>0</v>
      </c>
      <c r="BG97" s="133">
        <f>Loans!BG$1094</f>
        <v>0</v>
      </c>
      <c r="BH97" s="133">
        <f>Loans!BH$1094</f>
        <v>0</v>
      </c>
      <c r="BI97" s="133">
        <f>Loans!BI$1094</f>
        <v>0</v>
      </c>
      <c r="BJ97" s="133">
        <f>Loans!BJ$1094</f>
        <v>0</v>
      </c>
      <c r="BX97" s="133">
        <f>Loans!BX$1094</f>
        <v>0</v>
      </c>
      <c r="BY97" s="133">
        <f>Loans!BY$1094</f>
        <v>0</v>
      </c>
      <c r="BZ97" s="133">
        <f>Loans!BZ$1094</f>
        <v>0</v>
      </c>
      <c r="CA97" s="133">
        <f>Loans!CA$1094</f>
        <v>0</v>
      </c>
      <c r="CB97" s="133">
        <f>Loans!CB$1094</f>
        <v>0</v>
      </c>
      <c r="CC97" s="133">
        <f>Loans!CC$1094</f>
        <v>0</v>
      </c>
      <c r="CD97" s="133">
        <f>Loans!CD$1094</f>
        <v>0</v>
      </c>
      <c r="CE97" s="133">
        <f>Loans!CE$1094</f>
        <v>0</v>
      </c>
      <c r="CF97" s="133">
        <f>Loans!CF$1094</f>
        <v>0</v>
      </c>
      <c r="CG97" s="133">
        <f>Loans!CG$1094</f>
        <v>0</v>
      </c>
      <c r="CH97" s="133">
        <f>Loans!CH$1094</f>
        <v>0</v>
      </c>
      <c r="CI97" s="133">
        <f>Loans!CI$1094</f>
        <v>0</v>
      </c>
      <c r="CK97" s="11"/>
      <c r="CM97" s="11"/>
      <c r="CS97" s="7">
        <f>IF(SUM(V97:Y97)=SUM(BX97:CA97), 0, 1)</f>
        <v>0</v>
      </c>
      <c r="CT97" s="11"/>
      <c r="CU97">
        <v>0</v>
      </c>
      <c r="CV97">
        <v>0</v>
      </c>
      <c r="CW97" s="1">
        <v>1</v>
      </c>
      <c r="EY97" s="12" t="str">
        <f>IF($C97="","",CONCATENATE(D$96," ",D97))</f>
        <v>Loans (DfE/ESFA) Closing loan capital balance</v>
      </c>
    </row>
    <row r="98" spans="1:155" ht="8.25" customHeight="1" x14ac:dyDescent="0.35">
      <c r="C98" s="234"/>
      <c r="CK98" s="11"/>
      <c r="CM98" s="11"/>
      <c r="CT98" s="11"/>
      <c r="CU98">
        <v>0</v>
      </c>
      <c r="CV98">
        <v>0</v>
      </c>
      <c r="CW98">
        <v>0</v>
      </c>
      <c r="EY98" s="10" t="str">
        <f>IF($C98="","",$D98)</f>
        <v/>
      </c>
    </row>
    <row r="99" spans="1:155" x14ac:dyDescent="0.35">
      <c r="A99" s="220" cm="1">
        <f t="array" aca="1" ref="A99" ca="1">HYPERLINK(CONCATENATE("#",CELL("address",IF(MAX($CM99:$CT99)=0,A99,INDEX($CM99:$CT99,MATCH(1,$CM99:$CT99,0))))),MAX($CM99:$CT99))</f>
        <v>0</v>
      </c>
      <c r="C99" s="213" t="str">
        <f>REPLACE('Opening Balances'!$C$38, LEN('Opening Balances'!$C$38)-1, 1, "C")</f>
        <v>B-3b-CB</v>
      </c>
      <c r="D99" s="1" t="s">
        <v>1379</v>
      </c>
      <c r="G99" s="8"/>
      <c r="H99" s="9" t="s">
        <v>665</v>
      </c>
      <c r="V99" s="12">
        <f>'Opening Balances'!$W$38</f>
        <v>0</v>
      </c>
      <c r="W99" s="10">
        <f>Loans!W$1100</f>
        <v>0</v>
      </c>
      <c r="X99" s="10">
        <f>Loans!X$1100</f>
        <v>0</v>
      </c>
      <c r="Y99" s="10">
        <f>Loans!Y$1100</f>
        <v>0</v>
      </c>
      <c r="AA99" s="10">
        <f>Loans!AA$1100</f>
        <v>0</v>
      </c>
      <c r="AB99" s="10">
        <f>Loans!AB$1100</f>
        <v>0</v>
      </c>
      <c r="AC99" s="10">
        <f>Loans!AC$1100</f>
        <v>0</v>
      </c>
      <c r="AD99" s="10">
        <f>Loans!AD$1100</f>
        <v>0</v>
      </c>
      <c r="AE99" s="10">
        <f>Loans!AE$1100</f>
        <v>0</v>
      </c>
      <c r="AF99" s="10">
        <f>Loans!AF$1100</f>
        <v>0</v>
      </c>
      <c r="AG99" s="10">
        <f>Loans!AG$1100</f>
        <v>0</v>
      </c>
      <c r="AH99" s="10">
        <f>Loans!AH$1100</f>
        <v>0</v>
      </c>
      <c r="AI99" s="10">
        <f>Loans!AI$1100</f>
        <v>0</v>
      </c>
      <c r="AJ99" s="10">
        <f>Loans!AJ$1100</f>
        <v>0</v>
      </c>
      <c r="AK99" s="10">
        <f>Loans!AK$1100</f>
        <v>0</v>
      </c>
      <c r="AL99" s="10">
        <f>Loans!AL$1100</f>
        <v>0</v>
      </c>
      <c r="AM99" s="10">
        <f>Loans!AM$1100</f>
        <v>0</v>
      </c>
      <c r="AN99" s="10">
        <f>Loans!AN$1100</f>
        <v>0</v>
      </c>
      <c r="AO99" s="10">
        <f>Loans!AO$1100</f>
        <v>0</v>
      </c>
      <c r="AP99" s="10">
        <f>Loans!AP$1100</f>
        <v>0</v>
      </c>
      <c r="AQ99" s="10">
        <f>Loans!AQ$1100</f>
        <v>0</v>
      </c>
      <c r="AR99" s="10">
        <f>Loans!AR$1100</f>
        <v>0</v>
      </c>
      <c r="AS99" s="10">
        <f>Loans!AS$1100</f>
        <v>0</v>
      </c>
      <c r="AT99" s="10">
        <f>Loans!AT$1100</f>
        <v>0</v>
      </c>
      <c r="AU99" s="10">
        <f>Loans!AU$1100</f>
        <v>0</v>
      </c>
      <c r="AV99" s="10">
        <f>Loans!AV$1100</f>
        <v>0</v>
      </c>
      <c r="AW99" s="10">
        <f>Loans!AW$1100</f>
        <v>0</v>
      </c>
      <c r="AX99" s="10">
        <f>Loans!AX$1100</f>
        <v>0</v>
      </c>
      <c r="AY99" s="10">
        <f>Loans!AY$1100</f>
        <v>0</v>
      </c>
      <c r="AZ99" s="10">
        <f>Loans!AZ$1100</f>
        <v>0</v>
      </c>
      <c r="BA99" s="10">
        <f>Loans!BA$1100</f>
        <v>0</v>
      </c>
      <c r="BB99" s="10">
        <f>Loans!BB$1100</f>
        <v>0</v>
      </c>
      <c r="BC99" s="10">
        <f>Loans!BC$1100</f>
        <v>0</v>
      </c>
      <c r="BD99" s="10">
        <f>Loans!BD$1100</f>
        <v>0</v>
      </c>
      <c r="BE99" s="10">
        <f>Loans!BE$1100</f>
        <v>0</v>
      </c>
      <c r="BF99" s="10">
        <f>Loans!BF$1100</f>
        <v>0</v>
      </c>
      <c r="BG99" s="10">
        <f>Loans!BG$1100</f>
        <v>0</v>
      </c>
      <c r="BH99" s="10">
        <f>Loans!BH$1100</f>
        <v>0</v>
      </c>
      <c r="BI99" s="10">
        <f>Loans!BI$1100</f>
        <v>0</v>
      </c>
      <c r="BJ99" s="10">
        <f>Loans!BJ$1100</f>
        <v>0</v>
      </c>
      <c r="BX99" s="10">
        <f>Loans!BX$1100</f>
        <v>0</v>
      </c>
      <c r="BY99" s="10">
        <f>Loans!BY$1100</f>
        <v>0</v>
      </c>
      <c r="BZ99" s="10">
        <f>Loans!BZ$1100</f>
        <v>0</v>
      </c>
      <c r="CA99" s="10">
        <f>Loans!CA$1100</f>
        <v>0</v>
      </c>
      <c r="CB99" s="109"/>
      <c r="CC99" s="109"/>
      <c r="CD99" s="109"/>
      <c r="CE99" s="109"/>
      <c r="CF99" s="109"/>
      <c r="CG99" s="109"/>
      <c r="CH99" s="109"/>
      <c r="CI99" s="109"/>
      <c r="CK99" s="11"/>
      <c r="CM99" s="11"/>
      <c r="CO99" s="7" cm="1">
        <f t="array" ref="CO99">SUMPRODUCT(--NOT(ISNUMBER(V99:CI99)),--NOT(ISBLANK(V99:CI99)))</f>
        <v>0</v>
      </c>
      <c r="CS99" s="7">
        <f>IF(SUM(V99:Y99)=SUM(BX99:CA99), 0, 1)</f>
        <v>0</v>
      </c>
      <c r="CT99" s="11"/>
      <c r="CU99">
        <v>0</v>
      </c>
      <c r="CV99">
        <v>1</v>
      </c>
      <c r="CW99">
        <v>0</v>
      </c>
      <c r="EY99" s="12" t="str">
        <f>IF($C99="","",CONCATENATE(D$96," ",D99))</f>
        <v>Loans (DfE/ESFA) Amount due in one year</v>
      </c>
    </row>
    <row r="100" spans="1:155" x14ac:dyDescent="0.35">
      <c r="A100" s="220" cm="1">
        <f t="array" aca="1" ref="A100" ca="1">HYPERLINK(CONCATENATE("#",CELL("address",IF(MAX($CM100:$CT100)=0,A100,INDEX($CM100:$CT100,MATCH(1,$CM100:$CT100,0))))),MAX($CM100:$CT100))</f>
        <v>0</v>
      </c>
      <c r="C100" s="213" t="str">
        <f>REPLACE('Opening Balances'!$C$60, LEN('Opening Balances'!$C$60)-1, 1, "C")</f>
        <v>B-6a-CB</v>
      </c>
      <c r="D100" s="1" t="s">
        <v>1380</v>
      </c>
      <c r="G100" s="8"/>
      <c r="H100" s="9" t="s">
        <v>665</v>
      </c>
      <c r="V100" s="10">
        <f>V97-V99</f>
        <v>0</v>
      </c>
      <c r="W100" s="10">
        <f>W97-W99</f>
        <v>0</v>
      </c>
      <c r="X100" s="10">
        <f>X97-X99</f>
        <v>0</v>
      </c>
      <c r="Y100" s="10">
        <f>Y97-Y99</f>
        <v>0</v>
      </c>
      <c r="AA100" s="10">
        <f t="shared" ref="AA100:BJ100" si="22">AA97-AA99</f>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c r="AL100" s="10">
        <f t="shared" si="22"/>
        <v>0</v>
      </c>
      <c r="AM100" s="10">
        <f t="shared" si="22"/>
        <v>0</v>
      </c>
      <c r="AN100" s="10">
        <f t="shared" si="22"/>
        <v>0</v>
      </c>
      <c r="AO100" s="10">
        <f t="shared" si="22"/>
        <v>0</v>
      </c>
      <c r="AP100" s="10">
        <f t="shared" si="22"/>
        <v>0</v>
      </c>
      <c r="AQ100" s="10">
        <f t="shared" si="22"/>
        <v>0</v>
      </c>
      <c r="AR100" s="10">
        <f t="shared" si="22"/>
        <v>0</v>
      </c>
      <c r="AS100" s="10">
        <f t="shared" si="22"/>
        <v>0</v>
      </c>
      <c r="AT100" s="10">
        <f t="shared" si="22"/>
        <v>0</v>
      </c>
      <c r="AU100" s="10">
        <f t="shared" si="22"/>
        <v>0</v>
      </c>
      <c r="AV100" s="10">
        <f t="shared" si="22"/>
        <v>0</v>
      </c>
      <c r="AW100" s="10">
        <f t="shared" si="22"/>
        <v>0</v>
      </c>
      <c r="AX100" s="10">
        <f t="shared" si="22"/>
        <v>0</v>
      </c>
      <c r="AY100" s="10">
        <f t="shared" si="22"/>
        <v>0</v>
      </c>
      <c r="AZ100" s="10">
        <f t="shared" si="22"/>
        <v>0</v>
      </c>
      <c r="BA100" s="10">
        <f t="shared" si="22"/>
        <v>0</v>
      </c>
      <c r="BB100" s="10">
        <f t="shared" si="22"/>
        <v>0</v>
      </c>
      <c r="BC100" s="10">
        <f t="shared" si="22"/>
        <v>0</v>
      </c>
      <c r="BD100" s="10">
        <f t="shared" si="22"/>
        <v>0</v>
      </c>
      <c r="BE100" s="10">
        <f t="shared" si="22"/>
        <v>0</v>
      </c>
      <c r="BF100" s="10">
        <f t="shared" si="22"/>
        <v>0</v>
      </c>
      <c r="BG100" s="10">
        <f t="shared" si="22"/>
        <v>0</v>
      </c>
      <c r="BH100" s="10">
        <f t="shared" si="22"/>
        <v>0</v>
      </c>
      <c r="BI100" s="10">
        <f t="shared" si="22"/>
        <v>0</v>
      </c>
      <c r="BJ100" s="10">
        <f t="shared" si="22"/>
        <v>0</v>
      </c>
      <c r="BX100" s="10">
        <f t="shared" ref="BX100:CI100" si="23">BX97-BX99</f>
        <v>0</v>
      </c>
      <c r="BY100" s="10">
        <f t="shared" si="23"/>
        <v>0</v>
      </c>
      <c r="BZ100" s="10">
        <f t="shared" si="23"/>
        <v>0</v>
      </c>
      <c r="CA100" s="10">
        <f t="shared" si="23"/>
        <v>0</v>
      </c>
      <c r="CB100" s="10">
        <f t="shared" si="23"/>
        <v>0</v>
      </c>
      <c r="CC100" s="10">
        <f t="shared" si="23"/>
        <v>0</v>
      </c>
      <c r="CD100" s="10">
        <f t="shared" si="23"/>
        <v>0</v>
      </c>
      <c r="CE100" s="10">
        <f t="shared" si="23"/>
        <v>0</v>
      </c>
      <c r="CF100" s="10">
        <f t="shared" si="23"/>
        <v>0</v>
      </c>
      <c r="CG100" s="10">
        <f t="shared" si="23"/>
        <v>0</v>
      </c>
      <c r="CH100" s="10">
        <f t="shared" si="23"/>
        <v>0</v>
      </c>
      <c r="CI100" s="10">
        <f t="shared" si="23"/>
        <v>0</v>
      </c>
      <c r="CK100" s="11"/>
      <c r="CM100" s="11"/>
      <c r="CS100" s="7">
        <f>IF(SUM(V100:Y100)=SUM(BX100:CA100), 0, 1)</f>
        <v>0</v>
      </c>
      <c r="CT100" s="11"/>
      <c r="CU100">
        <v>0</v>
      </c>
      <c r="CV100">
        <v>0</v>
      </c>
      <c r="CW100">
        <v>0</v>
      </c>
      <c r="EY100" s="12" t="str">
        <f>IF($C100="","",CONCATENATE(D$96," ",D100))</f>
        <v>Loans (DfE/ESFA) Amount due after one year</v>
      </c>
    </row>
    <row r="101" spans="1:155" ht="8.25" customHeight="1" x14ac:dyDescent="0.35">
      <c r="C101" s="234"/>
      <c r="CK101" s="11"/>
      <c r="CM101" s="11"/>
      <c r="CT101" s="11"/>
      <c r="CU101">
        <v>0</v>
      </c>
      <c r="CV101">
        <v>0</v>
      </c>
      <c r="CW101">
        <v>0</v>
      </c>
      <c r="EY101" s="10" t="str">
        <f>IF($C101="","",$D101)</f>
        <v/>
      </c>
    </row>
    <row r="102" spans="1:155" x14ac:dyDescent="0.35">
      <c r="B102" s="5"/>
      <c r="C102" s="234"/>
      <c r="D102" s="24" t="s">
        <v>669</v>
      </c>
      <c r="CK102" s="11"/>
      <c r="CM102" s="11"/>
      <c r="CT102" s="11"/>
      <c r="CU102">
        <v>0</v>
      </c>
      <c r="CV102">
        <v>0</v>
      </c>
      <c r="CW102">
        <v>0</v>
      </c>
      <c r="EY102" s="10" t="str">
        <f>IF($C102="","",$D102)</f>
        <v/>
      </c>
    </row>
    <row r="103" spans="1:155" x14ac:dyDescent="0.35">
      <c r="A103" s="220" cm="1">
        <f t="array" aca="1" ref="A103" ca="1">HYPERLINK(CONCATENATE("#",CELL("address",IF(MAX($CM103:$CT103)=0,A103,INDEX($CM103:$CT103,MATCH(1,$CM103:$CT103,0))))),MAX($CM103:$CT103))</f>
        <v>0</v>
      </c>
      <c r="C103" s="211" t="s">
        <v>1381</v>
      </c>
      <c r="D103" t="s">
        <v>1378</v>
      </c>
      <c r="G103" s="8"/>
      <c r="H103" s="9" t="s">
        <v>665</v>
      </c>
      <c r="V103" s="10">
        <f>Loans!V$1095</f>
        <v>0</v>
      </c>
      <c r="W103" s="10">
        <f>Loans!W$1095</f>
        <v>0</v>
      </c>
      <c r="X103" s="10">
        <f>Loans!X$1095</f>
        <v>0</v>
      </c>
      <c r="Y103" s="10">
        <f>Loans!Y$1095</f>
        <v>0</v>
      </c>
      <c r="AA103" s="10">
        <f>Loans!AA$1095</f>
        <v>0</v>
      </c>
      <c r="AB103" s="10">
        <f>Loans!AB$1095</f>
        <v>0</v>
      </c>
      <c r="AC103" s="10">
        <f>Loans!AC$1095</f>
        <v>0</v>
      </c>
      <c r="AD103" s="10">
        <f>Loans!AD$1095</f>
        <v>0</v>
      </c>
      <c r="AE103" s="10">
        <f>Loans!AE$1095</f>
        <v>0</v>
      </c>
      <c r="AF103" s="10">
        <f>Loans!AF$1095</f>
        <v>0</v>
      </c>
      <c r="AG103" s="10">
        <f>Loans!AG$1095</f>
        <v>0</v>
      </c>
      <c r="AH103" s="10">
        <f>Loans!AH$1095</f>
        <v>0</v>
      </c>
      <c r="AI103" s="10">
        <f>Loans!AI$1095</f>
        <v>0</v>
      </c>
      <c r="AJ103" s="10">
        <f>Loans!AJ$1095</f>
        <v>0</v>
      </c>
      <c r="AK103" s="10">
        <f>Loans!AK$1095</f>
        <v>0</v>
      </c>
      <c r="AL103" s="10">
        <f>Loans!AL$1095</f>
        <v>0</v>
      </c>
      <c r="AM103" s="10">
        <f>Loans!AM$1095</f>
        <v>0</v>
      </c>
      <c r="AN103" s="10">
        <f>Loans!AN$1095</f>
        <v>0</v>
      </c>
      <c r="AO103" s="10">
        <f>Loans!AO$1095</f>
        <v>0</v>
      </c>
      <c r="AP103" s="10">
        <f>Loans!AP$1095</f>
        <v>0</v>
      </c>
      <c r="AQ103" s="10">
        <f>Loans!AQ$1095</f>
        <v>0</v>
      </c>
      <c r="AR103" s="10">
        <f>Loans!AR$1095</f>
        <v>0</v>
      </c>
      <c r="AS103" s="10">
        <f>Loans!AS$1095</f>
        <v>0</v>
      </c>
      <c r="AT103" s="10">
        <f>Loans!AT$1095</f>
        <v>0</v>
      </c>
      <c r="AU103" s="10">
        <f>Loans!AU$1095</f>
        <v>0</v>
      </c>
      <c r="AV103" s="10">
        <f>Loans!AV$1095</f>
        <v>0</v>
      </c>
      <c r="AW103" s="10">
        <f>Loans!AW$1095</f>
        <v>0</v>
      </c>
      <c r="AX103" s="10">
        <f>Loans!AX$1095</f>
        <v>0</v>
      </c>
      <c r="AY103" s="10">
        <f>Loans!AY$1095</f>
        <v>0</v>
      </c>
      <c r="AZ103" s="10">
        <f>Loans!AZ$1095</f>
        <v>0</v>
      </c>
      <c r="BA103" s="10">
        <f>Loans!BA$1095</f>
        <v>0</v>
      </c>
      <c r="BB103" s="10">
        <f>Loans!BB$1095</f>
        <v>0</v>
      </c>
      <c r="BC103" s="10">
        <f>Loans!BC$1095</f>
        <v>0</v>
      </c>
      <c r="BD103" s="10">
        <f>Loans!BD$1095</f>
        <v>0</v>
      </c>
      <c r="BE103" s="10">
        <f>Loans!BE$1095</f>
        <v>0</v>
      </c>
      <c r="BF103" s="10">
        <f>Loans!BF$1095</f>
        <v>0</v>
      </c>
      <c r="BG103" s="10">
        <f>Loans!BG$1095</f>
        <v>0</v>
      </c>
      <c r="BH103" s="10">
        <f>Loans!BH$1095</f>
        <v>0</v>
      </c>
      <c r="BI103" s="10">
        <f>Loans!BI$1095</f>
        <v>0</v>
      </c>
      <c r="BJ103" s="10">
        <f>Loans!BJ$1095</f>
        <v>0</v>
      </c>
      <c r="BX103" s="10">
        <f>Loans!BX$1095</f>
        <v>0</v>
      </c>
      <c r="BY103" s="10">
        <f>Loans!BY$1095</f>
        <v>0</v>
      </c>
      <c r="BZ103" s="10">
        <f>Loans!BZ$1095</f>
        <v>0</v>
      </c>
      <c r="CA103" s="10">
        <f>Loans!CA$1095</f>
        <v>0</v>
      </c>
      <c r="CB103" s="10">
        <f>Loans!CB$1095</f>
        <v>0</v>
      </c>
      <c r="CC103" s="10">
        <f>Loans!CC$1095</f>
        <v>0</v>
      </c>
      <c r="CD103" s="10">
        <f>Loans!CD$1095</f>
        <v>0</v>
      </c>
      <c r="CE103" s="10">
        <f>Loans!CE$1095</f>
        <v>0</v>
      </c>
      <c r="CF103" s="10">
        <f>Loans!CF$1095</f>
        <v>0</v>
      </c>
      <c r="CG103" s="10">
        <f>Loans!CG$1095</f>
        <v>0</v>
      </c>
      <c r="CH103" s="10">
        <f>Loans!CH$1095</f>
        <v>0</v>
      </c>
      <c r="CI103" s="10">
        <f>Loans!CI$1095</f>
        <v>0</v>
      </c>
      <c r="CK103" s="11"/>
      <c r="CM103" s="11"/>
      <c r="CS103" s="7">
        <f>IF(SUM(V103:Y103)=SUM(BX103:CA103), 0, 1)</f>
        <v>0</v>
      </c>
      <c r="CT103" s="11"/>
      <c r="CU103">
        <v>0</v>
      </c>
      <c r="CV103">
        <v>0</v>
      </c>
      <c r="CW103" s="1">
        <v>1</v>
      </c>
      <c r="EY103" s="12" t="str">
        <f>IF($C103="","",CONCATENATE(D$102," ",D103))</f>
        <v>Commercial Loans Closing loan capital balance</v>
      </c>
    </row>
    <row r="104" spans="1:155" ht="8.25" customHeight="1" x14ac:dyDescent="0.35">
      <c r="C104" s="234"/>
      <c r="BY104" s="6"/>
      <c r="CK104" s="11"/>
      <c r="CM104" s="11"/>
      <c r="CT104" s="11"/>
      <c r="CU104">
        <v>0</v>
      </c>
      <c r="CV104">
        <v>0</v>
      </c>
      <c r="CW104">
        <v>0</v>
      </c>
      <c r="EY104" s="10" t="str">
        <f>IF($C104="","",$D104)</f>
        <v/>
      </c>
    </row>
    <row r="105" spans="1:155" x14ac:dyDescent="0.35">
      <c r="A105" s="220" cm="1">
        <f t="array" aca="1" ref="A105" ca="1">HYPERLINK(CONCATENATE("#",CELL("address",IF(MAX($CM105:$CT105)=0,A105,INDEX($CM105:$CT105,MATCH(1,$CM105:$CT105,0))))),MAX($CM105:$CT105))</f>
        <v>0</v>
      </c>
      <c r="C105" s="213" t="str">
        <f>REPLACE('Opening Balances'!$C$39, LEN('Opening Balances'!$C$39)-1, 1, "C")</f>
        <v>B-3c-CB</v>
      </c>
      <c r="D105" s="1" t="s">
        <v>1379</v>
      </c>
      <c r="G105" s="8"/>
      <c r="H105" s="9" t="s">
        <v>665</v>
      </c>
      <c r="V105" s="12">
        <f>'Opening Balances'!$W$39</f>
        <v>0</v>
      </c>
      <c r="W105" s="10">
        <f>Loans!W$1101</f>
        <v>0</v>
      </c>
      <c r="X105" s="10">
        <f>Loans!X$1101</f>
        <v>0</v>
      </c>
      <c r="Y105" s="10">
        <f>Loans!Y$1101</f>
        <v>0</v>
      </c>
      <c r="AA105" s="10">
        <f>Loans!AA$1101</f>
        <v>0</v>
      </c>
      <c r="AB105" s="10">
        <f>Loans!AB$1101</f>
        <v>0</v>
      </c>
      <c r="AC105" s="10">
        <f>Loans!AC$1101</f>
        <v>0</v>
      </c>
      <c r="AD105" s="10">
        <f>Loans!AD$1101</f>
        <v>0</v>
      </c>
      <c r="AE105" s="10">
        <f>Loans!AE$1101</f>
        <v>0</v>
      </c>
      <c r="AF105" s="10">
        <f>Loans!AF$1101</f>
        <v>0</v>
      </c>
      <c r="AG105" s="10">
        <f>Loans!AG$1101</f>
        <v>0</v>
      </c>
      <c r="AH105" s="10">
        <f>Loans!AH$1101</f>
        <v>0</v>
      </c>
      <c r="AI105" s="10">
        <f>Loans!AI$1101</f>
        <v>0</v>
      </c>
      <c r="AJ105" s="10">
        <f>Loans!AJ$1101</f>
        <v>0</v>
      </c>
      <c r="AK105" s="10">
        <f>Loans!AK$1101</f>
        <v>0</v>
      </c>
      <c r="AL105" s="10">
        <f>Loans!AL$1101</f>
        <v>0</v>
      </c>
      <c r="AM105" s="10">
        <f>Loans!AM$1101</f>
        <v>0</v>
      </c>
      <c r="AN105" s="10">
        <f>Loans!AN$1101</f>
        <v>0</v>
      </c>
      <c r="AO105" s="10">
        <f>Loans!AO$1101</f>
        <v>0</v>
      </c>
      <c r="AP105" s="10">
        <f>Loans!AP$1101</f>
        <v>0</v>
      </c>
      <c r="AQ105" s="10">
        <f>Loans!AQ$1101</f>
        <v>0</v>
      </c>
      <c r="AR105" s="10">
        <f>Loans!AR$1101</f>
        <v>0</v>
      </c>
      <c r="AS105" s="10">
        <f>Loans!AS$1101</f>
        <v>0</v>
      </c>
      <c r="AT105" s="10">
        <f>Loans!AT$1101</f>
        <v>0</v>
      </c>
      <c r="AU105" s="10">
        <f>Loans!AU$1101</f>
        <v>0</v>
      </c>
      <c r="AV105" s="10">
        <f>Loans!AV$1101</f>
        <v>0</v>
      </c>
      <c r="AW105" s="10">
        <f>Loans!AW$1101</f>
        <v>0</v>
      </c>
      <c r="AX105" s="10">
        <f>Loans!AX$1101</f>
        <v>0</v>
      </c>
      <c r="AY105" s="10">
        <f>Loans!AY$1101</f>
        <v>0</v>
      </c>
      <c r="AZ105" s="10">
        <f>Loans!AZ$1101</f>
        <v>0</v>
      </c>
      <c r="BA105" s="10">
        <f>Loans!BA$1101</f>
        <v>0</v>
      </c>
      <c r="BB105" s="10">
        <f>Loans!BB$1101</f>
        <v>0</v>
      </c>
      <c r="BC105" s="10">
        <f>Loans!BC$1101</f>
        <v>0</v>
      </c>
      <c r="BD105" s="10">
        <f>Loans!BD$1101</f>
        <v>0</v>
      </c>
      <c r="BE105" s="10">
        <f>Loans!BE$1101</f>
        <v>0</v>
      </c>
      <c r="BF105" s="10">
        <f>Loans!BF$1101</f>
        <v>0</v>
      </c>
      <c r="BG105" s="10">
        <f>Loans!BG$1101</f>
        <v>0</v>
      </c>
      <c r="BH105" s="10">
        <f>Loans!BH$1101</f>
        <v>0</v>
      </c>
      <c r="BI105" s="10">
        <f>Loans!BI$1101</f>
        <v>0</v>
      </c>
      <c r="BJ105" s="10">
        <f>Loans!BJ$1101</f>
        <v>0</v>
      </c>
      <c r="BX105" s="10">
        <f>Loans!BX$1101</f>
        <v>0</v>
      </c>
      <c r="BY105" s="10">
        <f>Loans!BY$1101</f>
        <v>0</v>
      </c>
      <c r="BZ105" s="10">
        <f>Loans!BZ$1101</f>
        <v>0</v>
      </c>
      <c r="CA105" s="10">
        <f>Loans!CA$1101</f>
        <v>0</v>
      </c>
      <c r="CB105" s="109"/>
      <c r="CC105" s="109"/>
      <c r="CD105" s="109"/>
      <c r="CE105" s="109"/>
      <c r="CF105" s="109"/>
      <c r="CG105" s="109"/>
      <c r="CH105" s="109"/>
      <c r="CI105" s="109"/>
      <c r="CK105" s="11"/>
      <c r="CM105" s="11"/>
      <c r="CO105" s="7" cm="1">
        <f t="array" ref="CO105">SUMPRODUCT(--NOT(ISNUMBER(V105:CI105)),--NOT(ISBLANK(V105:CI105)))</f>
        <v>0</v>
      </c>
      <c r="CS105" s="7">
        <f>IF(SUM(V105:Y105)=SUM(BX105:CA105), 0, 1)</f>
        <v>0</v>
      </c>
      <c r="CT105" s="11"/>
      <c r="CU105">
        <v>0</v>
      </c>
      <c r="CV105">
        <v>1</v>
      </c>
      <c r="CW105">
        <v>0</v>
      </c>
      <c r="EY105" s="12" t="str">
        <f>IF($C105="","",CONCATENATE(D$102," ",D105))</f>
        <v>Commercial Loans Amount due in one year</v>
      </c>
    </row>
    <row r="106" spans="1:155" x14ac:dyDescent="0.35">
      <c r="A106" s="220" cm="1">
        <f t="array" aca="1" ref="A106" ca="1">HYPERLINK(CONCATENATE("#",CELL("address",IF(MAX($CM106:$CT106)=0,A106,INDEX($CM106:$CT106,MATCH(1,$CM106:$CT106,0))))),MAX($CM106:$CT106))</f>
        <v>0</v>
      </c>
      <c r="C106" s="213" t="str">
        <f>REPLACE('Opening Balances'!$C$61, LEN('Opening Balances'!$C$61)-1, 1, "C")</f>
        <v>B-6b-CB</v>
      </c>
      <c r="D106" s="1" t="s">
        <v>1380</v>
      </c>
      <c r="G106" s="8"/>
      <c r="H106" s="9" t="s">
        <v>665</v>
      </c>
      <c r="V106" s="10">
        <f>V103-V105</f>
        <v>0</v>
      </c>
      <c r="W106" s="10">
        <f>W103-W105</f>
        <v>0</v>
      </c>
      <c r="X106" s="10">
        <f>X103-X105</f>
        <v>0</v>
      </c>
      <c r="Y106" s="10">
        <f>Y103-Y105</f>
        <v>0</v>
      </c>
      <c r="AA106" s="10">
        <f t="shared" ref="AA106:BJ106" si="24">AA103-AA105</f>
        <v>0</v>
      </c>
      <c r="AB106" s="10">
        <f t="shared" si="24"/>
        <v>0</v>
      </c>
      <c r="AC106" s="10">
        <f t="shared" si="24"/>
        <v>0</v>
      </c>
      <c r="AD106" s="10">
        <f t="shared" si="24"/>
        <v>0</v>
      </c>
      <c r="AE106" s="10">
        <f t="shared" si="24"/>
        <v>0</v>
      </c>
      <c r="AF106" s="10">
        <f t="shared" si="24"/>
        <v>0</v>
      </c>
      <c r="AG106" s="10">
        <f t="shared" si="24"/>
        <v>0</v>
      </c>
      <c r="AH106" s="10">
        <f t="shared" si="24"/>
        <v>0</v>
      </c>
      <c r="AI106" s="10">
        <f t="shared" si="24"/>
        <v>0</v>
      </c>
      <c r="AJ106" s="10">
        <f t="shared" si="24"/>
        <v>0</v>
      </c>
      <c r="AK106" s="10">
        <f t="shared" si="24"/>
        <v>0</v>
      </c>
      <c r="AL106" s="10">
        <f t="shared" si="24"/>
        <v>0</v>
      </c>
      <c r="AM106" s="10">
        <f t="shared" si="24"/>
        <v>0</v>
      </c>
      <c r="AN106" s="10">
        <f t="shared" si="24"/>
        <v>0</v>
      </c>
      <c r="AO106" s="10">
        <f t="shared" si="24"/>
        <v>0</v>
      </c>
      <c r="AP106" s="10">
        <f t="shared" si="24"/>
        <v>0</v>
      </c>
      <c r="AQ106" s="10">
        <f t="shared" si="24"/>
        <v>0</v>
      </c>
      <c r="AR106" s="10">
        <f t="shared" si="24"/>
        <v>0</v>
      </c>
      <c r="AS106" s="10">
        <f t="shared" si="24"/>
        <v>0</v>
      </c>
      <c r="AT106" s="10">
        <f t="shared" si="24"/>
        <v>0</v>
      </c>
      <c r="AU106" s="10">
        <f t="shared" si="24"/>
        <v>0</v>
      </c>
      <c r="AV106" s="10">
        <f t="shared" si="24"/>
        <v>0</v>
      </c>
      <c r="AW106" s="10">
        <f t="shared" si="24"/>
        <v>0</v>
      </c>
      <c r="AX106" s="10">
        <f t="shared" si="24"/>
        <v>0</v>
      </c>
      <c r="AY106" s="10">
        <f t="shared" si="24"/>
        <v>0</v>
      </c>
      <c r="AZ106" s="10">
        <f t="shared" si="24"/>
        <v>0</v>
      </c>
      <c r="BA106" s="10">
        <f t="shared" si="24"/>
        <v>0</v>
      </c>
      <c r="BB106" s="10">
        <f t="shared" si="24"/>
        <v>0</v>
      </c>
      <c r="BC106" s="10">
        <f t="shared" si="24"/>
        <v>0</v>
      </c>
      <c r="BD106" s="10">
        <f t="shared" si="24"/>
        <v>0</v>
      </c>
      <c r="BE106" s="10">
        <f t="shared" si="24"/>
        <v>0</v>
      </c>
      <c r="BF106" s="10">
        <f t="shared" si="24"/>
        <v>0</v>
      </c>
      <c r="BG106" s="10">
        <f t="shared" si="24"/>
        <v>0</v>
      </c>
      <c r="BH106" s="10">
        <f t="shared" si="24"/>
        <v>0</v>
      </c>
      <c r="BI106" s="10">
        <f t="shared" si="24"/>
        <v>0</v>
      </c>
      <c r="BJ106" s="10">
        <f t="shared" si="24"/>
        <v>0</v>
      </c>
      <c r="BX106" s="10">
        <f t="shared" ref="BX106:CI106" si="25">BX103-BX105</f>
        <v>0</v>
      </c>
      <c r="BY106" s="10">
        <f t="shared" si="25"/>
        <v>0</v>
      </c>
      <c r="BZ106" s="10">
        <f t="shared" si="25"/>
        <v>0</v>
      </c>
      <c r="CA106" s="10">
        <f t="shared" si="25"/>
        <v>0</v>
      </c>
      <c r="CB106" s="10">
        <f t="shared" si="25"/>
        <v>0</v>
      </c>
      <c r="CC106" s="10">
        <f t="shared" si="25"/>
        <v>0</v>
      </c>
      <c r="CD106" s="10">
        <f t="shared" si="25"/>
        <v>0</v>
      </c>
      <c r="CE106" s="10">
        <f t="shared" si="25"/>
        <v>0</v>
      </c>
      <c r="CF106" s="10">
        <f t="shared" si="25"/>
        <v>0</v>
      </c>
      <c r="CG106" s="10">
        <f t="shared" si="25"/>
        <v>0</v>
      </c>
      <c r="CH106" s="10">
        <f t="shared" si="25"/>
        <v>0</v>
      </c>
      <c r="CI106" s="10">
        <f t="shared" si="25"/>
        <v>0</v>
      </c>
      <c r="CK106" s="11"/>
      <c r="CM106" s="11"/>
      <c r="CS106" s="7">
        <f>IF(SUM(V106:Y106)=SUM(BX106:CA106), 0, 1)</f>
        <v>0</v>
      </c>
      <c r="CT106" s="11"/>
      <c r="CU106">
        <v>0</v>
      </c>
      <c r="CV106">
        <v>0</v>
      </c>
      <c r="CW106">
        <v>0</v>
      </c>
      <c r="EY106" s="12" t="str">
        <f>IF($C106="","",CONCATENATE(D$102," ",D106))</f>
        <v>Commercial Loans Amount due after one year</v>
      </c>
    </row>
    <row r="107" spans="1:155" ht="8.25" customHeight="1" x14ac:dyDescent="0.35">
      <c r="C107" s="234"/>
      <c r="BY107" s="6"/>
      <c r="CK107" s="11"/>
      <c r="CM107" s="11"/>
      <c r="CT107" s="11"/>
      <c r="CU107">
        <v>0</v>
      </c>
      <c r="CV107">
        <v>0</v>
      </c>
      <c r="CW107">
        <v>0</v>
      </c>
      <c r="EY107" s="10" t="str">
        <f>IF($C107="","",$D107)</f>
        <v/>
      </c>
    </row>
    <row r="108" spans="1:155" x14ac:dyDescent="0.35">
      <c r="B108" s="5"/>
      <c r="C108" s="234"/>
      <c r="D108" s="72" t="s">
        <v>671</v>
      </c>
      <c r="CK108" s="11"/>
      <c r="CM108" s="11"/>
      <c r="CT108" s="11"/>
      <c r="CU108">
        <v>0</v>
      </c>
      <c r="CV108">
        <v>0</v>
      </c>
      <c r="CW108">
        <v>0</v>
      </c>
      <c r="EY108" s="10" t="str">
        <f>IF($C108="","",$D116)</f>
        <v/>
      </c>
    </row>
    <row r="109" spans="1:155" x14ac:dyDescent="0.35">
      <c r="A109" s="220" cm="1">
        <f t="array" aca="1" ref="A109" ca="1">HYPERLINK(CONCATENATE("#",CELL("address",IF(MAX($CM109:$CT109)=0,A109,INDEX($CM109:$CT109,MATCH(1,$CM109:$CT109,0))))),MAX($CM109:$CT109))</f>
        <v>0</v>
      </c>
      <c r="C109" s="234" t="s">
        <v>1382</v>
      </c>
      <c r="D109" s="4" t="s">
        <v>890</v>
      </c>
      <c r="G109" s="8"/>
      <c r="H109" s="9" t="s">
        <v>665</v>
      </c>
      <c r="V109" s="12">
        <f>'Opening Balances'!$V$40+'Opening Balances'!$V$62</f>
        <v>0</v>
      </c>
      <c r="W109" s="10">
        <f>V114</f>
        <v>0</v>
      </c>
      <c r="X109" s="10">
        <f t="shared" ref="X109:Y109" si="26">W114</f>
        <v>0</v>
      </c>
      <c r="Y109" s="10">
        <f t="shared" si="26"/>
        <v>0</v>
      </c>
      <c r="AA109" s="10">
        <f>W109</f>
        <v>0</v>
      </c>
      <c r="AB109" s="10">
        <f>AA114</f>
        <v>0</v>
      </c>
      <c r="AC109" s="10">
        <f t="shared" ref="AC109:BJ109" si="27">AB114</f>
        <v>0</v>
      </c>
      <c r="AD109" s="10">
        <f t="shared" si="27"/>
        <v>0</v>
      </c>
      <c r="AE109" s="10">
        <f t="shared" si="27"/>
        <v>0</v>
      </c>
      <c r="AF109" s="10">
        <f t="shared" si="27"/>
        <v>0</v>
      </c>
      <c r="AG109" s="10">
        <f t="shared" si="27"/>
        <v>0</v>
      </c>
      <c r="AH109" s="10">
        <f t="shared" si="27"/>
        <v>0</v>
      </c>
      <c r="AI109" s="10">
        <f t="shared" si="27"/>
        <v>0</v>
      </c>
      <c r="AJ109" s="10">
        <f t="shared" si="27"/>
        <v>0</v>
      </c>
      <c r="AK109" s="10">
        <f t="shared" si="27"/>
        <v>0</v>
      </c>
      <c r="AL109" s="10">
        <f t="shared" si="27"/>
        <v>0</v>
      </c>
      <c r="AM109" s="10">
        <f t="shared" si="27"/>
        <v>0</v>
      </c>
      <c r="AN109" s="10">
        <f t="shared" si="27"/>
        <v>0</v>
      </c>
      <c r="AO109" s="10">
        <f t="shared" si="27"/>
        <v>0</v>
      </c>
      <c r="AP109" s="10">
        <f t="shared" si="27"/>
        <v>0</v>
      </c>
      <c r="AQ109" s="10">
        <f t="shared" si="27"/>
        <v>0</v>
      </c>
      <c r="AR109" s="10">
        <f t="shared" si="27"/>
        <v>0</v>
      </c>
      <c r="AS109" s="10">
        <f t="shared" si="27"/>
        <v>0</v>
      </c>
      <c r="AT109" s="10">
        <f t="shared" si="27"/>
        <v>0</v>
      </c>
      <c r="AU109" s="10">
        <f t="shared" si="27"/>
        <v>0</v>
      </c>
      <c r="AV109" s="10">
        <f t="shared" si="27"/>
        <v>0</v>
      </c>
      <c r="AW109" s="10">
        <f t="shared" si="27"/>
        <v>0</v>
      </c>
      <c r="AX109" s="10">
        <f t="shared" si="27"/>
        <v>0</v>
      </c>
      <c r="AY109" s="10">
        <f t="shared" si="27"/>
        <v>0</v>
      </c>
      <c r="AZ109" s="10">
        <f t="shared" si="27"/>
        <v>0</v>
      </c>
      <c r="BA109" s="10">
        <f t="shared" si="27"/>
        <v>0</v>
      </c>
      <c r="BB109" s="10">
        <f t="shared" si="27"/>
        <v>0</v>
      </c>
      <c r="BC109" s="10">
        <f t="shared" si="27"/>
        <v>0</v>
      </c>
      <c r="BD109" s="10">
        <f t="shared" si="27"/>
        <v>0</v>
      </c>
      <c r="BE109" s="10">
        <f t="shared" si="27"/>
        <v>0</v>
      </c>
      <c r="BF109" s="10">
        <f t="shared" si="27"/>
        <v>0</v>
      </c>
      <c r="BG109" s="10">
        <f t="shared" si="27"/>
        <v>0</v>
      </c>
      <c r="BH109" s="10">
        <f t="shared" si="27"/>
        <v>0</v>
      </c>
      <c r="BI109" s="10">
        <f t="shared" si="27"/>
        <v>0</v>
      </c>
      <c r="BJ109" s="10">
        <f t="shared" si="27"/>
        <v>0</v>
      </c>
      <c r="BX109" s="12">
        <f>V109</f>
        <v>0</v>
      </c>
      <c r="BY109" s="12">
        <f t="shared" ref="BY109:CA109" si="28">W109</f>
        <v>0</v>
      </c>
      <c r="BZ109" s="12">
        <f t="shared" si="28"/>
        <v>0</v>
      </c>
      <c r="CA109" s="12">
        <f t="shared" si="28"/>
        <v>0</v>
      </c>
      <c r="CB109" s="10">
        <f>CA114</f>
        <v>0</v>
      </c>
      <c r="CC109" s="10">
        <f t="shared" ref="CC109:CI109" si="29">CB114</f>
        <v>0</v>
      </c>
      <c r="CD109" s="10">
        <f t="shared" si="29"/>
        <v>0</v>
      </c>
      <c r="CE109" s="10">
        <f t="shared" si="29"/>
        <v>0</v>
      </c>
      <c r="CF109" s="10">
        <f t="shared" si="29"/>
        <v>0</v>
      </c>
      <c r="CG109" s="10">
        <f t="shared" si="29"/>
        <v>0</v>
      </c>
      <c r="CH109" s="10">
        <f t="shared" si="29"/>
        <v>0</v>
      </c>
      <c r="CI109" s="10">
        <f t="shared" si="29"/>
        <v>0</v>
      </c>
      <c r="CK109" s="11"/>
      <c r="CM109" s="11"/>
      <c r="CS109" s="7">
        <f t="shared" ref="CS109:CS114" si="30">IF(SUM(V109:Y109)=SUM(BX109:CA109), 0, 1)</f>
        <v>0</v>
      </c>
      <c r="CT109" s="11"/>
      <c r="CU109">
        <v>0</v>
      </c>
      <c r="CV109">
        <v>0</v>
      </c>
      <c r="CW109">
        <v>0</v>
      </c>
      <c r="EY109" s="12" t="str">
        <f t="shared" ref="EY109:EY115" si="31">IF($C109="","",CONCATENATE(D$124," ",D109))</f>
        <v>Total Finance and Operating Lease (Right of use) Obligations Opening Balance</v>
      </c>
    </row>
    <row r="110" spans="1:155" x14ac:dyDescent="0.35">
      <c r="A110" s="220" cm="1">
        <f t="array" aca="1" ref="A110" ca="1">HYPERLINK(CONCATENATE("#",CELL("address",IF(MAX($CM110:$CT110)=0,A110,INDEX($CM110:$CT110,MATCH(1,$CM110:$CT110,0))))),MAX($CM110:$CT110))</f>
        <v>0</v>
      </c>
      <c r="C110" s="234" t="s">
        <v>956</v>
      </c>
      <c r="D110" s="73" t="s">
        <v>919</v>
      </c>
      <c r="G110" s="8"/>
      <c r="H110" s="9" t="s">
        <v>665</v>
      </c>
      <c r="V110" s="10">
        <f>'Investing Inputs'!V306</f>
        <v>0</v>
      </c>
      <c r="W110" s="10">
        <f>'Investing Inputs'!W306</f>
        <v>0</v>
      </c>
      <c r="X110" s="10">
        <f>'Investing Inputs'!X306</f>
        <v>0</v>
      </c>
      <c r="Y110" s="10">
        <f>'Investing Inputs'!Y306</f>
        <v>0</v>
      </c>
      <c r="AA110" s="10">
        <f>'Investing Inputs'!AA306</f>
        <v>0</v>
      </c>
      <c r="AB110" s="10">
        <f>'Investing Inputs'!AB306</f>
        <v>0</v>
      </c>
      <c r="AC110" s="10">
        <f>'Investing Inputs'!AC306</f>
        <v>0</v>
      </c>
      <c r="AD110" s="10">
        <f>'Investing Inputs'!AD306</f>
        <v>0</v>
      </c>
      <c r="AE110" s="10">
        <f>'Investing Inputs'!AE306</f>
        <v>0</v>
      </c>
      <c r="AF110" s="10">
        <f>'Investing Inputs'!AF306</f>
        <v>0</v>
      </c>
      <c r="AG110" s="10">
        <f>'Investing Inputs'!AG306</f>
        <v>0</v>
      </c>
      <c r="AH110" s="10">
        <f>'Investing Inputs'!AH306</f>
        <v>0</v>
      </c>
      <c r="AI110" s="10">
        <f>'Investing Inputs'!AI306</f>
        <v>0</v>
      </c>
      <c r="AJ110" s="10">
        <f>'Investing Inputs'!AJ306</f>
        <v>0</v>
      </c>
      <c r="AK110" s="10">
        <f>'Investing Inputs'!AK306</f>
        <v>0</v>
      </c>
      <c r="AL110" s="10">
        <f>'Investing Inputs'!AL306</f>
        <v>0</v>
      </c>
      <c r="AM110" s="10">
        <f>'Investing Inputs'!AM306</f>
        <v>0</v>
      </c>
      <c r="AN110" s="10">
        <f>'Investing Inputs'!AN306</f>
        <v>0</v>
      </c>
      <c r="AO110" s="10">
        <f>'Investing Inputs'!AO306</f>
        <v>0</v>
      </c>
      <c r="AP110" s="10">
        <f>'Investing Inputs'!AP306</f>
        <v>0</v>
      </c>
      <c r="AQ110" s="10">
        <f>'Investing Inputs'!AQ306</f>
        <v>0</v>
      </c>
      <c r="AR110" s="10">
        <f>'Investing Inputs'!AR306</f>
        <v>0</v>
      </c>
      <c r="AS110" s="10">
        <f>'Investing Inputs'!AS306</f>
        <v>0</v>
      </c>
      <c r="AT110" s="10">
        <f>'Investing Inputs'!AT306</f>
        <v>0</v>
      </c>
      <c r="AU110" s="10">
        <f>'Investing Inputs'!AU306</f>
        <v>0</v>
      </c>
      <c r="AV110" s="10">
        <f>'Investing Inputs'!AV306</f>
        <v>0</v>
      </c>
      <c r="AW110" s="10">
        <f>'Investing Inputs'!AW306</f>
        <v>0</v>
      </c>
      <c r="AX110" s="10">
        <f>'Investing Inputs'!AX306</f>
        <v>0</v>
      </c>
      <c r="AY110" s="10">
        <f>'Investing Inputs'!AY306</f>
        <v>0</v>
      </c>
      <c r="AZ110" s="10">
        <f>'Investing Inputs'!AZ306</f>
        <v>0</v>
      </c>
      <c r="BA110" s="10">
        <f>'Investing Inputs'!BA306</f>
        <v>0</v>
      </c>
      <c r="BB110" s="10">
        <f>'Investing Inputs'!BB306</f>
        <v>0</v>
      </c>
      <c r="BC110" s="10">
        <f>'Investing Inputs'!BC306</f>
        <v>0</v>
      </c>
      <c r="BD110" s="10">
        <f>'Investing Inputs'!BD306</f>
        <v>0</v>
      </c>
      <c r="BE110" s="10">
        <f>'Investing Inputs'!BE306</f>
        <v>0</v>
      </c>
      <c r="BF110" s="10">
        <f>'Investing Inputs'!BF306</f>
        <v>0</v>
      </c>
      <c r="BG110" s="10">
        <f>'Investing Inputs'!BG306</f>
        <v>0</v>
      </c>
      <c r="BH110" s="10">
        <f>'Investing Inputs'!BH306</f>
        <v>0</v>
      </c>
      <c r="BI110" s="10">
        <f>'Investing Inputs'!BI306</f>
        <v>0</v>
      </c>
      <c r="BJ110" s="10">
        <f>'Investing Inputs'!BJ306</f>
        <v>0</v>
      </c>
      <c r="BX110" s="10">
        <f>'Investing Inputs'!BX306</f>
        <v>0</v>
      </c>
      <c r="BY110" s="10">
        <f>'Investing Inputs'!BY306</f>
        <v>0</v>
      </c>
      <c r="BZ110" s="10">
        <f>'Investing Inputs'!BZ306</f>
        <v>0</v>
      </c>
      <c r="CA110" s="10">
        <f>'Investing Inputs'!CA306</f>
        <v>0</v>
      </c>
      <c r="CB110" s="10">
        <f>'Investing Inputs'!CB306</f>
        <v>0</v>
      </c>
      <c r="CC110" s="10">
        <f>'Investing Inputs'!CC306</f>
        <v>0</v>
      </c>
      <c r="CD110" s="10">
        <f>'Investing Inputs'!CD306</f>
        <v>0</v>
      </c>
      <c r="CE110" s="10">
        <f>'Investing Inputs'!CE306</f>
        <v>0</v>
      </c>
      <c r="CF110" s="10">
        <f>'Investing Inputs'!CF306</f>
        <v>0</v>
      </c>
      <c r="CG110" s="10">
        <f>'Investing Inputs'!CG306</f>
        <v>0</v>
      </c>
      <c r="CH110" s="10">
        <f>'Investing Inputs'!CH306</f>
        <v>0</v>
      </c>
      <c r="CI110" s="10">
        <f>'Investing Inputs'!CI306</f>
        <v>0</v>
      </c>
      <c r="CK110" s="11"/>
      <c r="CM110" s="11"/>
      <c r="CS110" s="7">
        <f t="shared" si="30"/>
        <v>0</v>
      </c>
      <c r="CT110" s="11"/>
      <c r="CU110">
        <v>0</v>
      </c>
      <c r="CV110">
        <v>0</v>
      </c>
      <c r="CW110">
        <v>0</v>
      </c>
      <c r="EY110" s="12" t="str">
        <f t="shared" si="31"/>
        <v>Total Finance and Operating Lease (Right of use) Obligations Additions</v>
      </c>
    </row>
    <row r="111" spans="1:155" x14ac:dyDescent="0.35">
      <c r="A111" s="220" cm="1">
        <f t="array" aca="1" ref="A111" ca="1">HYPERLINK(CONCATENATE("#",CELL("address",IF(MAX($CM111:$CT111)=0,A111,INDEX($CM111:$CT111,MATCH(1,$CM111:$CT111,0))))),MAX($CM111:$CT111))</f>
        <v>0</v>
      </c>
      <c r="C111" s="234" t="s">
        <v>1383</v>
      </c>
      <c r="D111" s="73" t="s">
        <v>1343</v>
      </c>
      <c r="G111" s="8"/>
      <c r="H111" s="9" t="s">
        <v>665</v>
      </c>
      <c r="V111" s="109"/>
      <c r="W111" s="133">
        <f xml:space="preserve"> SUMIFS($AA111:$BJ111, $AA$3:$BJ$3, W$3)</f>
        <v>0</v>
      </c>
      <c r="X111" s="133">
        <f t="shared" ref="X111:Y113" si="32" xml:space="preserve"> SUMIFS($AA111:$BJ111, $AA$3:$BJ$3, X$3)</f>
        <v>0</v>
      </c>
      <c r="Y111" s="133">
        <f t="shared" si="32"/>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V111</f>
        <v>0</v>
      </c>
      <c r="BY111" s="10">
        <f t="shared" ref="BY111:CA113" si="33">W111</f>
        <v>0</v>
      </c>
      <c r="BZ111" s="10">
        <f t="shared" si="33"/>
        <v>0</v>
      </c>
      <c r="CA111" s="10">
        <f t="shared" si="33"/>
        <v>0</v>
      </c>
      <c r="CB111" s="109"/>
      <c r="CC111" s="109"/>
      <c r="CD111" s="109"/>
      <c r="CE111" s="109"/>
      <c r="CF111" s="109"/>
      <c r="CG111" s="109"/>
      <c r="CH111" s="109"/>
      <c r="CI111" s="109"/>
      <c r="CK111" s="11"/>
      <c r="CL111" s="221">
        <f>IF(MIN($V111:$CI111)&lt;0, 1, 0)</f>
        <v>0</v>
      </c>
      <c r="CM111" s="11"/>
      <c r="CO111" s="7" cm="1">
        <f t="array" ref="CO111">SUMPRODUCT(--NOT(ISNUMBER(V111:CI111)),--NOT(ISBLANK(V111:CI111)))</f>
        <v>0</v>
      </c>
      <c r="CS111" s="7">
        <f t="shared" si="30"/>
        <v>0</v>
      </c>
      <c r="CT111" s="11"/>
      <c r="CU111">
        <v>1</v>
      </c>
      <c r="CV111">
        <v>1</v>
      </c>
      <c r="CW111">
        <v>0</v>
      </c>
      <c r="EY111" s="12" t="str">
        <f t="shared" si="31"/>
        <v xml:space="preserve">Total Finance and Operating Lease (Right of use) Obligations Interest Expense </v>
      </c>
    </row>
    <row r="112" spans="1:155" x14ac:dyDescent="0.35">
      <c r="A112" s="220" cm="1">
        <f t="array" aca="1" ref="A112" ca="1">HYPERLINK(CONCATENATE("#",CELL("address",IF(MAX($CM112:$CT112)=0,A112,INDEX($CM112:$CT112,MATCH(1,$CM112:$CT112,0))))),MAX($CM112:$CT112))</f>
        <v>0</v>
      </c>
      <c r="C112" s="234" t="s">
        <v>1384</v>
      </c>
      <c r="D112" s="73" t="s">
        <v>1385</v>
      </c>
      <c r="E112" s="85" t="s">
        <v>122</v>
      </c>
      <c r="G112" s="8"/>
      <c r="H112" s="9" t="s">
        <v>1079</v>
      </c>
      <c r="V112" s="109"/>
      <c r="W112" s="133">
        <f t="shared" ref="W112:W113" si="34" xml:space="preserve"> SUMIFS($AA112:$BJ112, $AA$3:$BJ$3, W$3)</f>
        <v>0</v>
      </c>
      <c r="X112" s="133">
        <f t="shared" si="32"/>
        <v>0</v>
      </c>
      <c r="Y112" s="133">
        <f t="shared" si="32"/>
        <v>0</v>
      </c>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V112</f>
        <v>0</v>
      </c>
      <c r="BY112" s="10">
        <f t="shared" si="33"/>
        <v>0</v>
      </c>
      <c r="BZ112" s="10">
        <f t="shared" si="33"/>
        <v>0</v>
      </c>
      <c r="CA112" s="10">
        <f t="shared" si="33"/>
        <v>0</v>
      </c>
      <c r="CB112" s="109"/>
      <c r="CC112" s="109"/>
      <c r="CD112" s="109"/>
      <c r="CE112" s="109"/>
      <c r="CF112" s="109"/>
      <c r="CG112" s="109"/>
      <c r="CH112" s="109"/>
      <c r="CI112" s="109"/>
      <c r="CK112" s="11"/>
      <c r="CL112" s="221">
        <f>IF(MAX($V112:$CI112)&gt;0, 1, 0)</f>
        <v>0</v>
      </c>
      <c r="CM112" s="11"/>
      <c r="CO112" s="7" cm="1">
        <f t="array" ref="CO112">SUMPRODUCT(--NOT(ISNUMBER(V112:CI112)),--NOT(ISBLANK(V112:CI112)))</f>
        <v>0</v>
      </c>
      <c r="CS112" s="7">
        <f t="shared" si="30"/>
        <v>0</v>
      </c>
      <c r="CT112" s="11"/>
      <c r="CU112">
        <v>1</v>
      </c>
      <c r="CV112">
        <v>1</v>
      </c>
      <c r="CW112">
        <v>0</v>
      </c>
      <c r="EY112" s="12" t="str">
        <f t="shared" si="31"/>
        <v>Total Finance and Operating Lease (Right of use) Obligations Repayments</v>
      </c>
    </row>
    <row r="113" spans="1:155" x14ac:dyDescent="0.35">
      <c r="A113" s="220" cm="1">
        <f t="array" aca="1" ref="A113" ca="1">HYPERLINK(CONCATENATE("#",CELL("address",IF(MAX($CM113:$CT113)=0,A113,INDEX($CM113:$CT113,MATCH(1,$CM113:$CT113,0))))),MAX($CM113:$CT113))</f>
        <v>0</v>
      </c>
      <c r="C113" s="234" t="s">
        <v>1386</v>
      </c>
      <c r="D113" s="73" t="s">
        <v>1387</v>
      </c>
      <c r="E113" s="283" t="s">
        <v>904</v>
      </c>
      <c r="G113" s="8"/>
      <c r="H113" s="9" t="s">
        <v>1079</v>
      </c>
      <c r="V113" s="109"/>
      <c r="W113" s="133">
        <f t="shared" si="34"/>
        <v>0</v>
      </c>
      <c r="X113" s="133">
        <f t="shared" si="32"/>
        <v>0</v>
      </c>
      <c r="Y113" s="133">
        <f t="shared" si="32"/>
        <v>0</v>
      </c>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X113" s="10">
        <f>V113</f>
        <v>0</v>
      </c>
      <c r="BY113" s="10">
        <f t="shared" si="33"/>
        <v>0</v>
      </c>
      <c r="BZ113" s="10">
        <f t="shared" si="33"/>
        <v>0</v>
      </c>
      <c r="CA113" s="10">
        <f t="shared" si="33"/>
        <v>0</v>
      </c>
      <c r="CB113" s="109"/>
      <c r="CC113" s="109"/>
      <c r="CD113" s="109"/>
      <c r="CE113" s="109"/>
      <c r="CF113" s="109"/>
      <c r="CG113" s="109"/>
      <c r="CH113" s="109"/>
      <c r="CI113" s="109"/>
      <c r="CK113" s="11"/>
      <c r="CL113" s="221">
        <f>IF(MAX($V113:$CI113)&gt;0, 1, 0)</f>
        <v>0</v>
      </c>
      <c r="CM113" s="11"/>
      <c r="CO113" s="7" cm="1">
        <f t="array" ref="CO113">SUMPRODUCT(--NOT(ISNUMBER(V113:CI113)),--NOT(ISBLANK(V113:CI113)))</f>
        <v>0</v>
      </c>
      <c r="CS113" s="7">
        <f t="shared" si="30"/>
        <v>0</v>
      </c>
      <c r="CT113" s="11"/>
      <c r="CU113">
        <v>1</v>
      </c>
      <c r="CV113">
        <v>1</v>
      </c>
      <c r="CW113">
        <v>0</v>
      </c>
      <c r="EY113" s="12" t="str">
        <f t="shared" si="31"/>
        <v>Total Finance and Operating Lease (Right of use) Obligations Interest payments</v>
      </c>
    </row>
    <row r="114" spans="1:155" x14ac:dyDescent="0.35">
      <c r="A114" s="220" cm="1">
        <f t="array" aca="1" ref="A114" ca="1">HYPERLINK(CONCATENATE("#",CELL("address",IF(MAX($CM114:$CT114)=0,A114,INDEX($CM114:$CT114,MATCH(1,$CM114:$CT114,0))))),MAX($CM114:$CT114))</f>
        <v>0</v>
      </c>
      <c r="C114" s="234" t="s">
        <v>1388</v>
      </c>
      <c r="D114" s="4" t="s">
        <v>906</v>
      </c>
      <c r="E114" s="215">
        <f>ROUND(V114-SUM(V109:V113), rounding)*$V$10</f>
        <v>0</v>
      </c>
      <c r="G114" s="8"/>
      <c r="H114" s="9" t="s">
        <v>665</v>
      </c>
      <c r="V114" s="12">
        <f>'Opening Balances'!W40+'Opening Balances'!W62</f>
        <v>0</v>
      </c>
      <c r="W114" s="10">
        <f>SUM(W109:W113)</f>
        <v>0</v>
      </c>
      <c r="X114" s="10">
        <f t="shared" ref="X114:Y114" si="35">SUM(X109:X113)</f>
        <v>0</v>
      </c>
      <c r="Y114" s="10">
        <f t="shared" si="35"/>
        <v>0</v>
      </c>
      <c r="AA114" s="10">
        <f>SUM(AA109:AA113)</f>
        <v>0</v>
      </c>
      <c r="AB114" s="10">
        <f t="shared" ref="AB114:BJ114" si="36">SUM(AB109:AB113)</f>
        <v>0</v>
      </c>
      <c r="AC114" s="10">
        <f t="shared" si="36"/>
        <v>0</v>
      </c>
      <c r="AD114" s="10">
        <f t="shared" si="36"/>
        <v>0</v>
      </c>
      <c r="AE114" s="10">
        <f t="shared" si="36"/>
        <v>0</v>
      </c>
      <c r="AF114" s="10">
        <f t="shared" si="36"/>
        <v>0</v>
      </c>
      <c r="AG114" s="10">
        <f t="shared" si="36"/>
        <v>0</v>
      </c>
      <c r="AH114" s="10">
        <f t="shared" si="36"/>
        <v>0</v>
      </c>
      <c r="AI114" s="10">
        <f t="shared" si="36"/>
        <v>0</v>
      </c>
      <c r="AJ114" s="10">
        <f t="shared" si="36"/>
        <v>0</v>
      </c>
      <c r="AK114" s="10">
        <f t="shared" si="36"/>
        <v>0</v>
      </c>
      <c r="AL114" s="10">
        <f t="shared" si="36"/>
        <v>0</v>
      </c>
      <c r="AM114" s="10">
        <f t="shared" si="36"/>
        <v>0</v>
      </c>
      <c r="AN114" s="10">
        <f t="shared" si="36"/>
        <v>0</v>
      </c>
      <c r="AO114" s="10">
        <f t="shared" si="36"/>
        <v>0</v>
      </c>
      <c r="AP114" s="10">
        <f t="shared" si="36"/>
        <v>0</v>
      </c>
      <c r="AQ114" s="10">
        <f t="shared" si="36"/>
        <v>0</v>
      </c>
      <c r="AR114" s="10">
        <f t="shared" si="36"/>
        <v>0</v>
      </c>
      <c r="AS114" s="10">
        <f t="shared" si="36"/>
        <v>0</v>
      </c>
      <c r="AT114" s="10">
        <f t="shared" si="36"/>
        <v>0</v>
      </c>
      <c r="AU114" s="10">
        <f t="shared" si="36"/>
        <v>0</v>
      </c>
      <c r="AV114" s="10">
        <f t="shared" si="36"/>
        <v>0</v>
      </c>
      <c r="AW114" s="10">
        <f t="shared" si="36"/>
        <v>0</v>
      </c>
      <c r="AX114" s="10">
        <f t="shared" si="36"/>
        <v>0</v>
      </c>
      <c r="AY114" s="10">
        <f t="shared" si="36"/>
        <v>0</v>
      </c>
      <c r="AZ114" s="10">
        <f t="shared" si="36"/>
        <v>0</v>
      </c>
      <c r="BA114" s="10">
        <f t="shared" si="36"/>
        <v>0</v>
      </c>
      <c r="BB114" s="10">
        <f t="shared" si="36"/>
        <v>0</v>
      </c>
      <c r="BC114" s="10">
        <f t="shared" si="36"/>
        <v>0</v>
      </c>
      <c r="BD114" s="10">
        <f t="shared" si="36"/>
        <v>0</v>
      </c>
      <c r="BE114" s="10">
        <f t="shared" si="36"/>
        <v>0</v>
      </c>
      <c r="BF114" s="10">
        <f t="shared" si="36"/>
        <v>0</v>
      </c>
      <c r="BG114" s="10">
        <f t="shared" si="36"/>
        <v>0</v>
      </c>
      <c r="BH114" s="10">
        <f t="shared" si="36"/>
        <v>0</v>
      </c>
      <c r="BI114" s="10">
        <f t="shared" si="36"/>
        <v>0</v>
      </c>
      <c r="BJ114" s="10">
        <f t="shared" si="36"/>
        <v>0</v>
      </c>
      <c r="BX114" s="12">
        <f>V114</f>
        <v>0</v>
      </c>
      <c r="BY114" s="10">
        <f>SUM(BY109:BY113)</f>
        <v>0</v>
      </c>
      <c r="BZ114" s="10">
        <f t="shared" ref="BZ114:CI114" si="37">SUM(BZ109:BZ113)</f>
        <v>0</v>
      </c>
      <c r="CA114" s="10">
        <f t="shared" si="37"/>
        <v>0</v>
      </c>
      <c r="CB114" s="10">
        <f t="shared" si="37"/>
        <v>0</v>
      </c>
      <c r="CC114" s="10">
        <f t="shared" si="37"/>
        <v>0</v>
      </c>
      <c r="CD114" s="10">
        <f t="shared" si="37"/>
        <v>0</v>
      </c>
      <c r="CE114" s="10">
        <f t="shared" si="37"/>
        <v>0</v>
      </c>
      <c r="CF114" s="10">
        <f t="shared" si="37"/>
        <v>0</v>
      </c>
      <c r="CG114" s="10">
        <f t="shared" si="37"/>
        <v>0</v>
      </c>
      <c r="CH114" s="10">
        <f t="shared" si="37"/>
        <v>0</v>
      </c>
      <c r="CI114" s="10">
        <f t="shared" si="37"/>
        <v>0</v>
      </c>
      <c r="CK114" s="11"/>
      <c r="CM114" s="11"/>
      <c r="CR114" s="7">
        <f>IF(ABS($E114)&gt;Parameters!$D$33, 1, 0)</f>
        <v>0</v>
      </c>
      <c r="CS114" s="7">
        <f t="shared" si="30"/>
        <v>0</v>
      </c>
      <c r="CT114" s="11"/>
      <c r="CU114">
        <v>0</v>
      </c>
      <c r="CV114">
        <v>0</v>
      </c>
      <c r="CW114" s="1">
        <v>0</v>
      </c>
      <c r="EY114" s="12" t="str">
        <f t="shared" si="31"/>
        <v>Total Finance and Operating Lease (Right of use) Obligations Closing Balance</v>
      </c>
    </row>
    <row r="115" spans="1:155" ht="8.25" customHeight="1" x14ac:dyDescent="0.35">
      <c r="C115" s="234"/>
      <c r="D115" s="73"/>
      <c r="V115" s="4"/>
      <c r="BY115" s="6"/>
      <c r="CK115" s="11"/>
      <c r="CM115" s="11"/>
      <c r="CT115" s="11"/>
      <c r="CU115">
        <v>0</v>
      </c>
      <c r="CV115">
        <v>0</v>
      </c>
      <c r="CW115">
        <v>0</v>
      </c>
      <c r="EY115" s="12" t="str">
        <f t="shared" si="31"/>
        <v/>
      </c>
    </row>
    <row r="116" spans="1:155" x14ac:dyDescent="0.35">
      <c r="B116" s="5"/>
      <c r="C116" s="234"/>
      <c r="D116" s="72" t="s">
        <v>673</v>
      </c>
      <c r="CK116" s="11"/>
      <c r="CM116" s="11"/>
      <c r="CT116" s="11"/>
      <c r="CU116">
        <v>0</v>
      </c>
      <c r="CV116">
        <v>0</v>
      </c>
      <c r="CW116">
        <v>0</v>
      </c>
      <c r="EY116" s="10" t="str">
        <f>IF($C116="","",#REF!)</f>
        <v/>
      </c>
    </row>
    <row r="117" spans="1:155" x14ac:dyDescent="0.35">
      <c r="A117" s="220" cm="1">
        <f t="array" aca="1" ref="A117" ca="1">HYPERLINK(CONCATENATE("#",CELL("address",IF(MAX($CM117:$CT117)=0,A117,INDEX($CM117:$CT117,MATCH(1,$CM117:$CT117,0))))),MAX($CM117:$CT117))</f>
        <v>0</v>
      </c>
      <c r="C117" s="234" t="s">
        <v>1389</v>
      </c>
      <c r="D117" s="4" t="s">
        <v>890</v>
      </c>
      <c r="G117" s="8"/>
      <c r="H117" s="9" t="s">
        <v>665</v>
      </c>
      <c r="V117" s="654">
        <f>'Opening Balances'!$V$41+'Opening Balances'!$V$63</f>
        <v>0</v>
      </c>
      <c r="W117" s="653">
        <f>V122</f>
        <v>0</v>
      </c>
      <c r="X117" s="10">
        <f t="shared" ref="X117:Y117" si="38">W122</f>
        <v>0</v>
      </c>
      <c r="Y117" s="10">
        <f t="shared" si="38"/>
        <v>0</v>
      </c>
      <c r="AA117" s="653">
        <f>W117</f>
        <v>0</v>
      </c>
      <c r="AB117" s="653">
        <f t="shared" ref="AB117" si="39">AA122</f>
        <v>0</v>
      </c>
      <c r="AC117" s="653">
        <f t="shared" ref="AC117" si="40">AB122</f>
        <v>0</v>
      </c>
      <c r="AD117" s="653">
        <f t="shared" ref="AD117" si="41">AC122</f>
        <v>0</v>
      </c>
      <c r="AE117" s="653">
        <f t="shared" ref="AE117" si="42">AD122</f>
        <v>0</v>
      </c>
      <c r="AF117" s="653">
        <f t="shared" ref="AF117" si="43">AE122</f>
        <v>0</v>
      </c>
      <c r="AG117" s="653">
        <f t="shared" ref="AG117" si="44">AF122</f>
        <v>0</v>
      </c>
      <c r="AH117" s="653">
        <f t="shared" ref="AH117" si="45">AG122</f>
        <v>0</v>
      </c>
      <c r="AI117" s="653">
        <f t="shared" ref="AI117" si="46">AH122</f>
        <v>0</v>
      </c>
      <c r="AJ117" s="653">
        <f t="shared" ref="AJ117" si="47">AI122</f>
        <v>0</v>
      </c>
      <c r="AK117" s="653">
        <f t="shared" ref="AK117" si="48">AJ122</f>
        <v>0</v>
      </c>
      <c r="AL117" s="653">
        <f t="shared" ref="AL117" si="49">AK122</f>
        <v>0</v>
      </c>
      <c r="AM117" s="10">
        <f t="shared" ref="AM117" si="50">AL122</f>
        <v>0</v>
      </c>
      <c r="AN117" s="10">
        <f t="shared" ref="AN117" si="51">AM122</f>
        <v>0</v>
      </c>
      <c r="AO117" s="10">
        <f t="shared" ref="AO117" si="52">AN122</f>
        <v>0</v>
      </c>
      <c r="AP117" s="10">
        <f t="shared" ref="AP117" si="53">AO122</f>
        <v>0</v>
      </c>
      <c r="AQ117" s="10">
        <f t="shared" ref="AQ117" si="54">AP122</f>
        <v>0</v>
      </c>
      <c r="AR117" s="10">
        <f t="shared" ref="AR117" si="55">AQ122</f>
        <v>0</v>
      </c>
      <c r="AS117" s="10">
        <f t="shared" ref="AS117" si="56">AR122</f>
        <v>0</v>
      </c>
      <c r="AT117" s="10">
        <f t="shared" ref="AT117" si="57">AS122</f>
        <v>0</v>
      </c>
      <c r="AU117" s="10">
        <f t="shared" ref="AU117" si="58">AT122</f>
        <v>0</v>
      </c>
      <c r="AV117" s="10">
        <f t="shared" ref="AV117" si="59">AU122</f>
        <v>0</v>
      </c>
      <c r="AW117" s="10">
        <f t="shared" ref="AW117" si="60">AV122</f>
        <v>0</v>
      </c>
      <c r="AX117" s="10">
        <f t="shared" ref="AX117" si="61">AW122</f>
        <v>0</v>
      </c>
      <c r="AY117" s="10">
        <f t="shared" ref="AY117" si="62">AX122</f>
        <v>0</v>
      </c>
      <c r="AZ117" s="10">
        <f t="shared" ref="AZ117" si="63">AY122</f>
        <v>0</v>
      </c>
      <c r="BA117" s="10">
        <f t="shared" ref="BA117" si="64">AZ122</f>
        <v>0</v>
      </c>
      <c r="BB117" s="10">
        <f t="shared" ref="BB117" si="65">BA122</f>
        <v>0</v>
      </c>
      <c r="BC117" s="10">
        <f t="shared" ref="BC117" si="66">BB122</f>
        <v>0</v>
      </c>
      <c r="BD117" s="10">
        <f t="shared" ref="BD117" si="67">BC122</f>
        <v>0</v>
      </c>
      <c r="BE117" s="10">
        <f t="shared" ref="BE117" si="68">BD122</f>
        <v>0</v>
      </c>
      <c r="BF117" s="10">
        <f t="shared" ref="BF117" si="69">BE122</f>
        <v>0</v>
      </c>
      <c r="BG117" s="10">
        <f t="shared" ref="BG117" si="70">BF122</f>
        <v>0</v>
      </c>
      <c r="BH117" s="10">
        <f t="shared" ref="BH117" si="71">BG122</f>
        <v>0</v>
      </c>
      <c r="BI117" s="10">
        <f t="shared" ref="BI117" si="72">BH122</f>
        <v>0</v>
      </c>
      <c r="BJ117" s="10">
        <f t="shared" ref="BJ117" si="73">BI122</f>
        <v>0</v>
      </c>
      <c r="BX117" s="12">
        <f>V117</f>
        <v>0</v>
      </c>
      <c r="BY117" s="12">
        <f>W117</f>
        <v>0</v>
      </c>
      <c r="BZ117" s="12">
        <f>X117</f>
        <v>0</v>
      </c>
      <c r="CA117" s="12">
        <f>Y117</f>
        <v>0</v>
      </c>
      <c r="CB117" s="10">
        <f t="shared" ref="CB117" si="74">CA122</f>
        <v>0</v>
      </c>
      <c r="CC117" s="10">
        <f t="shared" ref="CC117" si="75">CB122</f>
        <v>0</v>
      </c>
      <c r="CD117" s="10">
        <f t="shared" ref="CD117" si="76">CC122</f>
        <v>0</v>
      </c>
      <c r="CE117" s="10">
        <f t="shared" ref="CE117" si="77">CD122</f>
        <v>0</v>
      </c>
      <c r="CF117" s="10">
        <f t="shared" ref="CF117" si="78">CE122</f>
        <v>0</v>
      </c>
      <c r="CG117" s="10">
        <f t="shared" ref="CG117" si="79">CF122</f>
        <v>0</v>
      </c>
      <c r="CH117" s="10">
        <f t="shared" ref="CH117" si="80">CG122</f>
        <v>0</v>
      </c>
      <c r="CI117" s="10">
        <f t="shared" ref="CI117" si="81">CH122</f>
        <v>0</v>
      </c>
      <c r="CK117" s="11"/>
      <c r="CM117" s="11"/>
      <c r="CS117" s="7">
        <f t="shared" ref="CS117:CS122" si="82">IF(SUM(V117:Y117)=SUM(BX117:CA117), 0, 1)</f>
        <v>0</v>
      </c>
      <c r="CT117" s="11"/>
      <c r="CU117">
        <v>0</v>
      </c>
      <c r="CV117">
        <v>0</v>
      </c>
      <c r="CW117">
        <v>0</v>
      </c>
      <c r="EY117" s="12" t="str">
        <f t="shared" ref="EY117:EY123" si="83">IF($C117="","",CONCATENATE(D$124," ",D117))</f>
        <v>Total Finance and Operating Lease (Right of use) Obligations Opening Balance</v>
      </c>
    </row>
    <row r="118" spans="1:155" x14ac:dyDescent="0.35">
      <c r="A118" s="220" cm="1">
        <f t="array" aca="1" ref="A118" ca="1">HYPERLINK(CONCATENATE("#",CELL("address",IF(MAX($CM118:$CT118)=0,A118,INDEX($CM118:$CT118,MATCH(1,$CM118:$CT118,0))))),MAX($CM118:$CT118))</f>
        <v>0</v>
      </c>
      <c r="C118" s="234" t="s">
        <v>969</v>
      </c>
      <c r="D118" s="73" t="s">
        <v>919</v>
      </c>
      <c r="G118" s="8"/>
      <c r="H118" s="9" t="s">
        <v>665</v>
      </c>
      <c r="V118" s="653">
        <f>'Investing Inputs'!V316</f>
        <v>0</v>
      </c>
      <c r="W118" s="653">
        <f>'Investing Inputs'!W316</f>
        <v>0</v>
      </c>
      <c r="X118" s="10">
        <f>'Investing Inputs'!X316</f>
        <v>0</v>
      </c>
      <c r="Y118" s="10">
        <f>'Investing Inputs'!Y316</f>
        <v>0</v>
      </c>
      <c r="AA118" s="653">
        <f>'Investing Inputs'!AA316</f>
        <v>0</v>
      </c>
      <c r="AB118" s="653">
        <f>'Investing Inputs'!AB316</f>
        <v>0</v>
      </c>
      <c r="AC118" s="653">
        <f>'Investing Inputs'!AC316</f>
        <v>0</v>
      </c>
      <c r="AD118" s="653">
        <f>'Investing Inputs'!AD316</f>
        <v>0</v>
      </c>
      <c r="AE118" s="653">
        <f>'Investing Inputs'!AE316</f>
        <v>0</v>
      </c>
      <c r="AF118" s="653">
        <f>'Investing Inputs'!AF316</f>
        <v>0</v>
      </c>
      <c r="AG118" s="653">
        <f>'Investing Inputs'!AG316</f>
        <v>0</v>
      </c>
      <c r="AH118" s="653">
        <f>'Investing Inputs'!AH316</f>
        <v>0</v>
      </c>
      <c r="AI118" s="653">
        <f>'Investing Inputs'!AI316</f>
        <v>0</v>
      </c>
      <c r="AJ118" s="653">
        <f>'Investing Inputs'!AJ316</f>
        <v>0</v>
      </c>
      <c r="AK118" s="653">
        <f>'Investing Inputs'!AK316</f>
        <v>0</v>
      </c>
      <c r="AL118" s="653">
        <f>'Investing Inputs'!AL316</f>
        <v>0</v>
      </c>
      <c r="AM118" s="10">
        <f>'Investing Inputs'!AM316</f>
        <v>0</v>
      </c>
      <c r="AN118" s="10">
        <f>'Investing Inputs'!AN316</f>
        <v>0</v>
      </c>
      <c r="AO118" s="10">
        <f>'Investing Inputs'!AO316</f>
        <v>0</v>
      </c>
      <c r="AP118" s="10">
        <f>'Investing Inputs'!AP316</f>
        <v>0</v>
      </c>
      <c r="AQ118" s="10">
        <f>'Investing Inputs'!AQ316</f>
        <v>0</v>
      </c>
      <c r="AR118" s="10">
        <f>'Investing Inputs'!AR316</f>
        <v>0</v>
      </c>
      <c r="AS118" s="10">
        <f>'Investing Inputs'!AS316</f>
        <v>0</v>
      </c>
      <c r="AT118" s="10">
        <f>'Investing Inputs'!AT316</f>
        <v>0</v>
      </c>
      <c r="AU118" s="10">
        <f>'Investing Inputs'!AU316</f>
        <v>0</v>
      </c>
      <c r="AV118" s="10">
        <f>'Investing Inputs'!AV316</f>
        <v>0</v>
      </c>
      <c r="AW118" s="10">
        <f>'Investing Inputs'!AW316</f>
        <v>0</v>
      </c>
      <c r="AX118" s="10">
        <f>'Investing Inputs'!AX316</f>
        <v>0</v>
      </c>
      <c r="AY118" s="10">
        <f>'Investing Inputs'!AY316</f>
        <v>0</v>
      </c>
      <c r="AZ118" s="10">
        <f>'Investing Inputs'!AZ316</f>
        <v>0</v>
      </c>
      <c r="BA118" s="10">
        <f>'Investing Inputs'!BA316</f>
        <v>0</v>
      </c>
      <c r="BB118" s="10">
        <f>'Investing Inputs'!BB316</f>
        <v>0</v>
      </c>
      <c r="BC118" s="10">
        <f>'Investing Inputs'!BC316</f>
        <v>0</v>
      </c>
      <c r="BD118" s="10">
        <f>'Investing Inputs'!BD316</f>
        <v>0</v>
      </c>
      <c r="BE118" s="10">
        <f>'Investing Inputs'!BE316</f>
        <v>0</v>
      </c>
      <c r="BF118" s="10">
        <f>'Investing Inputs'!BF316</f>
        <v>0</v>
      </c>
      <c r="BG118" s="10">
        <f>'Investing Inputs'!BG316</f>
        <v>0</v>
      </c>
      <c r="BH118" s="10">
        <f>'Investing Inputs'!BH316</f>
        <v>0</v>
      </c>
      <c r="BI118" s="10">
        <f>'Investing Inputs'!BI316</f>
        <v>0</v>
      </c>
      <c r="BJ118" s="10">
        <f>'Investing Inputs'!BJ316</f>
        <v>0</v>
      </c>
      <c r="BX118" s="10">
        <f>'Investing Inputs'!BX316</f>
        <v>0</v>
      </c>
      <c r="BY118" s="10">
        <f>'Investing Inputs'!BY316</f>
        <v>0</v>
      </c>
      <c r="BZ118" s="10">
        <f>'Investing Inputs'!BZ316</f>
        <v>0</v>
      </c>
      <c r="CA118" s="10">
        <f>'Investing Inputs'!CA316</f>
        <v>0</v>
      </c>
      <c r="CB118" s="10">
        <f>'Investing Inputs'!CB316</f>
        <v>0</v>
      </c>
      <c r="CC118" s="10">
        <f>'Investing Inputs'!CC316</f>
        <v>0</v>
      </c>
      <c r="CD118" s="10">
        <f>'Investing Inputs'!CD316</f>
        <v>0</v>
      </c>
      <c r="CE118" s="10">
        <f>'Investing Inputs'!CE316</f>
        <v>0</v>
      </c>
      <c r="CF118" s="10">
        <f>'Investing Inputs'!CF316</f>
        <v>0</v>
      </c>
      <c r="CG118" s="10">
        <f>'Investing Inputs'!CG316</f>
        <v>0</v>
      </c>
      <c r="CH118" s="10">
        <f>'Investing Inputs'!CH316</f>
        <v>0</v>
      </c>
      <c r="CI118" s="10">
        <f>'Investing Inputs'!CI316</f>
        <v>0</v>
      </c>
      <c r="CK118" s="11"/>
      <c r="CM118" s="11"/>
      <c r="CS118" s="7">
        <f t="shared" si="82"/>
        <v>0</v>
      </c>
      <c r="CT118" s="11"/>
      <c r="CU118">
        <v>0</v>
      </c>
      <c r="CV118">
        <v>0</v>
      </c>
      <c r="CW118">
        <v>0</v>
      </c>
      <c r="EY118" s="12" t="str">
        <f t="shared" si="83"/>
        <v>Total Finance and Operating Lease (Right of use) Obligations Additions</v>
      </c>
    </row>
    <row r="119" spans="1:155" x14ac:dyDescent="0.35">
      <c r="A119" s="220" cm="1">
        <f t="array" aca="1" ref="A119" ca="1">HYPERLINK(CONCATENATE("#",CELL("address",IF(MAX($CM119:$CT119)=0,A119,INDEX($CM119:$CT119,MATCH(1,$CM119:$CT119,0))))),MAX($CM119:$CT119))</f>
        <v>0</v>
      </c>
      <c r="B119" s="85" t="s">
        <v>122</v>
      </c>
      <c r="C119" s="234" t="s">
        <v>1390</v>
      </c>
      <c r="D119" s="73" t="s">
        <v>1343</v>
      </c>
      <c r="G119" s="8"/>
      <c r="H119" s="9" t="s">
        <v>665</v>
      </c>
      <c r="V119" s="648"/>
      <c r="W119" s="653">
        <f t="shared" ref="W119:Y121" si="84" xml:space="preserve"> SUMIFS($AA119:$BJ119, $AA$3:$BJ$3, W$3)</f>
        <v>0</v>
      </c>
      <c r="X119" s="133">
        <f t="shared" si="84"/>
        <v>0</v>
      </c>
      <c r="Y119" s="133">
        <f t="shared" si="84"/>
        <v>0</v>
      </c>
      <c r="AA119" s="649"/>
      <c r="AB119" s="649"/>
      <c r="AC119" s="649"/>
      <c r="AD119" s="649"/>
      <c r="AE119" s="649"/>
      <c r="AF119" s="649"/>
      <c r="AG119" s="649"/>
      <c r="AH119" s="649"/>
      <c r="AI119" s="649"/>
      <c r="AJ119" s="649"/>
      <c r="AK119" s="649"/>
      <c r="AL119" s="649"/>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X119" s="10">
        <f t="shared" ref="BX119:BX121" si="85">V119</f>
        <v>0</v>
      </c>
      <c r="BY119" s="10">
        <f t="shared" ref="BY119:BY121" si="86">W119</f>
        <v>0</v>
      </c>
      <c r="BZ119" s="10">
        <f t="shared" ref="BZ119:BZ121" si="87">X119</f>
        <v>0</v>
      </c>
      <c r="CA119" s="10">
        <f t="shared" ref="CA119:CA121" si="88">Y119</f>
        <v>0</v>
      </c>
      <c r="CB119" s="109"/>
      <c r="CC119" s="109"/>
      <c r="CD119" s="109"/>
      <c r="CE119" s="109"/>
      <c r="CF119" s="109"/>
      <c r="CG119" s="109"/>
      <c r="CH119" s="109"/>
      <c r="CI119" s="109"/>
      <c r="CK119" s="11"/>
      <c r="CL119" s="221">
        <f>IF(MIN($V119:$CI119)&lt;0, 1, 0)</f>
        <v>0</v>
      </c>
      <c r="CM119" s="11"/>
      <c r="CO119" s="7" cm="1">
        <f t="array" ref="CO119">SUMPRODUCT(--NOT(ISNUMBER(V119:CI119)),--NOT(ISBLANK(V119:CI119)))</f>
        <v>0</v>
      </c>
      <c r="CS119" s="7">
        <f t="shared" si="82"/>
        <v>0</v>
      </c>
      <c r="CT119" s="11"/>
      <c r="CU119">
        <v>1</v>
      </c>
      <c r="CV119">
        <v>1</v>
      </c>
      <c r="CW119">
        <v>0</v>
      </c>
      <c r="EY119" s="12" t="str">
        <f t="shared" si="83"/>
        <v xml:space="preserve">Total Finance and Operating Lease (Right of use) Obligations Interest Expense </v>
      </c>
    </row>
    <row r="120" spans="1:155" x14ac:dyDescent="0.35">
      <c r="A120" s="220" cm="1">
        <f t="array" aca="1" ref="A120" ca="1">HYPERLINK(CONCATENATE("#",CELL("address",IF(MAX($CM120:$CT120)=0,A120,INDEX($CM120:$CT120,MATCH(1,$CM120:$CT120,0))))),MAX($CM120:$CT120))</f>
        <v>0</v>
      </c>
      <c r="B120" s="85" t="s">
        <v>122</v>
      </c>
      <c r="C120" s="234" t="s">
        <v>1391</v>
      </c>
      <c r="D120" s="73" t="s">
        <v>1385</v>
      </c>
      <c r="E120" s="85" t="s">
        <v>122</v>
      </c>
      <c r="G120" s="8"/>
      <c r="H120" s="9" t="s">
        <v>1079</v>
      </c>
      <c r="V120" s="648"/>
      <c r="W120" s="653">
        <f t="shared" si="84"/>
        <v>0</v>
      </c>
      <c r="X120" s="133">
        <f t="shared" si="84"/>
        <v>0</v>
      </c>
      <c r="Y120" s="133">
        <f t="shared" si="84"/>
        <v>0</v>
      </c>
      <c r="AA120" s="649"/>
      <c r="AB120" s="649"/>
      <c r="AC120" s="649"/>
      <c r="AD120" s="649"/>
      <c r="AE120" s="649"/>
      <c r="AF120" s="649"/>
      <c r="AG120" s="649"/>
      <c r="AH120" s="649"/>
      <c r="AI120" s="649"/>
      <c r="AJ120" s="649"/>
      <c r="AK120" s="649"/>
      <c r="AL120" s="649"/>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X120" s="10">
        <f t="shared" si="85"/>
        <v>0</v>
      </c>
      <c r="BY120" s="10">
        <f t="shared" si="86"/>
        <v>0</v>
      </c>
      <c r="BZ120" s="10">
        <f t="shared" si="87"/>
        <v>0</v>
      </c>
      <c r="CA120" s="10">
        <f t="shared" si="88"/>
        <v>0</v>
      </c>
      <c r="CB120" s="109"/>
      <c r="CC120" s="109"/>
      <c r="CD120" s="109"/>
      <c r="CE120" s="109"/>
      <c r="CF120" s="109"/>
      <c r="CG120" s="109"/>
      <c r="CH120" s="109"/>
      <c r="CI120" s="109"/>
      <c r="CK120" s="11"/>
      <c r="CL120" s="221">
        <f>IF(MAX($V120:$CI120)&gt;0, 1, 0)</f>
        <v>0</v>
      </c>
      <c r="CM120" s="11"/>
      <c r="CO120" s="7" cm="1">
        <f t="array" ref="CO120">SUMPRODUCT(--NOT(ISNUMBER(V120:CI120)),--NOT(ISBLANK(V120:CI120)))</f>
        <v>0</v>
      </c>
      <c r="CS120" s="7">
        <f t="shared" si="82"/>
        <v>0</v>
      </c>
      <c r="CT120" s="11"/>
      <c r="CU120">
        <v>1</v>
      </c>
      <c r="CV120">
        <v>1</v>
      </c>
      <c r="CW120">
        <v>0</v>
      </c>
      <c r="EY120" s="12" t="str">
        <f t="shared" si="83"/>
        <v>Total Finance and Operating Lease (Right of use) Obligations Repayments</v>
      </c>
    </row>
    <row r="121" spans="1:155" x14ac:dyDescent="0.35">
      <c r="A121" s="220" cm="1">
        <f t="array" aca="1" ref="A121" ca="1">HYPERLINK(CONCATENATE("#",CELL("address",IF(MAX($CM121:$CT121)=0,A121,INDEX($CM121:$CT121,MATCH(1,$CM121:$CT121,0))))),MAX($CM121:$CT121))</f>
        <v>0</v>
      </c>
      <c r="B121" s="85" t="s">
        <v>122</v>
      </c>
      <c r="C121" s="234" t="s">
        <v>1392</v>
      </c>
      <c r="D121" s="73" t="s">
        <v>1387</v>
      </c>
      <c r="E121" s="283" t="s">
        <v>904</v>
      </c>
      <c r="G121" s="8"/>
      <c r="H121" s="9" t="s">
        <v>1079</v>
      </c>
      <c r="V121" s="648"/>
      <c r="W121" s="653">
        <f t="shared" si="84"/>
        <v>0</v>
      </c>
      <c r="X121" s="133">
        <f t="shared" si="84"/>
        <v>0</v>
      </c>
      <c r="Y121" s="133">
        <f t="shared" si="84"/>
        <v>0</v>
      </c>
      <c r="AA121" s="649"/>
      <c r="AB121" s="649"/>
      <c r="AC121" s="649"/>
      <c r="AD121" s="649"/>
      <c r="AE121" s="649"/>
      <c r="AF121" s="649"/>
      <c r="AG121" s="649"/>
      <c r="AH121" s="649"/>
      <c r="AI121" s="649"/>
      <c r="AJ121" s="649"/>
      <c r="AK121" s="649"/>
      <c r="AL121" s="649"/>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X121" s="10">
        <f t="shared" si="85"/>
        <v>0</v>
      </c>
      <c r="BY121" s="10">
        <f t="shared" si="86"/>
        <v>0</v>
      </c>
      <c r="BZ121" s="10">
        <f t="shared" si="87"/>
        <v>0</v>
      </c>
      <c r="CA121" s="10">
        <f t="shared" si="88"/>
        <v>0</v>
      </c>
      <c r="CB121" s="109"/>
      <c r="CC121" s="109"/>
      <c r="CD121" s="109"/>
      <c r="CE121" s="109"/>
      <c r="CF121" s="109"/>
      <c r="CG121" s="109"/>
      <c r="CH121" s="109"/>
      <c r="CI121" s="109"/>
      <c r="CK121" s="11"/>
      <c r="CL121" s="221">
        <f>IF(MAX($V121:$CI121)&gt;0, 1, 0)</f>
        <v>0</v>
      </c>
      <c r="CM121" s="11"/>
      <c r="CO121" s="7" cm="1">
        <f t="array" ref="CO121">SUMPRODUCT(--NOT(ISNUMBER(V121:CI121)),--NOT(ISBLANK(V121:CI121)))</f>
        <v>0</v>
      </c>
      <c r="CS121" s="7">
        <f t="shared" si="82"/>
        <v>0</v>
      </c>
      <c r="CT121" s="11"/>
      <c r="CU121">
        <v>1</v>
      </c>
      <c r="CV121">
        <v>1</v>
      </c>
      <c r="CW121">
        <v>0</v>
      </c>
      <c r="EY121" s="12" t="str">
        <f t="shared" si="83"/>
        <v>Total Finance and Operating Lease (Right of use) Obligations Interest payments</v>
      </c>
    </row>
    <row r="122" spans="1:155" x14ac:dyDescent="0.35">
      <c r="A122" s="220" cm="1">
        <f t="array" aca="1" ref="A122" ca="1">HYPERLINK(CONCATENATE("#",CELL("address",IF(MAX($CM122:$CT122)=0,A122,INDEX($CM122:$CT122,MATCH(1,$CM122:$CT122,0))))),MAX($CM122:$CT122))</f>
        <v>0</v>
      </c>
      <c r="C122" s="234" t="s">
        <v>1393</v>
      </c>
      <c r="D122" s="4" t="s">
        <v>906</v>
      </c>
      <c r="E122" s="215">
        <f>ROUND(V122-SUM(V117:V121), rounding)*$V$10</f>
        <v>0</v>
      </c>
      <c r="G122" s="8"/>
      <c r="H122" s="9" t="s">
        <v>665</v>
      </c>
      <c r="V122" s="654">
        <f>'Opening Balances'!W41+'Opening Balances'!W63</f>
        <v>0</v>
      </c>
      <c r="W122" s="653">
        <f>SUM(W117:W121)</f>
        <v>0</v>
      </c>
      <c r="X122" s="10">
        <f>SUM(X117:X121)</f>
        <v>0</v>
      </c>
      <c r="Y122" s="10">
        <f>SUM(Y117:Y121)</f>
        <v>0</v>
      </c>
      <c r="AA122" s="653">
        <f t="shared" ref="AA122:BJ122" si="89">SUM(AA117:AA121)</f>
        <v>0</v>
      </c>
      <c r="AB122" s="653">
        <f t="shared" si="89"/>
        <v>0</v>
      </c>
      <c r="AC122" s="653">
        <f t="shared" si="89"/>
        <v>0</v>
      </c>
      <c r="AD122" s="653">
        <f t="shared" si="89"/>
        <v>0</v>
      </c>
      <c r="AE122" s="653">
        <f t="shared" si="89"/>
        <v>0</v>
      </c>
      <c r="AF122" s="653">
        <f t="shared" si="89"/>
        <v>0</v>
      </c>
      <c r="AG122" s="653">
        <f t="shared" si="89"/>
        <v>0</v>
      </c>
      <c r="AH122" s="653">
        <f t="shared" si="89"/>
        <v>0</v>
      </c>
      <c r="AI122" s="653">
        <f t="shared" si="89"/>
        <v>0</v>
      </c>
      <c r="AJ122" s="653">
        <f t="shared" si="89"/>
        <v>0</v>
      </c>
      <c r="AK122" s="653">
        <f t="shared" si="89"/>
        <v>0</v>
      </c>
      <c r="AL122" s="653">
        <f t="shared" si="89"/>
        <v>0</v>
      </c>
      <c r="AM122" s="10">
        <f t="shared" si="89"/>
        <v>0</v>
      </c>
      <c r="AN122" s="10">
        <f t="shared" si="89"/>
        <v>0</v>
      </c>
      <c r="AO122" s="10">
        <f t="shared" si="89"/>
        <v>0</v>
      </c>
      <c r="AP122" s="10">
        <f t="shared" si="89"/>
        <v>0</v>
      </c>
      <c r="AQ122" s="10">
        <f t="shared" si="89"/>
        <v>0</v>
      </c>
      <c r="AR122" s="10">
        <f t="shared" si="89"/>
        <v>0</v>
      </c>
      <c r="AS122" s="10">
        <f t="shared" si="89"/>
        <v>0</v>
      </c>
      <c r="AT122" s="10">
        <f t="shared" si="89"/>
        <v>0</v>
      </c>
      <c r="AU122" s="10">
        <f t="shared" si="89"/>
        <v>0</v>
      </c>
      <c r="AV122" s="10">
        <f t="shared" si="89"/>
        <v>0</v>
      </c>
      <c r="AW122" s="10">
        <f t="shared" si="89"/>
        <v>0</v>
      </c>
      <c r="AX122" s="10">
        <f t="shared" si="89"/>
        <v>0</v>
      </c>
      <c r="AY122" s="10">
        <f t="shared" si="89"/>
        <v>0</v>
      </c>
      <c r="AZ122" s="10">
        <f t="shared" si="89"/>
        <v>0</v>
      </c>
      <c r="BA122" s="10">
        <f t="shared" si="89"/>
        <v>0</v>
      </c>
      <c r="BB122" s="10">
        <f t="shared" si="89"/>
        <v>0</v>
      </c>
      <c r="BC122" s="10">
        <f t="shared" si="89"/>
        <v>0</v>
      </c>
      <c r="BD122" s="10">
        <f t="shared" si="89"/>
        <v>0</v>
      </c>
      <c r="BE122" s="10">
        <f t="shared" si="89"/>
        <v>0</v>
      </c>
      <c r="BF122" s="10">
        <f t="shared" si="89"/>
        <v>0</v>
      </c>
      <c r="BG122" s="10">
        <f t="shared" si="89"/>
        <v>0</v>
      </c>
      <c r="BH122" s="10">
        <f t="shared" si="89"/>
        <v>0</v>
      </c>
      <c r="BI122" s="10">
        <f t="shared" si="89"/>
        <v>0</v>
      </c>
      <c r="BJ122" s="10">
        <f t="shared" si="89"/>
        <v>0</v>
      </c>
      <c r="BX122" s="12">
        <f>V122</f>
        <v>0</v>
      </c>
      <c r="BY122" s="10">
        <f t="shared" ref="BY122:CI122" si="90">SUM(BY117:BY121)</f>
        <v>0</v>
      </c>
      <c r="BZ122" s="10">
        <f t="shared" si="90"/>
        <v>0</v>
      </c>
      <c r="CA122" s="10">
        <f t="shared" si="90"/>
        <v>0</v>
      </c>
      <c r="CB122" s="10">
        <f t="shared" si="90"/>
        <v>0</v>
      </c>
      <c r="CC122" s="10">
        <f t="shared" si="90"/>
        <v>0</v>
      </c>
      <c r="CD122" s="10">
        <f t="shared" si="90"/>
        <v>0</v>
      </c>
      <c r="CE122" s="10">
        <f t="shared" si="90"/>
        <v>0</v>
      </c>
      <c r="CF122" s="10">
        <f t="shared" si="90"/>
        <v>0</v>
      </c>
      <c r="CG122" s="10">
        <f t="shared" si="90"/>
        <v>0</v>
      </c>
      <c r="CH122" s="10">
        <f t="shared" si="90"/>
        <v>0</v>
      </c>
      <c r="CI122" s="10">
        <f t="shared" si="90"/>
        <v>0</v>
      </c>
      <c r="CK122" s="11"/>
      <c r="CM122" s="11"/>
      <c r="CR122" s="7">
        <f>IF(ABS($E122)&gt;Parameters!$D$33, 1, 0)</f>
        <v>0</v>
      </c>
      <c r="CS122" s="7">
        <f t="shared" si="82"/>
        <v>0</v>
      </c>
      <c r="CT122" s="11"/>
      <c r="CU122">
        <v>0</v>
      </c>
      <c r="CV122">
        <v>0</v>
      </c>
      <c r="CW122" s="1">
        <v>0</v>
      </c>
      <c r="EY122" s="12" t="str">
        <f t="shared" si="83"/>
        <v>Total Finance and Operating Lease (Right of use) Obligations Closing Balance</v>
      </c>
    </row>
    <row r="123" spans="1:155" ht="8.25" customHeight="1" x14ac:dyDescent="0.35">
      <c r="C123" s="234"/>
      <c r="D123" s="73"/>
      <c r="V123" s="4"/>
      <c r="BY123" s="6"/>
      <c r="CK123" s="11"/>
      <c r="CM123" s="11"/>
      <c r="CT123" s="11"/>
      <c r="CU123">
        <v>0</v>
      </c>
      <c r="CV123">
        <v>0</v>
      </c>
      <c r="CW123">
        <v>0</v>
      </c>
      <c r="EY123" s="12" t="str">
        <f t="shared" si="83"/>
        <v/>
      </c>
    </row>
    <row r="124" spans="1:155" x14ac:dyDescent="0.35">
      <c r="B124" s="5"/>
      <c r="C124" s="234"/>
      <c r="D124" s="72" t="s">
        <v>1394</v>
      </c>
      <c r="CK124" s="11"/>
      <c r="CM124" s="11"/>
      <c r="CT124" s="11"/>
      <c r="CU124">
        <v>0</v>
      </c>
      <c r="CV124">
        <v>0</v>
      </c>
      <c r="CW124">
        <v>0</v>
      </c>
      <c r="EY124" s="10" t="str">
        <f>IF($C124="","",$D124)</f>
        <v/>
      </c>
    </row>
    <row r="125" spans="1:155" x14ac:dyDescent="0.35">
      <c r="A125" s="220" cm="1">
        <f t="array" aca="1" ref="A125" ca="1">HYPERLINK(CONCATENATE("#",CELL("address",IF(MAX($CM125:$CT125)=0,A125,INDEX($CM125:$CT125,MATCH(1,$CM125:$CT125,0))))),MAX($CM125:$CT125))</f>
        <v>0</v>
      </c>
      <c r="C125" s="211" t="s">
        <v>1395</v>
      </c>
      <c r="D125" t="s">
        <v>890</v>
      </c>
      <c r="G125" s="8"/>
      <c r="H125" s="9" t="s">
        <v>665</v>
      </c>
      <c r="V125" s="10">
        <f t="shared" ref="V125:Y125" si="91">V109+V117</f>
        <v>0</v>
      </c>
      <c r="W125" s="10">
        <f t="shared" si="91"/>
        <v>0</v>
      </c>
      <c r="X125" s="10">
        <f t="shared" si="91"/>
        <v>0</v>
      </c>
      <c r="Y125" s="10">
        <f t="shared" si="91"/>
        <v>0</v>
      </c>
      <c r="AA125" s="10">
        <f t="shared" ref="AA125:BJ125" si="92">AA109+AA117</f>
        <v>0</v>
      </c>
      <c r="AB125" s="10">
        <f t="shared" si="92"/>
        <v>0</v>
      </c>
      <c r="AC125" s="10">
        <f t="shared" si="92"/>
        <v>0</v>
      </c>
      <c r="AD125" s="10">
        <f t="shared" si="92"/>
        <v>0</v>
      </c>
      <c r="AE125" s="10">
        <f t="shared" si="92"/>
        <v>0</v>
      </c>
      <c r="AF125" s="10">
        <f t="shared" si="92"/>
        <v>0</v>
      </c>
      <c r="AG125" s="10">
        <f t="shared" si="92"/>
        <v>0</v>
      </c>
      <c r="AH125" s="10">
        <f t="shared" si="92"/>
        <v>0</v>
      </c>
      <c r="AI125" s="10">
        <f t="shared" si="92"/>
        <v>0</v>
      </c>
      <c r="AJ125" s="10">
        <f t="shared" si="92"/>
        <v>0</v>
      </c>
      <c r="AK125" s="10">
        <f t="shared" si="92"/>
        <v>0</v>
      </c>
      <c r="AL125" s="10">
        <f t="shared" si="92"/>
        <v>0</v>
      </c>
      <c r="AM125" s="10">
        <f t="shared" si="92"/>
        <v>0</v>
      </c>
      <c r="AN125" s="10">
        <f t="shared" si="92"/>
        <v>0</v>
      </c>
      <c r="AO125" s="10">
        <f t="shared" si="92"/>
        <v>0</v>
      </c>
      <c r="AP125" s="10">
        <f t="shared" si="92"/>
        <v>0</v>
      </c>
      <c r="AQ125" s="10">
        <f t="shared" si="92"/>
        <v>0</v>
      </c>
      <c r="AR125" s="10">
        <f t="shared" si="92"/>
        <v>0</v>
      </c>
      <c r="AS125" s="10">
        <f t="shared" si="92"/>
        <v>0</v>
      </c>
      <c r="AT125" s="10">
        <f t="shared" si="92"/>
        <v>0</v>
      </c>
      <c r="AU125" s="10">
        <f t="shared" si="92"/>
        <v>0</v>
      </c>
      <c r="AV125" s="10">
        <f t="shared" si="92"/>
        <v>0</v>
      </c>
      <c r="AW125" s="10">
        <f t="shared" si="92"/>
        <v>0</v>
      </c>
      <c r="AX125" s="10">
        <f t="shared" si="92"/>
        <v>0</v>
      </c>
      <c r="AY125" s="10">
        <f t="shared" si="92"/>
        <v>0</v>
      </c>
      <c r="AZ125" s="10">
        <f t="shared" si="92"/>
        <v>0</v>
      </c>
      <c r="BA125" s="10">
        <f t="shared" si="92"/>
        <v>0</v>
      </c>
      <c r="BB125" s="10">
        <f t="shared" si="92"/>
        <v>0</v>
      </c>
      <c r="BC125" s="10">
        <f t="shared" si="92"/>
        <v>0</v>
      </c>
      <c r="BD125" s="10">
        <f t="shared" si="92"/>
        <v>0</v>
      </c>
      <c r="BE125" s="10">
        <f t="shared" si="92"/>
        <v>0</v>
      </c>
      <c r="BF125" s="10">
        <f t="shared" si="92"/>
        <v>0</v>
      </c>
      <c r="BG125" s="10">
        <f t="shared" si="92"/>
        <v>0</v>
      </c>
      <c r="BH125" s="10">
        <f t="shared" si="92"/>
        <v>0</v>
      </c>
      <c r="BI125" s="10">
        <f t="shared" si="92"/>
        <v>0</v>
      </c>
      <c r="BJ125" s="10">
        <f t="shared" si="92"/>
        <v>0</v>
      </c>
      <c r="BX125" s="10">
        <f t="shared" ref="BX125:CI125" si="93">BX109+BX117</f>
        <v>0</v>
      </c>
      <c r="BY125" s="10">
        <f t="shared" si="93"/>
        <v>0</v>
      </c>
      <c r="BZ125" s="10">
        <f t="shared" si="93"/>
        <v>0</v>
      </c>
      <c r="CA125" s="10">
        <f t="shared" si="93"/>
        <v>0</v>
      </c>
      <c r="CB125" s="10">
        <f t="shared" si="93"/>
        <v>0</v>
      </c>
      <c r="CC125" s="10">
        <f t="shared" si="93"/>
        <v>0</v>
      </c>
      <c r="CD125" s="10">
        <f t="shared" si="93"/>
        <v>0</v>
      </c>
      <c r="CE125" s="10">
        <f t="shared" si="93"/>
        <v>0</v>
      </c>
      <c r="CF125" s="10">
        <f t="shared" si="93"/>
        <v>0</v>
      </c>
      <c r="CG125" s="10">
        <f t="shared" si="93"/>
        <v>0</v>
      </c>
      <c r="CH125" s="10">
        <f t="shared" si="93"/>
        <v>0</v>
      </c>
      <c r="CI125" s="10">
        <f t="shared" si="93"/>
        <v>0</v>
      </c>
      <c r="CK125" s="11"/>
      <c r="CM125" s="11"/>
      <c r="CS125" s="7">
        <f t="shared" ref="CS125:CS130" si="94">IF(SUM(V125:Y125)=SUM(BX125:CA125), 0, 1)</f>
        <v>0</v>
      </c>
      <c r="CT125" s="11"/>
      <c r="CU125">
        <v>0</v>
      </c>
      <c r="CV125">
        <v>0</v>
      </c>
      <c r="CW125">
        <v>0</v>
      </c>
      <c r="EY125" s="12" t="str">
        <f t="shared" ref="EY125:EY133" si="95">IF($C125="","",CONCATENATE(D$124," ",D125))</f>
        <v>Total Finance and Operating Lease (Right of use) Obligations Opening Balance</v>
      </c>
    </row>
    <row r="126" spans="1:155" x14ac:dyDescent="0.35">
      <c r="A126" s="220" cm="1">
        <f t="array" aca="1" ref="A126" ca="1">HYPERLINK(CONCATENATE("#",CELL("address",IF(MAX($CM126:$CT126)=0,A126,INDEX($CM126:$CT126,MATCH(1,$CM126:$CT126,0))))),MAX($CM126:$CT126))</f>
        <v>0</v>
      </c>
      <c r="C126" s="211" t="s">
        <v>961</v>
      </c>
      <c r="D126" s="1" t="s">
        <v>919</v>
      </c>
      <c r="G126" s="8"/>
      <c r="H126" s="9" t="s">
        <v>665</v>
      </c>
      <c r="V126" s="10">
        <f t="shared" ref="V126:Y126" si="96">V110+V118</f>
        <v>0</v>
      </c>
      <c r="W126" s="10">
        <f t="shared" si="96"/>
        <v>0</v>
      </c>
      <c r="X126" s="10">
        <f t="shared" si="96"/>
        <v>0</v>
      </c>
      <c r="Y126" s="10">
        <f t="shared" si="96"/>
        <v>0</v>
      </c>
      <c r="AA126" s="10">
        <f t="shared" ref="AA126:BJ126" si="97">AA110+AA118</f>
        <v>0</v>
      </c>
      <c r="AB126" s="10">
        <f t="shared" si="97"/>
        <v>0</v>
      </c>
      <c r="AC126" s="10">
        <f t="shared" si="97"/>
        <v>0</v>
      </c>
      <c r="AD126" s="10">
        <f t="shared" si="97"/>
        <v>0</v>
      </c>
      <c r="AE126" s="10">
        <f t="shared" si="97"/>
        <v>0</v>
      </c>
      <c r="AF126" s="10">
        <f t="shared" si="97"/>
        <v>0</v>
      </c>
      <c r="AG126" s="10">
        <f t="shared" si="97"/>
        <v>0</v>
      </c>
      <c r="AH126" s="10">
        <f t="shared" si="97"/>
        <v>0</v>
      </c>
      <c r="AI126" s="10">
        <f t="shared" si="97"/>
        <v>0</v>
      </c>
      <c r="AJ126" s="10">
        <f t="shared" si="97"/>
        <v>0</v>
      </c>
      <c r="AK126" s="10">
        <f t="shared" si="97"/>
        <v>0</v>
      </c>
      <c r="AL126" s="10">
        <f t="shared" si="97"/>
        <v>0</v>
      </c>
      <c r="AM126" s="10">
        <f t="shared" si="97"/>
        <v>0</v>
      </c>
      <c r="AN126" s="10">
        <f t="shared" si="97"/>
        <v>0</v>
      </c>
      <c r="AO126" s="10">
        <f t="shared" si="97"/>
        <v>0</v>
      </c>
      <c r="AP126" s="10">
        <f t="shared" si="97"/>
        <v>0</v>
      </c>
      <c r="AQ126" s="10">
        <f t="shared" si="97"/>
        <v>0</v>
      </c>
      <c r="AR126" s="10">
        <f t="shared" si="97"/>
        <v>0</v>
      </c>
      <c r="AS126" s="10">
        <f t="shared" si="97"/>
        <v>0</v>
      </c>
      <c r="AT126" s="10">
        <f t="shared" si="97"/>
        <v>0</v>
      </c>
      <c r="AU126" s="10">
        <f t="shared" si="97"/>
        <v>0</v>
      </c>
      <c r="AV126" s="10">
        <f t="shared" si="97"/>
        <v>0</v>
      </c>
      <c r="AW126" s="10">
        <f t="shared" si="97"/>
        <v>0</v>
      </c>
      <c r="AX126" s="10">
        <f t="shared" si="97"/>
        <v>0</v>
      </c>
      <c r="AY126" s="10">
        <f t="shared" si="97"/>
        <v>0</v>
      </c>
      <c r="AZ126" s="10">
        <f>AZ110+AZ118</f>
        <v>0</v>
      </c>
      <c r="BA126" s="10">
        <f t="shared" si="97"/>
        <v>0</v>
      </c>
      <c r="BB126" s="10">
        <f t="shared" si="97"/>
        <v>0</v>
      </c>
      <c r="BC126" s="10">
        <f t="shared" si="97"/>
        <v>0</v>
      </c>
      <c r="BD126" s="10">
        <f t="shared" si="97"/>
        <v>0</v>
      </c>
      <c r="BE126" s="10">
        <f t="shared" si="97"/>
        <v>0</v>
      </c>
      <c r="BF126" s="10">
        <f t="shared" si="97"/>
        <v>0</v>
      </c>
      <c r="BG126" s="10">
        <f t="shared" si="97"/>
        <v>0</v>
      </c>
      <c r="BH126" s="10">
        <f t="shared" si="97"/>
        <v>0</v>
      </c>
      <c r="BI126" s="10">
        <f t="shared" si="97"/>
        <v>0</v>
      </c>
      <c r="BJ126" s="10">
        <f t="shared" si="97"/>
        <v>0</v>
      </c>
      <c r="BX126" s="10">
        <f t="shared" ref="BX126:CI126" si="98">BX110+BX118</f>
        <v>0</v>
      </c>
      <c r="BY126" s="10">
        <f t="shared" si="98"/>
        <v>0</v>
      </c>
      <c r="BZ126" s="10">
        <f t="shared" si="98"/>
        <v>0</v>
      </c>
      <c r="CA126" s="10">
        <f>CA110+CA118</f>
        <v>0</v>
      </c>
      <c r="CB126" s="10">
        <f t="shared" si="98"/>
        <v>0</v>
      </c>
      <c r="CC126" s="10">
        <f t="shared" si="98"/>
        <v>0</v>
      </c>
      <c r="CD126" s="10">
        <f t="shared" si="98"/>
        <v>0</v>
      </c>
      <c r="CE126" s="10">
        <f t="shared" si="98"/>
        <v>0</v>
      </c>
      <c r="CF126" s="10">
        <f t="shared" si="98"/>
        <v>0</v>
      </c>
      <c r="CG126" s="10">
        <f t="shared" si="98"/>
        <v>0</v>
      </c>
      <c r="CH126" s="10">
        <f t="shared" si="98"/>
        <v>0</v>
      </c>
      <c r="CI126" s="10">
        <f t="shared" si="98"/>
        <v>0</v>
      </c>
      <c r="CK126" s="11"/>
      <c r="CM126" s="11"/>
      <c r="CS126" s="7">
        <f t="shared" si="94"/>
        <v>0</v>
      </c>
      <c r="CT126" s="11"/>
      <c r="CU126">
        <v>0</v>
      </c>
      <c r="CV126">
        <v>0</v>
      </c>
      <c r="CW126">
        <v>0</v>
      </c>
      <c r="EY126" s="12" t="str">
        <f t="shared" si="95"/>
        <v>Total Finance and Operating Lease (Right of use) Obligations Additions</v>
      </c>
    </row>
    <row r="127" spans="1:155" x14ac:dyDescent="0.35">
      <c r="A127" s="220" cm="1">
        <f t="array" aca="1" ref="A127" ca="1">HYPERLINK(CONCATENATE("#",CELL("address",IF(MAX($CM127:$CT127)=0,A127,INDEX($CM127:$CT127,MATCH(1,$CM127:$CT127,0))))),MAX($CM127:$CT127))</f>
        <v>0</v>
      </c>
      <c r="C127" s="211" t="s">
        <v>1396</v>
      </c>
      <c r="D127" s="1" t="s">
        <v>1343</v>
      </c>
      <c r="G127" s="8"/>
      <c r="H127" s="9" t="s">
        <v>665</v>
      </c>
      <c r="V127" s="10">
        <f t="shared" ref="V127:Y127" si="99">V111+V119</f>
        <v>0</v>
      </c>
      <c r="W127" s="10">
        <f t="shared" si="99"/>
        <v>0</v>
      </c>
      <c r="X127" s="10">
        <f t="shared" si="99"/>
        <v>0</v>
      </c>
      <c r="Y127" s="10">
        <f t="shared" si="99"/>
        <v>0</v>
      </c>
      <c r="AA127" s="10">
        <f t="shared" ref="AA127:BJ127" si="100">AA111+AA119</f>
        <v>0</v>
      </c>
      <c r="AB127" s="10">
        <f t="shared" si="100"/>
        <v>0</v>
      </c>
      <c r="AC127" s="10">
        <f t="shared" si="100"/>
        <v>0</v>
      </c>
      <c r="AD127" s="10">
        <f t="shared" si="100"/>
        <v>0</v>
      </c>
      <c r="AE127" s="10">
        <f t="shared" si="100"/>
        <v>0</v>
      </c>
      <c r="AF127" s="10">
        <f t="shared" si="100"/>
        <v>0</v>
      </c>
      <c r="AG127" s="10">
        <f t="shared" si="100"/>
        <v>0</v>
      </c>
      <c r="AH127" s="10">
        <f t="shared" si="100"/>
        <v>0</v>
      </c>
      <c r="AI127" s="10">
        <f t="shared" si="100"/>
        <v>0</v>
      </c>
      <c r="AJ127" s="10">
        <f t="shared" si="100"/>
        <v>0</v>
      </c>
      <c r="AK127" s="10">
        <f t="shared" si="100"/>
        <v>0</v>
      </c>
      <c r="AL127" s="10">
        <f t="shared" si="100"/>
        <v>0</v>
      </c>
      <c r="AM127" s="10">
        <f t="shared" si="100"/>
        <v>0</v>
      </c>
      <c r="AN127" s="10">
        <f t="shared" si="100"/>
        <v>0</v>
      </c>
      <c r="AO127" s="10">
        <f t="shared" si="100"/>
        <v>0</v>
      </c>
      <c r="AP127" s="10">
        <f t="shared" si="100"/>
        <v>0</v>
      </c>
      <c r="AQ127" s="10">
        <f t="shared" si="100"/>
        <v>0</v>
      </c>
      <c r="AR127" s="10">
        <f t="shared" si="100"/>
        <v>0</v>
      </c>
      <c r="AS127" s="10">
        <f t="shared" si="100"/>
        <v>0</v>
      </c>
      <c r="AT127" s="10">
        <f t="shared" si="100"/>
        <v>0</v>
      </c>
      <c r="AU127" s="10">
        <f t="shared" si="100"/>
        <v>0</v>
      </c>
      <c r="AV127" s="10">
        <f t="shared" si="100"/>
        <v>0</v>
      </c>
      <c r="AW127" s="10">
        <f t="shared" si="100"/>
        <v>0</v>
      </c>
      <c r="AX127" s="10">
        <f t="shared" si="100"/>
        <v>0</v>
      </c>
      <c r="AY127" s="10">
        <f t="shared" si="100"/>
        <v>0</v>
      </c>
      <c r="AZ127" s="10">
        <f t="shared" si="100"/>
        <v>0</v>
      </c>
      <c r="BA127" s="10">
        <f t="shared" si="100"/>
        <v>0</v>
      </c>
      <c r="BB127" s="10">
        <f t="shared" si="100"/>
        <v>0</v>
      </c>
      <c r="BC127" s="10">
        <f t="shared" si="100"/>
        <v>0</v>
      </c>
      <c r="BD127" s="10">
        <f t="shared" si="100"/>
        <v>0</v>
      </c>
      <c r="BE127" s="10">
        <f t="shared" si="100"/>
        <v>0</v>
      </c>
      <c r="BF127" s="10">
        <f t="shared" si="100"/>
        <v>0</v>
      </c>
      <c r="BG127" s="10">
        <f t="shared" si="100"/>
        <v>0</v>
      </c>
      <c r="BH127" s="10">
        <f t="shared" si="100"/>
        <v>0</v>
      </c>
      <c r="BI127" s="10">
        <f t="shared" si="100"/>
        <v>0</v>
      </c>
      <c r="BJ127" s="10">
        <f t="shared" si="100"/>
        <v>0</v>
      </c>
      <c r="BX127" s="10">
        <f t="shared" ref="BX127:CI127" si="101">BX111+BX119</f>
        <v>0</v>
      </c>
      <c r="BY127" s="10">
        <f t="shared" si="101"/>
        <v>0</v>
      </c>
      <c r="BZ127" s="10">
        <f t="shared" si="101"/>
        <v>0</v>
      </c>
      <c r="CA127" s="10">
        <f t="shared" si="101"/>
        <v>0</v>
      </c>
      <c r="CB127" s="10">
        <f t="shared" si="101"/>
        <v>0</v>
      </c>
      <c r="CC127" s="10">
        <f t="shared" si="101"/>
        <v>0</v>
      </c>
      <c r="CD127" s="10">
        <f t="shared" si="101"/>
        <v>0</v>
      </c>
      <c r="CE127" s="10">
        <f t="shared" si="101"/>
        <v>0</v>
      </c>
      <c r="CF127" s="10">
        <f t="shared" si="101"/>
        <v>0</v>
      </c>
      <c r="CG127" s="10">
        <f t="shared" si="101"/>
        <v>0</v>
      </c>
      <c r="CH127" s="10">
        <f t="shared" si="101"/>
        <v>0</v>
      </c>
      <c r="CI127" s="10">
        <f t="shared" si="101"/>
        <v>0</v>
      </c>
      <c r="CK127" s="11"/>
      <c r="CL127" s="221">
        <f>IF(MIN($V127:$CI127)&lt;0, 1, 0)</f>
        <v>0</v>
      </c>
      <c r="CM127" s="11"/>
      <c r="CO127" s="7" cm="1">
        <f t="array" ref="CO127">SUMPRODUCT(--NOT(ISNUMBER(V127:CI127)),--NOT(ISBLANK(V127:CI127)))</f>
        <v>0</v>
      </c>
      <c r="CS127" s="7">
        <f t="shared" si="94"/>
        <v>0</v>
      </c>
      <c r="CT127" s="11"/>
      <c r="CU127">
        <v>1</v>
      </c>
      <c r="CV127">
        <v>1</v>
      </c>
      <c r="CW127">
        <v>0</v>
      </c>
      <c r="EY127" s="12" t="str">
        <f t="shared" si="95"/>
        <v xml:space="preserve">Total Finance and Operating Lease (Right of use) Obligations Interest Expense </v>
      </c>
    </row>
    <row r="128" spans="1:155" x14ac:dyDescent="0.35">
      <c r="A128" s="220" cm="1">
        <f t="array" aca="1" ref="A128" ca="1">HYPERLINK(CONCATENATE("#",CELL("address",IF(MAX($CM128:$CT128)=0,A128,INDEX($CM128:$CT128,MATCH(1,$CM128:$CT128,0))))),MAX($CM128:$CT128))</f>
        <v>0</v>
      </c>
      <c r="C128" s="211" t="s">
        <v>1397</v>
      </c>
      <c r="D128" s="1" t="s">
        <v>1385</v>
      </c>
      <c r="E128" s="85"/>
      <c r="G128" s="8"/>
      <c r="H128" s="9" t="s">
        <v>1079</v>
      </c>
      <c r="V128" s="10">
        <f t="shared" ref="V128:Y128" si="102">V112+V120</f>
        <v>0</v>
      </c>
      <c r="W128" s="10">
        <f t="shared" si="102"/>
        <v>0</v>
      </c>
      <c r="X128" s="10">
        <f t="shared" si="102"/>
        <v>0</v>
      </c>
      <c r="Y128" s="10">
        <f t="shared" si="102"/>
        <v>0</v>
      </c>
      <c r="AA128" s="10">
        <f t="shared" ref="AA128:BJ128" si="103">AA112+AA120</f>
        <v>0</v>
      </c>
      <c r="AB128" s="10">
        <f t="shared" si="103"/>
        <v>0</v>
      </c>
      <c r="AC128" s="10">
        <f t="shared" si="103"/>
        <v>0</v>
      </c>
      <c r="AD128" s="10">
        <f t="shared" si="103"/>
        <v>0</v>
      </c>
      <c r="AE128" s="10">
        <f t="shared" si="103"/>
        <v>0</v>
      </c>
      <c r="AF128" s="10">
        <f t="shared" si="103"/>
        <v>0</v>
      </c>
      <c r="AG128" s="10">
        <f t="shared" si="103"/>
        <v>0</v>
      </c>
      <c r="AH128" s="10">
        <f t="shared" si="103"/>
        <v>0</v>
      </c>
      <c r="AI128" s="10">
        <f t="shared" si="103"/>
        <v>0</v>
      </c>
      <c r="AJ128" s="10">
        <f t="shared" si="103"/>
        <v>0</v>
      </c>
      <c r="AK128" s="10">
        <f t="shared" si="103"/>
        <v>0</v>
      </c>
      <c r="AL128" s="10">
        <f t="shared" si="103"/>
        <v>0</v>
      </c>
      <c r="AM128" s="10">
        <f t="shared" si="103"/>
        <v>0</v>
      </c>
      <c r="AN128" s="10">
        <f t="shared" si="103"/>
        <v>0</v>
      </c>
      <c r="AO128" s="10">
        <f t="shared" si="103"/>
        <v>0</v>
      </c>
      <c r="AP128" s="10">
        <f t="shared" si="103"/>
        <v>0</v>
      </c>
      <c r="AQ128" s="10">
        <f t="shared" si="103"/>
        <v>0</v>
      </c>
      <c r="AR128" s="10">
        <f t="shared" si="103"/>
        <v>0</v>
      </c>
      <c r="AS128" s="10">
        <f t="shared" si="103"/>
        <v>0</v>
      </c>
      <c r="AT128" s="10">
        <f t="shared" si="103"/>
        <v>0</v>
      </c>
      <c r="AU128" s="10">
        <f t="shared" si="103"/>
        <v>0</v>
      </c>
      <c r="AV128" s="10">
        <f t="shared" si="103"/>
        <v>0</v>
      </c>
      <c r="AW128" s="10">
        <f t="shared" si="103"/>
        <v>0</v>
      </c>
      <c r="AX128" s="10">
        <f t="shared" si="103"/>
        <v>0</v>
      </c>
      <c r="AY128" s="10">
        <f t="shared" si="103"/>
        <v>0</v>
      </c>
      <c r="AZ128" s="10">
        <f t="shared" si="103"/>
        <v>0</v>
      </c>
      <c r="BA128" s="10">
        <f t="shared" si="103"/>
        <v>0</v>
      </c>
      <c r="BB128" s="10">
        <f t="shared" si="103"/>
        <v>0</v>
      </c>
      <c r="BC128" s="10">
        <f t="shared" si="103"/>
        <v>0</v>
      </c>
      <c r="BD128" s="10">
        <f t="shared" si="103"/>
        <v>0</v>
      </c>
      <c r="BE128" s="10">
        <f t="shared" si="103"/>
        <v>0</v>
      </c>
      <c r="BF128" s="10">
        <f t="shared" si="103"/>
        <v>0</v>
      </c>
      <c r="BG128" s="10">
        <f t="shared" si="103"/>
        <v>0</v>
      </c>
      <c r="BH128" s="10">
        <f t="shared" si="103"/>
        <v>0</v>
      </c>
      <c r="BI128" s="10">
        <f t="shared" si="103"/>
        <v>0</v>
      </c>
      <c r="BJ128" s="10">
        <f t="shared" si="103"/>
        <v>0</v>
      </c>
      <c r="BX128" s="10">
        <f t="shared" ref="BX128:CI128" si="104">BX112+BX120</f>
        <v>0</v>
      </c>
      <c r="BY128" s="10">
        <f t="shared" si="104"/>
        <v>0</v>
      </c>
      <c r="BZ128" s="10">
        <f t="shared" si="104"/>
        <v>0</v>
      </c>
      <c r="CA128" s="10">
        <f t="shared" si="104"/>
        <v>0</v>
      </c>
      <c r="CB128" s="10">
        <f t="shared" si="104"/>
        <v>0</v>
      </c>
      <c r="CC128" s="10">
        <f t="shared" si="104"/>
        <v>0</v>
      </c>
      <c r="CD128" s="10">
        <f t="shared" si="104"/>
        <v>0</v>
      </c>
      <c r="CE128" s="10">
        <f t="shared" si="104"/>
        <v>0</v>
      </c>
      <c r="CF128" s="10">
        <f t="shared" si="104"/>
        <v>0</v>
      </c>
      <c r="CG128" s="10">
        <f t="shared" si="104"/>
        <v>0</v>
      </c>
      <c r="CH128" s="10">
        <f t="shared" si="104"/>
        <v>0</v>
      </c>
      <c r="CI128" s="10">
        <f t="shared" si="104"/>
        <v>0</v>
      </c>
      <c r="CK128" s="11"/>
      <c r="CL128" s="221">
        <f>IF(MAX($V128:$CI128)&gt;0, 1, 0)</f>
        <v>0</v>
      </c>
      <c r="CM128" s="11"/>
      <c r="CO128" s="7" cm="1">
        <f t="array" ref="CO128">SUMPRODUCT(--NOT(ISNUMBER(V128:CI128)),--NOT(ISBLANK(V128:CI128)))</f>
        <v>0</v>
      </c>
      <c r="CS128" s="7">
        <f t="shared" si="94"/>
        <v>0</v>
      </c>
      <c r="CT128" s="11"/>
      <c r="CU128">
        <v>1</v>
      </c>
      <c r="CV128">
        <v>1</v>
      </c>
      <c r="CW128">
        <v>0</v>
      </c>
      <c r="EY128" s="12" t="str">
        <f t="shared" si="95"/>
        <v>Total Finance and Operating Lease (Right of use) Obligations Repayments</v>
      </c>
    </row>
    <row r="129" spans="1:155" x14ac:dyDescent="0.35">
      <c r="A129" s="220" cm="1">
        <f t="array" aca="1" ref="A129" ca="1">HYPERLINK(CONCATENATE("#",CELL("address",IF(MAX($CM129:$CT129)=0,A129,INDEX($CM129:$CT129,MATCH(1,$CM129:$CT129,0))))),MAX($CM129:$CT129))</f>
        <v>0</v>
      </c>
      <c r="C129" s="211" t="s">
        <v>1398</v>
      </c>
      <c r="D129" s="1" t="s">
        <v>1387</v>
      </c>
      <c r="E129" s="283"/>
      <c r="G129" s="8"/>
      <c r="H129" s="9" t="s">
        <v>1079</v>
      </c>
      <c r="V129" s="10">
        <f t="shared" ref="V129:Y129" si="105">V113+V121</f>
        <v>0</v>
      </c>
      <c r="W129" s="10">
        <f t="shared" si="105"/>
        <v>0</v>
      </c>
      <c r="X129" s="10">
        <f t="shared" si="105"/>
        <v>0</v>
      </c>
      <c r="Y129" s="10">
        <f t="shared" si="105"/>
        <v>0</v>
      </c>
      <c r="AA129" s="10">
        <f t="shared" ref="AA129:BJ129" si="106">AA113+AA121</f>
        <v>0</v>
      </c>
      <c r="AB129" s="10">
        <f t="shared" si="106"/>
        <v>0</v>
      </c>
      <c r="AC129" s="10">
        <f t="shared" si="106"/>
        <v>0</v>
      </c>
      <c r="AD129" s="10">
        <f t="shared" si="106"/>
        <v>0</v>
      </c>
      <c r="AE129" s="10">
        <f t="shared" si="106"/>
        <v>0</v>
      </c>
      <c r="AF129" s="10">
        <f t="shared" si="106"/>
        <v>0</v>
      </c>
      <c r="AG129" s="10">
        <f t="shared" si="106"/>
        <v>0</v>
      </c>
      <c r="AH129" s="10">
        <f t="shared" si="106"/>
        <v>0</v>
      </c>
      <c r="AI129" s="10">
        <f t="shared" si="106"/>
        <v>0</v>
      </c>
      <c r="AJ129" s="10">
        <f t="shared" si="106"/>
        <v>0</v>
      </c>
      <c r="AK129" s="10">
        <f t="shared" si="106"/>
        <v>0</v>
      </c>
      <c r="AL129" s="10">
        <f t="shared" si="106"/>
        <v>0</v>
      </c>
      <c r="AM129" s="10">
        <f t="shared" si="106"/>
        <v>0</v>
      </c>
      <c r="AN129" s="10">
        <f t="shared" si="106"/>
        <v>0</v>
      </c>
      <c r="AO129" s="10">
        <f t="shared" si="106"/>
        <v>0</v>
      </c>
      <c r="AP129" s="10">
        <f t="shared" si="106"/>
        <v>0</v>
      </c>
      <c r="AQ129" s="10">
        <f t="shared" si="106"/>
        <v>0</v>
      </c>
      <c r="AR129" s="10">
        <f t="shared" si="106"/>
        <v>0</v>
      </c>
      <c r="AS129" s="10">
        <f t="shared" si="106"/>
        <v>0</v>
      </c>
      <c r="AT129" s="10">
        <f t="shared" si="106"/>
        <v>0</v>
      </c>
      <c r="AU129" s="10">
        <f t="shared" si="106"/>
        <v>0</v>
      </c>
      <c r="AV129" s="10">
        <f t="shared" si="106"/>
        <v>0</v>
      </c>
      <c r="AW129" s="10">
        <f t="shared" si="106"/>
        <v>0</v>
      </c>
      <c r="AX129" s="10">
        <f t="shared" si="106"/>
        <v>0</v>
      </c>
      <c r="AY129" s="10">
        <f t="shared" si="106"/>
        <v>0</v>
      </c>
      <c r="AZ129" s="10">
        <f t="shared" si="106"/>
        <v>0</v>
      </c>
      <c r="BA129" s="10">
        <f t="shared" si="106"/>
        <v>0</v>
      </c>
      <c r="BB129" s="10">
        <f t="shared" si="106"/>
        <v>0</v>
      </c>
      <c r="BC129" s="10">
        <f t="shared" si="106"/>
        <v>0</v>
      </c>
      <c r="BD129" s="10">
        <f t="shared" si="106"/>
        <v>0</v>
      </c>
      <c r="BE129" s="10">
        <f t="shared" si="106"/>
        <v>0</v>
      </c>
      <c r="BF129" s="10">
        <f t="shared" si="106"/>
        <v>0</v>
      </c>
      <c r="BG129" s="10">
        <f t="shared" si="106"/>
        <v>0</v>
      </c>
      <c r="BH129" s="10">
        <f t="shared" si="106"/>
        <v>0</v>
      </c>
      <c r="BI129" s="10">
        <f t="shared" si="106"/>
        <v>0</v>
      </c>
      <c r="BJ129" s="10">
        <f t="shared" si="106"/>
        <v>0</v>
      </c>
      <c r="BX129" s="10">
        <f t="shared" ref="BX129:CI129" si="107">BX113+BX121</f>
        <v>0</v>
      </c>
      <c r="BY129" s="10">
        <f t="shared" si="107"/>
        <v>0</v>
      </c>
      <c r="BZ129" s="10">
        <f t="shared" si="107"/>
        <v>0</v>
      </c>
      <c r="CA129" s="10">
        <f t="shared" si="107"/>
        <v>0</v>
      </c>
      <c r="CB129" s="10">
        <f t="shared" si="107"/>
        <v>0</v>
      </c>
      <c r="CC129" s="10">
        <f t="shared" si="107"/>
        <v>0</v>
      </c>
      <c r="CD129" s="10">
        <f t="shared" si="107"/>
        <v>0</v>
      </c>
      <c r="CE129" s="10">
        <f t="shared" si="107"/>
        <v>0</v>
      </c>
      <c r="CF129" s="10">
        <f t="shared" si="107"/>
        <v>0</v>
      </c>
      <c r="CG129" s="10">
        <f t="shared" si="107"/>
        <v>0</v>
      </c>
      <c r="CH129" s="10">
        <f t="shared" si="107"/>
        <v>0</v>
      </c>
      <c r="CI129" s="10">
        <f t="shared" si="107"/>
        <v>0</v>
      </c>
      <c r="CK129" s="11"/>
      <c r="CL129" s="221">
        <f>IF(MAX($V129:$CI129)&gt;0, 1, 0)</f>
        <v>0</v>
      </c>
      <c r="CM129" s="11"/>
      <c r="CO129" s="7" cm="1">
        <f t="array" ref="CO129">SUMPRODUCT(--NOT(ISNUMBER(V129:CI129)),--NOT(ISBLANK(V129:CI129)))</f>
        <v>0</v>
      </c>
      <c r="CS129" s="7">
        <f t="shared" si="94"/>
        <v>0</v>
      </c>
      <c r="CT129" s="11"/>
      <c r="CU129">
        <v>1</v>
      </c>
      <c r="CV129">
        <v>1</v>
      </c>
      <c r="CW129">
        <v>0</v>
      </c>
      <c r="EY129" s="12" t="str">
        <f t="shared" si="95"/>
        <v>Total Finance and Operating Lease (Right of use) Obligations Interest payments</v>
      </c>
    </row>
    <row r="130" spans="1:155" x14ac:dyDescent="0.35">
      <c r="A130" s="220" cm="1">
        <f t="array" aca="1" ref="A130" ca="1">HYPERLINK(CONCATENATE("#",CELL("address",IF(MAX($CM130:$CT130)=0,A130,INDEX($CM130:$CT130,MATCH(1,$CM130:$CT130,0))))),MAX($CM130:$CT130))</f>
        <v>0</v>
      </c>
      <c r="C130" s="211" t="s">
        <v>1399</v>
      </c>
      <c r="D130" t="s">
        <v>906</v>
      </c>
      <c r="E130" s="283"/>
      <c r="G130" s="8"/>
      <c r="H130" s="9" t="s">
        <v>665</v>
      </c>
      <c r="V130" s="10">
        <f t="shared" ref="V130:Y130" si="108">V114+V122</f>
        <v>0</v>
      </c>
      <c r="W130" s="10">
        <f t="shared" si="108"/>
        <v>0</v>
      </c>
      <c r="X130" s="10">
        <f t="shared" si="108"/>
        <v>0</v>
      </c>
      <c r="Y130" s="10">
        <f t="shared" si="108"/>
        <v>0</v>
      </c>
      <c r="AA130" s="10">
        <f t="shared" ref="AA130:BJ130" si="109">AA114+AA122</f>
        <v>0</v>
      </c>
      <c r="AB130" s="10">
        <f t="shared" si="109"/>
        <v>0</v>
      </c>
      <c r="AC130" s="10">
        <f t="shared" si="109"/>
        <v>0</v>
      </c>
      <c r="AD130" s="10">
        <f t="shared" si="109"/>
        <v>0</v>
      </c>
      <c r="AE130" s="10">
        <f t="shared" si="109"/>
        <v>0</v>
      </c>
      <c r="AF130" s="10">
        <f t="shared" si="109"/>
        <v>0</v>
      </c>
      <c r="AG130" s="10">
        <f t="shared" si="109"/>
        <v>0</v>
      </c>
      <c r="AH130" s="10">
        <f t="shared" si="109"/>
        <v>0</v>
      </c>
      <c r="AI130" s="10">
        <f t="shared" si="109"/>
        <v>0</v>
      </c>
      <c r="AJ130" s="10">
        <f t="shared" si="109"/>
        <v>0</v>
      </c>
      <c r="AK130" s="10">
        <f t="shared" si="109"/>
        <v>0</v>
      </c>
      <c r="AL130" s="10">
        <f t="shared" si="109"/>
        <v>0</v>
      </c>
      <c r="AM130" s="10">
        <f t="shared" si="109"/>
        <v>0</v>
      </c>
      <c r="AN130" s="10">
        <f t="shared" si="109"/>
        <v>0</v>
      </c>
      <c r="AO130" s="10">
        <f t="shared" si="109"/>
        <v>0</v>
      </c>
      <c r="AP130" s="10">
        <f t="shared" si="109"/>
        <v>0</v>
      </c>
      <c r="AQ130" s="10">
        <f t="shared" si="109"/>
        <v>0</v>
      </c>
      <c r="AR130" s="10">
        <f t="shared" si="109"/>
        <v>0</v>
      </c>
      <c r="AS130" s="10">
        <f t="shared" si="109"/>
        <v>0</v>
      </c>
      <c r="AT130" s="10">
        <f t="shared" si="109"/>
        <v>0</v>
      </c>
      <c r="AU130" s="10">
        <f t="shared" si="109"/>
        <v>0</v>
      </c>
      <c r="AV130" s="10">
        <f t="shared" si="109"/>
        <v>0</v>
      </c>
      <c r="AW130" s="10">
        <f t="shared" si="109"/>
        <v>0</v>
      </c>
      <c r="AX130" s="10">
        <f t="shared" si="109"/>
        <v>0</v>
      </c>
      <c r="AY130" s="10">
        <f t="shared" si="109"/>
        <v>0</v>
      </c>
      <c r="AZ130" s="10">
        <f t="shared" si="109"/>
        <v>0</v>
      </c>
      <c r="BA130" s="10">
        <f t="shared" si="109"/>
        <v>0</v>
      </c>
      <c r="BB130" s="10">
        <f t="shared" si="109"/>
        <v>0</v>
      </c>
      <c r="BC130" s="10">
        <f t="shared" si="109"/>
        <v>0</v>
      </c>
      <c r="BD130" s="10">
        <f t="shared" si="109"/>
        <v>0</v>
      </c>
      <c r="BE130" s="10">
        <f t="shared" si="109"/>
        <v>0</v>
      </c>
      <c r="BF130" s="10">
        <f t="shared" si="109"/>
        <v>0</v>
      </c>
      <c r="BG130" s="10">
        <f t="shared" si="109"/>
        <v>0</v>
      </c>
      <c r="BH130" s="10">
        <f t="shared" si="109"/>
        <v>0</v>
      </c>
      <c r="BI130" s="10">
        <f t="shared" si="109"/>
        <v>0</v>
      </c>
      <c r="BJ130" s="10">
        <f t="shared" si="109"/>
        <v>0</v>
      </c>
      <c r="BX130" s="10">
        <f t="shared" ref="BX130:CI130" si="110">BX114+BX122</f>
        <v>0</v>
      </c>
      <c r="BY130" s="10">
        <f t="shared" si="110"/>
        <v>0</v>
      </c>
      <c r="BZ130" s="10">
        <f t="shared" si="110"/>
        <v>0</v>
      </c>
      <c r="CA130" s="10">
        <f t="shared" si="110"/>
        <v>0</v>
      </c>
      <c r="CB130" s="10">
        <f t="shared" si="110"/>
        <v>0</v>
      </c>
      <c r="CC130" s="10">
        <f t="shared" si="110"/>
        <v>0</v>
      </c>
      <c r="CD130" s="10">
        <f t="shared" si="110"/>
        <v>0</v>
      </c>
      <c r="CE130" s="10">
        <f t="shared" si="110"/>
        <v>0</v>
      </c>
      <c r="CF130" s="10">
        <f t="shared" si="110"/>
        <v>0</v>
      </c>
      <c r="CG130" s="10">
        <f t="shared" si="110"/>
        <v>0</v>
      </c>
      <c r="CH130" s="10">
        <f t="shared" si="110"/>
        <v>0</v>
      </c>
      <c r="CI130" s="10">
        <f t="shared" si="110"/>
        <v>0</v>
      </c>
      <c r="CK130" s="11"/>
      <c r="CM130" s="11"/>
      <c r="CR130" s="7">
        <f>IF(ABS($E130)&gt;Parameters!$D$33, 1, 0)</f>
        <v>0</v>
      </c>
      <c r="CS130" s="7">
        <f t="shared" si="94"/>
        <v>0</v>
      </c>
      <c r="CT130" s="11"/>
      <c r="CU130">
        <v>0</v>
      </c>
      <c r="CV130">
        <v>0</v>
      </c>
      <c r="CW130" s="1">
        <v>1</v>
      </c>
      <c r="EY130" s="12" t="str">
        <f t="shared" si="95"/>
        <v>Total Finance and Operating Lease (Right of use) Obligations Closing Balance</v>
      </c>
    </row>
    <row r="131" spans="1:155" x14ac:dyDescent="0.35">
      <c r="A131" s="220"/>
      <c r="C131" s="211"/>
      <c r="D131"/>
      <c r="G131" s="8"/>
      <c r="H131" s="9"/>
      <c r="CK131" s="11"/>
      <c r="CM131" s="11"/>
      <c r="CR131" s="7"/>
      <c r="CS131" s="7"/>
      <c r="CT131" s="11"/>
      <c r="CW131" s="1"/>
      <c r="EY131" s="12"/>
    </row>
    <row r="132" spans="1:155" x14ac:dyDescent="0.35">
      <c r="A132" s="220" cm="1">
        <f t="array" aca="1" ref="A132" ca="1">HYPERLINK(CONCATENATE("#",CELL("address",IF(MAX($CM132:$CT132)=0,A132,INDEX($CM132:$CT132,MATCH(1,$CM132:$CT132,0))))),MAX($CM132:$CT132))</f>
        <v>0</v>
      </c>
      <c r="C132" s="213" t="str">
        <f>REPLACE('Opening Balances'!$C$40, LEN('Opening Balances'!$C$40)-1, 1, "C")</f>
        <v>B-3d-CB</v>
      </c>
      <c r="D132" s="1" t="s">
        <v>1379</v>
      </c>
      <c r="G132" s="8"/>
      <c r="H132" s="9" t="s">
        <v>665</v>
      </c>
      <c r="V132" s="12">
        <f>'Opening Balances'!W40+'Opening Balances'!W41</f>
        <v>0</v>
      </c>
      <c r="W132" s="10">
        <f>INDEX($AA132:$BJ132, MATCH(W$5, $AA$5:$BJ$5))</f>
        <v>0</v>
      </c>
      <c r="X132" s="10">
        <f>INDEX($AA132:$BJ132, MATCH(X$5, $AA$5:$BJ$5))</f>
        <v>0</v>
      </c>
      <c r="Y132" s="10">
        <f>INDEX($AA132:$BJ132, MATCH(Y$5, $AA$5:$BJ$5))</f>
        <v>0</v>
      </c>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X132" s="10">
        <f>V132</f>
        <v>0</v>
      </c>
      <c r="BY132" s="10">
        <f>W132</f>
        <v>0</v>
      </c>
      <c r="BZ132" s="10">
        <f>X132</f>
        <v>0</v>
      </c>
      <c r="CA132" s="10">
        <f>Y132</f>
        <v>0</v>
      </c>
      <c r="CB132" s="109"/>
      <c r="CC132" s="109"/>
      <c r="CD132" s="109"/>
      <c r="CE132" s="109"/>
      <c r="CF132" s="109"/>
      <c r="CG132" s="109"/>
      <c r="CH132" s="109"/>
      <c r="CI132" s="109"/>
      <c r="CK132" s="11"/>
      <c r="CM132" s="11"/>
      <c r="CO132" s="7" cm="1">
        <f t="array" ref="CO132">SUMPRODUCT(--NOT(ISNUMBER(V132:CI132)),--NOT(ISBLANK(V132:CI132)))</f>
        <v>0</v>
      </c>
      <c r="CS132" s="7">
        <f>IF(SUM(V132:Y132)=SUM(BX132:CA132), 0, 1)</f>
        <v>0</v>
      </c>
      <c r="CT132" s="11"/>
      <c r="CU132">
        <v>0</v>
      </c>
      <c r="CV132">
        <v>1</v>
      </c>
      <c r="CW132">
        <v>0</v>
      </c>
      <c r="EY132" s="12" t="str">
        <f t="shared" si="95"/>
        <v>Total Finance and Operating Lease (Right of use) Obligations Amount due in one year</v>
      </c>
    </row>
    <row r="133" spans="1:155" x14ac:dyDescent="0.35">
      <c r="A133" s="220" cm="1">
        <f t="array" aca="1" ref="A133" ca="1">HYPERLINK(CONCATENATE("#",CELL("address",IF(MAX($CM133:$CT133)=0,A133,INDEX($CM133:$CT133,MATCH(1,$CM133:$CT133,0))))),MAX($CM133:$CT133))</f>
        <v>0</v>
      </c>
      <c r="C133" s="213" t="str">
        <f>REPLACE('Opening Balances'!$C$62, LEN('Opening Balances'!$C$62)-1, 1, "C")</f>
        <v>B-6c-CB</v>
      </c>
      <c r="D133" s="1" t="s">
        <v>1380</v>
      </c>
      <c r="G133" s="8"/>
      <c r="H133" s="9" t="s">
        <v>665</v>
      </c>
      <c r="V133" s="10">
        <f>V130-V132</f>
        <v>0</v>
      </c>
      <c r="W133" s="10">
        <f>W130-W132</f>
        <v>0</v>
      </c>
      <c r="X133" s="10">
        <f>X130-X132</f>
        <v>0</v>
      </c>
      <c r="Y133" s="10">
        <f>Y130-Y132</f>
        <v>0</v>
      </c>
      <c r="AA133" s="10">
        <f t="shared" ref="AA133:BJ133" si="111">AA130-AA132</f>
        <v>0</v>
      </c>
      <c r="AB133" s="10">
        <f t="shared" si="111"/>
        <v>0</v>
      </c>
      <c r="AC133" s="10">
        <f t="shared" si="111"/>
        <v>0</v>
      </c>
      <c r="AD133" s="10">
        <f t="shared" si="111"/>
        <v>0</v>
      </c>
      <c r="AE133" s="10">
        <f t="shared" si="111"/>
        <v>0</v>
      </c>
      <c r="AF133" s="10">
        <f t="shared" si="111"/>
        <v>0</v>
      </c>
      <c r="AG133" s="10">
        <f t="shared" si="111"/>
        <v>0</v>
      </c>
      <c r="AH133" s="10">
        <f t="shared" si="111"/>
        <v>0</v>
      </c>
      <c r="AI133" s="10">
        <f t="shared" si="111"/>
        <v>0</v>
      </c>
      <c r="AJ133" s="10">
        <f t="shared" si="111"/>
        <v>0</v>
      </c>
      <c r="AK133" s="10">
        <f t="shared" si="111"/>
        <v>0</v>
      </c>
      <c r="AL133" s="10">
        <f t="shared" si="111"/>
        <v>0</v>
      </c>
      <c r="AM133" s="10">
        <f t="shared" si="111"/>
        <v>0</v>
      </c>
      <c r="AN133" s="10">
        <f t="shared" si="111"/>
        <v>0</v>
      </c>
      <c r="AO133" s="10">
        <f t="shared" si="111"/>
        <v>0</v>
      </c>
      <c r="AP133" s="10">
        <f t="shared" si="111"/>
        <v>0</v>
      </c>
      <c r="AQ133" s="10">
        <f t="shared" si="111"/>
        <v>0</v>
      </c>
      <c r="AR133" s="10">
        <f t="shared" si="111"/>
        <v>0</v>
      </c>
      <c r="AS133" s="10">
        <f t="shared" si="111"/>
        <v>0</v>
      </c>
      <c r="AT133" s="10">
        <f t="shared" si="111"/>
        <v>0</v>
      </c>
      <c r="AU133" s="10">
        <f t="shared" si="111"/>
        <v>0</v>
      </c>
      <c r="AV133" s="10">
        <f t="shared" si="111"/>
        <v>0</v>
      </c>
      <c r="AW133" s="10">
        <f t="shared" si="111"/>
        <v>0</v>
      </c>
      <c r="AX133" s="10">
        <f t="shared" si="111"/>
        <v>0</v>
      </c>
      <c r="AY133" s="10">
        <f t="shared" si="111"/>
        <v>0</v>
      </c>
      <c r="AZ133" s="10">
        <f t="shared" si="111"/>
        <v>0</v>
      </c>
      <c r="BA133" s="10">
        <f t="shared" si="111"/>
        <v>0</v>
      </c>
      <c r="BB133" s="10">
        <f t="shared" si="111"/>
        <v>0</v>
      </c>
      <c r="BC133" s="10">
        <f t="shared" si="111"/>
        <v>0</v>
      </c>
      <c r="BD133" s="10">
        <f t="shared" si="111"/>
        <v>0</v>
      </c>
      <c r="BE133" s="10">
        <f t="shared" si="111"/>
        <v>0</v>
      </c>
      <c r="BF133" s="10">
        <f t="shared" si="111"/>
        <v>0</v>
      </c>
      <c r="BG133" s="10">
        <f t="shared" si="111"/>
        <v>0</v>
      </c>
      <c r="BH133" s="10">
        <f t="shared" si="111"/>
        <v>0</v>
      </c>
      <c r="BI133" s="10">
        <f t="shared" si="111"/>
        <v>0</v>
      </c>
      <c r="BJ133" s="10">
        <f t="shared" si="111"/>
        <v>0</v>
      </c>
      <c r="BX133" s="10">
        <f t="shared" ref="BX133:CI133" si="112">BX130-BX132</f>
        <v>0</v>
      </c>
      <c r="BY133" s="10">
        <f t="shared" si="112"/>
        <v>0</v>
      </c>
      <c r="BZ133" s="10">
        <f t="shared" si="112"/>
        <v>0</v>
      </c>
      <c r="CA133" s="10">
        <f t="shared" si="112"/>
        <v>0</v>
      </c>
      <c r="CB133" s="10">
        <f t="shared" si="112"/>
        <v>0</v>
      </c>
      <c r="CC133" s="10">
        <f t="shared" si="112"/>
        <v>0</v>
      </c>
      <c r="CD133" s="10">
        <f t="shared" si="112"/>
        <v>0</v>
      </c>
      <c r="CE133" s="10">
        <f t="shared" si="112"/>
        <v>0</v>
      </c>
      <c r="CF133" s="10">
        <f t="shared" si="112"/>
        <v>0</v>
      </c>
      <c r="CG133" s="10">
        <f t="shared" si="112"/>
        <v>0</v>
      </c>
      <c r="CH133" s="10">
        <f t="shared" si="112"/>
        <v>0</v>
      </c>
      <c r="CI133" s="10">
        <f t="shared" si="112"/>
        <v>0</v>
      </c>
      <c r="CK133" s="11"/>
      <c r="CM133" s="11"/>
      <c r="CS133" s="7">
        <f>IF(SUM(V133:Y133)=SUM(BX133:CA133), 0, 1)</f>
        <v>0</v>
      </c>
      <c r="CT133" s="11"/>
      <c r="CU133">
        <v>0</v>
      </c>
      <c r="CV133">
        <v>0</v>
      </c>
      <c r="CW133">
        <v>0</v>
      </c>
      <c r="EY133" s="12" t="str">
        <f t="shared" si="95"/>
        <v>Total Finance and Operating Lease (Right of use) Obligations Amount due after one year</v>
      </c>
    </row>
    <row r="134" spans="1:155" ht="8.25" customHeight="1" x14ac:dyDescent="0.35">
      <c r="C134" s="234"/>
      <c r="BY134" s="6"/>
      <c r="CK134" s="11"/>
      <c r="CM134" s="11"/>
      <c r="CT134" s="11"/>
      <c r="CU134">
        <v>0</v>
      </c>
      <c r="CV134">
        <v>0</v>
      </c>
      <c r="CW134">
        <v>0</v>
      </c>
      <c r="EY134" s="10" t="str">
        <f>IF($C134="","",$D134)</f>
        <v/>
      </c>
    </row>
    <row r="135" spans="1:155" x14ac:dyDescent="0.35">
      <c r="B135" s="5"/>
      <c r="C135" s="234"/>
      <c r="D135" s="24" t="s">
        <v>1400</v>
      </c>
      <c r="CK135" s="11"/>
      <c r="CM135" s="11"/>
      <c r="CT135" s="11"/>
      <c r="CU135">
        <v>0</v>
      </c>
      <c r="CV135">
        <v>0</v>
      </c>
      <c r="CW135">
        <v>0</v>
      </c>
      <c r="EY135" s="10" t="str">
        <f>IF($C135="","",$D135)</f>
        <v/>
      </c>
    </row>
    <row r="136" spans="1:155" x14ac:dyDescent="0.35">
      <c r="A136" s="220" cm="1">
        <f t="array" aca="1" ref="A136" ca="1">HYPERLINK(CONCATENATE("#",CELL("address",IF(MAX($CM136:$CT136)=0,A136,INDEX($CM136:$CT136,MATCH(1,$CM136:$CT136,0))))),MAX($CM136:$CT136))</f>
        <v>0</v>
      </c>
      <c r="C136" s="211" t="s">
        <v>1401</v>
      </c>
      <c r="D136" t="s">
        <v>906</v>
      </c>
      <c r="G136" s="8"/>
      <c r="H136" s="9" t="s">
        <v>665</v>
      </c>
      <c r="V136" s="10">
        <f>Loans!V$1138</f>
        <v>0</v>
      </c>
      <c r="W136" s="10">
        <f>Loans!W$1138</f>
        <v>0</v>
      </c>
      <c r="X136" s="10">
        <f>Loans!X$1138</f>
        <v>0</v>
      </c>
      <c r="Y136" s="10">
        <f>Loans!Y$1138</f>
        <v>0</v>
      </c>
      <c r="AA136" s="10">
        <f>Loans!AA$1138</f>
        <v>0</v>
      </c>
      <c r="AB136" s="10">
        <f>Loans!AB$1138</f>
        <v>0</v>
      </c>
      <c r="AC136" s="10">
        <f>Loans!AC$1138</f>
        <v>0</v>
      </c>
      <c r="AD136" s="10">
        <f>Loans!AD$1138</f>
        <v>0</v>
      </c>
      <c r="AE136" s="10">
        <f>Loans!AE$1138</f>
        <v>0</v>
      </c>
      <c r="AF136" s="10">
        <f>Loans!AF$1138</f>
        <v>0</v>
      </c>
      <c r="AG136" s="10">
        <f>Loans!AG$1138</f>
        <v>0</v>
      </c>
      <c r="AH136" s="10">
        <f>Loans!AH$1138</f>
        <v>0</v>
      </c>
      <c r="AI136" s="10">
        <f>Loans!AI$1138</f>
        <v>0</v>
      </c>
      <c r="AJ136" s="10">
        <f>Loans!AJ$1138</f>
        <v>0</v>
      </c>
      <c r="AK136" s="10">
        <f>Loans!AK$1138</f>
        <v>0</v>
      </c>
      <c r="AL136" s="10">
        <f>Loans!AL$1138</f>
        <v>0</v>
      </c>
      <c r="AM136" s="10">
        <f>Loans!AM$1138</f>
        <v>0</v>
      </c>
      <c r="AN136" s="10">
        <f>Loans!AN$1138</f>
        <v>0</v>
      </c>
      <c r="AO136" s="10">
        <f>Loans!AO$1138</f>
        <v>0</v>
      </c>
      <c r="AP136" s="10">
        <f>Loans!AP$1138</f>
        <v>0</v>
      </c>
      <c r="AQ136" s="10">
        <f>Loans!AQ$1138</f>
        <v>0</v>
      </c>
      <c r="AR136" s="10">
        <f>Loans!AR$1138</f>
        <v>0</v>
      </c>
      <c r="AS136" s="10">
        <f>Loans!AS$1138</f>
        <v>0</v>
      </c>
      <c r="AT136" s="10">
        <f>Loans!AT$1138</f>
        <v>0</v>
      </c>
      <c r="AU136" s="10">
        <f>Loans!AU$1138</f>
        <v>0</v>
      </c>
      <c r="AV136" s="10">
        <f>Loans!AV$1138</f>
        <v>0</v>
      </c>
      <c r="AW136" s="10">
        <f>Loans!AW$1138</f>
        <v>0</v>
      </c>
      <c r="AX136" s="10">
        <f>Loans!AX$1138</f>
        <v>0</v>
      </c>
      <c r="AY136" s="10">
        <f>Loans!AY$1138</f>
        <v>0</v>
      </c>
      <c r="AZ136" s="10">
        <f>Loans!AZ$1138</f>
        <v>0</v>
      </c>
      <c r="BA136" s="10">
        <f>Loans!BA$1138</f>
        <v>0</v>
      </c>
      <c r="BB136" s="10">
        <f>Loans!BB$1138</f>
        <v>0</v>
      </c>
      <c r="BC136" s="10">
        <f>Loans!BC$1138</f>
        <v>0</v>
      </c>
      <c r="BD136" s="10">
        <f>Loans!BD$1138</f>
        <v>0</v>
      </c>
      <c r="BE136" s="10">
        <f>Loans!BE$1138</f>
        <v>0</v>
      </c>
      <c r="BF136" s="10">
        <f>Loans!BF$1138</f>
        <v>0</v>
      </c>
      <c r="BG136" s="10">
        <f>Loans!BG$1138</f>
        <v>0</v>
      </c>
      <c r="BH136" s="10">
        <f>Loans!BH$1138</f>
        <v>0</v>
      </c>
      <c r="BI136" s="10">
        <f>Loans!BI$1138</f>
        <v>0</v>
      </c>
      <c r="BJ136" s="10">
        <f>Loans!BJ$1138</f>
        <v>0</v>
      </c>
      <c r="BX136" s="10">
        <f>Loans!BX$1138</f>
        <v>0</v>
      </c>
      <c r="BY136" s="10">
        <f>Loans!BY$1138</f>
        <v>0</v>
      </c>
      <c r="BZ136" s="10">
        <f>Loans!BZ$1138</f>
        <v>0</v>
      </c>
      <c r="CA136" s="99">
        <f>Loans!CA$1138</f>
        <v>0</v>
      </c>
      <c r="CB136" s="99">
        <f>Loans!CB$1138</f>
        <v>0</v>
      </c>
      <c r="CC136" s="99">
        <f>Loans!CC$1138</f>
        <v>0</v>
      </c>
      <c r="CD136" s="99">
        <f>Loans!CD$1138</f>
        <v>0</v>
      </c>
      <c r="CE136" s="99">
        <f>Loans!CE$1138</f>
        <v>0</v>
      </c>
      <c r="CF136" s="99">
        <f>Loans!CF$1138</f>
        <v>0</v>
      </c>
      <c r="CG136" s="99">
        <f>Loans!CG$1138</f>
        <v>0</v>
      </c>
      <c r="CH136" s="99">
        <f>Loans!CH$1138</f>
        <v>0</v>
      </c>
      <c r="CI136" s="99">
        <f>Loans!CI$1138</f>
        <v>0</v>
      </c>
      <c r="CK136" s="11"/>
      <c r="CM136" s="11"/>
      <c r="CS136" s="7">
        <f>IF(SUM(V136:Y136)=SUM(BX136:CA136), 0, 1)</f>
        <v>0</v>
      </c>
      <c r="CT136" s="11"/>
      <c r="CU136">
        <v>0</v>
      </c>
      <c r="CV136">
        <v>0</v>
      </c>
      <c r="CW136" s="1">
        <v>1</v>
      </c>
      <c r="EY136" s="12" t="str">
        <f>IF($C136="","",CONCATENATE(D$135," ",D136))</f>
        <v>Interest Payable Closing Balance</v>
      </c>
    </row>
    <row r="137" spans="1:155" ht="8.25" customHeight="1" x14ac:dyDescent="0.35">
      <c r="C137" s="234"/>
      <c r="BY137" s="6"/>
      <c r="CK137" s="11"/>
      <c r="CM137" s="11"/>
      <c r="CT137" s="11"/>
      <c r="CU137">
        <v>0</v>
      </c>
      <c r="CV137">
        <v>0</v>
      </c>
      <c r="CW137">
        <v>0</v>
      </c>
      <c r="EY137" s="10" t="str">
        <f>IF($C137="","",$D137)</f>
        <v/>
      </c>
    </row>
    <row r="138" spans="1:155" x14ac:dyDescent="0.35">
      <c r="A138" s="220" cm="1">
        <f t="array" aca="1" ref="A138" ca="1">HYPERLINK(CONCATENATE("#",CELL("address",IF(MAX($CM138:$CT138)=0,A138,INDEX($CM138:$CT138,MATCH(1,$CM138:$CT138,0))))),MAX($CM138:$CT138))</f>
        <v>0</v>
      </c>
      <c r="C138" s="213" t="str">
        <f>REPLACE('Opening Balances'!$C$42, LEN('Opening Balances'!$C$42)-1, 1, "C")</f>
        <v>B-3e-CB</v>
      </c>
      <c r="D138" s="1" t="s">
        <v>1379</v>
      </c>
      <c r="G138" s="8"/>
      <c r="H138" s="9" t="s">
        <v>665</v>
      </c>
      <c r="V138" s="12">
        <f>'Opening Balances'!$W$42</f>
        <v>0</v>
      </c>
      <c r="W138" s="10">
        <f>Loans!W1144</f>
        <v>0</v>
      </c>
      <c r="X138" s="10">
        <f>Loans!X1144</f>
        <v>0</v>
      </c>
      <c r="Y138" s="10">
        <f>Loans!Y1144</f>
        <v>0</v>
      </c>
      <c r="AA138" s="10">
        <f>Loans!AA1144</f>
        <v>0</v>
      </c>
      <c r="AB138" s="10">
        <f>Loans!AB1144</f>
        <v>0</v>
      </c>
      <c r="AC138" s="10">
        <f>Loans!AC1144</f>
        <v>0</v>
      </c>
      <c r="AD138" s="10">
        <f>Loans!AD1144</f>
        <v>0</v>
      </c>
      <c r="AE138" s="10">
        <f>Loans!AE1144</f>
        <v>0</v>
      </c>
      <c r="AF138" s="10">
        <f>Loans!AF1144</f>
        <v>0</v>
      </c>
      <c r="AG138" s="10">
        <f>Loans!AG1144</f>
        <v>0</v>
      </c>
      <c r="AH138" s="10">
        <f>Loans!AH1144</f>
        <v>0</v>
      </c>
      <c r="AI138" s="10">
        <f>Loans!AI1144</f>
        <v>0</v>
      </c>
      <c r="AJ138" s="10">
        <f>Loans!AJ1144</f>
        <v>0</v>
      </c>
      <c r="AK138" s="10">
        <f>Loans!AK1144</f>
        <v>0</v>
      </c>
      <c r="AL138" s="10">
        <f>Loans!AL1144</f>
        <v>0</v>
      </c>
      <c r="AM138" s="10">
        <f>Loans!AM1144</f>
        <v>0</v>
      </c>
      <c r="AN138" s="10">
        <f>Loans!AN1144</f>
        <v>0</v>
      </c>
      <c r="AO138" s="10">
        <f>Loans!AO1144</f>
        <v>0</v>
      </c>
      <c r="AP138" s="10">
        <f>Loans!AP1144</f>
        <v>0</v>
      </c>
      <c r="AQ138" s="10">
        <f>Loans!AQ1144</f>
        <v>0</v>
      </c>
      <c r="AR138" s="10">
        <f>Loans!AR1144</f>
        <v>0</v>
      </c>
      <c r="AS138" s="10">
        <f>Loans!AS1144</f>
        <v>0</v>
      </c>
      <c r="AT138" s="10">
        <f>Loans!AT1144</f>
        <v>0</v>
      </c>
      <c r="AU138" s="10">
        <f>Loans!AU1144</f>
        <v>0</v>
      </c>
      <c r="AV138" s="10">
        <f>Loans!AV1144</f>
        <v>0</v>
      </c>
      <c r="AW138" s="10">
        <f>Loans!AW1144</f>
        <v>0</v>
      </c>
      <c r="AX138" s="10">
        <f>Loans!AX1144</f>
        <v>0</v>
      </c>
      <c r="AY138" s="10">
        <f>Loans!AY1144</f>
        <v>0</v>
      </c>
      <c r="AZ138" s="10">
        <f>Loans!AZ1144</f>
        <v>0</v>
      </c>
      <c r="BA138" s="10">
        <f>Loans!BA1144</f>
        <v>0</v>
      </c>
      <c r="BB138" s="10">
        <f>Loans!BB1144</f>
        <v>0</v>
      </c>
      <c r="BC138" s="10">
        <f>Loans!BC1144</f>
        <v>0</v>
      </c>
      <c r="BD138" s="10">
        <f>Loans!BD1144</f>
        <v>0</v>
      </c>
      <c r="BE138" s="10">
        <f>Loans!BE1144</f>
        <v>0</v>
      </c>
      <c r="BF138" s="10">
        <f>Loans!BF1144</f>
        <v>0</v>
      </c>
      <c r="BG138" s="10">
        <f>Loans!BG1144</f>
        <v>0</v>
      </c>
      <c r="BH138" s="10">
        <f>Loans!BH1144</f>
        <v>0</v>
      </c>
      <c r="BI138" s="10">
        <f>Loans!BI1144</f>
        <v>0</v>
      </c>
      <c r="BJ138" s="10">
        <f>Loans!BJ1144</f>
        <v>0</v>
      </c>
      <c r="BX138" s="10">
        <f>Loans!BX1144</f>
        <v>0</v>
      </c>
      <c r="BY138" s="10">
        <f>Loans!BY1144</f>
        <v>0</v>
      </c>
      <c r="BZ138" s="10">
        <f>Loans!BZ1144</f>
        <v>0</v>
      </c>
      <c r="CA138" s="10">
        <f>Loans!CA1144</f>
        <v>0</v>
      </c>
      <c r="CB138" s="109"/>
      <c r="CC138" s="109"/>
      <c r="CD138" s="109"/>
      <c r="CE138" s="109"/>
      <c r="CF138" s="109"/>
      <c r="CG138" s="109"/>
      <c r="CH138" s="109"/>
      <c r="CI138" s="109"/>
      <c r="CK138" s="11"/>
      <c r="CM138" s="11"/>
      <c r="CO138" s="7" cm="1">
        <f t="array" ref="CO138">SUMPRODUCT(--NOT(ISNUMBER(V138:CI138)),--NOT(ISBLANK(V138:CI138)))</f>
        <v>0</v>
      </c>
      <c r="CS138" s="7">
        <f>IF(SUM(V138:Y138)=SUM(BX138:CA138), 0, 1)</f>
        <v>0</v>
      </c>
      <c r="CT138" s="11"/>
      <c r="CU138">
        <v>0</v>
      </c>
      <c r="CV138">
        <v>1</v>
      </c>
      <c r="CW138">
        <v>0</v>
      </c>
      <c r="EY138" s="12" t="str">
        <f>IF($C138="","",CONCATENATE(D$135," ",D138))</f>
        <v>Interest Payable Amount due in one year</v>
      </c>
    </row>
    <row r="139" spans="1:155" x14ac:dyDescent="0.35">
      <c r="A139" s="220" cm="1">
        <f t="array" aca="1" ref="A139" ca="1">HYPERLINK(CONCATENATE("#",CELL("address",IF(MAX($CM139:$CT139)=0,A139,INDEX($CM139:$CT139,MATCH(1,$CM139:$CT139,0))))),MAX($CM139:$CT139))</f>
        <v>0</v>
      </c>
      <c r="C139" s="213" t="str">
        <f>REPLACE('Opening Balances'!$C$64, LEN('Opening Balances'!$C$64)-1, 1, "C")</f>
        <v>B-6d-CB</v>
      </c>
      <c r="D139" s="1" t="s">
        <v>1380</v>
      </c>
      <c r="G139" s="8"/>
      <c r="H139" s="9" t="s">
        <v>665</v>
      </c>
      <c r="V139" s="10">
        <f>V136-V138</f>
        <v>0</v>
      </c>
      <c r="W139" s="10">
        <f>W136-W138</f>
        <v>0</v>
      </c>
      <c r="X139" s="10">
        <f>X136-X138</f>
        <v>0</v>
      </c>
      <c r="Y139" s="10">
        <f>Y136-Y138</f>
        <v>0</v>
      </c>
      <c r="AA139" s="10">
        <f t="shared" ref="AA139:BJ139" si="113">AA136-AA138</f>
        <v>0</v>
      </c>
      <c r="AB139" s="10">
        <f t="shared" si="113"/>
        <v>0</v>
      </c>
      <c r="AC139" s="10">
        <f t="shared" si="113"/>
        <v>0</v>
      </c>
      <c r="AD139" s="10">
        <f t="shared" si="113"/>
        <v>0</v>
      </c>
      <c r="AE139" s="10">
        <f t="shared" si="113"/>
        <v>0</v>
      </c>
      <c r="AF139" s="10">
        <f t="shared" si="113"/>
        <v>0</v>
      </c>
      <c r="AG139" s="10">
        <f t="shared" si="113"/>
        <v>0</v>
      </c>
      <c r="AH139" s="10">
        <f t="shared" si="113"/>
        <v>0</v>
      </c>
      <c r="AI139" s="10">
        <f t="shared" si="113"/>
        <v>0</v>
      </c>
      <c r="AJ139" s="10">
        <f t="shared" si="113"/>
        <v>0</v>
      </c>
      <c r="AK139" s="10">
        <f t="shared" si="113"/>
        <v>0</v>
      </c>
      <c r="AL139" s="10">
        <f t="shared" si="113"/>
        <v>0</v>
      </c>
      <c r="AM139" s="10">
        <f t="shared" si="113"/>
        <v>0</v>
      </c>
      <c r="AN139" s="10">
        <f t="shared" si="113"/>
        <v>0</v>
      </c>
      <c r="AO139" s="10">
        <f t="shared" si="113"/>
        <v>0</v>
      </c>
      <c r="AP139" s="10">
        <f t="shared" si="113"/>
        <v>0</v>
      </c>
      <c r="AQ139" s="10">
        <f t="shared" si="113"/>
        <v>0</v>
      </c>
      <c r="AR139" s="10">
        <f t="shared" si="113"/>
        <v>0</v>
      </c>
      <c r="AS139" s="10">
        <f t="shared" si="113"/>
        <v>0</v>
      </c>
      <c r="AT139" s="10">
        <f t="shared" si="113"/>
        <v>0</v>
      </c>
      <c r="AU139" s="10">
        <f t="shared" si="113"/>
        <v>0</v>
      </c>
      <c r="AV139" s="10">
        <f t="shared" si="113"/>
        <v>0</v>
      </c>
      <c r="AW139" s="10">
        <f t="shared" si="113"/>
        <v>0</v>
      </c>
      <c r="AX139" s="10">
        <f t="shared" si="113"/>
        <v>0</v>
      </c>
      <c r="AY139" s="10">
        <f t="shared" si="113"/>
        <v>0</v>
      </c>
      <c r="AZ139" s="10">
        <f t="shared" si="113"/>
        <v>0</v>
      </c>
      <c r="BA139" s="10">
        <f t="shared" si="113"/>
        <v>0</v>
      </c>
      <c r="BB139" s="10">
        <f t="shared" si="113"/>
        <v>0</v>
      </c>
      <c r="BC139" s="10">
        <f t="shared" si="113"/>
        <v>0</v>
      </c>
      <c r="BD139" s="10">
        <f t="shared" si="113"/>
        <v>0</v>
      </c>
      <c r="BE139" s="10">
        <f t="shared" si="113"/>
        <v>0</v>
      </c>
      <c r="BF139" s="10">
        <f t="shared" si="113"/>
        <v>0</v>
      </c>
      <c r="BG139" s="10">
        <f t="shared" si="113"/>
        <v>0</v>
      </c>
      <c r="BH139" s="10">
        <f t="shared" si="113"/>
        <v>0</v>
      </c>
      <c r="BI139" s="10">
        <f t="shared" si="113"/>
        <v>0</v>
      </c>
      <c r="BJ139" s="10">
        <f t="shared" si="113"/>
        <v>0</v>
      </c>
      <c r="BX139" s="10">
        <f t="shared" ref="BX139:CI139" si="114">BX136-BX138</f>
        <v>0</v>
      </c>
      <c r="BY139" s="10">
        <f t="shared" si="114"/>
        <v>0</v>
      </c>
      <c r="BZ139" s="10">
        <f t="shared" si="114"/>
        <v>0</v>
      </c>
      <c r="CA139" s="10">
        <f t="shared" si="114"/>
        <v>0</v>
      </c>
      <c r="CB139" s="10">
        <f t="shared" si="114"/>
        <v>0</v>
      </c>
      <c r="CC139" s="10">
        <f t="shared" si="114"/>
        <v>0</v>
      </c>
      <c r="CD139" s="10">
        <f t="shared" si="114"/>
        <v>0</v>
      </c>
      <c r="CE139" s="10">
        <f t="shared" si="114"/>
        <v>0</v>
      </c>
      <c r="CF139" s="10">
        <f t="shared" si="114"/>
        <v>0</v>
      </c>
      <c r="CG139" s="10">
        <f t="shared" si="114"/>
        <v>0</v>
      </c>
      <c r="CH139" s="10">
        <f t="shared" si="114"/>
        <v>0</v>
      </c>
      <c r="CI139" s="10">
        <f t="shared" si="114"/>
        <v>0</v>
      </c>
      <c r="CK139" s="11"/>
      <c r="CM139" s="11"/>
      <c r="CS139" s="7">
        <f>IF(SUM(V139:Y139)=SUM(BX139:CA139), 0, 1)</f>
        <v>0</v>
      </c>
      <c r="CT139" s="11"/>
      <c r="CU139">
        <v>0</v>
      </c>
      <c r="CV139">
        <v>0</v>
      </c>
      <c r="CW139">
        <v>0</v>
      </c>
      <c r="EY139" s="12" t="str">
        <f>IF($C139="","",CONCATENATE(D$135," ",D139))</f>
        <v>Interest Payable Amount due after one year</v>
      </c>
    </row>
    <row r="140" spans="1:155" ht="8.25" customHeight="1" x14ac:dyDescent="0.35">
      <c r="C140" s="234"/>
      <c r="CK140" s="11"/>
      <c r="CM140" s="11"/>
      <c r="CT140" s="11"/>
      <c r="CU140">
        <v>0</v>
      </c>
      <c r="CV140">
        <v>0</v>
      </c>
      <c r="CW140">
        <v>0</v>
      </c>
      <c r="EY140" s="10" t="str">
        <f>IF($C140="","",$D140)</f>
        <v/>
      </c>
    </row>
    <row r="141" spans="1:155" x14ac:dyDescent="0.35">
      <c r="B141" s="5"/>
      <c r="C141" s="234"/>
      <c r="D141" s="24" t="s">
        <v>677</v>
      </c>
      <c r="CK141" s="11"/>
      <c r="CM141" s="11"/>
      <c r="CT141" s="11"/>
      <c r="CU141">
        <v>0</v>
      </c>
      <c r="CV141">
        <v>0</v>
      </c>
      <c r="CW141">
        <v>0</v>
      </c>
      <c r="EY141" s="10" t="str">
        <f>IF($C141="","",$D141)</f>
        <v/>
      </c>
    </row>
    <row r="142" spans="1:155" x14ac:dyDescent="0.35">
      <c r="A142" s="220" cm="1">
        <f t="array" aca="1" ref="A142" ca="1">HYPERLINK(CONCATENATE("#",CELL("address",IF(MAX($CM142:$CT142)=0,A142,INDEX($CM142:$CT142,MATCH(1,$CM142:$CT142,0))))),MAX($CM142:$CT142))</f>
        <v>0</v>
      </c>
      <c r="C142" s="211" t="s">
        <v>1402</v>
      </c>
      <c r="D142" t="s">
        <v>890</v>
      </c>
      <c r="G142" s="8"/>
      <c r="H142" s="9" t="s">
        <v>665</v>
      </c>
      <c r="V142" s="12">
        <f>'Opening Balances'!$V$43+'Opening Balances'!$V$65</f>
        <v>0</v>
      </c>
      <c r="W142" s="10">
        <f>V155</f>
        <v>0</v>
      </c>
      <c r="X142" s="10">
        <f>W155</f>
        <v>0</v>
      </c>
      <c r="Y142" s="10">
        <f>X155</f>
        <v>0</v>
      </c>
      <c r="AA142" s="10">
        <f>W142</f>
        <v>0</v>
      </c>
      <c r="AB142" s="10">
        <f t="shared" ref="AB142:BJ142" si="115">AA155</f>
        <v>0</v>
      </c>
      <c r="AC142" s="10">
        <f t="shared" si="115"/>
        <v>0</v>
      </c>
      <c r="AD142" s="10">
        <f t="shared" si="115"/>
        <v>0</v>
      </c>
      <c r="AE142" s="10">
        <f t="shared" si="115"/>
        <v>0</v>
      </c>
      <c r="AF142" s="10">
        <f t="shared" si="115"/>
        <v>0</v>
      </c>
      <c r="AG142" s="10">
        <f t="shared" si="115"/>
        <v>0</v>
      </c>
      <c r="AH142" s="10">
        <f t="shared" si="115"/>
        <v>0</v>
      </c>
      <c r="AI142" s="10">
        <f t="shared" si="115"/>
        <v>0</v>
      </c>
      <c r="AJ142" s="10">
        <f t="shared" si="115"/>
        <v>0</v>
      </c>
      <c r="AK142" s="10">
        <f t="shared" si="115"/>
        <v>0</v>
      </c>
      <c r="AL142" s="10">
        <f t="shared" si="115"/>
        <v>0</v>
      </c>
      <c r="AM142" s="10">
        <f t="shared" si="115"/>
        <v>0</v>
      </c>
      <c r="AN142" s="10">
        <f t="shared" si="115"/>
        <v>0</v>
      </c>
      <c r="AO142" s="10">
        <f t="shared" si="115"/>
        <v>0</v>
      </c>
      <c r="AP142" s="10">
        <f t="shared" si="115"/>
        <v>0</v>
      </c>
      <c r="AQ142" s="10">
        <f t="shared" si="115"/>
        <v>0</v>
      </c>
      <c r="AR142" s="10">
        <f t="shared" si="115"/>
        <v>0</v>
      </c>
      <c r="AS142" s="10">
        <f t="shared" si="115"/>
        <v>0</v>
      </c>
      <c r="AT142" s="10">
        <f t="shared" si="115"/>
        <v>0</v>
      </c>
      <c r="AU142" s="10">
        <f t="shared" si="115"/>
        <v>0</v>
      </c>
      <c r="AV142" s="10">
        <f t="shared" si="115"/>
        <v>0</v>
      </c>
      <c r="AW142" s="10">
        <f t="shared" si="115"/>
        <v>0</v>
      </c>
      <c r="AX142" s="10">
        <f t="shared" si="115"/>
        <v>0</v>
      </c>
      <c r="AY142" s="10">
        <f t="shared" si="115"/>
        <v>0</v>
      </c>
      <c r="AZ142" s="10">
        <f t="shared" si="115"/>
        <v>0</v>
      </c>
      <c r="BA142" s="10">
        <f t="shared" si="115"/>
        <v>0</v>
      </c>
      <c r="BB142" s="10">
        <f t="shared" si="115"/>
        <v>0</v>
      </c>
      <c r="BC142" s="10">
        <f t="shared" si="115"/>
        <v>0</v>
      </c>
      <c r="BD142" s="10">
        <f t="shared" si="115"/>
        <v>0</v>
      </c>
      <c r="BE142" s="10">
        <f t="shared" si="115"/>
        <v>0</v>
      </c>
      <c r="BF142" s="10">
        <f t="shared" si="115"/>
        <v>0</v>
      </c>
      <c r="BG142" s="10">
        <f t="shared" si="115"/>
        <v>0</v>
      </c>
      <c r="BH142" s="10">
        <f t="shared" si="115"/>
        <v>0</v>
      </c>
      <c r="BI142" s="10">
        <f t="shared" si="115"/>
        <v>0</v>
      </c>
      <c r="BJ142" s="10">
        <f t="shared" si="115"/>
        <v>0</v>
      </c>
      <c r="BX142" s="12">
        <f t="shared" ref="BX142:BX155" si="116">V142</f>
        <v>0</v>
      </c>
      <c r="BY142" s="12">
        <f t="shared" ref="BY142:BY155" si="117">W142</f>
        <v>0</v>
      </c>
      <c r="BZ142" s="12">
        <f t="shared" ref="BZ142:BZ155" si="118">X142</f>
        <v>0</v>
      </c>
      <c r="CA142" s="12">
        <f t="shared" ref="CA142:CA155" si="119">Y142</f>
        <v>0</v>
      </c>
      <c r="CB142" s="10">
        <f t="shared" ref="CB142:CI142" si="120">CA155</f>
        <v>0</v>
      </c>
      <c r="CC142" s="10">
        <f t="shared" si="120"/>
        <v>0</v>
      </c>
      <c r="CD142" s="10">
        <f t="shared" si="120"/>
        <v>0</v>
      </c>
      <c r="CE142" s="10">
        <f t="shared" si="120"/>
        <v>0</v>
      </c>
      <c r="CF142" s="10">
        <f t="shared" si="120"/>
        <v>0</v>
      </c>
      <c r="CG142" s="10">
        <f t="shared" si="120"/>
        <v>0</v>
      </c>
      <c r="CH142" s="10">
        <f t="shared" si="120"/>
        <v>0</v>
      </c>
      <c r="CI142" s="10">
        <f t="shared" si="120"/>
        <v>0</v>
      </c>
      <c r="CK142" s="11"/>
      <c r="CM142" s="11"/>
      <c r="CS142" s="7">
        <f t="shared" ref="CS142:CS155" si="121">IF(SUM(V142:Y142)=SUM(BX142:CA142), 0, 1)</f>
        <v>0</v>
      </c>
      <c r="CT142" s="11"/>
      <c r="CU142">
        <v>0</v>
      </c>
      <c r="CV142">
        <v>0</v>
      </c>
      <c r="CW142">
        <v>0</v>
      </c>
      <c r="EY142" s="12" t="str">
        <f t="shared" ref="EY142:EY155" si="122">IF($C142="","",CONCATENATE(D$141," ",D142))</f>
        <v>Deferred Income - Capital Grant Liability Opening Balance</v>
      </c>
    </row>
    <row r="143" spans="1:155" x14ac:dyDescent="0.35">
      <c r="A143" s="220" cm="1">
        <f t="array" aca="1" ref="A143" ca="1">HYPERLINK(CONCATENATE("#",CELL("address",IF(MAX($CM143:$CT143)=0,A143,INDEX($CM143:$CT143,MATCH(1,$CM143:$CT143,0))))),MAX($CM143:$CT143))</f>
        <v>0</v>
      </c>
      <c r="C143" s="211" t="s">
        <v>1403</v>
      </c>
      <c r="D143" s="1" t="s">
        <v>1404</v>
      </c>
      <c r="G143" s="8"/>
      <c r="H143" s="9" t="s">
        <v>1405</v>
      </c>
      <c r="V143" s="109"/>
      <c r="W143" s="133">
        <f t="shared" ref="W143:Y154" si="123" xml:space="preserve"> SUMIFS($AA143:$BJ143, $AA$3:$BJ$3, W$3)</f>
        <v>0</v>
      </c>
      <c r="X143" s="133">
        <f t="shared" si="123"/>
        <v>0</v>
      </c>
      <c r="Y143" s="133">
        <f t="shared" si="123"/>
        <v>0</v>
      </c>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X143" s="12">
        <f t="shared" si="116"/>
        <v>0</v>
      </c>
      <c r="BY143" s="12">
        <f t="shared" si="117"/>
        <v>0</v>
      </c>
      <c r="BZ143" s="12">
        <f t="shared" si="118"/>
        <v>0</v>
      </c>
      <c r="CA143" s="12">
        <f t="shared" si="119"/>
        <v>0</v>
      </c>
      <c r="CB143" s="109"/>
      <c r="CC143" s="109"/>
      <c r="CD143" s="109"/>
      <c r="CE143" s="109"/>
      <c r="CF143" s="109"/>
      <c r="CG143" s="109"/>
      <c r="CH143" s="109"/>
      <c r="CI143" s="109"/>
      <c r="CK143" s="11"/>
      <c r="CL143" s="221">
        <f>IF(MIN($V143:$CI143)&lt;0, 1, 0)</f>
        <v>0</v>
      </c>
      <c r="CM143" s="11"/>
      <c r="CO143" s="7" cm="1">
        <f t="array" ref="CO143">SUMPRODUCT(--NOT(ISNUMBER(V143:CI143)),--NOT(ISBLANK(V143:CI143)))</f>
        <v>0</v>
      </c>
      <c r="CS143" s="7">
        <f t="shared" si="121"/>
        <v>0</v>
      </c>
      <c r="CT143" s="11"/>
      <c r="CU143">
        <v>1</v>
      </c>
      <c r="CV143">
        <v>1</v>
      </c>
      <c r="CW143">
        <v>0</v>
      </c>
      <c r="EY143" s="12" t="str">
        <f t="shared" si="122"/>
        <v>Deferred Income - Capital Grant Liability Capital Grant received in cash: DfE/ESFA</v>
      </c>
    </row>
    <row r="144" spans="1:155" x14ac:dyDescent="0.35">
      <c r="A144" s="220" cm="1">
        <f t="array" aca="1" ref="A144" ca="1">HYPERLINK(CONCATENATE("#",CELL("address",IF(MAX($CM144:$CT144)=0,A144,INDEX($CM144:$CT144,MATCH(1,$CM144:$CT144,0))))),MAX($CM144:$CT144))</f>
        <v>0</v>
      </c>
      <c r="C144" s="211" t="s">
        <v>1406</v>
      </c>
      <c r="D144" s="1" t="s">
        <v>1407</v>
      </c>
      <c r="G144" s="8"/>
      <c r="H144" s="9" t="s">
        <v>1405</v>
      </c>
      <c r="V144" s="109"/>
      <c r="W144" s="133">
        <f t="shared" si="123"/>
        <v>0</v>
      </c>
      <c r="X144" s="133">
        <f t="shared" si="123"/>
        <v>0</v>
      </c>
      <c r="Y144" s="133">
        <f t="shared" si="123"/>
        <v>0</v>
      </c>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X144" s="12">
        <f t="shared" si="116"/>
        <v>0</v>
      </c>
      <c r="BY144" s="12">
        <f t="shared" si="117"/>
        <v>0</v>
      </c>
      <c r="BZ144" s="12">
        <f t="shared" si="118"/>
        <v>0</v>
      </c>
      <c r="CA144" s="12">
        <f t="shared" si="119"/>
        <v>0</v>
      </c>
      <c r="CB144" s="109"/>
      <c r="CC144" s="109"/>
      <c r="CD144" s="109"/>
      <c r="CE144" s="109"/>
      <c r="CF144" s="109"/>
      <c r="CG144" s="109"/>
      <c r="CH144" s="109"/>
      <c r="CI144" s="109"/>
      <c r="CK144" s="11"/>
      <c r="CL144" s="221">
        <f>IF(MIN($V144:$CI144)&lt;0, 1, 0)</f>
        <v>0</v>
      </c>
      <c r="CM144" s="11"/>
      <c r="CO144" s="7" cm="1">
        <f t="array" ref="CO144">SUMPRODUCT(--NOT(ISNUMBER(V144:CI144)),--NOT(ISBLANK(V144:CI144)))</f>
        <v>0</v>
      </c>
      <c r="CS144" s="7">
        <f t="shared" si="121"/>
        <v>0</v>
      </c>
      <c r="CT144" s="11"/>
      <c r="CU144">
        <v>1</v>
      </c>
      <c r="CV144">
        <v>1</v>
      </c>
      <c r="CW144">
        <v>0</v>
      </c>
      <c r="EY144" s="12" t="str">
        <f t="shared" si="122"/>
        <v>Deferred Income - Capital Grant Liability Capital Grant received in cash: OfS</v>
      </c>
    </row>
    <row r="145" spans="1:155" x14ac:dyDescent="0.35">
      <c r="A145" s="220" cm="1">
        <f t="array" aca="1" ref="A145" ca="1">HYPERLINK(CONCATENATE("#",CELL("address",IF(MAX($CM145:$CT145)=0,A145,INDEX($CM145:$CT145,MATCH(1,$CM145:$CT145,0))))),MAX($CM145:$CT145))</f>
        <v>0</v>
      </c>
      <c r="C145" s="211" t="s">
        <v>1408</v>
      </c>
      <c r="D145" s="1" t="s">
        <v>1409</v>
      </c>
      <c r="G145" s="8"/>
      <c r="H145" s="9" t="s">
        <v>1405</v>
      </c>
      <c r="V145" s="109"/>
      <c r="W145" s="133">
        <f t="shared" si="123"/>
        <v>0</v>
      </c>
      <c r="X145" s="133">
        <f t="shared" si="123"/>
        <v>0</v>
      </c>
      <c r="Y145" s="133">
        <f t="shared" si="123"/>
        <v>0</v>
      </c>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X145" s="12">
        <f t="shared" si="116"/>
        <v>0</v>
      </c>
      <c r="BY145" s="12">
        <f t="shared" si="117"/>
        <v>0</v>
      </c>
      <c r="BZ145" s="12">
        <f t="shared" si="118"/>
        <v>0</v>
      </c>
      <c r="CA145" s="12">
        <f t="shared" si="119"/>
        <v>0</v>
      </c>
      <c r="CB145" s="109"/>
      <c r="CC145" s="109"/>
      <c r="CD145" s="109"/>
      <c r="CE145" s="109"/>
      <c r="CF145" s="109"/>
      <c r="CG145" s="109"/>
      <c r="CH145" s="109"/>
      <c r="CI145" s="109"/>
      <c r="CK145" s="11"/>
      <c r="CL145" s="221">
        <f>IF(MIN($V145:$CI145)&lt;0, 1, 0)</f>
        <v>0</v>
      </c>
      <c r="CM145" s="11"/>
      <c r="CO145" s="7" cm="1">
        <f t="array" ref="CO145">SUMPRODUCT(--NOT(ISNUMBER(V145:CI145)),--NOT(ISBLANK(V145:CI145)))</f>
        <v>0</v>
      </c>
      <c r="CS145" s="7">
        <f t="shared" si="121"/>
        <v>0</v>
      </c>
      <c r="CT145" s="11"/>
      <c r="CU145">
        <v>1</v>
      </c>
      <c r="CV145">
        <v>1</v>
      </c>
      <c r="CW145">
        <v>0</v>
      </c>
      <c r="EY145" s="12" t="str">
        <f t="shared" si="122"/>
        <v>Deferred Income - Capital Grant Liability Capital Grant received in cash: LEP</v>
      </c>
    </row>
    <row r="146" spans="1:155" x14ac:dyDescent="0.35">
      <c r="A146" s="220" cm="1">
        <f t="array" aca="1" ref="A146" ca="1">HYPERLINK(CONCATENATE("#",CELL("address",IF(MAX($CM146:$CT146)=0,A146,INDEX($CM146:$CT146,MATCH(1,$CM146:$CT146,0))))),MAX($CM146:$CT146))</f>
        <v>0</v>
      </c>
      <c r="C146" s="211" t="s">
        <v>1410</v>
      </c>
      <c r="D146" s="1" t="s">
        <v>1411</v>
      </c>
      <c r="G146" s="8"/>
      <c r="H146" s="9" t="s">
        <v>1405</v>
      </c>
      <c r="V146" s="109"/>
      <c r="W146" s="133">
        <f t="shared" si="123"/>
        <v>0</v>
      </c>
      <c r="X146" s="133">
        <f t="shared" si="123"/>
        <v>0</v>
      </c>
      <c r="Y146" s="133">
        <f t="shared" si="123"/>
        <v>0</v>
      </c>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X146" s="12">
        <f t="shared" si="116"/>
        <v>0</v>
      </c>
      <c r="BY146" s="12">
        <f t="shared" si="117"/>
        <v>0</v>
      </c>
      <c r="BZ146" s="12">
        <f t="shared" si="118"/>
        <v>0</v>
      </c>
      <c r="CA146" s="12">
        <f t="shared" si="119"/>
        <v>0</v>
      </c>
      <c r="CB146" s="109"/>
      <c r="CC146" s="109"/>
      <c r="CD146" s="109"/>
      <c r="CE146" s="109"/>
      <c r="CF146" s="109"/>
      <c r="CG146" s="109"/>
      <c r="CH146" s="109"/>
      <c r="CI146" s="109"/>
      <c r="CK146" s="11"/>
      <c r="CL146" s="221">
        <f>IF(MIN($V146:$CI146)&lt;0, 1, 0)</f>
        <v>0</v>
      </c>
      <c r="CM146" s="11"/>
      <c r="CO146" s="7" cm="1">
        <f t="array" ref="CO146">SUMPRODUCT(--NOT(ISNUMBER(V146:CI146)),--NOT(ISBLANK(V146:CI146)))</f>
        <v>0</v>
      </c>
      <c r="CS146" s="7">
        <f t="shared" si="121"/>
        <v>0</v>
      </c>
      <c r="CT146" s="11"/>
      <c r="CU146">
        <v>1</v>
      </c>
      <c r="CV146">
        <v>1</v>
      </c>
      <c r="CW146">
        <v>0</v>
      </c>
      <c r="EY146" s="12" t="str">
        <f t="shared" si="122"/>
        <v>Deferred Income - Capital Grant Liability Capital Grant received in cash: Other Grants</v>
      </c>
    </row>
    <row r="147" spans="1:155" x14ac:dyDescent="0.35">
      <c r="A147" s="220" cm="1">
        <f t="array" aca="1" ref="A147" ca="1">HYPERLINK(CONCATENATE("#",CELL("address",IF(MAX($CM147:$CT147)=0,A147,INDEX($CM147:$CT147,MATCH(1,$CM147:$CT147,0))))),MAX($CM147:$CT147))</f>
        <v>0</v>
      </c>
      <c r="C147" s="211" t="s">
        <v>1412</v>
      </c>
      <c r="D147" s="1" t="s">
        <v>1413</v>
      </c>
      <c r="G147" s="8"/>
      <c r="H147" s="9" t="s">
        <v>1079</v>
      </c>
      <c r="V147" s="109"/>
      <c r="W147" s="133">
        <f t="shared" si="123"/>
        <v>0</v>
      </c>
      <c r="X147" s="133">
        <f t="shared" si="123"/>
        <v>0</v>
      </c>
      <c r="Y147" s="133">
        <f t="shared" si="123"/>
        <v>0</v>
      </c>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X147" s="12">
        <f t="shared" si="116"/>
        <v>0</v>
      </c>
      <c r="BY147" s="12">
        <f t="shared" si="117"/>
        <v>0</v>
      </c>
      <c r="BZ147" s="12">
        <f t="shared" si="118"/>
        <v>0</v>
      </c>
      <c r="CA147" s="12">
        <f t="shared" si="119"/>
        <v>0</v>
      </c>
      <c r="CB147" s="109"/>
      <c r="CC147" s="109"/>
      <c r="CD147" s="109"/>
      <c r="CE147" s="109"/>
      <c r="CF147" s="109"/>
      <c r="CG147" s="109"/>
      <c r="CH147" s="109"/>
      <c r="CI147" s="109"/>
      <c r="CK147" s="11"/>
      <c r="CL147" s="221">
        <f t="shared" ref="CL147:CL154" si="124">IF(MAX($V147:$CI147)&gt;0, 1, 0)</f>
        <v>0</v>
      </c>
      <c r="CM147" s="11"/>
      <c r="CO147" s="7" cm="1">
        <f t="array" ref="CO147">SUMPRODUCT(--NOT(ISNUMBER(V147:CI147)),--NOT(ISBLANK(V147:CI147)))</f>
        <v>0</v>
      </c>
      <c r="CS147" s="7">
        <f t="shared" si="121"/>
        <v>0</v>
      </c>
      <c r="CT147" s="11"/>
      <c r="CU147">
        <v>1</v>
      </c>
      <c r="CV147">
        <v>1</v>
      </c>
      <c r="CW147">
        <v>0</v>
      </c>
      <c r="EY147" s="12" t="str">
        <f t="shared" si="122"/>
        <v>Deferred Income - Capital Grant Liability Capital grant repayments: DfE/ESFA</v>
      </c>
    </row>
    <row r="148" spans="1:155" x14ac:dyDescent="0.35">
      <c r="A148" s="220" cm="1">
        <f t="array" aca="1" ref="A148" ca="1">HYPERLINK(CONCATENATE("#",CELL("address",IF(MAX($CM148:$CT148)=0,A148,INDEX($CM148:$CT148,MATCH(1,$CM148:$CT148,0))))),MAX($CM148:$CT148))</f>
        <v>0</v>
      </c>
      <c r="C148" s="211" t="s">
        <v>1414</v>
      </c>
      <c r="D148" s="1" t="s">
        <v>1415</v>
      </c>
      <c r="G148" s="8"/>
      <c r="H148" s="9" t="s">
        <v>1079</v>
      </c>
      <c r="V148" s="109"/>
      <c r="W148" s="133">
        <f t="shared" si="123"/>
        <v>0</v>
      </c>
      <c r="X148" s="133">
        <f t="shared" si="123"/>
        <v>0</v>
      </c>
      <c r="Y148" s="133">
        <f t="shared" si="123"/>
        <v>0</v>
      </c>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X148" s="12">
        <f t="shared" si="116"/>
        <v>0</v>
      </c>
      <c r="BY148" s="12">
        <f t="shared" si="117"/>
        <v>0</v>
      </c>
      <c r="BZ148" s="12">
        <f t="shared" si="118"/>
        <v>0</v>
      </c>
      <c r="CA148" s="12">
        <f t="shared" si="119"/>
        <v>0</v>
      </c>
      <c r="CB148" s="109"/>
      <c r="CC148" s="109"/>
      <c r="CD148" s="109"/>
      <c r="CE148" s="109"/>
      <c r="CF148" s="109"/>
      <c r="CG148" s="109"/>
      <c r="CH148" s="109"/>
      <c r="CI148" s="109"/>
      <c r="CK148" s="11"/>
      <c r="CL148" s="221">
        <f t="shared" si="124"/>
        <v>0</v>
      </c>
      <c r="CM148" s="11"/>
      <c r="CO148" s="7" cm="1">
        <f t="array" ref="CO148">SUMPRODUCT(--NOT(ISNUMBER(V148:CI148)),--NOT(ISBLANK(V148:CI148)))</f>
        <v>0</v>
      </c>
      <c r="CS148" s="7">
        <f t="shared" si="121"/>
        <v>0</v>
      </c>
      <c r="CT148" s="11"/>
      <c r="CU148">
        <v>1</v>
      </c>
      <c r="CV148">
        <v>1</v>
      </c>
      <c r="CW148">
        <v>0</v>
      </c>
      <c r="EY148" s="12" t="str">
        <f t="shared" si="122"/>
        <v>Deferred Income - Capital Grant Liability Capital grant repayments: OfS</v>
      </c>
    </row>
    <row r="149" spans="1:155" x14ac:dyDescent="0.35">
      <c r="A149" s="220" cm="1">
        <f t="array" aca="1" ref="A149" ca="1">HYPERLINK(CONCATENATE("#",CELL("address",IF(MAX($CM149:$CT149)=0,A149,INDEX($CM149:$CT149,MATCH(1,$CM149:$CT149,0))))),MAX($CM149:$CT149))</f>
        <v>0</v>
      </c>
      <c r="C149" s="211" t="s">
        <v>1416</v>
      </c>
      <c r="D149" s="1" t="s">
        <v>1417</v>
      </c>
      <c r="G149" s="8"/>
      <c r="H149" s="9" t="s">
        <v>1079</v>
      </c>
      <c r="V149" s="109"/>
      <c r="W149" s="133">
        <f t="shared" si="123"/>
        <v>0</v>
      </c>
      <c r="X149" s="133">
        <f t="shared" si="123"/>
        <v>0</v>
      </c>
      <c r="Y149" s="133">
        <f t="shared" si="123"/>
        <v>0</v>
      </c>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X149" s="12">
        <f t="shared" si="116"/>
        <v>0</v>
      </c>
      <c r="BY149" s="12">
        <f t="shared" si="117"/>
        <v>0</v>
      </c>
      <c r="BZ149" s="12">
        <f t="shared" si="118"/>
        <v>0</v>
      </c>
      <c r="CA149" s="12">
        <f t="shared" si="119"/>
        <v>0</v>
      </c>
      <c r="CB149" s="109"/>
      <c r="CC149" s="109"/>
      <c r="CD149" s="109"/>
      <c r="CE149" s="109"/>
      <c r="CF149" s="109"/>
      <c r="CG149" s="109"/>
      <c r="CH149" s="109"/>
      <c r="CI149" s="109"/>
      <c r="CK149" s="11"/>
      <c r="CL149" s="221">
        <f t="shared" si="124"/>
        <v>0</v>
      </c>
      <c r="CM149" s="11"/>
      <c r="CO149" s="7" cm="1">
        <f t="array" ref="CO149">SUMPRODUCT(--NOT(ISNUMBER(V149:CI149)),--NOT(ISBLANK(V149:CI149)))</f>
        <v>0</v>
      </c>
      <c r="CS149" s="7">
        <f t="shared" si="121"/>
        <v>0</v>
      </c>
      <c r="CT149" s="11"/>
      <c r="CU149">
        <v>1</v>
      </c>
      <c r="CV149">
        <v>1</v>
      </c>
      <c r="CW149">
        <v>0</v>
      </c>
      <c r="EY149" s="12" t="str">
        <f t="shared" si="122"/>
        <v>Deferred Income - Capital Grant Liability Capital grant repayments: LEP</v>
      </c>
    </row>
    <row r="150" spans="1:155" x14ac:dyDescent="0.35">
      <c r="A150" s="220" cm="1">
        <f t="array" aca="1" ref="A150" ca="1">HYPERLINK(CONCATENATE("#",CELL("address",IF(MAX($CM150:$CT150)=0,A150,INDEX($CM150:$CT150,MATCH(1,$CM150:$CT150,0))))),MAX($CM150:$CT150))</f>
        <v>0</v>
      </c>
      <c r="C150" s="211" t="s">
        <v>1418</v>
      </c>
      <c r="D150" s="1" t="s">
        <v>1419</v>
      </c>
      <c r="G150" s="8"/>
      <c r="H150" s="9" t="s">
        <v>1079</v>
      </c>
      <c r="V150" s="109"/>
      <c r="W150" s="133">
        <f t="shared" si="123"/>
        <v>0</v>
      </c>
      <c r="X150" s="133">
        <f t="shared" si="123"/>
        <v>0</v>
      </c>
      <c r="Y150" s="133">
        <f t="shared" si="123"/>
        <v>0</v>
      </c>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X150" s="12">
        <f t="shared" si="116"/>
        <v>0</v>
      </c>
      <c r="BY150" s="12">
        <f t="shared" si="117"/>
        <v>0</v>
      </c>
      <c r="BZ150" s="12">
        <f t="shared" si="118"/>
        <v>0</v>
      </c>
      <c r="CA150" s="12">
        <f t="shared" si="119"/>
        <v>0</v>
      </c>
      <c r="CB150" s="109"/>
      <c r="CC150" s="109"/>
      <c r="CD150" s="109"/>
      <c r="CE150" s="109"/>
      <c r="CF150" s="109"/>
      <c r="CG150" s="109"/>
      <c r="CH150" s="109"/>
      <c r="CI150" s="109"/>
      <c r="CK150" s="11"/>
      <c r="CL150" s="221">
        <f t="shared" si="124"/>
        <v>0</v>
      </c>
      <c r="CM150" s="11"/>
      <c r="CO150" s="7" cm="1">
        <f t="array" ref="CO150">SUMPRODUCT(--NOT(ISNUMBER(V150:CI150)),--NOT(ISBLANK(V150:CI150)))</f>
        <v>0</v>
      </c>
      <c r="CS150" s="7">
        <f t="shared" si="121"/>
        <v>0</v>
      </c>
      <c r="CT150" s="11"/>
      <c r="CU150">
        <v>1</v>
      </c>
      <c r="CV150">
        <v>1</v>
      </c>
      <c r="CW150">
        <v>0</v>
      </c>
      <c r="EY150" s="12" t="str">
        <f t="shared" si="122"/>
        <v>Deferred Income - Capital Grant Liability Capital grant repayments: Other Grants</v>
      </c>
    </row>
    <row r="151" spans="1:155" x14ac:dyDescent="0.35">
      <c r="A151" s="220" cm="1">
        <f t="array" aca="1" ref="A151" ca="1">HYPERLINK(CONCATENATE("#",CELL("address",IF(MAX($CM151:$CT151)=0,A151,INDEX($CM151:$CT151,MATCH(1,$CM151:$CT151,0))))),MAX($CM151:$CT151))</f>
        <v>0</v>
      </c>
      <c r="C151" s="211" t="s">
        <v>1420</v>
      </c>
      <c r="D151" s="1" t="s">
        <v>1421</v>
      </c>
      <c r="G151" s="8"/>
      <c r="H151" s="9" t="s">
        <v>1079</v>
      </c>
      <c r="V151" s="214"/>
      <c r="W151" s="133">
        <f t="shared" si="123"/>
        <v>0</v>
      </c>
      <c r="X151" s="133">
        <f t="shared" si="123"/>
        <v>0</v>
      </c>
      <c r="Y151" s="133">
        <f t="shared" si="123"/>
        <v>0</v>
      </c>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X151" s="12">
        <f t="shared" si="116"/>
        <v>0</v>
      </c>
      <c r="BY151" s="12">
        <f t="shared" si="117"/>
        <v>0</v>
      </c>
      <c r="BZ151" s="12">
        <f t="shared" si="118"/>
        <v>0</v>
      </c>
      <c r="CA151" s="12">
        <f t="shared" si="119"/>
        <v>0</v>
      </c>
      <c r="CB151" s="109"/>
      <c r="CC151" s="109"/>
      <c r="CD151" s="109"/>
      <c r="CE151" s="109"/>
      <c r="CF151" s="109"/>
      <c r="CG151" s="109"/>
      <c r="CH151" s="109"/>
      <c r="CI151" s="109"/>
      <c r="CK151" s="11"/>
      <c r="CL151" s="221">
        <f t="shared" si="124"/>
        <v>0</v>
      </c>
      <c r="CM151" s="11"/>
      <c r="CO151" s="7" cm="1">
        <f t="array" ref="CO151">SUMPRODUCT(--NOT(ISNUMBER(V151:CI151)),--NOT(ISBLANK(V151:CI151)))</f>
        <v>0</v>
      </c>
      <c r="CS151" s="7">
        <f t="shared" si="121"/>
        <v>0</v>
      </c>
      <c r="CT151" s="11"/>
      <c r="CU151">
        <v>1</v>
      </c>
      <c r="CV151">
        <v>1</v>
      </c>
      <c r="CW151">
        <v>0</v>
      </c>
      <c r="EY151" s="12" t="str">
        <f t="shared" si="122"/>
        <v>Deferred Income - Capital Grant Liability Amortisation through I&amp;E: DfE/ESFA</v>
      </c>
    </row>
    <row r="152" spans="1:155" x14ac:dyDescent="0.35">
      <c r="A152" s="220" cm="1">
        <f t="array" aca="1" ref="A152" ca="1">HYPERLINK(CONCATENATE("#",CELL("address",IF(MAX($CM152:$CT152)=0,A152,INDEX($CM152:$CT152,MATCH(1,$CM152:$CT152,0))))),MAX($CM152:$CT152))</f>
        <v>0</v>
      </c>
      <c r="C152" s="211" t="s">
        <v>1422</v>
      </c>
      <c r="D152" s="1" t="s">
        <v>1423</v>
      </c>
      <c r="G152" s="8"/>
      <c r="H152" s="9" t="s">
        <v>1079</v>
      </c>
      <c r="V152" s="109"/>
      <c r="W152" s="133">
        <f t="shared" si="123"/>
        <v>0</v>
      </c>
      <c r="X152" s="133">
        <f t="shared" si="123"/>
        <v>0</v>
      </c>
      <c r="Y152" s="133">
        <f t="shared" si="123"/>
        <v>0</v>
      </c>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X152" s="12">
        <f t="shared" si="116"/>
        <v>0</v>
      </c>
      <c r="BY152" s="12">
        <f t="shared" si="117"/>
        <v>0</v>
      </c>
      <c r="BZ152" s="12">
        <f t="shared" si="118"/>
        <v>0</v>
      </c>
      <c r="CA152" s="12">
        <f t="shared" si="119"/>
        <v>0</v>
      </c>
      <c r="CB152" s="109"/>
      <c r="CC152" s="109"/>
      <c r="CD152" s="109"/>
      <c r="CE152" s="109"/>
      <c r="CF152" s="109"/>
      <c r="CG152" s="109"/>
      <c r="CH152" s="109"/>
      <c r="CI152" s="109"/>
      <c r="CK152" s="11"/>
      <c r="CL152" s="221">
        <f t="shared" si="124"/>
        <v>0</v>
      </c>
      <c r="CM152" s="11"/>
      <c r="CO152" s="7" cm="1">
        <f t="array" ref="CO152">SUMPRODUCT(--NOT(ISNUMBER(V152:CI152)),--NOT(ISBLANK(V152:CI152)))</f>
        <v>0</v>
      </c>
      <c r="CS152" s="7">
        <f t="shared" si="121"/>
        <v>0</v>
      </c>
      <c r="CT152" s="11"/>
      <c r="CU152">
        <v>1</v>
      </c>
      <c r="CV152">
        <v>1</v>
      </c>
      <c r="CW152">
        <v>0</v>
      </c>
      <c r="EY152" s="12" t="str">
        <f t="shared" si="122"/>
        <v>Deferred Income - Capital Grant Liability Amortisation through I&amp;E: OfS</v>
      </c>
    </row>
    <row r="153" spans="1:155" x14ac:dyDescent="0.35">
      <c r="A153" s="220" cm="1">
        <f t="array" aca="1" ref="A153" ca="1">HYPERLINK(CONCATENATE("#",CELL("address",IF(MAX($CM153:$CT153)=0,A153,INDEX($CM153:$CT153,MATCH(1,$CM153:$CT153,0))))),MAX($CM153:$CT153))</f>
        <v>0</v>
      </c>
      <c r="C153" s="211" t="s">
        <v>1424</v>
      </c>
      <c r="D153" s="1" t="s">
        <v>1425</v>
      </c>
      <c r="E153" s="85" t="s">
        <v>122</v>
      </c>
      <c r="G153" s="8"/>
      <c r="H153" s="9" t="s">
        <v>1079</v>
      </c>
      <c r="V153" s="109"/>
      <c r="W153" s="133">
        <f t="shared" si="123"/>
        <v>0</v>
      </c>
      <c r="X153" s="133">
        <f t="shared" si="123"/>
        <v>0</v>
      </c>
      <c r="Y153" s="133">
        <f t="shared" si="123"/>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2">
        <f t="shared" si="116"/>
        <v>0</v>
      </c>
      <c r="BY153" s="12">
        <f t="shared" si="117"/>
        <v>0</v>
      </c>
      <c r="BZ153" s="12">
        <f t="shared" si="118"/>
        <v>0</v>
      </c>
      <c r="CA153" s="12">
        <f t="shared" si="119"/>
        <v>0</v>
      </c>
      <c r="CB153" s="109"/>
      <c r="CC153" s="109"/>
      <c r="CD153" s="109"/>
      <c r="CE153" s="109"/>
      <c r="CF153" s="109"/>
      <c r="CG153" s="109"/>
      <c r="CH153" s="109"/>
      <c r="CI153" s="109"/>
      <c r="CK153" s="11"/>
      <c r="CL153" s="221">
        <f t="shared" si="124"/>
        <v>0</v>
      </c>
      <c r="CM153" s="11"/>
      <c r="CO153" s="7" cm="1">
        <f t="array" ref="CO153">SUMPRODUCT(--NOT(ISNUMBER(V153:CI153)),--NOT(ISBLANK(V153:CI153)))</f>
        <v>0</v>
      </c>
      <c r="CS153" s="7">
        <f t="shared" si="121"/>
        <v>0</v>
      </c>
      <c r="CT153" s="11"/>
      <c r="CU153">
        <v>1</v>
      </c>
      <c r="CV153">
        <v>1</v>
      </c>
      <c r="CW153">
        <v>0</v>
      </c>
      <c r="EY153" s="12" t="str">
        <f t="shared" si="122"/>
        <v>Deferred Income - Capital Grant Liability Amortisation through I&amp;E: LEP</v>
      </c>
    </row>
    <row r="154" spans="1:155" x14ac:dyDescent="0.35">
      <c r="A154" s="220" cm="1">
        <f t="array" aca="1" ref="A154" ca="1">HYPERLINK(CONCATENATE("#",CELL("address",IF(MAX($CM154:$CT154)=0,A154,INDEX($CM154:$CT154,MATCH(1,$CM154:$CT154,0))))),MAX($CM154:$CT154))</f>
        <v>0</v>
      </c>
      <c r="C154" s="211" t="s">
        <v>1426</v>
      </c>
      <c r="D154" s="1" t="s">
        <v>1427</v>
      </c>
      <c r="E154" s="283" t="s">
        <v>904</v>
      </c>
      <c r="G154" s="8"/>
      <c r="H154" s="9" t="s">
        <v>1079</v>
      </c>
      <c r="V154" s="109"/>
      <c r="W154" s="133">
        <f t="shared" si="123"/>
        <v>0</v>
      </c>
      <c r="X154" s="133">
        <f t="shared" si="123"/>
        <v>0</v>
      </c>
      <c r="Y154" s="133">
        <f t="shared" si="123"/>
        <v>0</v>
      </c>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X154" s="12">
        <f t="shared" si="116"/>
        <v>0</v>
      </c>
      <c r="BY154" s="12">
        <f t="shared" si="117"/>
        <v>0</v>
      </c>
      <c r="BZ154" s="12">
        <f t="shared" si="118"/>
        <v>0</v>
      </c>
      <c r="CA154" s="12">
        <f t="shared" si="119"/>
        <v>0</v>
      </c>
      <c r="CB154" s="109"/>
      <c r="CC154" s="109"/>
      <c r="CD154" s="109"/>
      <c r="CE154" s="109"/>
      <c r="CF154" s="109"/>
      <c r="CG154" s="109"/>
      <c r="CH154" s="109"/>
      <c r="CI154" s="109"/>
      <c r="CK154" s="11"/>
      <c r="CL154" s="221">
        <f t="shared" si="124"/>
        <v>0</v>
      </c>
      <c r="CM154" s="11"/>
      <c r="CO154" s="7" cm="1">
        <f t="array" ref="CO154">SUMPRODUCT(--NOT(ISNUMBER(V154:CI154)),--NOT(ISBLANK(V154:CI154)))</f>
        <v>0</v>
      </c>
      <c r="CS154" s="7">
        <f t="shared" si="121"/>
        <v>0</v>
      </c>
      <c r="CT154" s="11"/>
      <c r="CU154">
        <v>1</v>
      </c>
      <c r="CV154">
        <v>1</v>
      </c>
      <c r="CW154">
        <v>0</v>
      </c>
      <c r="EY154" s="12" t="str">
        <f t="shared" si="122"/>
        <v>Deferred Income - Capital Grant Liability Amortisation through I&amp;E: Other Grants</v>
      </c>
    </row>
    <row r="155" spans="1:155" x14ac:dyDescent="0.35">
      <c r="A155" s="220" cm="1">
        <f t="array" aca="1" ref="A155" ca="1">HYPERLINK(CONCATENATE("#",CELL("address",IF(MAX($CM155:$CT155)=0,A155,INDEX($CM155:$CT155,MATCH(1,$CM155:$CT155,0))))),MAX($CM155:$CT155))</f>
        <v>0</v>
      </c>
      <c r="C155" s="211" t="s">
        <v>1428</v>
      </c>
      <c r="D155" t="s">
        <v>906</v>
      </c>
      <c r="E155" s="215">
        <f>ROUND(V155-SUM(V142:V154), rounding)*$V$10</f>
        <v>0</v>
      </c>
      <c r="G155" s="8"/>
      <c r="H155" s="9" t="s">
        <v>665</v>
      </c>
      <c r="V155" s="12">
        <f>'Opening Balances'!W43+'Opening Balances'!W65</f>
        <v>0</v>
      </c>
      <c r="W155" s="10">
        <f>SUM(W142:W154)</f>
        <v>0</v>
      </c>
      <c r="X155" s="10">
        <f>SUM(X142:X154)</f>
        <v>0</v>
      </c>
      <c r="Y155" s="10">
        <f>SUM(Y142:Y154)</f>
        <v>0</v>
      </c>
      <c r="AA155" s="10">
        <f t="shared" ref="AA155:BJ155" si="125">SUM(AA142:AA154)</f>
        <v>0</v>
      </c>
      <c r="AB155" s="10">
        <f t="shared" si="125"/>
        <v>0</v>
      </c>
      <c r="AC155" s="10">
        <f t="shared" si="125"/>
        <v>0</v>
      </c>
      <c r="AD155" s="10">
        <f t="shared" si="125"/>
        <v>0</v>
      </c>
      <c r="AE155" s="10">
        <f t="shared" si="125"/>
        <v>0</v>
      </c>
      <c r="AF155" s="10">
        <f t="shared" si="125"/>
        <v>0</v>
      </c>
      <c r="AG155" s="10">
        <f t="shared" si="125"/>
        <v>0</v>
      </c>
      <c r="AH155" s="10">
        <f t="shared" si="125"/>
        <v>0</v>
      </c>
      <c r="AI155" s="10">
        <f t="shared" si="125"/>
        <v>0</v>
      </c>
      <c r="AJ155" s="10">
        <f t="shared" si="125"/>
        <v>0</v>
      </c>
      <c r="AK155" s="10">
        <f t="shared" si="125"/>
        <v>0</v>
      </c>
      <c r="AL155" s="10">
        <f t="shared" si="125"/>
        <v>0</v>
      </c>
      <c r="AM155" s="10">
        <f t="shared" si="125"/>
        <v>0</v>
      </c>
      <c r="AN155" s="10">
        <f t="shared" si="125"/>
        <v>0</v>
      </c>
      <c r="AO155" s="10">
        <f t="shared" si="125"/>
        <v>0</v>
      </c>
      <c r="AP155" s="10">
        <f t="shared" si="125"/>
        <v>0</v>
      </c>
      <c r="AQ155" s="10">
        <f t="shared" si="125"/>
        <v>0</v>
      </c>
      <c r="AR155" s="10">
        <f t="shared" si="125"/>
        <v>0</v>
      </c>
      <c r="AS155" s="10">
        <f t="shared" si="125"/>
        <v>0</v>
      </c>
      <c r="AT155" s="10">
        <f t="shared" si="125"/>
        <v>0</v>
      </c>
      <c r="AU155" s="10">
        <f t="shared" si="125"/>
        <v>0</v>
      </c>
      <c r="AV155" s="10">
        <f t="shared" si="125"/>
        <v>0</v>
      </c>
      <c r="AW155" s="10">
        <f t="shared" si="125"/>
        <v>0</v>
      </c>
      <c r="AX155" s="10">
        <f t="shared" si="125"/>
        <v>0</v>
      </c>
      <c r="AY155" s="10">
        <f t="shared" si="125"/>
        <v>0</v>
      </c>
      <c r="AZ155" s="10">
        <f t="shared" si="125"/>
        <v>0</v>
      </c>
      <c r="BA155" s="10">
        <f t="shared" si="125"/>
        <v>0</v>
      </c>
      <c r="BB155" s="10">
        <f t="shared" si="125"/>
        <v>0</v>
      </c>
      <c r="BC155" s="10">
        <f t="shared" si="125"/>
        <v>0</v>
      </c>
      <c r="BD155" s="10">
        <f t="shared" si="125"/>
        <v>0</v>
      </c>
      <c r="BE155" s="10">
        <f t="shared" si="125"/>
        <v>0</v>
      </c>
      <c r="BF155" s="10">
        <f t="shared" si="125"/>
        <v>0</v>
      </c>
      <c r="BG155" s="10">
        <f t="shared" si="125"/>
        <v>0</v>
      </c>
      <c r="BH155" s="10">
        <f t="shared" si="125"/>
        <v>0</v>
      </c>
      <c r="BI155" s="10">
        <f t="shared" si="125"/>
        <v>0</v>
      </c>
      <c r="BJ155" s="10">
        <f t="shared" si="125"/>
        <v>0</v>
      </c>
      <c r="BX155" s="12">
        <f t="shared" si="116"/>
        <v>0</v>
      </c>
      <c r="BY155" s="12">
        <f t="shared" si="117"/>
        <v>0</v>
      </c>
      <c r="BZ155" s="12">
        <f t="shared" si="118"/>
        <v>0</v>
      </c>
      <c r="CA155" s="12">
        <f t="shared" si="119"/>
        <v>0</v>
      </c>
      <c r="CB155" s="10">
        <f t="shared" ref="CB155:CI155" si="126">SUM(CB142:CB154)</f>
        <v>0</v>
      </c>
      <c r="CC155" s="10">
        <f t="shared" si="126"/>
        <v>0</v>
      </c>
      <c r="CD155" s="10">
        <f t="shared" si="126"/>
        <v>0</v>
      </c>
      <c r="CE155" s="10">
        <f t="shared" si="126"/>
        <v>0</v>
      </c>
      <c r="CF155" s="10">
        <f t="shared" si="126"/>
        <v>0</v>
      </c>
      <c r="CG155" s="10">
        <f t="shared" si="126"/>
        <v>0</v>
      </c>
      <c r="CH155" s="10">
        <f t="shared" si="126"/>
        <v>0</v>
      </c>
      <c r="CI155" s="10">
        <f t="shared" si="126"/>
        <v>0</v>
      </c>
      <c r="CK155" s="11"/>
      <c r="CM155" s="11"/>
      <c r="CR155" s="7">
        <f>IF(ABS($E155)&gt;Parameters!$D$33, 1, 0)</f>
        <v>0</v>
      </c>
      <c r="CS155" s="7">
        <f t="shared" si="121"/>
        <v>0</v>
      </c>
      <c r="CT155" s="11"/>
      <c r="CU155">
        <v>0</v>
      </c>
      <c r="CV155">
        <v>0</v>
      </c>
      <c r="CW155" s="1">
        <v>1</v>
      </c>
      <c r="EY155" s="12" t="str">
        <f t="shared" si="122"/>
        <v>Deferred Income - Capital Grant Liability Closing Balance</v>
      </c>
    </row>
    <row r="156" spans="1:155" ht="8.25" customHeight="1" x14ac:dyDescent="0.35">
      <c r="C156" s="234"/>
      <c r="CK156" s="11"/>
      <c r="CM156" s="11"/>
      <c r="CT156" s="11"/>
      <c r="CU156">
        <v>0</v>
      </c>
      <c r="CV156">
        <v>0</v>
      </c>
      <c r="CW156">
        <v>0</v>
      </c>
      <c r="EY156" s="10" t="str">
        <f>IF($C156="","",$D156)</f>
        <v/>
      </c>
    </row>
    <row r="157" spans="1:155" x14ac:dyDescent="0.35">
      <c r="A157" s="220" cm="1">
        <f t="array" aca="1" ref="A157" ca="1">HYPERLINK(CONCATENATE("#",CELL("address",IF(MAX($CM157:$CT157)=0,A157,INDEX($CM157:$CT157,MATCH(1,$CM157:$CT157,0))))),MAX($CM157:$CT157))</f>
        <v>0</v>
      </c>
      <c r="C157" s="213" t="str">
        <f>REPLACE('Opening Balances'!$C$43, LEN('Opening Balances'!$C$43)-1, 1, "C")</f>
        <v>B-3f-CB</v>
      </c>
      <c r="D157" t="s">
        <v>1379</v>
      </c>
      <c r="G157" s="8"/>
      <c r="H157" s="9" t="s">
        <v>665</v>
      </c>
      <c r="V157" s="12">
        <f>'Opening Balances'!W43</f>
        <v>0</v>
      </c>
      <c r="W157" s="10">
        <f>INDEX($AA157:$BJ157, MATCH(W$5, $AA$5:$BJ$5))</f>
        <v>0</v>
      </c>
      <c r="X157" s="10">
        <f>INDEX($AA157:$BJ157, MATCH(X$5, $AA$5:$BJ$5))</f>
        <v>0</v>
      </c>
      <c r="Y157" s="10">
        <f>INDEX($AA157:$BJ157, MATCH(Y$5, $AA$5:$BJ$5))</f>
        <v>0</v>
      </c>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X157" s="10">
        <f>V157</f>
        <v>0</v>
      </c>
      <c r="BY157" s="10">
        <f>W157</f>
        <v>0</v>
      </c>
      <c r="BZ157" s="10">
        <f>X157</f>
        <v>0</v>
      </c>
      <c r="CA157" s="10">
        <f>Y157</f>
        <v>0</v>
      </c>
      <c r="CB157" s="109"/>
      <c r="CC157" s="109"/>
      <c r="CD157" s="109"/>
      <c r="CE157" s="109"/>
      <c r="CF157" s="109"/>
      <c r="CG157" s="109"/>
      <c r="CH157" s="109"/>
      <c r="CI157" s="109"/>
      <c r="CK157" s="11"/>
      <c r="CM157" s="11"/>
      <c r="CO157" s="7" cm="1">
        <f t="array" ref="CO157">SUMPRODUCT(--NOT(ISNUMBER(V157:CI157)),--NOT(ISBLANK(V157:CI157)))</f>
        <v>0</v>
      </c>
      <c r="CS157" s="7">
        <f>IF(SUM(V157:Y157)=SUM(BX157:CA157), 0, 1)</f>
        <v>0</v>
      </c>
      <c r="CT157" s="11"/>
      <c r="CU157">
        <v>0</v>
      </c>
      <c r="CV157">
        <v>1</v>
      </c>
      <c r="CW157">
        <v>0</v>
      </c>
      <c r="EY157" s="12" t="str">
        <f>IF($C157="","",CONCATENATE(D$141," ",D157))</f>
        <v>Deferred Income - Capital Grant Liability Amount due in one year</v>
      </c>
    </row>
    <row r="158" spans="1:155" x14ac:dyDescent="0.35">
      <c r="A158" s="220" cm="1">
        <f t="array" aca="1" ref="A158" ca="1">HYPERLINK(CONCATENATE("#",CELL("address",IF(MAX($CM158:$CT158)=0,A158,INDEX($CM158:$CT158,MATCH(1,$CM158:$CT158,0))))),MAX($CM158:$CT158))</f>
        <v>0</v>
      </c>
      <c r="C158" s="213" t="str">
        <f>REPLACE('Opening Balances'!$C$65, LEN('Opening Balances'!$C$65)-1, 1, "C")</f>
        <v>B-6e-CB</v>
      </c>
      <c r="D158" t="s">
        <v>1380</v>
      </c>
      <c r="G158" s="8"/>
      <c r="H158" s="9" t="s">
        <v>665</v>
      </c>
      <c r="V158" s="10">
        <f>V155-V157</f>
        <v>0</v>
      </c>
      <c r="W158" s="10">
        <f>W155-W157</f>
        <v>0</v>
      </c>
      <c r="X158" s="10">
        <f>X155-X157</f>
        <v>0</v>
      </c>
      <c r="Y158" s="10">
        <f>Y155-Y157</f>
        <v>0</v>
      </c>
      <c r="AA158" s="10">
        <f t="shared" ref="AA158:BJ158" si="127">AA155-AA157</f>
        <v>0</v>
      </c>
      <c r="AB158" s="10">
        <f t="shared" si="127"/>
        <v>0</v>
      </c>
      <c r="AC158" s="10">
        <f t="shared" si="127"/>
        <v>0</v>
      </c>
      <c r="AD158" s="10">
        <f t="shared" si="127"/>
        <v>0</v>
      </c>
      <c r="AE158" s="10">
        <f t="shared" si="127"/>
        <v>0</v>
      </c>
      <c r="AF158" s="10">
        <f t="shared" si="127"/>
        <v>0</v>
      </c>
      <c r="AG158" s="10">
        <f t="shared" si="127"/>
        <v>0</v>
      </c>
      <c r="AH158" s="10">
        <f t="shared" si="127"/>
        <v>0</v>
      </c>
      <c r="AI158" s="10">
        <f t="shared" si="127"/>
        <v>0</v>
      </c>
      <c r="AJ158" s="10">
        <f t="shared" si="127"/>
        <v>0</v>
      </c>
      <c r="AK158" s="10">
        <f t="shared" si="127"/>
        <v>0</v>
      </c>
      <c r="AL158" s="10">
        <f t="shared" si="127"/>
        <v>0</v>
      </c>
      <c r="AM158" s="10">
        <f t="shared" si="127"/>
        <v>0</v>
      </c>
      <c r="AN158" s="10">
        <f t="shared" si="127"/>
        <v>0</v>
      </c>
      <c r="AO158" s="10">
        <f t="shared" si="127"/>
        <v>0</v>
      </c>
      <c r="AP158" s="10">
        <f t="shared" si="127"/>
        <v>0</v>
      </c>
      <c r="AQ158" s="10">
        <f t="shared" si="127"/>
        <v>0</v>
      </c>
      <c r="AR158" s="10">
        <f t="shared" si="127"/>
        <v>0</v>
      </c>
      <c r="AS158" s="10">
        <f t="shared" si="127"/>
        <v>0</v>
      </c>
      <c r="AT158" s="10">
        <f t="shared" si="127"/>
        <v>0</v>
      </c>
      <c r="AU158" s="10">
        <f t="shared" si="127"/>
        <v>0</v>
      </c>
      <c r="AV158" s="10">
        <f t="shared" si="127"/>
        <v>0</v>
      </c>
      <c r="AW158" s="10">
        <f t="shared" si="127"/>
        <v>0</v>
      </c>
      <c r="AX158" s="10">
        <f t="shared" si="127"/>
        <v>0</v>
      </c>
      <c r="AY158" s="10">
        <f t="shared" si="127"/>
        <v>0</v>
      </c>
      <c r="AZ158" s="10">
        <f t="shared" si="127"/>
        <v>0</v>
      </c>
      <c r="BA158" s="10">
        <f t="shared" si="127"/>
        <v>0</v>
      </c>
      <c r="BB158" s="10">
        <f t="shared" si="127"/>
        <v>0</v>
      </c>
      <c r="BC158" s="10">
        <f t="shared" si="127"/>
        <v>0</v>
      </c>
      <c r="BD158" s="10">
        <f t="shared" si="127"/>
        <v>0</v>
      </c>
      <c r="BE158" s="10">
        <f t="shared" si="127"/>
        <v>0</v>
      </c>
      <c r="BF158" s="10">
        <f t="shared" si="127"/>
        <v>0</v>
      </c>
      <c r="BG158" s="10">
        <f t="shared" si="127"/>
        <v>0</v>
      </c>
      <c r="BH158" s="10">
        <f t="shared" si="127"/>
        <v>0</v>
      </c>
      <c r="BI158" s="10">
        <f t="shared" si="127"/>
        <v>0</v>
      </c>
      <c r="BJ158" s="10">
        <f t="shared" si="127"/>
        <v>0</v>
      </c>
      <c r="BX158" s="10">
        <f t="shared" ref="BX158:CI158" si="128">BX155-BX157</f>
        <v>0</v>
      </c>
      <c r="BY158" s="10">
        <f t="shared" si="128"/>
        <v>0</v>
      </c>
      <c r="BZ158" s="10">
        <f t="shared" si="128"/>
        <v>0</v>
      </c>
      <c r="CA158" s="10">
        <f t="shared" si="128"/>
        <v>0</v>
      </c>
      <c r="CB158" s="10">
        <f t="shared" si="128"/>
        <v>0</v>
      </c>
      <c r="CC158" s="10">
        <f t="shared" si="128"/>
        <v>0</v>
      </c>
      <c r="CD158" s="10">
        <f t="shared" si="128"/>
        <v>0</v>
      </c>
      <c r="CE158" s="10">
        <f t="shared" si="128"/>
        <v>0</v>
      </c>
      <c r="CF158" s="10">
        <f t="shared" si="128"/>
        <v>0</v>
      </c>
      <c r="CG158" s="10">
        <f t="shared" si="128"/>
        <v>0</v>
      </c>
      <c r="CH158" s="10">
        <f t="shared" si="128"/>
        <v>0</v>
      </c>
      <c r="CI158" s="10">
        <f t="shared" si="128"/>
        <v>0</v>
      </c>
      <c r="CK158" s="11"/>
      <c r="CM158" s="11"/>
      <c r="CS158" s="7">
        <f>IF(SUM(V158:Y158)=SUM(BX158:CA158), 0, 1)</f>
        <v>0</v>
      </c>
      <c r="CT158" s="11"/>
      <c r="CU158">
        <v>0</v>
      </c>
      <c r="CV158">
        <v>0</v>
      </c>
      <c r="CW158">
        <v>0</v>
      </c>
      <c r="EY158" s="12" t="str">
        <f>IF($C158="","",CONCATENATE(D$141," ",D158))</f>
        <v>Deferred Income - Capital Grant Liability Amount due after one year</v>
      </c>
    </row>
    <row r="159" spans="1:155" ht="8.25" customHeight="1" x14ac:dyDescent="0.35">
      <c r="C159" s="234"/>
      <c r="CK159" s="11"/>
      <c r="CM159" s="11"/>
      <c r="CT159" s="11"/>
      <c r="CU159">
        <v>0</v>
      </c>
      <c r="CV159">
        <v>0</v>
      </c>
      <c r="CW159">
        <v>0</v>
      </c>
      <c r="EY159" s="10" t="str">
        <f>IF($C159="","",$D159)</f>
        <v/>
      </c>
    </row>
    <row r="160" spans="1:155" x14ac:dyDescent="0.35">
      <c r="C160" s="234"/>
      <c r="D160" s="72" t="s">
        <v>679</v>
      </c>
      <c r="CK160" s="11"/>
      <c r="CM160" s="11"/>
      <c r="CT160" s="11"/>
      <c r="CU160">
        <v>0</v>
      </c>
      <c r="CV160">
        <v>0</v>
      </c>
      <c r="CW160">
        <v>0</v>
      </c>
      <c r="EY160" s="10"/>
    </row>
    <row r="161" spans="1:155" x14ac:dyDescent="0.35">
      <c r="A161" s="220" cm="1">
        <f t="array" aca="1" ref="A161" ca="1">HYPERLINK(CONCATENATE("#",CELL("address",IF(MAX($CM161:$CT161)=0,A161,INDEX($CM161:$CT161,MATCH(1,$CM161:$CT161,0))))),MAX($CM161:$CT161))</f>
        <v>0</v>
      </c>
      <c r="C161" s="234" t="s">
        <v>1429</v>
      </c>
      <c r="D161" s="73" t="s">
        <v>906</v>
      </c>
      <c r="H161" s="9" t="s">
        <v>1405</v>
      </c>
      <c r="V161" s="12">
        <f>'Opening Balances'!W44+'Opening Balances'!W66</f>
        <v>0</v>
      </c>
      <c r="W161" s="10">
        <f>INDEX($AA161:$BJ161, MATCH(W$5, $AA$5:$BJ$5))</f>
        <v>0</v>
      </c>
      <c r="X161" s="10">
        <f>INDEX($AA161:$BJ161, MATCH(X$5, $AA$5:$BJ$5))</f>
        <v>0</v>
      </c>
      <c r="Y161" s="10">
        <f>INDEX($AA161:$BJ161, MATCH(Y$5, $AA$5:$BJ$5))</f>
        <v>0</v>
      </c>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X161" s="10">
        <f>V161</f>
        <v>0</v>
      </c>
      <c r="BY161" s="10">
        <f>W161</f>
        <v>0</v>
      </c>
      <c r="BZ161" s="10">
        <f>X161</f>
        <v>0</v>
      </c>
      <c r="CA161" s="10">
        <f>Y161</f>
        <v>0</v>
      </c>
      <c r="CB161" s="109"/>
      <c r="CC161" s="109"/>
      <c r="CD161" s="109"/>
      <c r="CE161" s="109"/>
      <c r="CF161" s="109"/>
      <c r="CG161" s="109"/>
      <c r="CH161" s="109"/>
      <c r="CI161" s="109"/>
      <c r="CK161" s="11"/>
      <c r="CM161" s="11"/>
      <c r="CO161" s="7" cm="1">
        <f t="array" ref="CO161">SUMPRODUCT(--NOT(ISNUMBER(V161:CI161)),--NOT(ISBLANK(V161:CI161)))</f>
        <v>0</v>
      </c>
      <c r="CS161" s="7">
        <f>IF(SUM(V161:Y161)=SUM(BX161:CA161), 0, 1)</f>
        <v>0</v>
      </c>
      <c r="CT161" s="11"/>
      <c r="CU161">
        <v>0</v>
      </c>
      <c r="CV161">
        <v>1</v>
      </c>
      <c r="CW161" s="1">
        <v>1</v>
      </c>
      <c r="EY161" s="10"/>
    </row>
    <row r="162" spans="1:155" ht="8.25" customHeight="1" x14ac:dyDescent="0.35">
      <c r="C162" s="234"/>
      <c r="D162" s="73"/>
      <c r="CK162" s="11"/>
      <c r="CM162" s="11"/>
      <c r="CT162" s="11"/>
      <c r="CU162">
        <v>0</v>
      </c>
      <c r="CV162">
        <v>0</v>
      </c>
      <c r="CW162">
        <v>0</v>
      </c>
      <c r="EY162" s="10"/>
    </row>
    <row r="163" spans="1:155" x14ac:dyDescent="0.35">
      <c r="A163" s="220" cm="1">
        <f t="array" aca="1" ref="A163" ca="1">HYPERLINK(CONCATENATE("#",CELL("address",IF(MAX($CM163:$CT163)=0,A163,INDEX($CM163:$CT163,MATCH(1,$CM163:$CT163,0))))),MAX($CM163:$CT163))</f>
        <v>0</v>
      </c>
      <c r="C163" s="234" t="s">
        <v>1430</v>
      </c>
      <c r="D163" s="73" t="s">
        <v>1379</v>
      </c>
      <c r="H163" s="9" t="s">
        <v>665</v>
      </c>
      <c r="V163" s="12">
        <f>'Opening Balances'!W44</f>
        <v>0</v>
      </c>
      <c r="W163" s="10">
        <f>INDEX($AA163:$BJ163, MATCH(W$5, $AA$5:$BJ$5))</f>
        <v>0</v>
      </c>
      <c r="X163" s="10">
        <f>INDEX($AA163:$BJ163, MATCH(X$5, $AA$5:$BJ$5))</f>
        <v>0</v>
      </c>
      <c r="Y163" s="10">
        <f>INDEX($AA163:$BJ163, MATCH(Y$5, $AA$5:$BJ$5))</f>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 t="shared" ref="BX163" si="129">V163</f>
        <v>0</v>
      </c>
      <c r="BY163" s="10">
        <f t="shared" ref="BY163" si="130">W163</f>
        <v>0</v>
      </c>
      <c r="BZ163" s="10">
        <f t="shared" ref="BZ163" si="131">X163</f>
        <v>0</v>
      </c>
      <c r="CA163" s="10">
        <f t="shared" ref="CA163" si="132">Y163</f>
        <v>0</v>
      </c>
      <c r="CB163" s="109"/>
      <c r="CC163" s="109"/>
      <c r="CD163" s="109"/>
      <c r="CE163" s="109"/>
      <c r="CF163" s="109"/>
      <c r="CG163" s="109"/>
      <c r="CH163" s="109"/>
      <c r="CI163" s="109"/>
      <c r="CK163" s="11"/>
      <c r="CM163" s="11"/>
      <c r="CO163" s="7" cm="1">
        <f t="array" ref="CO163">SUMPRODUCT(--NOT(ISNUMBER(V163:CI163)),--NOT(ISBLANK(V163:CI163)))</f>
        <v>0</v>
      </c>
      <c r="CS163" s="7">
        <f t="shared" ref="CS163" si="133">IF(SUM(V163:Y163)=SUM(BX163:CA163), 0, 1)</f>
        <v>0</v>
      </c>
      <c r="CT163" s="11"/>
      <c r="CU163">
        <v>0</v>
      </c>
      <c r="CV163">
        <v>1</v>
      </c>
      <c r="CW163">
        <v>0</v>
      </c>
      <c r="EY163" s="10"/>
    </row>
    <row r="164" spans="1:155" x14ac:dyDescent="0.35">
      <c r="A164" s="220" cm="1">
        <f t="array" aca="1" ref="A164" ca="1">HYPERLINK(CONCATENATE("#",CELL("address",IF(MAX($CM164:$CT164)=0,A164,INDEX($CM164:$CT164,MATCH(1,$CM164:$CT164,0))))),MAX($CM164:$CT164))</f>
        <v>0</v>
      </c>
      <c r="C164" s="234" t="s">
        <v>1431</v>
      </c>
      <c r="D164" s="73" t="s">
        <v>1380</v>
      </c>
      <c r="H164" s="9" t="s">
        <v>665</v>
      </c>
      <c r="V164" s="10">
        <f>V161-V163</f>
        <v>0</v>
      </c>
      <c r="W164" s="10">
        <f>W161-W163</f>
        <v>0</v>
      </c>
      <c r="X164" s="10">
        <f>X161-X163</f>
        <v>0</v>
      </c>
      <c r="Y164" s="10">
        <f>Y161-Y163</f>
        <v>0</v>
      </c>
      <c r="AA164" s="10">
        <f t="shared" ref="AA164:BJ164" si="134">AA161-AA163</f>
        <v>0</v>
      </c>
      <c r="AB164" s="10">
        <f t="shared" si="134"/>
        <v>0</v>
      </c>
      <c r="AC164" s="10">
        <f t="shared" si="134"/>
        <v>0</v>
      </c>
      <c r="AD164" s="10">
        <f t="shared" si="134"/>
        <v>0</v>
      </c>
      <c r="AE164" s="10">
        <f t="shared" si="134"/>
        <v>0</v>
      </c>
      <c r="AF164" s="10">
        <f t="shared" si="134"/>
        <v>0</v>
      </c>
      <c r="AG164" s="10">
        <f t="shared" si="134"/>
        <v>0</v>
      </c>
      <c r="AH164" s="10">
        <f t="shared" si="134"/>
        <v>0</v>
      </c>
      <c r="AI164" s="10">
        <f t="shared" si="134"/>
        <v>0</v>
      </c>
      <c r="AJ164" s="10">
        <f t="shared" si="134"/>
        <v>0</v>
      </c>
      <c r="AK164" s="10">
        <f t="shared" si="134"/>
        <v>0</v>
      </c>
      <c r="AL164" s="10">
        <f t="shared" si="134"/>
        <v>0</v>
      </c>
      <c r="AM164" s="10">
        <f t="shared" si="134"/>
        <v>0</v>
      </c>
      <c r="AN164" s="10">
        <f t="shared" si="134"/>
        <v>0</v>
      </c>
      <c r="AO164" s="10">
        <f t="shared" si="134"/>
        <v>0</v>
      </c>
      <c r="AP164" s="10">
        <f t="shared" si="134"/>
        <v>0</v>
      </c>
      <c r="AQ164" s="10">
        <f t="shared" si="134"/>
        <v>0</v>
      </c>
      <c r="AR164" s="10">
        <f t="shared" si="134"/>
        <v>0</v>
      </c>
      <c r="AS164" s="10">
        <f t="shared" si="134"/>
        <v>0</v>
      </c>
      <c r="AT164" s="10">
        <f t="shared" si="134"/>
        <v>0</v>
      </c>
      <c r="AU164" s="10">
        <f t="shared" si="134"/>
        <v>0</v>
      </c>
      <c r="AV164" s="10">
        <f t="shared" si="134"/>
        <v>0</v>
      </c>
      <c r="AW164" s="10">
        <f t="shared" si="134"/>
        <v>0</v>
      </c>
      <c r="AX164" s="10">
        <f t="shared" si="134"/>
        <v>0</v>
      </c>
      <c r="AY164" s="10">
        <f t="shared" si="134"/>
        <v>0</v>
      </c>
      <c r="AZ164" s="10">
        <f t="shared" si="134"/>
        <v>0</v>
      </c>
      <c r="BA164" s="10">
        <f t="shared" si="134"/>
        <v>0</v>
      </c>
      <c r="BB164" s="10">
        <f t="shared" si="134"/>
        <v>0</v>
      </c>
      <c r="BC164" s="10">
        <f t="shared" si="134"/>
        <v>0</v>
      </c>
      <c r="BD164" s="10">
        <f t="shared" si="134"/>
        <v>0</v>
      </c>
      <c r="BE164" s="10">
        <f t="shared" si="134"/>
        <v>0</v>
      </c>
      <c r="BF164" s="10">
        <f t="shared" si="134"/>
        <v>0</v>
      </c>
      <c r="BG164" s="10">
        <f t="shared" si="134"/>
        <v>0</v>
      </c>
      <c r="BH164" s="10">
        <f t="shared" si="134"/>
        <v>0</v>
      </c>
      <c r="BI164" s="10">
        <f t="shared" si="134"/>
        <v>0</v>
      </c>
      <c r="BJ164" s="10">
        <f t="shared" si="134"/>
        <v>0</v>
      </c>
      <c r="BX164" s="10">
        <f>BX161-BX163</f>
        <v>0</v>
      </c>
      <c r="BY164" s="10">
        <f t="shared" ref="BY164:CH164" si="135">BY161-BY163</f>
        <v>0</v>
      </c>
      <c r="BZ164" s="10">
        <f t="shared" si="135"/>
        <v>0</v>
      </c>
      <c r="CA164" s="10">
        <f t="shared" si="135"/>
        <v>0</v>
      </c>
      <c r="CB164" s="10">
        <f t="shared" si="135"/>
        <v>0</v>
      </c>
      <c r="CC164" s="10">
        <f t="shared" si="135"/>
        <v>0</v>
      </c>
      <c r="CD164" s="10">
        <f t="shared" si="135"/>
        <v>0</v>
      </c>
      <c r="CE164" s="10">
        <f t="shared" si="135"/>
        <v>0</v>
      </c>
      <c r="CF164" s="10">
        <f t="shared" si="135"/>
        <v>0</v>
      </c>
      <c r="CG164" s="10">
        <f t="shared" si="135"/>
        <v>0</v>
      </c>
      <c r="CH164" s="10">
        <f t="shared" si="135"/>
        <v>0</v>
      </c>
      <c r="CI164" s="10">
        <f>CI161-CI163</f>
        <v>0</v>
      </c>
      <c r="CK164" s="11"/>
      <c r="CM164" s="11"/>
      <c r="CS164" s="7">
        <f>IF(SUM(V164:Y164)=SUM(BX164:CA164), 0, 1)</f>
        <v>0</v>
      </c>
      <c r="CT164" s="11"/>
      <c r="CU164">
        <v>0</v>
      </c>
      <c r="CV164">
        <v>0</v>
      </c>
      <c r="CW164">
        <v>0</v>
      </c>
      <c r="EY164" s="10"/>
    </row>
    <row r="165" spans="1:155" ht="8.25" customHeight="1" x14ac:dyDescent="0.35">
      <c r="C165" s="234"/>
      <c r="CK165" s="11"/>
      <c r="CM165" s="11"/>
      <c r="CT165" s="11"/>
      <c r="CU165">
        <v>0</v>
      </c>
      <c r="CV165">
        <v>0</v>
      </c>
      <c r="CW165">
        <v>0</v>
      </c>
      <c r="EY165" s="10"/>
    </row>
    <row r="166" spans="1:155" x14ac:dyDescent="0.35">
      <c r="B166" s="5"/>
      <c r="C166" s="234"/>
      <c r="D166" s="24" t="s">
        <v>681</v>
      </c>
      <c r="BY166" s="6"/>
      <c r="BZ166" s="6"/>
      <c r="CK166" s="11"/>
      <c r="CM166" s="11"/>
      <c r="CT166" s="11"/>
      <c r="CU166">
        <v>0</v>
      </c>
      <c r="CV166">
        <v>0</v>
      </c>
      <c r="CW166">
        <v>0</v>
      </c>
      <c r="EY166" s="10" t="str">
        <f>IF($C166="","",$D166)</f>
        <v/>
      </c>
    </row>
    <row r="167" spans="1:155" x14ac:dyDescent="0.35">
      <c r="A167" s="220" cm="1">
        <f t="array" aca="1" ref="A167" ca="1">HYPERLINK(CONCATENATE("#",CELL("address",IF(MAX($CM167:$CT167)=0,A167,INDEX($CM167:$CT167,MATCH(1,$CM167:$CT167,0))))),MAX($CM167:$CT167))</f>
        <v>0</v>
      </c>
      <c r="C167" s="213" t="str">
        <f>REPLACE('Opening Balances'!$C$45, LEN('Opening Balances'!$C$45)-1, 1, "C")</f>
        <v>B-3g-CB</v>
      </c>
      <c r="D167" s="33" t="s">
        <v>906</v>
      </c>
      <c r="E167" s="33"/>
      <c r="G167" s="8"/>
      <c r="H167" s="9" t="s">
        <v>665</v>
      </c>
      <c r="V167" s="12">
        <f>'Opening Balances'!W45</f>
        <v>0</v>
      </c>
      <c r="W167" s="10">
        <f>INDEX($AA167:$BJ167, MATCH(W$5, $AA$5:$BJ$5))</f>
        <v>0</v>
      </c>
      <c r="X167" s="10">
        <f>INDEX($AA167:$BJ167, MATCH(X$5, $AA$5:$BJ$5))</f>
        <v>0</v>
      </c>
      <c r="Y167" s="10">
        <f>INDEX($AA167:$BJ167, MATCH(Y$5, $AA$5:$BJ$5))</f>
        <v>0</v>
      </c>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X167" s="10">
        <f>V167</f>
        <v>0</v>
      </c>
      <c r="BY167" s="10">
        <f>W167</f>
        <v>0</v>
      </c>
      <c r="BZ167" s="10">
        <f>X167</f>
        <v>0</v>
      </c>
      <c r="CA167" s="10">
        <f>Y167</f>
        <v>0</v>
      </c>
      <c r="CB167" s="109"/>
      <c r="CC167" s="109"/>
      <c r="CD167" s="109"/>
      <c r="CE167" s="109"/>
      <c r="CF167" s="109"/>
      <c r="CG167" s="109"/>
      <c r="CH167" s="109"/>
      <c r="CI167" s="109"/>
      <c r="CK167" s="11"/>
      <c r="CM167" s="11"/>
      <c r="CO167" s="7" cm="1">
        <f t="array" ref="CO167">SUMPRODUCT(--NOT(ISNUMBER(V167:CI167)),--NOT(ISBLANK(V167:CI167)))</f>
        <v>0</v>
      </c>
      <c r="CS167" s="7">
        <f>IF(SUM(V167:Y167)=SUM(BX167:CA167), 0, 1)</f>
        <v>0</v>
      </c>
      <c r="CT167" s="11"/>
      <c r="CU167">
        <v>0</v>
      </c>
      <c r="CV167">
        <v>1</v>
      </c>
      <c r="CW167" s="1">
        <v>1</v>
      </c>
      <c r="EY167" s="12" t="str">
        <f>IF($C167="","",CONCATENATE(D166," ",D167))</f>
        <v>Trade Payables Closing Balance</v>
      </c>
    </row>
    <row r="168" spans="1:155" ht="8.25" customHeight="1" x14ac:dyDescent="0.35">
      <c r="C168" s="234"/>
      <c r="BY168" s="6"/>
      <c r="CK168" s="11"/>
      <c r="CM168" s="11"/>
      <c r="CT168" s="11"/>
      <c r="CU168">
        <v>0</v>
      </c>
      <c r="CV168">
        <v>0</v>
      </c>
      <c r="CW168">
        <v>0</v>
      </c>
      <c r="EY168" s="10" t="str">
        <f>IF($C168="","",$D168)</f>
        <v/>
      </c>
    </row>
    <row r="169" spans="1:155" x14ac:dyDescent="0.35">
      <c r="B169" s="5"/>
      <c r="C169" s="234"/>
      <c r="D169" s="24" t="s">
        <v>683</v>
      </c>
      <c r="BY169" s="6"/>
      <c r="BZ169" s="6"/>
      <c r="CK169" s="11"/>
      <c r="CM169" s="11"/>
      <c r="CT169" s="11"/>
      <c r="CU169">
        <v>0</v>
      </c>
      <c r="CV169">
        <v>0</v>
      </c>
      <c r="CW169">
        <v>0</v>
      </c>
      <c r="EY169" s="10" t="str">
        <f>IF($C169="","",$D169)</f>
        <v/>
      </c>
    </row>
    <row r="170" spans="1:155" x14ac:dyDescent="0.35">
      <c r="A170" s="220" cm="1">
        <f t="array" aca="1" ref="A170" ca="1">HYPERLINK(CONCATENATE("#",CELL("address",IF(MAX($CM170:$CT170)=0,A170,INDEX($CM170:$CT170,MATCH(1,$CM170:$CT170,0))))),MAX($CM170:$CT170))</f>
        <v>0</v>
      </c>
      <c r="C170" s="213" t="str">
        <f>REPLACE('Opening Balances'!$C$46, LEN('Opening Balances'!$C$46)-1, 1, "C")</f>
        <v>B-3h-CB</v>
      </c>
      <c r="D170" s="33" t="s">
        <v>906</v>
      </c>
      <c r="E170" s="33"/>
      <c r="G170" s="8"/>
      <c r="H170" s="9"/>
      <c r="V170" s="12">
        <f>'Opening Balances'!W46</f>
        <v>0</v>
      </c>
      <c r="W170" s="10">
        <f>INDEX($AA170:$BJ170, MATCH(W$5, $AA$5:$BJ$5))</f>
        <v>0</v>
      </c>
      <c r="X170" s="10">
        <f>INDEX($AA170:$BJ170, MATCH(X$5, $AA$5:$BJ$5))</f>
        <v>0</v>
      </c>
      <c r="Y170" s="10">
        <f>INDEX($AA170:$BJ170, MATCH(Y$5, $AA$5:$BJ$5))</f>
        <v>0</v>
      </c>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X170" s="10">
        <f>V170</f>
        <v>0</v>
      </c>
      <c r="BY170" s="10">
        <f>W170</f>
        <v>0</v>
      </c>
      <c r="BZ170" s="10">
        <f>X170</f>
        <v>0</v>
      </c>
      <c r="CA170" s="10">
        <f>Y170</f>
        <v>0</v>
      </c>
      <c r="CB170" s="109"/>
      <c r="CC170" s="109"/>
      <c r="CD170" s="109"/>
      <c r="CE170" s="109"/>
      <c r="CF170" s="109"/>
      <c r="CG170" s="109"/>
      <c r="CH170" s="109"/>
      <c r="CI170" s="109"/>
      <c r="CK170" s="11"/>
      <c r="CM170" s="11"/>
      <c r="CO170" s="7" cm="1">
        <f t="array" ref="CO170">SUMPRODUCT(--NOT(ISNUMBER(V170:CI170)),--NOT(ISBLANK(V170:CI170)))</f>
        <v>0</v>
      </c>
      <c r="CS170" s="7">
        <f>IF(SUM(V170:Y170)=SUM(BX170:CA170), 0, 1)</f>
        <v>0</v>
      </c>
      <c r="CT170" s="11"/>
      <c r="CU170">
        <v>0</v>
      </c>
      <c r="CV170">
        <v>1</v>
      </c>
      <c r="CW170" s="1">
        <v>1</v>
      </c>
      <c r="EY170" s="12" t="str">
        <f>IF($C170="","",CONCATENATE(D169," ",D170))</f>
        <v>Other Payments on Account Closing Balance</v>
      </c>
    </row>
    <row r="171" spans="1:155" ht="8.25" customHeight="1" x14ac:dyDescent="0.35">
      <c r="C171" s="234"/>
      <c r="CK171" s="11"/>
      <c r="CM171" s="11"/>
      <c r="CT171" s="11"/>
      <c r="CU171">
        <v>0</v>
      </c>
      <c r="CV171">
        <v>0</v>
      </c>
      <c r="CW171">
        <v>0</v>
      </c>
      <c r="EY171" s="10" t="str">
        <f>IF($C171="","",$D171)</f>
        <v/>
      </c>
    </row>
    <row r="172" spans="1:155" x14ac:dyDescent="0.35">
      <c r="B172" s="5"/>
      <c r="C172" s="234"/>
      <c r="D172" s="24" t="s">
        <v>685</v>
      </c>
      <c r="CK172" s="11"/>
      <c r="CM172" s="11"/>
      <c r="CT172" s="11"/>
      <c r="CU172">
        <v>0</v>
      </c>
      <c r="CV172">
        <v>0</v>
      </c>
      <c r="CW172">
        <v>0</v>
      </c>
      <c r="EY172" s="10" t="str">
        <f>IF($C172="","",$D172)</f>
        <v/>
      </c>
    </row>
    <row r="173" spans="1:155" x14ac:dyDescent="0.35">
      <c r="A173" s="220" cm="1">
        <f t="array" aca="1" ref="A173" ca="1">HYPERLINK(CONCATENATE("#",CELL("address",IF(MAX($CM173:$CT173)=0,A173,INDEX($CM173:$CT173,MATCH(1,$CM173:$CT173,0))))),MAX($CM173:$CT173))</f>
        <v>0</v>
      </c>
      <c r="C173" s="213" t="s">
        <v>1432</v>
      </c>
      <c r="D173" t="s">
        <v>906</v>
      </c>
      <c r="G173" s="8"/>
      <c r="H173" s="9" t="s">
        <v>665</v>
      </c>
      <c r="V173" s="12">
        <f>'Opening Balances'!W47+'Opening Balances'!W67</f>
        <v>0</v>
      </c>
      <c r="W173" s="10">
        <f>INDEX($AA173:$BJ173, MATCH(W$5, $AA$5:$BJ$5))</f>
        <v>0</v>
      </c>
      <c r="X173" s="10">
        <f>INDEX($AA173:$BJ173, MATCH(X$5, $AA$5:$BJ$5))</f>
        <v>0</v>
      </c>
      <c r="Y173" s="10">
        <f>INDEX($AA173:$BJ173, MATCH(Y$5, $AA$5:$BJ$5))</f>
        <v>0</v>
      </c>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X173" s="10">
        <f>V173</f>
        <v>0</v>
      </c>
      <c r="BY173" s="10">
        <f>W173</f>
        <v>0</v>
      </c>
      <c r="BZ173" s="10">
        <f>X173</f>
        <v>0</v>
      </c>
      <c r="CA173" s="10">
        <f>Y173</f>
        <v>0</v>
      </c>
      <c r="CB173" s="109"/>
      <c r="CC173" s="109"/>
      <c r="CD173" s="109"/>
      <c r="CE173" s="109"/>
      <c r="CF173" s="109"/>
      <c r="CG173" s="109"/>
      <c r="CH173" s="109"/>
      <c r="CI173" s="109"/>
      <c r="CK173" s="11"/>
      <c r="CM173" s="11"/>
      <c r="CO173" s="7" cm="1">
        <f t="array" ref="CO173">SUMPRODUCT(--NOT(ISNUMBER(V173:CI173)),--NOT(ISBLANK(V173:CI173)))</f>
        <v>0</v>
      </c>
      <c r="CS173" s="7">
        <f>IF(SUM(V173:Y173)=SUM(BX173:CA173), 0, 1)</f>
        <v>0</v>
      </c>
      <c r="CT173" s="11"/>
      <c r="CU173">
        <v>0</v>
      </c>
      <c r="CV173">
        <v>1</v>
      </c>
      <c r="CW173" s="1">
        <v>1</v>
      </c>
      <c r="EY173" s="12" t="str">
        <f>IF($C173="","",CONCATENATE(D$172," ",D173))</f>
        <v>Other Liabilities Closing Balance</v>
      </c>
    </row>
    <row r="174" spans="1:155" ht="8.25" customHeight="1" x14ac:dyDescent="0.35">
      <c r="C174" s="234"/>
      <c r="CK174" s="11"/>
      <c r="CM174" s="11"/>
      <c r="CT174" s="11"/>
      <c r="CU174">
        <v>0</v>
      </c>
      <c r="CV174">
        <v>0</v>
      </c>
      <c r="CW174">
        <v>0</v>
      </c>
      <c r="EY174" s="10" t="str">
        <f>IF($C174="","",$D174)</f>
        <v/>
      </c>
    </row>
    <row r="175" spans="1:155" x14ac:dyDescent="0.35">
      <c r="A175" s="220" cm="1">
        <f t="array" aca="1" ref="A175" ca="1">HYPERLINK(CONCATENATE("#",CELL("address",IF(MAX($CM175:$CT175)=0,A175,INDEX($CM175:$CT175,MATCH(1,$CM175:$CT175,0))))),MAX($CM175:$CT175))</f>
        <v>0</v>
      </c>
      <c r="C175" s="213" t="str">
        <f>REPLACE('Opening Balances'!$C$47, LEN('Opening Balances'!$C$47)-1, 1, "C")</f>
        <v>B-3i-CB</v>
      </c>
      <c r="D175" t="s">
        <v>1433</v>
      </c>
      <c r="G175" s="8"/>
      <c r="H175" s="9" t="s">
        <v>665</v>
      </c>
      <c r="V175" s="12">
        <f>'Opening Balances'!W47</f>
        <v>0</v>
      </c>
      <c r="W175" s="10">
        <f>INDEX($AA175:$BJ175, MATCH(W$5, $AA$5:$BJ$5))</f>
        <v>0</v>
      </c>
      <c r="X175" s="10">
        <f>INDEX($AA175:$BJ175, MATCH(X$5, $AA$5:$BJ$5))</f>
        <v>0</v>
      </c>
      <c r="Y175" s="10">
        <f>INDEX($AA175:$BJ175, MATCH(Y$5, $AA$5:$BJ$5))</f>
        <v>0</v>
      </c>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X175" s="10">
        <f>V175</f>
        <v>0</v>
      </c>
      <c r="BY175" s="10">
        <f>W175</f>
        <v>0</v>
      </c>
      <c r="BZ175" s="10">
        <f>X175</f>
        <v>0</v>
      </c>
      <c r="CA175" s="10">
        <f>Y175</f>
        <v>0</v>
      </c>
      <c r="CB175" s="109"/>
      <c r="CC175" s="109"/>
      <c r="CD175" s="109"/>
      <c r="CE175" s="109"/>
      <c r="CF175" s="109"/>
      <c r="CG175" s="109"/>
      <c r="CH175" s="109"/>
      <c r="CI175" s="109"/>
      <c r="CK175" s="11"/>
      <c r="CM175" s="11"/>
      <c r="CO175" s="7" cm="1">
        <f t="array" ref="CO175">SUMPRODUCT(--NOT(ISNUMBER(V175:CI175)),--NOT(ISBLANK(V175:CI175)))</f>
        <v>0</v>
      </c>
      <c r="CS175" s="7">
        <f>IF(SUM(V175:Y175)=SUM(BX175:CA175), 0, 1)</f>
        <v>0</v>
      </c>
      <c r="CT175" s="11"/>
      <c r="CU175">
        <v>0</v>
      </c>
      <c r="CV175">
        <v>1</v>
      </c>
      <c r="CW175">
        <v>0</v>
      </c>
      <c r="EY175" s="12" t="str">
        <f>IF($C175="","",CONCATENATE(D$172," ",D175))</f>
        <v>Other Liabilities Amount due within one year</v>
      </c>
    </row>
    <row r="176" spans="1:155" x14ac:dyDescent="0.35">
      <c r="A176" s="220" cm="1">
        <f t="array" aca="1" ref="A176" ca="1">HYPERLINK(CONCATENATE("#",CELL("address",IF(MAX($CM176:$CT176)=0,A176,INDEX($CM176:$CT176,MATCH(1,$CM176:$CT176,0))))),MAX($CM176:$CT176))</f>
        <v>0</v>
      </c>
      <c r="C176" s="213" t="str">
        <f>REPLACE('Opening Balances'!$C$67, LEN('Opening Balances'!$C$67)-1, 1, "C")</f>
        <v>B-6f-CB</v>
      </c>
      <c r="D176" t="s">
        <v>1380</v>
      </c>
      <c r="G176" s="8"/>
      <c r="H176" s="9" t="s">
        <v>665</v>
      </c>
      <c r="V176" s="10">
        <f>V173-V175</f>
        <v>0</v>
      </c>
      <c r="W176" s="10">
        <f>W173-W175</f>
        <v>0</v>
      </c>
      <c r="X176" s="10">
        <f>X173-X175</f>
        <v>0</v>
      </c>
      <c r="Y176" s="10">
        <f>Y173-Y175</f>
        <v>0</v>
      </c>
      <c r="AA176" s="10">
        <f>AA173-AA175</f>
        <v>0</v>
      </c>
      <c r="AB176" s="10">
        <f t="shared" ref="AB176:BJ176" si="136">AB173-AB175</f>
        <v>0</v>
      </c>
      <c r="AC176" s="10">
        <f t="shared" si="136"/>
        <v>0</v>
      </c>
      <c r="AD176" s="10">
        <f t="shared" si="136"/>
        <v>0</v>
      </c>
      <c r="AE176" s="10">
        <f t="shared" si="136"/>
        <v>0</v>
      </c>
      <c r="AF176" s="10">
        <f t="shared" si="136"/>
        <v>0</v>
      </c>
      <c r="AG176" s="10">
        <f t="shared" si="136"/>
        <v>0</v>
      </c>
      <c r="AH176" s="10">
        <f t="shared" si="136"/>
        <v>0</v>
      </c>
      <c r="AI176" s="10">
        <f t="shared" si="136"/>
        <v>0</v>
      </c>
      <c r="AJ176" s="10">
        <f t="shared" si="136"/>
        <v>0</v>
      </c>
      <c r="AK176" s="10">
        <f t="shared" si="136"/>
        <v>0</v>
      </c>
      <c r="AL176" s="10">
        <f t="shared" si="136"/>
        <v>0</v>
      </c>
      <c r="AM176" s="10">
        <f t="shared" si="136"/>
        <v>0</v>
      </c>
      <c r="AN176" s="10">
        <f t="shared" si="136"/>
        <v>0</v>
      </c>
      <c r="AO176" s="10">
        <f t="shared" si="136"/>
        <v>0</v>
      </c>
      <c r="AP176" s="10">
        <f t="shared" si="136"/>
        <v>0</v>
      </c>
      <c r="AQ176" s="10">
        <f t="shared" si="136"/>
        <v>0</v>
      </c>
      <c r="AR176" s="10">
        <f t="shared" si="136"/>
        <v>0</v>
      </c>
      <c r="AS176" s="10">
        <f t="shared" si="136"/>
        <v>0</v>
      </c>
      <c r="AT176" s="10">
        <f t="shared" si="136"/>
        <v>0</v>
      </c>
      <c r="AU176" s="10">
        <f t="shared" si="136"/>
        <v>0</v>
      </c>
      <c r="AV176" s="10">
        <f t="shared" si="136"/>
        <v>0</v>
      </c>
      <c r="AW176" s="10">
        <f t="shared" si="136"/>
        <v>0</v>
      </c>
      <c r="AX176" s="10">
        <f t="shared" si="136"/>
        <v>0</v>
      </c>
      <c r="AY176" s="10">
        <f t="shared" si="136"/>
        <v>0</v>
      </c>
      <c r="AZ176" s="10">
        <f t="shared" si="136"/>
        <v>0</v>
      </c>
      <c r="BA176" s="10">
        <f t="shared" si="136"/>
        <v>0</v>
      </c>
      <c r="BB176" s="10">
        <f t="shared" si="136"/>
        <v>0</v>
      </c>
      <c r="BC176" s="10">
        <f t="shared" si="136"/>
        <v>0</v>
      </c>
      <c r="BD176" s="10">
        <f t="shared" si="136"/>
        <v>0</v>
      </c>
      <c r="BE176" s="10">
        <f t="shared" si="136"/>
        <v>0</v>
      </c>
      <c r="BF176" s="10">
        <f t="shared" si="136"/>
        <v>0</v>
      </c>
      <c r="BG176" s="10">
        <f t="shared" si="136"/>
        <v>0</v>
      </c>
      <c r="BH176" s="10">
        <f t="shared" si="136"/>
        <v>0</v>
      </c>
      <c r="BI176" s="10">
        <f t="shared" si="136"/>
        <v>0</v>
      </c>
      <c r="BJ176" s="10">
        <f t="shared" si="136"/>
        <v>0</v>
      </c>
      <c r="BX176" s="10">
        <f t="shared" ref="BX176:CI176" si="137">BX173-BX175</f>
        <v>0</v>
      </c>
      <c r="BY176" s="10">
        <f t="shared" si="137"/>
        <v>0</v>
      </c>
      <c r="BZ176" s="10">
        <f t="shared" si="137"/>
        <v>0</v>
      </c>
      <c r="CA176" s="10">
        <f t="shared" si="137"/>
        <v>0</v>
      </c>
      <c r="CB176" s="10">
        <f t="shared" si="137"/>
        <v>0</v>
      </c>
      <c r="CC176" s="10">
        <f t="shared" si="137"/>
        <v>0</v>
      </c>
      <c r="CD176" s="10">
        <f t="shared" si="137"/>
        <v>0</v>
      </c>
      <c r="CE176" s="10">
        <f t="shared" si="137"/>
        <v>0</v>
      </c>
      <c r="CF176" s="10">
        <f t="shared" si="137"/>
        <v>0</v>
      </c>
      <c r="CG176" s="10">
        <f t="shared" si="137"/>
        <v>0</v>
      </c>
      <c r="CH176" s="10">
        <f t="shared" si="137"/>
        <v>0</v>
      </c>
      <c r="CI176" s="10">
        <f t="shared" si="137"/>
        <v>0</v>
      </c>
      <c r="CK176" s="11"/>
      <c r="CM176" s="11"/>
      <c r="CS176" s="7">
        <f>IF(SUM(V176:Y176)=SUM(BX176:CA176), 0, 1)</f>
        <v>0</v>
      </c>
      <c r="CT176" s="11"/>
      <c r="CU176">
        <v>0</v>
      </c>
      <c r="CV176">
        <v>0</v>
      </c>
      <c r="CW176">
        <v>0</v>
      </c>
      <c r="EY176" s="12" t="str">
        <f>IF($C176="","",CONCATENATE(D$172," ",D176))</f>
        <v>Other Liabilities Amount due after one year</v>
      </c>
    </row>
    <row r="177" spans="1:155" ht="8.25" customHeight="1" x14ac:dyDescent="0.35">
      <c r="C177" s="234"/>
      <c r="BY177" s="6"/>
      <c r="CK177" s="11"/>
      <c r="CM177" s="11"/>
      <c r="CT177" s="11"/>
      <c r="CU177">
        <v>0</v>
      </c>
      <c r="CV177">
        <v>0</v>
      </c>
      <c r="CW177">
        <v>0</v>
      </c>
      <c r="EY177" s="10" t="str">
        <f>IF($C177="","",$D177)</f>
        <v/>
      </c>
    </row>
    <row r="178" spans="1:155" x14ac:dyDescent="0.35">
      <c r="B178" s="5"/>
      <c r="C178" s="234"/>
      <c r="D178" s="24" t="s">
        <v>1434</v>
      </c>
      <c r="CK178" s="11"/>
      <c r="CM178" s="11"/>
      <c r="CT178" s="11"/>
      <c r="CU178">
        <v>0</v>
      </c>
      <c r="CV178">
        <v>0</v>
      </c>
      <c r="CW178">
        <v>0</v>
      </c>
      <c r="EY178" s="10" t="str">
        <f>IF($C178="","",$D178)</f>
        <v/>
      </c>
    </row>
    <row r="179" spans="1:155" x14ac:dyDescent="0.35">
      <c r="A179" s="220" cm="1">
        <f t="array" aca="1" ref="A179" ca="1">HYPERLINK(CONCATENATE("#",CELL("address",IF(MAX($CM179:$CT179)=0,A179,INDEX($CM179:$CT179,MATCH(1,$CM179:$CT179,0))))),MAX($CM179:$CT179))</f>
        <v>0</v>
      </c>
      <c r="C179" s="211" t="str">
        <f>'Investing Inputs'!C298</f>
        <v>B-3j-CB</v>
      </c>
      <c r="D179" t="s">
        <v>906</v>
      </c>
      <c r="G179" s="8"/>
      <c r="H179" s="9" t="s">
        <v>665</v>
      </c>
      <c r="V179" s="10">
        <f>'Investing Inputs'!V298</f>
        <v>0</v>
      </c>
      <c r="W179" s="10">
        <f>'Investing Inputs'!W298</f>
        <v>0</v>
      </c>
      <c r="X179" s="10">
        <f>'Investing Inputs'!X298</f>
        <v>0</v>
      </c>
      <c r="Y179" s="10">
        <f>'Investing Inputs'!Y298</f>
        <v>0</v>
      </c>
      <c r="AA179" s="10">
        <f>'Investing Inputs'!AA298</f>
        <v>0</v>
      </c>
      <c r="AB179" s="10">
        <f>'Investing Inputs'!AB298</f>
        <v>0</v>
      </c>
      <c r="AC179" s="10">
        <f>'Investing Inputs'!AC298</f>
        <v>0</v>
      </c>
      <c r="AD179" s="10">
        <f>'Investing Inputs'!AD298</f>
        <v>0</v>
      </c>
      <c r="AE179" s="10">
        <f>'Investing Inputs'!AE298</f>
        <v>0</v>
      </c>
      <c r="AF179" s="10">
        <f>'Investing Inputs'!AF298</f>
        <v>0</v>
      </c>
      <c r="AG179" s="10">
        <f>'Investing Inputs'!AG298</f>
        <v>0</v>
      </c>
      <c r="AH179" s="10">
        <f>'Investing Inputs'!AH298</f>
        <v>0</v>
      </c>
      <c r="AI179" s="10">
        <f>'Investing Inputs'!AI298</f>
        <v>0</v>
      </c>
      <c r="AJ179" s="10">
        <f>'Investing Inputs'!AJ298</f>
        <v>0</v>
      </c>
      <c r="AK179" s="10">
        <f>'Investing Inputs'!AK298</f>
        <v>0</v>
      </c>
      <c r="AL179" s="10">
        <f>'Investing Inputs'!AL298</f>
        <v>0</v>
      </c>
      <c r="AM179" s="10">
        <f>'Investing Inputs'!AM298</f>
        <v>0</v>
      </c>
      <c r="AN179" s="10">
        <f>'Investing Inputs'!AN298</f>
        <v>0</v>
      </c>
      <c r="AO179" s="10">
        <f>'Investing Inputs'!AO298</f>
        <v>0</v>
      </c>
      <c r="AP179" s="10">
        <f>'Investing Inputs'!AP298</f>
        <v>0</v>
      </c>
      <c r="AQ179" s="10">
        <f>'Investing Inputs'!AQ298</f>
        <v>0</v>
      </c>
      <c r="AR179" s="10">
        <f>'Investing Inputs'!AR298</f>
        <v>0</v>
      </c>
      <c r="AS179" s="10">
        <f>'Investing Inputs'!AS298</f>
        <v>0</v>
      </c>
      <c r="AT179" s="10">
        <f>'Investing Inputs'!AT298</f>
        <v>0</v>
      </c>
      <c r="AU179" s="10">
        <f>'Investing Inputs'!AU298</f>
        <v>0</v>
      </c>
      <c r="AV179" s="10">
        <f>'Investing Inputs'!AV298</f>
        <v>0</v>
      </c>
      <c r="AW179" s="10">
        <f>'Investing Inputs'!AW298</f>
        <v>0</v>
      </c>
      <c r="AX179" s="10">
        <f>'Investing Inputs'!AX298</f>
        <v>0</v>
      </c>
      <c r="AY179" s="10">
        <f>'Investing Inputs'!AY298</f>
        <v>0</v>
      </c>
      <c r="AZ179" s="10">
        <f>'Investing Inputs'!AZ298</f>
        <v>0</v>
      </c>
      <c r="BA179" s="10">
        <f>'Investing Inputs'!BA298</f>
        <v>0</v>
      </c>
      <c r="BB179" s="10">
        <f>'Investing Inputs'!BB298</f>
        <v>0</v>
      </c>
      <c r="BC179" s="10">
        <f>'Investing Inputs'!BC298</f>
        <v>0</v>
      </c>
      <c r="BD179" s="10">
        <f>'Investing Inputs'!BD298</f>
        <v>0</v>
      </c>
      <c r="BE179" s="10">
        <f>'Investing Inputs'!BE298</f>
        <v>0</v>
      </c>
      <c r="BF179" s="10">
        <f>'Investing Inputs'!BF298</f>
        <v>0</v>
      </c>
      <c r="BG179" s="10">
        <f>'Investing Inputs'!BG298</f>
        <v>0</v>
      </c>
      <c r="BH179" s="10">
        <f>'Investing Inputs'!BH298</f>
        <v>0</v>
      </c>
      <c r="BI179" s="10">
        <f>'Investing Inputs'!BI298</f>
        <v>0</v>
      </c>
      <c r="BJ179" s="10">
        <f>'Investing Inputs'!BJ298</f>
        <v>0</v>
      </c>
      <c r="BX179" s="10">
        <f>'Investing Inputs'!BX298</f>
        <v>0</v>
      </c>
      <c r="BY179" s="10">
        <f>'Investing Inputs'!BY298</f>
        <v>0</v>
      </c>
      <c r="BZ179" s="10">
        <f>'Investing Inputs'!BZ298</f>
        <v>0</v>
      </c>
      <c r="CA179" s="10">
        <f>'Investing Inputs'!CA298</f>
        <v>0</v>
      </c>
      <c r="CB179" s="10">
        <f>'Investing Inputs'!CB298</f>
        <v>0</v>
      </c>
      <c r="CC179" s="10">
        <f>'Investing Inputs'!CC298</f>
        <v>0</v>
      </c>
      <c r="CD179" s="10">
        <f>'Investing Inputs'!CD298</f>
        <v>0</v>
      </c>
      <c r="CE179" s="10">
        <f>'Investing Inputs'!CE298</f>
        <v>0</v>
      </c>
      <c r="CF179" s="10">
        <f>'Investing Inputs'!CF298</f>
        <v>0</v>
      </c>
      <c r="CG179" s="10">
        <f>'Investing Inputs'!CG298</f>
        <v>0</v>
      </c>
      <c r="CH179" s="10">
        <f>'Investing Inputs'!CH298</f>
        <v>0</v>
      </c>
      <c r="CI179" s="10">
        <f>'Investing Inputs'!CI298</f>
        <v>0</v>
      </c>
      <c r="CK179" s="11"/>
      <c r="CM179" s="11"/>
      <c r="CS179" s="7">
        <f>IF(SUM(V179:Y179)=SUM(BX179:CA179), 0, 1)</f>
        <v>0</v>
      </c>
      <c r="CT179" s="11"/>
      <c r="CU179">
        <v>0</v>
      </c>
      <c r="CV179">
        <v>0</v>
      </c>
      <c r="CW179" s="1">
        <v>1</v>
      </c>
      <c r="EY179" s="12" t="str">
        <f>IF($C179="","",CONCATENATE(D178," ",D179))</f>
        <v>Fixed Assets Retentions Closing Balance</v>
      </c>
    </row>
    <row r="180" spans="1:155" ht="8.25" customHeight="1" x14ac:dyDescent="0.35">
      <c r="C180" s="234"/>
      <c r="CK180" s="11"/>
      <c r="CM180" s="11"/>
      <c r="CT180" s="11"/>
      <c r="CU180">
        <v>0</v>
      </c>
      <c r="CV180">
        <v>0</v>
      </c>
      <c r="CW180">
        <v>0</v>
      </c>
      <c r="EY180" s="10" t="str">
        <f>IF($C180="","",$D180)</f>
        <v/>
      </c>
    </row>
    <row r="181" spans="1:155" x14ac:dyDescent="0.35">
      <c r="B181" s="5"/>
      <c r="C181" s="234"/>
      <c r="D181" s="24" t="s">
        <v>689</v>
      </c>
      <c r="CK181" s="11"/>
      <c r="CM181" s="11"/>
      <c r="CT181" s="11"/>
      <c r="CU181">
        <v>0</v>
      </c>
      <c r="CV181">
        <v>0</v>
      </c>
      <c r="CW181">
        <v>0</v>
      </c>
      <c r="EY181" s="10" t="str">
        <f>IF($C181="","",$D181)</f>
        <v/>
      </c>
    </row>
    <row r="182" spans="1:155" x14ac:dyDescent="0.35">
      <c r="A182" s="220" cm="1">
        <f t="array" aca="1" ref="A182" ca="1">HYPERLINK(CONCATENATE("#",CELL("address",IF(MAX($CM182:$CT182)=0,A182,INDEX($CM182:$CT182,MATCH(1,$CM182:$CT182,0))))),MAX($CM182:$CT182))</f>
        <v>0</v>
      </c>
      <c r="C182" s="213" t="str">
        <f>REPLACE('Opening Balances'!$C$49, LEN('Opening Balances'!$C$49)-1, 1, "C")</f>
        <v>B-3k-CB</v>
      </c>
      <c r="D182" t="s">
        <v>906</v>
      </c>
      <c r="G182" s="8"/>
      <c r="H182" s="9" t="s">
        <v>665</v>
      </c>
      <c r="V182" s="12">
        <f>'Opening Balances'!W49</f>
        <v>0</v>
      </c>
      <c r="W182" s="10">
        <f>INDEX($AA182:$BJ182, MATCH(W$5, $AA$5:$BJ$5))</f>
        <v>0</v>
      </c>
      <c r="X182" s="10">
        <f>INDEX($AA182:$BJ182, MATCH(X$5, $AA$5:$BJ$5))</f>
        <v>0</v>
      </c>
      <c r="Y182" s="10">
        <f>INDEX($AA182:$BJ182, MATCH(Y$5, $AA$5:$BJ$5))</f>
        <v>0</v>
      </c>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X182" s="10">
        <f>V182</f>
        <v>0</v>
      </c>
      <c r="BY182" s="10">
        <f>W182</f>
        <v>0</v>
      </c>
      <c r="BZ182" s="10">
        <f>X182</f>
        <v>0</v>
      </c>
      <c r="CA182" s="10">
        <f>Y182</f>
        <v>0</v>
      </c>
      <c r="CB182" s="109"/>
      <c r="CC182" s="109"/>
      <c r="CD182" s="109"/>
      <c r="CE182" s="109"/>
      <c r="CF182" s="109"/>
      <c r="CG182" s="109"/>
      <c r="CH182" s="109"/>
      <c r="CI182" s="109"/>
      <c r="CK182" s="11"/>
      <c r="CM182" s="11"/>
      <c r="CO182" s="7" cm="1">
        <f t="array" ref="CO182">SUMPRODUCT(--NOT(ISNUMBER(V182:CI182)),--NOT(ISBLANK(V182:CI182)))</f>
        <v>0</v>
      </c>
      <c r="CS182" s="7">
        <f>IF(SUM(V182:Y182)=SUM(BX182:CA182), 0, 1)</f>
        <v>0</v>
      </c>
      <c r="CT182" s="11"/>
      <c r="CU182">
        <v>0</v>
      </c>
      <c r="CV182">
        <v>1</v>
      </c>
      <c r="CW182" s="1">
        <v>1</v>
      </c>
      <c r="EY182" s="12" t="str">
        <f>IF($C182="","",CONCATENATE(D181," ",D182))</f>
        <v>Recovery of DfE/ESFA/DA Funding Closing Balance</v>
      </c>
    </row>
    <row r="183" spans="1:155" ht="8.25" customHeight="1" x14ac:dyDescent="0.35">
      <c r="A183" s="5"/>
      <c r="C183" s="234"/>
      <c r="CK183" s="11"/>
      <c r="CM183" s="11"/>
      <c r="CT183" s="11"/>
      <c r="CU183">
        <v>0</v>
      </c>
      <c r="CV183">
        <v>0</v>
      </c>
      <c r="CW183">
        <v>0</v>
      </c>
      <c r="EY183" s="10" t="str">
        <f>IF($C183="","",$D183)</f>
        <v/>
      </c>
    </row>
    <row r="184" spans="1:155" x14ac:dyDescent="0.35">
      <c r="A184" s="5"/>
      <c r="B184" s="5"/>
      <c r="C184" s="234"/>
      <c r="D184" s="24" t="s">
        <v>691</v>
      </c>
      <c r="CK184" s="11"/>
      <c r="CM184" s="11"/>
      <c r="CT184" s="11"/>
      <c r="CU184">
        <v>0</v>
      </c>
      <c r="CV184">
        <v>0</v>
      </c>
      <c r="CW184">
        <v>0</v>
      </c>
      <c r="EY184" s="10" t="str">
        <f>IF($C184="","",$D184)</f>
        <v/>
      </c>
    </row>
    <row r="185" spans="1:155" x14ac:dyDescent="0.35">
      <c r="A185" s="220" cm="1">
        <f t="array" aca="1" ref="A185" ca="1">HYPERLINK(CONCATENATE("#",CELL("address",IF(MAX($CM185:$CT185)=0,A185,INDEX($CM185:$CT185,MATCH(1,$CM185:$CT185,0))))),MAX($CM185:$CT185))</f>
        <v>0</v>
      </c>
      <c r="C185" s="213" t="str">
        <f>REPLACE('Opening Balances'!$C$50, LEN('Opening Balances'!$C$50)-1, 1, "C")</f>
        <v>B-3l-CB</v>
      </c>
      <c r="D185" t="s">
        <v>906</v>
      </c>
      <c r="G185" s="8"/>
      <c r="H185" s="9" t="s">
        <v>317</v>
      </c>
      <c r="V185" s="12">
        <f>'Opening Balances'!W50</f>
        <v>0</v>
      </c>
      <c r="W185" s="10">
        <f>INDEX($AA185:$BJ185, MATCH(W$5, $AA$5:$BJ$5))</f>
        <v>0</v>
      </c>
      <c r="X185" s="10">
        <f>INDEX($AA185:$BJ185, MATCH(X$5, $AA$5:$BJ$5))</f>
        <v>0</v>
      </c>
      <c r="Y185" s="10">
        <f>INDEX($AA185:$BJ185, MATCH(Y$5, $AA$5:$BJ$5))</f>
        <v>0</v>
      </c>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X185" s="10">
        <f>V185</f>
        <v>0</v>
      </c>
      <c r="BY185" s="10">
        <f>W185</f>
        <v>0</v>
      </c>
      <c r="BZ185" s="10">
        <f>X185</f>
        <v>0</v>
      </c>
      <c r="CA185" s="10">
        <f>Y185</f>
        <v>0</v>
      </c>
      <c r="CB185" s="109"/>
      <c r="CC185" s="109"/>
      <c r="CD185" s="109"/>
      <c r="CE185" s="109"/>
      <c r="CF185" s="109"/>
      <c r="CG185" s="109"/>
      <c r="CH185" s="109"/>
      <c r="CI185" s="109"/>
      <c r="CK185" s="11"/>
      <c r="CM185" s="11"/>
      <c r="CO185" s="7" cm="1">
        <f t="array" ref="CO185">SUMPRODUCT(--NOT(ISNUMBER(V185:CI185)),--NOT(ISBLANK(V185:CI185)))</f>
        <v>0</v>
      </c>
      <c r="CS185" s="7">
        <f>IF(SUM(V185:Y185)=SUM(BX185:CA185), 0, 1)</f>
        <v>0</v>
      </c>
      <c r="CT185" s="11"/>
      <c r="CU185">
        <v>0</v>
      </c>
      <c r="CV185">
        <v>1</v>
      </c>
      <c r="CW185" s="1">
        <v>1</v>
      </c>
      <c r="EY185" s="12" t="str">
        <f>IF($C185="","",CONCATENATE(D184," ",D185))</f>
        <v>AEB Clawback Closing Balance</v>
      </c>
    </row>
    <row r="186" spans="1:155" ht="8.25" customHeight="1" x14ac:dyDescent="0.35">
      <c r="C186" s="234"/>
      <c r="CK186" s="11"/>
      <c r="CM186" s="11"/>
      <c r="CT186" s="11"/>
      <c r="CU186">
        <v>0</v>
      </c>
      <c r="CV186">
        <v>0</v>
      </c>
      <c r="CW186">
        <v>0</v>
      </c>
      <c r="EY186" s="10" t="str">
        <f>IF($C186="","",$D186)</f>
        <v/>
      </c>
    </row>
    <row r="187" spans="1:155" x14ac:dyDescent="0.35">
      <c r="B187" s="5"/>
      <c r="C187" s="234"/>
      <c r="D187" s="24" t="s">
        <v>693</v>
      </c>
      <c r="CK187" s="11"/>
      <c r="CM187" s="11"/>
      <c r="CT187" s="11"/>
      <c r="CU187">
        <v>0</v>
      </c>
      <c r="CV187">
        <v>0</v>
      </c>
      <c r="CW187">
        <v>0</v>
      </c>
      <c r="EY187" s="10" t="str">
        <f>IF($C187="","",$D187)</f>
        <v/>
      </c>
    </row>
    <row r="188" spans="1:155" x14ac:dyDescent="0.35">
      <c r="A188" s="220" cm="1">
        <f t="array" aca="1" ref="A188" ca="1">HYPERLINK(CONCATENATE("#",CELL("address",IF(MAX($CM188:$CT188)=0,A188,INDEX($CM188:$CT188,MATCH(1,$CM188:$CT188,0))))),MAX($CM188:$CT188))</f>
        <v>0</v>
      </c>
      <c r="C188" s="213" t="str">
        <f>REPLACE('Opening Balances'!$C$51, LEN('Opening Balances'!$C$51)-1, 1, "C")</f>
        <v>B-3m-CB</v>
      </c>
      <c r="D188" t="s">
        <v>906</v>
      </c>
      <c r="G188" s="8"/>
      <c r="H188" s="9"/>
      <c r="V188" s="12">
        <f>'Opening Balances'!W51</f>
        <v>0</v>
      </c>
      <c r="W188" s="10">
        <f>INDEX($AA188:$BJ188, MATCH(W$5, $AA$5:$BJ$5))</f>
        <v>0</v>
      </c>
      <c r="X188" s="10">
        <f>INDEX($AA188:$BJ188, MATCH(X$5, $AA$5:$BJ$5))</f>
        <v>0</v>
      </c>
      <c r="Y188" s="10">
        <f>INDEX($AA188:$BJ188, MATCH(Y$5, $AA$5:$BJ$5))</f>
        <v>0</v>
      </c>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X188" s="10">
        <f>V188</f>
        <v>0</v>
      </c>
      <c r="BY188" s="10">
        <f>W188</f>
        <v>0</v>
      </c>
      <c r="BZ188" s="10">
        <f>X188</f>
        <v>0</v>
      </c>
      <c r="CA188" s="10">
        <f>Y188</f>
        <v>0</v>
      </c>
      <c r="CB188" s="109"/>
      <c r="CC188" s="109"/>
      <c r="CD188" s="109"/>
      <c r="CE188" s="109"/>
      <c r="CF188" s="109"/>
      <c r="CG188" s="109"/>
      <c r="CH188" s="109"/>
      <c r="CI188" s="109"/>
      <c r="CK188" s="11"/>
      <c r="CM188" s="11"/>
      <c r="CO188" s="7" cm="1">
        <f t="array" ref="CO188">SUMPRODUCT(--NOT(ISNUMBER(V188:CI188)),--NOT(ISBLANK(V188:CI188)))</f>
        <v>0</v>
      </c>
      <c r="CS188" s="7">
        <f>IF(SUM(V188:Y188)=SUM(BX188:CA188), 0, 1)</f>
        <v>0</v>
      </c>
      <c r="CT188" s="11"/>
      <c r="CU188">
        <v>0</v>
      </c>
      <c r="CV188">
        <v>1</v>
      </c>
      <c r="CW188" s="1">
        <v>1</v>
      </c>
      <c r="EY188" s="12" t="str">
        <f>IF($C188="","",CONCATENATE(D187," ",D188))</f>
        <v>Deferred Income - Revenue Closing Balance</v>
      </c>
    </row>
    <row r="189" spans="1:155" ht="8.25" customHeight="1" x14ac:dyDescent="0.35">
      <c r="C189" s="234"/>
      <c r="CK189" s="11"/>
      <c r="CM189" s="11"/>
      <c r="CT189" s="11"/>
      <c r="CU189">
        <v>0</v>
      </c>
      <c r="CV189">
        <v>0</v>
      </c>
      <c r="CW189">
        <v>0</v>
      </c>
      <c r="EY189" s="10" t="str">
        <f>IF($C189="","",$D189)</f>
        <v/>
      </c>
    </row>
    <row r="190" spans="1:155" x14ac:dyDescent="0.35">
      <c r="B190" s="5"/>
      <c r="C190" s="234"/>
      <c r="D190" s="24" t="s">
        <v>695</v>
      </c>
      <c r="CK190" s="11"/>
      <c r="CM190" s="11"/>
      <c r="CT190" s="11"/>
      <c r="CU190">
        <v>0</v>
      </c>
      <c r="CV190">
        <v>0</v>
      </c>
      <c r="CW190">
        <v>0</v>
      </c>
      <c r="EY190" s="10" t="str">
        <f>IF($C190="","",$D190)</f>
        <v/>
      </c>
    </row>
    <row r="191" spans="1:155" x14ac:dyDescent="0.35">
      <c r="A191" s="220" cm="1">
        <f t="array" aca="1" ref="A191" ca="1">HYPERLINK(CONCATENATE("#",CELL("address",IF(MAX($CM191:$CT191)=0,A191,INDEX($CM191:$CT191,MATCH(1,$CM191:$CT191,0))))),MAX($CM191:$CT191))</f>
        <v>0</v>
      </c>
      <c r="C191" s="213" t="str">
        <f>REPLACE('Opening Balances'!$C$52, LEN('Opening Balances'!$C$52)-1, 1, "C")</f>
        <v>B-3n-CB</v>
      </c>
      <c r="D191" t="s">
        <v>906</v>
      </c>
      <c r="G191" s="8"/>
      <c r="H191" s="9" t="s">
        <v>665</v>
      </c>
      <c r="V191" s="12">
        <f>'Opening Balances'!W52</f>
        <v>0</v>
      </c>
      <c r="W191" s="10">
        <f>INDEX($AA191:$BJ191, MATCH(W$5, $AA$5:$BJ$5))</f>
        <v>0</v>
      </c>
      <c r="X191" s="10">
        <f>INDEX($AA191:$BJ191, MATCH(X$5, $AA$5:$BJ$5))</f>
        <v>0</v>
      </c>
      <c r="Y191" s="10">
        <f>INDEX($AA191:$BJ191, MATCH(Y$5, $AA$5:$BJ$5))</f>
        <v>0</v>
      </c>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X191" s="10">
        <f>V191</f>
        <v>0</v>
      </c>
      <c r="BY191" s="10">
        <f>W191</f>
        <v>0</v>
      </c>
      <c r="BZ191" s="10">
        <f>X191</f>
        <v>0</v>
      </c>
      <c r="CA191" s="10">
        <f>Y191</f>
        <v>0</v>
      </c>
      <c r="CB191" s="109"/>
      <c r="CC191" s="109"/>
      <c r="CD191" s="109"/>
      <c r="CE191" s="109"/>
      <c r="CF191" s="109"/>
      <c r="CG191" s="109"/>
      <c r="CH191" s="109"/>
      <c r="CI191" s="109"/>
      <c r="CK191" s="11"/>
      <c r="CM191" s="11"/>
      <c r="CO191" s="7" cm="1">
        <f t="array" ref="CO191">SUMPRODUCT(--NOT(ISNUMBER(V191:CI191)),--NOT(ISBLANK(V191:CI191)))</f>
        <v>0</v>
      </c>
      <c r="CS191" s="7">
        <f>IF(SUM(V191:Y191)=SUM(BX191:CA191), 0, 1)</f>
        <v>0</v>
      </c>
      <c r="CT191" s="11"/>
      <c r="CU191">
        <v>0</v>
      </c>
      <c r="CV191">
        <v>1</v>
      </c>
      <c r="CW191" s="1">
        <v>1</v>
      </c>
      <c r="EY191" s="12" t="str">
        <f>IF($C191="","",CONCATENATE(D190," ",D191))</f>
        <v>Accruals Closing Balance</v>
      </c>
    </row>
    <row r="192" spans="1:155" ht="8.25" customHeight="1" x14ac:dyDescent="0.35">
      <c r="C192" s="234"/>
      <c r="CK192" s="11"/>
      <c r="CM192" s="11"/>
      <c r="CT192" s="11"/>
      <c r="CU192">
        <v>0</v>
      </c>
      <c r="CV192">
        <v>0</v>
      </c>
      <c r="CW192">
        <v>0</v>
      </c>
      <c r="EY192" s="10" t="str">
        <f>IF($C192="","",$D192)</f>
        <v/>
      </c>
    </row>
    <row r="193" spans="1:155" x14ac:dyDescent="0.35">
      <c r="B193" s="5"/>
      <c r="C193" s="234"/>
      <c r="D193" s="24" t="s">
        <v>697</v>
      </c>
      <c r="CK193" s="11"/>
      <c r="CM193" s="11"/>
      <c r="CT193" s="11"/>
      <c r="CU193">
        <v>0</v>
      </c>
      <c r="CV193">
        <v>0</v>
      </c>
      <c r="CW193">
        <v>0</v>
      </c>
      <c r="EY193" s="10" t="str">
        <f>IF($C193="","",$D193)</f>
        <v/>
      </c>
    </row>
    <row r="194" spans="1:155" x14ac:dyDescent="0.35">
      <c r="A194" s="220" cm="1">
        <f t="array" aca="1" ref="A194" ca="1">HYPERLINK(CONCATENATE("#",CELL("address",IF(MAX($CM194:$CT194)=0,A194,INDEX($CM194:$CT194,MATCH(1,$CM194:$CT194,0))))),MAX($CM194:$CT194))</f>
        <v>0</v>
      </c>
      <c r="C194" s="213" t="str">
        <f>REPLACE('Opening Balances'!$C$53, LEN('Opening Balances'!$C$53)-1, 1, "C")</f>
        <v>B-3o-CB</v>
      </c>
      <c r="D194" t="s">
        <v>906</v>
      </c>
      <c r="G194" s="8"/>
      <c r="H194" s="9" t="s">
        <v>665</v>
      </c>
      <c r="V194" s="12">
        <f>'Opening Balances'!W53</f>
        <v>0</v>
      </c>
      <c r="W194" s="10">
        <f>INDEX($AA194:$BJ194, MATCH(W$5, $AA$5:$BJ$5))</f>
        <v>0</v>
      </c>
      <c r="X194" s="10">
        <f>INDEX($AA194:$BJ194, MATCH(X$5, $AA$5:$BJ$5))</f>
        <v>0</v>
      </c>
      <c r="Y194" s="10">
        <f>INDEX($AA194:$BJ194, MATCH(Y$5, $AA$5:$BJ$5))</f>
        <v>0</v>
      </c>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X194" s="10">
        <f>V194</f>
        <v>0</v>
      </c>
      <c r="BY194" s="10">
        <f>W194</f>
        <v>0</v>
      </c>
      <c r="BZ194" s="10">
        <f>X194</f>
        <v>0</v>
      </c>
      <c r="CA194" s="10">
        <f>Y194</f>
        <v>0</v>
      </c>
      <c r="CB194" s="109"/>
      <c r="CC194" s="109"/>
      <c r="CD194" s="109"/>
      <c r="CE194" s="109"/>
      <c r="CF194" s="109"/>
      <c r="CG194" s="109"/>
      <c r="CH194" s="109"/>
      <c r="CI194" s="109"/>
      <c r="CK194" s="11"/>
      <c r="CM194" s="11"/>
      <c r="CO194" s="7" cm="1">
        <f t="array" ref="CO194">SUMPRODUCT(--NOT(ISNUMBER(V194:CI194)),--NOT(ISBLANK(V194:CI194)))</f>
        <v>0</v>
      </c>
      <c r="CS194" s="7">
        <f>IF(SUM(V194:Y194)=SUM(BX194:CA194), 0, 1)</f>
        <v>0</v>
      </c>
      <c r="CT194" s="11"/>
      <c r="CU194">
        <v>0</v>
      </c>
      <c r="CV194">
        <v>1</v>
      </c>
      <c r="CW194" s="1">
        <v>1</v>
      </c>
      <c r="EY194" s="12" t="str">
        <f>IF($C194="","",CONCATENATE(D193," ",D194))</f>
        <v>Holiday and Sabbatical Pay Accrual Closing Balance</v>
      </c>
    </row>
    <row r="195" spans="1:155" ht="8.25" customHeight="1" x14ac:dyDescent="0.35">
      <c r="C195" s="234"/>
      <c r="CK195" s="11"/>
      <c r="CM195" s="11"/>
      <c r="CT195" s="11"/>
      <c r="CU195">
        <v>0</v>
      </c>
      <c r="CV195">
        <v>0</v>
      </c>
      <c r="CW195">
        <v>0</v>
      </c>
      <c r="EY195" s="10" t="str">
        <f>IF($C195="","",$D195)</f>
        <v/>
      </c>
    </row>
    <row r="196" spans="1:155" x14ac:dyDescent="0.35">
      <c r="B196" s="5"/>
      <c r="C196" s="234"/>
      <c r="D196" s="24" t="s">
        <v>699</v>
      </c>
      <c r="CK196" s="11"/>
      <c r="CM196" s="11"/>
      <c r="CT196" s="11"/>
      <c r="CU196">
        <v>0</v>
      </c>
      <c r="CV196">
        <v>0</v>
      </c>
      <c r="CW196">
        <v>0</v>
      </c>
      <c r="EY196" s="10" t="str">
        <f>IF($C196="","",$D196)</f>
        <v/>
      </c>
    </row>
    <row r="197" spans="1:155" x14ac:dyDescent="0.35">
      <c r="A197" s="220" cm="1">
        <f t="array" aca="1" ref="A197" ca="1">HYPERLINK(CONCATENATE("#",CELL("address",IF(MAX($CM197:$CT197)=0,A197,INDEX($CM197:$CT197,MATCH(1,$CM197:$CT197,0))))),MAX($CM197:$CT197))</f>
        <v>0</v>
      </c>
      <c r="C197" s="213" t="str">
        <f>REPLACE('Opening Balances'!$C$54, LEN('Opening Balances'!$C$54)-1, 1, "C")</f>
        <v>B-3p-CB</v>
      </c>
      <c r="D197" t="s">
        <v>906</v>
      </c>
      <c r="G197" s="8"/>
      <c r="H197" s="9" t="s">
        <v>317</v>
      </c>
      <c r="V197" s="12">
        <f>'Opening Balances'!W54</f>
        <v>0</v>
      </c>
      <c r="W197" s="10">
        <f>INDEX($AA197:$BJ197, MATCH(W$5, $AA$5:$BJ$5))</f>
        <v>0</v>
      </c>
      <c r="X197" s="10">
        <f>INDEX($AA197:$BJ197, MATCH(X$5, $AA$5:$BJ$5))</f>
        <v>0</v>
      </c>
      <c r="Y197" s="10">
        <f>INDEX($AA197:$BJ197, MATCH(Y$5, $AA$5:$BJ$5))</f>
        <v>0</v>
      </c>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X197" s="10">
        <f>V197</f>
        <v>0</v>
      </c>
      <c r="BY197" s="10">
        <f>W197</f>
        <v>0</v>
      </c>
      <c r="BZ197" s="10">
        <f>X197</f>
        <v>0</v>
      </c>
      <c r="CA197" s="10">
        <f>Y197</f>
        <v>0</v>
      </c>
      <c r="CB197" s="109"/>
      <c r="CC197" s="109"/>
      <c r="CD197" s="109"/>
      <c r="CE197" s="109"/>
      <c r="CF197" s="109"/>
      <c r="CG197" s="109"/>
      <c r="CH197" s="109"/>
      <c r="CI197" s="109"/>
      <c r="CK197" s="11"/>
      <c r="CM197" s="11"/>
      <c r="CO197" s="7" cm="1">
        <f t="array" ref="CO197">SUMPRODUCT(--NOT(ISNUMBER(V197:CI197)),--NOT(ISBLANK(V197:CI197)))</f>
        <v>0</v>
      </c>
      <c r="CS197" s="7">
        <f>IF(SUM(V197:Y197)=SUM(BX197:CA197), 0, 1)</f>
        <v>0</v>
      </c>
      <c r="CT197" s="11"/>
      <c r="CU197">
        <v>0</v>
      </c>
      <c r="CV197">
        <v>1</v>
      </c>
      <c r="CW197" s="1">
        <v>1</v>
      </c>
      <c r="EY197" s="12" t="str">
        <f>IF($C197="","",CONCATENATE(D196," ",D197))</f>
        <v>Bursary Deferred Income Account Closing Balance</v>
      </c>
    </row>
    <row r="198" spans="1:155" ht="8.25" customHeight="1" x14ac:dyDescent="0.35">
      <c r="C198" s="234"/>
      <c r="CK198" s="11"/>
      <c r="CM198" s="11"/>
      <c r="CT198" s="11"/>
      <c r="CU198">
        <v>0</v>
      </c>
      <c r="CV198">
        <v>0</v>
      </c>
      <c r="CW198">
        <v>0</v>
      </c>
      <c r="EY198" s="10" t="str">
        <f>IF($C198="","",$D198)</f>
        <v/>
      </c>
    </row>
    <row r="199" spans="1:155" x14ac:dyDescent="0.35">
      <c r="B199" s="5"/>
      <c r="C199" s="234"/>
      <c r="D199" s="24" t="s">
        <v>701</v>
      </c>
      <c r="CK199" s="11"/>
      <c r="CM199" s="11"/>
      <c r="CT199" s="11"/>
      <c r="CU199">
        <v>0</v>
      </c>
      <c r="CV199">
        <v>0</v>
      </c>
      <c r="CW199">
        <v>0</v>
      </c>
      <c r="EY199" s="10" t="str">
        <f>IF($C199="","",$D199)</f>
        <v/>
      </c>
    </row>
    <row r="200" spans="1:155" x14ac:dyDescent="0.35">
      <c r="A200" s="220" cm="1">
        <f t="array" aca="1" ref="A200" ca="1">HYPERLINK(CONCATENATE("#",CELL("address",IF(MAX($CM200:$CT200)=0,A200,INDEX($CM200:$CT200,MATCH(1,$CM200:$CT200,0))))),MAX($CM200:$CT200))</f>
        <v>0</v>
      </c>
      <c r="C200" s="213" t="str">
        <f>REPLACE('Opening Balances'!$C$55, LEN('Opening Balances'!$C$55)-1, 1, "C")</f>
        <v>B-3q-CB</v>
      </c>
      <c r="D200" t="s">
        <v>906</v>
      </c>
      <c r="G200" s="8"/>
      <c r="H200" s="9" t="s">
        <v>317</v>
      </c>
      <c r="V200" s="12">
        <f>'Opening Balances'!W55</f>
        <v>0</v>
      </c>
      <c r="W200" s="10">
        <f>INDEX($AA200:$BJ200, MATCH(W$5, $AA$5:$BJ$5))</f>
        <v>0</v>
      </c>
      <c r="X200" s="10">
        <f>INDEX($AA200:$BJ200, MATCH(X$5, $AA$5:$BJ$5))</f>
        <v>0</v>
      </c>
      <c r="Y200" s="10">
        <f>INDEX($AA200:$BJ200, MATCH(Y$5, $AA$5:$BJ$5))</f>
        <v>0</v>
      </c>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X200" s="10">
        <f>V200</f>
        <v>0</v>
      </c>
      <c r="BY200" s="10">
        <f>W200</f>
        <v>0</v>
      </c>
      <c r="BZ200" s="10">
        <f>X200</f>
        <v>0</v>
      </c>
      <c r="CA200" s="10">
        <f>Y200</f>
        <v>0</v>
      </c>
      <c r="CB200" s="109"/>
      <c r="CC200" s="109"/>
      <c r="CD200" s="109"/>
      <c r="CE200" s="109"/>
      <c r="CF200" s="109"/>
      <c r="CG200" s="109"/>
      <c r="CH200" s="109"/>
      <c r="CI200" s="109"/>
      <c r="CK200" s="11"/>
      <c r="CM200" s="11"/>
      <c r="CO200" s="7" cm="1">
        <f t="array" ref="CO200">SUMPRODUCT(--NOT(ISNUMBER(V200:CI200)),--NOT(ISBLANK(V200:CI200)))</f>
        <v>0</v>
      </c>
      <c r="CS200" s="7">
        <f>IF(SUM(V200:Y200)=SUM(BX200:CA200), 0, 1)</f>
        <v>0</v>
      </c>
      <c r="CT200" s="11"/>
      <c r="CU200">
        <v>0</v>
      </c>
      <c r="CV200">
        <v>1</v>
      </c>
      <c r="CW200" s="1">
        <v>1</v>
      </c>
      <c r="EY200" s="12" t="str">
        <f>IF($C200="","",CONCATENATE(D199," ",D200))</f>
        <v>Corporation Tax Closing Balance</v>
      </c>
    </row>
    <row r="201" spans="1:155" ht="8.25" customHeight="1" x14ac:dyDescent="0.35">
      <c r="C201" s="234"/>
      <c r="CK201" s="11"/>
      <c r="CM201" s="11"/>
      <c r="CT201" s="11"/>
      <c r="CU201">
        <v>0</v>
      </c>
      <c r="CV201">
        <v>0</v>
      </c>
      <c r="CW201">
        <v>0</v>
      </c>
      <c r="EY201" s="10" t="str">
        <f>IF($C201="","",$D201)</f>
        <v/>
      </c>
    </row>
    <row r="202" spans="1:155" x14ac:dyDescent="0.35">
      <c r="B202" s="5"/>
      <c r="C202" s="234"/>
      <c r="D202" s="24" t="s">
        <v>703</v>
      </c>
      <c r="CK202" s="11"/>
      <c r="CM202" s="11"/>
      <c r="CT202" s="11"/>
      <c r="CU202">
        <v>0</v>
      </c>
      <c r="CV202">
        <v>0</v>
      </c>
      <c r="CW202">
        <v>0</v>
      </c>
      <c r="EY202" s="10" t="str">
        <f>IF($C202="","",$D202)</f>
        <v/>
      </c>
    </row>
    <row r="203" spans="1:155" x14ac:dyDescent="0.35">
      <c r="A203" s="220" cm="1">
        <f t="array" aca="1" ref="A203" ca="1">HYPERLINK(CONCATENATE("#",CELL("address",IF(MAX($CM203:$CT203)=0,A203,INDEX($CM203:$CT203,MATCH(1,$CM203:$CT203,0))))),MAX($CM203:$CT203))</f>
        <v>0</v>
      </c>
      <c r="C203" s="213" t="str">
        <f>REPLACE('Opening Balances'!$C$56, LEN('Opening Balances'!$C$56)-1, 1, "C")</f>
        <v>B-3r-CB</v>
      </c>
      <c r="D203" t="s">
        <v>906</v>
      </c>
      <c r="G203" s="8"/>
      <c r="H203" s="9" t="s">
        <v>665</v>
      </c>
      <c r="V203" s="12">
        <f>'Opening Balances'!$W$56</f>
        <v>0</v>
      </c>
      <c r="W203" s="10">
        <f>INDEX($AA203:$BJ203, MATCH(W$5, $AA$5:$BJ$5))</f>
        <v>0</v>
      </c>
      <c r="X203" s="10">
        <f>INDEX($AA203:$BJ203, MATCH(X$5, $AA$5:$BJ$5))</f>
        <v>0</v>
      </c>
      <c r="Y203" s="10">
        <f>INDEX($AA203:$BJ203, MATCH(Y$5, $AA$5:$BJ$5))</f>
        <v>0</v>
      </c>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X203" s="10">
        <f>V203</f>
        <v>0</v>
      </c>
      <c r="BY203" s="10">
        <f>W203</f>
        <v>0</v>
      </c>
      <c r="BZ203" s="10">
        <f>X203</f>
        <v>0</v>
      </c>
      <c r="CA203" s="10">
        <f>Y203</f>
        <v>0</v>
      </c>
      <c r="CB203" s="109"/>
      <c r="CC203" s="109"/>
      <c r="CD203" s="109"/>
      <c r="CE203" s="109"/>
      <c r="CF203" s="109"/>
      <c r="CG203" s="109"/>
      <c r="CH203" s="109"/>
      <c r="CI203" s="109"/>
      <c r="CK203" s="11"/>
      <c r="CM203" s="11"/>
      <c r="CO203" s="7" cm="1">
        <f t="array" ref="CO203">SUMPRODUCT(--NOT(ISNUMBER(V203:CI203)),--NOT(ISBLANK(V203:CI203)))</f>
        <v>0</v>
      </c>
      <c r="CS203" s="7">
        <f>IF(SUM(V203:Y203)=SUM(BX203:CA203), 0, 1)</f>
        <v>0</v>
      </c>
      <c r="CT203" s="11"/>
      <c r="CU203">
        <v>0</v>
      </c>
      <c r="CV203">
        <v>1</v>
      </c>
      <c r="CW203" s="1">
        <v>1</v>
      </c>
      <c r="EY203" s="12" t="str">
        <f>IF($C203="","",CONCATENATE(D202," ",D203))</f>
        <v>Other Taxation and Social Security Closing Balance</v>
      </c>
    </row>
    <row r="204" spans="1:155" ht="8.25" customHeight="1" x14ac:dyDescent="0.35">
      <c r="C204" s="234"/>
      <c r="CK204" s="11"/>
      <c r="CM204" s="11"/>
      <c r="CT204" s="11"/>
      <c r="CU204">
        <v>0</v>
      </c>
      <c r="CV204">
        <v>0</v>
      </c>
      <c r="CW204">
        <v>0</v>
      </c>
      <c r="EY204" s="10" t="str">
        <f>IF($C204="","",$D204)</f>
        <v/>
      </c>
    </row>
    <row r="205" spans="1:155" x14ac:dyDescent="0.35">
      <c r="B205" s="5"/>
      <c r="C205" s="234"/>
      <c r="D205" s="24" t="s">
        <v>719</v>
      </c>
      <c r="CK205" s="11"/>
      <c r="CM205" s="11"/>
      <c r="CT205" s="11"/>
      <c r="CU205">
        <v>0</v>
      </c>
      <c r="CV205">
        <v>0</v>
      </c>
      <c r="CW205">
        <v>0</v>
      </c>
      <c r="EY205" s="10" t="str">
        <f>IF($C205="","",$D205)</f>
        <v/>
      </c>
    </row>
    <row r="206" spans="1:155" x14ac:dyDescent="0.35">
      <c r="A206" s="220" cm="1">
        <f t="array" aca="1" ref="A206" ca="1">HYPERLINK(CONCATENATE("#",CELL("address",IF(MAX($CM206:$CT206)=0,A206,INDEX($CM206:$CT206,MATCH(1,$CM206:$CT206,0))))),MAX($CM206:$CT206))</f>
        <v>0</v>
      </c>
      <c r="C206" s="211" t="str">
        <f>CONCATENATE("BS-",'Opening Balances'!$C$71)</f>
        <v>BS-B-7a-OB</v>
      </c>
      <c r="D206" s="1" t="s">
        <v>890</v>
      </c>
      <c r="G206" s="8"/>
      <c r="H206" s="42" t="s">
        <v>665</v>
      </c>
      <c r="V206" s="12">
        <f>'Opening Balances'!$V$71</f>
        <v>0</v>
      </c>
      <c r="W206" s="10">
        <f>V217</f>
        <v>0</v>
      </c>
      <c r="X206" s="10">
        <f>W217</f>
        <v>0</v>
      </c>
      <c r="Y206" s="10">
        <f>X217</f>
        <v>0</v>
      </c>
      <c r="AA206" s="10">
        <f>W206</f>
        <v>0</v>
      </c>
      <c r="AB206" s="10">
        <f t="shared" ref="AB206:BJ206" si="138">AA217</f>
        <v>0</v>
      </c>
      <c r="AC206" s="10">
        <f t="shared" si="138"/>
        <v>0</v>
      </c>
      <c r="AD206" s="10">
        <f t="shared" si="138"/>
        <v>0</v>
      </c>
      <c r="AE206" s="10">
        <f t="shared" si="138"/>
        <v>0</v>
      </c>
      <c r="AF206" s="10">
        <f t="shared" si="138"/>
        <v>0</v>
      </c>
      <c r="AG206" s="10">
        <f t="shared" si="138"/>
        <v>0</v>
      </c>
      <c r="AH206" s="10">
        <f t="shared" si="138"/>
        <v>0</v>
      </c>
      <c r="AI206" s="10">
        <f t="shared" si="138"/>
        <v>0</v>
      </c>
      <c r="AJ206" s="10">
        <f t="shared" si="138"/>
        <v>0</v>
      </c>
      <c r="AK206" s="10">
        <f t="shared" si="138"/>
        <v>0</v>
      </c>
      <c r="AL206" s="10">
        <f t="shared" si="138"/>
        <v>0</v>
      </c>
      <c r="AM206" s="10">
        <f t="shared" si="138"/>
        <v>0</v>
      </c>
      <c r="AN206" s="10">
        <f t="shared" si="138"/>
        <v>0</v>
      </c>
      <c r="AO206" s="10">
        <f t="shared" si="138"/>
        <v>0</v>
      </c>
      <c r="AP206" s="10">
        <f t="shared" si="138"/>
        <v>0</v>
      </c>
      <c r="AQ206" s="10">
        <f t="shared" si="138"/>
        <v>0</v>
      </c>
      <c r="AR206" s="10">
        <f t="shared" si="138"/>
        <v>0</v>
      </c>
      <c r="AS206" s="10">
        <f t="shared" si="138"/>
        <v>0</v>
      </c>
      <c r="AT206" s="10">
        <f t="shared" si="138"/>
        <v>0</v>
      </c>
      <c r="AU206" s="10">
        <f t="shared" si="138"/>
        <v>0</v>
      </c>
      <c r="AV206" s="10">
        <f t="shared" si="138"/>
        <v>0</v>
      </c>
      <c r="AW206" s="10">
        <f t="shared" si="138"/>
        <v>0</v>
      </c>
      <c r="AX206" s="10">
        <f t="shared" si="138"/>
        <v>0</v>
      </c>
      <c r="AY206" s="10">
        <f t="shared" si="138"/>
        <v>0</v>
      </c>
      <c r="AZ206" s="10">
        <f t="shared" si="138"/>
        <v>0</v>
      </c>
      <c r="BA206" s="10">
        <f t="shared" si="138"/>
        <v>0</v>
      </c>
      <c r="BB206" s="10">
        <f t="shared" si="138"/>
        <v>0</v>
      </c>
      <c r="BC206" s="10">
        <f t="shared" si="138"/>
        <v>0</v>
      </c>
      <c r="BD206" s="10">
        <f t="shared" si="138"/>
        <v>0</v>
      </c>
      <c r="BE206" s="10">
        <f t="shared" si="138"/>
        <v>0</v>
      </c>
      <c r="BF206" s="10">
        <f t="shared" si="138"/>
        <v>0</v>
      </c>
      <c r="BG206" s="10">
        <f t="shared" si="138"/>
        <v>0</v>
      </c>
      <c r="BH206" s="10">
        <f t="shared" si="138"/>
        <v>0</v>
      </c>
      <c r="BI206" s="10">
        <f t="shared" si="138"/>
        <v>0</v>
      </c>
      <c r="BJ206" s="10">
        <f t="shared" si="138"/>
        <v>0</v>
      </c>
      <c r="BX206" s="12">
        <f t="shared" ref="BX206:BX217" si="139">V206</f>
        <v>0</v>
      </c>
      <c r="BY206" s="12">
        <f t="shared" ref="BY206:BY217" si="140">W206</f>
        <v>0</v>
      </c>
      <c r="BZ206" s="12">
        <f t="shared" ref="BZ206:BZ217" si="141">X206</f>
        <v>0</v>
      </c>
      <c r="CA206" s="12">
        <f t="shared" ref="CA206:CA217" si="142">Y206</f>
        <v>0</v>
      </c>
      <c r="CB206" s="10">
        <f t="shared" ref="CB206:CI206" si="143">CA217</f>
        <v>0</v>
      </c>
      <c r="CC206" s="10">
        <f t="shared" si="143"/>
        <v>0</v>
      </c>
      <c r="CD206" s="10">
        <f t="shared" si="143"/>
        <v>0</v>
      </c>
      <c r="CE206" s="10">
        <f t="shared" si="143"/>
        <v>0</v>
      </c>
      <c r="CF206" s="10">
        <f t="shared" si="143"/>
        <v>0</v>
      </c>
      <c r="CG206" s="10">
        <f t="shared" si="143"/>
        <v>0</v>
      </c>
      <c r="CH206" s="10">
        <f t="shared" si="143"/>
        <v>0</v>
      </c>
      <c r="CI206" s="10">
        <f t="shared" si="143"/>
        <v>0</v>
      </c>
      <c r="CK206" s="11"/>
      <c r="CM206" s="11"/>
      <c r="CS206" s="7">
        <f t="shared" ref="CS206:CS217" si="144">IF(SUM(V206:Y206)=SUM(BX206:CA206), 0, 1)</f>
        <v>0</v>
      </c>
      <c r="CT206" s="11"/>
      <c r="CU206">
        <v>0</v>
      </c>
      <c r="CV206">
        <v>0</v>
      </c>
      <c r="CW206">
        <v>0</v>
      </c>
      <c r="EY206" s="12" t="str">
        <f t="shared" ref="EY206:EY217" si="145">IF($C206="", "",CONCATENATE(D$205, " ", D206))</f>
        <v>Local Government Pension Scheme Provision Opening Balance</v>
      </c>
    </row>
    <row r="207" spans="1:155" x14ac:dyDescent="0.35">
      <c r="A207" s="220" cm="1">
        <f t="array" aca="1" ref="A207" ca="1">HYPERLINK(CONCATENATE("#",CELL("address",IF(MAX($CM207:$CT207)=0,A207,INDEX($CM207:$CT207,MATCH(1,$CM207:$CT207,0))))),MAX($CM207:$CT207))</f>
        <v>0</v>
      </c>
      <c r="C207" s="211" t="s">
        <v>1435</v>
      </c>
      <c r="D207" s="1" t="s">
        <v>1436</v>
      </c>
      <c r="G207" s="8"/>
      <c r="H207" s="42" t="s">
        <v>665</v>
      </c>
      <c r="V207" s="214"/>
      <c r="W207" s="133">
        <f t="shared" ref="W207:Y216" si="146" xml:space="preserve"> SUMIFS($AA207:$BJ207, $AA$3:$BJ$3, W$3)</f>
        <v>0</v>
      </c>
      <c r="X207" s="133">
        <f t="shared" si="146"/>
        <v>0</v>
      </c>
      <c r="Y207" s="133">
        <f t="shared" si="146"/>
        <v>0</v>
      </c>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X207" s="12">
        <f t="shared" si="139"/>
        <v>0</v>
      </c>
      <c r="BY207" s="12">
        <f t="shared" si="140"/>
        <v>0</v>
      </c>
      <c r="BZ207" s="12">
        <f t="shared" si="141"/>
        <v>0</v>
      </c>
      <c r="CA207" s="12">
        <f t="shared" si="142"/>
        <v>0</v>
      </c>
      <c r="CB207" s="109"/>
      <c r="CC207" s="109"/>
      <c r="CD207" s="109"/>
      <c r="CE207" s="109"/>
      <c r="CF207" s="109"/>
      <c r="CG207" s="109"/>
      <c r="CH207" s="109"/>
      <c r="CI207" s="109"/>
      <c r="CK207" s="11"/>
      <c r="CL207" s="221">
        <f>IF(MIN($V207:$CI207)&lt;0, 1, 0)</f>
        <v>0</v>
      </c>
      <c r="CM207" s="11"/>
      <c r="CO207" s="7" cm="1">
        <f t="array" ref="CO207">SUMPRODUCT(--NOT(ISNUMBER(V207:CI207)),--NOT(ISBLANK(V207:CI207)))</f>
        <v>0</v>
      </c>
      <c r="CS207" s="7">
        <f t="shared" si="144"/>
        <v>0</v>
      </c>
      <c r="CT207" s="11"/>
      <c r="CU207">
        <v>1</v>
      </c>
      <c r="CV207">
        <v>1</v>
      </c>
      <c r="CW207">
        <v>0</v>
      </c>
      <c r="EY207" s="12" t="str">
        <f t="shared" si="145"/>
        <v>Local Government Pension Scheme Provision Current service charge net of employee contributions</v>
      </c>
    </row>
    <row r="208" spans="1:155" x14ac:dyDescent="0.35">
      <c r="A208" s="220" cm="1">
        <f t="array" aca="1" ref="A208" ca="1">HYPERLINK(CONCATENATE("#",CELL("address",IF(MAX($CM208:$CT208)=0,A208,INDEX($CM208:$CT208,MATCH(1,$CM208:$CT208,0))))),MAX($CM208:$CT208))</f>
        <v>0</v>
      </c>
      <c r="B208" s="2"/>
      <c r="C208" s="211" t="s">
        <v>1437</v>
      </c>
      <c r="D208" s="1" t="s">
        <v>1438</v>
      </c>
      <c r="G208" s="8"/>
      <c r="H208" s="42" t="s">
        <v>1079</v>
      </c>
      <c r="V208" s="214"/>
      <c r="W208" s="133">
        <f t="shared" si="146"/>
        <v>0</v>
      </c>
      <c r="X208" s="133">
        <f t="shared" si="146"/>
        <v>0</v>
      </c>
      <c r="Y208" s="133">
        <f t="shared" si="146"/>
        <v>0</v>
      </c>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X208" s="12">
        <f t="shared" si="139"/>
        <v>0</v>
      </c>
      <c r="BY208" s="12">
        <f t="shared" si="140"/>
        <v>0</v>
      </c>
      <c r="BZ208" s="12">
        <f t="shared" si="141"/>
        <v>0</v>
      </c>
      <c r="CA208" s="12">
        <f t="shared" si="142"/>
        <v>0</v>
      </c>
      <c r="CB208" s="109"/>
      <c r="CC208" s="109"/>
      <c r="CD208" s="109"/>
      <c r="CE208" s="109"/>
      <c r="CF208" s="109"/>
      <c r="CG208" s="109"/>
      <c r="CH208" s="109"/>
      <c r="CI208" s="109"/>
      <c r="CK208" s="11"/>
      <c r="CL208" s="221">
        <f>IF(MAX($V208:$CI208)&gt;0, 1, 0)</f>
        <v>0</v>
      </c>
      <c r="CM208" s="11"/>
      <c r="CO208" s="7" cm="1">
        <f t="array" ref="CO208">SUMPRODUCT(--NOT(ISNUMBER(V208:CI208)),--NOT(ISBLANK(V208:CI208)))</f>
        <v>0</v>
      </c>
      <c r="CS208" s="7">
        <f t="shared" si="144"/>
        <v>0</v>
      </c>
      <c r="CT208" s="11"/>
      <c r="CU208">
        <v>1</v>
      </c>
      <c r="CV208">
        <v>1</v>
      </c>
      <c r="CW208">
        <v>0</v>
      </c>
      <c r="EY208" s="12" t="str">
        <f t="shared" si="145"/>
        <v xml:space="preserve">Local Government Pension Scheme Provision Employer Contributions </v>
      </c>
    </row>
    <row r="209" spans="1:155" x14ac:dyDescent="0.35">
      <c r="A209" s="220" cm="1">
        <f t="array" aca="1" ref="A209" ca="1">HYPERLINK(CONCATENATE("#",CELL("address",IF(MAX($CM209:$CT209)=0,A209,INDEX($CM209:$CT209,MATCH(1,$CM209:$CT209,0))))),MAX($CM209:$CT209))</f>
        <v>0</v>
      </c>
      <c r="B209" s="2"/>
      <c r="C209" s="211" t="s">
        <v>1439</v>
      </c>
      <c r="D209" s="73" t="s">
        <v>1440</v>
      </c>
      <c r="G209" s="8"/>
      <c r="H209" s="42" t="s">
        <v>1079</v>
      </c>
      <c r="V209" s="214"/>
      <c r="W209" s="133">
        <f t="shared" si="146"/>
        <v>0</v>
      </c>
      <c r="X209" s="133">
        <f t="shared" si="146"/>
        <v>0</v>
      </c>
      <c r="Y209" s="133">
        <f t="shared" si="146"/>
        <v>0</v>
      </c>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X209" s="12">
        <f t="shared" si="139"/>
        <v>0</v>
      </c>
      <c r="BY209" s="12">
        <f t="shared" si="140"/>
        <v>0</v>
      </c>
      <c r="BZ209" s="12">
        <f t="shared" si="141"/>
        <v>0</v>
      </c>
      <c r="CA209" s="12">
        <f t="shared" si="142"/>
        <v>0</v>
      </c>
      <c r="CB209" s="109"/>
      <c r="CC209" s="109"/>
      <c r="CD209" s="109"/>
      <c r="CE209" s="109"/>
      <c r="CF209" s="109"/>
      <c r="CG209" s="109"/>
      <c r="CH209" s="109"/>
      <c r="CI209" s="109"/>
      <c r="CK209" s="11"/>
      <c r="CL209" s="221">
        <f>IF(MAX($V209:$CI209)&gt;0, 1, 0)</f>
        <v>0</v>
      </c>
      <c r="CM209" s="11"/>
      <c r="CO209" s="7" cm="1">
        <f t="array" ref="CO209">SUMPRODUCT(--NOT(ISNUMBER(V209:CI209)),--NOT(ISBLANK(V209:CI209)))</f>
        <v>0</v>
      </c>
      <c r="CS209" s="7">
        <f t="shared" si="144"/>
        <v>0</v>
      </c>
      <c r="CT209" s="11"/>
      <c r="CU209">
        <v>1</v>
      </c>
      <c r="CV209">
        <v>1</v>
      </c>
      <c r="CW209">
        <v>0</v>
      </c>
      <c r="EY209" s="12" t="str">
        <f t="shared" si="145"/>
        <v xml:space="preserve">Local Government Pension Scheme Provision Past Service Deficit Employer Contributions </v>
      </c>
    </row>
    <row r="210" spans="1:155" x14ac:dyDescent="0.35">
      <c r="A210" s="220" cm="1">
        <f t="array" aca="1" ref="A210" ca="1">HYPERLINK(CONCATENATE("#",CELL("address",IF(MAX($CM210:$CT210)=0,A210,INDEX($CM210:$CT210,MATCH(1,$CM210:$CT210,0))))),MAX($CM210:$CT210))</f>
        <v>0</v>
      </c>
      <c r="C210" s="211" t="s">
        <v>1441</v>
      </c>
      <c r="D210" s="1" t="s">
        <v>1442</v>
      </c>
      <c r="G210" s="8"/>
      <c r="H210" s="42" t="s">
        <v>665</v>
      </c>
      <c r="V210" s="214"/>
      <c r="W210" s="133">
        <f t="shared" si="146"/>
        <v>0</v>
      </c>
      <c r="X210" s="133">
        <f t="shared" si="146"/>
        <v>0</v>
      </c>
      <c r="Y210" s="133">
        <f t="shared" si="146"/>
        <v>0</v>
      </c>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X210" s="12">
        <f t="shared" si="139"/>
        <v>0</v>
      </c>
      <c r="BY210" s="12">
        <f t="shared" si="140"/>
        <v>0</v>
      </c>
      <c r="BZ210" s="12">
        <f t="shared" si="141"/>
        <v>0</v>
      </c>
      <c r="CA210" s="12">
        <f t="shared" si="142"/>
        <v>0</v>
      </c>
      <c r="CB210" s="109"/>
      <c r="CC210" s="109"/>
      <c r="CD210" s="109"/>
      <c r="CE210" s="109"/>
      <c r="CF210" s="109"/>
      <c r="CG210" s="109"/>
      <c r="CH210" s="109"/>
      <c r="CI210" s="109"/>
      <c r="CK210" s="11"/>
      <c r="CL210" s="221">
        <f>IF(MIN($V210:$CI210)&lt;0, 1, 0)</f>
        <v>0</v>
      </c>
      <c r="CM210" s="11"/>
      <c r="CO210" s="7" cm="1">
        <f t="array" ref="CO210">SUMPRODUCT(--NOT(ISNUMBER(V210:CI210)),--NOT(ISBLANK(V210:CI210)))</f>
        <v>0</v>
      </c>
      <c r="CS210" s="7">
        <f t="shared" si="144"/>
        <v>0</v>
      </c>
      <c r="CT210" s="11"/>
      <c r="CU210">
        <v>1</v>
      </c>
      <c r="CV210">
        <v>1</v>
      </c>
      <c r="CW210">
        <v>0</v>
      </c>
      <c r="EY210" s="12" t="str">
        <f t="shared" si="145"/>
        <v>Local Government Pension Scheme Provision Past service costs</v>
      </c>
    </row>
    <row r="211" spans="1:155" x14ac:dyDescent="0.35">
      <c r="A211" s="220" cm="1">
        <f t="array" aca="1" ref="A211" ca="1">HYPERLINK(CONCATENATE("#",CELL("address",IF(MAX($CM211:$CT211)=0,A211,INDEX($CM211:$CT211,MATCH(1,$CM211:$CT211,0))))),MAX($CM211:$CT211))</f>
        <v>0</v>
      </c>
      <c r="C211" s="211" t="s">
        <v>1443</v>
      </c>
      <c r="D211" t="s">
        <v>1444</v>
      </c>
      <c r="G211" s="8"/>
      <c r="H211" s="42" t="s">
        <v>665</v>
      </c>
      <c r="V211" s="214"/>
      <c r="W211" s="133">
        <f t="shared" si="146"/>
        <v>0</v>
      </c>
      <c r="X211" s="133">
        <f t="shared" si="146"/>
        <v>0</v>
      </c>
      <c r="Y211" s="133">
        <f t="shared" si="146"/>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X211" s="12">
        <f t="shared" si="139"/>
        <v>0</v>
      </c>
      <c r="BY211" s="12">
        <f t="shared" si="140"/>
        <v>0</v>
      </c>
      <c r="BZ211" s="12">
        <f t="shared" si="141"/>
        <v>0</v>
      </c>
      <c r="CA211" s="12">
        <f t="shared" si="142"/>
        <v>0</v>
      </c>
      <c r="CB211" s="109"/>
      <c r="CC211" s="109"/>
      <c r="CD211" s="109"/>
      <c r="CE211" s="109"/>
      <c r="CF211" s="109"/>
      <c r="CG211" s="109"/>
      <c r="CH211" s="109"/>
      <c r="CI211" s="109"/>
      <c r="CK211" s="11"/>
      <c r="CL211" s="221">
        <f>IF(MIN($V211:$CI211)&lt;0, 1, 0)</f>
        <v>0</v>
      </c>
      <c r="CM211" s="11"/>
      <c r="CO211" s="7" cm="1">
        <f t="array" ref="CO211">SUMPRODUCT(--NOT(ISNUMBER(V211:CI211)),--NOT(ISBLANK(V211:CI211)))</f>
        <v>0</v>
      </c>
      <c r="CS211" s="7">
        <f t="shared" si="144"/>
        <v>0</v>
      </c>
      <c r="CT211" s="11"/>
      <c r="CU211">
        <v>1</v>
      </c>
      <c r="CV211">
        <v>1</v>
      </c>
      <c r="CW211">
        <v>0</v>
      </c>
      <c r="EY211" s="12" t="str">
        <f t="shared" si="145"/>
        <v>Local Government Pension Scheme Provision Curtailments and settlements</v>
      </c>
    </row>
    <row r="212" spans="1:155" x14ac:dyDescent="0.35">
      <c r="A212" s="220" cm="1">
        <f t="array" aca="1" ref="A212" ca="1">HYPERLINK(CONCATENATE("#",CELL("address",IF(MAX($CM212:$CT212)=0,A212,INDEX($CM212:$CT212,MATCH(1,$CM212:$CT212,0))))),MAX($CM212:$CT212))</f>
        <v>0</v>
      </c>
      <c r="C212" s="211" t="s">
        <v>1445</v>
      </c>
      <c r="D212" s="1" t="s">
        <v>1446</v>
      </c>
      <c r="G212" s="8"/>
      <c r="H212" s="42" t="s">
        <v>317</v>
      </c>
      <c r="V212" s="214"/>
      <c r="W212" s="133">
        <f t="shared" si="146"/>
        <v>0</v>
      </c>
      <c r="X212" s="133">
        <f t="shared" si="146"/>
        <v>0</v>
      </c>
      <c r="Y212" s="133">
        <f t="shared" si="146"/>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X212" s="12">
        <f t="shared" si="139"/>
        <v>0</v>
      </c>
      <c r="BY212" s="12">
        <f t="shared" si="140"/>
        <v>0</v>
      </c>
      <c r="BZ212" s="12">
        <f t="shared" si="141"/>
        <v>0</v>
      </c>
      <c r="CA212" s="12">
        <f t="shared" si="142"/>
        <v>0</v>
      </c>
      <c r="CB212" s="109"/>
      <c r="CC212" s="109"/>
      <c r="CD212" s="109"/>
      <c r="CE212" s="109"/>
      <c r="CF212" s="109"/>
      <c r="CG212" s="109"/>
      <c r="CH212" s="109"/>
      <c r="CI212" s="109"/>
      <c r="CK212" s="11"/>
      <c r="CM212" s="11"/>
      <c r="CO212" s="7" cm="1">
        <f t="array" ref="CO212">SUMPRODUCT(--NOT(ISNUMBER(V212:CI212)),--NOT(ISBLANK(V212:CI212)))</f>
        <v>0</v>
      </c>
      <c r="CS212" s="7">
        <f t="shared" si="144"/>
        <v>0</v>
      </c>
      <c r="CT212" s="11"/>
      <c r="CU212">
        <v>1</v>
      </c>
      <c r="CV212">
        <v>1</v>
      </c>
      <c r="CW212">
        <v>0</v>
      </c>
      <c r="EY212" s="12" t="str">
        <f t="shared" si="145"/>
        <v>Local Government Pension Scheme Provision Expected return on pension assets</v>
      </c>
    </row>
    <row r="213" spans="1:155" x14ac:dyDescent="0.35">
      <c r="A213" s="220" cm="1">
        <f t="array" aca="1" ref="A213" ca="1">HYPERLINK(CONCATENATE("#",CELL("address",IF(MAX($CM213:$CT213)=0,A213,INDEX($CM213:$CT213,MATCH(1,$CM213:$CT213,0))))),MAX($CM213:$CT213))</f>
        <v>0</v>
      </c>
      <c r="C213" s="211" t="s">
        <v>1447</v>
      </c>
      <c r="D213" s="1" t="s">
        <v>1448</v>
      </c>
      <c r="G213" s="8"/>
      <c r="H213" s="42" t="s">
        <v>665</v>
      </c>
      <c r="V213" s="214"/>
      <c r="W213" s="133">
        <f t="shared" si="146"/>
        <v>0</v>
      </c>
      <c r="X213" s="133">
        <f t="shared" si="146"/>
        <v>0</v>
      </c>
      <c r="Y213" s="133">
        <f t="shared" si="146"/>
        <v>0</v>
      </c>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X213" s="12">
        <f t="shared" si="139"/>
        <v>0</v>
      </c>
      <c r="BY213" s="12">
        <f t="shared" si="140"/>
        <v>0</v>
      </c>
      <c r="BZ213" s="12">
        <f t="shared" si="141"/>
        <v>0</v>
      </c>
      <c r="CA213" s="12">
        <f t="shared" si="142"/>
        <v>0</v>
      </c>
      <c r="CB213" s="109"/>
      <c r="CC213" s="109"/>
      <c r="CD213" s="109"/>
      <c r="CE213" s="109"/>
      <c r="CF213" s="109"/>
      <c r="CG213" s="109"/>
      <c r="CH213" s="109"/>
      <c r="CI213" s="109"/>
      <c r="CK213" s="11"/>
      <c r="CL213" s="221">
        <f>IF(MIN($V213:$CI213)&lt;0, 1, 0)</f>
        <v>0</v>
      </c>
      <c r="CM213" s="11"/>
      <c r="CO213" s="7" cm="1">
        <f t="array" ref="CO213">SUMPRODUCT(--NOT(ISNUMBER(V213:CI213)),--NOT(ISBLANK(V213:CI213)))</f>
        <v>0</v>
      </c>
      <c r="CS213" s="7">
        <f t="shared" si="144"/>
        <v>0</v>
      </c>
      <c r="CT213" s="11"/>
      <c r="CU213">
        <v>1</v>
      </c>
      <c r="CV213">
        <v>1</v>
      </c>
      <c r="CW213">
        <v>0</v>
      </c>
      <c r="EY213" s="12" t="str">
        <f t="shared" si="145"/>
        <v>Local Government Pension Scheme Provision Interest on pension liabilities</v>
      </c>
    </row>
    <row r="214" spans="1:155" x14ac:dyDescent="0.35">
      <c r="A214" s="220" cm="1">
        <f t="array" aca="1" ref="A214" ca="1">HYPERLINK(CONCATENATE("#",CELL("address",IF(MAX($CM214:$CT214)=0,A214,INDEX($CM214:$CT214,MATCH(1,$CM214:$CT214,0))))),MAX($CM214:$CT214))</f>
        <v>0</v>
      </c>
      <c r="C214" s="211" t="s">
        <v>1449</v>
      </c>
      <c r="D214" s="1" t="s">
        <v>1450</v>
      </c>
      <c r="G214" s="41"/>
      <c r="H214" s="42" t="s">
        <v>317</v>
      </c>
      <c r="V214" s="214"/>
      <c r="W214" s="133">
        <f t="shared" si="146"/>
        <v>0</v>
      </c>
      <c r="X214" s="133">
        <f t="shared" si="146"/>
        <v>0</v>
      </c>
      <c r="Y214" s="133">
        <f t="shared" si="146"/>
        <v>0</v>
      </c>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X214" s="12">
        <f t="shared" si="139"/>
        <v>0</v>
      </c>
      <c r="BY214" s="12">
        <f t="shared" si="140"/>
        <v>0</v>
      </c>
      <c r="BZ214" s="12">
        <f t="shared" si="141"/>
        <v>0</v>
      </c>
      <c r="CA214" s="12">
        <f t="shared" si="142"/>
        <v>0</v>
      </c>
      <c r="CB214" s="109"/>
      <c r="CC214" s="109"/>
      <c r="CD214" s="109"/>
      <c r="CE214" s="109"/>
      <c r="CF214" s="109"/>
      <c r="CG214" s="109"/>
      <c r="CH214" s="109"/>
      <c r="CI214" s="109"/>
      <c r="CK214" s="11"/>
      <c r="CM214" s="11"/>
      <c r="CO214" s="7" cm="1">
        <f t="array" ref="CO214">SUMPRODUCT(--NOT(ISNUMBER(V214:CI214)),--NOT(ISBLANK(V214:CI214)))</f>
        <v>0</v>
      </c>
      <c r="CS214" s="7">
        <f t="shared" si="144"/>
        <v>0</v>
      </c>
      <c r="CT214" s="11"/>
      <c r="CU214">
        <v>1</v>
      </c>
      <c r="CV214">
        <v>1</v>
      </c>
      <c r="CW214">
        <v>0</v>
      </c>
      <c r="EY214" s="12" t="str">
        <f t="shared" si="145"/>
        <v>Local Government Pension Scheme Provision Actuarial (gain)/loss</v>
      </c>
    </row>
    <row r="215" spans="1:155" x14ac:dyDescent="0.35">
      <c r="A215" s="220" cm="1">
        <f t="array" aca="1" ref="A215" ca="1">HYPERLINK(CONCATENATE("#",CELL("address",IF(MAX($CM215:$CT215)=0,A215,INDEX($CM215:$CT215,MATCH(1,$CM215:$CT215,0))))),MAX($CM215:$CT215))</f>
        <v>0</v>
      </c>
      <c r="C215" s="211" t="s">
        <v>1451</v>
      </c>
      <c r="D215" s="1" t="s">
        <v>1452</v>
      </c>
      <c r="E215" s="85" t="s">
        <v>122</v>
      </c>
      <c r="G215" s="41"/>
      <c r="H215" s="42" t="s">
        <v>1079</v>
      </c>
      <c r="V215" s="214"/>
      <c r="W215" s="133">
        <f t="shared" si="146"/>
        <v>0</v>
      </c>
      <c r="X215" s="133">
        <f t="shared" si="146"/>
        <v>0</v>
      </c>
      <c r="Y215" s="133">
        <f t="shared" si="146"/>
        <v>0</v>
      </c>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X215" s="12">
        <f t="shared" si="139"/>
        <v>0</v>
      </c>
      <c r="BY215" s="12">
        <f t="shared" si="140"/>
        <v>0</v>
      </c>
      <c r="BZ215" s="12">
        <f t="shared" si="141"/>
        <v>0</v>
      </c>
      <c r="CA215" s="12">
        <f t="shared" si="142"/>
        <v>0</v>
      </c>
      <c r="CB215" s="109"/>
      <c r="CC215" s="109"/>
      <c r="CD215" s="109"/>
      <c r="CE215" s="109"/>
      <c r="CF215" s="109"/>
      <c r="CG215" s="109"/>
      <c r="CH215" s="109"/>
      <c r="CI215" s="109"/>
      <c r="CK215" s="11"/>
      <c r="CL215" s="221">
        <f>IF(MAX($V215:$CI215)&gt;0, 1, 0)</f>
        <v>0</v>
      </c>
      <c r="CM215" s="11"/>
      <c r="CO215" s="7" cm="1">
        <f t="array" ref="CO215">SUMPRODUCT(--NOT(ISNUMBER(V215:CI215)),--NOT(ISBLANK(V215:CI215)))</f>
        <v>0</v>
      </c>
      <c r="CS215" s="7">
        <f t="shared" si="144"/>
        <v>0</v>
      </c>
      <c r="CT215" s="11"/>
      <c r="CU215">
        <v>1</v>
      </c>
      <c r="CV215">
        <v>1</v>
      </c>
      <c r="CW215">
        <v>0</v>
      </c>
      <c r="EY215" s="12" t="str">
        <f t="shared" si="145"/>
        <v>Local Government Pension Scheme Provision Lumpsum settlement payment</v>
      </c>
    </row>
    <row r="216" spans="1:155" x14ac:dyDescent="0.35">
      <c r="A216" s="220" cm="1">
        <f t="array" aca="1" ref="A216" ca="1">HYPERLINK(CONCATENATE("#",CELL("address",IF(MAX($CM216:$CT216)=0,A216,INDEX($CM216:$CT216,MATCH(1,$CM216:$CT216,0))))),MAX($CM216:$CT216))</f>
        <v>0</v>
      </c>
      <c r="C216" s="211" t="s">
        <v>1453</v>
      </c>
      <c r="D216" s="1" t="s">
        <v>901</v>
      </c>
      <c r="E216" s="283" t="s">
        <v>904</v>
      </c>
      <c r="G216" s="41"/>
      <c r="H216" s="42" t="s">
        <v>317</v>
      </c>
      <c r="V216" s="214"/>
      <c r="W216" s="133">
        <f t="shared" si="146"/>
        <v>0</v>
      </c>
      <c r="X216" s="133">
        <f t="shared" si="146"/>
        <v>0</v>
      </c>
      <c r="Y216" s="133">
        <f t="shared" si="146"/>
        <v>0</v>
      </c>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X216" s="12">
        <f t="shared" si="139"/>
        <v>0</v>
      </c>
      <c r="BY216" s="12">
        <f t="shared" si="140"/>
        <v>0</v>
      </c>
      <c r="BZ216" s="12">
        <f t="shared" si="141"/>
        <v>0</v>
      </c>
      <c r="CA216" s="12">
        <f t="shared" si="142"/>
        <v>0</v>
      </c>
      <c r="CB216" s="109"/>
      <c r="CC216" s="109"/>
      <c r="CD216" s="109"/>
      <c r="CE216" s="109"/>
      <c r="CF216" s="109"/>
      <c r="CG216" s="109"/>
      <c r="CH216" s="109"/>
      <c r="CI216" s="109"/>
      <c r="CK216" s="11"/>
      <c r="CM216" s="11"/>
      <c r="CO216" s="7" cm="1">
        <f t="array" ref="CO216">SUMPRODUCT(--NOT(ISNUMBER(V216:CI216)),--NOT(ISBLANK(V216:CI216)))</f>
        <v>0</v>
      </c>
      <c r="CS216" s="7">
        <f t="shared" si="144"/>
        <v>0</v>
      </c>
      <c r="CT216" s="11"/>
      <c r="CU216">
        <v>1</v>
      </c>
      <c r="CV216">
        <v>1</v>
      </c>
      <c r="CW216">
        <v>0</v>
      </c>
      <c r="EY216" s="12" t="str">
        <f t="shared" si="145"/>
        <v>Local Government Pension Scheme Provision Movement due to mergers</v>
      </c>
    </row>
    <row r="217" spans="1:155" x14ac:dyDescent="0.35">
      <c r="A217" s="220" cm="1">
        <f t="array" aca="1" ref="A217" ca="1">HYPERLINK(CONCATENATE("#",CELL("address",IF(MAX($CM217:$CT217)=0,A217,INDEX($CM217:$CT217,MATCH(1,$CM217:$CT217,0))))),MAX($CM217:$CT217))</f>
        <v>0</v>
      </c>
      <c r="C217" s="213" t="str">
        <f>REPLACE('Opening Balances'!$C$71, LEN('Opening Balances'!$C$71)-1, 1, "C")</f>
        <v>B-7a-CB</v>
      </c>
      <c r="D217" t="s">
        <v>906</v>
      </c>
      <c r="E217" s="215">
        <f>ROUND(V217-SUM(V206:V216), rounding)*$V$10</f>
        <v>0</v>
      </c>
      <c r="G217" s="8"/>
      <c r="H217" s="9" t="s">
        <v>665</v>
      </c>
      <c r="V217" s="12">
        <f>'Opening Balances'!W71</f>
        <v>0</v>
      </c>
      <c r="W217" s="10">
        <f>SUM(W206:W216)</f>
        <v>0</v>
      </c>
      <c r="X217" s="10">
        <f>SUM(X206:X216)</f>
        <v>0</v>
      </c>
      <c r="Y217" s="10">
        <f>SUM(Y206:Y216)</f>
        <v>0</v>
      </c>
      <c r="AA217" s="10">
        <f t="shared" ref="AA217:BJ217" si="147">SUM(AA206:AA216)</f>
        <v>0</v>
      </c>
      <c r="AB217" s="10">
        <f t="shared" si="147"/>
        <v>0</v>
      </c>
      <c r="AC217" s="10">
        <f t="shared" si="147"/>
        <v>0</v>
      </c>
      <c r="AD217" s="10">
        <f t="shared" si="147"/>
        <v>0</v>
      </c>
      <c r="AE217" s="10">
        <f t="shared" si="147"/>
        <v>0</v>
      </c>
      <c r="AF217" s="10">
        <f t="shared" si="147"/>
        <v>0</v>
      </c>
      <c r="AG217" s="10">
        <f t="shared" si="147"/>
        <v>0</v>
      </c>
      <c r="AH217" s="10">
        <f t="shared" si="147"/>
        <v>0</v>
      </c>
      <c r="AI217" s="10">
        <f t="shared" si="147"/>
        <v>0</v>
      </c>
      <c r="AJ217" s="10">
        <f t="shared" si="147"/>
        <v>0</v>
      </c>
      <c r="AK217" s="10">
        <f t="shared" si="147"/>
        <v>0</v>
      </c>
      <c r="AL217" s="10">
        <f t="shared" si="147"/>
        <v>0</v>
      </c>
      <c r="AM217" s="10">
        <f t="shared" si="147"/>
        <v>0</v>
      </c>
      <c r="AN217" s="10">
        <f t="shared" si="147"/>
        <v>0</v>
      </c>
      <c r="AO217" s="10">
        <f t="shared" si="147"/>
        <v>0</v>
      </c>
      <c r="AP217" s="10">
        <f t="shared" si="147"/>
        <v>0</v>
      </c>
      <c r="AQ217" s="10">
        <f t="shared" si="147"/>
        <v>0</v>
      </c>
      <c r="AR217" s="10">
        <f t="shared" si="147"/>
        <v>0</v>
      </c>
      <c r="AS217" s="10">
        <f t="shared" si="147"/>
        <v>0</v>
      </c>
      <c r="AT217" s="10">
        <f t="shared" si="147"/>
        <v>0</v>
      </c>
      <c r="AU217" s="10">
        <f t="shared" si="147"/>
        <v>0</v>
      </c>
      <c r="AV217" s="10">
        <f t="shared" si="147"/>
        <v>0</v>
      </c>
      <c r="AW217" s="10">
        <f t="shared" si="147"/>
        <v>0</v>
      </c>
      <c r="AX217" s="10">
        <f t="shared" si="147"/>
        <v>0</v>
      </c>
      <c r="AY217" s="10">
        <f t="shared" si="147"/>
        <v>0</v>
      </c>
      <c r="AZ217" s="10">
        <f t="shared" si="147"/>
        <v>0</v>
      </c>
      <c r="BA217" s="10">
        <f t="shared" si="147"/>
        <v>0</v>
      </c>
      <c r="BB217" s="10">
        <f t="shared" si="147"/>
        <v>0</v>
      </c>
      <c r="BC217" s="10">
        <f t="shared" si="147"/>
        <v>0</v>
      </c>
      <c r="BD217" s="10">
        <f t="shared" si="147"/>
        <v>0</v>
      </c>
      <c r="BE217" s="10">
        <f t="shared" si="147"/>
        <v>0</v>
      </c>
      <c r="BF217" s="10">
        <f t="shared" si="147"/>
        <v>0</v>
      </c>
      <c r="BG217" s="10">
        <f t="shared" si="147"/>
        <v>0</v>
      </c>
      <c r="BH217" s="10">
        <f t="shared" si="147"/>
        <v>0</v>
      </c>
      <c r="BI217" s="10">
        <f t="shared" si="147"/>
        <v>0</v>
      </c>
      <c r="BJ217" s="10">
        <f t="shared" si="147"/>
        <v>0</v>
      </c>
      <c r="BX217" s="12">
        <f t="shared" si="139"/>
        <v>0</v>
      </c>
      <c r="BY217" s="12">
        <f t="shared" si="140"/>
        <v>0</v>
      </c>
      <c r="BZ217" s="12">
        <f t="shared" si="141"/>
        <v>0</v>
      </c>
      <c r="CA217" s="12">
        <f t="shared" si="142"/>
        <v>0</v>
      </c>
      <c r="CB217" s="10">
        <f t="shared" ref="CB217:CI217" si="148">SUM(CB206:CB216)</f>
        <v>0</v>
      </c>
      <c r="CC217" s="10">
        <f t="shared" si="148"/>
        <v>0</v>
      </c>
      <c r="CD217" s="10">
        <f t="shared" si="148"/>
        <v>0</v>
      </c>
      <c r="CE217" s="10">
        <f t="shared" si="148"/>
        <v>0</v>
      </c>
      <c r="CF217" s="10">
        <f t="shared" si="148"/>
        <v>0</v>
      </c>
      <c r="CG217" s="10">
        <f t="shared" si="148"/>
        <v>0</v>
      </c>
      <c r="CH217" s="10">
        <f t="shared" si="148"/>
        <v>0</v>
      </c>
      <c r="CI217" s="10">
        <f t="shared" si="148"/>
        <v>0</v>
      </c>
      <c r="CK217" s="11"/>
      <c r="CM217" s="11"/>
      <c r="CR217" s="7">
        <f>IF(ABS($E217)&gt;Parameters!$D$33, 1, 0)</f>
        <v>0</v>
      </c>
      <c r="CS217" s="7">
        <f t="shared" si="144"/>
        <v>0</v>
      </c>
      <c r="CT217" s="11"/>
      <c r="CU217">
        <v>0</v>
      </c>
      <c r="CV217">
        <v>0</v>
      </c>
      <c r="CW217" s="1">
        <v>1</v>
      </c>
      <c r="EY217" s="12" t="str">
        <f t="shared" si="145"/>
        <v>Local Government Pension Scheme Provision Closing Balance</v>
      </c>
    </row>
    <row r="218" spans="1:155" ht="8.25" customHeight="1" x14ac:dyDescent="0.35">
      <c r="C218" s="234"/>
      <c r="CK218" s="11"/>
      <c r="CM218" s="11"/>
      <c r="CT218" s="11"/>
      <c r="CU218">
        <v>0</v>
      </c>
      <c r="CV218">
        <v>0</v>
      </c>
      <c r="CW218">
        <v>0</v>
      </c>
      <c r="EY218" s="10" t="str">
        <f>IF($C218="","",$D218)</f>
        <v/>
      </c>
    </row>
    <row r="219" spans="1:155" x14ac:dyDescent="0.35">
      <c r="B219" s="5"/>
      <c r="C219" s="234"/>
      <c r="D219" s="24" t="s">
        <v>721</v>
      </c>
      <c r="CK219" s="11"/>
      <c r="CM219" s="11"/>
      <c r="CT219" s="11"/>
      <c r="CU219">
        <v>0</v>
      </c>
      <c r="CV219">
        <v>0</v>
      </c>
      <c r="CW219">
        <v>0</v>
      </c>
      <c r="EY219" s="10" t="str">
        <f>IF($C219="","",$D219)</f>
        <v/>
      </c>
    </row>
    <row r="220" spans="1:155" x14ac:dyDescent="0.35">
      <c r="A220" s="220" cm="1">
        <f t="array" aca="1" ref="A220" ca="1">HYPERLINK(CONCATENATE("#",CELL("address",IF(MAX($CM220:$CT220)=0,A220,INDEX($CM220:$CT220,MATCH(1,$CM220:$CT220,0))))),MAX($CM220:$CT220))</f>
        <v>0</v>
      </c>
      <c r="C220" s="211" t="str">
        <f>CONCATENATE("BS-",'Opening Balances'!$C$72)</f>
        <v>BS-B-7b-OB</v>
      </c>
      <c r="D220" s="1" t="s">
        <v>890</v>
      </c>
      <c r="G220" s="8"/>
      <c r="H220" s="9" t="s">
        <v>665</v>
      </c>
      <c r="V220" s="12">
        <f>'Opening Balances'!$V$72</f>
        <v>0</v>
      </c>
      <c r="W220" s="10">
        <f>V226</f>
        <v>0</v>
      </c>
      <c r="X220" s="10">
        <f>W226</f>
        <v>0</v>
      </c>
      <c r="Y220" s="10">
        <f>X226</f>
        <v>0</v>
      </c>
      <c r="AA220" s="10">
        <f>W220</f>
        <v>0</v>
      </c>
      <c r="AB220" s="10">
        <f t="shared" ref="AB220:BJ220" si="149">AA226</f>
        <v>0</v>
      </c>
      <c r="AC220" s="10">
        <f t="shared" si="149"/>
        <v>0</v>
      </c>
      <c r="AD220" s="10">
        <f t="shared" si="149"/>
        <v>0</v>
      </c>
      <c r="AE220" s="10">
        <f t="shared" si="149"/>
        <v>0</v>
      </c>
      <c r="AF220" s="10">
        <f t="shared" si="149"/>
        <v>0</v>
      </c>
      <c r="AG220" s="10">
        <f t="shared" si="149"/>
        <v>0</v>
      </c>
      <c r="AH220" s="10">
        <f t="shared" si="149"/>
        <v>0</v>
      </c>
      <c r="AI220" s="10">
        <f t="shared" si="149"/>
        <v>0</v>
      </c>
      <c r="AJ220" s="10">
        <f t="shared" si="149"/>
        <v>0</v>
      </c>
      <c r="AK220" s="10">
        <f t="shared" si="149"/>
        <v>0</v>
      </c>
      <c r="AL220" s="10">
        <f t="shared" si="149"/>
        <v>0</v>
      </c>
      <c r="AM220" s="10">
        <f t="shared" si="149"/>
        <v>0</v>
      </c>
      <c r="AN220" s="10">
        <f t="shared" si="149"/>
        <v>0</v>
      </c>
      <c r="AO220" s="10">
        <f t="shared" si="149"/>
        <v>0</v>
      </c>
      <c r="AP220" s="10">
        <f t="shared" si="149"/>
        <v>0</v>
      </c>
      <c r="AQ220" s="10">
        <f t="shared" si="149"/>
        <v>0</v>
      </c>
      <c r="AR220" s="10">
        <f t="shared" si="149"/>
        <v>0</v>
      </c>
      <c r="AS220" s="10">
        <f t="shared" si="149"/>
        <v>0</v>
      </c>
      <c r="AT220" s="10">
        <f t="shared" si="149"/>
        <v>0</v>
      </c>
      <c r="AU220" s="10">
        <f t="shared" si="149"/>
        <v>0</v>
      </c>
      <c r="AV220" s="10">
        <f t="shared" si="149"/>
        <v>0</v>
      </c>
      <c r="AW220" s="10">
        <f t="shared" si="149"/>
        <v>0</v>
      </c>
      <c r="AX220" s="10">
        <f t="shared" si="149"/>
        <v>0</v>
      </c>
      <c r="AY220" s="10">
        <f t="shared" si="149"/>
        <v>0</v>
      </c>
      <c r="AZ220" s="10">
        <f t="shared" si="149"/>
        <v>0</v>
      </c>
      <c r="BA220" s="10">
        <f t="shared" si="149"/>
        <v>0</v>
      </c>
      <c r="BB220" s="10">
        <f t="shared" si="149"/>
        <v>0</v>
      </c>
      <c r="BC220" s="10">
        <f t="shared" si="149"/>
        <v>0</v>
      </c>
      <c r="BD220" s="10">
        <f t="shared" si="149"/>
        <v>0</v>
      </c>
      <c r="BE220" s="10">
        <f t="shared" si="149"/>
        <v>0</v>
      </c>
      <c r="BF220" s="10">
        <f t="shared" si="149"/>
        <v>0</v>
      </c>
      <c r="BG220" s="10">
        <f t="shared" si="149"/>
        <v>0</v>
      </c>
      <c r="BH220" s="10">
        <f t="shared" si="149"/>
        <v>0</v>
      </c>
      <c r="BI220" s="10">
        <f t="shared" si="149"/>
        <v>0</v>
      </c>
      <c r="BJ220" s="10">
        <f t="shared" si="149"/>
        <v>0</v>
      </c>
      <c r="BX220" s="12">
        <f t="shared" ref="BX220:CA226" si="150">V220</f>
        <v>0</v>
      </c>
      <c r="BY220" s="12">
        <f t="shared" si="150"/>
        <v>0</v>
      </c>
      <c r="BZ220" s="12">
        <f t="shared" si="150"/>
        <v>0</v>
      </c>
      <c r="CA220" s="12">
        <f t="shared" si="150"/>
        <v>0</v>
      </c>
      <c r="CB220" s="10">
        <f t="shared" ref="CB220:CI220" si="151">CA226</f>
        <v>0</v>
      </c>
      <c r="CC220" s="10">
        <f t="shared" si="151"/>
        <v>0</v>
      </c>
      <c r="CD220" s="10">
        <f t="shared" si="151"/>
        <v>0</v>
      </c>
      <c r="CE220" s="10">
        <f t="shared" si="151"/>
        <v>0</v>
      </c>
      <c r="CF220" s="10">
        <f t="shared" si="151"/>
        <v>0</v>
      </c>
      <c r="CG220" s="10">
        <f t="shared" si="151"/>
        <v>0</v>
      </c>
      <c r="CH220" s="10">
        <f t="shared" si="151"/>
        <v>0</v>
      </c>
      <c r="CI220" s="10">
        <f t="shared" si="151"/>
        <v>0</v>
      </c>
      <c r="CK220" s="11"/>
      <c r="CM220" s="11"/>
      <c r="CS220" s="7">
        <f t="shared" ref="CS220:CS226" si="152">IF(SUM(V220:Y220)=SUM(BX220:CA220), 0, 1)</f>
        <v>0</v>
      </c>
      <c r="CT220" s="11"/>
      <c r="CU220">
        <v>0</v>
      </c>
      <c r="CV220">
        <v>0</v>
      </c>
      <c r="CW220">
        <v>0</v>
      </c>
      <c r="EY220" s="12" t="str">
        <f t="shared" ref="EY220:EY226" si="153">IF($C220="", "",CONCATENATE(D$219, " ", D220))</f>
        <v>Enhanced Pension Provision Opening Balance</v>
      </c>
    </row>
    <row r="221" spans="1:155" x14ac:dyDescent="0.35">
      <c r="A221" s="220" cm="1">
        <f t="array" aca="1" ref="A221" ca="1">HYPERLINK(CONCATENATE("#",CELL("address",IF(MAX($CM221:$CT221)=0,A221,INDEX($CM221:$CT221,MATCH(1,$CM221:$CT221,0))))),MAX($CM221:$CT221))</f>
        <v>0</v>
      </c>
      <c r="C221" s="211" t="s">
        <v>1454</v>
      </c>
      <c r="D221" s="1" t="s">
        <v>1455</v>
      </c>
      <c r="G221" s="8"/>
      <c r="H221" s="9" t="s">
        <v>665</v>
      </c>
      <c r="V221" s="109"/>
      <c r="W221" s="133">
        <f t="shared" ref="W221:Y225" si="154" xml:space="preserve"> SUMIFS($AA221:$BJ221, $AA$3:$BJ$3, W$3)</f>
        <v>0</v>
      </c>
      <c r="X221" s="133">
        <f t="shared" si="154"/>
        <v>0</v>
      </c>
      <c r="Y221" s="133">
        <f t="shared" si="154"/>
        <v>0</v>
      </c>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X221" s="12">
        <f t="shared" si="150"/>
        <v>0</v>
      </c>
      <c r="BY221" s="12">
        <f t="shared" si="150"/>
        <v>0</v>
      </c>
      <c r="BZ221" s="12">
        <f t="shared" si="150"/>
        <v>0</v>
      </c>
      <c r="CA221" s="12">
        <f t="shared" si="150"/>
        <v>0</v>
      </c>
      <c r="CB221" s="109"/>
      <c r="CC221" s="109"/>
      <c r="CD221" s="109"/>
      <c r="CE221" s="109"/>
      <c r="CF221" s="109"/>
      <c r="CG221" s="109"/>
      <c r="CH221" s="109"/>
      <c r="CI221" s="109"/>
      <c r="CK221" s="11"/>
      <c r="CL221" s="221">
        <f>IF(MIN($V221:$CI221)&lt;0, 1, 0)</f>
        <v>0</v>
      </c>
      <c r="CM221" s="11"/>
      <c r="CO221" s="7" cm="1">
        <f t="array" ref="CO221">SUMPRODUCT(--NOT(ISNUMBER(V221:CI221)),--NOT(ISBLANK(V221:CI221)))</f>
        <v>0</v>
      </c>
      <c r="CS221" s="7">
        <f t="shared" si="152"/>
        <v>0</v>
      </c>
      <c r="CT221" s="11"/>
      <c r="CU221">
        <v>1</v>
      </c>
      <c r="CV221">
        <v>1</v>
      </c>
      <c r="CW221">
        <v>0</v>
      </c>
      <c r="EY221" s="12" t="str">
        <f t="shared" si="153"/>
        <v>Enhanced Pension Provision Additions in period</v>
      </c>
    </row>
    <row r="222" spans="1:155" x14ac:dyDescent="0.35">
      <c r="A222" s="220" cm="1">
        <f t="array" aca="1" ref="A222" ca="1">HYPERLINK(CONCATENATE("#",CELL("address",IF(MAX($CM222:$CT222)=0,A222,INDEX($CM222:$CT222,MATCH(1,$CM222:$CT222,0))))),MAX($CM222:$CT222))</f>
        <v>0</v>
      </c>
      <c r="C222" s="211" t="s">
        <v>1456</v>
      </c>
      <c r="D222" s="1" t="s">
        <v>1457</v>
      </c>
      <c r="G222" s="8"/>
      <c r="H222" s="42" t="s">
        <v>317</v>
      </c>
      <c r="V222" s="214"/>
      <c r="W222" s="133">
        <f t="shared" si="154"/>
        <v>0</v>
      </c>
      <c r="X222" s="133">
        <f t="shared" si="154"/>
        <v>0</v>
      </c>
      <c r="Y222" s="133">
        <f t="shared" si="154"/>
        <v>0</v>
      </c>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X222" s="12">
        <f t="shared" si="150"/>
        <v>0</v>
      </c>
      <c r="BY222" s="12">
        <f t="shared" si="150"/>
        <v>0</v>
      </c>
      <c r="BZ222" s="12">
        <f t="shared" si="150"/>
        <v>0</v>
      </c>
      <c r="CA222" s="12">
        <f t="shared" si="150"/>
        <v>0</v>
      </c>
      <c r="CB222" s="109"/>
      <c r="CC222" s="109"/>
      <c r="CD222" s="109"/>
      <c r="CE222" s="109"/>
      <c r="CF222" s="109"/>
      <c r="CG222" s="109"/>
      <c r="CH222" s="109"/>
      <c r="CI222" s="109"/>
      <c r="CK222" s="11"/>
      <c r="CM222" s="11"/>
      <c r="CO222" s="7" cm="1">
        <f t="array" ref="CO222">SUMPRODUCT(--NOT(ISNUMBER(V222:CI222)),--NOT(ISBLANK(V222:CI222)))</f>
        <v>0</v>
      </c>
      <c r="CS222" s="7">
        <f t="shared" si="152"/>
        <v>0</v>
      </c>
      <c r="CT222" s="11"/>
      <c r="CU222">
        <v>1</v>
      </c>
      <c r="CV222">
        <v>1</v>
      </c>
      <c r="CW222">
        <v>0</v>
      </c>
      <c r="EY222" s="12" t="str">
        <f t="shared" si="153"/>
        <v>Enhanced Pension Provision Net interest on provision in period</v>
      </c>
    </row>
    <row r="223" spans="1:155" x14ac:dyDescent="0.35">
      <c r="A223" s="220" cm="1">
        <f t="array" aca="1" ref="A223" ca="1">HYPERLINK(CONCATENATE("#",CELL("address",IF(MAX($CM223:$CT223)=0,A223,INDEX($CM223:$CT223,MATCH(1,$CM223:$CT223,0))))),MAX($CM223:$CT223))</f>
        <v>0</v>
      </c>
      <c r="C223" s="211" t="s">
        <v>1458</v>
      </c>
      <c r="D223" t="s">
        <v>1459</v>
      </c>
      <c r="G223" s="8"/>
      <c r="H223" s="9" t="s">
        <v>1079</v>
      </c>
      <c r="V223" s="109"/>
      <c r="W223" s="133">
        <f t="shared" si="154"/>
        <v>0</v>
      </c>
      <c r="X223" s="133">
        <f t="shared" si="154"/>
        <v>0</v>
      </c>
      <c r="Y223" s="133">
        <f t="shared" si="154"/>
        <v>0</v>
      </c>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X223" s="12">
        <f t="shared" si="150"/>
        <v>0</v>
      </c>
      <c r="BY223" s="12">
        <f t="shared" si="150"/>
        <v>0</v>
      </c>
      <c r="BZ223" s="12">
        <f t="shared" si="150"/>
        <v>0</v>
      </c>
      <c r="CA223" s="12">
        <f t="shared" si="150"/>
        <v>0</v>
      </c>
      <c r="CB223" s="109"/>
      <c r="CC223" s="109"/>
      <c r="CD223" s="109"/>
      <c r="CE223" s="109"/>
      <c r="CF223" s="109"/>
      <c r="CG223" s="109"/>
      <c r="CH223" s="109"/>
      <c r="CI223" s="109"/>
      <c r="CK223" s="11"/>
      <c r="CL223" s="221">
        <f>IF(MAX($V223:$CI223)&gt;0, 1, 0)</f>
        <v>0</v>
      </c>
      <c r="CM223" s="11"/>
      <c r="CO223" s="7" cm="1">
        <f t="array" ref="CO223">SUMPRODUCT(--NOT(ISNUMBER(V223:CI223)),--NOT(ISBLANK(V223:CI223)))</f>
        <v>0</v>
      </c>
      <c r="CS223" s="7">
        <f t="shared" si="152"/>
        <v>0</v>
      </c>
      <c r="CT223" s="11"/>
      <c r="CU223">
        <v>1</v>
      </c>
      <c r="CV223">
        <v>1</v>
      </c>
      <c r="CW223">
        <v>0</v>
      </c>
      <c r="EY223" s="12" t="str">
        <f t="shared" si="153"/>
        <v>Enhanced Pension Provision Released in period</v>
      </c>
    </row>
    <row r="224" spans="1:155" x14ac:dyDescent="0.35">
      <c r="A224" s="220" cm="1">
        <f t="array" aca="1" ref="A224" ca="1">HYPERLINK(CONCATENATE("#",CELL("address",IF(MAX($CM224:$CT224)=0,A224,INDEX($CM224:$CT224,MATCH(1,$CM224:$CT224,0))))),MAX($CM224:$CT224))</f>
        <v>0</v>
      </c>
      <c r="B224" s="2"/>
      <c r="C224" s="211" t="s">
        <v>1460</v>
      </c>
      <c r="D224" s="1" t="s">
        <v>1450</v>
      </c>
      <c r="E224" s="85" t="s">
        <v>122</v>
      </c>
      <c r="G224" s="8"/>
      <c r="H224" s="9" t="s">
        <v>317</v>
      </c>
      <c r="V224" s="109"/>
      <c r="W224" s="133">
        <f t="shared" si="154"/>
        <v>0</v>
      </c>
      <c r="X224" s="133">
        <f t="shared" si="154"/>
        <v>0</v>
      </c>
      <c r="Y224" s="133">
        <f t="shared" si="154"/>
        <v>0</v>
      </c>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X224" s="12">
        <f t="shared" si="150"/>
        <v>0</v>
      </c>
      <c r="BY224" s="12">
        <f t="shared" si="150"/>
        <v>0</v>
      </c>
      <c r="BZ224" s="12">
        <f t="shared" si="150"/>
        <v>0</v>
      </c>
      <c r="CA224" s="12">
        <f t="shared" si="150"/>
        <v>0</v>
      </c>
      <c r="CB224" s="109"/>
      <c r="CC224" s="109"/>
      <c r="CD224" s="109"/>
      <c r="CE224" s="109"/>
      <c r="CF224" s="109"/>
      <c r="CG224" s="109"/>
      <c r="CH224" s="109"/>
      <c r="CI224" s="109"/>
      <c r="CK224" s="11"/>
      <c r="CM224" s="11"/>
      <c r="CO224" s="7" cm="1">
        <f t="array" ref="CO224">SUMPRODUCT(--NOT(ISNUMBER(V224:CI224)),--NOT(ISBLANK(V224:CI224)))</f>
        <v>0</v>
      </c>
      <c r="CS224" s="7">
        <f t="shared" si="152"/>
        <v>0</v>
      </c>
      <c r="CT224" s="11"/>
      <c r="CU224">
        <v>1</v>
      </c>
      <c r="CV224">
        <v>1</v>
      </c>
      <c r="CW224">
        <v>0</v>
      </c>
      <c r="EY224" s="12" t="str">
        <f t="shared" si="153"/>
        <v>Enhanced Pension Provision Actuarial (gain)/loss</v>
      </c>
    </row>
    <row r="225" spans="1:155" x14ac:dyDescent="0.35">
      <c r="A225" s="220" cm="1">
        <f t="array" aca="1" ref="A225" ca="1">HYPERLINK(CONCATENATE("#",CELL("address",IF(MAX($CM225:$CT225)=0,A225,INDEX($CM225:$CT225,MATCH(1,$CM225:$CT225,0))))),MAX($CM225:$CT225))</f>
        <v>0</v>
      </c>
      <c r="C225" s="211" t="s">
        <v>1461</v>
      </c>
      <c r="D225" s="1" t="s">
        <v>901</v>
      </c>
      <c r="E225" s="283" t="s">
        <v>904</v>
      </c>
      <c r="G225" s="8"/>
      <c r="H225" s="9" t="s">
        <v>317</v>
      </c>
      <c r="V225" s="109"/>
      <c r="W225" s="133">
        <f t="shared" si="154"/>
        <v>0</v>
      </c>
      <c r="X225" s="133">
        <f t="shared" si="154"/>
        <v>0</v>
      </c>
      <c r="Y225" s="133">
        <f t="shared" si="154"/>
        <v>0</v>
      </c>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X225" s="12">
        <f t="shared" si="150"/>
        <v>0</v>
      </c>
      <c r="BY225" s="12">
        <f t="shared" si="150"/>
        <v>0</v>
      </c>
      <c r="BZ225" s="12">
        <f t="shared" si="150"/>
        <v>0</v>
      </c>
      <c r="CA225" s="12">
        <f t="shared" si="150"/>
        <v>0</v>
      </c>
      <c r="CB225" s="109"/>
      <c r="CC225" s="109"/>
      <c r="CD225" s="109"/>
      <c r="CE225" s="109"/>
      <c r="CF225" s="109"/>
      <c r="CG225" s="109"/>
      <c r="CH225" s="109"/>
      <c r="CI225" s="109"/>
      <c r="CK225" s="11"/>
      <c r="CM225" s="11"/>
      <c r="CO225" s="7" cm="1">
        <f t="array" ref="CO225">SUMPRODUCT(--NOT(ISNUMBER(V225:CI225)),--NOT(ISBLANK(V225:CI225)))</f>
        <v>0</v>
      </c>
      <c r="CS225" s="7">
        <f t="shared" si="152"/>
        <v>0</v>
      </c>
      <c r="CT225" s="11"/>
      <c r="CU225">
        <v>1</v>
      </c>
      <c r="CV225">
        <v>1</v>
      </c>
      <c r="CW225">
        <v>0</v>
      </c>
      <c r="EY225" s="12" t="str">
        <f t="shared" si="153"/>
        <v>Enhanced Pension Provision Movement due to mergers</v>
      </c>
    </row>
    <row r="226" spans="1:155" x14ac:dyDescent="0.35">
      <c r="A226" s="220" cm="1">
        <f t="array" aca="1" ref="A226" ca="1">HYPERLINK(CONCATENATE("#",CELL("address",IF(MAX($CM226:$CT226)=0,A226,INDEX($CM226:$CT226,MATCH(1,$CM226:$CT226,0))))),MAX($CM226:$CT226))</f>
        <v>0</v>
      </c>
      <c r="C226" s="213" t="str">
        <f>REPLACE('Opening Balances'!$C$72, LEN('Opening Balances'!$C$72)-1, 1, "C")</f>
        <v>B-7b-CB</v>
      </c>
      <c r="D226" t="s">
        <v>906</v>
      </c>
      <c r="E226" s="215">
        <f>ROUND(V226-SUM(V220:V225), rounding)*$V$10</f>
        <v>0</v>
      </c>
      <c r="G226" s="8"/>
      <c r="H226" s="9" t="s">
        <v>665</v>
      </c>
      <c r="V226" s="12">
        <f>'Opening Balances'!W72</f>
        <v>0</v>
      </c>
      <c r="W226" s="10">
        <f>SUM(W220:W225)</f>
        <v>0</v>
      </c>
      <c r="X226" s="10">
        <f>SUM(X220:X225)</f>
        <v>0</v>
      </c>
      <c r="Y226" s="10">
        <f>SUM(Y220:Y225)</f>
        <v>0</v>
      </c>
      <c r="AA226" s="10">
        <f t="shared" ref="AA226:BJ226" si="155">SUM(AA220:AA225)</f>
        <v>0</v>
      </c>
      <c r="AB226" s="10">
        <f t="shared" si="155"/>
        <v>0</v>
      </c>
      <c r="AC226" s="10">
        <f t="shared" si="155"/>
        <v>0</v>
      </c>
      <c r="AD226" s="10">
        <f t="shared" si="155"/>
        <v>0</v>
      </c>
      <c r="AE226" s="10">
        <f t="shared" si="155"/>
        <v>0</v>
      </c>
      <c r="AF226" s="10">
        <f t="shared" si="155"/>
        <v>0</v>
      </c>
      <c r="AG226" s="10">
        <f t="shared" si="155"/>
        <v>0</v>
      </c>
      <c r="AH226" s="10">
        <f t="shared" si="155"/>
        <v>0</v>
      </c>
      <c r="AI226" s="10">
        <f t="shared" si="155"/>
        <v>0</v>
      </c>
      <c r="AJ226" s="10">
        <f t="shared" si="155"/>
        <v>0</v>
      </c>
      <c r="AK226" s="10">
        <f t="shared" si="155"/>
        <v>0</v>
      </c>
      <c r="AL226" s="10">
        <f t="shared" si="155"/>
        <v>0</v>
      </c>
      <c r="AM226" s="10">
        <f t="shared" si="155"/>
        <v>0</v>
      </c>
      <c r="AN226" s="10">
        <f t="shared" si="155"/>
        <v>0</v>
      </c>
      <c r="AO226" s="10">
        <f t="shared" si="155"/>
        <v>0</v>
      </c>
      <c r="AP226" s="10">
        <f t="shared" si="155"/>
        <v>0</v>
      </c>
      <c r="AQ226" s="10">
        <f t="shared" si="155"/>
        <v>0</v>
      </c>
      <c r="AR226" s="10">
        <f t="shared" si="155"/>
        <v>0</v>
      </c>
      <c r="AS226" s="10">
        <f t="shared" si="155"/>
        <v>0</v>
      </c>
      <c r="AT226" s="10">
        <f t="shared" si="155"/>
        <v>0</v>
      </c>
      <c r="AU226" s="10">
        <f t="shared" si="155"/>
        <v>0</v>
      </c>
      <c r="AV226" s="10">
        <f t="shared" si="155"/>
        <v>0</v>
      </c>
      <c r="AW226" s="10">
        <f t="shared" si="155"/>
        <v>0</v>
      </c>
      <c r="AX226" s="10">
        <f t="shared" si="155"/>
        <v>0</v>
      </c>
      <c r="AY226" s="10">
        <f t="shared" si="155"/>
        <v>0</v>
      </c>
      <c r="AZ226" s="10">
        <f t="shared" si="155"/>
        <v>0</v>
      </c>
      <c r="BA226" s="10">
        <f t="shared" si="155"/>
        <v>0</v>
      </c>
      <c r="BB226" s="10">
        <f t="shared" si="155"/>
        <v>0</v>
      </c>
      <c r="BC226" s="10">
        <f t="shared" si="155"/>
        <v>0</v>
      </c>
      <c r="BD226" s="10">
        <f t="shared" si="155"/>
        <v>0</v>
      </c>
      <c r="BE226" s="10">
        <f t="shared" si="155"/>
        <v>0</v>
      </c>
      <c r="BF226" s="10">
        <f t="shared" si="155"/>
        <v>0</v>
      </c>
      <c r="BG226" s="10">
        <f t="shared" si="155"/>
        <v>0</v>
      </c>
      <c r="BH226" s="10">
        <f t="shared" si="155"/>
        <v>0</v>
      </c>
      <c r="BI226" s="10">
        <f t="shared" si="155"/>
        <v>0</v>
      </c>
      <c r="BJ226" s="10">
        <f t="shared" si="155"/>
        <v>0</v>
      </c>
      <c r="BX226" s="12">
        <f t="shared" si="150"/>
        <v>0</v>
      </c>
      <c r="BY226" s="12">
        <f t="shared" si="150"/>
        <v>0</v>
      </c>
      <c r="BZ226" s="12">
        <f t="shared" si="150"/>
        <v>0</v>
      </c>
      <c r="CA226" s="12">
        <f t="shared" si="150"/>
        <v>0</v>
      </c>
      <c r="CB226" s="10">
        <f t="shared" ref="CB226:CI226" si="156">SUM(CB220:CB225)</f>
        <v>0</v>
      </c>
      <c r="CC226" s="10">
        <f t="shared" si="156"/>
        <v>0</v>
      </c>
      <c r="CD226" s="10">
        <f t="shared" si="156"/>
        <v>0</v>
      </c>
      <c r="CE226" s="10">
        <f t="shared" si="156"/>
        <v>0</v>
      </c>
      <c r="CF226" s="10">
        <f t="shared" si="156"/>
        <v>0</v>
      </c>
      <c r="CG226" s="10">
        <f t="shared" si="156"/>
        <v>0</v>
      </c>
      <c r="CH226" s="10">
        <f t="shared" si="156"/>
        <v>0</v>
      </c>
      <c r="CI226" s="10">
        <f t="shared" si="156"/>
        <v>0</v>
      </c>
      <c r="CK226" s="11"/>
      <c r="CM226" s="11"/>
      <c r="CR226" s="7">
        <f>IF(ABS($E226)&gt;Parameters!$D$33, 1, 0)</f>
        <v>0</v>
      </c>
      <c r="CS226" s="7">
        <f t="shared" si="152"/>
        <v>0</v>
      </c>
      <c r="CT226" s="11"/>
      <c r="CU226">
        <v>0</v>
      </c>
      <c r="CV226">
        <v>0</v>
      </c>
      <c r="CW226" s="1">
        <v>1</v>
      </c>
      <c r="EY226" s="12" t="str">
        <f t="shared" si="153"/>
        <v>Enhanced Pension Provision Closing Balance</v>
      </c>
    </row>
    <row r="227" spans="1:155" ht="8.25" customHeight="1" x14ac:dyDescent="0.35">
      <c r="C227" s="234"/>
      <c r="CK227" s="11"/>
      <c r="CM227" s="11"/>
      <c r="CT227" s="11"/>
      <c r="CU227">
        <v>0</v>
      </c>
      <c r="CV227">
        <v>0</v>
      </c>
      <c r="CW227">
        <v>0</v>
      </c>
      <c r="EY227" s="10" t="str">
        <f>IF($C227="","",$D227)</f>
        <v/>
      </c>
    </row>
    <row r="228" spans="1:155" x14ac:dyDescent="0.35">
      <c r="B228" s="5"/>
      <c r="C228" s="234"/>
      <c r="D228" s="24" t="s">
        <v>723</v>
      </c>
      <c r="CK228" s="11"/>
      <c r="CM228" s="11"/>
      <c r="CT228" s="11"/>
      <c r="CU228">
        <v>0</v>
      </c>
      <c r="CV228">
        <v>0</v>
      </c>
      <c r="CW228">
        <v>0</v>
      </c>
      <c r="EY228" s="10" t="str">
        <f>IF($C228="","",$D228)</f>
        <v/>
      </c>
    </row>
    <row r="229" spans="1:155" x14ac:dyDescent="0.35">
      <c r="A229" s="220" cm="1">
        <f t="array" aca="1" ref="A229" ca="1">HYPERLINK(CONCATENATE("#",CELL("address",IF(MAX($CM229:$CT229)=0,A229,INDEX($CM229:$CT229,MATCH(1,$CM229:$CT229,0))))),MAX($CM229:$CT229))</f>
        <v>0</v>
      </c>
      <c r="C229" s="211" t="str">
        <f>CONCATENATE("BS-",'Opening Balances'!$C$73)</f>
        <v>BS-B-7c-OB</v>
      </c>
      <c r="D229" s="1" t="s">
        <v>890</v>
      </c>
      <c r="G229" s="8"/>
      <c r="H229" s="9" t="s">
        <v>665</v>
      </c>
      <c r="V229" s="12">
        <f>'Opening Balances'!$V$73</f>
        <v>0</v>
      </c>
      <c r="W229" s="10">
        <f>V236</f>
        <v>0</v>
      </c>
      <c r="X229" s="10">
        <f>W236</f>
        <v>0</v>
      </c>
      <c r="Y229" s="10">
        <f>X236</f>
        <v>0</v>
      </c>
      <c r="AA229" s="10">
        <f>W229</f>
        <v>0</v>
      </c>
      <c r="AB229" s="10">
        <f t="shared" ref="AB229:BJ229" si="157">AA236</f>
        <v>0</v>
      </c>
      <c r="AC229" s="10">
        <f t="shared" si="157"/>
        <v>0</v>
      </c>
      <c r="AD229" s="10">
        <f t="shared" si="157"/>
        <v>0</v>
      </c>
      <c r="AE229" s="10">
        <f t="shared" si="157"/>
        <v>0</v>
      </c>
      <c r="AF229" s="10">
        <f t="shared" si="157"/>
        <v>0</v>
      </c>
      <c r="AG229" s="10">
        <f t="shared" si="157"/>
        <v>0</v>
      </c>
      <c r="AH229" s="10">
        <f t="shared" si="157"/>
        <v>0</v>
      </c>
      <c r="AI229" s="10">
        <f t="shared" si="157"/>
        <v>0</v>
      </c>
      <c r="AJ229" s="10">
        <f t="shared" si="157"/>
        <v>0</v>
      </c>
      <c r="AK229" s="10">
        <f t="shared" si="157"/>
        <v>0</v>
      </c>
      <c r="AL229" s="10">
        <f t="shared" si="157"/>
        <v>0</v>
      </c>
      <c r="AM229" s="10">
        <f t="shared" si="157"/>
        <v>0</v>
      </c>
      <c r="AN229" s="10">
        <f t="shared" si="157"/>
        <v>0</v>
      </c>
      <c r="AO229" s="10">
        <f t="shared" si="157"/>
        <v>0</v>
      </c>
      <c r="AP229" s="10">
        <f t="shared" si="157"/>
        <v>0</v>
      </c>
      <c r="AQ229" s="10">
        <f t="shared" si="157"/>
        <v>0</v>
      </c>
      <c r="AR229" s="10">
        <f t="shared" si="157"/>
        <v>0</v>
      </c>
      <c r="AS229" s="10">
        <f t="shared" si="157"/>
        <v>0</v>
      </c>
      <c r="AT229" s="10">
        <f t="shared" si="157"/>
        <v>0</v>
      </c>
      <c r="AU229" s="10">
        <f t="shared" si="157"/>
        <v>0</v>
      </c>
      <c r="AV229" s="10">
        <f t="shared" si="157"/>
        <v>0</v>
      </c>
      <c r="AW229" s="10">
        <f t="shared" si="157"/>
        <v>0</v>
      </c>
      <c r="AX229" s="10">
        <f t="shared" si="157"/>
        <v>0</v>
      </c>
      <c r="AY229" s="10">
        <f t="shared" si="157"/>
        <v>0</v>
      </c>
      <c r="AZ229" s="10">
        <f t="shared" si="157"/>
        <v>0</v>
      </c>
      <c r="BA229" s="10">
        <f t="shared" si="157"/>
        <v>0</v>
      </c>
      <c r="BB229" s="10">
        <f t="shared" si="157"/>
        <v>0</v>
      </c>
      <c r="BC229" s="10">
        <f t="shared" si="157"/>
        <v>0</v>
      </c>
      <c r="BD229" s="10">
        <f t="shared" si="157"/>
        <v>0</v>
      </c>
      <c r="BE229" s="10">
        <f t="shared" si="157"/>
        <v>0</v>
      </c>
      <c r="BF229" s="10">
        <f t="shared" si="157"/>
        <v>0</v>
      </c>
      <c r="BG229" s="10">
        <f t="shared" si="157"/>
        <v>0</v>
      </c>
      <c r="BH229" s="10">
        <f t="shared" si="157"/>
        <v>0</v>
      </c>
      <c r="BI229" s="10">
        <f t="shared" si="157"/>
        <v>0</v>
      </c>
      <c r="BJ229" s="10">
        <f t="shared" si="157"/>
        <v>0</v>
      </c>
      <c r="BX229" s="12">
        <f t="shared" ref="BX229:CA236" si="158">V229</f>
        <v>0</v>
      </c>
      <c r="BY229" s="12">
        <f t="shared" si="158"/>
        <v>0</v>
      </c>
      <c r="BZ229" s="12">
        <f t="shared" si="158"/>
        <v>0</v>
      </c>
      <c r="CA229" s="12">
        <f t="shared" si="158"/>
        <v>0</v>
      </c>
      <c r="CB229" s="10">
        <f t="shared" ref="CB229:CI229" si="159">CA236</f>
        <v>0</v>
      </c>
      <c r="CC229" s="10">
        <f t="shared" si="159"/>
        <v>0</v>
      </c>
      <c r="CD229" s="10">
        <f t="shared" si="159"/>
        <v>0</v>
      </c>
      <c r="CE229" s="10">
        <f t="shared" si="159"/>
        <v>0</v>
      </c>
      <c r="CF229" s="10">
        <f t="shared" si="159"/>
        <v>0</v>
      </c>
      <c r="CG229" s="10">
        <f t="shared" si="159"/>
        <v>0</v>
      </c>
      <c r="CH229" s="10">
        <f t="shared" si="159"/>
        <v>0</v>
      </c>
      <c r="CI229" s="10">
        <f t="shared" si="159"/>
        <v>0</v>
      </c>
      <c r="CK229" s="11"/>
      <c r="CM229" s="11"/>
      <c r="CS229" s="7">
        <f t="shared" ref="CS229:CS236" si="160">IF(SUM(V229:Y229)=SUM(BX229:CA229), 0, 1)</f>
        <v>0</v>
      </c>
      <c r="CT229" s="11"/>
      <c r="CU229">
        <v>0</v>
      </c>
      <c r="CV229">
        <v>0</v>
      </c>
      <c r="CW229">
        <v>0</v>
      </c>
      <c r="EY229" s="12" t="str">
        <f t="shared" ref="EY229:EY236" si="161">IF($C229="", "",CONCATENATE(D$228, " ", D229))</f>
        <v>Other Pension Provisions Opening Balance</v>
      </c>
    </row>
    <row r="230" spans="1:155" x14ac:dyDescent="0.35">
      <c r="A230" s="220" cm="1">
        <f t="array" aca="1" ref="A230" ca="1">HYPERLINK(CONCATENATE("#",CELL("address",IF(MAX($CM230:$CT230)=0,A230,INDEX($CM230:$CT230,MATCH(1,$CM230:$CT230,0))))),MAX($CM230:$CT230))</f>
        <v>0</v>
      </c>
      <c r="C230" s="211" t="s">
        <v>1462</v>
      </c>
      <c r="D230" s="1" t="s">
        <v>1455</v>
      </c>
      <c r="G230" s="8"/>
      <c r="H230" s="9" t="s">
        <v>665</v>
      </c>
      <c r="V230" s="109"/>
      <c r="W230" s="133">
        <f t="shared" ref="W230:Y235" si="162" xml:space="preserve"> SUMIFS($AA230:$BJ230, $AA$3:$BJ$3, W$3)</f>
        <v>0</v>
      </c>
      <c r="X230" s="133">
        <f t="shared" si="162"/>
        <v>0</v>
      </c>
      <c r="Y230" s="133">
        <f t="shared" si="162"/>
        <v>0</v>
      </c>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X230" s="12">
        <f t="shared" si="158"/>
        <v>0</v>
      </c>
      <c r="BY230" s="12">
        <f t="shared" si="158"/>
        <v>0</v>
      </c>
      <c r="BZ230" s="12">
        <f t="shared" si="158"/>
        <v>0</v>
      </c>
      <c r="CA230" s="12">
        <f t="shared" si="158"/>
        <v>0</v>
      </c>
      <c r="CB230" s="109"/>
      <c r="CC230" s="109"/>
      <c r="CD230" s="109"/>
      <c r="CE230" s="109"/>
      <c r="CF230" s="109"/>
      <c r="CG230" s="109"/>
      <c r="CH230" s="109"/>
      <c r="CI230" s="109"/>
      <c r="CK230" s="11"/>
      <c r="CL230" s="221">
        <f>IF(MIN($V230:$CI230)&lt;0, 1, 0)</f>
        <v>0</v>
      </c>
      <c r="CM230" s="11"/>
      <c r="CO230" s="7" cm="1">
        <f t="array" ref="CO230">SUMPRODUCT(--NOT(ISNUMBER(V230:CI230)),--NOT(ISBLANK(V230:CI230)))</f>
        <v>0</v>
      </c>
      <c r="CS230" s="7">
        <f t="shared" si="160"/>
        <v>0</v>
      </c>
      <c r="CT230" s="11"/>
      <c r="CU230">
        <v>1</v>
      </c>
      <c r="CV230">
        <v>1</v>
      </c>
      <c r="CW230">
        <v>0</v>
      </c>
      <c r="EY230" s="12" t="str">
        <f t="shared" si="161"/>
        <v>Other Pension Provisions Additions in period</v>
      </c>
    </row>
    <row r="231" spans="1:155" x14ac:dyDescent="0.35">
      <c r="A231" s="220" cm="1">
        <f t="array" aca="1" ref="A231" ca="1">HYPERLINK(CONCATENATE("#",CELL("address",IF(MAX($CM231:$CT231)=0,A231,INDEX($CM231:$CT231,MATCH(1,$CM231:$CT231,0))))),MAX($CM231:$CT231))</f>
        <v>0</v>
      </c>
      <c r="C231" s="211" t="s">
        <v>1463</v>
      </c>
      <c r="D231" s="1" t="s">
        <v>1457</v>
      </c>
      <c r="G231" s="8"/>
      <c r="H231" s="42" t="s">
        <v>317</v>
      </c>
      <c r="V231" s="109"/>
      <c r="W231" s="133">
        <f t="shared" si="162"/>
        <v>0</v>
      </c>
      <c r="X231" s="133">
        <f t="shared" si="162"/>
        <v>0</v>
      </c>
      <c r="Y231" s="133">
        <f t="shared" si="162"/>
        <v>0</v>
      </c>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X231" s="12">
        <f t="shared" si="158"/>
        <v>0</v>
      </c>
      <c r="BY231" s="12">
        <f t="shared" si="158"/>
        <v>0</v>
      </c>
      <c r="BZ231" s="12">
        <f t="shared" si="158"/>
        <v>0</v>
      </c>
      <c r="CA231" s="12">
        <f t="shared" si="158"/>
        <v>0</v>
      </c>
      <c r="CB231" s="109"/>
      <c r="CC231" s="109"/>
      <c r="CD231" s="109"/>
      <c r="CE231" s="109"/>
      <c r="CF231" s="109"/>
      <c r="CG231" s="109"/>
      <c r="CH231" s="109"/>
      <c r="CI231" s="109"/>
      <c r="CK231" s="11"/>
      <c r="CM231" s="11"/>
      <c r="CO231" s="7" cm="1">
        <f t="array" ref="CO231">SUMPRODUCT(--NOT(ISNUMBER(V231:CI231)),--NOT(ISBLANK(V231:CI231)))</f>
        <v>0</v>
      </c>
      <c r="CS231" s="7">
        <f t="shared" si="160"/>
        <v>0</v>
      </c>
      <c r="CT231" s="11"/>
      <c r="CU231">
        <v>1</v>
      </c>
      <c r="CV231">
        <v>1</v>
      </c>
      <c r="CW231">
        <v>0</v>
      </c>
      <c r="EY231" s="12" t="str">
        <f t="shared" si="161"/>
        <v>Other Pension Provisions Net interest on provision in period</v>
      </c>
    </row>
    <row r="232" spans="1:155" x14ac:dyDescent="0.35">
      <c r="A232" s="220" cm="1">
        <f t="array" aca="1" ref="A232" ca="1">HYPERLINK(CONCATENATE("#",CELL("address",IF(MAX($CM232:$CT232)=0,A232,INDEX($CM232:$CT232,MATCH(1,$CM232:$CT232,0))))),MAX($CM232:$CT232))</f>
        <v>0</v>
      </c>
      <c r="C232" s="211" t="s">
        <v>1464</v>
      </c>
      <c r="D232" t="s">
        <v>1459</v>
      </c>
      <c r="G232" s="8"/>
      <c r="H232" s="9" t="s">
        <v>1079</v>
      </c>
      <c r="V232" s="109"/>
      <c r="W232" s="133">
        <f t="shared" si="162"/>
        <v>0</v>
      </c>
      <c r="X232" s="133">
        <f t="shared" si="162"/>
        <v>0</v>
      </c>
      <c r="Y232" s="133">
        <f t="shared" si="162"/>
        <v>0</v>
      </c>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X232" s="12">
        <f t="shared" si="158"/>
        <v>0</v>
      </c>
      <c r="BY232" s="12">
        <f t="shared" si="158"/>
        <v>0</v>
      </c>
      <c r="BZ232" s="12">
        <f t="shared" si="158"/>
        <v>0</v>
      </c>
      <c r="CA232" s="12">
        <f t="shared" si="158"/>
        <v>0</v>
      </c>
      <c r="CB232" s="109"/>
      <c r="CC232" s="109"/>
      <c r="CD232" s="109"/>
      <c r="CE232" s="109"/>
      <c r="CF232" s="109"/>
      <c r="CG232" s="109"/>
      <c r="CH232" s="109"/>
      <c r="CI232" s="109"/>
      <c r="CK232" s="11"/>
      <c r="CL232" s="221">
        <f>IF(MAX($V232:$CI232)&gt;0, 1, 0)</f>
        <v>0</v>
      </c>
      <c r="CM232" s="11"/>
      <c r="CO232" s="7" cm="1">
        <f t="array" ref="CO232">SUMPRODUCT(--NOT(ISNUMBER(V232:CI232)),--NOT(ISBLANK(V232:CI232)))</f>
        <v>0</v>
      </c>
      <c r="CS232" s="7">
        <f t="shared" si="160"/>
        <v>0</v>
      </c>
      <c r="CT232" s="11"/>
      <c r="CU232">
        <v>1</v>
      </c>
      <c r="CV232">
        <v>1</v>
      </c>
      <c r="CW232">
        <v>0</v>
      </c>
      <c r="EY232" s="12" t="str">
        <f t="shared" si="161"/>
        <v>Other Pension Provisions Released in period</v>
      </c>
    </row>
    <row r="233" spans="1:155" x14ac:dyDescent="0.35">
      <c r="A233" s="220" cm="1">
        <f t="array" aca="1" ref="A233" ca="1">HYPERLINK(CONCATENATE("#",CELL("address",IF(MAX($CM233:$CT233)=0,A233,INDEX($CM233:$CT233,MATCH(1,$CM233:$CT233,0))))),MAX($CM233:$CT233))</f>
        <v>0</v>
      </c>
      <c r="C233" s="211" t="s">
        <v>1465</v>
      </c>
      <c r="D233" s="1" t="s">
        <v>1450</v>
      </c>
      <c r="E233" s="85" t="s">
        <v>122</v>
      </c>
      <c r="G233" s="8"/>
      <c r="H233" s="9" t="s">
        <v>317</v>
      </c>
      <c r="V233" s="109"/>
      <c r="W233" s="133">
        <f t="shared" si="162"/>
        <v>0</v>
      </c>
      <c r="X233" s="133">
        <f t="shared" si="162"/>
        <v>0</v>
      </c>
      <c r="Y233" s="133">
        <f t="shared" si="162"/>
        <v>0</v>
      </c>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X233" s="12">
        <f t="shared" si="158"/>
        <v>0</v>
      </c>
      <c r="BY233" s="12">
        <f t="shared" si="158"/>
        <v>0</v>
      </c>
      <c r="BZ233" s="12">
        <f t="shared" si="158"/>
        <v>0</v>
      </c>
      <c r="CA233" s="12">
        <f t="shared" si="158"/>
        <v>0</v>
      </c>
      <c r="CB233" s="109"/>
      <c r="CC233" s="109"/>
      <c r="CD233" s="109"/>
      <c r="CE233" s="109"/>
      <c r="CF233" s="109"/>
      <c r="CG233" s="109"/>
      <c r="CH233" s="109"/>
      <c r="CI233" s="109"/>
      <c r="CK233" s="11"/>
      <c r="CM233" s="11"/>
      <c r="CO233" s="7" cm="1">
        <f t="array" ref="CO233">SUMPRODUCT(--NOT(ISNUMBER(V233:CI233)),--NOT(ISBLANK(V233:CI233)))</f>
        <v>0</v>
      </c>
      <c r="CS233" s="7">
        <f t="shared" si="160"/>
        <v>0</v>
      </c>
      <c r="CT233" s="11"/>
      <c r="CU233">
        <v>1</v>
      </c>
      <c r="CV233">
        <v>1</v>
      </c>
      <c r="CW233">
        <v>0</v>
      </c>
      <c r="EY233" s="12" t="str">
        <f t="shared" si="161"/>
        <v>Other Pension Provisions Actuarial (gain)/loss</v>
      </c>
    </row>
    <row r="234" spans="1:155" x14ac:dyDescent="0.35">
      <c r="A234" s="220" cm="1">
        <f t="array" aca="1" ref="A234" ca="1">HYPERLINK(CONCATENATE("#",CELL("address",IF(MAX($CM234:$CT234)=0,A234,INDEX($CM234:$CT234,MATCH(1,$CM234:$CT234,0))))),MAX($CM234:$CT234))</f>
        <v>0</v>
      </c>
      <c r="C234" s="211" t="s">
        <v>1466</v>
      </c>
      <c r="D234" s="1" t="s">
        <v>1452</v>
      </c>
      <c r="G234" s="8"/>
      <c r="H234" s="9" t="s">
        <v>1079</v>
      </c>
      <c r="V234" s="109"/>
      <c r="W234" s="133">
        <f t="shared" si="162"/>
        <v>0</v>
      </c>
      <c r="X234" s="133">
        <f t="shared" si="162"/>
        <v>0</v>
      </c>
      <c r="Y234" s="133">
        <f t="shared" si="162"/>
        <v>0</v>
      </c>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X234" s="12">
        <f t="shared" si="158"/>
        <v>0</v>
      </c>
      <c r="BY234" s="12">
        <f t="shared" si="158"/>
        <v>0</v>
      </c>
      <c r="BZ234" s="12">
        <f t="shared" si="158"/>
        <v>0</v>
      </c>
      <c r="CA234" s="12">
        <f t="shared" si="158"/>
        <v>0</v>
      </c>
      <c r="CB234" s="109"/>
      <c r="CC234" s="109"/>
      <c r="CD234" s="109"/>
      <c r="CE234" s="109"/>
      <c r="CF234" s="109"/>
      <c r="CG234" s="109"/>
      <c r="CH234" s="109"/>
      <c r="CI234" s="109"/>
      <c r="CK234" s="11"/>
      <c r="CL234" s="221">
        <f>IF(MAX($V234:$CI234)&gt;0, 1, 0)</f>
        <v>0</v>
      </c>
      <c r="CM234" s="11"/>
      <c r="CO234" s="7" cm="1">
        <f t="array" ref="CO234">SUMPRODUCT(--NOT(ISNUMBER(V234:CI234)),--NOT(ISBLANK(V234:CI234)))</f>
        <v>0</v>
      </c>
      <c r="CS234" s="7">
        <f t="shared" si="160"/>
        <v>0</v>
      </c>
      <c r="CT234" s="11"/>
      <c r="CU234">
        <v>1</v>
      </c>
      <c r="CV234">
        <v>1</v>
      </c>
      <c r="CW234">
        <v>0</v>
      </c>
      <c r="EY234" s="12" t="str">
        <f t="shared" si="161"/>
        <v>Other Pension Provisions Lumpsum settlement payment</v>
      </c>
    </row>
    <row r="235" spans="1:155" x14ac:dyDescent="0.35">
      <c r="A235" s="220" cm="1">
        <f t="array" aca="1" ref="A235" ca="1">HYPERLINK(CONCATENATE("#",CELL("address",IF(MAX($CM235:$CT235)=0,A235,INDEX($CM235:$CT235,MATCH(1,$CM235:$CT235,0))))),MAX($CM235:$CT235))</f>
        <v>0</v>
      </c>
      <c r="C235" s="211" t="s">
        <v>1467</v>
      </c>
      <c r="D235" s="1" t="s">
        <v>901</v>
      </c>
      <c r="E235" s="283" t="s">
        <v>904</v>
      </c>
      <c r="G235" s="8"/>
      <c r="H235" s="9" t="s">
        <v>317</v>
      </c>
      <c r="V235" s="109"/>
      <c r="W235" s="133">
        <f t="shared" si="162"/>
        <v>0</v>
      </c>
      <c r="X235" s="133">
        <f t="shared" si="162"/>
        <v>0</v>
      </c>
      <c r="Y235" s="133">
        <f t="shared" si="162"/>
        <v>0</v>
      </c>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X235" s="12">
        <f t="shared" si="158"/>
        <v>0</v>
      </c>
      <c r="BY235" s="12">
        <f t="shared" si="158"/>
        <v>0</v>
      </c>
      <c r="BZ235" s="12">
        <f t="shared" si="158"/>
        <v>0</v>
      </c>
      <c r="CA235" s="12">
        <f t="shared" si="158"/>
        <v>0</v>
      </c>
      <c r="CB235" s="109"/>
      <c r="CC235" s="109"/>
      <c r="CD235" s="109"/>
      <c r="CE235" s="109"/>
      <c r="CF235" s="109"/>
      <c r="CG235" s="109"/>
      <c r="CH235" s="109"/>
      <c r="CI235" s="109"/>
      <c r="CK235" s="11"/>
      <c r="CM235" s="11"/>
      <c r="CO235" s="7" cm="1">
        <f t="array" ref="CO235">SUMPRODUCT(--NOT(ISNUMBER(V235:CI235)),--NOT(ISBLANK(V235:CI235)))</f>
        <v>0</v>
      </c>
      <c r="CS235" s="7">
        <f t="shared" si="160"/>
        <v>0</v>
      </c>
      <c r="CT235" s="11"/>
      <c r="CU235">
        <v>1</v>
      </c>
      <c r="CV235">
        <v>1</v>
      </c>
      <c r="CW235">
        <v>0</v>
      </c>
      <c r="EY235" s="12" t="str">
        <f t="shared" si="161"/>
        <v>Other Pension Provisions Movement due to mergers</v>
      </c>
    </row>
    <row r="236" spans="1:155" x14ac:dyDescent="0.35">
      <c r="A236" s="220" cm="1">
        <f t="array" aca="1" ref="A236" ca="1">HYPERLINK(CONCATENATE("#",CELL("address",IF(MAX($CM236:$CT236)=0,A236,INDEX($CM236:$CT236,MATCH(1,$CM236:$CT236,0))))),MAX($CM236:$CT236))</f>
        <v>0</v>
      </c>
      <c r="C236" s="213" t="str">
        <f>REPLACE('Opening Balances'!$C$73, LEN('Opening Balances'!$C$73)-1, 1, "C")</f>
        <v>B-7c-CB</v>
      </c>
      <c r="D236" t="s">
        <v>906</v>
      </c>
      <c r="E236" s="215">
        <f>ROUND(V236-SUM(V229:V235), rounding)*$V$10</f>
        <v>0</v>
      </c>
      <c r="G236" s="8"/>
      <c r="H236" s="9" t="s">
        <v>665</v>
      </c>
      <c r="V236" s="12">
        <f>'Opening Balances'!W73</f>
        <v>0</v>
      </c>
      <c r="W236" s="10">
        <f>SUM(W229:W235)</f>
        <v>0</v>
      </c>
      <c r="X236" s="10">
        <f>SUM(X229:X235)</f>
        <v>0</v>
      </c>
      <c r="Y236" s="10">
        <f>SUM(Y229:Y235)</f>
        <v>0</v>
      </c>
      <c r="AA236" s="10">
        <f t="shared" ref="AA236:BJ236" si="163">SUM(AA229:AA235)</f>
        <v>0</v>
      </c>
      <c r="AB236" s="10">
        <f t="shared" si="163"/>
        <v>0</v>
      </c>
      <c r="AC236" s="10">
        <f t="shared" si="163"/>
        <v>0</v>
      </c>
      <c r="AD236" s="10">
        <f t="shared" si="163"/>
        <v>0</v>
      </c>
      <c r="AE236" s="10">
        <f t="shared" si="163"/>
        <v>0</v>
      </c>
      <c r="AF236" s="10">
        <f t="shared" si="163"/>
        <v>0</v>
      </c>
      <c r="AG236" s="10">
        <f t="shared" si="163"/>
        <v>0</v>
      </c>
      <c r="AH236" s="10">
        <f t="shared" si="163"/>
        <v>0</v>
      </c>
      <c r="AI236" s="10">
        <f t="shared" si="163"/>
        <v>0</v>
      </c>
      <c r="AJ236" s="10">
        <f t="shared" si="163"/>
        <v>0</v>
      </c>
      <c r="AK236" s="10">
        <f t="shared" si="163"/>
        <v>0</v>
      </c>
      <c r="AL236" s="10">
        <f t="shared" si="163"/>
        <v>0</v>
      </c>
      <c r="AM236" s="10">
        <f t="shared" si="163"/>
        <v>0</v>
      </c>
      <c r="AN236" s="10">
        <f t="shared" si="163"/>
        <v>0</v>
      </c>
      <c r="AO236" s="10">
        <f t="shared" si="163"/>
        <v>0</v>
      </c>
      <c r="AP236" s="10">
        <f t="shared" si="163"/>
        <v>0</v>
      </c>
      <c r="AQ236" s="10">
        <f t="shared" si="163"/>
        <v>0</v>
      </c>
      <c r="AR236" s="10">
        <f t="shared" si="163"/>
        <v>0</v>
      </c>
      <c r="AS236" s="10">
        <f t="shared" si="163"/>
        <v>0</v>
      </c>
      <c r="AT236" s="10">
        <f t="shared" si="163"/>
        <v>0</v>
      </c>
      <c r="AU236" s="10">
        <f t="shared" si="163"/>
        <v>0</v>
      </c>
      <c r="AV236" s="10">
        <f t="shared" si="163"/>
        <v>0</v>
      </c>
      <c r="AW236" s="10">
        <f t="shared" si="163"/>
        <v>0</v>
      </c>
      <c r="AX236" s="10">
        <f t="shared" si="163"/>
        <v>0</v>
      </c>
      <c r="AY236" s="10">
        <f t="shared" si="163"/>
        <v>0</v>
      </c>
      <c r="AZ236" s="10">
        <f t="shared" si="163"/>
        <v>0</v>
      </c>
      <c r="BA236" s="10">
        <f t="shared" si="163"/>
        <v>0</v>
      </c>
      <c r="BB236" s="10">
        <f t="shared" si="163"/>
        <v>0</v>
      </c>
      <c r="BC236" s="10">
        <f t="shared" si="163"/>
        <v>0</v>
      </c>
      <c r="BD236" s="10">
        <f t="shared" si="163"/>
        <v>0</v>
      </c>
      <c r="BE236" s="10">
        <f t="shared" si="163"/>
        <v>0</v>
      </c>
      <c r="BF236" s="10">
        <f t="shared" si="163"/>
        <v>0</v>
      </c>
      <c r="BG236" s="10">
        <f t="shared" si="163"/>
        <v>0</v>
      </c>
      <c r="BH236" s="10">
        <f t="shared" si="163"/>
        <v>0</v>
      </c>
      <c r="BI236" s="10">
        <f t="shared" si="163"/>
        <v>0</v>
      </c>
      <c r="BJ236" s="10">
        <f t="shared" si="163"/>
        <v>0</v>
      </c>
      <c r="BX236" s="12">
        <f t="shared" si="158"/>
        <v>0</v>
      </c>
      <c r="BY236" s="12">
        <f t="shared" si="158"/>
        <v>0</v>
      </c>
      <c r="BZ236" s="12">
        <f t="shared" si="158"/>
        <v>0</v>
      </c>
      <c r="CA236" s="12">
        <f t="shared" si="158"/>
        <v>0</v>
      </c>
      <c r="CB236" s="10">
        <f t="shared" ref="CB236:CI236" si="164">SUM(CB229:CB235)</f>
        <v>0</v>
      </c>
      <c r="CC236" s="10">
        <f t="shared" si="164"/>
        <v>0</v>
      </c>
      <c r="CD236" s="10">
        <f t="shared" si="164"/>
        <v>0</v>
      </c>
      <c r="CE236" s="10">
        <f t="shared" si="164"/>
        <v>0</v>
      </c>
      <c r="CF236" s="10">
        <f t="shared" si="164"/>
        <v>0</v>
      </c>
      <c r="CG236" s="10">
        <f t="shared" si="164"/>
        <v>0</v>
      </c>
      <c r="CH236" s="10">
        <f t="shared" si="164"/>
        <v>0</v>
      </c>
      <c r="CI236" s="10">
        <f t="shared" si="164"/>
        <v>0</v>
      </c>
      <c r="CK236" s="11"/>
      <c r="CM236" s="11"/>
      <c r="CR236" s="7">
        <f>IF(ABS($E236)&gt;Parameters!$D$33, 1, 0)</f>
        <v>0</v>
      </c>
      <c r="CS236" s="7">
        <f t="shared" si="160"/>
        <v>0</v>
      </c>
      <c r="CT236" s="11"/>
      <c r="CU236">
        <v>0</v>
      </c>
      <c r="CV236">
        <v>0</v>
      </c>
      <c r="CW236" s="1">
        <v>1</v>
      </c>
      <c r="EY236" s="12" t="str">
        <f t="shared" si="161"/>
        <v>Other Pension Provisions Closing Balance</v>
      </c>
    </row>
    <row r="237" spans="1:155" ht="8.25" customHeight="1" x14ac:dyDescent="0.35">
      <c r="C237" s="234"/>
      <c r="CK237" s="11"/>
      <c r="CM237" s="11"/>
      <c r="CT237" s="11"/>
      <c r="CU237">
        <v>0</v>
      </c>
      <c r="CV237">
        <v>0</v>
      </c>
      <c r="CW237">
        <v>0</v>
      </c>
      <c r="EY237" s="10" t="str">
        <f>IF($C237="","",$D237)</f>
        <v/>
      </c>
    </row>
    <row r="238" spans="1:155" x14ac:dyDescent="0.35">
      <c r="B238" s="5"/>
      <c r="C238" s="234"/>
      <c r="D238" s="24" t="s">
        <v>725</v>
      </c>
      <c r="CK238" s="11"/>
      <c r="CM238" s="11"/>
      <c r="CT238" s="11"/>
      <c r="CU238">
        <v>0</v>
      </c>
      <c r="CV238">
        <v>0</v>
      </c>
      <c r="CW238">
        <v>0</v>
      </c>
      <c r="EY238" s="10" t="str">
        <f>IF($C238="","",$D238)</f>
        <v/>
      </c>
    </row>
    <row r="239" spans="1:155" x14ac:dyDescent="0.35">
      <c r="A239" s="220" cm="1">
        <f t="array" aca="1" ref="A239" ca="1">HYPERLINK(CONCATENATE("#",CELL("address",IF(MAX($CM239:$CT239)=0,A239,INDEX($CM239:$CT239,MATCH(1,$CM239:$CT239,0))))),MAX($CM239:$CT239))</f>
        <v>0</v>
      </c>
      <c r="C239" s="211" t="str">
        <f>CONCATENATE("BS-",'Opening Balances'!$C$74)</f>
        <v>BS-B-7d-OB</v>
      </c>
      <c r="D239" s="1" t="s">
        <v>890</v>
      </c>
      <c r="G239" s="8"/>
      <c r="H239" s="9" t="s">
        <v>665</v>
      </c>
      <c r="V239" s="12">
        <f>'Opening Balances'!$V$74</f>
        <v>0</v>
      </c>
      <c r="W239" s="10">
        <f>V242</f>
        <v>0</v>
      </c>
      <c r="X239" s="10">
        <f>W242</f>
        <v>0</v>
      </c>
      <c r="Y239" s="10">
        <f>X242</f>
        <v>0</v>
      </c>
      <c r="AA239" s="10">
        <f>W239</f>
        <v>0</v>
      </c>
      <c r="AB239" s="10">
        <f t="shared" ref="AB239:BJ239" si="165">AA242</f>
        <v>0</v>
      </c>
      <c r="AC239" s="10">
        <f t="shared" si="165"/>
        <v>0</v>
      </c>
      <c r="AD239" s="10">
        <f t="shared" si="165"/>
        <v>0</v>
      </c>
      <c r="AE239" s="10">
        <f t="shared" si="165"/>
        <v>0</v>
      </c>
      <c r="AF239" s="10">
        <f t="shared" si="165"/>
        <v>0</v>
      </c>
      <c r="AG239" s="10">
        <f t="shared" si="165"/>
        <v>0</v>
      </c>
      <c r="AH239" s="10">
        <f t="shared" si="165"/>
        <v>0</v>
      </c>
      <c r="AI239" s="10">
        <f t="shared" si="165"/>
        <v>0</v>
      </c>
      <c r="AJ239" s="10">
        <f t="shared" si="165"/>
        <v>0</v>
      </c>
      <c r="AK239" s="10">
        <f t="shared" si="165"/>
        <v>0</v>
      </c>
      <c r="AL239" s="10">
        <f t="shared" si="165"/>
        <v>0</v>
      </c>
      <c r="AM239" s="10">
        <f t="shared" si="165"/>
        <v>0</v>
      </c>
      <c r="AN239" s="10">
        <f t="shared" si="165"/>
        <v>0</v>
      </c>
      <c r="AO239" s="10">
        <f t="shared" si="165"/>
        <v>0</v>
      </c>
      <c r="AP239" s="10">
        <f t="shared" si="165"/>
        <v>0</v>
      </c>
      <c r="AQ239" s="10">
        <f t="shared" si="165"/>
        <v>0</v>
      </c>
      <c r="AR239" s="10">
        <f t="shared" si="165"/>
        <v>0</v>
      </c>
      <c r="AS239" s="10">
        <f t="shared" si="165"/>
        <v>0</v>
      </c>
      <c r="AT239" s="10">
        <f t="shared" si="165"/>
        <v>0</v>
      </c>
      <c r="AU239" s="10">
        <f t="shared" si="165"/>
        <v>0</v>
      </c>
      <c r="AV239" s="10">
        <f t="shared" si="165"/>
        <v>0</v>
      </c>
      <c r="AW239" s="10">
        <f t="shared" si="165"/>
        <v>0</v>
      </c>
      <c r="AX239" s="10">
        <f t="shared" si="165"/>
        <v>0</v>
      </c>
      <c r="AY239" s="10">
        <f t="shared" si="165"/>
        <v>0</v>
      </c>
      <c r="AZ239" s="10">
        <f t="shared" si="165"/>
        <v>0</v>
      </c>
      <c r="BA239" s="10">
        <f t="shared" si="165"/>
        <v>0</v>
      </c>
      <c r="BB239" s="10">
        <f t="shared" si="165"/>
        <v>0</v>
      </c>
      <c r="BC239" s="10">
        <f t="shared" si="165"/>
        <v>0</v>
      </c>
      <c r="BD239" s="10">
        <f t="shared" si="165"/>
        <v>0</v>
      </c>
      <c r="BE239" s="10">
        <f t="shared" si="165"/>
        <v>0</v>
      </c>
      <c r="BF239" s="10">
        <f t="shared" si="165"/>
        <v>0</v>
      </c>
      <c r="BG239" s="10">
        <f t="shared" si="165"/>
        <v>0</v>
      </c>
      <c r="BH239" s="10">
        <f t="shared" si="165"/>
        <v>0</v>
      </c>
      <c r="BI239" s="10">
        <f t="shared" si="165"/>
        <v>0</v>
      </c>
      <c r="BJ239" s="10">
        <f t="shared" si="165"/>
        <v>0</v>
      </c>
      <c r="BX239" s="12">
        <f t="shared" ref="BX239:CA242" si="166">V239</f>
        <v>0</v>
      </c>
      <c r="BY239" s="12">
        <f t="shared" si="166"/>
        <v>0</v>
      </c>
      <c r="BZ239" s="12">
        <f t="shared" si="166"/>
        <v>0</v>
      </c>
      <c r="CA239" s="12">
        <f t="shared" si="166"/>
        <v>0</v>
      </c>
      <c r="CB239" s="10">
        <f t="shared" ref="CB239:CI239" si="167">CA242</f>
        <v>0</v>
      </c>
      <c r="CC239" s="10">
        <f t="shared" si="167"/>
        <v>0</v>
      </c>
      <c r="CD239" s="10">
        <f t="shared" si="167"/>
        <v>0</v>
      </c>
      <c r="CE239" s="10">
        <f t="shared" si="167"/>
        <v>0</v>
      </c>
      <c r="CF239" s="10">
        <f t="shared" si="167"/>
        <v>0</v>
      </c>
      <c r="CG239" s="10">
        <f t="shared" si="167"/>
        <v>0</v>
      </c>
      <c r="CH239" s="10">
        <f t="shared" si="167"/>
        <v>0</v>
      </c>
      <c r="CI239" s="10">
        <f t="shared" si="167"/>
        <v>0</v>
      </c>
      <c r="CK239" s="11"/>
      <c r="CM239" s="11"/>
      <c r="CS239" s="7">
        <f>IF(SUM(V239:Y239)=SUM(BX239:CA239), 0, 1)</f>
        <v>0</v>
      </c>
      <c r="CT239" s="11"/>
      <c r="CU239">
        <v>0</v>
      </c>
      <c r="CV239">
        <v>0</v>
      </c>
      <c r="CW239">
        <v>0</v>
      </c>
      <c r="EY239" s="12" t="str">
        <f>IF($C239="", "",CONCATENATE(D$238, " ", D239))</f>
        <v>Other Provisions Opening Balance</v>
      </c>
    </row>
    <row r="240" spans="1:155" x14ac:dyDescent="0.35">
      <c r="A240" s="220" cm="1">
        <f t="array" aca="1" ref="A240" ca="1">HYPERLINK(CONCATENATE("#",CELL("address",IF(MAX($CM240:$CT240)=0,A240,INDEX($CM240:$CT240,MATCH(1,$CM240:$CT240,0))))),MAX($CM240:$CT240))</f>
        <v>0</v>
      </c>
      <c r="C240" s="213" t="s">
        <v>1468</v>
      </c>
      <c r="D240" s="1" t="s">
        <v>423</v>
      </c>
      <c r="E240" s="85" t="s">
        <v>122</v>
      </c>
      <c r="H240" s="9" t="s">
        <v>665</v>
      </c>
      <c r="V240" s="109"/>
      <c r="W240" s="133">
        <f t="shared" ref="W240:Y241" si="168" xml:space="preserve"> SUMIFS($AA240:$BJ240, $AA$3:$BJ$3, W$3)</f>
        <v>0</v>
      </c>
      <c r="X240" s="133">
        <f t="shared" si="168"/>
        <v>0</v>
      </c>
      <c r="Y240" s="133">
        <f t="shared" si="168"/>
        <v>0</v>
      </c>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X240" s="10">
        <f t="shared" si="166"/>
        <v>0</v>
      </c>
      <c r="BY240" s="10">
        <f t="shared" si="166"/>
        <v>0</v>
      </c>
      <c r="BZ240" s="10">
        <f t="shared" si="166"/>
        <v>0</v>
      </c>
      <c r="CA240" s="10">
        <f t="shared" si="166"/>
        <v>0</v>
      </c>
      <c r="CB240" s="109"/>
      <c r="CC240" s="109"/>
      <c r="CD240" s="109"/>
      <c r="CE240" s="109"/>
      <c r="CF240" s="109"/>
      <c r="CG240" s="109"/>
      <c r="CH240" s="109"/>
      <c r="CI240" s="109"/>
      <c r="CK240" s="11"/>
      <c r="CL240" s="221">
        <f>IF(MIN($V240:$CI240)&lt;0, 1, 0)</f>
        <v>0</v>
      </c>
      <c r="CM240" s="11"/>
      <c r="CO240" s="7" cm="1">
        <f t="array" ref="CO240">SUMPRODUCT(--NOT(ISNUMBER(V240:CI240)),--NOT(ISBLANK(V240:CI240)))</f>
        <v>0</v>
      </c>
      <c r="CS240" s="7">
        <f>IF(SUM(V240:Y240)=SUM(BX240:CA240), 0, 1)</f>
        <v>0</v>
      </c>
      <c r="CT240" s="11"/>
      <c r="CU240">
        <v>1</v>
      </c>
      <c r="CV240">
        <v>1</v>
      </c>
      <c r="CW240">
        <v>0</v>
      </c>
      <c r="EY240" s="12" t="str">
        <f>IF($C240="", "",CONCATENATE(D$238, " ", D240))</f>
        <v>Other Provisions Provisions made (released)</v>
      </c>
    </row>
    <row r="241" spans="1:155" x14ac:dyDescent="0.35">
      <c r="A241" s="220" cm="1">
        <f t="array" aca="1" ref="A241" ca="1">HYPERLINK(CONCATENATE("#",CELL("address",IF(MAX($CM241:$CT241)=0,A241,INDEX($CM241:$CT241,MATCH(1,$CM241:$CT241,0))))),MAX($CM241:$CT241))</f>
        <v>0</v>
      </c>
      <c r="C241" s="213" t="s">
        <v>1469</v>
      </c>
      <c r="D241" s="1" t="s">
        <v>1470</v>
      </c>
      <c r="E241" s="283" t="s">
        <v>904</v>
      </c>
      <c r="H241" s="9" t="s">
        <v>1079</v>
      </c>
      <c r="V241" s="109"/>
      <c r="W241" s="133">
        <f t="shared" si="168"/>
        <v>0</v>
      </c>
      <c r="X241" s="133">
        <f t="shared" si="168"/>
        <v>0</v>
      </c>
      <c r="Y241" s="133">
        <f t="shared" si="168"/>
        <v>0</v>
      </c>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X241" s="10">
        <f t="shared" si="166"/>
        <v>0</v>
      </c>
      <c r="BY241" s="10">
        <f t="shared" si="166"/>
        <v>0</v>
      </c>
      <c r="BZ241" s="10">
        <f t="shared" si="166"/>
        <v>0</v>
      </c>
      <c r="CA241" s="10">
        <f t="shared" si="166"/>
        <v>0</v>
      </c>
      <c r="CB241" s="109"/>
      <c r="CC241" s="109"/>
      <c r="CD241" s="109"/>
      <c r="CE241" s="109"/>
      <c r="CF241" s="109"/>
      <c r="CG241" s="109"/>
      <c r="CH241" s="109"/>
      <c r="CI241" s="109"/>
      <c r="CK241" s="11"/>
      <c r="CL241" s="221">
        <f>IF(MAX($V241:$CI241)&gt;0, 1, 0)</f>
        <v>0</v>
      </c>
      <c r="CM241" s="11"/>
      <c r="CO241" s="7" cm="1">
        <f t="array" ref="CO241">SUMPRODUCT(--NOT(ISNUMBER(V241:CI241)),--NOT(ISBLANK(V241:CI241)))</f>
        <v>0</v>
      </c>
      <c r="CS241" s="7">
        <f>IF(SUM(V241:Y241)=SUM(BX241:CA241), 0, 1)</f>
        <v>0</v>
      </c>
      <c r="CT241" s="11"/>
      <c r="CU241">
        <v>1</v>
      </c>
      <c r="CV241">
        <v>1</v>
      </c>
      <c r="CW241">
        <v>0</v>
      </c>
      <c r="EY241" s="12" t="str">
        <f>IF($C241="", "",CONCATENATE(D$238, " ", D241))</f>
        <v>Other Provisions Cash paid</v>
      </c>
    </row>
    <row r="242" spans="1:155" x14ac:dyDescent="0.35">
      <c r="A242" s="220" cm="1">
        <f t="array" aca="1" ref="A242" ca="1">HYPERLINK(CONCATENATE("#",CELL("address",IF(MAX($CM242:$CT242)=0,A242,INDEX($CM242:$CT242,MATCH(1,$CM242:$CT242,0))))),MAX($CM242:$CT242))</f>
        <v>0</v>
      </c>
      <c r="C242" s="213" t="str">
        <f>REPLACE('Opening Balances'!$C$74, LEN('Opening Balances'!$C$74)-1, 1, "C")</f>
        <v>B-7d-CB</v>
      </c>
      <c r="D242" t="s">
        <v>906</v>
      </c>
      <c r="E242" s="215">
        <f>ROUND(V242-SUM(V239:V241), rounding)*$V$10</f>
        <v>0</v>
      </c>
      <c r="G242" s="8"/>
      <c r="H242" s="9" t="s">
        <v>665</v>
      </c>
      <c r="V242" s="12">
        <f>'Opening Balances'!W74</f>
        <v>0</v>
      </c>
      <c r="W242" s="10">
        <f t="shared" ref="W242:BJ242" si="169">SUM(W239:W241)</f>
        <v>0</v>
      </c>
      <c r="X242" s="10">
        <f t="shared" si="169"/>
        <v>0</v>
      </c>
      <c r="Y242" s="10">
        <f t="shared" si="169"/>
        <v>0</v>
      </c>
      <c r="AA242" s="10">
        <f t="shared" si="169"/>
        <v>0</v>
      </c>
      <c r="AB242" s="10">
        <f t="shared" si="169"/>
        <v>0</v>
      </c>
      <c r="AC242" s="10">
        <f t="shared" si="169"/>
        <v>0</v>
      </c>
      <c r="AD242" s="10">
        <f t="shared" si="169"/>
        <v>0</v>
      </c>
      <c r="AE242" s="10">
        <f t="shared" si="169"/>
        <v>0</v>
      </c>
      <c r="AF242" s="10">
        <f t="shared" si="169"/>
        <v>0</v>
      </c>
      <c r="AG242" s="10">
        <f t="shared" si="169"/>
        <v>0</v>
      </c>
      <c r="AH242" s="10">
        <f t="shared" si="169"/>
        <v>0</v>
      </c>
      <c r="AI242" s="10">
        <f t="shared" si="169"/>
        <v>0</v>
      </c>
      <c r="AJ242" s="10">
        <f t="shared" si="169"/>
        <v>0</v>
      </c>
      <c r="AK242" s="10">
        <f t="shared" si="169"/>
        <v>0</v>
      </c>
      <c r="AL242" s="10">
        <f t="shared" si="169"/>
        <v>0</v>
      </c>
      <c r="AM242" s="10">
        <f t="shared" si="169"/>
        <v>0</v>
      </c>
      <c r="AN242" s="10">
        <f t="shared" si="169"/>
        <v>0</v>
      </c>
      <c r="AO242" s="10">
        <f t="shared" si="169"/>
        <v>0</v>
      </c>
      <c r="AP242" s="10">
        <f t="shared" si="169"/>
        <v>0</v>
      </c>
      <c r="AQ242" s="10">
        <f t="shared" si="169"/>
        <v>0</v>
      </c>
      <c r="AR242" s="10">
        <f t="shared" si="169"/>
        <v>0</v>
      </c>
      <c r="AS242" s="10">
        <f t="shared" si="169"/>
        <v>0</v>
      </c>
      <c r="AT242" s="10">
        <f t="shared" si="169"/>
        <v>0</v>
      </c>
      <c r="AU242" s="10">
        <f t="shared" si="169"/>
        <v>0</v>
      </c>
      <c r="AV242" s="10">
        <f t="shared" si="169"/>
        <v>0</v>
      </c>
      <c r="AW242" s="10">
        <f t="shared" si="169"/>
        <v>0</v>
      </c>
      <c r="AX242" s="10">
        <f t="shared" si="169"/>
        <v>0</v>
      </c>
      <c r="AY242" s="10">
        <f t="shared" si="169"/>
        <v>0</v>
      </c>
      <c r="AZ242" s="10">
        <f t="shared" si="169"/>
        <v>0</v>
      </c>
      <c r="BA242" s="10">
        <f t="shared" si="169"/>
        <v>0</v>
      </c>
      <c r="BB242" s="10">
        <f t="shared" si="169"/>
        <v>0</v>
      </c>
      <c r="BC242" s="10">
        <f t="shared" si="169"/>
        <v>0</v>
      </c>
      <c r="BD242" s="10">
        <f t="shared" si="169"/>
        <v>0</v>
      </c>
      <c r="BE242" s="10">
        <f t="shared" si="169"/>
        <v>0</v>
      </c>
      <c r="BF242" s="10">
        <f t="shared" si="169"/>
        <v>0</v>
      </c>
      <c r="BG242" s="10">
        <f t="shared" si="169"/>
        <v>0</v>
      </c>
      <c r="BH242" s="10">
        <f t="shared" si="169"/>
        <v>0</v>
      </c>
      <c r="BI242" s="10">
        <f t="shared" si="169"/>
        <v>0</v>
      </c>
      <c r="BJ242" s="10">
        <f t="shared" si="169"/>
        <v>0</v>
      </c>
      <c r="BX242" s="12">
        <f t="shared" si="166"/>
        <v>0</v>
      </c>
      <c r="BY242" s="12">
        <f t="shared" si="166"/>
        <v>0</v>
      </c>
      <c r="BZ242" s="12">
        <f t="shared" si="166"/>
        <v>0</v>
      </c>
      <c r="CA242" s="12">
        <f t="shared" si="166"/>
        <v>0</v>
      </c>
      <c r="CB242" s="10">
        <f t="shared" ref="CB242:CI242" si="170">SUM(CB239:CB241)</f>
        <v>0</v>
      </c>
      <c r="CC242" s="10">
        <f t="shared" si="170"/>
        <v>0</v>
      </c>
      <c r="CD242" s="10">
        <f t="shared" si="170"/>
        <v>0</v>
      </c>
      <c r="CE242" s="10">
        <f t="shared" si="170"/>
        <v>0</v>
      </c>
      <c r="CF242" s="10">
        <f t="shared" si="170"/>
        <v>0</v>
      </c>
      <c r="CG242" s="10">
        <f t="shared" si="170"/>
        <v>0</v>
      </c>
      <c r="CH242" s="10">
        <f t="shared" si="170"/>
        <v>0</v>
      </c>
      <c r="CI242" s="10">
        <f t="shared" si="170"/>
        <v>0</v>
      </c>
      <c r="CK242" s="11"/>
      <c r="CM242" s="11"/>
      <c r="CR242" s="7">
        <f>IF(ABS($E242)&gt;Parameters!$D$33, 1, 0)</f>
        <v>0</v>
      </c>
      <c r="CS242" s="7">
        <f>IF(SUM(V242:Y242)=SUM(BX242:CA242), 0, 1)</f>
        <v>0</v>
      </c>
      <c r="CT242" s="11"/>
      <c r="CU242">
        <v>0</v>
      </c>
      <c r="CV242">
        <v>0</v>
      </c>
      <c r="CW242" s="1">
        <v>1</v>
      </c>
      <c r="EY242" s="12" t="str">
        <f>IF($C242="", "",CONCATENATE(D$238, " ", D242))</f>
        <v>Other Provisions Closing Balance</v>
      </c>
    </row>
    <row r="243" spans="1:155" ht="8.25" customHeight="1" x14ac:dyDescent="0.35">
      <c r="C243" s="234"/>
      <c r="CK243" s="11"/>
      <c r="CM243" s="11"/>
      <c r="CT243" s="11"/>
      <c r="CU243">
        <v>0</v>
      </c>
      <c r="CV243">
        <v>0</v>
      </c>
      <c r="CW243">
        <v>0</v>
      </c>
      <c r="EY243" s="10" t="str">
        <f>IF($C243="","",$D243)</f>
        <v/>
      </c>
    </row>
    <row r="244" spans="1:155" x14ac:dyDescent="0.35">
      <c r="B244" s="5"/>
      <c r="C244" s="234"/>
      <c r="D244" s="24" t="s">
        <v>730</v>
      </c>
      <c r="CK244" s="11"/>
      <c r="CM244" s="11"/>
      <c r="CT244" s="11"/>
      <c r="CU244">
        <v>0</v>
      </c>
      <c r="CV244">
        <v>0</v>
      </c>
      <c r="CW244">
        <v>0</v>
      </c>
      <c r="EY244" s="10" t="str">
        <f>IF($C244="","",$D244)</f>
        <v/>
      </c>
    </row>
    <row r="245" spans="1:155" x14ac:dyDescent="0.35">
      <c r="A245" s="220" cm="1">
        <f t="array" aca="1" ref="A245" ca="1">HYPERLINK(CONCATENATE("#",CELL("address",IF(MAX($CM245:$CT245)=0,A245,INDEX($CM245:$CT245,MATCH(1,$CM245:$CT245,0))))),MAX($CM245:$CT245))</f>
        <v>0</v>
      </c>
      <c r="C245" s="211" t="str">
        <f>CONCATENATE("BS-",'Opening Balances'!$C$78)</f>
        <v>BS-B-9a-OB</v>
      </c>
      <c r="D245" s="1" t="s">
        <v>890</v>
      </c>
      <c r="G245" s="8"/>
      <c r="H245" s="9" t="s">
        <v>665</v>
      </c>
      <c r="V245" s="12">
        <f>'Opening Balances'!$V$78</f>
        <v>0</v>
      </c>
      <c r="W245" s="10">
        <f>V248</f>
        <v>0</v>
      </c>
      <c r="X245" s="10">
        <f>W248</f>
        <v>0</v>
      </c>
      <c r="Y245" s="10">
        <f>X248</f>
        <v>0</v>
      </c>
      <c r="AA245" s="10">
        <f>W245</f>
        <v>0</v>
      </c>
      <c r="AB245" s="10">
        <f t="shared" ref="AB245:BJ245" si="171">AA248</f>
        <v>0</v>
      </c>
      <c r="AC245" s="10">
        <f t="shared" si="171"/>
        <v>0</v>
      </c>
      <c r="AD245" s="10">
        <f t="shared" si="171"/>
        <v>0</v>
      </c>
      <c r="AE245" s="10">
        <f t="shared" si="171"/>
        <v>0</v>
      </c>
      <c r="AF245" s="10">
        <f t="shared" si="171"/>
        <v>0</v>
      </c>
      <c r="AG245" s="10">
        <f t="shared" si="171"/>
        <v>0</v>
      </c>
      <c r="AH245" s="10">
        <f t="shared" si="171"/>
        <v>0</v>
      </c>
      <c r="AI245" s="10">
        <f t="shared" si="171"/>
        <v>0</v>
      </c>
      <c r="AJ245" s="10">
        <f t="shared" si="171"/>
        <v>0</v>
      </c>
      <c r="AK245" s="10">
        <f t="shared" si="171"/>
        <v>0</v>
      </c>
      <c r="AL245" s="10">
        <f t="shared" si="171"/>
        <v>0</v>
      </c>
      <c r="AM245" s="10">
        <f t="shared" si="171"/>
        <v>0</v>
      </c>
      <c r="AN245" s="10">
        <f t="shared" si="171"/>
        <v>0</v>
      </c>
      <c r="AO245" s="10">
        <f t="shared" si="171"/>
        <v>0</v>
      </c>
      <c r="AP245" s="10">
        <f t="shared" si="171"/>
        <v>0</v>
      </c>
      <c r="AQ245" s="10">
        <f t="shared" si="171"/>
        <v>0</v>
      </c>
      <c r="AR245" s="10">
        <f t="shared" si="171"/>
        <v>0</v>
      </c>
      <c r="AS245" s="10">
        <f t="shared" si="171"/>
        <v>0</v>
      </c>
      <c r="AT245" s="10">
        <f t="shared" si="171"/>
        <v>0</v>
      </c>
      <c r="AU245" s="10">
        <f t="shared" si="171"/>
        <v>0</v>
      </c>
      <c r="AV245" s="10">
        <f t="shared" si="171"/>
        <v>0</v>
      </c>
      <c r="AW245" s="10">
        <f t="shared" si="171"/>
        <v>0</v>
      </c>
      <c r="AX245" s="10">
        <f t="shared" si="171"/>
        <v>0</v>
      </c>
      <c r="AY245" s="10">
        <f t="shared" si="171"/>
        <v>0</v>
      </c>
      <c r="AZ245" s="10">
        <f t="shared" si="171"/>
        <v>0</v>
      </c>
      <c r="BA245" s="10">
        <f t="shared" si="171"/>
        <v>0</v>
      </c>
      <c r="BB245" s="10">
        <f t="shared" si="171"/>
        <v>0</v>
      </c>
      <c r="BC245" s="10">
        <f t="shared" si="171"/>
        <v>0</v>
      </c>
      <c r="BD245" s="10">
        <f t="shared" si="171"/>
        <v>0</v>
      </c>
      <c r="BE245" s="10">
        <f t="shared" si="171"/>
        <v>0</v>
      </c>
      <c r="BF245" s="10">
        <f t="shared" si="171"/>
        <v>0</v>
      </c>
      <c r="BG245" s="10">
        <f t="shared" si="171"/>
        <v>0</v>
      </c>
      <c r="BH245" s="10">
        <f t="shared" si="171"/>
        <v>0</v>
      </c>
      <c r="BI245" s="10">
        <f t="shared" si="171"/>
        <v>0</v>
      </c>
      <c r="BJ245" s="10">
        <f t="shared" si="171"/>
        <v>0</v>
      </c>
      <c r="BX245" s="12">
        <f>V245</f>
        <v>0</v>
      </c>
      <c r="BY245" s="12">
        <f>W245</f>
        <v>0</v>
      </c>
      <c r="BZ245" s="12">
        <f>X245</f>
        <v>0</v>
      </c>
      <c r="CA245" s="12">
        <f>Y245</f>
        <v>0</v>
      </c>
      <c r="CB245" s="10">
        <f t="shared" ref="CB245:CI245" si="172">CA248</f>
        <v>0</v>
      </c>
      <c r="CC245" s="10">
        <f t="shared" si="172"/>
        <v>0</v>
      </c>
      <c r="CD245" s="10">
        <f t="shared" si="172"/>
        <v>0</v>
      </c>
      <c r="CE245" s="10">
        <f t="shared" si="172"/>
        <v>0</v>
      </c>
      <c r="CF245" s="10">
        <f t="shared" si="172"/>
        <v>0</v>
      </c>
      <c r="CG245" s="10">
        <f t="shared" si="172"/>
        <v>0</v>
      </c>
      <c r="CH245" s="10">
        <f t="shared" si="172"/>
        <v>0</v>
      </c>
      <c r="CI245" s="10">
        <f t="shared" si="172"/>
        <v>0</v>
      </c>
      <c r="CK245" s="11"/>
      <c r="CM245" s="11"/>
      <c r="CS245" s="7">
        <f>IF(SUM(V245:Y245)=SUM(BX245:CA245), 0, 1)</f>
        <v>0</v>
      </c>
      <c r="CT245" s="11"/>
      <c r="CU245">
        <v>0</v>
      </c>
      <c r="CV245">
        <v>0</v>
      </c>
      <c r="CW245">
        <v>0</v>
      </c>
      <c r="EY245" s="12" t="str">
        <f>IF($C245="", "",CONCATENATE(D$244, " ", D245))</f>
        <v>Revaluation Reserve Opening Balance</v>
      </c>
    </row>
    <row r="246" spans="1:155" x14ac:dyDescent="0.35">
      <c r="A246" s="220" cm="1">
        <f t="array" aca="1" ref="A246" ca="1">HYPERLINK(CONCATENATE("#",CELL("address",IF(MAX($CM246:$CT246)=0,A246,INDEX($CM246:$CT246,MATCH(1,$CM246:$CT246,0))))),MAX($CM246:$CT246))</f>
        <v>0</v>
      </c>
      <c r="C246" s="211" t="s">
        <v>1471</v>
      </c>
      <c r="D246" s="1" t="s">
        <v>1472</v>
      </c>
      <c r="E246" s="85" t="s">
        <v>122</v>
      </c>
      <c r="G246" s="8"/>
      <c r="H246" s="9" t="s">
        <v>317</v>
      </c>
      <c r="V246" s="10">
        <f>'Investing Inputs'!V104-'Investing Inputs'!V102</f>
        <v>0</v>
      </c>
      <c r="W246" s="10">
        <f>'Investing Inputs'!W104-'Investing Inputs'!W102</f>
        <v>0</v>
      </c>
      <c r="X246" s="10">
        <f>'Investing Inputs'!X104-'Investing Inputs'!X102</f>
        <v>0</v>
      </c>
      <c r="Y246" s="10">
        <f>'Investing Inputs'!Y104-'Investing Inputs'!Y102</f>
        <v>0</v>
      </c>
      <c r="AA246" s="10">
        <f>'Investing Inputs'!AA104-'Investing Inputs'!AA102</f>
        <v>0</v>
      </c>
      <c r="AB246" s="10">
        <f>'Investing Inputs'!AB104-'Investing Inputs'!AB102</f>
        <v>0</v>
      </c>
      <c r="AC246" s="10">
        <f>'Investing Inputs'!AC104-'Investing Inputs'!AC102</f>
        <v>0</v>
      </c>
      <c r="AD246" s="10">
        <f>'Investing Inputs'!AD104-'Investing Inputs'!AD102</f>
        <v>0</v>
      </c>
      <c r="AE246" s="10">
        <f>'Investing Inputs'!AE104-'Investing Inputs'!AE102</f>
        <v>0</v>
      </c>
      <c r="AF246" s="10">
        <f>'Investing Inputs'!AF104-'Investing Inputs'!AF102</f>
        <v>0</v>
      </c>
      <c r="AG246" s="10">
        <f>'Investing Inputs'!AG104-'Investing Inputs'!AG102</f>
        <v>0</v>
      </c>
      <c r="AH246" s="10">
        <f>'Investing Inputs'!AH104-'Investing Inputs'!AH102</f>
        <v>0</v>
      </c>
      <c r="AI246" s="10">
        <f>'Investing Inputs'!AI104-'Investing Inputs'!AI102</f>
        <v>0</v>
      </c>
      <c r="AJ246" s="10">
        <f>'Investing Inputs'!AJ104-'Investing Inputs'!AJ102</f>
        <v>0</v>
      </c>
      <c r="AK246" s="10">
        <f>'Investing Inputs'!AK104-'Investing Inputs'!AK102</f>
        <v>0</v>
      </c>
      <c r="AL246" s="10">
        <f>'Investing Inputs'!AL104-'Investing Inputs'!AL102</f>
        <v>0</v>
      </c>
      <c r="AM246" s="10">
        <f>'Investing Inputs'!AM104-'Investing Inputs'!AM102</f>
        <v>0</v>
      </c>
      <c r="AN246" s="10">
        <f>'Investing Inputs'!AN104-'Investing Inputs'!AN102</f>
        <v>0</v>
      </c>
      <c r="AO246" s="10">
        <f>'Investing Inputs'!AO104-'Investing Inputs'!AO102</f>
        <v>0</v>
      </c>
      <c r="AP246" s="10">
        <f>'Investing Inputs'!AP104-'Investing Inputs'!AP102</f>
        <v>0</v>
      </c>
      <c r="AQ246" s="10">
        <f>'Investing Inputs'!AQ104-'Investing Inputs'!AQ102</f>
        <v>0</v>
      </c>
      <c r="AR246" s="10">
        <f>'Investing Inputs'!AR104-'Investing Inputs'!AR102</f>
        <v>0</v>
      </c>
      <c r="AS246" s="10">
        <f>'Investing Inputs'!AS104-'Investing Inputs'!AS102</f>
        <v>0</v>
      </c>
      <c r="AT246" s="10">
        <f>'Investing Inputs'!AT104-'Investing Inputs'!AT102</f>
        <v>0</v>
      </c>
      <c r="AU246" s="10">
        <f>'Investing Inputs'!AU104-'Investing Inputs'!AU102</f>
        <v>0</v>
      </c>
      <c r="AV246" s="10">
        <f>'Investing Inputs'!AV104-'Investing Inputs'!AV102</f>
        <v>0</v>
      </c>
      <c r="AW246" s="10">
        <f>'Investing Inputs'!AW104-'Investing Inputs'!AW102</f>
        <v>0</v>
      </c>
      <c r="AX246" s="10">
        <f>'Investing Inputs'!AX104-'Investing Inputs'!AX102</f>
        <v>0</v>
      </c>
      <c r="AY246" s="10">
        <f>'Investing Inputs'!AY104-'Investing Inputs'!AY102</f>
        <v>0</v>
      </c>
      <c r="AZ246" s="10">
        <f>'Investing Inputs'!AZ104-'Investing Inputs'!AZ102</f>
        <v>0</v>
      </c>
      <c r="BA246" s="10">
        <f>'Investing Inputs'!BA104-'Investing Inputs'!BA102</f>
        <v>0</v>
      </c>
      <c r="BB246" s="10">
        <f>'Investing Inputs'!BB104-'Investing Inputs'!BB102</f>
        <v>0</v>
      </c>
      <c r="BC246" s="10">
        <f>'Investing Inputs'!BC104-'Investing Inputs'!BC102</f>
        <v>0</v>
      </c>
      <c r="BD246" s="10">
        <f>'Investing Inputs'!BD104-'Investing Inputs'!BD102</f>
        <v>0</v>
      </c>
      <c r="BE246" s="10">
        <f>'Investing Inputs'!BE104-'Investing Inputs'!BE102</f>
        <v>0</v>
      </c>
      <c r="BF246" s="10">
        <f>'Investing Inputs'!BF104-'Investing Inputs'!BF102</f>
        <v>0</v>
      </c>
      <c r="BG246" s="10">
        <f>'Investing Inputs'!BG104-'Investing Inputs'!BG102</f>
        <v>0</v>
      </c>
      <c r="BH246" s="10">
        <f>'Investing Inputs'!BH104-'Investing Inputs'!BH102</f>
        <v>0</v>
      </c>
      <c r="BI246" s="10">
        <f>'Investing Inputs'!BI104-'Investing Inputs'!BI102</f>
        <v>0</v>
      </c>
      <c r="BJ246" s="10">
        <f>'Investing Inputs'!BJ104-'Investing Inputs'!BJ102</f>
        <v>0</v>
      </c>
      <c r="BX246" s="10">
        <f>'Investing Inputs'!BX104-'Investing Inputs'!BX102</f>
        <v>0</v>
      </c>
      <c r="BY246" s="10">
        <f>'Investing Inputs'!BY104-'Investing Inputs'!BY102</f>
        <v>0</v>
      </c>
      <c r="BZ246" s="10">
        <f>'Investing Inputs'!BZ104-'Investing Inputs'!BZ102</f>
        <v>0</v>
      </c>
      <c r="CA246" s="10">
        <f>'Investing Inputs'!CA104-'Investing Inputs'!CA102</f>
        <v>0</v>
      </c>
      <c r="CB246" s="10">
        <f>'Investing Inputs'!CB104-'Investing Inputs'!CB102</f>
        <v>0</v>
      </c>
      <c r="CC246" s="10">
        <f>'Investing Inputs'!CC104-'Investing Inputs'!CC102</f>
        <v>0</v>
      </c>
      <c r="CD246" s="10">
        <f>'Investing Inputs'!CD104-'Investing Inputs'!CD102</f>
        <v>0</v>
      </c>
      <c r="CE246" s="10">
        <f>'Investing Inputs'!CE104-'Investing Inputs'!CE102</f>
        <v>0</v>
      </c>
      <c r="CF246" s="10">
        <f>'Investing Inputs'!CF104-'Investing Inputs'!CF102</f>
        <v>0</v>
      </c>
      <c r="CG246" s="10">
        <f>'Investing Inputs'!CG104-'Investing Inputs'!CG102</f>
        <v>0</v>
      </c>
      <c r="CH246" s="10">
        <f>'Investing Inputs'!CH104-'Investing Inputs'!CH102</f>
        <v>0</v>
      </c>
      <c r="CI246" s="10">
        <f>'Investing Inputs'!CI104-'Investing Inputs'!CI102</f>
        <v>0</v>
      </c>
      <c r="CK246" s="11"/>
      <c r="CM246" s="11"/>
      <c r="CS246" s="7"/>
      <c r="CT246" s="11"/>
      <c r="CU246">
        <v>0</v>
      </c>
      <c r="CV246">
        <v>0</v>
      </c>
      <c r="CW246">
        <v>0</v>
      </c>
      <c r="EY246" s="12" t="str">
        <f>IF($C246="", "",CONCATENATE(D$244, " ", D246))</f>
        <v>Revaluation Reserve Surplus/Loss on Revaluation of Tangible Non-Current Assets</v>
      </c>
    </row>
    <row r="247" spans="1:155" x14ac:dyDescent="0.35">
      <c r="A247" s="220" cm="1">
        <f t="array" aca="1" ref="A247" ca="1">HYPERLINK(CONCATENATE("#",CELL("address",IF(MAX($CM247:$CT247)=0,A247,INDEX($CM247:$CT247,MATCH(1,$CM247:$CT247,0))))),MAX($CM247:$CT247))</f>
        <v>0</v>
      </c>
      <c r="C247" s="211" t="s">
        <v>1473</v>
      </c>
      <c r="D247" s="1" t="s">
        <v>1474</v>
      </c>
      <c r="E247" s="283" t="s">
        <v>904</v>
      </c>
      <c r="G247" s="8"/>
      <c r="H247" s="9" t="s">
        <v>317</v>
      </c>
      <c r="V247" s="12">
        <f>V248-SUM(V245:V246)</f>
        <v>0</v>
      </c>
      <c r="W247" s="10">
        <f>W282</f>
        <v>0</v>
      </c>
      <c r="X247" s="10">
        <f>X282</f>
        <v>0</v>
      </c>
      <c r="Y247" s="10">
        <f>Y282</f>
        <v>0</v>
      </c>
      <c r="AA247" s="10">
        <f t="shared" ref="AA247:BJ247" si="173">AA282</f>
        <v>0</v>
      </c>
      <c r="AB247" s="10">
        <f t="shared" si="173"/>
        <v>0</v>
      </c>
      <c r="AC247" s="10">
        <f t="shared" si="173"/>
        <v>0</v>
      </c>
      <c r="AD247" s="10">
        <f t="shared" si="173"/>
        <v>0</v>
      </c>
      <c r="AE247" s="10">
        <f t="shared" si="173"/>
        <v>0</v>
      </c>
      <c r="AF247" s="10">
        <f t="shared" si="173"/>
        <v>0</v>
      </c>
      <c r="AG247" s="10">
        <f t="shared" si="173"/>
        <v>0</v>
      </c>
      <c r="AH247" s="10">
        <f t="shared" si="173"/>
        <v>0</v>
      </c>
      <c r="AI247" s="10">
        <f t="shared" si="173"/>
        <v>0</v>
      </c>
      <c r="AJ247" s="10">
        <f t="shared" si="173"/>
        <v>0</v>
      </c>
      <c r="AK247" s="10">
        <f t="shared" si="173"/>
        <v>0</v>
      </c>
      <c r="AL247" s="10">
        <f t="shared" si="173"/>
        <v>0</v>
      </c>
      <c r="AM247" s="10">
        <f t="shared" si="173"/>
        <v>0</v>
      </c>
      <c r="AN247" s="10">
        <f t="shared" si="173"/>
        <v>0</v>
      </c>
      <c r="AO247" s="10">
        <f t="shared" si="173"/>
        <v>0</v>
      </c>
      <c r="AP247" s="10">
        <f t="shared" si="173"/>
        <v>0</v>
      </c>
      <c r="AQ247" s="10">
        <f t="shared" si="173"/>
        <v>0</v>
      </c>
      <c r="AR247" s="10">
        <f t="shared" si="173"/>
        <v>0</v>
      </c>
      <c r="AS247" s="10">
        <f t="shared" si="173"/>
        <v>0</v>
      </c>
      <c r="AT247" s="10">
        <f t="shared" si="173"/>
        <v>0</v>
      </c>
      <c r="AU247" s="10">
        <f t="shared" si="173"/>
        <v>0</v>
      </c>
      <c r="AV247" s="10">
        <f t="shared" si="173"/>
        <v>0</v>
      </c>
      <c r="AW247" s="10">
        <f t="shared" si="173"/>
        <v>0</v>
      </c>
      <c r="AX247" s="10">
        <f t="shared" si="173"/>
        <v>0</v>
      </c>
      <c r="AY247" s="10">
        <f t="shared" si="173"/>
        <v>0</v>
      </c>
      <c r="AZ247" s="10">
        <f t="shared" si="173"/>
        <v>0</v>
      </c>
      <c r="BA247" s="10">
        <f t="shared" si="173"/>
        <v>0</v>
      </c>
      <c r="BB247" s="10">
        <f t="shared" si="173"/>
        <v>0</v>
      </c>
      <c r="BC247" s="10">
        <f t="shared" si="173"/>
        <v>0</v>
      </c>
      <c r="BD247" s="10">
        <f t="shared" si="173"/>
        <v>0</v>
      </c>
      <c r="BE247" s="10">
        <f t="shared" si="173"/>
        <v>0</v>
      </c>
      <c r="BF247" s="10">
        <f t="shared" si="173"/>
        <v>0</v>
      </c>
      <c r="BG247" s="10">
        <f t="shared" si="173"/>
        <v>0</v>
      </c>
      <c r="BH247" s="10">
        <f t="shared" si="173"/>
        <v>0</v>
      </c>
      <c r="BI247" s="10">
        <f t="shared" si="173"/>
        <v>0</v>
      </c>
      <c r="BJ247" s="10">
        <f t="shared" si="173"/>
        <v>0</v>
      </c>
      <c r="BX247" s="12">
        <f>V247</f>
        <v>0</v>
      </c>
      <c r="BY247" s="10">
        <f t="shared" ref="BY247:CI247" si="174">BY282</f>
        <v>0</v>
      </c>
      <c r="BZ247" s="10">
        <f t="shared" si="174"/>
        <v>0</v>
      </c>
      <c r="CA247" s="10">
        <f t="shared" si="174"/>
        <v>0</v>
      </c>
      <c r="CB247" s="10">
        <f t="shared" si="174"/>
        <v>0</v>
      </c>
      <c r="CC247" s="10">
        <f t="shared" si="174"/>
        <v>0</v>
      </c>
      <c r="CD247" s="10">
        <f t="shared" si="174"/>
        <v>0</v>
      </c>
      <c r="CE247" s="10">
        <f t="shared" si="174"/>
        <v>0</v>
      </c>
      <c r="CF247" s="10">
        <f t="shared" si="174"/>
        <v>0</v>
      </c>
      <c r="CG247" s="10">
        <f t="shared" si="174"/>
        <v>0</v>
      </c>
      <c r="CH247" s="10">
        <f t="shared" si="174"/>
        <v>0</v>
      </c>
      <c r="CI247" s="10">
        <f t="shared" si="174"/>
        <v>0</v>
      </c>
      <c r="CK247" s="11"/>
      <c r="CM247" s="11"/>
      <c r="CS247" s="7">
        <f>IF(SUM(V247:Y247)=SUM(BX247:CA247), 0, 1)</f>
        <v>0</v>
      </c>
      <c r="CT247" s="11"/>
      <c r="CU247">
        <v>0</v>
      </c>
      <c r="CV247">
        <v>0</v>
      </c>
      <c r="CW247">
        <v>0</v>
      </c>
      <c r="EY247" s="12" t="str">
        <f>IF($C247="", "",CONCATENATE(D$244, " ", D247))</f>
        <v>Revaluation Reserve Transfers to/(from) Revaluation Reserve</v>
      </c>
    </row>
    <row r="248" spans="1:155" x14ac:dyDescent="0.35">
      <c r="A248" s="220" cm="1">
        <f t="array" aca="1" ref="A248" ca="1">HYPERLINK(CONCATENATE("#",CELL("address",IF(MAX($CM248:$CT248)=0,A248,INDEX($CM248:$CT248,MATCH(1,$CM248:$CT248,0))))),MAX($CM248:$CT248))</f>
        <v>0</v>
      </c>
      <c r="C248" s="213" t="str">
        <f>REPLACE('Opening Balances'!$C$78, LEN('Opening Balances'!$C$78)-1, 1, "C")</f>
        <v>B-9a-CB</v>
      </c>
      <c r="D248" t="s">
        <v>906</v>
      </c>
      <c r="E248" s="215">
        <f>ROUND(V248-SUM(V245:V247), rounding)*$V$10</f>
        <v>0</v>
      </c>
      <c r="G248" s="8"/>
      <c r="H248" s="9" t="s">
        <v>665</v>
      </c>
      <c r="V248" s="12">
        <f>'Opening Balances'!W78</f>
        <v>0</v>
      </c>
      <c r="W248" s="10">
        <f>SUM(W245:W247)</f>
        <v>0</v>
      </c>
      <c r="X248" s="10">
        <f>SUM(X245:X247)</f>
        <v>0</v>
      </c>
      <c r="Y248" s="10">
        <f>SUM(Y245:Y247)</f>
        <v>0</v>
      </c>
      <c r="AA248" s="10">
        <f t="shared" ref="AA248:BJ248" si="175">SUM(AA245:AA247)</f>
        <v>0</v>
      </c>
      <c r="AB248" s="10">
        <f t="shared" si="175"/>
        <v>0</v>
      </c>
      <c r="AC248" s="10">
        <f t="shared" si="175"/>
        <v>0</v>
      </c>
      <c r="AD248" s="10">
        <f t="shared" si="175"/>
        <v>0</v>
      </c>
      <c r="AE248" s="10">
        <f t="shared" si="175"/>
        <v>0</v>
      </c>
      <c r="AF248" s="10">
        <f t="shared" si="175"/>
        <v>0</v>
      </c>
      <c r="AG248" s="10">
        <f t="shared" si="175"/>
        <v>0</v>
      </c>
      <c r="AH248" s="10">
        <f t="shared" si="175"/>
        <v>0</v>
      </c>
      <c r="AI248" s="10">
        <f t="shared" si="175"/>
        <v>0</v>
      </c>
      <c r="AJ248" s="10">
        <f t="shared" si="175"/>
        <v>0</v>
      </c>
      <c r="AK248" s="10">
        <f t="shared" si="175"/>
        <v>0</v>
      </c>
      <c r="AL248" s="10">
        <f t="shared" si="175"/>
        <v>0</v>
      </c>
      <c r="AM248" s="10">
        <f t="shared" si="175"/>
        <v>0</v>
      </c>
      <c r="AN248" s="10">
        <f t="shared" si="175"/>
        <v>0</v>
      </c>
      <c r="AO248" s="10">
        <f t="shared" si="175"/>
        <v>0</v>
      </c>
      <c r="AP248" s="10">
        <f t="shared" si="175"/>
        <v>0</v>
      </c>
      <c r="AQ248" s="10">
        <f t="shared" si="175"/>
        <v>0</v>
      </c>
      <c r="AR248" s="10">
        <f t="shared" si="175"/>
        <v>0</v>
      </c>
      <c r="AS248" s="10">
        <f t="shared" si="175"/>
        <v>0</v>
      </c>
      <c r="AT248" s="10">
        <f t="shared" si="175"/>
        <v>0</v>
      </c>
      <c r="AU248" s="10">
        <f t="shared" si="175"/>
        <v>0</v>
      </c>
      <c r="AV248" s="10">
        <f t="shared" si="175"/>
        <v>0</v>
      </c>
      <c r="AW248" s="10">
        <f t="shared" si="175"/>
        <v>0</v>
      </c>
      <c r="AX248" s="10">
        <f t="shared" si="175"/>
        <v>0</v>
      </c>
      <c r="AY248" s="10">
        <f t="shared" si="175"/>
        <v>0</v>
      </c>
      <c r="AZ248" s="10">
        <f t="shared" si="175"/>
        <v>0</v>
      </c>
      <c r="BA248" s="10">
        <f t="shared" si="175"/>
        <v>0</v>
      </c>
      <c r="BB248" s="10">
        <f t="shared" si="175"/>
        <v>0</v>
      </c>
      <c r="BC248" s="10">
        <f t="shared" si="175"/>
        <v>0</v>
      </c>
      <c r="BD248" s="10">
        <f t="shared" si="175"/>
        <v>0</v>
      </c>
      <c r="BE248" s="10">
        <f t="shared" si="175"/>
        <v>0</v>
      </c>
      <c r="BF248" s="10">
        <f t="shared" si="175"/>
        <v>0</v>
      </c>
      <c r="BG248" s="10">
        <f t="shared" si="175"/>
        <v>0</v>
      </c>
      <c r="BH248" s="10">
        <f t="shared" si="175"/>
        <v>0</v>
      </c>
      <c r="BI248" s="10">
        <f t="shared" si="175"/>
        <v>0</v>
      </c>
      <c r="BJ248" s="10">
        <f t="shared" si="175"/>
        <v>0</v>
      </c>
      <c r="BX248" s="12">
        <f>V248</f>
        <v>0</v>
      </c>
      <c r="BY248" s="10">
        <f t="shared" ref="BY248:CI248" si="176">SUM(BY245:BY247)</f>
        <v>0</v>
      </c>
      <c r="BZ248" s="10">
        <f t="shared" si="176"/>
        <v>0</v>
      </c>
      <c r="CA248" s="10">
        <f t="shared" si="176"/>
        <v>0</v>
      </c>
      <c r="CB248" s="10">
        <f t="shared" si="176"/>
        <v>0</v>
      </c>
      <c r="CC248" s="10">
        <f t="shared" si="176"/>
        <v>0</v>
      </c>
      <c r="CD248" s="10">
        <f t="shared" si="176"/>
        <v>0</v>
      </c>
      <c r="CE248" s="10">
        <f t="shared" si="176"/>
        <v>0</v>
      </c>
      <c r="CF248" s="10">
        <f t="shared" si="176"/>
        <v>0</v>
      </c>
      <c r="CG248" s="10">
        <f t="shared" si="176"/>
        <v>0</v>
      </c>
      <c r="CH248" s="10">
        <f t="shared" si="176"/>
        <v>0</v>
      </c>
      <c r="CI248" s="10">
        <f t="shared" si="176"/>
        <v>0</v>
      </c>
      <c r="CK248" s="11"/>
      <c r="CM248" s="11"/>
      <c r="CR248" s="7">
        <f>IF(ABS($E248)&gt;Parameters!$D$33, 1, 0)</f>
        <v>0</v>
      </c>
      <c r="CS248" s="7">
        <f>IF(SUM(V248:Y248)=SUM(BX248:CA248), 0, 1)</f>
        <v>0</v>
      </c>
      <c r="CT248" s="11"/>
      <c r="CU248">
        <v>0</v>
      </c>
      <c r="CV248">
        <v>0</v>
      </c>
      <c r="CW248" s="1">
        <v>1</v>
      </c>
      <c r="EY248" s="12" t="str">
        <f>IF($C248="", "",CONCATENATE(D$244, " ", D248))</f>
        <v>Revaluation Reserve Closing Balance</v>
      </c>
    </row>
    <row r="249" spans="1:155" ht="8.25" customHeight="1" x14ac:dyDescent="0.35">
      <c r="C249" s="234"/>
      <c r="CK249" s="11"/>
      <c r="CM249" s="11"/>
      <c r="CT249" s="11"/>
      <c r="CU249">
        <v>0</v>
      </c>
      <c r="CV249">
        <v>0</v>
      </c>
      <c r="CW249">
        <v>0</v>
      </c>
      <c r="EY249" s="10" t="str">
        <f>IF($C249="","",$D249)</f>
        <v/>
      </c>
    </row>
    <row r="250" spans="1:155" x14ac:dyDescent="0.35">
      <c r="B250" s="5"/>
      <c r="C250" s="234"/>
      <c r="D250" s="24" t="s">
        <v>732</v>
      </c>
      <c r="H250" s="9" t="s">
        <v>665</v>
      </c>
      <c r="CK250" s="11"/>
      <c r="CM250" s="11"/>
      <c r="CT250" s="11"/>
      <c r="CU250">
        <v>0</v>
      </c>
      <c r="CV250">
        <v>0</v>
      </c>
      <c r="CW250">
        <v>0</v>
      </c>
      <c r="EY250" s="10" t="str">
        <f>IF($C250="","",$D250)</f>
        <v/>
      </c>
    </row>
    <row r="251" spans="1:155" x14ac:dyDescent="0.35">
      <c r="A251" s="220" cm="1">
        <f t="array" aca="1" ref="A251" ca="1">HYPERLINK(CONCATENATE("#",CELL("address",IF(MAX($CM251:$CT251)=0,A251,INDEX($CM251:$CT251,MATCH(1,$CM251:$CT251,0))))),MAX($CM251:$CT251))</f>
        <v>0</v>
      </c>
      <c r="C251" s="211" t="str">
        <f>CONCATENATE("BS-",'Opening Balances'!$C$79)</f>
        <v>BS-B-9b-OB</v>
      </c>
      <c r="D251" s="1" t="s">
        <v>890</v>
      </c>
      <c r="E251" s="85" t="s">
        <v>122</v>
      </c>
      <c r="G251" s="8"/>
      <c r="H251" s="9" t="s">
        <v>317</v>
      </c>
      <c r="V251" s="12">
        <f>'Opening Balances'!$V$79</f>
        <v>0</v>
      </c>
      <c r="W251" s="10">
        <f>V253</f>
        <v>0</v>
      </c>
      <c r="X251" s="10">
        <f>W253</f>
        <v>0</v>
      </c>
      <c r="Y251" s="10">
        <f>X253</f>
        <v>0</v>
      </c>
      <c r="AA251" s="10">
        <f>W251</f>
        <v>0</v>
      </c>
      <c r="AB251" s="10">
        <f t="shared" ref="AB251:BJ251" si="177">AA253</f>
        <v>0</v>
      </c>
      <c r="AC251" s="10">
        <f t="shared" si="177"/>
        <v>0</v>
      </c>
      <c r="AD251" s="10">
        <f t="shared" si="177"/>
        <v>0</v>
      </c>
      <c r="AE251" s="10">
        <f t="shared" si="177"/>
        <v>0</v>
      </c>
      <c r="AF251" s="10">
        <f t="shared" si="177"/>
        <v>0</v>
      </c>
      <c r="AG251" s="10">
        <f t="shared" si="177"/>
        <v>0</v>
      </c>
      <c r="AH251" s="10">
        <f t="shared" si="177"/>
        <v>0</v>
      </c>
      <c r="AI251" s="10">
        <f t="shared" si="177"/>
        <v>0</v>
      </c>
      <c r="AJ251" s="10">
        <f t="shared" si="177"/>
        <v>0</v>
      </c>
      <c r="AK251" s="10">
        <f t="shared" si="177"/>
        <v>0</v>
      </c>
      <c r="AL251" s="10">
        <f t="shared" si="177"/>
        <v>0</v>
      </c>
      <c r="AM251" s="10">
        <f t="shared" si="177"/>
        <v>0</v>
      </c>
      <c r="AN251" s="10">
        <f t="shared" si="177"/>
        <v>0</v>
      </c>
      <c r="AO251" s="10">
        <f t="shared" si="177"/>
        <v>0</v>
      </c>
      <c r="AP251" s="10">
        <f t="shared" si="177"/>
        <v>0</v>
      </c>
      <c r="AQ251" s="10">
        <f t="shared" si="177"/>
        <v>0</v>
      </c>
      <c r="AR251" s="10">
        <f t="shared" si="177"/>
        <v>0</v>
      </c>
      <c r="AS251" s="10">
        <f t="shared" si="177"/>
        <v>0</v>
      </c>
      <c r="AT251" s="10">
        <f t="shared" si="177"/>
        <v>0</v>
      </c>
      <c r="AU251" s="10">
        <f t="shared" si="177"/>
        <v>0</v>
      </c>
      <c r="AV251" s="10">
        <f t="shared" si="177"/>
        <v>0</v>
      </c>
      <c r="AW251" s="10">
        <f t="shared" si="177"/>
        <v>0</v>
      </c>
      <c r="AX251" s="10">
        <f t="shared" si="177"/>
        <v>0</v>
      </c>
      <c r="AY251" s="10">
        <f t="shared" si="177"/>
        <v>0</v>
      </c>
      <c r="AZ251" s="10">
        <f t="shared" si="177"/>
        <v>0</v>
      </c>
      <c r="BA251" s="10">
        <f t="shared" si="177"/>
        <v>0</v>
      </c>
      <c r="BB251" s="10">
        <f t="shared" si="177"/>
        <v>0</v>
      </c>
      <c r="BC251" s="10">
        <f t="shared" si="177"/>
        <v>0</v>
      </c>
      <c r="BD251" s="10">
        <f t="shared" si="177"/>
        <v>0</v>
      </c>
      <c r="BE251" s="10">
        <f t="shared" si="177"/>
        <v>0</v>
      </c>
      <c r="BF251" s="10">
        <f t="shared" si="177"/>
        <v>0</v>
      </c>
      <c r="BG251" s="10">
        <f t="shared" si="177"/>
        <v>0</v>
      </c>
      <c r="BH251" s="10">
        <f t="shared" si="177"/>
        <v>0</v>
      </c>
      <c r="BI251" s="10">
        <f t="shared" si="177"/>
        <v>0</v>
      </c>
      <c r="BJ251" s="10">
        <f t="shared" si="177"/>
        <v>0</v>
      </c>
      <c r="BX251" s="12">
        <f>V251</f>
        <v>0</v>
      </c>
      <c r="BY251" s="12">
        <f>W251</f>
        <v>0</v>
      </c>
      <c r="BZ251" s="12">
        <f>X251</f>
        <v>0</v>
      </c>
      <c r="CA251" s="12">
        <f>Y251</f>
        <v>0</v>
      </c>
      <c r="CB251" s="10">
        <f t="shared" ref="CB251:CI251" si="178">CA253</f>
        <v>0</v>
      </c>
      <c r="CC251" s="10">
        <f t="shared" si="178"/>
        <v>0</v>
      </c>
      <c r="CD251" s="10">
        <f t="shared" si="178"/>
        <v>0</v>
      </c>
      <c r="CE251" s="10">
        <f t="shared" si="178"/>
        <v>0</v>
      </c>
      <c r="CF251" s="10">
        <f t="shared" si="178"/>
        <v>0</v>
      </c>
      <c r="CG251" s="10">
        <f t="shared" si="178"/>
        <v>0</v>
      </c>
      <c r="CH251" s="10">
        <f t="shared" si="178"/>
        <v>0</v>
      </c>
      <c r="CI251" s="10">
        <f t="shared" si="178"/>
        <v>0</v>
      </c>
      <c r="CK251" s="11"/>
      <c r="CM251" s="11"/>
      <c r="CS251" s="7">
        <f>IF(SUM(V251:Y251)=SUM(BX251:CA251), 0, 1)</f>
        <v>0</v>
      </c>
      <c r="CT251" s="11"/>
      <c r="CU251">
        <v>0</v>
      </c>
      <c r="CV251">
        <v>0</v>
      </c>
      <c r="CW251">
        <v>0</v>
      </c>
      <c r="EY251" s="12" t="str">
        <f>IF($C251="", "",CONCATENATE(D$250, " ", D251))</f>
        <v>Restricted Reserve Opening Balance</v>
      </c>
    </row>
    <row r="252" spans="1:155" x14ac:dyDescent="0.35">
      <c r="A252" s="220" cm="1">
        <f t="array" aca="1" ref="A252" ca="1">HYPERLINK(CONCATENATE("#",CELL("address",IF(MAX($CM252:$CT252)=0,A252,INDEX($CM252:$CT252,MATCH(1,$CM252:$CT252,0))))),MAX($CM252:$CT252))</f>
        <v>0</v>
      </c>
      <c r="C252" s="211" t="s">
        <v>1475</v>
      </c>
      <c r="D252" s="1" t="s">
        <v>1476</v>
      </c>
      <c r="E252" s="283" t="s">
        <v>904</v>
      </c>
      <c r="G252" s="8"/>
      <c r="H252" s="9" t="s">
        <v>317</v>
      </c>
      <c r="V252" s="12">
        <f>V253-V251</f>
        <v>0</v>
      </c>
      <c r="W252" s="10">
        <f>W283</f>
        <v>0</v>
      </c>
      <c r="X252" s="10">
        <f>X283</f>
        <v>0</v>
      </c>
      <c r="Y252" s="10">
        <f>Y283</f>
        <v>0</v>
      </c>
      <c r="AA252" s="10">
        <f t="shared" ref="AA252:BJ252" si="179">AA283</f>
        <v>0</v>
      </c>
      <c r="AB252" s="10">
        <f t="shared" si="179"/>
        <v>0</v>
      </c>
      <c r="AC252" s="10">
        <f t="shared" si="179"/>
        <v>0</v>
      </c>
      <c r="AD252" s="10">
        <f t="shared" si="179"/>
        <v>0</v>
      </c>
      <c r="AE252" s="10">
        <f t="shared" si="179"/>
        <v>0</v>
      </c>
      <c r="AF252" s="10">
        <f t="shared" si="179"/>
        <v>0</v>
      </c>
      <c r="AG252" s="10">
        <f t="shared" si="179"/>
        <v>0</v>
      </c>
      <c r="AH252" s="10">
        <f t="shared" si="179"/>
        <v>0</v>
      </c>
      <c r="AI252" s="10">
        <f t="shared" si="179"/>
        <v>0</v>
      </c>
      <c r="AJ252" s="10">
        <f t="shared" si="179"/>
        <v>0</v>
      </c>
      <c r="AK252" s="10">
        <f t="shared" si="179"/>
        <v>0</v>
      </c>
      <c r="AL252" s="10">
        <f t="shared" si="179"/>
        <v>0</v>
      </c>
      <c r="AM252" s="10">
        <f t="shared" si="179"/>
        <v>0</v>
      </c>
      <c r="AN252" s="10">
        <f t="shared" si="179"/>
        <v>0</v>
      </c>
      <c r="AO252" s="10">
        <f t="shared" si="179"/>
        <v>0</v>
      </c>
      <c r="AP252" s="10">
        <f t="shared" si="179"/>
        <v>0</v>
      </c>
      <c r="AQ252" s="10">
        <f t="shared" si="179"/>
        <v>0</v>
      </c>
      <c r="AR252" s="10">
        <f t="shared" si="179"/>
        <v>0</v>
      </c>
      <c r="AS252" s="10">
        <f t="shared" si="179"/>
        <v>0</v>
      </c>
      <c r="AT252" s="10">
        <f t="shared" si="179"/>
        <v>0</v>
      </c>
      <c r="AU252" s="10">
        <f t="shared" si="179"/>
        <v>0</v>
      </c>
      <c r="AV252" s="10">
        <f t="shared" si="179"/>
        <v>0</v>
      </c>
      <c r="AW252" s="10">
        <f t="shared" si="179"/>
        <v>0</v>
      </c>
      <c r="AX252" s="10">
        <f t="shared" si="179"/>
        <v>0</v>
      </c>
      <c r="AY252" s="10">
        <f t="shared" si="179"/>
        <v>0</v>
      </c>
      <c r="AZ252" s="10">
        <f t="shared" si="179"/>
        <v>0</v>
      </c>
      <c r="BA252" s="10">
        <f t="shared" si="179"/>
        <v>0</v>
      </c>
      <c r="BB252" s="10">
        <f t="shared" si="179"/>
        <v>0</v>
      </c>
      <c r="BC252" s="10">
        <f t="shared" si="179"/>
        <v>0</v>
      </c>
      <c r="BD252" s="10">
        <f t="shared" si="179"/>
        <v>0</v>
      </c>
      <c r="BE252" s="10">
        <f t="shared" si="179"/>
        <v>0</v>
      </c>
      <c r="BF252" s="10">
        <f t="shared" si="179"/>
        <v>0</v>
      </c>
      <c r="BG252" s="10">
        <f t="shared" si="179"/>
        <v>0</v>
      </c>
      <c r="BH252" s="10">
        <f t="shared" si="179"/>
        <v>0</v>
      </c>
      <c r="BI252" s="10">
        <f t="shared" si="179"/>
        <v>0</v>
      </c>
      <c r="BJ252" s="10">
        <f t="shared" si="179"/>
        <v>0</v>
      </c>
      <c r="BX252" s="12">
        <f>V252</f>
        <v>0</v>
      </c>
      <c r="BY252" s="10">
        <f t="shared" ref="BY252:CI252" si="180">BY283</f>
        <v>0</v>
      </c>
      <c r="BZ252" s="10">
        <f t="shared" si="180"/>
        <v>0</v>
      </c>
      <c r="CA252" s="10">
        <f t="shared" si="180"/>
        <v>0</v>
      </c>
      <c r="CB252" s="10">
        <f t="shared" si="180"/>
        <v>0</v>
      </c>
      <c r="CC252" s="10">
        <f t="shared" si="180"/>
        <v>0</v>
      </c>
      <c r="CD252" s="10">
        <f t="shared" si="180"/>
        <v>0</v>
      </c>
      <c r="CE252" s="10">
        <f t="shared" si="180"/>
        <v>0</v>
      </c>
      <c r="CF252" s="10">
        <f t="shared" si="180"/>
        <v>0</v>
      </c>
      <c r="CG252" s="10">
        <f t="shared" si="180"/>
        <v>0</v>
      </c>
      <c r="CH252" s="10">
        <f t="shared" si="180"/>
        <v>0</v>
      </c>
      <c r="CI252" s="10">
        <f t="shared" si="180"/>
        <v>0</v>
      </c>
      <c r="CK252" s="11"/>
      <c r="CM252" s="11"/>
      <c r="CS252" s="7">
        <f>IF(SUM(V252:Y252)=SUM(BX252:CA252), 0, 1)</f>
        <v>0</v>
      </c>
      <c r="CT252" s="11"/>
      <c r="CU252">
        <v>0</v>
      </c>
      <c r="CV252">
        <v>0</v>
      </c>
      <c r="CW252">
        <v>0</v>
      </c>
      <c r="EY252" s="12" t="str">
        <f>IF($C252="", "",CONCATENATE(D$250, " ", D252))</f>
        <v>Restricted Reserve Transfer to/(from) restricted reserve</v>
      </c>
    </row>
    <row r="253" spans="1:155" x14ac:dyDescent="0.35">
      <c r="A253" s="220" cm="1">
        <f t="array" aca="1" ref="A253" ca="1">HYPERLINK(CONCATENATE("#",CELL("address",IF(MAX($CM253:$CT253)=0,A253,INDEX($CM253:$CT253,MATCH(1,$CM253:$CT253,0))))),MAX($CM253:$CT253))</f>
        <v>0</v>
      </c>
      <c r="C253" s="213" t="str">
        <f>REPLACE('Opening Balances'!$C$79, LEN('Opening Balances'!$C$79)-1, 1, "C")</f>
        <v>B-9b-CB</v>
      </c>
      <c r="D253" t="s">
        <v>906</v>
      </c>
      <c r="E253" s="215">
        <f>ROUND(V253-SUM(V251:V252), rounding)*$V$10</f>
        <v>0</v>
      </c>
      <c r="G253" s="8"/>
      <c r="H253" s="9" t="s">
        <v>665</v>
      </c>
      <c r="V253" s="12">
        <f>'Opening Balances'!W79</f>
        <v>0</v>
      </c>
      <c r="W253" s="10">
        <f>SUM(W251:W252)</f>
        <v>0</v>
      </c>
      <c r="X253" s="10">
        <f>SUM(X251:X252)</f>
        <v>0</v>
      </c>
      <c r="Y253" s="10">
        <f>SUM(Y251:Y252)</f>
        <v>0</v>
      </c>
      <c r="AA253" s="10">
        <f t="shared" ref="AA253:BJ253" si="181">SUM(AA251:AA252)</f>
        <v>0</v>
      </c>
      <c r="AB253" s="10">
        <f t="shared" si="181"/>
        <v>0</v>
      </c>
      <c r="AC253" s="10">
        <f t="shared" si="181"/>
        <v>0</v>
      </c>
      <c r="AD253" s="10">
        <f t="shared" si="181"/>
        <v>0</v>
      </c>
      <c r="AE253" s="10">
        <f t="shared" si="181"/>
        <v>0</v>
      </c>
      <c r="AF253" s="10">
        <f t="shared" si="181"/>
        <v>0</v>
      </c>
      <c r="AG253" s="10">
        <f t="shared" si="181"/>
        <v>0</v>
      </c>
      <c r="AH253" s="10">
        <f t="shared" si="181"/>
        <v>0</v>
      </c>
      <c r="AI253" s="10">
        <f t="shared" si="181"/>
        <v>0</v>
      </c>
      <c r="AJ253" s="10">
        <f t="shared" si="181"/>
        <v>0</v>
      </c>
      <c r="AK253" s="10">
        <f t="shared" si="181"/>
        <v>0</v>
      </c>
      <c r="AL253" s="10">
        <f t="shared" si="181"/>
        <v>0</v>
      </c>
      <c r="AM253" s="10">
        <f t="shared" si="181"/>
        <v>0</v>
      </c>
      <c r="AN253" s="10">
        <f t="shared" si="181"/>
        <v>0</v>
      </c>
      <c r="AO253" s="10">
        <f t="shared" si="181"/>
        <v>0</v>
      </c>
      <c r="AP253" s="10">
        <f t="shared" si="181"/>
        <v>0</v>
      </c>
      <c r="AQ253" s="10">
        <f t="shared" si="181"/>
        <v>0</v>
      </c>
      <c r="AR253" s="10">
        <f t="shared" si="181"/>
        <v>0</v>
      </c>
      <c r="AS253" s="10">
        <f t="shared" si="181"/>
        <v>0</v>
      </c>
      <c r="AT253" s="10">
        <f t="shared" si="181"/>
        <v>0</v>
      </c>
      <c r="AU253" s="10">
        <f t="shared" si="181"/>
        <v>0</v>
      </c>
      <c r="AV253" s="10">
        <f t="shared" si="181"/>
        <v>0</v>
      </c>
      <c r="AW253" s="10">
        <f t="shared" si="181"/>
        <v>0</v>
      </c>
      <c r="AX253" s="10">
        <f t="shared" si="181"/>
        <v>0</v>
      </c>
      <c r="AY253" s="10">
        <f t="shared" si="181"/>
        <v>0</v>
      </c>
      <c r="AZ253" s="10">
        <f t="shared" si="181"/>
        <v>0</v>
      </c>
      <c r="BA253" s="10">
        <f t="shared" si="181"/>
        <v>0</v>
      </c>
      <c r="BB253" s="10">
        <f t="shared" si="181"/>
        <v>0</v>
      </c>
      <c r="BC253" s="10">
        <f t="shared" si="181"/>
        <v>0</v>
      </c>
      <c r="BD253" s="10">
        <f t="shared" si="181"/>
        <v>0</v>
      </c>
      <c r="BE253" s="10">
        <f t="shared" si="181"/>
        <v>0</v>
      </c>
      <c r="BF253" s="10">
        <f t="shared" si="181"/>
        <v>0</v>
      </c>
      <c r="BG253" s="10">
        <f t="shared" si="181"/>
        <v>0</v>
      </c>
      <c r="BH253" s="10">
        <f t="shared" si="181"/>
        <v>0</v>
      </c>
      <c r="BI253" s="10">
        <f t="shared" si="181"/>
        <v>0</v>
      </c>
      <c r="BJ253" s="10">
        <f t="shared" si="181"/>
        <v>0</v>
      </c>
      <c r="BX253" s="12">
        <f>V253</f>
        <v>0</v>
      </c>
      <c r="BY253" s="10">
        <f t="shared" ref="BY253:CI253" si="182">SUM(BY251:BY252)</f>
        <v>0</v>
      </c>
      <c r="BZ253" s="10">
        <f t="shared" si="182"/>
        <v>0</v>
      </c>
      <c r="CA253" s="10">
        <f t="shared" si="182"/>
        <v>0</v>
      </c>
      <c r="CB253" s="10">
        <f t="shared" si="182"/>
        <v>0</v>
      </c>
      <c r="CC253" s="10">
        <f t="shared" si="182"/>
        <v>0</v>
      </c>
      <c r="CD253" s="10">
        <f t="shared" si="182"/>
        <v>0</v>
      </c>
      <c r="CE253" s="10">
        <f t="shared" si="182"/>
        <v>0</v>
      </c>
      <c r="CF253" s="10">
        <f t="shared" si="182"/>
        <v>0</v>
      </c>
      <c r="CG253" s="10">
        <f t="shared" si="182"/>
        <v>0</v>
      </c>
      <c r="CH253" s="10">
        <f t="shared" si="182"/>
        <v>0</v>
      </c>
      <c r="CI253" s="10">
        <f t="shared" si="182"/>
        <v>0</v>
      </c>
      <c r="CK253" s="11"/>
      <c r="CM253" s="11"/>
      <c r="CR253" s="7">
        <f>IF(ABS($E253)&gt;Parameters!$D$33, 1, 0)</f>
        <v>0</v>
      </c>
      <c r="CS253" s="7">
        <f>IF(SUM(V253:Y253)=SUM(BX253:CA253), 0, 1)</f>
        <v>0</v>
      </c>
      <c r="CT253" s="11"/>
      <c r="CU253">
        <v>0</v>
      </c>
      <c r="CV253">
        <v>0</v>
      </c>
      <c r="CW253" s="1">
        <v>1</v>
      </c>
      <c r="EY253" s="12" t="str">
        <f>IF($C253="", "",CONCATENATE(D$250, " ", D253))</f>
        <v>Restricted Reserve Closing Balance</v>
      </c>
    </row>
    <row r="254" spans="1:155" ht="8.25" customHeight="1" x14ac:dyDescent="0.35">
      <c r="C254" s="234"/>
      <c r="CK254" s="11"/>
      <c r="CM254" s="11"/>
      <c r="CT254" s="11"/>
      <c r="CU254">
        <v>0</v>
      </c>
      <c r="CV254">
        <v>0</v>
      </c>
      <c r="CW254">
        <v>0</v>
      </c>
      <c r="EY254" s="10" t="str">
        <f>IF($C254="","",$D254)</f>
        <v/>
      </c>
    </row>
    <row r="255" spans="1:155" x14ac:dyDescent="0.35">
      <c r="B255" s="5"/>
      <c r="C255" s="234"/>
      <c r="D255" s="24" t="s">
        <v>734</v>
      </c>
      <c r="CK255" s="11"/>
      <c r="CM255" s="11"/>
      <c r="CT255" s="11"/>
      <c r="CU255">
        <v>0</v>
      </c>
      <c r="CV255">
        <v>0</v>
      </c>
      <c r="CW255">
        <v>0</v>
      </c>
      <c r="EY255" s="10" t="str">
        <f>IF($C255="","",$D255)</f>
        <v/>
      </c>
    </row>
    <row r="256" spans="1:155" x14ac:dyDescent="0.35">
      <c r="A256" s="220" cm="1">
        <f t="array" aca="1" ref="A256" ca="1">HYPERLINK(CONCATENATE("#",CELL("address",IF(MAX($CM256:$CT256)=0,A256,INDEX($CM256:$CT256,MATCH(1,$CM256:$CT256,0))))),MAX($CM256:$CT256))</f>
        <v>0</v>
      </c>
      <c r="C256" s="211" t="str">
        <f>CONCATENATE("BS-",'Opening Balances'!$C$80)</f>
        <v>BS-B-9c-OB</v>
      </c>
      <c r="D256" s="1" t="s">
        <v>890</v>
      </c>
      <c r="G256" s="8"/>
      <c r="H256" s="9" t="s">
        <v>665</v>
      </c>
      <c r="V256" s="12">
        <f>'Opening Balances'!$V$80</f>
        <v>0</v>
      </c>
      <c r="W256" s="10">
        <f>V259</f>
        <v>0</v>
      </c>
      <c r="X256" s="10">
        <f>W259</f>
        <v>0</v>
      </c>
      <c r="Y256" s="10">
        <f>X259</f>
        <v>0</v>
      </c>
      <c r="AA256" s="10">
        <f>W256</f>
        <v>0</v>
      </c>
      <c r="AB256" s="10">
        <f t="shared" ref="AB256:BJ256" si="183">AA259</f>
        <v>0</v>
      </c>
      <c r="AC256" s="10">
        <f t="shared" si="183"/>
        <v>0</v>
      </c>
      <c r="AD256" s="10">
        <f t="shared" si="183"/>
        <v>0</v>
      </c>
      <c r="AE256" s="10">
        <f t="shared" si="183"/>
        <v>0</v>
      </c>
      <c r="AF256" s="10">
        <f t="shared" si="183"/>
        <v>0</v>
      </c>
      <c r="AG256" s="10">
        <f t="shared" si="183"/>
        <v>0</v>
      </c>
      <c r="AH256" s="10">
        <f t="shared" si="183"/>
        <v>0</v>
      </c>
      <c r="AI256" s="10">
        <f t="shared" si="183"/>
        <v>0</v>
      </c>
      <c r="AJ256" s="10">
        <f t="shared" si="183"/>
        <v>0</v>
      </c>
      <c r="AK256" s="10">
        <f t="shared" si="183"/>
        <v>0</v>
      </c>
      <c r="AL256" s="10">
        <f t="shared" si="183"/>
        <v>0</v>
      </c>
      <c r="AM256" s="10">
        <f t="shared" si="183"/>
        <v>0</v>
      </c>
      <c r="AN256" s="10">
        <f t="shared" si="183"/>
        <v>0</v>
      </c>
      <c r="AO256" s="10">
        <f t="shared" si="183"/>
        <v>0</v>
      </c>
      <c r="AP256" s="10">
        <f t="shared" si="183"/>
        <v>0</v>
      </c>
      <c r="AQ256" s="10">
        <f t="shared" si="183"/>
        <v>0</v>
      </c>
      <c r="AR256" s="10">
        <f t="shared" si="183"/>
        <v>0</v>
      </c>
      <c r="AS256" s="10">
        <f t="shared" si="183"/>
        <v>0</v>
      </c>
      <c r="AT256" s="10">
        <f t="shared" si="183"/>
        <v>0</v>
      </c>
      <c r="AU256" s="10">
        <f t="shared" si="183"/>
        <v>0</v>
      </c>
      <c r="AV256" s="10">
        <f t="shared" si="183"/>
        <v>0</v>
      </c>
      <c r="AW256" s="10">
        <f t="shared" si="183"/>
        <v>0</v>
      </c>
      <c r="AX256" s="10">
        <f t="shared" si="183"/>
        <v>0</v>
      </c>
      <c r="AY256" s="10">
        <f t="shared" si="183"/>
        <v>0</v>
      </c>
      <c r="AZ256" s="10">
        <f t="shared" si="183"/>
        <v>0</v>
      </c>
      <c r="BA256" s="10">
        <f t="shared" si="183"/>
        <v>0</v>
      </c>
      <c r="BB256" s="10">
        <f t="shared" si="183"/>
        <v>0</v>
      </c>
      <c r="BC256" s="10">
        <f t="shared" si="183"/>
        <v>0</v>
      </c>
      <c r="BD256" s="10">
        <f t="shared" si="183"/>
        <v>0</v>
      </c>
      <c r="BE256" s="10">
        <f t="shared" si="183"/>
        <v>0</v>
      </c>
      <c r="BF256" s="10">
        <f t="shared" si="183"/>
        <v>0</v>
      </c>
      <c r="BG256" s="10">
        <f t="shared" si="183"/>
        <v>0</v>
      </c>
      <c r="BH256" s="10">
        <f t="shared" si="183"/>
        <v>0</v>
      </c>
      <c r="BI256" s="10">
        <f t="shared" si="183"/>
        <v>0</v>
      </c>
      <c r="BJ256" s="10">
        <f t="shared" si="183"/>
        <v>0</v>
      </c>
      <c r="BX256" s="12">
        <f>V256</f>
        <v>0</v>
      </c>
      <c r="BY256" s="12">
        <f>W256</f>
        <v>0</v>
      </c>
      <c r="BZ256" s="12">
        <f>X256</f>
        <v>0</v>
      </c>
      <c r="CA256" s="170">
        <f>Y256</f>
        <v>0</v>
      </c>
      <c r="CB256" s="171">
        <f t="shared" ref="CB256:CI256" si="184">CA259</f>
        <v>0</v>
      </c>
      <c r="CC256" s="10">
        <f t="shared" si="184"/>
        <v>0</v>
      </c>
      <c r="CD256" s="10">
        <f t="shared" si="184"/>
        <v>0</v>
      </c>
      <c r="CE256" s="10">
        <f t="shared" si="184"/>
        <v>0</v>
      </c>
      <c r="CF256" s="10">
        <f t="shared" si="184"/>
        <v>0</v>
      </c>
      <c r="CG256" s="10">
        <f t="shared" si="184"/>
        <v>0</v>
      </c>
      <c r="CH256" s="10">
        <f t="shared" si="184"/>
        <v>0</v>
      </c>
      <c r="CI256" s="10">
        <f t="shared" si="184"/>
        <v>0</v>
      </c>
      <c r="CK256" s="11"/>
      <c r="CM256" s="11"/>
      <c r="CS256" s="7">
        <f>IF(SUM(V256:Y256)=SUM(BX256:CA256), 0, 1)</f>
        <v>0</v>
      </c>
      <c r="CT256" s="11"/>
      <c r="CU256">
        <v>0</v>
      </c>
      <c r="CV256">
        <v>0</v>
      </c>
      <c r="CW256">
        <v>0</v>
      </c>
      <c r="EY256" s="12" t="str">
        <f>IF($C256="", "",CONCATENATE(D$255, " ", D256))</f>
        <v>I&amp;E Reserve Opening Balance</v>
      </c>
    </row>
    <row r="257" spans="1:155" x14ac:dyDescent="0.35">
      <c r="A257" s="220" cm="1">
        <f t="array" aca="1" ref="A257" ca="1">HYPERLINK(CONCATENATE("#",CELL("address",IF(MAX($CM257:$CT257)=0,A257,INDEX($CM257:$CT257,MATCH(1,$CM257:$CT257,0))))),MAX($CM257:$CT257))</f>
        <v>0</v>
      </c>
      <c r="C257" s="211" t="s">
        <v>1477</v>
      </c>
      <c r="D257" s="1" t="s">
        <v>1478</v>
      </c>
      <c r="E257" s="85" t="s">
        <v>122</v>
      </c>
      <c r="G257" s="8"/>
      <c r="H257" s="9" t="s">
        <v>317</v>
      </c>
      <c r="V257" s="12">
        <f>BX257*'Opening Balances'!$V$86</f>
        <v>0</v>
      </c>
      <c r="W257" s="12">
        <f>BY257</f>
        <v>0</v>
      </c>
      <c r="X257" s="12">
        <f>BZ257</f>
        <v>0</v>
      </c>
      <c r="Y257" s="12">
        <f>CA257</f>
        <v>0</v>
      </c>
      <c r="AA257" s="10">
        <f>'I&amp;E Annual'!AA166-(AA214+AA224+AA233)</f>
        <v>0</v>
      </c>
      <c r="AB257" s="10">
        <f>'I&amp;E Annual'!AB166-(AB214+AB224+AB233)</f>
        <v>0</v>
      </c>
      <c r="AC257" s="10">
        <f>'I&amp;E Annual'!AC166-(AC214+AC224+AC233)</f>
        <v>0</v>
      </c>
      <c r="AD257" s="10">
        <f>'I&amp;E Annual'!AD166-(AD214+AD224+AD233)</f>
        <v>0</v>
      </c>
      <c r="AE257" s="10">
        <f>'I&amp;E Annual'!AE166-(AE214+AE224+AE233)</f>
        <v>0</v>
      </c>
      <c r="AF257" s="10">
        <f>'I&amp;E Annual'!AF166-(AF214+AF224+AF233)</f>
        <v>0</v>
      </c>
      <c r="AG257" s="10">
        <f>'I&amp;E Annual'!AG166-(AG214+AG224+AG233)</f>
        <v>0</v>
      </c>
      <c r="AH257" s="10">
        <f>'I&amp;E Annual'!AH166-(AH214+AH224+AH233)</f>
        <v>0</v>
      </c>
      <c r="AI257" s="10">
        <f>'I&amp;E Annual'!AI166-(AI214+AI224+AI233)</f>
        <v>0</v>
      </c>
      <c r="AJ257" s="10">
        <f>'I&amp;E Annual'!AJ166-(AJ214+AJ224+AJ233)</f>
        <v>0</v>
      </c>
      <c r="AK257" s="10">
        <f>'I&amp;E Annual'!AK166-(AK214+AK224+AK233)</f>
        <v>0</v>
      </c>
      <c r="AL257" s="10">
        <f>'I&amp;E Annual'!AL166-(AL214+AL224+AL233)</f>
        <v>0</v>
      </c>
      <c r="AM257" s="10">
        <f>'I&amp;E Annual'!AM166-(AM214+AM224+AM233)</f>
        <v>0</v>
      </c>
      <c r="AN257" s="10">
        <f>'I&amp;E Annual'!AN166-(AN214+AN224+AN233)</f>
        <v>0</v>
      </c>
      <c r="AO257" s="10">
        <f>'I&amp;E Annual'!AO166-(AO214+AO224+AO233)</f>
        <v>0</v>
      </c>
      <c r="AP257" s="10">
        <f>'I&amp;E Annual'!AP166-(AP214+AP224+AP233)</f>
        <v>0</v>
      </c>
      <c r="AQ257" s="10">
        <f>'I&amp;E Annual'!AQ166-(AQ214+AQ224+AQ233)</f>
        <v>0</v>
      </c>
      <c r="AR257" s="10">
        <f>'I&amp;E Annual'!AR166-(AR214+AR224+AR233)</f>
        <v>0</v>
      </c>
      <c r="AS257" s="10">
        <f>'I&amp;E Annual'!AS166-(AS214+AS224+AS233)</f>
        <v>0</v>
      </c>
      <c r="AT257" s="10">
        <f>'I&amp;E Annual'!AT166-(AT214+AT224+AT233)</f>
        <v>0</v>
      </c>
      <c r="AU257" s="10">
        <f>'I&amp;E Annual'!AU166-(AU214+AU224+AU233)</f>
        <v>0</v>
      </c>
      <c r="AV257" s="10">
        <f>'I&amp;E Annual'!AV166-(AV214+AV224+AV233)</f>
        <v>0</v>
      </c>
      <c r="AW257" s="10">
        <f>'I&amp;E Annual'!AW166-(AW214+AW224+AW233)</f>
        <v>0</v>
      </c>
      <c r="AX257" s="10">
        <f>'I&amp;E Annual'!AX166-(AX214+AX224+AX233)</f>
        <v>0</v>
      </c>
      <c r="AY257" s="10">
        <f>'I&amp;E Annual'!AY166-(AY214+AY224+AY233)</f>
        <v>0</v>
      </c>
      <c r="AZ257" s="10">
        <f>'I&amp;E Annual'!AZ166-(AZ214+AZ224+AZ233)</f>
        <v>0</v>
      </c>
      <c r="BA257" s="10">
        <f>'I&amp;E Annual'!BA166-(BA214+BA224+BA233)</f>
        <v>0</v>
      </c>
      <c r="BB257" s="10">
        <f>'I&amp;E Annual'!BB166-(BB214+BB224+BB233)</f>
        <v>0</v>
      </c>
      <c r="BC257" s="10">
        <f>'I&amp;E Annual'!BC166-(BC214+BC224+BC233)</f>
        <v>0</v>
      </c>
      <c r="BD257" s="10">
        <f>'I&amp;E Annual'!BD166-(BD214+BD224+BD233)</f>
        <v>0</v>
      </c>
      <c r="BE257" s="10">
        <f>'I&amp;E Annual'!BE166-(BE214+BE224+BE233)</f>
        <v>0</v>
      </c>
      <c r="BF257" s="10">
        <f>'I&amp;E Annual'!BF166-(BF214+BF224+BF233)</f>
        <v>0</v>
      </c>
      <c r="BG257" s="10">
        <f>'I&amp;E Annual'!BG166-(BG214+BG224+BG233)</f>
        <v>0</v>
      </c>
      <c r="BH257" s="10">
        <f>'I&amp;E Annual'!BH166-(BH214+BH224+BH233)</f>
        <v>0</v>
      </c>
      <c r="BI257" s="10">
        <f>'I&amp;E Annual'!BI166-(BI214+BI224+BI233)</f>
        <v>0</v>
      </c>
      <c r="BJ257" s="10">
        <f>'I&amp;E Annual'!BJ166-(BJ214+BJ224+BJ233)</f>
        <v>0</v>
      </c>
      <c r="BX257" s="10">
        <f>'I&amp;E Annual'!BX166-(BX214+BX224+BX233)</f>
        <v>0</v>
      </c>
      <c r="BY257" s="10">
        <f>'I&amp;E Annual'!BY166-(BY214+BY224+BY233)</f>
        <v>0</v>
      </c>
      <c r="BZ257" s="10">
        <f>'I&amp;E Annual'!BZ166-(BZ214+BZ224+BZ233)</f>
        <v>0</v>
      </c>
      <c r="CA257" s="10">
        <f>'I&amp;E Annual'!CA166-(CA214+CA224+CA233)</f>
        <v>0</v>
      </c>
      <c r="CB257" s="10">
        <f>'I&amp;E Annual'!CB166-(CB214+CB224+CB233)</f>
        <v>0</v>
      </c>
      <c r="CC257" s="10">
        <f>'I&amp;E Annual'!CC166-(CC214+CC224+CC233)</f>
        <v>0</v>
      </c>
      <c r="CD257" s="10">
        <f>'I&amp;E Annual'!CD166-(CD214+CD224+CD233)</f>
        <v>0</v>
      </c>
      <c r="CE257" s="10">
        <f>'I&amp;E Annual'!CE166-(CE214+CE224+CE233)</f>
        <v>0</v>
      </c>
      <c r="CF257" s="10">
        <f>'I&amp;E Annual'!CF166-(CF214+CF224+CF233)</f>
        <v>0</v>
      </c>
      <c r="CG257" s="10">
        <f>'I&amp;E Annual'!CG166-(CG214+CG224+CG233)</f>
        <v>0</v>
      </c>
      <c r="CH257" s="10">
        <f>'I&amp;E Annual'!CH166-(CH214+CH224+CH233)</f>
        <v>0</v>
      </c>
      <c r="CI257" s="10">
        <f>'I&amp;E Annual'!CI166-(CI214+CI224+CI233)</f>
        <v>0</v>
      </c>
      <c r="CK257" s="11"/>
      <c r="CM257" s="11"/>
      <c r="CS257" s="7">
        <f>IF(SUM(V257:Y257)=SUM(BX257:CA257), 0, 1)</f>
        <v>0</v>
      </c>
      <c r="CT257" s="11"/>
      <c r="CU257">
        <v>0</v>
      </c>
      <c r="CV257">
        <v>0</v>
      </c>
      <c r="CW257">
        <v>0</v>
      </c>
      <c r="EY257" s="12" t="str">
        <f>IF($C257="", "",CONCATENATE(D$255, " ", D257))</f>
        <v>I&amp;E Reserve Movement in year</v>
      </c>
    </row>
    <row r="258" spans="1:155" x14ac:dyDescent="0.35">
      <c r="A258" s="220" cm="1">
        <f t="array" aca="1" ref="A258" ca="1">HYPERLINK(CONCATENATE("#",CELL("address",IF(MAX($CM258:$CT258)=0,A258,INDEX($CM258:$CT258,MATCH(1,$CM258:$CT258,0))))),MAX($CM258:$CT258))</f>
        <v>0</v>
      </c>
      <c r="C258" s="211" t="s">
        <v>1479</v>
      </c>
      <c r="D258" s="1" t="s">
        <v>1480</v>
      </c>
      <c r="E258" s="283" t="s">
        <v>904</v>
      </c>
      <c r="G258" s="8"/>
      <c r="H258" s="9" t="s">
        <v>317</v>
      </c>
      <c r="V258" s="12">
        <f>(V259-SUM(V256:V257))*'Opening Balances'!$V$86</f>
        <v>0</v>
      </c>
      <c r="W258" s="10">
        <f>W284</f>
        <v>0</v>
      </c>
      <c r="X258" s="10">
        <f>X284</f>
        <v>0</v>
      </c>
      <c r="Y258" s="10">
        <f>Y284</f>
        <v>0</v>
      </c>
      <c r="AA258" s="10">
        <f t="shared" ref="AA258:BJ258" si="185">AA284</f>
        <v>0</v>
      </c>
      <c r="AB258" s="10">
        <f t="shared" si="185"/>
        <v>0</v>
      </c>
      <c r="AC258" s="10">
        <f t="shared" si="185"/>
        <v>0</v>
      </c>
      <c r="AD258" s="10">
        <f t="shared" si="185"/>
        <v>0</v>
      </c>
      <c r="AE258" s="10">
        <f t="shared" si="185"/>
        <v>0</v>
      </c>
      <c r="AF258" s="10">
        <f t="shared" si="185"/>
        <v>0</v>
      </c>
      <c r="AG258" s="10">
        <f t="shared" si="185"/>
        <v>0</v>
      </c>
      <c r="AH258" s="10">
        <f t="shared" si="185"/>
        <v>0</v>
      </c>
      <c r="AI258" s="10">
        <f t="shared" si="185"/>
        <v>0</v>
      </c>
      <c r="AJ258" s="10">
        <f t="shared" si="185"/>
        <v>0</v>
      </c>
      <c r="AK258" s="10">
        <f t="shared" si="185"/>
        <v>0</v>
      </c>
      <c r="AL258" s="10">
        <f t="shared" si="185"/>
        <v>0</v>
      </c>
      <c r="AM258" s="10">
        <f t="shared" si="185"/>
        <v>0</v>
      </c>
      <c r="AN258" s="10">
        <f t="shared" si="185"/>
        <v>0</v>
      </c>
      <c r="AO258" s="10">
        <f t="shared" si="185"/>
        <v>0</v>
      </c>
      <c r="AP258" s="10">
        <f t="shared" si="185"/>
        <v>0</v>
      </c>
      <c r="AQ258" s="10">
        <f t="shared" si="185"/>
        <v>0</v>
      </c>
      <c r="AR258" s="10">
        <f t="shared" si="185"/>
        <v>0</v>
      </c>
      <c r="AS258" s="10">
        <f t="shared" si="185"/>
        <v>0</v>
      </c>
      <c r="AT258" s="10">
        <f t="shared" si="185"/>
        <v>0</v>
      </c>
      <c r="AU258" s="10">
        <f t="shared" si="185"/>
        <v>0</v>
      </c>
      <c r="AV258" s="10">
        <f t="shared" si="185"/>
        <v>0</v>
      </c>
      <c r="AW258" s="10">
        <f t="shared" si="185"/>
        <v>0</v>
      </c>
      <c r="AX258" s="10">
        <f t="shared" si="185"/>
        <v>0</v>
      </c>
      <c r="AY258" s="10">
        <f t="shared" si="185"/>
        <v>0</v>
      </c>
      <c r="AZ258" s="10">
        <f t="shared" si="185"/>
        <v>0</v>
      </c>
      <c r="BA258" s="10">
        <f t="shared" si="185"/>
        <v>0</v>
      </c>
      <c r="BB258" s="10">
        <f t="shared" si="185"/>
        <v>0</v>
      </c>
      <c r="BC258" s="10">
        <f t="shared" si="185"/>
        <v>0</v>
      </c>
      <c r="BD258" s="10">
        <f t="shared" si="185"/>
        <v>0</v>
      </c>
      <c r="BE258" s="10">
        <f t="shared" si="185"/>
        <v>0</v>
      </c>
      <c r="BF258" s="10">
        <f t="shared" si="185"/>
        <v>0</v>
      </c>
      <c r="BG258" s="10">
        <f t="shared" si="185"/>
        <v>0</v>
      </c>
      <c r="BH258" s="10">
        <f t="shared" si="185"/>
        <v>0</v>
      </c>
      <c r="BI258" s="10">
        <f t="shared" si="185"/>
        <v>0</v>
      </c>
      <c r="BJ258" s="10">
        <f t="shared" si="185"/>
        <v>0</v>
      </c>
      <c r="BX258" s="12">
        <f>V258</f>
        <v>0</v>
      </c>
      <c r="BY258" s="10">
        <f t="shared" ref="BY258:CI258" si="186">BY284</f>
        <v>0</v>
      </c>
      <c r="BZ258" s="10">
        <f t="shared" si="186"/>
        <v>0</v>
      </c>
      <c r="CA258" s="171">
        <f t="shared" si="186"/>
        <v>0</v>
      </c>
      <c r="CB258" s="171">
        <f t="shared" si="186"/>
        <v>0</v>
      </c>
      <c r="CC258" s="10">
        <f t="shared" si="186"/>
        <v>0</v>
      </c>
      <c r="CD258" s="10">
        <f t="shared" si="186"/>
        <v>0</v>
      </c>
      <c r="CE258" s="10">
        <f t="shared" si="186"/>
        <v>0</v>
      </c>
      <c r="CF258" s="10">
        <f t="shared" si="186"/>
        <v>0</v>
      </c>
      <c r="CG258" s="10">
        <f t="shared" si="186"/>
        <v>0</v>
      </c>
      <c r="CH258" s="10">
        <f t="shared" si="186"/>
        <v>0</v>
      </c>
      <c r="CI258" s="10">
        <f t="shared" si="186"/>
        <v>0</v>
      </c>
      <c r="CK258" s="11"/>
      <c r="CM258" s="11"/>
      <c r="CS258" s="7">
        <f>IF(SUM(V258:Y258)=SUM(BX258:CA258), 0, 1)</f>
        <v>0</v>
      </c>
      <c r="CT258" s="11"/>
      <c r="CU258">
        <v>0</v>
      </c>
      <c r="CV258">
        <v>0</v>
      </c>
      <c r="CW258">
        <v>0</v>
      </c>
      <c r="EY258" s="12" t="str">
        <f>IF($C258="", "",CONCATENATE(D$255, " ", D258))</f>
        <v>I&amp;E Reserve Transfers to/(from) I&amp;E reserve</v>
      </c>
    </row>
    <row r="259" spans="1:155" x14ac:dyDescent="0.35">
      <c r="A259" s="220" cm="1">
        <f t="array" aca="1" ref="A259" ca="1">HYPERLINK(CONCATENATE("#",CELL("address",IF(MAX($CM259:$CT259)=0,A259,INDEX($CM259:$CT259,MATCH(1,$CM259:$CT259,0))))),MAX($CM259:$CT259))</f>
        <v>0</v>
      </c>
      <c r="C259" s="213" t="str">
        <f>REPLACE('Opening Balances'!$C$80, LEN('Opening Balances'!$C$80)-1, 1, "C")</f>
        <v>B-9c-CB</v>
      </c>
      <c r="D259" t="s">
        <v>906</v>
      </c>
      <c r="E259" s="215">
        <f>ROUND(V259-SUM(V256:V258), rounding)*$V$10</f>
        <v>0</v>
      </c>
      <c r="G259" s="8"/>
      <c r="H259" s="9" t="s">
        <v>665</v>
      </c>
      <c r="V259" s="12">
        <f>'Opening Balances'!W80</f>
        <v>0</v>
      </c>
      <c r="W259" s="10">
        <f>SUM(W256:W258)</f>
        <v>0</v>
      </c>
      <c r="X259" s="10">
        <f>SUM(X256:X258)</f>
        <v>0</v>
      </c>
      <c r="Y259" s="10">
        <f>SUM(Y256:Y258)</f>
        <v>0</v>
      </c>
      <c r="AA259" s="10">
        <f t="shared" ref="AA259:BJ259" si="187">SUM(AA256:AA258)</f>
        <v>0</v>
      </c>
      <c r="AB259" s="10">
        <f t="shared" si="187"/>
        <v>0</v>
      </c>
      <c r="AC259" s="10">
        <f t="shared" si="187"/>
        <v>0</v>
      </c>
      <c r="AD259" s="10">
        <f t="shared" si="187"/>
        <v>0</v>
      </c>
      <c r="AE259" s="10">
        <f t="shared" si="187"/>
        <v>0</v>
      </c>
      <c r="AF259" s="10">
        <f t="shared" si="187"/>
        <v>0</v>
      </c>
      <c r="AG259" s="10">
        <f t="shared" si="187"/>
        <v>0</v>
      </c>
      <c r="AH259" s="10">
        <f t="shared" si="187"/>
        <v>0</v>
      </c>
      <c r="AI259" s="10">
        <f t="shared" si="187"/>
        <v>0</v>
      </c>
      <c r="AJ259" s="10">
        <f t="shared" si="187"/>
        <v>0</v>
      </c>
      <c r="AK259" s="10">
        <f t="shared" si="187"/>
        <v>0</v>
      </c>
      <c r="AL259" s="10">
        <f t="shared" si="187"/>
        <v>0</v>
      </c>
      <c r="AM259" s="10">
        <f t="shared" si="187"/>
        <v>0</v>
      </c>
      <c r="AN259" s="10">
        <f t="shared" si="187"/>
        <v>0</v>
      </c>
      <c r="AO259" s="10">
        <f t="shared" si="187"/>
        <v>0</v>
      </c>
      <c r="AP259" s="10">
        <f t="shared" si="187"/>
        <v>0</v>
      </c>
      <c r="AQ259" s="10">
        <f t="shared" si="187"/>
        <v>0</v>
      </c>
      <c r="AR259" s="10">
        <f t="shared" si="187"/>
        <v>0</v>
      </c>
      <c r="AS259" s="10">
        <f t="shared" si="187"/>
        <v>0</v>
      </c>
      <c r="AT259" s="10">
        <f t="shared" si="187"/>
        <v>0</v>
      </c>
      <c r="AU259" s="10">
        <f t="shared" si="187"/>
        <v>0</v>
      </c>
      <c r="AV259" s="10">
        <f t="shared" si="187"/>
        <v>0</v>
      </c>
      <c r="AW259" s="10">
        <f t="shared" si="187"/>
        <v>0</v>
      </c>
      <c r="AX259" s="10">
        <f t="shared" si="187"/>
        <v>0</v>
      </c>
      <c r="AY259" s="10">
        <f t="shared" si="187"/>
        <v>0</v>
      </c>
      <c r="AZ259" s="10">
        <f t="shared" si="187"/>
        <v>0</v>
      </c>
      <c r="BA259" s="10">
        <f t="shared" si="187"/>
        <v>0</v>
      </c>
      <c r="BB259" s="10">
        <f t="shared" si="187"/>
        <v>0</v>
      </c>
      <c r="BC259" s="10">
        <f t="shared" si="187"/>
        <v>0</v>
      </c>
      <c r="BD259" s="10">
        <f t="shared" si="187"/>
        <v>0</v>
      </c>
      <c r="BE259" s="10">
        <f t="shared" si="187"/>
        <v>0</v>
      </c>
      <c r="BF259" s="10">
        <f t="shared" si="187"/>
        <v>0</v>
      </c>
      <c r="BG259" s="10">
        <f t="shared" si="187"/>
        <v>0</v>
      </c>
      <c r="BH259" s="10">
        <f t="shared" si="187"/>
        <v>0</v>
      </c>
      <c r="BI259" s="10">
        <f t="shared" si="187"/>
        <v>0</v>
      </c>
      <c r="BJ259" s="10">
        <f t="shared" si="187"/>
        <v>0</v>
      </c>
      <c r="BX259" s="12">
        <f>V259</f>
        <v>0</v>
      </c>
      <c r="BY259" s="10">
        <f t="shared" ref="BY259:CI259" si="188">SUM(BY256:BY258)</f>
        <v>0</v>
      </c>
      <c r="BZ259" s="10">
        <f t="shared" si="188"/>
        <v>0</v>
      </c>
      <c r="CA259" s="171">
        <f t="shared" si="188"/>
        <v>0</v>
      </c>
      <c r="CB259" s="171">
        <f t="shared" si="188"/>
        <v>0</v>
      </c>
      <c r="CC259" s="10">
        <f t="shared" si="188"/>
        <v>0</v>
      </c>
      <c r="CD259" s="10">
        <f t="shared" si="188"/>
        <v>0</v>
      </c>
      <c r="CE259" s="10">
        <f t="shared" si="188"/>
        <v>0</v>
      </c>
      <c r="CF259" s="10">
        <f t="shared" si="188"/>
        <v>0</v>
      </c>
      <c r="CG259" s="10">
        <f t="shared" si="188"/>
        <v>0</v>
      </c>
      <c r="CH259" s="10">
        <f t="shared" si="188"/>
        <v>0</v>
      </c>
      <c r="CI259" s="10">
        <f t="shared" si="188"/>
        <v>0</v>
      </c>
      <c r="CK259" s="11"/>
      <c r="CM259" s="11"/>
      <c r="CR259" s="7">
        <f>IF(ABS($E259)&gt;Parameters!$D$33, 1, 0)</f>
        <v>0</v>
      </c>
      <c r="CS259" s="7">
        <f>IF(SUM(V259:Y259)=SUM(BX259:CA259), 0, 1)</f>
        <v>0</v>
      </c>
      <c r="CT259" s="11"/>
      <c r="CU259">
        <v>0</v>
      </c>
      <c r="CV259">
        <v>0</v>
      </c>
      <c r="CW259" s="1">
        <v>1</v>
      </c>
      <c r="EY259" s="12" t="str">
        <f>IF($C259="", "",CONCATENATE(D$255, " ", D259))</f>
        <v>I&amp;E Reserve Closing Balance</v>
      </c>
    </row>
    <row r="260" spans="1:155" ht="8.25" customHeight="1" x14ac:dyDescent="0.35">
      <c r="C260" s="234"/>
      <c r="CK260" s="11"/>
      <c r="CM260" s="11"/>
      <c r="CT260" s="11"/>
      <c r="CU260">
        <v>0</v>
      </c>
      <c r="CV260">
        <v>0</v>
      </c>
      <c r="CW260">
        <v>0</v>
      </c>
      <c r="EY260" s="10" t="str">
        <f>IF($C260="","",$D260)</f>
        <v/>
      </c>
    </row>
    <row r="261" spans="1:155" x14ac:dyDescent="0.35">
      <c r="A261" s="34"/>
      <c r="B261" s="34"/>
      <c r="C261" s="231"/>
      <c r="D261" s="34" t="s">
        <v>1481</v>
      </c>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34"/>
      <c r="CD261" s="34"/>
      <c r="CE261" s="34"/>
      <c r="CF261" s="34"/>
      <c r="CG261" s="34"/>
      <c r="CH261" s="34"/>
      <c r="CI261" s="34"/>
      <c r="CJ261" s="34"/>
      <c r="CK261" s="11"/>
      <c r="CM261" s="11"/>
      <c r="CT261" s="11"/>
      <c r="CU261">
        <v>0</v>
      </c>
      <c r="CV261">
        <v>0</v>
      </c>
      <c r="EY261" s="10" t="str">
        <f>IF($C261="","",$D261)</f>
        <v/>
      </c>
    </row>
    <row r="262" spans="1:155" ht="8.25" customHeight="1" x14ac:dyDescent="0.35">
      <c r="C262" s="234"/>
      <c r="CK262" s="11"/>
      <c r="CM262" s="11"/>
      <c r="CT262" s="11"/>
      <c r="CU262">
        <v>0</v>
      </c>
      <c r="CV262">
        <v>0</v>
      </c>
      <c r="EY262" s="10" t="str">
        <f>IF($C262="","",$D262)</f>
        <v/>
      </c>
    </row>
    <row r="263" spans="1:155" x14ac:dyDescent="0.35">
      <c r="C263" s="211" t="s">
        <v>1482</v>
      </c>
      <c r="D263" s="24" t="s">
        <v>1483</v>
      </c>
      <c r="CK263" s="11"/>
      <c r="CM263" s="11"/>
      <c r="CT263" s="11"/>
      <c r="CU263">
        <v>0</v>
      </c>
      <c r="CV263">
        <v>0</v>
      </c>
      <c r="EY263" s="10" t="str">
        <f>IF($C263="","",$D263)</f>
        <v>Transfer 1 - Movement from revaluation reserve to I&amp;E</v>
      </c>
    </row>
    <row r="264" spans="1:155" x14ac:dyDescent="0.35">
      <c r="C264" s="234"/>
      <c r="D264" s="1" t="s">
        <v>1484</v>
      </c>
      <c r="CK264" s="11"/>
      <c r="CM264" s="11"/>
      <c r="CT264" s="11"/>
      <c r="CU264">
        <v>0</v>
      </c>
      <c r="CV264">
        <v>0</v>
      </c>
      <c r="EY264" s="10" t="str">
        <f>IF($C264="","",$D264)</f>
        <v/>
      </c>
    </row>
    <row r="265" spans="1:155" x14ac:dyDescent="0.35">
      <c r="A265" s="220" cm="1">
        <f t="array" aca="1" ref="A265" ca="1">HYPERLINK(CONCATENATE("#",CELL("address",IF(MAX($CM265:$CT265)=0,A265,INDEX($CM265:$CT265,MATCH(1,$CM265:$CT265,0))))),MAX($CM265:$CT265))</f>
        <v>0</v>
      </c>
      <c r="B265" s="85" t="s">
        <v>122</v>
      </c>
      <c r="C265" s="211" t="s">
        <v>1485</v>
      </c>
      <c r="D265" s="24" t="str">
        <f>$D$255</f>
        <v>I&amp;E Reserve</v>
      </c>
      <c r="H265" t="s">
        <v>317</v>
      </c>
      <c r="V265" s="106"/>
      <c r="W265" s="133">
        <f xml:space="preserve"> SUMIFS($AA265:$BJ265, $AA$3:$BJ$3, W$3)</f>
        <v>0</v>
      </c>
      <c r="X265" s="133">
        <f xml:space="preserve"> SUMIFS($AA265:$BJ265, $AA$3:$BJ$3, X$3)</f>
        <v>0</v>
      </c>
      <c r="Y265" s="133">
        <f xml:space="preserve"> SUMIFS($AA265:$BJ265, $AA$3:$BJ$3, Y$3)</f>
        <v>0</v>
      </c>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c r="AX265" s="114"/>
      <c r="AY265" s="114"/>
      <c r="AZ265" s="114"/>
      <c r="BA265" s="114"/>
      <c r="BB265" s="114"/>
      <c r="BC265" s="114"/>
      <c r="BD265" s="114"/>
      <c r="BE265" s="114"/>
      <c r="BF265" s="114"/>
      <c r="BG265" s="114"/>
      <c r="BH265" s="114"/>
      <c r="BI265" s="114"/>
      <c r="BJ265" s="114"/>
      <c r="BX265" s="10">
        <f>V265</f>
        <v>0</v>
      </c>
      <c r="BY265" s="10">
        <f>W265</f>
        <v>0</v>
      </c>
      <c r="BZ265" s="10">
        <f>X265</f>
        <v>0</v>
      </c>
      <c r="CA265" s="10">
        <f>Y265</f>
        <v>0</v>
      </c>
      <c r="CB265" s="109"/>
      <c r="CC265" s="109"/>
      <c r="CD265" s="109"/>
      <c r="CE265" s="109"/>
      <c r="CF265" s="109"/>
      <c r="CG265" s="109"/>
      <c r="CH265" s="109"/>
      <c r="CI265" s="109"/>
      <c r="CK265" s="11"/>
      <c r="CM265" s="11"/>
      <c r="CO265" s="7" cm="1">
        <f t="array" ref="CO265">SUMPRODUCT(--NOT(ISNUMBER(V265:CI265)),--NOT(ISBLANK(V265:CI265)))</f>
        <v>0</v>
      </c>
      <c r="CS265" s="7">
        <f>IF(SUM(V265:Y265)=SUM(BX265:CA265), 0, 1)</f>
        <v>0</v>
      </c>
      <c r="CT265" s="11"/>
      <c r="CU265">
        <v>0</v>
      </c>
      <c r="CV265">
        <v>1</v>
      </c>
      <c r="EY265" s="12" t="str">
        <f>IF($C265="", "",CONCATENATE($C$263, " ", D265))</f>
        <v>T-1 I&amp;E Reserve</v>
      </c>
    </row>
    <row r="266" spans="1:155" x14ac:dyDescent="0.35">
      <c r="C266" s="234"/>
      <c r="D266" s="1" t="s">
        <v>1486</v>
      </c>
      <c r="CK266" s="11"/>
      <c r="CM266" s="11"/>
      <c r="CT266" s="11"/>
      <c r="CU266">
        <v>0</v>
      </c>
      <c r="CV266">
        <v>0</v>
      </c>
      <c r="EY266" s="10" t="str">
        <f>IF($C266="","",$D266)</f>
        <v/>
      </c>
    </row>
    <row r="267" spans="1:155" x14ac:dyDescent="0.35">
      <c r="A267" s="220" cm="1">
        <f t="array" aca="1" ref="A267" ca="1">HYPERLINK(CONCATENATE("#",CELL("address",IF(MAX($CM267:$CT267)=0,A267,INDEX($CM267:$CT267,MATCH(1,$CM267:$CT267,0))))),MAX($CM267:$CT267))</f>
        <v>0</v>
      </c>
      <c r="C267" s="211" t="s">
        <v>1487</v>
      </c>
      <c r="D267" s="24" t="str">
        <f>$D$244</f>
        <v>Revaluation Reserve</v>
      </c>
      <c r="H267" t="s">
        <v>317</v>
      </c>
      <c r="V267" s="106"/>
      <c r="W267" s="10">
        <f>0-W265</f>
        <v>0</v>
      </c>
      <c r="X267" s="10">
        <f>0-X265</f>
        <v>0</v>
      </c>
      <c r="Y267" s="10">
        <f>0-Y265</f>
        <v>0</v>
      </c>
      <c r="AA267" s="10">
        <f t="shared" ref="AA267:BJ267" si="189">0-AA265</f>
        <v>0</v>
      </c>
      <c r="AB267" s="10">
        <f t="shared" si="189"/>
        <v>0</v>
      </c>
      <c r="AC267" s="10">
        <f t="shared" si="189"/>
        <v>0</v>
      </c>
      <c r="AD267" s="10">
        <f t="shared" si="189"/>
        <v>0</v>
      </c>
      <c r="AE267" s="10">
        <f t="shared" si="189"/>
        <v>0</v>
      </c>
      <c r="AF267" s="10">
        <f t="shared" si="189"/>
        <v>0</v>
      </c>
      <c r="AG267" s="10">
        <f t="shared" si="189"/>
        <v>0</v>
      </c>
      <c r="AH267" s="10">
        <f t="shared" si="189"/>
        <v>0</v>
      </c>
      <c r="AI267" s="10">
        <f t="shared" si="189"/>
        <v>0</v>
      </c>
      <c r="AJ267" s="10">
        <f t="shared" si="189"/>
        <v>0</v>
      </c>
      <c r="AK267" s="10">
        <f t="shared" si="189"/>
        <v>0</v>
      </c>
      <c r="AL267" s="10">
        <f t="shared" si="189"/>
        <v>0</v>
      </c>
      <c r="AM267" s="10">
        <f t="shared" si="189"/>
        <v>0</v>
      </c>
      <c r="AN267" s="10">
        <f t="shared" si="189"/>
        <v>0</v>
      </c>
      <c r="AO267" s="10">
        <f t="shared" si="189"/>
        <v>0</v>
      </c>
      <c r="AP267" s="10">
        <f t="shared" si="189"/>
        <v>0</v>
      </c>
      <c r="AQ267" s="10">
        <f t="shared" si="189"/>
        <v>0</v>
      </c>
      <c r="AR267" s="10">
        <f t="shared" si="189"/>
        <v>0</v>
      </c>
      <c r="AS267" s="10">
        <f t="shared" si="189"/>
        <v>0</v>
      </c>
      <c r="AT267" s="10">
        <f t="shared" si="189"/>
        <v>0</v>
      </c>
      <c r="AU267" s="10">
        <f t="shared" si="189"/>
        <v>0</v>
      </c>
      <c r="AV267" s="10">
        <f t="shared" si="189"/>
        <v>0</v>
      </c>
      <c r="AW267" s="10">
        <f t="shared" si="189"/>
        <v>0</v>
      </c>
      <c r="AX267" s="10">
        <f t="shared" si="189"/>
        <v>0</v>
      </c>
      <c r="AY267" s="10">
        <f t="shared" si="189"/>
        <v>0</v>
      </c>
      <c r="AZ267" s="10">
        <f t="shared" si="189"/>
        <v>0</v>
      </c>
      <c r="BA267" s="10">
        <f t="shared" si="189"/>
        <v>0</v>
      </c>
      <c r="BB267" s="10">
        <f t="shared" si="189"/>
        <v>0</v>
      </c>
      <c r="BC267" s="10">
        <f t="shared" si="189"/>
        <v>0</v>
      </c>
      <c r="BD267" s="10">
        <f t="shared" si="189"/>
        <v>0</v>
      </c>
      <c r="BE267" s="10">
        <f t="shared" si="189"/>
        <v>0</v>
      </c>
      <c r="BF267" s="10">
        <f t="shared" si="189"/>
        <v>0</v>
      </c>
      <c r="BG267" s="10">
        <f t="shared" si="189"/>
        <v>0</v>
      </c>
      <c r="BH267" s="10">
        <f t="shared" si="189"/>
        <v>0</v>
      </c>
      <c r="BI267" s="10">
        <f t="shared" si="189"/>
        <v>0</v>
      </c>
      <c r="BJ267" s="10">
        <f t="shared" si="189"/>
        <v>0</v>
      </c>
      <c r="BX267" s="10">
        <f t="shared" ref="BX267:CI267" si="190">0-BX265</f>
        <v>0</v>
      </c>
      <c r="BY267" s="10">
        <f t="shared" si="190"/>
        <v>0</v>
      </c>
      <c r="BZ267" s="10">
        <f t="shared" si="190"/>
        <v>0</v>
      </c>
      <c r="CA267" s="10">
        <f t="shared" si="190"/>
        <v>0</v>
      </c>
      <c r="CB267" s="10">
        <f t="shared" si="190"/>
        <v>0</v>
      </c>
      <c r="CC267" s="10">
        <f t="shared" si="190"/>
        <v>0</v>
      </c>
      <c r="CD267" s="10">
        <f t="shared" si="190"/>
        <v>0</v>
      </c>
      <c r="CE267" s="10">
        <f t="shared" si="190"/>
        <v>0</v>
      </c>
      <c r="CF267" s="10">
        <f t="shared" si="190"/>
        <v>0</v>
      </c>
      <c r="CG267" s="10">
        <f t="shared" si="190"/>
        <v>0</v>
      </c>
      <c r="CH267" s="10">
        <f t="shared" si="190"/>
        <v>0</v>
      </c>
      <c r="CI267" s="10">
        <f t="shared" si="190"/>
        <v>0</v>
      </c>
      <c r="CK267" s="11"/>
      <c r="CM267" s="11"/>
      <c r="CS267" s="7">
        <f>IF(SUM(V267:Y267)=SUM(BX267:CA267), 0, 1)</f>
        <v>0</v>
      </c>
      <c r="CT267" s="11"/>
      <c r="CU267">
        <v>0</v>
      </c>
      <c r="CV267">
        <v>0</v>
      </c>
      <c r="EY267" s="12" t="str">
        <f>IF($C267="", "",CONCATENATE($C$263, " ", D267))</f>
        <v>T-1 Revaluation Reserve</v>
      </c>
    </row>
    <row r="268" spans="1:155" ht="8.25" customHeight="1" x14ac:dyDescent="0.35">
      <c r="C268" s="234"/>
      <c r="CK268" s="11"/>
      <c r="CM268" s="11"/>
      <c r="CT268" s="11"/>
      <c r="CU268">
        <v>0</v>
      </c>
      <c r="CV268">
        <v>0</v>
      </c>
      <c r="EY268" s="10" t="str">
        <f>IF($C268="","",$D268)</f>
        <v/>
      </c>
    </row>
    <row r="269" spans="1:155" x14ac:dyDescent="0.35">
      <c r="C269" s="211" t="s">
        <v>1488</v>
      </c>
      <c r="D269" s="24" t="s">
        <v>1489</v>
      </c>
      <c r="CK269" s="11"/>
      <c r="CM269" s="11"/>
      <c r="CT269" s="11"/>
      <c r="CU269">
        <v>0</v>
      </c>
      <c r="CV269">
        <v>0</v>
      </c>
      <c r="EY269" s="10" t="str">
        <f>IF($C269="","",$D269)</f>
        <v>Transfer 2 - Movements between Reserves</v>
      </c>
    </row>
    <row r="270" spans="1:155" x14ac:dyDescent="0.35">
      <c r="C270" s="234"/>
      <c r="D270" s="1" t="s">
        <v>1484</v>
      </c>
      <c r="CK270" s="11"/>
      <c r="CM270" s="11"/>
      <c r="CT270" s="11"/>
      <c r="CU270">
        <v>0</v>
      </c>
      <c r="CV270">
        <v>0</v>
      </c>
      <c r="EY270" s="10" t="str">
        <f>IF($C270="","",$D270)</f>
        <v/>
      </c>
    </row>
    <row r="271" spans="1:155" x14ac:dyDescent="0.35">
      <c r="A271" s="220" cm="1">
        <f t="array" aca="1" ref="A271" ca="1">HYPERLINK(CONCATENATE("#",CELL("address",IF(MAX($CM271:$CT271)=0,A271,INDEX($CM271:$CT271,MATCH(1,$CM271:$CT271,0))))),MAX($CM271:$CT271))</f>
        <v>0</v>
      </c>
      <c r="B271" s="85" t="s">
        <v>122</v>
      </c>
      <c r="C271" s="211" t="s">
        <v>1490</v>
      </c>
      <c r="D271" s="114"/>
      <c r="H271" s="9" t="s">
        <v>665</v>
      </c>
      <c r="V271" s="106"/>
      <c r="W271" s="133">
        <f xml:space="preserve"> SUMIFS($AA271:$BJ271, $AA$3:$BJ$3, W$3)</f>
        <v>0</v>
      </c>
      <c r="X271" s="133">
        <f xml:space="preserve"> SUMIFS($AA271:$BJ271, $AA$3:$BJ$3, X$3)</f>
        <v>0</v>
      </c>
      <c r="Y271" s="133">
        <f xml:space="preserve"> SUMIFS($AA271:$BJ271, $AA$3:$BJ$3, Y$3)</f>
        <v>0</v>
      </c>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X271" s="10">
        <f>V271</f>
        <v>0</v>
      </c>
      <c r="BY271" s="10">
        <f>W271</f>
        <v>0</v>
      </c>
      <c r="BZ271" s="10">
        <f>X271</f>
        <v>0</v>
      </c>
      <c r="CA271" s="10">
        <f>Y271</f>
        <v>0</v>
      </c>
      <c r="CB271" s="109"/>
      <c r="CC271" s="109"/>
      <c r="CD271" s="109"/>
      <c r="CE271" s="109"/>
      <c r="CF271" s="109"/>
      <c r="CG271" s="109"/>
      <c r="CH271" s="109"/>
      <c r="CI271" s="109"/>
      <c r="CK271" s="11"/>
      <c r="CL271" s="221">
        <f>IF(MAX($V271:$CI271)&lt;0, 1, 0)</f>
        <v>0</v>
      </c>
      <c r="CM271" s="11"/>
      <c r="CN271" s="7">
        <f>IF(AND(SUM($V271:$CI271)&lt;&gt;0, D271=""), 1, 0)</f>
        <v>0</v>
      </c>
      <c r="CO271" s="7" cm="1">
        <f t="array" ref="CO271">SUMPRODUCT(--NOT(ISNUMBER(V271:CI271)),--NOT(ISBLANK(V271:CI271)))</f>
        <v>0</v>
      </c>
      <c r="CP271" s="7">
        <f>IF(AND(SUM($V271:$CI271)&lt;&gt;0, IFERROR(MATCH(D271, $D$282:$D$284, 0), "N/A")="N/A"), 1, 0)</f>
        <v>0</v>
      </c>
      <c r="CS271" s="7">
        <f>IF(SUM(V271:Y271)=SUM(BX271:CA271), 0, 1)</f>
        <v>0</v>
      </c>
      <c r="CT271" s="11"/>
      <c r="CU271">
        <v>0</v>
      </c>
      <c r="CV271">
        <v>1</v>
      </c>
      <c r="EY271" s="12" t="str">
        <f>IF($C271="", "",CONCATENATE($C$269, " ", D271))</f>
        <v xml:space="preserve">T-2 </v>
      </c>
    </row>
    <row r="272" spans="1:155" x14ac:dyDescent="0.35">
      <c r="C272" s="234"/>
      <c r="D272" s="1" t="s">
        <v>1486</v>
      </c>
      <c r="H272" s="9"/>
      <c r="CK272" s="11"/>
      <c r="CM272" s="11"/>
      <c r="CT272" s="11"/>
      <c r="CU272">
        <v>0</v>
      </c>
      <c r="CV272">
        <v>0</v>
      </c>
      <c r="EY272" s="10" t="str">
        <f>IF($C272="","",$D272)</f>
        <v/>
      </c>
    </row>
    <row r="273" spans="1:155" x14ac:dyDescent="0.35">
      <c r="A273" s="220" cm="1">
        <f t="array" aca="1" ref="A273" ca="1">HYPERLINK(CONCATENATE("#",CELL("address",IF(MAX($CM273:$CT273)=0,A273,INDEX($CM273:$CT273,MATCH(1,$CM273:$CT273,0))))),MAX($CM273:$CT273))</f>
        <v>0</v>
      </c>
      <c r="C273" s="211" t="s">
        <v>1491</v>
      </c>
      <c r="D273" s="114"/>
      <c r="H273" s="9" t="s">
        <v>1079</v>
      </c>
      <c r="V273" s="106"/>
      <c r="W273" s="10">
        <f>0-W271</f>
        <v>0</v>
      </c>
      <c r="X273" s="10">
        <f>0-X271</f>
        <v>0</v>
      </c>
      <c r="Y273" s="10">
        <f>0-Y271</f>
        <v>0</v>
      </c>
      <c r="AA273" s="10">
        <f t="shared" ref="AA273:BJ273" si="191">0-AA271</f>
        <v>0</v>
      </c>
      <c r="AB273" s="10">
        <f t="shared" si="191"/>
        <v>0</v>
      </c>
      <c r="AC273" s="10">
        <f t="shared" si="191"/>
        <v>0</v>
      </c>
      <c r="AD273" s="10">
        <f t="shared" si="191"/>
        <v>0</v>
      </c>
      <c r="AE273" s="10">
        <f t="shared" si="191"/>
        <v>0</v>
      </c>
      <c r="AF273" s="10">
        <f t="shared" si="191"/>
        <v>0</v>
      </c>
      <c r="AG273" s="10">
        <f t="shared" si="191"/>
        <v>0</v>
      </c>
      <c r="AH273" s="10">
        <f t="shared" si="191"/>
        <v>0</v>
      </c>
      <c r="AI273" s="10">
        <f t="shared" si="191"/>
        <v>0</v>
      </c>
      <c r="AJ273" s="10">
        <f t="shared" si="191"/>
        <v>0</v>
      </c>
      <c r="AK273" s="10">
        <f t="shared" si="191"/>
        <v>0</v>
      </c>
      <c r="AL273" s="10">
        <f t="shared" si="191"/>
        <v>0</v>
      </c>
      <c r="AM273" s="10">
        <f t="shared" si="191"/>
        <v>0</v>
      </c>
      <c r="AN273" s="10">
        <f t="shared" si="191"/>
        <v>0</v>
      </c>
      <c r="AO273" s="10">
        <f t="shared" si="191"/>
        <v>0</v>
      </c>
      <c r="AP273" s="10">
        <f t="shared" si="191"/>
        <v>0</v>
      </c>
      <c r="AQ273" s="10">
        <f t="shared" si="191"/>
        <v>0</v>
      </c>
      <c r="AR273" s="10">
        <f t="shared" si="191"/>
        <v>0</v>
      </c>
      <c r="AS273" s="10">
        <f t="shared" si="191"/>
        <v>0</v>
      </c>
      <c r="AT273" s="10">
        <f t="shared" si="191"/>
        <v>0</v>
      </c>
      <c r="AU273" s="10">
        <f t="shared" si="191"/>
        <v>0</v>
      </c>
      <c r="AV273" s="10">
        <f t="shared" si="191"/>
        <v>0</v>
      </c>
      <c r="AW273" s="10">
        <f t="shared" si="191"/>
        <v>0</v>
      </c>
      <c r="AX273" s="10">
        <f t="shared" si="191"/>
        <v>0</v>
      </c>
      <c r="AY273" s="10">
        <f t="shared" si="191"/>
        <v>0</v>
      </c>
      <c r="AZ273" s="10">
        <f t="shared" si="191"/>
        <v>0</v>
      </c>
      <c r="BA273" s="10">
        <f t="shared" si="191"/>
        <v>0</v>
      </c>
      <c r="BB273" s="10">
        <f t="shared" si="191"/>
        <v>0</v>
      </c>
      <c r="BC273" s="10">
        <f t="shared" si="191"/>
        <v>0</v>
      </c>
      <c r="BD273" s="10">
        <f t="shared" si="191"/>
        <v>0</v>
      </c>
      <c r="BE273" s="10">
        <f t="shared" si="191"/>
        <v>0</v>
      </c>
      <c r="BF273" s="10">
        <f t="shared" si="191"/>
        <v>0</v>
      </c>
      <c r="BG273" s="10">
        <f t="shared" si="191"/>
        <v>0</v>
      </c>
      <c r="BH273" s="10">
        <f t="shared" si="191"/>
        <v>0</v>
      </c>
      <c r="BI273" s="10">
        <f t="shared" si="191"/>
        <v>0</v>
      </c>
      <c r="BJ273" s="10">
        <f t="shared" si="191"/>
        <v>0</v>
      </c>
      <c r="BX273" s="10">
        <f t="shared" ref="BX273:CI273" si="192">0-BX271</f>
        <v>0</v>
      </c>
      <c r="BY273" s="10">
        <f t="shared" si="192"/>
        <v>0</v>
      </c>
      <c r="BZ273" s="10">
        <f t="shared" si="192"/>
        <v>0</v>
      </c>
      <c r="CA273" s="10">
        <f t="shared" si="192"/>
        <v>0</v>
      </c>
      <c r="CB273" s="10">
        <f t="shared" si="192"/>
        <v>0</v>
      </c>
      <c r="CC273" s="10">
        <f t="shared" si="192"/>
        <v>0</v>
      </c>
      <c r="CD273" s="10">
        <f t="shared" si="192"/>
        <v>0</v>
      </c>
      <c r="CE273" s="10">
        <f t="shared" si="192"/>
        <v>0</v>
      </c>
      <c r="CF273" s="10">
        <f t="shared" si="192"/>
        <v>0</v>
      </c>
      <c r="CG273" s="10">
        <f t="shared" si="192"/>
        <v>0</v>
      </c>
      <c r="CH273" s="10">
        <f t="shared" si="192"/>
        <v>0</v>
      </c>
      <c r="CI273" s="10">
        <f t="shared" si="192"/>
        <v>0</v>
      </c>
      <c r="CK273" s="11"/>
      <c r="CM273" s="11"/>
      <c r="CP273" s="7">
        <f>IF(AND(IFERROR(SUM($V273:$CI273),0)&lt;&gt;0, IFERROR(MATCH(D273, $D$282:$D$284, 0), "N/A")="N/A"), 1, 0)</f>
        <v>0</v>
      </c>
      <c r="CS273" s="7">
        <f>IF(SUM(V273:Y273)=SUM(BX273:CA273), 0, 1)</f>
        <v>0</v>
      </c>
      <c r="CT273" s="11"/>
      <c r="CU273">
        <v>0</v>
      </c>
      <c r="CV273">
        <v>0</v>
      </c>
      <c r="EY273" s="12" t="str">
        <f>IF($C273="", "",CONCATENATE($C$269, " ", D273))</f>
        <v xml:space="preserve">T-2 </v>
      </c>
    </row>
    <row r="274" spans="1:155" ht="8.25" customHeight="1" x14ac:dyDescent="0.35">
      <c r="C274" s="234"/>
      <c r="CK274" s="11"/>
      <c r="CM274" s="11"/>
      <c r="CT274" s="11"/>
      <c r="CU274">
        <v>0</v>
      </c>
      <c r="CV274">
        <v>0</v>
      </c>
      <c r="EY274" s="10" t="str">
        <f>IF($C274="","",$D274)</f>
        <v/>
      </c>
    </row>
    <row r="275" spans="1:155" x14ac:dyDescent="0.35">
      <c r="C275" s="211" t="s">
        <v>1492</v>
      </c>
      <c r="D275" s="24" t="s">
        <v>1493</v>
      </c>
      <c r="CK275" s="11"/>
      <c r="CM275" s="11"/>
      <c r="CT275" s="11"/>
      <c r="CU275">
        <v>0</v>
      </c>
      <c r="CV275">
        <v>0</v>
      </c>
      <c r="EY275" s="10" t="str">
        <f>IF($C275="","",$D275)</f>
        <v>Transfer 3 - Movements between Reserves</v>
      </c>
    </row>
    <row r="276" spans="1:155" x14ac:dyDescent="0.35">
      <c r="C276" s="234"/>
      <c r="D276" s="1" t="s">
        <v>1484</v>
      </c>
      <c r="CK276" s="11"/>
      <c r="CM276" s="11"/>
      <c r="CT276" s="11"/>
      <c r="CU276">
        <v>0</v>
      </c>
      <c r="CV276">
        <v>0</v>
      </c>
      <c r="EY276" s="10" t="str">
        <f>IF($C276="","",$D276)</f>
        <v/>
      </c>
    </row>
    <row r="277" spans="1:155" x14ac:dyDescent="0.35">
      <c r="A277" s="220" cm="1">
        <f t="array" aca="1" ref="A277" ca="1">HYPERLINK(CONCATENATE("#",CELL("address",IF(MAX($CM277:$CT277)=0,A277,INDEX($CM277:$CT277,MATCH(1,$CM277:$CT277,0))))),MAX($CM277:$CT277))</f>
        <v>0</v>
      </c>
      <c r="B277" s="85" t="s">
        <v>122</v>
      </c>
      <c r="C277" s="211" t="s">
        <v>1494</v>
      </c>
      <c r="D277" s="114"/>
      <c r="H277" s="9" t="s">
        <v>665</v>
      </c>
      <c r="V277" s="106"/>
      <c r="W277" s="133">
        <f xml:space="preserve"> SUMIFS($AA277:$BJ277, $AA$3:$BJ$3, W$3)</f>
        <v>0</v>
      </c>
      <c r="X277" s="133">
        <f xml:space="preserve"> SUMIFS($AA277:$BJ277, $AA$3:$BJ$3, X$3)</f>
        <v>0</v>
      </c>
      <c r="Y277" s="133">
        <f xml:space="preserve"> SUMIFS($AA277:$BJ277, $AA$3:$BJ$3, Y$3)</f>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X277" s="10">
        <f>V277</f>
        <v>0</v>
      </c>
      <c r="BY277" s="10">
        <f>W277</f>
        <v>0</v>
      </c>
      <c r="BZ277" s="10">
        <f>X277</f>
        <v>0</v>
      </c>
      <c r="CA277" s="10">
        <f>Y277</f>
        <v>0</v>
      </c>
      <c r="CB277" s="109"/>
      <c r="CC277" s="109"/>
      <c r="CD277" s="109"/>
      <c r="CE277" s="109"/>
      <c r="CF277" s="109"/>
      <c r="CG277" s="109"/>
      <c r="CH277" s="109"/>
      <c r="CI277" s="109"/>
      <c r="CK277" s="11"/>
      <c r="CL277" s="221">
        <f>IF(MAX($V277:$CI277)&lt;0, 1, 0)</f>
        <v>0</v>
      </c>
      <c r="CM277" s="11"/>
      <c r="CN277" s="7">
        <f>IF(AND(SUM($V277:$CI277)&lt;&gt;0, D277=""), 1, 0)</f>
        <v>0</v>
      </c>
      <c r="CO277" s="7" cm="1">
        <f t="array" ref="CO277">SUMPRODUCT(--NOT(ISNUMBER(V277:CI277)),--NOT(ISBLANK(V277:CI277)))</f>
        <v>0</v>
      </c>
      <c r="CP277" s="7">
        <f>IF(AND(SUM($V277:$CI277)&lt;&gt;0, IFERROR(MATCH(D277, $D$282:$D$284, 0), "N/A")="N/A"), 1, 0)</f>
        <v>0</v>
      </c>
      <c r="CS277" s="7">
        <f>IF(SUM(V277:Y277)=SUM(BX277:CA277), 0, 1)</f>
        <v>0</v>
      </c>
      <c r="CT277" s="11"/>
      <c r="CU277">
        <v>0</v>
      </c>
      <c r="CV277">
        <v>1</v>
      </c>
      <c r="EY277" s="12" t="str">
        <f>IF($C277="", "",CONCATENATE($C$275, " ", D277))</f>
        <v xml:space="preserve">T-3 </v>
      </c>
    </row>
    <row r="278" spans="1:155" x14ac:dyDescent="0.35">
      <c r="C278" s="234"/>
      <c r="D278" s="1" t="s">
        <v>1486</v>
      </c>
      <c r="H278" s="9"/>
      <c r="CK278" s="11"/>
      <c r="CM278" s="11"/>
      <c r="CT278" s="11"/>
      <c r="CU278">
        <v>0</v>
      </c>
      <c r="CV278">
        <v>0</v>
      </c>
      <c r="EY278" s="10" t="str">
        <f>IF($C278="","",$D278)</f>
        <v/>
      </c>
    </row>
    <row r="279" spans="1:155" x14ac:dyDescent="0.35">
      <c r="A279" s="220" cm="1">
        <f t="array" aca="1" ref="A279" ca="1">HYPERLINK(CONCATENATE("#",CELL("address",IF(MAX($CM279:$CT279)=0,A279,INDEX($CM279:$CT279,MATCH(1,$CM279:$CT279,0))))),MAX($CM279:$CT279))</f>
        <v>0</v>
      </c>
      <c r="C279" s="211" t="s">
        <v>1495</v>
      </c>
      <c r="D279" s="114"/>
      <c r="H279" s="9" t="s">
        <v>1079</v>
      </c>
      <c r="V279" s="106"/>
      <c r="W279" s="10">
        <f>0-W277</f>
        <v>0</v>
      </c>
      <c r="X279" s="10">
        <f>0-X277</f>
        <v>0</v>
      </c>
      <c r="Y279" s="10">
        <f>0-Y277</f>
        <v>0</v>
      </c>
      <c r="AA279" s="10">
        <f t="shared" ref="AA279:BJ279" si="193">0-AA277</f>
        <v>0</v>
      </c>
      <c r="AB279" s="10">
        <f t="shared" si="193"/>
        <v>0</v>
      </c>
      <c r="AC279" s="10">
        <f t="shared" si="193"/>
        <v>0</v>
      </c>
      <c r="AD279" s="10">
        <f t="shared" si="193"/>
        <v>0</v>
      </c>
      <c r="AE279" s="10">
        <f t="shared" si="193"/>
        <v>0</v>
      </c>
      <c r="AF279" s="10">
        <f t="shared" si="193"/>
        <v>0</v>
      </c>
      <c r="AG279" s="10">
        <f t="shared" si="193"/>
        <v>0</v>
      </c>
      <c r="AH279" s="10">
        <f t="shared" si="193"/>
        <v>0</v>
      </c>
      <c r="AI279" s="10">
        <f t="shared" si="193"/>
        <v>0</v>
      </c>
      <c r="AJ279" s="10">
        <f t="shared" si="193"/>
        <v>0</v>
      </c>
      <c r="AK279" s="10">
        <f t="shared" si="193"/>
        <v>0</v>
      </c>
      <c r="AL279" s="10">
        <f t="shared" si="193"/>
        <v>0</v>
      </c>
      <c r="AM279" s="10">
        <f t="shared" si="193"/>
        <v>0</v>
      </c>
      <c r="AN279" s="10">
        <f t="shared" si="193"/>
        <v>0</v>
      </c>
      <c r="AO279" s="10">
        <f t="shared" si="193"/>
        <v>0</v>
      </c>
      <c r="AP279" s="10">
        <f t="shared" si="193"/>
        <v>0</v>
      </c>
      <c r="AQ279" s="10">
        <f t="shared" si="193"/>
        <v>0</v>
      </c>
      <c r="AR279" s="10">
        <f t="shared" si="193"/>
        <v>0</v>
      </c>
      <c r="AS279" s="10">
        <f t="shared" si="193"/>
        <v>0</v>
      </c>
      <c r="AT279" s="10">
        <f t="shared" si="193"/>
        <v>0</v>
      </c>
      <c r="AU279" s="10">
        <f t="shared" si="193"/>
        <v>0</v>
      </c>
      <c r="AV279" s="10">
        <f t="shared" si="193"/>
        <v>0</v>
      </c>
      <c r="AW279" s="10">
        <f t="shared" si="193"/>
        <v>0</v>
      </c>
      <c r="AX279" s="10">
        <f t="shared" si="193"/>
        <v>0</v>
      </c>
      <c r="AY279" s="10">
        <f t="shared" si="193"/>
        <v>0</v>
      </c>
      <c r="AZ279" s="10">
        <f t="shared" si="193"/>
        <v>0</v>
      </c>
      <c r="BA279" s="10">
        <f t="shared" si="193"/>
        <v>0</v>
      </c>
      <c r="BB279" s="10">
        <f t="shared" si="193"/>
        <v>0</v>
      </c>
      <c r="BC279" s="10">
        <f t="shared" si="193"/>
        <v>0</v>
      </c>
      <c r="BD279" s="10">
        <f t="shared" si="193"/>
        <v>0</v>
      </c>
      <c r="BE279" s="10">
        <f t="shared" si="193"/>
        <v>0</v>
      </c>
      <c r="BF279" s="10">
        <f t="shared" si="193"/>
        <v>0</v>
      </c>
      <c r="BG279" s="10">
        <f t="shared" si="193"/>
        <v>0</v>
      </c>
      <c r="BH279" s="10">
        <f t="shared" si="193"/>
        <v>0</v>
      </c>
      <c r="BI279" s="10">
        <f t="shared" si="193"/>
        <v>0</v>
      </c>
      <c r="BJ279" s="10">
        <f t="shared" si="193"/>
        <v>0</v>
      </c>
      <c r="BX279" s="10">
        <f t="shared" ref="BX279:CI279" si="194">0-BX277</f>
        <v>0</v>
      </c>
      <c r="BY279" s="10">
        <f t="shared" si="194"/>
        <v>0</v>
      </c>
      <c r="BZ279" s="10">
        <f t="shared" si="194"/>
        <v>0</v>
      </c>
      <c r="CA279" s="10">
        <f t="shared" si="194"/>
        <v>0</v>
      </c>
      <c r="CB279" s="10">
        <f t="shared" si="194"/>
        <v>0</v>
      </c>
      <c r="CC279" s="10">
        <f t="shared" si="194"/>
        <v>0</v>
      </c>
      <c r="CD279" s="10">
        <f t="shared" si="194"/>
        <v>0</v>
      </c>
      <c r="CE279" s="10">
        <f t="shared" si="194"/>
        <v>0</v>
      </c>
      <c r="CF279" s="10">
        <f t="shared" si="194"/>
        <v>0</v>
      </c>
      <c r="CG279" s="10">
        <f t="shared" si="194"/>
        <v>0</v>
      </c>
      <c r="CH279" s="10">
        <f t="shared" si="194"/>
        <v>0</v>
      </c>
      <c r="CI279" s="10">
        <f t="shared" si="194"/>
        <v>0</v>
      </c>
      <c r="CK279" s="11"/>
      <c r="CM279" s="11"/>
      <c r="CP279" s="7">
        <f>IF(AND(IFERROR(SUM($V279:$CI279),0)&lt;&gt;0, IFERROR(MATCH(D279, $D$282:$D$284, 0), "N/A")="N/A"), 1, 0)</f>
        <v>0</v>
      </c>
      <c r="CS279" s="7">
        <f>IF(SUM(V279:Y279)=SUM(BX279:CA279), 0, 1)</f>
        <v>0</v>
      </c>
      <c r="CT279" s="11"/>
      <c r="CU279">
        <v>0</v>
      </c>
      <c r="CV279">
        <v>0</v>
      </c>
      <c r="EY279" s="12" t="str">
        <f>IF($C279="", "",CONCATENATE($C$275, " ", D279))</f>
        <v xml:space="preserve">T-3 </v>
      </c>
    </row>
    <row r="280" spans="1:155" ht="8.25" customHeight="1" x14ac:dyDescent="0.35">
      <c r="C280" s="234"/>
      <c r="CK280" s="11"/>
      <c r="CM280" s="11"/>
      <c r="CT280" s="11"/>
      <c r="CU280">
        <v>0</v>
      </c>
      <c r="CV280">
        <v>0</v>
      </c>
      <c r="EY280" s="10" t="str">
        <f t="shared" ref="EY280:EY289" si="195">IF($C280="","",$D280)</f>
        <v/>
      </c>
    </row>
    <row r="281" spans="1:155" x14ac:dyDescent="0.35">
      <c r="C281" s="234"/>
      <c r="D281" s="24" t="s">
        <v>993</v>
      </c>
      <c r="CK281" s="11"/>
      <c r="CM281" s="11"/>
      <c r="CT281" s="11"/>
      <c r="CU281">
        <v>0</v>
      </c>
      <c r="CV281">
        <v>0</v>
      </c>
      <c r="EY281" s="10" t="str">
        <f t="shared" si="195"/>
        <v/>
      </c>
    </row>
    <row r="282" spans="1:155" x14ac:dyDescent="0.35">
      <c r="A282" s="220" cm="1">
        <f t="array" aca="1" ref="A282" ca="1">HYPERLINK(CONCATENATE("#",CELL("address",IF(MAX($CM282:$CT282)=0,A282,INDEX($CM282:$CT282,MATCH(1,$CM282:$CT282,0))))),MAX($CM282:$CT282))</f>
        <v>0</v>
      </c>
      <c r="C282" s="234"/>
      <c r="D282" t="str">
        <f>$D$244</f>
        <v>Revaluation Reserve</v>
      </c>
      <c r="H282" t="s">
        <v>317</v>
      </c>
      <c r="V282" s="12">
        <f>V247</f>
        <v>0</v>
      </c>
      <c r="W282" s="10">
        <f t="shared" ref="W282:Y284" si="196">SUMIFS(W$265:W$279, $D$265:$D$279, $D282)</f>
        <v>0</v>
      </c>
      <c r="X282" s="10">
        <f t="shared" si="196"/>
        <v>0</v>
      </c>
      <c r="Y282" s="10">
        <f t="shared" si="196"/>
        <v>0</v>
      </c>
      <c r="AA282" s="10">
        <f t="shared" ref="AA282:AJ284" si="197">SUMIFS(AA$265:AA$279, $D$265:$D$279, $D282)</f>
        <v>0</v>
      </c>
      <c r="AB282" s="10">
        <f t="shared" si="197"/>
        <v>0</v>
      </c>
      <c r="AC282" s="10">
        <f t="shared" si="197"/>
        <v>0</v>
      </c>
      <c r="AD282" s="10">
        <f t="shared" si="197"/>
        <v>0</v>
      </c>
      <c r="AE282" s="10">
        <f t="shared" si="197"/>
        <v>0</v>
      </c>
      <c r="AF282" s="10">
        <f t="shared" si="197"/>
        <v>0</v>
      </c>
      <c r="AG282" s="10">
        <f t="shared" si="197"/>
        <v>0</v>
      </c>
      <c r="AH282" s="10">
        <f t="shared" si="197"/>
        <v>0</v>
      </c>
      <c r="AI282" s="10">
        <f t="shared" si="197"/>
        <v>0</v>
      </c>
      <c r="AJ282" s="10">
        <f t="shared" si="197"/>
        <v>0</v>
      </c>
      <c r="AK282" s="10">
        <f t="shared" ref="AK282:AT284" si="198">SUMIFS(AK$265:AK$279, $D$265:$D$279, $D282)</f>
        <v>0</v>
      </c>
      <c r="AL282" s="10">
        <f t="shared" si="198"/>
        <v>0</v>
      </c>
      <c r="AM282" s="10">
        <f t="shared" si="198"/>
        <v>0</v>
      </c>
      <c r="AN282" s="10">
        <f t="shared" si="198"/>
        <v>0</v>
      </c>
      <c r="AO282" s="10">
        <f t="shared" si="198"/>
        <v>0</v>
      </c>
      <c r="AP282" s="10">
        <f t="shared" si="198"/>
        <v>0</v>
      </c>
      <c r="AQ282" s="10">
        <f t="shared" si="198"/>
        <v>0</v>
      </c>
      <c r="AR282" s="10">
        <f t="shared" si="198"/>
        <v>0</v>
      </c>
      <c r="AS282" s="10">
        <f t="shared" si="198"/>
        <v>0</v>
      </c>
      <c r="AT282" s="10">
        <f t="shared" si="198"/>
        <v>0</v>
      </c>
      <c r="AU282" s="10">
        <f t="shared" ref="AU282:BD284" si="199">SUMIFS(AU$265:AU$279, $D$265:$D$279, $D282)</f>
        <v>0</v>
      </c>
      <c r="AV282" s="10">
        <f t="shared" si="199"/>
        <v>0</v>
      </c>
      <c r="AW282" s="10">
        <f t="shared" si="199"/>
        <v>0</v>
      </c>
      <c r="AX282" s="10">
        <f t="shared" si="199"/>
        <v>0</v>
      </c>
      <c r="AY282" s="10">
        <f t="shared" si="199"/>
        <v>0</v>
      </c>
      <c r="AZ282" s="10">
        <f t="shared" si="199"/>
        <v>0</v>
      </c>
      <c r="BA282" s="10">
        <f t="shared" si="199"/>
        <v>0</v>
      </c>
      <c r="BB282" s="10">
        <f t="shared" si="199"/>
        <v>0</v>
      </c>
      <c r="BC282" s="10">
        <f t="shared" si="199"/>
        <v>0</v>
      </c>
      <c r="BD282" s="10">
        <f t="shared" si="199"/>
        <v>0</v>
      </c>
      <c r="BE282" s="10">
        <f t="shared" ref="BE282:BJ284" si="200">SUMIFS(BE$265:BE$279, $D$265:$D$279, $D282)</f>
        <v>0</v>
      </c>
      <c r="BF282" s="10">
        <f t="shared" si="200"/>
        <v>0</v>
      </c>
      <c r="BG282" s="10">
        <f t="shared" si="200"/>
        <v>0</v>
      </c>
      <c r="BH282" s="10">
        <f t="shared" si="200"/>
        <v>0</v>
      </c>
      <c r="BI282" s="10">
        <f t="shared" si="200"/>
        <v>0</v>
      </c>
      <c r="BJ282" s="10">
        <f t="shared" si="200"/>
        <v>0</v>
      </c>
      <c r="BX282" s="12">
        <f>BX247</f>
        <v>0</v>
      </c>
      <c r="BY282" s="10">
        <f t="shared" ref="BY282:CI284" si="201">SUMIFS(BY$265:BY$279, $D$265:$D$279, $D282)</f>
        <v>0</v>
      </c>
      <c r="BZ282" s="10">
        <f t="shared" si="201"/>
        <v>0</v>
      </c>
      <c r="CA282" s="10">
        <f t="shared" si="201"/>
        <v>0</v>
      </c>
      <c r="CB282" s="10">
        <f t="shared" si="201"/>
        <v>0</v>
      </c>
      <c r="CC282" s="10">
        <f t="shared" si="201"/>
        <v>0</v>
      </c>
      <c r="CD282" s="10">
        <f t="shared" si="201"/>
        <v>0</v>
      </c>
      <c r="CE282" s="10">
        <f t="shared" si="201"/>
        <v>0</v>
      </c>
      <c r="CF282" s="10">
        <f t="shared" si="201"/>
        <v>0</v>
      </c>
      <c r="CG282" s="10">
        <f t="shared" si="201"/>
        <v>0</v>
      </c>
      <c r="CH282" s="10">
        <f t="shared" si="201"/>
        <v>0</v>
      </c>
      <c r="CI282" s="10">
        <f t="shared" si="201"/>
        <v>0</v>
      </c>
      <c r="CK282" s="11"/>
      <c r="CM282" s="11"/>
      <c r="CS282" s="7">
        <f>IF(SUM(V282:Y282)=SUM(BX282:CA282), 0, 1)</f>
        <v>0</v>
      </c>
      <c r="CT282" s="11"/>
      <c r="CU282">
        <v>0</v>
      </c>
      <c r="CV282">
        <v>0</v>
      </c>
      <c r="EY282" s="10" t="str">
        <f t="shared" si="195"/>
        <v/>
      </c>
    </row>
    <row r="283" spans="1:155" x14ac:dyDescent="0.35">
      <c r="A283" s="220" cm="1">
        <f t="array" aca="1" ref="A283" ca="1">HYPERLINK(CONCATENATE("#",CELL("address",IF(MAX($CM283:$CT283)=0,A283,INDEX($CM283:$CT283,MATCH(1,$CM283:$CT283,0))))),MAX($CM283:$CT283))</f>
        <v>0</v>
      </c>
      <c r="C283" s="234"/>
      <c r="D283" t="str">
        <f>$D$250</f>
        <v>Restricted Reserve</v>
      </c>
      <c r="H283" t="s">
        <v>317</v>
      </c>
      <c r="V283" s="12">
        <f>V252</f>
        <v>0</v>
      </c>
      <c r="W283" s="10">
        <f t="shared" si="196"/>
        <v>0</v>
      </c>
      <c r="X283" s="10">
        <f t="shared" si="196"/>
        <v>0</v>
      </c>
      <c r="Y283" s="10">
        <f t="shared" si="196"/>
        <v>0</v>
      </c>
      <c r="AA283" s="10">
        <f t="shared" si="197"/>
        <v>0</v>
      </c>
      <c r="AB283" s="10">
        <f t="shared" si="197"/>
        <v>0</v>
      </c>
      <c r="AC283" s="10">
        <f t="shared" si="197"/>
        <v>0</v>
      </c>
      <c r="AD283" s="10">
        <f t="shared" si="197"/>
        <v>0</v>
      </c>
      <c r="AE283" s="10">
        <f t="shared" si="197"/>
        <v>0</v>
      </c>
      <c r="AF283" s="10">
        <f t="shared" si="197"/>
        <v>0</v>
      </c>
      <c r="AG283" s="10">
        <f t="shared" si="197"/>
        <v>0</v>
      </c>
      <c r="AH283" s="10">
        <f t="shared" si="197"/>
        <v>0</v>
      </c>
      <c r="AI283" s="10">
        <f t="shared" si="197"/>
        <v>0</v>
      </c>
      <c r="AJ283" s="10">
        <f t="shared" si="197"/>
        <v>0</v>
      </c>
      <c r="AK283" s="10">
        <f t="shared" si="198"/>
        <v>0</v>
      </c>
      <c r="AL283" s="10">
        <f t="shared" si="198"/>
        <v>0</v>
      </c>
      <c r="AM283" s="10">
        <f t="shared" si="198"/>
        <v>0</v>
      </c>
      <c r="AN283" s="10">
        <f t="shared" si="198"/>
        <v>0</v>
      </c>
      <c r="AO283" s="10">
        <f t="shared" si="198"/>
        <v>0</v>
      </c>
      <c r="AP283" s="10">
        <f t="shared" si="198"/>
        <v>0</v>
      </c>
      <c r="AQ283" s="10">
        <f t="shared" si="198"/>
        <v>0</v>
      </c>
      <c r="AR283" s="10">
        <f t="shared" si="198"/>
        <v>0</v>
      </c>
      <c r="AS283" s="10">
        <f t="shared" si="198"/>
        <v>0</v>
      </c>
      <c r="AT283" s="10">
        <f t="shared" si="198"/>
        <v>0</v>
      </c>
      <c r="AU283" s="10">
        <f t="shared" si="199"/>
        <v>0</v>
      </c>
      <c r="AV283" s="10">
        <f t="shared" si="199"/>
        <v>0</v>
      </c>
      <c r="AW283" s="10">
        <f t="shared" si="199"/>
        <v>0</v>
      </c>
      <c r="AX283" s="10">
        <f t="shared" si="199"/>
        <v>0</v>
      </c>
      <c r="AY283" s="10">
        <f t="shared" si="199"/>
        <v>0</v>
      </c>
      <c r="AZ283" s="10">
        <f t="shared" si="199"/>
        <v>0</v>
      </c>
      <c r="BA283" s="10">
        <f t="shared" si="199"/>
        <v>0</v>
      </c>
      <c r="BB283" s="10">
        <f t="shared" si="199"/>
        <v>0</v>
      </c>
      <c r="BC283" s="10">
        <f t="shared" si="199"/>
        <v>0</v>
      </c>
      <c r="BD283" s="10">
        <f t="shared" si="199"/>
        <v>0</v>
      </c>
      <c r="BE283" s="10">
        <f t="shared" si="200"/>
        <v>0</v>
      </c>
      <c r="BF283" s="10">
        <f t="shared" si="200"/>
        <v>0</v>
      </c>
      <c r="BG283" s="10">
        <f t="shared" si="200"/>
        <v>0</v>
      </c>
      <c r="BH283" s="10">
        <f t="shared" si="200"/>
        <v>0</v>
      </c>
      <c r="BI283" s="10">
        <f t="shared" si="200"/>
        <v>0</v>
      </c>
      <c r="BJ283" s="10">
        <f t="shared" si="200"/>
        <v>0</v>
      </c>
      <c r="BX283" s="12">
        <f>BX252</f>
        <v>0</v>
      </c>
      <c r="BY283" s="10">
        <f t="shared" si="201"/>
        <v>0</v>
      </c>
      <c r="BZ283" s="10">
        <f t="shared" si="201"/>
        <v>0</v>
      </c>
      <c r="CA283" s="10">
        <f t="shared" si="201"/>
        <v>0</v>
      </c>
      <c r="CB283" s="10">
        <f t="shared" si="201"/>
        <v>0</v>
      </c>
      <c r="CC283" s="10">
        <f t="shared" si="201"/>
        <v>0</v>
      </c>
      <c r="CD283" s="10">
        <f t="shared" si="201"/>
        <v>0</v>
      </c>
      <c r="CE283" s="10">
        <f t="shared" si="201"/>
        <v>0</v>
      </c>
      <c r="CF283" s="10">
        <f t="shared" si="201"/>
        <v>0</v>
      </c>
      <c r="CG283" s="10">
        <f t="shared" si="201"/>
        <v>0</v>
      </c>
      <c r="CH283" s="10">
        <f t="shared" si="201"/>
        <v>0</v>
      </c>
      <c r="CI283" s="10">
        <f t="shared" si="201"/>
        <v>0</v>
      </c>
      <c r="CK283" s="11"/>
      <c r="CM283" s="11"/>
      <c r="CS283" s="7">
        <f>IF(SUM(V283:Y283)=SUM(BX283:CA283), 0, 1)</f>
        <v>0</v>
      </c>
      <c r="CT283" s="11"/>
      <c r="CU283">
        <v>0</v>
      </c>
      <c r="CV283">
        <v>0</v>
      </c>
      <c r="EY283" s="10" t="str">
        <f t="shared" si="195"/>
        <v/>
      </c>
    </row>
    <row r="284" spans="1:155" x14ac:dyDescent="0.35">
      <c r="A284" s="220" cm="1">
        <f t="array" aca="1" ref="A284" ca="1">HYPERLINK(CONCATENATE("#",CELL("address",IF(MAX($CM284:$CT284)=0,A284,INDEX($CM284:$CT284,MATCH(1,$CM284:$CT284,0))))),MAX($CM284:$CT284))</f>
        <v>0</v>
      </c>
      <c r="C284" s="234"/>
      <c r="D284" t="str">
        <f>$D$255</f>
        <v>I&amp;E Reserve</v>
      </c>
      <c r="H284" t="s">
        <v>317</v>
      </c>
      <c r="V284" s="12">
        <f>V258</f>
        <v>0</v>
      </c>
      <c r="W284" s="10">
        <f t="shared" si="196"/>
        <v>0</v>
      </c>
      <c r="X284" s="10">
        <f t="shared" si="196"/>
        <v>0</v>
      </c>
      <c r="Y284" s="10">
        <f t="shared" si="196"/>
        <v>0</v>
      </c>
      <c r="AA284" s="10">
        <f t="shared" si="197"/>
        <v>0</v>
      </c>
      <c r="AB284" s="10">
        <f t="shared" si="197"/>
        <v>0</v>
      </c>
      <c r="AC284" s="10">
        <f t="shared" si="197"/>
        <v>0</v>
      </c>
      <c r="AD284" s="10">
        <f t="shared" si="197"/>
        <v>0</v>
      </c>
      <c r="AE284" s="10">
        <f t="shared" si="197"/>
        <v>0</v>
      </c>
      <c r="AF284" s="10">
        <f t="shared" si="197"/>
        <v>0</v>
      </c>
      <c r="AG284" s="10">
        <f t="shared" si="197"/>
        <v>0</v>
      </c>
      <c r="AH284" s="10">
        <f t="shared" si="197"/>
        <v>0</v>
      </c>
      <c r="AI284" s="10">
        <f t="shared" si="197"/>
        <v>0</v>
      </c>
      <c r="AJ284" s="10">
        <f t="shared" si="197"/>
        <v>0</v>
      </c>
      <c r="AK284" s="10">
        <f t="shared" si="198"/>
        <v>0</v>
      </c>
      <c r="AL284" s="10">
        <f t="shared" si="198"/>
        <v>0</v>
      </c>
      <c r="AM284" s="10">
        <f t="shared" si="198"/>
        <v>0</v>
      </c>
      <c r="AN284" s="10">
        <f t="shared" si="198"/>
        <v>0</v>
      </c>
      <c r="AO284" s="10">
        <f t="shared" si="198"/>
        <v>0</v>
      </c>
      <c r="AP284" s="10">
        <f t="shared" si="198"/>
        <v>0</v>
      </c>
      <c r="AQ284" s="10">
        <f t="shared" si="198"/>
        <v>0</v>
      </c>
      <c r="AR284" s="10">
        <f t="shared" si="198"/>
        <v>0</v>
      </c>
      <c r="AS284" s="10">
        <f t="shared" si="198"/>
        <v>0</v>
      </c>
      <c r="AT284" s="10">
        <f t="shared" si="198"/>
        <v>0</v>
      </c>
      <c r="AU284" s="10">
        <f t="shared" si="199"/>
        <v>0</v>
      </c>
      <c r="AV284" s="10">
        <f t="shared" si="199"/>
        <v>0</v>
      </c>
      <c r="AW284" s="10">
        <f t="shared" si="199"/>
        <v>0</v>
      </c>
      <c r="AX284" s="10">
        <f t="shared" si="199"/>
        <v>0</v>
      </c>
      <c r="AY284" s="10">
        <f t="shared" si="199"/>
        <v>0</v>
      </c>
      <c r="AZ284" s="10">
        <f t="shared" si="199"/>
        <v>0</v>
      </c>
      <c r="BA284" s="10">
        <f t="shared" si="199"/>
        <v>0</v>
      </c>
      <c r="BB284" s="10">
        <f t="shared" si="199"/>
        <v>0</v>
      </c>
      <c r="BC284" s="10">
        <f t="shared" si="199"/>
        <v>0</v>
      </c>
      <c r="BD284" s="10">
        <f t="shared" si="199"/>
        <v>0</v>
      </c>
      <c r="BE284" s="10">
        <f t="shared" si="200"/>
        <v>0</v>
      </c>
      <c r="BF284" s="10">
        <f t="shared" si="200"/>
        <v>0</v>
      </c>
      <c r="BG284" s="10">
        <f t="shared" si="200"/>
        <v>0</v>
      </c>
      <c r="BH284" s="10">
        <f t="shared" si="200"/>
        <v>0</v>
      </c>
      <c r="BI284" s="10">
        <f t="shared" si="200"/>
        <v>0</v>
      </c>
      <c r="BJ284" s="10">
        <f t="shared" si="200"/>
        <v>0</v>
      </c>
      <c r="BX284" s="12">
        <f>BX258</f>
        <v>0</v>
      </c>
      <c r="BY284" s="10">
        <f t="shared" si="201"/>
        <v>0</v>
      </c>
      <c r="BZ284" s="10">
        <f t="shared" si="201"/>
        <v>0</v>
      </c>
      <c r="CA284" s="10">
        <f t="shared" si="201"/>
        <v>0</v>
      </c>
      <c r="CB284" s="10">
        <f t="shared" si="201"/>
        <v>0</v>
      </c>
      <c r="CC284" s="10">
        <f t="shared" si="201"/>
        <v>0</v>
      </c>
      <c r="CD284" s="10">
        <f t="shared" si="201"/>
        <v>0</v>
      </c>
      <c r="CE284" s="10">
        <f t="shared" si="201"/>
        <v>0</v>
      </c>
      <c r="CF284" s="10">
        <f t="shared" si="201"/>
        <v>0</v>
      </c>
      <c r="CG284" s="10">
        <f t="shared" si="201"/>
        <v>0</v>
      </c>
      <c r="CH284" s="10">
        <f t="shared" si="201"/>
        <v>0</v>
      </c>
      <c r="CI284" s="10">
        <f t="shared" si="201"/>
        <v>0</v>
      </c>
      <c r="CK284" s="11"/>
      <c r="CM284" s="11"/>
      <c r="CS284" s="7">
        <f>IF(SUM(V284:Y284)=SUM(BX284:CA284), 0, 1)</f>
        <v>0</v>
      </c>
      <c r="CT284" s="11"/>
      <c r="CU284">
        <v>0</v>
      </c>
      <c r="CV284">
        <v>0</v>
      </c>
      <c r="EY284" s="10" t="str">
        <f t="shared" si="195"/>
        <v/>
      </c>
    </row>
    <row r="285" spans="1:155" x14ac:dyDescent="0.35">
      <c r="C285" s="234"/>
      <c r="CK285" s="35"/>
      <c r="CM285" s="35"/>
      <c r="CT285" s="35"/>
      <c r="EY285" s="10" t="str">
        <f t="shared" si="195"/>
        <v/>
      </c>
    </row>
    <row r="286" spans="1:155" s="5" customFormat="1" x14ac:dyDescent="0.35">
      <c r="A286"/>
      <c r="C286" s="249"/>
      <c r="D286" s="61" t="s">
        <v>1496</v>
      </c>
      <c r="E286" t="s">
        <v>1497</v>
      </c>
      <c r="R286"/>
      <c r="S286"/>
      <c r="T286"/>
      <c r="U286"/>
      <c r="V286" s="12">
        <f>1*(SUMIFS(V25:V284,$CU$25:$CU$284, 1)&lt;&gt;0)</f>
        <v>0</v>
      </c>
      <c r="W286" s="106"/>
      <c r="X286" s="106"/>
      <c r="Y286" s="106"/>
      <c r="Z28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c r="BL286"/>
      <c r="BM286"/>
      <c r="BN286"/>
      <c r="BO286"/>
      <c r="BP286"/>
      <c r="BQ286"/>
      <c r="BR286"/>
      <c r="BS286"/>
      <c r="BT286"/>
      <c r="BU286"/>
      <c r="BV286"/>
      <c r="BW286"/>
      <c r="BX286" s="106"/>
      <c r="BY286" s="106"/>
      <c r="BZ286" s="106"/>
      <c r="CA286" s="106"/>
      <c r="CB286" s="12">
        <f t="shared" ref="CB286:CI286" si="202">1*(SUMIFS(CB25:CB284, $CV$25:$CV$284, 1)&lt;&gt;0)</f>
        <v>0</v>
      </c>
      <c r="CC286" s="12">
        <f t="shared" si="202"/>
        <v>0</v>
      </c>
      <c r="CD286" s="12">
        <f t="shared" si="202"/>
        <v>0</v>
      </c>
      <c r="CE286" s="12">
        <f t="shared" si="202"/>
        <v>0</v>
      </c>
      <c r="CF286" s="12">
        <f t="shared" si="202"/>
        <v>0</v>
      </c>
      <c r="CG286" s="12">
        <f t="shared" si="202"/>
        <v>0</v>
      </c>
      <c r="CH286" s="12">
        <f t="shared" si="202"/>
        <v>0</v>
      </c>
      <c r="CI286" s="12">
        <f t="shared" si="202"/>
        <v>0</v>
      </c>
      <c r="CK286" s="11"/>
      <c r="CL286"/>
      <c r="CM286" s="11"/>
      <c r="CN286"/>
      <c r="CO286"/>
      <c r="CP286"/>
      <c r="CQ286"/>
      <c r="CR286"/>
      <c r="CT286" s="35"/>
      <c r="EY286" s="10" t="str">
        <f t="shared" si="195"/>
        <v/>
      </c>
    </row>
    <row r="287" spans="1:155" x14ac:dyDescent="0.35">
      <c r="B287" s="85" t="s">
        <v>122</v>
      </c>
      <c r="C287" s="234"/>
      <c r="D287" s="61" t="s">
        <v>1498</v>
      </c>
      <c r="E287" s="38">
        <v>1</v>
      </c>
      <c r="F287" s="5"/>
      <c r="G287" s="5"/>
      <c r="H287" s="5"/>
      <c r="I287" s="5"/>
      <c r="J287" s="5"/>
      <c r="K287" s="5"/>
      <c r="L287" s="5"/>
      <c r="M287" s="5"/>
      <c r="N287" s="5"/>
      <c r="O287" s="5"/>
      <c r="P287" s="5"/>
      <c r="Q287" s="5"/>
      <c r="R287" s="5"/>
      <c r="V287" s="12">
        <f>IF(V286=0, 0, 1)</f>
        <v>0</v>
      </c>
      <c r="W287" s="38">
        <f>$E287</f>
        <v>1</v>
      </c>
      <c r="X287" s="38">
        <f>$E287</f>
        <v>1</v>
      </c>
      <c r="Y287" s="38">
        <f>$E287</f>
        <v>1</v>
      </c>
      <c r="AA287" s="38">
        <f t="shared" ref="AA287:BJ287" si="203">$E287</f>
        <v>1</v>
      </c>
      <c r="AB287" s="38">
        <f t="shared" si="203"/>
        <v>1</v>
      </c>
      <c r="AC287" s="38">
        <f t="shared" si="203"/>
        <v>1</v>
      </c>
      <c r="AD287" s="38">
        <f t="shared" si="203"/>
        <v>1</v>
      </c>
      <c r="AE287" s="38">
        <f t="shared" si="203"/>
        <v>1</v>
      </c>
      <c r="AF287" s="38">
        <f t="shared" si="203"/>
        <v>1</v>
      </c>
      <c r="AG287" s="38">
        <f t="shared" si="203"/>
        <v>1</v>
      </c>
      <c r="AH287" s="38">
        <f t="shared" si="203"/>
        <v>1</v>
      </c>
      <c r="AI287" s="38">
        <f t="shared" si="203"/>
        <v>1</v>
      </c>
      <c r="AJ287" s="38">
        <f t="shared" si="203"/>
        <v>1</v>
      </c>
      <c r="AK287" s="38">
        <f t="shared" si="203"/>
        <v>1</v>
      </c>
      <c r="AL287" s="38">
        <f t="shared" si="203"/>
        <v>1</v>
      </c>
      <c r="AM287" s="38">
        <f t="shared" si="203"/>
        <v>1</v>
      </c>
      <c r="AN287" s="38">
        <f t="shared" si="203"/>
        <v>1</v>
      </c>
      <c r="AO287" s="38">
        <f t="shared" si="203"/>
        <v>1</v>
      </c>
      <c r="AP287" s="38">
        <f t="shared" si="203"/>
        <v>1</v>
      </c>
      <c r="AQ287" s="38">
        <f t="shared" si="203"/>
        <v>1</v>
      </c>
      <c r="AR287" s="38">
        <f t="shared" si="203"/>
        <v>1</v>
      </c>
      <c r="AS287" s="38">
        <f t="shared" si="203"/>
        <v>1</v>
      </c>
      <c r="AT287" s="38">
        <f t="shared" si="203"/>
        <v>1</v>
      </c>
      <c r="AU287" s="38">
        <f t="shared" si="203"/>
        <v>1</v>
      </c>
      <c r="AV287" s="38">
        <f t="shared" si="203"/>
        <v>1</v>
      </c>
      <c r="AW287" s="38">
        <f t="shared" si="203"/>
        <v>1</v>
      </c>
      <c r="AX287" s="38">
        <f t="shared" si="203"/>
        <v>1</v>
      </c>
      <c r="AY287" s="38">
        <f t="shared" si="203"/>
        <v>1</v>
      </c>
      <c r="AZ287" s="38">
        <f t="shared" si="203"/>
        <v>1</v>
      </c>
      <c r="BA287" s="38">
        <f t="shared" si="203"/>
        <v>1</v>
      </c>
      <c r="BB287" s="38">
        <f t="shared" si="203"/>
        <v>1</v>
      </c>
      <c r="BC287" s="38">
        <f t="shared" si="203"/>
        <v>1</v>
      </c>
      <c r="BD287" s="38">
        <f t="shared" si="203"/>
        <v>1</v>
      </c>
      <c r="BE287" s="38">
        <f t="shared" si="203"/>
        <v>1</v>
      </c>
      <c r="BF287" s="38">
        <f t="shared" si="203"/>
        <v>1</v>
      </c>
      <c r="BG287" s="38">
        <f t="shared" si="203"/>
        <v>1</v>
      </c>
      <c r="BH287" s="38">
        <f t="shared" si="203"/>
        <v>1</v>
      </c>
      <c r="BI287" s="38">
        <f t="shared" si="203"/>
        <v>1</v>
      </c>
      <c r="BJ287" s="38">
        <f t="shared" si="203"/>
        <v>1</v>
      </c>
      <c r="BX287" s="10">
        <f>V287</f>
        <v>0</v>
      </c>
      <c r="BY287" s="10">
        <f>W287</f>
        <v>1</v>
      </c>
      <c r="BZ287" s="10">
        <f>X287</f>
        <v>1</v>
      </c>
      <c r="CA287" s="10">
        <f>Y287</f>
        <v>1</v>
      </c>
      <c r="CB287" s="12">
        <f t="shared" ref="CB287:CI287" si="204">IF(SUM($CB286:$CI286)=0, 0, 1)</f>
        <v>0</v>
      </c>
      <c r="CC287" s="12">
        <f t="shared" si="204"/>
        <v>0</v>
      </c>
      <c r="CD287" s="12">
        <f t="shared" si="204"/>
        <v>0</v>
      </c>
      <c r="CE287" s="12">
        <f t="shared" si="204"/>
        <v>0</v>
      </c>
      <c r="CF287" s="12">
        <f t="shared" si="204"/>
        <v>0</v>
      </c>
      <c r="CG287" s="12">
        <f t="shared" si="204"/>
        <v>0</v>
      </c>
      <c r="CH287" s="12">
        <f t="shared" si="204"/>
        <v>0</v>
      </c>
      <c r="CI287" s="12">
        <f t="shared" si="204"/>
        <v>0</v>
      </c>
      <c r="CK287" s="11"/>
      <c r="CM287" s="11"/>
      <c r="CT287" s="11"/>
      <c r="EY287" s="10" t="str">
        <f t="shared" si="195"/>
        <v/>
      </c>
    </row>
    <row r="288" spans="1:155" ht="8.25" customHeight="1" x14ac:dyDescent="0.35">
      <c r="C288" s="234"/>
      <c r="CK288" s="11"/>
      <c r="CM288" s="11"/>
      <c r="CT288" s="11"/>
      <c r="EY288" s="10" t="str">
        <f t="shared" si="195"/>
        <v/>
      </c>
    </row>
    <row r="289" spans="1:155" x14ac:dyDescent="0.35">
      <c r="A289" s="11" t="s">
        <v>16</v>
      </c>
      <c r="B289" s="11" t="s">
        <v>16</v>
      </c>
      <c r="C289" s="35" t="s">
        <v>16</v>
      </c>
      <c r="D289" s="25" t="s">
        <v>16</v>
      </c>
      <c r="E289" s="11" t="s">
        <v>16</v>
      </c>
      <c r="F289" s="11" t="s">
        <v>16</v>
      </c>
      <c r="G289" s="11" t="s">
        <v>16</v>
      </c>
      <c r="H289" s="11" t="s">
        <v>16</v>
      </c>
      <c r="I289" s="11" t="s">
        <v>16</v>
      </c>
      <c r="J289" s="11" t="s">
        <v>16</v>
      </c>
      <c r="K289" s="11" t="s">
        <v>16</v>
      </c>
      <c r="L289" s="11" t="s">
        <v>16</v>
      </c>
      <c r="M289" s="11" t="s">
        <v>16</v>
      </c>
      <c r="N289" s="11" t="s">
        <v>16</v>
      </c>
      <c r="O289" s="11" t="s">
        <v>16</v>
      </c>
      <c r="P289" s="11" t="s">
        <v>16</v>
      </c>
      <c r="Q289" s="11" t="s">
        <v>16</v>
      </c>
      <c r="R289" s="11" t="s">
        <v>16</v>
      </c>
      <c r="S289" s="11"/>
      <c r="T289" s="11" t="s">
        <v>16</v>
      </c>
      <c r="U289" s="11" t="s">
        <v>16</v>
      </c>
      <c r="V289" s="11" t="s">
        <v>16</v>
      </c>
      <c r="W289" s="11" t="s">
        <v>16</v>
      </c>
      <c r="X289" s="11"/>
      <c r="Y289" s="11"/>
      <c r="Z289" s="11" t="s">
        <v>16</v>
      </c>
      <c r="AA289" s="11" t="s">
        <v>16</v>
      </c>
      <c r="AB289" s="11" t="s">
        <v>16</v>
      </c>
      <c r="AC289" s="11" t="s">
        <v>16</v>
      </c>
      <c r="AD289" s="11" t="s">
        <v>16</v>
      </c>
      <c r="AE289" s="11" t="s">
        <v>16</v>
      </c>
      <c r="AF289" s="11" t="s">
        <v>16</v>
      </c>
      <c r="AG289" s="11" t="s">
        <v>16</v>
      </c>
      <c r="AH289" s="11" t="s">
        <v>16</v>
      </c>
      <c r="AI289" s="11" t="s">
        <v>16</v>
      </c>
      <c r="AJ289" s="11" t="s">
        <v>16</v>
      </c>
      <c r="AK289" s="11" t="s">
        <v>16</v>
      </c>
      <c r="AL289" s="11" t="s">
        <v>16</v>
      </c>
      <c r="AM289" s="11" t="s">
        <v>16</v>
      </c>
      <c r="AN289" s="11" t="s">
        <v>16</v>
      </c>
      <c r="AO289" s="11" t="s">
        <v>16</v>
      </c>
      <c r="AP289" s="11" t="s">
        <v>16</v>
      </c>
      <c r="AQ289" s="11" t="s">
        <v>16</v>
      </c>
      <c r="AR289" s="11" t="s">
        <v>16</v>
      </c>
      <c r="AS289" s="11" t="s">
        <v>16</v>
      </c>
      <c r="AT289" s="11" t="s">
        <v>16</v>
      </c>
      <c r="AU289" s="11" t="s">
        <v>16</v>
      </c>
      <c r="AV289" s="11" t="s">
        <v>16</v>
      </c>
      <c r="AW289" s="11" t="s">
        <v>16</v>
      </c>
      <c r="AX289" s="11" t="s">
        <v>16</v>
      </c>
      <c r="AY289" s="11" t="s">
        <v>16</v>
      </c>
      <c r="AZ289" s="11" t="s">
        <v>16</v>
      </c>
      <c r="BA289" s="11" t="s">
        <v>16</v>
      </c>
      <c r="BB289" s="11" t="s">
        <v>16</v>
      </c>
      <c r="BC289" s="11" t="s">
        <v>16</v>
      </c>
      <c r="BD289" s="11" t="s">
        <v>16</v>
      </c>
      <c r="BE289" s="11" t="s">
        <v>16</v>
      </c>
      <c r="BF289" s="11" t="s">
        <v>16</v>
      </c>
      <c r="BG289" s="11" t="s">
        <v>16</v>
      </c>
      <c r="BH289" s="11" t="s">
        <v>16</v>
      </c>
      <c r="BI289" s="11" t="s">
        <v>16</v>
      </c>
      <c r="BJ289" s="11" t="s">
        <v>16</v>
      </c>
      <c r="BK289" s="11" t="s">
        <v>16</v>
      </c>
      <c r="BL289" s="11" t="s">
        <v>16</v>
      </c>
      <c r="BM289" s="11" t="s">
        <v>16</v>
      </c>
      <c r="BN289" s="11" t="s">
        <v>16</v>
      </c>
      <c r="BO289" s="11" t="s">
        <v>16</v>
      </c>
      <c r="BP289" s="11" t="s">
        <v>16</v>
      </c>
      <c r="BQ289" s="11" t="s">
        <v>16</v>
      </c>
      <c r="BR289" s="11" t="s">
        <v>16</v>
      </c>
      <c r="BS289" s="11" t="s">
        <v>16</v>
      </c>
      <c r="BT289" s="11" t="s">
        <v>16</v>
      </c>
      <c r="BU289" s="11" t="s">
        <v>16</v>
      </c>
      <c r="BV289" s="11" t="s">
        <v>16</v>
      </c>
      <c r="BW289" s="11" t="s">
        <v>16</v>
      </c>
      <c r="BX289" s="11" t="s">
        <v>16</v>
      </c>
      <c r="BY289" s="11" t="s">
        <v>16</v>
      </c>
      <c r="BZ289" s="11" t="s">
        <v>16</v>
      </c>
      <c r="CA289" s="11" t="s">
        <v>16</v>
      </c>
      <c r="CB289" s="11" t="s">
        <v>16</v>
      </c>
      <c r="CC289" s="11" t="s">
        <v>16</v>
      </c>
      <c r="CD289" s="11" t="s">
        <v>16</v>
      </c>
      <c r="CE289" s="11" t="s">
        <v>16</v>
      </c>
      <c r="CF289" s="11" t="s">
        <v>16</v>
      </c>
      <c r="CG289" s="11" t="s">
        <v>16</v>
      </c>
      <c r="CH289" s="11" t="s">
        <v>16</v>
      </c>
      <c r="CI289" s="11" t="s">
        <v>16</v>
      </c>
      <c r="CJ289" s="11" t="s">
        <v>16</v>
      </c>
      <c r="CK289" s="11" t="s">
        <v>16</v>
      </c>
      <c r="CL289" s="11" t="s">
        <v>16</v>
      </c>
      <c r="CM289" s="11" t="s">
        <v>16</v>
      </c>
      <c r="CN289" s="11" t="s">
        <v>16</v>
      </c>
      <c r="CO289" s="11"/>
      <c r="CP289" s="11" t="s">
        <v>16</v>
      </c>
      <c r="CQ289" s="11" t="s">
        <v>16</v>
      </c>
      <c r="CR289" s="11"/>
      <c r="CS289" s="11"/>
      <c r="CT289" s="11" t="s">
        <v>16</v>
      </c>
      <c r="EY289" s="10" t="str">
        <f t="shared" si="195"/>
        <v>*</v>
      </c>
    </row>
  </sheetData>
  <sheetProtection algorithmName="SHA-512" hashValue="40feA8123NdfpsOH3Be0zC7QfHoKHrta2pc6t8iLXVQnq/Vdvzx9QK/TF6SEFu+KxEI23GISL17LAlyUbLA2hQ==" saltValue="h9RcAwcok5V9LLzh5lSBSw==" spinCount="100000" sheet="1" objects="1" scenarios="1"/>
  <mergeCells count="12">
    <mergeCell ref="CR3:CR6"/>
    <mergeCell ref="CU2:CU6"/>
    <mergeCell ref="CV2:CV6"/>
    <mergeCell ref="CW2:CW6"/>
    <mergeCell ref="CT1:CT6"/>
    <mergeCell ref="CS3:CS6"/>
    <mergeCell ref="CK1:CK6"/>
    <mergeCell ref="CQ3:CQ6"/>
    <mergeCell ref="CN3:CN6"/>
    <mergeCell ref="CP3:CP6"/>
    <mergeCell ref="CM1:CM6"/>
    <mergeCell ref="CO3:CO6"/>
  </mergeCells>
  <phoneticPr fontId="9" type="noConversion"/>
  <conditionalFormatting sqref="A1:A2 A4:A5 A7:A284">
    <cfRule type="cellIs" dxfId="732" priority="41" operator="greaterThan">
      <formula>0</formula>
    </cfRule>
  </conditionalFormatting>
  <conditionalFormatting sqref="A1:A2">
    <cfRule type="cellIs" dxfId="731" priority="250" operator="equal">
      <formula>0</formula>
    </cfRule>
  </conditionalFormatting>
  <conditionalFormatting sqref="A7">
    <cfRule type="cellIs" dxfId="730" priority="40" operator="equal">
      <formula>0</formula>
    </cfRule>
  </conditionalFormatting>
  <conditionalFormatting sqref="A12">
    <cfRule type="cellIs" dxfId="729" priority="189" operator="equal">
      <formula>0</formula>
    </cfRule>
  </conditionalFormatting>
  <conditionalFormatting sqref="A14 A16 A25 A28 A31 A34 A37 A40:A44 A47 A52 A55:A56 A59:A60 A63:A64 A67:A70 A73 A76 A79 A82:A83 A86 A94 A97 A99:A100 A103 A105:A106 A109:A114 A125:A133 A136 A138:A139 A142:A155 A157:A158 A167 A170 A173:A176 A179 A182 A185 A188 A191 A194 A197 A200 A203 A206:A217 A220:A226 A229:A236 A239:A242 A245:A248 A251:A253 A256:A259 A265 A267 A271 A273 A277 A279 A282:A284">
    <cfRule type="cellIs" dxfId="728" priority="187" operator="equal">
      <formula>0</formula>
    </cfRule>
  </conditionalFormatting>
  <conditionalFormatting sqref="A20">
    <cfRule type="cellIs" dxfId="727" priority="191" operator="equal">
      <formula>0</formula>
    </cfRule>
  </conditionalFormatting>
  <conditionalFormatting sqref="A89">
    <cfRule type="cellIs" dxfId="726" priority="148" operator="equal">
      <formula>0</formula>
    </cfRule>
  </conditionalFormatting>
  <conditionalFormatting sqref="A117:A122">
    <cfRule type="cellIs" dxfId="725" priority="8" operator="equal">
      <formula>0</formula>
    </cfRule>
  </conditionalFormatting>
  <conditionalFormatting sqref="A161">
    <cfRule type="cellIs" dxfId="724" priority="23" operator="equal">
      <formula>0</formula>
    </cfRule>
  </conditionalFormatting>
  <conditionalFormatting sqref="A163:A164">
    <cfRule type="cellIs" dxfId="723" priority="31" operator="equal">
      <formula>0</formula>
    </cfRule>
  </conditionalFormatting>
  <conditionalFormatting sqref="A174">
    <cfRule type="cellIs" dxfId="722" priority="475" operator="equal">
      <formula>1</formula>
    </cfRule>
  </conditionalFormatting>
  <conditionalFormatting sqref="E44">
    <cfRule type="cellIs" dxfId="721" priority="247" operator="lessThan">
      <formula>0</formula>
    </cfRule>
    <cfRule type="cellIs" dxfId="720" priority="248" operator="greaterThan">
      <formula>0</formula>
    </cfRule>
    <cfRule type="cellIs" dxfId="719" priority="249" operator="equal">
      <formula>0</formula>
    </cfRule>
  </conditionalFormatting>
  <conditionalFormatting sqref="E70">
    <cfRule type="cellIs" dxfId="718" priority="244" operator="lessThan">
      <formula>0</formula>
    </cfRule>
    <cfRule type="cellIs" dxfId="717" priority="245" operator="greaterThan">
      <formula>0</formula>
    </cfRule>
    <cfRule type="cellIs" dxfId="716" priority="246" operator="equal">
      <formula>0</formula>
    </cfRule>
  </conditionalFormatting>
  <conditionalFormatting sqref="E114">
    <cfRule type="cellIs" dxfId="715" priority="241" operator="lessThan">
      <formula>0</formula>
    </cfRule>
    <cfRule type="cellIs" dxfId="714" priority="242" operator="greaterThan">
      <formula>0</formula>
    </cfRule>
    <cfRule type="cellIs" dxfId="713" priority="243" operator="equal">
      <formula>0</formula>
    </cfRule>
  </conditionalFormatting>
  <conditionalFormatting sqref="E122">
    <cfRule type="cellIs" dxfId="712" priority="13" operator="equal">
      <formula>0</formula>
    </cfRule>
    <cfRule type="cellIs" dxfId="711" priority="11" operator="lessThan">
      <formula>0</formula>
    </cfRule>
    <cfRule type="cellIs" dxfId="710" priority="12" operator="greaterThan">
      <formula>0</formula>
    </cfRule>
  </conditionalFormatting>
  <conditionalFormatting sqref="E155">
    <cfRule type="cellIs" dxfId="709" priority="239" operator="greaterThan">
      <formula>0</formula>
    </cfRule>
    <cfRule type="cellIs" dxfId="708" priority="240" operator="equal">
      <formula>0</formula>
    </cfRule>
    <cfRule type="cellIs" dxfId="707" priority="238" operator="lessThan">
      <formula>0</formula>
    </cfRule>
  </conditionalFormatting>
  <conditionalFormatting sqref="E217">
    <cfRule type="cellIs" dxfId="706" priority="235" operator="lessThan">
      <formula>0</formula>
    </cfRule>
    <cfRule type="cellIs" dxfId="705" priority="236" operator="greaterThan">
      <formula>0</formula>
    </cfRule>
    <cfRule type="cellIs" dxfId="704" priority="237" operator="equal">
      <formula>0</formula>
    </cfRule>
  </conditionalFormatting>
  <conditionalFormatting sqref="E226">
    <cfRule type="cellIs" dxfId="703" priority="232" operator="lessThan">
      <formula>0</formula>
    </cfRule>
    <cfRule type="cellIs" dxfId="702" priority="234" operator="equal">
      <formula>0</formula>
    </cfRule>
    <cfRule type="cellIs" dxfId="701" priority="233" operator="greaterThan">
      <formula>0</formula>
    </cfRule>
  </conditionalFormatting>
  <conditionalFormatting sqref="E236">
    <cfRule type="cellIs" dxfId="700" priority="231" operator="equal">
      <formula>0</formula>
    </cfRule>
    <cfRule type="cellIs" dxfId="699" priority="230" operator="greaterThan">
      <formula>0</formula>
    </cfRule>
    <cfRule type="cellIs" dxfId="698" priority="229" operator="lessThan">
      <formula>0</formula>
    </cfRule>
  </conditionalFormatting>
  <conditionalFormatting sqref="E242">
    <cfRule type="cellIs" dxfId="697" priority="228" operator="equal">
      <formula>0</formula>
    </cfRule>
    <cfRule type="cellIs" dxfId="696" priority="227" operator="greaterThan">
      <formula>0</formula>
    </cfRule>
    <cfRule type="cellIs" dxfId="695" priority="226" operator="lessThan">
      <formula>0</formula>
    </cfRule>
  </conditionalFormatting>
  <conditionalFormatting sqref="E248">
    <cfRule type="cellIs" dxfId="694" priority="224" operator="greaterThan">
      <formula>0</formula>
    </cfRule>
    <cfRule type="cellIs" dxfId="693" priority="225" operator="equal">
      <formula>0</formula>
    </cfRule>
    <cfRule type="cellIs" dxfId="692" priority="223" operator="lessThan">
      <formula>0</formula>
    </cfRule>
  </conditionalFormatting>
  <conditionalFormatting sqref="E253">
    <cfRule type="cellIs" dxfId="691" priority="220" operator="lessThan">
      <formula>0</formula>
    </cfRule>
    <cfRule type="cellIs" dxfId="690" priority="221" operator="greaterThan">
      <formula>0</formula>
    </cfRule>
    <cfRule type="cellIs" dxfId="689" priority="222" operator="equal">
      <formula>0</formula>
    </cfRule>
  </conditionalFormatting>
  <conditionalFormatting sqref="E259">
    <cfRule type="cellIs" dxfId="688" priority="218" operator="greaterThan">
      <formula>0</formula>
    </cfRule>
    <cfRule type="cellIs" dxfId="687" priority="217" operator="lessThan">
      <formula>0</formula>
    </cfRule>
    <cfRule type="cellIs" dxfId="686" priority="219" operator="equal">
      <formula>0</formula>
    </cfRule>
  </conditionalFormatting>
  <conditionalFormatting sqref="V18:Y18 BX18:CI18">
    <cfRule type="cellIs" dxfId="685" priority="589" operator="greaterThan">
      <formula>0</formula>
    </cfRule>
    <cfRule type="cellIs" dxfId="684" priority="588" operator="equal">
      <formula>0</formula>
    </cfRule>
  </conditionalFormatting>
  <conditionalFormatting sqref="V20:Y20 BX20:CI20">
    <cfRule type="cellIs" dxfId="683" priority="597" operator="greaterThan">
      <formula>0</formula>
    </cfRule>
    <cfRule type="cellIs" dxfId="682" priority="596" operator="equal">
      <formula>0</formula>
    </cfRule>
  </conditionalFormatting>
  <conditionalFormatting sqref="W20:Y20 BX20:CI20 CS86:CS236">
    <cfRule type="cellIs" dxfId="681" priority="727" operator="equal">
      <formula>1</formula>
    </cfRule>
  </conditionalFormatting>
  <conditionalFormatting sqref="AA42:AG43 AJ42:BI43 AA55:AG56 AJ55:BI56 AA59:AG60 AJ59:BI60 AA63:AG64 AJ63:BI64 AA70:AG70 AJ70:BI70 AA73:AG73 AJ73:BJ73 AA76:AG76 AJ76:BI76 AA79:AG79 AJ79:BI79 AA82:AG82 AJ82:BI82 AA86:AG86 AJ86:BI86 AA132:AG132 AJ132:BI132 AA143:AG154 AJ143:BI154 AA157:AG157 AJ157:BI157 AA167:AG167 AJ167:BI167 AA170:AG170 AJ170:BI170 AA173:AG173 AJ173:BI173 AA175:AG175 AJ175:BI175 AA182:AG182 AJ182:BI182 AA185:AG185 AJ185:BI185 AA188:AG188 AJ188:BI188 AA191:AG191 AJ191:BI191 AA194:AG194 AJ194:BI194 AA197:AG197 AJ197:BI197 AA200:AG200 AJ200:BI200 AA203:AG203 AJ203:BI203 AA207:AG216 AJ207:BI216 AA221:AG225 AJ221:BI225 AA230:AG235 AJ230:BI235 AA240:AG241 AJ240:BI241 AA265:AG265 AJ265:BI265 AA271:AG271 AJ271:BI271 AA277:AG277 AJ277:BI277">
    <cfRule type="expression" dxfId="680" priority="204">
      <formula>AND(AA$4=0,AB$4=1)</formula>
    </cfRule>
  </conditionalFormatting>
  <conditionalFormatting sqref="AA111:AG113 AJ111:BI113">
    <cfRule type="expression" dxfId="679" priority="20">
      <formula>AND(AA$4=0,AB$4=1)</formula>
    </cfRule>
  </conditionalFormatting>
  <conditionalFormatting sqref="AA119:AG121 AJ119:BI121">
    <cfRule type="expression" dxfId="678" priority="6">
      <formula>AND(AA$4=0,AB$4=1)</formula>
    </cfRule>
  </conditionalFormatting>
  <conditionalFormatting sqref="AA161:AG161 AJ161:BI161">
    <cfRule type="expression" dxfId="677" priority="29">
      <formula>AND(AA$4=0,AB$4=1)</formula>
    </cfRule>
  </conditionalFormatting>
  <conditionalFormatting sqref="AA163:AG163 AJ163:BI163">
    <cfRule type="expression" dxfId="676" priority="37">
      <formula>AND(AA$4=0,AB$4=1)</formula>
    </cfRule>
  </conditionalFormatting>
  <conditionalFormatting sqref="AA18:BJ18">
    <cfRule type="cellIs" dxfId="675" priority="49" operator="greaterThan">
      <formula>0</formula>
    </cfRule>
    <cfRule type="cellIs" dxfId="674" priority="48" operator="equal">
      <formula>0</formula>
    </cfRule>
  </conditionalFormatting>
  <conditionalFormatting sqref="AA20:BJ20">
    <cfRule type="cellIs" dxfId="673" priority="50" operator="equal">
      <formula>0</formula>
    </cfRule>
    <cfRule type="cellIs" dxfId="672" priority="52" operator="equal">
      <formula>1</formula>
    </cfRule>
    <cfRule type="cellIs" dxfId="671" priority="51" operator="greaterThan">
      <formula>0</formula>
    </cfRule>
  </conditionalFormatting>
  <conditionalFormatting sqref="AH7:AI7">
    <cfRule type="cellIs" dxfId="670" priority="42" operator="equal">
      <formula>0</formula>
    </cfRule>
    <cfRule type="cellIs" dxfId="669" priority="43" operator="greaterThan">
      <formula>0</formula>
    </cfRule>
  </conditionalFormatting>
  <conditionalFormatting sqref="AH8:AI8">
    <cfRule type="expression" dxfId="668" priority="44">
      <formula>AND(AH$4=0,AI$4=1)</formula>
    </cfRule>
  </conditionalFormatting>
  <conditionalFormatting sqref="BJ42:BJ43 BJ55:BJ56 BJ59:BJ60 BJ63:BJ64 BJ70 BJ76 BJ79 BJ82 BJ86 BJ132 BJ143:BJ154 BJ157 BJ167 BJ170 BJ173 BJ175 BJ182 BJ185 BJ188 BJ191 BJ194 BJ197 BJ200 BJ203 BJ207:BJ216 BJ221:BJ225 BJ230:BJ235 BJ240:BJ241 BJ265 BJ271 BJ277">
    <cfRule type="expression" dxfId="667" priority="184">
      <formula>AND(BJ$4=0,BW$4=1)</formula>
    </cfRule>
  </conditionalFormatting>
  <conditionalFormatting sqref="BJ111:BJ113">
    <cfRule type="expression" dxfId="666" priority="17">
      <formula>AND(BJ$4=0,BW$4=1)</formula>
    </cfRule>
  </conditionalFormatting>
  <conditionalFormatting sqref="BJ119:BJ121">
    <cfRule type="expression" dxfId="665" priority="3">
      <formula>AND(BJ$4=0,BW$4=1)</formula>
    </cfRule>
  </conditionalFormatting>
  <conditionalFormatting sqref="BJ161">
    <cfRule type="expression" dxfId="664" priority="26">
      <formula>AND(BJ$4=0,BW$4=1)</formula>
    </cfRule>
  </conditionalFormatting>
  <conditionalFormatting sqref="BJ163">
    <cfRule type="expression" dxfId="663" priority="34">
      <formula>AND(BJ$4=0,BW$4=1)</formula>
    </cfRule>
  </conditionalFormatting>
  <conditionalFormatting sqref="CL2">
    <cfRule type="cellIs" dxfId="662" priority="346" operator="greaterThan">
      <formula>0</formula>
    </cfRule>
    <cfRule type="cellIs" dxfId="661" priority="347" operator="equal">
      <formula>0</formula>
    </cfRule>
  </conditionalFormatting>
  <conditionalFormatting sqref="CL42">
    <cfRule type="cellIs" dxfId="660" priority="342" operator="greaterThan">
      <formula>0</formula>
    </cfRule>
    <cfRule type="cellIs" dxfId="659" priority="343" operator="equal">
      <formula>0</formula>
    </cfRule>
  </conditionalFormatting>
  <conditionalFormatting sqref="CL47">
    <cfRule type="cellIs" dxfId="658" priority="259" operator="equal">
      <formula>0</formula>
    </cfRule>
    <cfRule type="cellIs" dxfId="657" priority="258" operator="greaterThan">
      <formula>0</formula>
    </cfRule>
  </conditionalFormatting>
  <conditionalFormatting sqref="CL59:CL60 CL63:CL64">
    <cfRule type="cellIs" dxfId="656" priority="263" operator="equal">
      <formula>0</formula>
    </cfRule>
  </conditionalFormatting>
  <conditionalFormatting sqref="CL59:CL162 CL165:CL234">
    <cfRule type="cellIs" dxfId="655" priority="150" operator="greaterThan">
      <formula>0</formula>
    </cfRule>
  </conditionalFormatting>
  <conditionalFormatting sqref="CL70">
    <cfRule type="cellIs" dxfId="654" priority="265" operator="equal">
      <formula>0</formula>
    </cfRule>
  </conditionalFormatting>
  <conditionalFormatting sqref="CL89">
    <cfRule type="cellIs" dxfId="653" priority="151" operator="equal">
      <formula>0</formula>
    </cfRule>
  </conditionalFormatting>
  <conditionalFormatting sqref="CL111:CL113">
    <cfRule type="cellIs" dxfId="652" priority="21" operator="equal">
      <formula>0</formula>
    </cfRule>
  </conditionalFormatting>
  <conditionalFormatting sqref="CL119:CL121">
    <cfRule type="cellIs" dxfId="651" priority="7" operator="equal">
      <formula>0</formula>
    </cfRule>
  </conditionalFormatting>
  <conditionalFormatting sqref="CL127:CL129">
    <cfRule type="cellIs" dxfId="650" priority="331" operator="equal">
      <formula>0</formula>
    </cfRule>
  </conditionalFormatting>
  <conditionalFormatting sqref="CL143:CL154">
    <cfRule type="cellIs" dxfId="649" priority="307" operator="equal">
      <formula>0</formula>
    </cfRule>
  </conditionalFormatting>
  <conditionalFormatting sqref="CL207:CL211">
    <cfRule type="cellIs" dxfId="648" priority="297" operator="equal">
      <formula>0</formula>
    </cfRule>
  </conditionalFormatting>
  <conditionalFormatting sqref="CL213">
    <cfRule type="cellIs" dxfId="647" priority="291" operator="equal">
      <formula>0</formula>
    </cfRule>
  </conditionalFormatting>
  <conditionalFormatting sqref="CL215">
    <cfRule type="cellIs" dxfId="646" priority="289" operator="equal">
      <formula>0</formula>
    </cfRule>
  </conditionalFormatting>
  <conditionalFormatting sqref="CL221">
    <cfRule type="cellIs" dxfId="645" priority="287" operator="equal">
      <formula>0</formula>
    </cfRule>
  </conditionalFormatting>
  <conditionalFormatting sqref="CL223">
    <cfRule type="cellIs" dxfId="644" priority="283" operator="equal">
      <formula>0</formula>
    </cfRule>
  </conditionalFormatting>
  <conditionalFormatting sqref="CL230">
    <cfRule type="cellIs" dxfId="643" priority="281" operator="equal">
      <formula>0</formula>
    </cfRule>
  </conditionalFormatting>
  <conditionalFormatting sqref="CL232">
    <cfRule type="cellIs" dxfId="642" priority="277" operator="equal">
      <formula>0</formula>
    </cfRule>
  </conditionalFormatting>
  <conditionalFormatting sqref="CL234">
    <cfRule type="cellIs" dxfId="641" priority="198" operator="equal">
      <formula>0</formula>
    </cfRule>
  </conditionalFormatting>
  <conditionalFormatting sqref="CL240:CL241">
    <cfRule type="cellIs" dxfId="640" priority="273" operator="equal">
      <formula>0</formula>
    </cfRule>
    <cfRule type="cellIs" dxfId="639" priority="272" operator="greaterThan">
      <formula>0</formula>
    </cfRule>
  </conditionalFormatting>
  <conditionalFormatting sqref="CL271">
    <cfRule type="cellIs" dxfId="638" priority="271" operator="equal">
      <formula>0</formula>
    </cfRule>
    <cfRule type="cellIs" dxfId="637" priority="270" operator="greaterThan">
      <formula>0</formula>
    </cfRule>
  </conditionalFormatting>
  <conditionalFormatting sqref="CL277">
    <cfRule type="cellIs" dxfId="636" priority="269" operator="equal">
      <formula>0</formula>
    </cfRule>
    <cfRule type="cellIs" dxfId="635" priority="268" operator="greaterThan">
      <formula>0</formula>
    </cfRule>
  </conditionalFormatting>
  <conditionalFormatting sqref="CN271:CP271">
    <cfRule type="cellIs" dxfId="634" priority="57" operator="equal">
      <formula>0</formula>
    </cfRule>
    <cfRule type="cellIs" dxfId="633" priority="58" operator="equal">
      <formula>1</formula>
    </cfRule>
  </conditionalFormatting>
  <conditionalFormatting sqref="CN277:CP277">
    <cfRule type="cellIs" dxfId="632" priority="55" operator="equal">
      <formula>0</formula>
    </cfRule>
    <cfRule type="cellIs" dxfId="631" priority="56" operator="equal">
      <formula>1</formula>
    </cfRule>
  </conditionalFormatting>
  <conditionalFormatting sqref="CO42:CO43">
    <cfRule type="cellIs" dxfId="630" priority="144" operator="equal">
      <formula>1</formula>
    </cfRule>
    <cfRule type="cellIs" dxfId="629" priority="143" operator="equal">
      <formula>0</formula>
    </cfRule>
  </conditionalFormatting>
  <conditionalFormatting sqref="CO55:CO56">
    <cfRule type="cellIs" dxfId="628" priority="141" operator="equal">
      <formula>0</formula>
    </cfRule>
    <cfRule type="cellIs" dxfId="627" priority="142" operator="equal">
      <formula>1</formula>
    </cfRule>
  </conditionalFormatting>
  <conditionalFormatting sqref="CO59:CO60">
    <cfRule type="cellIs" dxfId="626" priority="140" operator="equal">
      <formula>1</formula>
    </cfRule>
    <cfRule type="cellIs" dxfId="625" priority="139" operator="equal">
      <formula>0</formula>
    </cfRule>
  </conditionalFormatting>
  <conditionalFormatting sqref="CO63:CO64">
    <cfRule type="cellIs" dxfId="624" priority="138" operator="equal">
      <formula>1</formula>
    </cfRule>
    <cfRule type="cellIs" dxfId="623" priority="137" operator="equal">
      <formula>0</formula>
    </cfRule>
  </conditionalFormatting>
  <conditionalFormatting sqref="CO70">
    <cfRule type="cellIs" dxfId="622" priority="136" operator="equal">
      <formula>1</formula>
    </cfRule>
    <cfRule type="cellIs" dxfId="621" priority="135" operator="equal">
      <formula>0</formula>
    </cfRule>
  </conditionalFormatting>
  <conditionalFormatting sqref="CO73">
    <cfRule type="cellIs" dxfId="620" priority="134" operator="equal">
      <formula>1</formula>
    </cfRule>
    <cfRule type="cellIs" dxfId="619" priority="133" operator="equal">
      <formula>0</formula>
    </cfRule>
  </conditionalFormatting>
  <conditionalFormatting sqref="CO76">
    <cfRule type="cellIs" dxfId="618" priority="132" operator="equal">
      <formula>1</formula>
    </cfRule>
    <cfRule type="cellIs" dxfId="617" priority="131" operator="equal">
      <formula>0</formula>
    </cfRule>
  </conditionalFormatting>
  <conditionalFormatting sqref="CO79">
    <cfRule type="cellIs" dxfId="616" priority="130" operator="equal">
      <formula>1</formula>
    </cfRule>
    <cfRule type="cellIs" dxfId="615" priority="129" operator="equal">
      <formula>0</formula>
    </cfRule>
  </conditionalFormatting>
  <conditionalFormatting sqref="CO82">
    <cfRule type="cellIs" dxfId="614" priority="128" operator="equal">
      <formula>1</formula>
    </cfRule>
    <cfRule type="cellIs" dxfId="613" priority="127" operator="equal">
      <formula>0</formula>
    </cfRule>
  </conditionalFormatting>
  <conditionalFormatting sqref="CO86">
    <cfRule type="cellIs" dxfId="612" priority="126" operator="equal">
      <formula>1</formula>
    </cfRule>
    <cfRule type="cellIs" dxfId="611" priority="125" operator="equal">
      <formula>0</formula>
    </cfRule>
  </conditionalFormatting>
  <conditionalFormatting sqref="CO99">
    <cfRule type="cellIs" dxfId="610" priority="123" operator="equal">
      <formula>0</formula>
    </cfRule>
    <cfRule type="cellIs" dxfId="609" priority="124" operator="equal">
      <formula>1</formula>
    </cfRule>
  </conditionalFormatting>
  <conditionalFormatting sqref="CO105">
    <cfRule type="cellIs" dxfId="608" priority="122" operator="equal">
      <formula>1</formula>
    </cfRule>
    <cfRule type="cellIs" dxfId="607" priority="121" operator="equal">
      <formula>0</formula>
    </cfRule>
  </conditionalFormatting>
  <conditionalFormatting sqref="CO111:CO113">
    <cfRule type="cellIs" dxfId="606" priority="15" operator="equal">
      <formula>0</formula>
    </cfRule>
    <cfRule type="cellIs" dxfId="605" priority="16" operator="equal">
      <formula>1</formula>
    </cfRule>
  </conditionalFormatting>
  <conditionalFormatting sqref="CO119:CO121">
    <cfRule type="cellIs" dxfId="604" priority="2" operator="equal">
      <formula>1</formula>
    </cfRule>
    <cfRule type="cellIs" dxfId="603" priority="1" operator="equal">
      <formula>0</formula>
    </cfRule>
  </conditionalFormatting>
  <conditionalFormatting sqref="CO127:CO129">
    <cfRule type="cellIs" dxfId="602" priority="101" operator="equal">
      <formula>0</formula>
    </cfRule>
    <cfRule type="cellIs" dxfId="601" priority="102" operator="equal">
      <formula>1</formula>
    </cfRule>
  </conditionalFormatting>
  <conditionalFormatting sqref="CO132">
    <cfRule type="cellIs" dxfId="600" priority="100" operator="equal">
      <formula>1</formula>
    </cfRule>
    <cfRule type="cellIs" dxfId="599" priority="99" operator="equal">
      <formula>0</formula>
    </cfRule>
  </conditionalFormatting>
  <conditionalFormatting sqref="CO138">
    <cfRule type="cellIs" dxfId="598" priority="98" operator="equal">
      <formula>1</formula>
    </cfRule>
    <cfRule type="cellIs" dxfId="597" priority="97" operator="equal">
      <formula>0</formula>
    </cfRule>
  </conditionalFormatting>
  <conditionalFormatting sqref="CO143:CO154">
    <cfRule type="cellIs" dxfId="596" priority="96" operator="equal">
      <formula>1</formula>
    </cfRule>
    <cfRule type="cellIs" dxfId="595" priority="95" operator="equal">
      <formula>0</formula>
    </cfRule>
  </conditionalFormatting>
  <conditionalFormatting sqref="CO157">
    <cfRule type="cellIs" dxfId="594" priority="94" operator="equal">
      <formula>1</formula>
    </cfRule>
    <cfRule type="cellIs" dxfId="593" priority="93" operator="equal">
      <formula>0</formula>
    </cfRule>
  </conditionalFormatting>
  <conditionalFormatting sqref="CO161">
    <cfRule type="cellIs" dxfId="592" priority="24" operator="equal">
      <formula>0</formula>
    </cfRule>
    <cfRule type="cellIs" dxfId="591" priority="25" operator="equal">
      <formula>1</formula>
    </cfRule>
  </conditionalFormatting>
  <conditionalFormatting sqref="CO163">
    <cfRule type="cellIs" dxfId="590" priority="32" operator="equal">
      <formula>0</formula>
    </cfRule>
    <cfRule type="cellIs" dxfId="589" priority="33" operator="equal">
      <formula>1</formula>
    </cfRule>
  </conditionalFormatting>
  <conditionalFormatting sqref="CO167">
    <cfRule type="cellIs" dxfId="588" priority="92" operator="equal">
      <formula>1</formula>
    </cfRule>
    <cfRule type="cellIs" dxfId="587" priority="91" operator="equal">
      <formula>0</formula>
    </cfRule>
  </conditionalFormatting>
  <conditionalFormatting sqref="CO170">
    <cfRule type="cellIs" dxfId="586" priority="90" operator="equal">
      <formula>1</formula>
    </cfRule>
    <cfRule type="cellIs" dxfId="585" priority="89" operator="equal">
      <formula>0</formula>
    </cfRule>
  </conditionalFormatting>
  <conditionalFormatting sqref="CO173">
    <cfRule type="cellIs" dxfId="584" priority="87" operator="equal">
      <formula>0</formula>
    </cfRule>
    <cfRule type="cellIs" dxfId="583" priority="88" operator="equal">
      <formula>1</formula>
    </cfRule>
  </conditionalFormatting>
  <conditionalFormatting sqref="CO175">
    <cfRule type="cellIs" dxfId="582" priority="86" operator="equal">
      <formula>1</formula>
    </cfRule>
    <cfRule type="cellIs" dxfId="581" priority="85" operator="equal">
      <formula>0</formula>
    </cfRule>
  </conditionalFormatting>
  <conditionalFormatting sqref="CO182">
    <cfRule type="cellIs" dxfId="580" priority="84" operator="equal">
      <formula>1</formula>
    </cfRule>
    <cfRule type="cellIs" dxfId="579" priority="83" operator="equal">
      <formula>0</formula>
    </cfRule>
  </conditionalFormatting>
  <conditionalFormatting sqref="CO185">
    <cfRule type="cellIs" dxfId="578" priority="82" operator="equal">
      <formula>1</formula>
    </cfRule>
    <cfRule type="cellIs" dxfId="577" priority="81" operator="equal">
      <formula>0</formula>
    </cfRule>
  </conditionalFormatting>
  <conditionalFormatting sqref="CO188">
    <cfRule type="cellIs" dxfId="576" priority="80" operator="equal">
      <formula>1</formula>
    </cfRule>
    <cfRule type="cellIs" dxfId="575" priority="79" operator="equal">
      <formula>0</formula>
    </cfRule>
  </conditionalFormatting>
  <conditionalFormatting sqref="CO191">
    <cfRule type="cellIs" dxfId="574" priority="78" operator="equal">
      <formula>1</formula>
    </cfRule>
    <cfRule type="cellIs" dxfId="573" priority="77" operator="equal">
      <formula>0</formula>
    </cfRule>
  </conditionalFormatting>
  <conditionalFormatting sqref="CO194">
    <cfRule type="cellIs" dxfId="572" priority="76" operator="equal">
      <formula>1</formula>
    </cfRule>
    <cfRule type="cellIs" dxfId="571" priority="75" operator="equal">
      <formula>0</formula>
    </cfRule>
  </conditionalFormatting>
  <conditionalFormatting sqref="CO197">
    <cfRule type="cellIs" dxfId="570" priority="74" operator="equal">
      <formula>1</formula>
    </cfRule>
    <cfRule type="cellIs" dxfId="569" priority="73" operator="equal">
      <formula>0</formula>
    </cfRule>
  </conditionalFormatting>
  <conditionalFormatting sqref="CO200">
    <cfRule type="cellIs" dxfId="568" priority="72" operator="equal">
      <formula>1</formula>
    </cfRule>
    <cfRule type="cellIs" dxfId="567" priority="71" operator="equal">
      <formula>0</formula>
    </cfRule>
  </conditionalFormatting>
  <conditionalFormatting sqref="CO203">
    <cfRule type="cellIs" dxfId="566" priority="70" operator="equal">
      <formula>1</formula>
    </cfRule>
    <cfRule type="cellIs" dxfId="565" priority="69" operator="equal">
      <formula>0</formula>
    </cfRule>
  </conditionalFormatting>
  <conditionalFormatting sqref="CO207:CO216">
    <cfRule type="cellIs" dxfId="564" priority="68" operator="equal">
      <formula>1</formula>
    </cfRule>
    <cfRule type="cellIs" dxfId="563" priority="67" operator="equal">
      <formula>0</formula>
    </cfRule>
  </conditionalFormatting>
  <conditionalFormatting sqref="CO221:CO225">
    <cfRule type="cellIs" dxfId="562" priority="66" operator="equal">
      <formula>1</formula>
    </cfRule>
    <cfRule type="cellIs" dxfId="561" priority="65" operator="equal">
      <formula>0</formula>
    </cfRule>
  </conditionalFormatting>
  <conditionalFormatting sqref="CO230:CO235">
    <cfRule type="cellIs" dxfId="560" priority="64" operator="equal">
      <formula>1</formula>
    </cfRule>
    <cfRule type="cellIs" dxfId="559" priority="63" operator="equal">
      <formula>0</formula>
    </cfRule>
  </conditionalFormatting>
  <conditionalFormatting sqref="CO240:CO241">
    <cfRule type="cellIs" dxfId="558" priority="61" operator="equal">
      <formula>0</formula>
    </cfRule>
    <cfRule type="cellIs" dxfId="557" priority="62" operator="equal">
      <formula>1</formula>
    </cfRule>
  </conditionalFormatting>
  <conditionalFormatting sqref="CO265">
    <cfRule type="cellIs" dxfId="556" priority="59" operator="equal">
      <formula>0</formula>
    </cfRule>
    <cfRule type="cellIs" dxfId="555" priority="60" operator="equal">
      <formula>1</formula>
    </cfRule>
  </conditionalFormatting>
  <conditionalFormatting sqref="CP273">
    <cfRule type="cellIs" dxfId="554" priority="54" operator="equal">
      <formula>1</formula>
    </cfRule>
    <cfRule type="cellIs" dxfId="553" priority="53" operator="equal">
      <formula>0</formula>
    </cfRule>
  </conditionalFormatting>
  <conditionalFormatting sqref="CP279">
    <cfRule type="cellIs" dxfId="552" priority="657" operator="equal">
      <formula>1</formula>
    </cfRule>
    <cfRule type="cellIs" dxfId="551" priority="656" operator="equal">
      <formula>0</formula>
    </cfRule>
  </conditionalFormatting>
  <conditionalFormatting sqref="CQ20">
    <cfRule type="cellIs" dxfId="550" priority="675" operator="equal">
      <formula>1</formula>
    </cfRule>
    <cfRule type="cellIs" dxfId="549" priority="674" operator="equal">
      <formula>0</formula>
    </cfRule>
  </conditionalFormatting>
  <conditionalFormatting sqref="CR44 CR70 CR114 CR130:CR131 CR155 CR217 CR242 CR248 CR253 CR259">
    <cfRule type="cellIs" dxfId="548" priority="211" operator="equal">
      <formula>0</formula>
    </cfRule>
    <cfRule type="cellIs" dxfId="547" priority="212" operator="equal">
      <formula>1</formula>
    </cfRule>
  </conditionalFormatting>
  <conditionalFormatting sqref="CR122">
    <cfRule type="cellIs" dxfId="546" priority="10" operator="equal">
      <formula>1</formula>
    </cfRule>
    <cfRule type="cellIs" dxfId="545" priority="9" operator="equal">
      <formula>0</formula>
    </cfRule>
  </conditionalFormatting>
  <conditionalFormatting sqref="CR226">
    <cfRule type="cellIs" dxfId="544" priority="214" operator="equal">
      <formula>1</formula>
    </cfRule>
    <cfRule type="cellIs" dxfId="543" priority="213" operator="equal">
      <formula>0</formula>
    </cfRule>
  </conditionalFormatting>
  <conditionalFormatting sqref="CR236">
    <cfRule type="cellIs" dxfId="542" priority="216" operator="equal">
      <formula>1</formula>
    </cfRule>
    <cfRule type="cellIs" dxfId="541" priority="215" operator="equal">
      <formula>0</formula>
    </cfRule>
  </conditionalFormatting>
  <conditionalFormatting sqref="CS12 CS14 CS16">
    <cfRule type="cellIs" dxfId="540" priority="573" operator="equal">
      <formula>1</formula>
    </cfRule>
    <cfRule type="cellIs" dxfId="539" priority="572" operator="equal">
      <formula>0</formula>
    </cfRule>
  </conditionalFormatting>
  <conditionalFormatting sqref="CS25">
    <cfRule type="cellIs" dxfId="538" priority="569" operator="equal">
      <formula>1</formula>
    </cfRule>
    <cfRule type="cellIs" dxfId="537" priority="568" operator="equal">
      <formula>0</formula>
    </cfRule>
  </conditionalFormatting>
  <conditionalFormatting sqref="CS28">
    <cfRule type="cellIs" dxfId="536" priority="567" operator="equal">
      <formula>1</formula>
    </cfRule>
    <cfRule type="cellIs" dxfId="535" priority="566" operator="equal">
      <formula>0</formula>
    </cfRule>
  </conditionalFormatting>
  <conditionalFormatting sqref="CS31">
    <cfRule type="cellIs" dxfId="534" priority="561" operator="equal">
      <formula>1</formula>
    </cfRule>
    <cfRule type="cellIs" dxfId="533" priority="560" operator="equal">
      <formula>0</formula>
    </cfRule>
  </conditionalFormatting>
  <conditionalFormatting sqref="CS34">
    <cfRule type="cellIs" dxfId="532" priority="558" operator="equal">
      <formula>0</formula>
    </cfRule>
    <cfRule type="cellIs" dxfId="531" priority="559" operator="equal">
      <formula>1</formula>
    </cfRule>
  </conditionalFormatting>
  <conditionalFormatting sqref="CS37">
    <cfRule type="cellIs" dxfId="530" priority="564" operator="equal">
      <formula>0</formula>
    </cfRule>
    <cfRule type="cellIs" dxfId="529" priority="565" operator="equal">
      <formula>1</formula>
    </cfRule>
  </conditionalFormatting>
  <conditionalFormatting sqref="CS40:CS44">
    <cfRule type="cellIs" dxfId="528" priority="438" operator="equal">
      <formula>0</formula>
    </cfRule>
  </conditionalFormatting>
  <conditionalFormatting sqref="CS40:CS83">
    <cfRule type="cellIs" dxfId="527" priority="253" operator="equal">
      <formula>1</formula>
    </cfRule>
  </conditionalFormatting>
  <conditionalFormatting sqref="CS52">
    <cfRule type="cellIs" dxfId="526" priority="556" operator="equal">
      <formula>0</formula>
    </cfRule>
  </conditionalFormatting>
  <conditionalFormatting sqref="CS55:CS56">
    <cfRule type="cellIs" dxfId="525" priority="552" operator="equal">
      <formula>0</formula>
    </cfRule>
  </conditionalFormatting>
  <conditionalFormatting sqref="CS59:CS60">
    <cfRule type="cellIs" dxfId="524" priority="546" operator="equal">
      <formula>0</formula>
    </cfRule>
  </conditionalFormatting>
  <conditionalFormatting sqref="CS63:CS64">
    <cfRule type="cellIs" dxfId="523" priority="542" operator="equal">
      <formula>0</formula>
    </cfRule>
  </conditionalFormatting>
  <conditionalFormatting sqref="CS67:CS70 CS142:CS155 CS206:CS217 CS220:CS226 CS245:CS248 CS251:CS253 CS256:CS259">
    <cfRule type="cellIs" dxfId="522" priority="472" operator="equal">
      <formula>0</formula>
    </cfRule>
  </conditionalFormatting>
  <conditionalFormatting sqref="CS73">
    <cfRule type="cellIs" dxfId="521" priority="540" operator="equal">
      <formula>0</formula>
    </cfRule>
  </conditionalFormatting>
  <conditionalFormatting sqref="CS76">
    <cfRule type="cellIs" dxfId="520" priority="538" operator="equal">
      <formula>0</formula>
    </cfRule>
  </conditionalFormatting>
  <conditionalFormatting sqref="CS79">
    <cfRule type="cellIs" dxfId="519" priority="418" operator="equal">
      <formula>0</formula>
    </cfRule>
  </conditionalFormatting>
  <conditionalFormatting sqref="CS82:CS83">
    <cfRule type="cellIs" dxfId="518" priority="252" operator="equal">
      <formula>0</formula>
    </cfRule>
  </conditionalFormatting>
  <conditionalFormatting sqref="CS86">
    <cfRule type="cellIs" dxfId="517" priority="534" operator="equal">
      <formula>0</formula>
    </cfRule>
  </conditionalFormatting>
  <conditionalFormatting sqref="CS94">
    <cfRule type="cellIs" dxfId="516" priority="524" operator="equal">
      <formula>0</formula>
    </cfRule>
  </conditionalFormatting>
  <conditionalFormatting sqref="CS97">
    <cfRule type="cellIs" dxfId="515" priority="520" operator="equal">
      <formula>0</formula>
    </cfRule>
  </conditionalFormatting>
  <conditionalFormatting sqref="CS99:CS100">
    <cfRule type="cellIs" dxfId="514" priority="518" operator="equal">
      <formula>0</formula>
    </cfRule>
  </conditionalFormatting>
  <conditionalFormatting sqref="CS103">
    <cfRule type="cellIs" dxfId="513" priority="516" operator="equal">
      <formula>0</formula>
    </cfRule>
  </conditionalFormatting>
  <conditionalFormatting sqref="CS105:CS106">
    <cfRule type="cellIs" dxfId="512" priority="514" operator="equal">
      <formula>0</formula>
    </cfRule>
  </conditionalFormatting>
  <conditionalFormatting sqref="CS109:CS114 CS125:CS133">
    <cfRule type="cellIs" dxfId="511" priority="456" operator="equal">
      <formula>0</formula>
    </cfRule>
  </conditionalFormatting>
  <conditionalFormatting sqref="CS117:CS122">
    <cfRule type="cellIs" dxfId="510" priority="14" operator="equal">
      <formula>0</formula>
    </cfRule>
  </conditionalFormatting>
  <conditionalFormatting sqref="CS136">
    <cfRule type="cellIs" dxfId="509" priority="488" operator="equal">
      <formula>0</formula>
    </cfRule>
  </conditionalFormatting>
  <conditionalFormatting sqref="CS138:CS139">
    <cfRule type="cellIs" dxfId="508" priority="436" operator="equal">
      <formula>0</formula>
    </cfRule>
  </conditionalFormatting>
  <conditionalFormatting sqref="CS157:CS164">
    <cfRule type="cellIs" dxfId="507" priority="22" operator="equal">
      <formula>0</formula>
    </cfRule>
  </conditionalFormatting>
  <conditionalFormatting sqref="CS167">
    <cfRule type="cellIs" dxfId="506" priority="506" operator="equal">
      <formula>0</formula>
    </cfRule>
  </conditionalFormatting>
  <conditionalFormatting sqref="CS170:CS176">
    <cfRule type="cellIs" dxfId="505" priority="498" operator="equal">
      <formula>0</formula>
    </cfRule>
  </conditionalFormatting>
  <conditionalFormatting sqref="CS179">
    <cfRule type="cellIs" dxfId="504" priority="502" operator="equal">
      <formula>0</formula>
    </cfRule>
  </conditionalFormatting>
  <conditionalFormatting sqref="CS182:CS185">
    <cfRule type="cellIs" dxfId="503" priority="466" operator="equal">
      <formula>0</formula>
    </cfRule>
  </conditionalFormatting>
  <conditionalFormatting sqref="CS188">
    <cfRule type="cellIs" dxfId="502" priority="494" operator="equal">
      <formula>0</formula>
    </cfRule>
  </conditionalFormatting>
  <conditionalFormatting sqref="CS191">
    <cfRule type="cellIs" dxfId="501" priority="492" operator="equal">
      <formula>0</formula>
    </cfRule>
  </conditionalFormatting>
  <conditionalFormatting sqref="CS194">
    <cfRule type="cellIs" dxfId="500" priority="490" operator="equal">
      <formula>0</formula>
    </cfRule>
  </conditionalFormatting>
  <conditionalFormatting sqref="CS197 CS200 CS265 CS267 CS271 CS273 CS277 CS279 CS282:CS284">
    <cfRule type="cellIs" dxfId="499" priority="480" operator="equal">
      <formula>0</formula>
    </cfRule>
  </conditionalFormatting>
  <conditionalFormatting sqref="CS203">
    <cfRule type="cellIs" dxfId="498" priority="414" operator="equal">
      <formula>0</formula>
    </cfRule>
  </conditionalFormatting>
  <conditionalFormatting sqref="CS229:CS236">
    <cfRule type="cellIs" dxfId="497" priority="199" operator="equal">
      <formula>0</formula>
    </cfRule>
  </conditionalFormatting>
  <conditionalFormatting sqref="CS239:CS242">
    <cfRule type="cellIs" dxfId="496" priority="411" operator="equal">
      <formula>1</formula>
    </cfRule>
    <cfRule type="cellIs" dxfId="495" priority="410" operator="equal">
      <formula>0</formula>
    </cfRule>
  </conditionalFormatting>
  <conditionalFormatting sqref="CS245:CS248 CS251:CS253 CS256:CS259">
    <cfRule type="cellIs" dxfId="494" priority="473" operator="equal">
      <formula>1</formula>
    </cfRule>
  </conditionalFormatting>
  <conditionalFormatting sqref="CS265 CS267 CS271 CS273 CS277 CS279 CS282:CS284">
    <cfRule type="cellIs" dxfId="493" priority="481" operator="equal">
      <formula>1</formula>
    </cfRule>
  </conditionalFormatting>
  <dataValidations count="16">
    <dataValidation allowBlank="1" showInputMessage="1" promptTitle="Reserve credits sign" prompt="Enter reserve credits with a positive sign." sqref="B277 B271 B265" xr:uid="{456E3480-9DE2-4A1B-B433-588396FA5C59}"/>
    <dataValidation allowBlank="1" showInputMessage="1" promptTitle="Bad Debt Provision Balance" prompt="Bad debt provision balance to be entered as a negative asset amount to be netted against receivables as follows:_x000a_Credit Assets: -ve (Cr.)" sqref="B70" xr:uid="{CE1260F8-41BC-4672-8E04-51649171AE80}"/>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FF41BEF8-9607-40CD-968A-6789771BC42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287" xr:uid="{C8D5C8F6-F5DB-4DAD-B838-3443B236AEA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0" xr:uid="{50EDA6FC-2E4F-456B-A55F-7F3DD05FCEC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E42 E68 E120 E153 E215 E224 CR7 E240 E246 E251 E257 E233 E112" xr:uid="{EB90F37F-25D9-4F29-918F-5F647DB1C75C}"/>
    <dataValidation allowBlank="1" showInputMessage="1" promptTitle="Reserve Account selection" prompt="Checks that a Reserve account name is selected from the dropdown menue if reserve transfer is applied." sqref="CN7" xr:uid="{993B8477-1C33-45AA-B2FC-8668657C9448}"/>
    <dataValidation allowBlank="1" showInputMessage="1" promptTitle="Valid Reserve Account selection" prompt="Checks that the Reserve Account name entered is valid, i.e. it matches one of the pre-set reserve names. _x000a__x000a_If flagged, please make sure you have selected a valid Reserve Account name from the dropdown menu." sqref="CP7" xr:uid="{7D77C76C-CB74-4E62-8815-CF61A47E4B89}"/>
    <dataValidation allowBlank="1" showInputMessage="1" promptTitle="Balance Sheet check" prompt="Checks that the Balance Sheet reconciles, i.e.:_x000a_ Assets= Liabilities + Reserves" sqref="CQ7" xr:uid="{8C1140BA-DD8C-4CF0-9343-893947957094}"/>
    <dataValidation allowBlank="1" showInputMessage="1" promptTitle="Annual timelines Reconciliation" prompt="Checks that the amounts on the 4 year timeline = amounts on the 12 year timeline" sqref="CS7" xr:uid="{91E2BF1B-59BC-4A0B-8C75-A2A4313535EA}"/>
    <dataValidation allowBlank="1" showInputMessage="1" promptTitle="Input validation check" prompt="Flags where a cell contains invalid characters, such as full stops, dashes and spaces._x000a_" sqref="CO7" xr:uid="{F62F7FB6-2A51-4C7D-AEBF-2EBFFD0C5ED9}"/>
    <dataValidation allowBlank="1" showInputMessage="1" showErrorMessage="1" promptTitle="Year to date entry" prompt="Year to date figures can only run to the end of March" sqref="AH8:AI8" xr:uid="{70904F9C-9155-4514-A85C-011F5A5C3B0B}"/>
    <dataValidation allowBlank="1" showErrorMessage="1" sqref="E128" xr:uid="{B1679F4A-958B-4F62-8063-A4B2095A8FF1}"/>
    <dataValidation allowBlank="1" showInputMessage="1" promptTitle="In use from 2026/27" prompt="Line in use from cell AM121 (2026/27). Locked cells will be unlocked in CFFR27. Please see paragraphs 16 and 17 of the College Financial Planning Handbook." sqref="B121" xr:uid="{B6932F7A-9230-4F9D-8545-F60BC2DB043C}"/>
    <dataValidation allowBlank="1" showInputMessage="1" promptTitle="In use from 2026/27" prompt="Line in use from cell AM120 (2026/27). Locked cells will be unlocked in CFFR27. Please see paragraphs 16 and 17 of the College Financial Planning Handbook." sqref="B120" xr:uid="{E8CEA1BE-399C-4D76-9562-A80030D336FA}"/>
    <dataValidation allowBlank="1" showInputMessage="1" promptTitle="In use from 2026/27" prompt="Line in use from cell AM119 (2026/27). Locked cells will be unlocked in CFFR27. Please see paragraphs 16 and 17 of the College Financial Planning Handbook." sqref="B119" xr:uid="{2F4272EA-F5C7-45A7-BE19-37F3C1CA8F31}"/>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147" id="{12A7CD45-8006-4C0A-92BB-E124968D4F99}">
            <xm:f>OR($D$2='Dash Data'!$D$95, $D$2='Dash Data'!$D$96, $D$2='Dash Data'!$D$98)</xm:f>
            <x14:dxf>
              <numFmt numFmtId="14" formatCode="0.00%"/>
            </x14:dxf>
          </x14:cfRule>
          <xm:sqref>V2:Y2</xm:sqref>
        </x14:conditionalFormatting>
        <x14:conditionalFormatting xmlns:xm="http://schemas.microsoft.com/office/excel/2006/main">
          <x14:cfRule type="expression" priority="203" id="{3FE80FDD-4C0D-484C-B68B-19A2CB00767F}">
            <xm:f>AND('Cover Sheet'!$E$29=0, AA$4=0, AB$4=0)</xm:f>
            <x14:dxf>
              <fill>
                <patternFill>
                  <bgColor theme="0"/>
                </patternFill>
              </fill>
            </x14:dxf>
          </x14:cfRule>
          <xm:sqref>AA42:AG43 AJ42:BI43 AA55:AG56 AJ55:BI56 AA59:AG60 AJ59:BI60 AA63:AG64 AJ63:BI64 AA70:AG70 AJ70:BI70 AA73:AG73 AJ73:BJ73 AA76:AG76 AJ76:BI76 AA79:AG79 AJ79:BI79 AA82:AG82 AJ82:BI82 AA86:AG86 AJ86:BI86 AA132:AG132 AJ132:BI132 AA143:AG154 AJ143:BI154 AA157:AG157 AJ157:BI157 AA167:AG167 AJ167:BI167 AA170:AG170 AJ170:BI170 AA173:AG173 AJ173:BI173 AA175:AG175 AJ175:BI175 AA182:AG182 AJ182:BI182 AA185:AG185 AJ185:BI185 AA188:AG188 AJ188:BI188 AA191:AG191 AJ191:BI191 AA194:AG194 AJ194:BI194 AA197:AG197 AJ197:BI197 AA200:AG200 AJ200:BI200 AA203:AG203 AJ203:BI203 AA207:AG216 AJ207:BI216 AA221:AG225 AJ221:BI225 AA230:AG235 AJ230:BI235 AA240:AG241 AJ240:BI241 AA265:AG265 AJ265:BI265 AA271:AG271 AJ271:BI271 AA277:AG277 AJ277:BI277</xm:sqref>
        </x14:conditionalFormatting>
        <x14:conditionalFormatting xmlns:xm="http://schemas.microsoft.com/office/excel/2006/main">
          <x14:cfRule type="expression" priority="19" id="{0B7B2C64-79E1-47CA-8EAA-BCE72B681D41}">
            <xm:f>AND('Cover Sheet'!$E$29=0, AA$4=0, AB$4=0)</xm:f>
            <x14:dxf>
              <fill>
                <patternFill>
                  <bgColor theme="0"/>
                </patternFill>
              </fill>
            </x14:dxf>
          </x14:cfRule>
          <xm:sqref>AA111:AG113 AJ111:BI113</xm:sqref>
        </x14:conditionalFormatting>
        <x14:conditionalFormatting xmlns:xm="http://schemas.microsoft.com/office/excel/2006/main">
          <x14:cfRule type="expression" priority="5" id="{094E396E-05FE-4B1C-8A98-0CAA192A60B9}">
            <xm:f>AND('Cover Sheet'!$E$29=0, AA$4=0, AB$4=0)</xm:f>
            <x14:dxf>
              <fill>
                <patternFill>
                  <bgColor theme="0"/>
                </patternFill>
              </fill>
            </x14:dxf>
          </x14:cfRule>
          <xm:sqref>AA119:AG121 AJ119:BI121</xm:sqref>
        </x14:conditionalFormatting>
        <x14:conditionalFormatting xmlns:xm="http://schemas.microsoft.com/office/excel/2006/main">
          <x14:cfRule type="expression" priority="28" id="{BC0121A7-1B21-410B-884F-CD65CA864328}">
            <xm:f>AND('Cover Sheet'!$E$29=0, AA$4=0, AB$4=0)</xm:f>
            <x14:dxf>
              <fill>
                <patternFill>
                  <bgColor theme="0"/>
                </patternFill>
              </fill>
            </x14:dxf>
          </x14:cfRule>
          <xm:sqref>AA161:AG161 AJ161:BI161</xm:sqref>
        </x14:conditionalFormatting>
        <x14:conditionalFormatting xmlns:xm="http://schemas.microsoft.com/office/excel/2006/main">
          <x14:cfRule type="expression" priority="36" id="{E950F089-3F48-4FFB-9682-6EA8CAD7EEAF}">
            <xm:f>AND('Cover Sheet'!$E$29=0, AA$4=0, AB$4=0)</xm:f>
            <x14:dxf>
              <fill>
                <patternFill>
                  <bgColor theme="0"/>
                </patternFill>
              </fill>
            </x14:dxf>
          </x14:cfRule>
          <xm:sqref>AA163:AG163 AJ163:BI163</xm:sqref>
        </x14:conditionalFormatting>
        <x14:conditionalFormatting xmlns:xm="http://schemas.microsoft.com/office/excel/2006/main">
          <x14:cfRule type="expression" priority="185" id="{CDE43250-6152-428D-B6DD-0A225B600E2F}">
            <xm:f>AND('Cover Sheet'!$E$29=0, BJ$4=0, BW$4=0)</xm:f>
            <x14:dxf>
              <fill>
                <patternFill>
                  <bgColor theme="0"/>
                </patternFill>
              </fill>
            </x14:dxf>
          </x14:cfRule>
          <xm:sqref>BJ42:BJ43 BJ55:BJ56 BJ59:BJ60 BJ63:BJ64 BJ70 BJ76 BJ79 BJ82 BJ86 BJ132 BJ143:BJ154 BJ157 BJ167 BJ170 BJ173 BJ175 BJ182 BJ185 BJ188 BJ191 BJ194 BJ197 BJ200 BJ203 BJ207:BJ216 BJ221:BJ225 BJ230:BJ235 BJ240:BJ241 BJ265 BJ271 BJ277</xm:sqref>
        </x14:conditionalFormatting>
        <x14:conditionalFormatting xmlns:xm="http://schemas.microsoft.com/office/excel/2006/main">
          <x14:cfRule type="expression" priority="18" id="{E4BE3D3C-BDFB-492C-866D-E2F15EB4C7D1}">
            <xm:f>AND('Cover Sheet'!$E$29=0, BJ$4=0, BW$4=0)</xm:f>
            <x14:dxf>
              <fill>
                <patternFill>
                  <bgColor theme="0"/>
                </patternFill>
              </fill>
            </x14:dxf>
          </x14:cfRule>
          <xm:sqref>BJ111:BJ113</xm:sqref>
        </x14:conditionalFormatting>
        <x14:conditionalFormatting xmlns:xm="http://schemas.microsoft.com/office/excel/2006/main">
          <x14:cfRule type="expression" priority="4" id="{12EACA4F-3E65-47D9-BE1E-7AE52A0F3E9A}">
            <xm:f>AND('Cover Sheet'!$E$29=0, BJ$4=0, BW$4=0)</xm:f>
            <x14:dxf>
              <fill>
                <patternFill>
                  <bgColor theme="0"/>
                </patternFill>
              </fill>
            </x14:dxf>
          </x14:cfRule>
          <xm:sqref>BJ119:BJ121</xm:sqref>
        </x14:conditionalFormatting>
        <x14:conditionalFormatting xmlns:xm="http://schemas.microsoft.com/office/excel/2006/main">
          <x14:cfRule type="expression" priority="27" id="{AFFEBC47-2B31-4AAD-AA1A-182DEB98DF7A}">
            <xm:f>AND('Cover Sheet'!$E$29=0, BJ$4=0, BW$4=0)</xm:f>
            <x14:dxf>
              <fill>
                <patternFill>
                  <bgColor theme="0"/>
                </patternFill>
              </fill>
            </x14:dxf>
          </x14:cfRule>
          <xm:sqref>BJ161</xm:sqref>
        </x14:conditionalFormatting>
        <x14:conditionalFormatting xmlns:xm="http://schemas.microsoft.com/office/excel/2006/main">
          <x14:cfRule type="expression" priority="35" id="{FFC63269-1947-4CB7-A670-AA398F711636}">
            <xm:f>AND('Cover Sheet'!$E$29=0, BJ$4=0, BW$4=0)</xm:f>
            <x14:dxf>
              <fill>
                <patternFill>
                  <bgColor theme="0"/>
                </patternFill>
              </fill>
            </x14:dxf>
          </x14:cfRule>
          <xm:sqref>BJ163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BC4A81D-48B6-43FE-8BFE-5E7A5000A78D}">
          <x14:formula1>
            <xm:f>Parameters!$D$62:$D$64</xm:f>
          </x14:formula1>
          <xm:sqref>D271 D273 D277 D279</xm:sqref>
        </x14:dataValidation>
        <x14:dataValidation type="list" allowBlank="1" showInputMessage="1" showErrorMessage="1" xr:uid="{EE32C11A-AE6E-4CBC-BCA4-CCE70CCE65E7}">
          <x14:formula1>
            <xm:f>'Dash Data'!$D$93:$D$100</xm:f>
          </x14:formula1>
          <xm:sqref>D2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71AB-60D6-47B7-A2C6-86D914942CDC}">
  <sheetPr codeName="Sheet19">
    <tabColor rgb="FFBBF7DC"/>
    <outlinePr summaryBelow="0" summaryRight="0"/>
    <pageSetUpPr autoPageBreaks="0"/>
  </sheetPr>
  <dimension ref="A1:CM31"/>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48.453125" customWidth="1"/>
    <col min="5" max="5" width="12.453125" style="1" customWidth="1" outlineLevel="1"/>
    <col min="6" max="6" width="1.54296875" customWidth="1" collapsed="1"/>
    <col min="7" max="7" width="7.1796875" hidden="1" customWidth="1" outlineLevel="1"/>
    <col min="8" max="8" width="15" hidden="1" customWidth="1" outlineLevel="1"/>
    <col min="9" max="9" width="2" bestFit="1" customWidth="1" collapsed="1"/>
    <col min="10" max="10" width="2" hidden="1" customWidth="1" outlineLevel="1"/>
    <col min="11" max="18" width="8.81640625" hidden="1" customWidth="1" outlineLevel="1"/>
    <col min="19" max="19" width="3" hidden="1" customWidth="1" outlineLevel="1"/>
    <col min="20" max="20" width="11.54296875" hidden="1" customWidth="1" outlineLevel="1"/>
    <col min="21" max="21" width="9.54296875" hidden="1" customWidth="1" outlineLevel="1"/>
    <col min="22" max="25" width="8.816406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8.81640625" bestFit="1" customWidth="1"/>
    <col min="88" max="88" width="3" bestFit="1" customWidth="1"/>
    <col min="89" max="89" width="3.453125" customWidth="1"/>
    <col min="90" max="90" width="13.1796875" customWidth="1"/>
    <col min="91" max="91" width="2.81640625" customWidth="1"/>
  </cols>
  <sheetData>
    <row r="1" spans="1:91" x14ac:dyDescent="0.35">
      <c r="A1" s="7">
        <f ca="1">ToC!A1</f>
        <v>0</v>
      </c>
      <c r="B1" s="13" t="s">
        <v>1499</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M1" s="663"/>
    </row>
    <row r="2" spans="1:91" ht="14.65" customHeight="1" x14ac:dyDescent="0.35">
      <c r="A2" s="7">
        <f>SUM(A$7:A$31)</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M2" s="663"/>
    </row>
    <row r="3" spans="1:91"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M3" s="663"/>
    </row>
    <row r="4" spans="1:91"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row>
    <row r="5" spans="1:91"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row>
    <row r="6" spans="1:91" x14ac:dyDescent="0.35">
      <c r="A6" s="67" t="str" cm="1">
        <f t="array" aca="1" ref="A6" ca="1">HYPERLINK(CONCATENATE("#",CELL("address",CK7)),"Check")</f>
        <v>Check</v>
      </c>
      <c r="B6" s="13"/>
      <c r="C6" s="13" t="s">
        <v>183</v>
      </c>
      <c r="D6" s="23" t="s">
        <v>19</v>
      </c>
      <c r="E6" s="13"/>
      <c r="F6" s="13"/>
      <c r="G6" s="13" t="s">
        <v>272</v>
      </c>
      <c r="H6" s="13" t="s">
        <v>313</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row>
    <row r="7" spans="1:91" x14ac:dyDescent="0.35">
      <c r="B7" s="97" t="s">
        <v>184</v>
      </c>
      <c r="D7" s="1"/>
      <c r="E7"/>
      <c r="BY7" s="6"/>
      <c r="CK7" s="35"/>
      <c r="CM7" s="35"/>
    </row>
    <row r="8" spans="1:91" ht="8.25" customHeight="1" x14ac:dyDescent="0.35">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35"/>
      <c r="CM8" s="35"/>
    </row>
    <row r="9" spans="1:91" x14ac:dyDescent="0.35">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
      <c r="CM9" s="35"/>
    </row>
    <row r="10" spans="1:91" x14ac:dyDescent="0.3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
      <c r="CM10" s="35"/>
    </row>
    <row r="11" spans="1:91" x14ac:dyDescent="0.35">
      <c r="A11" s="115"/>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
      <c r="CM11" s="35"/>
    </row>
    <row r="12" spans="1:91" x14ac:dyDescent="0.35">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
      <c r="CM12" s="35"/>
    </row>
    <row r="13" spans="1:91" x14ac:dyDescent="0.35">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
      <c r="CM13" s="35"/>
    </row>
    <row r="14" spans="1:91" x14ac:dyDescent="0.35">
      <c r="A14" s="115"/>
      <c r="B14" s="115"/>
      <c r="C14" s="115"/>
      <c r="D14" s="115"/>
      <c r="E14" s="116"/>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
      <c r="CM14" s="35"/>
    </row>
    <row r="15" spans="1:91" x14ac:dyDescent="0.35">
      <c r="A15" s="115"/>
      <c r="B15" s="115"/>
      <c r="C15" s="115"/>
      <c r="D15" s="115"/>
      <c r="E15" s="116"/>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
      <c r="CM15" s="35"/>
    </row>
    <row r="16" spans="1:91" x14ac:dyDescent="0.35">
      <c r="A16" s="115"/>
      <c r="B16" s="115"/>
      <c r="C16" s="115"/>
      <c r="D16" s="115"/>
      <c r="E16" s="116"/>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
      <c r="CM16" s="35"/>
    </row>
    <row r="17" spans="1:91" x14ac:dyDescent="0.35">
      <c r="A17" s="115"/>
      <c r="B17" s="115"/>
      <c r="C17" s="115"/>
      <c r="D17" s="115"/>
      <c r="E17" s="116"/>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
      <c r="CM17" s="35"/>
    </row>
    <row r="18" spans="1:91" x14ac:dyDescent="0.35">
      <c r="A18" s="115"/>
      <c r="B18" s="115"/>
      <c r="C18" s="115"/>
      <c r="D18" s="115"/>
      <c r="E18" s="116"/>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
      <c r="CM18" s="35"/>
    </row>
    <row r="19" spans="1:91" x14ac:dyDescent="0.35">
      <c r="A19" s="115"/>
      <c r="B19" s="115"/>
      <c r="C19" s="115"/>
      <c r="D19" s="115"/>
      <c r="E19" s="116"/>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
      <c r="CM19" s="35"/>
    </row>
    <row r="20" spans="1:91" x14ac:dyDescent="0.35">
      <c r="A20" s="115"/>
      <c r="B20" s="115"/>
      <c r="C20" s="115"/>
      <c r="D20" s="115"/>
      <c r="E20" s="116"/>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
      <c r="CM20" s="35"/>
    </row>
    <row r="21" spans="1:91" x14ac:dyDescent="0.35">
      <c r="A21" s="115"/>
      <c r="B21" s="115"/>
      <c r="C21" s="115"/>
      <c r="D21" s="115"/>
      <c r="E21" s="116"/>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
      <c r="CM21" s="35"/>
    </row>
    <row r="22" spans="1:91" x14ac:dyDescent="0.35">
      <c r="A22" s="115"/>
      <c r="B22" s="115"/>
      <c r="C22" s="115"/>
      <c r="D22" s="115"/>
      <c r="E22" s="116"/>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
      <c r="CM22" s="35"/>
    </row>
    <row r="23" spans="1:91" x14ac:dyDescent="0.35">
      <c r="A23" s="115"/>
      <c r="B23" s="115"/>
      <c r="C23" s="115"/>
      <c r="D23" s="115"/>
      <c r="E23" s="116"/>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
      <c r="CM23" s="35"/>
    </row>
    <row r="24" spans="1:91" x14ac:dyDescent="0.35">
      <c r="A24" s="115"/>
      <c r="B24" s="115"/>
      <c r="C24" s="115"/>
      <c r="D24" s="115"/>
      <c r="E24" s="116"/>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
      <c r="CM24" s="35"/>
    </row>
    <row r="25" spans="1:91" x14ac:dyDescent="0.35">
      <c r="A25" s="115"/>
      <c r="B25" s="115"/>
      <c r="C25" s="115"/>
      <c r="D25" s="115"/>
      <c r="E25" s="116"/>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
      <c r="CM25" s="35"/>
    </row>
    <row r="26" spans="1:91" x14ac:dyDescent="0.35">
      <c r="A26" s="115"/>
      <c r="B26" s="115"/>
      <c r="C26" s="115"/>
      <c r="D26" s="115"/>
      <c r="E26" s="116"/>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
      <c r="CM26" s="35"/>
    </row>
    <row r="27" spans="1:91" x14ac:dyDescent="0.35">
      <c r="A27" s="115"/>
      <c r="B27" s="115"/>
      <c r="C27" s="115"/>
      <c r="D27" s="115"/>
      <c r="E27" s="116"/>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
      <c r="CM27" s="35"/>
    </row>
    <row r="28" spans="1:91" x14ac:dyDescent="0.35">
      <c r="A28" s="115"/>
      <c r="B28" s="115"/>
      <c r="C28" s="115"/>
      <c r="D28" s="115"/>
      <c r="E28" s="116"/>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
      <c r="CM28" s="35"/>
    </row>
    <row r="29" spans="1:91" x14ac:dyDescent="0.35">
      <c r="A29" s="115"/>
      <c r="B29" s="115"/>
      <c r="C29" s="115"/>
      <c r="D29" s="115"/>
      <c r="E29" s="116"/>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
      <c r="CM29" s="35"/>
    </row>
    <row r="30" spans="1:91" x14ac:dyDescent="0.35">
      <c r="A30" s="115"/>
      <c r="B30" s="115"/>
      <c r="C30" s="115"/>
      <c r="D30" s="115"/>
      <c r="E30" s="116"/>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
      <c r="CM30" s="35"/>
    </row>
    <row r="31" spans="1:91" x14ac:dyDescent="0.35">
      <c r="A31" s="11" t="s">
        <v>16</v>
      </c>
      <c r="B31" s="11" t="s">
        <v>16</v>
      </c>
      <c r="C31" s="11" t="s">
        <v>16</v>
      </c>
      <c r="D31" s="11" t="s">
        <v>16</v>
      </c>
      <c r="E31" s="25" t="s">
        <v>16</v>
      </c>
      <c r="F31" s="11" t="s">
        <v>16</v>
      </c>
      <c r="G31" s="11" t="s">
        <v>16</v>
      </c>
      <c r="H31" s="11" t="s">
        <v>16</v>
      </c>
      <c r="I31" s="11" t="s">
        <v>16</v>
      </c>
      <c r="J31" s="11" t="s">
        <v>16</v>
      </c>
      <c r="K31" s="11" t="s">
        <v>16</v>
      </c>
      <c r="L31" s="11" t="s">
        <v>16</v>
      </c>
      <c r="M31" s="11" t="s">
        <v>16</v>
      </c>
      <c r="N31" s="11" t="s">
        <v>16</v>
      </c>
      <c r="O31" s="11" t="s">
        <v>16</v>
      </c>
      <c r="P31" s="11" t="s">
        <v>16</v>
      </c>
      <c r="Q31" s="11" t="s">
        <v>16</v>
      </c>
      <c r="R31" s="11" t="s">
        <v>16</v>
      </c>
      <c r="S31" s="11"/>
      <c r="T31" s="11" t="s">
        <v>16</v>
      </c>
      <c r="U31" s="11" t="s">
        <v>16</v>
      </c>
      <c r="V31" s="11" t="s">
        <v>16</v>
      </c>
      <c r="W31" s="11" t="s">
        <v>16</v>
      </c>
      <c r="X31" s="11"/>
      <c r="Y31" s="11"/>
      <c r="Z31" s="11" t="s">
        <v>16</v>
      </c>
      <c r="AA31" s="11" t="s">
        <v>16</v>
      </c>
      <c r="AB31" s="11" t="s">
        <v>16</v>
      </c>
      <c r="AC31" s="11" t="s">
        <v>16</v>
      </c>
      <c r="AD31" s="11" t="s">
        <v>16</v>
      </c>
      <c r="AE31" s="11" t="s">
        <v>16</v>
      </c>
      <c r="AF31" s="11" t="s">
        <v>16</v>
      </c>
      <c r="AG31" s="11" t="s">
        <v>16</v>
      </c>
      <c r="AH31" s="11" t="s">
        <v>16</v>
      </c>
      <c r="AI31" s="11" t="s">
        <v>16</v>
      </c>
      <c r="AJ31" s="11" t="s">
        <v>16</v>
      </c>
      <c r="AK31" s="11" t="s">
        <v>16</v>
      </c>
      <c r="AL31" s="11" t="s">
        <v>16</v>
      </c>
      <c r="AM31" s="11" t="s">
        <v>16</v>
      </c>
      <c r="AN31" s="11" t="s">
        <v>16</v>
      </c>
      <c r="AO31" s="11" t="s">
        <v>16</v>
      </c>
      <c r="AP31" s="11" t="s">
        <v>16</v>
      </c>
      <c r="AQ31" s="11" t="s">
        <v>16</v>
      </c>
      <c r="AR31" s="11" t="s">
        <v>16</v>
      </c>
      <c r="AS31" s="11" t="s">
        <v>16</v>
      </c>
      <c r="AT31" s="11" t="s">
        <v>16</v>
      </c>
      <c r="AU31" s="11" t="s">
        <v>16</v>
      </c>
      <c r="AV31" s="11" t="s">
        <v>16</v>
      </c>
      <c r="AW31" s="11" t="s">
        <v>16</v>
      </c>
      <c r="AX31" s="11" t="s">
        <v>16</v>
      </c>
      <c r="AY31" s="11" t="s">
        <v>16</v>
      </c>
      <c r="AZ31" s="11" t="s">
        <v>16</v>
      </c>
      <c r="BA31" s="11" t="s">
        <v>16</v>
      </c>
      <c r="BB31" s="11" t="s">
        <v>16</v>
      </c>
      <c r="BC31" s="11" t="s">
        <v>16</v>
      </c>
      <c r="BD31" s="11" t="s">
        <v>16</v>
      </c>
      <c r="BE31" s="11" t="s">
        <v>16</v>
      </c>
      <c r="BF31" s="11" t="s">
        <v>16</v>
      </c>
      <c r="BG31" s="11" t="s">
        <v>16</v>
      </c>
      <c r="BH31" s="11" t="s">
        <v>16</v>
      </c>
      <c r="BI31" s="11" t="s">
        <v>16</v>
      </c>
      <c r="BJ31" s="11" t="s">
        <v>16</v>
      </c>
      <c r="BK31" s="11" t="s">
        <v>16</v>
      </c>
      <c r="BL31" s="11" t="s">
        <v>16</v>
      </c>
      <c r="BM31" s="11" t="s">
        <v>16</v>
      </c>
      <c r="BN31" s="11" t="s">
        <v>16</v>
      </c>
      <c r="BO31" s="11" t="s">
        <v>16</v>
      </c>
      <c r="BP31" s="11" t="s">
        <v>16</v>
      </c>
      <c r="BQ31" s="11" t="s">
        <v>16</v>
      </c>
      <c r="BR31" s="11" t="s">
        <v>16</v>
      </c>
      <c r="BS31" s="11" t="s">
        <v>16</v>
      </c>
      <c r="BT31" s="11" t="s">
        <v>16</v>
      </c>
      <c r="BU31" s="11" t="s">
        <v>16</v>
      </c>
      <c r="BV31" s="11" t="s">
        <v>16</v>
      </c>
      <c r="BW31" s="11" t="s">
        <v>16</v>
      </c>
      <c r="BX31" s="11" t="s">
        <v>16</v>
      </c>
      <c r="BY31" s="11" t="s">
        <v>16</v>
      </c>
      <c r="BZ31" s="11" t="s">
        <v>16</v>
      </c>
      <c r="CA31" s="11" t="s">
        <v>16</v>
      </c>
      <c r="CB31" s="11" t="s">
        <v>16</v>
      </c>
      <c r="CC31" s="11" t="s">
        <v>16</v>
      </c>
      <c r="CD31" s="11" t="s">
        <v>16</v>
      </c>
      <c r="CE31" s="11" t="s">
        <v>16</v>
      </c>
      <c r="CF31" s="11" t="s">
        <v>16</v>
      </c>
      <c r="CG31" s="11" t="s">
        <v>16</v>
      </c>
      <c r="CH31" s="11" t="s">
        <v>16</v>
      </c>
      <c r="CI31" s="11" t="s">
        <v>16</v>
      </c>
      <c r="CJ31" s="11" t="s">
        <v>16</v>
      </c>
      <c r="CK31" s="11" t="s">
        <v>16</v>
      </c>
      <c r="CL31" s="11" t="s">
        <v>16</v>
      </c>
      <c r="CM31" s="11" t="s">
        <v>16</v>
      </c>
    </row>
  </sheetData>
  <sheetProtection insertRows="0" deleteRows="0"/>
  <mergeCells count="3">
    <mergeCell ref="CK1:CK6"/>
    <mergeCell ref="CM1:CM6"/>
    <mergeCell ref="CL4:CL6"/>
  </mergeCells>
  <conditionalFormatting sqref="A1:A2">
    <cfRule type="cellIs" dxfId="481" priority="5" operator="equal">
      <formula>0</formula>
    </cfRule>
    <cfRule type="cellIs" dxfId="480" priority="6"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1" id="{C24BAB73-0D49-4ECF-9757-1A6FD85EAAB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F62631D-7A7F-4A2A-A0A3-CC5E7B89BE8F}">
          <x14:formula1>
            <xm:f>'Dash Data'!$D$93:$D$100</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F5CC-E1BC-4B8E-A181-2E415F77B7A3}">
  <sheetPr codeName="Sheet20">
    <tabColor rgb="FF00B0F0"/>
    <outlinePr summaryBelow="0" summaryRight="0"/>
    <pageSetUpPr autoPageBreaks="0"/>
  </sheetPr>
  <dimension ref="A1:EX219"/>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style="120" bestFit="1" customWidth="1"/>
    <col min="4" max="4" width="62.54296875" style="120" bestFit="1" customWidth="1"/>
    <col min="5" max="5" width="12.26953125" style="1" customWidth="1"/>
    <col min="6" max="6" width="10.7265625" customWidth="1"/>
    <col min="7" max="7" width="9.54296875" customWidth="1"/>
    <col min="8" max="8" width="10" customWidth="1"/>
    <col min="9" max="9" width="2" bestFit="1" customWidth="1" collapsed="1"/>
    <col min="10" max="10" width="2" hidden="1" customWidth="1" outlineLevel="1" collapsed="1"/>
    <col min="11" max="14" width="8.1796875" hidden="1" customWidth="1" outlineLevel="1"/>
    <col min="15" max="18" width="12.453125" hidden="1" customWidth="1" outlineLevel="1"/>
    <col min="19" max="19" width="1.1796875" hidden="1" customWidth="1" outlineLevel="1"/>
    <col min="20" max="21" width="11.1796875" hidden="1" customWidth="1" outlineLevel="1"/>
    <col min="22"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5" width="13.1796875" customWidth="1"/>
    <col min="96" max="96" width="2.81640625" customWidth="1"/>
    <col min="153" max="153" width="8.81640625" collapsed="1"/>
    <col min="154" max="154" width="64" hidden="1" customWidth="1" outlineLevel="1"/>
  </cols>
  <sheetData>
    <row r="1" spans="1:154" x14ac:dyDescent="0.35">
      <c r="A1" s="7">
        <f ca="1">ToC!A1</f>
        <v>0</v>
      </c>
      <c r="B1" s="13" t="s">
        <v>1500</v>
      </c>
      <c r="C1" s="81"/>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80"/>
      <c r="CL1" s="5" t="s">
        <v>741</v>
      </c>
      <c r="CR1" s="680"/>
      <c r="CS1" t="s">
        <v>295</v>
      </c>
      <c r="EX1" s="5" t="s">
        <v>177</v>
      </c>
    </row>
    <row r="2" spans="1:154" ht="14.65" customHeight="1" x14ac:dyDescent="0.35">
      <c r="A2" s="537" cm="1">
        <f t="array" aca="1" ref="A2" ca="1">HYPERLINK(CONCATENATE("#",CELL("address",IF(SUM(A$7:A$219)=0,$A$2,INDEX(A$7:A$219,MATCH(1,A$7:A$219,0))))),SUM(A$7:A$219))</f>
        <v>0</v>
      </c>
      <c r="B2" s="67" t="str" cm="1">
        <f t="array" aca="1" ref="B2" ca="1">HYPERLINK(CONCATENATE("#",CELL("address",Guide!$C$116)),Guide!$B$1)</f>
        <v>Guide</v>
      </c>
      <c r="C2" s="56"/>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O2" s="664" t="s">
        <v>298</v>
      </c>
      <c r="CP2" s="664" t="s">
        <v>299</v>
      </c>
      <c r="CQ2" s="664" t="s">
        <v>300</v>
      </c>
      <c r="CR2" s="680"/>
      <c r="CS2" s="667" t="s">
        <v>1501</v>
      </c>
      <c r="CT2" s="668" t="s">
        <v>1502</v>
      </c>
      <c r="CU2" s="669" t="s">
        <v>1503</v>
      </c>
      <c r="CV2" s="667" t="s">
        <v>1504</v>
      </c>
      <c r="CW2" s="668" t="s">
        <v>1505</v>
      </c>
      <c r="CX2" s="669" t="s">
        <v>1506</v>
      </c>
      <c r="CY2" s="670" t="s">
        <v>1507</v>
      </c>
    </row>
    <row r="3" spans="1:154" ht="14.65" customHeight="1" x14ac:dyDescent="0.35">
      <c r="A3" s="67" t="str" cm="1">
        <f t="array" aca="1" ref="A3" ca="1">HYPERLINK(CONCATENATE("#",CELL("address",ToC!$A$1)),ToC!$C$1)</f>
        <v>ToC</v>
      </c>
      <c r="B3" s="67" t="str" cm="1">
        <f t="array" aca="1" ref="B3" ca="1">HYPERLINK(CONCATENATE("#",CELL("address",$D$11)),$D$11)</f>
        <v>Income &amp; Expenditure</v>
      </c>
      <c r="C3" s="81"/>
      <c r="D3" s="60"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80"/>
      <c r="CL3" s="665" t="s">
        <v>1508</v>
      </c>
      <c r="CM3" s="664" t="s">
        <v>1353</v>
      </c>
      <c r="CN3" s="664" t="s">
        <v>749</v>
      </c>
      <c r="CO3" s="664"/>
      <c r="CP3" s="664"/>
      <c r="CQ3" s="664"/>
      <c r="CR3" s="680"/>
      <c r="CS3" s="672"/>
      <c r="CT3" s="664"/>
      <c r="CU3" s="677"/>
      <c r="CV3" s="672"/>
      <c r="CW3" s="664"/>
      <c r="CX3" s="677"/>
      <c r="CY3" s="674"/>
    </row>
    <row r="4" spans="1:154" x14ac:dyDescent="0.35">
      <c r="A4" s="13"/>
      <c r="B4" s="67" t="str" cm="1">
        <f t="array" aca="1" ref="B4" ca="1">HYPERLINK(CONCATENATE("#",CELL("address",$B$68)),$D$64)</f>
        <v>Balance Sheet</v>
      </c>
      <c r="C4" s="81"/>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80"/>
      <c r="CL4" s="665"/>
      <c r="CM4" s="664"/>
      <c r="CN4" s="664"/>
      <c r="CO4" s="664"/>
      <c r="CP4" s="664"/>
      <c r="CQ4" s="664"/>
      <c r="CR4" s="680"/>
      <c r="CS4" s="672"/>
      <c r="CT4" s="664"/>
      <c r="CU4" s="677"/>
      <c r="CV4" s="672"/>
      <c r="CW4" s="664"/>
      <c r="CX4" s="677"/>
      <c r="CY4" s="674"/>
    </row>
    <row r="5" spans="1:154" x14ac:dyDescent="0.35">
      <c r="A5" s="13"/>
      <c r="B5" s="67" t="str" cm="1">
        <f t="array" aca="1" ref="B5" ca="1">HYPERLINK(CONCATENATE("#",CELL("address",$B$148)),$D$145)</f>
        <v>Cash Flow</v>
      </c>
      <c r="C5" s="81"/>
      <c r="D5" s="60"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80"/>
      <c r="CL5" s="665"/>
      <c r="CM5" s="664"/>
      <c r="CN5" s="664"/>
      <c r="CO5" s="664"/>
      <c r="CP5" s="664"/>
      <c r="CQ5" s="664"/>
      <c r="CR5" s="680"/>
      <c r="CS5" s="672"/>
      <c r="CT5" s="664"/>
      <c r="CU5" s="677"/>
      <c r="CV5" s="672"/>
      <c r="CW5" s="664"/>
      <c r="CX5" s="677"/>
      <c r="CY5" s="674"/>
    </row>
    <row r="6" spans="1:154" x14ac:dyDescent="0.35">
      <c r="A6" s="67" t="str" cm="1">
        <f t="array" aca="1" ref="A6" ca="1">HYPERLINK(CONCATENATE("#",CELL("address",CK7)),"Check")</f>
        <v>Check</v>
      </c>
      <c r="B6" s="13"/>
      <c r="C6" s="13" t="s">
        <v>183</v>
      </c>
      <c r="D6" s="56" t="s">
        <v>19</v>
      </c>
      <c r="E6" s="13" t="s">
        <v>312</v>
      </c>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0"/>
      <c r="CL6" s="665"/>
      <c r="CM6" s="664"/>
      <c r="CN6" s="664"/>
      <c r="CO6" s="664"/>
      <c r="CP6" s="664"/>
      <c r="CQ6" s="664"/>
      <c r="CR6" s="680"/>
      <c r="CS6" s="673"/>
      <c r="CT6" s="676"/>
      <c r="CU6" s="678"/>
      <c r="CV6" s="673"/>
      <c r="CW6" s="676"/>
      <c r="CX6" s="678"/>
      <c r="CY6" s="675"/>
    </row>
    <row r="7" spans="1:154" x14ac:dyDescent="0.35">
      <c r="B7" s="97" t="s">
        <v>184</v>
      </c>
      <c r="D7" s="57"/>
      <c r="E7"/>
      <c r="BY7" s="6"/>
      <c r="CK7" s="311"/>
      <c r="CL7" s="85" t="s">
        <v>122</v>
      </c>
      <c r="CM7" s="85" t="s">
        <v>122</v>
      </c>
      <c r="CN7" s="85" t="s">
        <v>122</v>
      </c>
      <c r="CO7" s="85" t="s">
        <v>122</v>
      </c>
      <c r="CP7" s="85" t="s">
        <v>122</v>
      </c>
      <c r="CQ7" s="85" t="s">
        <v>122</v>
      </c>
      <c r="CR7" s="311"/>
    </row>
    <row r="8" spans="1:154" ht="8.25" customHeight="1" x14ac:dyDescent="0.35">
      <c r="C8" s="217"/>
      <c r="D8" s="57"/>
      <c r="E8"/>
      <c r="CK8" s="312"/>
      <c r="CR8" s="311"/>
      <c r="EX8" s="10" t="str">
        <f t="shared" ref="EX8:EX52" si="0">IF($C8="","",$D8)</f>
        <v/>
      </c>
    </row>
    <row r="9" spans="1:154" x14ac:dyDescent="0.35">
      <c r="B9" s="85" t="s">
        <v>122</v>
      </c>
      <c r="C9" s="217"/>
      <c r="D9" s="57" t="s">
        <v>1509</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K9" s="38"/>
      <c r="BL9" s="38"/>
      <c r="BM9" s="38"/>
      <c r="BN9" s="38"/>
      <c r="BO9" s="38"/>
      <c r="BP9" s="38"/>
      <c r="BQ9" s="38"/>
      <c r="BR9" s="38"/>
      <c r="BS9" s="38"/>
      <c r="BT9" s="38"/>
      <c r="BU9" s="38"/>
      <c r="BV9" s="38"/>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R9" s="311"/>
      <c r="EX9" s="10" t="str">
        <f t="shared" si="0"/>
        <v/>
      </c>
    </row>
    <row r="10" spans="1:154" ht="8.25" customHeight="1" x14ac:dyDescent="0.35">
      <c r="E10"/>
      <c r="CK10" s="311"/>
      <c r="CR10" s="311"/>
      <c r="EX10" s="10" t="str">
        <f t="shared" si="0"/>
        <v/>
      </c>
    </row>
    <row r="11" spans="1:154" x14ac:dyDescent="0.35">
      <c r="A11" s="34"/>
      <c r="B11" s="34" t="s">
        <v>1510</v>
      </c>
      <c r="C11" s="34"/>
      <c r="D11" s="34" t="s">
        <v>1511</v>
      </c>
      <c r="E11" s="34"/>
      <c r="F11" s="34"/>
      <c r="G11" s="34"/>
      <c r="H11" s="34"/>
      <c r="I11" s="34"/>
      <c r="J11" s="34"/>
      <c r="K11" s="34"/>
      <c r="L11" s="34"/>
      <c r="M11" s="34"/>
      <c r="N11" s="34"/>
      <c r="O11" s="34"/>
      <c r="P11" s="34"/>
      <c r="Q11" s="34"/>
      <c r="R11" s="34"/>
      <c r="S11" s="34"/>
      <c r="T11" s="34"/>
      <c r="U11" s="34"/>
      <c r="V11" s="568" t="str" cm="1">
        <f t="array" aca="1" ref="V11" ca="1">HYPERLINK(CONCATENATE("#",CELL("address",$CI11)),"Link to 12 Year Annual Timeline")</f>
        <v>Link to 12 Year Annual Timeline</v>
      </c>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568" t="str" cm="1">
        <f t="array" aca="1" ref="BX11" ca="1">HYPERLINK(CONCATENATE("#",CELL("address",$V11)),"Link to 4 Year Annual Timeline")</f>
        <v>Link to 4 Year Annual Timeline</v>
      </c>
      <c r="BY11" s="34"/>
      <c r="BZ11" s="34"/>
      <c r="CA11" s="34"/>
      <c r="CB11" s="34"/>
      <c r="CC11" s="34"/>
      <c r="CD11" s="34"/>
      <c r="CE11" s="34"/>
      <c r="CF11" s="34"/>
      <c r="CG11" s="34"/>
      <c r="CH11" s="34"/>
      <c r="CI11" s="34"/>
      <c r="CJ11" s="34"/>
      <c r="CK11" s="312"/>
      <c r="CR11" s="311"/>
      <c r="EX11" s="10" t="str">
        <f t="shared" si="0"/>
        <v/>
      </c>
    </row>
    <row r="12" spans="1:154" ht="8.25" customHeight="1" x14ac:dyDescent="0.35">
      <c r="C12" s="217"/>
      <c r="E12"/>
      <c r="CK12" s="311"/>
      <c r="CR12" s="311"/>
      <c r="EX12" s="10" t="str">
        <f t="shared" si="0"/>
        <v/>
      </c>
    </row>
    <row r="13" spans="1:154" ht="27" customHeight="1" x14ac:dyDescent="0.35">
      <c r="A13" s="537" cm="1">
        <f t="array" aca="1" ref="A13" ca="1">HYPERLINK(CONCATENATE("#",CELL("address",IF(MAX($CK13:$CR13)=0,A13,INDEX($CK13:$CR13,MATCH(1,$CK13:$CR13,0))))),MAX($CK13:$CR13))</f>
        <v>0</v>
      </c>
      <c r="C13" s="213" t="s">
        <v>1512</v>
      </c>
      <c r="D13" s="120" t="s">
        <v>1513</v>
      </c>
      <c r="E13" s="569" t="str" cm="1">
        <f t="array" aca="1" ref="E13" ca="1">HYPERLINK(CONCATENATE("#",CELL("address",'I&amp;E Annual'!$D$13)),'I&amp;E Annual'!$D$13)</f>
        <v>Total 14-16 Income</v>
      </c>
      <c r="F13" s="569" t="str" cm="1">
        <f t="array" aca="1" ref="F13" ca="1">HYPERLINK(CONCATENATE("#",CELL("address",'I&amp;E Annual'!$D$23)),'I&amp;E Annual'!$D$23)</f>
        <v>Total 16-19 Income</v>
      </c>
      <c r="V13" s="12">
        <f t="shared" ref="V13:V23" si="1">BX13</f>
        <v>0</v>
      </c>
      <c r="W13" s="12">
        <f t="shared" ref="W13:W23" si="2">BY13</f>
        <v>0</v>
      </c>
      <c r="X13" s="12">
        <f t="shared" ref="X13:X23" si="3">BZ13</f>
        <v>0</v>
      </c>
      <c r="Y13" s="12">
        <f t="shared" ref="Y13:Y23" si="4">CA13</f>
        <v>0</v>
      </c>
      <c r="AA13" s="99">
        <f>'I&amp;E Annual'!AA$13+'I&amp;E Annual'!AA$23</f>
        <v>0</v>
      </c>
      <c r="AB13" s="99">
        <f>'I&amp;E Annual'!AB$13+'I&amp;E Annual'!AB$23</f>
        <v>0</v>
      </c>
      <c r="AC13" s="99">
        <f>'I&amp;E Annual'!AC$13+'I&amp;E Annual'!AC$23</f>
        <v>0</v>
      </c>
      <c r="AD13" s="99">
        <f>'I&amp;E Annual'!AD$13+'I&amp;E Annual'!AD$23</f>
        <v>0</v>
      </c>
      <c r="AE13" s="99">
        <f>'I&amp;E Annual'!AE$13+'I&amp;E Annual'!AE$23</f>
        <v>0</v>
      </c>
      <c r="AF13" s="99">
        <f>'I&amp;E Annual'!AF$13+'I&amp;E Annual'!AF$23</f>
        <v>0</v>
      </c>
      <c r="AG13" s="99">
        <f>'I&amp;E Annual'!AG$13+'I&amp;E Annual'!AG$23</f>
        <v>0</v>
      </c>
      <c r="AH13" s="99">
        <f>'I&amp;E Annual'!AH$13+'I&amp;E Annual'!AH$23</f>
        <v>0</v>
      </c>
      <c r="AI13" s="99">
        <f>'I&amp;E Annual'!AI$13+'I&amp;E Annual'!AI$23</f>
        <v>0</v>
      </c>
      <c r="AJ13" s="99">
        <f>'I&amp;E Annual'!AJ$13+'I&amp;E Annual'!AJ$23</f>
        <v>0</v>
      </c>
      <c r="AK13" s="99">
        <f>'I&amp;E Annual'!AK$13+'I&amp;E Annual'!AK$23</f>
        <v>0</v>
      </c>
      <c r="AL13" s="99">
        <f>'I&amp;E Annual'!AL$13+'I&amp;E Annual'!AL$23</f>
        <v>0</v>
      </c>
      <c r="AM13" s="99">
        <f>'I&amp;E Annual'!AM$13+'I&amp;E Annual'!AM$23</f>
        <v>0</v>
      </c>
      <c r="AN13" s="99">
        <f>'I&amp;E Annual'!AN$13+'I&amp;E Annual'!AN$23</f>
        <v>0</v>
      </c>
      <c r="AO13" s="99">
        <f>'I&amp;E Annual'!AO$13+'I&amp;E Annual'!AO$23</f>
        <v>0</v>
      </c>
      <c r="AP13" s="99">
        <f>'I&amp;E Annual'!AP$13+'I&amp;E Annual'!AP$23</f>
        <v>0</v>
      </c>
      <c r="AQ13" s="99">
        <f>'I&amp;E Annual'!AQ$13+'I&amp;E Annual'!AQ$23</f>
        <v>0</v>
      </c>
      <c r="AR13" s="99">
        <f>'I&amp;E Annual'!AR$13+'I&amp;E Annual'!AR$23</f>
        <v>0</v>
      </c>
      <c r="AS13" s="99">
        <f>'I&amp;E Annual'!AS$13+'I&amp;E Annual'!AS$23</f>
        <v>0</v>
      </c>
      <c r="AT13" s="99">
        <f>'I&amp;E Annual'!AT$13+'I&amp;E Annual'!AT$23</f>
        <v>0</v>
      </c>
      <c r="AU13" s="99">
        <f>'I&amp;E Annual'!AU$13+'I&amp;E Annual'!AU$23</f>
        <v>0</v>
      </c>
      <c r="AV13" s="99">
        <f>'I&amp;E Annual'!AV$13+'I&amp;E Annual'!AV$23</f>
        <v>0</v>
      </c>
      <c r="AW13" s="99">
        <f>'I&amp;E Annual'!AW$13+'I&amp;E Annual'!AW$23</f>
        <v>0</v>
      </c>
      <c r="AX13" s="99">
        <f>'I&amp;E Annual'!AX$13+'I&amp;E Annual'!AX$23</f>
        <v>0</v>
      </c>
      <c r="AY13" s="99">
        <f>'I&amp;E Annual'!AY$13+'I&amp;E Annual'!AY$23</f>
        <v>0</v>
      </c>
      <c r="AZ13" s="99">
        <f>'I&amp;E Annual'!AZ$13+'I&amp;E Annual'!AZ$23</f>
        <v>0</v>
      </c>
      <c r="BA13" s="99">
        <f>'I&amp;E Annual'!BA$13+'I&amp;E Annual'!BA$23</f>
        <v>0</v>
      </c>
      <c r="BB13" s="99">
        <f>'I&amp;E Annual'!BB$13+'I&amp;E Annual'!BB$23</f>
        <v>0</v>
      </c>
      <c r="BC13" s="99">
        <f>'I&amp;E Annual'!BC$13+'I&amp;E Annual'!BC$23</f>
        <v>0</v>
      </c>
      <c r="BD13" s="99">
        <f>'I&amp;E Annual'!BD$13+'I&amp;E Annual'!BD$23</f>
        <v>0</v>
      </c>
      <c r="BE13" s="99">
        <f>'I&amp;E Annual'!BE$13+'I&amp;E Annual'!BE$23</f>
        <v>0</v>
      </c>
      <c r="BF13" s="99">
        <f>'I&amp;E Annual'!BF$13+'I&amp;E Annual'!BF$23</f>
        <v>0</v>
      </c>
      <c r="BG13" s="99">
        <f>'I&amp;E Annual'!BG$13+'I&amp;E Annual'!BG$23</f>
        <v>0</v>
      </c>
      <c r="BH13" s="99">
        <f>'I&amp;E Annual'!BH$13+'I&amp;E Annual'!BH$23</f>
        <v>0</v>
      </c>
      <c r="BI13" s="99">
        <f>'I&amp;E Annual'!BI$13+'I&amp;E Annual'!BI$23</f>
        <v>0</v>
      </c>
      <c r="BJ13" s="99">
        <f>'I&amp;E Annual'!BJ$13+'I&amp;E Annual'!BJ$23</f>
        <v>0</v>
      </c>
      <c r="BX13" s="99">
        <f>'I&amp;E Annual'!BX$13+'I&amp;E Annual'!BX$23</f>
        <v>0</v>
      </c>
      <c r="BY13" s="99">
        <f>'I&amp;E Annual'!BY$13+'I&amp;E Annual'!BY$23</f>
        <v>0</v>
      </c>
      <c r="BZ13" s="99">
        <f>'I&amp;E Annual'!BZ$13+'I&amp;E Annual'!BZ$23</f>
        <v>0</v>
      </c>
      <c r="CA13" s="99">
        <f>'I&amp;E Annual'!CA$13+'I&amp;E Annual'!CA$23</f>
        <v>0</v>
      </c>
      <c r="CB13" s="99">
        <f>'I&amp;E Annual'!CB$13+'I&amp;E Annual'!CB$23</f>
        <v>0</v>
      </c>
      <c r="CC13" s="99">
        <f>'I&amp;E Annual'!CC$13+'I&amp;E Annual'!CC$23</f>
        <v>0</v>
      </c>
      <c r="CD13" s="99">
        <f>'I&amp;E Annual'!CD$13+'I&amp;E Annual'!CD$23</f>
        <v>0</v>
      </c>
      <c r="CE13" s="99">
        <f>'I&amp;E Annual'!CE$13+'I&amp;E Annual'!CE$23</f>
        <v>0</v>
      </c>
      <c r="CF13" s="99">
        <f>'I&amp;E Annual'!CF$13+'I&amp;E Annual'!CF$23</f>
        <v>0</v>
      </c>
      <c r="CG13" s="99">
        <f>'I&amp;E Annual'!CG$13+'I&amp;E Annual'!CG$23</f>
        <v>0</v>
      </c>
      <c r="CH13" s="99">
        <f>'I&amp;E Annual'!CH$13+'I&amp;E Annual'!CH$23</f>
        <v>0</v>
      </c>
      <c r="CI13" s="99">
        <f>'I&amp;E Annual'!CI$13+'I&amp;E Annual'!CI$23</f>
        <v>0</v>
      </c>
      <c r="CK13" s="311"/>
      <c r="CO13" s="100">
        <f t="shared" ref="CO13:CO25" si="5">IF(SUM($CS13:$CU13)=0, 0, 1)</f>
        <v>0</v>
      </c>
      <c r="CP13" s="100">
        <f t="shared" ref="CP13:CP25" si="6">IF(SUM($CV13:$CX13)=0, 0, 1)</f>
        <v>0</v>
      </c>
      <c r="CQ13" s="100">
        <f t="shared" ref="CQ13:CQ25" si="7">IF(CY13=0, 0, 1)</f>
        <v>0</v>
      </c>
      <c r="CR13" s="311"/>
      <c r="CS13" s="215">
        <f t="shared" ref="CS13:CS25" si="8">ROUND(W13-SUMIFS($AA13:$BJ13, $AA$3:$BJ$3, W$3), rounding)</f>
        <v>0</v>
      </c>
      <c r="CT13" s="215">
        <f t="shared" ref="CT13:CT25" si="9">ROUND($X13-SUMIFS($AA13:$BJ13, $AA$3:$BJ$3, X$3), rounding)</f>
        <v>0</v>
      </c>
      <c r="CU13" s="215">
        <f t="shared" ref="CU13:CU25" si="10">ROUND($Y13-SUMIFS($AA13:$BJ13, $AA$3:$BJ$3, Y$3), rounding)</f>
        <v>0</v>
      </c>
      <c r="CV13" s="215">
        <f t="shared" ref="CV13:CV25" si="11">ROUND(W13-BY13, rounding)</f>
        <v>0</v>
      </c>
      <c r="CW13" s="215">
        <f t="shared" ref="CW13:CW25" si="12">ROUND(X13-BZ13, rounding)</f>
        <v>0</v>
      </c>
      <c r="CX13" s="215">
        <f t="shared" ref="CX13:CX25" si="13">ROUND(Y13-CA13, rounding)</f>
        <v>0</v>
      </c>
      <c r="CY13" s="215">
        <f t="shared" ref="CY13:CY25" si="14">ROUND(V13-BX13, rounding)</f>
        <v>0</v>
      </c>
      <c r="EX13" s="10" t="str">
        <f t="shared" si="0"/>
        <v>Total 14-19 Income</v>
      </c>
    </row>
    <row r="14" spans="1:154" ht="15" customHeight="1" x14ac:dyDescent="0.35">
      <c r="A14" s="537" cm="1">
        <f t="array" aca="1" ref="A14" ca="1">HYPERLINK(CONCATENATE("#",CELL("address",IF(MAX($CK14:$CR14)=0,A14,INDEX($CK14:$CR14,MATCH(1,$CK14:$CR14,0))))),MAX($CK14:$CR14))</f>
        <v>0</v>
      </c>
      <c r="C14" s="213" t="str">
        <f>CONCATENATE("FS-",'I&amp;E Annual'!C$29)</f>
        <v>FS-IE-1b</v>
      </c>
      <c r="D14" s="570" t="str" cm="1">
        <f t="array" aca="1" ref="D14" ca="1">HYPERLINK(CONCATENATE("#",CELL("address",'I&amp;E Annual'!$D$29)),'I&amp;E Annual'!$D$29)</f>
        <v>Total Apprenticeships Income</v>
      </c>
      <c r="E14"/>
      <c r="V14" s="12">
        <f t="shared" si="1"/>
        <v>0</v>
      </c>
      <c r="W14" s="12">
        <f t="shared" si="2"/>
        <v>0</v>
      </c>
      <c r="X14" s="12">
        <f t="shared" si="3"/>
        <v>0</v>
      </c>
      <c r="Y14" s="12">
        <f t="shared" si="4"/>
        <v>0</v>
      </c>
      <c r="AA14" s="99">
        <f>'I&amp;E Annual'!AA$29</f>
        <v>0</v>
      </c>
      <c r="AB14" s="99">
        <f>'I&amp;E Annual'!AB$29</f>
        <v>0</v>
      </c>
      <c r="AC14" s="99">
        <f>'I&amp;E Annual'!AC$29</f>
        <v>0</v>
      </c>
      <c r="AD14" s="99">
        <f>'I&amp;E Annual'!AD$29</f>
        <v>0</v>
      </c>
      <c r="AE14" s="99">
        <f>'I&amp;E Annual'!AE$29</f>
        <v>0</v>
      </c>
      <c r="AF14" s="99">
        <f>'I&amp;E Annual'!AF$29</f>
        <v>0</v>
      </c>
      <c r="AG14" s="99">
        <f>'I&amp;E Annual'!AG$29</f>
        <v>0</v>
      </c>
      <c r="AH14" s="99">
        <f>'I&amp;E Annual'!AH$29</f>
        <v>0</v>
      </c>
      <c r="AI14" s="99">
        <f>'I&amp;E Annual'!AI$29</f>
        <v>0</v>
      </c>
      <c r="AJ14" s="99">
        <f>'I&amp;E Annual'!AJ$29</f>
        <v>0</v>
      </c>
      <c r="AK14" s="99">
        <f>'I&amp;E Annual'!AK$29</f>
        <v>0</v>
      </c>
      <c r="AL14" s="99">
        <f>'I&amp;E Annual'!AL$29</f>
        <v>0</v>
      </c>
      <c r="AM14" s="99">
        <f>'I&amp;E Annual'!AM$29</f>
        <v>0</v>
      </c>
      <c r="AN14" s="99">
        <f>'I&amp;E Annual'!AN$29</f>
        <v>0</v>
      </c>
      <c r="AO14" s="99">
        <f>'I&amp;E Annual'!AO$29</f>
        <v>0</v>
      </c>
      <c r="AP14" s="99">
        <f>'I&amp;E Annual'!AP$29</f>
        <v>0</v>
      </c>
      <c r="AQ14" s="99">
        <f>'I&amp;E Annual'!AQ$29</f>
        <v>0</v>
      </c>
      <c r="AR14" s="99">
        <f>'I&amp;E Annual'!AR$29</f>
        <v>0</v>
      </c>
      <c r="AS14" s="99">
        <f>'I&amp;E Annual'!AS$29</f>
        <v>0</v>
      </c>
      <c r="AT14" s="99">
        <f>'I&amp;E Annual'!AT$29</f>
        <v>0</v>
      </c>
      <c r="AU14" s="99">
        <f>'I&amp;E Annual'!AU$29</f>
        <v>0</v>
      </c>
      <c r="AV14" s="99">
        <f>'I&amp;E Annual'!AV$29</f>
        <v>0</v>
      </c>
      <c r="AW14" s="99">
        <f>'I&amp;E Annual'!AW$29</f>
        <v>0</v>
      </c>
      <c r="AX14" s="99">
        <f>'I&amp;E Annual'!AX$29</f>
        <v>0</v>
      </c>
      <c r="AY14" s="99">
        <f>'I&amp;E Annual'!AY$29</f>
        <v>0</v>
      </c>
      <c r="AZ14" s="99">
        <f>'I&amp;E Annual'!AZ$29</f>
        <v>0</v>
      </c>
      <c r="BA14" s="99">
        <f>'I&amp;E Annual'!BA$29</f>
        <v>0</v>
      </c>
      <c r="BB14" s="99">
        <f>'I&amp;E Annual'!BB$29</f>
        <v>0</v>
      </c>
      <c r="BC14" s="99">
        <f>'I&amp;E Annual'!BC$29</f>
        <v>0</v>
      </c>
      <c r="BD14" s="99">
        <f>'I&amp;E Annual'!BD$29</f>
        <v>0</v>
      </c>
      <c r="BE14" s="99">
        <f>'I&amp;E Annual'!BE$29</f>
        <v>0</v>
      </c>
      <c r="BF14" s="99">
        <f>'I&amp;E Annual'!BF$29</f>
        <v>0</v>
      </c>
      <c r="BG14" s="99">
        <f>'I&amp;E Annual'!BG$29</f>
        <v>0</v>
      </c>
      <c r="BH14" s="99">
        <f>'I&amp;E Annual'!BH$29</f>
        <v>0</v>
      </c>
      <c r="BI14" s="99">
        <f>'I&amp;E Annual'!BI$29</f>
        <v>0</v>
      </c>
      <c r="BJ14" s="99">
        <f>'I&amp;E Annual'!BJ$29</f>
        <v>0</v>
      </c>
      <c r="BX14" s="99">
        <f>'I&amp;E Annual'!BX$29</f>
        <v>0</v>
      </c>
      <c r="BY14" s="99">
        <f>'I&amp;E Annual'!BY$29</f>
        <v>0</v>
      </c>
      <c r="BZ14" s="99">
        <f>'I&amp;E Annual'!BZ$29</f>
        <v>0</v>
      </c>
      <c r="CA14" s="99">
        <f>'I&amp;E Annual'!CA$29</f>
        <v>0</v>
      </c>
      <c r="CB14" s="99">
        <f>'I&amp;E Annual'!CB$29</f>
        <v>0</v>
      </c>
      <c r="CC14" s="99">
        <f>'I&amp;E Annual'!CC$29</f>
        <v>0</v>
      </c>
      <c r="CD14" s="99">
        <f>'I&amp;E Annual'!CD$29</f>
        <v>0</v>
      </c>
      <c r="CE14" s="99">
        <f>'I&amp;E Annual'!CE$29</f>
        <v>0</v>
      </c>
      <c r="CF14" s="99">
        <f>'I&amp;E Annual'!CF$29</f>
        <v>0</v>
      </c>
      <c r="CG14" s="99">
        <f>'I&amp;E Annual'!CG$29</f>
        <v>0</v>
      </c>
      <c r="CH14" s="99">
        <f>'I&amp;E Annual'!CH$29</f>
        <v>0</v>
      </c>
      <c r="CI14" s="99">
        <f>'I&amp;E Annual'!CI$29</f>
        <v>0</v>
      </c>
      <c r="CK14" s="311"/>
      <c r="CO14" s="100">
        <f t="shared" si="5"/>
        <v>0</v>
      </c>
      <c r="CP14" s="100">
        <f t="shared" si="6"/>
        <v>0</v>
      </c>
      <c r="CQ14" s="100">
        <f t="shared" si="7"/>
        <v>0</v>
      </c>
      <c r="CR14" s="311"/>
      <c r="CS14" s="215">
        <f t="shared" si="8"/>
        <v>0</v>
      </c>
      <c r="CT14" s="215">
        <f t="shared" si="9"/>
        <v>0</v>
      </c>
      <c r="CU14" s="215">
        <f t="shared" si="10"/>
        <v>0</v>
      </c>
      <c r="CV14" s="215">
        <f t="shared" si="11"/>
        <v>0</v>
      </c>
      <c r="CW14" s="215">
        <f t="shared" si="12"/>
        <v>0</v>
      </c>
      <c r="CX14" s="215">
        <f t="shared" si="13"/>
        <v>0</v>
      </c>
      <c r="CY14" s="215">
        <f t="shared" si="14"/>
        <v>0</v>
      </c>
      <c r="EX14" s="10" t="str">
        <f t="shared" ca="1" si="0"/>
        <v>Total Apprenticeships Income</v>
      </c>
    </row>
    <row r="15" spans="1:154" ht="15" customHeight="1" x14ac:dyDescent="0.35">
      <c r="A15" s="537" cm="1">
        <f t="array" aca="1" ref="A15" ca="1">HYPERLINK(CONCATENATE("#",CELL("address",IF(MAX($CK15:$CR15)=0,A15,INDEX($CK15:$CR15,MATCH(1,$CK15:$CR15,0))))),MAX($CK15:$CR15))</f>
        <v>0</v>
      </c>
      <c r="C15" s="213" t="str">
        <f>CONCATENATE("FS-",'I&amp;E Annual'!C$38)</f>
        <v>FS-IE-1c</v>
      </c>
      <c r="D15" s="570" t="str" cm="1">
        <f t="array" aca="1" ref="D15" ca="1">HYPERLINK(CONCATENATE("#",CELL("address",'I&amp;E Annual'!$D$38)),'I&amp;E Annual'!$D$38)</f>
        <v>Total Adult Education and Training Income (Excluding clawbacks)</v>
      </c>
      <c r="V15" s="12">
        <f t="shared" si="1"/>
        <v>0</v>
      </c>
      <c r="W15" s="12">
        <f t="shared" si="2"/>
        <v>0</v>
      </c>
      <c r="X15" s="12">
        <f t="shared" si="3"/>
        <v>0</v>
      </c>
      <c r="Y15" s="12">
        <f t="shared" si="4"/>
        <v>0</v>
      </c>
      <c r="AA15" s="99">
        <f>'I&amp;E Annual'!AA$38</f>
        <v>0</v>
      </c>
      <c r="AB15" s="99">
        <f>'I&amp;E Annual'!AB$38</f>
        <v>0</v>
      </c>
      <c r="AC15" s="99">
        <f>'I&amp;E Annual'!AC$38</f>
        <v>0</v>
      </c>
      <c r="AD15" s="99">
        <f>'I&amp;E Annual'!AD$38</f>
        <v>0</v>
      </c>
      <c r="AE15" s="99">
        <f>'I&amp;E Annual'!AE$38</f>
        <v>0</v>
      </c>
      <c r="AF15" s="99">
        <f>'I&amp;E Annual'!AF$38</f>
        <v>0</v>
      </c>
      <c r="AG15" s="99">
        <f>'I&amp;E Annual'!AG$38</f>
        <v>0</v>
      </c>
      <c r="AH15" s="99">
        <f>'I&amp;E Annual'!AH$38</f>
        <v>0</v>
      </c>
      <c r="AI15" s="99">
        <f>'I&amp;E Annual'!AI$38</f>
        <v>0</v>
      </c>
      <c r="AJ15" s="99">
        <f>'I&amp;E Annual'!AJ$38</f>
        <v>0</v>
      </c>
      <c r="AK15" s="99">
        <f>'I&amp;E Annual'!AK$38</f>
        <v>0</v>
      </c>
      <c r="AL15" s="99">
        <f>'I&amp;E Annual'!AL$38</f>
        <v>0</v>
      </c>
      <c r="AM15" s="99">
        <f>'I&amp;E Annual'!AM$38</f>
        <v>0</v>
      </c>
      <c r="AN15" s="99">
        <f>'I&amp;E Annual'!AN$38</f>
        <v>0</v>
      </c>
      <c r="AO15" s="99">
        <f>'I&amp;E Annual'!AO$38</f>
        <v>0</v>
      </c>
      <c r="AP15" s="99">
        <f>'I&amp;E Annual'!AP$38</f>
        <v>0</v>
      </c>
      <c r="AQ15" s="99">
        <f>'I&amp;E Annual'!AQ$38</f>
        <v>0</v>
      </c>
      <c r="AR15" s="99">
        <f>'I&amp;E Annual'!AR$38</f>
        <v>0</v>
      </c>
      <c r="AS15" s="99">
        <f>'I&amp;E Annual'!AS$38</f>
        <v>0</v>
      </c>
      <c r="AT15" s="99">
        <f>'I&amp;E Annual'!AT$38</f>
        <v>0</v>
      </c>
      <c r="AU15" s="99">
        <f>'I&amp;E Annual'!AU$38</f>
        <v>0</v>
      </c>
      <c r="AV15" s="99">
        <f>'I&amp;E Annual'!AV$38</f>
        <v>0</v>
      </c>
      <c r="AW15" s="99">
        <f>'I&amp;E Annual'!AW$38</f>
        <v>0</v>
      </c>
      <c r="AX15" s="99">
        <f>'I&amp;E Annual'!AX$38</f>
        <v>0</v>
      </c>
      <c r="AY15" s="99">
        <f>'I&amp;E Annual'!AY$38</f>
        <v>0</v>
      </c>
      <c r="AZ15" s="99">
        <f>'I&amp;E Annual'!AZ$38</f>
        <v>0</v>
      </c>
      <c r="BA15" s="99">
        <f>'I&amp;E Annual'!BA$38</f>
        <v>0</v>
      </c>
      <c r="BB15" s="99">
        <f>'I&amp;E Annual'!BB$38</f>
        <v>0</v>
      </c>
      <c r="BC15" s="99">
        <f>'I&amp;E Annual'!BC$38</f>
        <v>0</v>
      </c>
      <c r="BD15" s="99">
        <f>'I&amp;E Annual'!BD$38</f>
        <v>0</v>
      </c>
      <c r="BE15" s="99">
        <f>'I&amp;E Annual'!BE$38</f>
        <v>0</v>
      </c>
      <c r="BF15" s="99">
        <f>'I&amp;E Annual'!BF$38</f>
        <v>0</v>
      </c>
      <c r="BG15" s="99">
        <f>'I&amp;E Annual'!BG$38</f>
        <v>0</v>
      </c>
      <c r="BH15" s="99">
        <f>'I&amp;E Annual'!BH$38</f>
        <v>0</v>
      </c>
      <c r="BI15" s="99">
        <f>'I&amp;E Annual'!BI$38</f>
        <v>0</v>
      </c>
      <c r="BJ15" s="99">
        <f>'I&amp;E Annual'!BJ$38</f>
        <v>0</v>
      </c>
      <c r="BX15" s="99">
        <f>'I&amp;E Annual'!BX$38</f>
        <v>0</v>
      </c>
      <c r="BY15" s="99">
        <f>'I&amp;E Annual'!BY$38</f>
        <v>0</v>
      </c>
      <c r="BZ15" s="99">
        <f>'I&amp;E Annual'!BZ$38</f>
        <v>0</v>
      </c>
      <c r="CA15" s="99">
        <f>'I&amp;E Annual'!CA$38</f>
        <v>0</v>
      </c>
      <c r="CB15" s="99">
        <f>'I&amp;E Annual'!CB$38</f>
        <v>0</v>
      </c>
      <c r="CC15" s="99">
        <f>'I&amp;E Annual'!CC$38</f>
        <v>0</v>
      </c>
      <c r="CD15" s="99">
        <f>'I&amp;E Annual'!CD$38</f>
        <v>0</v>
      </c>
      <c r="CE15" s="99">
        <f>'I&amp;E Annual'!CE$38</f>
        <v>0</v>
      </c>
      <c r="CF15" s="99">
        <f>'I&amp;E Annual'!CF$38</f>
        <v>0</v>
      </c>
      <c r="CG15" s="99">
        <f>'I&amp;E Annual'!CG$38</f>
        <v>0</v>
      </c>
      <c r="CH15" s="99">
        <f>'I&amp;E Annual'!CH$38</f>
        <v>0</v>
      </c>
      <c r="CI15" s="99">
        <f>'I&amp;E Annual'!CI$38</f>
        <v>0</v>
      </c>
      <c r="CK15" s="311"/>
      <c r="CO15" s="100">
        <f t="shared" si="5"/>
        <v>0</v>
      </c>
      <c r="CP15" s="100">
        <f t="shared" si="6"/>
        <v>0</v>
      </c>
      <c r="CQ15" s="100">
        <f t="shared" si="7"/>
        <v>0</v>
      </c>
      <c r="CR15" s="311"/>
      <c r="CS15" s="215">
        <f t="shared" si="8"/>
        <v>0</v>
      </c>
      <c r="CT15" s="215">
        <f t="shared" si="9"/>
        <v>0</v>
      </c>
      <c r="CU15" s="215">
        <f t="shared" si="10"/>
        <v>0</v>
      </c>
      <c r="CV15" s="215">
        <f t="shared" si="11"/>
        <v>0</v>
      </c>
      <c r="CW15" s="215">
        <f t="shared" si="12"/>
        <v>0</v>
      </c>
      <c r="CX15" s="215">
        <f t="shared" si="13"/>
        <v>0</v>
      </c>
      <c r="CY15" s="215">
        <f t="shared" si="14"/>
        <v>0</v>
      </c>
      <c r="EX15" s="10" t="str">
        <f t="shared" ca="1" si="0"/>
        <v>Total Adult Education and Training Income (Excluding clawbacks)</v>
      </c>
    </row>
    <row r="16" spans="1:154" ht="15" customHeight="1" x14ac:dyDescent="0.35">
      <c r="A16" s="537" cm="1">
        <f t="array" aca="1" ref="A16" ca="1">HYPERLINK(CONCATENATE("#",CELL("address",IF(MAX($CK16:$CR16)=0,A16,INDEX($CK16:$CR16,MATCH(1,$CK16:$CR16,0))))),MAX($CK16:$CR16))</f>
        <v>0</v>
      </c>
      <c r="C16" s="213" t="str">
        <f>CONCATENATE("FS-",'I&amp;E Annual'!C$46)</f>
        <v>FS-IE-1d</v>
      </c>
      <c r="D16" s="570" t="str" cm="1">
        <f t="array" aca="1" ref="D16" ca="1">HYPERLINK(CONCATENATE("#",CELL("address",'I&amp;E Annual'!$D$46)),'I&amp;E Annual'!$D$46)</f>
        <v>Total HE Income</v>
      </c>
      <c r="V16" s="12">
        <f t="shared" si="1"/>
        <v>0</v>
      </c>
      <c r="W16" s="12">
        <f t="shared" si="2"/>
        <v>0</v>
      </c>
      <c r="X16" s="12">
        <f t="shared" si="3"/>
        <v>0</v>
      </c>
      <c r="Y16" s="12">
        <f t="shared" si="4"/>
        <v>0</v>
      </c>
      <c r="AA16" s="99">
        <f>'I&amp;E Annual'!AA$46</f>
        <v>0</v>
      </c>
      <c r="AB16" s="99">
        <f>'I&amp;E Annual'!AB$46</f>
        <v>0</v>
      </c>
      <c r="AC16" s="99">
        <f>'I&amp;E Annual'!AC$46</f>
        <v>0</v>
      </c>
      <c r="AD16" s="99">
        <f>'I&amp;E Annual'!AD$46</f>
        <v>0</v>
      </c>
      <c r="AE16" s="99">
        <f>'I&amp;E Annual'!AE$46</f>
        <v>0</v>
      </c>
      <c r="AF16" s="99">
        <f>'I&amp;E Annual'!AF$46</f>
        <v>0</v>
      </c>
      <c r="AG16" s="99">
        <f>'I&amp;E Annual'!AG$46</f>
        <v>0</v>
      </c>
      <c r="AH16" s="99">
        <f>'I&amp;E Annual'!AH$46</f>
        <v>0</v>
      </c>
      <c r="AI16" s="99">
        <f>'I&amp;E Annual'!AI$46</f>
        <v>0</v>
      </c>
      <c r="AJ16" s="99">
        <f>'I&amp;E Annual'!AJ$46</f>
        <v>0</v>
      </c>
      <c r="AK16" s="99">
        <f>'I&amp;E Annual'!AK$46</f>
        <v>0</v>
      </c>
      <c r="AL16" s="99">
        <f>'I&amp;E Annual'!AL$46</f>
        <v>0</v>
      </c>
      <c r="AM16" s="99">
        <f>'I&amp;E Annual'!AM$46</f>
        <v>0</v>
      </c>
      <c r="AN16" s="99">
        <f>'I&amp;E Annual'!AN$46</f>
        <v>0</v>
      </c>
      <c r="AO16" s="99">
        <f>'I&amp;E Annual'!AO$46</f>
        <v>0</v>
      </c>
      <c r="AP16" s="99">
        <f>'I&amp;E Annual'!AP$46</f>
        <v>0</v>
      </c>
      <c r="AQ16" s="99">
        <f>'I&amp;E Annual'!AQ$46</f>
        <v>0</v>
      </c>
      <c r="AR16" s="99">
        <f>'I&amp;E Annual'!AR$46</f>
        <v>0</v>
      </c>
      <c r="AS16" s="99">
        <f>'I&amp;E Annual'!AS$46</f>
        <v>0</v>
      </c>
      <c r="AT16" s="99">
        <f>'I&amp;E Annual'!AT$46</f>
        <v>0</v>
      </c>
      <c r="AU16" s="99">
        <f>'I&amp;E Annual'!AU$46</f>
        <v>0</v>
      </c>
      <c r="AV16" s="99">
        <f>'I&amp;E Annual'!AV$46</f>
        <v>0</v>
      </c>
      <c r="AW16" s="99">
        <f>'I&amp;E Annual'!AW$46</f>
        <v>0</v>
      </c>
      <c r="AX16" s="99">
        <f>'I&amp;E Annual'!AX$46</f>
        <v>0</v>
      </c>
      <c r="AY16" s="99">
        <f>'I&amp;E Annual'!AY$46</f>
        <v>0</v>
      </c>
      <c r="AZ16" s="99">
        <f>'I&amp;E Annual'!AZ$46</f>
        <v>0</v>
      </c>
      <c r="BA16" s="99">
        <f>'I&amp;E Annual'!BA$46</f>
        <v>0</v>
      </c>
      <c r="BB16" s="99">
        <f>'I&amp;E Annual'!BB$46</f>
        <v>0</v>
      </c>
      <c r="BC16" s="99">
        <f>'I&amp;E Annual'!BC$46</f>
        <v>0</v>
      </c>
      <c r="BD16" s="99">
        <f>'I&amp;E Annual'!BD$46</f>
        <v>0</v>
      </c>
      <c r="BE16" s="99">
        <f>'I&amp;E Annual'!BE$46</f>
        <v>0</v>
      </c>
      <c r="BF16" s="99">
        <f>'I&amp;E Annual'!BF$46</f>
        <v>0</v>
      </c>
      <c r="BG16" s="99">
        <f>'I&amp;E Annual'!BG$46</f>
        <v>0</v>
      </c>
      <c r="BH16" s="99">
        <f>'I&amp;E Annual'!BH$46</f>
        <v>0</v>
      </c>
      <c r="BI16" s="99">
        <f>'I&amp;E Annual'!BI$46</f>
        <v>0</v>
      </c>
      <c r="BJ16" s="99">
        <f>'I&amp;E Annual'!BJ$46</f>
        <v>0</v>
      </c>
      <c r="BX16" s="99">
        <f>'I&amp;E Annual'!BX$46</f>
        <v>0</v>
      </c>
      <c r="BY16" s="99">
        <f>'I&amp;E Annual'!BY$46</f>
        <v>0</v>
      </c>
      <c r="BZ16" s="99">
        <f>'I&amp;E Annual'!BZ$46</f>
        <v>0</v>
      </c>
      <c r="CA16" s="99">
        <f>'I&amp;E Annual'!CA$46</f>
        <v>0</v>
      </c>
      <c r="CB16" s="99">
        <f>'I&amp;E Annual'!CB$46</f>
        <v>0</v>
      </c>
      <c r="CC16" s="99">
        <f>'I&amp;E Annual'!CC$46</f>
        <v>0</v>
      </c>
      <c r="CD16" s="99">
        <f>'I&amp;E Annual'!CD$46</f>
        <v>0</v>
      </c>
      <c r="CE16" s="99">
        <f>'I&amp;E Annual'!CE$46</f>
        <v>0</v>
      </c>
      <c r="CF16" s="99">
        <f>'I&amp;E Annual'!CF$46</f>
        <v>0</v>
      </c>
      <c r="CG16" s="99">
        <f>'I&amp;E Annual'!CG$46</f>
        <v>0</v>
      </c>
      <c r="CH16" s="99">
        <f>'I&amp;E Annual'!CH$46</f>
        <v>0</v>
      </c>
      <c r="CI16" s="99">
        <f>'I&amp;E Annual'!CI$46</f>
        <v>0</v>
      </c>
      <c r="CK16" s="311"/>
      <c r="CO16" s="100">
        <f t="shared" si="5"/>
        <v>0</v>
      </c>
      <c r="CP16" s="100">
        <f t="shared" si="6"/>
        <v>0</v>
      </c>
      <c r="CQ16" s="100">
        <f t="shared" si="7"/>
        <v>0</v>
      </c>
      <c r="CR16" s="311"/>
      <c r="CS16" s="215">
        <f t="shared" si="8"/>
        <v>0</v>
      </c>
      <c r="CT16" s="215">
        <f t="shared" si="9"/>
        <v>0</v>
      </c>
      <c r="CU16" s="215">
        <f t="shared" si="10"/>
        <v>0</v>
      </c>
      <c r="CV16" s="215">
        <f t="shared" si="11"/>
        <v>0</v>
      </c>
      <c r="CW16" s="215">
        <f t="shared" si="12"/>
        <v>0</v>
      </c>
      <c r="CX16" s="215">
        <f t="shared" si="13"/>
        <v>0</v>
      </c>
      <c r="CY16" s="215">
        <f t="shared" si="14"/>
        <v>0</v>
      </c>
      <c r="EX16" s="10" t="str">
        <f t="shared" ca="1" si="0"/>
        <v>Total HE Income</v>
      </c>
    </row>
    <row r="17" spans="1:154" ht="15" customHeight="1" x14ac:dyDescent="0.35">
      <c r="A17" s="537" cm="1">
        <f t="array" aca="1" ref="A17" ca="1">HYPERLINK(CONCATENATE("#",CELL("address",IF(MAX($CK17:$CR17)=0,A17,INDEX($CK17:$CR17,MATCH(1,$CK17:$CR17,0))))),MAX($CK17:$CR17))</f>
        <v>0</v>
      </c>
      <c r="C17" s="213" t="str">
        <f>CONCATENATE("FS-",'I&amp;E Annual'!C$53)</f>
        <v>FS-IE-1e</v>
      </c>
      <c r="D17" s="570" t="str" cm="1">
        <f t="array" aca="1" ref="D17" ca="1">HYPERLINK(CONCATENATE("#",CELL("address",'I&amp;E Annual'!$D$53)),'I&amp;E Annual'!$D$53)</f>
        <v>Total European Funding</v>
      </c>
      <c r="V17" s="12">
        <f t="shared" si="1"/>
        <v>0</v>
      </c>
      <c r="W17" s="12">
        <f t="shared" si="2"/>
        <v>0</v>
      </c>
      <c r="X17" s="12">
        <f t="shared" si="3"/>
        <v>0</v>
      </c>
      <c r="Y17" s="12">
        <f t="shared" si="4"/>
        <v>0</v>
      </c>
      <c r="AA17" s="99">
        <f>'I&amp;E Annual'!AA$53</f>
        <v>0</v>
      </c>
      <c r="AB17" s="99">
        <f>'I&amp;E Annual'!AB$53</f>
        <v>0</v>
      </c>
      <c r="AC17" s="99">
        <f>'I&amp;E Annual'!AC$53</f>
        <v>0</v>
      </c>
      <c r="AD17" s="99">
        <f>'I&amp;E Annual'!AD$53</f>
        <v>0</v>
      </c>
      <c r="AE17" s="99">
        <f>'I&amp;E Annual'!AE$53</f>
        <v>0</v>
      </c>
      <c r="AF17" s="99">
        <f>'I&amp;E Annual'!AF$53</f>
        <v>0</v>
      </c>
      <c r="AG17" s="99">
        <f>'I&amp;E Annual'!AG$53</f>
        <v>0</v>
      </c>
      <c r="AH17" s="99">
        <f>'I&amp;E Annual'!AH$53</f>
        <v>0</v>
      </c>
      <c r="AI17" s="99">
        <f>'I&amp;E Annual'!AI$53</f>
        <v>0</v>
      </c>
      <c r="AJ17" s="99">
        <f>'I&amp;E Annual'!AJ$53</f>
        <v>0</v>
      </c>
      <c r="AK17" s="99">
        <f>'I&amp;E Annual'!AK$53</f>
        <v>0</v>
      </c>
      <c r="AL17" s="99">
        <f>'I&amp;E Annual'!AL$53</f>
        <v>0</v>
      </c>
      <c r="AM17" s="99">
        <f>'I&amp;E Annual'!AM$53</f>
        <v>0</v>
      </c>
      <c r="AN17" s="99">
        <f>'I&amp;E Annual'!AN$53</f>
        <v>0</v>
      </c>
      <c r="AO17" s="99">
        <f>'I&amp;E Annual'!AO$53</f>
        <v>0</v>
      </c>
      <c r="AP17" s="99">
        <f>'I&amp;E Annual'!AP$53</f>
        <v>0</v>
      </c>
      <c r="AQ17" s="99">
        <f>'I&amp;E Annual'!AQ$53</f>
        <v>0</v>
      </c>
      <c r="AR17" s="99">
        <f>'I&amp;E Annual'!AR$53</f>
        <v>0</v>
      </c>
      <c r="AS17" s="99">
        <f>'I&amp;E Annual'!AS$53</f>
        <v>0</v>
      </c>
      <c r="AT17" s="99">
        <f>'I&amp;E Annual'!AT$53</f>
        <v>0</v>
      </c>
      <c r="AU17" s="99">
        <f>'I&amp;E Annual'!AU$53</f>
        <v>0</v>
      </c>
      <c r="AV17" s="99">
        <f>'I&amp;E Annual'!AV$53</f>
        <v>0</v>
      </c>
      <c r="AW17" s="99">
        <f>'I&amp;E Annual'!AW$53</f>
        <v>0</v>
      </c>
      <c r="AX17" s="99">
        <f>'I&amp;E Annual'!AX$53</f>
        <v>0</v>
      </c>
      <c r="AY17" s="99">
        <f>'I&amp;E Annual'!AY$53</f>
        <v>0</v>
      </c>
      <c r="AZ17" s="99">
        <f>'I&amp;E Annual'!AZ$53</f>
        <v>0</v>
      </c>
      <c r="BA17" s="99">
        <f>'I&amp;E Annual'!BA$53</f>
        <v>0</v>
      </c>
      <c r="BB17" s="99">
        <f>'I&amp;E Annual'!BB$53</f>
        <v>0</v>
      </c>
      <c r="BC17" s="99">
        <f>'I&amp;E Annual'!BC$53</f>
        <v>0</v>
      </c>
      <c r="BD17" s="99">
        <f>'I&amp;E Annual'!BD$53</f>
        <v>0</v>
      </c>
      <c r="BE17" s="99">
        <f>'I&amp;E Annual'!BE$53</f>
        <v>0</v>
      </c>
      <c r="BF17" s="99">
        <f>'I&amp;E Annual'!BF$53</f>
        <v>0</v>
      </c>
      <c r="BG17" s="99">
        <f>'I&amp;E Annual'!BG$53</f>
        <v>0</v>
      </c>
      <c r="BH17" s="99">
        <f>'I&amp;E Annual'!BH$53</f>
        <v>0</v>
      </c>
      <c r="BI17" s="99">
        <f>'I&amp;E Annual'!BI$53</f>
        <v>0</v>
      </c>
      <c r="BJ17" s="99">
        <f>'I&amp;E Annual'!BJ$53</f>
        <v>0</v>
      </c>
      <c r="BX17" s="99">
        <f>'I&amp;E Annual'!BX$53</f>
        <v>0</v>
      </c>
      <c r="BY17" s="99">
        <f>'I&amp;E Annual'!BY$53</f>
        <v>0</v>
      </c>
      <c r="BZ17" s="99">
        <f>'I&amp;E Annual'!BZ$53</f>
        <v>0</v>
      </c>
      <c r="CA17" s="99">
        <f>'I&amp;E Annual'!CA$53</f>
        <v>0</v>
      </c>
      <c r="CB17" s="99">
        <f>'I&amp;E Annual'!CB$53</f>
        <v>0</v>
      </c>
      <c r="CC17" s="99">
        <f>'I&amp;E Annual'!CC$53</f>
        <v>0</v>
      </c>
      <c r="CD17" s="99">
        <f>'I&amp;E Annual'!CD$53</f>
        <v>0</v>
      </c>
      <c r="CE17" s="99">
        <f>'I&amp;E Annual'!CE$53</f>
        <v>0</v>
      </c>
      <c r="CF17" s="99">
        <f>'I&amp;E Annual'!CF$53</f>
        <v>0</v>
      </c>
      <c r="CG17" s="99">
        <f>'I&amp;E Annual'!CG$53</f>
        <v>0</v>
      </c>
      <c r="CH17" s="99">
        <f>'I&amp;E Annual'!CH$53</f>
        <v>0</v>
      </c>
      <c r="CI17" s="99">
        <f>'I&amp;E Annual'!CI$53</f>
        <v>0</v>
      </c>
      <c r="CK17" s="311"/>
      <c r="CO17" s="100">
        <f t="shared" si="5"/>
        <v>0</v>
      </c>
      <c r="CP17" s="100">
        <f t="shared" si="6"/>
        <v>0</v>
      </c>
      <c r="CQ17" s="100">
        <f t="shared" si="7"/>
        <v>0</v>
      </c>
      <c r="CR17" s="311"/>
      <c r="CS17" s="215">
        <f t="shared" si="8"/>
        <v>0</v>
      </c>
      <c r="CT17" s="215">
        <f t="shared" si="9"/>
        <v>0</v>
      </c>
      <c r="CU17" s="215">
        <f t="shared" si="10"/>
        <v>0</v>
      </c>
      <c r="CV17" s="215">
        <f t="shared" si="11"/>
        <v>0</v>
      </c>
      <c r="CW17" s="215">
        <f t="shared" si="12"/>
        <v>0</v>
      </c>
      <c r="CX17" s="215">
        <f t="shared" si="13"/>
        <v>0</v>
      </c>
      <c r="CY17" s="215">
        <f t="shared" si="14"/>
        <v>0</v>
      </c>
      <c r="EX17" s="10" t="str">
        <f t="shared" ca="1" si="0"/>
        <v>Total European Funding</v>
      </c>
    </row>
    <row r="18" spans="1:154" ht="15" customHeight="1" x14ac:dyDescent="0.35">
      <c r="A18" s="537" cm="1">
        <f t="array" aca="1" ref="A18" ca="1">HYPERLINK(CONCATENATE("#",CELL("address",IF(MAX($CK18:$CR18)=0,A18,INDEX($CK18:$CR18,MATCH(1,$CK18:$CR18,0))))),MAX($CK18:$CR18))</f>
        <v>0</v>
      </c>
      <c r="C18" s="211" t="s">
        <v>1514</v>
      </c>
      <c r="D18" s="570" t="s">
        <v>1515</v>
      </c>
      <c r="V18" s="12">
        <f t="shared" ref="V18" si="15">BX18</f>
        <v>0</v>
      </c>
      <c r="W18" s="12">
        <f t="shared" ref="W18" si="16">BY18</f>
        <v>0</v>
      </c>
      <c r="X18" s="12">
        <f t="shared" ref="X18" si="17">BZ18</f>
        <v>0</v>
      </c>
      <c r="Y18" s="12">
        <f t="shared" ref="Y18" si="18">CA18</f>
        <v>0</v>
      </c>
      <c r="AA18" s="99">
        <f>'I&amp;E Annual'!AA$60</f>
        <v>0</v>
      </c>
      <c r="AB18" s="99">
        <f>'I&amp;E Annual'!AB$60</f>
        <v>0</v>
      </c>
      <c r="AC18" s="99">
        <f>'I&amp;E Annual'!AC$60</f>
        <v>0</v>
      </c>
      <c r="AD18" s="99">
        <f>'I&amp;E Annual'!AD$60</f>
        <v>0</v>
      </c>
      <c r="AE18" s="99">
        <f>'I&amp;E Annual'!AE$60</f>
        <v>0</v>
      </c>
      <c r="AF18" s="99">
        <f>'I&amp;E Annual'!AF$60</f>
        <v>0</v>
      </c>
      <c r="AG18" s="99">
        <f>'I&amp;E Annual'!AG$60</f>
        <v>0</v>
      </c>
      <c r="AH18" s="99">
        <f>'I&amp;E Annual'!AH$60</f>
        <v>0</v>
      </c>
      <c r="AI18" s="99">
        <f>'I&amp;E Annual'!AI$60</f>
        <v>0</v>
      </c>
      <c r="AJ18" s="99">
        <f>'I&amp;E Annual'!AJ$60</f>
        <v>0</v>
      </c>
      <c r="AK18" s="99">
        <f>'I&amp;E Annual'!AK$60</f>
        <v>0</v>
      </c>
      <c r="AL18" s="99">
        <f>'I&amp;E Annual'!AL$60</f>
        <v>0</v>
      </c>
      <c r="AM18" s="99">
        <f>'I&amp;E Annual'!AM$60</f>
        <v>0</v>
      </c>
      <c r="AN18" s="99">
        <f>'I&amp;E Annual'!AN$60</f>
        <v>0</v>
      </c>
      <c r="AO18" s="99">
        <f>'I&amp;E Annual'!AO$60</f>
        <v>0</v>
      </c>
      <c r="AP18" s="99">
        <f>'I&amp;E Annual'!AP$60</f>
        <v>0</v>
      </c>
      <c r="AQ18" s="99">
        <f>'I&amp;E Annual'!AQ$60</f>
        <v>0</v>
      </c>
      <c r="AR18" s="99">
        <f>'I&amp;E Annual'!AR$60</f>
        <v>0</v>
      </c>
      <c r="AS18" s="99">
        <f>'I&amp;E Annual'!AS$60</f>
        <v>0</v>
      </c>
      <c r="AT18" s="99">
        <f>'I&amp;E Annual'!AT$60</f>
        <v>0</v>
      </c>
      <c r="AU18" s="99">
        <f>'I&amp;E Annual'!AU$60</f>
        <v>0</v>
      </c>
      <c r="AV18" s="99">
        <f>'I&amp;E Annual'!AV$60</f>
        <v>0</v>
      </c>
      <c r="AW18" s="99">
        <f>'I&amp;E Annual'!AW$60</f>
        <v>0</v>
      </c>
      <c r="AX18" s="99">
        <f>'I&amp;E Annual'!AX$60</f>
        <v>0</v>
      </c>
      <c r="AY18" s="99">
        <f>'I&amp;E Annual'!AY$60</f>
        <v>0</v>
      </c>
      <c r="AZ18" s="99">
        <f>'I&amp;E Annual'!AZ$60</f>
        <v>0</v>
      </c>
      <c r="BA18" s="99">
        <f>'I&amp;E Annual'!BA$60</f>
        <v>0</v>
      </c>
      <c r="BB18" s="99">
        <f>'I&amp;E Annual'!BB$60</f>
        <v>0</v>
      </c>
      <c r="BC18" s="99">
        <f>'I&amp;E Annual'!BC$60</f>
        <v>0</v>
      </c>
      <c r="BD18" s="99">
        <f>'I&amp;E Annual'!BD$60</f>
        <v>0</v>
      </c>
      <c r="BE18" s="99">
        <f>'I&amp;E Annual'!BE$60</f>
        <v>0</v>
      </c>
      <c r="BF18" s="99">
        <f>'I&amp;E Annual'!BF$60</f>
        <v>0</v>
      </c>
      <c r="BG18" s="99">
        <f>'I&amp;E Annual'!BG$60</f>
        <v>0</v>
      </c>
      <c r="BH18" s="99">
        <f>'I&amp;E Annual'!BH$60</f>
        <v>0</v>
      </c>
      <c r="BI18" s="99">
        <f>'I&amp;E Annual'!BI$60</f>
        <v>0</v>
      </c>
      <c r="BJ18" s="99">
        <f>'I&amp;E Annual'!BJ$60</f>
        <v>0</v>
      </c>
      <c r="BX18" s="99">
        <f>'I&amp;E Annual'!BX$60</f>
        <v>0</v>
      </c>
      <c r="BY18" s="99">
        <f>'I&amp;E Annual'!BY$60</f>
        <v>0</v>
      </c>
      <c r="BZ18" s="99">
        <f>'I&amp;E Annual'!BZ$60</f>
        <v>0</v>
      </c>
      <c r="CA18" s="99">
        <f>'I&amp;E Annual'!CA$60</f>
        <v>0</v>
      </c>
      <c r="CB18" s="99">
        <f>'I&amp;E Annual'!CB$60</f>
        <v>0</v>
      </c>
      <c r="CC18" s="99">
        <f>'I&amp;E Annual'!CC$60</f>
        <v>0</v>
      </c>
      <c r="CD18" s="99">
        <f>'I&amp;E Annual'!CD$60</f>
        <v>0</v>
      </c>
      <c r="CE18" s="99">
        <f>'I&amp;E Annual'!CE$60</f>
        <v>0</v>
      </c>
      <c r="CF18" s="99">
        <f>'I&amp;E Annual'!CF$60</f>
        <v>0</v>
      </c>
      <c r="CG18" s="99">
        <f>'I&amp;E Annual'!CG$60</f>
        <v>0</v>
      </c>
      <c r="CH18" s="99">
        <f>'I&amp;E Annual'!CH$60</f>
        <v>0</v>
      </c>
      <c r="CI18" s="99">
        <f>'I&amp;E Annual'!CI$60</f>
        <v>0</v>
      </c>
      <c r="CK18" s="311"/>
      <c r="CO18" s="100">
        <f t="shared" si="5"/>
        <v>0</v>
      </c>
      <c r="CP18" s="100">
        <f t="shared" si="6"/>
        <v>0</v>
      </c>
      <c r="CQ18" s="100">
        <f t="shared" ref="CQ18" si="19">IF(CY18=0, 0, 1)</f>
        <v>0</v>
      </c>
      <c r="CR18" s="311"/>
      <c r="CS18" s="215">
        <f t="shared" ref="CS18" si="20">ROUND(W18-SUMIFS($AA18:$BJ18, $AA$3:$BJ$3, W$3), rounding)</f>
        <v>0</v>
      </c>
      <c r="CT18" s="215">
        <f t="shared" ref="CT18" si="21">ROUND($X18-SUMIFS($AA18:$BJ18, $AA$3:$BJ$3, X$3), rounding)</f>
        <v>0</v>
      </c>
      <c r="CU18" s="215">
        <f t="shared" ref="CU18" si="22">ROUND($Y18-SUMIFS($AA18:$BJ18, $AA$3:$BJ$3, Y$3), rounding)</f>
        <v>0</v>
      </c>
      <c r="CV18" s="215">
        <f t="shared" ref="CV18" si="23">ROUND(W18-BY18, rounding)</f>
        <v>0</v>
      </c>
      <c r="CW18" s="215">
        <f t="shared" ref="CW18" si="24">ROUND(X18-BZ18, rounding)</f>
        <v>0</v>
      </c>
      <c r="CX18" s="215">
        <f t="shared" ref="CX18" si="25">ROUND(Y18-CA18, rounding)</f>
        <v>0</v>
      </c>
      <c r="CY18" s="215">
        <f t="shared" ref="CY18" si="26">ROUND(V18-BX18, rounding)</f>
        <v>0</v>
      </c>
      <c r="EX18" s="10"/>
    </row>
    <row r="19" spans="1:154" ht="15" customHeight="1" x14ac:dyDescent="0.35">
      <c r="A19" s="537" cm="1">
        <f t="array" aca="1" ref="A19" ca="1">HYPERLINK(CONCATENATE("#",CELL("address",IF(MAX($CK19:$CR19)=0,A19,INDEX($CK19:$CR19,MATCH(1,$CK19:$CR19,0))))),MAX($CK19:$CR19))</f>
        <v>0</v>
      </c>
      <c r="C19" s="213" t="str">
        <f>CONCATENATE("FS-",'I&amp;E Annual'!C$74)</f>
        <v>FS-IE-1f</v>
      </c>
      <c r="D19" s="570" t="str" cm="1">
        <f t="array" aca="1" ref="D19" ca="1">HYPERLINK(CONCATENATE("#",CELL("address",'I&amp;E Annual'!$D$74)),'I&amp;E Annual'!$D$74)</f>
        <v>Total Other Income from Provision of Education and Training</v>
      </c>
      <c r="V19" s="12">
        <f t="shared" si="1"/>
        <v>0</v>
      </c>
      <c r="W19" s="12">
        <f t="shared" si="2"/>
        <v>0</v>
      </c>
      <c r="X19" s="12">
        <f t="shared" si="3"/>
        <v>0</v>
      </c>
      <c r="Y19" s="12">
        <f t="shared" si="4"/>
        <v>0</v>
      </c>
      <c r="AA19" s="99">
        <f>'I&amp;E Annual'!AA$74</f>
        <v>0</v>
      </c>
      <c r="AB19" s="99">
        <f>'I&amp;E Annual'!AB$74</f>
        <v>0</v>
      </c>
      <c r="AC19" s="99">
        <f>'I&amp;E Annual'!AC$74</f>
        <v>0</v>
      </c>
      <c r="AD19" s="99">
        <f>'I&amp;E Annual'!AD$74</f>
        <v>0</v>
      </c>
      <c r="AE19" s="99">
        <f>'I&amp;E Annual'!AE$74</f>
        <v>0</v>
      </c>
      <c r="AF19" s="99">
        <f>'I&amp;E Annual'!AF$74</f>
        <v>0</v>
      </c>
      <c r="AG19" s="99">
        <f>'I&amp;E Annual'!AG$74</f>
        <v>0</v>
      </c>
      <c r="AH19" s="99">
        <f>'I&amp;E Annual'!AH$74</f>
        <v>0</v>
      </c>
      <c r="AI19" s="99">
        <f>'I&amp;E Annual'!AI$74</f>
        <v>0</v>
      </c>
      <c r="AJ19" s="99">
        <f>'I&amp;E Annual'!AJ$74</f>
        <v>0</v>
      </c>
      <c r="AK19" s="99">
        <f>'I&amp;E Annual'!AK$74</f>
        <v>0</v>
      </c>
      <c r="AL19" s="99">
        <f>'I&amp;E Annual'!AL$74</f>
        <v>0</v>
      </c>
      <c r="AM19" s="99">
        <f>'I&amp;E Annual'!AM$74</f>
        <v>0</v>
      </c>
      <c r="AN19" s="99">
        <f>'I&amp;E Annual'!AN$74</f>
        <v>0</v>
      </c>
      <c r="AO19" s="99">
        <f>'I&amp;E Annual'!AO$74</f>
        <v>0</v>
      </c>
      <c r="AP19" s="99">
        <f>'I&amp;E Annual'!AP$74</f>
        <v>0</v>
      </c>
      <c r="AQ19" s="99">
        <f>'I&amp;E Annual'!AQ$74</f>
        <v>0</v>
      </c>
      <c r="AR19" s="99">
        <f>'I&amp;E Annual'!AR$74</f>
        <v>0</v>
      </c>
      <c r="AS19" s="99">
        <f>'I&amp;E Annual'!AS$74</f>
        <v>0</v>
      </c>
      <c r="AT19" s="99">
        <f>'I&amp;E Annual'!AT$74</f>
        <v>0</v>
      </c>
      <c r="AU19" s="99">
        <f>'I&amp;E Annual'!AU$74</f>
        <v>0</v>
      </c>
      <c r="AV19" s="99">
        <f>'I&amp;E Annual'!AV$74</f>
        <v>0</v>
      </c>
      <c r="AW19" s="99">
        <f>'I&amp;E Annual'!AW$74</f>
        <v>0</v>
      </c>
      <c r="AX19" s="99">
        <f>'I&amp;E Annual'!AX$74</f>
        <v>0</v>
      </c>
      <c r="AY19" s="99">
        <f>'I&amp;E Annual'!AY$74</f>
        <v>0</v>
      </c>
      <c r="AZ19" s="99">
        <f>'I&amp;E Annual'!AZ$74</f>
        <v>0</v>
      </c>
      <c r="BA19" s="99">
        <f>'I&amp;E Annual'!BA$74</f>
        <v>0</v>
      </c>
      <c r="BB19" s="99">
        <f>'I&amp;E Annual'!BB$74</f>
        <v>0</v>
      </c>
      <c r="BC19" s="99">
        <f>'I&amp;E Annual'!BC$74</f>
        <v>0</v>
      </c>
      <c r="BD19" s="99">
        <f>'I&amp;E Annual'!BD$74</f>
        <v>0</v>
      </c>
      <c r="BE19" s="99">
        <f>'I&amp;E Annual'!BE$74</f>
        <v>0</v>
      </c>
      <c r="BF19" s="99">
        <f>'I&amp;E Annual'!BF$74</f>
        <v>0</v>
      </c>
      <c r="BG19" s="99">
        <f>'I&amp;E Annual'!BG$74</f>
        <v>0</v>
      </c>
      <c r="BH19" s="99">
        <f>'I&amp;E Annual'!BH$74</f>
        <v>0</v>
      </c>
      <c r="BI19" s="99">
        <f>'I&amp;E Annual'!BI$74</f>
        <v>0</v>
      </c>
      <c r="BJ19" s="99">
        <f>'I&amp;E Annual'!BJ$74</f>
        <v>0</v>
      </c>
      <c r="BX19" s="99">
        <f>'I&amp;E Annual'!BX$74</f>
        <v>0</v>
      </c>
      <c r="BY19" s="99">
        <f>'I&amp;E Annual'!BY$74</f>
        <v>0</v>
      </c>
      <c r="BZ19" s="99">
        <f>'I&amp;E Annual'!BZ$74</f>
        <v>0</v>
      </c>
      <c r="CA19" s="99">
        <f>'I&amp;E Annual'!CA$74</f>
        <v>0</v>
      </c>
      <c r="CB19" s="99">
        <f>'I&amp;E Annual'!CB$74</f>
        <v>0</v>
      </c>
      <c r="CC19" s="99">
        <f>'I&amp;E Annual'!CC$74</f>
        <v>0</v>
      </c>
      <c r="CD19" s="99">
        <f>'I&amp;E Annual'!CD$74</f>
        <v>0</v>
      </c>
      <c r="CE19" s="99">
        <f>'I&amp;E Annual'!CE$74</f>
        <v>0</v>
      </c>
      <c r="CF19" s="99">
        <f>'I&amp;E Annual'!CF$74</f>
        <v>0</v>
      </c>
      <c r="CG19" s="99">
        <f>'I&amp;E Annual'!CG$74</f>
        <v>0</v>
      </c>
      <c r="CH19" s="99">
        <f>'I&amp;E Annual'!CH$74</f>
        <v>0</v>
      </c>
      <c r="CI19" s="99">
        <f>'I&amp;E Annual'!CI$74</f>
        <v>0</v>
      </c>
      <c r="CK19" s="311"/>
      <c r="CO19" s="100">
        <f t="shared" si="5"/>
        <v>0</v>
      </c>
      <c r="CP19" s="100">
        <f t="shared" si="6"/>
        <v>0</v>
      </c>
      <c r="CQ19" s="100">
        <f t="shared" si="7"/>
        <v>0</v>
      </c>
      <c r="CR19" s="311"/>
      <c r="CS19" s="215">
        <f t="shared" si="8"/>
        <v>0</v>
      </c>
      <c r="CT19" s="215">
        <f t="shared" si="9"/>
        <v>0</v>
      </c>
      <c r="CU19" s="215">
        <f t="shared" si="10"/>
        <v>0</v>
      </c>
      <c r="CV19" s="215">
        <f t="shared" si="11"/>
        <v>0</v>
      </c>
      <c r="CW19" s="215">
        <f t="shared" si="12"/>
        <v>0</v>
      </c>
      <c r="CX19" s="215">
        <f t="shared" si="13"/>
        <v>0</v>
      </c>
      <c r="CY19" s="215">
        <f t="shared" si="14"/>
        <v>0</v>
      </c>
      <c r="EX19" s="10" t="str">
        <f t="shared" ca="1" si="0"/>
        <v>Total Other Income from Provision of Education and Training</v>
      </c>
    </row>
    <row r="20" spans="1:154" ht="15" customHeight="1" x14ac:dyDescent="0.35">
      <c r="A20" s="537" cm="1">
        <f t="array" aca="1" ref="A20" ca="1">HYPERLINK(CONCATENATE("#",CELL("address",IF(MAX($CK20:$CR20)=0,A20,INDEX($CK20:$CR20,MATCH(1,$CK20:$CR20,0))))),MAX($CK20:$CR20))</f>
        <v>0</v>
      </c>
      <c r="C20" s="213" t="str">
        <f>CONCATENATE("FS-",'I&amp;E Annual'!C$85)</f>
        <v>FS-IE-1g</v>
      </c>
      <c r="D20" s="570" t="str" cm="1">
        <f t="array" aca="1" ref="D20" ca="1">HYPERLINK(CONCATENATE("#",CELL("address",'I&amp;E Annual'!$D$85)),'I&amp;E Annual'!$D$85)</f>
        <v>Total commercial income</v>
      </c>
      <c r="V20" s="12">
        <f t="shared" si="1"/>
        <v>0</v>
      </c>
      <c r="W20" s="12">
        <f t="shared" si="2"/>
        <v>0</v>
      </c>
      <c r="X20" s="12">
        <f t="shared" si="3"/>
        <v>0</v>
      </c>
      <c r="Y20" s="12">
        <f t="shared" si="4"/>
        <v>0</v>
      </c>
      <c r="AA20" s="99">
        <f>'I&amp;E Annual'!AA$85</f>
        <v>0</v>
      </c>
      <c r="AB20" s="99">
        <f>'I&amp;E Annual'!AB$85</f>
        <v>0</v>
      </c>
      <c r="AC20" s="99">
        <f>'I&amp;E Annual'!AC$85</f>
        <v>0</v>
      </c>
      <c r="AD20" s="99">
        <f>'I&amp;E Annual'!AD$85</f>
        <v>0</v>
      </c>
      <c r="AE20" s="99">
        <f>'I&amp;E Annual'!AE$85</f>
        <v>0</v>
      </c>
      <c r="AF20" s="99">
        <f>'I&amp;E Annual'!AF$85</f>
        <v>0</v>
      </c>
      <c r="AG20" s="99">
        <f>'I&amp;E Annual'!AG$85</f>
        <v>0</v>
      </c>
      <c r="AH20" s="99">
        <f>'I&amp;E Annual'!AH$85</f>
        <v>0</v>
      </c>
      <c r="AI20" s="99">
        <f>'I&amp;E Annual'!AI$85</f>
        <v>0</v>
      </c>
      <c r="AJ20" s="99">
        <f>'I&amp;E Annual'!AJ$85</f>
        <v>0</v>
      </c>
      <c r="AK20" s="99">
        <f>'I&amp;E Annual'!AK$85</f>
        <v>0</v>
      </c>
      <c r="AL20" s="99">
        <f>'I&amp;E Annual'!AL$85</f>
        <v>0</v>
      </c>
      <c r="AM20" s="99">
        <f>'I&amp;E Annual'!AM$85</f>
        <v>0</v>
      </c>
      <c r="AN20" s="99">
        <f>'I&amp;E Annual'!AN$85</f>
        <v>0</v>
      </c>
      <c r="AO20" s="99">
        <f>'I&amp;E Annual'!AO$85</f>
        <v>0</v>
      </c>
      <c r="AP20" s="99">
        <f>'I&amp;E Annual'!AP$85</f>
        <v>0</v>
      </c>
      <c r="AQ20" s="99">
        <f>'I&amp;E Annual'!AQ$85</f>
        <v>0</v>
      </c>
      <c r="AR20" s="99">
        <f>'I&amp;E Annual'!AR$85</f>
        <v>0</v>
      </c>
      <c r="AS20" s="99">
        <f>'I&amp;E Annual'!AS$85</f>
        <v>0</v>
      </c>
      <c r="AT20" s="99">
        <f>'I&amp;E Annual'!AT$85</f>
        <v>0</v>
      </c>
      <c r="AU20" s="99">
        <f>'I&amp;E Annual'!AU$85</f>
        <v>0</v>
      </c>
      <c r="AV20" s="99">
        <f>'I&amp;E Annual'!AV$85</f>
        <v>0</v>
      </c>
      <c r="AW20" s="99">
        <f>'I&amp;E Annual'!AW$85</f>
        <v>0</v>
      </c>
      <c r="AX20" s="99">
        <f>'I&amp;E Annual'!AX$85</f>
        <v>0</v>
      </c>
      <c r="AY20" s="99">
        <f>'I&amp;E Annual'!AY$85</f>
        <v>0</v>
      </c>
      <c r="AZ20" s="99">
        <f>'I&amp;E Annual'!AZ$85</f>
        <v>0</v>
      </c>
      <c r="BA20" s="99">
        <f>'I&amp;E Annual'!BA$85</f>
        <v>0</v>
      </c>
      <c r="BB20" s="99">
        <f>'I&amp;E Annual'!BB$85</f>
        <v>0</v>
      </c>
      <c r="BC20" s="99">
        <f>'I&amp;E Annual'!BC$85</f>
        <v>0</v>
      </c>
      <c r="BD20" s="99">
        <f>'I&amp;E Annual'!BD$85</f>
        <v>0</v>
      </c>
      <c r="BE20" s="99">
        <f>'I&amp;E Annual'!BE$85</f>
        <v>0</v>
      </c>
      <c r="BF20" s="99">
        <f>'I&amp;E Annual'!BF$85</f>
        <v>0</v>
      </c>
      <c r="BG20" s="99">
        <f>'I&amp;E Annual'!BG$85</f>
        <v>0</v>
      </c>
      <c r="BH20" s="99">
        <f>'I&amp;E Annual'!BH$85</f>
        <v>0</v>
      </c>
      <c r="BI20" s="99">
        <f>'I&amp;E Annual'!BI$85</f>
        <v>0</v>
      </c>
      <c r="BJ20" s="99">
        <f>'I&amp;E Annual'!BJ$85</f>
        <v>0</v>
      </c>
      <c r="BX20" s="99">
        <f>'I&amp;E Annual'!BX$85</f>
        <v>0</v>
      </c>
      <c r="BY20" s="99">
        <f>'I&amp;E Annual'!BY$85</f>
        <v>0</v>
      </c>
      <c r="BZ20" s="99">
        <f>'I&amp;E Annual'!BZ$85</f>
        <v>0</v>
      </c>
      <c r="CA20" s="99">
        <f>'I&amp;E Annual'!CA$85</f>
        <v>0</v>
      </c>
      <c r="CB20" s="99">
        <f>'I&amp;E Annual'!CB$85</f>
        <v>0</v>
      </c>
      <c r="CC20" s="99">
        <f>'I&amp;E Annual'!CC$85</f>
        <v>0</v>
      </c>
      <c r="CD20" s="99">
        <f>'I&amp;E Annual'!CD$85</f>
        <v>0</v>
      </c>
      <c r="CE20" s="99">
        <f>'I&amp;E Annual'!CE$85</f>
        <v>0</v>
      </c>
      <c r="CF20" s="99">
        <f>'I&amp;E Annual'!CF$85</f>
        <v>0</v>
      </c>
      <c r="CG20" s="99">
        <f>'I&amp;E Annual'!CG$85</f>
        <v>0</v>
      </c>
      <c r="CH20" s="99">
        <f>'I&amp;E Annual'!CH$85</f>
        <v>0</v>
      </c>
      <c r="CI20" s="99">
        <f>'I&amp;E Annual'!CI$85</f>
        <v>0</v>
      </c>
      <c r="CK20" s="311"/>
      <c r="CO20" s="100">
        <f t="shared" si="5"/>
        <v>0</v>
      </c>
      <c r="CP20" s="100">
        <f t="shared" si="6"/>
        <v>0</v>
      </c>
      <c r="CQ20" s="100">
        <f t="shared" si="7"/>
        <v>0</v>
      </c>
      <c r="CR20" s="311"/>
      <c r="CS20" s="215">
        <f t="shared" si="8"/>
        <v>0</v>
      </c>
      <c r="CT20" s="215">
        <f t="shared" si="9"/>
        <v>0</v>
      </c>
      <c r="CU20" s="215">
        <f t="shared" si="10"/>
        <v>0</v>
      </c>
      <c r="CV20" s="215">
        <f t="shared" si="11"/>
        <v>0</v>
      </c>
      <c r="CW20" s="215">
        <f t="shared" si="12"/>
        <v>0</v>
      </c>
      <c r="CX20" s="215">
        <f t="shared" si="13"/>
        <v>0</v>
      </c>
      <c r="CY20" s="215">
        <f t="shared" si="14"/>
        <v>0</v>
      </c>
      <c r="EX20" s="10" t="str">
        <f t="shared" ca="1" si="0"/>
        <v>Total commercial income</v>
      </c>
    </row>
    <row r="21" spans="1:154" ht="15" customHeight="1" x14ac:dyDescent="0.35">
      <c r="A21" s="537" cm="1">
        <f t="array" aca="1" ref="A21" ca="1">HYPERLINK(CONCATENATE("#",CELL("address",IF(MAX($CK21:$CR21)=0,A21,INDEX($CK21:$CR21,MATCH(1,$CK21:$CR21,0))))),MAX($CK21:$CR21))</f>
        <v>0</v>
      </c>
      <c r="C21" s="213" t="str">
        <f>CONCATENATE("FS-",'I&amp;E Annual'!C$90)</f>
        <v>FS-IE-1h</v>
      </c>
      <c r="D21" s="570" t="str" cm="1">
        <f t="array" aca="1" ref="D21" ca="1">HYPERLINK(CONCATENATE("#",CELL("address",'I&amp;E Annual'!$D$90)),'I&amp;E Annual'!$D$90)</f>
        <v>Total Other Income</v>
      </c>
      <c r="V21" s="12">
        <f t="shared" si="1"/>
        <v>0</v>
      </c>
      <c r="W21" s="12">
        <f t="shared" si="2"/>
        <v>0</v>
      </c>
      <c r="X21" s="12">
        <f t="shared" si="3"/>
        <v>0</v>
      </c>
      <c r="Y21" s="12">
        <f t="shared" si="4"/>
        <v>0</v>
      </c>
      <c r="AA21" s="99">
        <f>'I&amp;E Annual'!AA$90</f>
        <v>0</v>
      </c>
      <c r="AB21" s="99">
        <f>'I&amp;E Annual'!AB$90</f>
        <v>0</v>
      </c>
      <c r="AC21" s="99">
        <f>'I&amp;E Annual'!AC$90</f>
        <v>0</v>
      </c>
      <c r="AD21" s="99">
        <f>'I&amp;E Annual'!AD$90</f>
        <v>0</v>
      </c>
      <c r="AE21" s="99">
        <f>'I&amp;E Annual'!AE$90</f>
        <v>0</v>
      </c>
      <c r="AF21" s="99">
        <f>'I&amp;E Annual'!AF$90</f>
        <v>0</v>
      </c>
      <c r="AG21" s="99">
        <f>'I&amp;E Annual'!AG$90</f>
        <v>0</v>
      </c>
      <c r="AH21" s="99">
        <f>'I&amp;E Annual'!AH$90</f>
        <v>0</v>
      </c>
      <c r="AI21" s="99">
        <f>'I&amp;E Annual'!AI$90</f>
        <v>0</v>
      </c>
      <c r="AJ21" s="99">
        <f>'I&amp;E Annual'!AJ$90</f>
        <v>0</v>
      </c>
      <c r="AK21" s="99">
        <f>'I&amp;E Annual'!AK$90</f>
        <v>0</v>
      </c>
      <c r="AL21" s="99">
        <f>'I&amp;E Annual'!AL$90</f>
        <v>0</v>
      </c>
      <c r="AM21" s="99">
        <f>'I&amp;E Annual'!AM$90</f>
        <v>0</v>
      </c>
      <c r="AN21" s="99">
        <f>'I&amp;E Annual'!AN$90</f>
        <v>0</v>
      </c>
      <c r="AO21" s="99">
        <f>'I&amp;E Annual'!AO$90</f>
        <v>0</v>
      </c>
      <c r="AP21" s="99">
        <f>'I&amp;E Annual'!AP$90</f>
        <v>0</v>
      </c>
      <c r="AQ21" s="99">
        <f>'I&amp;E Annual'!AQ$90</f>
        <v>0</v>
      </c>
      <c r="AR21" s="99">
        <f>'I&amp;E Annual'!AR$90</f>
        <v>0</v>
      </c>
      <c r="AS21" s="99">
        <f>'I&amp;E Annual'!AS$90</f>
        <v>0</v>
      </c>
      <c r="AT21" s="99">
        <f>'I&amp;E Annual'!AT$90</f>
        <v>0</v>
      </c>
      <c r="AU21" s="99">
        <f>'I&amp;E Annual'!AU$90</f>
        <v>0</v>
      </c>
      <c r="AV21" s="99">
        <f>'I&amp;E Annual'!AV$90</f>
        <v>0</v>
      </c>
      <c r="AW21" s="99">
        <f>'I&amp;E Annual'!AW$90</f>
        <v>0</v>
      </c>
      <c r="AX21" s="99">
        <f>'I&amp;E Annual'!AX$90</f>
        <v>0</v>
      </c>
      <c r="AY21" s="99">
        <f>'I&amp;E Annual'!AY$90</f>
        <v>0</v>
      </c>
      <c r="AZ21" s="99">
        <f>'I&amp;E Annual'!AZ$90</f>
        <v>0</v>
      </c>
      <c r="BA21" s="99">
        <f>'I&amp;E Annual'!BA$90</f>
        <v>0</v>
      </c>
      <c r="BB21" s="99">
        <f>'I&amp;E Annual'!BB$90</f>
        <v>0</v>
      </c>
      <c r="BC21" s="99">
        <f>'I&amp;E Annual'!BC$90</f>
        <v>0</v>
      </c>
      <c r="BD21" s="99">
        <f>'I&amp;E Annual'!BD$90</f>
        <v>0</v>
      </c>
      <c r="BE21" s="99">
        <f>'I&amp;E Annual'!BE$90</f>
        <v>0</v>
      </c>
      <c r="BF21" s="99">
        <f>'I&amp;E Annual'!BF$90</f>
        <v>0</v>
      </c>
      <c r="BG21" s="99">
        <f>'I&amp;E Annual'!BG$90</f>
        <v>0</v>
      </c>
      <c r="BH21" s="99">
        <f>'I&amp;E Annual'!BH$90</f>
        <v>0</v>
      </c>
      <c r="BI21" s="99">
        <f>'I&amp;E Annual'!BI$90</f>
        <v>0</v>
      </c>
      <c r="BJ21" s="99">
        <f>'I&amp;E Annual'!BJ$90</f>
        <v>0</v>
      </c>
      <c r="BX21" s="99">
        <f>'I&amp;E Annual'!BX$90</f>
        <v>0</v>
      </c>
      <c r="BY21" s="99">
        <f>'I&amp;E Annual'!BY$90</f>
        <v>0</v>
      </c>
      <c r="BZ21" s="99">
        <f>'I&amp;E Annual'!BZ$90</f>
        <v>0</v>
      </c>
      <c r="CA21" s="99">
        <f>'I&amp;E Annual'!CA$90</f>
        <v>0</v>
      </c>
      <c r="CB21" s="99">
        <f>'I&amp;E Annual'!CB$90</f>
        <v>0</v>
      </c>
      <c r="CC21" s="99">
        <f>'I&amp;E Annual'!CC$90</f>
        <v>0</v>
      </c>
      <c r="CD21" s="99">
        <f>'I&amp;E Annual'!CD$90</f>
        <v>0</v>
      </c>
      <c r="CE21" s="99">
        <f>'I&amp;E Annual'!CE$90</f>
        <v>0</v>
      </c>
      <c r="CF21" s="99">
        <f>'I&amp;E Annual'!CF$90</f>
        <v>0</v>
      </c>
      <c r="CG21" s="99">
        <f>'I&amp;E Annual'!CG$90</f>
        <v>0</v>
      </c>
      <c r="CH21" s="99">
        <f>'I&amp;E Annual'!CH$90</f>
        <v>0</v>
      </c>
      <c r="CI21" s="99">
        <f>'I&amp;E Annual'!CI$90</f>
        <v>0</v>
      </c>
      <c r="CK21" s="311"/>
      <c r="CO21" s="100">
        <f t="shared" si="5"/>
        <v>0</v>
      </c>
      <c r="CP21" s="100">
        <f t="shared" si="6"/>
        <v>0</v>
      </c>
      <c r="CQ21" s="100">
        <f t="shared" si="7"/>
        <v>0</v>
      </c>
      <c r="CR21" s="311"/>
      <c r="CS21" s="215">
        <f t="shared" si="8"/>
        <v>0</v>
      </c>
      <c r="CT21" s="215">
        <f t="shared" si="9"/>
        <v>0</v>
      </c>
      <c r="CU21" s="215">
        <f t="shared" si="10"/>
        <v>0</v>
      </c>
      <c r="CV21" s="215">
        <f t="shared" si="11"/>
        <v>0</v>
      </c>
      <c r="CW21" s="215">
        <f t="shared" si="12"/>
        <v>0</v>
      </c>
      <c r="CX21" s="215">
        <f t="shared" si="13"/>
        <v>0</v>
      </c>
      <c r="CY21" s="215">
        <f t="shared" si="14"/>
        <v>0</v>
      </c>
      <c r="EX21" s="10" t="str">
        <f t="shared" ca="1" si="0"/>
        <v>Total Other Income</v>
      </c>
    </row>
    <row r="22" spans="1:154" ht="15" customHeight="1" x14ac:dyDescent="0.35">
      <c r="A22" s="537" cm="1">
        <f t="array" aca="1" ref="A22" ca="1">HYPERLINK(CONCATENATE("#",CELL("address",IF(MAX($CK22:$CR22)=0,A22,INDEX($CK22:$CR22,MATCH(1,$CK22:$CR22,0))))),MAX($CK22:$CR22))</f>
        <v>0</v>
      </c>
      <c r="C22" s="213" t="str">
        <f>CONCATENATE("FS-",'I&amp;E Annual'!C$96)</f>
        <v>FS-IE-1i</v>
      </c>
      <c r="D22" s="570" t="str" cm="1">
        <f t="array" aca="1" ref="D22" ca="1">HYPERLINK(CONCATENATE("#",CELL("address",'I&amp;E Annual'!$D$96)),'I&amp;E Annual'!$D$96)</f>
        <v>Total Funding Support</v>
      </c>
      <c r="V22" s="12">
        <f t="shared" si="1"/>
        <v>0</v>
      </c>
      <c r="W22" s="12">
        <f t="shared" si="2"/>
        <v>0</v>
      </c>
      <c r="X22" s="12">
        <f t="shared" si="3"/>
        <v>0</v>
      </c>
      <c r="Y22" s="12">
        <f t="shared" si="4"/>
        <v>0</v>
      </c>
      <c r="AA22" s="99">
        <f>'I&amp;E Annual'!AA$96</f>
        <v>0</v>
      </c>
      <c r="AB22" s="99">
        <f>'I&amp;E Annual'!AB$96</f>
        <v>0</v>
      </c>
      <c r="AC22" s="99">
        <f>'I&amp;E Annual'!AC$96</f>
        <v>0</v>
      </c>
      <c r="AD22" s="99">
        <f>'I&amp;E Annual'!AD$96</f>
        <v>0</v>
      </c>
      <c r="AE22" s="99">
        <f>'I&amp;E Annual'!AE$96</f>
        <v>0</v>
      </c>
      <c r="AF22" s="99">
        <f>'I&amp;E Annual'!AF$96</f>
        <v>0</v>
      </c>
      <c r="AG22" s="99">
        <f>'I&amp;E Annual'!AG$96</f>
        <v>0</v>
      </c>
      <c r="AH22" s="99">
        <f>'I&amp;E Annual'!AH$96</f>
        <v>0</v>
      </c>
      <c r="AI22" s="99">
        <f>'I&amp;E Annual'!AI$96</f>
        <v>0</v>
      </c>
      <c r="AJ22" s="99">
        <f>'I&amp;E Annual'!AJ$96</f>
        <v>0</v>
      </c>
      <c r="AK22" s="99">
        <f>'I&amp;E Annual'!AK$96</f>
        <v>0</v>
      </c>
      <c r="AL22" s="99">
        <f>'I&amp;E Annual'!AL$96</f>
        <v>0</v>
      </c>
      <c r="AM22" s="99">
        <f>'I&amp;E Annual'!AM$96</f>
        <v>0</v>
      </c>
      <c r="AN22" s="99">
        <f>'I&amp;E Annual'!AN$96</f>
        <v>0</v>
      </c>
      <c r="AO22" s="99">
        <f>'I&amp;E Annual'!AO$96</f>
        <v>0</v>
      </c>
      <c r="AP22" s="99">
        <f>'I&amp;E Annual'!AP$96</f>
        <v>0</v>
      </c>
      <c r="AQ22" s="99">
        <f>'I&amp;E Annual'!AQ$96</f>
        <v>0</v>
      </c>
      <c r="AR22" s="99">
        <f>'I&amp;E Annual'!AR$96</f>
        <v>0</v>
      </c>
      <c r="AS22" s="99">
        <f>'I&amp;E Annual'!AS$96</f>
        <v>0</v>
      </c>
      <c r="AT22" s="99">
        <f>'I&amp;E Annual'!AT$96</f>
        <v>0</v>
      </c>
      <c r="AU22" s="99">
        <f>'I&amp;E Annual'!AU$96</f>
        <v>0</v>
      </c>
      <c r="AV22" s="99">
        <f>'I&amp;E Annual'!AV$96</f>
        <v>0</v>
      </c>
      <c r="AW22" s="99">
        <f>'I&amp;E Annual'!AW$96</f>
        <v>0</v>
      </c>
      <c r="AX22" s="99">
        <f>'I&amp;E Annual'!AX$96</f>
        <v>0</v>
      </c>
      <c r="AY22" s="99">
        <f>'I&amp;E Annual'!AY$96</f>
        <v>0</v>
      </c>
      <c r="AZ22" s="99">
        <f>'I&amp;E Annual'!AZ$96</f>
        <v>0</v>
      </c>
      <c r="BA22" s="99">
        <f>'I&amp;E Annual'!BA$96</f>
        <v>0</v>
      </c>
      <c r="BB22" s="99">
        <f>'I&amp;E Annual'!BB$96</f>
        <v>0</v>
      </c>
      <c r="BC22" s="99">
        <f>'I&amp;E Annual'!BC$96</f>
        <v>0</v>
      </c>
      <c r="BD22" s="99">
        <f>'I&amp;E Annual'!BD$96</f>
        <v>0</v>
      </c>
      <c r="BE22" s="99">
        <f>'I&amp;E Annual'!BE$96</f>
        <v>0</v>
      </c>
      <c r="BF22" s="99">
        <f>'I&amp;E Annual'!BF$96</f>
        <v>0</v>
      </c>
      <c r="BG22" s="99">
        <f>'I&amp;E Annual'!BG$96</f>
        <v>0</v>
      </c>
      <c r="BH22" s="99">
        <f>'I&amp;E Annual'!BH$96</f>
        <v>0</v>
      </c>
      <c r="BI22" s="99">
        <f>'I&amp;E Annual'!BI$96</f>
        <v>0</v>
      </c>
      <c r="BJ22" s="99">
        <f>'I&amp;E Annual'!BJ$96</f>
        <v>0</v>
      </c>
      <c r="BX22" s="99">
        <f>'I&amp;E Annual'!BX$96</f>
        <v>0</v>
      </c>
      <c r="BY22" s="99">
        <f>'I&amp;E Annual'!BY$96</f>
        <v>0</v>
      </c>
      <c r="BZ22" s="99">
        <f>'I&amp;E Annual'!BZ$96</f>
        <v>0</v>
      </c>
      <c r="CA22" s="99">
        <f>'I&amp;E Annual'!CA$96</f>
        <v>0</v>
      </c>
      <c r="CB22" s="99">
        <f>'I&amp;E Annual'!CB$96</f>
        <v>0</v>
      </c>
      <c r="CC22" s="99">
        <f>'I&amp;E Annual'!CC$96</f>
        <v>0</v>
      </c>
      <c r="CD22" s="99">
        <f>'I&amp;E Annual'!CD$96</f>
        <v>0</v>
      </c>
      <c r="CE22" s="99">
        <f>'I&amp;E Annual'!CE$96</f>
        <v>0</v>
      </c>
      <c r="CF22" s="99">
        <f>'I&amp;E Annual'!CF$96</f>
        <v>0</v>
      </c>
      <c r="CG22" s="99">
        <f>'I&amp;E Annual'!CG$96</f>
        <v>0</v>
      </c>
      <c r="CH22" s="99">
        <f>'I&amp;E Annual'!CH$96</f>
        <v>0</v>
      </c>
      <c r="CI22" s="99">
        <f>'I&amp;E Annual'!CI$96</f>
        <v>0</v>
      </c>
      <c r="CK22" s="311"/>
      <c r="CO22" s="100">
        <f t="shared" si="5"/>
        <v>0</v>
      </c>
      <c r="CP22" s="100">
        <f t="shared" si="6"/>
        <v>0</v>
      </c>
      <c r="CQ22" s="100">
        <f t="shared" si="7"/>
        <v>0</v>
      </c>
      <c r="CR22" s="311"/>
      <c r="CS22" s="215">
        <f t="shared" si="8"/>
        <v>0</v>
      </c>
      <c r="CT22" s="215">
        <f t="shared" si="9"/>
        <v>0</v>
      </c>
      <c r="CU22" s="215">
        <f t="shared" si="10"/>
        <v>0</v>
      </c>
      <c r="CV22" s="215">
        <f t="shared" si="11"/>
        <v>0</v>
      </c>
      <c r="CW22" s="215">
        <f t="shared" si="12"/>
        <v>0</v>
      </c>
      <c r="CX22" s="215">
        <f t="shared" si="13"/>
        <v>0</v>
      </c>
      <c r="CY22" s="215">
        <f t="shared" si="14"/>
        <v>0</v>
      </c>
      <c r="EX22" s="10" t="str">
        <f t="shared" ca="1" si="0"/>
        <v>Total Funding Support</v>
      </c>
    </row>
    <row r="23" spans="1:154" ht="15" customHeight="1" x14ac:dyDescent="0.35">
      <c r="A23" s="537" cm="1">
        <f t="array" aca="1" ref="A23" ca="1">HYPERLINK(CONCATENATE("#",CELL("address",IF(MAX($CK23:$CR23)=0,A23,INDEX($CK23:$CR23,MATCH(1,$CK23:$CR23,0))))),MAX($CK23:$CR23))</f>
        <v>0</v>
      </c>
      <c r="C23" s="213" t="str">
        <f>CONCATENATE("FS-",'I&amp;E Annual'!C$100)</f>
        <v>FS-IE-1j</v>
      </c>
      <c r="D23" s="570" t="str" cm="1">
        <f t="array" aca="1" ref="D23" ca="1">HYPERLINK(CONCATENATE("#",CELL("address",'I&amp;E Annual'!$D$100)),'I&amp;E Annual'!$D$100)</f>
        <v>Total gifts and donated assets</v>
      </c>
      <c r="V23" s="12">
        <f t="shared" si="1"/>
        <v>0</v>
      </c>
      <c r="W23" s="12">
        <f t="shared" si="2"/>
        <v>0</v>
      </c>
      <c r="X23" s="12">
        <f t="shared" si="3"/>
        <v>0</v>
      </c>
      <c r="Y23" s="12">
        <f t="shared" si="4"/>
        <v>0</v>
      </c>
      <c r="AA23" s="10">
        <f>'I&amp;E Annual'!AA$100</f>
        <v>0</v>
      </c>
      <c r="AB23" s="10">
        <f>'I&amp;E Annual'!AB$100</f>
        <v>0</v>
      </c>
      <c r="AC23" s="10">
        <f>'I&amp;E Annual'!AC$100</f>
        <v>0</v>
      </c>
      <c r="AD23" s="10">
        <f>'I&amp;E Annual'!AD$100</f>
        <v>0</v>
      </c>
      <c r="AE23" s="10">
        <f>'I&amp;E Annual'!AE$100</f>
        <v>0</v>
      </c>
      <c r="AF23" s="10">
        <f>'I&amp;E Annual'!AF$100</f>
        <v>0</v>
      </c>
      <c r="AG23" s="10">
        <f>'I&amp;E Annual'!AG$100</f>
        <v>0</v>
      </c>
      <c r="AH23" s="10">
        <f>'I&amp;E Annual'!AH$100</f>
        <v>0</v>
      </c>
      <c r="AI23" s="10">
        <f>'I&amp;E Annual'!AI$100</f>
        <v>0</v>
      </c>
      <c r="AJ23" s="10">
        <f>'I&amp;E Annual'!AJ$100</f>
        <v>0</v>
      </c>
      <c r="AK23" s="10">
        <f>'I&amp;E Annual'!AK$100</f>
        <v>0</v>
      </c>
      <c r="AL23" s="10">
        <f>'I&amp;E Annual'!AL$100</f>
        <v>0</v>
      </c>
      <c r="AM23" s="10">
        <f>'I&amp;E Annual'!AM$100</f>
        <v>0</v>
      </c>
      <c r="AN23" s="10">
        <f>'I&amp;E Annual'!AN$100</f>
        <v>0</v>
      </c>
      <c r="AO23" s="10">
        <f>'I&amp;E Annual'!AO$100</f>
        <v>0</v>
      </c>
      <c r="AP23" s="10">
        <f>'I&amp;E Annual'!AP$100</f>
        <v>0</v>
      </c>
      <c r="AQ23" s="10">
        <f>'I&amp;E Annual'!AQ$100</f>
        <v>0</v>
      </c>
      <c r="AR23" s="10">
        <f>'I&amp;E Annual'!AR$100</f>
        <v>0</v>
      </c>
      <c r="AS23" s="10">
        <f>'I&amp;E Annual'!AS$100</f>
        <v>0</v>
      </c>
      <c r="AT23" s="10">
        <f>'I&amp;E Annual'!AT$100</f>
        <v>0</v>
      </c>
      <c r="AU23" s="10">
        <f>'I&amp;E Annual'!AU$100</f>
        <v>0</v>
      </c>
      <c r="AV23" s="10">
        <f>'I&amp;E Annual'!AV$100</f>
        <v>0</v>
      </c>
      <c r="AW23" s="10">
        <f>'I&amp;E Annual'!AW$100</f>
        <v>0</v>
      </c>
      <c r="AX23" s="10">
        <f>'I&amp;E Annual'!AX$100</f>
        <v>0</v>
      </c>
      <c r="AY23" s="10">
        <f>'I&amp;E Annual'!AY$100</f>
        <v>0</v>
      </c>
      <c r="AZ23" s="10">
        <f>'I&amp;E Annual'!AZ$100</f>
        <v>0</v>
      </c>
      <c r="BA23" s="10">
        <f>'I&amp;E Annual'!BA$100</f>
        <v>0</v>
      </c>
      <c r="BB23" s="10">
        <f>'I&amp;E Annual'!BB$100</f>
        <v>0</v>
      </c>
      <c r="BC23" s="10">
        <f>'I&amp;E Annual'!BC$100</f>
        <v>0</v>
      </c>
      <c r="BD23" s="10">
        <f>'I&amp;E Annual'!BD$100</f>
        <v>0</v>
      </c>
      <c r="BE23" s="10">
        <f>'I&amp;E Annual'!BE$100</f>
        <v>0</v>
      </c>
      <c r="BF23" s="10">
        <f>'I&amp;E Annual'!BF$100</f>
        <v>0</v>
      </c>
      <c r="BG23" s="10">
        <f>'I&amp;E Annual'!BG$100</f>
        <v>0</v>
      </c>
      <c r="BH23" s="10">
        <f>'I&amp;E Annual'!BH$100</f>
        <v>0</v>
      </c>
      <c r="BI23" s="10">
        <f>'I&amp;E Annual'!BI$100</f>
        <v>0</v>
      </c>
      <c r="BJ23" s="10">
        <f>'I&amp;E Annual'!BJ$100</f>
        <v>0</v>
      </c>
      <c r="BX23" s="10">
        <f>'I&amp;E Annual'!BX$100</f>
        <v>0</v>
      </c>
      <c r="BY23" s="10">
        <f>'I&amp;E Annual'!BY$100</f>
        <v>0</v>
      </c>
      <c r="BZ23" s="10">
        <f>'I&amp;E Annual'!BZ$100</f>
        <v>0</v>
      </c>
      <c r="CA23" s="10">
        <f>'I&amp;E Annual'!CA$100</f>
        <v>0</v>
      </c>
      <c r="CB23" s="10">
        <f>'I&amp;E Annual'!CB$100</f>
        <v>0</v>
      </c>
      <c r="CC23" s="10">
        <f>'I&amp;E Annual'!CC$100</f>
        <v>0</v>
      </c>
      <c r="CD23" s="10">
        <f>'I&amp;E Annual'!CD$100</f>
        <v>0</v>
      </c>
      <c r="CE23" s="10">
        <f>'I&amp;E Annual'!CE$100</f>
        <v>0</v>
      </c>
      <c r="CF23" s="10">
        <f>'I&amp;E Annual'!CF$100</f>
        <v>0</v>
      </c>
      <c r="CG23" s="10">
        <f>'I&amp;E Annual'!CG$100</f>
        <v>0</v>
      </c>
      <c r="CH23" s="10">
        <f>'I&amp;E Annual'!CH$100</f>
        <v>0</v>
      </c>
      <c r="CI23" s="10">
        <f>'I&amp;E Annual'!CI$100</f>
        <v>0</v>
      </c>
      <c r="CK23" s="311"/>
      <c r="CO23" s="100">
        <f t="shared" si="5"/>
        <v>0</v>
      </c>
      <c r="CP23" s="100">
        <f t="shared" si="6"/>
        <v>0</v>
      </c>
      <c r="CQ23" s="100">
        <f t="shared" si="7"/>
        <v>0</v>
      </c>
      <c r="CR23" s="311"/>
      <c r="CS23" s="215">
        <f t="shared" si="8"/>
        <v>0</v>
      </c>
      <c r="CT23" s="215">
        <f t="shared" si="9"/>
        <v>0</v>
      </c>
      <c r="CU23" s="215">
        <f t="shared" si="10"/>
        <v>0</v>
      </c>
      <c r="CV23" s="215">
        <f t="shared" si="11"/>
        <v>0</v>
      </c>
      <c r="CW23" s="215">
        <f t="shared" si="12"/>
        <v>0</v>
      </c>
      <c r="CX23" s="215">
        <f t="shared" si="13"/>
        <v>0</v>
      </c>
      <c r="CY23" s="215">
        <f t="shared" si="14"/>
        <v>0</v>
      </c>
      <c r="EX23" s="10" t="str">
        <f t="shared" ca="1" si="0"/>
        <v>Total gifts and donated assets</v>
      </c>
    </row>
    <row r="24" spans="1:154" ht="15" customHeight="1" x14ac:dyDescent="0.35">
      <c r="A24" s="537" cm="1">
        <f t="array" aca="1" ref="A24" ca="1">HYPERLINK(CONCATENATE("#",CELL("address",IF(MAX($CK24:$CR24)=0,A24,INDEX($CK24:$CR24,MATCH(1,$CK24:$CR24,0))))),MAX($CK24:$CR24))</f>
        <v>0</v>
      </c>
      <c r="C24" s="213" t="str">
        <f>CONCATENATE("FS-",'I&amp;E Annual'!C$102)</f>
        <v>FS-IE-1</v>
      </c>
      <c r="D24" s="107" t="s">
        <v>400</v>
      </c>
      <c r="V24" s="12">
        <f>SUM(V$13:V$23)*V$9</f>
        <v>0</v>
      </c>
      <c r="W24" s="12">
        <f>SUM(W$13:W$23)*W$9</f>
        <v>0</v>
      </c>
      <c r="X24" s="12">
        <f>SUM(X$13:X$23)*X$9</f>
        <v>0</v>
      </c>
      <c r="Y24" s="12">
        <f>SUM(Y$13:Y$23)*Y$9</f>
        <v>0</v>
      </c>
      <c r="AA24" s="12">
        <f t="shared" ref="AA24:BJ24" si="27">SUM(AA$13:AA$23)*AA$9</f>
        <v>0</v>
      </c>
      <c r="AB24" s="12">
        <f t="shared" si="27"/>
        <v>0</v>
      </c>
      <c r="AC24" s="12">
        <f t="shared" si="27"/>
        <v>0</v>
      </c>
      <c r="AD24" s="12">
        <f t="shared" si="27"/>
        <v>0</v>
      </c>
      <c r="AE24" s="12">
        <f t="shared" si="27"/>
        <v>0</v>
      </c>
      <c r="AF24" s="12">
        <f t="shared" si="27"/>
        <v>0</v>
      </c>
      <c r="AG24" s="12">
        <f t="shared" si="27"/>
        <v>0</v>
      </c>
      <c r="AH24" s="12">
        <f t="shared" si="27"/>
        <v>0</v>
      </c>
      <c r="AI24" s="12">
        <f t="shared" si="27"/>
        <v>0</v>
      </c>
      <c r="AJ24" s="12">
        <f t="shared" si="27"/>
        <v>0</v>
      </c>
      <c r="AK24" s="12">
        <f t="shared" si="27"/>
        <v>0</v>
      </c>
      <c r="AL24" s="12">
        <f t="shared" si="27"/>
        <v>0</v>
      </c>
      <c r="AM24" s="12">
        <f t="shared" si="27"/>
        <v>0</v>
      </c>
      <c r="AN24" s="12">
        <f t="shared" si="27"/>
        <v>0</v>
      </c>
      <c r="AO24" s="12">
        <f t="shared" si="27"/>
        <v>0</v>
      </c>
      <c r="AP24" s="12">
        <f t="shared" si="27"/>
        <v>0</v>
      </c>
      <c r="AQ24" s="12">
        <f t="shared" si="27"/>
        <v>0</v>
      </c>
      <c r="AR24" s="12">
        <f t="shared" si="27"/>
        <v>0</v>
      </c>
      <c r="AS24" s="12">
        <f t="shared" si="27"/>
        <v>0</v>
      </c>
      <c r="AT24" s="12">
        <f t="shared" si="27"/>
        <v>0</v>
      </c>
      <c r="AU24" s="12">
        <f t="shared" si="27"/>
        <v>0</v>
      </c>
      <c r="AV24" s="12">
        <f t="shared" si="27"/>
        <v>0</v>
      </c>
      <c r="AW24" s="12">
        <f t="shared" si="27"/>
        <v>0</v>
      </c>
      <c r="AX24" s="12">
        <f t="shared" si="27"/>
        <v>0</v>
      </c>
      <c r="AY24" s="12">
        <f t="shared" si="27"/>
        <v>0</v>
      </c>
      <c r="AZ24" s="12">
        <f t="shared" si="27"/>
        <v>0</v>
      </c>
      <c r="BA24" s="12">
        <f t="shared" si="27"/>
        <v>0</v>
      </c>
      <c r="BB24" s="12">
        <f t="shared" si="27"/>
        <v>0</v>
      </c>
      <c r="BC24" s="12">
        <f t="shared" si="27"/>
        <v>0</v>
      </c>
      <c r="BD24" s="12">
        <f t="shared" si="27"/>
        <v>0</v>
      </c>
      <c r="BE24" s="12">
        <f t="shared" si="27"/>
        <v>0</v>
      </c>
      <c r="BF24" s="12">
        <f t="shared" si="27"/>
        <v>0</v>
      </c>
      <c r="BG24" s="12">
        <f t="shared" si="27"/>
        <v>0</v>
      </c>
      <c r="BH24" s="12">
        <f t="shared" si="27"/>
        <v>0</v>
      </c>
      <c r="BI24" s="12">
        <f t="shared" si="27"/>
        <v>0</v>
      </c>
      <c r="BJ24" s="12">
        <f t="shared" si="27"/>
        <v>0</v>
      </c>
      <c r="BX24" s="12">
        <f t="shared" ref="BX24:CI24" si="28">SUM(BX$13:BX$23)*BX$9</f>
        <v>0</v>
      </c>
      <c r="BY24" s="12">
        <f t="shared" si="28"/>
        <v>0</v>
      </c>
      <c r="BZ24" s="12">
        <f t="shared" si="28"/>
        <v>0</v>
      </c>
      <c r="CA24" s="12">
        <f t="shared" si="28"/>
        <v>0</v>
      </c>
      <c r="CB24" s="12">
        <f t="shared" si="28"/>
        <v>0</v>
      </c>
      <c r="CC24" s="12">
        <f t="shared" si="28"/>
        <v>0</v>
      </c>
      <c r="CD24" s="12">
        <f t="shared" si="28"/>
        <v>0</v>
      </c>
      <c r="CE24" s="12">
        <f t="shared" si="28"/>
        <v>0</v>
      </c>
      <c r="CF24" s="12">
        <f t="shared" si="28"/>
        <v>0</v>
      </c>
      <c r="CG24" s="12">
        <f t="shared" si="28"/>
        <v>0</v>
      </c>
      <c r="CH24" s="12">
        <f t="shared" si="28"/>
        <v>0</v>
      </c>
      <c r="CI24" s="12">
        <f t="shared" si="28"/>
        <v>0</v>
      </c>
      <c r="CK24" s="311"/>
      <c r="CO24" s="100">
        <f t="shared" si="5"/>
        <v>0</v>
      </c>
      <c r="CP24" s="100">
        <f t="shared" si="6"/>
        <v>0</v>
      </c>
      <c r="CQ24" s="100">
        <f t="shared" si="7"/>
        <v>0</v>
      </c>
      <c r="CR24" s="311"/>
      <c r="CS24" s="215">
        <f t="shared" si="8"/>
        <v>0</v>
      </c>
      <c r="CT24" s="215">
        <f t="shared" si="9"/>
        <v>0</v>
      </c>
      <c r="CU24" s="215">
        <f t="shared" si="10"/>
        <v>0</v>
      </c>
      <c r="CV24" s="215">
        <f t="shared" si="11"/>
        <v>0</v>
      </c>
      <c r="CW24" s="215">
        <f t="shared" si="12"/>
        <v>0</v>
      </c>
      <c r="CX24" s="215">
        <f t="shared" si="13"/>
        <v>0</v>
      </c>
      <c r="CY24" s="215">
        <f t="shared" si="14"/>
        <v>0</v>
      </c>
      <c r="EX24" s="10" t="str">
        <f t="shared" si="0"/>
        <v>Total Operating Income</v>
      </c>
    </row>
    <row r="25" spans="1:154" ht="15" customHeight="1" x14ac:dyDescent="0.35">
      <c r="A25" s="537" cm="1">
        <f t="array" aca="1" ref="A25" ca="1">HYPERLINK(CONCATENATE("#",CELL("address",IF(MAX($CK25:$CR25)=0,A25,INDEX($CK25:$CR25,MATCH(1,$CK25:$CR25,0))))),MAX($CK25:$CR25))</f>
        <v>0</v>
      </c>
      <c r="C25" s="213" t="str">
        <f>CONCATENATE(C24, "SO")</f>
        <v>FS-IE-1SO</v>
      </c>
      <c r="D25" s="120" t="s">
        <v>1516</v>
      </c>
      <c r="V25" s="12">
        <f>BX25</f>
        <v>0</v>
      </c>
      <c r="W25" s="12">
        <f>BY25</f>
        <v>0</v>
      </c>
      <c r="X25" s="12">
        <f>BZ25</f>
        <v>0</v>
      </c>
      <c r="Y25" s="12">
        <f>CA25</f>
        <v>0</v>
      </c>
      <c r="AA25" s="99">
        <f>'I&amp;E Annual'!AA$14+'I&amp;E Annual'!AA$24+'I&amp;E Annual'!AA$30+'I&amp;E Annual'!AA$39+'I&amp;E Annual'!AA$47+'I&amp;E Annual'!AA54+'I&amp;E Annual'!AA$61</f>
        <v>0</v>
      </c>
      <c r="AB25" s="99">
        <f>'I&amp;E Annual'!AB$14+'I&amp;E Annual'!AB$24+'I&amp;E Annual'!AB$30+'I&amp;E Annual'!AB$39+'I&amp;E Annual'!AB$47+'I&amp;E Annual'!AB54+'I&amp;E Annual'!AB$61</f>
        <v>0</v>
      </c>
      <c r="AC25" s="99">
        <f>'I&amp;E Annual'!AC$14+'I&amp;E Annual'!AC$24+'I&amp;E Annual'!AC$30+'I&amp;E Annual'!AC$39+'I&amp;E Annual'!AC$47+'I&amp;E Annual'!AC54+'I&amp;E Annual'!AC$61</f>
        <v>0</v>
      </c>
      <c r="AD25" s="99">
        <f>'I&amp;E Annual'!AD$14+'I&amp;E Annual'!AD$24+'I&amp;E Annual'!AD$30+'I&amp;E Annual'!AD$39+'I&amp;E Annual'!AD$47+'I&amp;E Annual'!AD54+'I&amp;E Annual'!AD$61</f>
        <v>0</v>
      </c>
      <c r="AE25" s="99">
        <f>'I&amp;E Annual'!AE$14+'I&amp;E Annual'!AE$24+'I&amp;E Annual'!AE$30+'I&amp;E Annual'!AE$39+'I&amp;E Annual'!AE$47+'I&amp;E Annual'!AE54+'I&amp;E Annual'!AE$61</f>
        <v>0</v>
      </c>
      <c r="AF25" s="99">
        <f>'I&amp;E Annual'!AF$14+'I&amp;E Annual'!AF$24+'I&amp;E Annual'!AF$30+'I&amp;E Annual'!AF$39+'I&amp;E Annual'!AF$47+'I&amp;E Annual'!AF54+'I&amp;E Annual'!AF$61</f>
        <v>0</v>
      </c>
      <c r="AG25" s="99">
        <f>'I&amp;E Annual'!AG$14+'I&amp;E Annual'!AG$24+'I&amp;E Annual'!AG$30+'I&amp;E Annual'!AG$39+'I&amp;E Annual'!AG$47+'I&amp;E Annual'!AG54+'I&amp;E Annual'!AG$61</f>
        <v>0</v>
      </c>
      <c r="AH25" s="99">
        <f>'I&amp;E Annual'!AH$14+'I&amp;E Annual'!AH$24+'I&amp;E Annual'!AH$30+'I&amp;E Annual'!AH$39+'I&amp;E Annual'!AH$47+'I&amp;E Annual'!AH54+'I&amp;E Annual'!AH$61</f>
        <v>0</v>
      </c>
      <c r="AI25" s="99">
        <f>'I&amp;E Annual'!AI$14+'I&amp;E Annual'!AI$24+'I&amp;E Annual'!AI$30+'I&amp;E Annual'!AI$39+'I&amp;E Annual'!AI$47+'I&amp;E Annual'!AI54+'I&amp;E Annual'!AI$61</f>
        <v>0</v>
      </c>
      <c r="AJ25" s="99">
        <f>'I&amp;E Annual'!AJ$14+'I&amp;E Annual'!AJ$24+'I&amp;E Annual'!AJ$30+'I&amp;E Annual'!AJ$39+'I&amp;E Annual'!AJ$47+'I&amp;E Annual'!AJ54+'I&amp;E Annual'!AJ$61</f>
        <v>0</v>
      </c>
      <c r="AK25" s="99">
        <f>'I&amp;E Annual'!AK$14+'I&amp;E Annual'!AK$24+'I&amp;E Annual'!AK$30+'I&amp;E Annual'!AK$39+'I&amp;E Annual'!AK$47+'I&amp;E Annual'!AK54+'I&amp;E Annual'!AK$61</f>
        <v>0</v>
      </c>
      <c r="AL25" s="99">
        <f>'I&amp;E Annual'!AL$14+'I&amp;E Annual'!AL$24+'I&amp;E Annual'!AL$30+'I&amp;E Annual'!AL$39+'I&amp;E Annual'!AL$47+'I&amp;E Annual'!AL54+'I&amp;E Annual'!AL$61</f>
        <v>0</v>
      </c>
      <c r="AM25" s="99">
        <f>'I&amp;E Annual'!AM$14+'I&amp;E Annual'!AM$24+'I&amp;E Annual'!AM$30+'I&amp;E Annual'!AM$39+'I&amp;E Annual'!AM$47+'I&amp;E Annual'!AM54+'I&amp;E Annual'!AM$61</f>
        <v>0</v>
      </c>
      <c r="AN25" s="99">
        <f>'I&amp;E Annual'!AN$14+'I&amp;E Annual'!AN$24+'I&amp;E Annual'!AN$30+'I&amp;E Annual'!AN$39+'I&amp;E Annual'!AN$47+'I&amp;E Annual'!AN54+'I&amp;E Annual'!AN$61</f>
        <v>0</v>
      </c>
      <c r="AO25" s="99">
        <f>'I&amp;E Annual'!AO$14+'I&amp;E Annual'!AO$24+'I&amp;E Annual'!AO$30+'I&amp;E Annual'!AO$39+'I&amp;E Annual'!AO$47+'I&amp;E Annual'!AO54+'I&amp;E Annual'!AO$61</f>
        <v>0</v>
      </c>
      <c r="AP25" s="99">
        <f>'I&amp;E Annual'!AP$14+'I&amp;E Annual'!AP$24+'I&amp;E Annual'!AP$30+'I&amp;E Annual'!AP$39+'I&amp;E Annual'!AP$47+'I&amp;E Annual'!AP54+'I&amp;E Annual'!AP$61</f>
        <v>0</v>
      </c>
      <c r="AQ25" s="99">
        <f>'I&amp;E Annual'!AQ$14+'I&amp;E Annual'!AQ$24+'I&amp;E Annual'!AQ$30+'I&amp;E Annual'!AQ$39+'I&amp;E Annual'!AQ$47+'I&amp;E Annual'!AQ54+'I&amp;E Annual'!AQ$61</f>
        <v>0</v>
      </c>
      <c r="AR25" s="99">
        <f>'I&amp;E Annual'!AR$14+'I&amp;E Annual'!AR$24+'I&amp;E Annual'!AR$30+'I&amp;E Annual'!AR$39+'I&amp;E Annual'!AR$47+'I&amp;E Annual'!AR54+'I&amp;E Annual'!AR$61</f>
        <v>0</v>
      </c>
      <c r="AS25" s="99">
        <f>'I&amp;E Annual'!AS$14+'I&amp;E Annual'!AS$24+'I&amp;E Annual'!AS$30+'I&amp;E Annual'!AS$39+'I&amp;E Annual'!AS$47+'I&amp;E Annual'!AS54+'I&amp;E Annual'!AS$61</f>
        <v>0</v>
      </c>
      <c r="AT25" s="99">
        <f>'I&amp;E Annual'!AT$14+'I&amp;E Annual'!AT$24+'I&amp;E Annual'!AT$30+'I&amp;E Annual'!AT$39+'I&amp;E Annual'!AT$47+'I&amp;E Annual'!AT54+'I&amp;E Annual'!AT$61</f>
        <v>0</v>
      </c>
      <c r="AU25" s="99">
        <f>'I&amp;E Annual'!AU$14+'I&amp;E Annual'!AU$24+'I&amp;E Annual'!AU$30+'I&amp;E Annual'!AU$39+'I&amp;E Annual'!AU$47+'I&amp;E Annual'!AU54+'I&amp;E Annual'!AU$61</f>
        <v>0</v>
      </c>
      <c r="AV25" s="99">
        <f>'I&amp;E Annual'!AV$14+'I&amp;E Annual'!AV$24+'I&amp;E Annual'!AV$30+'I&amp;E Annual'!AV$39+'I&amp;E Annual'!AV$47+'I&amp;E Annual'!AV54+'I&amp;E Annual'!AV$61</f>
        <v>0</v>
      </c>
      <c r="AW25" s="99">
        <f>'I&amp;E Annual'!AW$14+'I&amp;E Annual'!AW$24+'I&amp;E Annual'!AW$30+'I&amp;E Annual'!AW$39+'I&amp;E Annual'!AW$47+'I&amp;E Annual'!AW54+'I&amp;E Annual'!AW$61</f>
        <v>0</v>
      </c>
      <c r="AX25" s="99">
        <f>'I&amp;E Annual'!AX$14+'I&amp;E Annual'!AX$24+'I&amp;E Annual'!AX$30+'I&amp;E Annual'!AX$39+'I&amp;E Annual'!AX$47+'I&amp;E Annual'!AX54+'I&amp;E Annual'!AX$61</f>
        <v>0</v>
      </c>
      <c r="AY25" s="99">
        <f>'I&amp;E Annual'!AY$14+'I&amp;E Annual'!AY$24+'I&amp;E Annual'!AY$30+'I&amp;E Annual'!AY$39+'I&amp;E Annual'!AY$47+'I&amp;E Annual'!AY54+'I&amp;E Annual'!AY$61</f>
        <v>0</v>
      </c>
      <c r="AZ25" s="99">
        <f>'I&amp;E Annual'!AZ$14+'I&amp;E Annual'!AZ$24+'I&amp;E Annual'!AZ$30+'I&amp;E Annual'!AZ$39+'I&amp;E Annual'!AZ$47+'I&amp;E Annual'!AZ54+'I&amp;E Annual'!AZ$61</f>
        <v>0</v>
      </c>
      <c r="BA25" s="99">
        <f>'I&amp;E Annual'!BA$14+'I&amp;E Annual'!BA$24+'I&amp;E Annual'!BA$30+'I&amp;E Annual'!BA$39+'I&amp;E Annual'!BA$47+'I&amp;E Annual'!BA54+'I&amp;E Annual'!BA$61</f>
        <v>0</v>
      </c>
      <c r="BB25" s="99">
        <f>'I&amp;E Annual'!BB$14+'I&amp;E Annual'!BB$24+'I&amp;E Annual'!BB$30+'I&amp;E Annual'!BB$39+'I&amp;E Annual'!BB$47+'I&amp;E Annual'!BB54+'I&amp;E Annual'!BB$61</f>
        <v>0</v>
      </c>
      <c r="BC25" s="99">
        <f>'I&amp;E Annual'!BC$14+'I&amp;E Annual'!BC$24+'I&amp;E Annual'!BC$30+'I&amp;E Annual'!BC$39+'I&amp;E Annual'!BC$47+'I&amp;E Annual'!BC54+'I&amp;E Annual'!BC$61</f>
        <v>0</v>
      </c>
      <c r="BD25" s="99">
        <f>'I&amp;E Annual'!BD$14+'I&amp;E Annual'!BD$24+'I&amp;E Annual'!BD$30+'I&amp;E Annual'!BD$39+'I&amp;E Annual'!BD$47+'I&amp;E Annual'!BD54+'I&amp;E Annual'!BD$61</f>
        <v>0</v>
      </c>
      <c r="BE25" s="99">
        <f>'I&amp;E Annual'!BE$14+'I&amp;E Annual'!BE$24+'I&amp;E Annual'!BE$30+'I&amp;E Annual'!BE$39+'I&amp;E Annual'!BE$47+'I&amp;E Annual'!BE54+'I&amp;E Annual'!BE$61</f>
        <v>0</v>
      </c>
      <c r="BF25" s="99">
        <f>'I&amp;E Annual'!BF$14+'I&amp;E Annual'!BF$24+'I&amp;E Annual'!BF$30+'I&amp;E Annual'!BF$39+'I&amp;E Annual'!BF$47+'I&amp;E Annual'!BF54+'I&amp;E Annual'!BF$61</f>
        <v>0</v>
      </c>
      <c r="BG25" s="99">
        <f>'I&amp;E Annual'!BG$14+'I&amp;E Annual'!BG$24+'I&amp;E Annual'!BG$30+'I&amp;E Annual'!BG$39+'I&amp;E Annual'!BG$47+'I&amp;E Annual'!BG54+'I&amp;E Annual'!BG$61</f>
        <v>0</v>
      </c>
      <c r="BH25" s="99">
        <f>'I&amp;E Annual'!BH$14+'I&amp;E Annual'!BH$24+'I&amp;E Annual'!BH$30+'I&amp;E Annual'!BH$39+'I&amp;E Annual'!BH$47+'I&amp;E Annual'!BH54+'I&amp;E Annual'!BH$61</f>
        <v>0</v>
      </c>
      <c r="BI25" s="99">
        <f>'I&amp;E Annual'!BI$14+'I&amp;E Annual'!BI$24+'I&amp;E Annual'!BI$30+'I&amp;E Annual'!BI$39+'I&amp;E Annual'!BI$47+'I&amp;E Annual'!BI54+'I&amp;E Annual'!BI$61</f>
        <v>0</v>
      </c>
      <c r="BJ25" s="99">
        <f>'I&amp;E Annual'!BJ$14+'I&amp;E Annual'!BJ$24+'I&amp;E Annual'!BJ$30+'I&amp;E Annual'!BJ$39+'I&amp;E Annual'!BJ$47+'I&amp;E Annual'!BJ54+'I&amp;E Annual'!BJ$61</f>
        <v>0</v>
      </c>
      <c r="BX25" s="99">
        <f>'I&amp;E Annual'!BX$14+'I&amp;E Annual'!BX$24+'I&amp;E Annual'!BX$30+'I&amp;E Annual'!BX$39+'I&amp;E Annual'!BX$47+'I&amp;E Annual'!BX54+'I&amp;E Annual'!BX$61</f>
        <v>0</v>
      </c>
      <c r="BY25" s="99">
        <f>'I&amp;E Annual'!BY$14+'I&amp;E Annual'!BY$24+'I&amp;E Annual'!BY$30+'I&amp;E Annual'!BY$39+'I&amp;E Annual'!BY$47+'I&amp;E Annual'!BY54+'I&amp;E Annual'!BY$61</f>
        <v>0</v>
      </c>
      <c r="BZ25" s="99">
        <f>'I&amp;E Annual'!BZ$14+'I&amp;E Annual'!BZ$24+'I&amp;E Annual'!BZ$30+'I&amp;E Annual'!BZ$39+'I&amp;E Annual'!BZ$47+'I&amp;E Annual'!BZ54+'I&amp;E Annual'!BZ$61</f>
        <v>0</v>
      </c>
      <c r="CA25" s="99">
        <f>'I&amp;E Annual'!CA$14+'I&amp;E Annual'!CA$24+'I&amp;E Annual'!CA$30+'I&amp;E Annual'!CA$39+'I&amp;E Annual'!CA$47+'I&amp;E Annual'!CA54+'I&amp;E Annual'!CA$61</f>
        <v>0</v>
      </c>
      <c r="CB25" s="99">
        <f>'I&amp;E Annual'!CB$14+'I&amp;E Annual'!CB$24+'I&amp;E Annual'!CB$30+'I&amp;E Annual'!CB$39+'I&amp;E Annual'!CB$47+'I&amp;E Annual'!CB54+'I&amp;E Annual'!CB$61</f>
        <v>0</v>
      </c>
      <c r="CC25" s="99">
        <f>'I&amp;E Annual'!CC$14+'I&amp;E Annual'!CC$24+'I&amp;E Annual'!CC$30+'I&amp;E Annual'!CC$39+'I&amp;E Annual'!CC$47+'I&amp;E Annual'!CC54+'I&amp;E Annual'!CC$61</f>
        <v>0</v>
      </c>
      <c r="CD25" s="99">
        <f>'I&amp;E Annual'!CD$14+'I&amp;E Annual'!CD$24+'I&amp;E Annual'!CD$30+'I&amp;E Annual'!CD$39+'I&amp;E Annual'!CD$47+'I&amp;E Annual'!CD54+'I&amp;E Annual'!CD$61</f>
        <v>0</v>
      </c>
      <c r="CE25" s="99">
        <f>'I&amp;E Annual'!CE$14+'I&amp;E Annual'!CE$24+'I&amp;E Annual'!CE$30+'I&amp;E Annual'!CE$39+'I&amp;E Annual'!CE$47+'I&amp;E Annual'!CE54+'I&amp;E Annual'!CE$61</f>
        <v>0</v>
      </c>
      <c r="CF25" s="99">
        <f>'I&amp;E Annual'!CF$14+'I&amp;E Annual'!CF$24+'I&amp;E Annual'!CF$30+'I&amp;E Annual'!CF$39+'I&amp;E Annual'!CF$47+'I&amp;E Annual'!CF54+'I&amp;E Annual'!CF$61</f>
        <v>0</v>
      </c>
      <c r="CG25" s="99">
        <f>'I&amp;E Annual'!CG$14+'I&amp;E Annual'!CG$24+'I&amp;E Annual'!CG$30+'I&amp;E Annual'!CG$39+'I&amp;E Annual'!CG$47+'I&amp;E Annual'!CG54+'I&amp;E Annual'!CG$61</f>
        <v>0</v>
      </c>
      <c r="CH25" s="99">
        <f>'I&amp;E Annual'!CH$14+'I&amp;E Annual'!CH$24+'I&amp;E Annual'!CH$30+'I&amp;E Annual'!CH$39+'I&amp;E Annual'!CH$47+'I&amp;E Annual'!CH54+'I&amp;E Annual'!CH$61</f>
        <v>0</v>
      </c>
      <c r="CI25" s="99">
        <f>'I&amp;E Annual'!CI$14+'I&amp;E Annual'!CI$24+'I&amp;E Annual'!CI$30+'I&amp;E Annual'!CI$39+'I&amp;E Annual'!CI$47+'I&amp;E Annual'!CI54+'I&amp;E Annual'!CI$61</f>
        <v>0</v>
      </c>
      <c r="CK25" s="311"/>
      <c r="CO25" s="100">
        <f t="shared" si="5"/>
        <v>0</v>
      </c>
      <c r="CP25" s="100">
        <f t="shared" si="6"/>
        <v>0</v>
      </c>
      <c r="CQ25" s="100">
        <f t="shared" si="7"/>
        <v>0</v>
      </c>
      <c r="CR25" s="311"/>
      <c r="CS25" s="215">
        <f t="shared" si="8"/>
        <v>0</v>
      </c>
      <c r="CT25" s="215">
        <f t="shared" si="9"/>
        <v>0</v>
      </c>
      <c r="CU25" s="215">
        <f t="shared" si="10"/>
        <v>0</v>
      </c>
      <c r="CV25" s="215">
        <f t="shared" si="11"/>
        <v>0</v>
      </c>
      <c r="CW25" s="215">
        <f t="shared" si="12"/>
        <v>0</v>
      </c>
      <c r="CX25" s="215">
        <f t="shared" si="13"/>
        <v>0</v>
      </c>
      <c r="CY25" s="215">
        <f t="shared" si="14"/>
        <v>0</v>
      </c>
      <c r="EX25" s="10" t="str">
        <f t="shared" si="0"/>
        <v>Of which: subcontracted out</v>
      </c>
    </row>
    <row r="26" spans="1:154" ht="15" customHeight="1" x14ac:dyDescent="0.35">
      <c r="C26" s="213"/>
      <c r="E26"/>
      <c r="CK26" s="311"/>
      <c r="CR26" s="311"/>
      <c r="EX26" s="10" t="str">
        <f t="shared" si="0"/>
        <v/>
      </c>
    </row>
    <row r="27" spans="1:154" ht="15" customHeight="1" x14ac:dyDescent="0.35">
      <c r="A27" s="537" cm="1">
        <f t="array" aca="1" ref="A27" ca="1">HYPERLINK(CONCATENATE("#",CELL("address",IF(MAX($CK27:$CR27)=0,A27,INDEX($CK27:$CR27,MATCH(1,$CK27:$CR27,0))))),MAX($CK27:$CR27))</f>
        <v>0</v>
      </c>
      <c r="C27" s="213" t="str">
        <f>CONCATENATE("FS-",'I&amp;E Annual'!C$114)</f>
        <v>FS-IE-2a</v>
      </c>
      <c r="D27" s="570" t="str" cm="1">
        <f t="array" aca="1" ref="D27" ca="1">HYPERLINK(CONCATENATE("#",CELL("address",'I&amp;E Annual'!$D$114)),'I&amp;E Annual'!$D$114)</f>
        <v>Total Staff Costs (excl. restructuring)</v>
      </c>
      <c r="V27" s="12">
        <f t="shared" ref="V27:Y29" si="29">BX27</f>
        <v>0</v>
      </c>
      <c r="W27" s="12">
        <f t="shared" si="29"/>
        <v>0</v>
      </c>
      <c r="X27" s="12">
        <f t="shared" si="29"/>
        <v>0</v>
      </c>
      <c r="Y27" s="12">
        <f t="shared" si="29"/>
        <v>0</v>
      </c>
      <c r="AA27" s="99">
        <f>'I&amp;E Annual'!AA$114</f>
        <v>0</v>
      </c>
      <c r="AB27" s="99">
        <f>'I&amp;E Annual'!AB$114</f>
        <v>0</v>
      </c>
      <c r="AC27" s="99">
        <f>'I&amp;E Annual'!AC$114</f>
        <v>0</v>
      </c>
      <c r="AD27" s="99">
        <f>'I&amp;E Annual'!AD$114</f>
        <v>0</v>
      </c>
      <c r="AE27" s="99">
        <f>'I&amp;E Annual'!AE$114</f>
        <v>0</v>
      </c>
      <c r="AF27" s="99">
        <f>'I&amp;E Annual'!AF$114</f>
        <v>0</v>
      </c>
      <c r="AG27" s="99">
        <f>'I&amp;E Annual'!AG$114</f>
        <v>0</v>
      </c>
      <c r="AH27" s="99">
        <f>'I&amp;E Annual'!AH$114</f>
        <v>0</v>
      </c>
      <c r="AI27" s="99">
        <f>'I&amp;E Annual'!AI$114</f>
        <v>0</v>
      </c>
      <c r="AJ27" s="99">
        <f>'I&amp;E Annual'!AJ$114</f>
        <v>0</v>
      </c>
      <c r="AK27" s="99">
        <f>'I&amp;E Annual'!AK$114</f>
        <v>0</v>
      </c>
      <c r="AL27" s="99">
        <f>'I&amp;E Annual'!AL$114</f>
        <v>0</v>
      </c>
      <c r="AM27" s="99">
        <f>'I&amp;E Annual'!AM$114</f>
        <v>0</v>
      </c>
      <c r="AN27" s="99">
        <f>'I&amp;E Annual'!AN$114</f>
        <v>0</v>
      </c>
      <c r="AO27" s="99">
        <f>'I&amp;E Annual'!AO$114</f>
        <v>0</v>
      </c>
      <c r="AP27" s="99">
        <f>'I&amp;E Annual'!AP$114</f>
        <v>0</v>
      </c>
      <c r="AQ27" s="99">
        <f>'I&amp;E Annual'!AQ$114</f>
        <v>0</v>
      </c>
      <c r="AR27" s="99">
        <f>'I&amp;E Annual'!AR$114</f>
        <v>0</v>
      </c>
      <c r="AS27" s="99">
        <f>'I&amp;E Annual'!AS$114</f>
        <v>0</v>
      </c>
      <c r="AT27" s="99">
        <f>'I&amp;E Annual'!AT$114</f>
        <v>0</v>
      </c>
      <c r="AU27" s="99">
        <f>'I&amp;E Annual'!AU$114</f>
        <v>0</v>
      </c>
      <c r="AV27" s="99">
        <f>'I&amp;E Annual'!AV$114</f>
        <v>0</v>
      </c>
      <c r="AW27" s="99">
        <f>'I&amp;E Annual'!AW$114</f>
        <v>0</v>
      </c>
      <c r="AX27" s="99">
        <f>'I&amp;E Annual'!AX$114</f>
        <v>0</v>
      </c>
      <c r="AY27" s="99">
        <f>'I&amp;E Annual'!AY$114</f>
        <v>0</v>
      </c>
      <c r="AZ27" s="99">
        <f>'I&amp;E Annual'!AZ$114</f>
        <v>0</v>
      </c>
      <c r="BA27" s="99">
        <f>'I&amp;E Annual'!BA$114</f>
        <v>0</v>
      </c>
      <c r="BB27" s="99">
        <f>'I&amp;E Annual'!BB$114</f>
        <v>0</v>
      </c>
      <c r="BC27" s="99">
        <f>'I&amp;E Annual'!BC$114</f>
        <v>0</v>
      </c>
      <c r="BD27" s="99">
        <f>'I&amp;E Annual'!BD$114</f>
        <v>0</v>
      </c>
      <c r="BE27" s="99">
        <f>'I&amp;E Annual'!BE$114</f>
        <v>0</v>
      </c>
      <c r="BF27" s="99">
        <f>'I&amp;E Annual'!BF$114</f>
        <v>0</v>
      </c>
      <c r="BG27" s="99">
        <f>'I&amp;E Annual'!BG$114</f>
        <v>0</v>
      </c>
      <c r="BH27" s="99">
        <f>'I&amp;E Annual'!BH$114</f>
        <v>0</v>
      </c>
      <c r="BI27" s="99">
        <f>'I&amp;E Annual'!BI$114</f>
        <v>0</v>
      </c>
      <c r="BJ27" s="99">
        <f>'I&amp;E Annual'!BJ$114</f>
        <v>0</v>
      </c>
      <c r="BX27" s="99">
        <f>'I&amp;E Annual'!BX$114</f>
        <v>0</v>
      </c>
      <c r="BY27" s="99">
        <f>'I&amp;E Annual'!BY$114</f>
        <v>0</v>
      </c>
      <c r="BZ27" s="99">
        <f>'I&amp;E Annual'!BZ$114</f>
        <v>0</v>
      </c>
      <c r="CA27" s="99">
        <f>'I&amp;E Annual'!CA$114</f>
        <v>0</v>
      </c>
      <c r="CB27" s="99">
        <f>'I&amp;E Annual'!CB$114</f>
        <v>0</v>
      </c>
      <c r="CC27" s="99">
        <f>'I&amp;E Annual'!CC$114</f>
        <v>0</v>
      </c>
      <c r="CD27" s="99">
        <f>'I&amp;E Annual'!CD$114</f>
        <v>0</v>
      </c>
      <c r="CE27" s="99">
        <f>'I&amp;E Annual'!CE$114</f>
        <v>0</v>
      </c>
      <c r="CF27" s="99">
        <f>'I&amp;E Annual'!CF$114</f>
        <v>0</v>
      </c>
      <c r="CG27" s="99">
        <f>'I&amp;E Annual'!CG$114</f>
        <v>0</v>
      </c>
      <c r="CH27" s="99">
        <f>'I&amp;E Annual'!CH$114</f>
        <v>0</v>
      </c>
      <c r="CI27" s="99">
        <f>'I&amp;E Annual'!CI$114</f>
        <v>0</v>
      </c>
      <c r="CK27" s="311"/>
      <c r="CO27" s="100">
        <f>IF(SUM($CS27:$CU27)=0, 0, 1)</f>
        <v>0</v>
      </c>
      <c r="CP27" s="100">
        <f>IF(SUM($CV27:$CX27)=0, 0, 1)</f>
        <v>0</v>
      </c>
      <c r="CQ27" s="100">
        <f>IF(CY27=0, 0, 1)</f>
        <v>0</v>
      </c>
      <c r="CR27" s="311"/>
      <c r="CS27" s="215">
        <f>ROUND(W27-SUMIFS($AA27:$BJ27, $AA$3:$BJ$3, W$3), rounding)</f>
        <v>0</v>
      </c>
      <c r="CT27" s="215">
        <f>ROUND($X27-SUMIFS($AA27:$BJ27, $AA$3:$BJ$3, X$3), rounding)</f>
        <v>0</v>
      </c>
      <c r="CU27" s="215">
        <f>ROUND($Y27-SUMIFS($AA27:$BJ27, $AA$3:$BJ$3, Y$3), rounding)</f>
        <v>0</v>
      </c>
      <c r="CV27" s="215">
        <f t="shared" ref="CV27:CX30" si="30">ROUND(W27-BY27, rounding)</f>
        <v>0</v>
      </c>
      <c r="CW27" s="215">
        <f t="shared" si="30"/>
        <v>0</v>
      </c>
      <c r="CX27" s="215">
        <f t="shared" si="30"/>
        <v>0</v>
      </c>
      <c r="CY27" s="215">
        <f>ROUND(V27-BX27, rounding)</f>
        <v>0</v>
      </c>
      <c r="EX27" s="10" t="str">
        <f t="shared" ca="1" si="0"/>
        <v>Total Staff Costs (excl. restructuring)</v>
      </c>
    </row>
    <row r="28" spans="1:154" ht="15" customHeight="1" x14ac:dyDescent="0.35">
      <c r="A28" s="537" cm="1">
        <f t="array" aca="1" ref="A28" ca="1">HYPERLINK(CONCATENATE("#",CELL("address",IF(MAX($CK28:$CR28)=0,A28,INDEX($CK28:$CR28,MATCH(1,$CK28:$CR28,0))))),MAX($CK28:$CR28))</f>
        <v>0</v>
      </c>
      <c r="C28" s="213" t="str">
        <f>CONCATENATE("FS-",'I&amp;E Annual'!C$132)</f>
        <v>FS-IE-2b</v>
      </c>
      <c r="D28" s="570" t="str" cm="1">
        <f t="array" aca="1" ref="D28" ca="1">HYPERLINK(CONCATENATE("#",CELL("address",'I&amp;E Annual'!$D$132)),'I&amp;E Annual'!$D$132)</f>
        <v>Total Other operating expenditure</v>
      </c>
      <c r="V28" s="12">
        <f t="shared" si="29"/>
        <v>0</v>
      </c>
      <c r="W28" s="12">
        <f t="shared" si="29"/>
        <v>0</v>
      </c>
      <c r="X28" s="12">
        <f t="shared" si="29"/>
        <v>0</v>
      </c>
      <c r="Y28" s="12">
        <f t="shared" si="29"/>
        <v>0</v>
      </c>
      <c r="AA28" s="99">
        <f>'I&amp;E Annual'!AA$132</f>
        <v>0</v>
      </c>
      <c r="AB28" s="99">
        <f>'I&amp;E Annual'!AB$132</f>
        <v>0</v>
      </c>
      <c r="AC28" s="99">
        <f>'I&amp;E Annual'!AC$132</f>
        <v>0</v>
      </c>
      <c r="AD28" s="99">
        <f>'I&amp;E Annual'!AD$132</f>
        <v>0</v>
      </c>
      <c r="AE28" s="99">
        <f>'I&amp;E Annual'!AE$132</f>
        <v>0</v>
      </c>
      <c r="AF28" s="99">
        <f>'I&amp;E Annual'!AF$132</f>
        <v>0</v>
      </c>
      <c r="AG28" s="99">
        <f>'I&amp;E Annual'!AG$132</f>
        <v>0</v>
      </c>
      <c r="AH28" s="99">
        <f>'I&amp;E Annual'!AH$132</f>
        <v>0</v>
      </c>
      <c r="AI28" s="99">
        <f>'I&amp;E Annual'!AI$132</f>
        <v>0</v>
      </c>
      <c r="AJ28" s="99">
        <f>'I&amp;E Annual'!AJ$132</f>
        <v>0</v>
      </c>
      <c r="AK28" s="99">
        <f>'I&amp;E Annual'!AK$132</f>
        <v>0</v>
      </c>
      <c r="AL28" s="99">
        <f>'I&amp;E Annual'!AL$132</f>
        <v>0</v>
      </c>
      <c r="AM28" s="99">
        <f>'I&amp;E Annual'!AM$132</f>
        <v>0</v>
      </c>
      <c r="AN28" s="99">
        <f>'I&amp;E Annual'!AN$132</f>
        <v>0</v>
      </c>
      <c r="AO28" s="99">
        <f>'I&amp;E Annual'!AO$132</f>
        <v>0</v>
      </c>
      <c r="AP28" s="99">
        <f>'I&amp;E Annual'!AP$132</f>
        <v>0</v>
      </c>
      <c r="AQ28" s="99">
        <f>'I&amp;E Annual'!AQ$132</f>
        <v>0</v>
      </c>
      <c r="AR28" s="99">
        <f>'I&amp;E Annual'!AR$132</f>
        <v>0</v>
      </c>
      <c r="AS28" s="99">
        <f>'I&amp;E Annual'!AS$132</f>
        <v>0</v>
      </c>
      <c r="AT28" s="99">
        <f>'I&amp;E Annual'!AT$132</f>
        <v>0</v>
      </c>
      <c r="AU28" s="99">
        <f>'I&amp;E Annual'!AU$132</f>
        <v>0</v>
      </c>
      <c r="AV28" s="99">
        <f>'I&amp;E Annual'!AV$132</f>
        <v>0</v>
      </c>
      <c r="AW28" s="99">
        <f>'I&amp;E Annual'!AW$132</f>
        <v>0</v>
      </c>
      <c r="AX28" s="99">
        <f>'I&amp;E Annual'!AX$132</f>
        <v>0</v>
      </c>
      <c r="AY28" s="99">
        <f>'I&amp;E Annual'!AY$132</f>
        <v>0</v>
      </c>
      <c r="AZ28" s="99">
        <f>'I&amp;E Annual'!AZ$132</f>
        <v>0</v>
      </c>
      <c r="BA28" s="99">
        <f>'I&amp;E Annual'!BA$132</f>
        <v>0</v>
      </c>
      <c r="BB28" s="99">
        <f>'I&amp;E Annual'!BB$132</f>
        <v>0</v>
      </c>
      <c r="BC28" s="99">
        <f>'I&amp;E Annual'!BC$132</f>
        <v>0</v>
      </c>
      <c r="BD28" s="99">
        <f>'I&amp;E Annual'!BD$132</f>
        <v>0</v>
      </c>
      <c r="BE28" s="99">
        <f>'I&amp;E Annual'!BE$132</f>
        <v>0</v>
      </c>
      <c r="BF28" s="99">
        <f>'I&amp;E Annual'!BF$132</f>
        <v>0</v>
      </c>
      <c r="BG28" s="99">
        <f>'I&amp;E Annual'!BG$132</f>
        <v>0</v>
      </c>
      <c r="BH28" s="99">
        <f>'I&amp;E Annual'!BH$132</f>
        <v>0</v>
      </c>
      <c r="BI28" s="99">
        <f>'I&amp;E Annual'!BI$132</f>
        <v>0</v>
      </c>
      <c r="BJ28" s="99">
        <f>'I&amp;E Annual'!BJ$132</f>
        <v>0</v>
      </c>
      <c r="BX28" s="99">
        <f>'I&amp;E Annual'!BX$132</f>
        <v>0</v>
      </c>
      <c r="BY28" s="99">
        <f>'I&amp;E Annual'!BY$132</f>
        <v>0</v>
      </c>
      <c r="BZ28" s="99">
        <f>'I&amp;E Annual'!BZ$132</f>
        <v>0</v>
      </c>
      <c r="CA28" s="99">
        <f>'I&amp;E Annual'!CA$132</f>
        <v>0</v>
      </c>
      <c r="CB28" s="99">
        <f>'I&amp;E Annual'!CB$132</f>
        <v>0</v>
      </c>
      <c r="CC28" s="99">
        <f>'I&amp;E Annual'!CC$132</f>
        <v>0</v>
      </c>
      <c r="CD28" s="99">
        <f>'I&amp;E Annual'!CD$132</f>
        <v>0</v>
      </c>
      <c r="CE28" s="99">
        <f>'I&amp;E Annual'!CE$132</f>
        <v>0</v>
      </c>
      <c r="CF28" s="99">
        <f>'I&amp;E Annual'!CF$132</f>
        <v>0</v>
      </c>
      <c r="CG28" s="99">
        <f>'I&amp;E Annual'!CG$132</f>
        <v>0</v>
      </c>
      <c r="CH28" s="99">
        <f>'I&amp;E Annual'!CH$132</f>
        <v>0</v>
      </c>
      <c r="CI28" s="99">
        <f>'I&amp;E Annual'!CI$132</f>
        <v>0</v>
      </c>
      <c r="CK28" s="311"/>
      <c r="CO28" s="100">
        <f>IF(SUM($CS28:$CU28)=0, 0, 1)</f>
        <v>0</v>
      </c>
      <c r="CP28" s="100">
        <f>IF(SUM($CV28:$CX28)=0, 0, 1)</f>
        <v>0</v>
      </c>
      <c r="CQ28" s="100">
        <f>IF(CY28=0, 0, 1)</f>
        <v>0</v>
      </c>
      <c r="CR28" s="311"/>
      <c r="CS28" s="215">
        <f>ROUND(W28-SUMIFS($AA28:$BJ28, $AA$3:$BJ$3, W$3), rounding)</f>
        <v>0</v>
      </c>
      <c r="CT28" s="215">
        <f>ROUND($X28-SUMIFS($AA28:$BJ28, $AA$3:$BJ$3, X$3), rounding)</f>
        <v>0</v>
      </c>
      <c r="CU28" s="215">
        <f>ROUND($Y28-SUMIFS($AA28:$BJ28, $AA$3:$BJ$3, Y$3), rounding)</f>
        <v>0</v>
      </c>
      <c r="CV28" s="215">
        <f t="shared" si="30"/>
        <v>0</v>
      </c>
      <c r="CW28" s="215">
        <f t="shared" si="30"/>
        <v>0</v>
      </c>
      <c r="CX28" s="215">
        <f t="shared" si="30"/>
        <v>0</v>
      </c>
      <c r="CY28" s="215">
        <f>ROUND(V28-BX28, rounding)</f>
        <v>0</v>
      </c>
      <c r="EX28" s="10" t="str">
        <f t="shared" ca="1" si="0"/>
        <v>Total Other operating expenditure</v>
      </c>
    </row>
    <row r="29" spans="1:154" ht="15" customHeight="1" x14ac:dyDescent="0.35">
      <c r="A29" s="537" cm="1">
        <f t="array" aca="1" ref="A29" ca="1">HYPERLINK(CONCATENATE("#",CELL("address",IF(MAX($CK29:$CR29)=0,A29,INDEX($CK29:$CR29,MATCH(1,$CK29:$CR29,0))))),MAX($CK29:$CR29))</f>
        <v>0</v>
      </c>
      <c r="C29" s="213" t="str">
        <f>CONCATENATE("FS-",'I&amp;E Annual'!C$137)</f>
        <v>FS-IE-2c</v>
      </c>
      <c r="D29" s="570" t="str" cm="1">
        <f t="array" aca="1" ref="D29" ca="1">HYPERLINK(CONCATENATE("#",CELL("address",'I&amp;E Annual'!$D$137)),'I&amp;E Annual'!$D$137)</f>
        <v>Total Staff Restructuring Costs</v>
      </c>
      <c r="V29" s="12">
        <f t="shared" si="29"/>
        <v>0</v>
      </c>
      <c r="W29" s="12">
        <f t="shared" si="29"/>
        <v>0</v>
      </c>
      <c r="X29" s="12">
        <f t="shared" si="29"/>
        <v>0</v>
      </c>
      <c r="Y29" s="12">
        <f t="shared" si="29"/>
        <v>0</v>
      </c>
      <c r="AA29" s="99">
        <f>'I&amp;E Annual'!AA$137</f>
        <v>0</v>
      </c>
      <c r="AB29" s="99">
        <f>'I&amp;E Annual'!AB$137</f>
        <v>0</v>
      </c>
      <c r="AC29" s="99">
        <f>'I&amp;E Annual'!AC$137</f>
        <v>0</v>
      </c>
      <c r="AD29" s="99">
        <f>'I&amp;E Annual'!AD$137</f>
        <v>0</v>
      </c>
      <c r="AE29" s="99">
        <f>'I&amp;E Annual'!AE$137</f>
        <v>0</v>
      </c>
      <c r="AF29" s="99">
        <f>'I&amp;E Annual'!AF$137</f>
        <v>0</v>
      </c>
      <c r="AG29" s="99">
        <f>'I&amp;E Annual'!AG$137</f>
        <v>0</v>
      </c>
      <c r="AH29" s="99">
        <f>'I&amp;E Annual'!AH$137</f>
        <v>0</v>
      </c>
      <c r="AI29" s="99">
        <f>'I&amp;E Annual'!AI$137</f>
        <v>0</v>
      </c>
      <c r="AJ29" s="99">
        <f>'I&amp;E Annual'!AJ$137</f>
        <v>0</v>
      </c>
      <c r="AK29" s="99">
        <f>'I&amp;E Annual'!AK$137</f>
        <v>0</v>
      </c>
      <c r="AL29" s="99">
        <f>'I&amp;E Annual'!AL$137</f>
        <v>0</v>
      </c>
      <c r="AM29" s="99">
        <f>'I&amp;E Annual'!AM$137</f>
        <v>0</v>
      </c>
      <c r="AN29" s="99">
        <f>'I&amp;E Annual'!AN$137</f>
        <v>0</v>
      </c>
      <c r="AO29" s="99">
        <f>'I&amp;E Annual'!AO$137</f>
        <v>0</v>
      </c>
      <c r="AP29" s="99">
        <f>'I&amp;E Annual'!AP$137</f>
        <v>0</v>
      </c>
      <c r="AQ29" s="99">
        <f>'I&amp;E Annual'!AQ$137</f>
        <v>0</v>
      </c>
      <c r="AR29" s="99">
        <f>'I&amp;E Annual'!AR$137</f>
        <v>0</v>
      </c>
      <c r="AS29" s="99">
        <f>'I&amp;E Annual'!AS$137</f>
        <v>0</v>
      </c>
      <c r="AT29" s="99">
        <f>'I&amp;E Annual'!AT$137</f>
        <v>0</v>
      </c>
      <c r="AU29" s="99">
        <f>'I&amp;E Annual'!AU$137</f>
        <v>0</v>
      </c>
      <c r="AV29" s="99">
        <f>'I&amp;E Annual'!AV$137</f>
        <v>0</v>
      </c>
      <c r="AW29" s="99">
        <f>'I&amp;E Annual'!AW$137</f>
        <v>0</v>
      </c>
      <c r="AX29" s="99">
        <f>'I&amp;E Annual'!AX$137</f>
        <v>0</v>
      </c>
      <c r="AY29" s="99">
        <f>'I&amp;E Annual'!AY$137</f>
        <v>0</v>
      </c>
      <c r="AZ29" s="99">
        <f>'I&amp;E Annual'!AZ$137</f>
        <v>0</v>
      </c>
      <c r="BA29" s="99">
        <f>'I&amp;E Annual'!BA$137</f>
        <v>0</v>
      </c>
      <c r="BB29" s="99">
        <f>'I&amp;E Annual'!BB$137</f>
        <v>0</v>
      </c>
      <c r="BC29" s="99">
        <f>'I&amp;E Annual'!BC$137</f>
        <v>0</v>
      </c>
      <c r="BD29" s="99">
        <f>'I&amp;E Annual'!BD$137</f>
        <v>0</v>
      </c>
      <c r="BE29" s="99">
        <f>'I&amp;E Annual'!BE$137</f>
        <v>0</v>
      </c>
      <c r="BF29" s="99">
        <f>'I&amp;E Annual'!BF$137</f>
        <v>0</v>
      </c>
      <c r="BG29" s="99">
        <f>'I&amp;E Annual'!BG$137</f>
        <v>0</v>
      </c>
      <c r="BH29" s="99">
        <f>'I&amp;E Annual'!BH$137</f>
        <v>0</v>
      </c>
      <c r="BI29" s="99">
        <f>'I&amp;E Annual'!BI$137</f>
        <v>0</v>
      </c>
      <c r="BJ29" s="99">
        <f>'I&amp;E Annual'!BJ$137</f>
        <v>0</v>
      </c>
      <c r="BX29" s="99">
        <f>'I&amp;E Annual'!BX$137</f>
        <v>0</v>
      </c>
      <c r="BY29" s="99">
        <f>'I&amp;E Annual'!BY$137</f>
        <v>0</v>
      </c>
      <c r="BZ29" s="99">
        <f>'I&amp;E Annual'!BZ$137</f>
        <v>0</v>
      </c>
      <c r="CA29" s="99">
        <f>'I&amp;E Annual'!CA$137</f>
        <v>0</v>
      </c>
      <c r="CB29" s="99">
        <f>'I&amp;E Annual'!CB$137</f>
        <v>0</v>
      </c>
      <c r="CC29" s="99">
        <f>'I&amp;E Annual'!CC$137</f>
        <v>0</v>
      </c>
      <c r="CD29" s="99">
        <f>'I&amp;E Annual'!CD$137</f>
        <v>0</v>
      </c>
      <c r="CE29" s="99">
        <f>'I&amp;E Annual'!CE$137</f>
        <v>0</v>
      </c>
      <c r="CF29" s="99">
        <f>'I&amp;E Annual'!CF$137</f>
        <v>0</v>
      </c>
      <c r="CG29" s="99">
        <f>'I&amp;E Annual'!CG$137</f>
        <v>0</v>
      </c>
      <c r="CH29" s="99">
        <f>'I&amp;E Annual'!CH$137</f>
        <v>0</v>
      </c>
      <c r="CI29" s="99">
        <f>'I&amp;E Annual'!CI$137</f>
        <v>0</v>
      </c>
      <c r="CK29" s="311"/>
      <c r="CO29" s="100">
        <f>IF(SUM($CS29:$CU29)=0, 0, 1)</f>
        <v>0</v>
      </c>
      <c r="CP29" s="100">
        <f>IF(SUM($CV29:$CX29)=0, 0, 1)</f>
        <v>0</v>
      </c>
      <c r="CQ29" s="100">
        <f>IF(CY29=0, 0, 1)</f>
        <v>0</v>
      </c>
      <c r="CR29" s="311"/>
      <c r="CS29" s="215">
        <f>ROUND(W29-SUMIFS($AA29:$BJ29, $AA$3:$BJ$3, W$3), rounding)</f>
        <v>0</v>
      </c>
      <c r="CT29" s="215">
        <f>ROUND($X29-SUMIFS($AA29:$BJ29, $AA$3:$BJ$3, X$3), rounding)</f>
        <v>0</v>
      </c>
      <c r="CU29" s="215">
        <f>ROUND($Y29-SUMIFS($AA29:$BJ29, $AA$3:$BJ$3, Y$3), rounding)</f>
        <v>0</v>
      </c>
      <c r="CV29" s="215">
        <f t="shared" si="30"/>
        <v>0</v>
      </c>
      <c r="CW29" s="215">
        <f t="shared" si="30"/>
        <v>0</v>
      </c>
      <c r="CX29" s="215">
        <f t="shared" si="30"/>
        <v>0</v>
      </c>
      <c r="CY29" s="215">
        <f>ROUND(V29-BX29, rounding)</f>
        <v>0</v>
      </c>
      <c r="EX29" s="10" t="str">
        <f t="shared" ca="1" si="0"/>
        <v>Total Staff Restructuring Costs</v>
      </c>
    </row>
    <row r="30" spans="1:154" ht="15" customHeight="1" x14ac:dyDescent="0.35">
      <c r="A30" s="537" cm="1">
        <f t="array" aca="1" ref="A30" ca="1">HYPERLINK(CONCATENATE("#",CELL("address",IF(MAX($CK30:$CR30)=0,A30,INDEX($CK30:$CR30,MATCH(1,$CK30:$CR30,0))))),MAX($CK30:$CR30))</f>
        <v>0</v>
      </c>
      <c r="C30" s="213" t="str">
        <f>CONCATENATE("FS-",'I&amp;E Annual'!C$139)</f>
        <v>FS-IE-2</v>
      </c>
      <c r="D30" s="107" t="s">
        <v>1517</v>
      </c>
      <c r="V30" s="12">
        <f>SUM(V$27:V$29)*V$9</f>
        <v>0</v>
      </c>
      <c r="W30" s="12">
        <f>SUM(W$27:W$29)*W$9</f>
        <v>0</v>
      </c>
      <c r="X30" s="12">
        <f>SUM(X$27:X$29)*X$9</f>
        <v>0</v>
      </c>
      <c r="Y30" s="12">
        <f>SUM(Y$27:Y$29)*Y$9</f>
        <v>0</v>
      </c>
      <c r="AA30" s="12">
        <f t="shared" ref="AA30:BJ30" si="31">SUM(AA$27:AA$29)*AA$9</f>
        <v>0</v>
      </c>
      <c r="AB30" s="12">
        <f t="shared" si="31"/>
        <v>0</v>
      </c>
      <c r="AC30" s="12">
        <f t="shared" si="31"/>
        <v>0</v>
      </c>
      <c r="AD30" s="12">
        <f t="shared" si="31"/>
        <v>0</v>
      </c>
      <c r="AE30" s="12">
        <f t="shared" si="31"/>
        <v>0</v>
      </c>
      <c r="AF30" s="12">
        <f t="shared" si="31"/>
        <v>0</v>
      </c>
      <c r="AG30" s="12">
        <f t="shared" si="31"/>
        <v>0</v>
      </c>
      <c r="AH30" s="12">
        <f t="shared" si="31"/>
        <v>0</v>
      </c>
      <c r="AI30" s="12">
        <f t="shared" si="31"/>
        <v>0</v>
      </c>
      <c r="AJ30" s="12">
        <f t="shared" si="31"/>
        <v>0</v>
      </c>
      <c r="AK30" s="12">
        <f t="shared" si="31"/>
        <v>0</v>
      </c>
      <c r="AL30" s="12">
        <f t="shared" si="31"/>
        <v>0</v>
      </c>
      <c r="AM30" s="12">
        <f t="shared" si="31"/>
        <v>0</v>
      </c>
      <c r="AN30" s="12">
        <f t="shared" si="31"/>
        <v>0</v>
      </c>
      <c r="AO30" s="12">
        <f t="shared" si="31"/>
        <v>0</v>
      </c>
      <c r="AP30" s="12">
        <f t="shared" si="31"/>
        <v>0</v>
      </c>
      <c r="AQ30" s="12">
        <f t="shared" si="31"/>
        <v>0</v>
      </c>
      <c r="AR30" s="12">
        <f t="shared" si="31"/>
        <v>0</v>
      </c>
      <c r="AS30" s="12">
        <f t="shared" si="31"/>
        <v>0</v>
      </c>
      <c r="AT30" s="12">
        <f t="shared" si="31"/>
        <v>0</v>
      </c>
      <c r="AU30" s="12">
        <f t="shared" si="31"/>
        <v>0</v>
      </c>
      <c r="AV30" s="12">
        <f t="shared" si="31"/>
        <v>0</v>
      </c>
      <c r="AW30" s="12">
        <f t="shared" si="31"/>
        <v>0</v>
      </c>
      <c r="AX30" s="12">
        <f t="shared" si="31"/>
        <v>0</v>
      </c>
      <c r="AY30" s="12">
        <f t="shared" si="31"/>
        <v>0</v>
      </c>
      <c r="AZ30" s="12">
        <f t="shared" si="31"/>
        <v>0</v>
      </c>
      <c r="BA30" s="12">
        <f t="shared" si="31"/>
        <v>0</v>
      </c>
      <c r="BB30" s="12">
        <f t="shared" si="31"/>
        <v>0</v>
      </c>
      <c r="BC30" s="12">
        <f t="shared" si="31"/>
        <v>0</v>
      </c>
      <c r="BD30" s="12">
        <f t="shared" si="31"/>
        <v>0</v>
      </c>
      <c r="BE30" s="12">
        <f t="shared" si="31"/>
        <v>0</v>
      </c>
      <c r="BF30" s="12">
        <f t="shared" si="31"/>
        <v>0</v>
      </c>
      <c r="BG30" s="12">
        <f t="shared" si="31"/>
        <v>0</v>
      </c>
      <c r="BH30" s="12">
        <f t="shared" si="31"/>
        <v>0</v>
      </c>
      <c r="BI30" s="12">
        <f t="shared" si="31"/>
        <v>0</v>
      </c>
      <c r="BJ30" s="12">
        <f t="shared" si="31"/>
        <v>0</v>
      </c>
      <c r="BX30" s="12">
        <f t="shared" ref="BX30:CI30" si="32">SUM(BX$27:BX$29)*BX$9</f>
        <v>0</v>
      </c>
      <c r="BY30" s="12">
        <f t="shared" si="32"/>
        <v>0</v>
      </c>
      <c r="BZ30" s="12">
        <f t="shared" si="32"/>
        <v>0</v>
      </c>
      <c r="CA30" s="12">
        <f t="shared" si="32"/>
        <v>0</v>
      </c>
      <c r="CB30" s="12">
        <f t="shared" si="32"/>
        <v>0</v>
      </c>
      <c r="CC30" s="12">
        <f t="shared" si="32"/>
        <v>0</v>
      </c>
      <c r="CD30" s="12">
        <f t="shared" si="32"/>
        <v>0</v>
      </c>
      <c r="CE30" s="12">
        <f t="shared" si="32"/>
        <v>0</v>
      </c>
      <c r="CF30" s="12">
        <f t="shared" si="32"/>
        <v>0</v>
      </c>
      <c r="CG30" s="12">
        <f t="shared" si="32"/>
        <v>0</v>
      </c>
      <c r="CH30" s="12">
        <f t="shared" si="32"/>
        <v>0</v>
      </c>
      <c r="CI30" s="12">
        <f t="shared" si="32"/>
        <v>0</v>
      </c>
      <c r="CK30" s="311"/>
      <c r="CO30" s="100">
        <f>IF(SUM($CS30:$CU30)=0, 0, 1)</f>
        <v>0</v>
      </c>
      <c r="CP30" s="100">
        <f>IF(SUM($CV30:$CX30)=0, 0, 1)</f>
        <v>0</v>
      </c>
      <c r="CQ30" s="100">
        <f>IF(CY30=0, 0, 1)</f>
        <v>0</v>
      </c>
      <c r="CR30" s="311"/>
      <c r="CS30" s="215">
        <f>ROUND(W30-SUMIFS($AA30:$BJ30, $AA$3:$BJ$3, W$3), rounding)</f>
        <v>0</v>
      </c>
      <c r="CT30" s="215">
        <f>ROUND($X30-SUMIFS($AA30:$BJ30, $AA$3:$BJ$3, X$3), rounding)</f>
        <v>0</v>
      </c>
      <c r="CU30" s="215">
        <f>ROUND($Y30-SUMIFS($AA30:$BJ30, $AA$3:$BJ$3, Y$3), rounding)</f>
        <v>0</v>
      </c>
      <c r="CV30" s="215">
        <f t="shared" si="30"/>
        <v>0</v>
      </c>
      <c r="CW30" s="215">
        <f t="shared" si="30"/>
        <v>0</v>
      </c>
      <c r="CX30" s="215">
        <f t="shared" si="30"/>
        <v>0</v>
      </c>
      <c r="CY30" s="215">
        <f>ROUND(V30-BX30, rounding)</f>
        <v>0</v>
      </c>
      <c r="EX30" s="10" t="str">
        <f t="shared" si="0"/>
        <v xml:space="preserve">Total Operating Expenditure </v>
      </c>
    </row>
    <row r="31" spans="1:154" ht="11.65" customHeight="1" x14ac:dyDescent="0.35">
      <c r="C31" s="213"/>
      <c r="E31"/>
      <c r="CK31" s="311"/>
      <c r="CO31" s="120"/>
      <c r="CP31" s="120"/>
      <c r="CQ31" s="120"/>
      <c r="CR31" s="311"/>
      <c r="EX31" s="10" t="str">
        <f t="shared" si="0"/>
        <v/>
      </c>
    </row>
    <row r="32" spans="1:154" ht="15" customHeight="1" x14ac:dyDescent="0.35">
      <c r="A32" s="537" cm="1">
        <f t="array" aca="1" ref="A32" ca="1">HYPERLINK(CONCATENATE("#",CELL("address",IF(MAX($CK32:$CR32)=0,A32,INDEX($CK32:$CR32,MATCH(1,$CK32:$CR32,0))))),MAX($CK32:$CR32))</f>
        <v>0</v>
      </c>
      <c r="C32" s="213" t="str">
        <f>CONCATENATE("FS-",'I&amp;E Annual'!C$141)</f>
        <v>FS-IE-3</v>
      </c>
      <c r="D32" s="107" t="s">
        <v>435</v>
      </c>
      <c r="V32" s="12">
        <f>(V24-V30)</f>
        <v>0</v>
      </c>
      <c r="W32" s="12">
        <f>(W24-W30)</f>
        <v>0</v>
      </c>
      <c r="X32" s="12">
        <f>(X24-X30)</f>
        <v>0</v>
      </c>
      <c r="Y32" s="12">
        <f>(Y24-Y30)</f>
        <v>0</v>
      </c>
      <c r="AA32" s="12">
        <f t="shared" ref="AA32:BJ32" si="33">(AA24-AA30)</f>
        <v>0</v>
      </c>
      <c r="AB32" s="12">
        <f t="shared" si="33"/>
        <v>0</v>
      </c>
      <c r="AC32" s="12">
        <f t="shared" si="33"/>
        <v>0</v>
      </c>
      <c r="AD32" s="12">
        <f t="shared" si="33"/>
        <v>0</v>
      </c>
      <c r="AE32" s="12">
        <f t="shared" si="33"/>
        <v>0</v>
      </c>
      <c r="AF32" s="12">
        <f t="shared" si="33"/>
        <v>0</v>
      </c>
      <c r="AG32" s="12">
        <f t="shared" si="33"/>
        <v>0</v>
      </c>
      <c r="AH32" s="12">
        <f t="shared" si="33"/>
        <v>0</v>
      </c>
      <c r="AI32" s="12">
        <f t="shared" si="33"/>
        <v>0</v>
      </c>
      <c r="AJ32" s="12">
        <f t="shared" si="33"/>
        <v>0</v>
      </c>
      <c r="AK32" s="12">
        <f t="shared" si="33"/>
        <v>0</v>
      </c>
      <c r="AL32" s="12">
        <f t="shared" si="33"/>
        <v>0</v>
      </c>
      <c r="AM32" s="12">
        <f t="shared" si="33"/>
        <v>0</v>
      </c>
      <c r="AN32" s="12">
        <f t="shared" si="33"/>
        <v>0</v>
      </c>
      <c r="AO32" s="12">
        <f t="shared" si="33"/>
        <v>0</v>
      </c>
      <c r="AP32" s="12">
        <f t="shared" si="33"/>
        <v>0</v>
      </c>
      <c r="AQ32" s="12">
        <f t="shared" si="33"/>
        <v>0</v>
      </c>
      <c r="AR32" s="12">
        <f t="shared" si="33"/>
        <v>0</v>
      </c>
      <c r="AS32" s="12">
        <f t="shared" si="33"/>
        <v>0</v>
      </c>
      <c r="AT32" s="12">
        <f t="shared" si="33"/>
        <v>0</v>
      </c>
      <c r="AU32" s="12">
        <f t="shared" si="33"/>
        <v>0</v>
      </c>
      <c r="AV32" s="12">
        <f t="shared" si="33"/>
        <v>0</v>
      </c>
      <c r="AW32" s="12">
        <f t="shared" si="33"/>
        <v>0</v>
      </c>
      <c r="AX32" s="12">
        <f t="shared" si="33"/>
        <v>0</v>
      </c>
      <c r="AY32" s="12">
        <f t="shared" si="33"/>
        <v>0</v>
      </c>
      <c r="AZ32" s="12">
        <f t="shared" si="33"/>
        <v>0</v>
      </c>
      <c r="BA32" s="12">
        <f t="shared" si="33"/>
        <v>0</v>
      </c>
      <c r="BB32" s="12">
        <f t="shared" si="33"/>
        <v>0</v>
      </c>
      <c r="BC32" s="12">
        <f t="shared" si="33"/>
        <v>0</v>
      </c>
      <c r="BD32" s="12">
        <f t="shared" si="33"/>
        <v>0</v>
      </c>
      <c r="BE32" s="12">
        <f t="shared" si="33"/>
        <v>0</v>
      </c>
      <c r="BF32" s="12">
        <f t="shared" si="33"/>
        <v>0</v>
      </c>
      <c r="BG32" s="12">
        <f t="shared" si="33"/>
        <v>0</v>
      </c>
      <c r="BH32" s="12">
        <f t="shared" si="33"/>
        <v>0</v>
      </c>
      <c r="BI32" s="12">
        <f t="shared" si="33"/>
        <v>0</v>
      </c>
      <c r="BJ32" s="12">
        <f t="shared" si="33"/>
        <v>0</v>
      </c>
      <c r="BX32" s="12">
        <f t="shared" ref="BX32:CI32" si="34">(BX24-BX30)</f>
        <v>0</v>
      </c>
      <c r="BY32" s="12">
        <f t="shared" si="34"/>
        <v>0</v>
      </c>
      <c r="BZ32" s="12">
        <f t="shared" si="34"/>
        <v>0</v>
      </c>
      <c r="CA32" s="12">
        <f t="shared" si="34"/>
        <v>0</v>
      </c>
      <c r="CB32" s="12">
        <f t="shared" si="34"/>
        <v>0</v>
      </c>
      <c r="CC32" s="12">
        <f t="shared" si="34"/>
        <v>0</v>
      </c>
      <c r="CD32" s="12">
        <f t="shared" si="34"/>
        <v>0</v>
      </c>
      <c r="CE32" s="12">
        <f t="shared" si="34"/>
        <v>0</v>
      </c>
      <c r="CF32" s="12">
        <f t="shared" si="34"/>
        <v>0</v>
      </c>
      <c r="CG32" s="12">
        <f t="shared" si="34"/>
        <v>0</v>
      </c>
      <c r="CH32" s="12">
        <f t="shared" si="34"/>
        <v>0</v>
      </c>
      <c r="CI32" s="12">
        <f t="shared" si="34"/>
        <v>0</v>
      </c>
      <c r="CK32" s="311"/>
      <c r="CO32" s="100">
        <f>IF(SUM($CS32:$CU32)=0, 0, 1)</f>
        <v>0</v>
      </c>
      <c r="CP32" s="100">
        <f>IF(SUM($CV32:$CX32)=0, 0, 1)</f>
        <v>0</v>
      </c>
      <c r="CQ32" s="100">
        <f>IF(CY32=0, 0, 1)</f>
        <v>0</v>
      </c>
      <c r="CR32" s="311"/>
      <c r="CS32" s="215">
        <f>ROUND(W32-SUMIFS($AA32:$BJ32, $AA$3:$BJ$3, W$3), rounding)</f>
        <v>0</v>
      </c>
      <c r="CT32" s="215">
        <f>ROUND($X32-SUMIFS($AA32:$BJ32, $AA$3:$BJ$3, X$3), rounding)</f>
        <v>0</v>
      </c>
      <c r="CU32" s="215">
        <f>ROUND($Y32-SUMIFS($AA32:$BJ32, $AA$3:$BJ$3, Y$3), rounding)</f>
        <v>0</v>
      </c>
      <c r="CV32" s="215">
        <f>ROUND(W32-BY32, rounding)</f>
        <v>0</v>
      </c>
      <c r="CW32" s="215">
        <f>ROUND(X32-BZ32, rounding)</f>
        <v>0</v>
      </c>
      <c r="CX32" s="215">
        <f>ROUND(Y32-CA32, rounding)</f>
        <v>0</v>
      </c>
      <c r="CY32" s="215">
        <f>ROUND(V32-BX32, rounding)</f>
        <v>0</v>
      </c>
      <c r="EX32" s="10" t="str">
        <f t="shared" si="0"/>
        <v>Net Operating Income</v>
      </c>
    </row>
    <row r="33" spans="1:154" ht="8.25" customHeight="1" x14ac:dyDescent="0.35">
      <c r="C33" s="213"/>
      <c r="E33"/>
      <c r="CK33" s="311"/>
      <c r="CO33" s="120"/>
      <c r="CP33" s="120"/>
      <c r="CQ33" s="120"/>
      <c r="CR33" s="311"/>
      <c r="EX33" s="10" t="str">
        <f t="shared" si="0"/>
        <v/>
      </c>
    </row>
    <row r="34" spans="1:154" ht="15" customHeight="1" x14ac:dyDescent="0.35">
      <c r="A34" s="537" cm="1">
        <f t="array" aca="1" ref="A34" ca="1">HYPERLINK(CONCATENATE("#",CELL("address",IF(MAX($CK34:$CR34)=0,A34,INDEX($CK34:$CR34,MATCH(1,$CK34:$CR34,0))))),MAX($CK34:$CR34))</f>
        <v>0</v>
      </c>
      <c r="C34" s="213" t="str">
        <f>CONCATENATE("FS-",'I&amp;E Annual'!C$143)</f>
        <v>FS-IE-4a</v>
      </c>
      <c r="D34" s="570" t="str" cm="1">
        <f t="array" aca="1" ref="D34" ca="1">HYPERLINK(CONCATENATE("#",CELL("address",'I&amp;E Annual'!$D$143)),'I&amp;E Annual'!$D$143)</f>
        <v>Release of Capital Grants</v>
      </c>
      <c r="V34" s="12">
        <f t="shared" ref="V34:Y35" si="35">BX34</f>
        <v>0</v>
      </c>
      <c r="W34" s="12">
        <f t="shared" si="35"/>
        <v>0</v>
      </c>
      <c r="X34" s="12">
        <f t="shared" si="35"/>
        <v>0</v>
      </c>
      <c r="Y34" s="12">
        <f t="shared" si="35"/>
        <v>0</v>
      </c>
      <c r="AA34" s="99">
        <f>'I&amp;E Annual'!AA$143</f>
        <v>0</v>
      </c>
      <c r="AB34" s="99">
        <f>'I&amp;E Annual'!AB$143</f>
        <v>0</v>
      </c>
      <c r="AC34" s="99">
        <f>'I&amp;E Annual'!AC$143</f>
        <v>0</v>
      </c>
      <c r="AD34" s="99">
        <f>'I&amp;E Annual'!AD$143</f>
        <v>0</v>
      </c>
      <c r="AE34" s="99">
        <f>'I&amp;E Annual'!AE$143</f>
        <v>0</v>
      </c>
      <c r="AF34" s="99">
        <f>'I&amp;E Annual'!AF$143</f>
        <v>0</v>
      </c>
      <c r="AG34" s="99">
        <f>'I&amp;E Annual'!AG$143</f>
        <v>0</v>
      </c>
      <c r="AH34" s="99">
        <f>'I&amp;E Annual'!AH$143</f>
        <v>0</v>
      </c>
      <c r="AI34" s="99">
        <f>'I&amp;E Annual'!AI$143</f>
        <v>0</v>
      </c>
      <c r="AJ34" s="99">
        <f>'I&amp;E Annual'!AJ$143</f>
        <v>0</v>
      </c>
      <c r="AK34" s="99">
        <f>'I&amp;E Annual'!AK$143</f>
        <v>0</v>
      </c>
      <c r="AL34" s="99">
        <f>'I&amp;E Annual'!AL$143</f>
        <v>0</v>
      </c>
      <c r="AM34" s="99">
        <f>'I&amp;E Annual'!AM$143</f>
        <v>0</v>
      </c>
      <c r="AN34" s="99">
        <f>'I&amp;E Annual'!AN$143</f>
        <v>0</v>
      </c>
      <c r="AO34" s="99">
        <f>'I&amp;E Annual'!AO$143</f>
        <v>0</v>
      </c>
      <c r="AP34" s="99">
        <f>'I&amp;E Annual'!AP$143</f>
        <v>0</v>
      </c>
      <c r="AQ34" s="99">
        <f>'I&amp;E Annual'!AQ$143</f>
        <v>0</v>
      </c>
      <c r="AR34" s="99">
        <f>'I&amp;E Annual'!AR$143</f>
        <v>0</v>
      </c>
      <c r="AS34" s="99">
        <f>'I&amp;E Annual'!AS$143</f>
        <v>0</v>
      </c>
      <c r="AT34" s="99">
        <f>'I&amp;E Annual'!AT$143</f>
        <v>0</v>
      </c>
      <c r="AU34" s="99">
        <f>'I&amp;E Annual'!AU$143</f>
        <v>0</v>
      </c>
      <c r="AV34" s="99">
        <f>'I&amp;E Annual'!AV$143</f>
        <v>0</v>
      </c>
      <c r="AW34" s="99">
        <f>'I&amp;E Annual'!AW$143</f>
        <v>0</v>
      </c>
      <c r="AX34" s="99">
        <f>'I&amp;E Annual'!AX$143</f>
        <v>0</v>
      </c>
      <c r="AY34" s="99">
        <f>'I&amp;E Annual'!AY$143</f>
        <v>0</v>
      </c>
      <c r="AZ34" s="99">
        <f>'I&amp;E Annual'!AZ$143</f>
        <v>0</v>
      </c>
      <c r="BA34" s="99">
        <f>'I&amp;E Annual'!BA$143</f>
        <v>0</v>
      </c>
      <c r="BB34" s="99">
        <f>'I&amp;E Annual'!BB$143</f>
        <v>0</v>
      </c>
      <c r="BC34" s="99">
        <f>'I&amp;E Annual'!BC$143</f>
        <v>0</v>
      </c>
      <c r="BD34" s="99">
        <f>'I&amp;E Annual'!BD$143</f>
        <v>0</v>
      </c>
      <c r="BE34" s="99">
        <f>'I&amp;E Annual'!BE$143</f>
        <v>0</v>
      </c>
      <c r="BF34" s="99">
        <f>'I&amp;E Annual'!BF$143</f>
        <v>0</v>
      </c>
      <c r="BG34" s="99">
        <f>'I&amp;E Annual'!BG$143</f>
        <v>0</v>
      </c>
      <c r="BH34" s="99">
        <f>'I&amp;E Annual'!BH$143</f>
        <v>0</v>
      </c>
      <c r="BI34" s="99">
        <f>'I&amp;E Annual'!BI$143</f>
        <v>0</v>
      </c>
      <c r="BJ34" s="99">
        <f>'I&amp;E Annual'!BJ$143</f>
        <v>0</v>
      </c>
      <c r="BX34" s="99">
        <f>'I&amp;E Annual'!BX$143</f>
        <v>0</v>
      </c>
      <c r="BY34" s="99">
        <f>'I&amp;E Annual'!BY$143</f>
        <v>0</v>
      </c>
      <c r="BZ34" s="99">
        <f>'I&amp;E Annual'!BZ$143</f>
        <v>0</v>
      </c>
      <c r="CA34" s="99">
        <f>'I&amp;E Annual'!CA$143</f>
        <v>0</v>
      </c>
      <c r="CB34" s="99">
        <f>'I&amp;E Annual'!CB$143</f>
        <v>0</v>
      </c>
      <c r="CC34" s="99">
        <f>'I&amp;E Annual'!CC$143</f>
        <v>0</v>
      </c>
      <c r="CD34" s="99">
        <f>'I&amp;E Annual'!CD$143</f>
        <v>0</v>
      </c>
      <c r="CE34" s="99">
        <f>'I&amp;E Annual'!CE$143</f>
        <v>0</v>
      </c>
      <c r="CF34" s="99">
        <f>'I&amp;E Annual'!CF$143</f>
        <v>0</v>
      </c>
      <c r="CG34" s="99">
        <f>'I&amp;E Annual'!CG$143</f>
        <v>0</v>
      </c>
      <c r="CH34" s="99">
        <f>'I&amp;E Annual'!CH$143</f>
        <v>0</v>
      </c>
      <c r="CI34" s="99">
        <f>'I&amp;E Annual'!CI$143</f>
        <v>0</v>
      </c>
      <c r="CK34" s="311"/>
      <c r="CO34" s="100">
        <f>IF(SUM($CS34:$CU34)=0, 0, 1)</f>
        <v>0</v>
      </c>
      <c r="CP34" s="100">
        <f>IF(SUM($CV34:$CX34)=0, 0, 1)</f>
        <v>0</v>
      </c>
      <c r="CQ34" s="100">
        <f>IF(CY34=0, 0, 1)</f>
        <v>0</v>
      </c>
      <c r="CR34" s="311"/>
      <c r="CS34" s="215">
        <f>ROUND(W34-SUMIFS($AA34:$BJ34, $AA$3:$BJ$3, W$3), rounding)</f>
        <v>0</v>
      </c>
      <c r="CT34" s="215">
        <f>ROUND($X34-SUMIFS($AA34:$BJ34, $AA$3:$BJ$3, X$3), rounding)</f>
        <v>0</v>
      </c>
      <c r="CU34" s="215">
        <f>ROUND($Y34-SUMIFS($AA34:$BJ34, $AA$3:$BJ$3, Y$3), rounding)</f>
        <v>0</v>
      </c>
      <c r="CV34" s="215">
        <f t="shared" ref="CV34:CX36" si="36">ROUND(W34-BY34, rounding)</f>
        <v>0</v>
      </c>
      <c r="CW34" s="215">
        <f t="shared" si="36"/>
        <v>0</v>
      </c>
      <c r="CX34" s="215">
        <f t="shared" si="36"/>
        <v>0</v>
      </c>
      <c r="CY34" s="215">
        <f>ROUND(V34-BX34, rounding)</f>
        <v>0</v>
      </c>
      <c r="EX34" s="10" t="str">
        <f t="shared" ca="1" si="0"/>
        <v>Release of Capital Grants</v>
      </c>
    </row>
    <row r="35" spans="1:154" ht="15" customHeight="1" x14ac:dyDescent="0.35">
      <c r="A35" s="537" cm="1">
        <f t="array" aca="1" ref="A35" ca="1">HYPERLINK(CONCATENATE("#",CELL("address",IF(MAX($CK35:$CR35)=0,A35,INDEX($CK35:$CR35,MATCH(1,$CK35:$CR35,0))))),MAX($CK35:$CR35))</f>
        <v>0</v>
      </c>
      <c r="C35" s="213" t="str">
        <f>CONCATENATE("FS-",'I&amp;E Annual'!C$144)</f>
        <v>FS-IE-4b</v>
      </c>
      <c r="D35" s="570" t="str" cm="1">
        <f t="array" aca="1" ref="D35" ca="1">HYPERLINK(CONCATENATE("#",CELL("address",'I&amp;E Annual'!$D$144)),'I&amp;E Annual'!$D$144)</f>
        <v>Movement in holiday pay accrual</v>
      </c>
      <c r="V35" s="12">
        <f t="shared" si="35"/>
        <v>0</v>
      </c>
      <c r="W35" s="12">
        <f t="shared" si="35"/>
        <v>0</v>
      </c>
      <c r="X35" s="12">
        <f t="shared" si="35"/>
        <v>0</v>
      </c>
      <c r="Y35" s="12">
        <f t="shared" si="35"/>
        <v>0</v>
      </c>
      <c r="AA35" s="99">
        <f>'I&amp;E Annual'!AA$144</f>
        <v>0</v>
      </c>
      <c r="AB35" s="99">
        <f>'I&amp;E Annual'!AB$144</f>
        <v>0</v>
      </c>
      <c r="AC35" s="99">
        <f>'I&amp;E Annual'!AC$144</f>
        <v>0</v>
      </c>
      <c r="AD35" s="99">
        <f>'I&amp;E Annual'!AD$144</f>
        <v>0</v>
      </c>
      <c r="AE35" s="99">
        <f>'I&amp;E Annual'!AE$144</f>
        <v>0</v>
      </c>
      <c r="AF35" s="99">
        <f>'I&amp;E Annual'!AF$144</f>
        <v>0</v>
      </c>
      <c r="AG35" s="99">
        <f>'I&amp;E Annual'!AG$144</f>
        <v>0</v>
      </c>
      <c r="AH35" s="99">
        <f>'I&amp;E Annual'!AH$144</f>
        <v>0</v>
      </c>
      <c r="AI35" s="99">
        <f>'I&amp;E Annual'!AI$144</f>
        <v>0</v>
      </c>
      <c r="AJ35" s="99">
        <f>'I&amp;E Annual'!AJ$144</f>
        <v>0</v>
      </c>
      <c r="AK35" s="99">
        <f>'I&amp;E Annual'!AK$144</f>
        <v>0</v>
      </c>
      <c r="AL35" s="99">
        <f>'I&amp;E Annual'!AL$144</f>
        <v>0</v>
      </c>
      <c r="AM35" s="99">
        <f>'I&amp;E Annual'!AM$144</f>
        <v>0</v>
      </c>
      <c r="AN35" s="99">
        <f>'I&amp;E Annual'!AN$144</f>
        <v>0</v>
      </c>
      <c r="AO35" s="99">
        <f>'I&amp;E Annual'!AO$144</f>
        <v>0</v>
      </c>
      <c r="AP35" s="99">
        <f>'I&amp;E Annual'!AP$144</f>
        <v>0</v>
      </c>
      <c r="AQ35" s="99">
        <f>'I&amp;E Annual'!AQ$144</f>
        <v>0</v>
      </c>
      <c r="AR35" s="99">
        <f>'I&amp;E Annual'!AR$144</f>
        <v>0</v>
      </c>
      <c r="AS35" s="99">
        <f>'I&amp;E Annual'!AS$144</f>
        <v>0</v>
      </c>
      <c r="AT35" s="99">
        <f>'I&amp;E Annual'!AT$144</f>
        <v>0</v>
      </c>
      <c r="AU35" s="99">
        <f>'I&amp;E Annual'!AU$144</f>
        <v>0</v>
      </c>
      <c r="AV35" s="99">
        <f>'I&amp;E Annual'!AV$144</f>
        <v>0</v>
      </c>
      <c r="AW35" s="99">
        <f>'I&amp;E Annual'!AW$144</f>
        <v>0</v>
      </c>
      <c r="AX35" s="99">
        <f>'I&amp;E Annual'!AX$144</f>
        <v>0</v>
      </c>
      <c r="AY35" s="99">
        <f>'I&amp;E Annual'!AY$144</f>
        <v>0</v>
      </c>
      <c r="AZ35" s="99">
        <f>'I&amp;E Annual'!AZ$144</f>
        <v>0</v>
      </c>
      <c r="BA35" s="99">
        <f>'I&amp;E Annual'!BA$144</f>
        <v>0</v>
      </c>
      <c r="BB35" s="99">
        <f>'I&amp;E Annual'!BB$144</f>
        <v>0</v>
      </c>
      <c r="BC35" s="99">
        <f>'I&amp;E Annual'!BC$144</f>
        <v>0</v>
      </c>
      <c r="BD35" s="99">
        <f>'I&amp;E Annual'!BD$144</f>
        <v>0</v>
      </c>
      <c r="BE35" s="99">
        <f>'I&amp;E Annual'!BE$144</f>
        <v>0</v>
      </c>
      <c r="BF35" s="99">
        <f>'I&amp;E Annual'!BF$144</f>
        <v>0</v>
      </c>
      <c r="BG35" s="99">
        <f>'I&amp;E Annual'!BG$144</f>
        <v>0</v>
      </c>
      <c r="BH35" s="99">
        <f>'I&amp;E Annual'!BH$144</f>
        <v>0</v>
      </c>
      <c r="BI35" s="99">
        <f>'I&amp;E Annual'!BI$144</f>
        <v>0</v>
      </c>
      <c r="BJ35" s="99">
        <f>'I&amp;E Annual'!BJ$144</f>
        <v>0</v>
      </c>
      <c r="BX35" s="99">
        <f>'I&amp;E Annual'!BX$144</f>
        <v>0</v>
      </c>
      <c r="BY35" s="99">
        <f>'I&amp;E Annual'!BY$144</f>
        <v>0</v>
      </c>
      <c r="BZ35" s="99">
        <f>'I&amp;E Annual'!BZ$144</f>
        <v>0</v>
      </c>
      <c r="CA35" s="99">
        <f>'I&amp;E Annual'!CA$144</f>
        <v>0</v>
      </c>
      <c r="CB35" s="99">
        <f>'I&amp;E Annual'!CB$144</f>
        <v>0</v>
      </c>
      <c r="CC35" s="99">
        <f>'I&amp;E Annual'!CC$144</f>
        <v>0</v>
      </c>
      <c r="CD35" s="99">
        <f>'I&amp;E Annual'!CD$144</f>
        <v>0</v>
      </c>
      <c r="CE35" s="99">
        <f>'I&amp;E Annual'!CE$144</f>
        <v>0</v>
      </c>
      <c r="CF35" s="99">
        <f>'I&amp;E Annual'!CF$144</f>
        <v>0</v>
      </c>
      <c r="CG35" s="99">
        <f>'I&amp;E Annual'!CG$144</f>
        <v>0</v>
      </c>
      <c r="CH35" s="99">
        <f>'I&amp;E Annual'!CH$144</f>
        <v>0</v>
      </c>
      <c r="CI35" s="99">
        <f>'I&amp;E Annual'!CI$144</f>
        <v>0</v>
      </c>
      <c r="CK35" s="311"/>
      <c r="CO35" s="100">
        <f>IF(SUM($CS35:$CU35)=0, 0, 1)</f>
        <v>0</v>
      </c>
      <c r="CP35" s="100">
        <f>IF(SUM($CV35:$CX35)=0, 0, 1)</f>
        <v>0</v>
      </c>
      <c r="CQ35" s="100">
        <f>IF(CY35=0, 0, 1)</f>
        <v>0</v>
      </c>
      <c r="CR35" s="311"/>
      <c r="CS35" s="215">
        <f>ROUND(W35-SUMIFS($AA35:$BJ35, $AA$3:$BJ$3, W$3), rounding)</f>
        <v>0</v>
      </c>
      <c r="CT35" s="215">
        <f>ROUND($X35-SUMIFS($AA35:$BJ35, $AA$3:$BJ$3, X$3), rounding)</f>
        <v>0</v>
      </c>
      <c r="CU35" s="215">
        <f>ROUND($Y35-SUMIFS($AA35:$BJ35, $AA$3:$BJ$3, Y$3), rounding)</f>
        <v>0</v>
      </c>
      <c r="CV35" s="215">
        <f t="shared" si="36"/>
        <v>0</v>
      </c>
      <c r="CW35" s="215">
        <f t="shared" si="36"/>
        <v>0</v>
      </c>
      <c r="CX35" s="215">
        <f t="shared" si="36"/>
        <v>0</v>
      </c>
      <c r="CY35" s="215">
        <f>ROUND(V35-BX35, rounding)</f>
        <v>0</v>
      </c>
      <c r="EX35" s="10" t="str">
        <f t="shared" ca="1" si="0"/>
        <v>Movement in holiday pay accrual</v>
      </c>
    </row>
    <row r="36" spans="1:154" ht="15" customHeight="1" x14ac:dyDescent="0.35">
      <c r="A36" s="537" cm="1">
        <f t="array" aca="1" ref="A36" ca="1">HYPERLINK(CONCATENATE("#",CELL("address",IF(MAX($CK36:$CR36)=0,A36,INDEX($CK36:$CR36,MATCH(1,$CK36:$CR36,0))))),MAX($CK36:$CR36))</f>
        <v>0</v>
      </c>
      <c r="C36" s="213" t="str">
        <f>CONCATENATE("FS-",'I&amp;E Annual'!C$146)</f>
        <v>FS-IE-4</v>
      </c>
      <c r="D36" s="107" t="str">
        <f>'I&amp;E Annual'!D$146</f>
        <v>Surplus/(deficit) before ITDA</v>
      </c>
      <c r="V36" s="12">
        <f>(V32+V34-V35)*V$9</f>
        <v>0</v>
      </c>
      <c r="W36" s="12">
        <f>(W32+W34-W35)*W$9</f>
        <v>0</v>
      </c>
      <c r="X36" s="12">
        <f>(X32+X34-X35)*X$9</f>
        <v>0</v>
      </c>
      <c r="Y36" s="12">
        <f>(Y32+Y34-Y35)*Y$9</f>
        <v>0</v>
      </c>
      <c r="AA36" s="12">
        <f t="shared" ref="AA36:BJ36" si="37">(AA32+AA34-AA35)*AA$9</f>
        <v>0</v>
      </c>
      <c r="AB36" s="12">
        <f t="shared" si="37"/>
        <v>0</v>
      </c>
      <c r="AC36" s="12">
        <f t="shared" si="37"/>
        <v>0</v>
      </c>
      <c r="AD36" s="12">
        <f t="shared" si="37"/>
        <v>0</v>
      </c>
      <c r="AE36" s="12">
        <f t="shared" si="37"/>
        <v>0</v>
      </c>
      <c r="AF36" s="12">
        <f t="shared" si="37"/>
        <v>0</v>
      </c>
      <c r="AG36" s="12">
        <f t="shared" si="37"/>
        <v>0</v>
      </c>
      <c r="AH36" s="12">
        <f t="shared" si="37"/>
        <v>0</v>
      </c>
      <c r="AI36" s="12">
        <f t="shared" si="37"/>
        <v>0</v>
      </c>
      <c r="AJ36" s="12">
        <f t="shared" si="37"/>
        <v>0</v>
      </c>
      <c r="AK36" s="12">
        <f t="shared" si="37"/>
        <v>0</v>
      </c>
      <c r="AL36" s="12">
        <f t="shared" si="37"/>
        <v>0</v>
      </c>
      <c r="AM36" s="12">
        <f t="shared" si="37"/>
        <v>0</v>
      </c>
      <c r="AN36" s="12">
        <f t="shared" si="37"/>
        <v>0</v>
      </c>
      <c r="AO36" s="12">
        <f t="shared" si="37"/>
        <v>0</v>
      </c>
      <c r="AP36" s="12">
        <f t="shared" si="37"/>
        <v>0</v>
      </c>
      <c r="AQ36" s="12">
        <f t="shared" si="37"/>
        <v>0</v>
      </c>
      <c r="AR36" s="12">
        <f t="shared" si="37"/>
        <v>0</v>
      </c>
      <c r="AS36" s="12">
        <f t="shared" si="37"/>
        <v>0</v>
      </c>
      <c r="AT36" s="12">
        <f t="shared" si="37"/>
        <v>0</v>
      </c>
      <c r="AU36" s="12">
        <f t="shared" si="37"/>
        <v>0</v>
      </c>
      <c r="AV36" s="12">
        <f t="shared" si="37"/>
        <v>0</v>
      </c>
      <c r="AW36" s="12">
        <f t="shared" si="37"/>
        <v>0</v>
      </c>
      <c r="AX36" s="12">
        <f t="shared" si="37"/>
        <v>0</v>
      </c>
      <c r="AY36" s="12">
        <f t="shared" si="37"/>
        <v>0</v>
      </c>
      <c r="AZ36" s="12">
        <f t="shared" si="37"/>
        <v>0</v>
      </c>
      <c r="BA36" s="12">
        <f t="shared" si="37"/>
        <v>0</v>
      </c>
      <c r="BB36" s="12">
        <f t="shared" si="37"/>
        <v>0</v>
      </c>
      <c r="BC36" s="12">
        <f t="shared" si="37"/>
        <v>0</v>
      </c>
      <c r="BD36" s="12">
        <f t="shared" si="37"/>
        <v>0</v>
      </c>
      <c r="BE36" s="12">
        <f t="shared" si="37"/>
        <v>0</v>
      </c>
      <c r="BF36" s="12">
        <f t="shared" si="37"/>
        <v>0</v>
      </c>
      <c r="BG36" s="12">
        <f t="shared" si="37"/>
        <v>0</v>
      </c>
      <c r="BH36" s="12">
        <f t="shared" si="37"/>
        <v>0</v>
      </c>
      <c r="BI36" s="12">
        <f t="shared" si="37"/>
        <v>0</v>
      </c>
      <c r="BJ36" s="12">
        <f t="shared" si="37"/>
        <v>0</v>
      </c>
      <c r="BX36" s="12">
        <f t="shared" ref="BX36:CI36" si="38">(BX32+BX34-BX35)*BX$9</f>
        <v>0</v>
      </c>
      <c r="BY36" s="12">
        <f t="shared" si="38"/>
        <v>0</v>
      </c>
      <c r="BZ36" s="12">
        <f t="shared" si="38"/>
        <v>0</v>
      </c>
      <c r="CA36" s="12">
        <f t="shared" si="38"/>
        <v>0</v>
      </c>
      <c r="CB36" s="12">
        <f t="shared" si="38"/>
        <v>0</v>
      </c>
      <c r="CC36" s="12">
        <f t="shared" si="38"/>
        <v>0</v>
      </c>
      <c r="CD36" s="12">
        <f t="shared" si="38"/>
        <v>0</v>
      </c>
      <c r="CE36" s="12">
        <f t="shared" si="38"/>
        <v>0</v>
      </c>
      <c r="CF36" s="12">
        <f t="shared" si="38"/>
        <v>0</v>
      </c>
      <c r="CG36" s="12">
        <f t="shared" si="38"/>
        <v>0</v>
      </c>
      <c r="CH36" s="12">
        <f t="shared" si="38"/>
        <v>0</v>
      </c>
      <c r="CI36" s="12">
        <f t="shared" si="38"/>
        <v>0</v>
      </c>
      <c r="CK36" s="311"/>
      <c r="CO36" s="100">
        <f>IF(SUM($CS36:$CU36)=0, 0, 1)</f>
        <v>0</v>
      </c>
      <c r="CP36" s="100">
        <f>IF(SUM($CV36:$CX36)=0, 0, 1)</f>
        <v>0</v>
      </c>
      <c r="CQ36" s="100">
        <f>IF(CY36=0, 0, 1)</f>
        <v>0</v>
      </c>
      <c r="CR36" s="311"/>
      <c r="CS36" s="215">
        <f>ROUND(W36-SUMIFS($AA36:$BJ36, $AA$3:$BJ$3, W$3), rounding)</f>
        <v>0</v>
      </c>
      <c r="CT36" s="215">
        <f>ROUND($X36-SUMIFS($AA36:$BJ36, $AA$3:$BJ$3, X$3), rounding)</f>
        <v>0</v>
      </c>
      <c r="CU36" s="215">
        <f>ROUND($Y36-SUMIFS($AA36:$BJ36, $AA$3:$BJ$3, Y$3), rounding)</f>
        <v>0</v>
      </c>
      <c r="CV36" s="215">
        <f t="shared" si="36"/>
        <v>0</v>
      </c>
      <c r="CW36" s="215">
        <f t="shared" si="36"/>
        <v>0</v>
      </c>
      <c r="CX36" s="215">
        <f t="shared" si="36"/>
        <v>0</v>
      </c>
      <c r="CY36" s="215">
        <f>ROUND(V36-BX36, rounding)</f>
        <v>0</v>
      </c>
      <c r="EX36" s="10" t="str">
        <f t="shared" si="0"/>
        <v>Surplus/(deficit) before ITDA</v>
      </c>
    </row>
    <row r="37" spans="1:154" ht="11.65" customHeight="1" x14ac:dyDescent="0.35">
      <c r="C37" s="213"/>
      <c r="E37"/>
      <c r="CK37" s="311"/>
      <c r="CO37" s="120"/>
      <c r="CP37" s="120"/>
      <c r="CQ37" s="120"/>
      <c r="CR37" s="311"/>
      <c r="EX37" s="10" t="str">
        <f t="shared" si="0"/>
        <v/>
      </c>
    </row>
    <row r="38" spans="1:154" ht="15" customHeight="1" x14ac:dyDescent="0.35">
      <c r="A38" s="537" cm="1">
        <f t="array" aca="1" ref="A38" ca="1">HYPERLINK(CONCATENATE("#",CELL("address",IF(MAX($CK38:$CR38)=0,A38,INDEX($CK38:$CR38,MATCH(1,$CK38:$CR38,0))))),MAX($CK38:$CR38))</f>
        <v>0</v>
      </c>
      <c r="C38" s="213"/>
      <c r="D38" s="571" t="s">
        <v>1518</v>
      </c>
      <c r="V38" s="125">
        <f>ROUND(V36-'I&amp;E Annual'!BX146, rounding)*V$9</f>
        <v>0</v>
      </c>
      <c r="W38" s="125">
        <f>ROUND(W36-'I&amp;E Annual'!BY146, rounding)*W$9</f>
        <v>0</v>
      </c>
      <c r="X38" s="125">
        <f>ROUND(X36-'I&amp;E Annual'!BZ146, rounding)*X$9</f>
        <v>0</v>
      </c>
      <c r="Y38" s="125">
        <f>ROUND(Y36-'I&amp;E Annual'!CA146, rounding)*Y$9</f>
        <v>0</v>
      </c>
      <c r="AA38" s="125">
        <f>ROUND(AA36-'I&amp;E Annual'!AA146, rounding)*AA$9</f>
        <v>0</v>
      </c>
      <c r="AB38" s="125">
        <f>ROUND(AB36-'I&amp;E Annual'!AB146, rounding)*AB$9</f>
        <v>0</v>
      </c>
      <c r="AC38" s="125">
        <f>ROUND(AC36-'I&amp;E Annual'!AC146, rounding)*AC$9</f>
        <v>0</v>
      </c>
      <c r="AD38" s="125">
        <f>ROUND(AD36-'I&amp;E Annual'!AD146, rounding)*AD$9</f>
        <v>0</v>
      </c>
      <c r="AE38" s="125">
        <f>ROUND(AE36-'I&amp;E Annual'!AE146, rounding)*AE$9</f>
        <v>0</v>
      </c>
      <c r="AF38" s="125">
        <f>ROUND(AF36-'I&amp;E Annual'!AF146, rounding)*AF$9</f>
        <v>0</v>
      </c>
      <c r="AG38" s="125">
        <f>ROUND(AG36-'I&amp;E Annual'!AG146, rounding)*AG$9</f>
        <v>0</v>
      </c>
      <c r="AH38" s="125">
        <f>ROUND(AH36-'I&amp;E Annual'!AH146, rounding)*AH$9</f>
        <v>0</v>
      </c>
      <c r="AI38" s="125">
        <f>ROUND(AI36-'I&amp;E Annual'!AI146, rounding)*AI$9</f>
        <v>0</v>
      </c>
      <c r="AJ38" s="125">
        <f>ROUND(AJ36-'I&amp;E Annual'!AJ146, rounding)*AJ$9</f>
        <v>0</v>
      </c>
      <c r="AK38" s="125">
        <f>ROUND(AK36-'I&amp;E Annual'!AK146, rounding)*AK$9</f>
        <v>0</v>
      </c>
      <c r="AL38" s="125">
        <f>ROUND(AL36-'I&amp;E Annual'!AL146, rounding)*AL$9</f>
        <v>0</v>
      </c>
      <c r="AM38" s="125">
        <f>ROUND(AM36-'I&amp;E Annual'!AM146, rounding)*AM$9</f>
        <v>0</v>
      </c>
      <c r="AN38" s="125">
        <f>ROUND(AN36-'I&amp;E Annual'!AN146, rounding)*AN$9</f>
        <v>0</v>
      </c>
      <c r="AO38" s="125">
        <f>ROUND(AO36-'I&amp;E Annual'!AO146, rounding)*AO$9</f>
        <v>0</v>
      </c>
      <c r="AP38" s="125">
        <f>ROUND(AP36-'I&amp;E Annual'!AP146, rounding)*AP$9</f>
        <v>0</v>
      </c>
      <c r="AQ38" s="125">
        <f>ROUND(AQ36-'I&amp;E Annual'!AQ146, rounding)*AQ$9</f>
        <v>0</v>
      </c>
      <c r="AR38" s="125">
        <f>ROUND(AR36-'I&amp;E Annual'!AR146, rounding)*AR$9</f>
        <v>0</v>
      </c>
      <c r="AS38" s="125">
        <f>ROUND(AS36-'I&amp;E Annual'!AS146, rounding)*AS$9</f>
        <v>0</v>
      </c>
      <c r="AT38" s="125">
        <f>ROUND(AT36-'I&amp;E Annual'!AT146, rounding)*AT$9</f>
        <v>0</v>
      </c>
      <c r="AU38" s="125">
        <f>ROUND(AU36-'I&amp;E Annual'!AU146, rounding)*AU$9</f>
        <v>0</v>
      </c>
      <c r="AV38" s="125">
        <f>ROUND(AV36-'I&amp;E Annual'!AV146, rounding)*AV$9</f>
        <v>0</v>
      </c>
      <c r="AW38" s="125">
        <f>ROUND(AW36-'I&amp;E Annual'!AW146, rounding)*AW$9</f>
        <v>0</v>
      </c>
      <c r="AX38" s="125">
        <f>ROUND(AX36-'I&amp;E Annual'!AX146, rounding)*AX$9</f>
        <v>0</v>
      </c>
      <c r="AY38" s="125">
        <f>ROUND(AY36-'I&amp;E Annual'!AY146, rounding)*AY$9</f>
        <v>0</v>
      </c>
      <c r="AZ38" s="125">
        <f>ROUND(AZ36-'I&amp;E Annual'!AZ146, rounding)*AZ$9</f>
        <v>0</v>
      </c>
      <c r="BA38" s="125">
        <f>ROUND(BA36-'I&amp;E Annual'!BA146, rounding)*BA$9</f>
        <v>0</v>
      </c>
      <c r="BB38" s="125">
        <f>ROUND(BB36-'I&amp;E Annual'!BB146, rounding)*BB$9</f>
        <v>0</v>
      </c>
      <c r="BC38" s="125">
        <f>ROUND(BC36-'I&amp;E Annual'!BC146, rounding)*BC$9</f>
        <v>0</v>
      </c>
      <c r="BD38" s="125">
        <f>ROUND(BD36-'I&amp;E Annual'!BD146, rounding)*BD$9</f>
        <v>0</v>
      </c>
      <c r="BE38" s="125">
        <f>ROUND(BE36-'I&amp;E Annual'!BE146, rounding)*BE$9</f>
        <v>0</v>
      </c>
      <c r="BF38" s="125">
        <f>ROUND(BF36-'I&amp;E Annual'!BF146, rounding)*BF$9</f>
        <v>0</v>
      </c>
      <c r="BG38" s="125">
        <f>ROUND(BG36-'I&amp;E Annual'!BG146, rounding)*BG$9</f>
        <v>0</v>
      </c>
      <c r="BH38" s="125">
        <f>ROUND(BH36-'I&amp;E Annual'!BH146, rounding)*BH$9</f>
        <v>0</v>
      </c>
      <c r="BI38" s="125">
        <f>ROUND(BI36-'I&amp;E Annual'!BI146, rounding)*BI$9</f>
        <v>0</v>
      </c>
      <c r="BJ38" s="125">
        <f>ROUND(BJ36-'I&amp;E Annual'!BJ146, rounding)*BJ$9</f>
        <v>0</v>
      </c>
      <c r="BX38" s="125">
        <f>ROUND(BX36-'I&amp;E Annual'!BX146, rounding)*BX$9</f>
        <v>0</v>
      </c>
      <c r="BY38" s="125">
        <f>ROUND(BY36-'I&amp;E Annual'!BY146, rounding)*BY$9</f>
        <v>0</v>
      </c>
      <c r="BZ38" s="125">
        <f>ROUND(BZ36-'I&amp;E Annual'!BZ146, rounding)*BZ$9</f>
        <v>0</v>
      </c>
      <c r="CA38" s="125">
        <f>ROUND(CA36-'I&amp;E Annual'!CA146, rounding)*CA$9</f>
        <v>0</v>
      </c>
      <c r="CB38" s="125">
        <f>ROUND(CB36-'I&amp;E Annual'!CB146, rounding)*CB$9</f>
        <v>0</v>
      </c>
      <c r="CC38" s="125">
        <f>ROUND(CC36-'I&amp;E Annual'!CC146, rounding)*CC$9</f>
        <v>0</v>
      </c>
      <c r="CD38" s="125">
        <f>ROUND(CD36-'I&amp;E Annual'!CD146, rounding)*CD$9</f>
        <v>0</v>
      </c>
      <c r="CE38" s="125">
        <f>ROUND(CE36-'I&amp;E Annual'!CE146, rounding)*CE$9</f>
        <v>0</v>
      </c>
      <c r="CF38" s="125">
        <f>ROUND(CF36-'I&amp;E Annual'!CF146, rounding)*CF$9</f>
        <v>0</v>
      </c>
      <c r="CG38" s="125">
        <f>ROUND(CG36-'I&amp;E Annual'!CG146, rounding)*CG$9</f>
        <v>0</v>
      </c>
      <c r="CH38" s="125">
        <f>ROUND(CH36-'I&amp;E Annual'!CH146, rounding)*CH$9</f>
        <v>0</v>
      </c>
      <c r="CI38" s="125">
        <f>ROUND(CI36-'I&amp;E Annual'!CI146, rounding)*CI$9</f>
        <v>0</v>
      </c>
      <c r="CK38" s="311"/>
      <c r="CL38" s="7">
        <f>IF(SUM($V38:$CI38)=0, 0, 1)</f>
        <v>0</v>
      </c>
      <c r="CO38" s="100">
        <f>IF(SUM($CS38:$CU38)=0, 0, 1)</f>
        <v>0</v>
      </c>
      <c r="CP38" s="100">
        <f>IF(SUM($CV38:$CX38)=0, 0, 1)</f>
        <v>0</v>
      </c>
      <c r="CQ38" s="100">
        <f>IF(CY38=0, 0, 1)</f>
        <v>0</v>
      </c>
      <c r="CR38" s="311"/>
      <c r="CS38" s="215">
        <f>ROUND(W38-SUMIFS($AA38:$BJ38, $AA$3:$BJ$3, W$3), rounding)</f>
        <v>0</v>
      </c>
      <c r="CT38" s="215">
        <f>ROUND($X38-SUMIFS($AA38:$BJ38, $AA$3:$BJ$3, X$3), rounding)</f>
        <v>0</v>
      </c>
      <c r="CU38" s="215">
        <f>ROUND($Y38-SUMIFS($AA38:$BJ38, $AA$3:$BJ$3, Y$3), rounding)</f>
        <v>0</v>
      </c>
      <c r="CV38" s="215">
        <f>ROUND(W38-BY38, rounding)</f>
        <v>0</v>
      </c>
      <c r="CW38" s="215">
        <f>ROUND(X38-BZ38, rounding)</f>
        <v>0</v>
      </c>
      <c r="CX38" s="215">
        <f>ROUND(Y38-CA38, rounding)</f>
        <v>0</v>
      </c>
      <c r="CY38" s="215">
        <f>ROUND(V38-BX38, rounding)</f>
        <v>0</v>
      </c>
      <c r="EX38" s="10" t="str">
        <f t="shared" si="0"/>
        <v/>
      </c>
    </row>
    <row r="39" spans="1:154" ht="8.25" customHeight="1" x14ac:dyDescent="0.35">
      <c r="C39" s="213"/>
      <c r="E39"/>
      <c r="CK39" s="311"/>
      <c r="CO39" s="120"/>
      <c r="CP39" s="120"/>
      <c r="CQ39" s="120"/>
      <c r="CR39" s="311"/>
      <c r="EX39" s="10" t="str">
        <f t="shared" si="0"/>
        <v/>
      </c>
    </row>
    <row r="40" spans="1:154" ht="15" customHeight="1" x14ac:dyDescent="0.35">
      <c r="A40" s="537" cm="1">
        <f t="array" aca="1" ref="A40" ca="1">HYPERLINK(CONCATENATE("#",CELL("address",IF(MAX($CK40:$CR40)=0,A40,INDEX($CK40:$CR40,MATCH(1,$CK40:$CR40,0))))),MAX($CK40:$CR40))</f>
        <v>0</v>
      </c>
      <c r="C40" s="213" t="str">
        <f>CONCATENATE("FS-",'I&amp;E Annual'!C$149)</f>
        <v>FS-IE-5a-1</v>
      </c>
      <c r="D40" s="570" t="str" cm="1">
        <f t="array" aca="1" ref="D40" ca="1">HYPERLINK(CONCATENATE("#",CELL("address",'I&amp;E Annual'!$D$149)),'I&amp;E Annual'!$D$149)</f>
        <v>Depreciation and amortisation</v>
      </c>
      <c r="F40" s="104"/>
      <c r="V40" s="12">
        <f t="shared" ref="V40:Y44" si="39">BX40</f>
        <v>0</v>
      </c>
      <c r="W40" s="12">
        <f t="shared" si="39"/>
        <v>0</v>
      </c>
      <c r="X40" s="12">
        <f t="shared" si="39"/>
        <v>0</v>
      </c>
      <c r="Y40" s="12">
        <f t="shared" si="39"/>
        <v>0</v>
      </c>
      <c r="AA40" s="99">
        <f>'I&amp;E Annual'!AA$149</f>
        <v>0</v>
      </c>
      <c r="AB40" s="99">
        <f>'I&amp;E Annual'!AB$149</f>
        <v>0</v>
      </c>
      <c r="AC40" s="99">
        <f>'I&amp;E Annual'!AC$149</f>
        <v>0</v>
      </c>
      <c r="AD40" s="99">
        <f>'I&amp;E Annual'!AD$149</f>
        <v>0</v>
      </c>
      <c r="AE40" s="99">
        <f>'I&amp;E Annual'!AE$149</f>
        <v>0</v>
      </c>
      <c r="AF40" s="99">
        <f>'I&amp;E Annual'!AF$149</f>
        <v>0</v>
      </c>
      <c r="AG40" s="99">
        <f>'I&amp;E Annual'!AG$149</f>
        <v>0</v>
      </c>
      <c r="AH40" s="99">
        <f>'I&amp;E Annual'!AH$149</f>
        <v>0</v>
      </c>
      <c r="AI40" s="99">
        <f>'I&amp;E Annual'!AI$149</f>
        <v>0</v>
      </c>
      <c r="AJ40" s="99">
        <f>'I&amp;E Annual'!AJ$149</f>
        <v>0</v>
      </c>
      <c r="AK40" s="99">
        <f>'I&amp;E Annual'!AK$149</f>
        <v>0</v>
      </c>
      <c r="AL40" s="99">
        <f>'I&amp;E Annual'!AL$149</f>
        <v>0</v>
      </c>
      <c r="AM40" s="99">
        <f>'I&amp;E Annual'!AM$149</f>
        <v>0</v>
      </c>
      <c r="AN40" s="99">
        <f>'I&amp;E Annual'!AN$149</f>
        <v>0</v>
      </c>
      <c r="AO40" s="99">
        <f>'I&amp;E Annual'!AO$149</f>
        <v>0</v>
      </c>
      <c r="AP40" s="99">
        <f>'I&amp;E Annual'!AP$149</f>
        <v>0</v>
      </c>
      <c r="AQ40" s="99">
        <f>'I&amp;E Annual'!AQ$149</f>
        <v>0</v>
      </c>
      <c r="AR40" s="99">
        <f>'I&amp;E Annual'!AR$149</f>
        <v>0</v>
      </c>
      <c r="AS40" s="99">
        <f>'I&amp;E Annual'!AS$149</f>
        <v>0</v>
      </c>
      <c r="AT40" s="99">
        <f>'I&amp;E Annual'!AT$149</f>
        <v>0</v>
      </c>
      <c r="AU40" s="99">
        <f>'I&amp;E Annual'!AU$149</f>
        <v>0</v>
      </c>
      <c r="AV40" s="99">
        <f>'I&amp;E Annual'!AV$149</f>
        <v>0</v>
      </c>
      <c r="AW40" s="99">
        <f>'I&amp;E Annual'!AW$149</f>
        <v>0</v>
      </c>
      <c r="AX40" s="99">
        <f>'I&amp;E Annual'!AX$149</f>
        <v>0</v>
      </c>
      <c r="AY40" s="99">
        <f>'I&amp;E Annual'!AY$149</f>
        <v>0</v>
      </c>
      <c r="AZ40" s="99">
        <f>'I&amp;E Annual'!AZ$149</f>
        <v>0</v>
      </c>
      <c r="BA40" s="99">
        <f>'I&amp;E Annual'!BA$149</f>
        <v>0</v>
      </c>
      <c r="BB40" s="99">
        <f>'I&amp;E Annual'!BB$149</f>
        <v>0</v>
      </c>
      <c r="BC40" s="99">
        <f>'I&amp;E Annual'!BC$149</f>
        <v>0</v>
      </c>
      <c r="BD40" s="99">
        <f>'I&amp;E Annual'!BD$149</f>
        <v>0</v>
      </c>
      <c r="BE40" s="99">
        <f>'I&amp;E Annual'!BE$149</f>
        <v>0</v>
      </c>
      <c r="BF40" s="99">
        <f>'I&amp;E Annual'!BF$149</f>
        <v>0</v>
      </c>
      <c r="BG40" s="99">
        <f>'I&amp;E Annual'!BG$149</f>
        <v>0</v>
      </c>
      <c r="BH40" s="99">
        <f>'I&amp;E Annual'!BH$149</f>
        <v>0</v>
      </c>
      <c r="BI40" s="99">
        <f>'I&amp;E Annual'!BI$149</f>
        <v>0</v>
      </c>
      <c r="BJ40" s="99">
        <f>'I&amp;E Annual'!BJ$149</f>
        <v>0</v>
      </c>
      <c r="BX40" s="99">
        <f>'I&amp;E Annual'!BX$149</f>
        <v>0</v>
      </c>
      <c r="BY40" s="99">
        <f>'I&amp;E Annual'!BY$149</f>
        <v>0</v>
      </c>
      <c r="BZ40" s="99">
        <f>'I&amp;E Annual'!BZ$149</f>
        <v>0</v>
      </c>
      <c r="CA40" s="99">
        <f>'I&amp;E Annual'!CA$149</f>
        <v>0</v>
      </c>
      <c r="CB40" s="99">
        <f>'I&amp;E Annual'!CB$149</f>
        <v>0</v>
      </c>
      <c r="CC40" s="99">
        <f>'I&amp;E Annual'!CC$149</f>
        <v>0</v>
      </c>
      <c r="CD40" s="99">
        <f>'I&amp;E Annual'!CD$149</f>
        <v>0</v>
      </c>
      <c r="CE40" s="99">
        <f>'I&amp;E Annual'!CE$149</f>
        <v>0</v>
      </c>
      <c r="CF40" s="99">
        <f>'I&amp;E Annual'!CF$149</f>
        <v>0</v>
      </c>
      <c r="CG40" s="99">
        <f>'I&amp;E Annual'!CG$149</f>
        <v>0</v>
      </c>
      <c r="CH40" s="99">
        <f>'I&amp;E Annual'!CH$149</f>
        <v>0</v>
      </c>
      <c r="CI40" s="99">
        <f>'I&amp;E Annual'!CI$149</f>
        <v>0</v>
      </c>
      <c r="CK40" s="311"/>
      <c r="CO40" s="100">
        <f t="shared" ref="CO40:CO45" si="40">IF(SUM($CS40:$CU40)=0, 0, 1)</f>
        <v>0</v>
      </c>
      <c r="CP40" s="100">
        <f t="shared" ref="CP40:CP45" si="41">IF(SUM($CV40:$CX40)=0, 0, 1)</f>
        <v>0</v>
      </c>
      <c r="CQ40" s="100">
        <f t="shared" ref="CQ40:CQ45" si="42">IF(CY40=0, 0, 1)</f>
        <v>0</v>
      </c>
      <c r="CR40" s="311"/>
      <c r="CS40" s="215">
        <f t="shared" ref="CS40:CS45" si="43">ROUND(W40-SUMIFS($AA40:$BJ40, $AA$3:$BJ$3, W$3), rounding)</f>
        <v>0</v>
      </c>
      <c r="CT40" s="215">
        <f t="shared" ref="CT40:CT45" si="44">ROUND($X40-SUMIFS($AA40:$BJ40, $AA$3:$BJ$3, X$3), rounding)</f>
        <v>0</v>
      </c>
      <c r="CU40" s="215">
        <f t="shared" ref="CU40:CU45" si="45">ROUND($Y40-SUMIFS($AA40:$BJ40, $AA$3:$BJ$3, Y$3), rounding)</f>
        <v>0</v>
      </c>
      <c r="CV40" s="215">
        <f t="shared" ref="CV40:CX45" si="46">ROUND(W40-BY40, rounding)</f>
        <v>0</v>
      </c>
      <c r="CW40" s="215">
        <f t="shared" si="46"/>
        <v>0</v>
      </c>
      <c r="CX40" s="215">
        <f t="shared" si="46"/>
        <v>0</v>
      </c>
      <c r="CY40" s="215">
        <f t="shared" ref="CY40:CY45" si="47">ROUND(V40-BX40, rounding)</f>
        <v>0</v>
      </c>
      <c r="EX40" s="10" t="str">
        <f t="shared" ca="1" si="0"/>
        <v>Depreciation and amortisation</v>
      </c>
    </row>
    <row r="41" spans="1:154" ht="15" customHeight="1" x14ac:dyDescent="0.35">
      <c r="A41" s="537" cm="1">
        <f t="array" aca="1" ref="A41" ca="1">HYPERLINK(CONCATENATE("#",CELL("address",IF(MAX($CK41:$CR41)=0,A41,INDEX($CK41:$CR41,MATCH(1,$CK41:$CR41,0))))),MAX($CK41:$CR41))</f>
        <v>0</v>
      </c>
      <c r="C41" s="213" t="str">
        <f>CONCATENATE("FS-",'I&amp;E Annual'!C$150)</f>
        <v>FS-IE-5a-2</v>
      </c>
      <c r="D41" s="570" t="str" cm="1">
        <f t="array" aca="1" ref="D41" ca="1">HYPERLINK(CONCATENATE("#",CELL("address",'I&amp;E Annual'!$D$150)),'I&amp;E Annual'!$D$150)</f>
        <v>Interest and investment income</v>
      </c>
      <c r="V41" s="12">
        <f t="shared" si="39"/>
        <v>0</v>
      </c>
      <c r="W41" s="12">
        <f t="shared" si="39"/>
        <v>0</v>
      </c>
      <c r="X41" s="12">
        <f t="shared" si="39"/>
        <v>0</v>
      </c>
      <c r="Y41" s="12">
        <f t="shared" si="39"/>
        <v>0</v>
      </c>
      <c r="AA41" s="99">
        <f>'I&amp;E Annual'!AA$150</f>
        <v>0</v>
      </c>
      <c r="AB41" s="99">
        <f>'I&amp;E Annual'!AB$150</f>
        <v>0</v>
      </c>
      <c r="AC41" s="99">
        <f>'I&amp;E Annual'!AC$150</f>
        <v>0</v>
      </c>
      <c r="AD41" s="99">
        <f>'I&amp;E Annual'!AD$150</f>
        <v>0</v>
      </c>
      <c r="AE41" s="99">
        <f>'I&amp;E Annual'!AE$150</f>
        <v>0</v>
      </c>
      <c r="AF41" s="99">
        <f>'I&amp;E Annual'!AF$150</f>
        <v>0</v>
      </c>
      <c r="AG41" s="99">
        <f>'I&amp;E Annual'!AG$150</f>
        <v>0</v>
      </c>
      <c r="AH41" s="99">
        <f>'I&amp;E Annual'!AH$150</f>
        <v>0</v>
      </c>
      <c r="AI41" s="99">
        <f>'I&amp;E Annual'!AI$150</f>
        <v>0</v>
      </c>
      <c r="AJ41" s="99">
        <f>'I&amp;E Annual'!AJ$150</f>
        <v>0</v>
      </c>
      <c r="AK41" s="99">
        <f>'I&amp;E Annual'!AK$150</f>
        <v>0</v>
      </c>
      <c r="AL41" s="99">
        <f>'I&amp;E Annual'!AL$150</f>
        <v>0</v>
      </c>
      <c r="AM41" s="99">
        <f>'I&amp;E Annual'!AM$150</f>
        <v>0</v>
      </c>
      <c r="AN41" s="99">
        <f>'I&amp;E Annual'!AN$150</f>
        <v>0</v>
      </c>
      <c r="AO41" s="99">
        <f>'I&amp;E Annual'!AO$150</f>
        <v>0</v>
      </c>
      <c r="AP41" s="99">
        <f>'I&amp;E Annual'!AP$150</f>
        <v>0</v>
      </c>
      <c r="AQ41" s="99">
        <f>'I&amp;E Annual'!AQ$150</f>
        <v>0</v>
      </c>
      <c r="AR41" s="99">
        <f>'I&amp;E Annual'!AR$150</f>
        <v>0</v>
      </c>
      <c r="AS41" s="99">
        <f>'I&amp;E Annual'!AS$150</f>
        <v>0</v>
      </c>
      <c r="AT41" s="99">
        <f>'I&amp;E Annual'!AT$150</f>
        <v>0</v>
      </c>
      <c r="AU41" s="99">
        <f>'I&amp;E Annual'!AU$150</f>
        <v>0</v>
      </c>
      <c r="AV41" s="99">
        <f>'I&amp;E Annual'!AV$150</f>
        <v>0</v>
      </c>
      <c r="AW41" s="99">
        <f>'I&amp;E Annual'!AW$150</f>
        <v>0</v>
      </c>
      <c r="AX41" s="99">
        <f>'I&amp;E Annual'!AX$150</f>
        <v>0</v>
      </c>
      <c r="AY41" s="99">
        <f>'I&amp;E Annual'!AY$150</f>
        <v>0</v>
      </c>
      <c r="AZ41" s="99">
        <f>'I&amp;E Annual'!AZ$150</f>
        <v>0</v>
      </c>
      <c r="BA41" s="99">
        <f>'I&amp;E Annual'!BA$150</f>
        <v>0</v>
      </c>
      <c r="BB41" s="99">
        <f>'I&amp;E Annual'!BB$150</f>
        <v>0</v>
      </c>
      <c r="BC41" s="99">
        <f>'I&amp;E Annual'!BC$150</f>
        <v>0</v>
      </c>
      <c r="BD41" s="99">
        <f>'I&amp;E Annual'!BD$150</f>
        <v>0</v>
      </c>
      <c r="BE41" s="99">
        <f>'I&amp;E Annual'!BE$150</f>
        <v>0</v>
      </c>
      <c r="BF41" s="99">
        <f>'I&amp;E Annual'!BF$150</f>
        <v>0</v>
      </c>
      <c r="BG41" s="99">
        <f>'I&amp;E Annual'!BG$150</f>
        <v>0</v>
      </c>
      <c r="BH41" s="99">
        <f>'I&amp;E Annual'!BH$150</f>
        <v>0</v>
      </c>
      <c r="BI41" s="99">
        <f>'I&amp;E Annual'!BI$150</f>
        <v>0</v>
      </c>
      <c r="BJ41" s="99">
        <f>'I&amp;E Annual'!BJ$150</f>
        <v>0</v>
      </c>
      <c r="BX41" s="99">
        <f>'I&amp;E Annual'!BX$150</f>
        <v>0</v>
      </c>
      <c r="BY41" s="99">
        <f>'I&amp;E Annual'!BY$150</f>
        <v>0</v>
      </c>
      <c r="BZ41" s="99">
        <f>'I&amp;E Annual'!BZ$150</f>
        <v>0</v>
      </c>
      <c r="CA41" s="99">
        <f>'I&amp;E Annual'!CA$150</f>
        <v>0</v>
      </c>
      <c r="CB41" s="99">
        <f>'I&amp;E Annual'!CB$150</f>
        <v>0</v>
      </c>
      <c r="CC41" s="99">
        <f>'I&amp;E Annual'!CC$150</f>
        <v>0</v>
      </c>
      <c r="CD41" s="99">
        <f>'I&amp;E Annual'!CD$150</f>
        <v>0</v>
      </c>
      <c r="CE41" s="99">
        <f>'I&amp;E Annual'!CE$150</f>
        <v>0</v>
      </c>
      <c r="CF41" s="99">
        <f>'I&amp;E Annual'!CF$150</f>
        <v>0</v>
      </c>
      <c r="CG41" s="99">
        <f>'I&amp;E Annual'!CG$150</f>
        <v>0</v>
      </c>
      <c r="CH41" s="99">
        <f>'I&amp;E Annual'!CH$150</f>
        <v>0</v>
      </c>
      <c r="CI41" s="99">
        <f>'I&amp;E Annual'!CI$150</f>
        <v>0</v>
      </c>
      <c r="CK41" s="311"/>
      <c r="CO41" s="100">
        <f t="shared" si="40"/>
        <v>0</v>
      </c>
      <c r="CP41" s="100">
        <f t="shared" si="41"/>
        <v>0</v>
      </c>
      <c r="CQ41" s="100">
        <f t="shared" si="42"/>
        <v>0</v>
      </c>
      <c r="CR41" s="311"/>
      <c r="CS41" s="215">
        <f t="shared" si="43"/>
        <v>0</v>
      </c>
      <c r="CT41" s="215">
        <f t="shared" si="44"/>
        <v>0</v>
      </c>
      <c r="CU41" s="215">
        <f t="shared" si="45"/>
        <v>0</v>
      </c>
      <c r="CV41" s="215">
        <f t="shared" si="46"/>
        <v>0</v>
      </c>
      <c r="CW41" s="215">
        <f t="shared" si="46"/>
        <v>0</v>
      </c>
      <c r="CX41" s="215">
        <f t="shared" si="46"/>
        <v>0</v>
      </c>
      <c r="CY41" s="215">
        <f t="shared" si="47"/>
        <v>0</v>
      </c>
      <c r="EX41" s="10" t="str">
        <f t="shared" ca="1" si="0"/>
        <v>Interest and investment income</v>
      </c>
    </row>
    <row r="42" spans="1:154" ht="15" customHeight="1" x14ac:dyDescent="0.35">
      <c r="A42" s="537" cm="1">
        <f t="array" aca="1" ref="A42" ca="1">HYPERLINK(CONCATENATE("#",CELL("address",IF(MAX($CK42:$CR42)=0,A42,INDEX($CK42:$CR42,MATCH(1,$CK42:$CR42,0))))),MAX($CK42:$CR42))</f>
        <v>0</v>
      </c>
      <c r="C42" s="213" t="str">
        <f>CONCATENATE("FS-",'I&amp;E Annual'!C$151)</f>
        <v>FS-IE-5a-3</v>
      </c>
      <c r="D42" s="570" t="str" cm="1">
        <f t="array" aca="1" ref="D42" ca="1">HYPERLINK(CONCATENATE("#",CELL("address",'I&amp;E Annual'!$D$151)),'I&amp;E Annual'!$D$151)</f>
        <v>Interest and other finance costs</v>
      </c>
      <c r="V42" s="12">
        <f t="shared" si="39"/>
        <v>0</v>
      </c>
      <c r="W42" s="12">
        <f t="shared" si="39"/>
        <v>0</v>
      </c>
      <c r="X42" s="12">
        <f t="shared" si="39"/>
        <v>0</v>
      </c>
      <c r="Y42" s="12">
        <f t="shared" si="39"/>
        <v>0</v>
      </c>
      <c r="AA42" s="99">
        <f>'I&amp;E Annual'!AA$151</f>
        <v>0</v>
      </c>
      <c r="AB42" s="99">
        <f>'I&amp;E Annual'!AB$151</f>
        <v>0</v>
      </c>
      <c r="AC42" s="99">
        <f>'I&amp;E Annual'!AC$151</f>
        <v>0</v>
      </c>
      <c r="AD42" s="99">
        <f>'I&amp;E Annual'!AD$151</f>
        <v>0</v>
      </c>
      <c r="AE42" s="99">
        <f>'I&amp;E Annual'!AE$151</f>
        <v>0</v>
      </c>
      <c r="AF42" s="99">
        <f>'I&amp;E Annual'!AF$151</f>
        <v>0</v>
      </c>
      <c r="AG42" s="99">
        <f>'I&amp;E Annual'!AG$151</f>
        <v>0</v>
      </c>
      <c r="AH42" s="99">
        <f>'I&amp;E Annual'!AH$151</f>
        <v>0</v>
      </c>
      <c r="AI42" s="99">
        <f>'I&amp;E Annual'!AI$151</f>
        <v>0</v>
      </c>
      <c r="AJ42" s="99">
        <f>'I&amp;E Annual'!AJ$151</f>
        <v>0</v>
      </c>
      <c r="AK42" s="99">
        <f>'I&amp;E Annual'!AK$151</f>
        <v>0</v>
      </c>
      <c r="AL42" s="99">
        <f>'I&amp;E Annual'!AL$151</f>
        <v>0</v>
      </c>
      <c r="AM42" s="99">
        <f>'I&amp;E Annual'!AM$151</f>
        <v>0</v>
      </c>
      <c r="AN42" s="99">
        <f>'I&amp;E Annual'!AN$151</f>
        <v>0</v>
      </c>
      <c r="AO42" s="99">
        <f>'I&amp;E Annual'!AO$151</f>
        <v>0</v>
      </c>
      <c r="AP42" s="99">
        <f>'I&amp;E Annual'!AP$151</f>
        <v>0</v>
      </c>
      <c r="AQ42" s="99">
        <f>'I&amp;E Annual'!AQ$151</f>
        <v>0</v>
      </c>
      <c r="AR42" s="99">
        <f>'I&amp;E Annual'!AR$151</f>
        <v>0</v>
      </c>
      <c r="AS42" s="99">
        <f>'I&amp;E Annual'!AS$151</f>
        <v>0</v>
      </c>
      <c r="AT42" s="99">
        <f>'I&amp;E Annual'!AT$151</f>
        <v>0</v>
      </c>
      <c r="AU42" s="99">
        <f>'I&amp;E Annual'!AU$151</f>
        <v>0</v>
      </c>
      <c r="AV42" s="99">
        <f>'I&amp;E Annual'!AV$151</f>
        <v>0</v>
      </c>
      <c r="AW42" s="99">
        <f>'I&amp;E Annual'!AW$151</f>
        <v>0</v>
      </c>
      <c r="AX42" s="99">
        <f>'I&amp;E Annual'!AX$151</f>
        <v>0</v>
      </c>
      <c r="AY42" s="99">
        <f>'I&amp;E Annual'!AY$151</f>
        <v>0</v>
      </c>
      <c r="AZ42" s="99">
        <f>'I&amp;E Annual'!AZ$151</f>
        <v>0</v>
      </c>
      <c r="BA42" s="99">
        <f>'I&amp;E Annual'!BA$151</f>
        <v>0</v>
      </c>
      <c r="BB42" s="99">
        <f>'I&amp;E Annual'!BB$151</f>
        <v>0</v>
      </c>
      <c r="BC42" s="99">
        <f>'I&amp;E Annual'!BC$151</f>
        <v>0</v>
      </c>
      <c r="BD42" s="99">
        <f>'I&amp;E Annual'!BD$151</f>
        <v>0</v>
      </c>
      <c r="BE42" s="99">
        <f>'I&amp;E Annual'!BE$151</f>
        <v>0</v>
      </c>
      <c r="BF42" s="99">
        <f>'I&amp;E Annual'!BF$151</f>
        <v>0</v>
      </c>
      <c r="BG42" s="99">
        <f>'I&amp;E Annual'!BG$151</f>
        <v>0</v>
      </c>
      <c r="BH42" s="99">
        <f>'I&amp;E Annual'!BH$151</f>
        <v>0</v>
      </c>
      <c r="BI42" s="99">
        <f>'I&amp;E Annual'!BI$151</f>
        <v>0</v>
      </c>
      <c r="BJ42" s="99">
        <f>'I&amp;E Annual'!BJ$151</f>
        <v>0</v>
      </c>
      <c r="BX42" s="99">
        <f>'I&amp;E Annual'!BX$151</f>
        <v>0</v>
      </c>
      <c r="BY42" s="99">
        <f>'I&amp;E Annual'!BY$151</f>
        <v>0</v>
      </c>
      <c r="BZ42" s="99">
        <f>'I&amp;E Annual'!BZ$151</f>
        <v>0</v>
      </c>
      <c r="CA42" s="99">
        <f>'I&amp;E Annual'!CA$151</f>
        <v>0</v>
      </c>
      <c r="CB42" s="99">
        <f>'I&amp;E Annual'!CB$151</f>
        <v>0</v>
      </c>
      <c r="CC42" s="99">
        <f>'I&amp;E Annual'!CC$151</f>
        <v>0</v>
      </c>
      <c r="CD42" s="99">
        <f>'I&amp;E Annual'!CD$151</f>
        <v>0</v>
      </c>
      <c r="CE42" s="99">
        <f>'I&amp;E Annual'!CE$151</f>
        <v>0</v>
      </c>
      <c r="CF42" s="99">
        <f>'I&amp;E Annual'!CF$151</f>
        <v>0</v>
      </c>
      <c r="CG42" s="99">
        <f>'I&amp;E Annual'!CG$151</f>
        <v>0</v>
      </c>
      <c r="CH42" s="99">
        <f>'I&amp;E Annual'!CH$151</f>
        <v>0</v>
      </c>
      <c r="CI42" s="99">
        <f>'I&amp;E Annual'!CI$151</f>
        <v>0</v>
      </c>
      <c r="CK42" s="311"/>
      <c r="CO42" s="100">
        <f t="shared" si="40"/>
        <v>0</v>
      </c>
      <c r="CP42" s="100">
        <f t="shared" si="41"/>
        <v>0</v>
      </c>
      <c r="CQ42" s="100">
        <f t="shared" si="42"/>
        <v>0</v>
      </c>
      <c r="CR42" s="311"/>
      <c r="CS42" s="215">
        <f t="shared" si="43"/>
        <v>0</v>
      </c>
      <c r="CT42" s="215">
        <f t="shared" si="44"/>
        <v>0</v>
      </c>
      <c r="CU42" s="215">
        <f t="shared" si="45"/>
        <v>0</v>
      </c>
      <c r="CV42" s="215">
        <f t="shared" si="46"/>
        <v>0</v>
      </c>
      <c r="CW42" s="215">
        <f t="shared" si="46"/>
        <v>0</v>
      </c>
      <c r="CX42" s="215">
        <f t="shared" si="46"/>
        <v>0</v>
      </c>
      <c r="CY42" s="215">
        <f t="shared" si="47"/>
        <v>0</v>
      </c>
      <c r="EX42" s="10" t="str">
        <f t="shared" ca="1" si="0"/>
        <v>Interest and other finance costs</v>
      </c>
    </row>
    <row r="43" spans="1:154" ht="15" customHeight="1" x14ac:dyDescent="0.35">
      <c r="A43" s="537" cm="1">
        <f t="array" aca="1" ref="A43" ca="1">HYPERLINK(CONCATENATE("#",CELL("address",IF(MAX($CK43:$CR43)=0,A43,INDEX($CK43:$CR43,MATCH(1,$CK43:$CR43,0))))),MAX($CK43:$CR43))</f>
        <v>0</v>
      </c>
      <c r="C43" s="213" t="str">
        <f>CONCATENATE("FS-",'I&amp;E Annual'!C$152)</f>
        <v>FS-IE-5a-4</v>
      </c>
      <c r="D43" s="570" t="str" cm="1">
        <f t="array" aca="1" ref="D43" ca="1">HYPERLINK(CONCATENATE("#",CELL("address",'I&amp;E Annual'!$D$152)),'I&amp;E Annual'!$D$152)</f>
        <v>FRS102 adj. - LGPS and EPP net interest charge (non-cash)</v>
      </c>
      <c r="V43" s="12">
        <f t="shared" si="39"/>
        <v>0</v>
      </c>
      <c r="W43" s="12">
        <f t="shared" si="39"/>
        <v>0</v>
      </c>
      <c r="X43" s="12">
        <f t="shared" si="39"/>
        <v>0</v>
      </c>
      <c r="Y43" s="12">
        <f t="shared" si="39"/>
        <v>0</v>
      </c>
      <c r="AA43" s="99">
        <f>'I&amp;E Annual'!AA$152</f>
        <v>0</v>
      </c>
      <c r="AB43" s="99">
        <f>'I&amp;E Annual'!AB$152</f>
        <v>0</v>
      </c>
      <c r="AC43" s="99">
        <f>'I&amp;E Annual'!AC$152</f>
        <v>0</v>
      </c>
      <c r="AD43" s="99">
        <f>'I&amp;E Annual'!AD$152</f>
        <v>0</v>
      </c>
      <c r="AE43" s="99">
        <f>'I&amp;E Annual'!AE$152</f>
        <v>0</v>
      </c>
      <c r="AF43" s="99">
        <f>'I&amp;E Annual'!AF$152</f>
        <v>0</v>
      </c>
      <c r="AG43" s="99">
        <f>'I&amp;E Annual'!AG$152</f>
        <v>0</v>
      </c>
      <c r="AH43" s="99">
        <f>'I&amp;E Annual'!AH$152</f>
        <v>0</v>
      </c>
      <c r="AI43" s="99">
        <f>'I&amp;E Annual'!AI$152</f>
        <v>0</v>
      </c>
      <c r="AJ43" s="99">
        <f>'I&amp;E Annual'!AJ$152</f>
        <v>0</v>
      </c>
      <c r="AK43" s="99">
        <f>'I&amp;E Annual'!AK$152</f>
        <v>0</v>
      </c>
      <c r="AL43" s="99">
        <f>'I&amp;E Annual'!AL$152</f>
        <v>0</v>
      </c>
      <c r="AM43" s="99">
        <f>'I&amp;E Annual'!AM$152</f>
        <v>0</v>
      </c>
      <c r="AN43" s="99">
        <f>'I&amp;E Annual'!AN$152</f>
        <v>0</v>
      </c>
      <c r="AO43" s="99">
        <f>'I&amp;E Annual'!AO$152</f>
        <v>0</v>
      </c>
      <c r="AP43" s="99">
        <f>'I&amp;E Annual'!AP$152</f>
        <v>0</v>
      </c>
      <c r="AQ43" s="99">
        <f>'I&amp;E Annual'!AQ$152</f>
        <v>0</v>
      </c>
      <c r="AR43" s="99">
        <f>'I&amp;E Annual'!AR$152</f>
        <v>0</v>
      </c>
      <c r="AS43" s="99">
        <f>'I&amp;E Annual'!AS$152</f>
        <v>0</v>
      </c>
      <c r="AT43" s="99">
        <f>'I&amp;E Annual'!AT$152</f>
        <v>0</v>
      </c>
      <c r="AU43" s="99">
        <f>'I&amp;E Annual'!AU$152</f>
        <v>0</v>
      </c>
      <c r="AV43" s="99">
        <f>'I&amp;E Annual'!AV$152</f>
        <v>0</v>
      </c>
      <c r="AW43" s="99">
        <f>'I&amp;E Annual'!AW$152</f>
        <v>0</v>
      </c>
      <c r="AX43" s="99">
        <f>'I&amp;E Annual'!AX$152</f>
        <v>0</v>
      </c>
      <c r="AY43" s="99">
        <f>'I&amp;E Annual'!AY$152</f>
        <v>0</v>
      </c>
      <c r="AZ43" s="99">
        <f>'I&amp;E Annual'!AZ$152</f>
        <v>0</v>
      </c>
      <c r="BA43" s="99">
        <f>'I&amp;E Annual'!BA$152</f>
        <v>0</v>
      </c>
      <c r="BB43" s="99">
        <f>'I&amp;E Annual'!BB$152</f>
        <v>0</v>
      </c>
      <c r="BC43" s="99">
        <f>'I&amp;E Annual'!BC$152</f>
        <v>0</v>
      </c>
      <c r="BD43" s="99">
        <f>'I&amp;E Annual'!BD$152</f>
        <v>0</v>
      </c>
      <c r="BE43" s="99">
        <f>'I&amp;E Annual'!BE$152</f>
        <v>0</v>
      </c>
      <c r="BF43" s="99">
        <f>'I&amp;E Annual'!BF$152</f>
        <v>0</v>
      </c>
      <c r="BG43" s="99">
        <f>'I&amp;E Annual'!BG$152</f>
        <v>0</v>
      </c>
      <c r="BH43" s="99">
        <f>'I&amp;E Annual'!BH$152</f>
        <v>0</v>
      </c>
      <c r="BI43" s="99">
        <f>'I&amp;E Annual'!BI$152</f>
        <v>0</v>
      </c>
      <c r="BJ43" s="99">
        <f>'I&amp;E Annual'!BJ$152</f>
        <v>0</v>
      </c>
      <c r="BX43" s="99">
        <f>'I&amp;E Annual'!BX$152</f>
        <v>0</v>
      </c>
      <c r="BY43" s="99">
        <f>'I&amp;E Annual'!BY$152</f>
        <v>0</v>
      </c>
      <c r="BZ43" s="99">
        <f>'I&amp;E Annual'!BZ$152</f>
        <v>0</v>
      </c>
      <c r="CA43" s="99">
        <f>'I&amp;E Annual'!CA$152</f>
        <v>0</v>
      </c>
      <c r="CB43" s="99">
        <f>'I&amp;E Annual'!CB$152</f>
        <v>0</v>
      </c>
      <c r="CC43" s="99">
        <f>'I&amp;E Annual'!CC$152</f>
        <v>0</v>
      </c>
      <c r="CD43" s="99">
        <f>'I&amp;E Annual'!CD$152</f>
        <v>0</v>
      </c>
      <c r="CE43" s="99">
        <f>'I&amp;E Annual'!CE$152</f>
        <v>0</v>
      </c>
      <c r="CF43" s="99">
        <f>'I&amp;E Annual'!CF$152</f>
        <v>0</v>
      </c>
      <c r="CG43" s="99">
        <f>'I&amp;E Annual'!CG$152</f>
        <v>0</v>
      </c>
      <c r="CH43" s="99">
        <f>'I&amp;E Annual'!CH$152</f>
        <v>0</v>
      </c>
      <c r="CI43" s="99">
        <f>'I&amp;E Annual'!CI$152</f>
        <v>0</v>
      </c>
      <c r="CK43" s="311"/>
      <c r="CO43" s="100">
        <f t="shared" si="40"/>
        <v>0</v>
      </c>
      <c r="CP43" s="100">
        <f t="shared" si="41"/>
        <v>0</v>
      </c>
      <c r="CQ43" s="100">
        <f t="shared" si="42"/>
        <v>0</v>
      </c>
      <c r="CR43" s="311"/>
      <c r="CS43" s="215">
        <f t="shared" si="43"/>
        <v>0</v>
      </c>
      <c r="CT43" s="215">
        <f t="shared" si="44"/>
        <v>0</v>
      </c>
      <c r="CU43" s="215">
        <f t="shared" si="45"/>
        <v>0</v>
      </c>
      <c r="CV43" s="215">
        <f t="shared" si="46"/>
        <v>0</v>
      </c>
      <c r="CW43" s="215">
        <f t="shared" si="46"/>
        <v>0</v>
      </c>
      <c r="CX43" s="215">
        <f t="shared" si="46"/>
        <v>0</v>
      </c>
      <c r="CY43" s="215">
        <f t="shared" si="47"/>
        <v>0</v>
      </c>
      <c r="EX43" s="10" t="str">
        <f t="shared" ca="1" si="0"/>
        <v>FRS102 adj. - LGPS and EPP net interest charge (non-cash)</v>
      </c>
    </row>
    <row r="44" spans="1:154" ht="15" customHeight="1" x14ac:dyDescent="0.35">
      <c r="A44" s="537" cm="1">
        <f t="array" aca="1" ref="A44" ca="1">HYPERLINK(CONCATENATE("#",CELL("address",IF(MAX($CK44:$CR44)=0,A44,INDEX($CK44:$CR44,MATCH(1,$CK44:$CR44,0))))),MAX($CK44:$CR44))</f>
        <v>0</v>
      </c>
      <c r="C44" s="213" t="str">
        <f>CONCATENATE("FS-",'I&amp;E Annual'!C$153)</f>
        <v>FS-IE-5a-5</v>
      </c>
      <c r="D44" s="570" t="str" cm="1">
        <f t="array" aca="1" ref="D44" ca="1">HYPERLINK(CONCATENATE("#",CELL("address",'I&amp;E Annual'!$D$153)),'I&amp;E Annual'!$D$153)</f>
        <v>Taxation</v>
      </c>
      <c r="V44" s="12">
        <f t="shared" si="39"/>
        <v>0</v>
      </c>
      <c r="W44" s="12">
        <f t="shared" si="39"/>
        <v>0</v>
      </c>
      <c r="X44" s="12">
        <f t="shared" si="39"/>
        <v>0</v>
      </c>
      <c r="Y44" s="12">
        <f t="shared" si="39"/>
        <v>0</v>
      </c>
      <c r="AA44" s="99">
        <f>'I&amp;E Annual'!AA$153</f>
        <v>0</v>
      </c>
      <c r="AB44" s="99">
        <f>'I&amp;E Annual'!AB$153</f>
        <v>0</v>
      </c>
      <c r="AC44" s="99">
        <f>'I&amp;E Annual'!AC$153</f>
        <v>0</v>
      </c>
      <c r="AD44" s="99">
        <f>'I&amp;E Annual'!AD$153</f>
        <v>0</v>
      </c>
      <c r="AE44" s="99">
        <f>'I&amp;E Annual'!AE$153</f>
        <v>0</v>
      </c>
      <c r="AF44" s="99">
        <f>'I&amp;E Annual'!AF$153</f>
        <v>0</v>
      </c>
      <c r="AG44" s="99">
        <f>'I&amp;E Annual'!AG$153</f>
        <v>0</v>
      </c>
      <c r="AH44" s="99">
        <f>'I&amp;E Annual'!AH$153</f>
        <v>0</v>
      </c>
      <c r="AI44" s="99">
        <f>'I&amp;E Annual'!AI$153</f>
        <v>0</v>
      </c>
      <c r="AJ44" s="99">
        <f>'I&amp;E Annual'!AJ$153</f>
        <v>0</v>
      </c>
      <c r="AK44" s="99">
        <f>'I&amp;E Annual'!AK$153</f>
        <v>0</v>
      </c>
      <c r="AL44" s="99">
        <f>'I&amp;E Annual'!AL$153</f>
        <v>0</v>
      </c>
      <c r="AM44" s="99">
        <f>'I&amp;E Annual'!AM$153</f>
        <v>0</v>
      </c>
      <c r="AN44" s="99">
        <f>'I&amp;E Annual'!AN$153</f>
        <v>0</v>
      </c>
      <c r="AO44" s="99">
        <f>'I&amp;E Annual'!AO$153</f>
        <v>0</v>
      </c>
      <c r="AP44" s="99">
        <f>'I&amp;E Annual'!AP$153</f>
        <v>0</v>
      </c>
      <c r="AQ44" s="99">
        <f>'I&amp;E Annual'!AQ$153</f>
        <v>0</v>
      </c>
      <c r="AR44" s="99">
        <f>'I&amp;E Annual'!AR$153</f>
        <v>0</v>
      </c>
      <c r="AS44" s="99">
        <f>'I&amp;E Annual'!AS$153</f>
        <v>0</v>
      </c>
      <c r="AT44" s="99">
        <f>'I&amp;E Annual'!AT$153</f>
        <v>0</v>
      </c>
      <c r="AU44" s="99">
        <f>'I&amp;E Annual'!AU$153</f>
        <v>0</v>
      </c>
      <c r="AV44" s="99">
        <f>'I&amp;E Annual'!AV$153</f>
        <v>0</v>
      </c>
      <c r="AW44" s="99">
        <f>'I&amp;E Annual'!AW$153</f>
        <v>0</v>
      </c>
      <c r="AX44" s="99">
        <f>'I&amp;E Annual'!AX$153</f>
        <v>0</v>
      </c>
      <c r="AY44" s="99">
        <f>'I&amp;E Annual'!AY$153</f>
        <v>0</v>
      </c>
      <c r="AZ44" s="99">
        <f>'I&amp;E Annual'!AZ$153</f>
        <v>0</v>
      </c>
      <c r="BA44" s="99">
        <f>'I&amp;E Annual'!BA$153</f>
        <v>0</v>
      </c>
      <c r="BB44" s="99">
        <f>'I&amp;E Annual'!BB$153</f>
        <v>0</v>
      </c>
      <c r="BC44" s="99">
        <f>'I&amp;E Annual'!BC$153</f>
        <v>0</v>
      </c>
      <c r="BD44" s="99">
        <f>'I&amp;E Annual'!BD$153</f>
        <v>0</v>
      </c>
      <c r="BE44" s="99">
        <f>'I&amp;E Annual'!BE$153</f>
        <v>0</v>
      </c>
      <c r="BF44" s="99">
        <f>'I&amp;E Annual'!BF$153</f>
        <v>0</v>
      </c>
      <c r="BG44" s="99">
        <f>'I&amp;E Annual'!BG$153</f>
        <v>0</v>
      </c>
      <c r="BH44" s="99">
        <f>'I&amp;E Annual'!BH$153</f>
        <v>0</v>
      </c>
      <c r="BI44" s="99">
        <f>'I&amp;E Annual'!BI$153</f>
        <v>0</v>
      </c>
      <c r="BJ44" s="99">
        <f>'I&amp;E Annual'!BJ$153</f>
        <v>0</v>
      </c>
      <c r="BX44" s="99">
        <f>'I&amp;E Annual'!BX$153</f>
        <v>0</v>
      </c>
      <c r="BY44" s="99">
        <f>'I&amp;E Annual'!BY$153</f>
        <v>0</v>
      </c>
      <c r="BZ44" s="99">
        <f>'I&amp;E Annual'!BZ$153</f>
        <v>0</v>
      </c>
      <c r="CA44" s="99">
        <f>'I&amp;E Annual'!CA$153</f>
        <v>0</v>
      </c>
      <c r="CB44" s="99">
        <f>'I&amp;E Annual'!CB$153</f>
        <v>0</v>
      </c>
      <c r="CC44" s="99">
        <f>'I&amp;E Annual'!CC$153</f>
        <v>0</v>
      </c>
      <c r="CD44" s="99">
        <f>'I&amp;E Annual'!CD$153</f>
        <v>0</v>
      </c>
      <c r="CE44" s="99">
        <f>'I&amp;E Annual'!CE$153</f>
        <v>0</v>
      </c>
      <c r="CF44" s="99">
        <f>'I&amp;E Annual'!CF$153</f>
        <v>0</v>
      </c>
      <c r="CG44" s="99">
        <f>'I&amp;E Annual'!CG$153</f>
        <v>0</v>
      </c>
      <c r="CH44" s="99">
        <f>'I&amp;E Annual'!CH$153</f>
        <v>0</v>
      </c>
      <c r="CI44" s="99">
        <f>'I&amp;E Annual'!CI$153</f>
        <v>0</v>
      </c>
      <c r="CK44" s="311"/>
      <c r="CO44" s="100">
        <f t="shared" si="40"/>
        <v>0</v>
      </c>
      <c r="CP44" s="100">
        <f t="shared" si="41"/>
        <v>0</v>
      </c>
      <c r="CQ44" s="100">
        <f t="shared" si="42"/>
        <v>0</v>
      </c>
      <c r="CR44" s="311"/>
      <c r="CS44" s="215">
        <f t="shared" si="43"/>
        <v>0</v>
      </c>
      <c r="CT44" s="215">
        <f t="shared" si="44"/>
        <v>0</v>
      </c>
      <c r="CU44" s="215">
        <f t="shared" si="45"/>
        <v>0</v>
      </c>
      <c r="CV44" s="215">
        <f t="shared" si="46"/>
        <v>0</v>
      </c>
      <c r="CW44" s="215">
        <f t="shared" si="46"/>
        <v>0</v>
      </c>
      <c r="CX44" s="215">
        <f t="shared" si="46"/>
        <v>0</v>
      </c>
      <c r="CY44" s="215">
        <f t="shared" si="47"/>
        <v>0</v>
      </c>
      <c r="EX44" s="10" t="str">
        <f t="shared" ca="1" si="0"/>
        <v>Taxation</v>
      </c>
    </row>
    <row r="45" spans="1:154" ht="15" customHeight="1" x14ac:dyDescent="0.35">
      <c r="A45" s="537" cm="1">
        <f t="array" aca="1" ref="A45" ca="1">HYPERLINK(CONCATENATE("#",CELL("address",IF(MAX($CK45:$CR45)=0,A45,INDEX($CK45:$CR45,MATCH(1,$CK45:$CR45,0))))),MAX($CK45:$CR45))</f>
        <v>0</v>
      </c>
      <c r="C45" s="213" t="str">
        <f>CONCATENATE("FS-",'I&amp;E Annual'!C$154)</f>
        <v>FS-IE-5a</v>
      </c>
      <c r="D45" s="107" t="str">
        <f>'I&amp;E Annual'!D$154</f>
        <v>Total interest, tax, depreciation and amortisation</v>
      </c>
      <c r="V45" s="12">
        <f>(SUM(V40,V42:V44)-V41)*V$9</f>
        <v>0</v>
      </c>
      <c r="W45" s="12">
        <f>(SUM(W40,W42:W44)-W41)*W$9</f>
        <v>0</v>
      </c>
      <c r="X45" s="12">
        <f>(SUM(X40,X42:X44)-X41)*X$9</f>
        <v>0</v>
      </c>
      <c r="Y45" s="12">
        <f>(SUM(Y40,Y42:Y44)-Y41)*Y$9</f>
        <v>0</v>
      </c>
      <c r="AA45" s="12">
        <f t="shared" ref="AA45:BJ45" si="48">(SUM(AA40,AA42:AA44)-AA41)*AA$9</f>
        <v>0</v>
      </c>
      <c r="AB45" s="12">
        <f t="shared" si="48"/>
        <v>0</v>
      </c>
      <c r="AC45" s="12">
        <f t="shared" si="48"/>
        <v>0</v>
      </c>
      <c r="AD45" s="12">
        <f t="shared" si="48"/>
        <v>0</v>
      </c>
      <c r="AE45" s="12">
        <f t="shared" si="48"/>
        <v>0</v>
      </c>
      <c r="AF45" s="12">
        <f t="shared" si="48"/>
        <v>0</v>
      </c>
      <c r="AG45" s="12">
        <f t="shared" si="48"/>
        <v>0</v>
      </c>
      <c r="AH45" s="12">
        <f t="shared" si="48"/>
        <v>0</v>
      </c>
      <c r="AI45" s="12">
        <f t="shared" si="48"/>
        <v>0</v>
      </c>
      <c r="AJ45" s="12">
        <f t="shared" si="48"/>
        <v>0</v>
      </c>
      <c r="AK45" s="12">
        <f t="shared" si="48"/>
        <v>0</v>
      </c>
      <c r="AL45" s="12">
        <f t="shared" si="48"/>
        <v>0</v>
      </c>
      <c r="AM45" s="12">
        <f t="shared" si="48"/>
        <v>0</v>
      </c>
      <c r="AN45" s="12">
        <f t="shared" si="48"/>
        <v>0</v>
      </c>
      <c r="AO45" s="12">
        <f t="shared" si="48"/>
        <v>0</v>
      </c>
      <c r="AP45" s="12">
        <f t="shared" si="48"/>
        <v>0</v>
      </c>
      <c r="AQ45" s="12">
        <f t="shared" si="48"/>
        <v>0</v>
      </c>
      <c r="AR45" s="12">
        <f t="shared" si="48"/>
        <v>0</v>
      </c>
      <c r="AS45" s="12">
        <f t="shared" si="48"/>
        <v>0</v>
      </c>
      <c r="AT45" s="12">
        <f t="shared" si="48"/>
        <v>0</v>
      </c>
      <c r="AU45" s="12">
        <f t="shared" si="48"/>
        <v>0</v>
      </c>
      <c r="AV45" s="12">
        <f t="shared" si="48"/>
        <v>0</v>
      </c>
      <c r="AW45" s="12">
        <f t="shared" si="48"/>
        <v>0</v>
      </c>
      <c r="AX45" s="12">
        <f t="shared" si="48"/>
        <v>0</v>
      </c>
      <c r="AY45" s="12">
        <f t="shared" si="48"/>
        <v>0</v>
      </c>
      <c r="AZ45" s="12">
        <f t="shared" si="48"/>
        <v>0</v>
      </c>
      <c r="BA45" s="12">
        <f t="shared" si="48"/>
        <v>0</v>
      </c>
      <c r="BB45" s="12">
        <f t="shared" si="48"/>
        <v>0</v>
      </c>
      <c r="BC45" s="12">
        <f t="shared" si="48"/>
        <v>0</v>
      </c>
      <c r="BD45" s="12">
        <f t="shared" si="48"/>
        <v>0</v>
      </c>
      <c r="BE45" s="12">
        <f t="shared" si="48"/>
        <v>0</v>
      </c>
      <c r="BF45" s="12">
        <f t="shared" si="48"/>
        <v>0</v>
      </c>
      <c r="BG45" s="12">
        <f t="shared" si="48"/>
        <v>0</v>
      </c>
      <c r="BH45" s="12">
        <f t="shared" si="48"/>
        <v>0</v>
      </c>
      <c r="BI45" s="12">
        <f t="shared" si="48"/>
        <v>0</v>
      </c>
      <c r="BJ45" s="12">
        <f t="shared" si="48"/>
        <v>0</v>
      </c>
      <c r="BX45" s="12">
        <f t="shared" ref="BX45:CI45" si="49">(SUM(BX40,BX42:BX44)-BX41)*BX$9</f>
        <v>0</v>
      </c>
      <c r="BY45" s="12">
        <f t="shared" si="49"/>
        <v>0</v>
      </c>
      <c r="BZ45" s="12">
        <f t="shared" si="49"/>
        <v>0</v>
      </c>
      <c r="CA45" s="12">
        <f t="shared" si="49"/>
        <v>0</v>
      </c>
      <c r="CB45" s="12">
        <f t="shared" si="49"/>
        <v>0</v>
      </c>
      <c r="CC45" s="12">
        <f t="shared" si="49"/>
        <v>0</v>
      </c>
      <c r="CD45" s="12">
        <f t="shared" si="49"/>
        <v>0</v>
      </c>
      <c r="CE45" s="12">
        <f t="shared" si="49"/>
        <v>0</v>
      </c>
      <c r="CF45" s="12">
        <f t="shared" si="49"/>
        <v>0</v>
      </c>
      <c r="CG45" s="12">
        <f t="shared" si="49"/>
        <v>0</v>
      </c>
      <c r="CH45" s="12">
        <f t="shared" si="49"/>
        <v>0</v>
      </c>
      <c r="CI45" s="12">
        <f t="shared" si="49"/>
        <v>0</v>
      </c>
      <c r="CK45" s="311"/>
      <c r="CO45" s="100">
        <f t="shared" si="40"/>
        <v>0</v>
      </c>
      <c r="CP45" s="100">
        <f t="shared" si="41"/>
        <v>0</v>
      </c>
      <c r="CQ45" s="100">
        <f t="shared" si="42"/>
        <v>0</v>
      </c>
      <c r="CR45" s="311"/>
      <c r="CS45" s="215">
        <f t="shared" si="43"/>
        <v>0</v>
      </c>
      <c r="CT45" s="215">
        <f t="shared" si="44"/>
        <v>0</v>
      </c>
      <c r="CU45" s="215">
        <f t="shared" si="45"/>
        <v>0</v>
      </c>
      <c r="CV45" s="215">
        <f t="shared" si="46"/>
        <v>0</v>
      </c>
      <c r="CW45" s="215">
        <f t="shared" si="46"/>
        <v>0</v>
      </c>
      <c r="CX45" s="215">
        <f t="shared" si="46"/>
        <v>0</v>
      </c>
      <c r="CY45" s="215">
        <f t="shared" si="47"/>
        <v>0</v>
      </c>
      <c r="EX45" s="10" t="str">
        <f t="shared" si="0"/>
        <v>Total interest, tax, depreciation and amortisation</v>
      </c>
    </row>
    <row r="46" spans="1:154" ht="11.65" customHeight="1" x14ac:dyDescent="0.35">
      <c r="C46" s="213"/>
      <c r="E46"/>
      <c r="CK46" s="311"/>
      <c r="CO46" s="120"/>
      <c r="CP46" s="120"/>
      <c r="CQ46" s="120"/>
      <c r="CR46" s="311"/>
      <c r="EX46" s="10" t="str">
        <f t="shared" si="0"/>
        <v/>
      </c>
    </row>
    <row r="47" spans="1:154" ht="15" customHeight="1" x14ac:dyDescent="0.35">
      <c r="A47" s="537" cm="1">
        <f t="array" aca="1" ref="A47" ca="1">HYPERLINK(CONCATENATE("#",CELL("address",IF(MAX($CK47:$CR47)=0,A47,INDEX($CK47:$CR47,MATCH(1,$CK47:$CR47,0))))),MAX($CK47:$CR47))</f>
        <v>0</v>
      </c>
      <c r="C47" s="213" t="str">
        <f>CONCATENATE("FS-",'I&amp;E Annual'!C$156)</f>
        <v>FS-IE-5</v>
      </c>
      <c r="D47" s="107" t="str">
        <f>'I&amp;E Annual'!D$156</f>
        <v>Surplus/(deficit) after interest, tax, depreciation and amortisation costs</v>
      </c>
      <c r="V47" s="12">
        <f>V36-V45</f>
        <v>0</v>
      </c>
      <c r="W47" s="12">
        <f>W36-W45</f>
        <v>0</v>
      </c>
      <c r="X47" s="12">
        <f>X36-X45</f>
        <v>0</v>
      </c>
      <c r="Y47" s="12">
        <f>Y36-Y45</f>
        <v>0</v>
      </c>
      <c r="AA47" s="12">
        <f t="shared" ref="AA47:BJ47" si="50">AA36-AA45</f>
        <v>0</v>
      </c>
      <c r="AB47" s="12">
        <f t="shared" si="50"/>
        <v>0</v>
      </c>
      <c r="AC47" s="12">
        <f t="shared" si="50"/>
        <v>0</v>
      </c>
      <c r="AD47" s="12">
        <f t="shared" si="50"/>
        <v>0</v>
      </c>
      <c r="AE47" s="12">
        <f t="shared" si="50"/>
        <v>0</v>
      </c>
      <c r="AF47" s="12">
        <f t="shared" si="50"/>
        <v>0</v>
      </c>
      <c r="AG47" s="12">
        <f t="shared" si="50"/>
        <v>0</v>
      </c>
      <c r="AH47" s="12">
        <f t="shared" si="50"/>
        <v>0</v>
      </c>
      <c r="AI47" s="12">
        <f t="shared" si="50"/>
        <v>0</v>
      </c>
      <c r="AJ47" s="12">
        <f t="shared" si="50"/>
        <v>0</v>
      </c>
      <c r="AK47" s="12">
        <f t="shared" si="50"/>
        <v>0</v>
      </c>
      <c r="AL47" s="12">
        <f t="shared" si="50"/>
        <v>0</v>
      </c>
      <c r="AM47" s="12">
        <f t="shared" si="50"/>
        <v>0</v>
      </c>
      <c r="AN47" s="12">
        <f t="shared" si="50"/>
        <v>0</v>
      </c>
      <c r="AO47" s="12">
        <f t="shared" si="50"/>
        <v>0</v>
      </c>
      <c r="AP47" s="12">
        <f t="shared" si="50"/>
        <v>0</v>
      </c>
      <c r="AQ47" s="12">
        <f t="shared" si="50"/>
        <v>0</v>
      </c>
      <c r="AR47" s="12">
        <f t="shared" si="50"/>
        <v>0</v>
      </c>
      <c r="AS47" s="12">
        <f t="shared" si="50"/>
        <v>0</v>
      </c>
      <c r="AT47" s="12">
        <f t="shared" si="50"/>
        <v>0</v>
      </c>
      <c r="AU47" s="12">
        <f t="shared" si="50"/>
        <v>0</v>
      </c>
      <c r="AV47" s="12">
        <f t="shared" si="50"/>
        <v>0</v>
      </c>
      <c r="AW47" s="12">
        <f t="shared" si="50"/>
        <v>0</v>
      </c>
      <c r="AX47" s="12">
        <f t="shared" si="50"/>
        <v>0</v>
      </c>
      <c r="AY47" s="12">
        <f t="shared" si="50"/>
        <v>0</v>
      </c>
      <c r="AZ47" s="12">
        <f t="shared" si="50"/>
        <v>0</v>
      </c>
      <c r="BA47" s="12">
        <f t="shared" si="50"/>
        <v>0</v>
      </c>
      <c r="BB47" s="12">
        <f t="shared" si="50"/>
        <v>0</v>
      </c>
      <c r="BC47" s="12">
        <f t="shared" si="50"/>
        <v>0</v>
      </c>
      <c r="BD47" s="12">
        <f t="shared" si="50"/>
        <v>0</v>
      </c>
      <c r="BE47" s="12">
        <f t="shared" si="50"/>
        <v>0</v>
      </c>
      <c r="BF47" s="12">
        <f t="shared" si="50"/>
        <v>0</v>
      </c>
      <c r="BG47" s="12">
        <f t="shared" si="50"/>
        <v>0</v>
      </c>
      <c r="BH47" s="12">
        <f t="shared" si="50"/>
        <v>0</v>
      </c>
      <c r="BI47" s="12">
        <f t="shared" si="50"/>
        <v>0</v>
      </c>
      <c r="BJ47" s="12">
        <f t="shared" si="50"/>
        <v>0</v>
      </c>
      <c r="BX47" s="12">
        <f t="shared" ref="BX47:CI47" si="51">BX36-BX45</f>
        <v>0</v>
      </c>
      <c r="BY47" s="12">
        <f t="shared" si="51"/>
        <v>0</v>
      </c>
      <c r="BZ47" s="12">
        <f t="shared" si="51"/>
        <v>0</v>
      </c>
      <c r="CA47" s="12">
        <f t="shared" si="51"/>
        <v>0</v>
      </c>
      <c r="CB47" s="12">
        <f t="shared" si="51"/>
        <v>0</v>
      </c>
      <c r="CC47" s="12">
        <f t="shared" si="51"/>
        <v>0</v>
      </c>
      <c r="CD47" s="12">
        <f t="shared" si="51"/>
        <v>0</v>
      </c>
      <c r="CE47" s="12">
        <f t="shared" si="51"/>
        <v>0</v>
      </c>
      <c r="CF47" s="12">
        <f t="shared" si="51"/>
        <v>0</v>
      </c>
      <c r="CG47" s="12">
        <f t="shared" si="51"/>
        <v>0</v>
      </c>
      <c r="CH47" s="12">
        <f t="shared" si="51"/>
        <v>0</v>
      </c>
      <c r="CI47" s="12">
        <f t="shared" si="51"/>
        <v>0</v>
      </c>
      <c r="CK47" s="311"/>
      <c r="CO47" s="100">
        <f>IF(SUM($CS47:$CU47)=0, 0, 1)</f>
        <v>0</v>
      </c>
      <c r="CP47" s="100">
        <f>IF(SUM($CV47:$CX47)=0, 0, 1)</f>
        <v>0</v>
      </c>
      <c r="CQ47" s="100">
        <f>IF(CY47=0, 0, 1)</f>
        <v>0</v>
      </c>
      <c r="CR47" s="311"/>
      <c r="CS47" s="215">
        <f>ROUND(W47-SUMIFS($AA47:$BJ47, $AA$3:$BJ$3, W$3), rounding)</f>
        <v>0</v>
      </c>
      <c r="CT47" s="215">
        <f>ROUND($X47-SUMIFS($AA47:$BJ47, $AA$3:$BJ$3, X$3), rounding)</f>
        <v>0</v>
      </c>
      <c r="CU47" s="215">
        <f>ROUND($Y47-SUMIFS($AA47:$BJ47, $AA$3:$BJ$3, Y$3), rounding)</f>
        <v>0</v>
      </c>
      <c r="CV47" s="215">
        <f>ROUND(W47-BY47, rounding)</f>
        <v>0</v>
      </c>
      <c r="CW47" s="215">
        <f>ROUND(X47-BZ47, rounding)</f>
        <v>0</v>
      </c>
      <c r="CX47" s="215">
        <f>ROUND(Y47-CA47, rounding)</f>
        <v>0</v>
      </c>
      <c r="CY47" s="215">
        <f>ROUND(V47-BX47, rounding)</f>
        <v>0</v>
      </c>
      <c r="EX47" s="10" t="str">
        <f t="shared" si="0"/>
        <v>Surplus/(deficit) after interest, tax, depreciation and amortisation costs</v>
      </c>
    </row>
    <row r="48" spans="1:154" ht="11.65" customHeight="1" x14ac:dyDescent="0.35">
      <c r="C48" s="213"/>
      <c r="E48"/>
      <c r="CK48" s="311"/>
      <c r="CO48" s="120"/>
      <c r="CP48" s="120"/>
      <c r="CQ48" s="120"/>
      <c r="CR48" s="311"/>
      <c r="EX48" s="10" t="str">
        <f t="shared" si="0"/>
        <v/>
      </c>
    </row>
    <row r="49" spans="1:154" ht="44.5" customHeight="1" x14ac:dyDescent="0.35">
      <c r="A49" s="537" cm="1">
        <f t="array" aca="1" ref="A49" ca="1">HYPERLINK(CONCATENATE("#",CELL("address",IF(MAX($CK49:$CR49)=0,A49,INDEX($CK49:$CR49,MATCH(1,$CK49:$CR49,0))))),MAX($CK49:$CR49))</f>
        <v>0</v>
      </c>
      <c r="C49" s="213" t="str">
        <f>CONCATENATE("FS-",'I&amp;E Annual'!C$159)</f>
        <v>FS-IE-6a-1a</v>
      </c>
      <c r="D49" s="570" t="str" cm="1">
        <f t="array" aca="1" ref="D49" ca="1">HYPERLINK(CONCATENATE("#",CELL("address",'I&amp;E Annual'!$D$159)),'I&amp;E Annual'!$D$159)</f>
        <v>Gain/(loss) on disposal of fixed assets</v>
      </c>
      <c r="E49" s="569" t="str" cm="1">
        <f t="array" aca="1" ref="E49" ca="1">HYPERLINK(CONCATENATE("#",CELL("address",'Investing Inputs'!$D$321)),'Investing Inputs'!$D$321)</f>
        <v>Land &amp; Buildings</v>
      </c>
      <c r="F49" s="569" t="str" cm="1">
        <f t="array" aca="1" ref="F49" ca="1">HYPERLINK(CONCATENATE("#",CELL("address",'Investing Inputs'!$D$322)),'Investing Inputs'!$D$322)</f>
        <v>Equipment</v>
      </c>
      <c r="G49" s="569" t="str" cm="1">
        <f t="array" aca="1" ref="G49" ca="1">HYPERLINK(CONCATENATE("#",CELL("address",'Investing Inputs'!$D$324)),'Investing Inputs'!$D$324)</f>
        <v>Other NCA</v>
      </c>
      <c r="H49" s="569" t="str" cm="1">
        <f t="array" aca="1" ref="H49" ca="1">HYPERLINK(CONCATENATE("#",CELL("address",'Investing Inputs'!$D$325)),'Investing Inputs'!$D$325)</f>
        <v xml:space="preserve">Assets Held for Sale </v>
      </c>
      <c r="V49" s="12">
        <f t="shared" ref="V49:Y53" si="52">BX49</f>
        <v>0</v>
      </c>
      <c r="W49" s="12">
        <f t="shared" si="52"/>
        <v>0</v>
      </c>
      <c r="X49" s="12">
        <f t="shared" si="52"/>
        <v>0</v>
      </c>
      <c r="Y49" s="12">
        <f t="shared" si="52"/>
        <v>0</v>
      </c>
      <c r="AA49" s="99">
        <f>'I&amp;E Annual'!AA$159</f>
        <v>0</v>
      </c>
      <c r="AB49" s="99">
        <f>'I&amp;E Annual'!AB$159</f>
        <v>0</v>
      </c>
      <c r="AC49" s="99">
        <f>'I&amp;E Annual'!AC$159</f>
        <v>0</v>
      </c>
      <c r="AD49" s="99">
        <f>'I&amp;E Annual'!AD$159</f>
        <v>0</v>
      </c>
      <c r="AE49" s="99">
        <f>'I&amp;E Annual'!AE$159</f>
        <v>0</v>
      </c>
      <c r="AF49" s="99">
        <f>'I&amp;E Annual'!AF$159</f>
        <v>0</v>
      </c>
      <c r="AG49" s="99">
        <f>'I&amp;E Annual'!AG$159</f>
        <v>0</v>
      </c>
      <c r="AH49" s="99">
        <f>'I&amp;E Annual'!AH$159</f>
        <v>0</v>
      </c>
      <c r="AI49" s="99">
        <f>'I&amp;E Annual'!AI$159</f>
        <v>0</v>
      </c>
      <c r="AJ49" s="99">
        <f>'I&amp;E Annual'!AJ$159</f>
        <v>0</v>
      </c>
      <c r="AK49" s="99">
        <f>'I&amp;E Annual'!AK$159</f>
        <v>0</v>
      </c>
      <c r="AL49" s="99">
        <f>'I&amp;E Annual'!AL$159</f>
        <v>0</v>
      </c>
      <c r="AM49" s="99">
        <f>'I&amp;E Annual'!AM$159</f>
        <v>0</v>
      </c>
      <c r="AN49" s="99">
        <f>'I&amp;E Annual'!AN$159</f>
        <v>0</v>
      </c>
      <c r="AO49" s="99">
        <f>'I&amp;E Annual'!AO$159</f>
        <v>0</v>
      </c>
      <c r="AP49" s="99">
        <f>'I&amp;E Annual'!AP$159</f>
        <v>0</v>
      </c>
      <c r="AQ49" s="99">
        <f>'I&amp;E Annual'!AQ$159</f>
        <v>0</v>
      </c>
      <c r="AR49" s="99">
        <f>'I&amp;E Annual'!AR$159</f>
        <v>0</v>
      </c>
      <c r="AS49" s="99">
        <f>'I&amp;E Annual'!AS$159</f>
        <v>0</v>
      </c>
      <c r="AT49" s="99">
        <f>'I&amp;E Annual'!AT$159</f>
        <v>0</v>
      </c>
      <c r="AU49" s="99">
        <f>'I&amp;E Annual'!AU$159</f>
        <v>0</v>
      </c>
      <c r="AV49" s="99">
        <f>'I&amp;E Annual'!AV$159</f>
        <v>0</v>
      </c>
      <c r="AW49" s="99">
        <f>'I&amp;E Annual'!AW$159</f>
        <v>0</v>
      </c>
      <c r="AX49" s="99">
        <f>'I&amp;E Annual'!AX$159</f>
        <v>0</v>
      </c>
      <c r="AY49" s="99">
        <f>'I&amp;E Annual'!AY$159</f>
        <v>0</v>
      </c>
      <c r="AZ49" s="99">
        <f>'I&amp;E Annual'!AZ$159</f>
        <v>0</v>
      </c>
      <c r="BA49" s="99">
        <f>'I&amp;E Annual'!BA$159</f>
        <v>0</v>
      </c>
      <c r="BB49" s="99">
        <f>'I&amp;E Annual'!BB$159</f>
        <v>0</v>
      </c>
      <c r="BC49" s="99">
        <f>'I&amp;E Annual'!BC$159</f>
        <v>0</v>
      </c>
      <c r="BD49" s="99">
        <f>'I&amp;E Annual'!BD$159</f>
        <v>0</v>
      </c>
      <c r="BE49" s="99">
        <f>'I&amp;E Annual'!BE$159</f>
        <v>0</v>
      </c>
      <c r="BF49" s="99">
        <f>'I&amp;E Annual'!BF$159</f>
        <v>0</v>
      </c>
      <c r="BG49" s="99">
        <f>'I&amp;E Annual'!BG$159</f>
        <v>0</v>
      </c>
      <c r="BH49" s="99">
        <f>'I&amp;E Annual'!BH$159</f>
        <v>0</v>
      </c>
      <c r="BI49" s="99">
        <f>'I&amp;E Annual'!BI$159</f>
        <v>0</v>
      </c>
      <c r="BJ49" s="99">
        <f>'I&amp;E Annual'!BJ$159</f>
        <v>0</v>
      </c>
      <c r="BX49" s="99">
        <f>'I&amp;E Annual'!BX$159</f>
        <v>0</v>
      </c>
      <c r="BY49" s="99">
        <f>'I&amp;E Annual'!BY$159</f>
        <v>0</v>
      </c>
      <c r="BZ49" s="99">
        <f>'I&amp;E Annual'!BZ$159</f>
        <v>0</v>
      </c>
      <c r="CA49" s="99">
        <f>'I&amp;E Annual'!CA$159</f>
        <v>0</v>
      </c>
      <c r="CB49" s="99">
        <f>'I&amp;E Annual'!CB$159</f>
        <v>0</v>
      </c>
      <c r="CC49" s="99">
        <f>'I&amp;E Annual'!CC$159</f>
        <v>0</v>
      </c>
      <c r="CD49" s="99">
        <f>'I&amp;E Annual'!CD$159</f>
        <v>0</v>
      </c>
      <c r="CE49" s="99">
        <f>'I&amp;E Annual'!CE$159</f>
        <v>0</v>
      </c>
      <c r="CF49" s="99">
        <f>'I&amp;E Annual'!CF$159</f>
        <v>0</v>
      </c>
      <c r="CG49" s="99">
        <f>'I&amp;E Annual'!CG$159</f>
        <v>0</v>
      </c>
      <c r="CH49" s="99">
        <f>'I&amp;E Annual'!CH$159</f>
        <v>0</v>
      </c>
      <c r="CI49" s="99">
        <f>'I&amp;E Annual'!CI$159</f>
        <v>0</v>
      </c>
      <c r="CK49" s="311"/>
      <c r="CO49" s="100">
        <f t="shared" ref="CO49:CO54" si="53">IF(SUM($CS49:$CU49)=0, 0, 1)</f>
        <v>0</v>
      </c>
      <c r="CP49" s="100">
        <f t="shared" ref="CP49:CP54" si="54">IF(SUM($CV49:$CX49)=0, 0, 1)</f>
        <v>0</v>
      </c>
      <c r="CQ49" s="100">
        <f t="shared" ref="CQ49:CQ54" si="55">IF(CY49=0, 0, 1)</f>
        <v>0</v>
      </c>
      <c r="CR49" s="311"/>
      <c r="CS49" s="215">
        <f t="shared" ref="CS49:CS54" si="56">ROUND(W49-SUMIFS($AA49:$BJ49, $AA$3:$BJ$3, W$3), rounding)</f>
        <v>0</v>
      </c>
      <c r="CT49" s="215">
        <f t="shared" ref="CT49:CT54" si="57">ROUND($X49-SUMIFS($AA49:$BJ49, $AA$3:$BJ$3, X$3), rounding)</f>
        <v>0</v>
      </c>
      <c r="CU49" s="215">
        <f t="shared" ref="CU49:CU54" si="58">ROUND($Y49-SUMIFS($AA49:$BJ49, $AA$3:$BJ$3, Y$3), rounding)</f>
        <v>0</v>
      </c>
      <c r="CV49" s="215">
        <f t="shared" ref="CV49:CX54" si="59">ROUND(W49-BY49, rounding)</f>
        <v>0</v>
      </c>
      <c r="CW49" s="215">
        <f t="shared" si="59"/>
        <v>0</v>
      </c>
      <c r="CX49" s="215">
        <f t="shared" si="59"/>
        <v>0</v>
      </c>
      <c r="CY49" s="215">
        <f t="shared" ref="CY49:CY54" si="60">ROUND(V49-BX49, rounding)</f>
        <v>0</v>
      </c>
      <c r="EX49" s="10" t="str">
        <f t="shared" ca="1" si="0"/>
        <v>Gain/(loss) on disposal of fixed assets</v>
      </c>
    </row>
    <row r="50" spans="1:154" ht="15" customHeight="1" x14ac:dyDescent="0.35">
      <c r="A50" s="537" cm="1">
        <f t="array" aca="1" ref="A50" ca="1">HYPERLINK(CONCATENATE("#",CELL("address",IF(MAX($CK50:$CR50)=0,A50,INDEX($CK50:$CR50,MATCH(1,$CK50:$CR50,0))))),MAX($CK50:$CR50))</f>
        <v>0</v>
      </c>
      <c r="C50" s="213" t="str">
        <f>CONCATENATE("FS-",'I&amp;E Annual'!C$160)</f>
        <v>FS-IE-6a-1b</v>
      </c>
      <c r="D50" s="570" t="str" cm="1">
        <f t="array" aca="1" ref="D50" ca="1">HYPERLINK(CONCATENATE("#",CELL("address",'I&amp;E Annual'!$D$160)),'I&amp;E Annual'!$D$160)</f>
        <v>Gain/(loss) on Disposal of Investments</v>
      </c>
      <c r="V50" s="12">
        <f t="shared" si="52"/>
        <v>0</v>
      </c>
      <c r="W50" s="12">
        <f t="shared" si="52"/>
        <v>0</v>
      </c>
      <c r="X50" s="12">
        <f t="shared" si="52"/>
        <v>0</v>
      </c>
      <c r="Y50" s="12">
        <f t="shared" si="52"/>
        <v>0</v>
      </c>
      <c r="AA50" s="99">
        <f>'I&amp;E Annual'!AA$160</f>
        <v>0</v>
      </c>
      <c r="AB50" s="99">
        <f>'I&amp;E Annual'!AB$160</f>
        <v>0</v>
      </c>
      <c r="AC50" s="99">
        <f>'I&amp;E Annual'!AC$160</f>
        <v>0</v>
      </c>
      <c r="AD50" s="99">
        <f>'I&amp;E Annual'!AD$160</f>
        <v>0</v>
      </c>
      <c r="AE50" s="99">
        <f>'I&amp;E Annual'!AE$160</f>
        <v>0</v>
      </c>
      <c r="AF50" s="99">
        <f>'I&amp;E Annual'!AF$160</f>
        <v>0</v>
      </c>
      <c r="AG50" s="99">
        <f>'I&amp;E Annual'!AG$160</f>
        <v>0</v>
      </c>
      <c r="AH50" s="99">
        <f>'I&amp;E Annual'!AH$160</f>
        <v>0</v>
      </c>
      <c r="AI50" s="99">
        <f>'I&amp;E Annual'!AI$160</f>
        <v>0</v>
      </c>
      <c r="AJ50" s="99">
        <f>'I&amp;E Annual'!AJ$160</f>
        <v>0</v>
      </c>
      <c r="AK50" s="99">
        <f>'I&amp;E Annual'!AK$160</f>
        <v>0</v>
      </c>
      <c r="AL50" s="99">
        <f>'I&amp;E Annual'!AL$160</f>
        <v>0</v>
      </c>
      <c r="AM50" s="99">
        <f>'I&amp;E Annual'!AM$160</f>
        <v>0</v>
      </c>
      <c r="AN50" s="99">
        <f>'I&amp;E Annual'!AN$160</f>
        <v>0</v>
      </c>
      <c r="AO50" s="99">
        <f>'I&amp;E Annual'!AO$160</f>
        <v>0</v>
      </c>
      <c r="AP50" s="99">
        <f>'I&amp;E Annual'!AP$160</f>
        <v>0</v>
      </c>
      <c r="AQ50" s="99">
        <f>'I&amp;E Annual'!AQ$160</f>
        <v>0</v>
      </c>
      <c r="AR50" s="99">
        <f>'I&amp;E Annual'!AR$160</f>
        <v>0</v>
      </c>
      <c r="AS50" s="99">
        <f>'I&amp;E Annual'!AS$160</f>
        <v>0</v>
      </c>
      <c r="AT50" s="99">
        <f>'I&amp;E Annual'!AT$160</f>
        <v>0</v>
      </c>
      <c r="AU50" s="99">
        <f>'I&amp;E Annual'!AU$160</f>
        <v>0</v>
      </c>
      <c r="AV50" s="99">
        <f>'I&amp;E Annual'!AV$160</f>
        <v>0</v>
      </c>
      <c r="AW50" s="99">
        <f>'I&amp;E Annual'!AW$160</f>
        <v>0</v>
      </c>
      <c r="AX50" s="99">
        <f>'I&amp;E Annual'!AX$160</f>
        <v>0</v>
      </c>
      <c r="AY50" s="99">
        <f>'I&amp;E Annual'!AY$160</f>
        <v>0</v>
      </c>
      <c r="AZ50" s="99">
        <f>'I&amp;E Annual'!AZ$160</f>
        <v>0</v>
      </c>
      <c r="BA50" s="99">
        <f>'I&amp;E Annual'!BA$160</f>
        <v>0</v>
      </c>
      <c r="BB50" s="99">
        <f>'I&amp;E Annual'!BB$160</f>
        <v>0</v>
      </c>
      <c r="BC50" s="99">
        <f>'I&amp;E Annual'!BC$160</f>
        <v>0</v>
      </c>
      <c r="BD50" s="99">
        <f>'I&amp;E Annual'!BD$160</f>
        <v>0</v>
      </c>
      <c r="BE50" s="99">
        <f>'I&amp;E Annual'!BE$160</f>
        <v>0</v>
      </c>
      <c r="BF50" s="99">
        <f>'I&amp;E Annual'!BF$160</f>
        <v>0</v>
      </c>
      <c r="BG50" s="99">
        <f>'I&amp;E Annual'!BG$160</f>
        <v>0</v>
      </c>
      <c r="BH50" s="99">
        <f>'I&amp;E Annual'!BH$160</f>
        <v>0</v>
      </c>
      <c r="BI50" s="99">
        <f>'I&amp;E Annual'!BI$160</f>
        <v>0</v>
      </c>
      <c r="BJ50" s="99">
        <f>'I&amp;E Annual'!BJ$160</f>
        <v>0</v>
      </c>
      <c r="BX50" s="99">
        <f>'I&amp;E Annual'!BX$160</f>
        <v>0</v>
      </c>
      <c r="BY50" s="99">
        <f>'I&amp;E Annual'!BY$160</f>
        <v>0</v>
      </c>
      <c r="BZ50" s="99">
        <f>'I&amp;E Annual'!BZ$160</f>
        <v>0</v>
      </c>
      <c r="CA50" s="99">
        <f>'I&amp;E Annual'!CA$160</f>
        <v>0</v>
      </c>
      <c r="CB50" s="99">
        <f>'I&amp;E Annual'!CB$160</f>
        <v>0</v>
      </c>
      <c r="CC50" s="99">
        <f>'I&amp;E Annual'!CC$160</f>
        <v>0</v>
      </c>
      <c r="CD50" s="99">
        <f>'I&amp;E Annual'!CD$160</f>
        <v>0</v>
      </c>
      <c r="CE50" s="99">
        <f>'I&amp;E Annual'!CE$160</f>
        <v>0</v>
      </c>
      <c r="CF50" s="99">
        <f>'I&amp;E Annual'!CF$160</f>
        <v>0</v>
      </c>
      <c r="CG50" s="99">
        <f>'I&amp;E Annual'!CG$160</f>
        <v>0</v>
      </c>
      <c r="CH50" s="99">
        <f>'I&amp;E Annual'!CH$160</f>
        <v>0</v>
      </c>
      <c r="CI50" s="99">
        <f>'I&amp;E Annual'!CI$160</f>
        <v>0</v>
      </c>
      <c r="CK50" s="311"/>
      <c r="CO50" s="100">
        <f t="shared" si="53"/>
        <v>0</v>
      </c>
      <c r="CP50" s="100">
        <f t="shared" si="54"/>
        <v>0</v>
      </c>
      <c r="CQ50" s="100">
        <f t="shared" si="55"/>
        <v>0</v>
      </c>
      <c r="CR50" s="311"/>
      <c r="CS50" s="215">
        <f t="shared" si="56"/>
        <v>0</v>
      </c>
      <c r="CT50" s="215">
        <f t="shared" si="57"/>
        <v>0</v>
      </c>
      <c r="CU50" s="215">
        <f t="shared" si="58"/>
        <v>0</v>
      </c>
      <c r="CV50" s="215">
        <f t="shared" si="59"/>
        <v>0</v>
      </c>
      <c r="CW50" s="215">
        <f t="shared" si="59"/>
        <v>0</v>
      </c>
      <c r="CX50" s="215">
        <f t="shared" si="59"/>
        <v>0</v>
      </c>
      <c r="CY50" s="215">
        <f t="shared" si="60"/>
        <v>0</v>
      </c>
      <c r="EX50" s="10" t="str">
        <f t="shared" ca="1" si="0"/>
        <v>Gain/(loss) on Disposal of Investments</v>
      </c>
    </row>
    <row r="51" spans="1:154" ht="15" customHeight="1" x14ac:dyDescent="0.35">
      <c r="A51" s="537" cm="1">
        <f t="array" aca="1" ref="A51" ca="1">HYPERLINK(CONCATENATE("#",CELL("address",IF(MAX($CK51:$CR51)=0,A51,INDEX($CK51:$CR51,MATCH(1,$CK51:$CR51,0))))),MAX($CK51:$CR51))</f>
        <v>0</v>
      </c>
      <c r="C51" s="213" t="str">
        <f>CONCATENATE("FS-",'I&amp;E Annual'!C$161)</f>
        <v>FS-IE-6a-2</v>
      </c>
      <c r="D51" s="572" t="str" cm="1">
        <f t="array" aca="1" ref="D51" ca="1">HYPERLINK(CONCATENATE("#",CELL("address",'I&amp;E Annual'!$D$161)),'I&amp;E Annual'!$D$161)</f>
        <v>Surplus/(loss) on Revaluation of Investments</v>
      </c>
      <c r="V51" s="12">
        <f t="shared" si="52"/>
        <v>0</v>
      </c>
      <c r="W51" s="12">
        <f t="shared" si="52"/>
        <v>0</v>
      </c>
      <c r="X51" s="12">
        <f t="shared" si="52"/>
        <v>0</v>
      </c>
      <c r="Y51" s="12">
        <f t="shared" si="52"/>
        <v>0</v>
      </c>
      <c r="AA51" s="99">
        <f>'I&amp;E Annual'!AA$161</f>
        <v>0</v>
      </c>
      <c r="AB51" s="99">
        <f>'I&amp;E Annual'!AB$161</f>
        <v>0</v>
      </c>
      <c r="AC51" s="99">
        <f>'I&amp;E Annual'!AC$161</f>
        <v>0</v>
      </c>
      <c r="AD51" s="99">
        <f>'I&amp;E Annual'!AD$161</f>
        <v>0</v>
      </c>
      <c r="AE51" s="99">
        <f>'I&amp;E Annual'!AE$161</f>
        <v>0</v>
      </c>
      <c r="AF51" s="99">
        <f>'I&amp;E Annual'!AF$161</f>
        <v>0</v>
      </c>
      <c r="AG51" s="99">
        <f>'I&amp;E Annual'!AG$161</f>
        <v>0</v>
      </c>
      <c r="AH51" s="99">
        <f>'I&amp;E Annual'!AH$161</f>
        <v>0</v>
      </c>
      <c r="AI51" s="99">
        <f>'I&amp;E Annual'!AI$161</f>
        <v>0</v>
      </c>
      <c r="AJ51" s="99">
        <f>'I&amp;E Annual'!AJ$161</f>
        <v>0</v>
      </c>
      <c r="AK51" s="99">
        <f>'I&amp;E Annual'!AK$161</f>
        <v>0</v>
      </c>
      <c r="AL51" s="99">
        <f>'I&amp;E Annual'!AL$161</f>
        <v>0</v>
      </c>
      <c r="AM51" s="99">
        <f>'I&amp;E Annual'!AM$161</f>
        <v>0</v>
      </c>
      <c r="AN51" s="99">
        <f>'I&amp;E Annual'!AN$161</f>
        <v>0</v>
      </c>
      <c r="AO51" s="99">
        <f>'I&amp;E Annual'!AO$161</f>
        <v>0</v>
      </c>
      <c r="AP51" s="99">
        <f>'I&amp;E Annual'!AP$161</f>
        <v>0</v>
      </c>
      <c r="AQ51" s="99">
        <f>'I&amp;E Annual'!AQ$161</f>
        <v>0</v>
      </c>
      <c r="AR51" s="99">
        <f>'I&amp;E Annual'!AR$161</f>
        <v>0</v>
      </c>
      <c r="AS51" s="99">
        <f>'I&amp;E Annual'!AS$161</f>
        <v>0</v>
      </c>
      <c r="AT51" s="99">
        <f>'I&amp;E Annual'!AT$161</f>
        <v>0</v>
      </c>
      <c r="AU51" s="99">
        <f>'I&amp;E Annual'!AU$161</f>
        <v>0</v>
      </c>
      <c r="AV51" s="99">
        <f>'I&amp;E Annual'!AV$161</f>
        <v>0</v>
      </c>
      <c r="AW51" s="99">
        <f>'I&amp;E Annual'!AW$161</f>
        <v>0</v>
      </c>
      <c r="AX51" s="99">
        <f>'I&amp;E Annual'!AX$161</f>
        <v>0</v>
      </c>
      <c r="AY51" s="99">
        <f>'I&amp;E Annual'!AY$161</f>
        <v>0</v>
      </c>
      <c r="AZ51" s="99">
        <f>'I&amp;E Annual'!AZ$161</f>
        <v>0</v>
      </c>
      <c r="BA51" s="99">
        <f>'I&amp;E Annual'!BA$161</f>
        <v>0</v>
      </c>
      <c r="BB51" s="99">
        <f>'I&amp;E Annual'!BB$161</f>
        <v>0</v>
      </c>
      <c r="BC51" s="99">
        <f>'I&amp;E Annual'!BC$161</f>
        <v>0</v>
      </c>
      <c r="BD51" s="99">
        <f>'I&amp;E Annual'!BD$161</f>
        <v>0</v>
      </c>
      <c r="BE51" s="99">
        <f>'I&amp;E Annual'!BE$161</f>
        <v>0</v>
      </c>
      <c r="BF51" s="99">
        <f>'I&amp;E Annual'!BF$161</f>
        <v>0</v>
      </c>
      <c r="BG51" s="99">
        <f>'I&amp;E Annual'!BG$161</f>
        <v>0</v>
      </c>
      <c r="BH51" s="99">
        <f>'I&amp;E Annual'!BH$161</f>
        <v>0</v>
      </c>
      <c r="BI51" s="99">
        <f>'I&amp;E Annual'!BI$161</f>
        <v>0</v>
      </c>
      <c r="BJ51" s="99">
        <f>'I&amp;E Annual'!BJ$161</f>
        <v>0</v>
      </c>
      <c r="BX51" s="99">
        <f>'I&amp;E Annual'!BX$161</f>
        <v>0</v>
      </c>
      <c r="BY51" s="99">
        <f>'I&amp;E Annual'!BY$161</f>
        <v>0</v>
      </c>
      <c r="BZ51" s="99">
        <f>'I&amp;E Annual'!BZ$161</f>
        <v>0</v>
      </c>
      <c r="CA51" s="99">
        <f>'I&amp;E Annual'!CA$161</f>
        <v>0</v>
      </c>
      <c r="CB51" s="99">
        <f>'I&amp;E Annual'!CB$161</f>
        <v>0</v>
      </c>
      <c r="CC51" s="99">
        <f>'I&amp;E Annual'!CC$161</f>
        <v>0</v>
      </c>
      <c r="CD51" s="99">
        <f>'I&amp;E Annual'!CD$161</f>
        <v>0</v>
      </c>
      <c r="CE51" s="99">
        <f>'I&amp;E Annual'!CE$161</f>
        <v>0</v>
      </c>
      <c r="CF51" s="99">
        <f>'I&amp;E Annual'!CF$161</f>
        <v>0</v>
      </c>
      <c r="CG51" s="99">
        <f>'I&amp;E Annual'!CG$161</f>
        <v>0</v>
      </c>
      <c r="CH51" s="99">
        <f>'I&amp;E Annual'!CH$161</f>
        <v>0</v>
      </c>
      <c r="CI51" s="99">
        <f>'I&amp;E Annual'!CI$161</f>
        <v>0</v>
      </c>
      <c r="CK51" s="311"/>
      <c r="CO51" s="100">
        <f t="shared" si="53"/>
        <v>0</v>
      </c>
      <c r="CP51" s="100">
        <f t="shared" si="54"/>
        <v>0</v>
      </c>
      <c r="CQ51" s="100">
        <f t="shared" si="55"/>
        <v>0</v>
      </c>
      <c r="CR51" s="311"/>
      <c r="CS51" s="215">
        <f t="shared" si="56"/>
        <v>0</v>
      </c>
      <c r="CT51" s="215">
        <f t="shared" si="57"/>
        <v>0</v>
      </c>
      <c r="CU51" s="215">
        <f t="shared" si="58"/>
        <v>0</v>
      </c>
      <c r="CV51" s="215">
        <f t="shared" si="59"/>
        <v>0</v>
      </c>
      <c r="CW51" s="215">
        <f t="shared" si="59"/>
        <v>0</v>
      </c>
      <c r="CX51" s="215">
        <f t="shared" si="59"/>
        <v>0</v>
      </c>
      <c r="CY51" s="215">
        <f t="shared" si="60"/>
        <v>0</v>
      </c>
      <c r="EX51" s="10" t="str">
        <f t="shared" ca="1" si="0"/>
        <v>Surplus/(loss) on Revaluation of Investments</v>
      </c>
    </row>
    <row r="52" spans="1:154" ht="15" customHeight="1" x14ac:dyDescent="0.35">
      <c r="A52" s="537" cm="1">
        <f t="array" aca="1" ref="A52" ca="1">HYPERLINK(CONCATENATE("#",CELL("address",IF(MAX($CK52:$CR52)=0,A52,INDEX($CK52:$CR52,MATCH(1,$CK52:$CR52,0))))),MAX($CK52:$CR52))</f>
        <v>0</v>
      </c>
      <c r="C52" s="213" t="str">
        <f>CONCATENATE("FS-",'I&amp;E Annual'!C$162)</f>
        <v>FS-IE-6a-3</v>
      </c>
      <c r="D52" s="570" t="str" cm="1">
        <f t="array" aca="1" ref="D52" ca="1">HYPERLINK(CONCATENATE("#",CELL("address",'I&amp;E Annual'!$D$162)),'I&amp;E Annual'!$D$162)</f>
        <v>Share of surplus / (deficit) in JVs and Associates (inc. overseas)</v>
      </c>
      <c r="V52" s="12">
        <f t="shared" si="52"/>
        <v>0</v>
      </c>
      <c r="W52" s="12">
        <f t="shared" si="52"/>
        <v>0</v>
      </c>
      <c r="X52" s="12">
        <f t="shared" si="52"/>
        <v>0</v>
      </c>
      <c r="Y52" s="12">
        <f t="shared" si="52"/>
        <v>0</v>
      </c>
      <c r="AA52" s="99">
        <f>'I&amp;E Annual'!AA$162</f>
        <v>0</v>
      </c>
      <c r="AB52" s="99">
        <f>'I&amp;E Annual'!AB$162</f>
        <v>0</v>
      </c>
      <c r="AC52" s="99">
        <f>'I&amp;E Annual'!AC$162</f>
        <v>0</v>
      </c>
      <c r="AD52" s="99">
        <f>'I&amp;E Annual'!AD$162</f>
        <v>0</v>
      </c>
      <c r="AE52" s="99">
        <f>'I&amp;E Annual'!AE$162</f>
        <v>0</v>
      </c>
      <c r="AF52" s="99">
        <f>'I&amp;E Annual'!AF$162</f>
        <v>0</v>
      </c>
      <c r="AG52" s="99">
        <f>'I&amp;E Annual'!AG$162</f>
        <v>0</v>
      </c>
      <c r="AH52" s="99">
        <f>'I&amp;E Annual'!AH$162</f>
        <v>0</v>
      </c>
      <c r="AI52" s="99">
        <f>'I&amp;E Annual'!AI$162</f>
        <v>0</v>
      </c>
      <c r="AJ52" s="99">
        <f>'I&amp;E Annual'!AJ$162</f>
        <v>0</v>
      </c>
      <c r="AK52" s="99">
        <f>'I&amp;E Annual'!AK$162</f>
        <v>0</v>
      </c>
      <c r="AL52" s="99">
        <f>'I&amp;E Annual'!AL$162</f>
        <v>0</v>
      </c>
      <c r="AM52" s="99">
        <f>'I&amp;E Annual'!AM$162</f>
        <v>0</v>
      </c>
      <c r="AN52" s="99">
        <f>'I&amp;E Annual'!AN$162</f>
        <v>0</v>
      </c>
      <c r="AO52" s="99">
        <f>'I&amp;E Annual'!AO$162</f>
        <v>0</v>
      </c>
      <c r="AP52" s="99">
        <f>'I&amp;E Annual'!AP$162</f>
        <v>0</v>
      </c>
      <c r="AQ52" s="99">
        <f>'I&amp;E Annual'!AQ$162</f>
        <v>0</v>
      </c>
      <c r="AR52" s="99">
        <f>'I&amp;E Annual'!AR$162</f>
        <v>0</v>
      </c>
      <c r="AS52" s="99">
        <f>'I&amp;E Annual'!AS$162</f>
        <v>0</v>
      </c>
      <c r="AT52" s="99">
        <f>'I&amp;E Annual'!AT$162</f>
        <v>0</v>
      </c>
      <c r="AU52" s="99">
        <f>'I&amp;E Annual'!AU$162</f>
        <v>0</v>
      </c>
      <c r="AV52" s="99">
        <f>'I&amp;E Annual'!AV$162</f>
        <v>0</v>
      </c>
      <c r="AW52" s="99">
        <f>'I&amp;E Annual'!AW$162</f>
        <v>0</v>
      </c>
      <c r="AX52" s="99">
        <f>'I&amp;E Annual'!AX$162</f>
        <v>0</v>
      </c>
      <c r="AY52" s="99">
        <f>'I&amp;E Annual'!AY$162</f>
        <v>0</v>
      </c>
      <c r="AZ52" s="99">
        <f>'I&amp;E Annual'!AZ$162</f>
        <v>0</v>
      </c>
      <c r="BA52" s="99">
        <f>'I&amp;E Annual'!BA$162</f>
        <v>0</v>
      </c>
      <c r="BB52" s="99">
        <f>'I&amp;E Annual'!BB$162</f>
        <v>0</v>
      </c>
      <c r="BC52" s="99">
        <f>'I&amp;E Annual'!BC$162</f>
        <v>0</v>
      </c>
      <c r="BD52" s="99">
        <f>'I&amp;E Annual'!BD$162</f>
        <v>0</v>
      </c>
      <c r="BE52" s="99">
        <f>'I&amp;E Annual'!BE$162</f>
        <v>0</v>
      </c>
      <c r="BF52" s="99">
        <f>'I&amp;E Annual'!BF$162</f>
        <v>0</v>
      </c>
      <c r="BG52" s="99">
        <f>'I&amp;E Annual'!BG$162</f>
        <v>0</v>
      </c>
      <c r="BH52" s="99">
        <f>'I&amp;E Annual'!BH$162</f>
        <v>0</v>
      </c>
      <c r="BI52" s="99">
        <f>'I&amp;E Annual'!BI$162</f>
        <v>0</v>
      </c>
      <c r="BJ52" s="99">
        <f>'I&amp;E Annual'!BJ$162</f>
        <v>0</v>
      </c>
      <c r="BX52" s="99">
        <f>'I&amp;E Annual'!BX$162</f>
        <v>0</v>
      </c>
      <c r="BY52" s="99">
        <f>'I&amp;E Annual'!BY$162</f>
        <v>0</v>
      </c>
      <c r="BZ52" s="99">
        <f>'I&amp;E Annual'!BZ$162</f>
        <v>0</v>
      </c>
      <c r="CA52" s="99">
        <f>'I&amp;E Annual'!CA$162</f>
        <v>0</v>
      </c>
      <c r="CB52" s="99">
        <f>'I&amp;E Annual'!CB$162</f>
        <v>0</v>
      </c>
      <c r="CC52" s="99">
        <f>'I&amp;E Annual'!CC$162</f>
        <v>0</v>
      </c>
      <c r="CD52" s="99">
        <f>'I&amp;E Annual'!CD$162</f>
        <v>0</v>
      </c>
      <c r="CE52" s="99">
        <f>'I&amp;E Annual'!CE$162</f>
        <v>0</v>
      </c>
      <c r="CF52" s="99">
        <f>'I&amp;E Annual'!CF$162</f>
        <v>0</v>
      </c>
      <c r="CG52" s="99">
        <f>'I&amp;E Annual'!CG$162</f>
        <v>0</v>
      </c>
      <c r="CH52" s="99">
        <f>'I&amp;E Annual'!CH$162</f>
        <v>0</v>
      </c>
      <c r="CI52" s="99">
        <f>'I&amp;E Annual'!CI$162</f>
        <v>0</v>
      </c>
      <c r="CK52" s="311"/>
      <c r="CO52" s="100">
        <f t="shared" si="53"/>
        <v>0</v>
      </c>
      <c r="CP52" s="100">
        <f t="shared" si="54"/>
        <v>0</v>
      </c>
      <c r="CQ52" s="100">
        <f t="shared" si="55"/>
        <v>0</v>
      </c>
      <c r="CR52" s="311"/>
      <c r="CS52" s="215">
        <f t="shared" si="56"/>
        <v>0</v>
      </c>
      <c r="CT52" s="215">
        <f t="shared" si="57"/>
        <v>0</v>
      </c>
      <c r="CU52" s="215">
        <f t="shared" si="58"/>
        <v>0</v>
      </c>
      <c r="CV52" s="215">
        <f t="shared" si="59"/>
        <v>0</v>
      </c>
      <c r="CW52" s="215">
        <f t="shared" si="59"/>
        <v>0</v>
      </c>
      <c r="CX52" s="215">
        <f t="shared" si="59"/>
        <v>0</v>
      </c>
      <c r="CY52" s="215">
        <f t="shared" si="60"/>
        <v>0</v>
      </c>
      <c r="EX52" s="10" t="str">
        <f t="shared" ca="1" si="0"/>
        <v>Share of surplus / (deficit) in JVs and Associates (inc. overseas)</v>
      </c>
    </row>
    <row r="53" spans="1:154" ht="15" customHeight="1" x14ac:dyDescent="0.35">
      <c r="A53" s="537" cm="1">
        <f t="array" aca="1" ref="A53" ca="1">HYPERLINK(CONCATENATE("#",CELL("address",IF(MAX($CK53:$CR53)=0,A53,INDEX($CK53:$CR53,MATCH(1,$CK53:$CR53,0))))),MAX($CK53:$CR53))</f>
        <v>0</v>
      </c>
      <c r="C53" s="213" t="str">
        <f>CONCATENATE("FS-",'I&amp;E Annual'!C$163)</f>
        <v>FS-IE-6a-4</v>
      </c>
      <c r="D53" s="570" t="str" cm="1">
        <f t="array" aca="1" ref="D53" ca="1">HYPERLINK(CONCATENATE("#",CELL("address",'I&amp;E Annual'!$D$163)),'I&amp;E Annual'!$D$163)</f>
        <v>Fair value of Net Assets due to merger / de-merger</v>
      </c>
      <c r="V53" s="12">
        <f t="shared" si="52"/>
        <v>0</v>
      </c>
      <c r="W53" s="12">
        <f t="shared" si="52"/>
        <v>0</v>
      </c>
      <c r="X53" s="12">
        <f t="shared" si="52"/>
        <v>0</v>
      </c>
      <c r="Y53" s="12">
        <f t="shared" si="52"/>
        <v>0</v>
      </c>
      <c r="AA53" s="99">
        <f>'I&amp;E Annual'!AA$163</f>
        <v>0</v>
      </c>
      <c r="AB53" s="99">
        <f>'I&amp;E Annual'!AB$163</f>
        <v>0</v>
      </c>
      <c r="AC53" s="99">
        <f>'I&amp;E Annual'!AC$163</f>
        <v>0</v>
      </c>
      <c r="AD53" s="99">
        <f>'I&amp;E Annual'!AD$163</f>
        <v>0</v>
      </c>
      <c r="AE53" s="99">
        <f>'I&amp;E Annual'!AE$163</f>
        <v>0</v>
      </c>
      <c r="AF53" s="99">
        <f>'I&amp;E Annual'!AF$163</f>
        <v>0</v>
      </c>
      <c r="AG53" s="99">
        <f>'I&amp;E Annual'!AG$163</f>
        <v>0</v>
      </c>
      <c r="AH53" s="99">
        <f>'I&amp;E Annual'!AH$163</f>
        <v>0</v>
      </c>
      <c r="AI53" s="99">
        <f>'I&amp;E Annual'!AI$163</f>
        <v>0</v>
      </c>
      <c r="AJ53" s="99">
        <f>'I&amp;E Annual'!AJ$163</f>
        <v>0</v>
      </c>
      <c r="AK53" s="99">
        <f>'I&amp;E Annual'!AK$163</f>
        <v>0</v>
      </c>
      <c r="AL53" s="99">
        <f>'I&amp;E Annual'!AL$163</f>
        <v>0</v>
      </c>
      <c r="AM53" s="99">
        <f>'I&amp;E Annual'!AM$163</f>
        <v>0</v>
      </c>
      <c r="AN53" s="99">
        <f>'I&amp;E Annual'!AN$163</f>
        <v>0</v>
      </c>
      <c r="AO53" s="99">
        <f>'I&amp;E Annual'!AO$163</f>
        <v>0</v>
      </c>
      <c r="AP53" s="99">
        <f>'I&amp;E Annual'!AP$163</f>
        <v>0</v>
      </c>
      <c r="AQ53" s="99">
        <f>'I&amp;E Annual'!AQ$163</f>
        <v>0</v>
      </c>
      <c r="AR53" s="99">
        <f>'I&amp;E Annual'!AR$163</f>
        <v>0</v>
      </c>
      <c r="AS53" s="99">
        <f>'I&amp;E Annual'!AS$163</f>
        <v>0</v>
      </c>
      <c r="AT53" s="99">
        <f>'I&amp;E Annual'!AT$163</f>
        <v>0</v>
      </c>
      <c r="AU53" s="99">
        <f>'I&amp;E Annual'!AU$163</f>
        <v>0</v>
      </c>
      <c r="AV53" s="99">
        <f>'I&amp;E Annual'!AV$163</f>
        <v>0</v>
      </c>
      <c r="AW53" s="99">
        <f>'I&amp;E Annual'!AW$163</f>
        <v>0</v>
      </c>
      <c r="AX53" s="99">
        <f>'I&amp;E Annual'!AX$163</f>
        <v>0</v>
      </c>
      <c r="AY53" s="99">
        <f>'I&amp;E Annual'!AY$163</f>
        <v>0</v>
      </c>
      <c r="AZ53" s="99">
        <f>'I&amp;E Annual'!AZ$163</f>
        <v>0</v>
      </c>
      <c r="BA53" s="99">
        <f>'I&amp;E Annual'!BA$163</f>
        <v>0</v>
      </c>
      <c r="BB53" s="99">
        <f>'I&amp;E Annual'!BB$163</f>
        <v>0</v>
      </c>
      <c r="BC53" s="99">
        <f>'I&amp;E Annual'!BC$163</f>
        <v>0</v>
      </c>
      <c r="BD53" s="99">
        <f>'I&amp;E Annual'!BD$163</f>
        <v>0</v>
      </c>
      <c r="BE53" s="99">
        <f>'I&amp;E Annual'!BE$163</f>
        <v>0</v>
      </c>
      <c r="BF53" s="99">
        <f>'I&amp;E Annual'!BF$163</f>
        <v>0</v>
      </c>
      <c r="BG53" s="99">
        <f>'I&amp;E Annual'!BG$163</f>
        <v>0</v>
      </c>
      <c r="BH53" s="99">
        <f>'I&amp;E Annual'!BH$163</f>
        <v>0</v>
      </c>
      <c r="BI53" s="99">
        <f>'I&amp;E Annual'!BI$163</f>
        <v>0</v>
      </c>
      <c r="BJ53" s="99">
        <f>'I&amp;E Annual'!BJ$163</f>
        <v>0</v>
      </c>
      <c r="BX53" s="99">
        <f>'I&amp;E Annual'!BX$163</f>
        <v>0</v>
      </c>
      <c r="BY53" s="99">
        <f>'I&amp;E Annual'!BY$163</f>
        <v>0</v>
      </c>
      <c r="BZ53" s="99">
        <f>'I&amp;E Annual'!BZ$163</f>
        <v>0</v>
      </c>
      <c r="CA53" s="99">
        <f>'I&amp;E Annual'!CA$163</f>
        <v>0</v>
      </c>
      <c r="CB53" s="99">
        <f>'I&amp;E Annual'!CB$163</f>
        <v>0</v>
      </c>
      <c r="CC53" s="99">
        <f>'I&amp;E Annual'!CC$163</f>
        <v>0</v>
      </c>
      <c r="CD53" s="99">
        <f>'I&amp;E Annual'!CD$163</f>
        <v>0</v>
      </c>
      <c r="CE53" s="99">
        <f>'I&amp;E Annual'!CE$163</f>
        <v>0</v>
      </c>
      <c r="CF53" s="99">
        <f>'I&amp;E Annual'!CF$163</f>
        <v>0</v>
      </c>
      <c r="CG53" s="99">
        <f>'I&amp;E Annual'!CG$163</f>
        <v>0</v>
      </c>
      <c r="CH53" s="99">
        <f>'I&amp;E Annual'!CH$163</f>
        <v>0</v>
      </c>
      <c r="CI53" s="99">
        <f>'I&amp;E Annual'!CI$163</f>
        <v>0</v>
      </c>
      <c r="CK53" s="311"/>
      <c r="CO53" s="100">
        <f t="shared" si="53"/>
        <v>0</v>
      </c>
      <c r="CP53" s="100">
        <f t="shared" si="54"/>
        <v>0</v>
      </c>
      <c r="CQ53" s="100">
        <f t="shared" si="55"/>
        <v>0</v>
      </c>
      <c r="CR53" s="311"/>
      <c r="CS53" s="215">
        <f t="shared" si="56"/>
        <v>0</v>
      </c>
      <c r="CT53" s="215">
        <f t="shared" si="57"/>
        <v>0</v>
      </c>
      <c r="CU53" s="215">
        <f t="shared" si="58"/>
        <v>0</v>
      </c>
      <c r="CV53" s="215">
        <f t="shared" si="59"/>
        <v>0</v>
      </c>
      <c r="CW53" s="215">
        <f t="shared" si="59"/>
        <v>0</v>
      </c>
      <c r="CX53" s="215">
        <f t="shared" si="59"/>
        <v>0</v>
      </c>
      <c r="CY53" s="215">
        <f t="shared" si="60"/>
        <v>0</v>
      </c>
      <c r="EX53" s="10"/>
    </row>
    <row r="54" spans="1:154" ht="15" customHeight="1" x14ac:dyDescent="0.35">
      <c r="A54" s="537" cm="1">
        <f t="array" aca="1" ref="A54" ca="1">HYPERLINK(CONCATENATE("#",CELL("address",IF(MAX($CK54:$CR54)=0,A54,INDEX($CK54:$CR54,MATCH(1,$CK54:$CR54,0))))),MAX($CK54:$CR54))</f>
        <v>0</v>
      </c>
      <c r="C54" s="213" t="str">
        <f>CONCATENATE("FS-",'I&amp;E Annual'!C$164)</f>
        <v>FS-IE-6a</v>
      </c>
      <c r="D54" s="107" t="str">
        <f>'I&amp;E Annual'!D$164</f>
        <v>Total other gains and losses</v>
      </c>
      <c r="V54" s="12">
        <f>SUM(V49:V53)*V$9</f>
        <v>0</v>
      </c>
      <c r="W54" s="12">
        <f>SUM(W49:W53)*W$9</f>
        <v>0</v>
      </c>
      <c r="X54" s="12">
        <f>SUM(X49:X53)*X$9</f>
        <v>0</v>
      </c>
      <c r="Y54" s="12">
        <f>SUM(Y49:Y53)*Y$9</f>
        <v>0</v>
      </c>
      <c r="AA54" s="12">
        <f t="shared" ref="AA54:BJ54" si="61">SUM(AA49:AA53)*AA$9</f>
        <v>0</v>
      </c>
      <c r="AB54" s="12">
        <f t="shared" si="61"/>
        <v>0</v>
      </c>
      <c r="AC54" s="12">
        <f t="shared" si="61"/>
        <v>0</v>
      </c>
      <c r="AD54" s="12">
        <f t="shared" si="61"/>
        <v>0</v>
      </c>
      <c r="AE54" s="12">
        <f t="shared" si="61"/>
        <v>0</v>
      </c>
      <c r="AF54" s="12">
        <f t="shared" si="61"/>
        <v>0</v>
      </c>
      <c r="AG54" s="12">
        <f t="shared" si="61"/>
        <v>0</v>
      </c>
      <c r="AH54" s="12">
        <f t="shared" si="61"/>
        <v>0</v>
      </c>
      <c r="AI54" s="12">
        <f t="shared" si="61"/>
        <v>0</v>
      </c>
      <c r="AJ54" s="12">
        <f t="shared" si="61"/>
        <v>0</v>
      </c>
      <c r="AK54" s="12">
        <f t="shared" si="61"/>
        <v>0</v>
      </c>
      <c r="AL54" s="12">
        <f t="shared" si="61"/>
        <v>0</v>
      </c>
      <c r="AM54" s="12">
        <f t="shared" si="61"/>
        <v>0</v>
      </c>
      <c r="AN54" s="12">
        <f t="shared" si="61"/>
        <v>0</v>
      </c>
      <c r="AO54" s="12">
        <f t="shared" si="61"/>
        <v>0</v>
      </c>
      <c r="AP54" s="12">
        <f t="shared" si="61"/>
        <v>0</v>
      </c>
      <c r="AQ54" s="12">
        <f t="shared" si="61"/>
        <v>0</v>
      </c>
      <c r="AR54" s="12">
        <f t="shared" si="61"/>
        <v>0</v>
      </c>
      <c r="AS54" s="12">
        <f t="shared" si="61"/>
        <v>0</v>
      </c>
      <c r="AT54" s="12">
        <f t="shared" si="61"/>
        <v>0</v>
      </c>
      <c r="AU54" s="12">
        <f t="shared" si="61"/>
        <v>0</v>
      </c>
      <c r="AV54" s="12">
        <f t="shared" si="61"/>
        <v>0</v>
      </c>
      <c r="AW54" s="12">
        <f t="shared" si="61"/>
        <v>0</v>
      </c>
      <c r="AX54" s="12">
        <f t="shared" si="61"/>
        <v>0</v>
      </c>
      <c r="AY54" s="12">
        <f t="shared" si="61"/>
        <v>0</v>
      </c>
      <c r="AZ54" s="12">
        <f t="shared" si="61"/>
        <v>0</v>
      </c>
      <c r="BA54" s="12">
        <f t="shared" si="61"/>
        <v>0</v>
      </c>
      <c r="BB54" s="12">
        <f t="shared" si="61"/>
        <v>0</v>
      </c>
      <c r="BC54" s="12">
        <f t="shared" si="61"/>
        <v>0</v>
      </c>
      <c r="BD54" s="12">
        <f t="shared" si="61"/>
        <v>0</v>
      </c>
      <c r="BE54" s="12">
        <f t="shared" si="61"/>
        <v>0</v>
      </c>
      <c r="BF54" s="12">
        <f t="shared" si="61"/>
        <v>0</v>
      </c>
      <c r="BG54" s="12">
        <f t="shared" si="61"/>
        <v>0</v>
      </c>
      <c r="BH54" s="12">
        <f t="shared" si="61"/>
        <v>0</v>
      </c>
      <c r="BI54" s="12">
        <f t="shared" si="61"/>
        <v>0</v>
      </c>
      <c r="BJ54" s="12">
        <f t="shared" si="61"/>
        <v>0</v>
      </c>
      <c r="BX54" s="12">
        <f t="shared" ref="BX54:CI54" si="62">SUM(BX49:BX53)*BX$9</f>
        <v>0</v>
      </c>
      <c r="BY54" s="12">
        <f t="shared" si="62"/>
        <v>0</v>
      </c>
      <c r="BZ54" s="12">
        <f t="shared" si="62"/>
        <v>0</v>
      </c>
      <c r="CA54" s="12">
        <f t="shared" si="62"/>
        <v>0</v>
      </c>
      <c r="CB54" s="12">
        <f t="shared" si="62"/>
        <v>0</v>
      </c>
      <c r="CC54" s="12">
        <f t="shared" si="62"/>
        <v>0</v>
      </c>
      <c r="CD54" s="12">
        <f t="shared" si="62"/>
        <v>0</v>
      </c>
      <c r="CE54" s="12">
        <f t="shared" si="62"/>
        <v>0</v>
      </c>
      <c r="CF54" s="12">
        <f t="shared" si="62"/>
        <v>0</v>
      </c>
      <c r="CG54" s="12">
        <f t="shared" si="62"/>
        <v>0</v>
      </c>
      <c r="CH54" s="12">
        <f t="shared" si="62"/>
        <v>0</v>
      </c>
      <c r="CI54" s="12">
        <f t="shared" si="62"/>
        <v>0</v>
      </c>
      <c r="CK54" s="311"/>
      <c r="CO54" s="100">
        <f t="shared" si="53"/>
        <v>0</v>
      </c>
      <c r="CP54" s="100">
        <f t="shared" si="54"/>
        <v>0</v>
      </c>
      <c r="CQ54" s="100">
        <f t="shared" si="55"/>
        <v>0</v>
      </c>
      <c r="CR54" s="311"/>
      <c r="CS54" s="215">
        <f t="shared" si="56"/>
        <v>0</v>
      </c>
      <c r="CT54" s="215">
        <f t="shared" si="57"/>
        <v>0</v>
      </c>
      <c r="CU54" s="215">
        <f t="shared" si="58"/>
        <v>0</v>
      </c>
      <c r="CV54" s="215">
        <f t="shared" si="59"/>
        <v>0</v>
      </c>
      <c r="CW54" s="215">
        <f t="shared" si="59"/>
        <v>0</v>
      </c>
      <c r="CX54" s="215">
        <f t="shared" si="59"/>
        <v>0</v>
      </c>
      <c r="CY54" s="215">
        <f t="shared" si="60"/>
        <v>0</v>
      </c>
      <c r="EX54" s="10" t="str">
        <f t="shared" ref="EX54:EX86" si="63">IF($C54="","",$D54)</f>
        <v>Total other gains and losses</v>
      </c>
    </row>
    <row r="55" spans="1:154" ht="11.65" customHeight="1" x14ac:dyDescent="0.35">
      <c r="C55" s="213"/>
      <c r="E55"/>
      <c r="CK55" s="311"/>
      <c r="CO55" s="120"/>
      <c r="CP55" s="120"/>
      <c r="CQ55" s="120"/>
      <c r="CR55" s="311"/>
      <c r="EX55" s="10" t="str">
        <f t="shared" si="63"/>
        <v/>
      </c>
    </row>
    <row r="56" spans="1:154" ht="15" customHeight="1" x14ac:dyDescent="0.35">
      <c r="A56" s="537" cm="1">
        <f t="array" aca="1" ref="A56" ca="1">HYPERLINK(CONCATENATE("#",CELL("address",IF(MAX($CK56:$CR56)=0,A56,INDEX($CK56:$CR56,MATCH(1,$CK56:$CR56,0))))),MAX($CK56:$CR56))</f>
        <v>0</v>
      </c>
      <c r="C56" s="213" t="str">
        <f>CONCATENATE("FS-",'I&amp;E Annual'!C$166)</f>
        <v>FS-IE-6</v>
      </c>
      <c r="D56" s="107" t="str">
        <f>'I&amp;E Annual'!D$166</f>
        <v>Total surplus/(deficit) for the year</v>
      </c>
      <c r="V56" s="12">
        <f>SUM(V47+V54)</f>
        <v>0</v>
      </c>
      <c r="W56" s="12">
        <f>SUM(W47+W54)</f>
        <v>0</v>
      </c>
      <c r="X56" s="12">
        <f>SUM(X47+X54)</f>
        <v>0</v>
      </c>
      <c r="Y56" s="12">
        <f>SUM(Y47+Y54)</f>
        <v>0</v>
      </c>
      <c r="AA56" s="12">
        <f t="shared" ref="AA56:BJ56" si="64">SUM(AA47+AA54)</f>
        <v>0</v>
      </c>
      <c r="AB56" s="12">
        <f t="shared" si="64"/>
        <v>0</v>
      </c>
      <c r="AC56" s="12">
        <f t="shared" si="64"/>
        <v>0</v>
      </c>
      <c r="AD56" s="12">
        <f t="shared" si="64"/>
        <v>0</v>
      </c>
      <c r="AE56" s="12">
        <f t="shared" si="64"/>
        <v>0</v>
      </c>
      <c r="AF56" s="12">
        <f t="shared" si="64"/>
        <v>0</v>
      </c>
      <c r="AG56" s="12">
        <f t="shared" si="64"/>
        <v>0</v>
      </c>
      <c r="AH56" s="12">
        <f t="shared" si="64"/>
        <v>0</v>
      </c>
      <c r="AI56" s="12">
        <f t="shared" si="64"/>
        <v>0</v>
      </c>
      <c r="AJ56" s="12">
        <f t="shared" si="64"/>
        <v>0</v>
      </c>
      <c r="AK56" s="12">
        <f t="shared" si="64"/>
        <v>0</v>
      </c>
      <c r="AL56" s="12">
        <f t="shared" si="64"/>
        <v>0</v>
      </c>
      <c r="AM56" s="12">
        <f t="shared" si="64"/>
        <v>0</v>
      </c>
      <c r="AN56" s="12">
        <f t="shared" si="64"/>
        <v>0</v>
      </c>
      <c r="AO56" s="12">
        <f t="shared" si="64"/>
        <v>0</v>
      </c>
      <c r="AP56" s="12">
        <f t="shared" si="64"/>
        <v>0</v>
      </c>
      <c r="AQ56" s="12">
        <f t="shared" si="64"/>
        <v>0</v>
      </c>
      <c r="AR56" s="12">
        <f t="shared" si="64"/>
        <v>0</v>
      </c>
      <c r="AS56" s="12">
        <f t="shared" si="64"/>
        <v>0</v>
      </c>
      <c r="AT56" s="12">
        <f t="shared" si="64"/>
        <v>0</v>
      </c>
      <c r="AU56" s="12">
        <f t="shared" si="64"/>
        <v>0</v>
      </c>
      <c r="AV56" s="12">
        <f t="shared" si="64"/>
        <v>0</v>
      </c>
      <c r="AW56" s="12">
        <f t="shared" si="64"/>
        <v>0</v>
      </c>
      <c r="AX56" s="12">
        <f t="shared" si="64"/>
        <v>0</v>
      </c>
      <c r="AY56" s="12">
        <f t="shared" si="64"/>
        <v>0</v>
      </c>
      <c r="AZ56" s="12">
        <f t="shared" si="64"/>
        <v>0</v>
      </c>
      <c r="BA56" s="12">
        <f t="shared" si="64"/>
        <v>0</v>
      </c>
      <c r="BB56" s="12">
        <f t="shared" si="64"/>
        <v>0</v>
      </c>
      <c r="BC56" s="12">
        <f t="shared" si="64"/>
        <v>0</v>
      </c>
      <c r="BD56" s="12">
        <f t="shared" si="64"/>
        <v>0</v>
      </c>
      <c r="BE56" s="12">
        <f t="shared" si="64"/>
        <v>0</v>
      </c>
      <c r="BF56" s="12">
        <f t="shared" si="64"/>
        <v>0</v>
      </c>
      <c r="BG56" s="12">
        <f t="shared" si="64"/>
        <v>0</v>
      </c>
      <c r="BH56" s="12">
        <f t="shared" si="64"/>
        <v>0</v>
      </c>
      <c r="BI56" s="12">
        <f t="shared" si="64"/>
        <v>0</v>
      </c>
      <c r="BJ56" s="12">
        <f t="shared" si="64"/>
        <v>0</v>
      </c>
      <c r="BX56" s="12">
        <f t="shared" ref="BX56:CI56" si="65">SUM(BX47+BX54)</f>
        <v>0</v>
      </c>
      <c r="BY56" s="12">
        <f t="shared" si="65"/>
        <v>0</v>
      </c>
      <c r="BZ56" s="12">
        <f t="shared" si="65"/>
        <v>0</v>
      </c>
      <c r="CA56" s="12">
        <f t="shared" si="65"/>
        <v>0</v>
      </c>
      <c r="CB56" s="12">
        <f t="shared" si="65"/>
        <v>0</v>
      </c>
      <c r="CC56" s="12">
        <f t="shared" si="65"/>
        <v>0</v>
      </c>
      <c r="CD56" s="12">
        <f t="shared" si="65"/>
        <v>0</v>
      </c>
      <c r="CE56" s="12">
        <f t="shared" si="65"/>
        <v>0</v>
      </c>
      <c r="CF56" s="12">
        <f t="shared" si="65"/>
        <v>0</v>
      </c>
      <c r="CG56" s="12">
        <f t="shared" si="65"/>
        <v>0</v>
      </c>
      <c r="CH56" s="12">
        <f t="shared" si="65"/>
        <v>0</v>
      </c>
      <c r="CI56" s="12">
        <f t="shared" si="65"/>
        <v>0</v>
      </c>
      <c r="CK56" s="311"/>
      <c r="CO56" s="100">
        <f>IF(SUM($CS56:$CU56)=0, 0, 1)</f>
        <v>0</v>
      </c>
      <c r="CP56" s="100">
        <f>IF(SUM($CV56:$CX56)=0, 0, 1)</f>
        <v>0</v>
      </c>
      <c r="CQ56" s="100">
        <f>IF(CY56=0, 0, 1)</f>
        <v>0</v>
      </c>
      <c r="CR56" s="311"/>
      <c r="CS56" s="215">
        <f>ROUND(W56-SUMIFS($AA56:$BJ56, $AA$3:$BJ$3, W$3), rounding)</f>
        <v>0</v>
      </c>
      <c r="CT56" s="215">
        <f>ROUND($X56-SUMIFS($AA56:$BJ56, $AA$3:$BJ$3, X$3), rounding)</f>
        <v>0</v>
      </c>
      <c r="CU56" s="215">
        <f>ROUND($Y56-SUMIFS($AA56:$BJ56, $AA$3:$BJ$3, Y$3), rounding)</f>
        <v>0</v>
      </c>
      <c r="CV56" s="215">
        <f>ROUND(W56-BY56, rounding)</f>
        <v>0</v>
      </c>
      <c r="CW56" s="215">
        <f>ROUND(X56-BZ56, rounding)</f>
        <v>0</v>
      </c>
      <c r="CX56" s="215">
        <f>ROUND(Y56-CA56, rounding)</f>
        <v>0</v>
      </c>
      <c r="CY56" s="215">
        <f>ROUND(V56-BX56, rounding)</f>
        <v>0</v>
      </c>
      <c r="EX56" s="10" t="str">
        <f t="shared" si="63"/>
        <v>Total surplus/(deficit) for the year</v>
      </c>
    </row>
    <row r="57" spans="1:154" ht="11.65" customHeight="1" x14ac:dyDescent="0.35">
      <c r="C57" s="213"/>
      <c r="E57"/>
      <c r="CK57" s="311"/>
      <c r="CO57" s="120"/>
      <c r="CP57" s="120"/>
      <c r="CQ57" s="120"/>
      <c r="CR57" s="311"/>
      <c r="EX57" s="10" t="str">
        <f t="shared" si="63"/>
        <v/>
      </c>
    </row>
    <row r="58" spans="1:154" ht="15" customHeight="1" x14ac:dyDescent="0.35">
      <c r="A58" s="537" cm="1">
        <f t="array" aca="1" ref="A58" ca="1">HYPERLINK(CONCATENATE("#",CELL("address",IF(MAX($CK58:$CR58)=0,A58,INDEX($CK58:$CR58,MATCH(1,$CK58:$CR58,0))))),MAX($CK58:$CR58))</f>
        <v>0</v>
      </c>
      <c r="C58" s="213"/>
      <c r="D58" s="571" t="s">
        <v>1519</v>
      </c>
      <c r="V58" s="125">
        <f>ROUND(V56-'I&amp;E Annual'!BX$166, rounding)*V$9</f>
        <v>0</v>
      </c>
      <c r="W58" s="125">
        <f>ROUND(W56-'I&amp;E Annual'!BY$166, rounding)*W$9</f>
        <v>0</v>
      </c>
      <c r="X58" s="125">
        <f>ROUND(X56-'I&amp;E Annual'!BZ$166, rounding)*X$9</f>
        <v>0</v>
      </c>
      <c r="Y58" s="125">
        <f>ROUND(Y56-'I&amp;E Annual'!CA$166, rounding)*Y$9</f>
        <v>0</v>
      </c>
      <c r="AA58" s="125">
        <f>ROUND(AA56-'I&amp;E Annual'!AA$166, rounding)*AA$9</f>
        <v>0</v>
      </c>
      <c r="AB58" s="125">
        <f>ROUND(AB56-'I&amp;E Annual'!AB$166, rounding)*AB$9</f>
        <v>0</v>
      </c>
      <c r="AC58" s="125">
        <f>ROUND(AC56-'I&amp;E Annual'!AC$166, rounding)*AC$9</f>
        <v>0</v>
      </c>
      <c r="AD58" s="125">
        <f>ROUND(AD56-'I&amp;E Annual'!AD$166, rounding)*AD$9</f>
        <v>0</v>
      </c>
      <c r="AE58" s="125">
        <f>ROUND(AE56-'I&amp;E Annual'!AE$166, rounding)*AE$9</f>
        <v>0</v>
      </c>
      <c r="AF58" s="125">
        <f>ROUND(AF56-'I&amp;E Annual'!AF$166, rounding)*AF$9</f>
        <v>0</v>
      </c>
      <c r="AG58" s="125">
        <f>ROUND(AG56-'I&amp;E Annual'!AG$166, rounding)*AG$9</f>
        <v>0</v>
      </c>
      <c r="AH58" s="125">
        <f>ROUND(AH56-'I&amp;E Annual'!AH$166, rounding)*AH$9</f>
        <v>0</v>
      </c>
      <c r="AI58" s="125">
        <f>ROUND(AI56-'I&amp;E Annual'!AI$166, rounding)*AI$9</f>
        <v>0</v>
      </c>
      <c r="AJ58" s="125">
        <f>ROUND(AJ56-'I&amp;E Annual'!AJ$166, rounding)*AJ$9</f>
        <v>0</v>
      </c>
      <c r="AK58" s="125">
        <f>ROUND(AK56-'I&amp;E Annual'!AK$166, rounding)*AK$9</f>
        <v>0</v>
      </c>
      <c r="AL58" s="125">
        <f>ROUND(AL56-'I&amp;E Annual'!AL$166, rounding)*AL$9</f>
        <v>0</v>
      </c>
      <c r="AM58" s="125">
        <f>ROUND(AM56-'I&amp;E Annual'!AM$166, rounding)*AM$9</f>
        <v>0</v>
      </c>
      <c r="AN58" s="125">
        <f>ROUND(AN56-'I&amp;E Annual'!AN$166, rounding)*AN$9</f>
        <v>0</v>
      </c>
      <c r="AO58" s="125">
        <f>ROUND(AO56-'I&amp;E Annual'!AO$166, rounding)*AO$9</f>
        <v>0</v>
      </c>
      <c r="AP58" s="125">
        <f>ROUND(AP56-'I&amp;E Annual'!AP$166, rounding)*AP$9</f>
        <v>0</v>
      </c>
      <c r="AQ58" s="125">
        <f>ROUND(AQ56-'I&amp;E Annual'!AQ$166, rounding)*AQ$9</f>
        <v>0</v>
      </c>
      <c r="AR58" s="125">
        <f>ROUND(AR56-'I&amp;E Annual'!AR$166, rounding)*AR$9</f>
        <v>0</v>
      </c>
      <c r="AS58" s="125">
        <f>ROUND(AS56-'I&amp;E Annual'!AS$166, rounding)*AS$9</f>
        <v>0</v>
      </c>
      <c r="AT58" s="125">
        <f>ROUND(AT56-'I&amp;E Annual'!AT$166, rounding)*AT$9</f>
        <v>0</v>
      </c>
      <c r="AU58" s="125">
        <f>ROUND(AU56-'I&amp;E Annual'!AU$166, rounding)*AU$9</f>
        <v>0</v>
      </c>
      <c r="AV58" s="125">
        <f>ROUND(AV56-'I&amp;E Annual'!AV$166, rounding)*AV$9</f>
        <v>0</v>
      </c>
      <c r="AW58" s="125">
        <f>ROUND(AW56-'I&amp;E Annual'!AW$166, rounding)*AW$9</f>
        <v>0</v>
      </c>
      <c r="AX58" s="125">
        <f>ROUND(AX56-'I&amp;E Annual'!AX$166, rounding)*AX$9</f>
        <v>0</v>
      </c>
      <c r="AY58" s="125">
        <f>ROUND(AY56-'I&amp;E Annual'!AY$166, rounding)*AY$9</f>
        <v>0</v>
      </c>
      <c r="AZ58" s="125">
        <f>ROUND(AZ56-'I&amp;E Annual'!AZ$166, rounding)*AZ$9</f>
        <v>0</v>
      </c>
      <c r="BA58" s="125">
        <f>ROUND(BA56-'I&amp;E Annual'!BA$166, rounding)*BA$9</f>
        <v>0</v>
      </c>
      <c r="BB58" s="125">
        <f>ROUND(BB56-'I&amp;E Annual'!BB$166, rounding)*BB$9</f>
        <v>0</v>
      </c>
      <c r="BC58" s="125">
        <f>ROUND(BC56-'I&amp;E Annual'!BC$166, rounding)*BC$9</f>
        <v>0</v>
      </c>
      <c r="BD58" s="125">
        <f>ROUND(BD56-'I&amp;E Annual'!BD$166, rounding)*BD$9</f>
        <v>0</v>
      </c>
      <c r="BE58" s="125">
        <f>ROUND(BE56-'I&amp;E Annual'!BE$166, rounding)*BE$9</f>
        <v>0</v>
      </c>
      <c r="BF58" s="125">
        <f>ROUND(BF56-'I&amp;E Annual'!BF$166, rounding)*BF$9</f>
        <v>0</v>
      </c>
      <c r="BG58" s="125">
        <f>ROUND(BG56-'I&amp;E Annual'!BG$166, rounding)*BG$9</f>
        <v>0</v>
      </c>
      <c r="BH58" s="125">
        <f>ROUND(BH56-'I&amp;E Annual'!BH$166, rounding)*BH$9</f>
        <v>0</v>
      </c>
      <c r="BI58" s="125">
        <f>ROUND(BI56-'I&amp;E Annual'!BI$166, rounding)*BI$9</f>
        <v>0</v>
      </c>
      <c r="BJ58" s="125">
        <f>ROUND(BJ56-'I&amp;E Annual'!BJ$166, rounding)*BJ$9</f>
        <v>0</v>
      </c>
      <c r="BX58" s="125">
        <f>ROUND(BX56-'I&amp;E Annual'!BX$166, rounding)*BX$9</f>
        <v>0</v>
      </c>
      <c r="BY58" s="125">
        <f>ROUND(BY56-'I&amp;E Annual'!BY$166, rounding)*BY$9</f>
        <v>0</v>
      </c>
      <c r="BZ58" s="125">
        <f>ROUND(BZ56-'I&amp;E Annual'!BZ$166, rounding)*BZ$9</f>
        <v>0</v>
      </c>
      <c r="CA58" s="125">
        <f>ROUND(CA56-'I&amp;E Annual'!CA$166, rounding)*CA$9</f>
        <v>0</v>
      </c>
      <c r="CB58" s="125">
        <f>ROUND(CB56-'I&amp;E Annual'!CB$166, rounding)*CB$9</f>
        <v>0</v>
      </c>
      <c r="CC58" s="125">
        <f>ROUND(CC56-'I&amp;E Annual'!CC$166, rounding)*CC$9</f>
        <v>0</v>
      </c>
      <c r="CD58" s="125">
        <f>ROUND(CD56-'I&amp;E Annual'!CD$166, rounding)*CD$9</f>
        <v>0</v>
      </c>
      <c r="CE58" s="125">
        <f>ROUND(CE56-'I&amp;E Annual'!CE$166, rounding)*CE$9</f>
        <v>0</v>
      </c>
      <c r="CF58" s="125">
        <f>ROUND(CF56-'I&amp;E Annual'!CF$166, rounding)*CF$9</f>
        <v>0</v>
      </c>
      <c r="CG58" s="125">
        <f>ROUND(CG56-'I&amp;E Annual'!CG$166, rounding)*CG$9</f>
        <v>0</v>
      </c>
      <c r="CH58" s="125">
        <f>ROUND(CH56-'I&amp;E Annual'!CH$166, rounding)*CH$9</f>
        <v>0</v>
      </c>
      <c r="CI58" s="125">
        <f>ROUND(CI56-'I&amp;E Annual'!CI$166, rounding)*CI$9</f>
        <v>0</v>
      </c>
      <c r="CK58" s="311"/>
      <c r="CL58" s="7">
        <f>IF(SUM($V58:$CI58)=0, 0, 1)</f>
        <v>0</v>
      </c>
      <c r="CO58" s="100">
        <f>IF(SUM($CS58:$CU58)=0, 0, 1)</f>
        <v>0</v>
      </c>
      <c r="CP58" s="100">
        <f>IF(SUM($CV58:$CX58)=0, 0, 1)</f>
        <v>0</v>
      </c>
      <c r="CQ58" s="100">
        <f>IF(CY58=0, 0, 1)</f>
        <v>0</v>
      </c>
      <c r="CR58" s="311"/>
      <c r="CS58" s="215">
        <f>ROUND(W58-SUMIFS($AA58:$BJ58, $AA$3:$BJ$3, W$3), rounding)</f>
        <v>0</v>
      </c>
      <c r="CT58" s="215">
        <f>ROUND($X58-SUMIFS($AA58:$BJ58, $AA$3:$BJ$3, X$3), rounding)</f>
        <v>0</v>
      </c>
      <c r="CU58" s="215">
        <f>ROUND($Y58-SUMIFS($AA58:$BJ58, $AA$3:$BJ$3, Y$3), rounding)</f>
        <v>0</v>
      </c>
      <c r="CV58" s="215">
        <f>ROUND(W58-BY58, rounding)</f>
        <v>0</v>
      </c>
      <c r="CW58" s="215">
        <f>ROUND(X58-BZ58, rounding)</f>
        <v>0</v>
      </c>
      <c r="CX58" s="215">
        <f>ROUND(Y58-CA58, rounding)</f>
        <v>0</v>
      </c>
      <c r="CY58" s="215">
        <f>ROUND(V58-BX58, rounding)</f>
        <v>0</v>
      </c>
      <c r="EX58" s="10" t="str">
        <f t="shared" si="63"/>
        <v/>
      </c>
    </row>
    <row r="59" spans="1:154" ht="8.25" customHeight="1" x14ac:dyDescent="0.35">
      <c r="C59" s="213"/>
      <c r="E59"/>
      <c r="CK59" s="311"/>
      <c r="CO59" s="120"/>
      <c r="CP59" s="120"/>
      <c r="CQ59" s="120"/>
      <c r="CR59" s="311"/>
      <c r="EX59" s="10" t="str">
        <f t="shared" si="63"/>
        <v/>
      </c>
    </row>
    <row r="60" spans="1:154" ht="15" customHeight="1" x14ac:dyDescent="0.35">
      <c r="A60" s="537" cm="1">
        <f t="array" aca="1" ref="A60" ca="1">HYPERLINK(CONCATENATE("#",CELL("address",IF(MAX($CK60:$CR60)=0,A60,INDEX($CK60:$CR60,MATCH(1,$CK60:$CR60,0))))),MAX($CK60:$CR60))</f>
        <v>0</v>
      </c>
      <c r="C60" s="213" t="str">
        <f>CONCATENATE("FS-",'I&amp;E Annual'!C$170)</f>
        <v>FS-IE-7</v>
      </c>
      <c r="D60" s="107" t="str">
        <f>'I&amp;E Annual'!D$170</f>
        <v>Total Comprehensive Income</v>
      </c>
      <c r="V60" s="12">
        <f>BX60</f>
        <v>0</v>
      </c>
      <c r="W60" s="12">
        <f>BY60</f>
        <v>0</v>
      </c>
      <c r="X60" s="12">
        <f>BZ60</f>
        <v>0</v>
      </c>
      <c r="Y60" s="12">
        <f>CA60</f>
        <v>0</v>
      </c>
      <c r="AA60" s="12">
        <f>'I&amp;E Annual'!AA$170*AA$9</f>
        <v>0</v>
      </c>
      <c r="AB60" s="12">
        <f>'I&amp;E Annual'!AB$170*AB$9</f>
        <v>0</v>
      </c>
      <c r="AC60" s="12">
        <f>'I&amp;E Annual'!AC$170*AC$9</f>
        <v>0</v>
      </c>
      <c r="AD60" s="12">
        <f>'I&amp;E Annual'!AD$170*AD$9</f>
        <v>0</v>
      </c>
      <c r="AE60" s="12">
        <f>'I&amp;E Annual'!AE$170*AE$9</f>
        <v>0</v>
      </c>
      <c r="AF60" s="12">
        <f>'I&amp;E Annual'!AF$170*AF$9</f>
        <v>0</v>
      </c>
      <c r="AG60" s="12">
        <f>'I&amp;E Annual'!AG$170*AG$9</f>
        <v>0</v>
      </c>
      <c r="AH60" s="12">
        <f>'I&amp;E Annual'!AH$170*AH$9</f>
        <v>0</v>
      </c>
      <c r="AI60" s="12">
        <f>'I&amp;E Annual'!AI$170*AI$9</f>
        <v>0</v>
      </c>
      <c r="AJ60" s="12">
        <f>'I&amp;E Annual'!AJ$170*AJ$9</f>
        <v>0</v>
      </c>
      <c r="AK60" s="12">
        <f>'I&amp;E Annual'!AK$170*AK$9</f>
        <v>0</v>
      </c>
      <c r="AL60" s="12">
        <f>'I&amp;E Annual'!AL$170*AL$9</f>
        <v>0</v>
      </c>
      <c r="AM60" s="12">
        <f>'I&amp;E Annual'!AM$170*AM$9</f>
        <v>0</v>
      </c>
      <c r="AN60" s="12">
        <f>'I&amp;E Annual'!AN$170*AN$9</f>
        <v>0</v>
      </c>
      <c r="AO60" s="12">
        <f>'I&amp;E Annual'!AO$170*AO$9</f>
        <v>0</v>
      </c>
      <c r="AP60" s="12">
        <f>'I&amp;E Annual'!AP$170*AP$9</f>
        <v>0</v>
      </c>
      <c r="AQ60" s="12">
        <f>'I&amp;E Annual'!AQ$170*AQ$9</f>
        <v>0</v>
      </c>
      <c r="AR60" s="12">
        <f>'I&amp;E Annual'!AR$170*AR$9</f>
        <v>0</v>
      </c>
      <c r="AS60" s="12">
        <f>'I&amp;E Annual'!AS$170*AS$9</f>
        <v>0</v>
      </c>
      <c r="AT60" s="12">
        <f>'I&amp;E Annual'!AT$170*AT$9</f>
        <v>0</v>
      </c>
      <c r="AU60" s="12">
        <f>'I&amp;E Annual'!AU$170*AU$9</f>
        <v>0</v>
      </c>
      <c r="AV60" s="12">
        <f>'I&amp;E Annual'!AV$170*AV$9</f>
        <v>0</v>
      </c>
      <c r="AW60" s="12">
        <f>'I&amp;E Annual'!AW$170*AW$9</f>
        <v>0</v>
      </c>
      <c r="AX60" s="12">
        <f>'I&amp;E Annual'!AX$170*AX$9</f>
        <v>0</v>
      </c>
      <c r="AY60" s="12">
        <f>'I&amp;E Annual'!AY$170*AY$9</f>
        <v>0</v>
      </c>
      <c r="AZ60" s="12">
        <f>'I&amp;E Annual'!AZ$170*AZ$9</f>
        <v>0</v>
      </c>
      <c r="BA60" s="12">
        <f>'I&amp;E Annual'!BA$170*BA$9</f>
        <v>0</v>
      </c>
      <c r="BB60" s="12">
        <f>'I&amp;E Annual'!BB$170*BB$9</f>
        <v>0</v>
      </c>
      <c r="BC60" s="12">
        <f>'I&amp;E Annual'!BC$170*BC$9</f>
        <v>0</v>
      </c>
      <c r="BD60" s="12">
        <f>'I&amp;E Annual'!BD$170*BD$9</f>
        <v>0</v>
      </c>
      <c r="BE60" s="12">
        <f>'I&amp;E Annual'!BE$170*BE$9</f>
        <v>0</v>
      </c>
      <c r="BF60" s="12">
        <f>'I&amp;E Annual'!BF$170*BF$9</f>
        <v>0</v>
      </c>
      <c r="BG60" s="12">
        <f>'I&amp;E Annual'!BG$170*BG$9</f>
        <v>0</v>
      </c>
      <c r="BH60" s="12">
        <f>'I&amp;E Annual'!BH$170*BH$9</f>
        <v>0</v>
      </c>
      <c r="BI60" s="12">
        <f>'I&amp;E Annual'!BI$170*BI$9</f>
        <v>0</v>
      </c>
      <c r="BJ60" s="12">
        <f>'I&amp;E Annual'!BJ$170*BJ$9</f>
        <v>0</v>
      </c>
      <c r="BX60" s="12">
        <f>'I&amp;E Annual'!BX$170*BX$9</f>
        <v>0</v>
      </c>
      <c r="BY60" s="12">
        <f>'I&amp;E Annual'!BY$170*BY$9</f>
        <v>0</v>
      </c>
      <c r="BZ60" s="12">
        <f>'I&amp;E Annual'!BZ$170*BZ$9</f>
        <v>0</v>
      </c>
      <c r="CA60" s="12">
        <f>'I&amp;E Annual'!CA$170*CA$9</f>
        <v>0</v>
      </c>
      <c r="CB60" s="12">
        <f>'I&amp;E Annual'!CB$170*CB$9</f>
        <v>0</v>
      </c>
      <c r="CC60" s="12">
        <f>'I&amp;E Annual'!CC$170*CC$9</f>
        <v>0</v>
      </c>
      <c r="CD60" s="12">
        <f>'I&amp;E Annual'!CD$170*CD$9</f>
        <v>0</v>
      </c>
      <c r="CE60" s="12">
        <f>'I&amp;E Annual'!CE$170*CE$9</f>
        <v>0</v>
      </c>
      <c r="CF60" s="12">
        <f>'I&amp;E Annual'!CF$170*CF$9</f>
        <v>0</v>
      </c>
      <c r="CG60" s="12">
        <f>'I&amp;E Annual'!CG$170*CG$9</f>
        <v>0</v>
      </c>
      <c r="CH60" s="12">
        <f>'I&amp;E Annual'!CH$170*CH$9</f>
        <v>0</v>
      </c>
      <c r="CI60" s="12">
        <f>'I&amp;E Annual'!CI$170*CI$9</f>
        <v>0</v>
      </c>
      <c r="CK60" s="311"/>
      <c r="CO60" s="100">
        <f>IF(SUM($CS60:$CU60)=0, 0, 1)</f>
        <v>0</v>
      </c>
      <c r="CP60" s="100">
        <f>IF(SUM($CV60:$CX60)=0, 0, 1)</f>
        <v>0</v>
      </c>
      <c r="CQ60" s="100">
        <f>IF(CY60=0, 0, 1)</f>
        <v>0</v>
      </c>
      <c r="CR60" s="311"/>
      <c r="CS60" s="215">
        <f>ROUND(W60-SUMIFS($AA60:$BJ60, $AA$3:$BJ$3, W$3), rounding)</f>
        <v>0</v>
      </c>
      <c r="CT60" s="215">
        <f>ROUND($X60-SUMIFS($AA60:$BJ60, $AA$3:$BJ$3, X$3), rounding)</f>
        <v>0</v>
      </c>
      <c r="CU60" s="215">
        <f>ROUND($Y60-SUMIFS($AA60:$BJ60, $AA$3:$BJ$3, Y$3), rounding)</f>
        <v>0</v>
      </c>
      <c r="CV60" s="215">
        <f>ROUND(W60-BY60, rounding)</f>
        <v>0</v>
      </c>
      <c r="CW60" s="215">
        <f>ROUND(X60-BZ60, rounding)</f>
        <v>0</v>
      </c>
      <c r="CX60" s="215">
        <f>ROUND(Y60-CA60, rounding)</f>
        <v>0</v>
      </c>
      <c r="CY60" s="215">
        <f>ROUND(V60-BX60, rounding)</f>
        <v>0</v>
      </c>
      <c r="EX60" s="10" t="str">
        <f t="shared" si="63"/>
        <v>Total Comprehensive Income</v>
      </c>
    </row>
    <row r="61" spans="1:154" ht="8.25" customHeight="1" x14ac:dyDescent="0.35">
      <c r="C61" s="213"/>
      <c r="E61"/>
      <c r="CK61" s="311"/>
      <c r="CO61" s="120"/>
      <c r="CP61" s="120"/>
      <c r="CQ61" s="120"/>
      <c r="CR61" s="311"/>
      <c r="EX61" s="10" t="str">
        <f t="shared" si="63"/>
        <v/>
      </c>
    </row>
    <row r="62" spans="1:154" ht="15" customHeight="1" x14ac:dyDescent="0.35">
      <c r="A62" s="537" cm="1">
        <f t="array" aca="1" ref="A62" ca="1">HYPERLINK(CONCATENATE("#",CELL("address",IF(MAX($CK62:$CR62)=0,A62,INDEX($CK62:$CR62,MATCH(1,$CK62:$CR62,0))))),MAX($CK62:$CR62))</f>
        <v>0</v>
      </c>
      <c r="C62" s="213" t="str">
        <f>CONCATENATE("FS-",'I&amp;E Annual'!C$181)</f>
        <v>FS-IE-8</v>
      </c>
      <c r="D62" s="107" t="str">
        <f>'I&amp;E Annual'!D$181</f>
        <v>Education-specific EBITDA</v>
      </c>
      <c r="V62" s="12">
        <f>BX62</f>
        <v>0</v>
      </c>
      <c r="W62" s="12">
        <f>BY62</f>
        <v>0</v>
      </c>
      <c r="X62" s="12">
        <f>BZ62</f>
        <v>0</v>
      </c>
      <c r="Y62" s="12">
        <f>CA62</f>
        <v>0</v>
      </c>
      <c r="AA62" s="12">
        <f>'I&amp;E Annual'!AA$181*AA$9</f>
        <v>0</v>
      </c>
      <c r="AB62" s="12">
        <f>'I&amp;E Annual'!AB$181*AB$9</f>
        <v>0</v>
      </c>
      <c r="AC62" s="12">
        <f>'I&amp;E Annual'!AC$181*AC$9</f>
        <v>0</v>
      </c>
      <c r="AD62" s="12">
        <f>'I&amp;E Annual'!AD$181*AD$9</f>
        <v>0</v>
      </c>
      <c r="AE62" s="12">
        <f>'I&amp;E Annual'!AE$181*AE$9</f>
        <v>0</v>
      </c>
      <c r="AF62" s="12">
        <f>'I&amp;E Annual'!AF$181*AF$9</f>
        <v>0</v>
      </c>
      <c r="AG62" s="12">
        <f>'I&amp;E Annual'!AG$181*AG$9</f>
        <v>0</v>
      </c>
      <c r="AH62" s="12">
        <f>'I&amp;E Annual'!AH$181*AH$9</f>
        <v>0</v>
      </c>
      <c r="AI62" s="12">
        <f>'I&amp;E Annual'!AI$181*AI$9</f>
        <v>0</v>
      </c>
      <c r="AJ62" s="12">
        <f>'I&amp;E Annual'!AJ$181*AJ$9</f>
        <v>0</v>
      </c>
      <c r="AK62" s="12">
        <f>'I&amp;E Annual'!AK$181*AK$9</f>
        <v>0</v>
      </c>
      <c r="AL62" s="12">
        <f>'I&amp;E Annual'!AL$181*AL$9</f>
        <v>0</v>
      </c>
      <c r="AM62" s="12">
        <f>'I&amp;E Annual'!AM$181*AM$9</f>
        <v>0</v>
      </c>
      <c r="AN62" s="12">
        <f>'I&amp;E Annual'!AN$181*AN$9</f>
        <v>0</v>
      </c>
      <c r="AO62" s="12">
        <f>'I&amp;E Annual'!AO$181*AO$9</f>
        <v>0</v>
      </c>
      <c r="AP62" s="12">
        <f>'I&amp;E Annual'!AP$181*AP$9</f>
        <v>0</v>
      </c>
      <c r="AQ62" s="12">
        <f>'I&amp;E Annual'!AQ$181*AQ$9</f>
        <v>0</v>
      </c>
      <c r="AR62" s="12">
        <f>'I&amp;E Annual'!AR$181*AR$9</f>
        <v>0</v>
      </c>
      <c r="AS62" s="12">
        <f>'I&amp;E Annual'!AS$181*AS$9</f>
        <v>0</v>
      </c>
      <c r="AT62" s="12">
        <f>'I&amp;E Annual'!AT$181*AT$9</f>
        <v>0</v>
      </c>
      <c r="AU62" s="12">
        <f>'I&amp;E Annual'!AU$181*AU$9</f>
        <v>0</v>
      </c>
      <c r="AV62" s="12">
        <f>'I&amp;E Annual'!AV$181*AV$9</f>
        <v>0</v>
      </c>
      <c r="AW62" s="12">
        <f>'I&amp;E Annual'!AW$181*AW$9</f>
        <v>0</v>
      </c>
      <c r="AX62" s="12">
        <f>'I&amp;E Annual'!AX$181*AX$9</f>
        <v>0</v>
      </c>
      <c r="AY62" s="12">
        <f>'I&amp;E Annual'!AY$181*AY$9</f>
        <v>0</v>
      </c>
      <c r="AZ62" s="12">
        <f>'I&amp;E Annual'!AZ$181*AZ$9</f>
        <v>0</v>
      </c>
      <c r="BA62" s="12">
        <f>'I&amp;E Annual'!BA$181*BA$9</f>
        <v>0</v>
      </c>
      <c r="BB62" s="12">
        <f>'I&amp;E Annual'!BB$181*BB$9</f>
        <v>0</v>
      </c>
      <c r="BC62" s="12">
        <f>'I&amp;E Annual'!BC$181*BC$9</f>
        <v>0</v>
      </c>
      <c r="BD62" s="12">
        <f>'I&amp;E Annual'!BD$181*BD$9</f>
        <v>0</v>
      </c>
      <c r="BE62" s="12">
        <f>'I&amp;E Annual'!BE$181*BE$9</f>
        <v>0</v>
      </c>
      <c r="BF62" s="12">
        <f>'I&amp;E Annual'!BF$181*BF$9</f>
        <v>0</v>
      </c>
      <c r="BG62" s="12">
        <f>'I&amp;E Annual'!BG$181*BG$9</f>
        <v>0</v>
      </c>
      <c r="BH62" s="12">
        <f>'I&amp;E Annual'!BH$181*BH$9</f>
        <v>0</v>
      </c>
      <c r="BI62" s="12">
        <f>'I&amp;E Annual'!BI$181*BI$9</f>
        <v>0</v>
      </c>
      <c r="BJ62" s="12">
        <f>'I&amp;E Annual'!BJ$181*BJ$9</f>
        <v>0</v>
      </c>
      <c r="BX62" s="12">
        <f>'I&amp;E Annual'!BX$181*BX$9</f>
        <v>0</v>
      </c>
      <c r="BY62" s="12">
        <f>'I&amp;E Annual'!BY$181*BY$9</f>
        <v>0</v>
      </c>
      <c r="BZ62" s="12">
        <f>'I&amp;E Annual'!BZ$181*BZ$9</f>
        <v>0</v>
      </c>
      <c r="CA62" s="12">
        <f>'I&amp;E Annual'!CA$181*CA$9</f>
        <v>0</v>
      </c>
      <c r="CB62" s="12">
        <f>'I&amp;E Annual'!CB$181*CB$9</f>
        <v>0</v>
      </c>
      <c r="CC62" s="12">
        <f>'I&amp;E Annual'!CC$181*CC$9</f>
        <v>0</v>
      </c>
      <c r="CD62" s="12">
        <f>'I&amp;E Annual'!CD$181*CD$9</f>
        <v>0</v>
      </c>
      <c r="CE62" s="12">
        <f>'I&amp;E Annual'!CE$181*CE$9</f>
        <v>0</v>
      </c>
      <c r="CF62" s="12">
        <f>'I&amp;E Annual'!CF$181*CF$9</f>
        <v>0</v>
      </c>
      <c r="CG62" s="12">
        <f>'I&amp;E Annual'!CG$181*CG$9</f>
        <v>0</v>
      </c>
      <c r="CH62" s="12">
        <f>'I&amp;E Annual'!CH$181*CH$9</f>
        <v>0</v>
      </c>
      <c r="CI62" s="12">
        <f>'I&amp;E Annual'!CI$181*CI$9</f>
        <v>0</v>
      </c>
      <c r="CK62" s="311"/>
      <c r="CO62" s="100">
        <f>IF(SUM($CS62:$CU62)=0, 0, 1)</f>
        <v>0</v>
      </c>
      <c r="CP62" s="100">
        <f>IF(SUM($CV62:$CX62)=0, 0, 1)</f>
        <v>0</v>
      </c>
      <c r="CQ62" s="100">
        <f>IF(CY62=0, 0, 1)</f>
        <v>0</v>
      </c>
      <c r="CR62" s="311"/>
      <c r="CS62" s="215">
        <f>ROUND(W62-SUMIFS($AA62:$BJ62, $AA$3:$BJ$3, W$3), rounding)</f>
        <v>0</v>
      </c>
      <c r="CT62" s="215">
        <f>ROUND($X62-SUMIFS($AA62:$BJ62, $AA$3:$BJ$3, X$3), rounding)</f>
        <v>0</v>
      </c>
      <c r="CU62" s="215">
        <f>ROUND($Y62-SUMIFS($AA62:$BJ62, $AA$3:$BJ$3, Y$3), rounding)</f>
        <v>0</v>
      </c>
      <c r="CV62" s="215">
        <f>ROUND(W62-BY62, rounding)</f>
        <v>0</v>
      </c>
      <c r="CW62" s="215">
        <f>ROUND(X62-BZ62, rounding)</f>
        <v>0</v>
      </c>
      <c r="CX62" s="215">
        <f>ROUND(Y62-CA62, rounding)</f>
        <v>0</v>
      </c>
      <c r="CY62" s="215">
        <f>ROUND(V62-BX62, rounding)</f>
        <v>0</v>
      </c>
      <c r="EX62" s="10" t="str">
        <f t="shared" si="63"/>
        <v>Education-specific EBITDA</v>
      </c>
    </row>
    <row r="63" spans="1:154" ht="11.65" customHeight="1" x14ac:dyDescent="0.35">
      <c r="C63" s="213"/>
      <c r="E63"/>
      <c r="CK63" s="311"/>
      <c r="CO63" s="120"/>
      <c r="CP63" s="120"/>
      <c r="CQ63" s="120"/>
      <c r="CR63" s="311"/>
      <c r="EX63" s="10" t="str">
        <f t="shared" si="63"/>
        <v/>
      </c>
    </row>
    <row r="64" spans="1:154" ht="15" customHeight="1" x14ac:dyDescent="0.35">
      <c r="A64" s="34"/>
      <c r="B64" s="34"/>
      <c r="C64" s="238"/>
      <c r="D64" s="34" t="s">
        <v>1520</v>
      </c>
      <c r="E64" s="34"/>
      <c r="F64" s="34"/>
      <c r="G64" s="34"/>
      <c r="H64" s="34"/>
      <c r="I64" s="34"/>
      <c r="J64" s="34"/>
      <c r="K64" s="34"/>
      <c r="L64" s="34"/>
      <c r="M64" s="34"/>
      <c r="N64" s="34"/>
      <c r="O64" s="34"/>
      <c r="P64" s="34"/>
      <c r="Q64" s="34"/>
      <c r="R64" s="34"/>
      <c r="S64" s="34"/>
      <c r="T64" s="34"/>
      <c r="U64" s="34"/>
      <c r="V64" s="568" t="str" cm="1">
        <f t="array" aca="1" ref="V64" ca="1">HYPERLINK(CONCATENATE("#",CELL("address",$CI64)),"Link to 12 Year Annual Timeline")</f>
        <v>Link to 12 Year Annual Timeline</v>
      </c>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568" t="str" cm="1">
        <f t="array" aca="1" ref="BX64" ca="1">HYPERLINK(CONCATENATE("#",CELL("address",$V64)),"Link to 4 Year Annual Timeline")</f>
        <v>Link to 4 Year Annual Timeline</v>
      </c>
      <c r="BY64" s="34"/>
      <c r="BZ64" s="34"/>
      <c r="CA64" s="34"/>
      <c r="CB64" s="34"/>
      <c r="CC64" s="34"/>
      <c r="CD64" s="34"/>
      <c r="CE64" s="34"/>
      <c r="CF64" s="34"/>
      <c r="CG64" s="34"/>
      <c r="CH64" s="34"/>
      <c r="CI64" s="34"/>
      <c r="CJ64" s="34"/>
      <c r="CK64" s="311"/>
      <c r="CO64" s="120"/>
      <c r="CP64" s="120"/>
      <c r="CQ64" s="120"/>
      <c r="CR64" s="311"/>
      <c r="EX64" s="10" t="str">
        <f t="shared" si="63"/>
        <v/>
      </c>
    </row>
    <row r="65" spans="1:154" ht="8.25" customHeight="1" x14ac:dyDescent="0.35">
      <c r="C65" s="213"/>
      <c r="E65"/>
      <c r="CK65" s="311"/>
      <c r="CO65" s="120"/>
      <c r="CP65" s="120"/>
      <c r="CQ65" s="120"/>
      <c r="CR65" s="311"/>
      <c r="EX65" s="10" t="str">
        <f t="shared" si="63"/>
        <v/>
      </c>
    </row>
    <row r="66" spans="1:154" x14ac:dyDescent="0.35">
      <c r="B66" s="5"/>
      <c r="C66" s="213"/>
      <c r="D66" s="107" t="str">
        <f>'BS Forecasts'!D$22</f>
        <v>Non-Current Assets</v>
      </c>
      <c r="CK66" s="311"/>
      <c r="CO66" s="120"/>
      <c r="CP66" s="120"/>
      <c r="CQ66" s="120"/>
      <c r="CR66" s="311"/>
      <c r="EX66" s="10" t="str">
        <f t="shared" si="63"/>
        <v/>
      </c>
    </row>
    <row r="67" spans="1:154" x14ac:dyDescent="0.35">
      <c r="A67" s="537" cm="1">
        <f t="array" aca="1" ref="A67" ca="1">HYPERLINK(CONCATENATE("#",CELL("address",IF(MAX($CK67:$CR67)=0,A67,INDEX($CK67:$CR67,MATCH(1,$CK67:$CR67,0))))),MAX($CK67:$CR67))</f>
        <v>0</v>
      </c>
      <c r="C67" s="213" t="str">
        <f>'BS Forecasts'!C$25</f>
        <v>B-1a-CB</v>
      </c>
      <c r="D67" s="570" t="str" cm="1">
        <f t="array" aca="1" ref="D67" ca="1">HYPERLINK(CONCATENATE("#",CELL("address",'BS Forecasts'!$D$25)),'BS Forecasts'!$D$24)</f>
        <v>Land &amp; Buildings</v>
      </c>
      <c r="V67" s="10">
        <f>'BS Forecasts'!V$25</f>
        <v>0</v>
      </c>
      <c r="W67" s="99">
        <f>'BS Forecasts'!W$25</f>
        <v>0</v>
      </c>
      <c r="X67" s="99">
        <f>'BS Forecasts'!X$25</f>
        <v>0</v>
      </c>
      <c r="Y67" s="99">
        <f>'BS Forecasts'!Y$25</f>
        <v>0</v>
      </c>
      <c r="AA67" s="99">
        <f>'BS Forecasts'!AA$25</f>
        <v>0</v>
      </c>
      <c r="AB67" s="99">
        <f>'BS Forecasts'!AB$25</f>
        <v>0</v>
      </c>
      <c r="AC67" s="99">
        <f>'BS Forecasts'!AC$25</f>
        <v>0</v>
      </c>
      <c r="AD67" s="99">
        <f>'BS Forecasts'!AD$25</f>
        <v>0</v>
      </c>
      <c r="AE67" s="99">
        <f>'BS Forecasts'!AE$25</f>
        <v>0</v>
      </c>
      <c r="AF67" s="99">
        <f>'BS Forecasts'!AF$25</f>
        <v>0</v>
      </c>
      <c r="AG67" s="99">
        <f>'BS Forecasts'!AG$25</f>
        <v>0</v>
      </c>
      <c r="AH67" s="99">
        <f>'BS Forecasts'!AH$25</f>
        <v>0</v>
      </c>
      <c r="AI67" s="99">
        <f>'BS Forecasts'!AI$25</f>
        <v>0</v>
      </c>
      <c r="AJ67" s="99">
        <f>'BS Forecasts'!AJ$25</f>
        <v>0</v>
      </c>
      <c r="AK67" s="99">
        <f>'BS Forecasts'!AK$25</f>
        <v>0</v>
      </c>
      <c r="AL67" s="99">
        <f>'BS Forecasts'!AL$25</f>
        <v>0</v>
      </c>
      <c r="AM67" s="99">
        <f>'BS Forecasts'!AM$25</f>
        <v>0</v>
      </c>
      <c r="AN67" s="99">
        <f>'BS Forecasts'!AN$25</f>
        <v>0</v>
      </c>
      <c r="AO67" s="99">
        <f>'BS Forecasts'!AO$25</f>
        <v>0</v>
      </c>
      <c r="AP67" s="99">
        <f>'BS Forecasts'!AP$25</f>
        <v>0</v>
      </c>
      <c r="AQ67" s="99">
        <f>'BS Forecasts'!AQ$25</f>
        <v>0</v>
      </c>
      <c r="AR67" s="99">
        <f>'BS Forecasts'!AR$25</f>
        <v>0</v>
      </c>
      <c r="AS67" s="99">
        <f>'BS Forecasts'!AS$25</f>
        <v>0</v>
      </c>
      <c r="AT67" s="99">
        <f>'BS Forecasts'!AT$25</f>
        <v>0</v>
      </c>
      <c r="AU67" s="99">
        <f>'BS Forecasts'!AU$25</f>
        <v>0</v>
      </c>
      <c r="AV67" s="99">
        <f>'BS Forecasts'!AV$25</f>
        <v>0</v>
      </c>
      <c r="AW67" s="99">
        <f>'BS Forecasts'!AW$25</f>
        <v>0</v>
      </c>
      <c r="AX67" s="99">
        <f>'BS Forecasts'!AX$25</f>
        <v>0</v>
      </c>
      <c r="AY67" s="99">
        <f>'BS Forecasts'!AY$25</f>
        <v>0</v>
      </c>
      <c r="AZ67" s="99">
        <f>'BS Forecasts'!AZ$25</f>
        <v>0</v>
      </c>
      <c r="BA67" s="99">
        <f>'BS Forecasts'!BA$25</f>
        <v>0</v>
      </c>
      <c r="BB67" s="99">
        <f>'BS Forecasts'!BB$25</f>
        <v>0</v>
      </c>
      <c r="BC67" s="99">
        <f>'BS Forecasts'!BC$25</f>
        <v>0</v>
      </c>
      <c r="BD67" s="99">
        <f>'BS Forecasts'!BD$25</f>
        <v>0</v>
      </c>
      <c r="BE67" s="99">
        <f>'BS Forecasts'!BE$25</f>
        <v>0</v>
      </c>
      <c r="BF67" s="99">
        <f>'BS Forecasts'!BF$25</f>
        <v>0</v>
      </c>
      <c r="BG67" s="99">
        <f>'BS Forecasts'!BG$25</f>
        <v>0</v>
      </c>
      <c r="BH67" s="99">
        <f>'BS Forecasts'!BH$25</f>
        <v>0</v>
      </c>
      <c r="BI67" s="99">
        <f>'BS Forecasts'!BI$25</f>
        <v>0</v>
      </c>
      <c r="BJ67" s="99">
        <f>'BS Forecasts'!BJ$25</f>
        <v>0</v>
      </c>
      <c r="BX67" s="99">
        <f>'BS Forecasts'!BX$25</f>
        <v>0</v>
      </c>
      <c r="BY67" s="99">
        <f>'BS Forecasts'!BY$25</f>
        <v>0</v>
      </c>
      <c r="BZ67" s="99">
        <f>'BS Forecasts'!BZ$25</f>
        <v>0</v>
      </c>
      <c r="CA67" s="99">
        <f>'BS Forecasts'!CA$25</f>
        <v>0</v>
      </c>
      <c r="CB67" s="99">
        <f>'BS Forecasts'!CB$25</f>
        <v>0</v>
      </c>
      <c r="CC67" s="99">
        <f>'BS Forecasts'!CC$25</f>
        <v>0</v>
      </c>
      <c r="CD67" s="99">
        <f>'BS Forecasts'!CD$25</f>
        <v>0</v>
      </c>
      <c r="CE67" s="99">
        <f>'BS Forecasts'!CE$25</f>
        <v>0</v>
      </c>
      <c r="CF67" s="99">
        <f>'BS Forecasts'!CF$25</f>
        <v>0</v>
      </c>
      <c r="CG67" s="99">
        <f>'BS Forecasts'!CG$25</f>
        <v>0</v>
      </c>
      <c r="CH67" s="99">
        <f>'BS Forecasts'!CH$25</f>
        <v>0</v>
      </c>
      <c r="CI67" s="99">
        <f>'BS Forecasts'!CI$25</f>
        <v>0</v>
      </c>
      <c r="CK67" s="311"/>
      <c r="CO67" s="100">
        <f t="shared" ref="CO67:CO74" si="66">IF(SUM($CS67:$CU67)=0, 0, 1)</f>
        <v>0</v>
      </c>
      <c r="CP67" s="100">
        <f t="shared" ref="CP67:CP74" si="67">IF(SUM($CV67:$CX67)=0, 0, 1)</f>
        <v>0</v>
      </c>
      <c r="CQ67" s="100">
        <f t="shared" ref="CQ67:CQ74" si="68">IF(CY67=0, 0, 1)</f>
        <v>0</v>
      </c>
      <c r="CR67" s="311"/>
      <c r="CS67" s="215">
        <f t="shared" ref="CS67:CU74" si="69">ROUND(W67-INDEX($AA67:$BJ67, MATCH(W$5, $AA$5:$BJ$5,0)), rounding)</f>
        <v>0</v>
      </c>
      <c r="CT67" s="215">
        <f t="shared" si="69"/>
        <v>0</v>
      </c>
      <c r="CU67" s="215">
        <f t="shared" si="69"/>
        <v>0</v>
      </c>
      <c r="CV67" s="215">
        <f t="shared" ref="CV67:CX74" si="70">ROUND(W67-BY67, rounding)</f>
        <v>0</v>
      </c>
      <c r="CW67" s="215">
        <f t="shared" si="70"/>
        <v>0</v>
      </c>
      <c r="CX67" s="215">
        <f t="shared" si="70"/>
        <v>0</v>
      </c>
      <c r="CY67" s="215">
        <f t="shared" ref="CY67:CY74" si="71">ROUND(V67-BX67, rounding)</f>
        <v>0</v>
      </c>
      <c r="EX67" s="10" t="str">
        <f t="shared" ca="1" si="63"/>
        <v>Land &amp; Buildings</v>
      </c>
    </row>
    <row r="68" spans="1:154" x14ac:dyDescent="0.35">
      <c r="A68" s="537" cm="1">
        <f t="array" aca="1" ref="A68" ca="1">HYPERLINK(CONCATENATE("#",CELL("address",IF(MAX($CK68:$CR68)=0,A68,INDEX($CK68:$CR68,MATCH(1,$CK68:$CR68,0))))),MAX($CK68:$CR68))</f>
        <v>0</v>
      </c>
      <c r="C68" s="213" t="str">
        <f>'BS Forecasts'!C$28</f>
        <v>B-1b-CB</v>
      </c>
      <c r="D68" s="570" t="str" cm="1">
        <f t="array" aca="1" ref="D68" ca="1">HYPERLINK(CONCATENATE("#",CELL("address",'BS Forecasts'!$D$28)),'BS Forecasts'!$D$27)</f>
        <v>Equipment</v>
      </c>
      <c r="V68" s="10">
        <f>'BS Forecasts'!V$28</f>
        <v>0</v>
      </c>
      <c r="W68" s="99">
        <f>'BS Forecasts'!W$28</f>
        <v>0</v>
      </c>
      <c r="X68" s="99">
        <f>'BS Forecasts'!X$28</f>
        <v>0</v>
      </c>
      <c r="Y68" s="99">
        <f>'BS Forecasts'!Y$28</f>
        <v>0</v>
      </c>
      <c r="AA68" s="99">
        <f>'BS Forecasts'!AA$28</f>
        <v>0</v>
      </c>
      <c r="AB68" s="99">
        <f>'BS Forecasts'!AB$28</f>
        <v>0</v>
      </c>
      <c r="AC68" s="99">
        <f>'BS Forecasts'!AC$28</f>
        <v>0</v>
      </c>
      <c r="AD68" s="99">
        <f>'BS Forecasts'!AD$28</f>
        <v>0</v>
      </c>
      <c r="AE68" s="99">
        <f>'BS Forecasts'!AE$28</f>
        <v>0</v>
      </c>
      <c r="AF68" s="99">
        <f>'BS Forecasts'!AF$28</f>
        <v>0</v>
      </c>
      <c r="AG68" s="99">
        <f>'BS Forecasts'!AG$28</f>
        <v>0</v>
      </c>
      <c r="AH68" s="99">
        <f>'BS Forecasts'!AH$28</f>
        <v>0</v>
      </c>
      <c r="AI68" s="99">
        <f>'BS Forecasts'!AI$28</f>
        <v>0</v>
      </c>
      <c r="AJ68" s="99">
        <f>'BS Forecasts'!AJ$28</f>
        <v>0</v>
      </c>
      <c r="AK68" s="99">
        <f>'BS Forecasts'!AK$28</f>
        <v>0</v>
      </c>
      <c r="AL68" s="99">
        <f>'BS Forecasts'!AL$28</f>
        <v>0</v>
      </c>
      <c r="AM68" s="99">
        <f>'BS Forecasts'!AM$28</f>
        <v>0</v>
      </c>
      <c r="AN68" s="99">
        <f>'BS Forecasts'!AN$28</f>
        <v>0</v>
      </c>
      <c r="AO68" s="99">
        <f>'BS Forecasts'!AO$28</f>
        <v>0</v>
      </c>
      <c r="AP68" s="99">
        <f>'BS Forecasts'!AP$28</f>
        <v>0</v>
      </c>
      <c r="AQ68" s="99">
        <f>'BS Forecasts'!AQ$28</f>
        <v>0</v>
      </c>
      <c r="AR68" s="99">
        <f>'BS Forecasts'!AR$28</f>
        <v>0</v>
      </c>
      <c r="AS68" s="99">
        <f>'BS Forecasts'!AS$28</f>
        <v>0</v>
      </c>
      <c r="AT68" s="99">
        <f>'BS Forecasts'!AT$28</f>
        <v>0</v>
      </c>
      <c r="AU68" s="99">
        <f>'BS Forecasts'!AU$28</f>
        <v>0</v>
      </c>
      <c r="AV68" s="99">
        <f>'BS Forecasts'!AV$28</f>
        <v>0</v>
      </c>
      <c r="AW68" s="99">
        <f>'BS Forecasts'!AW$28</f>
        <v>0</v>
      </c>
      <c r="AX68" s="99">
        <f>'BS Forecasts'!AX$28</f>
        <v>0</v>
      </c>
      <c r="AY68" s="99">
        <f>'BS Forecasts'!AY$28</f>
        <v>0</v>
      </c>
      <c r="AZ68" s="99">
        <f>'BS Forecasts'!AZ$28</f>
        <v>0</v>
      </c>
      <c r="BA68" s="99">
        <f>'BS Forecasts'!BA$28</f>
        <v>0</v>
      </c>
      <c r="BB68" s="99">
        <f>'BS Forecasts'!BB$28</f>
        <v>0</v>
      </c>
      <c r="BC68" s="99">
        <f>'BS Forecasts'!BC$28</f>
        <v>0</v>
      </c>
      <c r="BD68" s="99">
        <f>'BS Forecasts'!BD$28</f>
        <v>0</v>
      </c>
      <c r="BE68" s="99">
        <f>'BS Forecasts'!BE$28</f>
        <v>0</v>
      </c>
      <c r="BF68" s="99">
        <f>'BS Forecasts'!BF$28</f>
        <v>0</v>
      </c>
      <c r="BG68" s="99">
        <f>'BS Forecasts'!BG$28</f>
        <v>0</v>
      </c>
      <c r="BH68" s="99">
        <f>'BS Forecasts'!BH$28</f>
        <v>0</v>
      </c>
      <c r="BI68" s="99">
        <f>'BS Forecasts'!BI$28</f>
        <v>0</v>
      </c>
      <c r="BJ68" s="99">
        <f>'BS Forecasts'!BJ$28</f>
        <v>0</v>
      </c>
      <c r="BX68" s="99">
        <f>'BS Forecasts'!BX$28</f>
        <v>0</v>
      </c>
      <c r="BY68" s="99">
        <f>'BS Forecasts'!BY$28</f>
        <v>0</v>
      </c>
      <c r="BZ68" s="99">
        <f>'BS Forecasts'!BZ$28</f>
        <v>0</v>
      </c>
      <c r="CA68" s="99">
        <f>'BS Forecasts'!CA$28</f>
        <v>0</v>
      </c>
      <c r="CB68" s="99">
        <f>'BS Forecasts'!CB$28</f>
        <v>0</v>
      </c>
      <c r="CC68" s="99">
        <f>'BS Forecasts'!CC$28</f>
        <v>0</v>
      </c>
      <c r="CD68" s="99">
        <f>'BS Forecasts'!CD$28</f>
        <v>0</v>
      </c>
      <c r="CE68" s="99">
        <f>'BS Forecasts'!CE$28</f>
        <v>0</v>
      </c>
      <c r="CF68" s="99">
        <f>'BS Forecasts'!CF$28</f>
        <v>0</v>
      </c>
      <c r="CG68" s="99">
        <f>'BS Forecasts'!CG$28</f>
        <v>0</v>
      </c>
      <c r="CH68" s="99">
        <f>'BS Forecasts'!CH$28</f>
        <v>0</v>
      </c>
      <c r="CI68" s="99">
        <f>'BS Forecasts'!CI$28</f>
        <v>0</v>
      </c>
      <c r="CK68" s="311"/>
      <c r="CO68" s="100">
        <f t="shared" si="66"/>
        <v>0</v>
      </c>
      <c r="CP68" s="100">
        <f t="shared" si="67"/>
        <v>0</v>
      </c>
      <c r="CQ68" s="100">
        <f t="shared" si="68"/>
        <v>0</v>
      </c>
      <c r="CR68" s="311"/>
      <c r="CS68" s="215">
        <f t="shared" si="69"/>
        <v>0</v>
      </c>
      <c r="CT68" s="215">
        <f t="shared" si="69"/>
        <v>0</v>
      </c>
      <c r="CU68" s="215">
        <f t="shared" si="69"/>
        <v>0</v>
      </c>
      <c r="CV68" s="215">
        <f t="shared" si="70"/>
        <v>0</v>
      </c>
      <c r="CW68" s="215">
        <f t="shared" si="70"/>
        <v>0</v>
      </c>
      <c r="CX68" s="215">
        <f t="shared" si="70"/>
        <v>0</v>
      </c>
      <c r="CY68" s="215">
        <f t="shared" si="71"/>
        <v>0</v>
      </c>
      <c r="EX68" s="10" t="str">
        <f t="shared" ca="1" si="63"/>
        <v>Equipment</v>
      </c>
    </row>
    <row r="69" spans="1:154" x14ac:dyDescent="0.35">
      <c r="A69" s="537" cm="1">
        <f t="array" aca="1" ref="A69" ca="1">HYPERLINK(CONCATENATE("#",CELL("address",IF(MAX($CK69:$CR69)=0,A69,INDEX($CK69:$CR69,MATCH(1,$CK69:$CR69,0))))),MAX($CK69:$CR69))</f>
        <v>0</v>
      </c>
      <c r="C69" s="213" t="str">
        <f>'BS Forecasts'!C$31</f>
        <v>B-1c-CB</v>
      </c>
      <c r="D69" s="570" t="str" cm="1">
        <f t="array" aca="1" ref="D69" ca="1">HYPERLINK(CONCATENATE("#",CELL("address",'BS Forecasts'!$D$31)),'BS Forecasts'!$D$30)</f>
        <v>Other NCA</v>
      </c>
      <c r="V69" s="10">
        <f>'BS Forecasts'!V$31</f>
        <v>0</v>
      </c>
      <c r="W69" s="99">
        <f>'BS Forecasts'!W$31</f>
        <v>0</v>
      </c>
      <c r="X69" s="99">
        <f>'BS Forecasts'!X$31</f>
        <v>0</v>
      </c>
      <c r="Y69" s="99">
        <f>'BS Forecasts'!Y$31</f>
        <v>0</v>
      </c>
      <c r="AA69" s="99">
        <f>'BS Forecasts'!AA$31</f>
        <v>0</v>
      </c>
      <c r="AB69" s="99">
        <f>'BS Forecasts'!AB$31</f>
        <v>0</v>
      </c>
      <c r="AC69" s="99">
        <f>'BS Forecasts'!AC$31</f>
        <v>0</v>
      </c>
      <c r="AD69" s="99">
        <f>'BS Forecasts'!AD$31</f>
        <v>0</v>
      </c>
      <c r="AE69" s="99">
        <f>'BS Forecasts'!AE$31</f>
        <v>0</v>
      </c>
      <c r="AF69" s="99">
        <f>'BS Forecasts'!AF$31</f>
        <v>0</v>
      </c>
      <c r="AG69" s="99">
        <f>'BS Forecasts'!AG$31</f>
        <v>0</v>
      </c>
      <c r="AH69" s="99">
        <f>'BS Forecasts'!AH$31</f>
        <v>0</v>
      </c>
      <c r="AI69" s="99">
        <f>'BS Forecasts'!AI$31</f>
        <v>0</v>
      </c>
      <c r="AJ69" s="99">
        <f>'BS Forecasts'!AJ$31</f>
        <v>0</v>
      </c>
      <c r="AK69" s="99">
        <f>'BS Forecasts'!AK$31</f>
        <v>0</v>
      </c>
      <c r="AL69" s="99">
        <f>'BS Forecasts'!AL$31</f>
        <v>0</v>
      </c>
      <c r="AM69" s="99">
        <f>'BS Forecasts'!AM$31</f>
        <v>0</v>
      </c>
      <c r="AN69" s="99">
        <f>'BS Forecasts'!AN$31</f>
        <v>0</v>
      </c>
      <c r="AO69" s="99">
        <f>'BS Forecasts'!AO$31</f>
        <v>0</v>
      </c>
      <c r="AP69" s="99">
        <f>'BS Forecasts'!AP$31</f>
        <v>0</v>
      </c>
      <c r="AQ69" s="99">
        <f>'BS Forecasts'!AQ$31</f>
        <v>0</v>
      </c>
      <c r="AR69" s="99">
        <f>'BS Forecasts'!AR$31</f>
        <v>0</v>
      </c>
      <c r="AS69" s="99">
        <f>'BS Forecasts'!AS$31</f>
        <v>0</v>
      </c>
      <c r="AT69" s="99">
        <f>'BS Forecasts'!AT$31</f>
        <v>0</v>
      </c>
      <c r="AU69" s="99">
        <f>'BS Forecasts'!AU$31</f>
        <v>0</v>
      </c>
      <c r="AV69" s="99">
        <f>'BS Forecasts'!AV$31</f>
        <v>0</v>
      </c>
      <c r="AW69" s="99">
        <f>'BS Forecasts'!AW$31</f>
        <v>0</v>
      </c>
      <c r="AX69" s="99">
        <f>'BS Forecasts'!AX$31</f>
        <v>0</v>
      </c>
      <c r="AY69" s="99">
        <f>'BS Forecasts'!AY$31</f>
        <v>0</v>
      </c>
      <c r="AZ69" s="99">
        <f>'BS Forecasts'!AZ$31</f>
        <v>0</v>
      </c>
      <c r="BA69" s="99">
        <f>'BS Forecasts'!BA$31</f>
        <v>0</v>
      </c>
      <c r="BB69" s="99">
        <f>'BS Forecasts'!BB$31</f>
        <v>0</v>
      </c>
      <c r="BC69" s="99">
        <f>'BS Forecasts'!BC$31</f>
        <v>0</v>
      </c>
      <c r="BD69" s="99">
        <f>'BS Forecasts'!BD$31</f>
        <v>0</v>
      </c>
      <c r="BE69" s="99">
        <f>'BS Forecasts'!BE$31</f>
        <v>0</v>
      </c>
      <c r="BF69" s="99">
        <f>'BS Forecasts'!BF$31</f>
        <v>0</v>
      </c>
      <c r="BG69" s="99">
        <f>'BS Forecasts'!BG$31</f>
        <v>0</v>
      </c>
      <c r="BH69" s="99">
        <f>'BS Forecasts'!BH$31</f>
        <v>0</v>
      </c>
      <c r="BI69" s="99">
        <f>'BS Forecasts'!BI$31</f>
        <v>0</v>
      </c>
      <c r="BJ69" s="99">
        <f>'BS Forecasts'!BJ$31</f>
        <v>0</v>
      </c>
      <c r="BX69" s="99">
        <f>'BS Forecasts'!BX$31</f>
        <v>0</v>
      </c>
      <c r="BY69" s="99">
        <f>'BS Forecasts'!BY$31</f>
        <v>0</v>
      </c>
      <c r="BZ69" s="99">
        <f>'BS Forecasts'!BZ$31</f>
        <v>0</v>
      </c>
      <c r="CA69" s="99">
        <f>'BS Forecasts'!CA$31</f>
        <v>0</v>
      </c>
      <c r="CB69" s="99">
        <f>'BS Forecasts'!CB$31</f>
        <v>0</v>
      </c>
      <c r="CC69" s="99">
        <f>'BS Forecasts'!CC$31</f>
        <v>0</v>
      </c>
      <c r="CD69" s="99">
        <f>'BS Forecasts'!CD$31</f>
        <v>0</v>
      </c>
      <c r="CE69" s="99">
        <f>'BS Forecasts'!CE$31</f>
        <v>0</v>
      </c>
      <c r="CF69" s="99">
        <f>'BS Forecasts'!CF$31</f>
        <v>0</v>
      </c>
      <c r="CG69" s="99">
        <f>'BS Forecasts'!CG$31</f>
        <v>0</v>
      </c>
      <c r="CH69" s="99">
        <f>'BS Forecasts'!CH$31</f>
        <v>0</v>
      </c>
      <c r="CI69" s="99">
        <f>'BS Forecasts'!CI$31</f>
        <v>0</v>
      </c>
      <c r="CK69" s="311"/>
      <c r="CO69" s="100">
        <f t="shared" si="66"/>
        <v>0</v>
      </c>
      <c r="CP69" s="100">
        <f t="shared" si="67"/>
        <v>0</v>
      </c>
      <c r="CQ69" s="100">
        <f t="shared" si="68"/>
        <v>0</v>
      </c>
      <c r="CR69" s="311"/>
      <c r="CS69" s="215">
        <f t="shared" si="69"/>
        <v>0</v>
      </c>
      <c r="CT69" s="215">
        <f t="shared" si="69"/>
        <v>0</v>
      </c>
      <c r="CU69" s="215">
        <f t="shared" si="69"/>
        <v>0</v>
      </c>
      <c r="CV69" s="215">
        <f t="shared" si="70"/>
        <v>0</v>
      </c>
      <c r="CW69" s="215">
        <f t="shared" si="70"/>
        <v>0</v>
      </c>
      <c r="CX69" s="215">
        <f t="shared" si="70"/>
        <v>0</v>
      </c>
      <c r="CY69" s="215">
        <f t="shared" si="71"/>
        <v>0</v>
      </c>
      <c r="EX69" s="10" t="str">
        <f t="shared" ca="1" si="63"/>
        <v>Other NCA</v>
      </c>
    </row>
    <row r="70" spans="1:154" x14ac:dyDescent="0.35">
      <c r="A70" s="537" cm="1">
        <f t="array" aca="1" ref="A70" ca="1">HYPERLINK(CONCATENATE("#",CELL("address",IF(MAX($CK70:$CR70)=0,A70,INDEX($CK70:$CR70,MATCH(1,$CK70:$CR70,0))))),MAX($CK70:$CR70))</f>
        <v>0</v>
      </c>
      <c r="C70" s="213" t="str">
        <f>'BS Forecasts'!C$34</f>
        <v>B-1d-CB</v>
      </c>
      <c r="D70" s="570" t="str" cm="1">
        <f t="array" aca="1" ref="D70" ca="1">HYPERLINK(CONCATENATE("#",CELL("address",'BS Forecasts'!$D$34)),'BS Forecasts'!$D$33)</f>
        <v>Assets under Construction</v>
      </c>
      <c r="V70" s="10">
        <f>'BS Forecasts'!V$34</f>
        <v>0</v>
      </c>
      <c r="W70" s="99">
        <f>'BS Forecasts'!W$34</f>
        <v>0</v>
      </c>
      <c r="X70" s="99">
        <f>'BS Forecasts'!X$34</f>
        <v>0</v>
      </c>
      <c r="Y70" s="99">
        <f>'BS Forecasts'!Y$34</f>
        <v>0</v>
      </c>
      <c r="AA70" s="99">
        <f>'BS Forecasts'!AA$34</f>
        <v>0</v>
      </c>
      <c r="AB70" s="99">
        <f>'BS Forecasts'!AB$34</f>
        <v>0</v>
      </c>
      <c r="AC70" s="99">
        <f>'BS Forecasts'!AC$34</f>
        <v>0</v>
      </c>
      <c r="AD70" s="99">
        <f>'BS Forecasts'!AD$34</f>
        <v>0</v>
      </c>
      <c r="AE70" s="99">
        <f>'BS Forecasts'!AE$34</f>
        <v>0</v>
      </c>
      <c r="AF70" s="99">
        <f>'BS Forecasts'!AF$34</f>
        <v>0</v>
      </c>
      <c r="AG70" s="99">
        <f>'BS Forecasts'!AG$34</f>
        <v>0</v>
      </c>
      <c r="AH70" s="99">
        <f>'BS Forecasts'!AH$34</f>
        <v>0</v>
      </c>
      <c r="AI70" s="99">
        <f>'BS Forecasts'!AI$34</f>
        <v>0</v>
      </c>
      <c r="AJ70" s="99">
        <f>'BS Forecasts'!AJ$34</f>
        <v>0</v>
      </c>
      <c r="AK70" s="99">
        <f>'BS Forecasts'!AK$34</f>
        <v>0</v>
      </c>
      <c r="AL70" s="99">
        <f>'BS Forecasts'!AL$34</f>
        <v>0</v>
      </c>
      <c r="AM70" s="99">
        <f>'BS Forecasts'!AM$34</f>
        <v>0</v>
      </c>
      <c r="AN70" s="99">
        <f>'BS Forecasts'!AN$34</f>
        <v>0</v>
      </c>
      <c r="AO70" s="99">
        <f>'BS Forecasts'!AO$34</f>
        <v>0</v>
      </c>
      <c r="AP70" s="99">
        <f>'BS Forecasts'!AP$34</f>
        <v>0</v>
      </c>
      <c r="AQ70" s="99">
        <f>'BS Forecasts'!AQ$34</f>
        <v>0</v>
      </c>
      <c r="AR70" s="99">
        <f>'BS Forecasts'!AR$34</f>
        <v>0</v>
      </c>
      <c r="AS70" s="99">
        <f>'BS Forecasts'!AS$34</f>
        <v>0</v>
      </c>
      <c r="AT70" s="99">
        <f>'BS Forecasts'!AT$34</f>
        <v>0</v>
      </c>
      <c r="AU70" s="99">
        <f>'BS Forecasts'!AU$34</f>
        <v>0</v>
      </c>
      <c r="AV70" s="99">
        <f>'BS Forecasts'!AV$34</f>
        <v>0</v>
      </c>
      <c r="AW70" s="99">
        <f>'BS Forecasts'!AW$34</f>
        <v>0</v>
      </c>
      <c r="AX70" s="99">
        <f>'BS Forecasts'!AX$34</f>
        <v>0</v>
      </c>
      <c r="AY70" s="99">
        <f>'BS Forecasts'!AY$34</f>
        <v>0</v>
      </c>
      <c r="AZ70" s="99">
        <f>'BS Forecasts'!AZ$34</f>
        <v>0</v>
      </c>
      <c r="BA70" s="99">
        <f>'BS Forecasts'!BA$34</f>
        <v>0</v>
      </c>
      <c r="BB70" s="99">
        <f>'BS Forecasts'!BB$34</f>
        <v>0</v>
      </c>
      <c r="BC70" s="99">
        <f>'BS Forecasts'!BC$34</f>
        <v>0</v>
      </c>
      <c r="BD70" s="99">
        <f>'BS Forecasts'!BD$34</f>
        <v>0</v>
      </c>
      <c r="BE70" s="99">
        <f>'BS Forecasts'!BE$34</f>
        <v>0</v>
      </c>
      <c r="BF70" s="99">
        <f>'BS Forecasts'!BF$34</f>
        <v>0</v>
      </c>
      <c r="BG70" s="99">
        <f>'BS Forecasts'!BG$34</f>
        <v>0</v>
      </c>
      <c r="BH70" s="99">
        <f>'BS Forecasts'!BH$34</f>
        <v>0</v>
      </c>
      <c r="BI70" s="99">
        <f>'BS Forecasts'!BI$34</f>
        <v>0</v>
      </c>
      <c r="BJ70" s="99">
        <f>'BS Forecasts'!BJ$34</f>
        <v>0</v>
      </c>
      <c r="BX70" s="99">
        <f>'BS Forecasts'!BX$34</f>
        <v>0</v>
      </c>
      <c r="BY70" s="99">
        <f>'BS Forecasts'!BY$34</f>
        <v>0</v>
      </c>
      <c r="BZ70" s="99">
        <f>'BS Forecasts'!BZ$34</f>
        <v>0</v>
      </c>
      <c r="CA70" s="99">
        <f>'BS Forecasts'!CA$34</f>
        <v>0</v>
      </c>
      <c r="CB70" s="99">
        <f>'BS Forecasts'!CB$34</f>
        <v>0</v>
      </c>
      <c r="CC70" s="99">
        <f>'BS Forecasts'!CC$34</f>
        <v>0</v>
      </c>
      <c r="CD70" s="99">
        <f>'BS Forecasts'!CD$34</f>
        <v>0</v>
      </c>
      <c r="CE70" s="99">
        <f>'BS Forecasts'!CE$34</f>
        <v>0</v>
      </c>
      <c r="CF70" s="99">
        <f>'BS Forecasts'!CF$34</f>
        <v>0</v>
      </c>
      <c r="CG70" s="99">
        <f>'BS Forecasts'!CG$34</f>
        <v>0</v>
      </c>
      <c r="CH70" s="99">
        <f>'BS Forecasts'!CH$34</f>
        <v>0</v>
      </c>
      <c r="CI70" s="99">
        <f>'BS Forecasts'!CI$34</f>
        <v>0</v>
      </c>
      <c r="CK70" s="311"/>
      <c r="CO70" s="100">
        <f t="shared" si="66"/>
        <v>0</v>
      </c>
      <c r="CP70" s="100">
        <f t="shared" si="67"/>
        <v>0</v>
      </c>
      <c r="CQ70" s="100">
        <f t="shared" si="68"/>
        <v>0</v>
      </c>
      <c r="CR70" s="311"/>
      <c r="CS70" s="215">
        <f t="shared" si="69"/>
        <v>0</v>
      </c>
      <c r="CT70" s="215">
        <f t="shared" si="69"/>
        <v>0</v>
      </c>
      <c r="CU70" s="215">
        <f t="shared" si="69"/>
        <v>0</v>
      </c>
      <c r="CV70" s="215">
        <f t="shared" si="70"/>
        <v>0</v>
      </c>
      <c r="CW70" s="215">
        <f t="shared" si="70"/>
        <v>0</v>
      </c>
      <c r="CX70" s="215">
        <f t="shared" si="70"/>
        <v>0</v>
      </c>
      <c r="CY70" s="215">
        <f t="shared" si="71"/>
        <v>0</v>
      </c>
      <c r="EX70" s="10" t="str">
        <f t="shared" ca="1" si="63"/>
        <v>Assets under Construction</v>
      </c>
    </row>
    <row r="71" spans="1:154" x14ac:dyDescent="0.35">
      <c r="A71" s="537" cm="1">
        <f t="array" aca="1" ref="A71" ca="1">HYPERLINK(CONCATENATE("#",CELL("address",IF(MAX($CK71:$CR71)=0,A71,INDEX($CK71:$CR71,MATCH(1,$CK71:$CR71,0))))),MAX($CK71:$CR71))</f>
        <v>0</v>
      </c>
      <c r="C71" s="213" t="str">
        <f>'BS Forecasts'!C$37</f>
        <v>B-1e-CB</v>
      </c>
      <c r="D71" s="570" t="str" cm="1">
        <f t="array" aca="1" ref="D71" ca="1">HYPERLINK(CONCATENATE("#",CELL("address",'BS Forecasts'!$D$37)),'BS Forecasts'!$D$36)</f>
        <v>Investments</v>
      </c>
      <c r="V71" s="10">
        <f>'BS Forecasts'!V$37</f>
        <v>0</v>
      </c>
      <c r="W71" s="99">
        <f>'BS Forecasts'!W$37</f>
        <v>0</v>
      </c>
      <c r="X71" s="99">
        <f>'BS Forecasts'!X$37</f>
        <v>0</v>
      </c>
      <c r="Y71" s="99">
        <f>'BS Forecasts'!Y$37</f>
        <v>0</v>
      </c>
      <c r="AA71" s="99">
        <f>'BS Forecasts'!AA$37</f>
        <v>0</v>
      </c>
      <c r="AB71" s="99">
        <f>'BS Forecasts'!AB$37</f>
        <v>0</v>
      </c>
      <c r="AC71" s="99">
        <f>'BS Forecasts'!AC$37</f>
        <v>0</v>
      </c>
      <c r="AD71" s="99">
        <f>'BS Forecasts'!AD$37</f>
        <v>0</v>
      </c>
      <c r="AE71" s="99">
        <f>'BS Forecasts'!AE$37</f>
        <v>0</v>
      </c>
      <c r="AF71" s="99">
        <f>'BS Forecasts'!AF$37</f>
        <v>0</v>
      </c>
      <c r="AG71" s="99">
        <f>'BS Forecasts'!AG$37</f>
        <v>0</v>
      </c>
      <c r="AH71" s="99">
        <f>'BS Forecasts'!AH$37</f>
        <v>0</v>
      </c>
      <c r="AI71" s="99">
        <f>'BS Forecasts'!AI$37</f>
        <v>0</v>
      </c>
      <c r="AJ71" s="99">
        <f>'BS Forecasts'!AJ$37</f>
        <v>0</v>
      </c>
      <c r="AK71" s="99">
        <f>'BS Forecasts'!AK$37</f>
        <v>0</v>
      </c>
      <c r="AL71" s="99">
        <f>'BS Forecasts'!AL$37</f>
        <v>0</v>
      </c>
      <c r="AM71" s="99">
        <f>'BS Forecasts'!AM$37</f>
        <v>0</v>
      </c>
      <c r="AN71" s="99">
        <f>'BS Forecasts'!AN$37</f>
        <v>0</v>
      </c>
      <c r="AO71" s="99">
        <f>'BS Forecasts'!AO$37</f>
        <v>0</v>
      </c>
      <c r="AP71" s="99">
        <f>'BS Forecasts'!AP$37</f>
        <v>0</v>
      </c>
      <c r="AQ71" s="99">
        <f>'BS Forecasts'!AQ$37</f>
        <v>0</v>
      </c>
      <c r="AR71" s="99">
        <f>'BS Forecasts'!AR$37</f>
        <v>0</v>
      </c>
      <c r="AS71" s="99">
        <f>'BS Forecasts'!AS$37</f>
        <v>0</v>
      </c>
      <c r="AT71" s="99">
        <f>'BS Forecasts'!AT$37</f>
        <v>0</v>
      </c>
      <c r="AU71" s="99">
        <f>'BS Forecasts'!AU$37</f>
        <v>0</v>
      </c>
      <c r="AV71" s="99">
        <f>'BS Forecasts'!AV$37</f>
        <v>0</v>
      </c>
      <c r="AW71" s="99">
        <f>'BS Forecasts'!AW$37</f>
        <v>0</v>
      </c>
      <c r="AX71" s="99">
        <f>'BS Forecasts'!AX$37</f>
        <v>0</v>
      </c>
      <c r="AY71" s="99">
        <f>'BS Forecasts'!AY$37</f>
        <v>0</v>
      </c>
      <c r="AZ71" s="99">
        <f>'BS Forecasts'!AZ$37</f>
        <v>0</v>
      </c>
      <c r="BA71" s="99">
        <f>'BS Forecasts'!BA$37</f>
        <v>0</v>
      </c>
      <c r="BB71" s="99">
        <f>'BS Forecasts'!BB$37</f>
        <v>0</v>
      </c>
      <c r="BC71" s="99">
        <f>'BS Forecasts'!BC$37</f>
        <v>0</v>
      </c>
      <c r="BD71" s="99">
        <f>'BS Forecasts'!BD$37</f>
        <v>0</v>
      </c>
      <c r="BE71" s="99">
        <f>'BS Forecasts'!BE$37</f>
        <v>0</v>
      </c>
      <c r="BF71" s="99">
        <f>'BS Forecasts'!BF$37</f>
        <v>0</v>
      </c>
      <c r="BG71" s="99">
        <f>'BS Forecasts'!BG$37</f>
        <v>0</v>
      </c>
      <c r="BH71" s="99">
        <f>'BS Forecasts'!BH$37</f>
        <v>0</v>
      </c>
      <c r="BI71" s="99">
        <f>'BS Forecasts'!BI$37</f>
        <v>0</v>
      </c>
      <c r="BJ71" s="99">
        <f>'BS Forecasts'!BJ$37</f>
        <v>0</v>
      </c>
      <c r="BX71" s="99">
        <f>'BS Forecasts'!BX$37</f>
        <v>0</v>
      </c>
      <c r="BY71" s="99">
        <f>'BS Forecasts'!BY$37</f>
        <v>0</v>
      </c>
      <c r="BZ71" s="99">
        <f>'BS Forecasts'!BZ$37</f>
        <v>0</v>
      </c>
      <c r="CA71" s="99">
        <f>'BS Forecasts'!CA$37</f>
        <v>0</v>
      </c>
      <c r="CB71" s="99">
        <f>'BS Forecasts'!CB$37</f>
        <v>0</v>
      </c>
      <c r="CC71" s="99">
        <f>'BS Forecasts'!CC$37</f>
        <v>0</v>
      </c>
      <c r="CD71" s="99">
        <f>'BS Forecasts'!CD$37</f>
        <v>0</v>
      </c>
      <c r="CE71" s="99">
        <f>'BS Forecasts'!CE$37</f>
        <v>0</v>
      </c>
      <c r="CF71" s="99">
        <f>'BS Forecasts'!CF$37</f>
        <v>0</v>
      </c>
      <c r="CG71" s="99">
        <f>'BS Forecasts'!CG$37</f>
        <v>0</v>
      </c>
      <c r="CH71" s="99">
        <f>'BS Forecasts'!CH$37</f>
        <v>0</v>
      </c>
      <c r="CI71" s="99">
        <f>'BS Forecasts'!CI$37</f>
        <v>0</v>
      </c>
      <c r="CK71" s="311"/>
      <c r="CO71" s="100">
        <f t="shared" si="66"/>
        <v>0</v>
      </c>
      <c r="CP71" s="100">
        <f t="shared" si="67"/>
        <v>0</v>
      </c>
      <c r="CQ71" s="100">
        <f t="shared" si="68"/>
        <v>0</v>
      </c>
      <c r="CR71" s="311"/>
      <c r="CS71" s="215">
        <f t="shared" si="69"/>
        <v>0</v>
      </c>
      <c r="CT71" s="215">
        <f t="shared" si="69"/>
        <v>0</v>
      </c>
      <c r="CU71" s="215">
        <f t="shared" si="69"/>
        <v>0</v>
      </c>
      <c r="CV71" s="215">
        <f t="shared" si="70"/>
        <v>0</v>
      </c>
      <c r="CW71" s="215">
        <f t="shared" si="70"/>
        <v>0</v>
      </c>
      <c r="CX71" s="215">
        <f t="shared" si="70"/>
        <v>0</v>
      </c>
      <c r="CY71" s="215">
        <f t="shared" si="71"/>
        <v>0</v>
      </c>
      <c r="EX71" s="10" t="str">
        <f t="shared" ca="1" si="63"/>
        <v>Investments</v>
      </c>
    </row>
    <row r="72" spans="1:154" x14ac:dyDescent="0.35">
      <c r="A72" s="537" cm="1">
        <f t="array" aca="1" ref="A72" ca="1">HYPERLINK(CONCATENATE("#",CELL("address",IF(MAX($CK72:$CR72)=0,A72,INDEX($CK72:$CR72,MATCH(1,$CK72:$CR72,0))))),MAX($CK72:$CR72))</f>
        <v>0</v>
      </c>
      <c r="C72" s="213" t="str">
        <f>'BS Forecasts'!C$44</f>
        <v>B-1f-CB</v>
      </c>
      <c r="D72" s="570" t="str" cm="1">
        <f t="array" aca="1" ref="D72" ca="1">HYPERLINK(CONCATENATE("#",CELL("address",'BS Forecasts'!$D$44)),'BS Forecasts'!$D$39)</f>
        <v>Investment in JVs and Associates (inc. overseas)</v>
      </c>
      <c r="V72" s="10">
        <f>'BS Forecasts'!V$44</f>
        <v>0</v>
      </c>
      <c r="W72" s="99">
        <f>'BS Forecasts'!W$44</f>
        <v>0</v>
      </c>
      <c r="X72" s="99">
        <f>'BS Forecasts'!X$44</f>
        <v>0</v>
      </c>
      <c r="Y72" s="99">
        <f>'BS Forecasts'!Y$44</f>
        <v>0</v>
      </c>
      <c r="AA72" s="99">
        <f>'BS Forecasts'!AA$44</f>
        <v>0</v>
      </c>
      <c r="AB72" s="99">
        <f>'BS Forecasts'!AB$44</f>
        <v>0</v>
      </c>
      <c r="AC72" s="99">
        <f>'BS Forecasts'!AC$44</f>
        <v>0</v>
      </c>
      <c r="AD72" s="99">
        <f>'BS Forecasts'!AD$44</f>
        <v>0</v>
      </c>
      <c r="AE72" s="99">
        <f>'BS Forecasts'!AE$44</f>
        <v>0</v>
      </c>
      <c r="AF72" s="99">
        <f>'BS Forecasts'!AF$44</f>
        <v>0</v>
      </c>
      <c r="AG72" s="99">
        <f>'BS Forecasts'!AG$44</f>
        <v>0</v>
      </c>
      <c r="AH72" s="99">
        <f>'BS Forecasts'!AH$44</f>
        <v>0</v>
      </c>
      <c r="AI72" s="99">
        <f>'BS Forecasts'!AI$44</f>
        <v>0</v>
      </c>
      <c r="AJ72" s="99">
        <f>'BS Forecasts'!AJ$44</f>
        <v>0</v>
      </c>
      <c r="AK72" s="99">
        <f>'BS Forecasts'!AK$44</f>
        <v>0</v>
      </c>
      <c r="AL72" s="99">
        <f>'BS Forecasts'!AL$44</f>
        <v>0</v>
      </c>
      <c r="AM72" s="99">
        <f>'BS Forecasts'!AM$44</f>
        <v>0</v>
      </c>
      <c r="AN72" s="99">
        <f>'BS Forecasts'!AN$44</f>
        <v>0</v>
      </c>
      <c r="AO72" s="99">
        <f>'BS Forecasts'!AO$44</f>
        <v>0</v>
      </c>
      <c r="AP72" s="99">
        <f>'BS Forecasts'!AP$44</f>
        <v>0</v>
      </c>
      <c r="AQ72" s="99">
        <f>'BS Forecasts'!AQ$44</f>
        <v>0</v>
      </c>
      <c r="AR72" s="99">
        <f>'BS Forecasts'!AR$44</f>
        <v>0</v>
      </c>
      <c r="AS72" s="99">
        <f>'BS Forecasts'!AS$44</f>
        <v>0</v>
      </c>
      <c r="AT72" s="99">
        <f>'BS Forecasts'!AT$44</f>
        <v>0</v>
      </c>
      <c r="AU72" s="99">
        <f>'BS Forecasts'!AU$44</f>
        <v>0</v>
      </c>
      <c r="AV72" s="99">
        <f>'BS Forecasts'!AV$44</f>
        <v>0</v>
      </c>
      <c r="AW72" s="99">
        <f>'BS Forecasts'!AW$44</f>
        <v>0</v>
      </c>
      <c r="AX72" s="99">
        <f>'BS Forecasts'!AX$44</f>
        <v>0</v>
      </c>
      <c r="AY72" s="99">
        <f>'BS Forecasts'!AY$44</f>
        <v>0</v>
      </c>
      <c r="AZ72" s="99">
        <f>'BS Forecasts'!AZ$44</f>
        <v>0</v>
      </c>
      <c r="BA72" s="99">
        <f>'BS Forecasts'!BA$44</f>
        <v>0</v>
      </c>
      <c r="BB72" s="99">
        <f>'BS Forecasts'!BB$44</f>
        <v>0</v>
      </c>
      <c r="BC72" s="99">
        <f>'BS Forecasts'!BC$44</f>
        <v>0</v>
      </c>
      <c r="BD72" s="99">
        <f>'BS Forecasts'!BD$44</f>
        <v>0</v>
      </c>
      <c r="BE72" s="99">
        <f>'BS Forecasts'!BE$44</f>
        <v>0</v>
      </c>
      <c r="BF72" s="99">
        <f>'BS Forecasts'!BF$44</f>
        <v>0</v>
      </c>
      <c r="BG72" s="99">
        <f>'BS Forecasts'!BG$44</f>
        <v>0</v>
      </c>
      <c r="BH72" s="99">
        <f>'BS Forecasts'!BH$44</f>
        <v>0</v>
      </c>
      <c r="BI72" s="99">
        <f>'BS Forecasts'!BI$44</f>
        <v>0</v>
      </c>
      <c r="BJ72" s="99">
        <f>'BS Forecasts'!BJ$44</f>
        <v>0</v>
      </c>
      <c r="BX72" s="99">
        <f>'BS Forecasts'!BX$44</f>
        <v>0</v>
      </c>
      <c r="BY72" s="99">
        <f>'BS Forecasts'!BY$44</f>
        <v>0</v>
      </c>
      <c r="BZ72" s="99">
        <f>'BS Forecasts'!BZ$44</f>
        <v>0</v>
      </c>
      <c r="CA72" s="99">
        <f>'BS Forecasts'!CA$44</f>
        <v>0</v>
      </c>
      <c r="CB72" s="99">
        <f>'BS Forecasts'!CB$44</f>
        <v>0</v>
      </c>
      <c r="CC72" s="99">
        <f>'BS Forecasts'!CC$44</f>
        <v>0</v>
      </c>
      <c r="CD72" s="99">
        <f>'BS Forecasts'!CD$44</f>
        <v>0</v>
      </c>
      <c r="CE72" s="99">
        <f>'BS Forecasts'!CE$44</f>
        <v>0</v>
      </c>
      <c r="CF72" s="99">
        <f>'BS Forecasts'!CF$44</f>
        <v>0</v>
      </c>
      <c r="CG72" s="99">
        <f>'BS Forecasts'!CG$44</f>
        <v>0</v>
      </c>
      <c r="CH72" s="99">
        <f>'BS Forecasts'!CH$44</f>
        <v>0</v>
      </c>
      <c r="CI72" s="99">
        <f>'BS Forecasts'!CI$44</f>
        <v>0</v>
      </c>
      <c r="CK72" s="311"/>
      <c r="CO72" s="100">
        <f t="shared" si="66"/>
        <v>0</v>
      </c>
      <c r="CP72" s="100">
        <f t="shared" si="67"/>
        <v>0</v>
      </c>
      <c r="CQ72" s="100">
        <f t="shared" si="68"/>
        <v>0</v>
      </c>
      <c r="CR72" s="311"/>
      <c r="CS72" s="215">
        <f t="shared" si="69"/>
        <v>0</v>
      </c>
      <c r="CT72" s="215">
        <f t="shared" si="69"/>
        <v>0</v>
      </c>
      <c r="CU72" s="215">
        <f t="shared" si="69"/>
        <v>0</v>
      </c>
      <c r="CV72" s="215">
        <f t="shared" si="70"/>
        <v>0</v>
      </c>
      <c r="CW72" s="215">
        <f t="shared" si="70"/>
        <v>0</v>
      </c>
      <c r="CX72" s="215">
        <f t="shared" si="70"/>
        <v>0</v>
      </c>
      <c r="CY72" s="215">
        <f t="shared" si="71"/>
        <v>0</v>
      </c>
      <c r="EX72" s="10" t="str">
        <f t="shared" ca="1" si="63"/>
        <v>Investment in JVs and Associates (inc. overseas)</v>
      </c>
    </row>
    <row r="73" spans="1:154" x14ac:dyDescent="0.35">
      <c r="A73" s="537" cm="1">
        <f t="array" aca="1" ref="A73" ca="1">HYPERLINK(CONCATENATE("#",CELL("address",IF(MAX($CK73:$CR73)=0,A73,INDEX($CK73:$CR73,MATCH(1,$CK73:$CR73,0))))),MAX($CK73:$CR73))</f>
        <v>0</v>
      </c>
      <c r="C73" s="213" t="str">
        <f>'BS Forecasts'!C$47</f>
        <v>B-1g-CB</v>
      </c>
      <c r="D73" s="570" t="str" cm="1">
        <f t="array" aca="1" ref="D73" ca="1">HYPERLINK(CONCATENATE("#",CELL("address",'BS Forecasts'!$D$47)),'BS Forecasts'!$D$46)</f>
        <v>Non-current asset debtors due after one year</v>
      </c>
      <c r="V73" s="10">
        <f>'BS Forecasts'!V$47</f>
        <v>0</v>
      </c>
      <c r="W73" s="10">
        <f>'BS Forecasts'!W$47</f>
        <v>0</v>
      </c>
      <c r="X73" s="10">
        <f>'BS Forecasts'!X$47</f>
        <v>0</v>
      </c>
      <c r="Y73" s="10">
        <f>'BS Forecasts'!Y$47</f>
        <v>0</v>
      </c>
      <c r="AA73" s="10">
        <f>'BS Forecasts'!AA$47</f>
        <v>0</v>
      </c>
      <c r="AB73" s="10">
        <f>'BS Forecasts'!AB$47</f>
        <v>0</v>
      </c>
      <c r="AC73" s="10">
        <f>'BS Forecasts'!AC$47</f>
        <v>0</v>
      </c>
      <c r="AD73" s="10">
        <f>'BS Forecasts'!AD$47</f>
        <v>0</v>
      </c>
      <c r="AE73" s="10">
        <f>'BS Forecasts'!AE$47</f>
        <v>0</v>
      </c>
      <c r="AF73" s="10">
        <f>'BS Forecasts'!AF$47</f>
        <v>0</v>
      </c>
      <c r="AG73" s="10">
        <f>'BS Forecasts'!AG$47</f>
        <v>0</v>
      </c>
      <c r="AH73" s="10">
        <f>'BS Forecasts'!AH$47</f>
        <v>0</v>
      </c>
      <c r="AI73" s="10">
        <f>'BS Forecasts'!AI$47</f>
        <v>0</v>
      </c>
      <c r="AJ73" s="10">
        <f>'BS Forecasts'!AJ$47</f>
        <v>0</v>
      </c>
      <c r="AK73" s="10">
        <f>'BS Forecasts'!AK$47</f>
        <v>0</v>
      </c>
      <c r="AL73" s="10">
        <f>'BS Forecasts'!AL$47</f>
        <v>0</v>
      </c>
      <c r="AM73" s="10">
        <f>'BS Forecasts'!AM$47</f>
        <v>0</v>
      </c>
      <c r="AN73" s="10">
        <f>'BS Forecasts'!AN$47</f>
        <v>0</v>
      </c>
      <c r="AO73" s="10">
        <f>'BS Forecasts'!AO$47</f>
        <v>0</v>
      </c>
      <c r="AP73" s="10">
        <f>'BS Forecasts'!AP$47</f>
        <v>0</v>
      </c>
      <c r="AQ73" s="10">
        <f>'BS Forecasts'!AQ$47</f>
        <v>0</v>
      </c>
      <c r="AR73" s="10">
        <f>'BS Forecasts'!AR$47</f>
        <v>0</v>
      </c>
      <c r="AS73" s="10">
        <f>'BS Forecasts'!AS$47</f>
        <v>0</v>
      </c>
      <c r="AT73" s="10">
        <f>'BS Forecasts'!AT$47</f>
        <v>0</v>
      </c>
      <c r="AU73" s="10">
        <f>'BS Forecasts'!AU$47</f>
        <v>0</v>
      </c>
      <c r="AV73" s="10">
        <f>'BS Forecasts'!AV$47</f>
        <v>0</v>
      </c>
      <c r="AW73" s="10">
        <f>'BS Forecasts'!AW$47</f>
        <v>0</v>
      </c>
      <c r="AX73" s="10">
        <f>'BS Forecasts'!AX$47</f>
        <v>0</v>
      </c>
      <c r="AY73" s="10">
        <f>'BS Forecasts'!AY$47</f>
        <v>0</v>
      </c>
      <c r="AZ73" s="10">
        <f>'BS Forecasts'!AZ$47</f>
        <v>0</v>
      </c>
      <c r="BA73" s="10">
        <f>'BS Forecasts'!BA$47</f>
        <v>0</v>
      </c>
      <c r="BB73" s="10">
        <f>'BS Forecasts'!BB$47</f>
        <v>0</v>
      </c>
      <c r="BC73" s="10">
        <f>'BS Forecasts'!BC$47</f>
        <v>0</v>
      </c>
      <c r="BD73" s="10">
        <f>'BS Forecasts'!BD$47</f>
        <v>0</v>
      </c>
      <c r="BE73" s="10">
        <f>'BS Forecasts'!BE$47</f>
        <v>0</v>
      </c>
      <c r="BF73" s="10">
        <f>'BS Forecasts'!BF$47</f>
        <v>0</v>
      </c>
      <c r="BG73" s="10">
        <f>'BS Forecasts'!BG$47</f>
        <v>0</v>
      </c>
      <c r="BH73" s="10">
        <f>'BS Forecasts'!BH$47</f>
        <v>0</v>
      </c>
      <c r="BI73" s="10">
        <f>'BS Forecasts'!BI$47</f>
        <v>0</v>
      </c>
      <c r="BJ73" s="10">
        <f>'BS Forecasts'!BJ$47</f>
        <v>0</v>
      </c>
      <c r="BX73" s="10">
        <f>'BS Forecasts'!BX$47</f>
        <v>0</v>
      </c>
      <c r="BY73" s="10">
        <f>'BS Forecasts'!BY$47</f>
        <v>0</v>
      </c>
      <c r="BZ73" s="10">
        <f>'BS Forecasts'!BZ$47</f>
        <v>0</v>
      </c>
      <c r="CA73" s="10">
        <f>'BS Forecasts'!CA$47</f>
        <v>0</v>
      </c>
      <c r="CB73" s="10">
        <f>'BS Forecasts'!CB$47</f>
        <v>0</v>
      </c>
      <c r="CC73" s="10">
        <f>'BS Forecasts'!CC$47</f>
        <v>0</v>
      </c>
      <c r="CD73" s="10">
        <f>'BS Forecasts'!CD$47</f>
        <v>0</v>
      </c>
      <c r="CE73" s="10">
        <f>'BS Forecasts'!CE$47</f>
        <v>0</v>
      </c>
      <c r="CF73" s="10">
        <f>'BS Forecasts'!CF$47</f>
        <v>0</v>
      </c>
      <c r="CG73" s="10">
        <f>'BS Forecasts'!CG$47</f>
        <v>0</v>
      </c>
      <c r="CH73" s="10">
        <f>'BS Forecasts'!CH$47</f>
        <v>0</v>
      </c>
      <c r="CI73" s="10">
        <f>'BS Forecasts'!CI$47</f>
        <v>0</v>
      </c>
      <c r="CK73" s="311"/>
      <c r="CO73" s="100">
        <f t="shared" si="66"/>
        <v>0</v>
      </c>
      <c r="CP73" s="100">
        <f t="shared" si="67"/>
        <v>0</v>
      </c>
      <c r="CQ73" s="100">
        <f t="shared" si="68"/>
        <v>0</v>
      </c>
      <c r="CR73" s="311"/>
      <c r="CS73" s="215">
        <f t="shared" si="69"/>
        <v>0</v>
      </c>
      <c r="CT73" s="215">
        <f t="shared" si="69"/>
        <v>0</v>
      </c>
      <c r="CU73" s="215">
        <f t="shared" si="69"/>
        <v>0</v>
      </c>
      <c r="CV73" s="215">
        <f t="shared" si="70"/>
        <v>0</v>
      </c>
      <c r="CW73" s="215">
        <f t="shared" si="70"/>
        <v>0</v>
      </c>
      <c r="CX73" s="215">
        <f t="shared" si="70"/>
        <v>0</v>
      </c>
      <c r="CY73" s="215">
        <f t="shared" si="71"/>
        <v>0</v>
      </c>
      <c r="EX73" s="10" t="str">
        <f t="shared" ca="1" si="63"/>
        <v>Non-current asset debtors due after one year</v>
      </c>
    </row>
    <row r="74" spans="1:154" x14ac:dyDescent="0.35">
      <c r="A74" s="537" cm="1">
        <f t="array" aca="1" ref="A74" ca="1">HYPERLINK(CONCATENATE("#",CELL("address",IF(MAX($CK74:$CR74)=0,A74,INDEX($CK74:$CR74,MATCH(1,$CK74:$CR74,0))))),MAX($CK74:$CR74))</f>
        <v>0</v>
      </c>
      <c r="C74" s="213" t="s">
        <v>1521</v>
      </c>
      <c r="D74" s="107" t="s">
        <v>634</v>
      </c>
      <c r="V74" s="12">
        <f>SUM(V67:V73)*V$9</f>
        <v>0</v>
      </c>
      <c r="W74" s="12">
        <f>SUM(W67:W73)*W$9</f>
        <v>0</v>
      </c>
      <c r="X74" s="12">
        <f>SUM(X67:X73)*X$9</f>
        <v>0</v>
      </c>
      <c r="Y74" s="12">
        <f>SUM(Y67:Y73)*Y$9</f>
        <v>0</v>
      </c>
      <c r="AA74" s="12">
        <f t="shared" ref="AA74:BJ74" si="72">SUM(AA67:AA73)*AA$9</f>
        <v>0</v>
      </c>
      <c r="AB74" s="12">
        <f t="shared" si="72"/>
        <v>0</v>
      </c>
      <c r="AC74" s="12">
        <f t="shared" si="72"/>
        <v>0</v>
      </c>
      <c r="AD74" s="12">
        <f t="shared" si="72"/>
        <v>0</v>
      </c>
      <c r="AE74" s="12">
        <f t="shared" si="72"/>
        <v>0</v>
      </c>
      <c r="AF74" s="12">
        <f t="shared" si="72"/>
        <v>0</v>
      </c>
      <c r="AG74" s="12">
        <f t="shared" si="72"/>
        <v>0</v>
      </c>
      <c r="AH74" s="12">
        <f t="shared" si="72"/>
        <v>0</v>
      </c>
      <c r="AI74" s="12">
        <f t="shared" si="72"/>
        <v>0</v>
      </c>
      <c r="AJ74" s="12">
        <f t="shared" si="72"/>
        <v>0</v>
      </c>
      <c r="AK74" s="12">
        <f t="shared" si="72"/>
        <v>0</v>
      </c>
      <c r="AL74" s="12">
        <f t="shared" si="72"/>
        <v>0</v>
      </c>
      <c r="AM74" s="12">
        <f t="shared" si="72"/>
        <v>0</v>
      </c>
      <c r="AN74" s="12">
        <f t="shared" si="72"/>
        <v>0</v>
      </c>
      <c r="AO74" s="12">
        <f t="shared" si="72"/>
        <v>0</v>
      </c>
      <c r="AP74" s="12">
        <f t="shared" si="72"/>
        <v>0</v>
      </c>
      <c r="AQ74" s="12">
        <f t="shared" si="72"/>
        <v>0</v>
      </c>
      <c r="AR74" s="12">
        <f t="shared" si="72"/>
        <v>0</v>
      </c>
      <c r="AS74" s="12">
        <f t="shared" si="72"/>
        <v>0</v>
      </c>
      <c r="AT74" s="12">
        <f t="shared" si="72"/>
        <v>0</v>
      </c>
      <c r="AU74" s="12">
        <f t="shared" si="72"/>
        <v>0</v>
      </c>
      <c r="AV74" s="12">
        <f t="shared" si="72"/>
        <v>0</v>
      </c>
      <c r="AW74" s="12">
        <f t="shared" si="72"/>
        <v>0</v>
      </c>
      <c r="AX74" s="12">
        <f t="shared" si="72"/>
        <v>0</v>
      </c>
      <c r="AY74" s="12">
        <f t="shared" si="72"/>
        <v>0</v>
      </c>
      <c r="AZ74" s="12">
        <f t="shared" si="72"/>
        <v>0</v>
      </c>
      <c r="BA74" s="12">
        <f t="shared" si="72"/>
        <v>0</v>
      </c>
      <c r="BB74" s="12">
        <f t="shared" si="72"/>
        <v>0</v>
      </c>
      <c r="BC74" s="12">
        <f t="shared" si="72"/>
        <v>0</v>
      </c>
      <c r="BD74" s="12">
        <f t="shared" si="72"/>
        <v>0</v>
      </c>
      <c r="BE74" s="12">
        <f t="shared" si="72"/>
        <v>0</v>
      </c>
      <c r="BF74" s="12">
        <f t="shared" si="72"/>
        <v>0</v>
      </c>
      <c r="BG74" s="12">
        <f t="shared" si="72"/>
        <v>0</v>
      </c>
      <c r="BH74" s="12">
        <f t="shared" si="72"/>
        <v>0</v>
      </c>
      <c r="BI74" s="12">
        <f t="shared" si="72"/>
        <v>0</v>
      </c>
      <c r="BJ74" s="12">
        <f t="shared" si="72"/>
        <v>0</v>
      </c>
      <c r="BX74" s="12">
        <f t="shared" ref="BX74:CI74" si="73">SUM(BX67:BX73)*BX$9</f>
        <v>0</v>
      </c>
      <c r="BY74" s="12">
        <f t="shared" si="73"/>
        <v>0</v>
      </c>
      <c r="BZ74" s="12">
        <f t="shared" si="73"/>
        <v>0</v>
      </c>
      <c r="CA74" s="12">
        <f t="shared" si="73"/>
        <v>0</v>
      </c>
      <c r="CB74" s="12">
        <f t="shared" si="73"/>
        <v>0</v>
      </c>
      <c r="CC74" s="12">
        <f t="shared" si="73"/>
        <v>0</v>
      </c>
      <c r="CD74" s="12">
        <f t="shared" si="73"/>
        <v>0</v>
      </c>
      <c r="CE74" s="12">
        <f t="shared" si="73"/>
        <v>0</v>
      </c>
      <c r="CF74" s="12">
        <f t="shared" si="73"/>
        <v>0</v>
      </c>
      <c r="CG74" s="12">
        <f t="shared" si="73"/>
        <v>0</v>
      </c>
      <c r="CH74" s="12">
        <f t="shared" si="73"/>
        <v>0</v>
      </c>
      <c r="CI74" s="12">
        <f t="shared" si="73"/>
        <v>0</v>
      </c>
      <c r="CK74" s="311"/>
      <c r="CO74" s="100">
        <f t="shared" si="66"/>
        <v>0</v>
      </c>
      <c r="CP74" s="100">
        <f t="shared" si="67"/>
        <v>0</v>
      </c>
      <c r="CQ74" s="100">
        <f t="shared" si="68"/>
        <v>0</v>
      </c>
      <c r="CR74" s="311"/>
      <c r="CS74" s="215">
        <f t="shared" si="69"/>
        <v>0</v>
      </c>
      <c r="CT74" s="215">
        <f t="shared" si="69"/>
        <v>0</v>
      </c>
      <c r="CU74" s="215">
        <f t="shared" si="69"/>
        <v>0</v>
      </c>
      <c r="CV74" s="215">
        <f t="shared" si="70"/>
        <v>0</v>
      </c>
      <c r="CW74" s="215">
        <f t="shared" si="70"/>
        <v>0</v>
      </c>
      <c r="CX74" s="215">
        <f t="shared" si="70"/>
        <v>0</v>
      </c>
      <c r="CY74" s="215">
        <f t="shared" si="71"/>
        <v>0</v>
      </c>
      <c r="EX74" s="10" t="str">
        <f t="shared" si="63"/>
        <v>Total Non-Current Assets</v>
      </c>
    </row>
    <row r="75" spans="1:154" ht="11.65" customHeight="1" x14ac:dyDescent="0.35">
      <c r="C75" s="213"/>
      <c r="E75"/>
      <c r="CK75" s="311"/>
      <c r="CO75" s="120"/>
      <c r="CP75" s="120"/>
      <c r="CQ75" s="120"/>
      <c r="CR75" s="311"/>
      <c r="EX75" s="10" t="str">
        <f t="shared" si="63"/>
        <v/>
      </c>
    </row>
    <row r="76" spans="1:154" x14ac:dyDescent="0.35">
      <c r="A76" s="537" cm="1">
        <f t="array" aca="1" ref="A76" ca="1">HYPERLINK(CONCATENATE("#",CELL("address",IF(MAX($CK76:$CR76)=0,A76,INDEX($CK76:$CR76,MATCH(1,$CK76:$CR76,0))))),MAX($CK76:$CR76))</f>
        <v>0</v>
      </c>
      <c r="B76" s="5"/>
      <c r="C76" s="213"/>
      <c r="D76" s="107" t="str">
        <f>'BS Forecasts'!D$49</f>
        <v>Current Assets</v>
      </c>
      <c r="CK76" s="311"/>
      <c r="CO76" s="100">
        <f t="shared" ref="CO76:CO88" si="74">IF(SUM($CS76:$CU76)=0, 0, 1)</f>
        <v>0</v>
      </c>
      <c r="CP76" s="100">
        <f t="shared" ref="CP76:CP88" si="75">IF(SUM($CV76:$CX76)=0, 0, 1)</f>
        <v>0</v>
      </c>
      <c r="CQ76" s="100">
        <f t="shared" ref="CQ76:CQ88" si="76">IF(CY76=0, 0, 1)</f>
        <v>0</v>
      </c>
      <c r="CR76" s="311"/>
      <c r="CS76" s="215">
        <f t="shared" ref="CS76:CS88" si="77">ROUND(W76-INDEX($AA76:$BJ76, MATCH(W$5, $AA$5:$BJ$5,0)), rounding)</f>
        <v>0</v>
      </c>
      <c r="CT76" s="215">
        <f t="shared" ref="CT76:CT88" si="78">ROUND(X76-INDEX($AA76:$BJ76, MATCH(X$5, $AA$5:$BJ$5,0)), rounding)</f>
        <v>0</v>
      </c>
      <c r="CU76" s="215">
        <f t="shared" ref="CU76:CU88" si="79">ROUND(Y76-INDEX($AA76:$BJ76, MATCH(Y$5, $AA$5:$BJ$5,0)), rounding)</f>
        <v>0</v>
      </c>
      <c r="CV76" s="215">
        <f t="shared" ref="CV76:CV88" si="80">ROUND(W76-BY76, rounding)</f>
        <v>0</v>
      </c>
      <c r="CW76" s="215">
        <f t="shared" ref="CW76:CW88" si="81">ROUND(X76-BZ76, rounding)</f>
        <v>0</v>
      </c>
      <c r="CX76" s="215">
        <f t="shared" ref="CX76:CX88" si="82">ROUND(Y76-CA76, rounding)</f>
        <v>0</v>
      </c>
      <c r="CY76" s="215">
        <f t="shared" ref="CY76:CY88" si="83">ROUND(V76-BX76, rounding)</f>
        <v>0</v>
      </c>
      <c r="EX76" s="10" t="str">
        <f t="shared" si="63"/>
        <v/>
      </c>
    </row>
    <row r="77" spans="1:154" x14ac:dyDescent="0.35">
      <c r="A77" s="537" cm="1">
        <f t="array" aca="1" ref="A77" ca="1">HYPERLINK(CONCATENATE("#",CELL("address",IF(MAX($CK77:$CR77)=0,A77,INDEX($CK77:$CR77,MATCH(1,$CK77:$CR77,0))))),MAX($CK77:$CR77))</f>
        <v>0</v>
      </c>
      <c r="C77" s="213" t="str">
        <f>'BS Forecasts'!C$52</f>
        <v>B-2a-CB</v>
      </c>
      <c r="D77" s="572" t="str" cm="1">
        <f t="array" aca="1" ref="D77" ca="1">HYPERLINK(CONCATENATE("#",CELL("address",'BS Forecasts'!$D$52)),'BS Forecasts'!$D$51)</f>
        <v xml:space="preserve">Assets Held for Sale </v>
      </c>
      <c r="V77" s="10">
        <f>'BS Forecasts'!V$52</f>
        <v>0</v>
      </c>
      <c r="W77" s="99">
        <f>'BS Forecasts'!W$52</f>
        <v>0</v>
      </c>
      <c r="X77" s="99">
        <f>'BS Forecasts'!X$52</f>
        <v>0</v>
      </c>
      <c r="Y77" s="99">
        <f>'BS Forecasts'!Y$52</f>
        <v>0</v>
      </c>
      <c r="AA77" s="99">
        <f>'BS Forecasts'!AA$52</f>
        <v>0</v>
      </c>
      <c r="AB77" s="99">
        <f>'BS Forecasts'!AB$52</f>
        <v>0</v>
      </c>
      <c r="AC77" s="99">
        <f>'BS Forecasts'!AC$52</f>
        <v>0</v>
      </c>
      <c r="AD77" s="99">
        <f>'BS Forecasts'!AD$52</f>
        <v>0</v>
      </c>
      <c r="AE77" s="99">
        <f>'BS Forecasts'!AE$52</f>
        <v>0</v>
      </c>
      <c r="AF77" s="99">
        <f>'BS Forecasts'!AF$52</f>
        <v>0</v>
      </c>
      <c r="AG77" s="99">
        <f>'BS Forecasts'!AG$52</f>
        <v>0</v>
      </c>
      <c r="AH77" s="99">
        <f>'BS Forecasts'!AH$52</f>
        <v>0</v>
      </c>
      <c r="AI77" s="99">
        <f>'BS Forecasts'!AI$52</f>
        <v>0</v>
      </c>
      <c r="AJ77" s="99">
        <f>'BS Forecasts'!AJ$52</f>
        <v>0</v>
      </c>
      <c r="AK77" s="99">
        <f>'BS Forecasts'!AK$52</f>
        <v>0</v>
      </c>
      <c r="AL77" s="99">
        <f>'BS Forecasts'!AL$52</f>
        <v>0</v>
      </c>
      <c r="AM77" s="99">
        <f>'BS Forecasts'!AM$52</f>
        <v>0</v>
      </c>
      <c r="AN77" s="99">
        <f>'BS Forecasts'!AN$52</f>
        <v>0</v>
      </c>
      <c r="AO77" s="99">
        <f>'BS Forecasts'!AO$52</f>
        <v>0</v>
      </c>
      <c r="AP77" s="99">
        <f>'BS Forecasts'!AP$52</f>
        <v>0</v>
      </c>
      <c r="AQ77" s="99">
        <f>'BS Forecasts'!AQ$52</f>
        <v>0</v>
      </c>
      <c r="AR77" s="99">
        <f>'BS Forecasts'!AR$52</f>
        <v>0</v>
      </c>
      <c r="AS77" s="99">
        <f>'BS Forecasts'!AS$52</f>
        <v>0</v>
      </c>
      <c r="AT77" s="99">
        <f>'BS Forecasts'!AT$52</f>
        <v>0</v>
      </c>
      <c r="AU77" s="99">
        <f>'BS Forecasts'!AU$52</f>
        <v>0</v>
      </c>
      <c r="AV77" s="99">
        <f>'BS Forecasts'!AV$52</f>
        <v>0</v>
      </c>
      <c r="AW77" s="99">
        <f>'BS Forecasts'!AW$52</f>
        <v>0</v>
      </c>
      <c r="AX77" s="99">
        <f>'BS Forecasts'!AX$52</f>
        <v>0</v>
      </c>
      <c r="AY77" s="99">
        <f>'BS Forecasts'!AY$52</f>
        <v>0</v>
      </c>
      <c r="AZ77" s="99">
        <f>'BS Forecasts'!AZ$52</f>
        <v>0</v>
      </c>
      <c r="BA77" s="99">
        <f>'BS Forecasts'!BA$52</f>
        <v>0</v>
      </c>
      <c r="BB77" s="99">
        <f>'BS Forecasts'!BB$52</f>
        <v>0</v>
      </c>
      <c r="BC77" s="99">
        <f>'BS Forecasts'!BC$52</f>
        <v>0</v>
      </c>
      <c r="BD77" s="99">
        <f>'BS Forecasts'!BD$52</f>
        <v>0</v>
      </c>
      <c r="BE77" s="99">
        <f>'BS Forecasts'!BE$52</f>
        <v>0</v>
      </c>
      <c r="BF77" s="99">
        <f>'BS Forecasts'!BF$52</f>
        <v>0</v>
      </c>
      <c r="BG77" s="99">
        <f>'BS Forecasts'!BG$52</f>
        <v>0</v>
      </c>
      <c r="BH77" s="99">
        <f>'BS Forecasts'!BH$52</f>
        <v>0</v>
      </c>
      <c r="BI77" s="99">
        <f>'BS Forecasts'!BI$52</f>
        <v>0</v>
      </c>
      <c r="BJ77" s="99">
        <f>'BS Forecasts'!BJ$52</f>
        <v>0</v>
      </c>
      <c r="BX77" s="99">
        <f>'BS Forecasts'!BX$52</f>
        <v>0</v>
      </c>
      <c r="BY77" s="99">
        <f>'BS Forecasts'!BY$52</f>
        <v>0</v>
      </c>
      <c r="BZ77" s="99">
        <f>'BS Forecasts'!BZ$52</f>
        <v>0</v>
      </c>
      <c r="CA77" s="99">
        <f>'BS Forecasts'!CA$52</f>
        <v>0</v>
      </c>
      <c r="CB77" s="99">
        <f>'BS Forecasts'!CB$52</f>
        <v>0</v>
      </c>
      <c r="CC77" s="99">
        <f>'BS Forecasts'!CC$52</f>
        <v>0</v>
      </c>
      <c r="CD77" s="99">
        <f>'BS Forecasts'!CD$52</f>
        <v>0</v>
      </c>
      <c r="CE77" s="99">
        <f>'BS Forecasts'!CE$52</f>
        <v>0</v>
      </c>
      <c r="CF77" s="99">
        <f>'BS Forecasts'!CF$52</f>
        <v>0</v>
      </c>
      <c r="CG77" s="99">
        <f>'BS Forecasts'!CG$52</f>
        <v>0</v>
      </c>
      <c r="CH77" s="99">
        <f>'BS Forecasts'!CH$52</f>
        <v>0</v>
      </c>
      <c r="CI77" s="99">
        <f>'BS Forecasts'!CI$52</f>
        <v>0</v>
      </c>
      <c r="CK77" s="311"/>
      <c r="CO77" s="100">
        <f t="shared" si="74"/>
        <v>0</v>
      </c>
      <c r="CP77" s="100">
        <f t="shared" si="75"/>
        <v>0</v>
      </c>
      <c r="CQ77" s="100">
        <f t="shared" si="76"/>
        <v>0</v>
      </c>
      <c r="CR77" s="311"/>
      <c r="CS77" s="215">
        <f t="shared" si="77"/>
        <v>0</v>
      </c>
      <c r="CT77" s="215">
        <f t="shared" si="78"/>
        <v>0</v>
      </c>
      <c r="CU77" s="215">
        <f t="shared" si="79"/>
        <v>0</v>
      </c>
      <c r="CV77" s="215">
        <f t="shared" si="80"/>
        <v>0</v>
      </c>
      <c r="CW77" s="215">
        <f t="shared" si="81"/>
        <v>0</v>
      </c>
      <c r="CX77" s="215">
        <f t="shared" si="82"/>
        <v>0</v>
      </c>
      <c r="CY77" s="215">
        <f t="shared" si="83"/>
        <v>0</v>
      </c>
      <c r="EX77" s="10" t="str">
        <f t="shared" ca="1" si="63"/>
        <v xml:space="preserve">Assets Held for Sale </v>
      </c>
    </row>
    <row r="78" spans="1:154" x14ac:dyDescent="0.35">
      <c r="A78" s="537" cm="1">
        <f t="array" aca="1" ref="A78" ca="1">HYPERLINK(CONCATENATE("#",CELL("address",IF(MAX($CK78:$CR78)=0,A78,INDEX($CK78:$CR78,MATCH(1,$CK78:$CR78,0))))),MAX($CK78:$CR78))</f>
        <v>0</v>
      </c>
      <c r="C78" s="213" t="str">
        <f>'BS Forecasts'!C$56</f>
        <v>B-2b-CB</v>
      </c>
      <c r="D78" s="570" t="str" cm="1">
        <f t="array" aca="1" ref="D78" ca="1">HYPERLINK(CONCATENATE("#",CELL("address",'BS Forecasts'!$D$56)),'BS Forecasts'!$D$54)</f>
        <v>Stock</v>
      </c>
      <c r="V78" s="10">
        <f>'BS Forecasts'!V$56</f>
        <v>0</v>
      </c>
      <c r="W78" s="99">
        <f>'BS Forecasts'!W$56</f>
        <v>0</v>
      </c>
      <c r="X78" s="99">
        <f>'BS Forecasts'!X$56</f>
        <v>0</v>
      </c>
      <c r="Y78" s="99">
        <f>'BS Forecasts'!Y$56</f>
        <v>0</v>
      </c>
      <c r="AA78" s="99">
        <f>'BS Forecasts'!AA$56</f>
        <v>0</v>
      </c>
      <c r="AB78" s="99">
        <f>'BS Forecasts'!AB$56</f>
        <v>0</v>
      </c>
      <c r="AC78" s="99">
        <f>'BS Forecasts'!AC$56</f>
        <v>0</v>
      </c>
      <c r="AD78" s="99">
        <f>'BS Forecasts'!AD$56</f>
        <v>0</v>
      </c>
      <c r="AE78" s="99">
        <f>'BS Forecasts'!AE$56</f>
        <v>0</v>
      </c>
      <c r="AF78" s="99">
        <f>'BS Forecasts'!AF$56</f>
        <v>0</v>
      </c>
      <c r="AG78" s="99">
        <f>'BS Forecasts'!AG$56</f>
        <v>0</v>
      </c>
      <c r="AH78" s="99">
        <f>'BS Forecasts'!AH$56</f>
        <v>0</v>
      </c>
      <c r="AI78" s="99">
        <f>'BS Forecasts'!AI$56</f>
        <v>0</v>
      </c>
      <c r="AJ78" s="99">
        <f>'BS Forecasts'!AJ$56</f>
        <v>0</v>
      </c>
      <c r="AK78" s="99">
        <f>'BS Forecasts'!AK$56</f>
        <v>0</v>
      </c>
      <c r="AL78" s="99">
        <f>'BS Forecasts'!AL$56</f>
        <v>0</v>
      </c>
      <c r="AM78" s="99">
        <f>'BS Forecasts'!AM$56</f>
        <v>0</v>
      </c>
      <c r="AN78" s="99">
        <f>'BS Forecasts'!AN$56</f>
        <v>0</v>
      </c>
      <c r="AO78" s="99">
        <f>'BS Forecasts'!AO$56</f>
        <v>0</v>
      </c>
      <c r="AP78" s="99">
        <f>'BS Forecasts'!AP$56</f>
        <v>0</v>
      </c>
      <c r="AQ78" s="99">
        <f>'BS Forecasts'!AQ$56</f>
        <v>0</v>
      </c>
      <c r="AR78" s="99">
        <f>'BS Forecasts'!AR$56</f>
        <v>0</v>
      </c>
      <c r="AS78" s="99">
        <f>'BS Forecasts'!AS$56</f>
        <v>0</v>
      </c>
      <c r="AT78" s="99">
        <f>'BS Forecasts'!AT$56</f>
        <v>0</v>
      </c>
      <c r="AU78" s="99">
        <f>'BS Forecasts'!AU$56</f>
        <v>0</v>
      </c>
      <c r="AV78" s="99">
        <f>'BS Forecasts'!AV$56</f>
        <v>0</v>
      </c>
      <c r="AW78" s="99">
        <f>'BS Forecasts'!AW$56</f>
        <v>0</v>
      </c>
      <c r="AX78" s="99">
        <f>'BS Forecasts'!AX$56</f>
        <v>0</v>
      </c>
      <c r="AY78" s="99">
        <f>'BS Forecasts'!AY$56</f>
        <v>0</v>
      </c>
      <c r="AZ78" s="99">
        <f>'BS Forecasts'!AZ$56</f>
        <v>0</v>
      </c>
      <c r="BA78" s="99">
        <f>'BS Forecasts'!BA$56</f>
        <v>0</v>
      </c>
      <c r="BB78" s="99">
        <f>'BS Forecasts'!BB$56</f>
        <v>0</v>
      </c>
      <c r="BC78" s="99">
        <f>'BS Forecasts'!BC$56</f>
        <v>0</v>
      </c>
      <c r="BD78" s="99">
        <f>'BS Forecasts'!BD$56</f>
        <v>0</v>
      </c>
      <c r="BE78" s="99">
        <f>'BS Forecasts'!BE$56</f>
        <v>0</v>
      </c>
      <c r="BF78" s="99">
        <f>'BS Forecasts'!BF$56</f>
        <v>0</v>
      </c>
      <c r="BG78" s="99">
        <f>'BS Forecasts'!BG$56</f>
        <v>0</v>
      </c>
      <c r="BH78" s="99">
        <f>'BS Forecasts'!BH$56</f>
        <v>0</v>
      </c>
      <c r="BI78" s="99">
        <f>'BS Forecasts'!BI$56</f>
        <v>0</v>
      </c>
      <c r="BJ78" s="99">
        <f>'BS Forecasts'!BJ$56</f>
        <v>0</v>
      </c>
      <c r="BX78" s="99">
        <f>'BS Forecasts'!BX$56</f>
        <v>0</v>
      </c>
      <c r="BY78" s="99">
        <f>'BS Forecasts'!BY$56</f>
        <v>0</v>
      </c>
      <c r="BZ78" s="99">
        <f>'BS Forecasts'!BZ$56</f>
        <v>0</v>
      </c>
      <c r="CA78" s="99">
        <f>'BS Forecasts'!CA$56</f>
        <v>0</v>
      </c>
      <c r="CB78" s="99">
        <f>'BS Forecasts'!CB$56</f>
        <v>0</v>
      </c>
      <c r="CC78" s="99">
        <f>'BS Forecasts'!CC$56</f>
        <v>0</v>
      </c>
      <c r="CD78" s="99">
        <f>'BS Forecasts'!CD$56</f>
        <v>0</v>
      </c>
      <c r="CE78" s="99">
        <f>'BS Forecasts'!CE$56</f>
        <v>0</v>
      </c>
      <c r="CF78" s="99">
        <f>'BS Forecasts'!CF$56</f>
        <v>0</v>
      </c>
      <c r="CG78" s="99">
        <f>'BS Forecasts'!CG$56</f>
        <v>0</v>
      </c>
      <c r="CH78" s="99">
        <f>'BS Forecasts'!CH$56</f>
        <v>0</v>
      </c>
      <c r="CI78" s="99">
        <f>'BS Forecasts'!CI$56</f>
        <v>0</v>
      </c>
      <c r="CK78" s="311"/>
      <c r="CO78" s="100">
        <f t="shared" si="74"/>
        <v>0</v>
      </c>
      <c r="CP78" s="100">
        <f t="shared" si="75"/>
        <v>0</v>
      </c>
      <c r="CQ78" s="100">
        <f t="shared" si="76"/>
        <v>0</v>
      </c>
      <c r="CR78" s="311"/>
      <c r="CS78" s="215">
        <f t="shared" si="77"/>
        <v>0</v>
      </c>
      <c r="CT78" s="215">
        <f t="shared" si="78"/>
        <v>0</v>
      </c>
      <c r="CU78" s="215">
        <f t="shared" si="79"/>
        <v>0</v>
      </c>
      <c r="CV78" s="215">
        <f t="shared" si="80"/>
        <v>0</v>
      </c>
      <c r="CW78" s="215">
        <f t="shared" si="81"/>
        <v>0</v>
      </c>
      <c r="CX78" s="215">
        <f t="shared" si="82"/>
        <v>0</v>
      </c>
      <c r="CY78" s="215">
        <f t="shared" si="83"/>
        <v>0</v>
      </c>
      <c r="EX78" s="10" t="str">
        <f t="shared" ca="1" si="63"/>
        <v>Stock</v>
      </c>
    </row>
    <row r="79" spans="1:154" x14ac:dyDescent="0.35">
      <c r="A79" s="537" cm="1">
        <f t="array" aca="1" ref="A79" ca="1">HYPERLINK(CONCATENATE("#",CELL("address",IF(MAX($CK79:$CR79)=0,A79,INDEX($CK79:$CR79,MATCH(1,$CK79:$CR79,0))))),MAX($CK79:$CR79))</f>
        <v>0</v>
      </c>
      <c r="C79" s="213" t="str">
        <f>'BS Forecasts'!C$60</f>
        <v>B-2c-CB</v>
      </c>
      <c r="D79" s="570" t="str" cm="1">
        <f t="array" aca="1" ref="D79" ca="1">HYPERLINK(CONCATENATE("#",CELL("address",'BS Forecasts'!$D$60)),'BS Forecasts'!$D$58)</f>
        <v>Trade Receivables</v>
      </c>
      <c r="V79" s="10">
        <f>'BS Forecasts'!V$60</f>
        <v>0</v>
      </c>
      <c r="W79" s="99">
        <f>'BS Forecasts'!W$60</f>
        <v>0</v>
      </c>
      <c r="X79" s="99">
        <f>'BS Forecasts'!X$60</f>
        <v>0</v>
      </c>
      <c r="Y79" s="99">
        <f>'BS Forecasts'!Y$60</f>
        <v>0</v>
      </c>
      <c r="AA79" s="99">
        <f>'BS Forecasts'!AA$60</f>
        <v>0</v>
      </c>
      <c r="AB79" s="99">
        <f>'BS Forecasts'!AB$60</f>
        <v>0</v>
      </c>
      <c r="AC79" s="99">
        <f>'BS Forecasts'!AC$60</f>
        <v>0</v>
      </c>
      <c r="AD79" s="99">
        <f>'BS Forecasts'!AD$60</f>
        <v>0</v>
      </c>
      <c r="AE79" s="99">
        <f>'BS Forecasts'!AE$60</f>
        <v>0</v>
      </c>
      <c r="AF79" s="99">
        <f>'BS Forecasts'!AF$60</f>
        <v>0</v>
      </c>
      <c r="AG79" s="99">
        <f>'BS Forecasts'!AG$60</f>
        <v>0</v>
      </c>
      <c r="AH79" s="99">
        <f>'BS Forecasts'!AH$60</f>
        <v>0</v>
      </c>
      <c r="AI79" s="99">
        <f>'BS Forecasts'!AI$60</f>
        <v>0</v>
      </c>
      <c r="AJ79" s="99">
        <f>'BS Forecasts'!AJ$60</f>
        <v>0</v>
      </c>
      <c r="AK79" s="99">
        <f>'BS Forecasts'!AK$60</f>
        <v>0</v>
      </c>
      <c r="AL79" s="99">
        <f>'BS Forecasts'!AL$60</f>
        <v>0</v>
      </c>
      <c r="AM79" s="99">
        <f>'BS Forecasts'!AM$60</f>
        <v>0</v>
      </c>
      <c r="AN79" s="99">
        <f>'BS Forecasts'!AN$60</f>
        <v>0</v>
      </c>
      <c r="AO79" s="99">
        <f>'BS Forecasts'!AO$60</f>
        <v>0</v>
      </c>
      <c r="AP79" s="99">
        <f>'BS Forecasts'!AP$60</f>
        <v>0</v>
      </c>
      <c r="AQ79" s="99">
        <f>'BS Forecasts'!AQ$60</f>
        <v>0</v>
      </c>
      <c r="AR79" s="99">
        <f>'BS Forecasts'!AR$60</f>
        <v>0</v>
      </c>
      <c r="AS79" s="99">
        <f>'BS Forecasts'!AS$60</f>
        <v>0</v>
      </c>
      <c r="AT79" s="99">
        <f>'BS Forecasts'!AT$60</f>
        <v>0</v>
      </c>
      <c r="AU79" s="99">
        <f>'BS Forecasts'!AU$60</f>
        <v>0</v>
      </c>
      <c r="AV79" s="99">
        <f>'BS Forecasts'!AV$60</f>
        <v>0</v>
      </c>
      <c r="AW79" s="99">
        <f>'BS Forecasts'!AW$60</f>
        <v>0</v>
      </c>
      <c r="AX79" s="99">
        <f>'BS Forecasts'!AX$60</f>
        <v>0</v>
      </c>
      <c r="AY79" s="99">
        <f>'BS Forecasts'!AY$60</f>
        <v>0</v>
      </c>
      <c r="AZ79" s="99">
        <f>'BS Forecasts'!AZ$60</f>
        <v>0</v>
      </c>
      <c r="BA79" s="99">
        <f>'BS Forecasts'!BA$60</f>
        <v>0</v>
      </c>
      <c r="BB79" s="99">
        <f>'BS Forecasts'!BB$60</f>
        <v>0</v>
      </c>
      <c r="BC79" s="99">
        <f>'BS Forecasts'!BC$60</f>
        <v>0</v>
      </c>
      <c r="BD79" s="99">
        <f>'BS Forecasts'!BD$60</f>
        <v>0</v>
      </c>
      <c r="BE79" s="99">
        <f>'BS Forecasts'!BE$60</f>
        <v>0</v>
      </c>
      <c r="BF79" s="99">
        <f>'BS Forecasts'!BF$60</f>
        <v>0</v>
      </c>
      <c r="BG79" s="99">
        <f>'BS Forecasts'!BG$60</f>
        <v>0</v>
      </c>
      <c r="BH79" s="99">
        <f>'BS Forecasts'!BH$60</f>
        <v>0</v>
      </c>
      <c r="BI79" s="99">
        <f>'BS Forecasts'!BI$60</f>
        <v>0</v>
      </c>
      <c r="BJ79" s="99">
        <f>'BS Forecasts'!BJ$60</f>
        <v>0</v>
      </c>
      <c r="BX79" s="99">
        <f>'BS Forecasts'!BX$60</f>
        <v>0</v>
      </c>
      <c r="BY79" s="99">
        <f>'BS Forecasts'!BY$60</f>
        <v>0</v>
      </c>
      <c r="BZ79" s="99">
        <f>'BS Forecasts'!BZ$60</f>
        <v>0</v>
      </c>
      <c r="CA79" s="99">
        <f>'BS Forecasts'!CA$60</f>
        <v>0</v>
      </c>
      <c r="CB79" s="99">
        <f>'BS Forecasts'!CB$60</f>
        <v>0</v>
      </c>
      <c r="CC79" s="99">
        <f>'BS Forecasts'!CC$60</f>
        <v>0</v>
      </c>
      <c r="CD79" s="99">
        <f>'BS Forecasts'!CD$60</f>
        <v>0</v>
      </c>
      <c r="CE79" s="99">
        <f>'BS Forecasts'!CE$60</f>
        <v>0</v>
      </c>
      <c r="CF79" s="99">
        <f>'BS Forecasts'!CF$60</f>
        <v>0</v>
      </c>
      <c r="CG79" s="99">
        <f>'BS Forecasts'!CG$60</f>
        <v>0</v>
      </c>
      <c r="CH79" s="99">
        <f>'BS Forecasts'!CH$60</f>
        <v>0</v>
      </c>
      <c r="CI79" s="99">
        <f>'BS Forecasts'!CI$60</f>
        <v>0</v>
      </c>
      <c r="CK79" s="311"/>
      <c r="CO79" s="100">
        <f t="shared" si="74"/>
        <v>0</v>
      </c>
      <c r="CP79" s="100">
        <f t="shared" si="75"/>
        <v>0</v>
      </c>
      <c r="CQ79" s="100">
        <f t="shared" si="76"/>
        <v>0</v>
      </c>
      <c r="CR79" s="311"/>
      <c r="CS79" s="215">
        <f t="shared" si="77"/>
        <v>0</v>
      </c>
      <c r="CT79" s="215">
        <f t="shared" si="78"/>
        <v>0</v>
      </c>
      <c r="CU79" s="215">
        <f t="shared" si="79"/>
        <v>0</v>
      </c>
      <c r="CV79" s="215">
        <f t="shared" si="80"/>
        <v>0</v>
      </c>
      <c r="CW79" s="215">
        <f t="shared" si="81"/>
        <v>0</v>
      </c>
      <c r="CX79" s="215">
        <f t="shared" si="82"/>
        <v>0</v>
      </c>
      <c r="CY79" s="215">
        <f t="shared" si="83"/>
        <v>0</v>
      </c>
      <c r="EX79" s="10" t="str">
        <f t="shared" ca="1" si="63"/>
        <v>Trade Receivables</v>
      </c>
    </row>
    <row r="80" spans="1:154" x14ac:dyDescent="0.35">
      <c r="A80" s="537" cm="1">
        <f t="array" aca="1" ref="A80" ca="1">HYPERLINK(CONCATENATE("#",CELL("address",IF(MAX($CK80:$CR80)=0,A80,INDEX($CK80:$CR80,MATCH(1,$CK80:$CR80,0))))),MAX($CK80:$CR80))</f>
        <v>0</v>
      </c>
      <c r="C80" s="213" t="str">
        <f>'BS Forecasts'!C$64</f>
        <v>B-2d-CB</v>
      </c>
      <c r="D80" s="570" t="str" cm="1">
        <f t="array" aca="1" ref="D80" ca="1">HYPERLINK(CONCATENATE("#",CELL("address",'BS Forecasts'!$D$64)),'BS Forecasts'!$D$62)</f>
        <v>Other Receivables</v>
      </c>
      <c r="V80" s="10">
        <f>'BS Forecasts'!V$64</f>
        <v>0</v>
      </c>
      <c r="W80" s="99">
        <f>'BS Forecasts'!W$64</f>
        <v>0</v>
      </c>
      <c r="X80" s="99">
        <f>'BS Forecasts'!X$64</f>
        <v>0</v>
      </c>
      <c r="Y80" s="99">
        <f>'BS Forecasts'!Y$64</f>
        <v>0</v>
      </c>
      <c r="AA80" s="99">
        <f>'BS Forecasts'!AA$64</f>
        <v>0</v>
      </c>
      <c r="AB80" s="99">
        <f>'BS Forecasts'!AB$64</f>
        <v>0</v>
      </c>
      <c r="AC80" s="99">
        <f>'BS Forecasts'!AC$64</f>
        <v>0</v>
      </c>
      <c r="AD80" s="99">
        <f>'BS Forecasts'!AD$64</f>
        <v>0</v>
      </c>
      <c r="AE80" s="99">
        <f>'BS Forecasts'!AE$64</f>
        <v>0</v>
      </c>
      <c r="AF80" s="99">
        <f>'BS Forecasts'!AF$64</f>
        <v>0</v>
      </c>
      <c r="AG80" s="99">
        <f>'BS Forecasts'!AG$64</f>
        <v>0</v>
      </c>
      <c r="AH80" s="99">
        <f>'BS Forecasts'!AH$64</f>
        <v>0</v>
      </c>
      <c r="AI80" s="99">
        <f>'BS Forecasts'!AI$64</f>
        <v>0</v>
      </c>
      <c r="AJ80" s="99">
        <f>'BS Forecasts'!AJ$64</f>
        <v>0</v>
      </c>
      <c r="AK80" s="99">
        <f>'BS Forecasts'!AK$64</f>
        <v>0</v>
      </c>
      <c r="AL80" s="99">
        <f>'BS Forecasts'!AL$64</f>
        <v>0</v>
      </c>
      <c r="AM80" s="99">
        <f>'BS Forecasts'!AM$64</f>
        <v>0</v>
      </c>
      <c r="AN80" s="99">
        <f>'BS Forecasts'!AN$64</f>
        <v>0</v>
      </c>
      <c r="AO80" s="99">
        <f>'BS Forecasts'!AO$64</f>
        <v>0</v>
      </c>
      <c r="AP80" s="99">
        <f>'BS Forecasts'!AP$64</f>
        <v>0</v>
      </c>
      <c r="AQ80" s="99">
        <f>'BS Forecasts'!AQ$64</f>
        <v>0</v>
      </c>
      <c r="AR80" s="99">
        <f>'BS Forecasts'!AR$64</f>
        <v>0</v>
      </c>
      <c r="AS80" s="99">
        <f>'BS Forecasts'!AS$64</f>
        <v>0</v>
      </c>
      <c r="AT80" s="99">
        <f>'BS Forecasts'!AT$64</f>
        <v>0</v>
      </c>
      <c r="AU80" s="99">
        <f>'BS Forecasts'!AU$64</f>
        <v>0</v>
      </c>
      <c r="AV80" s="99">
        <f>'BS Forecasts'!AV$64</f>
        <v>0</v>
      </c>
      <c r="AW80" s="99">
        <f>'BS Forecasts'!AW$64</f>
        <v>0</v>
      </c>
      <c r="AX80" s="99">
        <f>'BS Forecasts'!AX$64</f>
        <v>0</v>
      </c>
      <c r="AY80" s="99">
        <f>'BS Forecasts'!AY$64</f>
        <v>0</v>
      </c>
      <c r="AZ80" s="99">
        <f>'BS Forecasts'!AZ$64</f>
        <v>0</v>
      </c>
      <c r="BA80" s="99">
        <f>'BS Forecasts'!BA$64</f>
        <v>0</v>
      </c>
      <c r="BB80" s="99">
        <f>'BS Forecasts'!BB$64</f>
        <v>0</v>
      </c>
      <c r="BC80" s="99">
        <f>'BS Forecasts'!BC$64</f>
        <v>0</v>
      </c>
      <c r="BD80" s="99">
        <f>'BS Forecasts'!BD$64</f>
        <v>0</v>
      </c>
      <c r="BE80" s="99">
        <f>'BS Forecasts'!BE$64</f>
        <v>0</v>
      </c>
      <c r="BF80" s="99">
        <f>'BS Forecasts'!BF$64</f>
        <v>0</v>
      </c>
      <c r="BG80" s="99">
        <f>'BS Forecasts'!BG$64</f>
        <v>0</v>
      </c>
      <c r="BH80" s="99">
        <f>'BS Forecasts'!BH$64</f>
        <v>0</v>
      </c>
      <c r="BI80" s="99">
        <f>'BS Forecasts'!BI$64</f>
        <v>0</v>
      </c>
      <c r="BJ80" s="99">
        <f>'BS Forecasts'!BJ$64</f>
        <v>0</v>
      </c>
      <c r="BX80" s="99">
        <f>'BS Forecasts'!BX$64</f>
        <v>0</v>
      </c>
      <c r="BY80" s="99">
        <f>'BS Forecasts'!BY$64</f>
        <v>0</v>
      </c>
      <c r="BZ80" s="99">
        <f>'BS Forecasts'!BZ$64</f>
        <v>0</v>
      </c>
      <c r="CA80" s="99">
        <f>'BS Forecasts'!CA$64</f>
        <v>0</v>
      </c>
      <c r="CB80" s="99">
        <f>'BS Forecasts'!CB$64</f>
        <v>0</v>
      </c>
      <c r="CC80" s="99">
        <f>'BS Forecasts'!CC$64</f>
        <v>0</v>
      </c>
      <c r="CD80" s="99">
        <f>'BS Forecasts'!CD$64</f>
        <v>0</v>
      </c>
      <c r="CE80" s="99">
        <f>'BS Forecasts'!CE$64</f>
        <v>0</v>
      </c>
      <c r="CF80" s="99">
        <f>'BS Forecasts'!CF$64</f>
        <v>0</v>
      </c>
      <c r="CG80" s="99">
        <f>'BS Forecasts'!CG$64</f>
        <v>0</v>
      </c>
      <c r="CH80" s="99">
        <f>'BS Forecasts'!CH$64</f>
        <v>0</v>
      </c>
      <c r="CI80" s="99">
        <f>'BS Forecasts'!CI$64</f>
        <v>0</v>
      </c>
      <c r="CK80" s="311"/>
      <c r="CO80" s="100">
        <f t="shared" si="74"/>
        <v>0</v>
      </c>
      <c r="CP80" s="100">
        <f t="shared" si="75"/>
        <v>0</v>
      </c>
      <c r="CQ80" s="100">
        <f t="shared" si="76"/>
        <v>0</v>
      </c>
      <c r="CR80" s="311"/>
      <c r="CS80" s="215">
        <f t="shared" si="77"/>
        <v>0</v>
      </c>
      <c r="CT80" s="215">
        <f t="shared" si="78"/>
        <v>0</v>
      </c>
      <c r="CU80" s="215">
        <f t="shared" si="79"/>
        <v>0</v>
      </c>
      <c r="CV80" s="215">
        <f t="shared" si="80"/>
        <v>0</v>
      </c>
      <c r="CW80" s="215">
        <f t="shared" si="81"/>
        <v>0</v>
      </c>
      <c r="CX80" s="215">
        <f t="shared" si="82"/>
        <v>0</v>
      </c>
      <c r="CY80" s="215">
        <f t="shared" si="83"/>
        <v>0</v>
      </c>
      <c r="EX80" s="10" t="str">
        <f t="shared" ca="1" si="63"/>
        <v>Other Receivables</v>
      </c>
    </row>
    <row r="81" spans="1:154" x14ac:dyDescent="0.35">
      <c r="A81" s="537" cm="1">
        <f t="array" aca="1" ref="A81" ca="1">HYPERLINK(CONCATENATE("#",CELL("address",IF(MAX($CK81:$CR81)=0,A81,INDEX($CK81:$CR81,MATCH(1,$CK81:$CR81,0))))),MAX($CK81:$CR81))</f>
        <v>0</v>
      </c>
      <c r="C81" s="213" t="str">
        <f>'BS Forecasts'!C$70</f>
        <v>B-2e-CB</v>
      </c>
      <c r="D81" s="570" t="str" cm="1">
        <f t="array" aca="1" ref="D81" ca="1">HYPERLINK(CONCATENATE("#",CELL("address",'BS Forecasts'!$D$70)),'BS Forecasts'!$D$66)</f>
        <v>Bad Debt Provision</v>
      </c>
      <c r="V81" s="10">
        <f>'BS Forecasts'!V$70</f>
        <v>0</v>
      </c>
      <c r="W81" s="10">
        <f>'BS Forecasts'!W$70</f>
        <v>0</v>
      </c>
      <c r="X81" s="10">
        <f>'BS Forecasts'!X$70</f>
        <v>0</v>
      </c>
      <c r="Y81" s="10">
        <f>'BS Forecasts'!Y$70</f>
        <v>0</v>
      </c>
      <c r="AA81" s="10">
        <f>'BS Forecasts'!AA$70</f>
        <v>0</v>
      </c>
      <c r="AB81" s="10">
        <f>'BS Forecasts'!AB$70</f>
        <v>0</v>
      </c>
      <c r="AC81" s="10">
        <f>'BS Forecasts'!AC$70</f>
        <v>0</v>
      </c>
      <c r="AD81" s="10">
        <f>'BS Forecasts'!AD$70</f>
        <v>0</v>
      </c>
      <c r="AE81" s="10">
        <f>'BS Forecasts'!AE$70</f>
        <v>0</v>
      </c>
      <c r="AF81" s="10">
        <f>'BS Forecasts'!AF$70</f>
        <v>0</v>
      </c>
      <c r="AG81" s="10">
        <f>'BS Forecasts'!AG$70</f>
        <v>0</v>
      </c>
      <c r="AH81" s="10">
        <f>'BS Forecasts'!AH$70</f>
        <v>0</v>
      </c>
      <c r="AI81" s="10">
        <f>'BS Forecasts'!AI$70</f>
        <v>0</v>
      </c>
      <c r="AJ81" s="10">
        <f>'BS Forecasts'!AJ$70</f>
        <v>0</v>
      </c>
      <c r="AK81" s="10">
        <f>'BS Forecasts'!AK$70</f>
        <v>0</v>
      </c>
      <c r="AL81" s="10">
        <f>'BS Forecasts'!AL$70</f>
        <v>0</v>
      </c>
      <c r="AM81" s="10">
        <f>'BS Forecasts'!AM$70</f>
        <v>0</v>
      </c>
      <c r="AN81" s="10">
        <f>'BS Forecasts'!AN$70</f>
        <v>0</v>
      </c>
      <c r="AO81" s="10">
        <f>'BS Forecasts'!AO$70</f>
        <v>0</v>
      </c>
      <c r="AP81" s="10">
        <f>'BS Forecasts'!AP$70</f>
        <v>0</v>
      </c>
      <c r="AQ81" s="10">
        <f>'BS Forecasts'!AQ$70</f>
        <v>0</v>
      </c>
      <c r="AR81" s="10">
        <f>'BS Forecasts'!AR$70</f>
        <v>0</v>
      </c>
      <c r="AS81" s="10">
        <f>'BS Forecasts'!AS$70</f>
        <v>0</v>
      </c>
      <c r="AT81" s="10">
        <f>'BS Forecasts'!AT$70</f>
        <v>0</v>
      </c>
      <c r="AU81" s="10">
        <f>'BS Forecasts'!AU$70</f>
        <v>0</v>
      </c>
      <c r="AV81" s="10">
        <f>'BS Forecasts'!AV$70</f>
        <v>0</v>
      </c>
      <c r="AW81" s="10">
        <f>'BS Forecasts'!AW$70</f>
        <v>0</v>
      </c>
      <c r="AX81" s="10">
        <f>'BS Forecasts'!AX$70</f>
        <v>0</v>
      </c>
      <c r="AY81" s="10">
        <f>'BS Forecasts'!AY$70</f>
        <v>0</v>
      </c>
      <c r="AZ81" s="10">
        <f>'BS Forecasts'!AZ$70</f>
        <v>0</v>
      </c>
      <c r="BA81" s="10">
        <f>'BS Forecasts'!BA$70</f>
        <v>0</v>
      </c>
      <c r="BB81" s="10">
        <f>'BS Forecasts'!BB$70</f>
        <v>0</v>
      </c>
      <c r="BC81" s="10">
        <f>'BS Forecasts'!BC$70</f>
        <v>0</v>
      </c>
      <c r="BD81" s="10">
        <f>'BS Forecasts'!BD$70</f>
        <v>0</v>
      </c>
      <c r="BE81" s="10">
        <f>'BS Forecasts'!BE$70</f>
        <v>0</v>
      </c>
      <c r="BF81" s="10">
        <f>'BS Forecasts'!BF$70</f>
        <v>0</v>
      </c>
      <c r="BG81" s="10">
        <f>'BS Forecasts'!BG$70</f>
        <v>0</v>
      </c>
      <c r="BH81" s="10">
        <f>'BS Forecasts'!BH$70</f>
        <v>0</v>
      </c>
      <c r="BI81" s="10">
        <f>'BS Forecasts'!BI$70</f>
        <v>0</v>
      </c>
      <c r="BJ81" s="10">
        <f>'BS Forecasts'!BJ$70</f>
        <v>0</v>
      </c>
      <c r="BX81" s="10">
        <f>'BS Forecasts'!BX$70</f>
        <v>0</v>
      </c>
      <c r="BY81" s="10">
        <f>'BS Forecasts'!BY$70</f>
        <v>0</v>
      </c>
      <c r="BZ81" s="10">
        <f>'BS Forecasts'!BZ$70</f>
        <v>0</v>
      </c>
      <c r="CA81" s="10">
        <f>'BS Forecasts'!CA$70</f>
        <v>0</v>
      </c>
      <c r="CB81" s="10">
        <f>'BS Forecasts'!CB$70</f>
        <v>0</v>
      </c>
      <c r="CC81" s="10">
        <f>'BS Forecasts'!CC$70</f>
        <v>0</v>
      </c>
      <c r="CD81" s="10">
        <f>'BS Forecasts'!CD$70</f>
        <v>0</v>
      </c>
      <c r="CE81" s="10">
        <f>'BS Forecasts'!CE$70</f>
        <v>0</v>
      </c>
      <c r="CF81" s="10">
        <f>'BS Forecasts'!CF$70</f>
        <v>0</v>
      </c>
      <c r="CG81" s="10">
        <f>'BS Forecasts'!CG$70</f>
        <v>0</v>
      </c>
      <c r="CH81" s="10">
        <f>'BS Forecasts'!CH$70</f>
        <v>0</v>
      </c>
      <c r="CI81" s="10">
        <f>'BS Forecasts'!CI$70</f>
        <v>0</v>
      </c>
      <c r="CK81" s="311"/>
      <c r="CO81" s="100">
        <f t="shared" si="74"/>
        <v>0</v>
      </c>
      <c r="CP81" s="100">
        <f t="shared" si="75"/>
        <v>0</v>
      </c>
      <c r="CQ81" s="100">
        <f t="shared" si="76"/>
        <v>0</v>
      </c>
      <c r="CR81" s="311"/>
      <c r="CS81" s="215">
        <f t="shared" si="77"/>
        <v>0</v>
      </c>
      <c r="CT81" s="215">
        <f t="shared" si="78"/>
        <v>0</v>
      </c>
      <c r="CU81" s="215">
        <f t="shared" si="79"/>
        <v>0</v>
      </c>
      <c r="CV81" s="215">
        <f t="shared" si="80"/>
        <v>0</v>
      </c>
      <c r="CW81" s="215">
        <f t="shared" si="81"/>
        <v>0</v>
      </c>
      <c r="CX81" s="215">
        <f t="shared" si="82"/>
        <v>0</v>
      </c>
      <c r="CY81" s="215">
        <f t="shared" si="83"/>
        <v>0</v>
      </c>
      <c r="EX81" s="10" t="str">
        <f t="shared" ca="1" si="63"/>
        <v>Bad Debt Provision</v>
      </c>
    </row>
    <row r="82" spans="1:154" x14ac:dyDescent="0.35">
      <c r="A82" s="537" cm="1">
        <f t="array" aca="1" ref="A82" ca="1">HYPERLINK(CONCATENATE("#",CELL("address",IF(MAX($CK82:$CR82)=0,A82,INDEX($CK82:$CR82,MATCH(1,$CK82:$CR82,0))))),MAX($CK82:$CR82))</f>
        <v>0</v>
      </c>
      <c r="C82" s="213" t="str">
        <f>'BS Forecasts'!C$73</f>
        <v>B-2f-CB</v>
      </c>
      <c r="D82" s="570" t="str" cm="1">
        <f t="array" aca="1" ref="D82" ca="1">HYPERLINK(CONCATENATE("#",CELL("address",'BS Forecasts'!$D$73)),'BS Forecasts'!$D$72)</f>
        <v>Prepayments</v>
      </c>
      <c r="V82" s="10">
        <f>'BS Forecasts'!V$73</f>
        <v>0</v>
      </c>
      <c r="W82" s="99">
        <f>'BS Forecasts'!W$73</f>
        <v>0</v>
      </c>
      <c r="X82" s="99">
        <f>'BS Forecasts'!X$73</f>
        <v>0</v>
      </c>
      <c r="Y82" s="99">
        <f>'BS Forecasts'!Y$73</f>
        <v>0</v>
      </c>
      <c r="AA82" s="99">
        <f>'BS Forecasts'!AA$73</f>
        <v>0</v>
      </c>
      <c r="AB82" s="99">
        <f>'BS Forecasts'!AB$73</f>
        <v>0</v>
      </c>
      <c r="AC82" s="99">
        <f>'BS Forecasts'!AC$73</f>
        <v>0</v>
      </c>
      <c r="AD82" s="99">
        <f>'BS Forecasts'!AD$73</f>
        <v>0</v>
      </c>
      <c r="AE82" s="99">
        <f>'BS Forecasts'!AE$73</f>
        <v>0</v>
      </c>
      <c r="AF82" s="99">
        <f>'BS Forecasts'!AF$73</f>
        <v>0</v>
      </c>
      <c r="AG82" s="99">
        <f>'BS Forecasts'!AG$73</f>
        <v>0</v>
      </c>
      <c r="AH82" s="99">
        <f>'BS Forecasts'!AH$73</f>
        <v>0</v>
      </c>
      <c r="AI82" s="99">
        <f>'BS Forecasts'!AI$73</f>
        <v>0</v>
      </c>
      <c r="AJ82" s="99">
        <f>'BS Forecasts'!AJ$73</f>
        <v>0</v>
      </c>
      <c r="AK82" s="99">
        <f>'BS Forecasts'!AK$73</f>
        <v>0</v>
      </c>
      <c r="AL82" s="99">
        <f>'BS Forecasts'!AL$73</f>
        <v>0</v>
      </c>
      <c r="AM82" s="99">
        <f>'BS Forecasts'!AM$73</f>
        <v>0</v>
      </c>
      <c r="AN82" s="99">
        <f>'BS Forecasts'!AN$73</f>
        <v>0</v>
      </c>
      <c r="AO82" s="99">
        <f>'BS Forecasts'!AO$73</f>
        <v>0</v>
      </c>
      <c r="AP82" s="99">
        <f>'BS Forecasts'!AP$73</f>
        <v>0</v>
      </c>
      <c r="AQ82" s="99">
        <f>'BS Forecasts'!AQ$73</f>
        <v>0</v>
      </c>
      <c r="AR82" s="99">
        <f>'BS Forecasts'!AR$73</f>
        <v>0</v>
      </c>
      <c r="AS82" s="99">
        <f>'BS Forecasts'!AS$73</f>
        <v>0</v>
      </c>
      <c r="AT82" s="99">
        <f>'BS Forecasts'!AT$73</f>
        <v>0</v>
      </c>
      <c r="AU82" s="99">
        <f>'BS Forecasts'!AU$73</f>
        <v>0</v>
      </c>
      <c r="AV82" s="99">
        <f>'BS Forecasts'!AV$73</f>
        <v>0</v>
      </c>
      <c r="AW82" s="99">
        <f>'BS Forecasts'!AW$73</f>
        <v>0</v>
      </c>
      <c r="AX82" s="99">
        <f>'BS Forecasts'!AX$73</f>
        <v>0</v>
      </c>
      <c r="AY82" s="99">
        <f>'BS Forecasts'!AY$73</f>
        <v>0</v>
      </c>
      <c r="AZ82" s="99">
        <f>'BS Forecasts'!AZ$73</f>
        <v>0</v>
      </c>
      <c r="BA82" s="99">
        <f>'BS Forecasts'!BA$73</f>
        <v>0</v>
      </c>
      <c r="BB82" s="99">
        <f>'BS Forecasts'!BB$73</f>
        <v>0</v>
      </c>
      <c r="BC82" s="99">
        <f>'BS Forecasts'!BC$73</f>
        <v>0</v>
      </c>
      <c r="BD82" s="99">
        <f>'BS Forecasts'!BD$73</f>
        <v>0</v>
      </c>
      <c r="BE82" s="99">
        <f>'BS Forecasts'!BE$73</f>
        <v>0</v>
      </c>
      <c r="BF82" s="99">
        <f>'BS Forecasts'!BF$73</f>
        <v>0</v>
      </c>
      <c r="BG82" s="99">
        <f>'BS Forecasts'!BG$73</f>
        <v>0</v>
      </c>
      <c r="BH82" s="99">
        <f>'BS Forecasts'!BH$73</f>
        <v>0</v>
      </c>
      <c r="BI82" s="99">
        <f>'BS Forecasts'!BI$73</f>
        <v>0</v>
      </c>
      <c r="BJ82" s="99">
        <f>'BS Forecasts'!BJ$73</f>
        <v>0</v>
      </c>
      <c r="BX82" s="99">
        <f>'BS Forecasts'!BX$73</f>
        <v>0</v>
      </c>
      <c r="BY82" s="99">
        <f>'BS Forecasts'!BY$73</f>
        <v>0</v>
      </c>
      <c r="BZ82" s="99">
        <f>'BS Forecasts'!BZ$73</f>
        <v>0</v>
      </c>
      <c r="CA82" s="99">
        <f>'BS Forecasts'!CA$73</f>
        <v>0</v>
      </c>
      <c r="CB82" s="99">
        <f>'BS Forecasts'!CB$73</f>
        <v>0</v>
      </c>
      <c r="CC82" s="99">
        <f>'BS Forecasts'!CC$73</f>
        <v>0</v>
      </c>
      <c r="CD82" s="99">
        <f>'BS Forecasts'!CD$73</f>
        <v>0</v>
      </c>
      <c r="CE82" s="99">
        <f>'BS Forecasts'!CE$73</f>
        <v>0</v>
      </c>
      <c r="CF82" s="99">
        <f>'BS Forecasts'!CF$73</f>
        <v>0</v>
      </c>
      <c r="CG82" s="99">
        <f>'BS Forecasts'!CG$73</f>
        <v>0</v>
      </c>
      <c r="CH82" s="99">
        <f>'BS Forecasts'!CH$73</f>
        <v>0</v>
      </c>
      <c r="CI82" s="99">
        <f>'BS Forecasts'!CI$73</f>
        <v>0</v>
      </c>
      <c r="CK82" s="311"/>
      <c r="CO82" s="100">
        <f t="shared" si="74"/>
        <v>0</v>
      </c>
      <c r="CP82" s="100">
        <f t="shared" si="75"/>
        <v>0</v>
      </c>
      <c r="CQ82" s="100">
        <f t="shared" si="76"/>
        <v>0</v>
      </c>
      <c r="CR82" s="311"/>
      <c r="CS82" s="215">
        <f t="shared" si="77"/>
        <v>0</v>
      </c>
      <c r="CT82" s="215">
        <f t="shared" si="78"/>
        <v>0</v>
      </c>
      <c r="CU82" s="215">
        <f t="shared" si="79"/>
        <v>0</v>
      </c>
      <c r="CV82" s="215">
        <f t="shared" si="80"/>
        <v>0</v>
      </c>
      <c r="CW82" s="215">
        <f t="shared" si="81"/>
        <v>0</v>
      </c>
      <c r="CX82" s="215">
        <f t="shared" si="82"/>
        <v>0</v>
      </c>
      <c r="CY82" s="215">
        <f t="shared" si="83"/>
        <v>0</v>
      </c>
      <c r="EX82" s="10" t="str">
        <f t="shared" ca="1" si="63"/>
        <v>Prepayments</v>
      </c>
    </row>
    <row r="83" spans="1:154" x14ac:dyDescent="0.35">
      <c r="A83" s="537" cm="1">
        <f t="array" aca="1" ref="A83" ca="1">HYPERLINK(CONCATENATE("#",CELL("address",IF(MAX($CK83:$CR83)=0,A83,INDEX($CK83:$CR83,MATCH(1,$CK83:$CR83,0))))),MAX($CK83:$CR83))</f>
        <v>0</v>
      </c>
      <c r="C83" s="213" t="str">
        <f>'BS Forecasts'!C$76</f>
        <v>B-2g-CB</v>
      </c>
      <c r="D83" s="570" t="str" cm="1">
        <f t="array" aca="1" ref="D83" ca="1">HYPERLINK(CONCATENATE("#",CELL("address",'BS Forecasts'!$D$76)),'BS Forecasts'!$D$75)</f>
        <v>Accrued Income</v>
      </c>
      <c r="V83" s="10">
        <f>'BS Forecasts'!V$76</f>
        <v>0</v>
      </c>
      <c r="W83" s="99">
        <f>'BS Forecasts'!W$76</f>
        <v>0</v>
      </c>
      <c r="X83" s="99">
        <f>'BS Forecasts'!X$76</f>
        <v>0</v>
      </c>
      <c r="Y83" s="99">
        <f>'BS Forecasts'!Y$76</f>
        <v>0</v>
      </c>
      <c r="AA83" s="99">
        <f>'BS Forecasts'!AA$76</f>
        <v>0</v>
      </c>
      <c r="AB83" s="99">
        <f>'BS Forecasts'!AB$76</f>
        <v>0</v>
      </c>
      <c r="AC83" s="99">
        <f>'BS Forecasts'!AC$76</f>
        <v>0</v>
      </c>
      <c r="AD83" s="99">
        <f>'BS Forecasts'!AD$76</f>
        <v>0</v>
      </c>
      <c r="AE83" s="99">
        <f>'BS Forecasts'!AE$76</f>
        <v>0</v>
      </c>
      <c r="AF83" s="99">
        <f>'BS Forecasts'!AF$76</f>
        <v>0</v>
      </c>
      <c r="AG83" s="99">
        <f>'BS Forecasts'!AG$76</f>
        <v>0</v>
      </c>
      <c r="AH83" s="99">
        <f>'BS Forecasts'!AH$76</f>
        <v>0</v>
      </c>
      <c r="AI83" s="99">
        <f>'BS Forecasts'!AI$76</f>
        <v>0</v>
      </c>
      <c r="AJ83" s="99">
        <f>'BS Forecasts'!AJ$76</f>
        <v>0</v>
      </c>
      <c r="AK83" s="99">
        <f>'BS Forecasts'!AK$76</f>
        <v>0</v>
      </c>
      <c r="AL83" s="99">
        <f>'BS Forecasts'!AL$76</f>
        <v>0</v>
      </c>
      <c r="AM83" s="99">
        <f>'BS Forecasts'!AM$76</f>
        <v>0</v>
      </c>
      <c r="AN83" s="99">
        <f>'BS Forecasts'!AN$76</f>
        <v>0</v>
      </c>
      <c r="AO83" s="99">
        <f>'BS Forecasts'!AO$76</f>
        <v>0</v>
      </c>
      <c r="AP83" s="99">
        <f>'BS Forecasts'!AP$76</f>
        <v>0</v>
      </c>
      <c r="AQ83" s="99">
        <f>'BS Forecasts'!AQ$76</f>
        <v>0</v>
      </c>
      <c r="AR83" s="99">
        <f>'BS Forecasts'!AR$76</f>
        <v>0</v>
      </c>
      <c r="AS83" s="99">
        <f>'BS Forecasts'!AS$76</f>
        <v>0</v>
      </c>
      <c r="AT83" s="99">
        <f>'BS Forecasts'!AT$76</f>
        <v>0</v>
      </c>
      <c r="AU83" s="99">
        <f>'BS Forecasts'!AU$76</f>
        <v>0</v>
      </c>
      <c r="AV83" s="99">
        <f>'BS Forecasts'!AV$76</f>
        <v>0</v>
      </c>
      <c r="AW83" s="99">
        <f>'BS Forecasts'!AW$76</f>
        <v>0</v>
      </c>
      <c r="AX83" s="99">
        <f>'BS Forecasts'!AX$76</f>
        <v>0</v>
      </c>
      <c r="AY83" s="99">
        <f>'BS Forecasts'!AY$76</f>
        <v>0</v>
      </c>
      <c r="AZ83" s="99">
        <f>'BS Forecasts'!AZ$76</f>
        <v>0</v>
      </c>
      <c r="BA83" s="99">
        <f>'BS Forecasts'!BA$76</f>
        <v>0</v>
      </c>
      <c r="BB83" s="99">
        <f>'BS Forecasts'!BB$76</f>
        <v>0</v>
      </c>
      <c r="BC83" s="99">
        <f>'BS Forecasts'!BC$76</f>
        <v>0</v>
      </c>
      <c r="BD83" s="99">
        <f>'BS Forecasts'!BD$76</f>
        <v>0</v>
      </c>
      <c r="BE83" s="99">
        <f>'BS Forecasts'!BE$76</f>
        <v>0</v>
      </c>
      <c r="BF83" s="99">
        <f>'BS Forecasts'!BF$76</f>
        <v>0</v>
      </c>
      <c r="BG83" s="99">
        <f>'BS Forecasts'!BG$76</f>
        <v>0</v>
      </c>
      <c r="BH83" s="99">
        <f>'BS Forecasts'!BH$76</f>
        <v>0</v>
      </c>
      <c r="BI83" s="99">
        <f>'BS Forecasts'!BI$76</f>
        <v>0</v>
      </c>
      <c r="BJ83" s="99">
        <f>'BS Forecasts'!BJ$76</f>
        <v>0</v>
      </c>
      <c r="BX83" s="99">
        <f>'BS Forecasts'!BX$76</f>
        <v>0</v>
      </c>
      <c r="BY83" s="99">
        <f>'BS Forecasts'!BY$76</f>
        <v>0</v>
      </c>
      <c r="BZ83" s="99">
        <f>'BS Forecasts'!BZ$76</f>
        <v>0</v>
      </c>
      <c r="CA83" s="99">
        <f>'BS Forecasts'!CA$76</f>
        <v>0</v>
      </c>
      <c r="CB83" s="99">
        <f>'BS Forecasts'!CB$76</f>
        <v>0</v>
      </c>
      <c r="CC83" s="99">
        <f>'BS Forecasts'!CC$76</f>
        <v>0</v>
      </c>
      <c r="CD83" s="99">
        <f>'BS Forecasts'!CD$76</f>
        <v>0</v>
      </c>
      <c r="CE83" s="99">
        <f>'BS Forecasts'!CE$76</f>
        <v>0</v>
      </c>
      <c r="CF83" s="99">
        <f>'BS Forecasts'!CF$76</f>
        <v>0</v>
      </c>
      <c r="CG83" s="99">
        <f>'BS Forecasts'!CG$76</f>
        <v>0</v>
      </c>
      <c r="CH83" s="99">
        <f>'BS Forecasts'!CH$76</f>
        <v>0</v>
      </c>
      <c r="CI83" s="99">
        <f>'BS Forecasts'!CI$76</f>
        <v>0</v>
      </c>
      <c r="CK83" s="311"/>
      <c r="CO83" s="100">
        <f t="shared" si="74"/>
        <v>0</v>
      </c>
      <c r="CP83" s="100">
        <f t="shared" si="75"/>
        <v>0</v>
      </c>
      <c r="CQ83" s="100">
        <f t="shared" si="76"/>
        <v>0</v>
      </c>
      <c r="CR83" s="311"/>
      <c r="CS83" s="215">
        <f t="shared" si="77"/>
        <v>0</v>
      </c>
      <c r="CT83" s="215">
        <f t="shared" si="78"/>
        <v>0</v>
      </c>
      <c r="CU83" s="215">
        <f t="shared" si="79"/>
        <v>0</v>
      </c>
      <c r="CV83" s="215">
        <f t="shared" si="80"/>
        <v>0</v>
      </c>
      <c r="CW83" s="215">
        <f t="shared" si="81"/>
        <v>0</v>
      </c>
      <c r="CX83" s="215">
        <f t="shared" si="82"/>
        <v>0</v>
      </c>
      <c r="CY83" s="215">
        <f t="shared" si="83"/>
        <v>0</v>
      </c>
      <c r="EX83" s="10" t="str">
        <f t="shared" ca="1" si="63"/>
        <v>Accrued Income</v>
      </c>
    </row>
    <row r="84" spans="1:154" x14ac:dyDescent="0.35">
      <c r="A84" s="537" cm="1">
        <f t="array" aca="1" ref="A84" ca="1">HYPERLINK(CONCATENATE("#",CELL("address",IF(MAX($CK84:$CR84)=0,A84,INDEX($CK84:$CR84,MATCH(1,$CK84:$CR84,0))))),MAX($CK84:$CR84))</f>
        <v>0</v>
      </c>
      <c r="C84" s="213" t="str">
        <f>'BS Forecasts'!C$79</f>
        <v>B-2h-CB</v>
      </c>
      <c r="D84" s="570" t="str" cm="1">
        <f t="array" aca="1" ref="D84" ca="1">HYPERLINK(CONCATENATE("#",CELL("address",'BS Forecasts'!$D$79)),'BS Forecasts'!$D$78)</f>
        <v>Unrestricted Short-term Investments</v>
      </c>
      <c r="V84" s="10">
        <f>'BS Forecasts'!V$79</f>
        <v>0</v>
      </c>
      <c r="W84" s="10">
        <f>'BS Forecasts'!W$79</f>
        <v>0</v>
      </c>
      <c r="X84" s="10">
        <f>'BS Forecasts'!X$79</f>
        <v>0</v>
      </c>
      <c r="Y84" s="10">
        <f>'BS Forecasts'!Y$79</f>
        <v>0</v>
      </c>
      <c r="AA84" s="10">
        <f>'BS Forecasts'!AA$79</f>
        <v>0</v>
      </c>
      <c r="AB84" s="10">
        <f>'BS Forecasts'!AB$79</f>
        <v>0</v>
      </c>
      <c r="AC84" s="10">
        <f>'BS Forecasts'!AC$79</f>
        <v>0</v>
      </c>
      <c r="AD84" s="10">
        <f>'BS Forecasts'!AD$79</f>
        <v>0</v>
      </c>
      <c r="AE84" s="10">
        <f>'BS Forecasts'!AE$79</f>
        <v>0</v>
      </c>
      <c r="AF84" s="10">
        <f>'BS Forecasts'!AF$79</f>
        <v>0</v>
      </c>
      <c r="AG84" s="10">
        <f>'BS Forecasts'!AG$79</f>
        <v>0</v>
      </c>
      <c r="AH84" s="10">
        <f>'BS Forecasts'!AH$79</f>
        <v>0</v>
      </c>
      <c r="AI84" s="10">
        <f>'BS Forecasts'!AI$79</f>
        <v>0</v>
      </c>
      <c r="AJ84" s="10">
        <f>'BS Forecasts'!AJ$79</f>
        <v>0</v>
      </c>
      <c r="AK84" s="10">
        <f>'BS Forecasts'!AK$79</f>
        <v>0</v>
      </c>
      <c r="AL84" s="10">
        <f>'BS Forecasts'!AL$79</f>
        <v>0</v>
      </c>
      <c r="AM84" s="10">
        <f>'BS Forecasts'!AM$79</f>
        <v>0</v>
      </c>
      <c r="AN84" s="10">
        <f>'BS Forecasts'!AN$79</f>
        <v>0</v>
      </c>
      <c r="AO84" s="10">
        <f>'BS Forecasts'!AO$79</f>
        <v>0</v>
      </c>
      <c r="AP84" s="10">
        <f>'BS Forecasts'!AP$79</f>
        <v>0</v>
      </c>
      <c r="AQ84" s="10">
        <f>'BS Forecasts'!AQ$79</f>
        <v>0</v>
      </c>
      <c r="AR84" s="10">
        <f>'BS Forecasts'!AR$79</f>
        <v>0</v>
      </c>
      <c r="AS84" s="10">
        <f>'BS Forecasts'!AS$79</f>
        <v>0</v>
      </c>
      <c r="AT84" s="10">
        <f>'BS Forecasts'!AT$79</f>
        <v>0</v>
      </c>
      <c r="AU84" s="10">
        <f>'BS Forecasts'!AU$79</f>
        <v>0</v>
      </c>
      <c r="AV84" s="10">
        <f>'BS Forecasts'!AV$79</f>
        <v>0</v>
      </c>
      <c r="AW84" s="10">
        <f>'BS Forecasts'!AW$79</f>
        <v>0</v>
      </c>
      <c r="AX84" s="10">
        <f>'BS Forecasts'!AX$79</f>
        <v>0</v>
      </c>
      <c r="AY84" s="10">
        <f>'BS Forecasts'!AY$79</f>
        <v>0</v>
      </c>
      <c r="AZ84" s="10">
        <f>'BS Forecasts'!AZ$79</f>
        <v>0</v>
      </c>
      <c r="BA84" s="10">
        <f>'BS Forecasts'!BA$79</f>
        <v>0</v>
      </c>
      <c r="BB84" s="10">
        <f>'BS Forecasts'!BB$79</f>
        <v>0</v>
      </c>
      <c r="BC84" s="10">
        <f>'BS Forecasts'!BC$79</f>
        <v>0</v>
      </c>
      <c r="BD84" s="10">
        <f>'BS Forecasts'!BD$79</f>
        <v>0</v>
      </c>
      <c r="BE84" s="10">
        <f>'BS Forecasts'!BE$79</f>
        <v>0</v>
      </c>
      <c r="BF84" s="10">
        <f>'BS Forecasts'!BF$79</f>
        <v>0</v>
      </c>
      <c r="BG84" s="10">
        <f>'BS Forecasts'!BG$79</f>
        <v>0</v>
      </c>
      <c r="BH84" s="10">
        <f>'BS Forecasts'!BH$79</f>
        <v>0</v>
      </c>
      <c r="BI84" s="10">
        <f>'BS Forecasts'!BI$79</f>
        <v>0</v>
      </c>
      <c r="BJ84" s="10">
        <f>'BS Forecasts'!BJ$79</f>
        <v>0</v>
      </c>
      <c r="BX84" s="10">
        <f>'BS Forecasts'!BX$79</f>
        <v>0</v>
      </c>
      <c r="BY84" s="10">
        <f>'BS Forecasts'!BY$79</f>
        <v>0</v>
      </c>
      <c r="BZ84" s="10">
        <f>'BS Forecasts'!BZ$79</f>
        <v>0</v>
      </c>
      <c r="CA84" s="10">
        <f>'BS Forecasts'!CA$79</f>
        <v>0</v>
      </c>
      <c r="CB84" s="10">
        <f>'BS Forecasts'!CB$79</f>
        <v>0</v>
      </c>
      <c r="CC84" s="10">
        <f>'BS Forecasts'!CC$79</f>
        <v>0</v>
      </c>
      <c r="CD84" s="10">
        <f>'BS Forecasts'!CD$79</f>
        <v>0</v>
      </c>
      <c r="CE84" s="10">
        <f>'BS Forecasts'!CE$79</f>
        <v>0</v>
      </c>
      <c r="CF84" s="10">
        <f>'BS Forecasts'!CF$79</f>
        <v>0</v>
      </c>
      <c r="CG84" s="10">
        <f>'BS Forecasts'!CG$79</f>
        <v>0</v>
      </c>
      <c r="CH84" s="10">
        <f>'BS Forecasts'!CH$79</f>
        <v>0</v>
      </c>
      <c r="CI84" s="10">
        <f>'BS Forecasts'!CI$79</f>
        <v>0</v>
      </c>
      <c r="CK84" s="311"/>
      <c r="CO84" s="100">
        <f t="shared" si="74"/>
        <v>0</v>
      </c>
      <c r="CP84" s="100">
        <f t="shared" si="75"/>
        <v>0</v>
      </c>
      <c r="CQ84" s="100">
        <f t="shared" si="76"/>
        <v>0</v>
      </c>
      <c r="CR84" s="311"/>
      <c r="CS84" s="215">
        <f t="shared" si="77"/>
        <v>0</v>
      </c>
      <c r="CT84" s="215">
        <f t="shared" si="78"/>
        <v>0</v>
      </c>
      <c r="CU84" s="215">
        <f t="shared" si="79"/>
        <v>0</v>
      </c>
      <c r="CV84" s="215">
        <f t="shared" si="80"/>
        <v>0</v>
      </c>
      <c r="CW84" s="215">
        <f t="shared" si="81"/>
        <v>0</v>
      </c>
      <c r="CX84" s="215">
        <f t="shared" si="82"/>
        <v>0</v>
      </c>
      <c r="CY84" s="215">
        <f t="shared" si="83"/>
        <v>0</v>
      </c>
      <c r="EX84" s="10" t="str">
        <f t="shared" ca="1" si="63"/>
        <v>Unrestricted Short-term Investments</v>
      </c>
    </row>
    <row r="85" spans="1:154" x14ac:dyDescent="0.35">
      <c r="A85" s="537" cm="1">
        <f t="array" aca="1" ref="A85" ca="1">HYPERLINK(CONCATENATE("#",CELL("address",IF(MAX($CK85:$CR85)=0,A85,INDEX($CK85:$CR85,MATCH(1,$CK85:$CR85,0))))),MAX($CK85:$CR85))</f>
        <v>0</v>
      </c>
      <c r="C85" s="213" t="str">
        <f>'BS Forecasts'!C$83</f>
        <v>IC-5</v>
      </c>
      <c r="D85" s="570" t="str" cm="1">
        <f t="array" aca="1" ref="D85" ca="1">HYPERLINK(CONCATENATE("#",CELL("address",'BS Forecasts'!$D$83)),'BS Forecasts'!$D$81)</f>
        <v>Unrestricted Cash and Cash Equivalents</v>
      </c>
      <c r="V85" s="10">
        <f>'BS Forecasts'!V$83</f>
        <v>0</v>
      </c>
      <c r="W85" s="99">
        <f>'BS Forecasts'!W$83</f>
        <v>0</v>
      </c>
      <c r="X85" s="99">
        <f>'BS Forecasts'!X$83</f>
        <v>0</v>
      </c>
      <c r="Y85" s="99">
        <f>'BS Forecasts'!Y$83</f>
        <v>0</v>
      </c>
      <c r="AA85" s="99">
        <f>'BS Forecasts'!AA$83</f>
        <v>0</v>
      </c>
      <c r="AB85" s="99">
        <f>'BS Forecasts'!AB$83</f>
        <v>0</v>
      </c>
      <c r="AC85" s="99">
        <f>'BS Forecasts'!AC$83</f>
        <v>0</v>
      </c>
      <c r="AD85" s="99">
        <f>'BS Forecasts'!AD$83</f>
        <v>0</v>
      </c>
      <c r="AE85" s="99">
        <f>'BS Forecasts'!AE$83</f>
        <v>0</v>
      </c>
      <c r="AF85" s="99">
        <f>'BS Forecasts'!AF$83</f>
        <v>0</v>
      </c>
      <c r="AG85" s="99">
        <f>'BS Forecasts'!AG$83</f>
        <v>0</v>
      </c>
      <c r="AH85" s="99">
        <f>'BS Forecasts'!AH$83</f>
        <v>0</v>
      </c>
      <c r="AI85" s="99">
        <f>'BS Forecasts'!AI$83</f>
        <v>0</v>
      </c>
      <c r="AJ85" s="99">
        <f>'BS Forecasts'!AJ$83</f>
        <v>0</v>
      </c>
      <c r="AK85" s="99">
        <f>'BS Forecasts'!AK$83</f>
        <v>0</v>
      </c>
      <c r="AL85" s="99">
        <f>'BS Forecasts'!AL$83</f>
        <v>0</v>
      </c>
      <c r="AM85" s="99">
        <f>'BS Forecasts'!AM$83</f>
        <v>0</v>
      </c>
      <c r="AN85" s="99">
        <f>'BS Forecasts'!AN$83</f>
        <v>0</v>
      </c>
      <c r="AO85" s="99">
        <f>'BS Forecasts'!AO$83</f>
        <v>0</v>
      </c>
      <c r="AP85" s="99">
        <f>'BS Forecasts'!AP$83</f>
        <v>0</v>
      </c>
      <c r="AQ85" s="99">
        <f>'BS Forecasts'!AQ$83</f>
        <v>0</v>
      </c>
      <c r="AR85" s="99">
        <f>'BS Forecasts'!AR$83</f>
        <v>0</v>
      </c>
      <c r="AS85" s="99">
        <f>'BS Forecasts'!AS$83</f>
        <v>0</v>
      </c>
      <c r="AT85" s="99">
        <f>'BS Forecasts'!AT$83</f>
        <v>0</v>
      </c>
      <c r="AU85" s="99">
        <f>'BS Forecasts'!AU$83</f>
        <v>0</v>
      </c>
      <c r="AV85" s="99">
        <f>'BS Forecasts'!AV$83</f>
        <v>0</v>
      </c>
      <c r="AW85" s="99">
        <f>'BS Forecasts'!AW$83</f>
        <v>0</v>
      </c>
      <c r="AX85" s="99">
        <f>'BS Forecasts'!AX$83</f>
        <v>0</v>
      </c>
      <c r="AY85" s="99">
        <f>'BS Forecasts'!AY$83</f>
        <v>0</v>
      </c>
      <c r="AZ85" s="99">
        <f>'BS Forecasts'!AZ$83</f>
        <v>0</v>
      </c>
      <c r="BA85" s="99">
        <f>'BS Forecasts'!BA$83</f>
        <v>0</v>
      </c>
      <c r="BB85" s="99">
        <f>'BS Forecasts'!BB$83</f>
        <v>0</v>
      </c>
      <c r="BC85" s="99">
        <f>'BS Forecasts'!BC$83</f>
        <v>0</v>
      </c>
      <c r="BD85" s="99">
        <f>'BS Forecasts'!BD$83</f>
        <v>0</v>
      </c>
      <c r="BE85" s="99">
        <f>'BS Forecasts'!BE$83</f>
        <v>0</v>
      </c>
      <c r="BF85" s="99">
        <f>'BS Forecasts'!BF$83</f>
        <v>0</v>
      </c>
      <c r="BG85" s="99">
        <f>'BS Forecasts'!BG$83</f>
        <v>0</v>
      </c>
      <c r="BH85" s="99">
        <f>'BS Forecasts'!BH$83</f>
        <v>0</v>
      </c>
      <c r="BI85" s="99">
        <f>'BS Forecasts'!BI$83</f>
        <v>0</v>
      </c>
      <c r="BJ85" s="99">
        <f>'BS Forecasts'!BJ$83</f>
        <v>0</v>
      </c>
      <c r="BX85" s="99">
        <f>'BS Forecasts'!BX$83</f>
        <v>0</v>
      </c>
      <c r="BY85" s="99">
        <f>'BS Forecasts'!BY$83</f>
        <v>0</v>
      </c>
      <c r="BZ85" s="99">
        <f>'BS Forecasts'!BZ$83</f>
        <v>0</v>
      </c>
      <c r="CA85" s="99">
        <f>'BS Forecasts'!CA$83</f>
        <v>0</v>
      </c>
      <c r="CB85" s="99">
        <f>'BS Forecasts'!CB$83</f>
        <v>0</v>
      </c>
      <c r="CC85" s="99">
        <f>'BS Forecasts'!CC$83</f>
        <v>0</v>
      </c>
      <c r="CD85" s="99">
        <f>'BS Forecasts'!CD$83</f>
        <v>0</v>
      </c>
      <c r="CE85" s="99">
        <f>'BS Forecasts'!CE$83</f>
        <v>0</v>
      </c>
      <c r="CF85" s="99">
        <f>'BS Forecasts'!CF$83</f>
        <v>0</v>
      </c>
      <c r="CG85" s="99">
        <f>'BS Forecasts'!CG$83</f>
        <v>0</v>
      </c>
      <c r="CH85" s="99">
        <f>'BS Forecasts'!CH$83</f>
        <v>0</v>
      </c>
      <c r="CI85" s="99">
        <f>'BS Forecasts'!CI$83</f>
        <v>0</v>
      </c>
      <c r="CK85" s="311"/>
      <c r="CO85" s="100">
        <f t="shared" si="74"/>
        <v>0</v>
      </c>
      <c r="CP85" s="100">
        <f t="shared" si="75"/>
        <v>0</v>
      </c>
      <c r="CQ85" s="100">
        <f t="shared" si="76"/>
        <v>0</v>
      </c>
      <c r="CR85" s="311"/>
      <c r="CS85" s="215">
        <f t="shared" si="77"/>
        <v>0</v>
      </c>
      <c r="CT85" s="215">
        <f t="shared" si="78"/>
        <v>0</v>
      </c>
      <c r="CU85" s="215">
        <f t="shared" si="79"/>
        <v>0</v>
      </c>
      <c r="CV85" s="215">
        <f t="shared" si="80"/>
        <v>0</v>
      </c>
      <c r="CW85" s="215">
        <f t="shared" si="81"/>
        <v>0</v>
      </c>
      <c r="CX85" s="215">
        <f t="shared" si="82"/>
        <v>0</v>
      </c>
      <c r="CY85" s="215">
        <f t="shared" si="83"/>
        <v>0</v>
      </c>
      <c r="EX85" s="10" t="str">
        <f t="shared" ca="1" si="63"/>
        <v>Unrestricted Cash and Cash Equivalents</v>
      </c>
    </row>
    <row r="86" spans="1:154" x14ac:dyDescent="0.35">
      <c r="A86" s="537" cm="1">
        <f t="array" aca="1" ref="A86" ca="1">HYPERLINK(CONCATENATE("#",CELL("address",IF(MAX($CK86:$CR86)=0,A86,INDEX($CK86:$CR86,MATCH(1,$CK86:$CR86,0))))),MAX($CK86:$CR86))</f>
        <v>0</v>
      </c>
      <c r="C86" s="213" t="str">
        <f>'BS Forecasts'!C$86</f>
        <v>B-2j-CB</v>
      </c>
      <c r="D86" s="572" t="str" cm="1">
        <f t="array" aca="1" ref="D86" ca="1">HYPERLINK(CONCATENATE("#",CELL("address",'BS Forecasts'!$D$86)),'BS Forecasts'!$D$85)</f>
        <v xml:space="preserve">Restricted Cash </v>
      </c>
      <c r="V86" s="10">
        <f>'BS Forecasts'!V$86</f>
        <v>0</v>
      </c>
      <c r="W86" s="99">
        <f>'BS Forecasts'!W$86</f>
        <v>0</v>
      </c>
      <c r="X86" s="99">
        <f>'BS Forecasts'!X$86</f>
        <v>0</v>
      </c>
      <c r="Y86" s="99">
        <f>'BS Forecasts'!Y$86</f>
        <v>0</v>
      </c>
      <c r="AA86" s="99">
        <f>'BS Forecasts'!AA$86</f>
        <v>0</v>
      </c>
      <c r="AB86" s="99">
        <f>'BS Forecasts'!AB$86</f>
        <v>0</v>
      </c>
      <c r="AC86" s="99">
        <f>'BS Forecasts'!AC$86</f>
        <v>0</v>
      </c>
      <c r="AD86" s="99">
        <f>'BS Forecasts'!AD$86</f>
        <v>0</v>
      </c>
      <c r="AE86" s="99">
        <f>'BS Forecasts'!AE$86</f>
        <v>0</v>
      </c>
      <c r="AF86" s="99">
        <f>'BS Forecasts'!AF$86</f>
        <v>0</v>
      </c>
      <c r="AG86" s="99">
        <f>'BS Forecasts'!AG$86</f>
        <v>0</v>
      </c>
      <c r="AH86" s="99">
        <f>'BS Forecasts'!AH$86</f>
        <v>0</v>
      </c>
      <c r="AI86" s="99">
        <f>'BS Forecasts'!AI$86</f>
        <v>0</v>
      </c>
      <c r="AJ86" s="99">
        <f>'BS Forecasts'!AJ$86</f>
        <v>0</v>
      </c>
      <c r="AK86" s="99">
        <f>'BS Forecasts'!AK$86</f>
        <v>0</v>
      </c>
      <c r="AL86" s="99">
        <f>'BS Forecasts'!AL$86</f>
        <v>0</v>
      </c>
      <c r="AM86" s="99">
        <f>'BS Forecasts'!AM$86</f>
        <v>0</v>
      </c>
      <c r="AN86" s="99">
        <f>'BS Forecasts'!AN$86</f>
        <v>0</v>
      </c>
      <c r="AO86" s="99">
        <f>'BS Forecasts'!AO$86</f>
        <v>0</v>
      </c>
      <c r="AP86" s="99">
        <f>'BS Forecasts'!AP$86</f>
        <v>0</v>
      </c>
      <c r="AQ86" s="99">
        <f>'BS Forecasts'!AQ$86</f>
        <v>0</v>
      </c>
      <c r="AR86" s="99">
        <f>'BS Forecasts'!AR$86</f>
        <v>0</v>
      </c>
      <c r="AS86" s="99">
        <f>'BS Forecasts'!AS$86</f>
        <v>0</v>
      </c>
      <c r="AT86" s="99">
        <f>'BS Forecasts'!AT$86</f>
        <v>0</v>
      </c>
      <c r="AU86" s="99">
        <f>'BS Forecasts'!AU$86</f>
        <v>0</v>
      </c>
      <c r="AV86" s="99">
        <f>'BS Forecasts'!AV$86</f>
        <v>0</v>
      </c>
      <c r="AW86" s="99">
        <f>'BS Forecasts'!AW$86</f>
        <v>0</v>
      </c>
      <c r="AX86" s="99">
        <f>'BS Forecasts'!AX$86</f>
        <v>0</v>
      </c>
      <c r="AY86" s="99">
        <f>'BS Forecasts'!AY$86</f>
        <v>0</v>
      </c>
      <c r="AZ86" s="99">
        <f>'BS Forecasts'!AZ$86</f>
        <v>0</v>
      </c>
      <c r="BA86" s="99">
        <f>'BS Forecasts'!BA$86</f>
        <v>0</v>
      </c>
      <c r="BB86" s="99">
        <f>'BS Forecasts'!BB$86</f>
        <v>0</v>
      </c>
      <c r="BC86" s="99">
        <f>'BS Forecasts'!BC$86</f>
        <v>0</v>
      </c>
      <c r="BD86" s="99">
        <f>'BS Forecasts'!BD$86</f>
        <v>0</v>
      </c>
      <c r="BE86" s="99">
        <f>'BS Forecasts'!BE$86</f>
        <v>0</v>
      </c>
      <c r="BF86" s="99">
        <f>'BS Forecasts'!BF$86</f>
        <v>0</v>
      </c>
      <c r="BG86" s="99">
        <f>'BS Forecasts'!BG$86</f>
        <v>0</v>
      </c>
      <c r="BH86" s="99">
        <f>'BS Forecasts'!BH$86</f>
        <v>0</v>
      </c>
      <c r="BI86" s="99">
        <f>'BS Forecasts'!BI$86</f>
        <v>0</v>
      </c>
      <c r="BJ86" s="99">
        <f>'BS Forecasts'!BJ$86</f>
        <v>0</v>
      </c>
      <c r="BX86" s="99">
        <f>'BS Forecasts'!BX$86</f>
        <v>0</v>
      </c>
      <c r="BY86" s="99">
        <f>'BS Forecasts'!BY$86</f>
        <v>0</v>
      </c>
      <c r="BZ86" s="99">
        <f>'BS Forecasts'!BZ$86</f>
        <v>0</v>
      </c>
      <c r="CA86" s="99">
        <f>'BS Forecasts'!CA$86</f>
        <v>0</v>
      </c>
      <c r="CB86" s="99">
        <f>'BS Forecasts'!CB$86</f>
        <v>0</v>
      </c>
      <c r="CC86" s="99">
        <f>'BS Forecasts'!CC$86</f>
        <v>0</v>
      </c>
      <c r="CD86" s="99">
        <f>'BS Forecasts'!CD$86</f>
        <v>0</v>
      </c>
      <c r="CE86" s="99">
        <f>'BS Forecasts'!CE$86</f>
        <v>0</v>
      </c>
      <c r="CF86" s="99">
        <f>'BS Forecasts'!CF$86</f>
        <v>0</v>
      </c>
      <c r="CG86" s="99">
        <f>'BS Forecasts'!CG$86</f>
        <v>0</v>
      </c>
      <c r="CH86" s="99">
        <f>'BS Forecasts'!CH$86</f>
        <v>0</v>
      </c>
      <c r="CI86" s="99">
        <f>'BS Forecasts'!CI$86</f>
        <v>0</v>
      </c>
      <c r="CK86" s="311"/>
      <c r="CO86" s="100">
        <f t="shared" si="74"/>
        <v>0</v>
      </c>
      <c r="CP86" s="100">
        <f t="shared" si="75"/>
        <v>0</v>
      </c>
      <c r="CQ86" s="100">
        <f t="shared" si="76"/>
        <v>0</v>
      </c>
      <c r="CR86" s="311"/>
      <c r="CS86" s="215">
        <f t="shared" si="77"/>
        <v>0</v>
      </c>
      <c r="CT86" s="215">
        <f t="shared" si="78"/>
        <v>0</v>
      </c>
      <c r="CU86" s="215">
        <f t="shared" si="79"/>
        <v>0</v>
      </c>
      <c r="CV86" s="215">
        <f t="shared" si="80"/>
        <v>0</v>
      </c>
      <c r="CW86" s="215">
        <f t="shared" si="81"/>
        <v>0</v>
      </c>
      <c r="CX86" s="215">
        <f t="shared" si="82"/>
        <v>0</v>
      </c>
      <c r="CY86" s="215">
        <f t="shared" si="83"/>
        <v>0</v>
      </c>
      <c r="EX86" s="10" t="str">
        <f t="shared" ca="1" si="63"/>
        <v xml:space="preserve">Restricted Cash </v>
      </c>
    </row>
    <row r="87" spans="1:154" x14ac:dyDescent="0.35">
      <c r="A87" s="537" cm="1">
        <f t="array" aca="1" ref="A87" ca="1">HYPERLINK(CONCATENATE("#",CELL("address",IF(MAX($CK87:$CR87)=0,A87,INDEX($CK87:$CR87,MATCH(1,$CK87:$CR87,0))))),MAX($CK87:$CR87))</f>
        <v>0</v>
      </c>
      <c r="C87" s="213" t="str">
        <f>'BS Forecasts'!C$89</f>
        <v>B-2k-CB</v>
      </c>
      <c r="D87" s="572" t="str" cm="1">
        <f t="array" aca="1" ref="D87" ca="1">HYPERLINK(CONCATENATE("#",CELL("address",'BS Forecasts'!$D$89)),'BS Forecasts'!$D$88)</f>
        <v>Non-current asset debtors due within one year</v>
      </c>
      <c r="V87" s="10">
        <f>'BS Forecasts'!V$89</f>
        <v>0</v>
      </c>
      <c r="W87" s="10">
        <f>'BS Forecasts'!W$89</f>
        <v>0</v>
      </c>
      <c r="X87" s="10">
        <f>'BS Forecasts'!X$89</f>
        <v>0</v>
      </c>
      <c r="Y87" s="10">
        <f>'BS Forecasts'!Y$89</f>
        <v>0</v>
      </c>
      <c r="AA87" s="99">
        <f>'BS Forecasts'!AA$89</f>
        <v>0</v>
      </c>
      <c r="AB87" s="99">
        <f>'BS Forecasts'!AB$89</f>
        <v>0</v>
      </c>
      <c r="AC87" s="99">
        <f>'BS Forecasts'!AC$89</f>
        <v>0</v>
      </c>
      <c r="AD87" s="99">
        <f>'BS Forecasts'!AD$89</f>
        <v>0</v>
      </c>
      <c r="AE87" s="99">
        <f>'BS Forecasts'!AE$89</f>
        <v>0</v>
      </c>
      <c r="AF87" s="99">
        <f>'BS Forecasts'!AF$89</f>
        <v>0</v>
      </c>
      <c r="AG87" s="99">
        <f>'BS Forecasts'!AG$89</f>
        <v>0</v>
      </c>
      <c r="AH87" s="99">
        <f>'BS Forecasts'!AH$89</f>
        <v>0</v>
      </c>
      <c r="AI87" s="99">
        <f>'BS Forecasts'!AI$89</f>
        <v>0</v>
      </c>
      <c r="AJ87" s="99">
        <f>'BS Forecasts'!AJ$89</f>
        <v>0</v>
      </c>
      <c r="AK87" s="99">
        <f>'BS Forecasts'!AK$89</f>
        <v>0</v>
      </c>
      <c r="AL87" s="99">
        <f>'BS Forecasts'!AL$89</f>
        <v>0</v>
      </c>
      <c r="AM87" s="99">
        <f>'BS Forecasts'!AM$89</f>
        <v>0</v>
      </c>
      <c r="AN87" s="99">
        <f>'BS Forecasts'!AN$89</f>
        <v>0</v>
      </c>
      <c r="AO87" s="99">
        <f>'BS Forecasts'!AO$89</f>
        <v>0</v>
      </c>
      <c r="AP87" s="99">
        <f>'BS Forecasts'!AP$89</f>
        <v>0</v>
      </c>
      <c r="AQ87" s="99">
        <f>'BS Forecasts'!AQ$89</f>
        <v>0</v>
      </c>
      <c r="AR87" s="99">
        <f>'BS Forecasts'!AR$89</f>
        <v>0</v>
      </c>
      <c r="AS87" s="99">
        <f>'BS Forecasts'!AS$89</f>
        <v>0</v>
      </c>
      <c r="AT87" s="99">
        <f>'BS Forecasts'!AT$89</f>
        <v>0</v>
      </c>
      <c r="AU87" s="99">
        <f>'BS Forecasts'!AU$89</f>
        <v>0</v>
      </c>
      <c r="AV87" s="99">
        <f>'BS Forecasts'!AV$89</f>
        <v>0</v>
      </c>
      <c r="AW87" s="99">
        <f>'BS Forecasts'!AW$89</f>
        <v>0</v>
      </c>
      <c r="AX87" s="99">
        <f>'BS Forecasts'!AX$89</f>
        <v>0</v>
      </c>
      <c r="AY87" s="99">
        <f>'BS Forecasts'!AY$89</f>
        <v>0</v>
      </c>
      <c r="AZ87" s="99">
        <f>'BS Forecasts'!AZ$89</f>
        <v>0</v>
      </c>
      <c r="BA87" s="99">
        <f>'BS Forecasts'!BA$89</f>
        <v>0</v>
      </c>
      <c r="BB87" s="99">
        <f>'BS Forecasts'!BB$89</f>
        <v>0</v>
      </c>
      <c r="BC87" s="99">
        <f>'BS Forecasts'!BC$89</f>
        <v>0</v>
      </c>
      <c r="BD87" s="99">
        <f>'BS Forecasts'!BD$89</f>
        <v>0</v>
      </c>
      <c r="BE87" s="99">
        <f>'BS Forecasts'!BE$89</f>
        <v>0</v>
      </c>
      <c r="BF87" s="99">
        <f>'BS Forecasts'!BF$89</f>
        <v>0</v>
      </c>
      <c r="BG87" s="99">
        <f>'BS Forecasts'!BG$89</f>
        <v>0</v>
      </c>
      <c r="BH87" s="99">
        <f>'BS Forecasts'!BH$89</f>
        <v>0</v>
      </c>
      <c r="BI87" s="99">
        <f>'BS Forecasts'!BI$89</f>
        <v>0</v>
      </c>
      <c r="BJ87" s="99">
        <f>'BS Forecasts'!BJ$89</f>
        <v>0</v>
      </c>
      <c r="BX87" s="99">
        <f>'BS Forecasts'!BX$89</f>
        <v>0</v>
      </c>
      <c r="BY87" s="99">
        <f>'BS Forecasts'!BY$89</f>
        <v>0</v>
      </c>
      <c r="BZ87" s="99">
        <f>'BS Forecasts'!BZ$89</f>
        <v>0</v>
      </c>
      <c r="CA87" s="99">
        <f>'BS Forecasts'!CA$89</f>
        <v>0</v>
      </c>
      <c r="CB87" s="99">
        <f>'BS Forecasts'!CB$89</f>
        <v>0</v>
      </c>
      <c r="CC87" s="99">
        <f>'BS Forecasts'!CC$89</f>
        <v>0</v>
      </c>
      <c r="CD87" s="99">
        <f>'BS Forecasts'!CD$89</f>
        <v>0</v>
      </c>
      <c r="CE87" s="99">
        <f>'BS Forecasts'!CE$89</f>
        <v>0</v>
      </c>
      <c r="CF87" s="99">
        <f>'BS Forecasts'!CF$89</f>
        <v>0</v>
      </c>
      <c r="CG87" s="99">
        <f>'BS Forecasts'!CG$89</f>
        <v>0</v>
      </c>
      <c r="CH87" s="99">
        <f>'BS Forecasts'!CH$89</f>
        <v>0</v>
      </c>
      <c r="CI87" s="99">
        <f>'BS Forecasts'!CI$89</f>
        <v>0</v>
      </c>
      <c r="CK87" s="311"/>
      <c r="CO87" s="100">
        <f t="shared" si="74"/>
        <v>0</v>
      </c>
      <c r="CP87" s="100">
        <f t="shared" si="75"/>
        <v>0</v>
      </c>
      <c r="CQ87" s="100">
        <f t="shared" si="76"/>
        <v>0</v>
      </c>
      <c r="CR87" s="311"/>
      <c r="CS87" s="215">
        <f t="shared" si="77"/>
        <v>0</v>
      </c>
      <c r="CT87" s="215">
        <f t="shared" si="78"/>
        <v>0</v>
      </c>
      <c r="CU87" s="215">
        <f t="shared" si="79"/>
        <v>0</v>
      </c>
      <c r="CV87" s="215">
        <f t="shared" si="80"/>
        <v>0</v>
      </c>
      <c r="CW87" s="215">
        <f t="shared" si="81"/>
        <v>0</v>
      </c>
      <c r="CX87" s="215">
        <f t="shared" si="82"/>
        <v>0</v>
      </c>
      <c r="CY87" s="215">
        <f t="shared" si="83"/>
        <v>0</v>
      </c>
      <c r="EX87" s="10"/>
    </row>
    <row r="88" spans="1:154" x14ac:dyDescent="0.35">
      <c r="A88" s="537" cm="1">
        <f t="array" aca="1" ref="A88" ca="1">HYPERLINK(CONCATENATE("#",CELL("address",IF(MAX($CK88:$CR88)=0,A88,INDEX($CK88:$CR88,MATCH(1,$CK88:$CR88,0))))),MAX($CK88:$CR88))</f>
        <v>0</v>
      </c>
      <c r="C88" s="213" t="s">
        <v>1522</v>
      </c>
      <c r="D88" s="107" t="s">
        <v>660</v>
      </c>
      <c r="V88" s="12">
        <f>SUM(V77:V87)*V$9</f>
        <v>0</v>
      </c>
      <c r="W88" s="12">
        <f>SUM(W77:W87)*W$9</f>
        <v>0</v>
      </c>
      <c r="X88" s="12">
        <f>SUM(X77:X87)*X$9</f>
        <v>0</v>
      </c>
      <c r="Y88" s="12">
        <f>SUM(Y77:Y87)*Y$9</f>
        <v>0</v>
      </c>
      <c r="AA88" s="12">
        <f t="shared" ref="AA88:BV88" si="84">SUM(AA77:AA87)*AA$9</f>
        <v>0</v>
      </c>
      <c r="AB88" s="12">
        <f t="shared" si="84"/>
        <v>0</v>
      </c>
      <c r="AC88" s="12">
        <f t="shared" si="84"/>
        <v>0</v>
      </c>
      <c r="AD88" s="12">
        <f t="shared" si="84"/>
        <v>0</v>
      </c>
      <c r="AE88" s="12">
        <f t="shared" si="84"/>
        <v>0</v>
      </c>
      <c r="AF88" s="12">
        <f t="shared" si="84"/>
        <v>0</v>
      </c>
      <c r="AG88" s="12">
        <f t="shared" si="84"/>
        <v>0</v>
      </c>
      <c r="AH88" s="12">
        <f t="shared" si="84"/>
        <v>0</v>
      </c>
      <c r="AI88" s="12">
        <f t="shared" si="84"/>
        <v>0</v>
      </c>
      <c r="AJ88" s="12">
        <f t="shared" si="84"/>
        <v>0</v>
      </c>
      <c r="AK88" s="12">
        <f t="shared" si="84"/>
        <v>0</v>
      </c>
      <c r="AL88" s="12">
        <f t="shared" si="84"/>
        <v>0</v>
      </c>
      <c r="AM88" s="12">
        <f t="shared" si="84"/>
        <v>0</v>
      </c>
      <c r="AN88" s="12">
        <f t="shared" si="84"/>
        <v>0</v>
      </c>
      <c r="AO88" s="12">
        <f t="shared" si="84"/>
        <v>0</v>
      </c>
      <c r="AP88" s="12">
        <f t="shared" si="84"/>
        <v>0</v>
      </c>
      <c r="AQ88" s="12">
        <f t="shared" si="84"/>
        <v>0</v>
      </c>
      <c r="AR88" s="12">
        <f t="shared" si="84"/>
        <v>0</v>
      </c>
      <c r="AS88" s="12">
        <f t="shared" si="84"/>
        <v>0</v>
      </c>
      <c r="AT88" s="12">
        <f t="shared" si="84"/>
        <v>0</v>
      </c>
      <c r="AU88" s="12">
        <f t="shared" si="84"/>
        <v>0</v>
      </c>
      <c r="AV88" s="12">
        <f t="shared" si="84"/>
        <v>0</v>
      </c>
      <c r="AW88" s="12">
        <f t="shared" si="84"/>
        <v>0</v>
      </c>
      <c r="AX88" s="12">
        <f t="shared" si="84"/>
        <v>0</v>
      </c>
      <c r="AY88" s="12">
        <f t="shared" si="84"/>
        <v>0</v>
      </c>
      <c r="AZ88" s="12">
        <f t="shared" si="84"/>
        <v>0</v>
      </c>
      <c r="BA88" s="12">
        <f t="shared" si="84"/>
        <v>0</v>
      </c>
      <c r="BB88" s="12">
        <f t="shared" si="84"/>
        <v>0</v>
      </c>
      <c r="BC88" s="12">
        <f t="shared" si="84"/>
        <v>0</v>
      </c>
      <c r="BD88" s="12">
        <f t="shared" si="84"/>
        <v>0</v>
      </c>
      <c r="BE88" s="12">
        <f t="shared" si="84"/>
        <v>0</v>
      </c>
      <c r="BF88" s="12">
        <f t="shared" si="84"/>
        <v>0</v>
      </c>
      <c r="BG88" s="12">
        <f t="shared" si="84"/>
        <v>0</v>
      </c>
      <c r="BH88" s="12">
        <f t="shared" si="84"/>
        <v>0</v>
      </c>
      <c r="BI88" s="12">
        <f t="shared" si="84"/>
        <v>0</v>
      </c>
      <c r="BJ88" s="12">
        <f t="shared" si="84"/>
        <v>0</v>
      </c>
      <c r="BK88" s="12">
        <f t="shared" si="84"/>
        <v>0</v>
      </c>
      <c r="BL88" s="12">
        <f t="shared" si="84"/>
        <v>0</v>
      </c>
      <c r="BM88" s="12">
        <f t="shared" si="84"/>
        <v>0</v>
      </c>
      <c r="BN88" s="12">
        <f t="shared" si="84"/>
        <v>0</v>
      </c>
      <c r="BO88" s="12">
        <f t="shared" si="84"/>
        <v>0</v>
      </c>
      <c r="BP88" s="12">
        <f t="shared" si="84"/>
        <v>0</v>
      </c>
      <c r="BQ88" s="12">
        <f t="shared" si="84"/>
        <v>0</v>
      </c>
      <c r="BR88" s="12">
        <f t="shared" si="84"/>
        <v>0</v>
      </c>
      <c r="BS88" s="12">
        <f t="shared" si="84"/>
        <v>0</v>
      </c>
      <c r="BT88" s="12">
        <f t="shared" si="84"/>
        <v>0</v>
      </c>
      <c r="BU88" s="12">
        <f t="shared" si="84"/>
        <v>0</v>
      </c>
      <c r="BV88" s="12">
        <f t="shared" si="84"/>
        <v>0</v>
      </c>
      <c r="BX88" s="12">
        <f t="shared" ref="BX88:CI88" si="85">SUM(BX77:BX87)*BX$9</f>
        <v>0</v>
      </c>
      <c r="BY88" s="12">
        <f t="shared" si="85"/>
        <v>0</v>
      </c>
      <c r="BZ88" s="12">
        <f t="shared" si="85"/>
        <v>0</v>
      </c>
      <c r="CA88" s="12">
        <f t="shared" si="85"/>
        <v>0</v>
      </c>
      <c r="CB88" s="12">
        <f t="shared" si="85"/>
        <v>0</v>
      </c>
      <c r="CC88" s="12">
        <f t="shared" si="85"/>
        <v>0</v>
      </c>
      <c r="CD88" s="12">
        <f t="shared" si="85"/>
        <v>0</v>
      </c>
      <c r="CE88" s="12">
        <f t="shared" si="85"/>
        <v>0</v>
      </c>
      <c r="CF88" s="12">
        <f t="shared" si="85"/>
        <v>0</v>
      </c>
      <c r="CG88" s="12">
        <f t="shared" si="85"/>
        <v>0</v>
      </c>
      <c r="CH88" s="12">
        <f t="shared" si="85"/>
        <v>0</v>
      </c>
      <c r="CI88" s="12">
        <f t="shared" si="85"/>
        <v>0</v>
      </c>
      <c r="CK88" s="311"/>
      <c r="CO88" s="100">
        <f t="shared" si="74"/>
        <v>0</v>
      </c>
      <c r="CP88" s="100">
        <f t="shared" si="75"/>
        <v>0</v>
      </c>
      <c r="CQ88" s="100">
        <f t="shared" si="76"/>
        <v>0</v>
      </c>
      <c r="CR88" s="311"/>
      <c r="CS88" s="215">
        <f t="shared" si="77"/>
        <v>0</v>
      </c>
      <c r="CT88" s="215">
        <f t="shared" si="78"/>
        <v>0</v>
      </c>
      <c r="CU88" s="215">
        <f t="shared" si="79"/>
        <v>0</v>
      </c>
      <c r="CV88" s="215">
        <f t="shared" si="80"/>
        <v>0</v>
      </c>
      <c r="CW88" s="215">
        <f t="shared" si="81"/>
        <v>0</v>
      </c>
      <c r="CX88" s="215">
        <f t="shared" si="82"/>
        <v>0</v>
      </c>
      <c r="CY88" s="215">
        <f t="shared" si="83"/>
        <v>0</v>
      </c>
      <c r="EX88" s="10" t="str">
        <f>IF($C88="","",$D88)</f>
        <v>Total Current Assets</v>
      </c>
    </row>
    <row r="89" spans="1:154" ht="11.65" customHeight="1" x14ac:dyDescent="0.35">
      <c r="C89" s="213"/>
      <c r="E89"/>
      <c r="CK89" s="311"/>
      <c r="CO89" s="120"/>
      <c r="CP89" s="120"/>
      <c r="CQ89" s="120"/>
      <c r="CR89" s="311"/>
      <c r="EX89" s="10" t="str">
        <f>IF($C89="","",$D89)</f>
        <v/>
      </c>
    </row>
    <row r="90" spans="1:154" x14ac:dyDescent="0.35">
      <c r="A90" s="537" cm="1">
        <f t="array" aca="1" ref="A90" ca="1">HYPERLINK(CONCATENATE("#",CELL("address",IF(MAX($CK90:$CR90)=0,A90,INDEX($CK90:$CR90,MATCH(1,$CK90:$CR90,0))))),MAX($CK90:$CR90))</f>
        <v>0</v>
      </c>
      <c r="B90" s="5"/>
      <c r="C90" s="213"/>
      <c r="D90" s="107" t="s">
        <v>662</v>
      </c>
      <c r="CK90" s="311"/>
      <c r="CO90" s="100">
        <f t="shared" ref="CO90:CO110" si="86">IF(SUM($CS90:$CU90)=0, 0, 1)</f>
        <v>0</v>
      </c>
      <c r="CP90" s="100">
        <f t="shared" ref="CP90:CP110" si="87">IF(SUM($CV90:$CX90)=0, 0, 1)</f>
        <v>0</v>
      </c>
      <c r="CQ90" s="100">
        <f t="shared" ref="CQ90:CQ110" si="88">IF(CY90=0, 0, 1)</f>
        <v>0</v>
      </c>
      <c r="CR90" s="311"/>
      <c r="CS90" s="215">
        <f t="shared" ref="CS90:CS110" si="89">ROUND(W90-INDEX($AA90:$BJ90, MATCH(W$5, $AA$5:$BJ$5,0)), rounding)</f>
        <v>0</v>
      </c>
      <c r="CT90" s="215">
        <f t="shared" ref="CT90:CT110" si="90">ROUND(X90-INDEX($AA90:$BJ90, MATCH(X$5, $AA$5:$BJ$5,0)), rounding)</f>
        <v>0</v>
      </c>
      <c r="CU90" s="215">
        <f t="shared" ref="CU90:CU110" si="91">ROUND(Y90-INDEX($AA90:$BJ90, MATCH(Y$5, $AA$5:$BJ$5,0)), rounding)</f>
        <v>0</v>
      </c>
      <c r="CV90" s="215">
        <f t="shared" ref="CV90:CV110" si="92">ROUND(W90-BY90, rounding)</f>
        <v>0</v>
      </c>
      <c r="CW90" s="215">
        <f t="shared" ref="CW90:CW110" si="93">ROUND(X90-BZ90, rounding)</f>
        <v>0</v>
      </c>
      <c r="CX90" s="215">
        <f t="shared" ref="CX90:CX110" si="94">ROUND(Y90-CA90, rounding)</f>
        <v>0</v>
      </c>
      <c r="CY90" s="215">
        <f t="shared" ref="CY90:CY110" si="95">ROUND(V90-BX90, rounding)</f>
        <v>0</v>
      </c>
      <c r="EX90" s="10" t="str">
        <f>IF($C90="","",$D90)</f>
        <v/>
      </c>
    </row>
    <row r="91" spans="1:154" x14ac:dyDescent="0.35">
      <c r="A91" s="537" cm="1">
        <f t="array" aca="1" ref="A91" ca="1">HYPERLINK(CONCATENATE("#",CELL("address",IF(MAX($CK91:$CR91)=0,A91,INDEX($CK91:$CR91,MATCH(1,$CK91:$CR91,0))))),MAX($CK91:$CR91))</f>
        <v>0</v>
      </c>
      <c r="C91" s="213" t="str">
        <f>'BS Forecasts'!C$94</f>
        <v>B-3a-CB</v>
      </c>
      <c r="D91" s="570" t="str" cm="1">
        <f t="array" aca="1" ref="D91" ca="1">HYPERLINK(CONCATENATE("#",CELL("address",'BS Forecasts'!$D$94)),'BS Forecasts'!$D$93)</f>
        <v>Overdrafts</v>
      </c>
      <c r="V91" s="133">
        <f>'BS Forecasts'!V$94</f>
        <v>0</v>
      </c>
      <c r="W91" s="133">
        <f>'BS Forecasts'!W$94</f>
        <v>0</v>
      </c>
      <c r="X91" s="133">
        <f>'BS Forecasts'!X$94</f>
        <v>0</v>
      </c>
      <c r="Y91" s="133">
        <f>'BS Forecasts'!Y$94</f>
        <v>0</v>
      </c>
      <c r="AA91" s="133">
        <f>'BS Forecasts'!AA$94</f>
        <v>0</v>
      </c>
      <c r="AB91" s="133">
        <f>'BS Forecasts'!AB$94</f>
        <v>0</v>
      </c>
      <c r="AC91" s="133">
        <f>'BS Forecasts'!AC$94</f>
        <v>0</v>
      </c>
      <c r="AD91" s="133">
        <f>'BS Forecasts'!AD$94</f>
        <v>0</v>
      </c>
      <c r="AE91" s="133">
        <f>'BS Forecasts'!AE$94</f>
        <v>0</v>
      </c>
      <c r="AF91" s="133">
        <f>'BS Forecasts'!AF$94</f>
        <v>0</v>
      </c>
      <c r="AG91" s="133">
        <f>'BS Forecasts'!AG$94</f>
        <v>0</v>
      </c>
      <c r="AH91" s="133">
        <f>'BS Forecasts'!AH$94</f>
        <v>0</v>
      </c>
      <c r="AI91" s="133">
        <f>'BS Forecasts'!AI$94</f>
        <v>0</v>
      </c>
      <c r="AJ91" s="133">
        <f>'BS Forecasts'!AJ$94</f>
        <v>0</v>
      </c>
      <c r="AK91" s="133">
        <f>'BS Forecasts'!AK$94</f>
        <v>0</v>
      </c>
      <c r="AL91" s="133">
        <f>'BS Forecasts'!AL$94</f>
        <v>0</v>
      </c>
      <c r="AM91" s="133">
        <f>'BS Forecasts'!AM$94</f>
        <v>0</v>
      </c>
      <c r="AN91" s="133">
        <f>'BS Forecasts'!AN$94</f>
        <v>0</v>
      </c>
      <c r="AO91" s="133">
        <f>'BS Forecasts'!AO$94</f>
        <v>0</v>
      </c>
      <c r="AP91" s="133">
        <f>'BS Forecasts'!AP$94</f>
        <v>0</v>
      </c>
      <c r="AQ91" s="133">
        <f>'BS Forecasts'!AQ$94</f>
        <v>0</v>
      </c>
      <c r="AR91" s="133">
        <f>'BS Forecasts'!AR$94</f>
        <v>0</v>
      </c>
      <c r="AS91" s="133">
        <f>'BS Forecasts'!AS$94</f>
        <v>0</v>
      </c>
      <c r="AT91" s="133">
        <f>'BS Forecasts'!AT$94</f>
        <v>0</v>
      </c>
      <c r="AU91" s="133">
        <f>'BS Forecasts'!AU$94</f>
        <v>0</v>
      </c>
      <c r="AV91" s="133">
        <f>'BS Forecasts'!AV$94</f>
        <v>0</v>
      </c>
      <c r="AW91" s="133">
        <f>'BS Forecasts'!AW$94</f>
        <v>0</v>
      </c>
      <c r="AX91" s="133">
        <f>'BS Forecasts'!AX$94</f>
        <v>0</v>
      </c>
      <c r="AY91" s="133">
        <f>'BS Forecasts'!AY$94</f>
        <v>0</v>
      </c>
      <c r="AZ91" s="133">
        <f>'BS Forecasts'!AZ$94</f>
        <v>0</v>
      </c>
      <c r="BA91" s="133">
        <f>'BS Forecasts'!BA$94</f>
        <v>0</v>
      </c>
      <c r="BB91" s="133">
        <f>'BS Forecasts'!BB$94</f>
        <v>0</v>
      </c>
      <c r="BC91" s="133">
        <f>'BS Forecasts'!BC$94</f>
        <v>0</v>
      </c>
      <c r="BD91" s="133">
        <f>'BS Forecasts'!BD$94</f>
        <v>0</v>
      </c>
      <c r="BE91" s="133">
        <f>'BS Forecasts'!BE$94</f>
        <v>0</v>
      </c>
      <c r="BF91" s="133">
        <f>'BS Forecasts'!BF$94</f>
        <v>0</v>
      </c>
      <c r="BG91" s="133">
        <f>'BS Forecasts'!BG$94</f>
        <v>0</v>
      </c>
      <c r="BH91" s="133">
        <f>'BS Forecasts'!BH$94</f>
        <v>0</v>
      </c>
      <c r="BI91" s="133">
        <f>'BS Forecasts'!BI$94</f>
        <v>0</v>
      </c>
      <c r="BJ91" s="133">
        <f>'BS Forecasts'!BJ$94</f>
        <v>0</v>
      </c>
      <c r="BX91" s="133">
        <f>'BS Forecasts'!BX$94</f>
        <v>0</v>
      </c>
      <c r="BY91" s="133">
        <f>'BS Forecasts'!BY$94</f>
        <v>0</v>
      </c>
      <c r="BZ91" s="133">
        <f>'BS Forecasts'!BZ$94</f>
        <v>0</v>
      </c>
      <c r="CA91" s="133">
        <f>'BS Forecasts'!CA$94</f>
        <v>0</v>
      </c>
      <c r="CB91" s="133">
        <f>'BS Forecasts'!CB$94</f>
        <v>0</v>
      </c>
      <c r="CC91" s="133">
        <f>'BS Forecasts'!CC$94</f>
        <v>0</v>
      </c>
      <c r="CD91" s="133">
        <f>'BS Forecasts'!CD$94</f>
        <v>0</v>
      </c>
      <c r="CE91" s="133">
        <f>'BS Forecasts'!CE$94</f>
        <v>0</v>
      </c>
      <c r="CF91" s="133">
        <f>'BS Forecasts'!CF$94</f>
        <v>0</v>
      </c>
      <c r="CG91" s="133">
        <f>'BS Forecasts'!CG$94</f>
        <v>0</v>
      </c>
      <c r="CH91" s="133">
        <f>'BS Forecasts'!CH$94</f>
        <v>0</v>
      </c>
      <c r="CI91" s="133">
        <f>'BS Forecasts'!CI$94</f>
        <v>0</v>
      </c>
      <c r="CK91" s="311"/>
      <c r="CO91" s="100">
        <f t="shared" si="86"/>
        <v>0</v>
      </c>
      <c r="CP91" s="100">
        <f t="shared" si="87"/>
        <v>0</v>
      </c>
      <c r="CQ91" s="100">
        <f t="shared" si="88"/>
        <v>0</v>
      </c>
      <c r="CR91" s="311"/>
      <c r="CS91" s="215">
        <f t="shared" si="89"/>
        <v>0</v>
      </c>
      <c r="CT91" s="215">
        <f t="shared" si="90"/>
        <v>0</v>
      </c>
      <c r="CU91" s="215">
        <f t="shared" si="91"/>
        <v>0</v>
      </c>
      <c r="CV91" s="215">
        <f t="shared" si="92"/>
        <v>0</v>
      </c>
      <c r="CW91" s="215">
        <f t="shared" si="93"/>
        <v>0</v>
      </c>
      <c r="CX91" s="215">
        <f t="shared" si="94"/>
        <v>0</v>
      </c>
      <c r="CY91" s="215">
        <f t="shared" si="95"/>
        <v>0</v>
      </c>
      <c r="EX91" s="10" t="str">
        <f ca="1">IF($C91="","",$D91)</f>
        <v>Overdrafts</v>
      </c>
    </row>
    <row r="92" spans="1:154" x14ac:dyDescent="0.35">
      <c r="A92" s="537" cm="1">
        <f t="array" aca="1" ref="A92" ca="1">HYPERLINK(CONCATENATE("#",CELL("address",IF(MAX($CK92:$CR92)=0,A92,INDEX($CK92:$CR92,MATCH(1,$CK92:$CR92,0))))),MAX($CK92:$CR92))</f>
        <v>0</v>
      </c>
      <c r="C92" s="213" t="str">
        <f>'BS Forecasts'!C$99</f>
        <v>B-3b-CB</v>
      </c>
      <c r="D92" s="570" t="str" cm="1">
        <f t="array" aca="1" ref="D92" ca="1">HYPERLINK(CONCATENATE("#",CELL("address",'BS Forecasts'!$D$99)),'BS Forecasts'!$D$96)</f>
        <v>Loans (DfE/ESFA)</v>
      </c>
      <c r="V92" s="10">
        <f>'BS Forecasts'!V$99</f>
        <v>0</v>
      </c>
      <c r="W92" s="10">
        <f>'BS Forecasts'!W$99</f>
        <v>0</v>
      </c>
      <c r="X92" s="10">
        <f>'BS Forecasts'!X$99</f>
        <v>0</v>
      </c>
      <c r="Y92" s="10">
        <f>'BS Forecasts'!Y$99</f>
        <v>0</v>
      </c>
      <c r="AA92" s="10">
        <f>'BS Forecasts'!AA$99</f>
        <v>0</v>
      </c>
      <c r="AB92" s="10">
        <f>'BS Forecasts'!AB$99</f>
        <v>0</v>
      </c>
      <c r="AC92" s="10">
        <f>'BS Forecasts'!AC$99</f>
        <v>0</v>
      </c>
      <c r="AD92" s="10">
        <f>'BS Forecasts'!AD$99</f>
        <v>0</v>
      </c>
      <c r="AE92" s="10">
        <f>'BS Forecasts'!AE$99</f>
        <v>0</v>
      </c>
      <c r="AF92" s="10">
        <f>'BS Forecasts'!AF$99</f>
        <v>0</v>
      </c>
      <c r="AG92" s="10">
        <f>'BS Forecasts'!AG$99</f>
        <v>0</v>
      </c>
      <c r="AH92" s="10">
        <f>'BS Forecasts'!AH$99</f>
        <v>0</v>
      </c>
      <c r="AI92" s="10">
        <f>'BS Forecasts'!AI$99</f>
        <v>0</v>
      </c>
      <c r="AJ92" s="10">
        <f>'BS Forecasts'!AJ$99</f>
        <v>0</v>
      </c>
      <c r="AK92" s="10">
        <f>'BS Forecasts'!AK$99</f>
        <v>0</v>
      </c>
      <c r="AL92" s="10">
        <f>'BS Forecasts'!AL$99</f>
        <v>0</v>
      </c>
      <c r="AM92" s="10">
        <f>'BS Forecasts'!AM$99</f>
        <v>0</v>
      </c>
      <c r="AN92" s="10">
        <f>'BS Forecasts'!AN$99</f>
        <v>0</v>
      </c>
      <c r="AO92" s="10">
        <f>'BS Forecasts'!AO$99</f>
        <v>0</v>
      </c>
      <c r="AP92" s="10">
        <f>'BS Forecasts'!AP$99</f>
        <v>0</v>
      </c>
      <c r="AQ92" s="10">
        <f>'BS Forecasts'!AQ$99</f>
        <v>0</v>
      </c>
      <c r="AR92" s="10">
        <f>'BS Forecasts'!AR$99</f>
        <v>0</v>
      </c>
      <c r="AS92" s="10">
        <f>'BS Forecasts'!AS$99</f>
        <v>0</v>
      </c>
      <c r="AT92" s="10">
        <f>'BS Forecasts'!AT$99</f>
        <v>0</v>
      </c>
      <c r="AU92" s="10">
        <f>'BS Forecasts'!AU$99</f>
        <v>0</v>
      </c>
      <c r="AV92" s="10">
        <f>'BS Forecasts'!AV$99</f>
        <v>0</v>
      </c>
      <c r="AW92" s="10">
        <f>'BS Forecasts'!AW$99</f>
        <v>0</v>
      </c>
      <c r="AX92" s="10">
        <f>'BS Forecasts'!AX$99</f>
        <v>0</v>
      </c>
      <c r="AY92" s="10">
        <f>'BS Forecasts'!AY$99</f>
        <v>0</v>
      </c>
      <c r="AZ92" s="10">
        <f>'BS Forecasts'!AZ$99</f>
        <v>0</v>
      </c>
      <c r="BA92" s="10">
        <f>'BS Forecasts'!BA$99</f>
        <v>0</v>
      </c>
      <c r="BB92" s="10">
        <f>'BS Forecasts'!BB$99</f>
        <v>0</v>
      </c>
      <c r="BC92" s="10">
        <f>'BS Forecasts'!BC$99</f>
        <v>0</v>
      </c>
      <c r="BD92" s="10">
        <f>'BS Forecasts'!BD$99</f>
        <v>0</v>
      </c>
      <c r="BE92" s="10">
        <f>'BS Forecasts'!BE$99</f>
        <v>0</v>
      </c>
      <c r="BF92" s="10">
        <f>'BS Forecasts'!BF$99</f>
        <v>0</v>
      </c>
      <c r="BG92" s="10">
        <f>'BS Forecasts'!BG$99</f>
        <v>0</v>
      </c>
      <c r="BH92" s="10">
        <f>'BS Forecasts'!BH$99</f>
        <v>0</v>
      </c>
      <c r="BI92" s="10">
        <f>'BS Forecasts'!BI$99</f>
        <v>0</v>
      </c>
      <c r="BJ92" s="10">
        <f>'BS Forecasts'!BJ$99</f>
        <v>0</v>
      </c>
      <c r="BX92" s="10">
        <f>'BS Forecasts'!BX$99</f>
        <v>0</v>
      </c>
      <c r="BY92" s="10">
        <f>'BS Forecasts'!BY$99</f>
        <v>0</v>
      </c>
      <c r="BZ92" s="10">
        <f>'BS Forecasts'!BZ$99</f>
        <v>0</v>
      </c>
      <c r="CA92" s="10">
        <f>'BS Forecasts'!CA$99</f>
        <v>0</v>
      </c>
      <c r="CB92" s="10">
        <f>'BS Forecasts'!CB$99</f>
        <v>0</v>
      </c>
      <c r="CC92" s="10">
        <f>'BS Forecasts'!CC$99</f>
        <v>0</v>
      </c>
      <c r="CD92" s="10">
        <f>'BS Forecasts'!CD$99</f>
        <v>0</v>
      </c>
      <c r="CE92" s="10">
        <f>'BS Forecasts'!CE$99</f>
        <v>0</v>
      </c>
      <c r="CF92" s="10">
        <f>'BS Forecasts'!CF$99</f>
        <v>0</v>
      </c>
      <c r="CG92" s="10">
        <f>'BS Forecasts'!CG$99</f>
        <v>0</v>
      </c>
      <c r="CH92" s="10">
        <f>'BS Forecasts'!CH$99</f>
        <v>0</v>
      </c>
      <c r="CI92" s="10">
        <f>'BS Forecasts'!CI$99</f>
        <v>0</v>
      </c>
      <c r="CK92" s="311"/>
      <c r="CO92" s="100">
        <f t="shared" si="86"/>
        <v>0</v>
      </c>
      <c r="CP92" s="100">
        <f t="shared" si="87"/>
        <v>0</v>
      </c>
      <c r="CQ92" s="100">
        <f t="shared" si="88"/>
        <v>0</v>
      </c>
      <c r="CR92" s="311"/>
      <c r="CS92" s="215">
        <f t="shared" si="89"/>
        <v>0</v>
      </c>
      <c r="CT92" s="215">
        <f t="shared" si="90"/>
        <v>0</v>
      </c>
      <c r="CU92" s="215">
        <f t="shared" si="91"/>
        <v>0</v>
      </c>
      <c r="CV92" s="215">
        <f t="shared" si="92"/>
        <v>0</v>
      </c>
      <c r="CW92" s="215">
        <f t="shared" si="93"/>
        <v>0</v>
      </c>
      <c r="CX92" s="215">
        <f t="shared" si="94"/>
        <v>0</v>
      </c>
      <c r="CY92" s="215">
        <f t="shared" si="95"/>
        <v>0</v>
      </c>
      <c r="EX92" s="12" t="str">
        <f ca="1">IF($C92="","",CONCATENATE(D$90," ",$D92))</f>
        <v>Creditors: amounts falling due within one year Loans (DfE/ESFA)</v>
      </c>
    </row>
    <row r="93" spans="1:154" x14ac:dyDescent="0.35">
      <c r="A93" s="537" cm="1">
        <f t="array" aca="1" ref="A93" ca="1">HYPERLINK(CONCATENATE("#",CELL("address",IF(MAX($CK93:$CR93)=0,A93,INDEX($CK93:$CR93,MATCH(1,$CK93:$CR93,0))))),MAX($CK93:$CR93))</f>
        <v>0</v>
      </c>
      <c r="C93" s="213" t="str">
        <f>'BS Forecasts'!C$105</f>
        <v>B-3c-CB</v>
      </c>
      <c r="D93" s="570" t="str" cm="1">
        <f t="array" aca="1" ref="D93" ca="1">HYPERLINK(CONCATENATE("#",CELL("address",'BS Forecasts'!$D$105)),'BS Forecasts'!$D$102)</f>
        <v>Commercial Loans</v>
      </c>
      <c r="V93" s="10">
        <f>'BS Forecasts'!V$105</f>
        <v>0</v>
      </c>
      <c r="W93" s="10">
        <f>'BS Forecasts'!W$105</f>
        <v>0</v>
      </c>
      <c r="X93" s="10">
        <f>'BS Forecasts'!X$105</f>
        <v>0</v>
      </c>
      <c r="Y93" s="10">
        <f>'BS Forecasts'!Y$105</f>
        <v>0</v>
      </c>
      <c r="AA93" s="10">
        <f>'BS Forecasts'!AA$105</f>
        <v>0</v>
      </c>
      <c r="AB93" s="10">
        <f>'BS Forecasts'!AB$105</f>
        <v>0</v>
      </c>
      <c r="AC93" s="10">
        <f>'BS Forecasts'!AC$105</f>
        <v>0</v>
      </c>
      <c r="AD93" s="10">
        <f>'BS Forecasts'!AD$105</f>
        <v>0</v>
      </c>
      <c r="AE93" s="10">
        <f>'BS Forecasts'!AE$105</f>
        <v>0</v>
      </c>
      <c r="AF93" s="10">
        <f>'BS Forecasts'!AF$105</f>
        <v>0</v>
      </c>
      <c r="AG93" s="10">
        <f>'BS Forecasts'!AG$105</f>
        <v>0</v>
      </c>
      <c r="AH93" s="10">
        <f>'BS Forecasts'!AH$105</f>
        <v>0</v>
      </c>
      <c r="AI93" s="10">
        <f>'BS Forecasts'!AI$105</f>
        <v>0</v>
      </c>
      <c r="AJ93" s="10">
        <f>'BS Forecasts'!AJ$105</f>
        <v>0</v>
      </c>
      <c r="AK93" s="10">
        <f>'BS Forecasts'!AK$105</f>
        <v>0</v>
      </c>
      <c r="AL93" s="10">
        <f>'BS Forecasts'!AL$105</f>
        <v>0</v>
      </c>
      <c r="AM93" s="10">
        <f>'BS Forecasts'!AM$105</f>
        <v>0</v>
      </c>
      <c r="AN93" s="10">
        <f>'BS Forecasts'!AN$105</f>
        <v>0</v>
      </c>
      <c r="AO93" s="10">
        <f>'BS Forecasts'!AO$105</f>
        <v>0</v>
      </c>
      <c r="AP93" s="10">
        <f>'BS Forecasts'!AP$105</f>
        <v>0</v>
      </c>
      <c r="AQ93" s="10">
        <f>'BS Forecasts'!AQ$105</f>
        <v>0</v>
      </c>
      <c r="AR93" s="10">
        <f>'BS Forecasts'!AR$105</f>
        <v>0</v>
      </c>
      <c r="AS93" s="10">
        <f>'BS Forecasts'!AS$105</f>
        <v>0</v>
      </c>
      <c r="AT93" s="10">
        <f>'BS Forecasts'!AT$105</f>
        <v>0</v>
      </c>
      <c r="AU93" s="10">
        <f>'BS Forecasts'!AU$105</f>
        <v>0</v>
      </c>
      <c r="AV93" s="10">
        <f>'BS Forecasts'!AV$105</f>
        <v>0</v>
      </c>
      <c r="AW93" s="10">
        <f>'BS Forecasts'!AW$105</f>
        <v>0</v>
      </c>
      <c r="AX93" s="10">
        <f>'BS Forecasts'!AX$105</f>
        <v>0</v>
      </c>
      <c r="AY93" s="10">
        <f>'BS Forecasts'!AY$105</f>
        <v>0</v>
      </c>
      <c r="AZ93" s="10">
        <f>'BS Forecasts'!AZ$105</f>
        <v>0</v>
      </c>
      <c r="BA93" s="10">
        <f>'BS Forecasts'!BA$105</f>
        <v>0</v>
      </c>
      <c r="BB93" s="10">
        <f>'BS Forecasts'!BB$105</f>
        <v>0</v>
      </c>
      <c r="BC93" s="10">
        <f>'BS Forecasts'!BC$105</f>
        <v>0</v>
      </c>
      <c r="BD93" s="10">
        <f>'BS Forecasts'!BD$105</f>
        <v>0</v>
      </c>
      <c r="BE93" s="10">
        <f>'BS Forecasts'!BE$105</f>
        <v>0</v>
      </c>
      <c r="BF93" s="10">
        <f>'BS Forecasts'!BF$105</f>
        <v>0</v>
      </c>
      <c r="BG93" s="10">
        <f>'BS Forecasts'!BG$105</f>
        <v>0</v>
      </c>
      <c r="BH93" s="10">
        <f>'BS Forecasts'!BH$105</f>
        <v>0</v>
      </c>
      <c r="BI93" s="10">
        <f>'BS Forecasts'!BI$105</f>
        <v>0</v>
      </c>
      <c r="BJ93" s="10">
        <f>'BS Forecasts'!BJ$105</f>
        <v>0</v>
      </c>
      <c r="BX93" s="10">
        <f>'BS Forecasts'!BX$105</f>
        <v>0</v>
      </c>
      <c r="BY93" s="10">
        <f>'BS Forecasts'!BY$105</f>
        <v>0</v>
      </c>
      <c r="BZ93" s="10">
        <f>'BS Forecasts'!BZ$105</f>
        <v>0</v>
      </c>
      <c r="CA93" s="10">
        <f>'BS Forecasts'!CA$105</f>
        <v>0</v>
      </c>
      <c r="CB93" s="10">
        <f>'BS Forecasts'!CB$105</f>
        <v>0</v>
      </c>
      <c r="CC93" s="10">
        <f>'BS Forecasts'!CC$105</f>
        <v>0</v>
      </c>
      <c r="CD93" s="10">
        <f>'BS Forecasts'!CD$105</f>
        <v>0</v>
      </c>
      <c r="CE93" s="10">
        <f>'BS Forecasts'!CE$105</f>
        <v>0</v>
      </c>
      <c r="CF93" s="10">
        <f>'BS Forecasts'!CF$105</f>
        <v>0</v>
      </c>
      <c r="CG93" s="10">
        <f>'BS Forecasts'!CG$105</f>
        <v>0</v>
      </c>
      <c r="CH93" s="10">
        <f>'BS Forecasts'!CH$105</f>
        <v>0</v>
      </c>
      <c r="CI93" s="10">
        <f>'BS Forecasts'!CI$105</f>
        <v>0</v>
      </c>
      <c r="CK93" s="311"/>
      <c r="CO93" s="100">
        <f t="shared" si="86"/>
        <v>0</v>
      </c>
      <c r="CP93" s="100">
        <f t="shared" si="87"/>
        <v>0</v>
      </c>
      <c r="CQ93" s="100">
        <f t="shared" si="88"/>
        <v>0</v>
      </c>
      <c r="CR93" s="311"/>
      <c r="CS93" s="215">
        <f t="shared" si="89"/>
        <v>0</v>
      </c>
      <c r="CT93" s="215">
        <f t="shared" si="90"/>
        <v>0</v>
      </c>
      <c r="CU93" s="215">
        <f t="shared" si="91"/>
        <v>0</v>
      </c>
      <c r="CV93" s="215">
        <f t="shared" si="92"/>
        <v>0</v>
      </c>
      <c r="CW93" s="215">
        <f t="shared" si="93"/>
        <v>0</v>
      </c>
      <c r="CX93" s="215">
        <f t="shared" si="94"/>
        <v>0</v>
      </c>
      <c r="CY93" s="215">
        <f t="shared" si="95"/>
        <v>0</v>
      </c>
      <c r="EX93" s="12" t="str">
        <f ca="1">IF($C93="","",CONCATENATE(D$90," ",$D93))</f>
        <v>Creditors: amounts falling due within one year Commercial Loans</v>
      </c>
    </row>
    <row r="94" spans="1:154" x14ac:dyDescent="0.35">
      <c r="A94" s="537" cm="1">
        <f t="array" aca="1" ref="A94" ca="1">HYPERLINK(CONCATENATE("#",CELL("address",IF(MAX($CK94:$CR94)=0,A94,INDEX($CK94:$CR94,MATCH(1,$CK94:$CR94,0))))),MAX($CK94:$CR94))</f>
        <v>0</v>
      </c>
      <c r="C94" s="213" t="str">
        <f>'BS Forecasts'!C$132</f>
        <v>B-3d-CB</v>
      </c>
      <c r="D94" s="570" t="str" cm="1">
        <f t="array" aca="1" ref="D94" ca="1">HYPERLINK(CONCATENATE("#",CELL("address",'BS Forecasts'!$D$132)),'BS Forecasts'!$D$124)</f>
        <v>Total Finance and Operating Lease (Right of use) Obligations</v>
      </c>
      <c r="V94" s="10">
        <f>'BS Forecasts'!V$132</f>
        <v>0</v>
      </c>
      <c r="W94" s="10">
        <f>'BS Forecasts'!W$132</f>
        <v>0</v>
      </c>
      <c r="X94" s="10">
        <f>'BS Forecasts'!X$132</f>
        <v>0</v>
      </c>
      <c r="Y94" s="10">
        <f>'BS Forecasts'!Y$132</f>
        <v>0</v>
      </c>
      <c r="AA94" s="10">
        <f>'BS Forecasts'!AA$132</f>
        <v>0</v>
      </c>
      <c r="AB94" s="10">
        <f>'BS Forecasts'!AB$132</f>
        <v>0</v>
      </c>
      <c r="AC94" s="10">
        <f>'BS Forecasts'!AC$132</f>
        <v>0</v>
      </c>
      <c r="AD94" s="10">
        <f>'BS Forecasts'!AD$132</f>
        <v>0</v>
      </c>
      <c r="AE94" s="10">
        <f>'BS Forecasts'!AE$132</f>
        <v>0</v>
      </c>
      <c r="AF94" s="10">
        <f>'BS Forecasts'!AF$132</f>
        <v>0</v>
      </c>
      <c r="AG94" s="10">
        <f>'BS Forecasts'!AG$132</f>
        <v>0</v>
      </c>
      <c r="AH94" s="10">
        <f>'BS Forecasts'!AH$132</f>
        <v>0</v>
      </c>
      <c r="AI94" s="10">
        <f>'BS Forecasts'!AI$132</f>
        <v>0</v>
      </c>
      <c r="AJ94" s="10">
        <f>'BS Forecasts'!AJ$132</f>
        <v>0</v>
      </c>
      <c r="AK94" s="10">
        <f>'BS Forecasts'!AK$132</f>
        <v>0</v>
      </c>
      <c r="AL94" s="10">
        <f>'BS Forecasts'!AL$132</f>
        <v>0</v>
      </c>
      <c r="AM94" s="10">
        <f>'BS Forecasts'!AM$132</f>
        <v>0</v>
      </c>
      <c r="AN94" s="10">
        <f>'BS Forecasts'!AN$132</f>
        <v>0</v>
      </c>
      <c r="AO94" s="10">
        <f>'BS Forecasts'!AO$132</f>
        <v>0</v>
      </c>
      <c r="AP94" s="10">
        <f>'BS Forecasts'!AP$132</f>
        <v>0</v>
      </c>
      <c r="AQ94" s="10">
        <f>'BS Forecasts'!AQ$132</f>
        <v>0</v>
      </c>
      <c r="AR94" s="10">
        <f>'BS Forecasts'!AR$132</f>
        <v>0</v>
      </c>
      <c r="AS94" s="10">
        <f>'BS Forecasts'!AS$132</f>
        <v>0</v>
      </c>
      <c r="AT94" s="10">
        <f>'BS Forecasts'!AT$132</f>
        <v>0</v>
      </c>
      <c r="AU94" s="10">
        <f>'BS Forecasts'!AU$132</f>
        <v>0</v>
      </c>
      <c r="AV94" s="10">
        <f>'BS Forecasts'!AV$132</f>
        <v>0</v>
      </c>
      <c r="AW94" s="10">
        <f>'BS Forecasts'!AW$132</f>
        <v>0</v>
      </c>
      <c r="AX94" s="10">
        <f>'BS Forecasts'!AX$132</f>
        <v>0</v>
      </c>
      <c r="AY94" s="10">
        <f>'BS Forecasts'!AY$132</f>
        <v>0</v>
      </c>
      <c r="AZ94" s="10">
        <f>'BS Forecasts'!AZ$132</f>
        <v>0</v>
      </c>
      <c r="BA94" s="10">
        <f>'BS Forecasts'!BA$132</f>
        <v>0</v>
      </c>
      <c r="BB94" s="10">
        <f>'BS Forecasts'!BB$132</f>
        <v>0</v>
      </c>
      <c r="BC94" s="10">
        <f>'BS Forecasts'!BC$132</f>
        <v>0</v>
      </c>
      <c r="BD94" s="10">
        <f>'BS Forecasts'!BD$132</f>
        <v>0</v>
      </c>
      <c r="BE94" s="10">
        <f>'BS Forecasts'!BE$132</f>
        <v>0</v>
      </c>
      <c r="BF94" s="10">
        <f>'BS Forecasts'!BF$132</f>
        <v>0</v>
      </c>
      <c r="BG94" s="10">
        <f>'BS Forecasts'!BG$132</f>
        <v>0</v>
      </c>
      <c r="BH94" s="10">
        <f>'BS Forecasts'!BH$132</f>
        <v>0</v>
      </c>
      <c r="BI94" s="10">
        <f>'BS Forecasts'!BI$132</f>
        <v>0</v>
      </c>
      <c r="BJ94" s="10">
        <f>'BS Forecasts'!BJ$132</f>
        <v>0</v>
      </c>
      <c r="BX94" s="10">
        <f>'BS Forecasts'!BX$132</f>
        <v>0</v>
      </c>
      <c r="BY94" s="10">
        <f>'BS Forecasts'!BY$132</f>
        <v>0</v>
      </c>
      <c r="BZ94" s="10">
        <f>'BS Forecasts'!BZ$132</f>
        <v>0</v>
      </c>
      <c r="CA94" s="10">
        <f>'BS Forecasts'!CA$132</f>
        <v>0</v>
      </c>
      <c r="CB94" s="10">
        <f>'BS Forecasts'!CB$132</f>
        <v>0</v>
      </c>
      <c r="CC94" s="10">
        <f>'BS Forecasts'!CC$132</f>
        <v>0</v>
      </c>
      <c r="CD94" s="10">
        <f>'BS Forecasts'!CD$132</f>
        <v>0</v>
      </c>
      <c r="CE94" s="10">
        <f>'BS Forecasts'!CE$132</f>
        <v>0</v>
      </c>
      <c r="CF94" s="10">
        <f>'BS Forecasts'!CF$132</f>
        <v>0</v>
      </c>
      <c r="CG94" s="10">
        <f>'BS Forecasts'!CG$132</f>
        <v>0</v>
      </c>
      <c r="CH94" s="10">
        <f>'BS Forecasts'!CH$132</f>
        <v>0</v>
      </c>
      <c r="CI94" s="10">
        <f>'BS Forecasts'!CI$132</f>
        <v>0</v>
      </c>
      <c r="CK94" s="311"/>
      <c r="CO94" s="100">
        <f t="shared" si="86"/>
        <v>0</v>
      </c>
      <c r="CP94" s="100">
        <f t="shared" si="87"/>
        <v>0</v>
      </c>
      <c r="CQ94" s="100">
        <f t="shared" si="88"/>
        <v>0</v>
      </c>
      <c r="CR94" s="311"/>
      <c r="CS94" s="215">
        <f t="shared" si="89"/>
        <v>0</v>
      </c>
      <c r="CT94" s="215">
        <f t="shared" si="90"/>
        <v>0</v>
      </c>
      <c r="CU94" s="215">
        <f t="shared" si="91"/>
        <v>0</v>
      </c>
      <c r="CV94" s="215">
        <f t="shared" si="92"/>
        <v>0</v>
      </c>
      <c r="CW94" s="215">
        <f t="shared" si="93"/>
        <v>0</v>
      </c>
      <c r="CX94" s="215">
        <f t="shared" si="94"/>
        <v>0</v>
      </c>
      <c r="CY94" s="215">
        <f t="shared" si="95"/>
        <v>0</v>
      </c>
      <c r="EX94" s="12" t="str">
        <f ca="1">IF($C94="","",CONCATENATE(D$90," ",$D94))</f>
        <v>Creditors: amounts falling due within one year Total Finance and Operating Lease (Right of use) Obligations</v>
      </c>
    </row>
    <row r="95" spans="1:154" x14ac:dyDescent="0.35">
      <c r="A95" s="537" cm="1">
        <f t="array" aca="1" ref="A95" ca="1">HYPERLINK(CONCATENATE("#",CELL("address",IF(MAX($CK95:$CR95)=0,A95,INDEX($CK95:$CR95,MATCH(1,$CK95:$CR95,0))))),MAX($CK95:$CR95))</f>
        <v>0</v>
      </c>
      <c r="C95" s="213" t="str">
        <f>'BS Forecasts'!C$138</f>
        <v>B-3e-CB</v>
      </c>
      <c r="D95" s="570" t="str" cm="1">
        <f t="array" aca="1" ref="D95" ca="1">HYPERLINK(CONCATENATE("#",CELL("address",'BS Forecasts'!$D$138)),'BS Forecasts'!$D$135)</f>
        <v>Interest Payable</v>
      </c>
      <c r="V95" s="10">
        <f>'BS Forecasts'!V$138</f>
        <v>0</v>
      </c>
      <c r="W95" s="10">
        <f>'BS Forecasts'!W$138</f>
        <v>0</v>
      </c>
      <c r="X95" s="10">
        <f>'BS Forecasts'!X$138</f>
        <v>0</v>
      </c>
      <c r="Y95" s="10">
        <f>'BS Forecasts'!Y$138</f>
        <v>0</v>
      </c>
      <c r="AA95" s="10">
        <f>'BS Forecasts'!AA$138</f>
        <v>0</v>
      </c>
      <c r="AB95" s="10">
        <f>'BS Forecasts'!AB$138</f>
        <v>0</v>
      </c>
      <c r="AC95" s="10">
        <f>'BS Forecasts'!AC$138</f>
        <v>0</v>
      </c>
      <c r="AD95" s="10">
        <f>'BS Forecasts'!AD$138</f>
        <v>0</v>
      </c>
      <c r="AE95" s="10">
        <f>'BS Forecasts'!AE$138</f>
        <v>0</v>
      </c>
      <c r="AF95" s="10">
        <f>'BS Forecasts'!AF$138</f>
        <v>0</v>
      </c>
      <c r="AG95" s="10">
        <f>'BS Forecasts'!AG$138</f>
        <v>0</v>
      </c>
      <c r="AH95" s="10">
        <f>'BS Forecasts'!AH$138</f>
        <v>0</v>
      </c>
      <c r="AI95" s="10">
        <f>'BS Forecasts'!AI$138</f>
        <v>0</v>
      </c>
      <c r="AJ95" s="10">
        <f>'BS Forecasts'!AJ$138</f>
        <v>0</v>
      </c>
      <c r="AK95" s="10">
        <f>'BS Forecasts'!AK$138</f>
        <v>0</v>
      </c>
      <c r="AL95" s="10">
        <f>'BS Forecasts'!AL$138</f>
        <v>0</v>
      </c>
      <c r="AM95" s="10">
        <f>'BS Forecasts'!AM$138</f>
        <v>0</v>
      </c>
      <c r="AN95" s="10">
        <f>'BS Forecasts'!AN$138</f>
        <v>0</v>
      </c>
      <c r="AO95" s="10">
        <f>'BS Forecasts'!AO$138</f>
        <v>0</v>
      </c>
      <c r="AP95" s="10">
        <f>'BS Forecasts'!AP$138</f>
        <v>0</v>
      </c>
      <c r="AQ95" s="10">
        <f>'BS Forecasts'!AQ$138</f>
        <v>0</v>
      </c>
      <c r="AR95" s="10">
        <f>'BS Forecasts'!AR$138</f>
        <v>0</v>
      </c>
      <c r="AS95" s="10">
        <f>'BS Forecasts'!AS$138</f>
        <v>0</v>
      </c>
      <c r="AT95" s="10">
        <f>'BS Forecasts'!AT$138</f>
        <v>0</v>
      </c>
      <c r="AU95" s="10">
        <f>'BS Forecasts'!AU$138</f>
        <v>0</v>
      </c>
      <c r="AV95" s="10">
        <f>'BS Forecasts'!AV$138</f>
        <v>0</v>
      </c>
      <c r="AW95" s="10">
        <f>'BS Forecasts'!AW$138</f>
        <v>0</v>
      </c>
      <c r="AX95" s="10">
        <f>'BS Forecasts'!AX$138</f>
        <v>0</v>
      </c>
      <c r="AY95" s="10">
        <f>'BS Forecasts'!AY$138</f>
        <v>0</v>
      </c>
      <c r="AZ95" s="10">
        <f>'BS Forecasts'!AZ$138</f>
        <v>0</v>
      </c>
      <c r="BA95" s="10">
        <f>'BS Forecasts'!BA$138</f>
        <v>0</v>
      </c>
      <c r="BB95" s="10">
        <f>'BS Forecasts'!BB$138</f>
        <v>0</v>
      </c>
      <c r="BC95" s="10">
        <f>'BS Forecasts'!BC$138</f>
        <v>0</v>
      </c>
      <c r="BD95" s="10">
        <f>'BS Forecasts'!BD$138</f>
        <v>0</v>
      </c>
      <c r="BE95" s="10">
        <f>'BS Forecasts'!BE$138</f>
        <v>0</v>
      </c>
      <c r="BF95" s="10">
        <f>'BS Forecasts'!BF$138</f>
        <v>0</v>
      </c>
      <c r="BG95" s="10">
        <f>'BS Forecasts'!BG$138</f>
        <v>0</v>
      </c>
      <c r="BH95" s="10">
        <f>'BS Forecasts'!BH$138</f>
        <v>0</v>
      </c>
      <c r="BI95" s="10">
        <f>'BS Forecasts'!BI$138</f>
        <v>0</v>
      </c>
      <c r="BJ95" s="10">
        <f>'BS Forecasts'!BJ$138</f>
        <v>0</v>
      </c>
      <c r="BX95" s="10">
        <f>'BS Forecasts'!BX$138</f>
        <v>0</v>
      </c>
      <c r="BY95" s="10">
        <f>'BS Forecasts'!BY$138</f>
        <v>0</v>
      </c>
      <c r="BZ95" s="10">
        <f>'BS Forecasts'!BZ$138</f>
        <v>0</v>
      </c>
      <c r="CA95" s="10">
        <f>'BS Forecasts'!CA$138</f>
        <v>0</v>
      </c>
      <c r="CB95" s="10">
        <f>'BS Forecasts'!CB$138</f>
        <v>0</v>
      </c>
      <c r="CC95" s="10">
        <f>'BS Forecasts'!CC$138</f>
        <v>0</v>
      </c>
      <c r="CD95" s="10">
        <f>'BS Forecasts'!CD$138</f>
        <v>0</v>
      </c>
      <c r="CE95" s="10">
        <f>'BS Forecasts'!CE$138</f>
        <v>0</v>
      </c>
      <c r="CF95" s="10">
        <f>'BS Forecasts'!CF$138</f>
        <v>0</v>
      </c>
      <c r="CG95" s="10">
        <f>'BS Forecasts'!CG$138</f>
        <v>0</v>
      </c>
      <c r="CH95" s="10">
        <f>'BS Forecasts'!CH$138</f>
        <v>0</v>
      </c>
      <c r="CI95" s="10">
        <f>'BS Forecasts'!CI$138</f>
        <v>0</v>
      </c>
      <c r="CK95" s="311"/>
      <c r="CO95" s="100">
        <f t="shared" si="86"/>
        <v>0</v>
      </c>
      <c r="CP95" s="100">
        <f t="shared" si="87"/>
        <v>0</v>
      </c>
      <c r="CQ95" s="100">
        <f t="shared" si="88"/>
        <v>0</v>
      </c>
      <c r="CR95" s="311"/>
      <c r="CS95" s="215">
        <f t="shared" si="89"/>
        <v>0</v>
      </c>
      <c r="CT95" s="215">
        <f t="shared" si="90"/>
        <v>0</v>
      </c>
      <c r="CU95" s="215">
        <f t="shared" si="91"/>
        <v>0</v>
      </c>
      <c r="CV95" s="215">
        <f t="shared" si="92"/>
        <v>0</v>
      </c>
      <c r="CW95" s="215">
        <f t="shared" si="93"/>
        <v>0</v>
      </c>
      <c r="CX95" s="215">
        <f t="shared" si="94"/>
        <v>0</v>
      </c>
      <c r="CY95" s="215">
        <f t="shared" si="95"/>
        <v>0</v>
      </c>
      <c r="EX95" s="12" t="str">
        <f ca="1">IF($C95="","",CONCATENATE(D$90," ",$D95))</f>
        <v>Creditors: amounts falling due within one year Interest Payable</v>
      </c>
    </row>
    <row r="96" spans="1:154" x14ac:dyDescent="0.35">
      <c r="A96" s="537" cm="1">
        <f t="array" aca="1" ref="A96" ca="1">HYPERLINK(CONCATENATE("#",CELL("address",IF(MAX($CK96:$CR96)=0,A96,INDEX($CK96:$CR96,MATCH(1,$CK96:$CR96,0))))),MAX($CK96:$CR96))</f>
        <v>0</v>
      </c>
      <c r="C96" s="213" t="str">
        <f>'BS Forecasts'!C$157</f>
        <v>B-3f-CB</v>
      </c>
      <c r="D96" s="570" t="str" cm="1">
        <f t="array" aca="1" ref="D96" ca="1">HYPERLINK(CONCATENATE("#",CELL("address",'BS Forecasts'!$D$157)),'BS Forecasts'!$D$141)</f>
        <v>Deferred Income - Capital Grant Liability</v>
      </c>
      <c r="V96" s="10">
        <f>'BS Forecasts'!V$157</f>
        <v>0</v>
      </c>
      <c r="W96" s="10">
        <f>'BS Forecasts'!W$157</f>
        <v>0</v>
      </c>
      <c r="X96" s="10">
        <f>'BS Forecasts'!X$157</f>
        <v>0</v>
      </c>
      <c r="Y96" s="10">
        <f>'BS Forecasts'!Y$157</f>
        <v>0</v>
      </c>
      <c r="AA96" s="10">
        <f>'BS Forecasts'!AA$157</f>
        <v>0</v>
      </c>
      <c r="AB96" s="10">
        <f>'BS Forecasts'!AB$157</f>
        <v>0</v>
      </c>
      <c r="AC96" s="10">
        <f>'BS Forecasts'!AC$157</f>
        <v>0</v>
      </c>
      <c r="AD96" s="10">
        <f>'BS Forecasts'!AD$157</f>
        <v>0</v>
      </c>
      <c r="AE96" s="10">
        <f>'BS Forecasts'!AE$157</f>
        <v>0</v>
      </c>
      <c r="AF96" s="10">
        <f>'BS Forecasts'!AF$157</f>
        <v>0</v>
      </c>
      <c r="AG96" s="10">
        <f>'BS Forecasts'!AG$157</f>
        <v>0</v>
      </c>
      <c r="AH96" s="10">
        <f>'BS Forecasts'!AH$157</f>
        <v>0</v>
      </c>
      <c r="AI96" s="10">
        <f>'BS Forecasts'!AI$157</f>
        <v>0</v>
      </c>
      <c r="AJ96" s="10">
        <f>'BS Forecasts'!AJ$157</f>
        <v>0</v>
      </c>
      <c r="AK96" s="10">
        <f>'BS Forecasts'!AK$157</f>
        <v>0</v>
      </c>
      <c r="AL96" s="10">
        <f>'BS Forecasts'!AL$157</f>
        <v>0</v>
      </c>
      <c r="AM96" s="10">
        <f>'BS Forecasts'!AM$157</f>
        <v>0</v>
      </c>
      <c r="AN96" s="10">
        <f>'BS Forecasts'!AN$157</f>
        <v>0</v>
      </c>
      <c r="AO96" s="10">
        <f>'BS Forecasts'!AO$157</f>
        <v>0</v>
      </c>
      <c r="AP96" s="10">
        <f>'BS Forecasts'!AP$157</f>
        <v>0</v>
      </c>
      <c r="AQ96" s="10">
        <f>'BS Forecasts'!AQ$157</f>
        <v>0</v>
      </c>
      <c r="AR96" s="10">
        <f>'BS Forecasts'!AR$157</f>
        <v>0</v>
      </c>
      <c r="AS96" s="10">
        <f>'BS Forecasts'!AS$157</f>
        <v>0</v>
      </c>
      <c r="AT96" s="10">
        <f>'BS Forecasts'!AT$157</f>
        <v>0</v>
      </c>
      <c r="AU96" s="10">
        <f>'BS Forecasts'!AU$157</f>
        <v>0</v>
      </c>
      <c r="AV96" s="10">
        <f>'BS Forecasts'!AV$157</f>
        <v>0</v>
      </c>
      <c r="AW96" s="10">
        <f>'BS Forecasts'!AW$157</f>
        <v>0</v>
      </c>
      <c r="AX96" s="10">
        <f>'BS Forecasts'!AX$157</f>
        <v>0</v>
      </c>
      <c r="AY96" s="10">
        <f>'BS Forecasts'!AY$157</f>
        <v>0</v>
      </c>
      <c r="AZ96" s="10">
        <f>'BS Forecasts'!AZ$157</f>
        <v>0</v>
      </c>
      <c r="BA96" s="10">
        <f>'BS Forecasts'!BA$157</f>
        <v>0</v>
      </c>
      <c r="BB96" s="10">
        <f>'BS Forecasts'!BB$157</f>
        <v>0</v>
      </c>
      <c r="BC96" s="10">
        <f>'BS Forecasts'!BC$157</f>
        <v>0</v>
      </c>
      <c r="BD96" s="10">
        <f>'BS Forecasts'!BD$157</f>
        <v>0</v>
      </c>
      <c r="BE96" s="10">
        <f>'BS Forecasts'!BE$157</f>
        <v>0</v>
      </c>
      <c r="BF96" s="10">
        <f>'BS Forecasts'!BF$157</f>
        <v>0</v>
      </c>
      <c r="BG96" s="10">
        <f>'BS Forecasts'!BG$157</f>
        <v>0</v>
      </c>
      <c r="BH96" s="10">
        <f>'BS Forecasts'!BH$157</f>
        <v>0</v>
      </c>
      <c r="BI96" s="10">
        <f>'BS Forecasts'!BI$157</f>
        <v>0</v>
      </c>
      <c r="BJ96" s="10">
        <f>'BS Forecasts'!BJ$157</f>
        <v>0</v>
      </c>
      <c r="BX96" s="10">
        <f>'BS Forecasts'!BX$157</f>
        <v>0</v>
      </c>
      <c r="BY96" s="10">
        <f>'BS Forecasts'!BY$157</f>
        <v>0</v>
      </c>
      <c r="BZ96" s="10">
        <f>'BS Forecasts'!BZ$157</f>
        <v>0</v>
      </c>
      <c r="CA96" s="10">
        <f>'BS Forecasts'!CA$157</f>
        <v>0</v>
      </c>
      <c r="CB96" s="10">
        <f>'BS Forecasts'!CB$157</f>
        <v>0</v>
      </c>
      <c r="CC96" s="10">
        <f>'BS Forecasts'!CC$157</f>
        <v>0</v>
      </c>
      <c r="CD96" s="10">
        <f>'BS Forecasts'!CD$157</f>
        <v>0</v>
      </c>
      <c r="CE96" s="10">
        <f>'BS Forecasts'!CE$157</f>
        <v>0</v>
      </c>
      <c r="CF96" s="10">
        <f>'BS Forecasts'!CF$157</f>
        <v>0</v>
      </c>
      <c r="CG96" s="10">
        <f>'BS Forecasts'!CG$157</f>
        <v>0</v>
      </c>
      <c r="CH96" s="10">
        <f>'BS Forecasts'!CH$157</f>
        <v>0</v>
      </c>
      <c r="CI96" s="10">
        <f>'BS Forecasts'!CI$157</f>
        <v>0</v>
      </c>
      <c r="CK96" s="311"/>
      <c r="CO96" s="100">
        <f t="shared" si="86"/>
        <v>0</v>
      </c>
      <c r="CP96" s="100">
        <f t="shared" si="87"/>
        <v>0</v>
      </c>
      <c r="CQ96" s="100">
        <f t="shared" si="88"/>
        <v>0</v>
      </c>
      <c r="CR96" s="311"/>
      <c r="CS96" s="215">
        <f t="shared" si="89"/>
        <v>0</v>
      </c>
      <c r="CT96" s="215">
        <f t="shared" si="90"/>
        <v>0</v>
      </c>
      <c r="CU96" s="215">
        <f t="shared" si="91"/>
        <v>0</v>
      </c>
      <c r="CV96" s="215">
        <f t="shared" si="92"/>
        <v>0</v>
      </c>
      <c r="CW96" s="215">
        <f t="shared" si="93"/>
        <v>0</v>
      </c>
      <c r="CX96" s="215">
        <f t="shared" si="94"/>
        <v>0</v>
      </c>
      <c r="CY96" s="215">
        <f t="shared" si="95"/>
        <v>0</v>
      </c>
      <c r="EX96" s="12" t="str">
        <f ca="1">IF($C96="","",CONCATENATE(D$90," ",$D96))</f>
        <v>Creditors: amounts falling due within one year Deferred Income - Capital Grant Liability</v>
      </c>
    </row>
    <row r="97" spans="1:154" x14ac:dyDescent="0.35">
      <c r="A97" s="537" cm="1">
        <f t="array" aca="1" ref="A97" ca="1">HYPERLINK(CONCATENATE("#",CELL("address",IF(MAX($CK97:$CR97)=0,A97,INDEX($CK97:$CR97,MATCH(1,$CK97:$CR97,0))))),MAX($CK97:$CR97))</f>
        <v>0</v>
      </c>
      <c r="C97" s="235" t="s">
        <v>1430</v>
      </c>
      <c r="D97" s="570" t="s">
        <v>679</v>
      </c>
      <c r="V97" s="10">
        <f>'BS Forecasts'!V$163</f>
        <v>0</v>
      </c>
      <c r="W97" s="10">
        <f>'BS Forecasts'!W$163</f>
        <v>0</v>
      </c>
      <c r="X97" s="10">
        <f>'BS Forecasts'!X$163</f>
        <v>0</v>
      </c>
      <c r="Y97" s="10">
        <f>'BS Forecasts'!Y$163</f>
        <v>0</v>
      </c>
      <c r="AA97" s="10">
        <f>'BS Forecasts'!AA$163</f>
        <v>0</v>
      </c>
      <c r="AB97" s="10">
        <f>'BS Forecasts'!AB$163</f>
        <v>0</v>
      </c>
      <c r="AC97" s="10">
        <f>'BS Forecasts'!AC$163</f>
        <v>0</v>
      </c>
      <c r="AD97" s="10">
        <f>'BS Forecasts'!AD$163</f>
        <v>0</v>
      </c>
      <c r="AE97" s="10">
        <f>'BS Forecasts'!AE$163</f>
        <v>0</v>
      </c>
      <c r="AF97" s="10">
        <f>'BS Forecasts'!AF$163</f>
        <v>0</v>
      </c>
      <c r="AG97" s="10">
        <f>'BS Forecasts'!AG$163</f>
        <v>0</v>
      </c>
      <c r="AH97" s="10">
        <f>'BS Forecasts'!AH$163</f>
        <v>0</v>
      </c>
      <c r="AI97" s="10">
        <f>'BS Forecasts'!AI$163</f>
        <v>0</v>
      </c>
      <c r="AJ97" s="10">
        <f>'BS Forecasts'!AJ$163</f>
        <v>0</v>
      </c>
      <c r="AK97" s="10">
        <f>'BS Forecasts'!AK$163</f>
        <v>0</v>
      </c>
      <c r="AL97" s="10">
        <f>'BS Forecasts'!AL$163</f>
        <v>0</v>
      </c>
      <c r="AM97" s="10">
        <f>'BS Forecasts'!AM$163</f>
        <v>0</v>
      </c>
      <c r="AN97" s="10">
        <f>'BS Forecasts'!AN$163</f>
        <v>0</v>
      </c>
      <c r="AO97" s="10">
        <f>'BS Forecasts'!AO$163</f>
        <v>0</v>
      </c>
      <c r="AP97" s="10">
        <f>'BS Forecasts'!AP$163</f>
        <v>0</v>
      </c>
      <c r="AQ97" s="10">
        <f>'BS Forecasts'!AQ$163</f>
        <v>0</v>
      </c>
      <c r="AR97" s="10">
        <f>'BS Forecasts'!AR$163</f>
        <v>0</v>
      </c>
      <c r="AS97" s="10">
        <f>'BS Forecasts'!AS$163</f>
        <v>0</v>
      </c>
      <c r="AT97" s="10">
        <f>'BS Forecasts'!AT$163</f>
        <v>0</v>
      </c>
      <c r="AU97" s="10">
        <f>'BS Forecasts'!AU$163</f>
        <v>0</v>
      </c>
      <c r="AV97" s="10">
        <f>'BS Forecasts'!AV$163</f>
        <v>0</v>
      </c>
      <c r="AW97" s="10">
        <f>'BS Forecasts'!AW$163</f>
        <v>0</v>
      </c>
      <c r="AX97" s="10">
        <f>'BS Forecasts'!AX$163</f>
        <v>0</v>
      </c>
      <c r="AY97" s="10">
        <f>'BS Forecasts'!AY$163</f>
        <v>0</v>
      </c>
      <c r="AZ97" s="10">
        <f>'BS Forecasts'!AZ$163</f>
        <v>0</v>
      </c>
      <c r="BA97" s="10">
        <f>'BS Forecasts'!BA$163</f>
        <v>0</v>
      </c>
      <c r="BB97" s="10">
        <f>'BS Forecasts'!BB$163</f>
        <v>0</v>
      </c>
      <c r="BC97" s="10">
        <f>'BS Forecasts'!BC$163</f>
        <v>0</v>
      </c>
      <c r="BD97" s="10">
        <f>'BS Forecasts'!BD$163</f>
        <v>0</v>
      </c>
      <c r="BE97" s="10">
        <f>'BS Forecasts'!BE$163</f>
        <v>0</v>
      </c>
      <c r="BF97" s="10">
        <f>'BS Forecasts'!BF$163</f>
        <v>0</v>
      </c>
      <c r="BG97" s="10">
        <f>'BS Forecasts'!BG$163</f>
        <v>0</v>
      </c>
      <c r="BH97" s="10">
        <f>'BS Forecasts'!BH$163</f>
        <v>0</v>
      </c>
      <c r="BI97" s="10">
        <f>'BS Forecasts'!BI$163</f>
        <v>0</v>
      </c>
      <c r="BJ97" s="10">
        <f>'BS Forecasts'!BJ$163</f>
        <v>0</v>
      </c>
      <c r="BX97" s="10">
        <f>'BS Forecasts'!BX$163</f>
        <v>0</v>
      </c>
      <c r="BY97" s="10">
        <f>'BS Forecasts'!BY$163</f>
        <v>0</v>
      </c>
      <c r="BZ97" s="10">
        <f>'BS Forecasts'!BZ$163</f>
        <v>0</v>
      </c>
      <c r="CA97" s="10">
        <f>'BS Forecasts'!CA$163</f>
        <v>0</v>
      </c>
      <c r="CB97" s="10">
        <f>'BS Forecasts'!CB$163</f>
        <v>0</v>
      </c>
      <c r="CC97" s="10">
        <f>'BS Forecasts'!CC$163</f>
        <v>0</v>
      </c>
      <c r="CD97" s="10">
        <f>'BS Forecasts'!CD$163</f>
        <v>0</v>
      </c>
      <c r="CE97" s="10">
        <f>'BS Forecasts'!CE$163</f>
        <v>0</v>
      </c>
      <c r="CF97" s="10">
        <f>'BS Forecasts'!CF$163</f>
        <v>0</v>
      </c>
      <c r="CG97" s="10">
        <f>'BS Forecasts'!CG$163</f>
        <v>0</v>
      </c>
      <c r="CH97" s="10">
        <f>'BS Forecasts'!CH$163</f>
        <v>0</v>
      </c>
      <c r="CI97" s="10">
        <f>'BS Forecasts'!CI$163</f>
        <v>0</v>
      </c>
      <c r="CK97" s="311"/>
      <c r="CO97" s="100">
        <f t="shared" si="86"/>
        <v>0</v>
      </c>
      <c r="CP97" s="100">
        <f t="shared" si="87"/>
        <v>0</v>
      </c>
      <c r="CQ97" s="100">
        <f t="shared" ref="CQ97" si="96">IF(CY97=0, 0, 1)</f>
        <v>0</v>
      </c>
      <c r="CR97" s="311"/>
      <c r="CS97" s="215">
        <f t="shared" ref="CS97" si="97">ROUND(W97-INDEX($AA97:$BJ97, MATCH(W$5, $AA$5:$BJ$5,0)), rounding)</f>
        <v>0</v>
      </c>
      <c r="CT97" s="215">
        <f t="shared" ref="CT97" si="98">ROUND(X97-INDEX($AA97:$BJ97, MATCH(X$5, $AA$5:$BJ$5,0)), rounding)</f>
        <v>0</v>
      </c>
      <c r="CU97" s="215">
        <f t="shared" ref="CU97" si="99">ROUND(Y97-INDEX($AA97:$BJ97, MATCH(Y$5, $AA$5:$BJ$5,0)), rounding)</f>
        <v>0</v>
      </c>
      <c r="CV97" s="215">
        <f t="shared" ref="CV97" si="100">ROUND(W97-BY97, rounding)</f>
        <v>0</v>
      </c>
      <c r="CW97" s="215">
        <f t="shared" ref="CW97" si="101">ROUND(X97-BZ97, rounding)</f>
        <v>0</v>
      </c>
      <c r="CX97" s="215">
        <f t="shared" ref="CX97" si="102">ROUND(Y97-CA97, rounding)</f>
        <v>0</v>
      </c>
      <c r="CY97" s="215">
        <f t="shared" ref="CY97" si="103">ROUND(V97-BX97, rounding)</f>
        <v>0</v>
      </c>
      <c r="EX97" s="12"/>
    </row>
    <row r="98" spans="1:154" x14ac:dyDescent="0.35">
      <c r="A98" s="537" cm="1">
        <f t="array" aca="1" ref="A98" ca="1">HYPERLINK(CONCATENATE("#",CELL("address",IF(MAX($CK98:$CR98)=0,A98,INDEX($CK98:$CR98,MATCH(1,$CK98:$CR98,0))))),MAX($CK98:$CR98))</f>
        <v>0</v>
      </c>
      <c r="C98" s="213" t="str">
        <f>'BS Forecasts'!C$167</f>
        <v>B-3g-CB</v>
      </c>
      <c r="D98" s="570" t="str" cm="1">
        <f t="array" aca="1" ref="D98" ca="1">HYPERLINK(CONCATENATE("#",CELL("address",'BS Forecasts'!$D$167)),'BS Forecasts'!$D$166)</f>
        <v>Trade Payables</v>
      </c>
      <c r="V98" s="10">
        <f>'BS Forecasts'!V$167</f>
        <v>0</v>
      </c>
      <c r="W98" s="10">
        <f>'BS Forecasts'!W$167</f>
        <v>0</v>
      </c>
      <c r="X98" s="10">
        <f>'BS Forecasts'!X$167</f>
        <v>0</v>
      </c>
      <c r="Y98" s="10">
        <f>'BS Forecasts'!Y$167</f>
        <v>0</v>
      </c>
      <c r="AA98" s="10">
        <f>'BS Forecasts'!AA$167</f>
        <v>0</v>
      </c>
      <c r="AB98" s="10">
        <f>'BS Forecasts'!AB$167</f>
        <v>0</v>
      </c>
      <c r="AC98" s="10">
        <f>'BS Forecasts'!AC$167</f>
        <v>0</v>
      </c>
      <c r="AD98" s="10">
        <f>'BS Forecasts'!AD$167</f>
        <v>0</v>
      </c>
      <c r="AE98" s="10">
        <f>'BS Forecasts'!AE$167</f>
        <v>0</v>
      </c>
      <c r="AF98" s="10">
        <f>'BS Forecasts'!AF$167</f>
        <v>0</v>
      </c>
      <c r="AG98" s="10">
        <f>'BS Forecasts'!AG$167</f>
        <v>0</v>
      </c>
      <c r="AH98" s="10">
        <f>'BS Forecasts'!AH$167</f>
        <v>0</v>
      </c>
      <c r="AI98" s="10">
        <f>'BS Forecasts'!AI$167</f>
        <v>0</v>
      </c>
      <c r="AJ98" s="10">
        <f>'BS Forecasts'!AJ$167</f>
        <v>0</v>
      </c>
      <c r="AK98" s="10">
        <f>'BS Forecasts'!AK$167</f>
        <v>0</v>
      </c>
      <c r="AL98" s="10">
        <f>'BS Forecasts'!AL$167</f>
        <v>0</v>
      </c>
      <c r="AM98" s="10">
        <f>'BS Forecasts'!AM$167</f>
        <v>0</v>
      </c>
      <c r="AN98" s="10">
        <f>'BS Forecasts'!AN$167</f>
        <v>0</v>
      </c>
      <c r="AO98" s="10">
        <f>'BS Forecasts'!AO$167</f>
        <v>0</v>
      </c>
      <c r="AP98" s="10">
        <f>'BS Forecasts'!AP$167</f>
        <v>0</v>
      </c>
      <c r="AQ98" s="10">
        <f>'BS Forecasts'!AQ$167</f>
        <v>0</v>
      </c>
      <c r="AR98" s="10">
        <f>'BS Forecasts'!AR$167</f>
        <v>0</v>
      </c>
      <c r="AS98" s="10">
        <f>'BS Forecasts'!AS$167</f>
        <v>0</v>
      </c>
      <c r="AT98" s="10">
        <f>'BS Forecasts'!AT$167</f>
        <v>0</v>
      </c>
      <c r="AU98" s="10">
        <f>'BS Forecasts'!AU$167</f>
        <v>0</v>
      </c>
      <c r="AV98" s="10">
        <f>'BS Forecasts'!AV$167</f>
        <v>0</v>
      </c>
      <c r="AW98" s="10">
        <f>'BS Forecasts'!AW$167</f>
        <v>0</v>
      </c>
      <c r="AX98" s="10">
        <f>'BS Forecasts'!AX$167</f>
        <v>0</v>
      </c>
      <c r="AY98" s="10">
        <f>'BS Forecasts'!AY$167</f>
        <v>0</v>
      </c>
      <c r="AZ98" s="10">
        <f>'BS Forecasts'!AZ$167</f>
        <v>0</v>
      </c>
      <c r="BA98" s="10">
        <f>'BS Forecasts'!BA$167</f>
        <v>0</v>
      </c>
      <c r="BB98" s="10">
        <f>'BS Forecasts'!BB$167</f>
        <v>0</v>
      </c>
      <c r="BC98" s="10">
        <f>'BS Forecasts'!BC$167</f>
        <v>0</v>
      </c>
      <c r="BD98" s="10">
        <f>'BS Forecasts'!BD$167</f>
        <v>0</v>
      </c>
      <c r="BE98" s="10">
        <f>'BS Forecasts'!BE$167</f>
        <v>0</v>
      </c>
      <c r="BF98" s="10">
        <f>'BS Forecasts'!BF$167</f>
        <v>0</v>
      </c>
      <c r="BG98" s="10">
        <f>'BS Forecasts'!BG$167</f>
        <v>0</v>
      </c>
      <c r="BH98" s="10">
        <f>'BS Forecasts'!BH$167</f>
        <v>0</v>
      </c>
      <c r="BI98" s="10">
        <f>'BS Forecasts'!BI$167</f>
        <v>0</v>
      </c>
      <c r="BJ98" s="10">
        <f>'BS Forecasts'!BJ$167</f>
        <v>0</v>
      </c>
      <c r="BX98" s="10">
        <f>'BS Forecasts'!BX$167</f>
        <v>0</v>
      </c>
      <c r="BY98" s="10">
        <f>'BS Forecasts'!BY$167</f>
        <v>0</v>
      </c>
      <c r="BZ98" s="10">
        <f>'BS Forecasts'!BZ$167</f>
        <v>0</v>
      </c>
      <c r="CA98" s="10">
        <f>'BS Forecasts'!CA$167</f>
        <v>0</v>
      </c>
      <c r="CB98" s="10">
        <f>'BS Forecasts'!CB$167</f>
        <v>0</v>
      </c>
      <c r="CC98" s="10">
        <f>'BS Forecasts'!CC$167</f>
        <v>0</v>
      </c>
      <c r="CD98" s="10">
        <f>'BS Forecasts'!CD$167</f>
        <v>0</v>
      </c>
      <c r="CE98" s="10">
        <f>'BS Forecasts'!CE$167</f>
        <v>0</v>
      </c>
      <c r="CF98" s="10">
        <f>'BS Forecasts'!CF$167</f>
        <v>0</v>
      </c>
      <c r="CG98" s="10">
        <f>'BS Forecasts'!CG$167</f>
        <v>0</v>
      </c>
      <c r="CH98" s="10">
        <f>'BS Forecasts'!CH$167</f>
        <v>0</v>
      </c>
      <c r="CI98" s="10">
        <f>'BS Forecasts'!CI$167</f>
        <v>0</v>
      </c>
      <c r="CK98" s="311"/>
      <c r="CO98" s="100">
        <f t="shared" si="86"/>
        <v>0</v>
      </c>
      <c r="CP98" s="100">
        <f t="shared" si="87"/>
        <v>0</v>
      </c>
      <c r="CQ98" s="100">
        <f t="shared" si="88"/>
        <v>0</v>
      </c>
      <c r="CR98" s="311"/>
      <c r="CS98" s="215">
        <f t="shared" si="89"/>
        <v>0</v>
      </c>
      <c r="CT98" s="215">
        <f t="shared" si="90"/>
        <v>0</v>
      </c>
      <c r="CU98" s="215">
        <f t="shared" si="91"/>
        <v>0</v>
      </c>
      <c r="CV98" s="215">
        <f t="shared" si="92"/>
        <v>0</v>
      </c>
      <c r="CW98" s="215">
        <f t="shared" si="93"/>
        <v>0</v>
      </c>
      <c r="CX98" s="215">
        <f t="shared" si="94"/>
        <v>0</v>
      </c>
      <c r="CY98" s="215">
        <f t="shared" si="95"/>
        <v>0</v>
      </c>
      <c r="EX98" s="10" t="str">
        <f ca="1">IF($C98="","",$D98)</f>
        <v>Trade Payables</v>
      </c>
    </row>
    <row r="99" spans="1:154" x14ac:dyDescent="0.35">
      <c r="A99" s="537" cm="1">
        <f t="array" aca="1" ref="A99" ca="1">HYPERLINK(CONCATENATE("#",CELL("address",IF(MAX($CK99:$CR99)=0,A99,INDEX($CK99:$CR99,MATCH(1,$CK99:$CR99,0))))),MAX($CK99:$CR99))</f>
        <v>0</v>
      </c>
      <c r="C99" s="213" t="str">
        <f>'BS Forecasts'!C$170</f>
        <v>B-3h-CB</v>
      </c>
      <c r="D99" s="570" t="str" cm="1">
        <f t="array" aca="1" ref="D99" ca="1">HYPERLINK(CONCATENATE("#",CELL("address",'BS Forecasts'!$D$170)),'BS Forecasts'!$D$169)</f>
        <v>Other Payments on Account</v>
      </c>
      <c r="V99" s="10">
        <f>'BS Forecasts'!V$170</f>
        <v>0</v>
      </c>
      <c r="W99" s="10">
        <f>'BS Forecasts'!W$170</f>
        <v>0</v>
      </c>
      <c r="X99" s="10">
        <f>'BS Forecasts'!X$170</f>
        <v>0</v>
      </c>
      <c r="Y99" s="10">
        <f>'BS Forecasts'!Y$170</f>
        <v>0</v>
      </c>
      <c r="AA99" s="10">
        <f>'BS Forecasts'!AA$170</f>
        <v>0</v>
      </c>
      <c r="AB99" s="10">
        <f>'BS Forecasts'!AB$170</f>
        <v>0</v>
      </c>
      <c r="AC99" s="10">
        <f>'BS Forecasts'!AC$170</f>
        <v>0</v>
      </c>
      <c r="AD99" s="10">
        <f>'BS Forecasts'!AD$170</f>
        <v>0</v>
      </c>
      <c r="AE99" s="10">
        <f>'BS Forecasts'!AE$170</f>
        <v>0</v>
      </c>
      <c r="AF99" s="10">
        <f>'BS Forecasts'!AF$170</f>
        <v>0</v>
      </c>
      <c r="AG99" s="10">
        <f>'BS Forecasts'!AG$170</f>
        <v>0</v>
      </c>
      <c r="AH99" s="10">
        <f>'BS Forecasts'!AH$170</f>
        <v>0</v>
      </c>
      <c r="AI99" s="10">
        <f>'BS Forecasts'!AI$170</f>
        <v>0</v>
      </c>
      <c r="AJ99" s="10">
        <f>'BS Forecasts'!AJ$170</f>
        <v>0</v>
      </c>
      <c r="AK99" s="10">
        <f>'BS Forecasts'!AK$170</f>
        <v>0</v>
      </c>
      <c r="AL99" s="10">
        <f>'BS Forecasts'!AL$170</f>
        <v>0</v>
      </c>
      <c r="AM99" s="10">
        <f>'BS Forecasts'!AM$170</f>
        <v>0</v>
      </c>
      <c r="AN99" s="10">
        <f>'BS Forecasts'!AN$170</f>
        <v>0</v>
      </c>
      <c r="AO99" s="10">
        <f>'BS Forecasts'!AO$170</f>
        <v>0</v>
      </c>
      <c r="AP99" s="10">
        <f>'BS Forecasts'!AP$170</f>
        <v>0</v>
      </c>
      <c r="AQ99" s="10">
        <f>'BS Forecasts'!AQ$170</f>
        <v>0</v>
      </c>
      <c r="AR99" s="10">
        <f>'BS Forecasts'!AR$170</f>
        <v>0</v>
      </c>
      <c r="AS99" s="10">
        <f>'BS Forecasts'!AS$170</f>
        <v>0</v>
      </c>
      <c r="AT99" s="10">
        <f>'BS Forecasts'!AT$170</f>
        <v>0</v>
      </c>
      <c r="AU99" s="10">
        <f>'BS Forecasts'!AU$170</f>
        <v>0</v>
      </c>
      <c r="AV99" s="10">
        <f>'BS Forecasts'!AV$170</f>
        <v>0</v>
      </c>
      <c r="AW99" s="10">
        <f>'BS Forecasts'!AW$170</f>
        <v>0</v>
      </c>
      <c r="AX99" s="10">
        <f>'BS Forecasts'!AX$170</f>
        <v>0</v>
      </c>
      <c r="AY99" s="10">
        <f>'BS Forecasts'!AY$170</f>
        <v>0</v>
      </c>
      <c r="AZ99" s="10">
        <f>'BS Forecasts'!AZ$170</f>
        <v>0</v>
      </c>
      <c r="BA99" s="10">
        <f>'BS Forecasts'!BA$170</f>
        <v>0</v>
      </c>
      <c r="BB99" s="10">
        <f>'BS Forecasts'!BB$170</f>
        <v>0</v>
      </c>
      <c r="BC99" s="10">
        <f>'BS Forecasts'!BC$170</f>
        <v>0</v>
      </c>
      <c r="BD99" s="10">
        <f>'BS Forecasts'!BD$170</f>
        <v>0</v>
      </c>
      <c r="BE99" s="10">
        <f>'BS Forecasts'!BE$170</f>
        <v>0</v>
      </c>
      <c r="BF99" s="10">
        <f>'BS Forecasts'!BF$170</f>
        <v>0</v>
      </c>
      <c r="BG99" s="10">
        <f>'BS Forecasts'!BG$170</f>
        <v>0</v>
      </c>
      <c r="BH99" s="10">
        <f>'BS Forecasts'!BH$170</f>
        <v>0</v>
      </c>
      <c r="BI99" s="10">
        <f>'BS Forecasts'!BI$170</f>
        <v>0</v>
      </c>
      <c r="BJ99" s="10">
        <f>'BS Forecasts'!BJ$170</f>
        <v>0</v>
      </c>
      <c r="BX99" s="10">
        <f>'BS Forecasts'!BX$170</f>
        <v>0</v>
      </c>
      <c r="BY99" s="10">
        <f>'BS Forecasts'!BY$170</f>
        <v>0</v>
      </c>
      <c r="BZ99" s="10">
        <f>'BS Forecasts'!BZ$170</f>
        <v>0</v>
      </c>
      <c r="CA99" s="10">
        <f>'BS Forecasts'!CA$170</f>
        <v>0</v>
      </c>
      <c r="CB99" s="10">
        <f>'BS Forecasts'!CB$170</f>
        <v>0</v>
      </c>
      <c r="CC99" s="10">
        <f>'BS Forecasts'!CC$170</f>
        <v>0</v>
      </c>
      <c r="CD99" s="10">
        <f>'BS Forecasts'!CD$170</f>
        <v>0</v>
      </c>
      <c r="CE99" s="10">
        <f>'BS Forecasts'!CE$170</f>
        <v>0</v>
      </c>
      <c r="CF99" s="10">
        <f>'BS Forecasts'!CF$170</f>
        <v>0</v>
      </c>
      <c r="CG99" s="10">
        <f>'BS Forecasts'!CG$170</f>
        <v>0</v>
      </c>
      <c r="CH99" s="10">
        <f>'BS Forecasts'!CH$170</f>
        <v>0</v>
      </c>
      <c r="CI99" s="10">
        <f>'BS Forecasts'!CI$170</f>
        <v>0</v>
      </c>
      <c r="CK99" s="311"/>
      <c r="CO99" s="100">
        <f t="shared" si="86"/>
        <v>0</v>
      </c>
      <c r="CP99" s="100">
        <f t="shared" si="87"/>
        <v>0</v>
      </c>
      <c r="CQ99" s="100">
        <f t="shared" si="88"/>
        <v>0</v>
      </c>
      <c r="CR99" s="311"/>
      <c r="CS99" s="215">
        <f t="shared" si="89"/>
        <v>0</v>
      </c>
      <c r="CT99" s="215">
        <f t="shared" si="90"/>
        <v>0</v>
      </c>
      <c r="CU99" s="215">
        <f t="shared" si="91"/>
        <v>0</v>
      </c>
      <c r="CV99" s="215">
        <f t="shared" si="92"/>
        <v>0</v>
      </c>
      <c r="CW99" s="215">
        <f t="shared" si="93"/>
        <v>0</v>
      </c>
      <c r="CX99" s="215">
        <f t="shared" si="94"/>
        <v>0</v>
      </c>
      <c r="CY99" s="215">
        <f t="shared" si="95"/>
        <v>0</v>
      </c>
      <c r="EX99" s="10" t="str">
        <f ca="1">IF($C99="","",$D99)</f>
        <v>Other Payments on Account</v>
      </c>
    </row>
    <row r="100" spans="1:154" x14ac:dyDescent="0.35">
      <c r="A100" s="537" cm="1">
        <f t="array" aca="1" ref="A100" ca="1">HYPERLINK(CONCATENATE("#",CELL("address",IF(MAX($CK100:$CR100)=0,A100,INDEX($CK100:$CR100,MATCH(1,$CK100:$CR100,0))))),MAX($CK100:$CR100))</f>
        <v>0</v>
      </c>
      <c r="C100" s="213" t="str">
        <f>'BS Forecasts'!C$175</f>
        <v>B-3i-CB</v>
      </c>
      <c r="D100" s="570" t="str" cm="1">
        <f t="array" aca="1" ref="D100" ca="1">HYPERLINK(CONCATENATE("#",CELL("address",'BS Forecasts'!$D$175)),'BS Forecasts'!$D$172)</f>
        <v>Other Liabilities</v>
      </c>
      <c r="V100" s="10">
        <f>'BS Forecasts'!V$175</f>
        <v>0</v>
      </c>
      <c r="W100" s="10">
        <f>'BS Forecasts'!W$175</f>
        <v>0</v>
      </c>
      <c r="X100" s="10">
        <f>'BS Forecasts'!X$175</f>
        <v>0</v>
      </c>
      <c r="Y100" s="10">
        <f>'BS Forecasts'!Y$175</f>
        <v>0</v>
      </c>
      <c r="AA100" s="10">
        <f>'BS Forecasts'!AA$175</f>
        <v>0</v>
      </c>
      <c r="AB100" s="10">
        <f>'BS Forecasts'!AB$175</f>
        <v>0</v>
      </c>
      <c r="AC100" s="10">
        <f>'BS Forecasts'!AC$175</f>
        <v>0</v>
      </c>
      <c r="AD100" s="10">
        <f>'BS Forecasts'!AD$175</f>
        <v>0</v>
      </c>
      <c r="AE100" s="10">
        <f>'BS Forecasts'!AE$175</f>
        <v>0</v>
      </c>
      <c r="AF100" s="10">
        <f>'BS Forecasts'!AF$175</f>
        <v>0</v>
      </c>
      <c r="AG100" s="10">
        <f>'BS Forecasts'!AG$175</f>
        <v>0</v>
      </c>
      <c r="AH100" s="10">
        <f>'BS Forecasts'!AH$175</f>
        <v>0</v>
      </c>
      <c r="AI100" s="10">
        <f>'BS Forecasts'!AI$175</f>
        <v>0</v>
      </c>
      <c r="AJ100" s="10">
        <f>'BS Forecasts'!AJ$175</f>
        <v>0</v>
      </c>
      <c r="AK100" s="10">
        <f>'BS Forecasts'!AK$175</f>
        <v>0</v>
      </c>
      <c r="AL100" s="10">
        <f>'BS Forecasts'!AL$175</f>
        <v>0</v>
      </c>
      <c r="AM100" s="10">
        <f>'BS Forecasts'!AM$175</f>
        <v>0</v>
      </c>
      <c r="AN100" s="10">
        <f>'BS Forecasts'!AN$175</f>
        <v>0</v>
      </c>
      <c r="AO100" s="10">
        <f>'BS Forecasts'!AO$175</f>
        <v>0</v>
      </c>
      <c r="AP100" s="10">
        <f>'BS Forecasts'!AP$175</f>
        <v>0</v>
      </c>
      <c r="AQ100" s="10">
        <f>'BS Forecasts'!AQ$175</f>
        <v>0</v>
      </c>
      <c r="AR100" s="10">
        <f>'BS Forecasts'!AR$175</f>
        <v>0</v>
      </c>
      <c r="AS100" s="10">
        <f>'BS Forecasts'!AS$175</f>
        <v>0</v>
      </c>
      <c r="AT100" s="10">
        <f>'BS Forecasts'!AT$175</f>
        <v>0</v>
      </c>
      <c r="AU100" s="10">
        <f>'BS Forecasts'!AU$175</f>
        <v>0</v>
      </c>
      <c r="AV100" s="10">
        <f>'BS Forecasts'!AV$175</f>
        <v>0</v>
      </c>
      <c r="AW100" s="10">
        <f>'BS Forecasts'!AW$175</f>
        <v>0</v>
      </c>
      <c r="AX100" s="10">
        <f>'BS Forecasts'!AX$175</f>
        <v>0</v>
      </c>
      <c r="AY100" s="10">
        <f>'BS Forecasts'!AY$175</f>
        <v>0</v>
      </c>
      <c r="AZ100" s="10">
        <f>'BS Forecasts'!AZ$175</f>
        <v>0</v>
      </c>
      <c r="BA100" s="10">
        <f>'BS Forecasts'!BA$175</f>
        <v>0</v>
      </c>
      <c r="BB100" s="10">
        <f>'BS Forecasts'!BB$175</f>
        <v>0</v>
      </c>
      <c r="BC100" s="10">
        <f>'BS Forecasts'!BC$175</f>
        <v>0</v>
      </c>
      <c r="BD100" s="10">
        <f>'BS Forecasts'!BD$175</f>
        <v>0</v>
      </c>
      <c r="BE100" s="10">
        <f>'BS Forecasts'!BE$175</f>
        <v>0</v>
      </c>
      <c r="BF100" s="10">
        <f>'BS Forecasts'!BF$175</f>
        <v>0</v>
      </c>
      <c r="BG100" s="10">
        <f>'BS Forecasts'!BG$175</f>
        <v>0</v>
      </c>
      <c r="BH100" s="10">
        <f>'BS Forecasts'!BH$175</f>
        <v>0</v>
      </c>
      <c r="BI100" s="10">
        <f>'BS Forecasts'!BI$175</f>
        <v>0</v>
      </c>
      <c r="BJ100" s="10">
        <f>'BS Forecasts'!BJ$175</f>
        <v>0</v>
      </c>
      <c r="BX100" s="10">
        <f>'BS Forecasts'!BX$175</f>
        <v>0</v>
      </c>
      <c r="BY100" s="10">
        <f>'BS Forecasts'!BY$175</f>
        <v>0</v>
      </c>
      <c r="BZ100" s="10">
        <f>'BS Forecasts'!BZ$175</f>
        <v>0</v>
      </c>
      <c r="CA100" s="10">
        <f>'BS Forecasts'!CA$175</f>
        <v>0</v>
      </c>
      <c r="CB100" s="10">
        <f>'BS Forecasts'!CB$175</f>
        <v>0</v>
      </c>
      <c r="CC100" s="10">
        <f>'BS Forecasts'!CC$175</f>
        <v>0</v>
      </c>
      <c r="CD100" s="10">
        <f>'BS Forecasts'!CD$175</f>
        <v>0</v>
      </c>
      <c r="CE100" s="10">
        <f>'BS Forecasts'!CE$175</f>
        <v>0</v>
      </c>
      <c r="CF100" s="10">
        <f>'BS Forecasts'!CF$175</f>
        <v>0</v>
      </c>
      <c r="CG100" s="10">
        <f>'BS Forecasts'!CG$175</f>
        <v>0</v>
      </c>
      <c r="CH100" s="10">
        <f>'BS Forecasts'!CH$175</f>
        <v>0</v>
      </c>
      <c r="CI100" s="10">
        <f>'BS Forecasts'!CI$175</f>
        <v>0</v>
      </c>
      <c r="CK100" s="311"/>
      <c r="CO100" s="100">
        <f t="shared" si="86"/>
        <v>0</v>
      </c>
      <c r="CP100" s="100">
        <f t="shared" si="87"/>
        <v>0</v>
      </c>
      <c r="CQ100" s="100">
        <f t="shared" si="88"/>
        <v>0</v>
      </c>
      <c r="CR100" s="311"/>
      <c r="CS100" s="215">
        <f t="shared" si="89"/>
        <v>0</v>
      </c>
      <c r="CT100" s="215">
        <f t="shared" si="90"/>
        <v>0</v>
      </c>
      <c r="CU100" s="215">
        <f t="shared" si="91"/>
        <v>0</v>
      </c>
      <c r="CV100" s="215">
        <f t="shared" si="92"/>
        <v>0</v>
      </c>
      <c r="CW100" s="215">
        <f t="shared" si="93"/>
        <v>0</v>
      </c>
      <c r="CX100" s="215">
        <f t="shared" si="94"/>
        <v>0</v>
      </c>
      <c r="CY100" s="215">
        <f t="shared" si="95"/>
        <v>0</v>
      </c>
      <c r="EX100" s="12" t="str">
        <f ca="1">IF($C100="","",CONCATENATE(D$90," ",$D100))</f>
        <v>Creditors: amounts falling due within one year Other Liabilities</v>
      </c>
    </row>
    <row r="101" spans="1:154" x14ac:dyDescent="0.35">
      <c r="A101" s="537" cm="1">
        <f t="array" aca="1" ref="A101" ca="1">HYPERLINK(CONCATENATE("#",CELL("address",IF(MAX($CK101:$CR101)=0,A101,INDEX($CK101:$CR101,MATCH(1,$CK101:$CR101,0))))),MAX($CK101:$CR101))</f>
        <v>0</v>
      </c>
      <c r="C101" s="213" t="str">
        <f>'BS Forecasts'!C$179</f>
        <v>B-3j-CB</v>
      </c>
      <c r="D101" s="570" t="str" cm="1">
        <f t="array" aca="1" ref="D101" ca="1">HYPERLINK(CONCATENATE("#",CELL("address",'BS Forecasts'!$D$179)),'BS Forecasts'!$D$178)</f>
        <v>Fixed Assets Retentions</v>
      </c>
      <c r="V101" s="10">
        <f>'BS Forecasts'!V$179</f>
        <v>0</v>
      </c>
      <c r="W101" s="10">
        <f>'BS Forecasts'!W$179</f>
        <v>0</v>
      </c>
      <c r="X101" s="10">
        <f>'BS Forecasts'!X$179</f>
        <v>0</v>
      </c>
      <c r="Y101" s="10">
        <f>'BS Forecasts'!Y$179</f>
        <v>0</v>
      </c>
      <c r="AA101" s="10">
        <f>'BS Forecasts'!AA$179</f>
        <v>0</v>
      </c>
      <c r="AB101" s="10">
        <f>'BS Forecasts'!AB$179</f>
        <v>0</v>
      </c>
      <c r="AC101" s="10">
        <f>'BS Forecasts'!AC$179</f>
        <v>0</v>
      </c>
      <c r="AD101" s="10">
        <f>'BS Forecasts'!AD$179</f>
        <v>0</v>
      </c>
      <c r="AE101" s="10">
        <f>'BS Forecasts'!AE$179</f>
        <v>0</v>
      </c>
      <c r="AF101" s="10">
        <f>'BS Forecasts'!AF$179</f>
        <v>0</v>
      </c>
      <c r="AG101" s="10">
        <f>'BS Forecasts'!AG$179</f>
        <v>0</v>
      </c>
      <c r="AH101" s="10">
        <f>'BS Forecasts'!AH$179</f>
        <v>0</v>
      </c>
      <c r="AI101" s="10">
        <f>'BS Forecasts'!AI$179</f>
        <v>0</v>
      </c>
      <c r="AJ101" s="10">
        <f>'BS Forecasts'!AJ$179</f>
        <v>0</v>
      </c>
      <c r="AK101" s="10">
        <f>'BS Forecasts'!AK$179</f>
        <v>0</v>
      </c>
      <c r="AL101" s="10">
        <f>'BS Forecasts'!AL$179</f>
        <v>0</v>
      </c>
      <c r="AM101" s="10">
        <f>'BS Forecasts'!AM$179</f>
        <v>0</v>
      </c>
      <c r="AN101" s="10">
        <f>'BS Forecasts'!AN$179</f>
        <v>0</v>
      </c>
      <c r="AO101" s="10">
        <f>'BS Forecasts'!AO$179</f>
        <v>0</v>
      </c>
      <c r="AP101" s="10">
        <f>'BS Forecasts'!AP$179</f>
        <v>0</v>
      </c>
      <c r="AQ101" s="10">
        <f>'BS Forecasts'!AQ$179</f>
        <v>0</v>
      </c>
      <c r="AR101" s="10">
        <f>'BS Forecasts'!AR$179</f>
        <v>0</v>
      </c>
      <c r="AS101" s="10">
        <f>'BS Forecasts'!AS$179</f>
        <v>0</v>
      </c>
      <c r="AT101" s="10">
        <f>'BS Forecasts'!AT$179</f>
        <v>0</v>
      </c>
      <c r="AU101" s="10">
        <f>'BS Forecasts'!AU$179</f>
        <v>0</v>
      </c>
      <c r="AV101" s="10">
        <f>'BS Forecasts'!AV$179</f>
        <v>0</v>
      </c>
      <c r="AW101" s="10">
        <f>'BS Forecasts'!AW$179</f>
        <v>0</v>
      </c>
      <c r="AX101" s="10">
        <f>'BS Forecasts'!AX$179</f>
        <v>0</v>
      </c>
      <c r="AY101" s="10">
        <f>'BS Forecasts'!AY$179</f>
        <v>0</v>
      </c>
      <c r="AZ101" s="10">
        <f>'BS Forecasts'!AZ$179</f>
        <v>0</v>
      </c>
      <c r="BA101" s="10">
        <f>'BS Forecasts'!BA$179</f>
        <v>0</v>
      </c>
      <c r="BB101" s="10">
        <f>'BS Forecasts'!BB$179</f>
        <v>0</v>
      </c>
      <c r="BC101" s="10">
        <f>'BS Forecasts'!BC$179</f>
        <v>0</v>
      </c>
      <c r="BD101" s="10">
        <f>'BS Forecasts'!BD$179</f>
        <v>0</v>
      </c>
      <c r="BE101" s="10">
        <f>'BS Forecasts'!BE$179</f>
        <v>0</v>
      </c>
      <c r="BF101" s="10">
        <f>'BS Forecasts'!BF$179</f>
        <v>0</v>
      </c>
      <c r="BG101" s="10">
        <f>'BS Forecasts'!BG$179</f>
        <v>0</v>
      </c>
      <c r="BH101" s="10">
        <f>'BS Forecasts'!BH$179</f>
        <v>0</v>
      </c>
      <c r="BI101" s="10">
        <f>'BS Forecasts'!BI$179</f>
        <v>0</v>
      </c>
      <c r="BJ101" s="10">
        <f>'BS Forecasts'!BJ$179</f>
        <v>0</v>
      </c>
      <c r="BX101" s="10">
        <f>'BS Forecasts'!BX$179</f>
        <v>0</v>
      </c>
      <c r="BY101" s="10">
        <f>'BS Forecasts'!BY$179</f>
        <v>0</v>
      </c>
      <c r="BZ101" s="10">
        <f>'BS Forecasts'!BZ$179</f>
        <v>0</v>
      </c>
      <c r="CA101" s="10">
        <f>'BS Forecasts'!CA$179</f>
        <v>0</v>
      </c>
      <c r="CB101" s="10">
        <f>'BS Forecasts'!CB$179</f>
        <v>0</v>
      </c>
      <c r="CC101" s="10">
        <f>'BS Forecasts'!CC$179</f>
        <v>0</v>
      </c>
      <c r="CD101" s="10">
        <f>'BS Forecasts'!CD$179</f>
        <v>0</v>
      </c>
      <c r="CE101" s="10">
        <f>'BS Forecasts'!CE$179</f>
        <v>0</v>
      </c>
      <c r="CF101" s="10">
        <f>'BS Forecasts'!CF$179</f>
        <v>0</v>
      </c>
      <c r="CG101" s="10">
        <f>'BS Forecasts'!CG$179</f>
        <v>0</v>
      </c>
      <c r="CH101" s="10">
        <f>'BS Forecasts'!CH$179</f>
        <v>0</v>
      </c>
      <c r="CI101" s="10">
        <f>'BS Forecasts'!CI$179</f>
        <v>0</v>
      </c>
      <c r="CK101" s="311"/>
      <c r="CO101" s="100">
        <f t="shared" si="86"/>
        <v>0</v>
      </c>
      <c r="CP101" s="100">
        <f t="shared" si="87"/>
        <v>0</v>
      </c>
      <c r="CQ101" s="100">
        <f t="shared" si="88"/>
        <v>0</v>
      </c>
      <c r="CR101" s="311"/>
      <c r="CS101" s="215">
        <f t="shared" si="89"/>
        <v>0</v>
      </c>
      <c r="CT101" s="215">
        <f t="shared" si="90"/>
        <v>0</v>
      </c>
      <c r="CU101" s="215">
        <f t="shared" si="91"/>
        <v>0</v>
      </c>
      <c r="CV101" s="215">
        <f t="shared" si="92"/>
        <v>0</v>
      </c>
      <c r="CW101" s="215">
        <f t="shared" si="93"/>
        <v>0</v>
      </c>
      <c r="CX101" s="215">
        <f t="shared" si="94"/>
        <v>0</v>
      </c>
      <c r="CY101" s="215">
        <f t="shared" si="95"/>
        <v>0</v>
      </c>
      <c r="EX101" s="10" t="str">
        <f t="shared" ref="EX101:EX116" ca="1" si="104">IF($C101="","",$D101)</f>
        <v>Fixed Assets Retentions</v>
      </c>
    </row>
    <row r="102" spans="1:154" x14ac:dyDescent="0.35">
      <c r="A102" s="537" cm="1">
        <f t="array" aca="1" ref="A102" ca="1">HYPERLINK(CONCATENATE("#",CELL("address",IF(MAX($CK102:$CR102)=0,A102,INDEX($CK102:$CR102,MATCH(1,$CK102:$CR102,0))))),MAX($CK102:$CR102))</f>
        <v>0</v>
      </c>
      <c r="C102" s="213" t="str">
        <f>'BS Forecasts'!C$182</f>
        <v>B-3k-CB</v>
      </c>
      <c r="D102" s="570" t="str" cm="1">
        <f t="array" aca="1" ref="D102" ca="1">HYPERLINK(CONCATENATE("#",CELL("address",'BS Forecasts'!$D$182)),'BS Forecasts'!$D$181)</f>
        <v>Recovery of DfE/ESFA/DA Funding</v>
      </c>
      <c r="V102" s="10">
        <f>'BS Forecasts'!V$182</f>
        <v>0</v>
      </c>
      <c r="W102" s="10">
        <f>'BS Forecasts'!W$182</f>
        <v>0</v>
      </c>
      <c r="X102" s="10">
        <f>'BS Forecasts'!X$182</f>
        <v>0</v>
      </c>
      <c r="Y102" s="10">
        <f>'BS Forecasts'!Y$182</f>
        <v>0</v>
      </c>
      <c r="AA102" s="10">
        <f>'BS Forecasts'!AA$182</f>
        <v>0</v>
      </c>
      <c r="AB102" s="10">
        <f>'BS Forecasts'!AB$182</f>
        <v>0</v>
      </c>
      <c r="AC102" s="10">
        <f>'BS Forecasts'!AC$182</f>
        <v>0</v>
      </c>
      <c r="AD102" s="10">
        <f>'BS Forecasts'!AD$182</f>
        <v>0</v>
      </c>
      <c r="AE102" s="10">
        <f>'BS Forecasts'!AE$182</f>
        <v>0</v>
      </c>
      <c r="AF102" s="10">
        <f>'BS Forecasts'!AF$182</f>
        <v>0</v>
      </c>
      <c r="AG102" s="10">
        <f>'BS Forecasts'!AG$182</f>
        <v>0</v>
      </c>
      <c r="AH102" s="10">
        <f>'BS Forecasts'!AH$182</f>
        <v>0</v>
      </c>
      <c r="AI102" s="10">
        <f>'BS Forecasts'!AI$182</f>
        <v>0</v>
      </c>
      <c r="AJ102" s="10">
        <f>'BS Forecasts'!AJ$182</f>
        <v>0</v>
      </c>
      <c r="AK102" s="10">
        <f>'BS Forecasts'!AK$182</f>
        <v>0</v>
      </c>
      <c r="AL102" s="10">
        <f>'BS Forecasts'!AL$182</f>
        <v>0</v>
      </c>
      <c r="AM102" s="10">
        <f>'BS Forecasts'!AM$182</f>
        <v>0</v>
      </c>
      <c r="AN102" s="10">
        <f>'BS Forecasts'!AN$182</f>
        <v>0</v>
      </c>
      <c r="AO102" s="10">
        <f>'BS Forecasts'!AO$182</f>
        <v>0</v>
      </c>
      <c r="AP102" s="10">
        <f>'BS Forecasts'!AP$182</f>
        <v>0</v>
      </c>
      <c r="AQ102" s="10">
        <f>'BS Forecasts'!AQ$182</f>
        <v>0</v>
      </c>
      <c r="AR102" s="10">
        <f>'BS Forecasts'!AR$182</f>
        <v>0</v>
      </c>
      <c r="AS102" s="10">
        <f>'BS Forecasts'!AS$182</f>
        <v>0</v>
      </c>
      <c r="AT102" s="10">
        <f>'BS Forecasts'!AT$182</f>
        <v>0</v>
      </c>
      <c r="AU102" s="10">
        <f>'BS Forecasts'!AU$182</f>
        <v>0</v>
      </c>
      <c r="AV102" s="10">
        <f>'BS Forecasts'!AV$182</f>
        <v>0</v>
      </c>
      <c r="AW102" s="10">
        <f>'BS Forecasts'!AW$182</f>
        <v>0</v>
      </c>
      <c r="AX102" s="10">
        <f>'BS Forecasts'!AX$182</f>
        <v>0</v>
      </c>
      <c r="AY102" s="10">
        <f>'BS Forecasts'!AY$182</f>
        <v>0</v>
      </c>
      <c r="AZ102" s="10">
        <f>'BS Forecasts'!AZ$182</f>
        <v>0</v>
      </c>
      <c r="BA102" s="10">
        <f>'BS Forecasts'!BA$182</f>
        <v>0</v>
      </c>
      <c r="BB102" s="10">
        <f>'BS Forecasts'!BB$182</f>
        <v>0</v>
      </c>
      <c r="BC102" s="10">
        <f>'BS Forecasts'!BC$182</f>
        <v>0</v>
      </c>
      <c r="BD102" s="10">
        <f>'BS Forecasts'!BD$182</f>
        <v>0</v>
      </c>
      <c r="BE102" s="10">
        <f>'BS Forecasts'!BE$182</f>
        <v>0</v>
      </c>
      <c r="BF102" s="10">
        <f>'BS Forecasts'!BF$182</f>
        <v>0</v>
      </c>
      <c r="BG102" s="10">
        <f>'BS Forecasts'!BG$182</f>
        <v>0</v>
      </c>
      <c r="BH102" s="10">
        <f>'BS Forecasts'!BH$182</f>
        <v>0</v>
      </c>
      <c r="BI102" s="10">
        <f>'BS Forecasts'!BI$182</f>
        <v>0</v>
      </c>
      <c r="BJ102" s="10">
        <f>'BS Forecasts'!BJ$182</f>
        <v>0</v>
      </c>
      <c r="BX102" s="10">
        <f>'BS Forecasts'!BX$182</f>
        <v>0</v>
      </c>
      <c r="BY102" s="10">
        <f>'BS Forecasts'!BY$182</f>
        <v>0</v>
      </c>
      <c r="BZ102" s="10">
        <f>'BS Forecasts'!BZ$182</f>
        <v>0</v>
      </c>
      <c r="CA102" s="10">
        <f>'BS Forecasts'!CA$182</f>
        <v>0</v>
      </c>
      <c r="CB102" s="10">
        <f>'BS Forecasts'!CB$182</f>
        <v>0</v>
      </c>
      <c r="CC102" s="10">
        <f>'BS Forecasts'!CC$182</f>
        <v>0</v>
      </c>
      <c r="CD102" s="10">
        <f>'BS Forecasts'!CD$182</f>
        <v>0</v>
      </c>
      <c r="CE102" s="10">
        <f>'BS Forecasts'!CE$182</f>
        <v>0</v>
      </c>
      <c r="CF102" s="10">
        <f>'BS Forecasts'!CF$182</f>
        <v>0</v>
      </c>
      <c r="CG102" s="10">
        <f>'BS Forecasts'!CG$182</f>
        <v>0</v>
      </c>
      <c r="CH102" s="10">
        <f>'BS Forecasts'!CH$182</f>
        <v>0</v>
      </c>
      <c r="CI102" s="10">
        <f>'BS Forecasts'!CI$182</f>
        <v>0</v>
      </c>
      <c r="CK102" s="311"/>
      <c r="CO102" s="100">
        <f t="shared" si="86"/>
        <v>0</v>
      </c>
      <c r="CP102" s="100">
        <f t="shared" si="87"/>
        <v>0</v>
      </c>
      <c r="CQ102" s="100">
        <f t="shared" si="88"/>
        <v>0</v>
      </c>
      <c r="CR102" s="311"/>
      <c r="CS102" s="215">
        <f t="shared" si="89"/>
        <v>0</v>
      </c>
      <c r="CT102" s="215">
        <f t="shared" si="90"/>
        <v>0</v>
      </c>
      <c r="CU102" s="215">
        <f t="shared" si="91"/>
        <v>0</v>
      </c>
      <c r="CV102" s="215">
        <f t="shared" si="92"/>
        <v>0</v>
      </c>
      <c r="CW102" s="215">
        <f t="shared" si="93"/>
        <v>0</v>
      </c>
      <c r="CX102" s="215">
        <f t="shared" si="94"/>
        <v>0</v>
      </c>
      <c r="CY102" s="215">
        <f t="shared" si="95"/>
        <v>0</v>
      </c>
      <c r="EX102" s="10" t="str">
        <f t="shared" ca="1" si="104"/>
        <v>Recovery of DfE/ESFA/DA Funding</v>
      </c>
    </row>
    <row r="103" spans="1:154" x14ac:dyDescent="0.35">
      <c r="A103" s="537" cm="1">
        <f t="array" aca="1" ref="A103" ca="1">HYPERLINK(CONCATENATE("#",CELL("address",IF(MAX($CK103:$CR103)=0,A103,INDEX($CK103:$CR103,MATCH(1,$CK103:$CR103,0))))),MAX($CK103:$CR103))</f>
        <v>0</v>
      </c>
      <c r="C103" s="213" t="str">
        <f>'BS Forecasts'!C$185</f>
        <v>B-3l-CB</v>
      </c>
      <c r="D103" s="570" t="str" cm="1">
        <f t="array" aca="1" ref="D103" ca="1">HYPERLINK(CONCATENATE("#",CELL("address",'BS Forecasts'!$D$185)),'BS Forecasts'!$D$184)</f>
        <v>AEB Clawback</v>
      </c>
      <c r="V103" s="10">
        <f>'BS Forecasts'!V$185</f>
        <v>0</v>
      </c>
      <c r="W103" s="10">
        <f>'BS Forecasts'!W$185</f>
        <v>0</v>
      </c>
      <c r="X103" s="10">
        <f>'BS Forecasts'!X$185</f>
        <v>0</v>
      </c>
      <c r="Y103" s="10">
        <f>'BS Forecasts'!Y$185</f>
        <v>0</v>
      </c>
      <c r="AA103" s="10">
        <f>'BS Forecasts'!AA$185</f>
        <v>0</v>
      </c>
      <c r="AB103" s="10">
        <f>'BS Forecasts'!AB$185</f>
        <v>0</v>
      </c>
      <c r="AC103" s="10">
        <f>'BS Forecasts'!AC$185</f>
        <v>0</v>
      </c>
      <c r="AD103" s="10">
        <f>'BS Forecasts'!AD$185</f>
        <v>0</v>
      </c>
      <c r="AE103" s="10">
        <f>'BS Forecasts'!AE$185</f>
        <v>0</v>
      </c>
      <c r="AF103" s="10">
        <f>'BS Forecasts'!AF$185</f>
        <v>0</v>
      </c>
      <c r="AG103" s="10">
        <f>'BS Forecasts'!AG$185</f>
        <v>0</v>
      </c>
      <c r="AH103" s="10">
        <f>'BS Forecasts'!AH$185</f>
        <v>0</v>
      </c>
      <c r="AI103" s="10">
        <f>'BS Forecasts'!AI$185</f>
        <v>0</v>
      </c>
      <c r="AJ103" s="10">
        <f>'BS Forecasts'!AJ$185</f>
        <v>0</v>
      </c>
      <c r="AK103" s="10">
        <f>'BS Forecasts'!AK$185</f>
        <v>0</v>
      </c>
      <c r="AL103" s="10">
        <f>'BS Forecasts'!AL$185</f>
        <v>0</v>
      </c>
      <c r="AM103" s="10">
        <f>'BS Forecasts'!AM$185</f>
        <v>0</v>
      </c>
      <c r="AN103" s="10">
        <f>'BS Forecasts'!AN$185</f>
        <v>0</v>
      </c>
      <c r="AO103" s="10">
        <f>'BS Forecasts'!AO$185</f>
        <v>0</v>
      </c>
      <c r="AP103" s="10">
        <f>'BS Forecasts'!AP$185</f>
        <v>0</v>
      </c>
      <c r="AQ103" s="10">
        <f>'BS Forecasts'!AQ$185</f>
        <v>0</v>
      </c>
      <c r="AR103" s="10">
        <f>'BS Forecasts'!AR$185</f>
        <v>0</v>
      </c>
      <c r="AS103" s="10">
        <f>'BS Forecasts'!AS$185</f>
        <v>0</v>
      </c>
      <c r="AT103" s="10">
        <f>'BS Forecasts'!AT$185</f>
        <v>0</v>
      </c>
      <c r="AU103" s="10">
        <f>'BS Forecasts'!AU$185</f>
        <v>0</v>
      </c>
      <c r="AV103" s="10">
        <f>'BS Forecasts'!AV$185</f>
        <v>0</v>
      </c>
      <c r="AW103" s="10">
        <f>'BS Forecasts'!AW$185</f>
        <v>0</v>
      </c>
      <c r="AX103" s="10">
        <f>'BS Forecasts'!AX$185</f>
        <v>0</v>
      </c>
      <c r="AY103" s="10">
        <f>'BS Forecasts'!AY$185</f>
        <v>0</v>
      </c>
      <c r="AZ103" s="10">
        <f>'BS Forecasts'!AZ$185</f>
        <v>0</v>
      </c>
      <c r="BA103" s="10">
        <f>'BS Forecasts'!BA$185</f>
        <v>0</v>
      </c>
      <c r="BB103" s="10">
        <f>'BS Forecasts'!BB$185</f>
        <v>0</v>
      </c>
      <c r="BC103" s="10">
        <f>'BS Forecasts'!BC$185</f>
        <v>0</v>
      </c>
      <c r="BD103" s="10">
        <f>'BS Forecasts'!BD$185</f>
        <v>0</v>
      </c>
      <c r="BE103" s="10">
        <f>'BS Forecasts'!BE$185</f>
        <v>0</v>
      </c>
      <c r="BF103" s="10">
        <f>'BS Forecasts'!BF$185</f>
        <v>0</v>
      </c>
      <c r="BG103" s="10">
        <f>'BS Forecasts'!BG$185</f>
        <v>0</v>
      </c>
      <c r="BH103" s="10">
        <f>'BS Forecasts'!BH$185</f>
        <v>0</v>
      </c>
      <c r="BI103" s="10">
        <f>'BS Forecasts'!BI$185</f>
        <v>0</v>
      </c>
      <c r="BJ103" s="10">
        <f>'BS Forecasts'!BJ$185</f>
        <v>0</v>
      </c>
      <c r="BX103" s="10">
        <f>'BS Forecasts'!BX$185</f>
        <v>0</v>
      </c>
      <c r="BY103" s="10">
        <f>'BS Forecasts'!BY$185</f>
        <v>0</v>
      </c>
      <c r="BZ103" s="10">
        <f>'BS Forecasts'!BZ$185</f>
        <v>0</v>
      </c>
      <c r="CA103" s="10">
        <f>'BS Forecasts'!CA$185</f>
        <v>0</v>
      </c>
      <c r="CB103" s="10">
        <f>'BS Forecasts'!CB$185</f>
        <v>0</v>
      </c>
      <c r="CC103" s="10">
        <f>'BS Forecasts'!CC$185</f>
        <v>0</v>
      </c>
      <c r="CD103" s="10">
        <f>'BS Forecasts'!CD$185</f>
        <v>0</v>
      </c>
      <c r="CE103" s="10">
        <f>'BS Forecasts'!CE$185</f>
        <v>0</v>
      </c>
      <c r="CF103" s="10">
        <f>'BS Forecasts'!CF$185</f>
        <v>0</v>
      </c>
      <c r="CG103" s="10">
        <f>'BS Forecasts'!CG$185</f>
        <v>0</v>
      </c>
      <c r="CH103" s="10">
        <f>'BS Forecasts'!CH$185</f>
        <v>0</v>
      </c>
      <c r="CI103" s="10">
        <f>'BS Forecasts'!CI$185</f>
        <v>0</v>
      </c>
      <c r="CK103" s="311"/>
      <c r="CO103" s="100">
        <f t="shared" si="86"/>
        <v>0</v>
      </c>
      <c r="CP103" s="100">
        <f t="shared" si="87"/>
        <v>0</v>
      </c>
      <c r="CQ103" s="100">
        <f t="shared" si="88"/>
        <v>0</v>
      </c>
      <c r="CR103" s="311"/>
      <c r="CS103" s="215">
        <f t="shared" si="89"/>
        <v>0</v>
      </c>
      <c r="CT103" s="215">
        <f t="shared" si="90"/>
        <v>0</v>
      </c>
      <c r="CU103" s="215">
        <f t="shared" si="91"/>
        <v>0</v>
      </c>
      <c r="CV103" s="215">
        <f t="shared" si="92"/>
        <v>0</v>
      </c>
      <c r="CW103" s="215">
        <f t="shared" si="93"/>
        <v>0</v>
      </c>
      <c r="CX103" s="215">
        <f t="shared" si="94"/>
        <v>0</v>
      </c>
      <c r="CY103" s="215">
        <f t="shared" si="95"/>
        <v>0</v>
      </c>
      <c r="EX103" s="10" t="str">
        <f t="shared" ca="1" si="104"/>
        <v>AEB Clawback</v>
      </c>
    </row>
    <row r="104" spans="1:154" x14ac:dyDescent="0.35">
      <c r="A104" s="537" cm="1">
        <f t="array" aca="1" ref="A104" ca="1">HYPERLINK(CONCATENATE("#",CELL("address",IF(MAX($CK104:$CR104)=0,A104,INDEX($CK104:$CR104,MATCH(1,$CK104:$CR104,0))))),MAX($CK104:$CR104))</f>
        <v>0</v>
      </c>
      <c r="C104" s="213" t="str">
        <f>'BS Forecasts'!C$188</f>
        <v>B-3m-CB</v>
      </c>
      <c r="D104" s="570" t="str" cm="1">
        <f t="array" aca="1" ref="D104" ca="1">HYPERLINK(CONCATENATE("#",CELL("address",'BS Forecasts'!$D$188)),'BS Forecasts'!$D$187)</f>
        <v>Deferred Income - Revenue</v>
      </c>
      <c r="V104" s="10">
        <f>'BS Forecasts'!V$188</f>
        <v>0</v>
      </c>
      <c r="W104" s="10">
        <f>'BS Forecasts'!W$188</f>
        <v>0</v>
      </c>
      <c r="X104" s="10">
        <f>'BS Forecasts'!X$188</f>
        <v>0</v>
      </c>
      <c r="Y104" s="10">
        <f>'BS Forecasts'!Y$188</f>
        <v>0</v>
      </c>
      <c r="AA104" s="10">
        <f>'BS Forecasts'!AA$188</f>
        <v>0</v>
      </c>
      <c r="AB104" s="10">
        <f>'BS Forecasts'!AB$188</f>
        <v>0</v>
      </c>
      <c r="AC104" s="10">
        <f>'BS Forecasts'!AC$188</f>
        <v>0</v>
      </c>
      <c r="AD104" s="10">
        <f>'BS Forecasts'!AD$188</f>
        <v>0</v>
      </c>
      <c r="AE104" s="10">
        <f>'BS Forecasts'!AE$188</f>
        <v>0</v>
      </c>
      <c r="AF104" s="10">
        <f>'BS Forecasts'!AF$188</f>
        <v>0</v>
      </c>
      <c r="AG104" s="10">
        <f>'BS Forecasts'!AG$188</f>
        <v>0</v>
      </c>
      <c r="AH104" s="10">
        <f>'BS Forecasts'!AH$188</f>
        <v>0</v>
      </c>
      <c r="AI104" s="10">
        <f>'BS Forecasts'!AI$188</f>
        <v>0</v>
      </c>
      <c r="AJ104" s="10">
        <f>'BS Forecasts'!AJ$188</f>
        <v>0</v>
      </c>
      <c r="AK104" s="10">
        <f>'BS Forecasts'!AK$188</f>
        <v>0</v>
      </c>
      <c r="AL104" s="10">
        <f>'BS Forecasts'!AL$188</f>
        <v>0</v>
      </c>
      <c r="AM104" s="10">
        <f>'BS Forecasts'!AM$188</f>
        <v>0</v>
      </c>
      <c r="AN104" s="10">
        <f>'BS Forecasts'!AN$188</f>
        <v>0</v>
      </c>
      <c r="AO104" s="10">
        <f>'BS Forecasts'!AO$188</f>
        <v>0</v>
      </c>
      <c r="AP104" s="10">
        <f>'BS Forecasts'!AP$188</f>
        <v>0</v>
      </c>
      <c r="AQ104" s="10">
        <f>'BS Forecasts'!AQ$188</f>
        <v>0</v>
      </c>
      <c r="AR104" s="10">
        <f>'BS Forecasts'!AR$188</f>
        <v>0</v>
      </c>
      <c r="AS104" s="10">
        <f>'BS Forecasts'!AS$188</f>
        <v>0</v>
      </c>
      <c r="AT104" s="10">
        <f>'BS Forecasts'!AT$188</f>
        <v>0</v>
      </c>
      <c r="AU104" s="10">
        <f>'BS Forecasts'!AU$188</f>
        <v>0</v>
      </c>
      <c r="AV104" s="10">
        <f>'BS Forecasts'!AV$188</f>
        <v>0</v>
      </c>
      <c r="AW104" s="10">
        <f>'BS Forecasts'!AW$188</f>
        <v>0</v>
      </c>
      <c r="AX104" s="10">
        <f>'BS Forecasts'!AX$188</f>
        <v>0</v>
      </c>
      <c r="AY104" s="10">
        <f>'BS Forecasts'!AY$188</f>
        <v>0</v>
      </c>
      <c r="AZ104" s="10">
        <f>'BS Forecasts'!AZ$188</f>
        <v>0</v>
      </c>
      <c r="BA104" s="10">
        <f>'BS Forecasts'!BA$188</f>
        <v>0</v>
      </c>
      <c r="BB104" s="10">
        <f>'BS Forecasts'!BB$188</f>
        <v>0</v>
      </c>
      <c r="BC104" s="10">
        <f>'BS Forecasts'!BC$188</f>
        <v>0</v>
      </c>
      <c r="BD104" s="10">
        <f>'BS Forecasts'!BD$188</f>
        <v>0</v>
      </c>
      <c r="BE104" s="10">
        <f>'BS Forecasts'!BE$188</f>
        <v>0</v>
      </c>
      <c r="BF104" s="10">
        <f>'BS Forecasts'!BF$188</f>
        <v>0</v>
      </c>
      <c r="BG104" s="10">
        <f>'BS Forecasts'!BG$188</f>
        <v>0</v>
      </c>
      <c r="BH104" s="10">
        <f>'BS Forecasts'!BH$188</f>
        <v>0</v>
      </c>
      <c r="BI104" s="10">
        <f>'BS Forecasts'!BI$188</f>
        <v>0</v>
      </c>
      <c r="BJ104" s="10">
        <f>'BS Forecasts'!BJ$188</f>
        <v>0</v>
      </c>
      <c r="BX104" s="10">
        <f>'BS Forecasts'!BX$188</f>
        <v>0</v>
      </c>
      <c r="BY104" s="10">
        <f>'BS Forecasts'!BY$188</f>
        <v>0</v>
      </c>
      <c r="BZ104" s="10">
        <f>'BS Forecasts'!BZ$188</f>
        <v>0</v>
      </c>
      <c r="CA104" s="10">
        <f>'BS Forecasts'!CA$188</f>
        <v>0</v>
      </c>
      <c r="CB104" s="10">
        <f>'BS Forecasts'!CB$188</f>
        <v>0</v>
      </c>
      <c r="CC104" s="10">
        <f>'BS Forecasts'!CC$188</f>
        <v>0</v>
      </c>
      <c r="CD104" s="10">
        <f>'BS Forecasts'!CD$188</f>
        <v>0</v>
      </c>
      <c r="CE104" s="10">
        <f>'BS Forecasts'!CE$188</f>
        <v>0</v>
      </c>
      <c r="CF104" s="10">
        <f>'BS Forecasts'!CF$188</f>
        <v>0</v>
      </c>
      <c r="CG104" s="10">
        <f>'BS Forecasts'!CG$188</f>
        <v>0</v>
      </c>
      <c r="CH104" s="10">
        <f>'BS Forecasts'!CH$188</f>
        <v>0</v>
      </c>
      <c r="CI104" s="10">
        <f>'BS Forecasts'!CI$188</f>
        <v>0</v>
      </c>
      <c r="CK104" s="311"/>
      <c r="CO104" s="100">
        <f t="shared" si="86"/>
        <v>0</v>
      </c>
      <c r="CP104" s="100">
        <f t="shared" si="87"/>
        <v>0</v>
      </c>
      <c r="CQ104" s="100">
        <f t="shared" si="88"/>
        <v>0</v>
      </c>
      <c r="CR104" s="311"/>
      <c r="CS104" s="215">
        <f t="shared" si="89"/>
        <v>0</v>
      </c>
      <c r="CT104" s="215">
        <f t="shared" si="90"/>
        <v>0</v>
      </c>
      <c r="CU104" s="215">
        <f t="shared" si="91"/>
        <v>0</v>
      </c>
      <c r="CV104" s="215">
        <f t="shared" si="92"/>
        <v>0</v>
      </c>
      <c r="CW104" s="215">
        <f t="shared" si="93"/>
        <v>0</v>
      </c>
      <c r="CX104" s="215">
        <f t="shared" si="94"/>
        <v>0</v>
      </c>
      <c r="CY104" s="215">
        <f t="shared" si="95"/>
        <v>0</v>
      </c>
      <c r="EX104" s="10" t="str">
        <f t="shared" ca="1" si="104"/>
        <v>Deferred Income - Revenue</v>
      </c>
    </row>
    <row r="105" spans="1:154" x14ac:dyDescent="0.35">
      <c r="A105" s="537" cm="1">
        <f t="array" aca="1" ref="A105" ca="1">HYPERLINK(CONCATENATE("#",CELL("address",IF(MAX($CK105:$CR105)=0,A105,INDEX($CK105:$CR105,MATCH(1,$CK105:$CR105,0))))),MAX($CK105:$CR105))</f>
        <v>0</v>
      </c>
      <c r="C105" s="213" t="str">
        <f>'BS Forecasts'!C$191</f>
        <v>B-3n-CB</v>
      </c>
      <c r="D105" s="572" t="str" cm="1">
        <f t="array" aca="1" ref="D105" ca="1">HYPERLINK(CONCATENATE("#",CELL("address",'BS Forecasts'!$D$191)),'BS Forecasts'!$D$190)</f>
        <v>Accruals</v>
      </c>
      <c r="V105" s="10">
        <f>'BS Forecasts'!V$191</f>
        <v>0</v>
      </c>
      <c r="W105" s="10">
        <f>'BS Forecasts'!W$191</f>
        <v>0</v>
      </c>
      <c r="X105" s="10">
        <f>'BS Forecasts'!X$191</f>
        <v>0</v>
      </c>
      <c r="Y105" s="10">
        <f>'BS Forecasts'!Y$191</f>
        <v>0</v>
      </c>
      <c r="AA105" s="10">
        <f>'BS Forecasts'!AA$191</f>
        <v>0</v>
      </c>
      <c r="AB105" s="10">
        <f>'BS Forecasts'!AB$191</f>
        <v>0</v>
      </c>
      <c r="AC105" s="10">
        <f>'BS Forecasts'!AC$191</f>
        <v>0</v>
      </c>
      <c r="AD105" s="10">
        <f>'BS Forecasts'!AD$191</f>
        <v>0</v>
      </c>
      <c r="AE105" s="10">
        <f>'BS Forecasts'!AE$191</f>
        <v>0</v>
      </c>
      <c r="AF105" s="10">
        <f>'BS Forecasts'!AF$191</f>
        <v>0</v>
      </c>
      <c r="AG105" s="10">
        <f>'BS Forecasts'!AG$191</f>
        <v>0</v>
      </c>
      <c r="AH105" s="10">
        <f>'BS Forecasts'!AH$191</f>
        <v>0</v>
      </c>
      <c r="AI105" s="10">
        <f>'BS Forecasts'!AI$191</f>
        <v>0</v>
      </c>
      <c r="AJ105" s="10">
        <f>'BS Forecasts'!AJ$191</f>
        <v>0</v>
      </c>
      <c r="AK105" s="10">
        <f>'BS Forecasts'!AK$191</f>
        <v>0</v>
      </c>
      <c r="AL105" s="10">
        <f>'BS Forecasts'!AL$191</f>
        <v>0</v>
      </c>
      <c r="AM105" s="10">
        <f>'BS Forecasts'!AM$191</f>
        <v>0</v>
      </c>
      <c r="AN105" s="10">
        <f>'BS Forecasts'!AN$191</f>
        <v>0</v>
      </c>
      <c r="AO105" s="10">
        <f>'BS Forecasts'!AO$191</f>
        <v>0</v>
      </c>
      <c r="AP105" s="10">
        <f>'BS Forecasts'!AP$191</f>
        <v>0</v>
      </c>
      <c r="AQ105" s="10">
        <f>'BS Forecasts'!AQ$191</f>
        <v>0</v>
      </c>
      <c r="AR105" s="10">
        <f>'BS Forecasts'!AR$191</f>
        <v>0</v>
      </c>
      <c r="AS105" s="10">
        <f>'BS Forecasts'!AS$191</f>
        <v>0</v>
      </c>
      <c r="AT105" s="10">
        <f>'BS Forecasts'!AT$191</f>
        <v>0</v>
      </c>
      <c r="AU105" s="10">
        <f>'BS Forecasts'!AU$191</f>
        <v>0</v>
      </c>
      <c r="AV105" s="10">
        <f>'BS Forecasts'!AV$191</f>
        <v>0</v>
      </c>
      <c r="AW105" s="10">
        <f>'BS Forecasts'!AW$191</f>
        <v>0</v>
      </c>
      <c r="AX105" s="10">
        <f>'BS Forecasts'!AX$191</f>
        <v>0</v>
      </c>
      <c r="AY105" s="10">
        <f>'BS Forecasts'!AY$191</f>
        <v>0</v>
      </c>
      <c r="AZ105" s="10">
        <f>'BS Forecasts'!AZ$191</f>
        <v>0</v>
      </c>
      <c r="BA105" s="10">
        <f>'BS Forecasts'!BA$191</f>
        <v>0</v>
      </c>
      <c r="BB105" s="10">
        <f>'BS Forecasts'!BB$191</f>
        <v>0</v>
      </c>
      <c r="BC105" s="10">
        <f>'BS Forecasts'!BC$191</f>
        <v>0</v>
      </c>
      <c r="BD105" s="10">
        <f>'BS Forecasts'!BD$191</f>
        <v>0</v>
      </c>
      <c r="BE105" s="10">
        <f>'BS Forecasts'!BE$191</f>
        <v>0</v>
      </c>
      <c r="BF105" s="10">
        <f>'BS Forecasts'!BF$191</f>
        <v>0</v>
      </c>
      <c r="BG105" s="10">
        <f>'BS Forecasts'!BG$191</f>
        <v>0</v>
      </c>
      <c r="BH105" s="10">
        <f>'BS Forecasts'!BH$191</f>
        <v>0</v>
      </c>
      <c r="BI105" s="10">
        <f>'BS Forecasts'!BI$191</f>
        <v>0</v>
      </c>
      <c r="BJ105" s="10">
        <f>'BS Forecasts'!BJ$191</f>
        <v>0</v>
      </c>
      <c r="BX105" s="10">
        <f>'BS Forecasts'!BX$191</f>
        <v>0</v>
      </c>
      <c r="BY105" s="10">
        <f>'BS Forecasts'!BY$191</f>
        <v>0</v>
      </c>
      <c r="BZ105" s="10">
        <f>'BS Forecasts'!BZ$191</f>
        <v>0</v>
      </c>
      <c r="CA105" s="10">
        <f>'BS Forecasts'!CA$191</f>
        <v>0</v>
      </c>
      <c r="CB105" s="10">
        <f>'BS Forecasts'!CB$191</f>
        <v>0</v>
      </c>
      <c r="CC105" s="10">
        <f>'BS Forecasts'!CC$191</f>
        <v>0</v>
      </c>
      <c r="CD105" s="10">
        <f>'BS Forecasts'!CD$191</f>
        <v>0</v>
      </c>
      <c r="CE105" s="10">
        <f>'BS Forecasts'!CE$191</f>
        <v>0</v>
      </c>
      <c r="CF105" s="10">
        <f>'BS Forecasts'!CF$191</f>
        <v>0</v>
      </c>
      <c r="CG105" s="10">
        <f>'BS Forecasts'!CG$191</f>
        <v>0</v>
      </c>
      <c r="CH105" s="10">
        <f>'BS Forecasts'!CH$191</f>
        <v>0</v>
      </c>
      <c r="CI105" s="10">
        <f>'BS Forecasts'!CI$191</f>
        <v>0</v>
      </c>
      <c r="CK105" s="311"/>
      <c r="CO105" s="100">
        <f t="shared" si="86"/>
        <v>0</v>
      </c>
      <c r="CP105" s="100">
        <f t="shared" si="87"/>
        <v>0</v>
      </c>
      <c r="CQ105" s="100">
        <f t="shared" si="88"/>
        <v>0</v>
      </c>
      <c r="CR105" s="311"/>
      <c r="CS105" s="215">
        <f t="shared" si="89"/>
        <v>0</v>
      </c>
      <c r="CT105" s="215">
        <f t="shared" si="90"/>
        <v>0</v>
      </c>
      <c r="CU105" s="215">
        <f t="shared" si="91"/>
        <v>0</v>
      </c>
      <c r="CV105" s="215">
        <f t="shared" si="92"/>
        <v>0</v>
      </c>
      <c r="CW105" s="215">
        <f t="shared" si="93"/>
        <v>0</v>
      </c>
      <c r="CX105" s="215">
        <f t="shared" si="94"/>
        <v>0</v>
      </c>
      <c r="CY105" s="215">
        <f t="shared" si="95"/>
        <v>0</v>
      </c>
      <c r="EX105" s="10" t="str">
        <f t="shared" ca="1" si="104"/>
        <v>Accruals</v>
      </c>
    </row>
    <row r="106" spans="1:154" x14ac:dyDescent="0.35">
      <c r="A106" s="537" cm="1">
        <f t="array" aca="1" ref="A106" ca="1">HYPERLINK(CONCATENATE("#",CELL("address",IF(MAX($CK106:$CR106)=0,A106,INDEX($CK106:$CR106,MATCH(1,$CK106:$CR106,0))))),MAX($CK106:$CR106))</f>
        <v>0</v>
      </c>
      <c r="C106" s="213" t="str">
        <f>'BS Forecasts'!C$194</f>
        <v>B-3o-CB</v>
      </c>
      <c r="D106" s="570" t="str" cm="1">
        <f t="array" aca="1" ref="D106" ca="1">HYPERLINK(CONCATENATE("#",CELL("address",'BS Forecasts'!$D$194)),'BS Forecasts'!$D$193)</f>
        <v>Holiday and Sabbatical Pay Accrual</v>
      </c>
      <c r="V106" s="10">
        <f>'BS Forecasts'!V$194</f>
        <v>0</v>
      </c>
      <c r="W106" s="10">
        <f>'BS Forecasts'!W$194</f>
        <v>0</v>
      </c>
      <c r="X106" s="10">
        <f>'BS Forecasts'!X$194</f>
        <v>0</v>
      </c>
      <c r="Y106" s="10">
        <f>'BS Forecasts'!Y$194</f>
        <v>0</v>
      </c>
      <c r="AA106" s="10">
        <f>'BS Forecasts'!AA$194</f>
        <v>0</v>
      </c>
      <c r="AB106" s="10">
        <f>'BS Forecasts'!AB$194</f>
        <v>0</v>
      </c>
      <c r="AC106" s="10">
        <f>'BS Forecasts'!AC$194</f>
        <v>0</v>
      </c>
      <c r="AD106" s="10">
        <f>'BS Forecasts'!AD$194</f>
        <v>0</v>
      </c>
      <c r="AE106" s="10">
        <f>'BS Forecasts'!AE$194</f>
        <v>0</v>
      </c>
      <c r="AF106" s="10">
        <f>'BS Forecasts'!AF$194</f>
        <v>0</v>
      </c>
      <c r="AG106" s="10">
        <f>'BS Forecasts'!AG$194</f>
        <v>0</v>
      </c>
      <c r="AH106" s="10">
        <f>'BS Forecasts'!AH$194</f>
        <v>0</v>
      </c>
      <c r="AI106" s="10">
        <f>'BS Forecasts'!AI$194</f>
        <v>0</v>
      </c>
      <c r="AJ106" s="10">
        <f>'BS Forecasts'!AJ$194</f>
        <v>0</v>
      </c>
      <c r="AK106" s="10">
        <f>'BS Forecasts'!AK$194</f>
        <v>0</v>
      </c>
      <c r="AL106" s="10">
        <f>'BS Forecasts'!AL$194</f>
        <v>0</v>
      </c>
      <c r="AM106" s="10">
        <f>'BS Forecasts'!AM$194</f>
        <v>0</v>
      </c>
      <c r="AN106" s="10">
        <f>'BS Forecasts'!AN$194</f>
        <v>0</v>
      </c>
      <c r="AO106" s="10">
        <f>'BS Forecasts'!AO$194</f>
        <v>0</v>
      </c>
      <c r="AP106" s="10">
        <f>'BS Forecasts'!AP$194</f>
        <v>0</v>
      </c>
      <c r="AQ106" s="10">
        <f>'BS Forecasts'!AQ$194</f>
        <v>0</v>
      </c>
      <c r="AR106" s="10">
        <f>'BS Forecasts'!AR$194</f>
        <v>0</v>
      </c>
      <c r="AS106" s="10">
        <f>'BS Forecasts'!AS$194</f>
        <v>0</v>
      </c>
      <c r="AT106" s="10">
        <f>'BS Forecasts'!AT$194</f>
        <v>0</v>
      </c>
      <c r="AU106" s="10">
        <f>'BS Forecasts'!AU$194</f>
        <v>0</v>
      </c>
      <c r="AV106" s="10">
        <f>'BS Forecasts'!AV$194</f>
        <v>0</v>
      </c>
      <c r="AW106" s="10">
        <f>'BS Forecasts'!AW$194</f>
        <v>0</v>
      </c>
      <c r="AX106" s="10">
        <f>'BS Forecasts'!AX$194</f>
        <v>0</v>
      </c>
      <c r="AY106" s="10">
        <f>'BS Forecasts'!AY$194</f>
        <v>0</v>
      </c>
      <c r="AZ106" s="10">
        <f>'BS Forecasts'!AZ$194</f>
        <v>0</v>
      </c>
      <c r="BA106" s="10">
        <f>'BS Forecasts'!BA$194</f>
        <v>0</v>
      </c>
      <c r="BB106" s="10">
        <f>'BS Forecasts'!BB$194</f>
        <v>0</v>
      </c>
      <c r="BC106" s="10">
        <f>'BS Forecasts'!BC$194</f>
        <v>0</v>
      </c>
      <c r="BD106" s="10">
        <f>'BS Forecasts'!BD$194</f>
        <v>0</v>
      </c>
      <c r="BE106" s="10">
        <f>'BS Forecasts'!BE$194</f>
        <v>0</v>
      </c>
      <c r="BF106" s="10">
        <f>'BS Forecasts'!BF$194</f>
        <v>0</v>
      </c>
      <c r="BG106" s="10">
        <f>'BS Forecasts'!BG$194</f>
        <v>0</v>
      </c>
      <c r="BH106" s="10">
        <f>'BS Forecasts'!BH$194</f>
        <v>0</v>
      </c>
      <c r="BI106" s="10">
        <f>'BS Forecasts'!BI$194</f>
        <v>0</v>
      </c>
      <c r="BJ106" s="10">
        <f>'BS Forecasts'!BJ$194</f>
        <v>0</v>
      </c>
      <c r="BX106" s="10">
        <f>'BS Forecasts'!BX$194</f>
        <v>0</v>
      </c>
      <c r="BY106" s="10">
        <f>'BS Forecasts'!BY$194</f>
        <v>0</v>
      </c>
      <c r="BZ106" s="10">
        <f>'BS Forecasts'!BZ$194</f>
        <v>0</v>
      </c>
      <c r="CA106" s="10">
        <f>'BS Forecasts'!CA$194</f>
        <v>0</v>
      </c>
      <c r="CB106" s="10">
        <f>'BS Forecasts'!CB$194</f>
        <v>0</v>
      </c>
      <c r="CC106" s="10">
        <f>'BS Forecasts'!CC$194</f>
        <v>0</v>
      </c>
      <c r="CD106" s="10">
        <f>'BS Forecasts'!CD$194</f>
        <v>0</v>
      </c>
      <c r="CE106" s="10">
        <f>'BS Forecasts'!CE$194</f>
        <v>0</v>
      </c>
      <c r="CF106" s="10">
        <f>'BS Forecasts'!CF$194</f>
        <v>0</v>
      </c>
      <c r="CG106" s="10">
        <f>'BS Forecasts'!CG$194</f>
        <v>0</v>
      </c>
      <c r="CH106" s="10">
        <f>'BS Forecasts'!CH$194</f>
        <v>0</v>
      </c>
      <c r="CI106" s="10">
        <f>'BS Forecasts'!CI$194</f>
        <v>0</v>
      </c>
      <c r="CK106" s="311"/>
      <c r="CO106" s="100">
        <f t="shared" si="86"/>
        <v>0</v>
      </c>
      <c r="CP106" s="100">
        <f t="shared" si="87"/>
        <v>0</v>
      </c>
      <c r="CQ106" s="100">
        <f t="shared" si="88"/>
        <v>0</v>
      </c>
      <c r="CR106" s="311"/>
      <c r="CS106" s="215">
        <f t="shared" si="89"/>
        <v>0</v>
      </c>
      <c r="CT106" s="215">
        <f t="shared" si="90"/>
        <v>0</v>
      </c>
      <c r="CU106" s="215">
        <f t="shared" si="91"/>
        <v>0</v>
      </c>
      <c r="CV106" s="215">
        <f t="shared" si="92"/>
        <v>0</v>
      </c>
      <c r="CW106" s="215">
        <f t="shared" si="93"/>
        <v>0</v>
      </c>
      <c r="CX106" s="215">
        <f t="shared" si="94"/>
        <v>0</v>
      </c>
      <c r="CY106" s="215">
        <f t="shared" si="95"/>
        <v>0</v>
      </c>
      <c r="EX106" s="10" t="str">
        <f t="shared" ca="1" si="104"/>
        <v>Holiday and Sabbatical Pay Accrual</v>
      </c>
    </row>
    <row r="107" spans="1:154" x14ac:dyDescent="0.35">
      <c r="A107" s="537" cm="1">
        <f t="array" aca="1" ref="A107" ca="1">HYPERLINK(CONCATENATE("#",CELL("address",IF(MAX($CK107:$CR107)=0,A107,INDEX($CK107:$CR107,MATCH(1,$CK107:$CR107,0))))),MAX($CK107:$CR107))</f>
        <v>0</v>
      </c>
      <c r="C107" s="213" t="str">
        <f>'BS Forecasts'!C$197</f>
        <v>B-3p-CB</v>
      </c>
      <c r="D107" s="570" t="str" cm="1">
        <f t="array" aca="1" ref="D107" ca="1">HYPERLINK(CONCATENATE("#",CELL("address",'BS Forecasts'!$D$197)),'BS Forecasts'!$D$196)</f>
        <v>Bursary Deferred Income Account</v>
      </c>
      <c r="V107" s="10">
        <f>'BS Forecasts'!V$197</f>
        <v>0</v>
      </c>
      <c r="W107" s="10">
        <f>'BS Forecasts'!W$197</f>
        <v>0</v>
      </c>
      <c r="X107" s="10">
        <f>'BS Forecasts'!X$197</f>
        <v>0</v>
      </c>
      <c r="Y107" s="10">
        <f>'BS Forecasts'!Y$197</f>
        <v>0</v>
      </c>
      <c r="AA107" s="10">
        <f>'BS Forecasts'!AA$197</f>
        <v>0</v>
      </c>
      <c r="AB107" s="10">
        <f>'BS Forecasts'!AB$197</f>
        <v>0</v>
      </c>
      <c r="AC107" s="10">
        <f>'BS Forecasts'!AC$197</f>
        <v>0</v>
      </c>
      <c r="AD107" s="10">
        <f>'BS Forecasts'!AD$197</f>
        <v>0</v>
      </c>
      <c r="AE107" s="10">
        <f>'BS Forecasts'!AE$197</f>
        <v>0</v>
      </c>
      <c r="AF107" s="10">
        <f>'BS Forecasts'!AF$197</f>
        <v>0</v>
      </c>
      <c r="AG107" s="10">
        <f>'BS Forecasts'!AG$197</f>
        <v>0</v>
      </c>
      <c r="AH107" s="10">
        <f>'BS Forecasts'!AH$197</f>
        <v>0</v>
      </c>
      <c r="AI107" s="10">
        <f>'BS Forecasts'!AI$197</f>
        <v>0</v>
      </c>
      <c r="AJ107" s="10">
        <f>'BS Forecasts'!AJ$197</f>
        <v>0</v>
      </c>
      <c r="AK107" s="10">
        <f>'BS Forecasts'!AK$197</f>
        <v>0</v>
      </c>
      <c r="AL107" s="10">
        <f>'BS Forecasts'!AL$197</f>
        <v>0</v>
      </c>
      <c r="AM107" s="10">
        <f>'BS Forecasts'!AM$197</f>
        <v>0</v>
      </c>
      <c r="AN107" s="10">
        <f>'BS Forecasts'!AN$197</f>
        <v>0</v>
      </c>
      <c r="AO107" s="10">
        <f>'BS Forecasts'!AO$197</f>
        <v>0</v>
      </c>
      <c r="AP107" s="10">
        <f>'BS Forecasts'!AP$197</f>
        <v>0</v>
      </c>
      <c r="AQ107" s="10">
        <f>'BS Forecasts'!AQ$197</f>
        <v>0</v>
      </c>
      <c r="AR107" s="10">
        <f>'BS Forecasts'!AR$197</f>
        <v>0</v>
      </c>
      <c r="AS107" s="10">
        <f>'BS Forecasts'!AS$197</f>
        <v>0</v>
      </c>
      <c r="AT107" s="10">
        <f>'BS Forecasts'!AT$197</f>
        <v>0</v>
      </c>
      <c r="AU107" s="10">
        <f>'BS Forecasts'!AU$197</f>
        <v>0</v>
      </c>
      <c r="AV107" s="10">
        <f>'BS Forecasts'!AV$197</f>
        <v>0</v>
      </c>
      <c r="AW107" s="10">
        <f>'BS Forecasts'!AW$197</f>
        <v>0</v>
      </c>
      <c r="AX107" s="10">
        <f>'BS Forecasts'!AX$197</f>
        <v>0</v>
      </c>
      <c r="AY107" s="10">
        <f>'BS Forecasts'!AY$197</f>
        <v>0</v>
      </c>
      <c r="AZ107" s="10">
        <f>'BS Forecasts'!AZ$197</f>
        <v>0</v>
      </c>
      <c r="BA107" s="10">
        <f>'BS Forecasts'!BA$197</f>
        <v>0</v>
      </c>
      <c r="BB107" s="10">
        <f>'BS Forecasts'!BB$197</f>
        <v>0</v>
      </c>
      <c r="BC107" s="10">
        <f>'BS Forecasts'!BC$197</f>
        <v>0</v>
      </c>
      <c r="BD107" s="10">
        <f>'BS Forecasts'!BD$197</f>
        <v>0</v>
      </c>
      <c r="BE107" s="10">
        <f>'BS Forecasts'!BE$197</f>
        <v>0</v>
      </c>
      <c r="BF107" s="10">
        <f>'BS Forecasts'!BF$197</f>
        <v>0</v>
      </c>
      <c r="BG107" s="10">
        <f>'BS Forecasts'!BG$197</f>
        <v>0</v>
      </c>
      <c r="BH107" s="10">
        <f>'BS Forecasts'!BH$197</f>
        <v>0</v>
      </c>
      <c r="BI107" s="10">
        <f>'BS Forecasts'!BI$197</f>
        <v>0</v>
      </c>
      <c r="BJ107" s="10">
        <f>'BS Forecasts'!BJ$197</f>
        <v>0</v>
      </c>
      <c r="BX107" s="10">
        <f>'BS Forecasts'!BX$197</f>
        <v>0</v>
      </c>
      <c r="BY107" s="10">
        <f>'BS Forecasts'!BY$197</f>
        <v>0</v>
      </c>
      <c r="BZ107" s="10">
        <f>'BS Forecasts'!BZ$197</f>
        <v>0</v>
      </c>
      <c r="CA107" s="10">
        <f>'BS Forecasts'!CA$197</f>
        <v>0</v>
      </c>
      <c r="CB107" s="10">
        <f>'BS Forecasts'!CB$197</f>
        <v>0</v>
      </c>
      <c r="CC107" s="10">
        <f>'BS Forecasts'!CC$197</f>
        <v>0</v>
      </c>
      <c r="CD107" s="10">
        <f>'BS Forecasts'!CD$197</f>
        <v>0</v>
      </c>
      <c r="CE107" s="10">
        <f>'BS Forecasts'!CE$197</f>
        <v>0</v>
      </c>
      <c r="CF107" s="10">
        <f>'BS Forecasts'!CF$197</f>
        <v>0</v>
      </c>
      <c r="CG107" s="10">
        <f>'BS Forecasts'!CG$197</f>
        <v>0</v>
      </c>
      <c r="CH107" s="10">
        <f>'BS Forecasts'!CH$197</f>
        <v>0</v>
      </c>
      <c r="CI107" s="10">
        <f>'BS Forecasts'!CI$197</f>
        <v>0</v>
      </c>
      <c r="CK107" s="311"/>
      <c r="CO107" s="100">
        <f t="shared" si="86"/>
        <v>0</v>
      </c>
      <c r="CP107" s="100">
        <f t="shared" si="87"/>
        <v>0</v>
      </c>
      <c r="CQ107" s="100">
        <f t="shared" si="88"/>
        <v>0</v>
      </c>
      <c r="CR107" s="311"/>
      <c r="CS107" s="215">
        <f t="shared" si="89"/>
        <v>0</v>
      </c>
      <c r="CT107" s="215">
        <f t="shared" si="90"/>
        <v>0</v>
      </c>
      <c r="CU107" s="215">
        <f t="shared" si="91"/>
        <v>0</v>
      </c>
      <c r="CV107" s="215">
        <f t="shared" si="92"/>
        <v>0</v>
      </c>
      <c r="CW107" s="215">
        <f t="shared" si="93"/>
        <v>0</v>
      </c>
      <c r="CX107" s="215">
        <f t="shared" si="94"/>
        <v>0</v>
      </c>
      <c r="CY107" s="215">
        <f t="shared" si="95"/>
        <v>0</v>
      </c>
      <c r="EX107" s="10" t="str">
        <f t="shared" ca="1" si="104"/>
        <v>Bursary Deferred Income Account</v>
      </c>
    </row>
    <row r="108" spans="1:154" x14ac:dyDescent="0.35">
      <c r="A108" s="537" cm="1">
        <f t="array" aca="1" ref="A108" ca="1">HYPERLINK(CONCATENATE("#",CELL("address",IF(MAX($CK108:$CR108)=0,A108,INDEX($CK108:$CR108,MATCH(1,$CK108:$CR108,0))))),MAX($CK108:$CR108))</f>
        <v>0</v>
      </c>
      <c r="C108" s="213" t="str">
        <f>'BS Forecasts'!C$200</f>
        <v>B-3q-CB</v>
      </c>
      <c r="D108" s="570" t="str" cm="1">
        <f t="array" aca="1" ref="D108" ca="1">HYPERLINK(CONCATENATE("#",CELL("address",'BS Forecasts'!$D$200)),'BS Forecasts'!$D$199)</f>
        <v>Corporation Tax</v>
      </c>
      <c r="V108" s="10">
        <f>'BS Forecasts'!V$200</f>
        <v>0</v>
      </c>
      <c r="W108" s="10">
        <f>'BS Forecasts'!W$200</f>
        <v>0</v>
      </c>
      <c r="X108" s="10">
        <f>'BS Forecasts'!X$200</f>
        <v>0</v>
      </c>
      <c r="Y108" s="10">
        <f>'BS Forecasts'!Y$200</f>
        <v>0</v>
      </c>
      <c r="AA108" s="10">
        <f>'BS Forecasts'!AA$200</f>
        <v>0</v>
      </c>
      <c r="AB108" s="10">
        <f>'BS Forecasts'!AB$200</f>
        <v>0</v>
      </c>
      <c r="AC108" s="10">
        <f>'BS Forecasts'!AC$200</f>
        <v>0</v>
      </c>
      <c r="AD108" s="10">
        <f>'BS Forecasts'!AD$200</f>
        <v>0</v>
      </c>
      <c r="AE108" s="10">
        <f>'BS Forecasts'!AE$200</f>
        <v>0</v>
      </c>
      <c r="AF108" s="10">
        <f>'BS Forecasts'!AF$200</f>
        <v>0</v>
      </c>
      <c r="AG108" s="10">
        <f>'BS Forecasts'!AG$200</f>
        <v>0</v>
      </c>
      <c r="AH108" s="10">
        <f>'BS Forecasts'!AH$200</f>
        <v>0</v>
      </c>
      <c r="AI108" s="10">
        <f>'BS Forecasts'!AI$200</f>
        <v>0</v>
      </c>
      <c r="AJ108" s="10">
        <f>'BS Forecasts'!AJ$200</f>
        <v>0</v>
      </c>
      <c r="AK108" s="10">
        <f>'BS Forecasts'!AK$200</f>
        <v>0</v>
      </c>
      <c r="AL108" s="10">
        <f>'BS Forecasts'!AL$200</f>
        <v>0</v>
      </c>
      <c r="AM108" s="10">
        <f>'BS Forecasts'!AM$200</f>
        <v>0</v>
      </c>
      <c r="AN108" s="10">
        <f>'BS Forecasts'!AN$200</f>
        <v>0</v>
      </c>
      <c r="AO108" s="10">
        <f>'BS Forecasts'!AO$200</f>
        <v>0</v>
      </c>
      <c r="AP108" s="10">
        <f>'BS Forecasts'!AP$200</f>
        <v>0</v>
      </c>
      <c r="AQ108" s="10">
        <f>'BS Forecasts'!AQ$200</f>
        <v>0</v>
      </c>
      <c r="AR108" s="10">
        <f>'BS Forecasts'!AR$200</f>
        <v>0</v>
      </c>
      <c r="AS108" s="10">
        <f>'BS Forecasts'!AS$200</f>
        <v>0</v>
      </c>
      <c r="AT108" s="10">
        <f>'BS Forecasts'!AT$200</f>
        <v>0</v>
      </c>
      <c r="AU108" s="10">
        <f>'BS Forecasts'!AU$200</f>
        <v>0</v>
      </c>
      <c r="AV108" s="10">
        <f>'BS Forecasts'!AV$200</f>
        <v>0</v>
      </c>
      <c r="AW108" s="10">
        <f>'BS Forecasts'!AW$200</f>
        <v>0</v>
      </c>
      <c r="AX108" s="10">
        <f>'BS Forecasts'!AX$200</f>
        <v>0</v>
      </c>
      <c r="AY108" s="10">
        <f>'BS Forecasts'!AY$200</f>
        <v>0</v>
      </c>
      <c r="AZ108" s="10">
        <f>'BS Forecasts'!AZ$200</f>
        <v>0</v>
      </c>
      <c r="BA108" s="10">
        <f>'BS Forecasts'!BA$200</f>
        <v>0</v>
      </c>
      <c r="BB108" s="10">
        <f>'BS Forecasts'!BB$200</f>
        <v>0</v>
      </c>
      <c r="BC108" s="10">
        <f>'BS Forecasts'!BC$200</f>
        <v>0</v>
      </c>
      <c r="BD108" s="10">
        <f>'BS Forecasts'!BD$200</f>
        <v>0</v>
      </c>
      <c r="BE108" s="10">
        <f>'BS Forecasts'!BE$200</f>
        <v>0</v>
      </c>
      <c r="BF108" s="10">
        <f>'BS Forecasts'!BF$200</f>
        <v>0</v>
      </c>
      <c r="BG108" s="10">
        <f>'BS Forecasts'!BG$200</f>
        <v>0</v>
      </c>
      <c r="BH108" s="10">
        <f>'BS Forecasts'!BH$200</f>
        <v>0</v>
      </c>
      <c r="BI108" s="10">
        <f>'BS Forecasts'!BI$200</f>
        <v>0</v>
      </c>
      <c r="BJ108" s="10">
        <f>'BS Forecasts'!BJ$200</f>
        <v>0</v>
      </c>
      <c r="BX108" s="10">
        <f>'BS Forecasts'!BX$200</f>
        <v>0</v>
      </c>
      <c r="BY108" s="10">
        <f>'BS Forecasts'!BY$200</f>
        <v>0</v>
      </c>
      <c r="BZ108" s="10">
        <f>'BS Forecasts'!BZ$200</f>
        <v>0</v>
      </c>
      <c r="CA108" s="10">
        <f>'BS Forecasts'!CA$200</f>
        <v>0</v>
      </c>
      <c r="CB108" s="10">
        <f>'BS Forecasts'!CB$200</f>
        <v>0</v>
      </c>
      <c r="CC108" s="10">
        <f>'BS Forecasts'!CC$200</f>
        <v>0</v>
      </c>
      <c r="CD108" s="10">
        <f>'BS Forecasts'!CD$200</f>
        <v>0</v>
      </c>
      <c r="CE108" s="10">
        <f>'BS Forecasts'!CE$200</f>
        <v>0</v>
      </c>
      <c r="CF108" s="10">
        <f>'BS Forecasts'!CF$200</f>
        <v>0</v>
      </c>
      <c r="CG108" s="10">
        <f>'BS Forecasts'!CG$200</f>
        <v>0</v>
      </c>
      <c r="CH108" s="10">
        <f>'BS Forecasts'!CH$200</f>
        <v>0</v>
      </c>
      <c r="CI108" s="10">
        <f>'BS Forecasts'!CI$200</f>
        <v>0</v>
      </c>
      <c r="CK108" s="311"/>
      <c r="CO108" s="100">
        <f t="shared" si="86"/>
        <v>0</v>
      </c>
      <c r="CP108" s="100">
        <f t="shared" si="87"/>
        <v>0</v>
      </c>
      <c r="CQ108" s="100">
        <f t="shared" si="88"/>
        <v>0</v>
      </c>
      <c r="CR108" s="311"/>
      <c r="CS108" s="215">
        <f t="shared" si="89"/>
        <v>0</v>
      </c>
      <c r="CT108" s="215">
        <f t="shared" si="90"/>
        <v>0</v>
      </c>
      <c r="CU108" s="215">
        <f t="shared" si="91"/>
        <v>0</v>
      </c>
      <c r="CV108" s="215">
        <f t="shared" si="92"/>
        <v>0</v>
      </c>
      <c r="CW108" s="215">
        <f t="shared" si="93"/>
        <v>0</v>
      </c>
      <c r="CX108" s="215">
        <f t="shared" si="94"/>
        <v>0</v>
      </c>
      <c r="CY108" s="215">
        <f t="shared" si="95"/>
        <v>0</v>
      </c>
      <c r="EX108" s="10" t="str">
        <f t="shared" ca="1" si="104"/>
        <v>Corporation Tax</v>
      </c>
    </row>
    <row r="109" spans="1:154" x14ac:dyDescent="0.35">
      <c r="A109" s="537" cm="1">
        <f t="array" aca="1" ref="A109" ca="1">HYPERLINK(CONCATENATE("#",CELL("address",IF(MAX($CK109:$CR109)=0,A109,INDEX($CK109:$CR109,MATCH(1,$CK109:$CR109,0))))),MAX($CK109:$CR109))</f>
        <v>0</v>
      </c>
      <c r="C109" s="213" t="str">
        <f>'BS Forecasts'!C$203</f>
        <v>B-3r-CB</v>
      </c>
      <c r="D109" s="570" t="str" cm="1">
        <f t="array" aca="1" ref="D109" ca="1">HYPERLINK(CONCATENATE("#",CELL("address",'BS Forecasts'!$D$203)),'BS Forecasts'!$D$202)</f>
        <v>Other Taxation and Social Security</v>
      </c>
      <c r="V109" s="10">
        <f>'BS Forecasts'!V$203</f>
        <v>0</v>
      </c>
      <c r="W109" s="10">
        <f>'BS Forecasts'!W$203</f>
        <v>0</v>
      </c>
      <c r="X109" s="10">
        <f>'BS Forecasts'!X$203</f>
        <v>0</v>
      </c>
      <c r="Y109" s="10">
        <f>'BS Forecasts'!Y$203</f>
        <v>0</v>
      </c>
      <c r="AA109" s="10">
        <f>'BS Forecasts'!AA$203</f>
        <v>0</v>
      </c>
      <c r="AB109" s="10">
        <f>'BS Forecasts'!AB$203</f>
        <v>0</v>
      </c>
      <c r="AC109" s="10">
        <f>'BS Forecasts'!AC$203</f>
        <v>0</v>
      </c>
      <c r="AD109" s="10">
        <f>'BS Forecasts'!AD$203</f>
        <v>0</v>
      </c>
      <c r="AE109" s="10">
        <f>'BS Forecasts'!AE$203</f>
        <v>0</v>
      </c>
      <c r="AF109" s="10">
        <f>'BS Forecasts'!AF$203</f>
        <v>0</v>
      </c>
      <c r="AG109" s="10">
        <f>'BS Forecasts'!AG$203</f>
        <v>0</v>
      </c>
      <c r="AH109" s="10">
        <f>'BS Forecasts'!AH$203</f>
        <v>0</v>
      </c>
      <c r="AI109" s="10">
        <f>'BS Forecasts'!AI$203</f>
        <v>0</v>
      </c>
      <c r="AJ109" s="10">
        <f>'BS Forecasts'!AJ$203</f>
        <v>0</v>
      </c>
      <c r="AK109" s="10">
        <f>'BS Forecasts'!AK$203</f>
        <v>0</v>
      </c>
      <c r="AL109" s="10">
        <f>'BS Forecasts'!AL$203</f>
        <v>0</v>
      </c>
      <c r="AM109" s="10">
        <f>'BS Forecasts'!AM$203</f>
        <v>0</v>
      </c>
      <c r="AN109" s="10">
        <f>'BS Forecasts'!AN$203</f>
        <v>0</v>
      </c>
      <c r="AO109" s="10">
        <f>'BS Forecasts'!AO$203</f>
        <v>0</v>
      </c>
      <c r="AP109" s="10">
        <f>'BS Forecasts'!AP$203</f>
        <v>0</v>
      </c>
      <c r="AQ109" s="10">
        <f>'BS Forecasts'!AQ$203</f>
        <v>0</v>
      </c>
      <c r="AR109" s="10">
        <f>'BS Forecasts'!AR$203</f>
        <v>0</v>
      </c>
      <c r="AS109" s="10">
        <f>'BS Forecasts'!AS$203</f>
        <v>0</v>
      </c>
      <c r="AT109" s="10">
        <f>'BS Forecasts'!AT$203</f>
        <v>0</v>
      </c>
      <c r="AU109" s="10">
        <f>'BS Forecasts'!AU$203</f>
        <v>0</v>
      </c>
      <c r="AV109" s="10">
        <f>'BS Forecasts'!AV$203</f>
        <v>0</v>
      </c>
      <c r="AW109" s="10">
        <f>'BS Forecasts'!AW$203</f>
        <v>0</v>
      </c>
      <c r="AX109" s="10">
        <f>'BS Forecasts'!AX$203</f>
        <v>0</v>
      </c>
      <c r="AY109" s="10">
        <f>'BS Forecasts'!AY$203</f>
        <v>0</v>
      </c>
      <c r="AZ109" s="10">
        <f>'BS Forecasts'!AZ$203</f>
        <v>0</v>
      </c>
      <c r="BA109" s="10">
        <f>'BS Forecasts'!BA$203</f>
        <v>0</v>
      </c>
      <c r="BB109" s="10">
        <f>'BS Forecasts'!BB$203</f>
        <v>0</v>
      </c>
      <c r="BC109" s="10">
        <f>'BS Forecasts'!BC$203</f>
        <v>0</v>
      </c>
      <c r="BD109" s="10">
        <f>'BS Forecasts'!BD$203</f>
        <v>0</v>
      </c>
      <c r="BE109" s="10">
        <f>'BS Forecasts'!BE$203</f>
        <v>0</v>
      </c>
      <c r="BF109" s="10">
        <f>'BS Forecasts'!BF$203</f>
        <v>0</v>
      </c>
      <c r="BG109" s="10">
        <f>'BS Forecasts'!BG$203</f>
        <v>0</v>
      </c>
      <c r="BH109" s="10">
        <f>'BS Forecasts'!BH$203</f>
        <v>0</v>
      </c>
      <c r="BI109" s="10">
        <f>'BS Forecasts'!BI$203</f>
        <v>0</v>
      </c>
      <c r="BJ109" s="10">
        <f>'BS Forecasts'!BJ$203</f>
        <v>0</v>
      </c>
      <c r="BX109" s="10">
        <f>'BS Forecasts'!BX$203</f>
        <v>0</v>
      </c>
      <c r="BY109" s="10">
        <f>'BS Forecasts'!BY$203</f>
        <v>0</v>
      </c>
      <c r="BZ109" s="10">
        <f>'BS Forecasts'!BZ$203</f>
        <v>0</v>
      </c>
      <c r="CA109" s="10">
        <f>'BS Forecasts'!CA$203</f>
        <v>0</v>
      </c>
      <c r="CB109" s="10">
        <f>'BS Forecasts'!CB$203</f>
        <v>0</v>
      </c>
      <c r="CC109" s="10">
        <f>'BS Forecasts'!CC$203</f>
        <v>0</v>
      </c>
      <c r="CD109" s="10">
        <f>'BS Forecasts'!CD$203</f>
        <v>0</v>
      </c>
      <c r="CE109" s="10">
        <f>'BS Forecasts'!CE$203</f>
        <v>0</v>
      </c>
      <c r="CF109" s="10">
        <f>'BS Forecasts'!CF$203</f>
        <v>0</v>
      </c>
      <c r="CG109" s="10">
        <f>'BS Forecasts'!CG$203</f>
        <v>0</v>
      </c>
      <c r="CH109" s="10">
        <f>'BS Forecasts'!CH$203</f>
        <v>0</v>
      </c>
      <c r="CI109" s="10">
        <f>'BS Forecasts'!CI$203</f>
        <v>0</v>
      </c>
      <c r="CK109" s="311"/>
      <c r="CO109" s="100">
        <f t="shared" si="86"/>
        <v>0</v>
      </c>
      <c r="CP109" s="100">
        <f t="shared" si="87"/>
        <v>0</v>
      </c>
      <c r="CQ109" s="100">
        <f t="shared" si="88"/>
        <v>0</v>
      </c>
      <c r="CR109" s="311"/>
      <c r="CS109" s="215">
        <f t="shared" si="89"/>
        <v>0</v>
      </c>
      <c r="CT109" s="215">
        <f t="shared" si="90"/>
        <v>0</v>
      </c>
      <c r="CU109" s="215">
        <f t="shared" si="91"/>
        <v>0</v>
      </c>
      <c r="CV109" s="215">
        <f t="shared" si="92"/>
        <v>0</v>
      </c>
      <c r="CW109" s="215">
        <f t="shared" si="93"/>
        <v>0</v>
      </c>
      <c r="CX109" s="215">
        <f t="shared" si="94"/>
        <v>0</v>
      </c>
      <c r="CY109" s="215">
        <f t="shared" si="95"/>
        <v>0</v>
      </c>
      <c r="EX109" s="10" t="str">
        <f t="shared" ca="1" si="104"/>
        <v>Other Taxation and Social Security</v>
      </c>
    </row>
    <row r="110" spans="1:154" x14ac:dyDescent="0.35">
      <c r="A110" s="537" cm="1">
        <f t="array" aca="1" ref="A110" ca="1">HYPERLINK(CONCATENATE("#",CELL("address",IF(MAX($CK110:$CR110)=0,A110,INDEX($CK110:$CR110,MATCH(1,$CK110:$CR110,0))))),MAX($CK110:$CR110))</f>
        <v>0</v>
      </c>
      <c r="C110" s="213" t="s">
        <v>1523</v>
      </c>
      <c r="D110" s="107" t="s">
        <v>705</v>
      </c>
      <c r="V110" s="12">
        <f>SUM(V91:V109)*V$9</f>
        <v>0</v>
      </c>
      <c r="W110" s="12">
        <f>SUM(W91:W109)*W$9</f>
        <v>0</v>
      </c>
      <c r="X110" s="12">
        <f>SUM(X91:X109)*X$9</f>
        <v>0</v>
      </c>
      <c r="Y110" s="12">
        <f>SUM(Y91:Y109)*Y$9</f>
        <v>0</v>
      </c>
      <c r="AA110" s="12">
        <f t="shared" ref="AA110:BJ110" si="105">SUM(AA91:AA109)*AA$9</f>
        <v>0</v>
      </c>
      <c r="AB110" s="12">
        <f t="shared" si="105"/>
        <v>0</v>
      </c>
      <c r="AC110" s="12">
        <f t="shared" si="105"/>
        <v>0</v>
      </c>
      <c r="AD110" s="12">
        <f t="shared" si="105"/>
        <v>0</v>
      </c>
      <c r="AE110" s="12">
        <f t="shared" si="105"/>
        <v>0</v>
      </c>
      <c r="AF110" s="12">
        <f t="shared" si="105"/>
        <v>0</v>
      </c>
      <c r="AG110" s="12">
        <f t="shared" si="105"/>
        <v>0</v>
      </c>
      <c r="AH110" s="12">
        <f t="shared" si="105"/>
        <v>0</v>
      </c>
      <c r="AI110" s="12">
        <f t="shared" si="105"/>
        <v>0</v>
      </c>
      <c r="AJ110" s="12">
        <f t="shared" si="105"/>
        <v>0</v>
      </c>
      <c r="AK110" s="12">
        <f t="shared" si="105"/>
        <v>0</v>
      </c>
      <c r="AL110" s="12">
        <f t="shared" si="105"/>
        <v>0</v>
      </c>
      <c r="AM110" s="12">
        <f t="shared" si="105"/>
        <v>0</v>
      </c>
      <c r="AN110" s="12">
        <f t="shared" si="105"/>
        <v>0</v>
      </c>
      <c r="AO110" s="12">
        <f t="shared" si="105"/>
        <v>0</v>
      </c>
      <c r="AP110" s="12">
        <f t="shared" si="105"/>
        <v>0</v>
      </c>
      <c r="AQ110" s="12">
        <f t="shared" si="105"/>
        <v>0</v>
      </c>
      <c r="AR110" s="12">
        <f t="shared" si="105"/>
        <v>0</v>
      </c>
      <c r="AS110" s="12">
        <f t="shared" si="105"/>
        <v>0</v>
      </c>
      <c r="AT110" s="12">
        <f t="shared" si="105"/>
        <v>0</v>
      </c>
      <c r="AU110" s="12">
        <f t="shared" si="105"/>
        <v>0</v>
      </c>
      <c r="AV110" s="12">
        <f t="shared" si="105"/>
        <v>0</v>
      </c>
      <c r="AW110" s="12">
        <f t="shared" si="105"/>
        <v>0</v>
      </c>
      <c r="AX110" s="12">
        <f t="shared" si="105"/>
        <v>0</v>
      </c>
      <c r="AY110" s="12">
        <f t="shared" si="105"/>
        <v>0</v>
      </c>
      <c r="AZ110" s="12">
        <f t="shared" si="105"/>
        <v>0</v>
      </c>
      <c r="BA110" s="12">
        <f t="shared" si="105"/>
        <v>0</v>
      </c>
      <c r="BB110" s="12">
        <f t="shared" si="105"/>
        <v>0</v>
      </c>
      <c r="BC110" s="12">
        <f t="shared" si="105"/>
        <v>0</v>
      </c>
      <c r="BD110" s="12">
        <f t="shared" si="105"/>
        <v>0</v>
      </c>
      <c r="BE110" s="12">
        <f t="shared" si="105"/>
        <v>0</v>
      </c>
      <c r="BF110" s="12">
        <f t="shared" si="105"/>
        <v>0</v>
      </c>
      <c r="BG110" s="12">
        <f t="shared" si="105"/>
        <v>0</v>
      </c>
      <c r="BH110" s="12">
        <f t="shared" si="105"/>
        <v>0</v>
      </c>
      <c r="BI110" s="12">
        <f t="shared" si="105"/>
        <v>0</v>
      </c>
      <c r="BJ110" s="12">
        <f t="shared" si="105"/>
        <v>0</v>
      </c>
      <c r="BX110" s="12">
        <f t="shared" ref="BX110:CI110" si="106">SUM(BX91:BX109)*BX$9</f>
        <v>0</v>
      </c>
      <c r="BY110" s="12">
        <f t="shared" si="106"/>
        <v>0</v>
      </c>
      <c r="BZ110" s="12">
        <f t="shared" si="106"/>
        <v>0</v>
      </c>
      <c r="CA110" s="12">
        <f t="shared" si="106"/>
        <v>0</v>
      </c>
      <c r="CB110" s="12">
        <f t="shared" si="106"/>
        <v>0</v>
      </c>
      <c r="CC110" s="12">
        <f t="shared" si="106"/>
        <v>0</v>
      </c>
      <c r="CD110" s="12">
        <f t="shared" si="106"/>
        <v>0</v>
      </c>
      <c r="CE110" s="12">
        <f t="shared" si="106"/>
        <v>0</v>
      </c>
      <c r="CF110" s="12">
        <f t="shared" si="106"/>
        <v>0</v>
      </c>
      <c r="CG110" s="12">
        <f t="shared" si="106"/>
        <v>0</v>
      </c>
      <c r="CH110" s="12">
        <f t="shared" si="106"/>
        <v>0</v>
      </c>
      <c r="CI110" s="12">
        <f t="shared" si="106"/>
        <v>0</v>
      </c>
      <c r="CK110" s="311"/>
      <c r="CO110" s="100">
        <f t="shared" si="86"/>
        <v>0</v>
      </c>
      <c r="CP110" s="100">
        <f t="shared" si="87"/>
        <v>0</v>
      </c>
      <c r="CQ110" s="100">
        <f t="shared" si="88"/>
        <v>0</v>
      </c>
      <c r="CR110" s="311"/>
      <c r="CS110" s="215">
        <f t="shared" si="89"/>
        <v>0</v>
      </c>
      <c r="CT110" s="215">
        <f t="shared" si="90"/>
        <v>0</v>
      </c>
      <c r="CU110" s="215">
        <f t="shared" si="91"/>
        <v>0</v>
      </c>
      <c r="CV110" s="215">
        <f t="shared" si="92"/>
        <v>0</v>
      </c>
      <c r="CW110" s="215">
        <f t="shared" si="93"/>
        <v>0</v>
      </c>
      <c r="CX110" s="215">
        <f t="shared" si="94"/>
        <v>0</v>
      </c>
      <c r="CY110" s="215">
        <f t="shared" si="95"/>
        <v>0</v>
      </c>
      <c r="EX110" s="10" t="str">
        <f t="shared" si="104"/>
        <v>Total Creditors: amounts falling due within one year</v>
      </c>
    </row>
    <row r="111" spans="1:154" ht="11.65" customHeight="1" x14ac:dyDescent="0.35">
      <c r="C111" s="213"/>
      <c r="E111"/>
      <c r="CK111" s="311"/>
      <c r="CO111" s="120"/>
      <c r="CP111" s="120"/>
      <c r="CQ111" s="120"/>
      <c r="CR111" s="311"/>
      <c r="EX111" s="10" t="str">
        <f t="shared" si="104"/>
        <v/>
      </c>
    </row>
    <row r="112" spans="1:154" x14ac:dyDescent="0.35">
      <c r="A112" s="537" cm="1">
        <f t="array" aca="1" ref="A112" ca="1">HYPERLINK(CONCATENATE("#",CELL("address",IF(MAX($CK112:$CR112)=0,A112,INDEX($CK112:$CR112,MATCH(1,$CK112:$CR112,0))))),MAX($CK112:$CR112))</f>
        <v>0</v>
      </c>
      <c r="B112" s="5"/>
      <c r="C112" s="213"/>
      <c r="D112" s="107" t="s">
        <v>1524</v>
      </c>
      <c r="V112" s="12">
        <f>V88-V110</f>
        <v>0</v>
      </c>
      <c r="W112" s="12">
        <f>W88-W110</f>
        <v>0</v>
      </c>
      <c r="X112" s="12">
        <f>X88-X110</f>
        <v>0</v>
      </c>
      <c r="Y112" s="12">
        <f>Y88-Y110</f>
        <v>0</v>
      </c>
      <c r="AA112" s="12">
        <f t="shared" ref="AA112:BJ112" si="107">AA88-AA110</f>
        <v>0</v>
      </c>
      <c r="AB112" s="12">
        <f t="shared" si="107"/>
        <v>0</v>
      </c>
      <c r="AC112" s="12">
        <f t="shared" si="107"/>
        <v>0</v>
      </c>
      <c r="AD112" s="12">
        <f t="shared" si="107"/>
        <v>0</v>
      </c>
      <c r="AE112" s="12">
        <f t="shared" si="107"/>
        <v>0</v>
      </c>
      <c r="AF112" s="12">
        <f t="shared" si="107"/>
        <v>0</v>
      </c>
      <c r="AG112" s="12">
        <f t="shared" si="107"/>
        <v>0</v>
      </c>
      <c r="AH112" s="12">
        <f t="shared" si="107"/>
        <v>0</v>
      </c>
      <c r="AI112" s="12">
        <f t="shared" si="107"/>
        <v>0</v>
      </c>
      <c r="AJ112" s="12">
        <f t="shared" si="107"/>
        <v>0</v>
      </c>
      <c r="AK112" s="12">
        <f t="shared" si="107"/>
        <v>0</v>
      </c>
      <c r="AL112" s="12">
        <f t="shared" si="107"/>
        <v>0</v>
      </c>
      <c r="AM112" s="12">
        <f t="shared" si="107"/>
        <v>0</v>
      </c>
      <c r="AN112" s="12">
        <f t="shared" si="107"/>
        <v>0</v>
      </c>
      <c r="AO112" s="12">
        <f t="shared" si="107"/>
        <v>0</v>
      </c>
      <c r="AP112" s="12">
        <f t="shared" si="107"/>
        <v>0</v>
      </c>
      <c r="AQ112" s="12">
        <f t="shared" si="107"/>
        <v>0</v>
      </c>
      <c r="AR112" s="12">
        <f t="shared" si="107"/>
        <v>0</v>
      </c>
      <c r="AS112" s="12">
        <f t="shared" si="107"/>
        <v>0</v>
      </c>
      <c r="AT112" s="12">
        <f t="shared" si="107"/>
        <v>0</v>
      </c>
      <c r="AU112" s="12">
        <f t="shared" si="107"/>
        <v>0</v>
      </c>
      <c r="AV112" s="12">
        <f t="shared" si="107"/>
        <v>0</v>
      </c>
      <c r="AW112" s="12">
        <f t="shared" si="107"/>
        <v>0</v>
      </c>
      <c r="AX112" s="12">
        <f t="shared" si="107"/>
        <v>0</v>
      </c>
      <c r="AY112" s="12">
        <f t="shared" si="107"/>
        <v>0</v>
      </c>
      <c r="AZ112" s="12">
        <f t="shared" si="107"/>
        <v>0</v>
      </c>
      <c r="BA112" s="12">
        <f t="shared" si="107"/>
        <v>0</v>
      </c>
      <c r="BB112" s="12">
        <f t="shared" si="107"/>
        <v>0</v>
      </c>
      <c r="BC112" s="12">
        <f t="shared" si="107"/>
        <v>0</v>
      </c>
      <c r="BD112" s="12">
        <f t="shared" si="107"/>
        <v>0</v>
      </c>
      <c r="BE112" s="12">
        <f t="shared" si="107"/>
        <v>0</v>
      </c>
      <c r="BF112" s="12">
        <f t="shared" si="107"/>
        <v>0</v>
      </c>
      <c r="BG112" s="12">
        <f t="shared" si="107"/>
        <v>0</v>
      </c>
      <c r="BH112" s="12">
        <f t="shared" si="107"/>
        <v>0</v>
      </c>
      <c r="BI112" s="12">
        <f t="shared" si="107"/>
        <v>0</v>
      </c>
      <c r="BJ112" s="12">
        <f t="shared" si="107"/>
        <v>0</v>
      </c>
      <c r="BX112" s="12">
        <f t="shared" ref="BX112:CI112" si="108">BX88-BX110</f>
        <v>0</v>
      </c>
      <c r="BY112" s="12">
        <f t="shared" si="108"/>
        <v>0</v>
      </c>
      <c r="BZ112" s="12">
        <f t="shared" si="108"/>
        <v>0</v>
      </c>
      <c r="CA112" s="12">
        <f t="shared" si="108"/>
        <v>0</v>
      </c>
      <c r="CB112" s="12">
        <f t="shared" si="108"/>
        <v>0</v>
      </c>
      <c r="CC112" s="12">
        <f t="shared" si="108"/>
        <v>0</v>
      </c>
      <c r="CD112" s="12">
        <f t="shared" si="108"/>
        <v>0</v>
      </c>
      <c r="CE112" s="12">
        <f t="shared" si="108"/>
        <v>0</v>
      </c>
      <c r="CF112" s="12">
        <f t="shared" si="108"/>
        <v>0</v>
      </c>
      <c r="CG112" s="12">
        <f t="shared" si="108"/>
        <v>0</v>
      </c>
      <c r="CH112" s="12">
        <f t="shared" si="108"/>
        <v>0</v>
      </c>
      <c r="CI112" s="12">
        <f t="shared" si="108"/>
        <v>0</v>
      </c>
      <c r="CK112" s="311"/>
      <c r="CO112" s="100">
        <f>IF(SUM($CS112:$CU112)=0, 0, 1)</f>
        <v>0</v>
      </c>
      <c r="CP112" s="100">
        <f>IF(SUM($CV112:$CX112)=0, 0, 1)</f>
        <v>0</v>
      </c>
      <c r="CQ112" s="100">
        <f>IF(CY112=0, 0, 1)</f>
        <v>0</v>
      </c>
      <c r="CR112" s="311"/>
      <c r="CS112" s="215">
        <f>ROUND(W112-INDEX($AA112:$BJ112, MATCH(W$5, $AA$5:$BJ$5,0)), rounding)</f>
        <v>0</v>
      </c>
      <c r="CT112" s="215">
        <f>ROUND(X112-INDEX($AA112:$BJ112, MATCH(X$5, $AA$5:$BJ$5,0)), rounding)</f>
        <v>0</v>
      </c>
      <c r="CU112" s="215">
        <f>ROUND(Y112-INDEX($AA112:$BJ112, MATCH(Y$5, $AA$5:$BJ$5,0)), rounding)</f>
        <v>0</v>
      </c>
      <c r="CV112" s="215">
        <f>ROUND(W112-BY112, rounding)</f>
        <v>0</v>
      </c>
      <c r="CW112" s="215">
        <f>ROUND(X112-BZ112, rounding)</f>
        <v>0</v>
      </c>
      <c r="CX112" s="215">
        <f>ROUND(Y112-CA112, rounding)</f>
        <v>0</v>
      </c>
      <c r="CY112" s="215">
        <f>ROUND(V112-BX112, rounding)</f>
        <v>0</v>
      </c>
      <c r="EX112" s="10" t="str">
        <f t="shared" si="104"/>
        <v/>
      </c>
    </row>
    <row r="113" spans="1:154" ht="8.25" customHeight="1" x14ac:dyDescent="0.35">
      <c r="C113" s="213"/>
      <c r="D113" s="57"/>
      <c r="E113"/>
      <c r="CK113" s="312"/>
      <c r="CO113" s="120"/>
      <c r="CP113" s="120"/>
      <c r="CQ113" s="120"/>
      <c r="CR113" s="311"/>
      <c r="EX113" s="10" t="str">
        <f t="shared" si="104"/>
        <v/>
      </c>
    </row>
    <row r="114" spans="1:154" x14ac:dyDescent="0.35">
      <c r="A114" s="537" cm="1">
        <f t="array" aca="1" ref="A114" ca="1">HYPERLINK(CONCATENATE("#",CELL("address",IF(MAX($CK114:$CR114)=0,A114,INDEX($CK114:$CR114,MATCH(1,$CK114:$CR114,0))))),MAX($CK114:$CR114))</f>
        <v>0</v>
      </c>
      <c r="B114" s="5"/>
      <c r="C114" s="213"/>
      <c r="D114" s="107" t="s">
        <v>1525</v>
      </c>
      <c r="V114" s="12">
        <f>V74+V88-V110</f>
        <v>0</v>
      </c>
      <c r="W114" s="12">
        <f>W74+W88-W110</f>
        <v>0</v>
      </c>
      <c r="X114" s="12">
        <f>X74+X88-X110</f>
        <v>0</v>
      </c>
      <c r="Y114" s="12">
        <f>Y74+Y88-Y110</f>
        <v>0</v>
      </c>
      <c r="AA114" s="12">
        <f t="shared" ref="AA114:BJ114" si="109">AA74+AA88-AA110</f>
        <v>0</v>
      </c>
      <c r="AB114" s="12">
        <f t="shared" si="109"/>
        <v>0</v>
      </c>
      <c r="AC114" s="12">
        <f t="shared" si="109"/>
        <v>0</v>
      </c>
      <c r="AD114" s="12">
        <f t="shared" si="109"/>
        <v>0</v>
      </c>
      <c r="AE114" s="12">
        <f t="shared" si="109"/>
        <v>0</v>
      </c>
      <c r="AF114" s="12">
        <f t="shared" si="109"/>
        <v>0</v>
      </c>
      <c r="AG114" s="12">
        <f t="shared" si="109"/>
        <v>0</v>
      </c>
      <c r="AH114" s="12">
        <f t="shared" si="109"/>
        <v>0</v>
      </c>
      <c r="AI114" s="12">
        <f t="shared" si="109"/>
        <v>0</v>
      </c>
      <c r="AJ114" s="12">
        <f t="shared" si="109"/>
        <v>0</v>
      </c>
      <c r="AK114" s="12">
        <f t="shared" si="109"/>
        <v>0</v>
      </c>
      <c r="AL114" s="12">
        <f t="shared" si="109"/>
        <v>0</v>
      </c>
      <c r="AM114" s="12">
        <f t="shared" si="109"/>
        <v>0</v>
      </c>
      <c r="AN114" s="12">
        <f t="shared" si="109"/>
        <v>0</v>
      </c>
      <c r="AO114" s="12">
        <f t="shared" si="109"/>
        <v>0</v>
      </c>
      <c r="AP114" s="12">
        <f t="shared" si="109"/>
        <v>0</v>
      </c>
      <c r="AQ114" s="12">
        <f t="shared" si="109"/>
        <v>0</v>
      </c>
      <c r="AR114" s="12">
        <f t="shared" si="109"/>
        <v>0</v>
      </c>
      <c r="AS114" s="12">
        <f t="shared" si="109"/>
        <v>0</v>
      </c>
      <c r="AT114" s="12">
        <f t="shared" si="109"/>
        <v>0</v>
      </c>
      <c r="AU114" s="12">
        <f t="shared" si="109"/>
        <v>0</v>
      </c>
      <c r="AV114" s="12">
        <f t="shared" si="109"/>
        <v>0</v>
      </c>
      <c r="AW114" s="12">
        <f t="shared" si="109"/>
        <v>0</v>
      </c>
      <c r="AX114" s="12">
        <f t="shared" si="109"/>
        <v>0</v>
      </c>
      <c r="AY114" s="12">
        <f t="shared" si="109"/>
        <v>0</v>
      </c>
      <c r="AZ114" s="12">
        <f t="shared" si="109"/>
        <v>0</v>
      </c>
      <c r="BA114" s="12">
        <f t="shared" si="109"/>
        <v>0</v>
      </c>
      <c r="BB114" s="12">
        <f t="shared" si="109"/>
        <v>0</v>
      </c>
      <c r="BC114" s="12">
        <f t="shared" si="109"/>
        <v>0</v>
      </c>
      <c r="BD114" s="12">
        <f t="shared" si="109"/>
        <v>0</v>
      </c>
      <c r="BE114" s="12">
        <f t="shared" si="109"/>
        <v>0</v>
      </c>
      <c r="BF114" s="12">
        <f t="shared" si="109"/>
        <v>0</v>
      </c>
      <c r="BG114" s="12">
        <f t="shared" si="109"/>
        <v>0</v>
      </c>
      <c r="BH114" s="12">
        <f t="shared" si="109"/>
        <v>0</v>
      </c>
      <c r="BI114" s="12">
        <f t="shared" si="109"/>
        <v>0</v>
      </c>
      <c r="BJ114" s="12">
        <f t="shared" si="109"/>
        <v>0</v>
      </c>
      <c r="BX114" s="12">
        <f t="shared" ref="BX114:CI114" si="110">BX74+BX88-BX110</f>
        <v>0</v>
      </c>
      <c r="BY114" s="12">
        <f t="shared" si="110"/>
        <v>0</v>
      </c>
      <c r="BZ114" s="12">
        <f t="shared" si="110"/>
        <v>0</v>
      </c>
      <c r="CA114" s="12">
        <f t="shared" si="110"/>
        <v>0</v>
      </c>
      <c r="CB114" s="12">
        <f t="shared" si="110"/>
        <v>0</v>
      </c>
      <c r="CC114" s="12">
        <f t="shared" si="110"/>
        <v>0</v>
      </c>
      <c r="CD114" s="12">
        <f t="shared" si="110"/>
        <v>0</v>
      </c>
      <c r="CE114" s="12">
        <f t="shared" si="110"/>
        <v>0</v>
      </c>
      <c r="CF114" s="12">
        <f t="shared" si="110"/>
        <v>0</v>
      </c>
      <c r="CG114" s="12">
        <f t="shared" si="110"/>
        <v>0</v>
      </c>
      <c r="CH114" s="12">
        <f t="shared" si="110"/>
        <v>0</v>
      </c>
      <c r="CI114" s="12">
        <f t="shared" si="110"/>
        <v>0</v>
      </c>
      <c r="CK114" s="311"/>
      <c r="CO114" s="100">
        <f>IF(SUM($CS114:$CU114)=0, 0, 1)</f>
        <v>0</v>
      </c>
      <c r="CP114" s="100">
        <f>IF(SUM($CV114:$CX114)=0, 0, 1)</f>
        <v>0</v>
      </c>
      <c r="CQ114" s="100">
        <f>IF(CY114=0, 0, 1)</f>
        <v>0</v>
      </c>
      <c r="CR114" s="311"/>
      <c r="CS114" s="215">
        <f>ROUND(W114-INDEX($AA114:$BJ114, MATCH(W$5, $AA$5:$BJ$5,0)), rounding)</f>
        <v>0</v>
      </c>
      <c r="CT114" s="215">
        <f>ROUND(X114-INDEX($AA114:$BJ114, MATCH(X$5, $AA$5:$BJ$5,0)), rounding)</f>
        <v>0</v>
      </c>
      <c r="CU114" s="215">
        <f>ROUND(Y114-INDEX($AA114:$BJ114, MATCH(Y$5, $AA$5:$BJ$5,0)), rounding)</f>
        <v>0</v>
      </c>
      <c r="CV114" s="215">
        <f>ROUND(W114-BY114, rounding)</f>
        <v>0</v>
      </c>
      <c r="CW114" s="215">
        <f>ROUND(X114-BZ114, rounding)</f>
        <v>0</v>
      </c>
      <c r="CX114" s="215">
        <f>ROUND(Y114-CA114, rounding)</f>
        <v>0</v>
      </c>
      <c r="CY114" s="215">
        <f>ROUND(V114-BX114, rounding)</f>
        <v>0</v>
      </c>
      <c r="EX114" s="10" t="str">
        <f t="shared" si="104"/>
        <v/>
      </c>
    </row>
    <row r="115" spans="1:154" ht="8.25" customHeight="1" x14ac:dyDescent="0.35">
      <c r="C115" s="213"/>
      <c r="D115" s="57"/>
      <c r="E115"/>
      <c r="CK115" s="312"/>
      <c r="CO115" s="120"/>
      <c r="CP115" s="120"/>
      <c r="CQ115" s="120"/>
      <c r="CR115" s="311"/>
      <c r="EX115" s="10" t="str">
        <f t="shared" si="104"/>
        <v/>
      </c>
    </row>
    <row r="116" spans="1:154" x14ac:dyDescent="0.35">
      <c r="A116" s="537" cm="1">
        <f t="array" aca="1" ref="A116" ca="1">HYPERLINK(CONCATENATE("#",CELL("address",IF(MAX($CK116:$CR116)=0,A116,INDEX($CK116:$CR116,MATCH(1,$CK116:$CR116,0))))),MAX($CK116:$CR116))</f>
        <v>0</v>
      </c>
      <c r="B116" s="5"/>
      <c r="C116" s="213"/>
      <c r="D116" s="107" t="s">
        <v>706</v>
      </c>
      <c r="CK116" s="311"/>
      <c r="CO116" s="100">
        <f t="shared" ref="CO116:CO124" si="111">IF(SUM($CS116:$CU116)=0, 0, 1)</f>
        <v>0</v>
      </c>
      <c r="CP116" s="100">
        <f t="shared" ref="CP116:CP124" si="112">IF(SUM($CV116:$CX116)=0, 0, 1)</f>
        <v>0</v>
      </c>
      <c r="CQ116" s="100">
        <f t="shared" ref="CQ116:CQ124" si="113">IF(CY116=0, 0, 1)</f>
        <v>0</v>
      </c>
      <c r="CR116" s="311"/>
      <c r="CS116" s="215">
        <f t="shared" ref="CS116:CU124" si="114">ROUND(W116-INDEX($AA116:$BJ116, MATCH(W$5, $AA$5:$BJ$5,0)), rounding)</f>
        <v>0</v>
      </c>
      <c r="CT116" s="215">
        <f t="shared" si="114"/>
        <v>0</v>
      </c>
      <c r="CU116" s="215">
        <f t="shared" si="114"/>
        <v>0</v>
      </c>
      <c r="CV116" s="215">
        <f t="shared" ref="CV116:CX124" si="115">ROUND(W116-BY116, rounding)</f>
        <v>0</v>
      </c>
      <c r="CW116" s="215">
        <f t="shared" si="115"/>
        <v>0</v>
      </c>
      <c r="CX116" s="215">
        <f t="shared" si="115"/>
        <v>0</v>
      </c>
      <c r="CY116" s="215">
        <f t="shared" ref="CY116:CY124" si="116">ROUND(V116-BX116, rounding)</f>
        <v>0</v>
      </c>
      <c r="EX116" s="10" t="str">
        <f t="shared" si="104"/>
        <v/>
      </c>
    </row>
    <row r="117" spans="1:154" x14ac:dyDescent="0.35">
      <c r="A117" s="537" cm="1">
        <f t="array" aca="1" ref="A117" ca="1">HYPERLINK(CONCATENATE("#",CELL("address",IF(MAX($CK117:$CR117)=0,A117,INDEX($CK117:$CR117,MATCH(1,$CK117:$CR117,0))))),MAX($CK117:$CR117))</f>
        <v>0</v>
      </c>
      <c r="C117" s="213" t="str">
        <f>'BS Forecasts'!C$100</f>
        <v>B-6a-CB</v>
      </c>
      <c r="D117" s="570" t="str" cm="1">
        <f t="array" aca="1" ref="D117" ca="1">HYPERLINK(CONCATENATE("#",CELL("address",'BS Forecasts'!$D$100)),'BS Forecasts'!$D$96)</f>
        <v>Loans (DfE/ESFA)</v>
      </c>
      <c r="V117" s="10">
        <f>'BS Forecasts'!V$100</f>
        <v>0</v>
      </c>
      <c r="W117" s="10">
        <f>'BS Forecasts'!W$100</f>
        <v>0</v>
      </c>
      <c r="X117" s="10">
        <f>'BS Forecasts'!X$100</f>
        <v>0</v>
      </c>
      <c r="Y117" s="10">
        <f>'BS Forecasts'!Y$100</f>
        <v>0</v>
      </c>
      <c r="AA117" s="10">
        <f>'BS Forecasts'!AA$100</f>
        <v>0</v>
      </c>
      <c r="AB117" s="10">
        <f>'BS Forecasts'!AB$100</f>
        <v>0</v>
      </c>
      <c r="AC117" s="10">
        <f>'BS Forecasts'!AC$100</f>
        <v>0</v>
      </c>
      <c r="AD117" s="10">
        <f>'BS Forecasts'!AD$100</f>
        <v>0</v>
      </c>
      <c r="AE117" s="10">
        <f>'BS Forecasts'!AE$100</f>
        <v>0</v>
      </c>
      <c r="AF117" s="10">
        <f>'BS Forecasts'!AF$100</f>
        <v>0</v>
      </c>
      <c r="AG117" s="10">
        <f>'BS Forecasts'!AG$100</f>
        <v>0</v>
      </c>
      <c r="AH117" s="10">
        <f>'BS Forecasts'!AH$100</f>
        <v>0</v>
      </c>
      <c r="AI117" s="10">
        <f>'BS Forecasts'!AI$100</f>
        <v>0</v>
      </c>
      <c r="AJ117" s="10">
        <f>'BS Forecasts'!AJ$100</f>
        <v>0</v>
      </c>
      <c r="AK117" s="10">
        <f>'BS Forecasts'!AK$100</f>
        <v>0</v>
      </c>
      <c r="AL117" s="10">
        <f>'BS Forecasts'!AL$100</f>
        <v>0</v>
      </c>
      <c r="AM117" s="10">
        <f>'BS Forecasts'!AM$100</f>
        <v>0</v>
      </c>
      <c r="AN117" s="10">
        <f>'BS Forecasts'!AN$100</f>
        <v>0</v>
      </c>
      <c r="AO117" s="10">
        <f>'BS Forecasts'!AO$100</f>
        <v>0</v>
      </c>
      <c r="AP117" s="10">
        <f>'BS Forecasts'!AP$100</f>
        <v>0</v>
      </c>
      <c r="AQ117" s="10">
        <f>'BS Forecasts'!AQ$100</f>
        <v>0</v>
      </c>
      <c r="AR117" s="10">
        <f>'BS Forecasts'!AR$100</f>
        <v>0</v>
      </c>
      <c r="AS117" s="10">
        <f>'BS Forecasts'!AS$100</f>
        <v>0</v>
      </c>
      <c r="AT117" s="10">
        <f>'BS Forecasts'!AT$100</f>
        <v>0</v>
      </c>
      <c r="AU117" s="10">
        <f>'BS Forecasts'!AU$100</f>
        <v>0</v>
      </c>
      <c r="AV117" s="10">
        <f>'BS Forecasts'!AV$100</f>
        <v>0</v>
      </c>
      <c r="AW117" s="10">
        <f>'BS Forecasts'!AW$100</f>
        <v>0</v>
      </c>
      <c r="AX117" s="10">
        <f>'BS Forecasts'!AX$100</f>
        <v>0</v>
      </c>
      <c r="AY117" s="10">
        <f>'BS Forecasts'!AY$100</f>
        <v>0</v>
      </c>
      <c r="AZ117" s="10">
        <f>'BS Forecasts'!AZ$100</f>
        <v>0</v>
      </c>
      <c r="BA117" s="10">
        <f>'BS Forecasts'!BA$100</f>
        <v>0</v>
      </c>
      <c r="BB117" s="10">
        <f>'BS Forecasts'!BB$100</f>
        <v>0</v>
      </c>
      <c r="BC117" s="10">
        <f>'BS Forecasts'!BC$100</f>
        <v>0</v>
      </c>
      <c r="BD117" s="10">
        <f>'BS Forecasts'!BD$100</f>
        <v>0</v>
      </c>
      <c r="BE117" s="10">
        <f>'BS Forecasts'!BE$100</f>
        <v>0</v>
      </c>
      <c r="BF117" s="10">
        <f>'BS Forecasts'!BF$100</f>
        <v>0</v>
      </c>
      <c r="BG117" s="10">
        <f>'BS Forecasts'!BG$100</f>
        <v>0</v>
      </c>
      <c r="BH117" s="10">
        <f>'BS Forecasts'!BH$100</f>
        <v>0</v>
      </c>
      <c r="BI117" s="10">
        <f>'BS Forecasts'!BI$100</f>
        <v>0</v>
      </c>
      <c r="BJ117" s="10">
        <f>'BS Forecasts'!BJ$100</f>
        <v>0</v>
      </c>
      <c r="BX117" s="10">
        <f>'BS Forecasts'!BX$100</f>
        <v>0</v>
      </c>
      <c r="BY117" s="10">
        <f>'BS Forecasts'!BY$100</f>
        <v>0</v>
      </c>
      <c r="BZ117" s="10">
        <f>'BS Forecasts'!BZ$100</f>
        <v>0</v>
      </c>
      <c r="CA117" s="10">
        <f>'BS Forecasts'!CA$100</f>
        <v>0</v>
      </c>
      <c r="CB117" s="10">
        <f>'BS Forecasts'!CB$100</f>
        <v>0</v>
      </c>
      <c r="CC117" s="10">
        <f>'BS Forecasts'!CC$100</f>
        <v>0</v>
      </c>
      <c r="CD117" s="10">
        <f>'BS Forecasts'!CD$100</f>
        <v>0</v>
      </c>
      <c r="CE117" s="10">
        <f>'BS Forecasts'!CE$100</f>
        <v>0</v>
      </c>
      <c r="CF117" s="10">
        <f>'BS Forecasts'!CF$100</f>
        <v>0</v>
      </c>
      <c r="CG117" s="10">
        <f>'BS Forecasts'!CG$100</f>
        <v>0</v>
      </c>
      <c r="CH117" s="10">
        <f>'BS Forecasts'!CH$100</f>
        <v>0</v>
      </c>
      <c r="CI117" s="10">
        <f>'BS Forecasts'!CI$100</f>
        <v>0</v>
      </c>
      <c r="CK117" s="311"/>
      <c r="CO117" s="100">
        <f t="shared" si="111"/>
        <v>0</v>
      </c>
      <c r="CP117" s="100">
        <f t="shared" si="112"/>
        <v>0</v>
      </c>
      <c r="CQ117" s="100">
        <f t="shared" si="113"/>
        <v>0</v>
      </c>
      <c r="CR117" s="311"/>
      <c r="CS117" s="215">
        <f t="shared" si="114"/>
        <v>0</v>
      </c>
      <c r="CT117" s="215">
        <f t="shared" si="114"/>
        <v>0</v>
      </c>
      <c r="CU117" s="215">
        <f t="shared" si="114"/>
        <v>0</v>
      </c>
      <c r="CV117" s="215">
        <f t="shared" si="115"/>
        <v>0</v>
      </c>
      <c r="CW117" s="215">
        <f t="shared" si="115"/>
        <v>0</v>
      </c>
      <c r="CX117" s="215">
        <f t="shared" si="115"/>
        <v>0</v>
      </c>
      <c r="CY117" s="215">
        <f t="shared" si="116"/>
        <v>0</v>
      </c>
      <c r="EX117" s="12" t="str">
        <f t="shared" ref="EX117:EX123" ca="1" si="117">IF($C117="","",CONCATENATE(D$116," ",$D117))</f>
        <v>Creditors: amounts falling due after one year Loans (DfE/ESFA)</v>
      </c>
    </row>
    <row r="118" spans="1:154" x14ac:dyDescent="0.35">
      <c r="A118" s="537" cm="1">
        <f t="array" aca="1" ref="A118" ca="1">HYPERLINK(CONCATENATE("#",CELL("address",IF(MAX($CK118:$CR118)=0,A118,INDEX($CK118:$CR118,MATCH(1,$CK118:$CR118,0))))),MAX($CK118:$CR118))</f>
        <v>0</v>
      </c>
      <c r="C118" s="213" t="str">
        <f>'BS Forecasts'!C$106</f>
        <v>B-6b-CB</v>
      </c>
      <c r="D118" s="570" t="str" cm="1">
        <f t="array" aca="1" ref="D118" ca="1">HYPERLINK(CONCATENATE("#",CELL("address",'BS Forecasts'!$D$106)),'BS Forecasts'!$D$102)</f>
        <v>Commercial Loans</v>
      </c>
      <c r="V118" s="10">
        <f>'BS Forecasts'!V$106</f>
        <v>0</v>
      </c>
      <c r="W118" s="10">
        <f>'BS Forecasts'!W$106</f>
        <v>0</v>
      </c>
      <c r="X118" s="10">
        <f>'BS Forecasts'!X$106</f>
        <v>0</v>
      </c>
      <c r="Y118" s="10">
        <f>'BS Forecasts'!Y$106</f>
        <v>0</v>
      </c>
      <c r="AA118" s="10">
        <f>'BS Forecasts'!AA$106</f>
        <v>0</v>
      </c>
      <c r="AB118" s="10">
        <f>'BS Forecasts'!AB$106</f>
        <v>0</v>
      </c>
      <c r="AC118" s="10">
        <f>'BS Forecasts'!AC$106</f>
        <v>0</v>
      </c>
      <c r="AD118" s="10">
        <f>'BS Forecasts'!AD$106</f>
        <v>0</v>
      </c>
      <c r="AE118" s="10">
        <f>'BS Forecasts'!AE$106</f>
        <v>0</v>
      </c>
      <c r="AF118" s="10">
        <f>'BS Forecasts'!AF$106</f>
        <v>0</v>
      </c>
      <c r="AG118" s="10">
        <f>'BS Forecasts'!AG$106</f>
        <v>0</v>
      </c>
      <c r="AH118" s="10">
        <f>'BS Forecasts'!AH$106</f>
        <v>0</v>
      </c>
      <c r="AI118" s="10">
        <f>'BS Forecasts'!AI$106</f>
        <v>0</v>
      </c>
      <c r="AJ118" s="10">
        <f>'BS Forecasts'!AJ$106</f>
        <v>0</v>
      </c>
      <c r="AK118" s="10">
        <f>'BS Forecasts'!AK$106</f>
        <v>0</v>
      </c>
      <c r="AL118" s="10">
        <f>'BS Forecasts'!AL$106</f>
        <v>0</v>
      </c>
      <c r="AM118" s="10">
        <f>'BS Forecasts'!AM$106</f>
        <v>0</v>
      </c>
      <c r="AN118" s="10">
        <f>'BS Forecasts'!AN$106</f>
        <v>0</v>
      </c>
      <c r="AO118" s="10">
        <f>'BS Forecasts'!AO$106</f>
        <v>0</v>
      </c>
      <c r="AP118" s="10">
        <f>'BS Forecasts'!AP$106</f>
        <v>0</v>
      </c>
      <c r="AQ118" s="10">
        <f>'BS Forecasts'!AQ$106</f>
        <v>0</v>
      </c>
      <c r="AR118" s="10">
        <f>'BS Forecasts'!AR$106</f>
        <v>0</v>
      </c>
      <c r="AS118" s="10">
        <f>'BS Forecasts'!AS$106</f>
        <v>0</v>
      </c>
      <c r="AT118" s="10">
        <f>'BS Forecasts'!AT$106</f>
        <v>0</v>
      </c>
      <c r="AU118" s="10">
        <f>'BS Forecasts'!AU$106</f>
        <v>0</v>
      </c>
      <c r="AV118" s="10">
        <f>'BS Forecasts'!AV$106</f>
        <v>0</v>
      </c>
      <c r="AW118" s="10">
        <f>'BS Forecasts'!AW$106</f>
        <v>0</v>
      </c>
      <c r="AX118" s="10">
        <f>'BS Forecasts'!AX$106</f>
        <v>0</v>
      </c>
      <c r="AY118" s="10">
        <f>'BS Forecasts'!AY$106</f>
        <v>0</v>
      </c>
      <c r="AZ118" s="10">
        <f>'BS Forecasts'!AZ$106</f>
        <v>0</v>
      </c>
      <c r="BA118" s="10">
        <f>'BS Forecasts'!BA$106</f>
        <v>0</v>
      </c>
      <c r="BB118" s="10">
        <f>'BS Forecasts'!BB$106</f>
        <v>0</v>
      </c>
      <c r="BC118" s="10">
        <f>'BS Forecasts'!BC$106</f>
        <v>0</v>
      </c>
      <c r="BD118" s="10">
        <f>'BS Forecasts'!BD$106</f>
        <v>0</v>
      </c>
      <c r="BE118" s="10">
        <f>'BS Forecasts'!BE$106</f>
        <v>0</v>
      </c>
      <c r="BF118" s="10">
        <f>'BS Forecasts'!BF$106</f>
        <v>0</v>
      </c>
      <c r="BG118" s="10">
        <f>'BS Forecasts'!BG$106</f>
        <v>0</v>
      </c>
      <c r="BH118" s="10">
        <f>'BS Forecasts'!BH$106</f>
        <v>0</v>
      </c>
      <c r="BI118" s="10">
        <f>'BS Forecasts'!BI$106</f>
        <v>0</v>
      </c>
      <c r="BJ118" s="10">
        <f>'BS Forecasts'!BJ$106</f>
        <v>0</v>
      </c>
      <c r="BX118" s="10">
        <f>'BS Forecasts'!BX$106</f>
        <v>0</v>
      </c>
      <c r="BY118" s="10">
        <f>'BS Forecasts'!BY$106</f>
        <v>0</v>
      </c>
      <c r="BZ118" s="10">
        <f>'BS Forecasts'!BZ$106</f>
        <v>0</v>
      </c>
      <c r="CA118" s="10">
        <f>'BS Forecasts'!CA$106</f>
        <v>0</v>
      </c>
      <c r="CB118" s="10">
        <f>'BS Forecasts'!CB$106</f>
        <v>0</v>
      </c>
      <c r="CC118" s="10">
        <f>'BS Forecasts'!CC$106</f>
        <v>0</v>
      </c>
      <c r="CD118" s="10">
        <f>'BS Forecasts'!CD$106</f>
        <v>0</v>
      </c>
      <c r="CE118" s="10">
        <f>'BS Forecasts'!CE$106</f>
        <v>0</v>
      </c>
      <c r="CF118" s="10">
        <f>'BS Forecasts'!CF$106</f>
        <v>0</v>
      </c>
      <c r="CG118" s="10">
        <f>'BS Forecasts'!CG$106</f>
        <v>0</v>
      </c>
      <c r="CH118" s="10">
        <f>'BS Forecasts'!CH$106</f>
        <v>0</v>
      </c>
      <c r="CI118" s="10">
        <f>'BS Forecasts'!CI$106</f>
        <v>0</v>
      </c>
      <c r="CK118" s="311"/>
      <c r="CO118" s="100">
        <f t="shared" si="111"/>
        <v>0</v>
      </c>
      <c r="CP118" s="100">
        <f t="shared" si="112"/>
        <v>0</v>
      </c>
      <c r="CQ118" s="100">
        <f t="shared" si="113"/>
        <v>0</v>
      </c>
      <c r="CR118" s="311"/>
      <c r="CS118" s="215">
        <f t="shared" si="114"/>
        <v>0</v>
      </c>
      <c r="CT118" s="215">
        <f t="shared" si="114"/>
        <v>0</v>
      </c>
      <c r="CU118" s="215">
        <f t="shared" si="114"/>
        <v>0</v>
      </c>
      <c r="CV118" s="215">
        <f t="shared" si="115"/>
        <v>0</v>
      </c>
      <c r="CW118" s="215">
        <f t="shared" si="115"/>
        <v>0</v>
      </c>
      <c r="CX118" s="215">
        <f t="shared" si="115"/>
        <v>0</v>
      </c>
      <c r="CY118" s="215">
        <f t="shared" si="116"/>
        <v>0</v>
      </c>
      <c r="EX118" s="12" t="str">
        <f t="shared" ca="1" si="117"/>
        <v>Creditors: amounts falling due after one year Commercial Loans</v>
      </c>
    </row>
    <row r="119" spans="1:154" x14ac:dyDescent="0.35">
      <c r="A119" s="537" cm="1">
        <f t="array" aca="1" ref="A119" ca="1">HYPERLINK(CONCATENATE("#",CELL("address",IF(MAX($CK119:$CR119)=0,A119,INDEX($CK119:$CR119,MATCH(1,$CK119:$CR119,0))))),MAX($CK119:$CR119))</f>
        <v>0</v>
      </c>
      <c r="C119" s="213" t="str">
        <f>'BS Forecasts'!C$133</f>
        <v>B-6c-CB</v>
      </c>
      <c r="D119" s="570" t="str" cm="1">
        <f t="array" aca="1" ref="D119" ca="1">HYPERLINK(CONCATENATE("#",CELL("address",'BS Forecasts'!$D$133)),'BS Forecasts'!$D$124)</f>
        <v>Total Finance and Operating Lease (Right of use) Obligations</v>
      </c>
      <c r="V119" s="10">
        <f>'BS Forecasts'!V$133</f>
        <v>0</v>
      </c>
      <c r="W119" s="10">
        <f>'BS Forecasts'!W$133</f>
        <v>0</v>
      </c>
      <c r="X119" s="10">
        <f>'BS Forecasts'!X$133</f>
        <v>0</v>
      </c>
      <c r="Y119" s="10">
        <f>'BS Forecasts'!Y$133</f>
        <v>0</v>
      </c>
      <c r="AA119" s="10">
        <f>'BS Forecasts'!AA$133</f>
        <v>0</v>
      </c>
      <c r="AB119" s="10">
        <f>'BS Forecasts'!AB$133</f>
        <v>0</v>
      </c>
      <c r="AC119" s="10">
        <f>'BS Forecasts'!AC$133</f>
        <v>0</v>
      </c>
      <c r="AD119" s="10">
        <f>'BS Forecasts'!AD$133</f>
        <v>0</v>
      </c>
      <c r="AE119" s="10">
        <f>'BS Forecasts'!AE$133</f>
        <v>0</v>
      </c>
      <c r="AF119" s="10">
        <f>'BS Forecasts'!AF$133</f>
        <v>0</v>
      </c>
      <c r="AG119" s="10">
        <f>'BS Forecasts'!AG$133</f>
        <v>0</v>
      </c>
      <c r="AH119" s="10">
        <f>'BS Forecasts'!AH$133</f>
        <v>0</v>
      </c>
      <c r="AI119" s="10">
        <f>'BS Forecasts'!AI$133</f>
        <v>0</v>
      </c>
      <c r="AJ119" s="10">
        <f>'BS Forecasts'!AJ$133</f>
        <v>0</v>
      </c>
      <c r="AK119" s="10">
        <f>'BS Forecasts'!AK$133</f>
        <v>0</v>
      </c>
      <c r="AL119" s="10">
        <f>'BS Forecasts'!AL$133</f>
        <v>0</v>
      </c>
      <c r="AM119" s="10">
        <f>'BS Forecasts'!AM$133</f>
        <v>0</v>
      </c>
      <c r="AN119" s="10">
        <f>'BS Forecasts'!AN$133</f>
        <v>0</v>
      </c>
      <c r="AO119" s="10">
        <f>'BS Forecasts'!AO$133</f>
        <v>0</v>
      </c>
      <c r="AP119" s="10">
        <f>'BS Forecasts'!AP$133</f>
        <v>0</v>
      </c>
      <c r="AQ119" s="10">
        <f>'BS Forecasts'!AQ$133</f>
        <v>0</v>
      </c>
      <c r="AR119" s="10">
        <f>'BS Forecasts'!AR$133</f>
        <v>0</v>
      </c>
      <c r="AS119" s="10">
        <f>'BS Forecasts'!AS$133</f>
        <v>0</v>
      </c>
      <c r="AT119" s="10">
        <f>'BS Forecasts'!AT$133</f>
        <v>0</v>
      </c>
      <c r="AU119" s="10">
        <f>'BS Forecasts'!AU$133</f>
        <v>0</v>
      </c>
      <c r="AV119" s="10">
        <f>'BS Forecasts'!AV$133</f>
        <v>0</v>
      </c>
      <c r="AW119" s="10">
        <f>'BS Forecasts'!AW$133</f>
        <v>0</v>
      </c>
      <c r="AX119" s="10">
        <f>'BS Forecasts'!AX$133</f>
        <v>0</v>
      </c>
      <c r="AY119" s="10">
        <f>'BS Forecasts'!AY$133</f>
        <v>0</v>
      </c>
      <c r="AZ119" s="10">
        <f>'BS Forecasts'!AZ$133</f>
        <v>0</v>
      </c>
      <c r="BA119" s="10">
        <f>'BS Forecasts'!BA$133</f>
        <v>0</v>
      </c>
      <c r="BB119" s="10">
        <f>'BS Forecasts'!BB$133</f>
        <v>0</v>
      </c>
      <c r="BC119" s="10">
        <f>'BS Forecasts'!BC$133</f>
        <v>0</v>
      </c>
      <c r="BD119" s="10">
        <f>'BS Forecasts'!BD$133</f>
        <v>0</v>
      </c>
      <c r="BE119" s="10">
        <f>'BS Forecasts'!BE$133</f>
        <v>0</v>
      </c>
      <c r="BF119" s="10">
        <f>'BS Forecasts'!BF$133</f>
        <v>0</v>
      </c>
      <c r="BG119" s="10">
        <f>'BS Forecasts'!BG$133</f>
        <v>0</v>
      </c>
      <c r="BH119" s="10">
        <f>'BS Forecasts'!BH$133</f>
        <v>0</v>
      </c>
      <c r="BI119" s="10">
        <f>'BS Forecasts'!BI$133</f>
        <v>0</v>
      </c>
      <c r="BJ119" s="10">
        <f>'BS Forecasts'!BJ$133</f>
        <v>0</v>
      </c>
      <c r="BX119" s="10">
        <f>'BS Forecasts'!BX$133</f>
        <v>0</v>
      </c>
      <c r="BY119" s="10">
        <f>'BS Forecasts'!BY$133</f>
        <v>0</v>
      </c>
      <c r="BZ119" s="10">
        <f>'BS Forecasts'!BZ$133</f>
        <v>0</v>
      </c>
      <c r="CA119" s="10">
        <f>'BS Forecasts'!CA$133</f>
        <v>0</v>
      </c>
      <c r="CB119" s="10">
        <f>'BS Forecasts'!CB$133</f>
        <v>0</v>
      </c>
      <c r="CC119" s="10">
        <f>'BS Forecasts'!CC$133</f>
        <v>0</v>
      </c>
      <c r="CD119" s="10">
        <f>'BS Forecasts'!CD$133</f>
        <v>0</v>
      </c>
      <c r="CE119" s="10">
        <f>'BS Forecasts'!CE$133</f>
        <v>0</v>
      </c>
      <c r="CF119" s="10">
        <f>'BS Forecasts'!CF$133</f>
        <v>0</v>
      </c>
      <c r="CG119" s="10">
        <f>'BS Forecasts'!CG$133</f>
        <v>0</v>
      </c>
      <c r="CH119" s="10">
        <f>'BS Forecasts'!CH$133</f>
        <v>0</v>
      </c>
      <c r="CI119" s="10">
        <f>'BS Forecasts'!CI$133</f>
        <v>0</v>
      </c>
      <c r="CK119" s="311"/>
      <c r="CO119" s="100">
        <f t="shared" si="111"/>
        <v>0</v>
      </c>
      <c r="CP119" s="100">
        <f t="shared" si="112"/>
        <v>0</v>
      </c>
      <c r="CQ119" s="100">
        <f t="shared" si="113"/>
        <v>0</v>
      </c>
      <c r="CR119" s="311"/>
      <c r="CS119" s="215">
        <f t="shared" si="114"/>
        <v>0</v>
      </c>
      <c r="CT119" s="215">
        <f t="shared" si="114"/>
        <v>0</v>
      </c>
      <c r="CU119" s="215">
        <f t="shared" si="114"/>
        <v>0</v>
      </c>
      <c r="CV119" s="215">
        <f t="shared" si="115"/>
        <v>0</v>
      </c>
      <c r="CW119" s="215">
        <f t="shared" si="115"/>
        <v>0</v>
      </c>
      <c r="CX119" s="215">
        <f t="shared" si="115"/>
        <v>0</v>
      </c>
      <c r="CY119" s="215">
        <f t="shared" si="116"/>
        <v>0</v>
      </c>
      <c r="EX119" s="12" t="str">
        <f t="shared" ca="1" si="117"/>
        <v>Creditors: amounts falling due after one year Total Finance and Operating Lease (Right of use) Obligations</v>
      </c>
    </row>
    <row r="120" spans="1:154" x14ac:dyDescent="0.35">
      <c r="A120" s="537" cm="1">
        <f t="array" aca="1" ref="A120" ca="1">HYPERLINK(CONCATENATE("#",CELL("address",IF(MAX($CK120:$CR120)=0,A120,INDEX($CK120:$CR120,MATCH(1,$CK120:$CR120,0))))),MAX($CK120:$CR120))</f>
        <v>0</v>
      </c>
      <c r="C120" s="213" t="str">
        <f>'BS Forecasts'!C$139</f>
        <v>B-6d-CB</v>
      </c>
      <c r="D120" s="570" t="str" cm="1">
        <f t="array" aca="1" ref="D120" ca="1">HYPERLINK(CONCATENATE("#",CELL("address",'BS Forecasts'!$D$139)),'BS Forecasts'!$D$135)</f>
        <v>Interest Payable</v>
      </c>
      <c r="V120" s="10">
        <f>'BS Forecasts'!V$139</f>
        <v>0</v>
      </c>
      <c r="W120" s="10">
        <f>'BS Forecasts'!W$139</f>
        <v>0</v>
      </c>
      <c r="X120" s="10">
        <f>'BS Forecasts'!X$139</f>
        <v>0</v>
      </c>
      <c r="Y120" s="10">
        <f>'BS Forecasts'!Y$139</f>
        <v>0</v>
      </c>
      <c r="AA120" s="10">
        <f>'BS Forecasts'!AA$139</f>
        <v>0</v>
      </c>
      <c r="AB120" s="10">
        <f>'BS Forecasts'!AB$139</f>
        <v>0</v>
      </c>
      <c r="AC120" s="10">
        <f>'BS Forecasts'!AC$139</f>
        <v>0</v>
      </c>
      <c r="AD120" s="10">
        <f>'BS Forecasts'!AD$139</f>
        <v>0</v>
      </c>
      <c r="AE120" s="10">
        <f>'BS Forecasts'!AE$139</f>
        <v>0</v>
      </c>
      <c r="AF120" s="10">
        <f>'BS Forecasts'!AF$139</f>
        <v>0</v>
      </c>
      <c r="AG120" s="10">
        <f>'BS Forecasts'!AG$139</f>
        <v>0</v>
      </c>
      <c r="AH120" s="10">
        <f>'BS Forecasts'!AH$139</f>
        <v>0</v>
      </c>
      <c r="AI120" s="10">
        <f>'BS Forecasts'!AI$139</f>
        <v>0</v>
      </c>
      <c r="AJ120" s="10">
        <f>'BS Forecasts'!AJ$139</f>
        <v>0</v>
      </c>
      <c r="AK120" s="10">
        <f>'BS Forecasts'!AK$139</f>
        <v>0</v>
      </c>
      <c r="AL120" s="10">
        <f>'BS Forecasts'!AL$139</f>
        <v>0</v>
      </c>
      <c r="AM120" s="10">
        <f>'BS Forecasts'!AM$139</f>
        <v>0</v>
      </c>
      <c r="AN120" s="10">
        <f>'BS Forecasts'!AN$139</f>
        <v>0</v>
      </c>
      <c r="AO120" s="10">
        <f>'BS Forecasts'!AO$139</f>
        <v>0</v>
      </c>
      <c r="AP120" s="10">
        <f>'BS Forecasts'!AP$139</f>
        <v>0</v>
      </c>
      <c r="AQ120" s="10">
        <f>'BS Forecasts'!AQ$139</f>
        <v>0</v>
      </c>
      <c r="AR120" s="10">
        <f>'BS Forecasts'!AR$139</f>
        <v>0</v>
      </c>
      <c r="AS120" s="10">
        <f>'BS Forecasts'!AS$139</f>
        <v>0</v>
      </c>
      <c r="AT120" s="10">
        <f>'BS Forecasts'!AT$139</f>
        <v>0</v>
      </c>
      <c r="AU120" s="10">
        <f>'BS Forecasts'!AU$139</f>
        <v>0</v>
      </c>
      <c r="AV120" s="10">
        <f>'BS Forecasts'!AV$139</f>
        <v>0</v>
      </c>
      <c r="AW120" s="10">
        <f>'BS Forecasts'!AW$139</f>
        <v>0</v>
      </c>
      <c r="AX120" s="10">
        <f>'BS Forecasts'!AX$139</f>
        <v>0</v>
      </c>
      <c r="AY120" s="10">
        <f>'BS Forecasts'!AY$139</f>
        <v>0</v>
      </c>
      <c r="AZ120" s="10">
        <f>'BS Forecasts'!AZ$139</f>
        <v>0</v>
      </c>
      <c r="BA120" s="10">
        <f>'BS Forecasts'!BA$139</f>
        <v>0</v>
      </c>
      <c r="BB120" s="10">
        <f>'BS Forecasts'!BB$139</f>
        <v>0</v>
      </c>
      <c r="BC120" s="10">
        <f>'BS Forecasts'!BC$139</f>
        <v>0</v>
      </c>
      <c r="BD120" s="10">
        <f>'BS Forecasts'!BD$139</f>
        <v>0</v>
      </c>
      <c r="BE120" s="10">
        <f>'BS Forecasts'!BE$139</f>
        <v>0</v>
      </c>
      <c r="BF120" s="10">
        <f>'BS Forecasts'!BF$139</f>
        <v>0</v>
      </c>
      <c r="BG120" s="10">
        <f>'BS Forecasts'!BG$139</f>
        <v>0</v>
      </c>
      <c r="BH120" s="10">
        <f>'BS Forecasts'!BH$139</f>
        <v>0</v>
      </c>
      <c r="BI120" s="10">
        <f>'BS Forecasts'!BI$139</f>
        <v>0</v>
      </c>
      <c r="BJ120" s="10">
        <f>'BS Forecasts'!BJ$139</f>
        <v>0</v>
      </c>
      <c r="BX120" s="10">
        <f>'BS Forecasts'!BX$139</f>
        <v>0</v>
      </c>
      <c r="BY120" s="10">
        <f>'BS Forecasts'!BY$139</f>
        <v>0</v>
      </c>
      <c r="BZ120" s="10">
        <f>'BS Forecasts'!BZ$139</f>
        <v>0</v>
      </c>
      <c r="CA120" s="10">
        <f>'BS Forecasts'!CA$139</f>
        <v>0</v>
      </c>
      <c r="CB120" s="10">
        <f>'BS Forecasts'!CB$139</f>
        <v>0</v>
      </c>
      <c r="CC120" s="10">
        <f>'BS Forecasts'!CC$139</f>
        <v>0</v>
      </c>
      <c r="CD120" s="10">
        <f>'BS Forecasts'!CD$139</f>
        <v>0</v>
      </c>
      <c r="CE120" s="10">
        <f>'BS Forecasts'!CE$139</f>
        <v>0</v>
      </c>
      <c r="CF120" s="10">
        <f>'BS Forecasts'!CF$139</f>
        <v>0</v>
      </c>
      <c r="CG120" s="10">
        <f>'BS Forecasts'!CG$139</f>
        <v>0</v>
      </c>
      <c r="CH120" s="10">
        <f>'BS Forecasts'!CH$139</f>
        <v>0</v>
      </c>
      <c r="CI120" s="10">
        <f>'BS Forecasts'!CI$139</f>
        <v>0</v>
      </c>
      <c r="CK120" s="311"/>
      <c r="CO120" s="100">
        <f t="shared" si="111"/>
        <v>0</v>
      </c>
      <c r="CP120" s="100">
        <f t="shared" si="112"/>
        <v>0</v>
      </c>
      <c r="CQ120" s="100">
        <f t="shared" si="113"/>
        <v>0</v>
      </c>
      <c r="CR120" s="311"/>
      <c r="CS120" s="215">
        <f t="shared" si="114"/>
        <v>0</v>
      </c>
      <c r="CT120" s="215">
        <f t="shared" si="114"/>
        <v>0</v>
      </c>
      <c r="CU120" s="215">
        <f t="shared" si="114"/>
        <v>0</v>
      </c>
      <c r="CV120" s="215">
        <f t="shared" si="115"/>
        <v>0</v>
      </c>
      <c r="CW120" s="215">
        <f t="shared" si="115"/>
        <v>0</v>
      </c>
      <c r="CX120" s="215">
        <f t="shared" si="115"/>
        <v>0</v>
      </c>
      <c r="CY120" s="215">
        <f t="shared" si="116"/>
        <v>0</v>
      </c>
      <c r="EX120" s="12" t="str">
        <f t="shared" ca="1" si="117"/>
        <v>Creditors: amounts falling due after one year Interest Payable</v>
      </c>
    </row>
    <row r="121" spans="1:154" x14ac:dyDescent="0.35">
      <c r="A121" s="537" cm="1">
        <f t="array" aca="1" ref="A121" ca="1">HYPERLINK(CONCATENATE("#",CELL("address",IF(MAX($CK121:$CR121)=0,A121,INDEX($CK121:$CR121,MATCH(1,$CK121:$CR121,0))))),MAX($CK121:$CR121))</f>
        <v>0</v>
      </c>
      <c r="C121" s="213" t="str">
        <f>'BS Forecasts'!C$158</f>
        <v>B-6e-CB</v>
      </c>
      <c r="D121" s="570" t="str" cm="1">
        <f t="array" aca="1" ref="D121" ca="1">HYPERLINK(CONCATENATE("#",CELL("address",'BS Forecasts'!$D$158)),'BS Forecasts'!$D$141)</f>
        <v>Deferred Income - Capital Grant Liability</v>
      </c>
      <c r="V121" s="10">
        <f>'BS Forecasts'!V$158</f>
        <v>0</v>
      </c>
      <c r="W121" s="10">
        <f>'BS Forecasts'!W$158</f>
        <v>0</v>
      </c>
      <c r="X121" s="10">
        <f>'BS Forecasts'!X$158</f>
        <v>0</v>
      </c>
      <c r="Y121" s="10">
        <f>'BS Forecasts'!Y$158</f>
        <v>0</v>
      </c>
      <c r="AA121" s="10">
        <f>'BS Forecasts'!AA$158</f>
        <v>0</v>
      </c>
      <c r="AB121" s="10">
        <f>'BS Forecasts'!AB$158</f>
        <v>0</v>
      </c>
      <c r="AC121" s="10">
        <f>'BS Forecasts'!AC$158</f>
        <v>0</v>
      </c>
      <c r="AD121" s="10">
        <f>'BS Forecasts'!AD$158</f>
        <v>0</v>
      </c>
      <c r="AE121" s="10">
        <f>'BS Forecasts'!AE$158</f>
        <v>0</v>
      </c>
      <c r="AF121" s="10">
        <f>'BS Forecasts'!AF$158</f>
        <v>0</v>
      </c>
      <c r="AG121" s="10">
        <f>'BS Forecasts'!AG$158</f>
        <v>0</v>
      </c>
      <c r="AH121" s="10">
        <f>'BS Forecasts'!AH$158</f>
        <v>0</v>
      </c>
      <c r="AI121" s="10">
        <f>'BS Forecasts'!AI$158</f>
        <v>0</v>
      </c>
      <c r="AJ121" s="10">
        <f>'BS Forecasts'!AJ$158</f>
        <v>0</v>
      </c>
      <c r="AK121" s="10">
        <f>'BS Forecasts'!AK$158</f>
        <v>0</v>
      </c>
      <c r="AL121" s="10">
        <f>'BS Forecasts'!AL$158</f>
        <v>0</v>
      </c>
      <c r="AM121" s="10">
        <f>'BS Forecasts'!AM$158</f>
        <v>0</v>
      </c>
      <c r="AN121" s="10">
        <f>'BS Forecasts'!AN$158</f>
        <v>0</v>
      </c>
      <c r="AO121" s="10">
        <f>'BS Forecasts'!AO$158</f>
        <v>0</v>
      </c>
      <c r="AP121" s="10">
        <f>'BS Forecasts'!AP$158</f>
        <v>0</v>
      </c>
      <c r="AQ121" s="10">
        <f>'BS Forecasts'!AQ$158</f>
        <v>0</v>
      </c>
      <c r="AR121" s="10">
        <f>'BS Forecasts'!AR$158</f>
        <v>0</v>
      </c>
      <c r="AS121" s="10">
        <f>'BS Forecasts'!AS$158</f>
        <v>0</v>
      </c>
      <c r="AT121" s="10">
        <f>'BS Forecasts'!AT$158</f>
        <v>0</v>
      </c>
      <c r="AU121" s="10">
        <f>'BS Forecasts'!AU$158</f>
        <v>0</v>
      </c>
      <c r="AV121" s="10">
        <f>'BS Forecasts'!AV$158</f>
        <v>0</v>
      </c>
      <c r="AW121" s="10">
        <f>'BS Forecasts'!AW$158</f>
        <v>0</v>
      </c>
      <c r="AX121" s="10">
        <f>'BS Forecasts'!AX$158</f>
        <v>0</v>
      </c>
      <c r="AY121" s="10">
        <f>'BS Forecasts'!AY$158</f>
        <v>0</v>
      </c>
      <c r="AZ121" s="10">
        <f>'BS Forecasts'!AZ$158</f>
        <v>0</v>
      </c>
      <c r="BA121" s="10">
        <f>'BS Forecasts'!BA$158</f>
        <v>0</v>
      </c>
      <c r="BB121" s="10">
        <f>'BS Forecasts'!BB$158</f>
        <v>0</v>
      </c>
      <c r="BC121" s="10">
        <f>'BS Forecasts'!BC$158</f>
        <v>0</v>
      </c>
      <c r="BD121" s="10">
        <f>'BS Forecasts'!BD$158</f>
        <v>0</v>
      </c>
      <c r="BE121" s="10">
        <f>'BS Forecasts'!BE$158</f>
        <v>0</v>
      </c>
      <c r="BF121" s="10">
        <f>'BS Forecasts'!BF$158</f>
        <v>0</v>
      </c>
      <c r="BG121" s="10">
        <f>'BS Forecasts'!BG$158</f>
        <v>0</v>
      </c>
      <c r="BH121" s="10">
        <f>'BS Forecasts'!BH$158</f>
        <v>0</v>
      </c>
      <c r="BI121" s="10">
        <f>'BS Forecasts'!BI$158</f>
        <v>0</v>
      </c>
      <c r="BJ121" s="10">
        <f>'BS Forecasts'!BJ$158</f>
        <v>0</v>
      </c>
      <c r="BX121" s="10">
        <f>'BS Forecasts'!BX$158</f>
        <v>0</v>
      </c>
      <c r="BY121" s="10">
        <f>'BS Forecasts'!BY$158</f>
        <v>0</v>
      </c>
      <c r="BZ121" s="10">
        <f>'BS Forecasts'!BZ$158</f>
        <v>0</v>
      </c>
      <c r="CA121" s="10">
        <f>'BS Forecasts'!CA$158</f>
        <v>0</v>
      </c>
      <c r="CB121" s="10">
        <f>'BS Forecasts'!CB$158</f>
        <v>0</v>
      </c>
      <c r="CC121" s="10">
        <f>'BS Forecasts'!CC$158</f>
        <v>0</v>
      </c>
      <c r="CD121" s="10">
        <f>'BS Forecasts'!CD$158</f>
        <v>0</v>
      </c>
      <c r="CE121" s="10">
        <f>'BS Forecasts'!CE$158</f>
        <v>0</v>
      </c>
      <c r="CF121" s="10">
        <f>'BS Forecasts'!CF$158</f>
        <v>0</v>
      </c>
      <c r="CG121" s="10">
        <f>'BS Forecasts'!CG$158</f>
        <v>0</v>
      </c>
      <c r="CH121" s="10">
        <f>'BS Forecasts'!CH$158</f>
        <v>0</v>
      </c>
      <c r="CI121" s="10">
        <f>'BS Forecasts'!CI$158</f>
        <v>0</v>
      </c>
      <c r="CK121" s="311"/>
      <c r="CO121" s="100">
        <f t="shared" si="111"/>
        <v>0</v>
      </c>
      <c r="CP121" s="100">
        <f t="shared" si="112"/>
        <v>0</v>
      </c>
      <c r="CQ121" s="100">
        <f t="shared" si="113"/>
        <v>0</v>
      </c>
      <c r="CR121" s="311"/>
      <c r="CS121" s="215">
        <f t="shared" si="114"/>
        <v>0</v>
      </c>
      <c r="CT121" s="215">
        <f t="shared" si="114"/>
        <v>0</v>
      </c>
      <c r="CU121" s="215">
        <f t="shared" si="114"/>
        <v>0</v>
      </c>
      <c r="CV121" s="215">
        <f t="shared" si="115"/>
        <v>0</v>
      </c>
      <c r="CW121" s="215">
        <f t="shared" si="115"/>
        <v>0</v>
      </c>
      <c r="CX121" s="215">
        <f t="shared" si="115"/>
        <v>0</v>
      </c>
      <c r="CY121" s="215">
        <f t="shared" si="116"/>
        <v>0</v>
      </c>
      <c r="EX121" s="12" t="str">
        <f t="shared" ca="1" si="117"/>
        <v>Creditors: amounts falling due after one year Deferred Income - Capital Grant Liability</v>
      </c>
    </row>
    <row r="122" spans="1:154" x14ac:dyDescent="0.35">
      <c r="A122" s="537" cm="1">
        <f t="array" aca="1" ref="A122" ca="1">HYPERLINK(CONCATENATE("#",CELL("address",IF(MAX($CK122:$CR122)=0,A122,INDEX($CK122:$CR122,MATCH(1,$CK122:$CR122,0))))),MAX($CK122:$CR122))</f>
        <v>0</v>
      </c>
      <c r="C122" s="235" t="s">
        <v>1431</v>
      </c>
      <c r="D122" s="570" t="s">
        <v>679</v>
      </c>
      <c r="V122" s="10">
        <f>'BS Forecasts'!V$164</f>
        <v>0</v>
      </c>
      <c r="W122" s="10">
        <f>'BS Forecasts'!W$164</f>
        <v>0</v>
      </c>
      <c r="X122" s="10">
        <f>'BS Forecasts'!X$164</f>
        <v>0</v>
      </c>
      <c r="Y122" s="10">
        <f>'BS Forecasts'!Y$164</f>
        <v>0</v>
      </c>
      <c r="AA122" s="10">
        <f>'BS Forecasts'!AA$164</f>
        <v>0</v>
      </c>
      <c r="AB122" s="10">
        <f>'BS Forecasts'!AB$164</f>
        <v>0</v>
      </c>
      <c r="AC122" s="10">
        <f>'BS Forecasts'!AC$164</f>
        <v>0</v>
      </c>
      <c r="AD122" s="10">
        <f>'BS Forecasts'!AD$164</f>
        <v>0</v>
      </c>
      <c r="AE122" s="10">
        <f>'BS Forecasts'!AE$164</f>
        <v>0</v>
      </c>
      <c r="AF122" s="10">
        <f>'BS Forecasts'!AF$164</f>
        <v>0</v>
      </c>
      <c r="AG122" s="10">
        <f>'BS Forecasts'!AG$164</f>
        <v>0</v>
      </c>
      <c r="AH122" s="10">
        <f>'BS Forecasts'!AH$164</f>
        <v>0</v>
      </c>
      <c r="AI122" s="10">
        <f>'BS Forecasts'!AI$164</f>
        <v>0</v>
      </c>
      <c r="AJ122" s="10">
        <f>'BS Forecasts'!AJ$164</f>
        <v>0</v>
      </c>
      <c r="AK122" s="10">
        <f>'BS Forecasts'!AK$164</f>
        <v>0</v>
      </c>
      <c r="AL122" s="10">
        <f>'BS Forecasts'!AL$164</f>
        <v>0</v>
      </c>
      <c r="AM122" s="10">
        <f>'BS Forecasts'!AM$164</f>
        <v>0</v>
      </c>
      <c r="AN122" s="10">
        <f>'BS Forecasts'!AN$164</f>
        <v>0</v>
      </c>
      <c r="AO122" s="10">
        <f>'BS Forecasts'!AO$164</f>
        <v>0</v>
      </c>
      <c r="AP122" s="10">
        <f>'BS Forecasts'!AP$164</f>
        <v>0</v>
      </c>
      <c r="AQ122" s="10">
        <f>'BS Forecasts'!AQ$164</f>
        <v>0</v>
      </c>
      <c r="AR122" s="10">
        <f>'BS Forecasts'!AR$164</f>
        <v>0</v>
      </c>
      <c r="AS122" s="10">
        <f>'BS Forecasts'!AS$164</f>
        <v>0</v>
      </c>
      <c r="AT122" s="10">
        <f>'BS Forecasts'!AT$164</f>
        <v>0</v>
      </c>
      <c r="AU122" s="10">
        <f>'BS Forecasts'!AU$164</f>
        <v>0</v>
      </c>
      <c r="AV122" s="10">
        <f>'BS Forecasts'!AV$164</f>
        <v>0</v>
      </c>
      <c r="AW122" s="10">
        <f>'BS Forecasts'!AW$164</f>
        <v>0</v>
      </c>
      <c r="AX122" s="10">
        <f>'BS Forecasts'!AX$164</f>
        <v>0</v>
      </c>
      <c r="AY122" s="10">
        <f>'BS Forecasts'!AY$164</f>
        <v>0</v>
      </c>
      <c r="AZ122" s="10">
        <f>'BS Forecasts'!AZ$164</f>
        <v>0</v>
      </c>
      <c r="BA122" s="10">
        <f>'BS Forecasts'!BA$164</f>
        <v>0</v>
      </c>
      <c r="BB122" s="10">
        <f>'BS Forecasts'!BB$164</f>
        <v>0</v>
      </c>
      <c r="BC122" s="10">
        <f>'BS Forecasts'!BC$164</f>
        <v>0</v>
      </c>
      <c r="BD122" s="10">
        <f>'BS Forecasts'!BD$164</f>
        <v>0</v>
      </c>
      <c r="BE122" s="10">
        <f>'BS Forecasts'!BE$164</f>
        <v>0</v>
      </c>
      <c r="BF122" s="10">
        <f>'BS Forecasts'!BF$164</f>
        <v>0</v>
      </c>
      <c r="BG122" s="10">
        <f>'BS Forecasts'!BG$164</f>
        <v>0</v>
      </c>
      <c r="BH122" s="10">
        <f>'BS Forecasts'!BH$164</f>
        <v>0</v>
      </c>
      <c r="BI122" s="10">
        <f>'BS Forecasts'!BI$164</f>
        <v>0</v>
      </c>
      <c r="BJ122" s="10">
        <f>'BS Forecasts'!BJ$164</f>
        <v>0</v>
      </c>
      <c r="BX122" s="10">
        <f>'BS Forecasts'!BX$164</f>
        <v>0</v>
      </c>
      <c r="BY122" s="10">
        <f>'BS Forecasts'!BY$164</f>
        <v>0</v>
      </c>
      <c r="BZ122" s="10">
        <f>'BS Forecasts'!BZ$164</f>
        <v>0</v>
      </c>
      <c r="CA122" s="10">
        <f>'BS Forecasts'!CA$164</f>
        <v>0</v>
      </c>
      <c r="CB122" s="10">
        <f>'BS Forecasts'!CB$164</f>
        <v>0</v>
      </c>
      <c r="CC122" s="10">
        <f>'BS Forecasts'!CC$164</f>
        <v>0</v>
      </c>
      <c r="CD122" s="10">
        <f>'BS Forecasts'!CD$164</f>
        <v>0</v>
      </c>
      <c r="CE122" s="10">
        <f>'BS Forecasts'!CE$164</f>
        <v>0</v>
      </c>
      <c r="CF122" s="10">
        <f>'BS Forecasts'!CF$164</f>
        <v>0</v>
      </c>
      <c r="CG122" s="10">
        <f>'BS Forecasts'!CG$164</f>
        <v>0</v>
      </c>
      <c r="CH122" s="10">
        <f>'BS Forecasts'!CH$164</f>
        <v>0</v>
      </c>
      <c r="CI122" s="10">
        <f>'BS Forecasts'!CI$164</f>
        <v>0</v>
      </c>
      <c r="CK122" s="311"/>
      <c r="CO122" s="100">
        <f t="shared" si="111"/>
        <v>0</v>
      </c>
      <c r="CP122" s="100">
        <f t="shared" si="112"/>
        <v>0</v>
      </c>
      <c r="CQ122" s="100">
        <f t="shared" ref="CQ122" si="118">IF(CY122=0, 0, 1)</f>
        <v>0</v>
      </c>
      <c r="CR122" s="311"/>
      <c r="CS122" s="215">
        <f t="shared" ref="CS122" si="119">ROUND(W122-INDEX($AA122:$BJ122, MATCH(W$5, $AA$5:$BJ$5,0)), rounding)</f>
        <v>0</v>
      </c>
      <c r="CT122" s="215">
        <f t="shared" ref="CT122" si="120">ROUND(X122-INDEX($AA122:$BJ122, MATCH(X$5, $AA$5:$BJ$5,0)), rounding)</f>
        <v>0</v>
      </c>
      <c r="CU122" s="215">
        <f t="shared" ref="CU122" si="121">ROUND(Y122-INDEX($AA122:$BJ122, MATCH(Y$5, $AA$5:$BJ$5,0)), rounding)</f>
        <v>0</v>
      </c>
      <c r="CV122" s="215">
        <f t="shared" ref="CV122" si="122">ROUND(W122-BY122, rounding)</f>
        <v>0</v>
      </c>
      <c r="CW122" s="215">
        <f t="shared" ref="CW122" si="123">ROUND(X122-BZ122, rounding)</f>
        <v>0</v>
      </c>
      <c r="CX122" s="215">
        <f t="shared" ref="CX122" si="124">ROUND(Y122-CA122, rounding)</f>
        <v>0</v>
      </c>
      <c r="CY122" s="215">
        <f t="shared" ref="CY122" si="125">ROUND(V122-BX122, rounding)</f>
        <v>0</v>
      </c>
      <c r="EX122" s="12"/>
    </row>
    <row r="123" spans="1:154" x14ac:dyDescent="0.35">
      <c r="A123" s="537" cm="1">
        <f t="array" aca="1" ref="A123" ca="1">HYPERLINK(CONCATENATE("#",CELL("address",IF(MAX($CK123:$CR123)=0,A123,INDEX($CK123:$CR123,MATCH(1,$CK123:$CR123,0))))),MAX($CK123:$CR123))</f>
        <v>0</v>
      </c>
      <c r="C123" s="213" t="str">
        <f>'BS Forecasts'!C$176</f>
        <v>B-6f-CB</v>
      </c>
      <c r="D123" s="570" t="str" cm="1">
        <f t="array" aca="1" ref="D123" ca="1">HYPERLINK(CONCATENATE("#",CELL("address",'BS Forecasts'!$D$176)),'BS Forecasts'!$D$172)</f>
        <v>Other Liabilities</v>
      </c>
      <c r="V123" s="10">
        <f>'BS Forecasts'!V$176</f>
        <v>0</v>
      </c>
      <c r="W123" s="10">
        <f>'BS Forecasts'!W$176</f>
        <v>0</v>
      </c>
      <c r="X123" s="10">
        <f>'BS Forecasts'!X$176</f>
        <v>0</v>
      </c>
      <c r="Y123" s="10">
        <f>'BS Forecasts'!Y$176</f>
        <v>0</v>
      </c>
      <c r="AA123" s="10">
        <f>'BS Forecasts'!AA$176</f>
        <v>0</v>
      </c>
      <c r="AB123" s="10">
        <f>'BS Forecasts'!AB$176</f>
        <v>0</v>
      </c>
      <c r="AC123" s="10">
        <f>'BS Forecasts'!AC$176</f>
        <v>0</v>
      </c>
      <c r="AD123" s="10">
        <f>'BS Forecasts'!AD$176</f>
        <v>0</v>
      </c>
      <c r="AE123" s="10">
        <f>'BS Forecasts'!AE$176</f>
        <v>0</v>
      </c>
      <c r="AF123" s="10">
        <f>'BS Forecasts'!AF$176</f>
        <v>0</v>
      </c>
      <c r="AG123" s="10">
        <f>'BS Forecasts'!AG$176</f>
        <v>0</v>
      </c>
      <c r="AH123" s="10">
        <f>'BS Forecasts'!AH$176</f>
        <v>0</v>
      </c>
      <c r="AI123" s="10">
        <f>'BS Forecasts'!AI$176</f>
        <v>0</v>
      </c>
      <c r="AJ123" s="10">
        <f>'BS Forecasts'!AJ$176</f>
        <v>0</v>
      </c>
      <c r="AK123" s="10">
        <f>'BS Forecasts'!AK$176</f>
        <v>0</v>
      </c>
      <c r="AL123" s="10">
        <f>'BS Forecasts'!AL$176</f>
        <v>0</v>
      </c>
      <c r="AM123" s="10">
        <f>'BS Forecasts'!AM$176</f>
        <v>0</v>
      </c>
      <c r="AN123" s="10">
        <f>'BS Forecasts'!AN$176</f>
        <v>0</v>
      </c>
      <c r="AO123" s="10">
        <f>'BS Forecasts'!AO$176</f>
        <v>0</v>
      </c>
      <c r="AP123" s="10">
        <f>'BS Forecasts'!AP$176</f>
        <v>0</v>
      </c>
      <c r="AQ123" s="10">
        <f>'BS Forecasts'!AQ$176</f>
        <v>0</v>
      </c>
      <c r="AR123" s="10">
        <f>'BS Forecasts'!AR$176</f>
        <v>0</v>
      </c>
      <c r="AS123" s="10">
        <f>'BS Forecasts'!AS$176</f>
        <v>0</v>
      </c>
      <c r="AT123" s="10">
        <f>'BS Forecasts'!AT$176</f>
        <v>0</v>
      </c>
      <c r="AU123" s="10">
        <f>'BS Forecasts'!AU$176</f>
        <v>0</v>
      </c>
      <c r="AV123" s="10">
        <f>'BS Forecasts'!AV$176</f>
        <v>0</v>
      </c>
      <c r="AW123" s="10">
        <f>'BS Forecasts'!AW$176</f>
        <v>0</v>
      </c>
      <c r="AX123" s="10">
        <f>'BS Forecasts'!AX$176</f>
        <v>0</v>
      </c>
      <c r="AY123" s="10">
        <f>'BS Forecasts'!AY$176</f>
        <v>0</v>
      </c>
      <c r="AZ123" s="10">
        <f>'BS Forecasts'!AZ$176</f>
        <v>0</v>
      </c>
      <c r="BA123" s="10">
        <f>'BS Forecasts'!BA$176</f>
        <v>0</v>
      </c>
      <c r="BB123" s="10">
        <f>'BS Forecasts'!BB$176</f>
        <v>0</v>
      </c>
      <c r="BC123" s="10">
        <f>'BS Forecasts'!BC$176</f>
        <v>0</v>
      </c>
      <c r="BD123" s="10">
        <f>'BS Forecasts'!BD$176</f>
        <v>0</v>
      </c>
      <c r="BE123" s="10">
        <f>'BS Forecasts'!BE$176</f>
        <v>0</v>
      </c>
      <c r="BF123" s="10">
        <f>'BS Forecasts'!BF$176</f>
        <v>0</v>
      </c>
      <c r="BG123" s="10">
        <f>'BS Forecasts'!BG$176</f>
        <v>0</v>
      </c>
      <c r="BH123" s="10">
        <f>'BS Forecasts'!BH$176</f>
        <v>0</v>
      </c>
      <c r="BI123" s="10">
        <f>'BS Forecasts'!BI$176</f>
        <v>0</v>
      </c>
      <c r="BJ123" s="10">
        <f>'BS Forecasts'!BJ$176</f>
        <v>0</v>
      </c>
      <c r="BX123" s="10">
        <f>'BS Forecasts'!BX$176</f>
        <v>0</v>
      </c>
      <c r="BY123" s="10">
        <f>'BS Forecasts'!BY$176</f>
        <v>0</v>
      </c>
      <c r="BZ123" s="10">
        <f>'BS Forecasts'!BZ$176</f>
        <v>0</v>
      </c>
      <c r="CA123" s="10">
        <f>'BS Forecasts'!CA$176</f>
        <v>0</v>
      </c>
      <c r="CB123" s="10">
        <f>'BS Forecasts'!CB$176</f>
        <v>0</v>
      </c>
      <c r="CC123" s="10">
        <f>'BS Forecasts'!CC$176</f>
        <v>0</v>
      </c>
      <c r="CD123" s="10">
        <f>'BS Forecasts'!CD$176</f>
        <v>0</v>
      </c>
      <c r="CE123" s="10">
        <f>'BS Forecasts'!CE$176</f>
        <v>0</v>
      </c>
      <c r="CF123" s="10">
        <f>'BS Forecasts'!CF$176</f>
        <v>0</v>
      </c>
      <c r="CG123" s="10">
        <f>'BS Forecasts'!CG$176</f>
        <v>0</v>
      </c>
      <c r="CH123" s="10">
        <f>'BS Forecasts'!CH$176</f>
        <v>0</v>
      </c>
      <c r="CI123" s="10">
        <f>'BS Forecasts'!CI$176</f>
        <v>0</v>
      </c>
      <c r="CK123" s="311"/>
      <c r="CO123" s="100">
        <f t="shared" si="111"/>
        <v>0</v>
      </c>
      <c r="CP123" s="100">
        <f t="shared" si="112"/>
        <v>0</v>
      </c>
      <c r="CQ123" s="100">
        <f t="shared" si="113"/>
        <v>0</v>
      </c>
      <c r="CR123" s="311"/>
      <c r="CS123" s="215">
        <f t="shared" si="114"/>
        <v>0</v>
      </c>
      <c r="CT123" s="215">
        <f t="shared" si="114"/>
        <v>0</v>
      </c>
      <c r="CU123" s="215">
        <f t="shared" si="114"/>
        <v>0</v>
      </c>
      <c r="CV123" s="215">
        <f t="shared" si="115"/>
        <v>0</v>
      </c>
      <c r="CW123" s="215">
        <f t="shared" si="115"/>
        <v>0</v>
      </c>
      <c r="CX123" s="215">
        <f t="shared" si="115"/>
        <v>0</v>
      </c>
      <c r="CY123" s="215">
        <f t="shared" si="116"/>
        <v>0</v>
      </c>
      <c r="EX123" s="12" t="str">
        <f t="shared" ca="1" si="117"/>
        <v>Creditors: amounts falling due after one year Other Liabilities</v>
      </c>
    </row>
    <row r="124" spans="1:154" x14ac:dyDescent="0.35">
      <c r="A124" s="537" cm="1">
        <f t="array" aca="1" ref="A124" ca="1">HYPERLINK(CONCATENATE("#",CELL("address",IF(MAX($CK124:$CR124)=0,A124,INDEX($CK124:$CR124,MATCH(1,$CK124:$CR124,0))))),MAX($CK124:$CR124))</f>
        <v>0</v>
      </c>
      <c r="C124" s="213" t="s">
        <v>1526</v>
      </c>
      <c r="D124" s="107" t="s">
        <v>716</v>
      </c>
      <c r="V124" s="12">
        <f>SUM(V117:V123)*V$9</f>
        <v>0</v>
      </c>
      <c r="W124" s="12">
        <f>SUM(W117:W123)*W$9</f>
        <v>0</v>
      </c>
      <c r="X124" s="12">
        <f>SUM(X117:X123)*X$9</f>
        <v>0</v>
      </c>
      <c r="Y124" s="12">
        <f>SUM(Y117:Y123)*Y$9</f>
        <v>0</v>
      </c>
      <c r="AA124" s="12">
        <f t="shared" ref="AA124:BJ124" si="126">SUM(AA117:AA123)*AA$9</f>
        <v>0</v>
      </c>
      <c r="AB124" s="12">
        <f t="shared" si="126"/>
        <v>0</v>
      </c>
      <c r="AC124" s="12">
        <f t="shared" si="126"/>
        <v>0</v>
      </c>
      <c r="AD124" s="12">
        <f t="shared" si="126"/>
        <v>0</v>
      </c>
      <c r="AE124" s="12">
        <f t="shared" si="126"/>
        <v>0</v>
      </c>
      <c r="AF124" s="12">
        <f t="shared" si="126"/>
        <v>0</v>
      </c>
      <c r="AG124" s="12">
        <f t="shared" si="126"/>
        <v>0</v>
      </c>
      <c r="AH124" s="12">
        <f t="shared" si="126"/>
        <v>0</v>
      </c>
      <c r="AI124" s="12">
        <f t="shared" si="126"/>
        <v>0</v>
      </c>
      <c r="AJ124" s="12">
        <f t="shared" si="126"/>
        <v>0</v>
      </c>
      <c r="AK124" s="12">
        <f t="shared" si="126"/>
        <v>0</v>
      </c>
      <c r="AL124" s="12">
        <f t="shared" si="126"/>
        <v>0</v>
      </c>
      <c r="AM124" s="12">
        <f t="shared" si="126"/>
        <v>0</v>
      </c>
      <c r="AN124" s="12">
        <f t="shared" si="126"/>
        <v>0</v>
      </c>
      <c r="AO124" s="12">
        <f t="shared" si="126"/>
        <v>0</v>
      </c>
      <c r="AP124" s="12">
        <f t="shared" si="126"/>
        <v>0</v>
      </c>
      <c r="AQ124" s="12">
        <f t="shared" si="126"/>
        <v>0</v>
      </c>
      <c r="AR124" s="12">
        <f t="shared" si="126"/>
        <v>0</v>
      </c>
      <c r="AS124" s="12">
        <f t="shared" si="126"/>
        <v>0</v>
      </c>
      <c r="AT124" s="12">
        <f t="shared" si="126"/>
        <v>0</v>
      </c>
      <c r="AU124" s="12">
        <f t="shared" si="126"/>
        <v>0</v>
      </c>
      <c r="AV124" s="12">
        <f t="shared" si="126"/>
        <v>0</v>
      </c>
      <c r="AW124" s="12">
        <f t="shared" si="126"/>
        <v>0</v>
      </c>
      <c r="AX124" s="12">
        <f t="shared" si="126"/>
        <v>0</v>
      </c>
      <c r="AY124" s="12">
        <f t="shared" si="126"/>
        <v>0</v>
      </c>
      <c r="AZ124" s="12">
        <f t="shared" si="126"/>
        <v>0</v>
      </c>
      <c r="BA124" s="12">
        <f t="shared" si="126"/>
        <v>0</v>
      </c>
      <c r="BB124" s="12">
        <f t="shared" si="126"/>
        <v>0</v>
      </c>
      <c r="BC124" s="12">
        <f t="shared" si="126"/>
        <v>0</v>
      </c>
      <c r="BD124" s="12">
        <f t="shared" si="126"/>
        <v>0</v>
      </c>
      <c r="BE124" s="12">
        <f t="shared" si="126"/>
        <v>0</v>
      </c>
      <c r="BF124" s="12">
        <f t="shared" si="126"/>
        <v>0</v>
      </c>
      <c r="BG124" s="12">
        <f t="shared" si="126"/>
        <v>0</v>
      </c>
      <c r="BH124" s="12">
        <f t="shared" si="126"/>
        <v>0</v>
      </c>
      <c r="BI124" s="12">
        <f t="shared" si="126"/>
        <v>0</v>
      </c>
      <c r="BJ124" s="12">
        <f t="shared" si="126"/>
        <v>0</v>
      </c>
      <c r="BX124" s="12">
        <f t="shared" ref="BX124:CI124" si="127">SUM(BX117:BX123)*BX$9</f>
        <v>0</v>
      </c>
      <c r="BY124" s="12">
        <f t="shared" si="127"/>
        <v>0</v>
      </c>
      <c r="BZ124" s="12">
        <f t="shared" si="127"/>
        <v>0</v>
      </c>
      <c r="CA124" s="12">
        <f t="shared" si="127"/>
        <v>0</v>
      </c>
      <c r="CB124" s="12">
        <f t="shared" si="127"/>
        <v>0</v>
      </c>
      <c r="CC124" s="12">
        <f t="shared" si="127"/>
        <v>0</v>
      </c>
      <c r="CD124" s="12">
        <f t="shared" si="127"/>
        <v>0</v>
      </c>
      <c r="CE124" s="12">
        <f t="shared" si="127"/>
        <v>0</v>
      </c>
      <c r="CF124" s="12">
        <f t="shared" si="127"/>
        <v>0</v>
      </c>
      <c r="CG124" s="12">
        <f t="shared" si="127"/>
        <v>0</v>
      </c>
      <c r="CH124" s="12">
        <f t="shared" si="127"/>
        <v>0</v>
      </c>
      <c r="CI124" s="12">
        <f t="shared" si="127"/>
        <v>0</v>
      </c>
      <c r="CK124" s="311"/>
      <c r="CO124" s="100">
        <f t="shared" si="111"/>
        <v>0</v>
      </c>
      <c r="CP124" s="100">
        <f t="shared" si="112"/>
        <v>0</v>
      </c>
      <c r="CQ124" s="100">
        <f t="shared" si="113"/>
        <v>0</v>
      </c>
      <c r="CR124" s="311"/>
      <c r="CS124" s="215">
        <f t="shared" si="114"/>
        <v>0</v>
      </c>
      <c r="CT124" s="215">
        <f t="shared" si="114"/>
        <v>0</v>
      </c>
      <c r="CU124" s="215">
        <f t="shared" si="114"/>
        <v>0</v>
      </c>
      <c r="CV124" s="215">
        <f t="shared" si="115"/>
        <v>0</v>
      </c>
      <c r="CW124" s="215">
        <f t="shared" si="115"/>
        <v>0</v>
      </c>
      <c r="CX124" s="215">
        <f t="shared" si="115"/>
        <v>0</v>
      </c>
      <c r="CY124" s="215">
        <f t="shared" si="116"/>
        <v>0</v>
      </c>
      <c r="EX124" s="10" t="str">
        <f t="shared" ref="EX124:EX147" si="128">IF($C124="","",$D124)</f>
        <v>Total Creditors: amounts falling due after one year</v>
      </c>
    </row>
    <row r="125" spans="1:154" ht="8.25" customHeight="1" x14ac:dyDescent="0.35">
      <c r="C125" s="213"/>
      <c r="E125"/>
      <c r="CK125" s="311"/>
      <c r="CO125" s="120"/>
      <c r="CP125" s="120"/>
      <c r="CQ125" s="120"/>
      <c r="CR125" s="311"/>
      <c r="EX125" s="10" t="str">
        <f t="shared" si="128"/>
        <v/>
      </c>
    </row>
    <row r="126" spans="1:154" x14ac:dyDescent="0.35">
      <c r="A126" s="537" cm="1">
        <f t="array" aca="1" ref="A126" ca="1">HYPERLINK(CONCATENATE("#",CELL("address",IF(MAX($CK126:$CR126)=0,A126,INDEX($CK126:$CR126,MATCH(1,$CK126:$CR126,0))))),MAX($CK126:$CR126))</f>
        <v>0</v>
      </c>
      <c r="B126" s="5"/>
      <c r="C126" s="213"/>
      <c r="D126" s="61" t="s">
        <v>717</v>
      </c>
      <c r="CK126" s="311"/>
      <c r="CO126" s="100">
        <f t="shared" ref="CO126:CO131" si="129">IF(SUM($CS126:$CU126)=0, 0, 1)</f>
        <v>0</v>
      </c>
      <c r="CP126" s="100">
        <f t="shared" ref="CP126:CP131" si="130">IF(SUM($CV126:$CX126)=0, 0, 1)</f>
        <v>0</v>
      </c>
      <c r="CQ126" s="100">
        <f t="shared" ref="CQ126:CQ131" si="131">IF(CY126=0, 0, 1)</f>
        <v>0</v>
      </c>
      <c r="CR126" s="311"/>
      <c r="CS126" s="215">
        <f t="shared" ref="CS126:CU131" si="132">ROUND(W126-INDEX($AA126:$BJ126, MATCH(W$5, $AA$5:$BJ$5,0)), rounding)</f>
        <v>0</v>
      </c>
      <c r="CT126" s="215">
        <f t="shared" si="132"/>
        <v>0</v>
      </c>
      <c r="CU126" s="215">
        <f t="shared" si="132"/>
        <v>0</v>
      </c>
      <c r="CV126" s="215">
        <f t="shared" ref="CV126:CX131" si="133">ROUND(W126-BY126, rounding)</f>
        <v>0</v>
      </c>
      <c r="CW126" s="215">
        <f t="shared" si="133"/>
        <v>0</v>
      </c>
      <c r="CX126" s="215">
        <f t="shared" si="133"/>
        <v>0</v>
      </c>
      <c r="CY126" s="215">
        <f t="shared" ref="CY126:CY131" si="134">ROUND(V126-BX126, rounding)</f>
        <v>0</v>
      </c>
      <c r="EX126" s="10" t="str">
        <f t="shared" si="128"/>
        <v/>
      </c>
    </row>
    <row r="127" spans="1:154" x14ac:dyDescent="0.35">
      <c r="A127" s="537" cm="1">
        <f t="array" aca="1" ref="A127" ca="1">HYPERLINK(CONCATENATE("#",CELL("address",IF(MAX($CK127:$CR127)=0,A127,INDEX($CK127:$CR127,MATCH(1,$CK127:$CR127,0))))),MAX($CK127:$CR127))</f>
        <v>0</v>
      </c>
      <c r="C127" s="213" t="str">
        <f>'BS Forecasts'!C$217</f>
        <v>B-7a-CB</v>
      </c>
      <c r="D127" s="570" t="str" cm="1">
        <f t="array" aca="1" ref="D127" ca="1">HYPERLINK(CONCATENATE("#",CELL("address",'BS Forecasts'!$D$217)),'BS Forecasts'!$D$205)</f>
        <v>Local Government Pension Scheme Provision</v>
      </c>
      <c r="V127" s="10">
        <f>'BS Forecasts'!V$217</f>
        <v>0</v>
      </c>
      <c r="W127" s="10">
        <f>'BS Forecasts'!W$217</f>
        <v>0</v>
      </c>
      <c r="X127" s="10">
        <f>'BS Forecasts'!X$217</f>
        <v>0</v>
      </c>
      <c r="Y127" s="10">
        <f>'BS Forecasts'!Y$217</f>
        <v>0</v>
      </c>
      <c r="AA127" s="10">
        <f>'BS Forecasts'!AA$217</f>
        <v>0</v>
      </c>
      <c r="AB127" s="10">
        <f>'BS Forecasts'!AB$217</f>
        <v>0</v>
      </c>
      <c r="AC127" s="10">
        <f>'BS Forecasts'!AC$217</f>
        <v>0</v>
      </c>
      <c r="AD127" s="10">
        <f>'BS Forecasts'!AD$217</f>
        <v>0</v>
      </c>
      <c r="AE127" s="10">
        <f>'BS Forecasts'!AE$217</f>
        <v>0</v>
      </c>
      <c r="AF127" s="10">
        <f>'BS Forecasts'!AF$217</f>
        <v>0</v>
      </c>
      <c r="AG127" s="10">
        <f>'BS Forecasts'!AG$217</f>
        <v>0</v>
      </c>
      <c r="AH127" s="10">
        <f>'BS Forecasts'!AH$217</f>
        <v>0</v>
      </c>
      <c r="AI127" s="10">
        <f>'BS Forecasts'!AI$217</f>
        <v>0</v>
      </c>
      <c r="AJ127" s="10">
        <f>'BS Forecasts'!AJ$217</f>
        <v>0</v>
      </c>
      <c r="AK127" s="10">
        <f>'BS Forecasts'!AK$217</f>
        <v>0</v>
      </c>
      <c r="AL127" s="10">
        <f>'BS Forecasts'!AL$217</f>
        <v>0</v>
      </c>
      <c r="AM127" s="10">
        <f>'BS Forecasts'!AM$217</f>
        <v>0</v>
      </c>
      <c r="AN127" s="10">
        <f>'BS Forecasts'!AN$217</f>
        <v>0</v>
      </c>
      <c r="AO127" s="10">
        <f>'BS Forecasts'!AO$217</f>
        <v>0</v>
      </c>
      <c r="AP127" s="10">
        <f>'BS Forecasts'!AP$217</f>
        <v>0</v>
      </c>
      <c r="AQ127" s="10">
        <f>'BS Forecasts'!AQ$217</f>
        <v>0</v>
      </c>
      <c r="AR127" s="10">
        <f>'BS Forecasts'!AR$217</f>
        <v>0</v>
      </c>
      <c r="AS127" s="10">
        <f>'BS Forecasts'!AS$217</f>
        <v>0</v>
      </c>
      <c r="AT127" s="10">
        <f>'BS Forecasts'!AT$217</f>
        <v>0</v>
      </c>
      <c r="AU127" s="10">
        <f>'BS Forecasts'!AU$217</f>
        <v>0</v>
      </c>
      <c r="AV127" s="10">
        <f>'BS Forecasts'!AV$217</f>
        <v>0</v>
      </c>
      <c r="AW127" s="10">
        <f>'BS Forecasts'!AW$217</f>
        <v>0</v>
      </c>
      <c r="AX127" s="10">
        <f>'BS Forecasts'!AX$217</f>
        <v>0</v>
      </c>
      <c r="AY127" s="10">
        <f>'BS Forecasts'!AY$217</f>
        <v>0</v>
      </c>
      <c r="AZ127" s="10">
        <f>'BS Forecasts'!AZ$217</f>
        <v>0</v>
      </c>
      <c r="BA127" s="10">
        <f>'BS Forecasts'!BA$217</f>
        <v>0</v>
      </c>
      <c r="BB127" s="10">
        <f>'BS Forecasts'!BB$217</f>
        <v>0</v>
      </c>
      <c r="BC127" s="10">
        <f>'BS Forecasts'!BC$217</f>
        <v>0</v>
      </c>
      <c r="BD127" s="10">
        <f>'BS Forecasts'!BD$217</f>
        <v>0</v>
      </c>
      <c r="BE127" s="10">
        <f>'BS Forecasts'!BE$217</f>
        <v>0</v>
      </c>
      <c r="BF127" s="10">
        <f>'BS Forecasts'!BF$217</f>
        <v>0</v>
      </c>
      <c r="BG127" s="10">
        <f>'BS Forecasts'!BG$217</f>
        <v>0</v>
      </c>
      <c r="BH127" s="10">
        <f>'BS Forecasts'!BH$217</f>
        <v>0</v>
      </c>
      <c r="BI127" s="10">
        <f>'BS Forecasts'!BI$217</f>
        <v>0</v>
      </c>
      <c r="BJ127" s="10">
        <f>'BS Forecasts'!BJ$217</f>
        <v>0</v>
      </c>
      <c r="BX127" s="10">
        <f>'BS Forecasts'!BX$217</f>
        <v>0</v>
      </c>
      <c r="BY127" s="10">
        <f>'BS Forecasts'!BY$217</f>
        <v>0</v>
      </c>
      <c r="BZ127" s="10">
        <f>'BS Forecasts'!BZ$217</f>
        <v>0</v>
      </c>
      <c r="CA127" s="10">
        <f>'BS Forecasts'!CA$217</f>
        <v>0</v>
      </c>
      <c r="CB127" s="10">
        <f>'BS Forecasts'!CB$217</f>
        <v>0</v>
      </c>
      <c r="CC127" s="10">
        <f>'BS Forecasts'!CC$217</f>
        <v>0</v>
      </c>
      <c r="CD127" s="10">
        <f>'BS Forecasts'!CD$217</f>
        <v>0</v>
      </c>
      <c r="CE127" s="10">
        <f>'BS Forecasts'!CE$217</f>
        <v>0</v>
      </c>
      <c r="CF127" s="10">
        <f>'BS Forecasts'!CF$217</f>
        <v>0</v>
      </c>
      <c r="CG127" s="10">
        <f>'BS Forecasts'!CG$217</f>
        <v>0</v>
      </c>
      <c r="CH127" s="10">
        <f>'BS Forecasts'!CH$217</f>
        <v>0</v>
      </c>
      <c r="CI127" s="10">
        <f>'BS Forecasts'!CI$217</f>
        <v>0</v>
      </c>
      <c r="CK127" s="311"/>
      <c r="CO127" s="100">
        <f t="shared" si="129"/>
        <v>0</v>
      </c>
      <c r="CP127" s="100">
        <f t="shared" si="130"/>
        <v>0</v>
      </c>
      <c r="CQ127" s="100">
        <f t="shared" si="131"/>
        <v>0</v>
      </c>
      <c r="CR127" s="311"/>
      <c r="CS127" s="215">
        <f t="shared" si="132"/>
        <v>0</v>
      </c>
      <c r="CT127" s="215">
        <f t="shared" si="132"/>
        <v>0</v>
      </c>
      <c r="CU127" s="215">
        <f t="shared" si="132"/>
        <v>0</v>
      </c>
      <c r="CV127" s="215">
        <f t="shared" si="133"/>
        <v>0</v>
      </c>
      <c r="CW127" s="215">
        <f t="shared" si="133"/>
        <v>0</v>
      </c>
      <c r="CX127" s="215">
        <f t="shared" si="133"/>
        <v>0</v>
      </c>
      <c r="CY127" s="215">
        <f t="shared" si="134"/>
        <v>0</v>
      </c>
      <c r="EX127" s="10" t="str">
        <f t="shared" ca="1" si="128"/>
        <v>Local Government Pension Scheme Provision</v>
      </c>
    </row>
    <row r="128" spans="1:154" x14ac:dyDescent="0.35">
      <c r="A128" s="537" cm="1">
        <f t="array" aca="1" ref="A128" ca="1">HYPERLINK(CONCATENATE("#",CELL("address",IF(MAX($CK128:$CR128)=0,A128,INDEX($CK128:$CR128,MATCH(1,$CK128:$CR128,0))))),MAX($CK128:$CR128))</f>
        <v>0</v>
      </c>
      <c r="C128" s="213" t="str">
        <f>'BS Forecasts'!C$226</f>
        <v>B-7b-CB</v>
      </c>
      <c r="D128" s="570" t="str" cm="1">
        <f t="array" aca="1" ref="D128" ca="1">HYPERLINK(CONCATENATE("#",CELL("address",'BS Forecasts'!$D$226)),'BS Forecasts'!$D$219)</f>
        <v>Enhanced Pension Provision</v>
      </c>
      <c r="V128" s="10">
        <f>'BS Forecasts'!V$226</f>
        <v>0</v>
      </c>
      <c r="W128" s="10">
        <f>'BS Forecasts'!W$226</f>
        <v>0</v>
      </c>
      <c r="X128" s="10">
        <f>'BS Forecasts'!X$226</f>
        <v>0</v>
      </c>
      <c r="Y128" s="10">
        <f>'BS Forecasts'!Y$226</f>
        <v>0</v>
      </c>
      <c r="AA128" s="10">
        <f>'BS Forecasts'!AA$226</f>
        <v>0</v>
      </c>
      <c r="AB128" s="10">
        <f>'BS Forecasts'!AB$226</f>
        <v>0</v>
      </c>
      <c r="AC128" s="10">
        <f>'BS Forecasts'!AC$226</f>
        <v>0</v>
      </c>
      <c r="AD128" s="10">
        <f>'BS Forecasts'!AD$226</f>
        <v>0</v>
      </c>
      <c r="AE128" s="10">
        <f>'BS Forecasts'!AE$226</f>
        <v>0</v>
      </c>
      <c r="AF128" s="10">
        <f>'BS Forecasts'!AF$226</f>
        <v>0</v>
      </c>
      <c r="AG128" s="10">
        <f>'BS Forecasts'!AG$226</f>
        <v>0</v>
      </c>
      <c r="AH128" s="10">
        <f>'BS Forecasts'!AH$226</f>
        <v>0</v>
      </c>
      <c r="AI128" s="10">
        <f>'BS Forecasts'!AI$226</f>
        <v>0</v>
      </c>
      <c r="AJ128" s="10">
        <f>'BS Forecasts'!AJ$226</f>
        <v>0</v>
      </c>
      <c r="AK128" s="10">
        <f>'BS Forecasts'!AK$226</f>
        <v>0</v>
      </c>
      <c r="AL128" s="10">
        <f>'BS Forecasts'!AL$226</f>
        <v>0</v>
      </c>
      <c r="AM128" s="10">
        <f>'BS Forecasts'!AM$226</f>
        <v>0</v>
      </c>
      <c r="AN128" s="10">
        <f>'BS Forecasts'!AN$226</f>
        <v>0</v>
      </c>
      <c r="AO128" s="10">
        <f>'BS Forecasts'!AO$226</f>
        <v>0</v>
      </c>
      <c r="AP128" s="10">
        <f>'BS Forecasts'!AP$226</f>
        <v>0</v>
      </c>
      <c r="AQ128" s="10">
        <f>'BS Forecasts'!AQ$226</f>
        <v>0</v>
      </c>
      <c r="AR128" s="10">
        <f>'BS Forecasts'!AR$226</f>
        <v>0</v>
      </c>
      <c r="AS128" s="10">
        <f>'BS Forecasts'!AS$226</f>
        <v>0</v>
      </c>
      <c r="AT128" s="10">
        <f>'BS Forecasts'!AT$226</f>
        <v>0</v>
      </c>
      <c r="AU128" s="10">
        <f>'BS Forecasts'!AU$226</f>
        <v>0</v>
      </c>
      <c r="AV128" s="10">
        <f>'BS Forecasts'!AV$226</f>
        <v>0</v>
      </c>
      <c r="AW128" s="10">
        <f>'BS Forecasts'!AW$226</f>
        <v>0</v>
      </c>
      <c r="AX128" s="10">
        <f>'BS Forecasts'!AX$226</f>
        <v>0</v>
      </c>
      <c r="AY128" s="10">
        <f>'BS Forecasts'!AY$226</f>
        <v>0</v>
      </c>
      <c r="AZ128" s="10">
        <f>'BS Forecasts'!AZ$226</f>
        <v>0</v>
      </c>
      <c r="BA128" s="10">
        <f>'BS Forecasts'!BA$226</f>
        <v>0</v>
      </c>
      <c r="BB128" s="10">
        <f>'BS Forecasts'!BB$226</f>
        <v>0</v>
      </c>
      <c r="BC128" s="10">
        <f>'BS Forecasts'!BC$226</f>
        <v>0</v>
      </c>
      <c r="BD128" s="10">
        <f>'BS Forecasts'!BD$226</f>
        <v>0</v>
      </c>
      <c r="BE128" s="10">
        <f>'BS Forecasts'!BE$226</f>
        <v>0</v>
      </c>
      <c r="BF128" s="10">
        <f>'BS Forecasts'!BF$226</f>
        <v>0</v>
      </c>
      <c r="BG128" s="10">
        <f>'BS Forecasts'!BG$226</f>
        <v>0</v>
      </c>
      <c r="BH128" s="10">
        <f>'BS Forecasts'!BH$226</f>
        <v>0</v>
      </c>
      <c r="BI128" s="10">
        <f>'BS Forecasts'!BI$226</f>
        <v>0</v>
      </c>
      <c r="BJ128" s="10">
        <f>'BS Forecasts'!BJ$226</f>
        <v>0</v>
      </c>
      <c r="BX128" s="10">
        <f>'BS Forecasts'!BX$226</f>
        <v>0</v>
      </c>
      <c r="BY128" s="10">
        <f>'BS Forecasts'!BY$226</f>
        <v>0</v>
      </c>
      <c r="BZ128" s="10">
        <f>'BS Forecasts'!BZ$226</f>
        <v>0</v>
      </c>
      <c r="CA128" s="10">
        <f>'BS Forecasts'!CA$226</f>
        <v>0</v>
      </c>
      <c r="CB128" s="10">
        <f>'BS Forecasts'!CB$226</f>
        <v>0</v>
      </c>
      <c r="CC128" s="10">
        <f>'BS Forecasts'!CC$226</f>
        <v>0</v>
      </c>
      <c r="CD128" s="10">
        <f>'BS Forecasts'!CD$226</f>
        <v>0</v>
      </c>
      <c r="CE128" s="10">
        <f>'BS Forecasts'!CE$226</f>
        <v>0</v>
      </c>
      <c r="CF128" s="10">
        <f>'BS Forecasts'!CF$226</f>
        <v>0</v>
      </c>
      <c r="CG128" s="10">
        <f>'BS Forecasts'!CG$226</f>
        <v>0</v>
      </c>
      <c r="CH128" s="10">
        <f>'BS Forecasts'!CH$226</f>
        <v>0</v>
      </c>
      <c r="CI128" s="10">
        <f>'BS Forecasts'!CI$226</f>
        <v>0</v>
      </c>
      <c r="CK128" s="311"/>
      <c r="CO128" s="100">
        <f t="shared" si="129"/>
        <v>0</v>
      </c>
      <c r="CP128" s="100">
        <f t="shared" si="130"/>
        <v>0</v>
      </c>
      <c r="CQ128" s="100">
        <f t="shared" si="131"/>
        <v>0</v>
      </c>
      <c r="CR128" s="311"/>
      <c r="CS128" s="215">
        <f t="shared" si="132"/>
        <v>0</v>
      </c>
      <c r="CT128" s="215">
        <f t="shared" si="132"/>
        <v>0</v>
      </c>
      <c r="CU128" s="215">
        <f t="shared" si="132"/>
        <v>0</v>
      </c>
      <c r="CV128" s="215">
        <f t="shared" si="133"/>
        <v>0</v>
      </c>
      <c r="CW128" s="215">
        <f t="shared" si="133"/>
        <v>0</v>
      </c>
      <c r="CX128" s="215">
        <f t="shared" si="133"/>
        <v>0</v>
      </c>
      <c r="CY128" s="215">
        <f t="shared" si="134"/>
        <v>0</v>
      </c>
      <c r="EX128" s="10" t="str">
        <f t="shared" ca="1" si="128"/>
        <v>Enhanced Pension Provision</v>
      </c>
    </row>
    <row r="129" spans="1:154" x14ac:dyDescent="0.35">
      <c r="A129" s="537" cm="1">
        <f t="array" aca="1" ref="A129" ca="1">HYPERLINK(CONCATENATE("#",CELL("address",IF(MAX($CK129:$CR129)=0,A129,INDEX($CK129:$CR129,MATCH(1,$CK129:$CR129,0))))),MAX($CK129:$CR129))</f>
        <v>0</v>
      </c>
      <c r="C129" s="213" t="str">
        <f>'BS Forecasts'!C$236</f>
        <v>B-7c-CB</v>
      </c>
      <c r="D129" s="570" t="str" cm="1">
        <f t="array" aca="1" ref="D129" ca="1">HYPERLINK(CONCATENATE("#",CELL("address",'BS Forecasts'!$D$236)),'BS Forecasts'!$D$228)</f>
        <v>Other Pension Provisions</v>
      </c>
      <c r="V129" s="10">
        <f>'BS Forecasts'!V$236</f>
        <v>0</v>
      </c>
      <c r="W129" s="10">
        <f>'BS Forecasts'!W$236</f>
        <v>0</v>
      </c>
      <c r="X129" s="10">
        <f>'BS Forecasts'!X$236</f>
        <v>0</v>
      </c>
      <c r="Y129" s="10">
        <f>'BS Forecasts'!Y$236</f>
        <v>0</v>
      </c>
      <c r="AA129" s="10">
        <f>'BS Forecasts'!AA$236</f>
        <v>0</v>
      </c>
      <c r="AB129" s="10">
        <f>'BS Forecasts'!AB$236</f>
        <v>0</v>
      </c>
      <c r="AC129" s="10">
        <f>'BS Forecasts'!AC$236</f>
        <v>0</v>
      </c>
      <c r="AD129" s="10">
        <f>'BS Forecasts'!AD$236</f>
        <v>0</v>
      </c>
      <c r="AE129" s="10">
        <f>'BS Forecasts'!AE$236</f>
        <v>0</v>
      </c>
      <c r="AF129" s="10">
        <f>'BS Forecasts'!AF$236</f>
        <v>0</v>
      </c>
      <c r="AG129" s="10">
        <f>'BS Forecasts'!AG$236</f>
        <v>0</v>
      </c>
      <c r="AH129" s="10">
        <f>'BS Forecasts'!AH$236</f>
        <v>0</v>
      </c>
      <c r="AI129" s="10">
        <f>'BS Forecasts'!AI$236</f>
        <v>0</v>
      </c>
      <c r="AJ129" s="10">
        <f>'BS Forecasts'!AJ$236</f>
        <v>0</v>
      </c>
      <c r="AK129" s="10">
        <f>'BS Forecasts'!AK$236</f>
        <v>0</v>
      </c>
      <c r="AL129" s="10">
        <f>'BS Forecasts'!AL$236</f>
        <v>0</v>
      </c>
      <c r="AM129" s="10">
        <f>'BS Forecasts'!AM$236</f>
        <v>0</v>
      </c>
      <c r="AN129" s="10">
        <f>'BS Forecasts'!AN$236</f>
        <v>0</v>
      </c>
      <c r="AO129" s="10">
        <f>'BS Forecasts'!AO$236</f>
        <v>0</v>
      </c>
      <c r="AP129" s="10">
        <f>'BS Forecasts'!AP$236</f>
        <v>0</v>
      </c>
      <c r="AQ129" s="10">
        <f>'BS Forecasts'!AQ$236</f>
        <v>0</v>
      </c>
      <c r="AR129" s="10">
        <f>'BS Forecasts'!AR$236</f>
        <v>0</v>
      </c>
      <c r="AS129" s="10">
        <f>'BS Forecasts'!AS$236</f>
        <v>0</v>
      </c>
      <c r="AT129" s="10">
        <f>'BS Forecasts'!AT$236</f>
        <v>0</v>
      </c>
      <c r="AU129" s="10">
        <f>'BS Forecasts'!AU$236</f>
        <v>0</v>
      </c>
      <c r="AV129" s="10">
        <f>'BS Forecasts'!AV$236</f>
        <v>0</v>
      </c>
      <c r="AW129" s="10">
        <f>'BS Forecasts'!AW$236</f>
        <v>0</v>
      </c>
      <c r="AX129" s="10">
        <f>'BS Forecasts'!AX$236</f>
        <v>0</v>
      </c>
      <c r="AY129" s="10">
        <f>'BS Forecasts'!AY$236</f>
        <v>0</v>
      </c>
      <c r="AZ129" s="10">
        <f>'BS Forecasts'!AZ$236</f>
        <v>0</v>
      </c>
      <c r="BA129" s="10">
        <f>'BS Forecasts'!BA$236</f>
        <v>0</v>
      </c>
      <c r="BB129" s="10">
        <f>'BS Forecasts'!BB$236</f>
        <v>0</v>
      </c>
      <c r="BC129" s="10">
        <f>'BS Forecasts'!BC$236</f>
        <v>0</v>
      </c>
      <c r="BD129" s="10">
        <f>'BS Forecasts'!BD$236</f>
        <v>0</v>
      </c>
      <c r="BE129" s="10">
        <f>'BS Forecasts'!BE$236</f>
        <v>0</v>
      </c>
      <c r="BF129" s="10">
        <f>'BS Forecasts'!BF$236</f>
        <v>0</v>
      </c>
      <c r="BG129" s="10">
        <f>'BS Forecasts'!BG$236</f>
        <v>0</v>
      </c>
      <c r="BH129" s="10">
        <f>'BS Forecasts'!BH$236</f>
        <v>0</v>
      </c>
      <c r="BI129" s="10">
        <f>'BS Forecasts'!BI$236</f>
        <v>0</v>
      </c>
      <c r="BJ129" s="10">
        <f>'BS Forecasts'!BJ$236</f>
        <v>0</v>
      </c>
      <c r="BX129" s="10">
        <f>'BS Forecasts'!BX$236</f>
        <v>0</v>
      </c>
      <c r="BY129" s="10">
        <f>'BS Forecasts'!BY$236</f>
        <v>0</v>
      </c>
      <c r="BZ129" s="10">
        <f>'BS Forecasts'!BZ$236</f>
        <v>0</v>
      </c>
      <c r="CA129" s="10">
        <f>'BS Forecasts'!CA$236</f>
        <v>0</v>
      </c>
      <c r="CB129" s="10">
        <f>'BS Forecasts'!CB$236</f>
        <v>0</v>
      </c>
      <c r="CC129" s="10">
        <f>'BS Forecasts'!CC$236</f>
        <v>0</v>
      </c>
      <c r="CD129" s="10">
        <f>'BS Forecasts'!CD$236</f>
        <v>0</v>
      </c>
      <c r="CE129" s="10">
        <f>'BS Forecasts'!CE$236</f>
        <v>0</v>
      </c>
      <c r="CF129" s="10">
        <f>'BS Forecasts'!CF$236</f>
        <v>0</v>
      </c>
      <c r="CG129" s="10">
        <f>'BS Forecasts'!CG$236</f>
        <v>0</v>
      </c>
      <c r="CH129" s="10">
        <f>'BS Forecasts'!CH$236</f>
        <v>0</v>
      </c>
      <c r="CI129" s="10">
        <f>'BS Forecasts'!CI$236</f>
        <v>0</v>
      </c>
      <c r="CK129" s="311"/>
      <c r="CO129" s="100">
        <f t="shared" si="129"/>
        <v>0</v>
      </c>
      <c r="CP129" s="100">
        <f t="shared" si="130"/>
        <v>0</v>
      </c>
      <c r="CQ129" s="100">
        <f t="shared" si="131"/>
        <v>0</v>
      </c>
      <c r="CR129" s="311"/>
      <c r="CS129" s="215">
        <f t="shared" si="132"/>
        <v>0</v>
      </c>
      <c r="CT129" s="215">
        <f t="shared" si="132"/>
        <v>0</v>
      </c>
      <c r="CU129" s="215">
        <f t="shared" si="132"/>
        <v>0</v>
      </c>
      <c r="CV129" s="215">
        <f t="shared" si="133"/>
        <v>0</v>
      </c>
      <c r="CW129" s="215">
        <f t="shared" si="133"/>
        <v>0</v>
      </c>
      <c r="CX129" s="215">
        <f t="shared" si="133"/>
        <v>0</v>
      </c>
      <c r="CY129" s="215">
        <f t="shared" si="134"/>
        <v>0</v>
      </c>
      <c r="EX129" s="10" t="str">
        <f t="shared" ca="1" si="128"/>
        <v>Other Pension Provisions</v>
      </c>
    </row>
    <row r="130" spans="1:154" x14ac:dyDescent="0.35">
      <c r="A130" s="537" cm="1">
        <f t="array" aca="1" ref="A130" ca="1">HYPERLINK(CONCATENATE("#",CELL("address",IF(MAX($CK130:$CR130)=0,A130,INDEX($CK130:$CR130,MATCH(1,$CK130:$CR130,0))))),MAX($CK130:$CR130))</f>
        <v>0</v>
      </c>
      <c r="C130" s="213" t="str">
        <f>'BS Forecasts'!C$242</f>
        <v>B-7d-CB</v>
      </c>
      <c r="D130" s="570" t="str" cm="1">
        <f t="array" aca="1" ref="D130" ca="1">HYPERLINK(CONCATENATE("#",CELL("address",'BS Forecasts'!$D$242)),'BS Forecasts'!$D$238)</f>
        <v>Other Provisions</v>
      </c>
      <c r="V130" s="10">
        <f>'BS Forecasts'!V$242</f>
        <v>0</v>
      </c>
      <c r="W130" s="10">
        <f>'BS Forecasts'!W$242</f>
        <v>0</v>
      </c>
      <c r="X130" s="10">
        <f>'BS Forecasts'!X$242</f>
        <v>0</v>
      </c>
      <c r="Y130" s="10">
        <f>'BS Forecasts'!Y$242</f>
        <v>0</v>
      </c>
      <c r="AA130" s="10">
        <f>'BS Forecasts'!AA$242</f>
        <v>0</v>
      </c>
      <c r="AB130" s="10">
        <f>'BS Forecasts'!AB$242</f>
        <v>0</v>
      </c>
      <c r="AC130" s="10">
        <f>'BS Forecasts'!AC$242</f>
        <v>0</v>
      </c>
      <c r="AD130" s="10">
        <f>'BS Forecasts'!AD$242</f>
        <v>0</v>
      </c>
      <c r="AE130" s="10">
        <f>'BS Forecasts'!AE$242</f>
        <v>0</v>
      </c>
      <c r="AF130" s="10">
        <f>'BS Forecasts'!AF$242</f>
        <v>0</v>
      </c>
      <c r="AG130" s="10">
        <f>'BS Forecasts'!AG$242</f>
        <v>0</v>
      </c>
      <c r="AH130" s="10">
        <f>'BS Forecasts'!AH$242</f>
        <v>0</v>
      </c>
      <c r="AI130" s="10">
        <f>'BS Forecasts'!AI$242</f>
        <v>0</v>
      </c>
      <c r="AJ130" s="10">
        <f>'BS Forecasts'!AJ$242</f>
        <v>0</v>
      </c>
      <c r="AK130" s="10">
        <f>'BS Forecasts'!AK$242</f>
        <v>0</v>
      </c>
      <c r="AL130" s="10">
        <f>'BS Forecasts'!AL$242</f>
        <v>0</v>
      </c>
      <c r="AM130" s="10">
        <f>'BS Forecasts'!AM$242</f>
        <v>0</v>
      </c>
      <c r="AN130" s="10">
        <f>'BS Forecasts'!AN$242</f>
        <v>0</v>
      </c>
      <c r="AO130" s="10">
        <f>'BS Forecasts'!AO$242</f>
        <v>0</v>
      </c>
      <c r="AP130" s="10">
        <f>'BS Forecasts'!AP$242</f>
        <v>0</v>
      </c>
      <c r="AQ130" s="10">
        <f>'BS Forecasts'!AQ$242</f>
        <v>0</v>
      </c>
      <c r="AR130" s="10">
        <f>'BS Forecasts'!AR$242</f>
        <v>0</v>
      </c>
      <c r="AS130" s="10">
        <f>'BS Forecasts'!AS$242</f>
        <v>0</v>
      </c>
      <c r="AT130" s="10">
        <f>'BS Forecasts'!AT$242</f>
        <v>0</v>
      </c>
      <c r="AU130" s="10">
        <f>'BS Forecasts'!AU$242</f>
        <v>0</v>
      </c>
      <c r="AV130" s="10">
        <f>'BS Forecasts'!AV$242</f>
        <v>0</v>
      </c>
      <c r="AW130" s="10">
        <f>'BS Forecasts'!AW$242</f>
        <v>0</v>
      </c>
      <c r="AX130" s="10">
        <f>'BS Forecasts'!AX$242</f>
        <v>0</v>
      </c>
      <c r="AY130" s="10">
        <f>'BS Forecasts'!AY$242</f>
        <v>0</v>
      </c>
      <c r="AZ130" s="10">
        <f>'BS Forecasts'!AZ$242</f>
        <v>0</v>
      </c>
      <c r="BA130" s="10">
        <f>'BS Forecasts'!BA$242</f>
        <v>0</v>
      </c>
      <c r="BB130" s="10">
        <f>'BS Forecasts'!BB$242</f>
        <v>0</v>
      </c>
      <c r="BC130" s="10">
        <f>'BS Forecasts'!BC$242</f>
        <v>0</v>
      </c>
      <c r="BD130" s="10">
        <f>'BS Forecasts'!BD$242</f>
        <v>0</v>
      </c>
      <c r="BE130" s="10">
        <f>'BS Forecasts'!BE$242</f>
        <v>0</v>
      </c>
      <c r="BF130" s="10">
        <f>'BS Forecasts'!BF$242</f>
        <v>0</v>
      </c>
      <c r="BG130" s="10">
        <f>'BS Forecasts'!BG$242</f>
        <v>0</v>
      </c>
      <c r="BH130" s="10">
        <f>'BS Forecasts'!BH$242</f>
        <v>0</v>
      </c>
      <c r="BI130" s="10">
        <f>'BS Forecasts'!BI$242</f>
        <v>0</v>
      </c>
      <c r="BJ130" s="10">
        <f>'BS Forecasts'!BJ$242</f>
        <v>0</v>
      </c>
      <c r="BX130" s="10">
        <f>'BS Forecasts'!BX$242</f>
        <v>0</v>
      </c>
      <c r="BY130" s="10">
        <f>'BS Forecasts'!BY$242</f>
        <v>0</v>
      </c>
      <c r="BZ130" s="10">
        <f>'BS Forecasts'!BZ$242</f>
        <v>0</v>
      </c>
      <c r="CA130" s="10">
        <f>'BS Forecasts'!CA$242</f>
        <v>0</v>
      </c>
      <c r="CB130" s="10">
        <f>'BS Forecasts'!CB$242</f>
        <v>0</v>
      </c>
      <c r="CC130" s="10">
        <f>'BS Forecasts'!CC$242</f>
        <v>0</v>
      </c>
      <c r="CD130" s="10">
        <f>'BS Forecasts'!CD$242</f>
        <v>0</v>
      </c>
      <c r="CE130" s="10">
        <f>'BS Forecasts'!CE$242</f>
        <v>0</v>
      </c>
      <c r="CF130" s="10">
        <f>'BS Forecasts'!CF$242</f>
        <v>0</v>
      </c>
      <c r="CG130" s="10">
        <f>'BS Forecasts'!CG$242</f>
        <v>0</v>
      </c>
      <c r="CH130" s="10">
        <f>'BS Forecasts'!CH$242</f>
        <v>0</v>
      </c>
      <c r="CI130" s="10">
        <f>'BS Forecasts'!CI$242</f>
        <v>0</v>
      </c>
      <c r="CK130" s="311"/>
      <c r="CO130" s="100">
        <f t="shared" si="129"/>
        <v>0</v>
      </c>
      <c r="CP130" s="100">
        <f t="shared" si="130"/>
        <v>0</v>
      </c>
      <c r="CQ130" s="100">
        <f t="shared" si="131"/>
        <v>0</v>
      </c>
      <c r="CR130" s="311"/>
      <c r="CS130" s="215">
        <f t="shared" si="132"/>
        <v>0</v>
      </c>
      <c r="CT130" s="215">
        <f t="shared" si="132"/>
        <v>0</v>
      </c>
      <c r="CU130" s="215">
        <f t="shared" si="132"/>
        <v>0</v>
      </c>
      <c r="CV130" s="215">
        <f t="shared" si="133"/>
        <v>0</v>
      </c>
      <c r="CW130" s="215">
        <f t="shared" si="133"/>
        <v>0</v>
      </c>
      <c r="CX130" s="215">
        <f t="shared" si="133"/>
        <v>0</v>
      </c>
      <c r="CY130" s="215">
        <f t="shared" si="134"/>
        <v>0</v>
      </c>
      <c r="EX130" s="10" t="str">
        <f t="shared" ca="1" si="128"/>
        <v>Other Provisions</v>
      </c>
    </row>
    <row r="131" spans="1:154" x14ac:dyDescent="0.35">
      <c r="A131" s="537" cm="1">
        <f t="array" aca="1" ref="A131" ca="1">HYPERLINK(CONCATENATE("#",CELL("address",IF(MAX($CK131:$CR131)=0,A131,INDEX($CK131:$CR131,MATCH(1,$CK131:$CR131,0))))),MAX($CK131:$CR131))</f>
        <v>0</v>
      </c>
      <c r="C131" s="213" t="s">
        <v>1527</v>
      </c>
      <c r="D131" s="61" t="s">
        <v>727</v>
      </c>
      <c r="V131" s="12">
        <f>SUM(V127:V130)*V$9</f>
        <v>0</v>
      </c>
      <c r="W131" s="12">
        <f>SUM(W127:W130)*W$9</f>
        <v>0</v>
      </c>
      <c r="X131" s="12">
        <f>SUM(X127:X130)*X$9</f>
        <v>0</v>
      </c>
      <c r="Y131" s="12">
        <f>SUM(Y127:Y130)*Y$9</f>
        <v>0</v>
      </c>
      <c r="AA131" s="12">
        <f t="shared" ref="AA131:BJ131" si="135">SUM(AA127:AA130)*AA$9</f>
        <v>0</v>
      </c>
      <c r="AB131" s="12">
        <f t="shared" si="135"/>
        <v>0</v>
      </c>
      <c r="AC131" s="12">
        <f t="shared" si="135"/>
        <v>0</v>
      </c>
      <c r="AD131" s="12">
        <f t="shared" si="135"/>
        <v>0</v>
      </c>
      <c r="AE131" s="12">
        <f t="shared" si="135"/>
        <v>0</v>
      </c>
      <c r="AF131" s="12">
        <f t="shared" si="135"/>
        <v>0</v>
      </c>
      <c r="AG131" s="12">
        <f t="shared" si="135"/>
        <v>0</v>
      </c>
      <c r="AH131" s="12">
        <f t="shared" si="135"/>
        <v>0</v>
      </c>
      <c r="AI131" s="12">
        <f t="shared" si="135"/>
        <v>0</v>
      </c>
      <c r="AJ131" s="12">
        <f t="shared" si="135"/>
        <v>0</v>
      </c>
      <c r="AK131" s="12">
        <f t="shared" si="135"/>
        <v>0</v>
      </c>
      <c r="AL131" s="12">
        <f t="shared" si="135"/>
        <v>0</v>
      </c>
      <c r="AM131" s="12">
        <f t="shared" si="135"/>
        <v>0</v>
      </c>
      <c r="AN131" s="12">
        <f t="shared" si="135"/>
        <v>0</v>
      </c>
      <c r="AO131" s="12">
        <f t="shared" si="135"/>
        <v>0</v>
      </c>
      <c r="AP131" s="12">
        <f t="shared" si="135"/>
        <v>0</v>
      </c>
      <c r="AQ131" s="12">
        <f t="shared" si="135"/>
        <v>0</v>
      </c>
      <c r="AR131" s="12">
        <f t="shared" si="135"/>
        <v>0</v>
      </c>
      <c r="AS131" s="12">
        <f t="shared" si="135"/>
        <v>0</v>
      </c>
      <c r="AT131" s="12">
        <f t="shared" si="135"/>
        <v>0</v>
      </c>
      <c r="AU131" s="12">
        <f t="shared" si="135"/>
        <v>0</v>
      </c>
      <c r="AV131" s="12">
        <f t="shared" si="135"/>
        <v>0</v>
      </c>
      <c r="AW131" s="12">
        <f t="shared" si="135"/>
        <v>0</v>
      </c>
      <c r="AX131" s="12">
        <f t="shared" si="135"/>
        <v>0</v>
      </c>
      <c r="AY131" s="12">
        <f t="shared" si="135"/>
        <v>0</v>
      </c>
      <c r="AZ131" s="12">
        <f t="shared" si="135"/>
        <v>0</v>
      </c>
      <c r="BA131" s="12">
        <f t="shared" si="135"/>
        <v>0</v>
      </c>
      <c r="BB131" s="12">
        <f t="shared" si="135"/>
        <v>0</v>
      </c>
      <c r="BC131" s="12">
        <f t="shared" si="135"/>
        <v>0</v>
      </c>
      <c r="BD131" s="12">
        <f t="shared" si="135"/>
        <v>0</v>
      </c>
      <c r="BE131" s="12">
        <f t="shared" si="135"/>
        <v>0</v>
      </c>
      <c r="BF131" s="12">
        <f t="shared" si="135"/>
        <v>0</v>
      </c>
      <c r="BG131" s="12">
        <f t="shared" si="135"/>
        <v>0</v>
      </c>
      <c r="BH131" s="12">
        <f t="shared" si="135"/>
        <v>0</v>
      </c>
      <c r="BI131" s="12">
        <f t="shared" si="135"/>
        <v>0</v>
      </c>
      <c r="BJ131" s="12">
        <f t="shared" si="135"/>
        <v>0</v>
      </c>
      <c r="BX131" s="12">
        <f t="shared" ref="BX131:CI131" si="136">SUM(BX127:BX130)*BX$9</f>
        <v>0</v>
      </c>
      <c r="BY131" s="12">
        <f t="shared" si="136"/>
        <v>0</v>
      </c>
      <c r="BZ131" s="12">
        <f t="shared" si="136"/>
        <v>0</v>
      </c>
      <c r="CA131" s="12">
        <f t="shared" si="136"/>
        <v>0</v>
      </c>
      <c r="CB131" s="12">
        <f t="shared" si="136"/>
        <v>0</v>
      </c>
      <c r="CC131" s="12">
        <f t="shared" si="136"/>
        <v>0</v>
      </c>
      <c r="CD131" s="12">
        <f t="shared" si="136"/>
        <v>0</v>
      </c>
      <c r="CE131" s="12">
        <f t="shared" si="136"/>
        <v>0</v>
      </c>
      <c r="CF131" s="12">
        <f t="shared" si="136"/>
        <v>0</v>
      </c>
      <c r="CG131" s="12">
        <f t="shared" si="136"/>
        <v>0</v>
      </c>
      <c r="CH131" s="12">
        <f t="shared" si="136"/>
        <v>0</v>
      </c>
      <c r="CI131" s="12">
        <f t="shared" si="136"/>
        <v>0</v>
      </c>
      <c r="CK131" s="311"/>
      <c r="CO131" s="100">
        <f t="shared" si="129"/>
        <v>0</v>
      </c>
      <c r="CP131" s="100">
        <f t="shared" si="130"/>
        <v>0</v>
      </c>
      <c r="CQ131" s="100">
        <f t="shared" si="131"/>
        <v>0</v>
      </c>
      <c r="CR131" s="311"/>
      <c r="CS131" s="215">
        <f t="shared" si="132"/>
        <v>0</v>
      </c>
      <c r="CT131" s="215">
        <f t="shared" si="132"/>
        <v>0</v>
      </c>
      <c r="CU131" s="215">
        <f t="shared" si="132"/>
        <v>0</v>
      </c>
      <c r="CV131" s="215">
        <f t="shared" si="133"/>
        <v>0</v>
      </c>
      <c r="CW131" s="215">
        <f t="shared" si="133"/>
        <v>0</v>
      </c>
      <c r="CX131" s="215">
        <f t="shared" si="133"/>
        <v>0</v>
      </c>
      <c r="CY131" s="215">
        <f t="shared" si="134"/>
        <v>0</v>
      </c>
      <c r="EX131" s="10" t="str">
        <f t="shared" si="128"/>
        <v>Total Provisions</v>
      </c>
    </row>
    <row r="132" spans="1:154" ht="11.65" customHeight="1" x14ac:dyDescent="0.35">
      <c r="C132" s="213"/>
      <c r="D132" s="551"/>
      <c r="E132"/>
      <c r="CK132" s="311"/>
      <c r="CO132" s="120"/>
      <c r="CP132" s="120"/>
      <c r="CQ132" s="120"/>
      <c r="CR132" s="311"/>
      <c r="EX132" s="10" t="str">
        <f t="shared" si="128"/>
        <v/>
      </c>
    </row>
    <row r="133" spans="1:154" x14ac:dyDescent="0.35">
      <c r="A133" s="537" cm="1">
        <f t="array" aca="1" ref="A133" ca="1">HYPERLINK(CONCATENATE("#",CELL("address",IF(MAX($CK133:$CR133)=0,A133,INDEX($CK133:$CR133,MATCH(1,$CK133:$CR133,0))))),MAX($CK133:$CR133))</f>
        <v>0</v>
      </c>
      <c r="B133" s="5"/>
      <c r="C133" s="213"/>
      <c r="D133" s="61" t="s">
        <v>728</v>
      </c>
      <c r="CK133" s="311"/>
      <c r="CO133" s="100">
        <f>IF(SUM($CS133:$CU133)=0, 0, 1)</f>
        <v>0</v>
      </c>
      <c r="CP133" s="100">
        <f>IF(SUM($CV133:$CX133)=0, 0, 1)</f>
        <v>0</v>
      </c>
      <c r="CQ133" s="100">
        <f>IF(CY133=0, 0, 1)</f>
        <v>0</v>
      </c>
      <c r="CR133" s="311"/>
      <c r="CS133" s="215">
        <f t="shared" ref="CS133:CU137" si="137">ROUND(W133-INDEX($AA133:$BJ133, MATCH(W$5, $AA$5:$BJ$5,0)), rounding)</f>
        <v>0</v>
      </c>
      <c r="CT133" s="215">
        <f t="shared" si="137"/>
        <v>0</v>
      </c>
      <c r="CU133" s="215">
        <f t="shared" si="137"/>
        <v>0</v>
      </c>
      <c r="CV133" s="215">
        <f t="shared" ref="CV133:CX137" si="138">ROUND(W133-BY133, rounding)</f>
        <v>0</v>
      </c>
      <c r="CW133" s="215">
        <f t="shared" si="138"/>
        <v>0</v>
      </c>
      <c r="CX133" s="215">
        <f t="shared" si="138"/>
        <v>0</v>
      </c>
      <c r="CY133" s="215">
        <f>ROUND(V133-BX133, rounding)</f>
        <v>0</v>
      </c>
      <c r="EX133" s="10" t="str">
        <f t="shared" si="128"/>
        <v/>
      </c>
    </row>
    <row r="134" spans="1:154" x14ac:dyDescent="0.35">
      <c r="A134" s="537" cm="1">
        <f t="array" aca="1" ref="A134" ca="1">HYPERLINK(CONCATENATE("#",CELL("address",IF(MAX($CK134:$CR134)=0,A134,INDEX($CK134:$CR134,MATCH(1,$CK134:$CR134,0))))),MAX($CK134:$CR134))</f>
        <v>0</v>
      </c>
      <c r="C134" s="213" t="str">
        <f>'BS Forecasts'!C$248</f>
        <v>B-9a-CB</v>
      </c>
      <c r="D134" s="570" t="str" cm="1">
        <f t="array" aca="1" ref="D134" ca="1">HYPERLINK(CONCATENATE("#",CELL("address",'BS Forecasts'!$D$248)),'BS Forecasts'!$D$244)</f>
        <v>Revaluation Reserve</v>
      </c>
      <c r="V134" s="10">
        <f>'BS Forecasts'!V$248</f>
        <v>0</v>
      </c>
      <c r="W134" s="99">
        <f>'BS Forecasts'!W$248</f>
        <v>0</v>
      </c>
      <c r="X134" s="99">
        <f>'BS Forecasts'!X$248</f>
        <v>0</v>
      </c>
      <c r="Y134" s="99">
        <f>'BS Forecasts'!Y$248</f>
        <v>0</v>
      </c>
      <c r="AA134" s="99">
        <f>'BS Forecasts'!AA$248</f>
        <v>0</v>
      </c>
      <c r="AB134" s="99">
        <f>'BS Forecasts'!AB$248</f>
        <v>0</v>
      </c>
      <c r="AC134" s="99">
        <f>'BS Forecasts'!AC$248</f>
        <v>0</v>
      </c>
      <c r="AD134" s="99">
        <f>'BS Forecasts'!AD$248</f>
        <v>0</v>
      </c>
      <c r="AE134" s="99">
        <f>'BS Forecasts'!AE$248</f>
        <v>0</v>
      </c>
      <c r="AF134" s="99">
        <f>'BS Forecasts'!AF$248</f>
        <v>0</v>
      </c>
      <c r="AG134" s="99">
        <f>'BS Forecasts'!AG$248</f>
        <v>0</v>
      </c>
      <c r="AH134" s="99">
        <f>'BS Forecasts'!AH$248</f>
        <v>0</v>
      </c>
      <c r="AI134" s="99">
        <f>'BS Forecasts'!AI$248</f>
        <v>0</v>
      </c>
      <c r="AJ134" s="99">
        <f>'BS Forecasts'!AJ$248</f>
        <v>0</v>
      </c>
      <c r="AK134" s="99">
        <f>'BS Forecasts'!AK$248</f>
        <v>0</v>
      </c>
      <c r="AL134" s="99">
        <f>'BS Forecasts'!AL$248</f>
        <v>0</v>
      </c>
      <c r="AM134" s="99">
        <f>'BS Forecasts'!AM$248</f>
        <v>0</v>
      </c>
      <c r="AN134" s="99">
        <f>'BS Forecasts'!AN$248</f>
        <v>0</v>
      </c>
      <c r="AO134" s="99">
        <f>'BS Forecasts'!AO$248</f>
        <v>0</v>
      </c>
      <c r="AP134" s="99">
        <f>'BS Forecasts'!AP$248</f>
        <v>0</v>
      </c>
      <c r="AQ134" s="99">
        <f>'BS Forecasts'!AQ$248</f>
        <v>0</v>
      </c>
      <c r="AR134" s="99">
        <f>'BS Forecasts'!AR$248</f>
        <v>0</v>
      </c>
      <c r="AS134" s="99">
        <f>'BS Forecasts'!AS$248</f>
        <v>0</v>
      </c>
      <c r="AT134" s="99">
        <f>'BS Forecasts'!AT$248</f>
        <v>0</v>
      </c>
      <c r="AU134" s="99">
        <f>'BS Forecasts'!AU$248</f>
        <v>0</v>
      </c>
      <c r="AV134" s="99">
        <f>'BS Forecasts'!AV$248</f>
        <v>0</v>
      </c>
      <c r="AW134" s="99">
        <f>'BS Forecasts'!AW$248</f>
        <v>0</v>
      </c>
      <c r="AX134" s="99">
        <f>'BS Forecasts'!AX$248</f>
        <v>0</v>
      </c>
      <c r="AY134" s="99">
        <f>'BS Forecasts'!AY$248</f>
        <v>0</v>
      </c>
      <c r="AZ134" s="99">
        <f>'BS Forecasts'!AZ$248</f>
        <v>0</v>
      </c>
      <c r="BA134" s="99">
        <f>'BS Forecasts'!BA$248</f>
        <v>0</v>
      </c>
      <c r="BB134" s="99">
        <f>'BS Forecasts'!BB$248</f>
        <v>0</v>
      </c>
      <c r="BC134" s="99">
        <f>'BS Forecasts'!BC$248</f>
        <v>0</v>
      </c>
      <c r="BD134" s="99">
        <f>'BS Forecasts'!BD$248</f>
        <v>0</v>
      </c>
      <c r="BE134" s="99">
        <f>'BS Forecasts'!BE$248</f>
        <v>0</v>
      </c>
      <c r="BF134" s="99">
        <f>'BS Forecasts'!BF$248</f>
        <v>0</v>
      </c>
      <c r="BG134" s="99">
        <f>'BS Forecasts'!BG$248</f>
        <v>0</v>
      </c>
      <c r="BH134" s="99">
        <f>'BS Forecasts'!BH$248</f>
        <v>0</v>
      </c>
      <c r="BI134" s="99">
        <f>'BS Forecasts'!BI$248</f>
        <v>0</v>
      </c>
      <c r="BJ134" s="99">
        <f>'BS Forecasts'!BJ$248</f>
        <v>0</v>
      </c>
      <c r="BX134" s="99">
        <f>'BS Forecasts'!BX$248</f>
        <v>0</v>
      </c>
      <c r="BY134" s="99">
        <f>'BS Forecasts'!BY$248</f>
        <v>0</v>
      </c>
      <c r="BZ134" s="99">
        <f>'BS Forecasts'!BZ$248</f>
        <v>0</v>
      </c>
      <c r="CA134" s="99">
        <f>'BS Forecasts'!CA$248</f>
        <v>0</v>
      </c>
      <c r="CB134" s="99">
        <f>'BS Forecasts'!CB$248</f>
        <v>0</v>
      </c>
      <c r="CC134" s="99">
        <f>'BS Forecasts'!CC$248</f>
        <v>0</v>
      </c>
      <c r="CD134" s="99">
        <f>'BS Forecasts'!CD$248</f>
        <v>0</v>
      </c>
      <c r="CE134" s="99">
        <f>'BS Forecasts'!CE$248</f>
        <v>0</v>
      </c>
      <c r="CF134" s="99">
        <f>'BS Forecasts'!CF$248</f>
        <v>0</v>
      </c>
      <c r="CG134" s="99">
        <f>'BS Forecasts'!CG$248</f>
        <v>0</v>
      </c>
      <c r="CH134" s="99">
        <f>'BS Forecasts'!CH$248</f>
        <v>0</v>
      </c>
      <c r="CI134" s="99">
        <f>'BS Forecasts'!CI$248</f>
        <v>0</v>
      </c>
      <c r="CK134" s="311"/>
      <c r="CO134" s="100">
        <f>IF(SUM($CS134:$CU134)=0, 0, 1)</f>
        <v>0</v>
      </c>
      <c r="CP134" s="100">
        <f>IF(SUM($CV134:$CX134)=0, 0, 1)</f>
        <v>0</v>
      </c>
      <c r="CQ134" s="100">
        <f>IF(CY134=0, 0, 1)</f>
        <v>0</v>
      </c>
      <c r="CR134" s="311"/>
      <c r="CS134" s="215">
        <f t="shared" si="137"/>
        <v>0</v>
      </c>
      <c r="CT134" s="215">
        <f t="shared" si="137"/>
        <v>0</v>
      </c>
      <c r="CU134" s="215">
        <f t="shared" si="137"/>
        <v>0</v>
      </c>
      <c r="CV134" s="215">
        <f t="shared" si="138"/>
        <v>0</v>
      </c>
      <c r="CW134" s="215">
        <f t="shared" si="138"/>
        <v>0</v>
      </c>
      <c r="CX134" s="215">
        <f t="shared" si="138"/>
        <v>0</v>
      </c>
      <c r="CY134" s="215">
        <f>ROUND(V134-BX134, rounding)</f>
        <v>0</v>
      </c>
      <c r="EX134" s="10" t="str">
        <f t="shared" ca="1" si="128"/>
        <v>Revaluation Reserve</v>
      </c>
    </row>
    <row r="135" spans="1:154" x14ac:dyDescent="0.35">
      <c r="A135" s="537" cm="1">
        <f t="array" aca="1" ref="A135" ca="1">HYPERLINK(CONCATENATE("#",CELL("address",IF(MAX($CK135:$CR135)=0,A135,INDEX($CK135:$CR135,MATCH(1,$CK135:$CR135,0))))),MAX($CK135:$CR135))</f>
        <v>0</v>
      </c>
      <c r="C135" s="213" t="str">
        <f>'BS Forecasts'!C$253</f>
        <v>B-9b-CB</v>
      </c>
      <c r="D135" s="570" t="str" cm="1">
        <f t="array" aca="1" ref="D135" ca="1">HYPERLINK(CONCATENATE("#",CELL("address",'BS Forecasts'!$D$253)),'BS Forecasts'!$D$250)</f>
        <v>Restricted Reserve</v>
      </c>
      <c r="V135" s="10">
        <f>'BS Forecasts'!V$253</f>
        <v>0</v>
      </c>
      <c r="W135" s="99">
        <f>'BS Forecasts'!W$253</f>
        <v>0</v>
      </c>
      <c r="X135" s="99">
        <f>'BS Forecasts'!X$253</f>
        <v>0</v>
      </c>
      <c r="Y135" s="99">
        <f>'BS Forecasts'!Y$253</f>
        <v>0</v>
      </c>
      <c r="AA135" s="99">
        <f>'BS Forecasts'!AA$253</f>
        <v>0</v>
      </c>
      <c r="AB135" s="99">
        <f>'BS Forecasts'!AB$253</f>
        <v>0</v>
      </c>
      <c r="AC135" s="99">
        <f>'BS Forecasts'!AC$253</f>
        <v>0</v>
      </c>
      <c r="AD135" s="99">
        <f>'BS Forecasts'!AD$253</f>
        <v>0</v>
      </c>
      <c r="AE135" s="99">
        <f>'BS Forecasts'!AE$253</f>
        <v>0</v>
      </c>
      <c r="AF135" s="99">
        <f>'BS Forecasts'!AF$253</f>
        <v>0</v>
      </c>
      <c r="AG135" s="99">
        <f>'BS Forecasts'!AG$253</f>
        <v>0</v>
      </c>
      <c r="AH135" s="99">
        <f>'BS Forecasts'!AH$253</f>
        <v>0</v>
      </c>
      <c r="AI135" s="99">
        <f>'BS Forecasts'!AI$253</f>
        <v>0</v>
      </c>
      <c r="AJ135" s="99">
        <f>'BS Forecasts'!AJ$253</f>
        <v>0</v>
      </c>
      <c r="AK135" s="99">
        <f>'BS Forecasts'!AK$253</f>
        <v>0</v>
      </c>
      <c r="AL135" s="99">
        <f>'BS Forecasts'!AL$253</f>
        <v>0</v>
      </c>
      <c r="AM135" s="99">
        <f>'BS Forecasts'!AM$253</f>
        <v>0</v>
      </c>
      <c r="AN135" s="99">
        <f>'BS Forecasts'!AN$253</f>
        <v>0</v>
      </c>
      <c r="AO135" s="99">
        <f>'BS Forecasts'!AO$253</f>
        <v>0</v>
      </c>
      <c r="AP135" s="99">
        <f>'BS Forecasts'!AP$253</f>
        <v>0</v>
      </c>
      <c r="AQ135" s="99">
        <f>'BS Forecasts'!AQ$253</f>
        <v>0</v>
      </c>
      <c r="AR135" s="99">
        <f>'BS Forecasts'!AR$253</f>
        <v>0</v>
      </c>
      <c r="AS135" s="99">
        <f>'BS Forecasts'!AS$253</f>
        <v>0</v>
      </c>
      <c r="AT135" s="99">
        <f>'BS Forecasts'!AT$253</f>
        <v>0</v>
      </c>
      <c r="AU135" s="99">
        <f>'BS Forecasts'!AU$253</f>
        <v>0</v>
      </c>
      <c r="AV135" s="99">
        <f>'BS Forecasts'!AV$253</f>
        <v>0</v>
      </c>
      <c r="AW135" s="99">
        <f>'BS Forecasts'!AW$253</f>
        <v>0</v>
      </c>
      <c r="AX135" s="99">
        <f>'BS Forecasts'!AX$253</f>
        <v>0</v>
      </c>
      <c r="AY135" s="99">
        <f>'BS Forecasts'!AY$253</f>
        <v>0</v>
      </c>
      <c r="AZ135" s="99">
        <f>'BS Forecasts'!AZ$253</f>
        <v>0</v>
      </c>
      <c r="BA135" s="99">
        <f>'BS Forecasts'!BA$253</f>
        <v>0</v>
      </c>
      <c r="BB135" s="99">
        <f>'BS Forecasts'!BB$253</f>
        <v>0</v>
      </c>
      <c r="BC135" s="99">
        <f>'BS Forecasts'!BC$253</f>
        <v>0</v>
      </c>
      <c r="BD135" s="99">
        <f>'BS Forecasts'!BD$253</f>
        <v>0</v>
      </c>
      <c r="BE135" s="99">
        <f>'BS Forecasts'!BE$253</f>
        <v>0</v>
      </c>
      <c r="BF135" s="99">
        <f>'BS Forecasts'!BF$253</f>
        <v>0</v>
      </c>
      <c r="BG135" s="99">
        <f>'BS Forecasts'!BG$253</f>
        <v>0</v>
      </c>
      <c r="BH135" s="99">
        <f>'BS Forecasts'!BH$253</f>
        <v>0</v>
      </c>
      <c r="BI135" s="99">
        <f>'BS Forecasts'!BI$253</f>
        <v>0</v>
      </c>
      <c r="BJ135" s="99">
        <f>'BS Forecasts'!BJ$253</f>
        <v>0</v>
      </c>
      <c r="BX135" s="99">
        <f>'BS Forecasts'!BX$253</f>
        <v>0</v>
      </c>
      <c r="BY135" s="99">
        <f>'BS Forecasts'!BY$253</f>
        <v>0</v>
      </c>
      <c r="BZ135" s="99">
        <f>'BS Forecasts'!BZ$253</f>
        <v>0</v>
      </c>
      <c r="CA135" s="99">
        <f>'BS Forecasts'!CA$253</f>
        <v>0</v>
      </c>
      <c r="CB135" s="99">
        <f>'BS Forecasts'!CB$253</f>
        <v>0</v>
      </c>
      <c r="CC135" s="99">
        <f>'BS Forecasts'!CC$253</f>
        <v>0</v>
      </c>
      <c r="CD135" s="99">
        <f>'BS Forecasts'!CD$253</f>
        <v>0</v>
      </c>
      <c r="CE135" s="99">
        <f>'BS Forecasts'!CE$253</f>
        <v>0</v>
      </c>
      <c r="CF135" s="99">
        <f>'BS Forecasts'!CF$253</f>
        <v>0</v>
      </c>
      <c r="CG135" s="99">
        <f>'BS Forecasts'!CG$253</f>
        <v>0</v>
      </c>
      <c r="CH135" s="99">
        <f>'BS Forecasts'!CH$253</f>
        <v>0</v>
      </c>
      <c r="CI135" s="99">
        <f>'BS Forecasts'!CI$253</f>
        <v>0</v>
      </c>
      <c r="CK135" s="311"/>
      <c r="CO135" s="100">
        <f>IF(SUM($CS135:$CU135)=0, 0, 1)</f>
        <v>0</v>
      </c>
      <c r="CP135" s="100">
        <f>IF(SUM($CV135:$CX135)=0, 0, 1)</f>
        <v>0</v>
      </c>
      <c r="CQ135" s="100">
        <f>IF(CY135=0, 0, 1)</f>
        <v>0</v>
      </c>
      <c r="CR135" s="311"/>
      <c r="CS135" s="215">
        <f t="shared" si="137"/>
        <v>0</v>
      </c>
      <c r="CT135" s="215">
        <f t="shared" si="137"/>
        <v>0</v>
      </c>
      <c r="CU135" s="215">
        <f t="shared" si="137"/>
        <v>0</v>
      </c>
      <c r="CV135" s="215">
        <f t="shared" si="138"/>
        <v>0</v>
      </c>
      <c r="CW135" s="215">
        <f t="shared" si="138"/>
        <v>0</v>
      </c>
      <c r="CX135" s="215">
        <f t="shared" si="138"/>
        <v>0</v>
      </c>
      <c r="CY135" s="215">
        <f>ROUND(V135-BX135, rounding)</f>
        <v>0</v>
      </c>
      <c r="EX135" s="10" t="str">
        <f t="shared" ca="1" si="128"/>
        <v>Restricted Reserve</v>
      </c>
    </row>
    <row r="136" spans="1:154" x14ac:dyDescent="0.35">
      <c r="A136" s="537" cm="1">
        <f t="array" aca="1" ref="A136" ca="1">HYPERLINK(CONCATENATE("#",CELL("address",IF(MAX($CK136:$CR136)=0,A136,INDEX($CK136:$CR136,MATCH(1,$CK136:$CR136,0))))),MAX($CK136:$CR136))</f>
        <v>0</v>
      </c>
      <c r="C136" s="213" t="str">
        <f>'BS Forecasts'!C$259</f>
        <v>B-9c-CB</v>
      </c>
      <c r="D136" s="570" t="str" cm="1">
        <f t="array" aca="1" ref="D136" ca="1">HYPERLINK(CONCATENATE("#",CELL("address",'BS Forecasts'!$D$259)),'BS Forecasts'!$D$255)</f>
        <v>I&amp;E Reserve</v>
      </c>
      <c r="V136" s="10">
        <f>'BS Forecasts'!V$259</f>
        <v>0</v>
      </c>
      <c r="W136" s="10">
        <f>'BS Forecasts'!W$259</f>
        <v>0</v>
      </c>
      <c r="X136" s="99">
        <f>'BS Forecasts'!X$259</f>
        <v>0</v>
      </c>
      <c r="Y136" s="99">
        <f>'BS Forecasts'!Y$259</f>
        <v>0</v>
      </c>
      <c r="AA136" s="99">
        <f>'BS Forecasts'!AA$259</f>
        <v>0</v>
      </c>
      <c r="AB136" s="99">
        <f>'BS Forecasts'!AB$259</f>
        <v>0</v>
      </c>
      <c r="AC136" s="99">
        <f>'BS Forecasts'!AC$259</f>
        <v>0</v>
      </c>
      <c r="AD136" s="99">
        <f>'BS Forecasts'!AD$259</f>
        <v>0</v>
      </c>
      <c r="AE136" s="99">
        <f>'BS Forecasts'!AE$259</f>
        <v>0</v>
      </c>
      <c r="AF136" s="99">
        <f>'BS Forecasts'!AF$259</f>
        <v>0</v>
      </c>
      <c r="AG136" s="99">
        <f>'BS Forecasts'!AG$259</f>
        <v>0</v>
      </c>
      <c r="AH136" s="99">
        <f>'BS Forecasts'!AH$259</f>
        <v>0</v>
      </c>
      <c r="AI136" s="99">
        <f>'BS Forecasts'!AI$259</f>
        <v>0</v>
      </c>
      <c r="AJ136" s="99">
        <f>'BS Forecasts'!AJ$259</f>
        <v>0</v>
      </c>
      <c r="AK136" s="99">
        <f>'BS Forecasts'!AK$259</f>
        <v>0</v>
      </c>
      <c r="AL136" s="99">
        <f>'BS Forecasts'!AL$259</f>
        <v>0</v>
      </c>
      <c r="AM136" s="99">
        <f>'BS Forecasts'!AM$259</f>
        <v>0</v>
      </c>
      <c r="AN136" s="99">
        <f>'BS Forecasts'!AN$259</f>
        <v>0</v>
      </c>
      <c r="AO136" s="99">
        <f>'BS Forecasts'!AO$259</f>
        <v>0</v>
      </c>
      <c r="AP136" s="99">
        <f>'BS Forecasts'!AP$259</f>
        <v>0</v>
      </c>
      <c r="AQ136" s="99">
        <f>'BS Forecasts'!AQ$259</f>
        <v>0</v>
      </c>
      <c r="AR136" s="99">
        <f>'BS Forecasts'!AR$259</f>
        <v>0</v>
      </c>
      <c r="AS136" s="99">
        <f>'BS Forecasts'!AS$259</f>
        <v>0</v>
      </c>
      <c r="AT136" s="99">
        <f>'BS Forecasts'!AT$259</f>
        <v>0</v>
      </c>
      <c r="AU136" s="99">
        <f>'BS Forecasts'!AU$259</f>
        <v>0</v>
      </c>
      <c r="AV136" s="99">
        <f>'BS Forecasts'!AV$259</f>
        <v>0</v>
      </c>
      <c r="AW136" s="99">
        <f>'BS Forecasts'!AW$259</f>
        <v>0</v>
      </c>
      <c r="AX136" s="99">
        <f>'BS Forecasts'!AX$259</f>
        <v>0</v>
      </c>
      <c r="AY136" s="99">
        <f>'BS Forecasts'!AY$259</f>
        <v>0</v>
      </c>
      <c r="AZ136" s="99">
        <f>'BS Forecasts'!AZ$259</f>
        <v>0</v>
      </c>
      <c r="BA136" s="99">
        <f>'BS Forecasts'!BA$259</f>
        <v>0</v>
      </c>
      <c r="BB136" s="99">
        <f>'BS Forecasts'!BB$259</f>
        <v>0</v>
      </c>
      <c r="BC136" s="99">
        <f>'BS Forecasts'!BC$259</f>
        <v>0</v>
      </c>
      <c r="BD136" s="99">
        <f>'BS Forecasts'!BD$259</f>
        <v>0</v>
      </c>
      <c r="BE136" s="99">
        <f>'BS Forecasts'!BE$259</f>
        <v>0</v>
      </c>
      <c r="BF136" s="99">
        <f>'BS Forecasts'!BF$259</f>
        <v>0</v>
      </c>
      <c r="BG136" s="99">
        <f>'BS Forecasts'!BG$259</f>
        <v>0</v>
      </c>
      <c r="BH136" s="99">
        <f>'BS Forecasts'!BH$259</f>
        <v>0</v>
      </c>
      <c r="BI136" s="99">
        <f>'BS Forecasts'!BI$259</f>
        <v>0</v>
      </c>
      <c r="BJ136" s="99">
        <f>'BS Forecasts'!BJ$259</f>
        <v>0</v>
      </c>
      <c r="BX136" s="99">
        <f>'BS Forecasts'!BX$259</f>
        <v>0</v>
      </c>
      <c r="BY136" s="99">
        <f>'BS Forecasts'!BY$259</f>
        <v>0</v>
      </c>
      <c r="BZ136" s="99">
        <f>'BS Forecasts'!BZ$259</f>
        <v>0</v>
      </c>
      <c r="CA136" s="99">
        <f>'BS Forecasts'!CA$259</f>
        <v>0</v>
      </c>
      <c r="CB136" s="99">
        <f>'BS Forecasts'!CB$259</f>
        <v>0</v>
      </c>
      <c r="CC136" s="99">
        <f>'BS Forecasts'!CC$259</f>
        <v>0</v>
      </c>
      <c r="CD136" s="99">
        <f>'BS Forecasts'!CD$259</f>
        <v>0</v>
      </c>
      <c r="CE136" s="99">
        <f>'BS Forecasts'!CE$259</f>
        <v>0</v>
      </c>
      <c r="CF136" s="99">
        <f>'BS Forecasts'!CF$259</f>
        <v>0</v>
      </c>
      <c r="CG136" s="99">
        <f>'BS Forecasts'!CG$259</f>
        <v>0</v>
      </c>
      <c r="CH136" s="99">
        <f>'BS Forecasts'!CH$259</f>
        <v>0</v>
      </c>
      <c r="CI136" s="99">
        <f>'BS Forecasts'!CI$259</f>
        <v>0</v>
      </c>
      <c r="CK136" s="311"/>
      <c r="CO136" s="100">
        <f>IF(SUM($CS136:$CU136)=0, 0, 1)</f>
        <v>0</v>
      </c>
      <c r="CP136" s="100">
        <f>IF(SUM($CV136:$CX136)=0, 0, 1)</f>
        <v>0</v>
      </c>
      <c r="CQ136" s="100">
        <f>IF(CY136=0, 0, 1)</f>
        <v>0</v>
      </c>
      <c r="CR136" s="311"/>
      <c r="CS136" s="215">
        <f t="shared" si="137"/>
        <v>0</v>
      </c>
      <c r="CT136" s="215">
        <f t="shared" si="137"/>
        <v>0</v>
      </c>
      <c r="CU136" s="215">
        <f t="shared" si="137"/>
        <v>0</v>
      </c>
      <c r="CV136" s="215">
        <f t="shared" si="138"/>
        <v>0</v>
      </c>
      <c r="CW136" s="215">
        <f t="shared" si="138"/>
        <v>0</v>
      </c>
      <c r="CX136" s="215">
        <f t="shared" si="138"/>
        <v>0</v>
      </c>
      <c r="CY136" s="215">
        <f>ROUND(V136-BX136, rounding)</f>
        <v>0</v>
      </c>
      <c r="EX136" s="10" t="str">
        <f t="shared" ca="1" si="128"/>
        <v>I&amp;E Reserve</v>
      </c>
    </row>
    <row r="137" spans="1:154" x14ac:dyDescent="0.35">
      <c r="A137" s="537" cm="1">
        <f t="array" aca="1" ref="A137" ca="1">HYPERLINK(CONCATENATE("#",CELL("address",IF(MAX($CK137:$CR137)=0,A137,INDEX($CK137:$CR137,MATCH(1,$CK137:$CR137,0))))),MAX($CK137:$CR137))</f>
        <v>0</v>
      </c>
      <c r="C137" s="213" t="s">
        <v>1528</v>
      </c>
      <c r="D137" s="107" t="s">
        <v>736</v>
      </c>
      <c r="V137" s="12">
        <f>SUM(V134:V136)*V$9</f>
        <v>0</v>
      </c>
      <c r="W137" s="12">
        <f>SUM(W134:W136)*W$9</f>
        <v>0</v>
      </c>
      <c r="X137" s="12">
        <f>SUM(X134:X136)*X$9</f>
        <v>0</v>
      </c>
      <c r="Y137" s="12">
        <f>SUM(Y134:Y136)*Y$9</f>
        <v>0</v>
      </c>
      <c r="AA137" s="12">
        <f t="shared" ref="AA137:BJ137" si="139">SUM(AA134:AA136)*AA$9</f>
        <v>0</v>
      </c>
      <c r="AB137" s="12">
        <f t="shared" si="139"/>
        <v>0</v>
      </c>
      <c r="AC137" s="12">
        <f t="shared" si="139"/>
        <v>0</v>
      </c>
      <c r="AD137" s="12">
        <f t="shared" si="139"/>
        <v>0</v>
      </c>
      <c r="AE137" s="12">
        <f t="shared" si="139"/>
        <v>0</v>
      </c>
      <c r="AF137" s="12">
        <f t="shared" si="139"/>
        <v>0</v>
      </c>
      <c r="AG137" s="12">
        <f t="shared" si="139"/>
        <v>0</v>
      </c>
      <c r="AH137" s="12">
        <f t="shared" si="139"/>
        <v>0</v>
      </c>
      <c r="AI137" s="12">
        <f t="shared" si="139"/>
        <v>0</v>
      </c>
      <c r="AJ137" s="12">
        <f t="shared" si="139"/>
        <v>0</v>
      </c>
      <c r="AK137" s="12">
        <f t="shared" si="139"/>
        <v>0</v>
      </c>
      <c r="AL137" s="12">
        <f t="shared" si="139"/>
        <v>0</v>
      </c>
      <c r="AM137" s="12">
        <f t="shared" si="139"/>
        <v>0</v>
      </c>
      <c r="AN137" s="12">
        <f t="shared" si="139"/>
        <v>0</v>
      </c>
      <c r="AO137" s="12">
        <f t="shared" si="139"/>
        <v>0</v>
      </c>
      <c r="AP137" s="12">
        <f t="shared" si="139"/>
        <v>0</v>
      </c>
      <c r="AQ137" s="12">
        <f t="shared" si="139"/>
        <v>0</v>
      </c>
      <c r="AR137" s="12">
        <f t="shared" si="139"/>
        <v>0</v>
      </c>
      <c r="AS137" s="12">
        <f t="shared" si="139"/>
        <v>0</v>
      </c>
      <c r="AT137" s="12">
        <f t="shared" si="139"/>
        <v>0</v>
      </c>
      <c r="AU137" s="12">
        <f t="shared" si="139"/>
        <v>0</v>
      </c>
      <c r="AV137" s="12">
        <f t="shared" si="139"/>
        <v>0</v>
      </c>
      <c r="AW137" s="12">
        <f t="shared" si="139"/>
        <v>0</v>
      </c>
      <c r="AX137" s="12">
        <f t="shared" si="139"/>
        <v>0</v>
      </c>
      <c r="AY137" s="12">
        <f t="shared" si="139"/>
        <v>0</v>
      </c>
      <c r="AZ137" s="12">
        <f t="shared" si="139"/>
        <v>0</v>
      </c>
      <c r="BA137" s="12">
        <f t="shared" si="139"/>
        <v>0</v>
      </c>
      <c r="BB137" s="12">
        <f t="shared" si="139"/>
        <v>0</v>
      </c>
      <c r="BC137" s="12">
        <f t="shared" si="139"/>
        <v>0</v>
      </c>
      <c r="BD137" s="12">
        <f t="shared" si="139"/>
        <v>0</v>
      </c>
      <c r="BE137" s="12">
        <f t="shared" si="139"/>
        <v>0</v>
      </c>
      <c r="BF137" s="12">
        <f t="shared" si="139"/>
        <v>0</v>
      </c>
      <c r="BG137" s="12">
        <f t="shared" si="139"/>
        <v>0</v>
      </c>
      <c r="BH137" s="12">
        <f t="shared" si="139"/>
        <v>0</v>
      </c>
      <c r="BI137" s="12">
        <f t="shared" si="139"/>
        <v>0</v>
      </c>
      <c r="BJ137" s="12">
        <f t="shared" si="139"/>
        <v>0</v>
      </c>
      <c r="BX137" s="12">
        <f t="shared" ref="BX137:CI137" si="140">SUM(BX134:BX136)*BX$9</f>
        <v>0</v>
      </c>
      <c r="BY137" s="12">
        <f t="shared" si="140"/>
        <v>0</v>
      </c>
      <c r="BZ137" s="12">
        <f t="shared" si="140"/>
        <v>0</v>
      </c>
      <c r="CA137" s="12">
        <f t="shared" si="140"/>
        <v>0</v>
      </c>
      <c r="CB137" s="12">
        <f t="shared" si="140"/>
        <v>0</v>
      </c>
      <c r="CC137" s="12">
        <f t="shared" si="140"/>
        <v>0</v>
      </c>
      <c r="CD137" s="12">
        <f t="shared" si="140"/>
        <v>0</v>
      </c>
      <c r="CE137" s="12">
        <f t="shared" si="140"/>
        <v>0</v>
      </c>
      <c r="CF137" s="12">
        <f t="shared" si="140"/>
        <v>0</v>
      </c>
      <c r="CG137" s="12">
        <f t="shared" si="140"/>
        <v>0</v>
      </c>
      <c r="CH137" s="12">
        <f t="shared" si="140"/>
        <v>0</v>
      </c>
      <c r="CI137" s="12">
        <f t="shared" si="140"/>
        <v>0</v>
      </c>
      <c r="CK137" s="311"/>
      <c r="CO137" s="100">
        <f>IF(SUM($CS137:$CU137)=0, 0, 1)</f>
        <v>0</v>
      </c>
      <c r="CP137" s="100">
        <f>IF(SUM($CV137:$CX137)=0, 0, 1)</f>
        <v>0</v>
      </c>
      <c r="CQ137" s="100">
        <f>IF(CY137=0, 0, 1)</f>
        <v>0</v>
      </c>
      <c r="CR137" s="311"/>
      <c r="CS137" s="215">
        <f t="shared" si="137"/>
        <v>0</v>
      </c>
      <c r="CT137" s="215">
        <f t="shared" si="137"/>
        <v>0</v>
      </c>
      <c r="CU137" s="215">
        <f t="shared" si="137"/>
        <v>0</v>
      </c>
      <c r="CV137" s="215">
        <f t="shared" si="138"/>
        <v>0</v>
      </c>
      <c r="CW137" s="215">
        <f t="shared" si="138"/>
        <v>0</v>
      </c>
      <c r="CX137" s="215">
        <f t="shared" si="138"/>
        <v>0</v>
      </c>
      <c r="CY137" s="215">
        <f>ROUND(V137-BX137, rounding)</f>
        <v>0</v>
      </c>
      <c r="EX137" s="10" t="str">
        <f t="shared" si="128"/>
        <v>Total Reserves</v>
      </c>
    </row>
    <row r="138" spans="1:154" ht="11.65" customHeight="1" x14ac:dyDescent="0.35">
      <c r="C138" s="213"/>
      <c r="E138"/>
      <c r="CK138" s="311"/>
      <c r="CO138" s="120"/>
      <c r="CP138" s="120"/>
      <c r="CQ138" s="120"/>
      <c r="CR138" s="311"/>
      <c r="EX138" s="10" t="str">
        <f t="shared" si="128"/>
        <v/>
      </c>
    </row>
    <row r="139" spans="1:154" x14ac:dyDescent="0.35">
      <c r="A139" s="537" cm="1">
        <f t="array" aca="1" ref="A139" ca="1">HYPERLINK(CONCATENATE("#",CELL("address",IF(MAX($CK139:$CR139)=0,A139,INDEX($CK139:$CR139,MATCH(1,$CK139:$CR139,0))))),MAX($CK139:$CR139))</f>
        <v>0</v>
      </c>
      <c r="C139" s="213"/>
      <c r="D139" s="107" t="s">
        <v>737</v>
      </c>
      <c r="V139" s="215">
        <f>ROUND(V114-V124-V131-V137, rounding)*V9</f>
        <v>0</v>
      </c>
      <c r="W139" s="215">
        <f>ROUND(W114-W124-W131-W137, rounding)*W9</f>
        <v>0</v>
      </c>
      <c r="X139" s="215">
        <f>ROUND(X114-X124-X131-X137, rounding)*X9</f>
        <v>0</v>
      </c>
      <c r="Y139" s="215">
        <f>ROUND(Y114-Y124-Y131-Y137, rounding)*Y9</f>
        <v>0</v>
      </c>
      <c r="AA139" s="215">
        <f t="shared" ref="AA139:BJ139" si="141">ROUND(AA114-AA124-AA131-AA137, rounding)*AA9</f>
        <v>0</v>
      </c>
      <c r="AB139" s="215">
        <f t="shared" si="141"/>
        <v>0</v>
      </c>
      <c r="AC139" s="215">
        <f t="shared" si="141"/>
        <v>0</v>
      </c>
      <c r="AD139" s="215">
        <f t="shared" si="141"/>
        <v>0</v>
      </c>
      <c r="AE139" s="215">
        <f t="shared" si="141"/>
        <v>0</v>
      </c>
      <c r="AF139" s="215">
        <f t="shared" si="141"/>
        <v>0</v>
      </c>
      <c r="AG139" s="215">
        <f t="shared" si="141"/>
        <v>0</v>
      </c>
      <c r="AH139" s="215">
        <f t="shared" si="141"/>
        <v>0</v>
      </c>
      <c r="AI139" s="215">
        <f t="shared" si="141"/>
        <v>0</v>
      </c>
      <c r="AJ139" s="215">
        <f t="shared" si="141"/>
        <v>0</v>
      </c>
      <c r="AK139" s="215">
        <f t="shared" si="141"/>
        <v>0</v>
      </c>
      <c r="AL139" s="215">
        <f t="shared" si="141"/>
        <v>0</v>
      </c>
      <c r="AM139" s="215">
        <f t="shared" si="141"/>
        <v>0</v>
      </c>
      <c r="AN139" s="215">
        <f t="shared" si="141"/>
        <v>0</v>
      </c>
      <c r="AO139" s="215">
        <f t="shared" si="141"/>
        <v>0</v>
      </c>
      <c r="AP139" s="215">
        <f t="shared" si="141"/>
        <v>0</v>
      </c>
      <c r="AQ139" s="215">
        <f t="shared" si="141"/>
        <v>0</v>
      </c>
      <c r="AR139" s="215">
        <f t="shared" si="141"/>
        <v>0</v>
      </c>
      <c r="AS139" s="215">
        <f t="shared" si="141"/>
        <v>0</v>
      </c>
      <c r="AT139" s="215">
        <f t="shared" si="141"/>
        <v>0</v>
      </c>
      <c r="AU139" s="215">
        <f t="shared" si="141"/>
        <v>0</v>
      </c>
      <c r="AV139" s="215">
        <f t="shared" si="141"/>
        <v>0</v>
      </c>
      <c r="AW139" s="215">
        <f t="shared" si="141"/>
        <v>0</v>
      </c>
      <c r="AX139" s="215">
        <f t="shared" si="141"/>
        <v>0</v>
      </c>
      <c r="AY139" s="215">
        <f t="shared" si="141"/>
        <v>0</v>
      </c>
      <c r="AZ139" s="215">
        <f t="shared" si="141"/>
        <v>0</v>
      </c>
      <c r="BA139" s="215">
        <f t="shared" si="141"/>
        <v>0</v>
      </c>
      <c r="BB139" s="215">
        <f t="shared" si="141"/>
        <v>0</v>
      </c>
      <c r="BC139" s="215">
        <f t="shared" si="141"/>
        <v>0</v>
      </c>
      <c r="BD139" s="215">
        <f t="shared" si="141"/>
        <v>0</v>
      </c>
      <c r="BE139" s="215">
        <f t="shared" si="141"/>
        <v>0</v>
      </c>
      <c r="BF139" s="215">
        <f t="shared" si="141"/>
        <v>0</v>
      </c>
      <c r="BG139" s="215">
        <f t="shared" si="141"/>
        <v>0</v>
      </c>
      <c r="BH139" s="215">
        <f t="shared" si="141"/>
        <v>0</v>
      </c>
      <c r="BI139" s="215">
        <f t="shared" si="141"/>
        <v>0</v>
      </c>
      <c r="BJ139" s="215">
        <f t="shared" si="141"/>
        <v>0</v>
      </c>
      <c r="BX139" s="215">
        <f t="shared" ref="BX139:CI139" si="142">ROUND(BX114-BX124-BX131-BX137, rounding)*BX9</f>
        <v>0</v>
      </c>
      <c r="BY139" s="215">
        <f t="shared" si="142"/>
        <v>0</v>
      </c>
      <c r="BZ139" s="215">
        <f t="shared" si="142"/>
        <v>0</v>
      </c>
      <c r="CA139" s="215">
        <f t="shared" si="142"/>
        <v>0</v>
      </c>
      <c r="CB139" s="215">
        <f t="shared" si="142"/>
        <v>0</v>
      </c>
      <c r="CC139" s="215">
        <f t="shared" si="142"/>
        <v>0</v>
      </c>
      <c r="CD139" s="215">
        <f t="shared" si="142"/>
        <v>0</v>
      </c>
      <c r="CE139" s="215">
        <f t="shared" si="142"/>
        <v>0</v>
      </c>
      <c r="CF139" s="215">
        <f t="shared" si="142"/>
        <v>0</v>
      </c>
      <c r="CG139" s="215">
        <f t="shared" si="142"/>
        <v>0</v>
      </c>
      <c r="CH139" s="215">
        <f t="shared" si="142"/>
        <v>0</v>
      </c>
      <c r="CI139" s="215">
        <f t="shared" si="142"/>
        <v>0</v>
      </c>
      <c r="CK139" s="311"/>
      <c r="CO139" s="100">
        <f>IF(SUM($CS139:$CU139)=0, 0, 1)</f>
        <v>0</v>
      </c>
      <c r="CP139" s="100">
        <f>IF(SUM($CV139:$CX139)=0, 0, 1)</f>
        <v>0</v>
      </c>
      <c r="CQ139" s="100">
        <f>IF(CY139=0, 0, 1)</f>
        <v>0</v>
      </c>
      <c r="CR139" s="311"/>
      <c r="CS139" s="215">
        <f>ROUND(W139-INDEX($AA139:$BJ139, MATCH(W$5, $AA$5:$BJ$5,0)), rounding)</f>
        <v>0</v>
      </c>
      <c r="CT139" s="215">
        <f>ROUND(X139-INDEX($AA139:$BJ139, MATCH(X$5, $AA$5:$BJ$5,0)), rounding)</f>
        <v>0</v>
      </c>
      <c r="CU139" s="215">
        <f>ROUND(Y139-INDEX($AA139:$BJ139, MATCH(Y$5, $AA$5:$BJ$5,0)), rounding)</f>
        <v>0</v>
      </c>
      <c r="CV139" s="215">
        <f>ROUND(W139-BY139, rounding)</f>
        <v>0</v>
      </c>
      <c r="CW139" s="215">
        <f>ROUND(X139-BZ139, rounding)</f>
        <v>0</v>
      </c>
      <c r="CX139" s="215">
        <f>ROUND(Y139-CA139, rounding)</f>
        <v>0</v>
      </c>
      <c r="CY139" s="215">
        <f>ROUND(V139-BX139, rounding)</f>
        <v>0</v>
      </c>
      <c r="EX139" s="10" t="str">
        <f t="shared" si="128"/>
        <v/>
      </c>
    </row>
    <row r="140" spans="1:154" ht="8.25" customHeight="1" x14ac:dyDescent="0.35">
      <c r="C140" s="213"/>
      <c r="D140" s="57"/>
      <c r="E140"/>
      <c r="CK140" s="312"/>
      <c r="CO140" s="120"/>
      <c r="CP140" s="120"/>
      <c r="CQ140" s="120"/>
      <c r="CR140" s="311"/>
      <c r="EX140" s="10" t="str">
        <f t="shared" si="128"/>
        <v/>
      </c>
    </row>
    <row r="141" spans="1:154" x14ac:dyDescent="0.35">
      <c r="A141" s="537" cm="1">
        <f t="array" aca="1" ref="A141" ca="1">HYPERLINK(CONCATENATE("#",CELL("address",IF(MAX($CK141:$CR141)=0,A141,INDEX($CK141:$CR141,MATCH(1,$CK141:$CR141,0))))),MAX($CK141:$CR141))</f>
        <v>0</v>
      </c>
      <c r="C141" s="213"/>
      <c r="D141" s="120" t="s">
        <v>1353</v>
      </c>
      <c r="V141" s="7">
        <f>IF(ABS(V139)&gt;Parameters!$D$33, 1, 0)</f>
        <v>0</v>
      </c>
      <c r="W141" s="7">
        <f>IF(ABS(W139)&gt;Parameters!$D$33, 1, 0)</f>
        <v>0</v>
      </c>
      <c r="X141" s="7">
        <f>IF(ABS(X139)&gt;Parameters!$D$33, 1, 0)</f>
        <v>0</v>
      </c>
      <c r="Y141" s="7">
        <f>IF(ABS(Y139)&gt;Parameters!$D$33, 1, 0)</f>
        <v>0</v>
      </c>
      <c r="AA141" s="7">
        <f>IF(ABS(AA139)&gt;Parameters!$D$33, 1, 0)</f>
        <v>0</v>
      </c>
      <c r="AB141" s="7">
        <f>IF(ABS(AB139)&gt;Parameters!$D$33, 1, 0)</f>
        <v>0</v>
      </c>
      <c r="AC141" s="7">
        <f>IF(ABS(AC139)&gt;Parameters!$D$33, 1, 0)</f>
        <v>0</v>
      </c>
      <c r="AD141" s="7">
        <f>IF(ABS(AD139)&gt;Parameters!$D$33, 1, 0)</f>
        <v>0</v>
      </c>
      <c r="AE141" s="7">
        <f>IF(ABS(AE139)&gt;Parameters!$D$33, 1, 0)</f>
        <v>0</v>
      </c>
      <c r="AF141" s="7">
        <f>IF(ABS(AF139)&gt;Parameters!$D$33, 1, 0)</f>
        <v>0</v>
      </c>
      <c r="AG141" s="7">
        <f>IF(ABS(AG139)&gt;Parameters!$D$33, 1, 0)</f>
        <v>0</v>
      </c>
      <c r="AH141" s="7">
        <f>IF(ABS(AH139)&gt;Parameters!$D$33, 1, 0)</f>
        <v>0</v>
      </c>
      <c r="AI141" s="7">
        <f>IF(ABS(AI139)&gt;Parameters!$D$33, 1, 0)</f>
        <v>0</v>
      </c>
      <c r="AJ141" s="7">
        <f>IF(ABS(AJ139)&gt;Parameters!$D$33, 1, 0)</f>
        <v>0</v>
      </c>
      <c r="AK141" s="7">
        <f>IF(ABS(AK139)&gt;Parameters!$D$33, 1, 0)</f>
        <v>0</v>
      </c>
      <c r="AL141" s="7">
        <f>IF(ABS(AL139)&gt;Parameters!$D$33, 1, 0)</f>
        <v>0</v>
      </c>
      <c r="AM141" s="7">
        <f>IF(ABS(AM139)&gt;Parameters!$D$33, 1, 0)</f>
        <v>0</v>
      </c>
      <c r="AN141" s="7">
        <f>IF(ABS(AN139)&gt;Parameters!$D$33, 1, 0)</f>
        <v>0</v>
      </c>
      <c r="AO141" s="7">
        <f>IF(ABS(AO139)&gt;Parameters!$D$33, 1, 0)</f>
        <v>0</v>
      </c>
      <c r="AP141" s="7">
        <f>IF(ABS(AP139)&gt;Parameters!$D$33, 1, 0)</f>
        <v>0</v>
      </c>
      <c r="AQ141" s="7">
        <f>IF(ABS(AQ139)&gt;Parameters!$D$33, 1, 0)</f>
        <v>0</v>
      </c>
      <c r="AR141" s="7">
        <f>IF(ABS(AR139)&gt;Parameters!$D$33, 1, 0)</f>
        <v>0</v>
      </c>
      <c r="AS141" s="7">
        <f>IF(ABS(AS139)&gt;Parameters!$D$33, 1, 0)</f>
        <v>0</v>
      </c>
      <c r="AT141" s="7">
        <f>IF(ABS(AT139)&gt;Parameters!$D$33, 1, 0)</f>
        <v>0</v>
      </c>
      <c r="AU141" s="7">
        <f>IF(ABS(AU139)&gt;Parameters!$D$33, 1, 0)</f>
        <v>0</v>
      </c>
      <c r="AV141" s="7">
        <f>IF(ABS(AV139)&gt;Parameters!$D$33, 1, 0)</f>
        <v>0</v>
      </c>
      <c r="AW141" s="7">
        <f>IF(ABS(AW139)&gt;Parameters!$D$33, 1, 0)</f>
        <v>0</v>
      </c>
      <c r="AX141" s="7">
        <f>IF(ABS(AX139)&gt;Parameters!$D$33, 1, 0)</f>
        <v>0</v>
      </c>
      <c r="AY141" s="7">
        <f>IF(ABS(AY139)&gt;Parameters!$D$33, 1, 0)</f>
        <v>0</v>
      </c>
      <c r="AZ141" s="7">
        <f>IF(ABS(AZ139)&gt;Parameters!$D$33, 1, 0)</f>
        <v>0</v>
      </c>
      <c r="BA141" s="7">
        <f>IF(ABS(BA139)&gt;Parameters!$D$33, 1, 0)</f>
        <v>0</v>
      </c>
      <c r="BB141" s="7">
        <f>IF(ABS(BB139)&gt;Parameters!$D$33, 1, 0)</f>
        <v>0</v>
      </c>
      <c r="BC141" s="7">
        <f>IF(ABS(BC139)&gt;Parameters!$D$33, 1, 0)</f>
        <v>0</v>
      </c>
      <c r="BD141" s="7">
        <f>IF(ABS(BD139)&gt;Parameters!$D$33, 1, 0)</f>
        <v>0</v>
      </c>
      <c r="BE141" s="7">
        <f>IF(ABS(BE139)&gt;Parameters!$D$33, 1, 0)</f>
        <v>0</v>
      </c>
      <c r="BF141" s="7">
        <f>IF(ABS(BF139)&gt;Parameters!$D$33, 1, 0)</f>
        <v>0</v>
      </c>
      <c r="BG141" s="7">
        <f>IF(ABS(BG139)&gt;Parameters!$D$33, 1, 0)</f>
        <v>0</v>
      </c>
      <c r="BH141" s="7">
        <f>IF(ABS(BH139)&gt;Parameters!$D$33, 1, 0)</f>
        <v>0</v>
      </c>
      <c r="BI141" s="7">
        <f>IF(ABS(BI139)&gt;Parameters!$D$33, 1, 0)</f>
        <v>0</v>
      </c>
      <c r="BJ141" s="7">
        <f>IF(ABS(BJ139)&gt;Parameters!$D$33, 1, 0)</f>
        <v>0</v>
      </c>
      <c r="BX141" s="7">
        <f>IF(ABS(BX139)&gt;Parameters!$D$33, 1, 0)</f>
        <v>0</v>
      </c>
      <c r="BY141" s="7">
        <f>IF(ABS(BY139)&gt;Parameters!$D$33, 1, 0)</f>
        <v>0</v>
      </c>
      <c r="BZ141" s="7">
        <f>IF(ABS(BZ139)&gt;Parameters!$D$33, 1, 0)</f>
        <v>0</v>
      </c>
      <c r="CA141" s="7">
        <f>IF(ABS(CA139)&gt;Parameters!$D$33, 1, 0)</f>
        <v>0</v>
      </c>
      <c r="CB141" s="7">
        <f>IF(ABS(CB139)&gt;Parameters!$D$33, 1, 0)</f>
        <v>0</v>
      </c>
      <c r="CC141" s="7">
        <f>IF(ABS(CC139)&gt;Parameters!$D$33, 1, 0)</f>
        <v>0</v>
      </c>
      <c r="CD141" s="7">
        <f>IF(ABS(CD139)&gt;Parameters!$D$33, 1, 0)</f>
        <v>0</v>
      </c>
      <c r="CE141" s="7">
        <f>IF(ABS(CE139)&gt;Parameters!$D$33, 1, 0)</f>
        <v>0</v>
      </c>
      <c r="CF141" s="7">
        <f>IF(ABS(CF139)&gt;Parameters!$D$33, 1, 0)</f>
        <v>0</v>
      </c>
      <c r="CG141" s="7">
        <f>IF(ABS(CG139)&gt;Parameters!$D$33, 1, 0)</f>
        <v>0</v>
      </c>
      <c r="CH141" s="7">
        <f>IF(ABS(CH139)&gt;Parameters!$D$33, 1, 0)</f>
        <v>0</v>
      </c>
      <c r="CI141" s="7">
        <f>IF(ABS(CI139)&gt;Parameters!$D$33, 1, 0)</f>
        <v>0</v>
      </c>
      <c r="CK141" s="311"/>
      <c r="CM141" s="7">
        <f>IF(SUM($V141:$CI141)=0, 0, 1)</f>
        <v>0</v>
      </c>
      <c r="CN141" s="7"/>
      <c r="CO141" s="120"/>
      <c r="CP141" s="120"/>
      <c r="CQ141" s="120"/>
      <c r="CR141" s="311"/>
      <c r="EX141" s="10" t="str">
        <f t="shared" si="128"/>
        <v/>
      </c>
    </row>
    <row r="142" spans="1:154" ht="8.25" customHeight="1" x14ac:dyDescent="0.35">
      <c r="C142" s="213"/>
      <c r="D142" s="57"/>
      <c r="E142"/>
      <c r="CK142" s="312"/>
      <c r="CO142" s="120"/>
      <c r="CP142" s="120"/>
      <c r="CQ142" s="120"/>
      <c r="CR142" s="311"/>
      <c r="EX142" s="10" t="str">
        <f t="shared" si="128"/>
        <v/>
      </c>
    </row>
    <row r="143" spans="1:154" x14ac:dyDescent="0.35">
      <c r="A143" s="537" cm="1">
        <f t="array" aca="1" ref="A143" ca="1">HYPERLINK(CONCATENATE("#",CELL("address",IF(MAX($CK143:$CR143)=0,A143,INDEX($CK143:$CR143,MATCH(1,$CK143:$CR143,0))))),MAX($CK143:$CR143))</f>
        <v>0</v>
      </c>
      <c r="C143" s="213"/>
      <c r="D143" s="120" t="s">
        <v>1529</v>
      </c>
      <c r="V143" s="125">
        <f>IF(ABS(V139-SUM('BS Forecasts'!V12,'BS Forecasts'!V14,0-'BS Forecasts'!V16))&gt;rounding,1,0)*V$9</f>
        <v>0</v>
      </c>
      <c r="W143" s="125">
        <f>IF(ABS(W139-SUM('BS Forecasts'!W12,'BS Forecasts'!W14,0-'BS Forecasts'!W16))&gt;rounding,1,0)*W$9</f>
        <v>0</v>
      </c>
      <c r="X143" s="125">
        <f>IF(ABS(X139-SUM('BS Forecasts'!X12,'BS Forecasts'!X14,0-'BS Forecasts'!X16))&gt;rounding,1,0)*X$9</f>
        <v>0</v>
      </c>
      <c r="Y143" s="125">
        <f>IF(ABS(Y139-SUM('BS Forecasts'!Y12,'BS Forecasts'!Y14,0-'BS Forecasts'!Y16))&gt;rounding,1,0)*Y$9</f>
        <v>0</v>
      </c>
      <c r="AA143" s="125">
        <f>IF(ABS(AA139-SUM('BS Forecasts'!AA12,'BS Forecasts'!AA14,0-'BS Forecasts'!AA16))&gt;rounding,1,0)*AA$9</f>
        <v>0</v>
      </c>
      <c r="AB143" s="125">
        <f>IF(ABS(AB139-SUM('BS Forecasts'!AB12,'BS Forecasts'!AB14,0-'BS Forecasts'!AB16))&gt;rounding,1,0)*AB$9</f>
        <v>0</v>
      </c>
      <c r="AC143" s="125">
        <f>IF(ABS(AC139-SUM('BS Forecasts'!AC12,'BS Forecasts'!AC14,0-'BS Forecasts'!AC16))&gt;rounding,1,0)*AC$9</f>
        <v>0</v>
      </c>
      <c r="AD143" s="125">
        <f>IF(ABS(AD139-SUM('BS Forecasts'!AD12,'BS Forecasts'!AD14,0-'BS Forecasts'!AD16))&gt;rounding,1,0)*AD$9</f>
        <v>0</v>
      </c>
      <c r="AE143" s="125">
        <f>IF(ABS(AE139-SUM('BS Forecasts'!AE12,'BS Forecasts'!AE14,0-'BS Forecasts'!AE16))&gt;rounding,1,0)*AE$9</f>
        <v>0</v>
      </c>
      <c r="AF143" s="125">
        <f>IF(ABS(AF139-SUM('BS Forecasts'!AF12,'BS Forecasts'!AF14,0-'BS Forecasts'!AF16))&gt;rounding,1,0)*AF$9</f>
        <v>0</v>
      </c>
      <c r="AG143" s="125">
        <f>IF(ABS(AG139-SUM('BS Forecasts'!AG12,'BS Forecasts'!AG14,0-'BS Forecasts'!AG16))&gt;rounding,1,0)*AG$9</f>
        <v>0</v>
      </c>
      <c r="AH143" s="125">
        <f>IF(ABS(AH139-SUM('BS Forecasts'!AH12,'BS Forecasts'!AH14,0-'BS Forecasts'!AH16))&gt;rounding,1,0)*AH$9</f>
        <v>0</v>
      </c>
      <c r="AI143" s="125">
        <f>IF(ABS(AI139-SUM('BS Forecasts'!AI12,'BS Forecasts'!AI14,0-'BS Forecasts'!AI16))&gt;rounding,1,0)*AI$9</f>
        <v>0</v>
      </c>
      <c r="AJ143" s="125">
        <f>IF(ABS(AJ139-SUM('BS Forecasts'!AJ12,'BS Forecasts'!AJ14,0-'BS Forecasts'!AJ16))&gt;rounding,1,0)*AJ$9</f>
        <v>0</v>
      </c>
      <c r="AK143" s="125">
        <f>IF(ABS(AK139-SUM('BS Forecasts'!AK12,'BS Forecasts'!AK14,0-'BS Forecasts'!AK16))&gt;rounding,1,0)*AK$9</f>
        <v>0</v>
      </c>
      <c r="AL143" s="125">
        <f>IF(ABS(AL139-SUM('BS Forecasts'!AL12,'BS Forecasts'!AL14,0-'BS Forecasts'!AL16))&gt;rounding,1,0)*AL$9</f>
        <v>0</v>
      </c>
      <c r="AM143" s="125">
        <f>IF(ABS(AM139-SUM('BS Forecasts'!AM12,'BS Forecasts'!AM14,0-'BS Forecasts'!AM16))&gt;rounding,1,0)*AM$9</f>
        <v>0</v>
      </c>
      <c r="AN143" s="125">
        <f>IF(ABS(AN139-SUM('BS Forecasts'!AN12,'BS Forecasts'!AN14,0-'BS Forecasts'!AN16))&gt;rounding,1,0)*AN$9</f>
        <v>0</v>
      </c>
      <c r="AO143" s="125">
        <f>IF(ABS(AO139-SUM('BS Forecasts'!AO12,'BS Forecasts'!AO14,0-'BS Forecasts'!AO16))&gt;rounding,1,0)*AO$9</f>
        <v>0</v>
      </c>
      <c r="AP143" s="125">
        <f>IF(ABS(AP139-SUM('BS Forecasts'!AP12,'BS Forecasts'!AP14,0-'BS Forecasts'!AP16))&gt;rounding,1,0)*AP$9</f>
        <v>0</v>
      </c>
      <c r="AQ143" s="125">
        <f>IF(ABS(AQ139-SUM('BS Forecasts'!AQ12,'BS Forecasts'!AQ14,0-'BS Forecasts'!AQ16))&gt;rounding,1,0)*AQ$9</f>
        <v>0</v>
      </c>
      <c r="AR143" s="125">
        <f>IF(ABS(AR139-SUM('BS Forecasts'!AR12,'BS Forecasts'!AR14,0-'BS Forecasts'!AR16))&gt;rounding,1,0)*AR$9</f>
        <v>0</v>
      </c>
      <c r="AS143" s="125">
        <f>IF(ABS(AS139-SUM('BS Forecasts'!AS12,'BS Forecasts'!AS14,0-'BS Forecasts'!AS16))&gt;rounding,1,0)*AS$9</f>
        <v>0</v>
      </c>
      <c r="AT143" s="125">
        <f>IF(ABS(AT139-SUM('BS Forecasts'!AT12,'BS Forecasts'!AT14,0-'BS Forecasts'!AT16))&gt;rounding,1,0)*AT$9</f>
        <v>0</v>
      </c>
      <c r="AU143" s="125">
        <f>IF(ABS(AU139-SUM('BS Forecasts'!AU12,'BS Forecasts'!AU14,0-'BS Forecasts'!AU16))&gt;rounding,1,0)*AU$9</f>
        <v>0</v>
      </c>
      <c r="AV143" s="125">
        <f>IF(ABS(AV139-SUM('BS Forecasts'!AV12,'BS Forecasts'!AV14,0-'BS Forecasts'!AV16))&gt;rounding,1,0)*AV$9</f>
        <v>0</v>
      </c>
      <c r="AW143" s="125">
        <f>IF(ABS(AW139-SUM('BS Forecasts'!AW12,'BS Forecasts'!AW14,0-'BS Forecasts'!AW16))&gt;rounding,1,0)*AW$9</f>
        <v>0</v>
      </c>
      <c r="AX143" s="125">
        <f>IF(ABS(AX139-SUM('BS Forecasts'!AX12,'BS Forecasts'!AX14,0-'BS Forecasts'!AX16))&gt;rounding,1,0)*AX$9</f>
        <v>0</v>
      </c>
      <c r="AY143" s="125">
        <f>IF(ABS(AY139-SUM('BS Forecasts'!AY12,'BS Forecasts'!AY14,0-'BS Forecasts'!AY16))&gt;rounding,1,0)*AY$9</f>
        <v>0</v>
      </c>
      <c r="AZ143" s="125">
        <f>IF(ABS(AZ139-SUM('BS Forecasts'!AZ12,'BS Forecasts'!AZ14,0-'BS Forecasts'!AZ16))&gt;rounding,1,0)*AZ$9</f>
        <v>0</v>
      </c>
      <c r="BA143" s="125">
        <f>IF(ABS(BA139-SUM('BS Forecasts'!BA12,'BS Forecasts'!BA14,0-'BS Forecasts'!BA16))&gt;rounding,1,0)*BA$9</f>
        <v>0</v>
      </c>
      <c r="BB143" s="125">
        <f>IF(ABS(BB139-SUM('BS Forecasts'!BB12,'BS Forecasts'!BB14,0-'BS Forecasts'!BB16))&gt;rounding,1,0)*BB$9</f>
        <v>0</v>
      </c>
      <c r="BC143" s="125">
        <f>IF(ABS(BC139-SUM('BS Forecasts'!BC12,'BS Forecasts'!BC14,0-'BS Forecasts'!BC16))&gt;rounding,1,0)*BC$9</f>
        <v>0</v>
      </c>
      <c r="BD143" s="125">
        <f>IF(ABS(BD139-SUM('BS Forecasts'!BD12,'BS Forecasts'!BD14,0-'BS Forecasts'!BD16))&gt;rounding,1,0)*BD$9</f>
        <v>0</v>
      </c>
      <c r="BE143" s="125">
        <f>IF(ABS(BE139-SUM('BS Forecasts'!BE12,'BS Forecasts'!BE14,0-'BS Forecasts'!BE16))&gt;rounding,1,0)*BE$9</f>
        <v>0</v>
      </c>
      <c r="BF143" s="125">
        <f>IF(ABS(BF139-SUM('BS Forecasts'!BF12,'BS Forecasts'!BF14,0-'BS Forecasts'!BF16))&gt;rounding,1,0)*BF$9</f>
        <v>0</v>
      </c>
      <c r="BG143" s="125">
        <f>IF(ABS(BG139-SUM('BS Forecasts'!BG12,'BS Forecasts'!BG14,0-'BS Forecasts'!BG16))&gt;rounding,1,0)*BG$9</f>
        <v>0</v>
      </c>
      <c r="BH143" s="125">
        <f>IF(ABS(BH139-SUM('BS Forecasts'!BH12,'BS Forecasts'!BH14,0-'BS Forecasts'!BH16))&gt;rounding,1,0)*BH$9</f>
        <v>0</v>
      </c>
      <c r="BI143" s="125">
        <f>IF(ABS(BI139-SUM('BS Forecasts'!BI12,'BS Forecasts'!BI14,0-'BS Forecasts'!BI16))&gt;rounding,1,0)*BI$9</f>
        <v>0</v>
      </c>
      <c r="BJ143" s="125">
        <f>IF(ABS(BJ139-SUM('BS Forecasts'!BJ12,'BS Forecasts'!BJ14,0-'BS Forecasts'!BJ16))&gt;rounding,1,0)*BJ$9</f>
        <v>0</v>
      </c>
      <c r="BX143" s="125">
        <f>IF(ABS(BX139-SUM('BS Forecasts'!BX12,'BS Forecasts'!BX14,0-'BS Forecasts'!BX16))&gt;rounding,1,0)*BX$9</f>
        <v>0</v>
      </c>
      <c r="BY143" s="125">
        <f>IF(ABS(BY139-SUM('BS Forecasts'!BY12,'BS Forecasts'!BY14,0-'BS Forecasts'!BY16))&gt;rounding,1,0)*BY$9</f>
        <v>0</v>
      </c>
      <c r="BZ143" s="125">
        <f>IF(ABS(BZ139-SUM('BS Forecasts'!BZ12,'BS Forecasts'!BZ14,0-'BS Forecasts'!BZ16))&gt;rounding,1,0)*BZ$9</f>
        <v>0</v>
      </c>
      <c r="CA143" s="125">
        <f>IF(ABS(CA139-SUM('BS Forecasts'!CA12,'BS Forecasts'!CA14,0-'BS Forecasts'!CA16))&gt;rounding,1,0)*CA$9</f>
        <v>0</v>
      </c>
      <c r="CB143" s="125">
        <f>IF(ABS(CB139-SUM('BS Forecasts'!CB12,'BS Forecasts'!CB14,0-'BS Forecasts'!CB16))&gt;rounding,1,0)*CB$9</f>
        <v>0</v>
      </c>
      <c r="CC143" s="125">
        <f>IF(ABS(CC139-SUM('BS Forecasts'!CC12,'BS Forecasts'!CC14,0-'BS Forecasts'!CC16))&gt;rounding,1,0)*CC$9</f>
        <v>0</v>
      </c>
      <c r="CD143" s="125">
        <f>IF(ABS(CD139-SUM('BS Forecasts'!CD12,'BS Forecasts'!CD14,0-'BS Forecasts'!CD16))&gt;rounding,1,0)*CD$9</f>
        <v>0</v>
      </c>
      <c r="CE143" s="125">
        <f>IF(ABS(CE139-SUM('BS Forecasts'!CE12,'BS Forecasts'!CE14,0-'BS Forecasts'!CE16))&gt;rounding,1,0)*CE$9</f>
        <v>0</v>
      </c>
      <c r="CF143" s="125">
        <f>IF(ABS(CF139-SUM('BS Forecasts'!CF12,'BS Forecasts'!CF14,0-'BS Forecasts'!CF16))&gt;rounding,1,0)*CF$9</f>
        <v>0</v>
      </c>
      <c r="CG143" s="125">
        <f>IF(ABS(CG139-SUM('BS Forecasts'!CG12,'BS Forecasts'!CG14,0-'BS Forecasts'!CG16))&gt;rounding,1,0)*CG$9</f>
        <v>0</v>
      </c>
      <c r="CH143" s="125">
        <f>IF(ABS(CH139-SUM('BS Forecasts'!CH12,'BS Forecasts'!CH14,0-'BS Forecasts'!CH16))&gt;rounding,1,0)*CH$9</f>
        <v>0</v>
      </c>
      <c r="CI143" s="125">
        <f>IF(ABS(CI139-SUM('BS Forecasts'!CI12,'BS Forecasts'!CI14,0-'BS Forecasts'!CI16))&gt;rounding,1,0)*CI$9</f>
        <v>0</v>
      </c>
      <c r="CK143" s="311"/>
      <c r="CL143" s="7">
        <f>IF(SUM($V143:$CI143)=0, 0, 1)</f>
        <v>0</v>
      </c>
      <c r="CO143" s="120"/>
      <c r="CP143" s="120"/>
      <c r="CQ143" s="120"/>
      <c r="CR143" s="311"/>
      <c r="EX143" s="10" t="str">
        <f t="shared" si="128"/>
        <v/>
      </c>
    </row>
    <row r="144" spans="1:154" ht="8.25" customHeight="1" x14ac:dyDescent="0.35">
      <c r="C144" s="211"/>
      <c r="D144" s="57"/>
      <c r="E144"/>
      <c r="CK144" s="312"/>
      <c r="CO144" s="120"/>
      <c r="CP144" s="120"/>
      <c r="CQ144" s="120"/>
      <c r="CR144" s="311"/>
      <c r="EX144" s="10" t="str">
        <f t="shared" si="128"/>
        <v/>
      </c>
    </row>
    <row r="145" spans="1:154" ht="15" customHeight="1" x14ac:dyDescent="0.35">
      <c r="A145" s="34"/>
      <c r="B145" s="34"/>
      <c r="C145" s="238"/>
      <c r="D145" s="34" t="s">
        <v>1530</v>
      </c>
      <c r="E145" s="34"/>
      <c r="F145" s="34"/>
      <c r="G145" s="34"/>
      <c r="H145" s="34"/>
      <c r="I145" s="34"/>
      <c r="J145" s="34"/>
      <c r="K145" s="34"/>
      <c r="L145" s="34"/>
      <c r="M145" s="34"/>
      <c r="N145" s="34"/>
      <c r="O145" s="34"/>
      <c r="P145" s="34"/>
      <c r="Q145" s="34"/>
      <c r="R145" s="34"/>
      <c r="S145" s="34"/>
      <c r="T145" s="34"/>
      <c r="U145" s="34"/>
      <c r="V145" s="568" t="str" cm="1">
        <f t="array" aca="1" ref="V145" ca="1">HYPERLINK(CONCATENATE("#",CELL("address",$CI145)),"Link to 12 Year Annual Timeline")</f>
        <v>Link to 12 Year Annual Timeline</v>
      </c>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568" t="str" cm="1">
        <f t="array" aca="1" ref="BX145" ca="1">HYPERLINK(CONCATENATE("#",CELL("address",$V145)),"Link to 4 Year Annual Timeline")</f>
        <v>Link to 4 Year Annual Timeline</v>
      </c>
      <c r="BY145" s="34"/>
      <c r="BZ145" s="34"/>
      <c r="CA145" s="34"/>
      <c r="CB145" s="34"/>
      <c r="CC145" s="34"/>
      <c r="CD145" s="34"/>
      <c r="CE145" s="34"/>
      <c r="CF145" s="34"/>
      <c r="CG145" s="34"/>
      <c r="CH145" s="34"/>
      <c r="CI145" s="34"/>
      <c r="CJ145" s="34"/>
      <c r="CK145" s="311"/>
      <c r="CO145" s="120"/>
      <c r="CP145" s="120"/>
      <c r="CQ145" s="120"/>
      <c r="CR145" s="311"/>
      <c r="EX145" s="10" t="str">
        <f t="shared" si="128"/>
        <v/>
      </c>
    </row>
    <row r="146" spans="1:154" ht="8.25" customHeight="1" x14ac:dyDescent="0.35">
      <c r="C146" s="211"/>
      <c r="E146"/>
      <c r="CK146" s="311"/>
      <c r="CO146" s="120"/>
      <c r="CP146" s="120"/>
      <c r="CQ146" s="120"/>
      <c r="CR146" s="311"/>
      <c r="EX146" s="10" t="str">
        <f t="shared" si="128"/>
        <v/>
      </c>
    </row>
    <row r="147" spans="1:154" ht="15" customHeight="1" x14ac:dyDescent="0.35">
      <c r="B147" s="5"/>
      <c r="C147" s="211"/>
      <c r="D147" s="107" t="s">
        <v>1531</v>
      </c>
      <c r="CK147" s="311"/>
      <c r="CO147" s="120"/>
      <c r="CP147" s="120"/>
      <c r="CQ147" s="120"/>
      <c r="CR147" s="311"/>
      <c r="EX147" s="10" t="str">
        <f t="shared" si="128"/>
        <v/>
      </c>
    </row>
    <row r="148" spans="1:154" x14ac:dyDescent="0.35">
      <c r="A148" s="537" cm="1">
        <f t="array" aca="1" ref="A148" ca="1">HYPERLINK(CONCATENATE("#",CELL("address",IF(MAX($CK148:$CR148)=0,A148,INDEX($CK148:$CR148,MATCH(1,$CK148:$CR148,0))))),MAX($CK148:$CR148))</f>
        <v>0</v>
      </c>
      <c r="C148" s="308" t="str">
        <f>C$47</f>
        <v>FS-IE-5</v>
      </c>
      <c r="D148" s="120" t="s">
        <v>446</v>
      </c>
      <c r="E148"/>
      <c r="V148" s="99">
        <f>V$47</f>
        <v>0</v>
      </c>
      <c r="W148" s="99">
        <f>W$47</f>
        <v>0</v>
      </c>
      <c r="X148" s="99">
        <f>X$47</f>
        <v>0</v>
      </c>
      <c r="Y148" s="99">
        <f>Y$47</f>
        <v>0</v>
      </c>
      <c r="AA148" s="99">
        <f t="shared" ref="AA148:BJ148" si="143">AA$47</f>
        <v>0</v>
      </c>
      <c r="AB148" s="99">
        <f t="shared" si="143"/>
        <v>0</v>
      </c>
      <c r="AC148" s="99">
        <f t="shared" si="143"/>
        <v>0</v>
      </c>
      <c r="AD148" s="99">
        <f t="shared" si="143"/>
        <v>0</v>
      </c>
      <c r="AE148" s="99">
        <f t="shared" si="143"/>
        <v>0</v>
      </c>
      <c r="AF148" s="99">
        <f t="shared" si="143"/>
        <v>0</v>
      </c>
      <c r="AG148" s="99">
        <f t="shared" si="143"/>
        <v>0</v>
      </c>
      <c r="AH148" s="99">
        <f t="shared" si="143"/>
        <v>0</v>
      </c>
      <c r="AI148" s="99">
        <f t="shared" si="143"/>
        <v>0</v>
      </c>
      <c r="AJ148" s="99">
        <f t="shared" si="143"/>
        <v>0</v>
      </c>
      <c r="AK148" s="99">
        <f t="shared" si="143"/>
        <v>0</v>
      </c>
      <c r="AL148" s="99">
        <f t="shared" si="143"/>
        <v>0</v>
      </c>
      <c r="AM148" s="99">
        <f t="shared" si="143"/>
        <v>0</v>
      </c>
      <c r="AN148" s="99">
        <f t="shared" si="143"/>
        <v>0</v>
      </c>
      <c r="AO148" s="99">
        <f t="shared" si="143"/>
        <v>0</v>
      </c>
      <c r="AP148" s="99">
        <f t="shared" si="143"/>
        <v>0</v>
      </c>
      <c r="AQ148" s="99">
        <f t="shared" si="143"/>
        <v>0</v>
      </c>
      <c r="AR148" s="99">
        <f t="shared" si="143"/>
        <v>0</v>
      </c>
      <c r="AS148" s="99">
        <f t="shared" si="143"/>
        <v>0</v>
      </c>
      <c r="AT148" s="99">
        <f t="shared" si="143"/>
        <v>0</v>
      </c>
      <c r="AU148" s="99">
        <f t="shared" si="143"/>
        <v>0</v>
      </c>
      <c r="AV148" s="99">
        <f t="shared" si="143"/>
        <v>0</v>
      </c>
      <c r="AW148" s="99">
        <f t="shared" si="143"/>
        <v>0</v>
      </c>
      <c r="AX148" s="99">
        <f t="shared" si="143"/>
        <v>0</v>
      </c>
      <c r="AY148" s="99">
        <f t="shared" si="143"/>
        <v>0</v>
      </c>
      <c r="AZ148" s="99">
        <f t="shared" si="143"/>
        <v>0</v>
      </c>
      <c r="BA148" s="99">
        <f t="shared" si="143"/>
        <v>0</v>
      </c>
      <c r="BB148" s="99">
        <f t="shared" si="143"/>
        <v>0</v>
      </c>
      <c r="BC148" s="99">
        <f t="shared" si="143"/>
        <v>0</v>
      </c>
      <c r="BD148" s="99">
        <f t="shared" si="143"/>
        <v>0</v>
      </c>
      <c r="BE148" s="99">
        <f t="shared" si="143"/>
        <v>0</v>
      </c>
      <c r="BF148" s="99">
        <f t="shared" si="143"/>
        <v>0</v>
      </c>
      <c r="BG148" s="99">
        <f t="shared" si="143"/>
        <v>0</v>
      </c>
      <c r="BH148" s="99">
        <f t="shared" si="143"/>
        <v>0</v>
      </c>
      <c r="BI148" s="99">
        <f t="shared" si="143"/>
        <v>0</v>
      </c>
      <c r="BJ148" s="99">
        <f t="shared" si="143"/>
        <v>0</v>
      </c>
      <c r="BX148" s="10">
        <f t="shared" ref="BX148:CI148" si="144">BX$47</f>
        <v>0</v>
      </c>
      <c r="BY148" s="10">
        <f t="shared" si="144"/>
        <v>0</v>
      </c>
      <c r="BZ148" s="10">
        <f t="shared" si="144"/>
        <v>0</v>
      </c>
      <c r="CA148" s="10">
        <f t="shared" si="144"/>
        <v>0</v>
      </c>
      <c r="CB148" s="10">
        <f t="shared" si="144"/>
        <v>0</v>
      </c>
      <c r="CC148" s="10">
        <f t="shared" si="144"/>
        <v>0</v>
      </c>
      <c r="CD148" s="10">
        <f t="shared" si="144"/>
        <v>0</v>
      </c>
      <c r="CE148" s="10">
        <f t="shared" si="144"/>
        <v>0</v>
      </c>
      <c r="CF148" s="10">
        <f t="shared" si="144"/>
        <v>0</v>
      </c>
      <c r="CG148" s="10">
        <f t="shared" si="144"/>
        <v>0</v>
      </c>
      <c r="CH148" s="10">
        <f t="shared" si="144"/>
        <v>0</v>
      </c>
      <c r="CI148" s="10">
        <f t="shared" si="144"/>
        <v>0</v>
      </c>
      <c r="CK148" s="312"/>
      <c r="CO148" s="100">
        <f>IF(SUM($CS148:$CU148)=0, 0, 1)</f>
        <v>0</v>
      </c>
      <c r="CP148" s="100">
        <f>IF(SUM($CV148:$CX148)=0, 0, 1)</f>
        <v>0</v>
      </c>
      <c r="CQ148" s="100">
        <f>IF(CY148=0, 0, 1)</f>
        <v>0</v>
      </c>
      <c r="CR148" s="311"/>
      <c r="CS148" s="215">
        <f>ROUND(W148-SUMIFS($AA148:$BJ148, $AA$3:$BJ$3, W$3), rounding)</f>
        <v>0</v>
      </c>
      <c r="CT148" s="215">
        <f>ROUND($X148-SUMIFS($AA148:$BJ148, $AA$3:$BJ$3, X$3), rounding)</f>
        <v>0</v>
      </c>
      <c r="CU148" s="215">
        <f>ROUND($Y148-SUMIFS($AA148:$BJ148, $AA$3:$BJ$3, Y$3), rounding)</f>
        <v>0</v>
      </c>
      <c r="CV148" s="215">
        <f>ROUND(W148-BY148, rounding)</f>
        <v>0</v>
      </c>
      <c r="CW148" s="215">
        <f>ROUND(X148-BZ148, rounding)</f>
        <v>0</v>
      </c>
      <c r="CX148" s="215">
        <f>ROUND(Y148-CA148, rounding)</f>
        <v>0</v>
      </c>
      <c r="CY148" s="215">
        <f>ROUND(V148-BX148, rounding)</f>
        <v>0</v>
      </c>
      <c r="EX148" s="12" t="str">
        <f>IF($C148="","",CONCATENATE(D$147," ",$D148))</f>
        <v>Cash Flow from Operating Activities Surplus/(deficit) after interest, tax, depreciation and amortisation costs</v>
      </c>
    </row>
    <row r="149" spans="1:154" ht="8.25" customHeight="1" x14ac:dyDescent="0.35">
      <c r="C149" s="213"/>
      <c r="E149"/>
      <c r="CK149" s="311"/>
      <c r="CO149" s="120"/>
      <c r="CP149" s="120"/>
      <c r="CQ149" s="120"/>
      <c r="CR149" s="311"/>
      <c r="EX149" s="10" t="str">
        <f>IF($C149="","",$D149)</f>
        <v/>
      </c>
    </row>
    <row r="150" spans="1:154" x14ac:dyDescent="0.35">
      <c r="B150" s="5"/>
      <c r="C150" s="213"/>
      <c r="D150" s="107" t="s">
        <v>1532</v>
      </c>
      <c r="CK150" s="312"/>
      <c r="CO150" s="120"/>
      <c r="CP150" s="120"/>
      <c r="CQ150" s="120"/>
      <c r="CR150" s="311"/>
      <c r="EX150" s="10" t="str">
        <f>IF($C150="","",$D150)</f>
        <v/>
      </c>
    </row>
    <row r="151" spans="1:154" x14ac:dyDescent="0.35">
      <c r="A151" s="537" cm="1">
        <f t="array" aca="1" ref="A151" ca="1">HYPERLINK(CONCATENATE("#",CELL("address",IF(MAX($CK151:$CR151)=0,A151,INDEX($CK151:$CR151,MATCH(1,$CK151:$CR151,0))))),MAX($CK151:$CR151))</f>
        <v>0</v>
      </c>
      <c r="C151" s="213" t="s">
        <v>1533</v>
      </c>
      <c r="D151" s="120" t="s">
        <v>440</v>
      </c>
      <c r="E151" s="57"/>
      <c r="F151" s="120"/>
      <c r="G151" s="120"/>
      <c r="H151" s="120"/>
      <c r="V151" s="10">
        <f>V$40</f>
        <v>0</v>
      </c>
      <c r="W151" s="10">
        <f>W$40</f>
        <v>0</v>
      </c>
      <c r="X151" s="10">
        <f>X$40</f>
        <v>0</v>
      </c>
      <c r="Y151" s="10">
        <f>Y$40</f>
        <v>0</v>
      </c>
      <c r="AA151" s="10">
        <f t="shared" ref="AA151:BJ151" si="145">AA$40</f>
        <v>0</v>
      </c>
      <c r="AB151" s="10">
        <f t="shared" si="145"/>
        <v>0</v>
      </c>
      <c r="AC151" s="10">
        <f t="shared" si="145"/>
        <v>0</v>
      </c>
      <c r="AD151" s="10">
        <f t="shared" si="145"/>
        <v>0</v>
      </c>
      <c r="AE151" s="10">
        <f t="shared" si="145"/>
        <v>0</v>
      </c>
      <c r="AF151" s="10">
        <f t="shared" si="145"/>
        <v>0</v>
      </c>
      <c r="AG151" s="10">
        <f t="shared" si="145"/>
        <v>0</v>
      </c>
      <c r="AH151" s="10">
        <f t="shared" si="145"/>
        <v>0</v>
      </c>
      <c r="AI151" s="10">
        <f t="shared" si="145"/>
        <v>0</v>
      </c>
      <c r="AJ151" s="10">
        <f t="shared" si="145"/>
        <v>0</v>
      </c>
      <c r="AK151" s="10">
        <f t="shared" si="145"/>
        <v>0</v>
      </c>
      <c r="AL151" s="10">
        <f t="shared" si="145"/>
        <v>0</v>
      </c>
      <c r="AM151" s="10">
        <f t="shared" si="145"/>
        <v>0</v>
      </c>
      <c r="AN151" s="10">
        <f t="shared" si="145"/>
        <v>0</v>
      </c>
      <c r="AO151" s="10">
        <f t="shared" si="145"/>
        <v>0</v>
      </c>
      <c r="AP151" s="10">
        <f t="shared" si="145"/>
        <v>0</v>
      </c>
      <c r="AQ151" s="10">
        <f t="shared" si="145"/>
        <v>0</v>
      </c>
      <c r="AR151" s="10">
        <f t="shared" si="145"/>
        <v>0</v>
      </c>
      <c r="AS151" s="10">
        <f t="shared" si="145"/>
        <v>0</v>
      </c>
      <c r="AT151" s="10">
        <f t="shared" si="145"/>
        <v>0</v>
      </c>
      <c r="AU151" s="10">
        <f t="shared" si="145"/>
        <v>0</v>
      </c>
      <c r="AV151" s="10">
        <f t="shared" si="145"/>
        <v>0</v>
      </c>
      <c r="AW151" s="10">
        <f t="shared" si="145"/>
        <v>0</v>
      </c>
      <c r="AX151" s="10">
        <f t="shared" si="145"/>
        <v>0</v>
      </c>
      <c r="AY151" s="10">
        <f t="shared" si="145"/>
        <v>0</v>
      </c>
      <c r="AZ151" s="10">
        <f t="shared" si="145"/>
        <v>0</v>
      </c>
      <c r="BA151" s="10">
        <f t="shared" si="145"/>
        <v>0</v>
      </c>
      <c r="BB151" s="10">
        <f t="shared" si="145"/>
        <v>0</v>
      </c>
      <c r="BC151" s="10">
        <f t="shared" si="145"/>
        <v>0</v>
      </c>
      <c r="BD151" s="10">
        <f t="shared" si="145"/>
        <v>0</v>
      </c>
      <c r="BE151" s="10">
        <f t="shared" si="145"/>
        <v>0</v>
      </c>
      <c r="BF151" s="10">
        <f t="shared" si="145"/>
        <v>0</v>
      </c>
      <c r="BG151" s="10">
        <f t="shared" si="145"/>
        <v>0</v>
      </c>
      <c r="BH151" s="10">
        <f t="shared" si="145"/>
        <v>0</v>
      </c>
      <c r="BI151" s="10">
        <f t="shared" si="145"/>
        <v>0</v>
      </c>
      <c r="BJ151" s="10">
        <f t="shared" si="145"/>
        <v>0</v>
      </c>
      <c r="BX151" s="10">
        <f t="shared" ref="BX151:CI151" si="146">BX$40</f>
        <v>0</v>
      </c>
      <c r="BY151" s="10">
        <f t="shared" si="146"/>
        <v>0</v>
      </c>
      <c r="BZ151" s="10">
        <f t="shared" si="146"/>
        <v>0</v>
      </c>
      <c r="CA151" s="10">
        <f t="shared" si="146"/>
        <v>0</v>
      </c>
      <c r="CB151" s="10">
        <f t="shared" si="146"/>
        <v>0</v>
      </c>
      <c r="CC151" s="10">
        <f t="shared" si="146"/>
        <v>0</v>
      </c>
      <c r="CD151" s="10">
        <f t="shared" si="146"/>
        <v>0</v>
      </c>
      <c r="CE151" s="10">
        <f t="shared" si="146"/>
        <v>0</v>
      </c>
      <c r="CF151" s="10">
        <f t="shared" si="146"/>
        <v>0</v>
      </c>
      <c r="CG151" s="10">
        <f t="shared" si="146"/>
        <v>0</v>
      </c>
      <c r="CH151" s="10">
        <f t="shared" si="146"/>
        <v>0</v>
      </c>
      <c r="CI151" s="10">
        <f t="shared" si="146"/>
        <v>0</v>
      </c>
      <c r="CK151" s="312"/>
      <c r="CO151" s="100">
        <f t="shared" ref="CO151:CO157" si="147">IF(SUM($CS151:$CU151)=0, 0, 1)</f>
        <v>0</v>
      </c>
      <c r="CP151" s="100">
        <f t="shared" ref="CP151:CP157" si="148">IF(SUM($CV151:$CX151)=0, 0, 1)</f>
        <v>0</v>
      </c>
      <c r="CQ151" s="100">
        <f t="shared" ref="CQ151:CQ157" si="149">IF(CY151=0, 0, 1)</f>
        <v>0</v>
      </c>
      <c r="CR151" s="311"/>
      <c r="CS151" s="215">
        <f t="shared" ref="CS151:CS157" si="150">ROUND(W151-SUMIFS($AA151:$BJ151, $AA$3:$BJ$3, W$3), rounding)</f>
        <v>0</v>
      </c>
      <c r="CT151" s="215">
        <f t="shared" ref="CT151:CT157" si="151">ROUND($X151-SUMIFS($AA151:$BJ151, $AA$3:$BJ$3, X$3), rounding)</f>
        <v>0</v>
      </c>
      <c r="CU151" s="215">
        <f t="shared" ref="CU151:CU157" si="152">ROUND($Y151-SUMIFS($AA151:$BJ151, $AA$3:$BJ$3, Y$3), rounding)</f>
        <v>0</v>
      </c>
      <c r="CV151" s="215">
        <f t="shared" ref="CV151:CX157" si="153">ROUND(W151-BY151, rounding)</f>
        <v>0</v>
      </c>
      <c r="CW151" s="215">
        <f t="shared" si="153"/>
        <v>0</v>
      </c>
      <c r="CX151" s="215">
        <f t="shared" si="153"/>
        <v>0</v>
      </c>
      <c r="CY151" s="215">
        <f t="shared" ref="CY151:CY157" si="154">ROUND(V151-BX151, rounding)</f>
        <v>0</v>
      </c>
      <c r="EX151" s="12" t="str">
        <f>IF($C151="","",CONCATENATE(D$147," ",$D151))</f>
        <v>Cash Flow from Operating Activities Depreciation and amortisation</v>
      </c>
    </row>
    <row r="152" spans="1:154" ht="42.75" customHeight="1" x14ac:dyDescent="0.35">
      <c r="A152" s="537" cm="1">
        <f t="array" aca="1" ref="A152" ca="1">HYPERLINK(CONCATENATE("#",CELL("address",IF(MAX($CK152:$CR152)=0,A152,INDEX($CK152:$CR152,MATCH(1,$CK152:$CR152,0))))),MAX($CK152:$CR152))</f>
        <v>0</v>
      </c>
      <c r="B152" s="1"/>
      <c r="C152" s="213" t="s">
        <v>1534</v>
      </c>
      <c r="D152" s="120" t="s">
        <v>1535</v>
      </c>
      <c r="E152" s="573" t="str" cm="1">
        <f t="array" aca="1" ref="E152" ca="1">HYPERLINK(CONCATENATE("#",CELL("address",'BS Forecasts'!$D$205:$D$207)),LEFT('BS Forecasts'!$D$205, 50))</f>
        <v>Local Government Pension Scheme Provision</v>
      </c>
      <c r="F152" s="573" t="str" cm="1">
        <f t="array" aca="1" ref="F152" ca="1">HYPERLINK(CONCATENATE("#",CELL("address",'BS Forecasts'!$D$219)),LEFT('BS Forecasts'!$D$219, 50))</f>
        <v>Enhanced Pension Provision</v>
      </c>
      <c r="G152" s="573" t="str" cm="1">
        <f t="array" aca="1" ref="G152" ca="1">HYPERLINK(CONCATENATE("#",CELL("address",'BS Forecasts'!$D$228)),LEFT('BS Forecasts'!$D$228, 50))</f>
        <v>Other Pension Provisions</v>
      </c>
      <c r="H152" s="120"/>
      <c r="V152" s="10">
        <f>SUM('BS Forecasts'!V207:V208)+SUM('BS Forecasts'!V210:V211)+('BS Forecasts'!V221+'BS Forecasts'!V223)+('BS Forecasts'!V230+'BS Forecasts'!V232)</f>
        <v>0</v>
      </c>
      <c r="W152" s="10">
        <f>SUM('BS Forecasts'!W207:W208)+SUM('BS Forecasts'!W210:W211)+('BS Forecasts'!W221+'BS Forecasts'!W223)+('BS Forecasts'!W230+'BS Forecasts'!W232)</f>
        <v>0</v>
      </c>
      <c r="X152" s="10">
        <f>SUM('BS Forecasts'!X207:X208)+SUM('BS Forecasts'!X210:X211)+('BS Forecasts'!X221+'BS Forecasts'!X223)+('BS Forecasts'!X230+'BS Forecasts'!X232)</f>
        <v>0</v>
      </c>
      <c r="Y152" s="10">
        <f>SUM('BS Forecasts'!Y207:Y208)+SUM('BS Forecasts'!Y210:Y211)+('BS Forecasts'!Y221+'BS Forecasts'!Y223)+('BS Forecasts'!Y230+'BS Forecasts'!Y232)</f>
        <v>0</v>
      </c>
      <c r="AA152" s="10">
        <f>SUM('BS Forecasts'!AA207:AA208)+SUM('BS Forecasts'!AA210:AA211)+('BS Forecasts'!AA221+'BS Forecasts'!AA223)+('BS Forecasts'!AA230+'BS Forecasts'!AA232)</f>
        <v>0</v>
      </c>
      <c r="AB152" s="10">
        <f>SUM('BS Forecasts'!AB207:AB208)+SUM('BS Forecasts'!AB210:AB211)+('BS Forecasts'!AB221+'BS Forecasts'!AB223)+('BS Forecasts'!AB230+'BS Forecasts'!AB232)</f>
        <v>0</v>
      </c>
      <c r="AC152" s="10">
        <f>SUM('BS Forecasts'!AC207:AC208)+SUM('BS Forecasts'!AC210:AC211)+('BS Forecasts'!AC221+'BS Forecasts'!AC223)+('BS Forecasts'!AC230+'BS Forecasts'!AC232)</f>
        <v>0</v>
      </c>
      <c r="AD152" s="10">
        <f>SUM('BS Forecasts'!AD207:AD208)+SUM('BS Forecasts'!AD210:AD211)+('BS Forecasts'!AD221+'BS Forecasts'!AD223)+('BS Forecasts'!AD230+'BS Forecasts'!AD232)</f>
        <v>0</v>
      </c>
      <c r="AE152" s="10">
        <f>SUM('BS Forecasts'!AE207:AE208)+SUM('BS Forecasts'!AE210:AE211)+('BS Forecasts'!AE221+'BS Forecasts'!AE223)+('BS Forecasts'!AE230+'BS Forecasts'!AE232)</f>
        <v>0</v>
      </c>
      <c r="AF152" s="10">
        <f>SUM('BS Forecasts'!AF207:AF208)+SUM('BS Forecasts'!AF210:AF211)+('BS Forecasts'!AF221+'BS Forecasts'!AF223)+('BS Forecasts'!AF230+'BS Forecasts'!AF232)</f>
        <v>0</v>
      </c>
      <c r="AG152" s="10">
        <f>SUM('BS Forecasts'!AG207:AG208)+SUM('BS Forecasts'!AG210:AG211)+('BS Forecasts'!AG221+'BS Forecasts'!AG223)+('BS Forecasts'!AG230+'BS Forecasts'!AG232)</f>
        <v>0</v>
      </c>
      <c r="AH152" s="10">
        <f>SUM('BS Forecasts'!AH207:AH208)+SUM('BS Forecasts'!AH210:AH211)+('BS Forecasts'!AH221+'BS Forecasts'!AH223)+('BS Forecasts'!AH230+'BS Forecasts'!AH232)</f>
        <v>0</v>
      </c>
      <c r="AI152" s="10">
        <f>SUM('BS Forecasts'!AI207:AI208)+SUM('BS Forecasts'!AI210:AI211)+('BS Forecasts'!AI221+'BS Forecasts'!AI223)+('BS Forecasts'!AI230+'BS Forecasts'!AI232)</f>
        <v>0</v>
      </c>
      <c r="AJ152" s="10">
        <f>SUM('BS Forecasts'!AJ207:AJ208)+SUM('BS Forecasts'!AJ210:AJ211)+('BS Forecasts'!AJ221+'BS Forecasts'!AJ223)+('BS Forecasts'!AJ230+'BS Forecasts'!AJ232)</f>
        <v>0</v>
      </c>
      <c r="AK152" s="10">
        <f>SUM('BS Forecasts'!AK207:AK208)+SUM('BS Forecasts'!AK210:AK211)+('BS Forecasts'!AK221+'BS Forecasts'!AK223)+('BS Forecasts'!AK230+'BS Forecasts'!AK232)</f>
        <v>0</v>
      </c>
      <c r="AL152" s="10">
        <f>SUM('BS Forecasts'!AL207:AL208)+SUM('BS Forecasts'!AL210:AL211)+('BS Forecasts'!AL221+'BS Forecasts'!AL223)+('BS Forecasts'!AL230+'BS Forecasts'!AL232)</f>
        <v>0</v>
      </c>
      <c r="AM152" s="10">
        <f>SUM('BS Forecasts'!AM207:AM208)+SUM('BS Forecasts'!AM210:AM211)+('BS Forecasts'!AM221+'BS Forecasts'!AM223)+('BS Forecasts'!AM230+'BS Forecasts'!AM232)</f>
        <v>0</v>
      </c>
      <c r="AN152" s="10">
        <f>SUM('BS Forecasts'!AN207:AN208)+SUM('BS Forecasts'!AN210:AN211)+('BS Forecasts'!AN221+'BS Forecasts'!AN223)+('BS Forecasts'!AN230+'BS Forecasts'!AN232)</f>
        <v>0</v>
      </c>
      <c r="AO152" s="10">
        <f>SUM('BS Forecasts'!AO207:AO208)+SUM('BS Forecasts'!AO210:AO211)+('BS Forecasts'!AO221+'BS Forecasts'!AO223)+('BS Forecasts'!AO230+'BS Forecasts'!AO232)</f>
        <v>0</v>
      </c>
      <c r="AP152" s="10">
        <f>SUM('BS Forecasts'!AP207:AP208)+SUM('BS Forecasts'!AP210:AP211)+('BS Forecasts'!AP221+'BS Forecasts'!AP223)+('BS Forecasts'!AP230+'BS Forecasts'!AP232)</f>
        <v>0</v>
      </c>
      <c r="AQ152" s="10">
        <f>SUM('BS Forecasts'!AQ207:AQ208)+SUM('BS Forecasts'!AQ210:AQ211)+('BS Forecasts'!AQ221+'BS Forecasts'!AQ223)+('BS Forecasts'!AQ230+'BS Forecasts'!AQ232)</f>
        <v>0</v>
      </c>
      <c r="AR152" s="10">
        <f>SUM('BS Forecasts'!AR207:AR208)+SUM('BS Forecasts'!AR210:AR211)+('BS Forecasts'!AR221+'BS Forecasts'!AR223)+('BS Forecasts'!AR230+'BS Forecasts'!AR232)</f>
        <v>0</v>
      </c>
      <c r="AS152" s="10">
        <f>SUM('BS Forecasts'!AS207:AS208)+SUM('BS Forecasts'!AS210:AS211)+('BS Forecasts'!AS221+'BS Forecasts'!AS223)+('BS Forecasts'!AS230+'BS Forecasts'!AS232)</f>
        <v>0</v>
      </c>
      <c r="AT152" s="10">
        <f>SUM('BS Forecasts'!AT207:AT208)+SUM('BS Forecasts'!AT210:AT211)+('BS Forecasts'!AT221+'BS Forecasts'!AT223)+('BS Forecasts'!AT230+'BS Forecasts'!AT232)</f>
        <v>0</v>
      </c>
      <c r="AU152" s="10">
        <f>SUM('BS Forecasts'!AU207:AU208)+SUM('BS Forecasts'!AU210:AU211)+('BS Forecasts'!AU221+'BS Forecasts'!AU223)+('BS Forecasts'!AU230+'BS Forecasts'!AU232)</f>
        <v>0</v>
      </c>
      <c r="AV152" s="10">
        <f>SUM('BS Forecasts'!AV207:AV208)+SUM('BS Forecasts'!AV210:AV211)+('BS Forecasts'!AV221+'BS Forecasts'!AV223)+('BS Forecasts'!AV230+'BS Forecasts'!AV232)</f>
        <v>0</v>
      </c>
      <c r="AW152" s="10">
        <f>SUM('BS Forecasts'!AW207:AW208)+SUM('BS Forecasts'!AW210:AW211)+('BS Forecasts'!AW221+'BS Forecasts'!AW223)+('BS Forecasts'!AW230+'BS Forecasts'!AW232)</f>
        <v>0</v>
      </c>
      <c r="AX152" s="10">
        <f>SUM('BS Forecasts'!AX207:AX208)+SUM('BS Forecasts'!AX210:AX211)+('BS Forecasts'!AX221+'BS Forecasts'!AX223)+('BS Forecasts'!AX230+'BS Forecasts'!AX232)</f>
        <v>0</v>
      </c>
      <c r="AY152" s="10">
        <f>SUM('BS Forecasts'!AY207:AY208)+SUM('BS Forecasts'!AY210:AY211)+('BS Forecasts'!AY221+'BS Forecasts'!AY223)+('BS Forecasts'!AY230+'BS Forecasts'!AY232)</f>
        <v>0</v>
      </c>
      <c r="AZ152" s="10">
        <f>SUM('BS Forecasts'!AZ207:AZ208)+SUM('BS Forecasts'!AZ210:AZ211)+('BS Forecasts'!AZ221+'BS Forecasts'!AZ223)+('BS Forecasts'!AZ230+'BS Forecasts'!AZ232)</f>
        <v>0</v>
      </c>
      <c r="BA152" s="10">
        <f>SUM('BS Forecasts'!BA207:BA208)+SUM('BS Forecasts'!BA210:BA211)+('BS Forecasts'!BA221+'BS Forecasts'!BA223)+('BS Forecasts'!BA230+'BS Forecasts'!BA232)</f>
        <v>0</v>
      </c>
      <c r="BB152" s="10">
        <f>SUM('BS Forecasts'!BB207:BB208)+SUM('BS Forecasts'!BB210:BB211)+('BS Forecasts'!BB221+'BS Forecasts'!BB223)+('BS Forecasts'!BB230+'BS Forecasts'!BB232)</f>
        <v>0</v>
      </c>
      <c r="BC152" s="10">
        <f>SUM('BS Forecasts'!BC207:BC208)+SUM('BS Forecasts'!BC210:BC211)+('BS Forecasts'!BC221+'BS Forecasts'!BC223)+('BS Forecasts'!BC230+'BS Forecasts'!BC232)</f>
        <v>0</v>
      </c>
      <c r="BD152" s="10">
        <f>SUM('BS Forecasts'!BD207:BD208)+SUM('BS Forecasts'!BD210:BD211)+('BS Forecasts'!BD221+'BS Forecasts'!BD223)+('BS Forecasts'!BD230+'BS Forecasts'!BD232)</f>
        <v>0</v>
      </c>
      <c r="BE152" s="10">
        <f>SUM('BS Forecasts'!BE207:BE208)+SUM('BS Forecasts'!BE210:BE211)+('BS Forecasts'!BE221+'BS Forecasts'!BE223)+('BS Forecasts'!BE230+'BS Forecasts'!BE232)</f>
        <v>0</v>
      </c>
      <c r="BF152" s="10">
        <f>SUM('BS Forecasts'!BF207:BF208)+SUM('BS Forecasts'!BF210:BF211)+('BS Forecasts'!BF221+'BS Forecasts'!BF223)+('BS Forecasts'!BF230+'BS Forecasts'!BF232)</f>
        <v>0</v>
      </c>
      <c r="BG152" s="10">
        <f>SUM('BS Forecasts'!BG207:BG208)+SUM('BS Forecasts'!BG210:BG211)+('BS Forecasts'!BG221+'BS Forecasts'!BG223)+('BS Forecasts'!BG230+'BS Forecasts'!BG232)</f>
        <v>0</v>
      </c>
      <c r="BH152" s="10">
        <f>SUM('BS Forecasts'!BH207:BH208)+SUM('BS Forecasts'!BH210:BH211)+('BS Forecasts'!BH221+'BS Forecasts'!BH223)+('BS Forecasts'!BH230+'BS Forecasts'!BH232)</f>
        <v>0</v>
      </c>
      <c r="BI152" s="10">
        <f>SUM('BS Forecasts'!BI207:BI208)+SUM('BS Forecasts'!BI210:BI211)+('BS Forecasts'!BI221+'BS Forecasts'!BI223)+('BS Forecasts'!BI230+'BS Forecasts'!BI232)</f>
        <v>0</v>
      </c>
      <c r="BJ152" s="10">
        <f>SUM('BS Forecasts'!BJ207:BJ208)+SUM('BS Forecasts'!BJ210:BJ211)+('BS Forecasts'!BJ221+'BS Forecasts'!BJ223)+('BS Forecasts'!BJ230+'BS Forecasts'!BJ232)</f>
        <v>0</v>
      </c>
      <c r="BX152" s="10">
        <f>SUM('BS Forecasts'!BX207:BX208)+SUM('BS Forecasts'!BX210:BX211)+('BS Forecasts'!BX221+'BS Forecasts'!BX223)+('BS Forecasts'!BX230+'BS Forecasts'!BX232)</f>
        <v>0</v>
      </c>
      <c r="BY152" s="10">
        <f>SUM('BS Forecasts'!BY207:BY208)+SUM('BS Forecasts'!BY210:BY211)+('BS Forecasts'!BY221+'BS Forecasts'!BY223)+('BS Forecasts'!BY230+'BS Forecasts'!BY232)</f>
        <v>0</v>
      </c>
      <c r="BZ152" s="10">
        <f>SUM('BS Forecasts'!BZ207:BZ208)+SUM('BS Forecasts'!BZ210:BZ211)+('BS Forecasts'!BZ221+'BS Forecasts'!BZ223)+('BS Forecasts'!BZ230+'BS Forecasts'!BZ232)</f>
        <v>0</v>
      </c>
      <c r="CA152" s="10">
        <f>SUM('BS Forecasts'!CA207:CA208)+SUM('BS Forecasts'!CA210:CA211)+('BS Forecasts'!CA221+'BS Forecasts'!CA223)+('BS Forecasts'!CA230+'BS Forecasts'!CA232)</f>
        <v>0</v>
      </c>
      <c r="CB152" s="10">
        <f>SUM('BS Forecasts'!CB207:CB208)+SUM('BS Forecasts'!CB210:CB211)+('BS Forecasts'!CB221+'BS Forecasts'!CB223)+('BS Forecasts'!CB230+'BS Forecasts'!CB232)</f>
        <v>0</v>
      </c>
      <c r="CC152" s="10">
        <f>SUM('BS Forecasts'!CC207:CC208)+SUM('BS Forecasts'!CC210:CC211)+('BS Forecasts'!CC221+'BS Forecasts'!CC223)+('BS Forecasts'!CC230+'BS Forecasts'!CC232)</f>
        <v>0</v>
      </c>
      <c r="CD152" s="10">
        <f>SUM('BS Forecasts'!CD207:CD208)+SUM('BS Forecasts'!CD210:CD211)+('BS Forecasts'!CD221+'BS Forecasts'!CD223)+('BS Forecasts'!CD230+'BS Forecasts'!CD232)</f>
        <v>0</v>
      </c>
      <c r="CE152" s="10">
        <f>SUM('BS Forecasts'!CE207:CE208)+SUM('BS Forecasts'!CE210:CE211)+('BS Forecasts'!CE221+'BS Forecasts'!CE223)+('BS Forecasts'!CE230+'BS Forecasts'!CE232)</f>
        <v>0</v>
      </c>
      <c r="CF152" s="10">
        <f>SUM('BS Forecasts'!CF207:CF208)+SUM('BS Forecasts'!CF210:CF211)+('BS Forecasts'!CF221+'BS Forecasts'!CF223)+('BS Forecasts'!CF230+'BS Forecasts'!CF232)</f>
        <v>0</v>
      </c>
      <c r="CG152" s="10">
        <f>SUM('BS Forecasts'!CG207:CG208)+SUM('BS Forecasts'!CG210:CG211)+('BS Forecasts'!CG221+'BS Forecasts'!CG223)+('BS Forecasts'!CG230+'BS Forecasts'!CG232)</f>
        <v>0</v>
      </c>
      <c r="CH152" s="10">
        <f>SUM('BS Forecasts'!CH207:CH208)+SUM('BS Forecasts'!CH210:CH211)+('BS Forecasts'!CH221+'BS Forecasts'!CH223)+('BS Forecasts'!CH230+'BS Forecasts'!CH232)</f>
        <v>0</v>
      </c>
      <c r="CI152" s="10">
        <f>SUM('BS Forecasts'!CI207:CI208)+SUM('BS Forecasts'!CI210:CI211)+('BS Forecasts'!CI221+'BS Forecasts'!CI223)+('BS Forecasts'!CI230+'BS Forecasts'!CI232)</f>
        <v>0</v>
      </c>
      <c r="CK152" s="312"/>
      <c r="CO152" s="100">
        <f t="shared" si="147"/>
        <v>0</v>
      </c>
      <c r="CP152" s="100">
        <f t="shared" si="148"/>
        <v>0</v>
      </c>
      <c r="CQ152" s="100">
        <f t="shared" si="149"/>
        <v>0</v>
      </c>
      <c r="CR152" s="311"/>
      <c r="CS152" s="215">
        <f t="shared" si="150"/>
        <v>0</v>
      </c>
      <c r="CT152" s="215">
        <f t="shared" si="151"/>
        <v>0</v>
      </c>
      <c r="CU152" s="215">
        <f t="shared" si="152"/>
        <v>0</v>
      </c>
      <c r="CV152" s="215">
        <f t="shared" si="153"/>
        <v>0</v>
      </c>
      <c r="CW152" s="215">
        <f t="shared" si="153"/>
        <v>0</v>
      </c>
      <c r="CX152" s="215">
        <f t="shared" si="153"/>
        <v>0</v>
      </c>
      <c r="CY152" s="215">
        <f t="shared" si="154"/>
        <v>0</v>
      </c>
      <c r="EX152" s="10" t="str">
        <f t="shared" ref="EX152:EX183" si="155">IF($C152="","",$D152)</f>
        <v>Pension contributions costs less contributions paid</v>
      </c>
    </row>
    <row r="153" spans="1:154" ht="58" x14ac:dyDescent="0.35">
      <c r="A153" s="537" cm="1">
        <f t="array" aca="1" ref="A153" ca="1">HYPERLINK(CONCATENATE("#",CELL("address",IF(MAX($CK153:$CR153)=0,A153,INDEX($CK153:$CR153,MATCH(1,$CK153:$CR153,0))))),MAX($CK153:$CR153))</f>
        <v>0</v>
      </c>
      <c r="C153" s="213" t="s">
        <v>1536</v>
      </c>
      <c r="D153" s="120" t="s">
        <v>1440</v>
      </c>
      <c r="E153" s="573" t="str" cm="1">
        <f t="array" aca="1" ref="E153" ca="1">HYPERLINK(CONCATENATE("#",CELL("address",'BS Forecasts'!$D$209)),LEFT('BS Forecasts'!$D$209, 50))</f>
        <v xml:space="preserve">Past Service Deficit Employer Contributions </v>
      </c>
      <c r="F153" s="120"/>
      <c r="G153" s="120"/>
      <c r="H153" s="120"/>
      <c r="V153" s="10">
        <f>'BS Forecasts'!V209</f>
        <v>0</v>
      </c>
      <c r="W153" s="10">
        <f>'BS Forecasts'!W209</f>
        <v>0</v>
      </c>
      <c r="X153" s="10">
        <f>'BS Forecasts'!X209</f>
        <v>0</v>
      </c>
      <c r="Y153" s="10">
        <f>'BS Forecasts'!Y209</f>
        <v>0</v>
      </c>
      <c r="AA153" s="10">
        <f>'BS Forecasts'!AA209</f>
        <v>0</v>
      </c>
      <c r="AB153" s="10">
        <f>'BS Forecasts'!AB209</f>
        <v>0</v>
      </c>
      <c r="AC153" s="10">
        <f>'BS Forecasts'!AC209</f>
        <v>0</v>
      </c>
      <c r="AD153" s="10">
        <f>'BS Forecasts'!AD209</f>
        <v>0</v>
      </c>
      <c r="AE153" s="10">
        <f>'BS Forecasts'!AE209</f>
        <v>0</v>
      </c>
      <c r="AF153" s="10">
        <f>'BS Forecasts'!AF209</f>
        <v>0</v>
      </c>
      <c r="AG153" s="10">
        <f>'BS Forecasts'!AG209</f>
        <v>0</v>
      </c>
      <c r="AH153" s="10">
        <f>'BS Forecasts'!AH209</f>
        <v>0</v>
      </c>
      <c r="AI153" s="10">
        <f>'BS Forecasts'!AI209</f>
        <v>0</v>
      </c>
      <c r="AJ153" s="10">
        <f>'BS Forecasts'!AJ209</f>
        <v>0</v>
      </c>
      <c r="AK153" s="10">
        <f>'BS Forecasts'!AK209</f>
        <v>0</v>
      </c>
      <c r="AL153" s="10">
        <f>'BS Forecasts'!AL209</f>
        <v>0</v>
      </c>
      <c r="AM153" s="10">
        <f>'BS Forecasts'!AM209</f>
        <v>0</v>
      </c>
      <c r="AN153" s="10">
        <f>'BS Forecasts'!AN209</f>
        <v>0</v>
      </c>
      <c r="AO153" s="10">
        <f>'BS Forecasts'!AO209</f>
        <v>0</v>
      </c>
      <c r="AP153" s="10">
        <f>'BS Forecasts'!AP209</f>
        <v>0</v>
      </c>
      <c r="AQ153" s="10">
        <f>'BS Forecasts'!AQ209</f>
        <v>0</v>
      </c>
      <c r="AR153" s="10">
        <f>'BS Forecasts'!AR209</f>
        <v>0</v>
      </c>
      <c r="AS153" s="10">
        <f>'BS Forecasts'!AS209</f>
        <v>0</v>
      </c>
      <c r="AT153" s="10">
        <f>'BS Forecasts'!AT209</f>
        <v>0</v>
      </c>
      <c r="AU153" s="10">
        <f>'BS Forecasts'!AU209</f>
        <v>0</v>
      </c>
      <c r="AV153" s="10">
        <f>'BS Forecasts'!AV209</f>
        <v>0</v>
      </c>
      <c r="AW153" s="10">
        <f>'BS Forecasts'!AW209</f>
        <v>0</v>
      </c>
      <c r="AX153" s="10">
        <f>'BS Forecasts'!AX209</f>
        <v>0</v>
      </c>
      <c r="AY153" s="10">
        <f>'BS Forecasts'!AY209</f>
        <v>0</v>
      </c>
      <c r="AZ153" s="10">
        <f>'BS Forecasts'!AZ209</f>
        <v>0</v>
      </c>
      <c r="BA153" s="10">
        <f>'BS Forecasts'!BA209</f>
        <v>0</v>
      </c>
      <c r="BB153" s="10">
        <f>'BS Forecasts'!BB209</f>
        <v>0</v>
      </c>
      <c r="BC153" s="10">
        <f>'BS Forecasts'!BC209</f>
        <v>0</v>
      </c>
      <c r="BD153" s="10">
        <f>'BS Forecasts'!BD209</f>
        <v>0</v>
      </c>
      <c r="BE153" s="10">
        <f>'BS Forecasts'!BE209</f>
        <v>0</v>
      </c>
      <c r="BF153" s="10">
        <f>'BS Forecasts'!BF209</f>
        <v>0</v>
      </c>
      <c r="BG153" s="10">
        <f>'BS Forecasts'!BG209</f>
        <v>0</v>
      </c>
      <c r="BH153" s="10">
        <f>'BS Forecasts'!BH209</f>
        <v>0</v>
      </c>
      <c r="BI153" s="10">
        <f>'BS Forecasts'!BI209</f>
        <v>0</v>
      </c>
      <c r="BJ153" s="10">
        <f>'BS Forecasts'!BJ209</f>
        <v>0</v>
      </c>
      <c r="BX153" s="10">
        <f>'BS Forecasts'!BX209</f>
        <v>0</v>
      </c>
      <c r="BY153" s="10">
        <f>'BS Forecasts'!BY209</f>
        <v>0</v>
      </c>
      <c r="BZ153" s="10">
        <f>'BS Forecasts'!BZ209</f>
        <v>0</v>
      </c>
      <c r="CA153" s="10">
        <f>'BS Forecasts'!CA209</f>
        <v>0</v>
      </c>
      <c r="CB153" s="10">
        <f>'BS Forecasts'!CB209</f>
        <v>0</v>
      </c>
      <c r="CC153" s="10">
        <f>'BS Forecasts'!CC209</f>
        <v>0</v>
      </c>
      <c r="CD153" s="10">
        <f>'BS Forecasts'!CD209</f>
        <v>0</v>
      </c>
      <c r="CE153" s="10">
        <f>'BS Forecasts'!CE209</f>
        <v>0</v>
      </c>
      <c r="CF153" s="10">
        <f>'BS Forecasts'!CF209</f>
        <v>0</v>
      </c>
      <c r="CG153" s="10">
        <f>'BS Forecasts'!CG209</f>
        <v>0</v>
      </c>
      <c r="CH153" s="10">
        <f>'BS Forecasts'!CH209</f>
        <v>0</v>
      </c>
      <c r="CI153" s="10">
        <f>'BS Forecasts'!CI209</f>
        <v>0</v>
      </c>
      <c r="CK153" s="312"/>
      <c r="CO153" s="100">
        <f t="shared" si="147"/>
        <v>0</v>
      </c>
      <c r="CP153" s="100">
        <f t="shared" si="148"/>
        <v>0</v>
      </c>
      <c r="CQ153" s="100">
        <f t="shared" si="149"/>
        <v>0</v>
      </c>
      <c r="CR153" s="311"/>
      <c r="CS153" s="215">
        <f t="shared" si="150"/>
        <v>0</v>
      </c>
      <c r="CT153" s="215">
        <f t="shared" si="151"/>
        <v>0</v>
      </c>
      <c r="CU153" s="215">
        <f t="shared" si="152"/>
        <v>0</v>
      </c>
      <c r="CV153" s="215">
        <f t="shared" si="153"/>
        <v>0</v>
      </c>
      <c r="CW153" s="215">
        <f t="shared" si="153"/>
        <v>0</v>
      </c>
      <c r="CX153" s="215">
        <f t="shared" si="153"/>
        <v>0</v>
      </c>
      <c r="CY153" s="215">
        <f t="shared" si="154"/>
        <v>0</v>
      </c>
      <c r="EX153" s="10" t="str">
        <f t="shared" si="155"/>
        <v xml:space="preserve">Past Service Deficit Employer Contributions </v>
      </c>
    </row>
    <row r="154" spans="1:154" ht="43.5" x14ac:dyDescent="0.35">
      <c r="A154" s="537" cm="1">
        <f t="array" aca="1" ref="A154" ca="1">HYPERLINK(CONCATENATE("#",CELL("address",IF(MAX($CK154:$CR154)=0,A154,INDEX($CK154:$CR154,MATCH(1,$CK154:$CR154,0))))),MAX($CK154:$CR154))</f>
        <v>0</v>
      </c>
      <c r="C154" s="213" t="s">
        <v>1537</v>
      </c>
      <c r="D154" s="120" t="s">
        <v>1538</v>
      </c>
      <c r="E154" s="573" t="str" cm="1">
        <f t="array" aca="1" ref="E154" ca="1">HYPERLINK(CONCATENATE("#",CELL("address",'BS Forecasts'!$D$215)),"LGPS")</f>
        <v>LGPS</v>
      </c>
      <c r="F154" s="573" t="str" cm="1">
        <f t="array" aca="1" ref="F154" ca="1">HYPERLINK(CONCATENATE("#",CELL("address",'BS Forecasts'!$D$234)),LEFT('BS Forecasts'!$D$228, 50))</f>
        <v>Other Pension Provisions</v>
      </c>
      <c r="G154" s="120"/>
      <c r="H154" s="120"/>
      <c r="V154" s="10">
        <f>'BS Forecasts'!V215+'BS Forecasts'!V234</f>
        <v>0</v>
      </c>
      <c r="W154" s="10">
        <f>'BS Forecasts'!W215+'BS Forecasts'!W234</f>
        <v>0</v>
      </c>
      <c r="X154" s="10">
        <f>'BS Forecasts'!X215+'BS Forecasts'!X234</f>
        <v>0</v>
      </c>
      <c r="Y154" s="10">
        <f>'BS Forecasts'!Y215+'BS Forecasts'!Y234</f>
        <v>0</v>
      </c>
      <c r="AA154" s="10">
        <f>'BS Forecasts'!AA215+'BS Forecasts'!AA234</f>
        <v>0</v>
      </c>
      <c r="AB154" s="10">
        <f>'BS Forecasts'!AB215+'BS Forecasts'!AB234</f>
        <v>0</v>
      </c>
      <c r="AC154" s="10">
        <f>'BS Forecasts'!AC215+'BS Forecasts'!AC234</f>
        <v>0</v>
      </c>
      <c r="AD154" s="10">
        <f>'BS Forecasts'!AD215+'BS Forecasts'!AD234</f>
        <v>0</v>
      </c>
      <c r="AE154" s="10">
        <f>'BS Forecasts'!AE215+'BS Forecasts'!AE234</f>
        <v>0</v>
      </c>
      <c r="AF154" s="10">
        <f>'BS Forecasts'!AF215+'BS Forecasts'!AF234</f>
        <v>0</v>
      </c>
      <c r="AG154" s="10">
        <f>'BS Forecasts'!AG215+'BS Forecasts'!AG234</f>
        <v>0</v>
      </c>
      <c r="AH154" s="10">
        <f>'BS Forecasts'!AH215+'BS Forecasts'!AH234</f>
        <v>0</v>
      </c>
      <c r="AI154" s="10">
        <f>'BS Forecasts'!AI215+'BS Forecasts'!AI234</f>
        <v>0</v>
      </c>
      <c r="AJ154" s="10">
        <f>'BS Forecasts'!AJ215+'BS Forecasts'!AJ234</f>
        <v>0</v>
      </c>
      <c r="AK154" s="10">
        <f>'BS Forecasts'!AK215+'BS Forecasts'!AK234</f>
        <v>0</v>
      </c>
      <c r="AL154" s="10">
        <f>'BS Forecasts'!AL215+'BS Forecasts'!AL234</f>
        <v>0</v>
      </c>
      <c r="AM154" s="10">
        <f>'BS Forecasts'!AM215+'BS Forecasts'!AM234</f>
        <v>0</v>
      </c>
      <c r="AN154" s="10">
        <f>'BS Forecasts'!AN215+'BS Forecasts'!AN234</f>
        <v>0</v>
      </c>
      <c r="AO154" s="10">
        <f>'BS Forecasts'!AO215+'BS Forecasts'!AO234</f>
        <v>0</v>
      </c>
      <c r="AP154" s="10">
        <f>'BS Forecasts'!AP215+'BS Forecasts'!AP234</f>
        <v>0</v>
      </c>
      <c r="AQ154" s="10">
        <f>'BS Forecasts'!AQ215+'BS Forecasts'!AQ234</f>
        <v>0</v>
      </c>
      <c r="AR154" s="10">
        <f>'BS Forecasts'!AR215+'BS Forecasts'!AR234</f>
        <v>0</v>
      </c>
      <c r="AS154" s="10">
        <f>'BS Forecasts'!AS215+'BS Forecasts'!AS234</f>
        <v>0</v>
      </c>
      <c r="AT154" s="10">
        <f>'BS Forecasts'!AT215+'BS Forecasts'!AT234</f>
        <v>0</v>
      </c>
      <c r="AU154" s="10">
        <f>'BS Forecasts'!AU215+'BS Forecasts'!AU234</f>
        <v>0</v>
      </c>
      <c r="AV154" s="10">
        <f>'BS Forecasts'!AV215+'BS Forecasts'!AV234</f>
        <v>0</v>
      </c>
      <c r="AW154" s="10">
        <f>'BS Forecasts'!AW215+'BS Forecasts'!AW234</f>
        <v>0</v>
      </c>
      <c r="AX154" s="10">
        <f>'BS Forecasts'!AX215+'BS Forecasts'!AX234</f>
        <v>0</v>
      </c>
      <c r="AY154" s="10">
        <f>'BS Forecasts'!AY215+'BS Forecasts'!AY234</f>
        <v>0</v>
      </c>
      <c r="AZ154" s="10">
        <f>'BS Forecasts'!AZ215+'BS Forecasts'!AZ234</f>
        <v>0</v>
      </c>
      <c r="BA154" s="10">
        <f>'BS Forecasts'!BA215+'BS Forecasts'!BA234</f>
        <v>0</v>
      </c>
      <c r="BB154" s="10">
        <f>'BS Forecasts'!BB215+'BS Forecasts'!BB234</f>
        <v>0</v>
      </c>
      <c r="BC154" s="10">
        <f>'BS Forecasts'!BC215+'BS Forecasts'!BC234</f>
        <v>0</v>
      </c>
      <c r="BD154" s="10">
        <f>'BS Forecasts'!BD215+'BS Forecasts'!BD234</f>
        <v>0</v>
      </c>
      <c r="BE154" s="10">
        <f>'BS Forecasts'!BE215+'BS Forecasts'!BE234</f>
        <v>0</v>
      </c>
      <c r="BF154" s="10">
        <f>'BS Forecasts'!BF215+'BS Forecasts'!BF234</f>
        <v>0</v>
      </c>
      <c r="BG154" s="10">
        <f>'BS Forecasts'!BG215+'BS Forecasts'!BG234</f>
        <v>0</v>
      </c>
      <c r="BH154" s="10">
        <f>'BS Forecasts'!BH215+'BS Forecasts'!BH234</f>
        <v>0</v>
      </c>
      <c r="BI154" s="10">
        <f>'BS Forecasts'!BI215+'BS Forecasts'!BI234</f>
        <v>0</v>
      </c>
      <c r="BJ154" s="10">
        <f>'BS Forecasts'!BJ215+'BS Forecasts'!BJ234</f>
        <v>0</v>
      </c>
      <c r="BX154" s="10">
        <f>'BS Forecasts'!BX215+'BS Forecasts'!BX234</f>
        <v>0</v>
      </c>
      <c r="BY154" s="10">
        <f>'BS Forecasts'!BY215+'BS Forecasts'!BY234</f>
        <v>0</v>
      </c>
      <c r="BZ154" s="10">
        <f>'BS Forecasts'!BZ215+'BS Forecasts'!BZ234</f>
        <v>0</v>
      </c>
      <c r="CA154" s="10">
        <f>'BS Forecasts'!CA215+'BS Forecasts'!CA234</f>
        <v>0</v>
      </c>
      <c r="CB154" s="10">
        <f>'BS Forecasts'!CB215+'BS Forecasts'!CB234</f>
        <v>0</v>
      </c>
      <c r="CC154" s="10">
        <f>'BS Forecasts'!CC215+'BS Forecasts'!CC234</f>
        <v>0</v>
      </c>
      <c r="CD154" s="10">
        <f>'BS Forecasts'!CD215+'BS Forecasts'!CD234</f>
        <v>0</v>
      </c>
      <c r="CE154" s="10">
        <f>'BS Forecasts'!CE215+'BS Forecasts'!CE234</f>
        <v>0</v>
      </c>
      <c r="CF154" s="10">
        <f>'BS Forecasts'!CF215+'BS Forecasts'!CF234</f>
        <v>0</v>
      </c>
      <c r="CG154" s="10">
        <f>'BS Forecasts'!CG215+'BS Forecasts'!CG234</f>
        <v>0</v>
      </c>
      <c r="CH154" s="10">
        <f>'BS Forecasts'!CH215+'BS Forecasts'!CH234</f>
        <v>0</v>
      </c>
      <c r="CI154" s="10">
        <f>'BS Forecasts'!CI215+'BS Forecasts'!CI234</f>
        <v>0</v>
      </c>
      <c r="CK154" s="312"/>
      <c r="CO154" s="100">
        <f t="shared" si="147"/>
        <v>0</v>
      </c>
      <c r="CP154" s="100">
        <f t="shared" si="148"/>
        <v>0</v>
      </c>
      <c r="CQ154" s="100">
        <f t="shared" si="149"/>
        <v>0</v>
      </c>
      <c r="CR154" s="311"/>
      <c r="CS154" s="215">
        <f t="shared" si="150"/>
        <v>0</v>
      </c>
      <c r="CT154" s="215">
        <f t="shared" si="151"/>
        <v>0</v>
      </c>
      <c r="CU154" s="215">
        <f t="shared" si="152"/>
        <v>0</v>
      </c>
      <c r="CV154" s="215">
        <f t="shared" si="153"/>
        <v>0</v>
      </c>
      <c r="CW154" s="215">
        <f t="shared" si="153"/>
        <v>0</v>
      </c>
      <c r="CX154" s="215">
        <f t="shared" si="153"/>
        <v>0</v>
      </c>
      <c r="CY154" s="215">
        <f t="shared" si="154"/>
        <v>0</v>
      </c>
      <c r="EX154" s="10" t="str">
        <f t="shared" si="155"/>
        <v>Pension Lumpsum Settlement Payment</v>
      </c>
    </row>
    <row r="155" spans="1:154" ht="76.5" customHeight="1" x14ac:dyDescent="0.35">
      <c r="A155" s="537" cm="1">
        <f t="array" aca="1" ref="A155" ca="1">HYPERLINK(CONCATENATE("#",CELL("address",IF(MAX($CK155:$CR155)=0,A155,INDEX($CK155:$CR155,MATCH(1,$CK155:$CR155,0))))),MAX($CK155:$CR155))</f>
        <v>0</v>
      </c>
      <c r="C155" s="213" t="s">
        <v>1539</v>
      </c>
      <c r="D155" s="120" t="s">
        <v>1540</v>
      </c>
      <c r="E155" s="558" t="str" cm="1">
        <f t="array" aca="1" ref="E155" ca="1">HYPERLINK(CONCATENATE("#",CELL("address",'BS Forecasts'!$D$151)),LEFT('BS Forecasts'!$D$151, 30))</f>
        <v>Amortisation through I&amp;E: DfE/</v>
      </c>
      <c r="F155" s="558" t="str" cm="1">
        <f t="array" aca="1" ref="F155" ca="1">HYPERLINK(CONCATENATE("#",CELL("address",'BS Forecasts'!$D$152)),LEFT('BS Forecasts'!$D$152, 30))</f>
        <v>Amortisation through I&amp;E: OfS</v>
      </c>
      <c r="G155" s="558" t="str" cm="1">
        <f t="array" aca="1" ref="G155" ca="1">HYPERLINK(CONCATENATE("#",CELL("address",'BS Forecasts'!$D$153)),LEFT('BS Forecasts'!$D$153, 30))</f>
        <v>Amortisation through I&amp;E: LEP</v>
      </c>
      <c r="H155" s="558" t="str" cm="1">
        <f t="array" aca="1" ref="H155" ca="1">HYPERLINK(CONCATENATE("#",CELL("address",'BS Forecasts'!$D$154)),LEFT('BS Forecasts'!$D$154, 30))</f>
        <v>Amortisation through I&amp;E: Othe</v>
      </c>
      <c r="V155" s="10">
        <f>0-V$34</f>
        <v>0</v>
      </c>
      <c r="W155" s="10">
        <f>0-W$34</f>
        <v>0</v>
      </c>
      <c r="X155" s="10">
        <f>0-X$34</f>
        <v>0</v>
      </c>
      <c r="Y155" s="10">
        <f>0-Y$34</f>
        <v>0</v>
      </c>
      <c r="AA155" s="10">
        <f t="shared" ref="AA155:BJ155" si="156">0-AA$34</f>
        <v>0</v>
      </c>
      <c r="AB155" s="10">
        <f t="shared" si="156"/>
        <v>0</v>
      </c>
      <c r="AC155" s="10">
        <f t="shared" si="156"/>
        <v>0</v>
      </c>
      <c r="AD155" s="10">
        <f t="shared" si="156"/>
        <v>0</v>
      </c>
      <c r="AE155" s="10">
        <f t="shared" si="156"/>
        <v>0</v>
      </c>
      <c r="AF155" s="10">
        <f t="shared" si="156"/>
        <v>0</v>
      </c>
      <c r="AG155" s="10">
        <f t="shared" si="156"/>
        <v>0</v>
      </c>
      <c r="AH155" s="10">
        <f t="shared" si="156"/>
        <v>0</v>
      </c>
      <c r="AI155" s="10">
        <f t="shared" si="156"/>
        <v>0</v>
      </c>
      <c r="AJ155" s="10">
        <f t="shared" si="156"/>
        <v>0</v>
      </c>
      <c r="AK155" s="10">
        <f t="shared" si="156"/>
        <v>0</v>
      </c>
      <c r="AL155" s="10">
        <f t="shared" si="156"/>
        <v>0</v>
      </c>
      <c r="AM155" s="10">
        <f t="shared" si="156"/>
        <v>0</v>
      </c>
      <c r="AN155" s="10">
        <f t="shared" si="156"/>
        <v>0</v>
      </c>
      <c r="AO155" s="10">
        <f t="shared" si="156"/>
        <v>0</v>
      </c>
      <c r="AP155" s="10">
        <f t="shared" si="156"/>
        <v>0</v>
      </c>
      <c r="AQ155" s="10">
        <f t="shared" si="156"/>
        <v>0</v>
      </c>
      <c r="AR155" s="10">
        <f t="shared" si="156"/>
        <v>0</v>
      </c>
      <c r="AS155" s="10">
        <f t="shared" si="156"/>
        <v>0</v>
      </c>
      <c r="AT155" s="10">
        <f t="shared" si="156"/>
        <v>0</v>
      </c>
      <c r="AU155" s="10">
        <f t="shared" si="156"/>
        <v>0</v>
      </c>
      <c r="AV155" s="10">
        <f t="shared" si="156"/>
        <v>0</v>
      </c>
      <c r="AW155" s="10">
        <f t="shared" si="156"/>
        <v>0</v>
      </c>
      <c r="AX155" s="10">
        <f t="shared" si="156"/>
        <v>0</v>
      </c>
      <c r="AY155" s="10">
        <f t="shared" si="156"/>
        <v>0</v>
      </c>
      <c r="AZ155" s="10">
        <f t="shared" si="156"/>
        <v>0</v>
      </c>
      <c r="BA155" s="10">
        <f t="shared" si="156"/>
        <v>0</v>
      </c>
      <c r="BB155" s="10">
        <f t="shared" si="156"/>
        <v>0</v>
      </c>
      <c r="BC155" s="10">
        <f t="shared" si="156"/>
        <v>0</v>
      </c>
      <c r="BD155" s="10">
        <f t="shared" si="156"/>
        <v>0</v>
      </c>
      <c r="BE155" s="10">
        <f t="shared" si="156"/>
        <v>0</v>
      </c>
      <c r="BF155" s="10">
        <f t="shared" si="156"/>
        <v>0</v>
      </c>
      <c r="BG155" s="10">
        <f t="shared" si="156"/>
        <v>0</v>
      </c>
      <c r="BH155" s="10">
        <f t="shared" si="156"/>
        <v>0</v>
      </c>
      <c r="BI155" s="10">
        <f t="shared" si="156"/>
        <v>0</v>
      </c>
      <c r="BJ155" s="10">
        <f t="shared" si="156"/>
        <v>0</v>
      </c>
      <c r="BX155" s="10">
        <f t="shared" ref="BX155:CI155" si="157">0-BX$34</f>
        <v>0</v>
      </c>
      <c r="BY155" s="10">
        <f t="shared" si="157"/>
        <v>0</v>
      </c>
      <c r="BZ155" s="10">
        <f t="shared" si="157"/>
        <v>0</v>
      </c>
      <c r="CA155" s="10">
        <f t="shared" si="157"/>
        <v>0</v>
      </c>
      <c r="CB155" s="10">
        <f t="shared" si="157"/>
        <v>0</v>
      </c>
      <c r="CC155" s="10">
        <f t="shared" si="157"/>
        <v>0</v>
      </c>
      <c r="CD155" s="10">
        <f t="shared" si="157"/>
        <v>0</v>
      </c>
      <c r="CE155" s="10">
        <f t="shared" si="157"/>
        <v>0</v>
      </c>
      <c r="CF155" s="10">
        <f t="shared" si="157"/>
        <v>0</v>
      </c>
      <c r="CG155" s="10">
        <f t="shared" si="157"/>
        <v>0</v>
      </c>
      <c r="CH155" s="10">
        <f t="shared" si="157"/>
        <v>0</v>
      </c>
      <c r="CI155" s="10">
        <f t="shared" si="157"/>
        <v>0</v>
      </c>
      <c r="CK155" s="312"/>
      <c r="CO155" s="100">
        <f t="shared" si="147"/>
        <v>0</v>
      </c>
      <c r="CP155" s="100">
        <f t="shared" si="148"/>
        <v>0</v>
      </c>
      <c r="CQ155" s="100">
        <f t="shared" si="149"/>
        <v>0</v>
      </c>
      <c r="CR155" s="311"/>
      <c r="CS155" s="215">
        <f t="shared" si="150"/>
        <v>0</v>
      </c>
      <c r="CT155" s="215">
        <f t="shared" si="151"/>
        <v>0</v>
      </c>
      <c r="CU155" s="215">
        <f t="shared" si="152"/>
        <v>0</v>
      </c>
      <c r="CV155" s="215">
        <f t="shared" si="153"/>
        <v>0</v>
      </c>
      <c r="CW155" s="215">
        <f t="shared" si="153"/>
        <v>0</v>
      </c>
      <c r="CX155" s="215">
        <f t="shared" si="153"/>
        <v>0</v>
      </c>
      <c r="CY155" s="215">
        <f t="shared" si="154"/>
        <v>0</v>
      </c>
      <c r="EX155" s="10" t="str">
        <f t="shared" si="155"/>
        <v>Release of deferred capital grants</v>
      </c>
    </row>
    <row r="156" spans="1:154" ht="30" customHeight="1" x14ac:dyDescent="0.35">
      <c r="A156" s="537" cm="1">
        <f t="array" aca="1" ref="A156" ca="1">HYPERLINK(CONCATENATE("#",CELL("address",IF(MAX($CK156:$CR156)=0,A156,INDEX($CK156:$CR156,MATCH(1,$CK156:$CR156,0))))),MAX($CK156:$CR156))</f>
        <v>0</v>
      </c>
      <c r="C156" s="213" t="s">
        <v>1541</v>
      </c>
      <c r="D156" s="120" t="s">
        <v>1542</v>
      </c>
      <c r="E156" s="558" t="str" cm="1">
        <f t="array" aca="1" ref="E156" ca="1">HYPERLINK(CONCATENATE("#",CELL("address",'Investing Inputs'!$D$39)),'Investing Inputs'!$D$39)</f>
        <v>Total Capital Expenditure Donations</v>
      </c>
      <c r="F156" s="120"/>
      <c r="G156" s="120"/>
      <c r="H156" s="120"/>
      <c r="V156" s="10">
        <f>0-'I&amp;E Annual'!V$99</f>
        <v>0</v>
      </c>
      <c r="W156" s="10">
        <f>0-'I&amp;E Annual'!W$99</f>
        <v>0</v>
      </c>
      <c r="X156" s="10">
        <f>0-'I&amp;E Annual'!X$99</f>
        <v>0</v>
      </c>
      <c r="Y156" s="10">
        <f>0-'I&amp;E Annual'!Y$99</f>
        <v>0</v>
      </c>
      <c r="AA156" s="10">
        <f>0-'I&amp;E Annual'!AA$99</f>
        <v>0</v>
      </c>
      <c r="AB156" s="10">
        <f>0-'I&amp;E Annual'!AB$99</f>
        <v>0</v>
      </c>
      <c r="AC156" s="10">
        <f>0-'I&amp;E Annual'!AC$99</f>
        <v>0</v>
      </c>
      <c r="AD156" s="10">
        <f>0-'I&amp;E Annual'!AD$99</f>
        <v>0</v>
      </c>
      <c r="AE156" s="10">
        <f>0-'I&amp;E Annual'!AE$99</f>
        <v>0</v>
      </c>
      <c r="AF156" s="10">
        <f>0-'I&amp;E Annual'!AF$99</f>
        <v>0</v>
      </c>
      <c r="AG156" s="10">
        <f>0-'I&amp;E Annual'!AG$99</f>
        <v>0</v>
      </c>
      <c r="AH156" s="10">
        <f>0-'I&amp;E Annual'!AH$99</f>
        <v>0</v>
      </c>
      <c r="AI156" s="10">
        <f>0-'I&amp;E Annual'!AI$99</f>
        <v>0</v>
      </c>
      <c r="AJ156" s="10">
        <f>0-'I&amp;E Annual'!AJ$99</f>
        <v>0</v>
      </c>
      <c r="AK156" s="10">
        <f>0-'I&amp;E Annual'!AK$99</f>
        <v>0</v>
      </c>
      <c r="AL156" s="10">
        <f>0-'I&amp;E Annual'!AL$99</f>
        <v>0</v>
      </c>
      <c r="AM156" s="10">
        <f>0-'I&amp;E Annual'!AM$99</f>
        <v>0</v>
      </c>
      <c r="AN156" s="10">
        <f>0-'I&amp;E Annual'!AN$99</f>
        <v>0</v>
      </c>
      <c r="AO156" s="10">
        <f>0-'I&amp;E Annual'!AO$99</f>
        <v>0</v>
      </c>
      <c r="AP156" s="10">
        <f>0-'I&amp;E Annual'!AP$99</f>
        <v>0</v>
      </c>
      <c r="AQ156" s="10">
        <f>0-'I&amp;E Annual'!AQ$99</f>
        <v>0</v>
      </c>
      <c r="AR156" s="10">
        <f>0-'I&amp;E Annual'!AR$99</f>
        <v>0</v>
      </c>
      <c r="AS156" s="10">
        <f>0-'I&amp;E Annual'!AS$99</f>
        <v>0</v>
      </c>
      <c r="AT156" s="10">
        <f>0-'I&amp;E Annual'!AT$99</f>
        <v>0</v>
      </c>
      <c r="AU156" s="10">
        <f>0-'I&amp;E Annual'!AU$99</f>
        <v>0</v>
      </c>
      <c r="AV156" s="10">
        <f>0-'I&amp;E Annual'!AV$99</f>
        <v>0</v>
      </c>
      <c r="AW156" s="10">
        <f>0-'I&amp;E Annual'!AW$99</f>
        <v>0</v>
      </c>
      <c r="AX156" s="10">
        <f>0-'I&amp;E Annual'!AX$99</f>
        <v>0</v>
      </c>
      <c r="AY156" s="10">
        <f>0-'I&amp;E Annual'!AY$99</f>
        <v>0</v>
      </c>
      <c r="AZ156" s="10">
        <f>0-'I&amp;E Annual'!AZ$99</f>
        <v>0</v>
      </c>
      <c r="BA156" s="10">
        <f>0-'I&amp;E Annual'!BA$99</f>
        <v>0</v>
      </c>
      <c r="BB156" s="10">
        <f>0-'I&amp;E Annual'!BB$99</f>
        <v>0</v>
      </c>
      <c r="BC156" s="10">
        <f>0-'I&amp;E Annual'!BC$99</f>
        <v>0</v>
      </c>
      <c r="BD156" s="10">
        <f>0-'I&amp;E Annual'!BD$99</f>
        <v>0</v>
      </c>
      <c r="BE156" s="10">
        <f>0-'I&amp;E Annual'!BE$99</f>
        <v>0</v>
      </c>
      <c r="BF156" s="10">
        <f>0-'I&amp;E Annual'!BF$99</f>
        <v>0</v>
      </c>
      <c r="BG156" s="10">
        <f>0-'I&amp;E Annual'!BG$99</f>
        <v>0</v>
      </c>
      <c r="BH156" s="10">
        <f>0-'I&amp;E Annual'!BH$99</f>
        <v>0</v>
      </c>
      <c r="BI156" s="10">
        <f>0-'I&amp;E Annual'!BI$99</f>
        <v>0</v>
      </c>
      <c r="BJ156" s="10">
        <f>0-'I&amp;E Annual'!BJ$99</f>
        <v>0</v>
      </c>
      <c r="BX156" s="10">
        <f>0-'I&amp;E Annual'!BX$99</f>
        <v>0</v>
      </c>
      <c r="BY156" s="10">
        <f>0-'I&amp;E Annual'!BY$99</f>
        <v>0</v>
      </c>
      <c r="BZ156" s="10">
        <f>0-'I&amp;E Annual'!BZ$99</f>
        <v>0</v>
      </c>
      <c r="CA156" s="10">
        <f>0-'I&amp;E Annual'!CA$99</f>
        <v>0</v>
      </c>
      <c r="CB156" s="10">
        <f>0-'I&amp;E Annual'!CB$99</f>
        <v>0</v>
      </c>
      <c r="CC156" s="10">
        <f>0-'I&amp;E Annual'!CC$99</f>
        <v>0</v>
      </c>
      <c r="CD156" s="10">
        <f>0-'I&amp;E Annual'!CD$99</f>
        <v>0</v>
      </c>
      <c r="CE156" s="10">
        <f>0-'I&amp;E Annual'!CE$99</f>
        <v>0</v>
      </c>
      <c r="CF156" s="10">
        <f>0-'I&amp;E Annual'!CF$99</f>
        <v>0</v>
      </c>
      <c r="CG156" s="10">
        <f>0-'I&amp;E Annual'!CG$99</f>
        <v>0</v>
      </c>
      <c r="CH156" s="10">
        <f>0-'I&amp;E Annual'!CH$99</f>
        <v>0</v>
      </c>
      <c r="CI156" s="10">
        <f>0-'I&amp;E Annual'!CI$99</f>
        <v>0</v>
      </c>
      <c r="CK156" s="312"/>
      <c r="CO156" s="100">
        <f t="shared" si="147"/>
        <v>0</v>
      </c>
      <c r="CP156" s="100">
        <f t="shared" si="148"/>
        <v>0</v>
      </c>
      <c r="CQ156" s="100">
        <f t="shared" si="149"/>
        <v>0</v>
      </c>
      <c r="CR156" s="311"/>
      <c r="CS156" s="215">
        <f t="shared" si="150"/>
        <v>0</v>
      </c>
      <c r="CT156" s="215">
        <f t="shared" si="151"/>
        <v>0</v>
      </c>
      <c r="CU156" s="215">
        <f t="shared" si="152"/>
        <v>0</v>
      </c>
      <c r="CV156" s="215">
        <f t="shared" si="153"/>
        <v>0</v>
      </c>
      <c r="CW156" s="215">
        <f t="shared" si="153"/>
        <v>0</v>
      </c>
      <c r="CX156" s="215">
        <f t="shared" si="153"/>
        <v>0</v>
      </c>
      <c r="CY156" s="215">
        <f t="shared" si="154"/>
        <v>0</v>
      </c>
      <c r="EX156" s="10" t="str">
        <f t="shared" si="155"/>
        <v>Donated Assets adjustment</v>
      </c>
    </row>
    <row r="157" spans="1:154" ht="30" customHeight="1" x14ac:dyDescent="0.35">
      <c r="A157" s="537" cm="1">
        <f t="array" aca="1" ref="A157" ca="1">HYPERLINK(CONCATENATE("#",CELL("address",IF(MAX($CK157:$CR157)=0,A157,INDEX($CK157:$CR157,MATCH(1,$CK157:$CR157,0))))),MAX($CK157:$CR157))</f>
        <v>0</v>
      </c>
      <c r="C157" s="213" t="s">
        <v>1543</v>
      </c>
      <c r="D157" s="120" t="s">
        <v>1544</v>
      </c>
      <c r="E157" s="558" t="str" cm="1">
        <f t="array" aca="1" ref="E157" ca="1">HYPERLINK(CONCATENATE("#",CELL("address",'BS Forecasts'!$D$240)),'BS Forecasts'!$D$238)</f>
        <v>Other Provisions</v>
      </c>
      <c r="F157" s="120"/>
      <c r="G157" s="120"/>
      <c r="H157" s="120"/>
      <c r="V157" s="10">
        <f>'I&amp;E Annual'!V$126</f>
        <v>0</v>
      </c>
      <c r="W157" s="10">
        <f>'I&amp;E Annual'!W$126</f>
        <v>0</v>
      </c>
      <c r="X157" s="10">
        <f>'I&amp;E Annual'!X$126</f>
        <v>0</v>
      </c>
      <c r="Y157" s="10">
        <f>'I&amp;E Annual'!Y$126</f>
        <v>0</v>
      </c>
      <c r="AA157" s="10">
        <f>'I&amp;E Annual'!AA$126</f>
        <v>0</v>
      </c>
      <c r="AB157" s="10">
        <f>'I&amp;E Annual'!AB$126</f>
        <v>0</v>
      </c>
      <c r="AC157" s="10">
        <f>'I&amp;E Annual'!AC$126</f>
        <v>0</v>
      </c>
      <c r="AD157" s="10">
        <f>'I&amp;E Annual'!AD$126</f>
        <v>0</v>
      </c>
      <c r="AE157" s="10">
        <f>'I&amp;E Annual'!AE$126</f>
        <v>0</v>
      </c>
      <c r="AF157" s="10">
        <f>'I&amp;E Annual'!AF$126</f>
        <v>0</v>
      </c>
      <c r="AG157" s="10">
        <f>'I&amp;E Annual'!AG$126</f>
        <v>0</v>
      </c>
      <c r="AH157" s="10">
        <f>'I&amp;E Annual'!AH$126</f>
        <v>0</v>
      </c>
      <c r="AI157" s="10">
        <f>'I&amp;E Annual'!AI$126</f>
        <v>0</v>
      </c>
      <c r="AJ157" s="10">
        <f>'I&amp;E Annual'!AJ$126</f>
        <v>0</v>
      </c>
      <c r="AK157" s="10">
        <f>'I&amp;E Annual'!AK$126</f>
        <v>0</v>
      </c>
      <c r="AL157" s="10">
        <f>'I&amp;E Annual'!AL$126</f>
        <v>0</v>
      </c>
      <c r="AM157" s="10">
        <f>'I&amp;E Annual'!AM$126</f>
        <v>0</v>
      </c>
      <c r="AN157" s="10">
        <f>'I&amp;E Annual'!AN$126</f>
        <v>0</v>
      </c>
      <c r="AO157" s="10">
        <f>'I&amp;E Annual'!AO$126</f>
        <v>0</v>
      </c>
      <c r="AP157" s="10">
        <f>'I&amp;E Annual'!AP$126</f>
        <v>0</v>
      </c>
      <c r="AQ157" s="10">
        <f>'I&amp;E Annual'!AQ$126</f>
        <v>0</v>
      </c>
      <c r="AR157" s="10">
        <f>'I&amp;E Annual'!AR$126</f>
        <v>0</v>
      </c>
      <c r="AS157" s="10">
        <f>'I&amp;E Annual'!AS$126</f>
        <v>0</v>
      </c>
      <c r="AT157" s="10">
        <f>'I&amp;E Annual'!AT$126</f>
        <v>0</v>
      </c>
      <c r="AU157" s="10">
        <f>'I&amp;E Annual'!AU$126</f>
        <v>0</v>
      </c>
      <c r="AV157" s="10">
        <f>'I&amp;E Annual'!AV$126</f>
        <v>0</v>
      </c>
      <c r="AW157" s="10">
        <f>'I&amp;E Annual'!AW$126</f>
        <v>0</v>
      </c>
      <c r="AX157" s="10">
        <f>'I&amp;E Annual'!AX$126</f>
        <v>0</v>
      </c>
      <c r="AY157" s="10">
        <f>'I&amp;E Annual'!AY$126</f>
        <v>0</v>
      </c>
      <c r="AZ157" s="10">
        <f>'I&amp;E Annual'!AZ$126</f>
        <v>0</v>
      </c>
      <c r="BA157" s="10">
        <f>'I&amp;E Annual'!BA$126</f>
        <v>0</v>
      </c>
      <c r="BB157" s="10">
        <f>'I&amp;E Annual'!BB$126</f>
        <v>0</v>
      </c>
      <c r="BC157" s="10">
        <f>'I&amp;E Annual'!BC$126</f>
        <v>0</v>
      </c>
      <c r="BD157" s="10">
        <f>'I&amp;E Annual'!BD$126</f>
        <v>0</v>
      </c>
      <c r="BE157" s="10">
        <f>'I&amp;E Annual'!BE$126</f>
        <v>0</v>
      </c>
      <c r="BF157" s="10">
        <f>'I&amp;E Annual'!BF$126</f>
        <v>0</v>
      </c>
      <c r="BG157" s="10">
        <f>'I&amp;E Annual'!BG$126</f>
        <v>0</v>
      </c>
      <c r="BH157" s="10">
        <f>'I&amp;E Annual'!BH$126</f>
        <v>0</v>
      </c>
      <c r="BI157" s="10">
        <f>'I&amp;E Annual'!BI$126</f>
        <v>0</v>
      </c>
      <c r="BJ157" s="10">
        <f>'I&amp;E Annual'!BJ$126</f>
        <v>0</v>
      </c>
      <c r="BX157" s="10">
        <f>'I&amp;E Annual'!BX$126</f>
        <v>0</v>
      </c>
      <c r="BY157" s="10">
        <f>'I&amp;E Annual'!BY$126</f>
        <v>0</v>
      </c>
      <c r="BZ157" s="10">
        <f>'I&amp;E Annual'!BZ$126</f>
        <v>0</v>
      </c>
      <c r="CA157" s="10">
        <f>'I&amp;E Annual'!CA$126</f>
        <v>0</v>
      </c>
      <c r="CB157" s="10">
        <f>'I&amp;E Annual'!CB$126</f>
        <v>0</v>
      </c>
      <c r="CC157" s="10">
        <f>'I&amp;E Annual'!CC$126</f>
        <v>0</v>
      </c>
      <c r="CD157" s="10">
        <f>'I&amp;E Annual'!CD$126</f>
        <v>0</v>
      </c>
      <c r="CE157" s="10">
        <f>'I&amp;E Annual'!CE$126</f>
        <v>0</v>
      </c>
      <c r="CF157" s="10">
        <f>'I&amp;E Annual'!CF$126</f>
        <v>0</v>
      </c>
      <c r="CG157" s="10">
        <f>'I&amp;E Annual'!CG$126</f>
        <v>0</v>
      </c>
      <c r="CH157" s="10">
        <f>'I&amp;E Annual'!CH$126</f>
        <v>0</v>
      </c>
      <c r="CI157" s="10">
        <f>'I&amp;E Annual'!CI$126</f>
        <v>0</v>
      </c>
      <c r="CK157" s="312"/>
      <c r="CO157" s="100">
        <f t="shared" si="147"/>
        <v>0</v>
      </c>
      <c r="CP157" s="100">
        <f t="shared" si="148"/>
        <v>0</v>
      </c>
      <c r="CQ157" s="100">
        <f t="shared" si="149"/>
        <v>0</v>
      </c>
      <c r="CR157" s="311"/>
      <c r="CS157" s="215">
        <f t="shared" si="150"/>
        <v>0</v>
      </c>
      <c r="CT157" s="215">
        <f t="shared" si="151"/>
        <v>0</v>
      </c>
      <c r="CU157" s="215">
        <f t="shared" si="152"/>
        <v>0</v>
      </c>
      <c r="CV157" s="215">
        <f t="shared" si="153"/>
        <v>0</v>
      </c>
      <c r="CW157" s="215">
        <f t="shared" si="153"/>
        <v>0</v>
      </c>
      <c r="CX157" s="215">
        <f t="shared" si="153"/>
        <v>0</v>
      </c>
      <c r="CY157" s="215">
        <f t="shared" si="154"/>
        <v>0</v>
      </c>
      <c r="EX157" s="10" t="str">
        <f t="shared" si="155"/>
        <v>Other Provisions adjustment</v>
      </c>
    </row>
    <row r="158" spans="1:154" x14ac:dyDescent="0.35">
      <c r="C158" s="213" t="s">
        <v>1545</v>
      </c>
      <c r="D158" s="107" t="s">
        <v>1546</v>
      </c>
      <c r="E158" s="57"/>
      <c r="F158" s="120"/>
      <c r="G158" s="120"/>
      <c r="H158" s="120"/>
      <c r="V158" s="12">
        <f>SUM(V151:V157)*V$9</f>
        <v>0</v>
      </c>
      <c r="W158" s="12">
        <f>SUM(W151:W157)*W$9</f>
        <v>0</v>
      </c>
      <c r="X158" s="12">
        <f>SUM(X151:X157)*X$9</f>
        <v>0</v>
      </c>
      <c r="Y158" s="12">
        <f>SUM(Y151:Y157)*Y$9</f>
        <v>0</v>
      </c>
      <c r="AA158" s="12">
        <f t="shared" ref="AA158:BJ158" si="158">SUM(AA151:AA157)*AA$9</f>
        <v>0</v>
      </c>
      <c r="AB158" s="12">
        <f t="shared" si="158"/>
        <v>0</v>
      </c>
      <c r="AC158" s="12">
        <f t="shared" si="158"/>
        <v>0</v>
      </c>
      <c r="AD158" s="12">
        <f t="shared" si="158"/>
        <v>0</v>
      </c>
      <c r="AE158" s="12">
        <f t="shared" si="158"/>
        <v>0</v>
      </c>
      <c r="AF158" s="12">
        <f t="shared" si="158"/>
        <v>0</v>
      </c>
      <c r="AG158" s="12">
        <f t="shared" si="158"/>
        <v>0</v>
      </c>
      <c r="AH158" s="12">
        <f t="shared" si="158"/>
        <v>0</v>
      </c>
      <c r="AI158" s="12">
        <f t="shared" si="158"/>
        <v>0</v>
      </c>
      <c r="AJ158" s="12">
        <f t="shared" si="158"/>
        <v>0</v>
      </c>
      <c r="AK158" s="12">
        <f t="shared" si="158"/>
        <v>0</v>
      </c>
      <c r="AL158" s="12">
        <f t="shared" si="158"/>
        <v>0</v>
      </c>
      <c r="AM158" s="12">
        <f t="shared" si="158"/>
        <v>0</v>
      </c>
      <c r="AN158" s="12">
        <f t="shared" si="158"/>
        <v>0</v>
      </c>
      <c r="AO158" s="12">
        <f t="shared" si="158"/>
        <v>0</v>
      </c>
      <c r="AP158" s="12">
        <f t="shared" si="158"/>
        <v>0</v>
      </c>
      <c r="AQ158" s="12">
        <f t="shared" si="158"/>
        <v>0</v>
      </c>
      <c r="AR158" s="12">
        <f t="shared" si="158"/>
        <v>0</v>
      </c>
      <c r="AS158" s="12">
        <f t="shared" si="158"/>
        <v>0</v>
      </c>
      <c r="AT158" s="12">
        <f t="shared" si="158"/>
        <v>0</v>
      </c>
      <c r="AU158" s="12">
        <f t="shared" si="158"/>
        <v>0</v>
      </c>
      <c r="AV158" s="12">
        <f t="shared" si="158"/>
        <v>0</v>
      </c>
      <c r="AW158" s="12">
        <f t="shared" si="158"/>
        <v>0</v>
      </c>
      <c r="AX158" s="12">
        <f t="shared" si="158"/>
        <v>0</v>
      </c>
      <c r="AY158" s="12">
        <f t="shared" si="158"/>
        <v>0</v>
      </c>
      <c r="AZ158" s="12">
        <f t="shared" si="158"/>
        <v>0</v>
      </c>
      <c r="BA158" s="12">
        <f t="shared" si="158"/>
        <v>0</v>
      </c>
      <c r="BB158" s="12">
        <f t="shared" si="158"/>
        <v>0</v>
      </c>
      <c r="BC158" s="12">
        <f t="shared" si="158"/>
        <v>0</v>
      </c>
      <c r="BD158" s="12">
        <f t="shared" si="158"/>
        <v>0</v>
      </c>
      <c r="BE158" s="12">
        <f t="shared" si="158"/>
        <v>0</v>
      </c>
      <c r="BF158" s="12">
        <f t="shared" si="158"/>
        <v>0</v>
      </c>
      <c r="BG158" s="12">
        <f t="shared" si="158"/>
        <v>0</v>
      </c>
      <c r="BH158" s="12">
        <f t="shared" si="158"/>
        <v>0</v>
      </c>
      <c r="BI158" s="12">
        <f t="shared" si="158"/>
        <v>0</v>
      </c>
      <c r="BJ158" s="12">
        <f t="shared" si="158"/>
        <v>0</v>
      </c>
      <c r="BX158" s="12">
        <f t="shared" ref="BX158:CI158" si="159">SUM(BX151:BX157)*BX$9</f>
        <v>0</v>
      </c>
      <c r="BY158" s="12">
        <f t="shared" si="159"/>
        <v>0</v>
      </c>
      <c r="BZ158" s="12">
        <f t="shared" si="159"/>
        <v>0</v>
      </c>
      <c r="CA158" s="12">
        <f t="shared" si="159"/>
        <v>0</v>
      </c>
      <c r="CB158" s="12">
        <f t="shared" si="159"/>
        <v>0</v>
      </c>
      <c r="CC158" s="12">
        <f t="shared" si="159"/>
        <v>0</v>
      </c>
      <c r="CD158" s="12">
        <f t="shared" si="159"/>
        <v>0</v>
      </c>
      <c r="CE158" s="12">
        <f t="shared" si="159"/>
        <v>0</v>
      </c>
      <c r="CF158" s="12">
        <f t="shared" si="159"/>
        <v>0</v>
      </c>
      <c r="CG158" s="12">
        <f t="shared" si="159"/>
        <v>0</v>
      </c>
      <c r="CH158" s="12">
        <f t="shared" si="159"/>
        <v>0</v>
      </c>
      <c r="CI158" s="12">
        <f t="shared" si="159"/>
        <v>0</v>
      </c>
      <c r="CK158" s="312"/>
      <c r="CO158" s="120"/>
      <c r="CP158" s="120"/>
      <c r="CQ158" s="120"/>
      <c r="CR158" s="311"/>
      <c r="EX158" s="10" t="str">
        <f t="shared" si="155"/>
        <v>Total non-cash adjustments</v>
      </c>
    </row>
    <row r="159" spans="1:154" ht="8.25" customHeight="1" x14ac:dyDescent="0.35">
      <c r="C159" s="213"/>
      <c r="E159" s="120"/>
      <c r="F159" s="120"/>
      <c r="G159" s="120"/>
      <c r="H159" s="120"/>
      <c r="CK159" s="311"/>
      <c r="CO159" s="120"/>
      <c r="CP159" s="120"/>
      <c r="CQ159" s="120"/>
      <c r="CR159" s="311"/>
      <c r="EX159" s="10" t="str">
        <f t="shared" si="155"/>
        <v/>
      </c>
    </row>
    <row r="160" spans="1:154" x14ac:dyDescent="0.35">
      <c r="B160" s="5"/>
      <c r="C160" s="213"/>
      <c r="D160" s="107" t="s">
        <v>1547</v>
      </c>
      <c r="E160" s="552" t="s">
        <v>1548</v>
      </c>
      <c r="F160" s="120"/>
      <c r="G160" s="120"/>
      <c r="H160" s="120"/>
      <c r="CK160" s="312"/>
      <c r="CO160" s="120"/>
      <c r="CP160" s="120"/>
      <c r="CQ160" s="120"/>
      <c r="CR160" s="311"/>
      <c r="EX160" s="10" t="str">
        <f t="shared" si="155"/>
        <v/>
      </c>
    </row>
    <row r="161" spans="1:154" x14ac:dyDescent="0.35">
      <c r="A161" s="537" cm="1">
        <f t="array" aca="1" ref="A161" ca="1">HYPERLINK(CONCATENATE("#",CELL("address",IF(MAX($CK161:$CR161)=0,A161,INDEX($CK161:$CR161,MATCH(1,$CK161:$CR161,0))))),MAX($CK161:$CR161))</f>
        <v>0</v>
      </c>
      <c r="C161" s="213" t="s">
        <v>1549</v>
      </c>
      <c r="D161" s="120" t="s">
        <v>1550</v>
      </c>
      <c r="E161" s="558" t="str" cm="1">
        <f t="array" aca="1" ref="E161" ca="1">HYPERLINK(CONCATENATE("#",CELL("address",'BS Forecasts'!$D$56)),'BS Forecasts'!$D$54)</f>
        <v>Stock</v>
      </c>
      <c r="F161" s="120"/>
      <c r="G161" s="120"/>
      <c r="H161" s="120"/>
      <c r="V161" s="12">
        <f>0-('Opening Balances'!W22-'Opening Balances'!V22)*'Opening Balances'!$V$86</f>
        <v>0</v>
      </c>
      <c r="W161" s="99">
        <f>0-(W$78-V$78)</f>
        <v>0</v>
      </c>
      <c r="X161" s="99">
        <f>0-(X$78-W$78)</f>
        <v>0</v>
      </c>
      <c r="Y161" s="99">
        <f>0-(Y$78-X$78)</f>
        <v>0</v>
      </c>
      <c r="AA161" s="12">
        <f>0-(AA$78-V$78)</f>
        <v>0</v>
      </c>
      <c r="AB161" s="99">
        <f t="shared" ref="AB161:BJ161" si="160">0-(AB$78-AA$78)</f>
        <v>0</v>
      </c>
      <c r="AC161" s="99">
        <f t="shared" si="160"/>
        <v>0</v>
      </c>
      <c r="AD161" s="99">
        <f t="shared" si="160"/>
        <v>0</v>
      </c>
      <c r="AE161" s="99">
        <f t="shared" si="160"/>
        <v>0</v>
      </c>
      <c r="AF161" s="99">
        <f t="shared" si="160"/>
        <v>0</v>
      </c>
      <c r="AG161" s="99">
        <f t="shared" si="160"/>
        <v>0</v>
      </c>
      <c r="AH161" s="99">
        <f t="shared" si="160"/>
        <v>0</v>
      </c>
      <c r="AI161" s="99">
        <f t="shared" si="160"/>
        <v>0</v>
      </c>
      <c r="AJ161" s="99">
        <f t="shared" si="160"/>
        <v>0</v>
      </c>
      <c r="AK161" s="99">
        <f t="shared" si="160"/>
        <v>0</v>
      </c>
      <c r="AL161" s="99">
        <f t="shared" si="160"/>
        <v>0</v>
      </c>
      <c r="AM161" s="99">
        <f t="shared" si="160"/>
        <v>0</v>
      </c>
      <c r="AN161" s="99">
        <f t="shared" si="160"/>
        <v>0</v>
      </c>
      <c r="AO161" s="99">
        <f t="shared" si="160"/>
        <v>0</v>
      </c>
      <c r="AP161" s="99">
        <f t="shared" si="160"/>
        <v>0</v>
      </c>
      <c r="AQ161" s="99">
        <f t="shared" si="160"/>
        <v>0</v>
      </c>
      <c r="AR161" s="99">
        <f t="shared" si="160"/>
        <v>0</v>
      </c>
      <c r="AS161" s="99">
        <f t="shared" si="160"/>
        <v>0</v>
      </c>
      <c r="AT161" s="99">
        <f t="shared" si="160"/>
        <v>0</v>
      </c>
      <c r="AU161" s="99">
        <f t="shared" si="160"/>
        <v>0</v>
      </c>
      <c r="AV161" s="99">
        <f t="shared" si="160"/>
        <v>0</v>
      </c>
      <c r="AW161" s="99">
        <f t="shared" si="160"/>
        <v>0</v>
      </c>
      <c r="AX161" s="99">
        <f t="shared" si="160"/>
        <v>0</v>
      </c>
      <c r="AY161" s="99">
        <f t="shared" si="160"/>
        <v>0</v>
      </c>
      <c r="AZ161" s="99">
        <f t="shared" si="160"/>
        <v>0</v>
      </c>
      <c r="BA161" s="99">
        <f t="shared" si="160"/>
        <v>0</v>
      </c>
      <c r="BB161" s="99">
        <f t="shared" si="160"/>
        <v>0</v>
      </c>
      <c r="BC161" s="99">
        <f t="shared" si="160"/>
        <v>0</v>
      </c>
      <c r="BD161" s="99">
        <f t="shared" si="160"/>
        <v>0</v>
      </c>
      <c r="BE161" s="99">
        <f t="shared" si="160"/>
        <v>0</v>
      </c>
      <c r="BF161" s="99">
        <f t="shared" si="160"/>
        <v>0</v>
      </c>
      <c r="BG161" s="99">
        <f t="shared" si="160"/>
        <v>0</v>
      </c>
      <c r="BH161" s="99">
        <f t="shared" si="160"/>
        <v>0</v>
      </c>
      <c r="BI161" s="99">
        <f t="shared" si="160"/>
        <v>0</v>
      </c>
      <c r="BJ161" s="99">
        <f t="shared" si="160"/>
        <v>0</v>
      </c>
      <c r="BX161" s="12">
        <f t="shared" ref="BX161:BX173" si="161">V161</f>
        <v>0</v>
      </c>
      <c r="BY161" s="99">
        <f t="shared" ref="BY161:CI161" si="162">0-(BY$78-BX$78)</f>
        <v>0</v>
      </c>
      <c r="BZ161" s="99">
        <f t="shared" si="162"/>
        <v>0</v>
      </c>
      <c r="CA161" s="99">
        <f t="shared" si="162"/>
        <v>0</v>
      </c>
      <c r="CB161" s="99">
        <f t="shared" si="162"/>
        <v>0</v>
      </c>
      <c r="CC161" s="99">
        <f t="shared" si="162"/>
        <v>0</v>
      </c>
      <c r="CD161" s="99">
        <f t="shared" si="162"/>
        <v>0</v>
      </c>
      <c r="CE161" s="99">
        <f t="shared" si="162"/>
        <v>0</v>
      </c>
      <c r="CF161" s="99">
        <f t="shared" si="162"/>
        <v>0</v>
      </c>
      <c r="CG161" s="99">
        <f t="shared" si="162"/>
        <v>0</v>
      </c>
      <c r="CH161" s="99">
        <f t="shared" si="162"/>
        <v>0</v>
      </c>
      <c r="CI161" s="99">
        <f t="shared" si="162"/>
        <v>0</v>
      </c>
      <c r="CK161" s="312"/>
      <c r="CO161" s="100">
        <f t="shared" ref="CO161:CO175" si="163">IF(SUM($CS161:$CU161)=0, 0, 1)</f>
        <v>0</v>
      </c>
      <c r="CP161" s="100">
        <f t="shared" ref="CP161:CP175" si="164">IF(SUM($CV161:$CX161)=0, 0, 1)</f>
        <v>0</v>
      </c>
      <c r="CQ161" s="100">
        <f t="shared" ref="CQ161:CQ175" si="165">IF(CY161=0, 0, 1)</f>
        <v>0</v>
      </c>
      <c r="CR161" s="311"/>
      <c r="CS161" s="215">
        <f t="shared" ref="CS161:CS175" si="166">ROUND(W161-SUMIFS($AA161:$BJ161, $AA$3:$BJ$3, W$3), rounding)</f>
        <v>0</v>
      </c>
      <c r="CT161" s="215">
        <f t="shared" ref="CT161:CT175" si="167">ROUND($X161-SUMIFS($AA161:$BJ161, $AA$3:$BJ$3, X$3), rounding)</f>
        <v>0</v>
      </c>
      <c r="CU161" s="215">
        <f t="shared" ref="CU161:CU175" si="168">ROUND($Y161-SUMIFS($AA161:$BJ161, $AA$3:$BJ$3, Y$3), rounding)</f>
        <v>0</v>
      </c>
      <c r="CV161" s="215">
        <f t="shared" ref="CV161:CV175" si="169">ROUND(W161-BY161, rounding)</f>
        <v>0</v>
      </c>
      <c r="CW161" s="215">
        <f t="shared" ref="CW161:CW175" si="170">ROUND(X161-BZ161, rounding)</f>
        <v>0</v>
      </c>
      <c r="CX161" s="215">
        <f t="shared" ref="CX161:CX175" si="171">ROUND(Y161-CA161, rounding)</f>
        <v>0</v>
      </c>
      <c r="CY161" s="215">
        <f t="shared" ref="CY161:CY175" si="172">ROUND(V161-BX161, rounding)</f>
        <v>0</v>
      </c>
      <c r="EX161" s="10" t="str">
        <f t="shared" si="155"/>
        <v>(Increase)/decrease in stocks</v>
      </c>
    </row>
    <row r="162" spans="1:154" ht="29" x14ac:dyDescent="0.35">
      <c r="A162" s="537" cm="1">
        <f t="array" aca="1" ref="A162" ca="1">HYPERLINK(CONCATENATE("#",CELL("address",IF(MAX($CK162:$CR162)=0,A162,INDEX($CK162:$CR162,MATCH(1,$CK162:$CR162,0))))),MAX($CK162:$CR162))</f>
        <v>0</v>
      </c>
      <c r="C162" s="213" t="s">
        <v>1551</v>
      </c>
      <c r="D162" s="120" t="s">
        <v>1552</v>
      </c>
      <c r="E162" s="558" t="str" cm="1">
        <f t="array" aca="1" ref="E162" ca="1">HYPERLINK(CONCATENATE("#",CELL("address",'BS Forecasts'!$D$60)),'BS Forecasts'!$D$58)</f>
        <v>Trade Receivables</v>
      </c>
      <c r="F162" s="558" t="str" cm="1">
        <f t="array" aca="1" ref="F162" ca="1">HYPERLINK(CONCATENATE("#",CELL("address",'BS Forecasts'!$D$64)),'BS Forecasts'!$D$62)</f>
        <v>Other Receivables</v>
      </c>
      <c r="G162" s="558" t="str" cm="1">
        <f t="array" aca="1" ref="G162" ca="1">HYPERLINK(CONCATENATE("#",CELL("address",'BS Forecasts'!$D$70)),'BS Forecasts'!$D$66)</f>
        <v>Bad Debt Provision</v>
      </c>
      <c r="H162" s="120"/>
      <c r="V162" s="12">
        <f>(0 - ('Opening Balances'!W23-'Opening Balances'!V23) - ('Opening Balances'!W24-'Opening Balances'!V24)-('Opening Balances'!W25-'Opening Balances'!V25))*'Opening Balances'!$V$86</f>
        <v>0</v>
      </c>
      <c r="W162" s="99">
        <f>0 - (SUM(W$79:W$81)-SUM(V$79:V$81))</f>
        <v>0</v>
      </c>
      <c r="X162" s="99">
        <f>0 - (SUM(X$79:X$81)-SUM(W$79:W$81))</f>
        <v>0</v>
      </c>
      <c r="Y162" s="99">
        <f>0 - (SUM(Y$79:Y$81)-SUM(X$79:X$81))</f>
        <v>0</v>
      </c>
      <c r="AA162" s="12">
        <f>0 - (SUM(AA$79:AA$81)-SUM(V$79:V$81))</f>
        <v>0</v>
      </c>
      <c r="AB162" s="99">
        <f t="shared" ref="AB162:BJ162" si="173">0 - (SUM(AB$79:AB$81)-SUM(AA$79:AA$81))</f>
        <v>0</v>
      </c>
      <c r="AC162" s="99">
        <f t="shared" si="173"/>
        <v>0</v>
      </c>
      <c r="AD162" s="99">
        <f t="shared" si="173"/>
        <v>0</v>
      </c>
      <c r="AE162" s="99">
        <f t="shared" si="173"/>
        <v>0</v>
      </c>
      <c r="AF162" s="99">
        <f t="shared" si="173"/>
        <v>0</v>
      </c>
      <c r="AG162" s="99">
        <f t="shared" si="173"/>
        <v>0</v>
      </c>
      <c r="AH162" s="99">
        <f t="shared" si="173"/>
        <v>0</v>
      </c>
      <c r="AI162" s="99">
        <f t="shared" si="173"/>
        <v>0</v>
      </c>
      <c r="AJ162" s="99">
        <f t="shared" si="173"/>
        <v>0</v>
      </c>
      <c r="AK162" s="99">
        <f t="shared" si="173"/>
        <v>0</v>
      </c>
      <c r="AL162" s="99">
        <f t="shared" si="173"/>
        <v>0</v>
      </c>
      <c r="AM162" s="99">
        <f t="shared" si="173"/>
        <v>0</v>
      </c>
      <c r="AN162" s="99">
        <f t="shared" si="173"/>
        <v>0</v>
      </c>
      <c r="AO162" s="99">
        <f t="shared" si="173"/>
        <v>0</v>
      </c>
      <c r="AP162" s="99">
        <f t="shared" si="173"/>
        <v>0</v>
      </c>
      <c r="AQ162" s="99">
        <f t="shared" si="173"/>
        <v>0</v>
      </c>
      <c r="AR162" s="99">
        <f t="shared" si="173"/>
        <v>0</v>
      </c>
      <c r="AS162" s="99">
        <f t="shared" si="173"/>
        <v>0</v>
      </c>
      <c r="AT162" s="99">
        <f t="shared" si="173"/>
        <v>0</v>
      </c>
      <c r="AU162" s="99">
        <f t="shared" si="173"/>
        <v>0</v>
      </c>
      <c r="AV162" s="99">
        <f t="shared" si="173"/>
        <v>0</v>
      </c>
      <c r="AW162" s="99">
        <f t="shared" si="173"/>
        <v>0</v>
      </c>
      <c r="AX162" s="99">
        <f t="shared" si="173"/>
        <v>0</v>
      </c>
      <c r="AY162" s="99">
        <f t="shared" si="173"/>
        <v>0</v>
      </c>
      <c r="AZ162" s="99">
        <f t="shared" si="173"/>
        <v>0</v>
      </c>
      <c r="BA162" s="99">
        <f t="shared" si="173"/>
        <v>0</v>
      </c>
      <c r="BB162" s="99">
        <f t="shared" si="173"/>
        <v>0</v>
      </c>
      <c r="BC162" s="99">
        <f t="shared" si="173"/>
        <v>0</v>
      </c>
      <c r="BD162" s="99">
        <f t="shared" si="173"/>
        <v>0</v>
      </c>
      <c r="BE162" s="99">
        <f t="shared" si="173"/>
        <v>0</v>
      </c>
      <c r="BF162" s="99">
        <f t="shared" si="173"/>
        <v>0</v>
      </c>
      <c r="BG162" s="99">
        <f t="shared" si="173"/>
        <v>0</v>
      </c>
      <c r="BH162" s="99">
        <f t="shared" si="173"/>
        <v>0</v>
      </c>
      <c r="BI162" s="99">
        <f t="shared" si="173"/>
        <v>0</v>
      </c>
      <c r="BJ162" s="99">
        <f t="shared" si="173"/>
        <v>0</v>
      </c>
      <c r="BX162" s="12">
        <f t="shared" si="161"/>
        <v>0</v>
      </c>
      <c r="BY162" s="99">
        <f t="shared" ref="BY162:CI162" si="174">0 - (SUM(BY$79:BY$81)-SUM(BX$79:BX$81))</f>
        <v>0</v>
      </c>
      <c r="BZ162" s="99">
        <f t="shared" si="174"/>
        <v>0</v>
      </c>
      <c r="CA162" s="99">
        <f t="shared" si="174"/>
        <v>0</v>
      </c>
      <c r="CB162" s="99">
        <f t="shared" si="174"/>
        <v>0</v>
      </c>
      <c r="CC162" s="99">
        <f t="shared" si="174"/>
        <v>0</v>
      </c>
      <c r="CD162" s="99">
        <f t="shared" si="174"/>
        <v>0</v>
      </c>
      <c r="CE162" s="99">
        <f t="shared" si="174"/>
        <v>0</v>
      </c>
      <c r="CF162" s="99">
        <f t="shared" si="174"/>
        <v>0</v>
      </c>
      <c r="CG162" s="99">
        <f t="shared" si="174"/>
        <v>0</v>
      </c>
      <c r="CH162" s="99">
        <f t="shared" si="174"/>
        <v>0</v>
      </c>
      <c r="CI162" s="99">
        <f t="shared" si="174"/>
        <v>0</v>
      </c>
      <c r="CK162" s="312"/>
      <c r="CO162" s="100">
        <f t="shared" si="163"/>
        <v>0</v>
      </c>
      <c r="CP162" s="100">
        <f t="shared" si="164"/>
        <v>0</v>
      </c>
      <c r="CQ162" s="100">
        <f t="shared" si="165"/>
        <v>0</v>
      </c>
      <c r="CR162" s="311"/>
      <c r="CS162" s="215">
        <f t="shared" si="166"/>
        <v>0</v>
      </c>
      <c r="CT162" s="215">
        <f t="shared" si="167"/>
        <v>0</v>
      </c>
      <c r="CU162" s="215">
        <f t="shared" si="168"/>
        <v>0</v>
      </c>
      <c r="CV162" s="215">
        <f t="shared" si="169"/>
        <v>0</v>
      </c>
      <c r="CW162" s="215">
        <f t="shared" si="170"/>
        <v>0</v>
      </c>
      <c r="CX162" s="215">
        <f t="shared" si="171"/>
        <v>0</v>
      </c>
      <c r="CY162" s="215">
        <f t="shared" si="172"/>
        <v>0</v>
      </c>
      <c r="EX162" s="10" t="str">
        <f t="shared" si="155"/>
        <v>(Increase)/decrease in debtors</v>
      </c>
    </row>
    <row r="163" spans="1:154" ht="43.5" x14ac:dyDescent="0.35">
      <c r="A163" s="537" cm="1">
        <f t="array" aca="1" ref="A163" ca="1">HYPERLINK(CONCATENATE("#",CELL("address",IF(MAX($CK163:$CR163)=0,A163,INDEX($CK163:$CR163,MATCH(1,$CK163:$CR163,0))))),MAX($CK163:$CR163))</f>
        <v>0</v>
      </c>
      <c r="C163" s="213" t="s">
        <v>1553</v>
      </c>
      <c r="D163" s="120" t="s">
        <v>1554</v>
      </c>
      <c r="E163" s="558" t="str" cm="1">
        <f t="array" aca="1" ref="E163" ca="1">HYPERLINK(CONCATENATE("#",CELL("address",'BS Forecasts'!$D$167)),'BS Forecasts'!$D$166)</f>
        <v>Trade Payables</v>
      </c>
      <c r="F163" s="558" t="str" cm="1">
        <f t="array" aca="1" ref="F163" ca="1">HYPERLINK(CONCATENATE("#",CELL("address",'BS Forecasts'!$D$170)),'BS Forecasts'!$D$169)</f>
        <v>Other Payments on Account</v>
      </c>
      <c r="G163" s="558" t="str" cm="1">
        <f t="array" aca="1" ref="G163" ca="1">HYPERLINK(CONCATENATE("#",CELL("address",'BS Forecasts'!$D$175)),'BS Forecasts'!$D$172)</f>
        <v>Other Liabilities</v>
      </c>
      <c r="H163" s="558" t="str" cm="1">
        <f t="array" aca="1" ref="H163" ca="1">HYPERLINK(CONCATENATE("#",CELL("address",'BS Forecasts'!$D$188)),'BS Forecasts'!$D$187)</f>
        <v>Deferred Income - Revenue</v>
      </c>
      <c r="V163" s="12">
        <f>(('Opening Balances'!W44-'Opening Balances'!V44)+('Opening Balances'!W45-'Opening Balances'!V45)+('Opening Balances'!W46-'Opening Balances'!V46)+('Opening Balances'!W47-'Opening Balances'!V47)+('Opening Balances'!W51-'Opening Balances'!V51))*'Opening Balances'!$V$86</f>
        <v>0</v>
      </c>
      <c r="W163" s="99">
        <f>(W$97-V$97)+(W$98-V$98)+(W$99-V$99)+(W$100-V$100)+(W$104-V$104)</f>
        <v>0</v>
      </c>
      <c r="X163" s="99">
        <f t="shared" ref="X163:Y163" si="175">(X$97-W$97)+(X$98-W$98)+(X$99-W$99)+(X$100-W$100)+(X$104-W$104)</f>
        <v>0</v>
      </c>
      <c r="Y163" s="99">
        <f t="shared" si="175"/>
        <v>0</v>
      </c>
      <c r="AA163" s="12">
        <f>(AA$97-V$97)+(AA$98-V$98)+(AA$99-V$99)+(AA$100-V$100)+(AA$104-V$104)</f>
        <v>0</v>
      </c>
      <c r="AB163" s="99">
        <f>(AB$97-AA$97)+(AB$98-AA$98)+(AB$99-AA$99)+(AB$100-AA$100)+(AB$104-AA$104)</f>
        <v>0</v>
      </c>
      <c r="AC163" s="99">
        <f t="shared" ref="AC163:BJ163" si="176">(AC$97-AB$97)+(AC$98-AB$98)+(AC$99-AB$99)+(AC$100-AB$100)+(AC$104-AB$104)</f>
        <v>0</v>
      </c>
      <c r="AD163" s="99">
        <f t="shared" si="176"/>
        <v>0</v>
      </c>
      <c r="AE163" s="99">
        <f t="shared" si="176"/>
        <v>0</v>
      </c>
      <c r="AF163" s="99">
        <f t="shared" si="176"/>
        <v>0</v>
      </c>
      <c r="AG163" s="99">
        <f t="shared" si="176"/>
        <v>0</v>
      </c>
      <c r="AH163" s="99">
        <f t="shared" si="176"/>
        <v>0</v>
      </c>
      <c r="AI163" s="99">
        <f t="shared" si="176"/>
        <v>0</v>
      </c>
      <c r="AJ163" s="99">
        <f t="shared" si="176"/>
        <v>0</v>
      </c>
      <c r="AK163" s="99">
        <f t="shared" si="176"/>
        <v>0</v>
      </c>
      <c r="AL163" s="99">
        <f t="shared" si="176"/>
        <v>0</v>
      </c>
      <c r="AM163" s="99">
        <f t="shared" si="176"/>
        <v>0</v>
      </c>
      <c r="AN163" s="99">
        <f t="shared" si="176"/>
        <v>0</v>
      </c>
      <c r="AO163" s="99">
        <f t="shared" si="176"/>
        <v>0</v>
      </c>
      <c r="AP163" s="99">
        <f t="shared" si="176"/>
        <v>0</v>
      </c>
      <c r="AQ163" s="99">
        <f t="shared" si="176"/>
        <v>0</v>
      </c>
      <c r="AR163" s="99">
        <f t="shared" si="176"/>
        <v>0</v>
      </c>
      <c r="AS163" s="99">
        <f t="shared" si="176"/>
        <v>0</v>
      </c>
      <c r="AT163" s="99">
        <f t="shared" si="176"/>
        <v>0</v>
      </c>
      <c r="AU163" s="99">
        <f t="shared" si="176"/>
        <v>0</v>
      </c>
      <c r="AV163" s="99">
        <f t="shared" si="176"/>
        <v>0</v>
      </c>
      <c r="AW163" s="99">
        <f t="shared" si="176"/>
        <v>0</v>
      </c>
      <c r="AX163" s="99">
        <f t="shared" si="176"/>
        <v>0</v>
      </c>
      <c r="AY163" s="99">
        <f t="shared" si="176"/>
        <v>0</v>
      </c>
      <c r="AZ163" s="99">
        <f t="shared" si="176"/>
        <v>0</v>
      </c>
      <c r="BA163" s="99">
        <f t="shared" si="176"/>
        <v>0</v>
      </c>
      <c r="BB163" s="99">
        <f t="shared" si="176"/>
        <v>0</v>
      </c>
      <c r="BC163" s="99">
        <f t="shared" si="176"/>
        <v>0</v>
      </c>
      <c r="BD163" s="99">
        <f t="shared" si="176"/>
        <v>0</v>
      </c>
      <c r="BE163" s="99">
        <f t="shared" si="176"/>
        <v>0</v>
      </c>
      <c r="BF163" s="99">
        <f t="shared" si="176"/>
        <v>0</v>
      </c>
      <c r="BG163" s="99">
        <f t="shared" si="176"/>
        <v>0</v>
      </c>
      <c r="BH163" s="99">
        <f t="shared" si="176"/>
        <v>0</v>
      </c>
      <c r="BI163" s="99">
        <f t="shared" si="176"/>
        <v>0</v>
      </c>
      <c r="BJ163" s="99">
        <f t="shared" si="176"/>
        <v>0</v>
      </c>
      <c r="BX163" s="12">
        <f t="shared" si="161"/>
        <v>0</v>
      </c>
      <c r="BY163" s="99">
        <f>(BY97-BX97)+(BY$98-BX$98)+(BY$99-BX$99)+(BY$100-BX$100)+(BY$104-BX$104)</f>
        <v>0</v>
      </c>
      <c r="BZ163" s="99">
        <f t="shared" ref="BZ163:CI163" si="177">(BZ97-BY97)+(BZ$98-BY$98)+(BZ$99-BY$99)+(BZ$100-BY$100)+(BZ$104-BY$104)</f>
        <v>0</v>
      </c>
      <c r="CA163" s="99">
        <f t="shared" si="177"/>
        <v>0</v>
      </c>
      <c r="CB163" s="99">
        <f t="shared" si="177"/>
        <v>0</v>
      </c>
      <c r="CC163" s="99">
        <f t="shared" si="177"/>
        <v>0</v>
      </c>
      <c r="CD163" s="99">
        <f t="shared" si="177"/>
        <v>0</v>
      </c>
      <c r="CE163" s="99">
        <f t="shared" si="177"/>
        <v>0</v>
      </c>
      <c r="CF163" s="99">
        <f t="shared" si="177"/>
        <v>0</v>
      </c>
      <c r="CG163" s="99">
        <f t="shared" si="177"/>
        <v>0</v>
      </c>
      <c r="CH163" s="99">
        <f t="shared" si="177"/>
        <v>0</v>
      </c>
      <c r="CI163" s="99">
        <f t="shared" si="177"/>
        <v>0</v>
      </c>
      <c r="CK163" s="312"/>
      <c r="CO163" s="100">
        <f t="shared" si="163"/>
        <v>0</v>
      </c>
      <c r="CP163" s="100">
        <f t="shared" si="164"/>
        <v>0</v>
      </c>
      <c r="CQ163" s="100">
        <f t="shared" si="165"/>
        <v>0</v>
      </c>
      <c r="CR163" s="311"/>
      <c r="CS163" s="215">
        <f t="shared" si="166"/>
        <v>0</v>
      </c>
      <c r="CT163" s="215">
        <f t="shared" si="167"/>
        <v>0</v>
      </c>
      <c r="CU163" s="215">
        <f t="shared" si="168"/>
        <v>0</v>
      </c>
      <c r="CV163" s="215">
        <f t="shared" si="169"/>
        <v>0</v>
      </c>
      <c r="CW163" s="215">
        <f t="shared" si="170"/>
        <v>0</v>
      </c>
      <c r="CX163" s="215">
        <f t="shared" si="171"/>
        <v>0</v>
      </c>
      <c r="CY163" s="215">
        <f t="shared" si="172"/>
        <v>0</v>
      </c>
      <c r="EX163" s="10" t="str">
        <f t="shared" si="155"/>
        <v>Increase/(decrease) in creditors due within one year</v>
      </c>
    </row>
    <row r="164" spans="1:154" ht="29" x14ac:dyDescent="0.35">
      <c r="A164" s="537" cm="1">
        <f t="array" aca="1" ref="A164" ca="1">HYPERLINK(CONCATENATE("#",CELL("address",IF(MAX($CK164:$CR164)=0,A164,INDEX($CK164:$CR164,MATCH(1,$CK164:$CR164,0))))),MAX($CK164:$CR164))</f>
        <v>0</v>
      </c>
      <c r="C164" s="213" t="s">
        <v>1555</v>
      </c>
      <c r="D164" s="120" t="s">
        <v>1556</v>
      </c>
      <c r="E164" s="558" t="str" cm="1">
        <f t="array" aca="1" ref="E164" ca="1">HYPERLINK(CONCATENATE("#",CELL("address",'BS Forecasts'!$D$176)),'BS Forecasts'!$D$172)</f>
        <v>Other Liabilities</v>
      </c>
      <c r="F164" s="120"/>
      <c r="G164" s="120"/>
      <c r="H164" s="120"/>
      <c r="V164" s="12">
        <f>('Opening Balances'!W66-'Opening Balances'!V66)+('Opening Balances'!W67-'Opening Balances'!V67)*'Opening Balances'!$V$86</f>
        <v>0</v>
      </c>
      <c r="W164" s="99">
        <f>(W$122-V$122)+(W$123-V$123)</f>
        <v>0</v>
      </c>
      <c r="X164" s="99">
        <f t="shared" ref="X164:Y164" si="178">(X$122-W$122)+(X$123-W$123)</f>
        <v>0</v>
      </c>
      <c r="Y164" s="99">
        <f t="shared" si="178"/>
        <v>0</v>
      </c>
      <c r="AA164" s="12">
        <f>(AA$122-V$122)+(AA$123-V$123)</f>
        <v>0</v>
      </c>
      <c r="AB164" s="99">
        <f>(AB$122-AA$122)+(AB$123-AA$123)</f>
        <v>0</v>
      </c>
      <c r="AC164" s="99">
        <f t="shared" ref="AC164:BJ164" si="179">(AC$122-AB$122)+(AC$123-AB$123)</f>
        <v>0</v>
      </c>
      <c r="AD164" s="99">
        <f t="shared" si="179"/>
        <v>0</v>
      </c>
      <c r="AE164" s="99">
        <f t="shared" si="179"/>
        <v>0</v>
      </c>
      <c r="AF164" s="99">
        <f t="shared" si="179"/>
        <v>0</v>
      </c>
      <c r="AG164" s="99">
        <f t="shared" si="179"/>
        <v>0</v>
      </c>
      <c r="AH164" s="99">
        <f t="shared" si="179"/>
        <v>0</v>
      </c>
      <c r="AI164" s="99">
        <f t="shared" si="179"/>
        <v>0</v>
      </c>
      <c r="AJ164" s="99">
        <f t="shared" si="179"/>
        <v>0</v>
      </c>
      <c r="AK164" s="99">
        <f t="shared" si="179"/>
        <v>0</v>
      </c>
      <c r="AL164" s="99">
        <f t="shared" si="179"/>
        <v>0</v>
      </c>
      <c r="AM164" s="99">
        <f t="shared" si="179"/>
        <v>0</v>
      </c>
      <c r="AN164" s="99">
        <f t="shared" si="179"/>
        <v>0</v>
      </c>
      <c r="AO164" s="99">
        <f t="shared" si="179"/>
        <v>0</v>
      </c>
      <c r="AP164" s="99">
        <f t="shared" si="179"/>
        <v>0</v>
      </c>
      <c r="AQ164" s="99">
        <f t="shared" si="179"/>
        <v>0</v>
      </c>
      <c r="AR164" s="99">
        <f t="shared" si="179"/>
        <v>0</v>
      </c>
      <c r="AS164" s="99">
        <f t="shared" si="179"/>
        <v>0</v>
      </c>
      <c r="AT164" s="99">
        <f t="shared" si="179"/>
        <v>0</v>
      </c>
      <c r="AU164" s="99">
        <f t="shared" si="179"/>
        <v>0</v>
      </c>
      <c r="AV164" s="99">
        <f t="shared" si="179"/>
        <v>0</v>
      </c>
      <c r="AW164" s="99">
        <f t="shared" si="179"/>
        <v>0</v>
      </c>
      <c r="AX164" s="99">
        <f t="shared" si="179"/>
        <v>0</v>
      </c>
      <c r="AY164" s="99">
        <f t="shared" si="179"/>
        <v>0</v>
      </c>
      <c r="AZ164" s="99">
        <f t="shared" si="179"/>
        <v>0</v>
      </c>
      <c r="BA164" s="99">
        <f t="shared" si="179"/>
        <v>0</v>
      </c>
      <c r="BB164" s="99">
        <f t="shared" si="179"/>
        <v>0</v>
      </c>
      <c r="BC164" s="99">
        <f t="shared" si="179"/>
        <v>0</v>
      </c>
      <c r="BD164" s="99">
        <f t="shared" si="179"/>
        <v>0</v>
      </c>
      <c r="BE164" s="99">
        <f t="shared" si="179"/>
        <v>0</v>
      </c>
      <c r="BF164" s="99">
        <f t="shared" si="179"/>
        <v>0</v>
      </c>
      <c r="BG164" s="99">
        <f t="shared" si="179"/>
        <v>0</v>
      </c>
      <c r="BH164" s="99">
        <f t="shared" si="179"/>
        <v>0</v>
      </c>
      <c r="BI164" s="99">
        <f t="shared" si="179"/>
        <v>0</v>
      </c>
      <c r="BJ164" s="99">
        <f t="shared" si="179"/>
        <v>0</v>
      </c>
      <c r="BX164" s="12">
        <f t="shared" si="161"/>
        <v>0</v>
      </c>
      <c r="BY164" s="99">
        <f>(BY$122-BX$122)+(BY$123-BX$123)</f>
        <v>0</v>
      </c>
      <c r="BZ164" s="99">
        <f t="shared" ref="BZ164:CI164" si="180">(BZ$122-BY$122)+(BZ$123-BY$123)</f>
        <v>0</v>
      </c>
      <c r="CA164" s="99">
        <f t="shared" si="180"/>
        <v>0</v>
      </c>
      <c r="CB164" s="99">
        <f t="shared" si="180"/>
        <v>0</v>
      </c>
      <c r="CC164" s="99">
        <f t="shared" si="180"/>
        <v>0</v>
      </c>
      <c r="CD164" s="99">
        <f t="shared" si="180"/>
        <v>0</v>
      </c>
      <c r="CE164" s="99">
        <f t="shared" si="180"/>
        <v>0</v>
      </c>
      <c r="CF164" s="99">
        <f t="shared" si="180"/>
        <v>0</v>
      </c>
      <c r="CG164" s="99">
        <f t="shared" si="180"/>
        <v>0</v>
      </c>
      <c r="CH164" s="99">
        <f t="shared" si="180"/>
        <v>0</v>
      </c>
      <c r="CI164" s="99">
        <f t="shared" si="180"/>
        <v>0</v>
      </c>
      <c r="CK164" s="312"/>
      <c r="CO164" s="100">
        <f t="shared" si="163"/>
        <v>0</v>
      </c>
      <c r="CP164" s="100">
        <f t="shared" si="164"/>
        <v>0</v>
      </c>
      <c r="CQ164" s="100">
        <f t="shared" si="165"/>
        <v>0</v>
      </c>
      <c r="CR164" s="311"/>
      <c r="CS164" s="215">
        <f t="shared" si="166"/>
        <v>0</v>
      </c>
      <c r="CT164" s="215">
        <f t="shared" si="167"/>
        <v>0</v>
      </c>
      <c r="CU164" s="215">
        <f t="shared" si="168"/>
        <v>0</v>
      </c>
      <c r="CV164" s="215">
        <f t="shared" si="169"/>
        <v>0</v>
      </c>
      <c r="CW164" s="215">
        <f t="shared" si="170"/>
        <v>0</v>
      </c>
      <c r="CX164" s="215">
        <f t="shared" si="171"/>
        <v>0</v>
      </c>
      <c r="CY164" s="215">
        <f t="shared" si="172"/>
        <v>0</v>
      </c>
      <c r="EX164" s="10" t="str">
        <f t="shared" si="155"/>
        <v>Increase/(decrease) in creditors due after one year</v>
      </c>
    </row>
    <row r="165" spans="1:154" ht="29" x14ac:dyDescent="0.35">
      <c r="A165" s="537" cm="1">
        <f t="array" aca="1" ref="A165" ca="1">HYPERLINK(CONCATENATE("#",CELL("address",IF(MAX($CK165:$CR165)=0,A165,INDEX($CK165:$CR165,MATCH(1,$CK165:$CR165,0))))),MAX($CK165:$CR165))</f>
        <v>0</v>
      </c>
      <c r="C165" s="213" t="s">
        <v>1557</v>
      </c>
      <c r="D165" s="574" t="s">
        <v>1558</v>
      </c>
      <c r="E165" s="558" t="str" cm="1">
        <f t="array" aca="1" ref="E165" ca="1">HYPERLINK(CONCATENATE("#",CELL("address",'BS Forecasts'!$D$200)),'BS Forecasts'!$D$199)</f>
        <v>Corporation Tax</v>
      </c>
      <c r="F165" s="120"/>
      <c r="G165" s="120"/>
      <c r="H165" s="120"/>
      <c r="V165" s="12">
        <f>('Opening Balances'!W55-'Opening Balances'!V55)*'Opening Balances'!$V$86</f>
        <v>0</v>
      </c>
      <c r="W165" s="99">
        <f>(W$108-V$108)</f>
        <v>0</v>
      </c>
      <c r="X165" s="99">
        <f>(X$108-W$108)</f>
        <v>0</v>
      </c>
      <c r="Y165" s="99">
        <f>(Y$108-X$108)</f>
        <v>0</v>
      </c>
      <c r="AA165" s="12">
        <f>(AA$108-V$108)</f>
        <v>0</v>
      </c>
      <c r="AB165" s="99">
        <f t="shared" ref="AB165:BJ165" si="181">(AB$108-AA$108)</f>
        <v>0</v>
      </c>
      <c r="AC165" s="99">
        <f t="shared" si="181"/>
        <v>0</v>
      </c>
      <c r="AD165" s="99">
        <f t="shared" si="181"/>
        <v>0</v>
      </c>
      <c r="AE165" s="99">
        <f t="shared" si="181"/>
        <v>0</v>
      </c>
      <c r="AF165" s="99">
        <f t="shared" si="181"/>
        <v>0</v>
      </c>
      <c r="AG165" s="99">
        <f t="shared" si="181"/>
        <v>0</v>
      </c>
      <c r="AH165" s="99">
        <f t="shared" si="181"/>
        <v>0</v>
      </c>
      <c r="AI165" s="99">
        <f t="shared" si="181"/>
        <v>0</v>
      </c>
      <c r="AJ165" s="99">
        <f t="shared" si="181"/>
        <v>0</v>
      </c>
      <c r="AK165" s="99">
        <f t="shared" si="181"/>
        <v>0</v>
      </c>
      <c r="AL165" s="99">
        <f t="shared" si="181"/>
        <v>0</v>
      </c>
      <c r="AM165" s="99">
        <f t="shared" si="181"/>
        <v>0</v>
      </c>
      <c r="AN165" s="99">
        <f t="shared" si="181"/>
        <v>0</v>
      </c>
      <c r="AO165" s="99">
        <f t="shared" si="181"/>
        <v>0</v>
      </c>
      <c r="AP165" s="99">
        <f t="shared" si="181"/>
        <v>0</v>
      </c>
      <c r="AQ165" s="99">
        <f t="shared" si="181"/>
        <v>0</v>
      </c>
      <c r="AR165" s="99">
        <f t="shared" si="181"/>
        <v>0</v>
      </c>
      <c r="AS165" s="99">
        <f t="shared" si="181"/>
        <v>0</v>
      </c>
      <c r="AT165" s="99">
        <f t="shared" si="181"/>
        <v>0</v>
      </c>
      <c r="AU165" s="99">
        <f t="shared" si="181"/>
        <v>0</v>
      </c>
      <c r="AV165" s="99">
        <f t="shared" si="181"/>
        <v>0</v>
      </c>
      <c r="AW165" s="99">
        <f t="shared" si="181"/>
        <v>0</v>
      </c>
      <c r="AX165" s="99">
        <f t="shared" si="181"/>
        <v>0</v>
      </c>
      <c r="AY165" s="99">
        <f t="shared" si="181"/>
        <v>0</v>
      </c>
      <c r="AZ165" s="99">
        <f t="shared" si="181"/>
        <v>0</v>
      </c>
      <c r="BA165" s="99">
        <f t="shared" si="181"/>
        <v>0</v>
      </c>
      <c r="BB165" s="99">
        <f t="shared" si="181"/>
        <v>0</v>
      </c>
      <c r="BC165" s="99">
        <f t="shared" si="181"/>
        <v>0</v>
      </c>
      <c r="BD165" s="99">
        <f t="shared" si="181"/>
        <v>0</v>
      </c>
      <c r="BE165" s="99">
        <f t="shared" si="181"/>
        <v>0</v>
      </c>
      <c r="BF165" s="99">
        <f t="shared" si="181"/>
        <v>0</v>
      </c>
      <c r="BG165" s="99">
        <f t="shared" si="181"/>
        <v>0</v>
      </c>
      <c r="BH165" s="99">
        <f t="shared" si="181"/>
        <v>0</v>
      </c>
      <c r="BI165" s="99">
        <f t="shared" si="181"/>
        <v>0</v>
      </c>
      <c r="BJ165" s="99">
        <f t="shared" si="181"/>
        <v>0</v>
      </c>
      <c r="BX165" s="12">
        <f t="shared" si="161"/>
        <v>0</v>
      </c>
      <c r="BY165" s="99">
        <f t="shared" ref="BY165:CI165" si="182">(BY$108-BX$108)</f>
        <v>0</v>
      </c>
      <c r="BZ165" s="99">
        <f t="shared" si="182"/>
        <v>0</v>
      </c>
      <c r="CA165" s="99">
        <f t="shared" si="182"/>
        <v>0</v>
      </c>
      <c r="CB165" s="99">
        <f t="shared" si="182"/>
        <v>0</v>
      </c>
      <c r="CC165" s="99">
        <f t="shared" si="182"/>
        <v>0</v>
      </c>
      <c r="CD165" s="99">
        <f t="shared" si="182"/>
        <v>0</v>
      </c>
      <c r="CE165" s="99">
        <f t="shared" si="182"/>
        <v>0</v>
      </c>
      <c r="CF165" s="99">
        <f t="shared" si="182"/>
        <v>0</v>
      </c>
      <c r="CG165" s="99">
        <f t="shared" si="182"/>
        <v>0</v>
      </c>
      <c r="CH165" s="99">
        <f t="shared" si="182"/>
        <v>0</v>
      </c>
      <c r="CI165" s="99">
        <f t="shared" si="182"/>
        <v>0</v>
      </c>
      <c r="CK165" s="312"/>
      <c r="CO165" s="100">
        <f t="shared" si="163"/>
        <v>0</v>
      </c>
      <c r="CP165" s="100">
        <f t="shared" si="164"/>
        <v>0</v>
      </c>
      <c r="CQ165" s="100">
        <f t="shared" si="165"/>
        <v>0</v>
      </c>
      <c r="CR165" s="311"/>
      <c r="CS165" s="215">
        <f t="shared" si="166"/>
        <v>0</v>
      </c>
      <c r="CT165" s="215">
        <f t="shared" si="167"/>
        <v>0</v>
      </c>
      <c r="CU165" s="215">
        <f t="shared" si="168"/>
        <v>0</v>
      </c>
      <c r="CV165" s="215">
        <f t="shared" si="169"/>
        <v>0</v>
      </c>
      <c r="CW165" s="215">
        <f t="shared" si="170"/>
        <v>0</v>
      </c>
      <c r="CX165" s="215">
        <f t="shared" si="171"/>
        <v>0</v>
      </c>
      <c r="CY165" s="215">
        <f t="shared" si="172"/>
        <v>0</v>
      </c>
      <c r="EX165" s="10" t="str">
        <f t="shared" si="155"/>
        <v xml:space="preserve">Increase/(decrease) in corporation tax </v>
      </c>
    </row>
    <row r="166" spans="1:154" ht="43.5" x14ac:dyDescent="0.35">
      <c r="A166" s="537" cm="1">
        <f t="array" aca="1" ref="A166" ca="1">HYPERLINK(CONCATENATE("#",CELL("address",IF(MAX($CK166:$CR166)=0,A166,INDEX($CK166:$CR166,MATCH(1,$CK166:$CR166,0))))),MAX($CK166:$CR166))</f>
        <v>0</v>
      </c>
      <c r="C166" s="213" t="s">
        <v>1559</v>
      </c>
      <c r="D166" s="57" t="s">
        <v>1560</v>
      </c>
      <c r="E166" s="558" t="str" cm="1">
        <f t="array" aca="1" ref="E166" ca="1">HYPERLINK(CONCATENATE("#",CELL("address",'BS Forecasts'!$D$203)),LEFT('BS Forecasts'!$D$202,23))</f>
        <v>Other Taxation and Soci</v>
      </c>
      <c r="F166" s="120"/>
      <c r="G166" s="120"/>
      <c r="H166" s="120"/>
      <c r="V166" s="12">
        <f>('Opening Balances'!W$56-'Opening Balances'!V$56)*'Opening Balances'!$V$86</f>
        <v>0</v>
      </c>
      <c r="W166" s="99">
        <f>(W$109-V$109)</f>
        <v>0</v>
      </c>
      <c r="X166" s="99">
        <f>(X$109-W$109)</f>
        <v>0</v>
      </c>
      <c r="Y166" s="99">
        <f>(Y$109-X$109)</f>
        <v>0</v>
      </c>
      <c r="AA166" s="12">
        <f>(AA$109-V$109)</f>
        <v>0</v>
      </c>
      <c r="AB166" s="99">
        <f t="shared" ref="AB166:BJ166" si="183">(AB$109-AA$109)</f>
        <v>0</v>
      </c>
      <c r="AC166" s="99">
        <f t="shared" si="183"/>
        <v>0</v>
      </c>
      <c r="AD166" s="99">
        <f t="shared" si="183"/>
        <v>0</v>
      </c>
      <c r="AE166" s="99">
        <f t="shared" si="183"/>
        <v>0</v>
      </c>
      <c r="AF166" s="99">
        <f t="shared" si="183"/>
        <v>0</v>
      </c>
      <c r="AG166" s="99">
        <f t="shared" si="183"/>
        <v>0</v>
      </c>
      <c r="AH166" s="99">
        <f t="shared" si="183"/>
        <v>0</v>
      </c>
      <c r="AI166" s="99">
        <f t="shared" si="183"/>
        <v>0</v>
      </c>
      <c r="AJ166" s="99">
        <f t="shared" si="183"/>
        <v>0</v>
      </c>
      <c r="AK166" s="99">
        <f t="shared" si="183"/>
        <v>0</v>
      </c>
      <c r="AL166" s="99">
        <f t="shared" si="183"/>
        <v>0</v>
      </c>
      <c r="AM166" s="99">
        <f t="shared" si="183"/>
        <v>0</v>
      </c>
      <c r="AN166" s="99">
        <f t="shared" si="183"/>
        <v>0</v>
      </c>
      <c r="AO166" s="99">
        <f t="shared" si="183"/>
        <v>0</v>
      </c>
      <c r="AP166" s="99">
        <f t="shared" si="183"/>
        <v>0</v>
      </c>
      <c r="AQ166" s="99">
        <f t="shared" si="183"/>
        <v>0</v>
      </c>
      <c r="AR166" s="99">
        <f t="shared" si="183"/>
        <v>0</v>
      </c>
      <c r="AS166" s="99">
        <f t="shared" si="183"/>
        <v>0</v>
      </c>
      <c r="AT166" s="99">
        <f t="shared" si="183"/>
        <v>0</v>
      </c>
      <c r="AU166" s="99">
        <f t="shared" si="183"/>
        <v>0</v>
      </c>
      <c r="AV166" s="99">
        <f t="shared" si="183"/>
        <v>0</v>
      </c>
      <c r="AW166" s="99">
        <f t="shared" si="183"/>
        <v>0</v>
      </c>
      <c r="AX166" s="99">
        <f t="shared" si="183"/>
        <v>0</v>
      </c>
      <c r="AY166" s="99">
        <f t="shared" si="183"/>
        <v>0</v>
      </c>
      <c r="AZ166" s="99">
        <f t="shared" si="183"/>
        <v>0</v>
      </c>
      <c r="BA166" s="99">
        <f t="shared" si="183"/>
        <v>0</v>
      </c>
      <c r="BB166" s="99">
        <f t="shared" si="183"/>
        <v>0</v>
      </c>
      <c r="BC166" s="99">
        <f t="shared" si="183"/>
        <v>0</v>
      </c>
      <c r="BD166" s="99">
        <f t="shared" si="183"/>
        <v>0</v>
      </c>
      <c r="BE166" s="99">
        <f t="shared" si="183"/>
        <v>0</v>
      </c>
      <c r="BF166" s="99">
        <f t="shared" si="183"/>
        <v>0</v>
      </c>
      <c r="BG166" s="99">
        <f t="shared" si="183"/>
        <v>0</v>
      </c>
      <c r="BH166" s="99">
        <f t="shared" si="183"/>
        <v>0</v>
      </c>
      <c r="BI166" s="99">
        <f t="shared" si="183"/>
        <v>0</v>
      </c>
      <c r="BJ166" s="99">
        <f t="shared" si="183"/>
        <v>0</v>
      </c>
      <c r="BX166" s="12">
        <f t="shared" si="161"/>
        <v>0</v>
      </c>
      <c r="BY166" s="99">
        <f t="shared" ref="BY166:CI166" si="184">(BY$109-BX$109)</f>
        <v>0</v>
      </c>
      <c r="BZ166" s="99">
        <f t="shared" si="184"/>
        <v>0</v>
      </c>
      <c r="CA166" s="99">
        <f t="shared" si="184"/>
        <v>0</v>
      </c>
      <c r="CB166" s="99">
        <f t="shared" si="184"/>
        <v>0</v>
      </c>
      <c r="CC166" s="99">
        <f t="shared" si="184"/>
        <v>0</v>
      </c>
      <c r="CD166" s="99">
        <f t="shared" si="184"/>
        <v>0</v>
      </c>
      <c r="CE166" s="99">
        <f t="shared" si="184"/>
        <v>0</v>
      </c>
      <c r="CF166" s="99">
        <f t="shared" si="184"/>
        <v>0</v>
      </c>
      <c r="CG166" s="99">
        <f t="shared" si="184"/>
        <v>0</v>
      </c>
      <c r="CH166" s="99">
        <f t="shared" si="184"/>
        <v>0</v>
      </c>
      <c r="CI166" s="99">
        <f t="shared" si="184"/>
        <v>0</v>
      </c>
      <c r="CK166" s="312"/>
      <c r="CO166" s="100">
        <f t="shared" si="163"/>
        <v>0</v>
      </c>
      <c r="CP166" s="100">
        <f t="shared" si="164"/>
        <v>0</v>
      </c>
      <c r="CQ166" s="100">
        <f t="shared" si="165"/>
        <v>0</v>
      </c>
      <c r="CR166" s="311"/>
      <c r="CS166" s="215">
        <f t="shared" si="166"/>
        <v>0</v>
      </c>
      <c r="CT166" s="215">
        <f t="shared" si="167"/>
        <v>0</v>
      </c>
      <c r="CU166" s="215">
        <f t="shared" si="168"/>
        <v>0</v>
      </c>
      <c r="CV166" s="215">
        <f t="shared" si="169"/>
        <v>0</v>
      </c>
      <c r="CW166" s="215">
        <f t="shared" si="170"/>
        <v>0</v>
      </c>
      <c r="CX166" s="215">
        <f t="shared" si="171"/>
        <v>0</v>
      </c>
      <c r="CY166" s="215">
        <f t="shared" si="172"/>
        <v>0</v>
      </c>
      <c r="EX166" s="10" t="str">
        <f t="shared" si="155"/>
        <v>Movement in Other Taxation and Social Security</v>
      </c>
    </row>
    <row r="167" spans="1:154" ht="29.65" customHeight="1" x14ac:dyDescent="0.35">
      <c r="A167" s="537" cm="1">
        <f t="array" aca="1" ref="A167" ca="1">HYPERLINK(CONCATENATE("#",CELL("address",IF(MAX($CK167:$CR167)=0,A167,INDEX($CK167:$CR167,MATCH(1,$CK167:$CR167,0))))),MAX($CK167:$CR167))</f>
        <v>0</v>
      </c>
      <c r="C167" s="213" t="s">
        <v>1561</v>
      </c>
      <c r="D167" s="120" t="s">
        <v>1562</v>
      </c>
      <c r="E167" s="558" t="str" cm="1">
        <f t="array" aca="1" ref="E167" ca="1">HYPERLINK(CONCATENATE("#",CELL("address",'BS Forecasts'!$D$73)),'BS Forecasts'!$D$72)</f>
        <v>Prepayments</v>
      </c>
      <c r="F167" s="120"/>
      <c r="G167" s="120"/>
      <c r="H167" s="120"/>
      <c r="V167" s="12">
        <f>0-('Opening Balances'!W26-'Opening Balances'!V26)*'Opening Balances'!$V$86</f>
        <v>0</v>
      </c>
      <c r="W167" s="99">
        <f t="shared" ref="W167:Y168" si="185">0-(W82-V82)</f>
        <v>0</v>
      </c>
      <c r="X167" s="99">
        <f t="shared" si="185"/>
        <v>0</v>
      </c>
      <c r="Y167" s="99">
        <f t="shared" si="185"/>
        <v>0</v>
      </c>
      <c r="AA167" s="12">
        <f>0-(AA82-V82)</f>
        <v>0</v>
      </c>
      <c r="AB167" s="99">
        <f t="shared" ref="AB167:BJ167" si="186">0-(AB82-AA82)</f>
        <v>0</v>
      </c>
      <c r="AC167" s="99">
        <f t="shared" si="186"/>
        <v>0</v>
      </c>
      <c r="AD167" s="99">
        <f t="shared" si="186"/>
        <v>0</v>
      </c>
      <c r="AE167" s="99">
        <f t="shared" si="186"/>
        <v>0</v>
      </c>
      <c r="AF167" s="99">
        <f t="shared" si="186"/>
        <v>0</v>
      </c>
      <c r="AG167" s="99">
        <f t="shared" si="186"/>
        <v>0</v>
      </c>
      <c r="AH167" s="99">
        <f t="shared" si="186"/>
        <v>0</v>
      </c>
      <c r="AI167" s="99">
        <f t="shared" si="186"/>
        <v>0</v>
      </c>
      <c r="AJ167" s="99">
        <f t="shared" si="186"/>
        <v>0</v>
      </c>
      <c r="AK167" s="99">
        <f t="shared" si="186"/>
        <v>0</v>
      </c>
      <c r="AL167" s="99">
        <f t="shared" si="186"/>
        <v>0</v>
      </c>
      <c r="AM167" s="99">
        <f t="shared" si="186"/>
        <v>0</v>
      </c>
      <c r="AN167" s="99">
        <f t="shared" si="186"/>
        <v>0</v>
      </c>
      <c r="AO167" s="99">
        <f t="shared" si="186"/>
        <v>0</v>
      </c>
      <c r="AP167" s="99">
        <f t="shared" si="186"/>
        <v>0</v>
      </c>
      <c r="AQ167" s="99">
        <f t="shared" si="186"/>
        <v>0</v>
      </c>
      <c r="AR167" s="99">
        <f t="shared" si="186"/>
        <v>0</v>
      </c>
      <c r="AS167" s="99">
        <f t="shared" si="186"/>
        <v>0</v>
      </c>
      <c r="AT167" s="99">
        <f t="shared" si="186"/>
        <v>0</v>
      </c>
      <c r="AU167" s="99">
        <f t="shared" si="186"/>
        <v>0</v>
      </c>
      <c r="AV167" s="99">
        <f t="shared" si="186"/>
        <v>0</v>
      </c>
      <c r="AW167" s="99">
        <f t="shared" si="186"/>
        <v>0</v>
      </c>
      <c r="AX167" s="99">
        <f t="shared" si="186"/>
        <v>0</v>
      </c>
      <c r="AY167" s="99">
        <f t="shared" si="186"/>
        <v>0</v>
      </c>
      <c r="AZ167" s="99">
        <f t="shared" si="186"/>
        <v>0</v>
      </c>
      <c r="BA167" s="99">
        <f t="shared" si="186"/>
        <v>0</v>
      </c>
      <c r="BB167" s="99">
        <f t="shared" si="186"/>
        <v>0</v>
      </c>
      <c r="BC167" s="99">
        <f t="shared" si="186"/>
        <v>0</v>
      </c>
      <c r="BD167" s="99">
        <f t="shared" si="186"/>
        <v>0</v>
      </c>
      <c r="BE167" s="99">
        <f t="shared" si="186"/>
        <v>0</v>
      </c>
      <c r="BF167" s="99">
        <f t="shared" si="186"/>
        <v>0</v>
      </c>
      <c r="BG167" s="99">
        <f t="shared" si="186"/>
        <v>0</v>
      </c>
      <c r="BH167" s="99">
        <f t="shared" si="186"/>
        <v>0</v>
      </c>
      <c r="BI167" s="99">
        <f t="shared" si="186"/>
        <v>0</v>
      </c>
      <c r="BJ167" s="99">
        <f t="shared" si="186"/>
        <v>0</v>
      </c>
      <c r="BX167" s="12">
        <f t="shared" si="161"/>
        <v>0</v>
      </c>
      <c r="BY167" s="99">
        <f t="shared" ref="BY167:CI167" si="187">0-(BY82-BX82)</f>
        <v>0</v>
      </c>
      <c r="BZ167" s="99">
        <f t="shared" si="187"/>
        <v>0</v>
      </c>
      <c r="CA167" s="99">
        <f t="shared" si="187"/>
        <v>0</v>
      </c>
      <c r="CB167" s="99">
        <f t="shared" si="187"/>
        <v>0</v>
      </c>
      <c r="CC167" s="99">
        <f t="shared" si="187"/>
        <v>0</v>
      </c>
      <c r="CD167" s="99">
        <f t="shared" si="187"/>
        <v>0</v>
      </c>
      <c r="CE167" s="99">
        <f t="shared" si="187"/>
        <v>0</v>
      </c>
      <c r="CF167" s="99">
        <f t="shared" si="187"/>
        <v>0</v>
      </c>
      <c r="CG167" s="99">
        <f t="shared" si="187"/>
        <v>0</v>
      </c>
      <c r="CH167" s="99">
        <f t="shared" si="187"/>
        <v>0</v>
      </c>
      <c r="CI167" s="99">
        <f t="shared" si="187"/>
        <v>0</v>
      </c>
      <c r="CK167" s="312"/>
      <c r="CO167" s="100">
        <f t="shared" si="163"/>
        <v>0</v>
      </c>
      <c r="CP167" s="100">
        <f t="shared" si="164"/>
        <v>0</v>
      </c>
      <c r="CQ167" s="100">
        <f t="shared" si="165"/>
        <v>0</v>
      </c>
      <c r="CR167" s="311"/>
      <c r="CS167" s="215">
        <f t="shared" si="166"/>
        <v>0</v>
      </c>
      <c r="CT167" s="215">
        <f t="shared" si="167"/>
        <v>0</v>
      </c>
      <c r="CU167" s="215">
        <f t="shared" si="168"/>
        <v>0</v>
      </c>
      <c r="CV167" s="215">
        <f t="shared" si="169"/>
        <v>0</v>
      </c>
      <c r="CW167" s="215">
        <f t="shared" si="170"/>
        <v>0</v>
      </c>
      <c r="CX167" s="215">
        <f t="shared" si="171"/>
        <v>0</v>
      </c>
      <c r="CY167" s="215">
        <f t="shared" si="172"/>
        <v>0</v>
      </c>
      <c r="EX167" s="10" t="str">
        <f t="shared" si="155"/>
        <v>(Increase)/decrease in prepayments</v>
      </c>
    </row>
    <row r="168" spans="1:154" ht="29" x14ac:dyDescent="0.35">
      <c r="A168" s="537" cm="1">
        <f t="array" aca="1" ref="A168" ca="1">HYPERLINK(CONCATENATE("#",CELL("address",IF(MAX($CK168:$CR168)=0,A168,INDEX($CK168:$CR168,MATCH(1,$CK168:$CR168,0))))),MAX($CK168:$CR168))</f>
        <v>0</v>
      </c>
      <c r="C168" s="213" t="s">
        <v>1563</v>
      </c>
      <c r="D168" s="120" t="s">
        <v>1564</v>
      </c>
      <c r="E168" s="558" t="str" cm="1">
        <f t="array" aca="1" ref="E168" ca="1">HYPERLINK(CONCATENATE("#",CELL("address",'BS Forecasts'!$D$76)),'BS Forecasts'!$D$75)</f>
        <v>Accrued Income</v>
      </c>
      <c r="F168" s="120"/>
      <c r="G168" s="120"/>
      <c r="H168" s="120"/>
      <c r="V168" s="12">
        <f>0-('Opening Balances'!W27-'Opening Balances'!V27)*'Opening Balances'!$V$86</f>
        <v>0</v>
      </c>
      <c r="W168" s="99">
        <f t="shared" si="185"/>
        <v>0</v>
      </c>
      <c r="X168" s="99">
        <f t="shared" si="185"/>
        <v>0</v>
      </c>
      <c r="Y168" s="99">
        <f t="shared" si="185"/>
        <v>0</v>
      </c>
      <c r="AA168" s="12">
        <f>0-(AA83-V83)</f>
        <v>0</v>
      </c>
      <c r="AB168" s="99">
        <f t="shared" ref="AB168:BJ168" si="188">0-(AB83-AA83)</f>
        <v>0</v>
      </c>
      <c r="AC168" s="99">
        <f t="shared" si="188"/>
        <v>0</v>
      </c>
      <c r="AD168" s="99">
        <f t="shared" si="188"/>
        <v>0</v>
      </c>
      <c r="AE168" s="99">
        <f t="shared" si="188"/>
        <v>0</v>
      </c>
      <c r="AF168" s="99">
        <f t="shared" si="188"/>
        <v>0</v>
      </c>
      <c r="AG168" s="99">
        <f t="shared" si="188"/>
        <v>0</v>
      </c>
      <c r="AH168" s="99">
        <f t="shared" si="188"/>
        <v>0</v>
      </c>
      <c r="AI168" s="99">
        <f t="shared" si="188"/>
        <v>0</v>
      </c>
      <c r="AJ168" s="99">
        <f t="shared" si="188"/>
        <v>0</v>
      </c>
      <c r="AK168" s="99">
        <f t="shared" si="188"/>
        <v>0</v>
      </c>
      <c r="AL168" s="99">
        <f t="shared" si="188"/>
        <v>0</v>
      </c>
      <c r="AM168" s="99">
        <f t="shared" si="188"/>
        <v>0</v>
      </c>
      <c r="AN168" s="99">
        <f t="shared" si="188"/>
        <v>0</v>
      </c>
      <c r="AO168" s="99">
        <f t="shared" si="188"/>
        <v>0</v>
      </c>
      <c r="AP168" s="99">
        <f t="shared" si="188"/>
        <v>0</v>
      </c>
      <c r="AQ168" s="99">
        <f t="shared" si="188"/>
        <v>0</v>
      </c>
      <c r="AR168" s="99">
        <f t="shared" si="188"/>
        <v>0</v>
      </c>
      <c r="AS168" s="99">
        <f t="shared" si="188"/>
        <v>0</v>
      </c>
      <c r="AT168" s="99">
        <f t="shared" si="188"/>
        <v>0</v>
      </c>
      <c r="AU168" s="99">
        <f t="shared" si="188"/>
        <v>0</v>
      </c>
      <c r="AV168" s="99">
        <f t="shared" si="188"/>
        <v>0</v>
      </c>
      <c r="AW168" s="99">
        <f t="shared" si="188"/>
        <v>0</v>
      </c>
      <c r="AX168" s="99">
        <f t="shared" si="188"/>
        <v>0</v>
      </c>
      <c r="AY168" s="99">
        <f t="shared" si="188"/>
        <v>0</v>
      </c>
      <c r="AZ168" s="99">
        <f t="shared" si="188"/>
        <v>0</v>
      </c>
      <c r="BA168" s="99">
        <f t="shared" si="188"/>
        <v>0</v>
      </c>
      <c r="BB168" s="99">
        <f t="shared" si="188"/>
        <v>0</v>
      </c>
      <c r="BC168" s="99">
        <f t="shared" si="188"/>
        <v>0</v>
      </c>
      <c r="BD168" s="99">
        <f t="shared" si="188"/>
        <v>0</v>
      </c>
      <c r="BE168" s="99">
        <f t="shared" si="188"/>
        <v>0</v>
      </c>
      <c r="BF168" s="99">
        <f t="shared" si="188"/>
        <v>0</v>
      </c>
      <c r="BG168" s="99">
        <f t="shared" si="188"/>
        <v>0</v>
      </c>
      <c r="BH168" s="99">
        <f t="shared" si="188"/>
        <v>0</v>
      </c>
      <c r="BI168" s="99">
        <f t="shared" si="188"/>
        <v>0</v>
      </c>
      <c r="BJ168" s="99">
        <f t="shared" si="188"/>
        <v>0</v>
      </c>
      <c r="BX168" s="12">
        <f t="shared" si="161"/>
        <v>0</v>
      </c>
      <c r="BY168" s="99">
        <f t="shared" ref="BY168:CI168" si="189">0-(BY83-BX83)</f>
        <v>0</v>
      </c>
      <c r="BZ168" s="99">
        <f t="shared" si="189"/>
        <v>0</v>
      </c>
      <c r="CA168" s="99">
        <f t="shared" si="189"/>
        <v>0</v>
      </c>
      <c r="CB168" s="99">
        <f t="shared" si="189"/>
        <v>0</v>
      </c>
      <c r="CC168" s="99">
        <f t="shared" si="189"/>
        <v>0</v>
      </c>
      <c r="CD168" s="99">
        <f t="shared" si="189"/>
        <v>0</v>
      </c>
      <c r="CE168" s="99">
        <f t="shared" si="189"/>
        <v>0</v>
      </c>
      <c r="CF168" s="99">
        <f t="shared" si="189"/>
        <v>0</v>
      </c>
      <c r="CG168" s="99">
        <f t="shared" si="189"/>
        <v>0</v>
      </c>
      <c r="CH168" s="99">
        <f t="shared" si="189"/>
        <v>0</v>
      </c>
      <c r="CI168" s="99">
        <f t="shared" si="189"/>
        <v>0</v>
      </c>
      <c r="CK168" s="312"/>
      <c r="CO168" s="100">
        <f t="shared" si="163"/>
        <v>0</v>
      </c>
      <c r="CP168" s="100">
        <f t="shared" si="164"/>
        <v>0</v>
      </c>
      <c r="CQ168" s="100">
        <f t="shared" si="165"/>
        <v>0</v>
      </c>
      <c r="CR168" s="311"/>
      <c r="CS168" s="215">
        <f t="shared" si="166"/>
        <v>0</v>
      </c>
      <c r="CT168" s="215">
        <f t="shared" si="167"/>
        <v>0</v>
      </c>
      <c r="CU168" s="215">
        <f t="shared" si="168"/>
        <v>0</v>
      </c>
      <c r="CV168" s="215">
        <f t="shared" si="169"/>
        <v>0</v>
      </c>
      <c r="CW168" s="215">
        <f t="shared" si="170"/>
        <v>0</v>
      </c>
      <c r="CX168" s="215">
        <f t="shared" si="171"/>
        <v>0</v>
      </c>
      <c r="CY168" s="215">
        <f t="shared" si="172"/>
        <v>0</v>
      </c>
      <c r="EX168" s="10" t="str">
        <f t="shared" si="155"/>
        <v>(Increase)/decrease in accrued income</v>
      </c>
    </row>
    <row r="169" spans="1:154" ht="43.5" x14ac:dyDescent="0.35">
      <c r="A169" s="537" cm="1">
        <f t="array" aca="1" ref="A169" ca="1">HYPERLINK(CONCATENATE("#",CELL("address",IF(MAX($CK169:$CR169)=0,A169,INDEX($CK169:$CR169,MATCH(1,$CK169:$CR169,0))))),MAX($CK169:$CR169))</f>
        <v>0</v>
      </c>
      <c r="C169" s="213" t="s">
        <v>1565</v>
      </c>
      <c r="D169" s="120" t="s">
        <v>1566</v>
      </c>
      <c r="E169" s="558" t="str" cm="1">
        <f t="array" aca="1" ref="E169" ca="1">HYPERLINK(CONCATENATE("#",CELL("address",'BS Forecasts'!$D$194)),'BS Forecasts'!$D$193)</f>
        <v>Holiday and Sabbatical Pay Accrual</v>
      </c>
      <c r="F169" s="120"/>
      <c r="G169" s="120"/>
      <c r="H169" s="120"/>
      <c r="V169" s="12">
        <f>('Opening Balances'!W53-'Opening Balances'!V53)*'Opening Balances'!$V$86</f>
        <v>0</v>
      </c>
      <c r="W169" s="99">
        <f>(W$106-V$106)</f>
        <v>0</v>
      </c>
      <c r="X169" s="99">
        <f>(X$106-W$106)</f>
        <v>0</v>
      </c>
      <c r="Y169" s="99">
        <f>(Y$106-X$106)</f>
        <v>0</v>
      </c>
      <c r="AA169" s="12">
        <f>(AA$106-V$106)</f>
        <v>0</v>
      </c>
      <c r="AB169" s="99">
        <f t="shared" ref="AB169:BJ169" si="190">(AB$106-AA$106)</f>
        <v>0</v>
      </c>
      <c r="AC169" s="99">
        <f t="shared" si="190"/>
        <v>0</v>
      </c>
      <c r="AD169" s="99">
        <f t="shared" si="190"/>
        <v>0</v>
      </c>
      <c r="AE169" s="99">
        <f t="shared" si="190"/>
        <v>0</v>
      </c>
      <c r="AF169" s="99">
        <f t="shared" si="190"/>
        <v>0</v>
      </c>
      <c r="AG169" s="99">
        <f t="shared" si="190"/>
        <v>0</v>
      </c>
      <c r="AH169" s="99">
        <f t="shared" si="190"/>
        <v>0</v>
      </c>
      <c r="AI169" s="99">
        <f t="shared" si="190"/>
        <v>0</v>
      </c>
      <c r="AJ169" s="99">
        <f t="shared" si="190"/>
        <v>0</v>
      </c>
      <c r="AK169" s="99">
        <f t="shared" si="190"/>
        <v>0</v>
      </c>
      <c r="AL169" s="99">
        <f t="shared" si="190"/>
        <v>0</v>
      </c>
      <c r="AM169" s="99">
        <f t="shared" si="190"/>
        <v>0</v>
      </c>
      <c r="AN169" s="99">
        <f t="shared" si="190"/>
        <v>0</v>
      </c>
      <c r="AO169" s="99">
        <f t="shared" si="190"/>
        <v>0</v>
      </c>
      <c r="AP169" s="99">
        <f t="shared" si="190"/>
        <v>0</v>
      </c>
      <c r="AQ169" s="99">
        <f t="shared" si="190"/>
        <v>0</v>
      </c>
      <c r="AR169" s="99">
        <f t="shared" si="190"/>
        <v>0</v>
      </c>
      <c r="AS169" s="99">
        <f t="shared" si="190"/>
        <v>0</v>
      </c>
      <c r="AT169" s="99">
        <f t="shared" si="190"/>
        <v>0</v>
      </c>
      <c r="AU169" s="99">
        <f t="shared" si="190"/>
        <v>0</v>
      </c>
      <c r="AV169" s="99">
        <f t="shared" si="190"/>
        <v>0</v>
      </c>
      <c r="AW169" s="99">
        <f t="shared" si="190"/>
        <v>0</v>
      </c>
      <c r="AX169" s="99">
        <f t="shared" si="190"/>
        <v>0</v>
      </c>
      <c r="AY169" s="99">
        <f t="shared" si="190"/>
        <v>0</v>
      </c>
      <c r="AZ169" s="99">
        <f t="shared" si="190"/>
        <v>0</v>
      </c>
      <c r="BA169" s="99">
        <f t="shared" si="190"/>
        <v>0</v>
      </c>
      <c r="BB169" s="99">
        <f t="shared" si="190"/>
        <v>0</v>
      </c>
      <c r="BC169" s="99">
        <f t="shared" si="190"/>
        <v>0</v>
      </c>
      <c r="BD169" s="99">
        <f t="shared" si="190"/>
        <v>0</v>
      </c>
      <c r="BE169" s="99">
        <f t="shared" si="190"/>
        <v>0</v>
      </c>
      <c r="BF169" s="99">
        <f t="shared" si="190"/>
        <v>0</v>
      </c>
      <c r="BG169" s="99">
        <f t="shared" si="190"/>
        <v>0</v>
      </c>
      <c r="BH169" s="99">
        <f t="shared" si="190"/>
        <v>0</v>
      </c>
      <c r="BI169" s="99">
        <f t="shared" si="190"/>
        <v>0</v>
      </c>
      <c r="BJ169" s="99">
        <f t="shared" si="190"/>
        <v>0</v>
      </c>
      <c r="BX169" s="12">
        <f t="shared" si="161"/>
        <v>0</v>
      </c>
      <c r="BY169" s="99">
        <f t="shared" ref="BY169:CI169" si="191">(BY$106-BX$106)</f>
        <v>0</v>
      </c>
      <c r="BZ169" s="99">
        <f t="shared" si="191"/>
        <v>0</v>
      </c>
      <c r="CA169" s="99">
        <f t="shared" si="191"/>
        <v>0</v>
      </c>
      <c r="CB169" s="99">
        <f t="shared" si="191"/>
        <v>0</v>
      </c>
      <c r="CC169" s="99">
        <f t="shared" si="191"/>
        <v>0</v>
      </c>
      <c r="CD169" s="99">
        <f t="shared" si="191"/>
        <v>0</v>
      </c>
      <c r="CE169" s="99">
        <f t="shared" si="191"/>
        <v>0</v>
      </c>
      <c r="CF169" s="99">
        <f t="shared" si="191"/>
        <v>0</v>
      </c>
      <c r="CG169" s="99">
        <f t="shared" si="191"/>
        <v>0</v>
      </c>
      <c r="CH169" s="99">
        <f t="shared" si="191"/>
        <v>0</v>
      </c>
      <c r="CI169" s="99">
        <f t="shared" si="191"/>
        <v>0</v>
      </c>
      <c r="CK169" s="312"/>
      <c r="CO169" s="100">
        <f t="shared" si="163"/>
        <v>0</v>
      </c>
      <c r="CP169" s="100">
        <f t="shared" si="164"/>
        <v>0</v>
      </c>
      <c r="CQ169" s="100">
        <f t="shared" si="165"/>
        <v>0</v>
      </c>
      <c r="CR169" s="311"/>
      <c r="CS169" s="215">
        <f t="shared" si="166"/>
        <v>0</v>
      </c>
      <c r="CT169" s="215">
        <f t="shared" si="167"/>
        <v>0</v>
      </c>
      <c r="CU169" s="215">
        <f t="shared" si="168"/>
        <v>0</v>
      </c>
      <c r="CV169" s="215">
        <f t="shared" si="169"/>
        <v>0</v>
      </c>
      <c r="CW169" s="215">
        <f t="shared" si="170"/>
        <v>0</v>
      </c>
      <c r="CX169" s="215">
        <f t="shared" si="171"/>
        <v>0</v>
      </c>
      <c r="CY169" s="215">
        <f t="shared" si="172"/>
        <v>0</v>
      </c>
      <c r="EX169" s="10" t="str">
        <f t="shared" si="155"/>
        <v>Increase/(decrease) in holiday and sabbatical pay accrual</v>
      </c>
    </row>
    <row r="170" spans="1:154" x14ac:dyDescent="0.35">
      <c r="A170" s="537" cm="1">
        <f t="array" aca="1" ref="A170" ca="1">HYPERLINK(CONCATENATE("#",CELL("address",IF(MAX($CK170:$CR170)=0,A170,INDEX($CK170:$CR170,MATCH(1,$CK170:$CR170,0))))),MAX($CK170:$CR170))</f>
        <v>0</v>
      </c>
      <c r="C170" s="213" t="s">
        <v>1567</v>
      </c>
      <c r="D170" s="57" t="s">
        <v>1568</v>
      </c>
      <c r="E170" s="558" t="str" cm="1">
        <f t="array" aca="1" ref="E170" ca="1">HYPERLINK(CONCATENATE("#",CELL("address",'BS Forecasts'!$D$191)),'BS Forecasts'!$D$190)</f>
        <v>Accruals</v>
      </c>
      <c r="F170" s="120"/>
      <c r="G170" s="120"/>
      <c r="H170" s="120"/>
      <c r="V170" s="12">
        <f>('Opening Balances'!W52-'Opening Balances'!V52)*'Opening Balances'!$V$86</f>
        <v>0</v>
      </c>
      <c r="W170" s="99">
        <f>(W$105-V$105)</f>
        <v>0</v>
      </c>
      <c r="X170" s="99">
        <f>(X$105-W$105)</f>
        <v>0</v>
      </c>
      <c r="Y170" s="99">
        <f>(Y$105-X$105)</f>
        <v>0</v>
      </c>
      <c r="AA170" s="12">
        <f>(AA$105-V$105)</f>
        <v>0</v>
      </c>
      <c r="AB170" s="99">
        <f t="shared" ref="AB170:BJ170" si="192">(AB$105-AA$105)</f>
        <v>0</v>
      </c>
      <c r="AC170" s="99">
        <f t="shared" si="192"/>
        <v>0</v>
      </c>
      <c r="AD170" s="99">
        <f t="shared" si="192"/>
        <v>0</v>
      </c>
      <c r="AE170" s="99">
        <f t="shared" si="192"/>
        <v>0</v>
      </c>
      <c r="AF170" s="99">
        <f t="shared" si="192"/>
        <v>0</v>
      </c>
      <c r="AG170" s="99">
        <f t="shared" si="192"/>
        <v>0</v>
      </c>
      <c r="AH170" s="99">
        <f t="shared" si="192"/>
        <v>0</v>
      </c>
      <c r="AI170" s="99">
        <f t="shared" si="192"/>
        <v>0</v>
      </c>
      <c r="AJ170" s="99">
        <f t="shared" si="192"/>
        <v>0</v>
      </c>
      <c r="AK170" s="99">
        <f t="shared" si="192"/>
        <v>0</v>
      </c>
      <c r="AL170" s="99">
        <f t="shared" si="192"/>
        <v>0</v>
      </c>
      <c r="AM170" s="99">
        <f t="shared" si="192"/>
        <v>0</v>
      </c>
      <c r="AN170" s="99">
        <f t="shared" si="192"/>
        <v>0</v>
      </c>
      <c r="AO170" s="99">
        <f t="shared" si="192"/>
        <v>0</v>
      </c>
      <c r="AP170" s="99">
        <f t="shared" si="192"/>
        <v>0</v>
      </c>
      <c r="AQ170" s="99">
        <f t="shared" si="192"/>
        <v>0</v>
      </c>
      <c r="AR170" s="99">
        <f t="shared" si="192"/>
        <v>0</v>
      </c>
      <c r="AS170" s="99">
        <f t="shared" si="192"/>
        <v>0</v>
      </c>
      <c r="AT170" s="99">
        <f t="shared" si="192"/>
        <v>0</v>
      </c>
      <c r="AU170" s="99">
        <f t="shared" si="192"/>
        <v>0</v>
      </c>
      <c r="AV170" s="99">
        <f t="shared" si="192"/>
        <v>0</v>
      </c>
      <c r="AW170" s="99">
        <f t="shared" si="192"/>
        <v>0</v>
      </c>
      <c r="AX170" s="99">
        <f t="shared" si="192"/>
        <v>0</v>
      </c>
      <c r="AY170" s="99">
        <f t="shared" si="192"/>
        <v>0</v>
      </c>
      <c r="AZ170" s="99">
        <f t="shared" si="192"/>
        <v>0</v>
      </c>
      <c r="BA170" s="99">
        <f t="shared" si="192"/>
        <v>0</v>
      </c>
      <c r="BB170" s="99">
        <f t="shared" si="192"/>
        <v>0</v>
      </c>
      <c r="BC170" s="99">
        <f t="shared" si="192"/>
        <v>0</v>
      </c>
      <c r="BD170" s="99">
        <f t="shared" si="192"/>
        <v>0</v>
      </c>
      <c r="BE170" s="99">
        <f t="shared" si="192"/>
        <v>0</v>
      </c>
      <c r="BF170" s="99">
        <f t="shared" si="192"/>
        <v>0</v>
      </c>
      <c r="BG170" s="99">
        <f t="shared" si="192"/>
        <v>0</v>
      </c>
      <c r="BH170" s="99">
        <f t="shared" si="192"/>
        <v>0</v>
      </c>
      <c r="BI170" s="99">
        <f t="shared" si="192"/>
        <v>0</v>
      </c>
      <c r="BJ170" s="99">
        <f t="shared" si="192"/>
        <v>0</v>
      </c>
      <c r="BX170" s="12">
        <f t="shared" si="161"/>
        <v>0</v>
      </c>
      <c r="BY170" s="99">
        <f t="shared" ref="BY170:CI170" si="193">(BY$105-BX$105)</f>
        <v>0</v>
      </c>
      <c r="BZ170" s="99">
        <f t="shared" si="193"/>
        <v>0</v>
      </c>
      <c r="CA170" s="99">
        <f t="shared" si="193"/>
        <v>0</v>
      </c>
      <c r="CB170" s="99">
        <f t="shared" si="193"/>
        <v>0</v>
      </c>
      <c r="CC170" s="99">
        <f t="shared" si="193"/>
        <v>0</v>
      </c>
      <c r="CD170" s="99">
        <f t="shared" si="193"/>
        <v>0</v>
      </c>
      <c r="CE170" s="99">
        <f t="shared" si="193"/>
        <v>0</v>
      </c>
      <c r="CF170" s="99">
        <f t="shared" si="193"/>
        <v>0</v>
      </c>
      <c r="CG170" s="99">
        <f t="shared" si="193"/>
        <v>0</v>
      </c>
      <c r="CH170" s="99">
        <f t="shared" si="193"/>
        <v>0</v>
      </c>
      <c r="CI170" s="99">
        <f t="shared" si="193"/>
        <v>0</v>
      </c>
      <c r="CK170" s="312"/>
      <c r="CO170" s="100">
        <f t="shared" si="163"/>
        <v>0</v>
      </c>
      <c r="CP170" s="100">
        <f t="shared" si="164"/>
        <v>0</v>
      </c>
      <c r="CQ170" s="100">
        <f t="shared" si="165"/>
        <v>0</v>
      </c>
      <c r="CR170" s="311"/>
      <c r="CS170" s="215">
        <f t="shared" si="166"/>
        <v>0</v>
      </c>
      <c r="CT170" s="215">
        <f t="shared" si="167"/>
        <v>0</v>
      </c>
      <c r="CU170" s="215">
        <f t="shared" si="168"/>
        <v>0</v>
      </c>
      <c r="CV170" s="215">
        <f t="shared" si="169"/>
        <v>0</v>
      </c>
      <c r="CW170" s="215">
        <f t="shared" si="170"/>
        <v>0</v>
      </c>
      <c r="CX170" s="215">
        <f t="shared" si="171"/>
        <v>0</v>
      </c>
      <c r="CY170" s="215">
        <f t="shared" si="172"/>
        <v>0</v>
      </c>
      <c r="EX170" s="10" t="str">
        <f t="shared" si="155"/>
        <v>Increase/(decrease) in Accruals</v>
      </c>
    </row>
    <row r="171" spans="1:154" ht="43.5" x14ac:dyDescent="0.35">
      <c r="A171" s="537" cm="1">
        <f t="array" aca="1" ref="A171" ca="1">HYPERLINK(CONCATENATE("#",CELL("address",IF(MAX($CK171:$CR171)=0,A171,INDEX($CK171:$CR171,MATCH(1,$CK171:$CR171,0))))),MAX($CK171:$CR171))</f>
        <v>0</v>
      </c>
      <c r="C171" s="213" t="s">
        <v>1569</v>
      </c>
      <c r="D171" s="57" t="s">
        <v>1570</v>
      </c>
      <c r="E171" s="558" t="str" cm="1">
        <f t="array" aca="1" ref="E171" ca="1">HYPERLINK(CONCATENATE("#",CELL("address",'BS Forecasts'!$D$197)),LEFT('BS Forecasts'!$D$196,23))</f>
        <v>Bursary Deferred Income</v>
      </c>
      <c r="F171" s="120"/>
      <c r="G171" s="120"/>
      <c r="H171" s="120"/>
      <c r="V171" s="12">
        <f>('Opening Balances'!W54-'Opening Balances'!V54)*'Opening Balances'!$V$86</f>
        <v>0</v>
      </c>
      <c r="W171" s="99">
        <f>(W$107-V$107)</f>
        <v>0</v>
      </c>
      <c r="X171" s="99">
        <f>(X$107-W$107)</f>
        <v>0</v>
      </c>
      <c r="Y171" s="99">
        <f>(Y$107-X$107)</f>
        <v>0</v>
      </c>
      <c r="AA171" s="12">
        <f>(AA$107-V$107)</f>
        <v>0</v>
      </c>
      <c r="AB171" s="99">
        <f t="shared" ref="AB171:BJ171" si="194">(AB$107-AA$107)</f>
        <v>0</v>
      </c>
      <c r="AC171" s="99">
        <f t="shared" si="194"/>
        <v>0</v>
      </c>
      <c r="AD171" s="99">
        <f t="shared" si="194"/>
        <v>0</v>
      </c>
      <c r="AE171" s="99">
        <f t="shared" si="194"/>
        <v>0</v>
      </c>
      <c r="AF171" s="99">
        <f t="shared" si="194"/>
        <v>0</v>
      </c>
      <c r="AG171" s="99">
        <f t="shared" si="194"/>
        <v>0</v>
      </c>
      <c r="AH171" s="99">
        <f t="shared" si="194"/>
        <v>0</v>
      </c>
      <c r="AI171" s="99">
        <f t="shared" si="194"/>
        <v>0</v>
      </c>
      <c r="AJ171" s="99">
        <f t="shared" si="194"/>
        <v>0</v>
      </c>
      <c r="AK171" s="99">
        <f t="shared" si="194"/>
        <v>0</v>
      </c>
      <c r="AL171" s="99">
        <f t="shared" si="194"/>
        <v>0</v>
      </c>
      <c r="AM171" s="99">
        <f t="shared" si="194"/>
        <v>0</v>
      </c>
      <c r="AN171" s="99">
        <f t="shared" si="194"/>
        <v>0</v>
      </c>
      <c r="AO171" s="99">
        <f t="shared" si="194"/>
        <v>0</v>
      </c>
      <c r="AP171" s="99">
        <f t="shared" si="194"/>
        <v>0</v>
      </c>
      <c r="AQ171" s="99">
        <f t="shared" si="194"/>
        <v>0</v>
      </c>
      <c r="AR171" s="99">
        <f t="shared" si="194"/>
        <v>0</v>
      </c>
      <c r="AS171" s="99">
        <f t="shared" si="194"/>
        <v>0</v>
      </c>
      <c r="AT171" s="99">
        <f t="shared" si="194"/>
        <v>0</v>
      </c>
      <c r="AU171" s="99">
        <f t="shared" si="194"/>
        <v>0</v>
      </c>
      <c r="AV171" s="99">
        <f t="shared" si="194"/>
        <v>0</v>
      </c>
      <c r="AW171" s="99">
        <f t="shared" si="194"/>
        <v>0</v>
      </c>
      <c r="AX171" s="99">
        <f t="shared" si="194"/>
        <v>0</v>
      </c>
      <c r="AY171" s="99">
        <f t="shared" si="194"/>
        <v>0</v>
      </c>
      <c r="AZ171" s="99">
        <f t="shared" si="194"/>
        <v>0</v>
      </c>
      <c r="BA171" s="99">
        <f t="shared" si="194"/>
        <v>0</v>
      </c>
      <c r="BB171" s="99">
        <f t="shared" si="194"/>
        <v>0</v>
      </c>
      <c r="BC171" s="99">
        <f t="shared" si="194"/>
        <v>0</v>
      </c>
      <c r="BD171" s="99">
        <f t="shared" si="194"/>
        <v>0</v>
      </c>
      <c r="BE171" s="99">
        <f t="shared" si="194"/>
        <v>0</v>
      </c>
      <c r="BF171" s="99">
        <f t="shared" si="194"/>
        <v>0</v>
      </c>
      <c r="BG171" s="99">
        <f t="shared" si="194"/>
        <v>0</v>
      </c>
      <c r="BH171" s="99">
        <f t="shared" si="194"/>
        <v>0</v>
      </c>
      <c r="BI171" s="99">
        <f t="shared" si="194"/>
        <v>0</v>
      </c>
      <c r="BJ171" s="99">
        <f t="shared" si="194"/>
        <v>0</v>
      </c>
      <c r="BX171" s="12">
        <f t="shared" si="161"/>
        <v>0</v>
      </c>
      <c r="BY171" s="99">
        <f t="shared" ref="BY171:CI171" si="195">(BY$107-BX$107)</f>
        <v>0</v>
      </c>
      <c r="BZ171" s="99">
        <f t="shared" si="195"/>
        <v>0</v>
      </c>
      <c r="CA171" s="99">
        <f t="shared" si="195"/>
        <v>0</v>
      </c>
      <c r="CB171" s="99">
        <f t="shared" si="195"/>
        <v>0</v>
      </c>
      <c r="CC171" s="99">
        <f t="shared" si="195"/>
        <v>0</v>
      </c>
      <c r="CD171" s="99">
        <f t="shared" si="195"/>
        <v>0</v>
      </c>
      <c r="CE171" s="99">
        <f t="shared" si="195"/>
        <v>0</v>
      </c>
      <c r="CF171" s="99">
        <f t="shared" si="195"/>
        <v>0</v>
      </c>
      <c r="CG171" s="99">
        <f t="shared" si="195"/>
        <v>0</v>
      </c>
      <c r="CH171" s="99">
        <f t="shared" si="195"/>
        <v>0</v>
      </c>
      <c r="CI171" s="99">
        <f t="shared" si="195"/>
        <v>0</v>
      </c>
      <c r="CK171" s="312"/>
      <c r="CO171" s="100">
        <f t="shared" si="163"/>
        <v>0</v>
      </c>
      <c r="CP171" s="100">
        <f t="shared" si="164"/>
        <v>0</v>
      </c>
      <c r="CQ171" s="100">
        <f t="shared" si="165"/>
        <v>0</v>
      </c>
      <c r="CR171" s="311"/>
      <c r="CS171" s="215">
        <f t="shared" si="166"/>
        <v>0</v>
      </c>
      <c r="CT171" s="215">
        <f t="shared" si="167"/>
        <v>0</v>
      </c>
      <c r="CU171" s="215">
        <f t="shared" si="168"/>
        <v>0</v>
      </c>
      <c r="CV171" s="215">
        <f t="shared" si="169"/>
        <v>0</v>
      </c>
      <c r="CW171" s="215">
        <f t="shared" si="170"/>
        <v>0</v>
      </c>
      <c r="CX171" s="215">
        <f t="shared" si="171"/>
        <v>0</v>
      </c>
      <c r="CY171" s="215">
        <f t="shared" si="172"/>
        <v>0</v>
      </c>
      <c r="EX171" s="10" t="str">
        <f t="shared" si="155"/>
        <v>Movement in bursary deferred income account</v>
      </c>
    </row>
    <row r="172" spans="1:154" ht="29" x14ac:dyDescent="0.35">
      <c r="A172" s="537" cm="1">
        <f t="array" aca="1" ref="A172" ca="1">HYPERLINK(CONCATENATE("#",CELL("address",IF(MAX($CK172:$CR172)=0,A172,INDEX($CK172:$CR172,MATCH(1,$CK172:$CR172,0))))),MAX($CK172:$CR172))</f>
        <v>0</v>
      </c>
      <c r="C172" s="213" t="s">
        <v>1571</v>
      </c>
      <c r="D172" s="57" t="s">
        <v>1572</v>
      </c>
      <c r="E172" s="558" t="str" cm="1">
        <f t="array" aca="1" ref="E172" ca="1">HYPERLINK(CONCATENATE("#",CELL("address",'BS Forecasts'!$D$182)),LEFT('BS Forecasts'!$D$181,23))</f>
        <v>Recovery of DfE/ESFA/DA</v>
      </c>
      <c r="F172" s="120"/>
      <c r="G172" s="120"/>
      <c r="H172" s="120"/>
      <c r="V172" s="12">
        <f>('Opening Balances'!W49-'Opening Balances'!V49)*'Opening Balances'!$V$86</f>
        <v>0</v>
      </c>
      <c r="W172" s="99">
        <f>(W$102-V$102)</f>
        <v>0</v>
      </c>
      <c r="X172" s="99">
        <f>(X$102-W$102)</f>
        <v>0</v>
      </c>
      <c r="Y172" s="99">
        <f>(Y$102-X$102)</f>
        <v>0</v>
      </c>
      <c r="AA172" s="12">
        <f>(AA$102-V$102)</f>
        <v>0</v>
      </c>
      <c r="AB172" s="99">
        <f t="shared" ref="AB172:BJ172" si="196">(AB$102-AA$102)</f>
        <v>0</v>
      </c>
      <c r="AC172" s="99">
        <f t="shared" si="196"/>
        <v>0</v>
      </c>
      <c r="AD172" s="99">
        <f t="shared" si="196"/>
        <v>0</v>
      </c>
      <c r="AE172" s="99">
        <f t="shared" si="196"/>
        <v>0</v>
      </c>
      <c r="AF172" s="99">
        <f t="shared" si="196"/>
        <v>0</v>
      </c>
      <c r="AG172" s="99">
        <f t="shared" si="196"/>
        <v>0</v>
      </c>
      <c r="AH172" s="99">
        <f t="shared" si="196"/>
        <v>0</v>
      </c>
      <c r="AI172" s="99">
        <f t="shared" si="196"/>
        <v>0</v>
      </c>
      <c r="AJ172" s="99">
        <f t="shared" si="196"/>
        <v>0</v>
      </c>
      <c r="AK172" s="99">
        <f t="shared" si="196"/>
        <v>0</v>
      </c>
      <c r="AL172" s="99">
        <f t="shared" si="196"/>
        <v>0</v>
      </c>
      <c r="AM172" s="99">
        <f t="shared" si="196"/>
        <v>0</v>
      </c>
      <c r="AN172" s="99">
        <f t="shared" si="196"/>
        <v>0</v>
      </c>
      <c r="AO172" s="99">
        <f t="shared" si="196"/>
        <v>0</v>
      </c>
      <c r="AP172" s="99">
        <f t="shared" si="196"/>
        <v>0</v>
      </c>
      <c r="AQ172" s="99">
        <f t="shared" si="196"/>
        <v>0</v>
      </c>
      <c r="AR172" s="99">
        <f t="shared" si="196"/>
        <v>0</v>
      </c>
      <c r="AS172" s="99">
        <f t="shared" si="196"/>
        <v>0</v>
      </c>
      <c r="AT172" s="99">
        <f t="shared" si="196"/>
        <v>0</v>
      </c>
      <c r="AU172" s="99">
        <f t="shared" si="196"/>
        <v>0</v>
      </c>
      <c r="AV172" s="99">
        <f t="shared" si="196"/>
        <v>0</v>
      </c>
      <c r="AW172" s="99">
        <f t="shared" si="196"/>
        <v>0</v>
      </c>
      <c r="AX172" s="99">
        <f t="shared" si="196"/>
        <v>0</v>
      </c>
      <c r="AY172" s="99">
        <f t="shared" si="196"/>
        <v>0</v>
      </c>
      <c r="AZ172" s="99">
        <f t="shared" si="196"/>
        <v>0</v>
      </c>
      <c r="BA172" s="99">
        <f t="shared" si="196"/>
        <v>0</v>
      </c>
      <c r="BB172" s="99">
        <f t="shared" si="196"/>
        <v>0</v>
      </c>
      <c r="BC172" s="99">
        <f t="shared" si="196"/>
        <v>0</v>
      </c>
      <c r="BD172" s="99">
        <f t="shared" si="196"/>
        <v>0</v>
      </c>
      <c r="BE172" s="99">
        <f t="shared" si="196"/>
        <v>0</v>
      </c>
      <c r="BF172" s="99">
        <f t="shared" si="196"/>
        <v>0</v>
      </c>
      <c r="BG172" s="99">
        <f t="shared" si="196"/>
        <v>0</v>
      </c>
      <c r="BH172" s="99">
        <f t="shared" si="196"/>
        <v>0</v>
      </c>
      <c r="BI172" s="99">
        <f t="shared" si="196"/>
        <v>0</v>
      </c>
      <c r="BJ172" s="99">
        <f t="shared" si="196"/>
        <v>0</v>
      </c>
      <c r="BX172" s="12">
        <f t="shared" si="161"/>
        <v>0</v>
      </c>
      <c r="BY172" s="99">
        <f t="shared" ref="BY172:CI172" si="197">(BY$102-BX$102)</f>
        <v>0</v>
      </c>
      <c r="BZ172" s="99">
        <f t="shared" si="197"/>
        <v>0</v>
      </c>
      <c r="CA172" s="99">
        <f t="shared" si="197"/>
        <v>0</v>
      </c>
      <c r="CB172" s="99">
        <f t="shared" si="197"/>
        <v>0</v>
      </c>
      <c r="CC172" s="99">
        <f t="shared" si="197"/>
        <v>0</v>
      </c>
      <c r="CD172" s="99">
        <f t="shared" si="197"/>
        <v>0</v>
      </c>
      <c r="CE172" s="99">
        <f t="shared" si="197"/>
        <v>0</v>
      </c>
      <c r="CF172" s="99">
        <f t="shared" si="197"/>
        <v>0</v>
      </c>
      <c r="CG172" s="99">
        <f t="shared" si="197"/>
        <v>0</v>
      </c>
      <c r="CH172" s="99">
        <f t="shared" si="197"/>
        <v>0</v>
      </c>
      <c r="CI172" s="99">
        <f t="shared" si="197"/>
        <v>0</v>
      </c>
      <c r="CK172" s="312"/>
      <c r="CO172" s="100">
        <f t="shared" si="163"/>
        <v>0</v>
      </c>
      <c r="CP172" s="100">
        <f t="shared" si="164"/>
        <v>0</v>
      </c>
      <c r="CQ172" s="100">
        <f t="shared" si="165"/>
        <v>0</v>
      </c>
      <c r="CR172" s="311"/>
      <c r="CS172" s="215">
        <f t="shared" si="166"/>
        <v>0</v>
      </c>
      <c r="CT172" s="215">
        <f t="shared" si="167"/>
        <v>0</v>
      </c>
      <c r="CU172" s="215">
        <f t="shared" si="168"/>
        <v>0</v>
      </c>
      <c r="CV172" s="215">
        <f t="shared" si="169"/>
        <v>0</v>
      </c>
      <c r="CW172" s="215">
        <f t="shared" si="170"/>
        <v>0</v>
      </c>
      <c r="CX172" s="215">
        <f t="shared" si="171"/>
        <v>0</v>
      </c>
      <c r="CY172" s="215">
        <f t="shared" si="172"/>
        <v>0</v>
      </c>
      <c r="EX172" s="10" t="str">
        <f t="shared" si="155"/>
        <v>Movement in Recovery of DfE/ESFA/DA Funding</v>
      </c>
    </row>
    <row r="173" spans="1:154" ht="43.5" customHeight="1" x14ac:dyDescent="0.35">
      <c r="A173" s="537" cm="1">
        <f t="array" aca="1" ref="A173" ca="1">HYPERLINK(CONCATENATE("#",CELL("address",IF(MAX($CK173:$CR173)=0,A173,INDEX($CK173:$CR173,MATCH(1,$CK173:$CR173,0))))),MAX($CK173:$CR173))</f>
        <v>0</v>
      </c>
      <c r="C173" s="213" t="s">
        <v>1573</v>
      </c>
      <c r="D173" s="57" t="s">
        <v>1574</v>
      </c>
      <c r="E173" s="558" t="str" cm="1">
        <f t="array" aca="1" ref="E173" ca="1">HYPERLINK(CONCATENATE("#",CELL("address",'BS Forecasts'!$D$185)),LEFT('BS Forecasts'!$D$184,23))</f>
        <v>AEB Clawback</v>
      </c>
      <c r="F173" s="120"/>
      <c r="G173" s="120"/>
      <c r="H173" s="120"/>
      <c r="V173" s="12">
        <f>('Opening Balances'!W50-'Opening Balances'!V50)*'Opening Balances'!$V$86</f>
        <v>0</v>
      </c>
      <c r="W173" s="99">
        <f>(W$103-V$103)</f>
        <v>0</v>
      </c>
      <c r="X173" s="99">
        <f>(X$103-W$103)</f>
        <v>0</v>
      </c>
      <c r="Y173" s="99">
        <f>(Y$103-X$103)</f>
        <v>0</v>
      </c>
      <c r="AA173" s="12">
        <f>(AA$103-V$103)</f>
        <v>0</v>
      </c>
      <c r="AB173" s="99">
        <f t="shared" ref="AB173:BJ173" si="198">(AB$103-AA$103)</f>
        <v>0</v>
      </c>
      <c r="AC173" s="99">
        <f t="shared" si="198"/>
        <v>0</v>
      </c>
      <c r="AD173" s="99">
        <f t="shared" si="198"/>
        <v>0</v>
      </c>
      <c r="AE173" s="99">
        <f t="shared" si="198"/>
        <v>0</v>
      </c>
      <c r="AF173" s="99">
        <f t="shared" si="198"/>
        <v>0</v>
      </c>
      <c r="AG173" s="99">
        <f t="shared" si="198"/>
        <v>0</v>
      </c>
      <c r="AH173" s="99">
        <f t="shared" si="198"/>
        <v>0</v>
      </c>
      <c r="AI173" s="99">
        <f t="shared" si="198"/>
        <v>0</v>
      </c>
      <c r="AJ173" s="99">
        <f t="shared" si="198"/>
        <v>0</v>
      </c>
      <c r="AK173" s="99">
        <f t="shared" si="198"/>
        <v>0</v>
      </c>
      <c r="AL173" s="99">
        <f t="shared" si="198"/>
        <v>0</v>
      </c>
      <c r="AM173" s="99">
        <f t="shared" si="198"/>
        <v>0</v>
      </c>
      <c r="AN173" s="99">
        <f t="shared" si="198"/>
        <v>0</v>
      </c>
      <c r="AO173" s="99">
        <f t="shared" si="198"/>
        <v>0</v>
      </c>
      <c r="AP173" s="99">
        <f t="shared" si="198"/>
        <v>0</v>
      </c>
      <c r="AQ173" s="99">
        <f t="shared" si="198"/>
        <v>0</v>
      </c>
      <c r="AR173" s="99">
        <f t="shared" si="198"/>
        <v>0</v>
      </c>
      <c r="AS173" s="99">
        <f t="shared" si="198"/>
        <v>0</v>
      </c>
      <c r="AT173" s="99">
        <f t="shared" si="198"/>
        <v>0</v>
      </c>
      <c r="AU173" s="99">
        <f t="shared" si="198"/>
        <v>0</v>
      </c>
      <c r="AV173" s="99">
        <f t="shared" si="198"/>
        <v>0</v>
      </c>
      <c r="AW173" s="99">
        <f t="shared" si="198"/>
        <v>0</v>
      </c>
      <c r="AX173" s="99">
        <f t="shared" si="198"/>
        <v>0</v>
      </c>
      <c r="AY173" s="99">
        <f t="shared" si="198"/>
        <v>0</v>
      </c>
      <c r="AZ173" s="99">
        <f t="shared" si="198"/>
        <v>0</v>
      </c>
      <c r="BA173" s="99">
        <f t="shared" si="198"/>
        <v>0</v>
      </c>
      <c r="BB173" s="99">
        <f t="shared" si="198"/>
        <v>0</v>
      </c>
      <c r="BC173" s="99">
        <f t="shared" si="198"/>
        <v>0</v>
      </c>
      <c r="BD173" s="99">
        <f t="shared" si="198"/>
        <v>0</v>
      </c>
      <c r="BE173" s="99">
        <f t="shared" si="198"/>
        <v>0</v>
      </c>
      <c r="BF173" s="99">
        <f t="shared" si="198"/>
        <v>0</v>
      </c>
      <c r="BG173" s="99">
        <f t="shared" si="198"/>
        <v>0</v>
      </c>
      <c r="BH173" s="99">
        <f t="shared" si="198"/>
        <v>0</v>
      </c>
      <c r="BI173" s="99">
        <f t="shared" si="198"/>
        <v>0</v>
      </c>
      <c r="BJ173" s="99">
        <f t="shared" si="198"/>
        <v>0</v>
      </c>
      <c r="BX173" s="12">
        <f t="shared" si="161"/>
        <v>0</v>
      </c>
      <c r="BY173" s="99">
        <f t="shared" ref="BY173:CI173" si="199">(BY$103-BX$103)</f>
        <v>0</v>
      </c>
      <c r="BZ173" s="99">
        <f t="shared" si="199"/>
        <v>0</v>
      </c>
      <c r="CA173" s="99">
        <f t="shared" si="199"/>
        <v>0</v>
      </c>
      <c r="CB173" s="99">
        <f t="shared" si="199"/>
        <v>0</v>
      </c>
      <c r="CC173" s="99">
        <f t="shared" si="199"/>
        <v>0</v>
      </c>
      <c r="CD173" s="99">
        <f t="shared" si="199"/>
        <v>0</v>
      </c>
      <c r="CE173" s="99">
        <f t="shared" si="199"/>
        <v>0</v>
      </c>
      <c r="CF173" s="99">
        <f t="shared" si="199"/>
        <v>0</v>
      </c>
      <c r="CG173" s="99">
        <f t="shared" si="199"/>
        <v>0</v>
      </c>
      <c r="CH173" s="99">
        <f t="shared" si="199"/>
        <v>0</v>
      </c>
      <c r="CI173" s="99">
        <f t="shared" si="199"/>
        <v>0</v>
      </c>
      <c r="CK173" s="312"/>
      <c r="CO173" s="100">
        <f t="shared" si="163"/>
        <v>0</v>
      </c>
      <c r="CP173" s="100">
        <f t="shared" si="164"/>
        <v>0</v>
      </c>
      <c r="CQ173" s="100">
        <f t="shared" si="165"/>
        <v>0</v>
      </c>
      <c r="CR173" s="311"/>
      <c r="CS173" s="215">
        <f t="shared" si="166"/>
        <v>0</v>
      </c>
      <c r="CT173" s="215">
        <f t="shared" si="167"/>
        <v>0</v>
      </c>
      <c r="CU173" s="215">
        <f t="shared" si="168"/>
        <v>0</v>
      </c>
      <c r="CV173" s="215">
        <f t="shared" si="169"/>
        <v>0</v>
      </c>
      <c r="CW173" s="215">
        <f t="shared" si="170"/>
        <v>0</v>
      </c>
      <c r="CX173" s="215">
        <f t="shared" si="171"/>
        <v>0</v>
      </c>
      <c r="CY173" s="215">
        <f t="shared" si="172"/>
        <v>0</v>
      </c>
      <c r="EX173" s="10" t="str">
        <f t="shared" si="155"/>
        <v>Movement in AEB Clawback</v>
      </c>
    </row>
    <row r="174" spans="1:154" ht="29" x14ac:dyDescent="0.35">
      <c r="A174" s="537" cm="1">
        <f t="array" aca="1" ref="A174" ca="1">HYPERLINK(CONCATENATE("#",CELL("address",IF(MAX($CK174:$CR174)=0,A174,INDEX($CK174:$CR174,MATCH(1,$CK174:$CR174,0))))),MAX($CK174:$CR174))</f>
        <v>0</v>
      </c>
      <c r="C174" s="213" t="s">
        <v>1575</v>
      </c>
      <c r="D174" s="57" t="s">
        <v>1576</v>
      </c>
      <c r="E174" s="558" t="str" cm="1">
        <f t="array" aca="1" ref="E174" ca="1">HYPERLINK(CONCATENATE("#",CELL("address",'BS Forecasts'!$D$241)),LEFT('BS Forecasts'!$D$238,23))</f>
        <v>Other Provisions</v>
      </c>
      <c r="F174" s="120"/>
      <c r="G174" s="120"/>
      <c r="H174" s="120"/>
      <c r="V174" s="99">
        <f>'BS Forecasts'!V$241</f>
        <v>0</v>
      </c>
      <c r="W174" s="99">
        <f>'BS Forecasts'!W$241</f>
        <v>0</v>
      </c>
      <c r="X174" s="99">
        <f>'BS Forecasts'!X$241</f>
        <v>0</v>
      </c>
      <c r="Y174" s="99">
        <f>'BS Forecasts'!Y$241</f>
        <v>0</v>
      </c>
      <c r="AA174" s="99">
        <f>'BS Forecasts'!AA$241</f>
        <v>0</v>
      </c>
      <c r="AB174" s="99">
        <f>'BS Forecasts'!AB$241</f>
        <v>0</v>
      </c>
      <c r="AC174" s="99">
        <f>'BS Forecasts'!AC$241</f>
        <v>0</v>
      </c>
      <c r="AD174" s="99">
        <f>'BS Forecasts'!AD$241</f>
        <v>0</v>
      </c>
      <c r="AE174" s="99">
        <f>'BS Forecasts'!AE$241</f>
        <v>0</v>
      </c>
      <c r="AF174" s="99">
        <f>'BS Forecasts'!AF$241</f>
        <v>0</v>
      </c>
      <c r="AG174" s="99">
        <f>'BS Forecasts'!AG$241</f>
        <v>0</v>
      </c>
      <c r="AH174" s="99">
        <f>'BS Forecasts'!AH$241</f>
        <v>0</v>
      </c>
      <c r="AI174" s="99">
        <f>'BS Forecasts'!AI$241</f>
        <v>0</v>
      </c>
      <c r="AJ174" s="99">
        <f>'BS Forecasts'!AJ$241</f>
        <v>0</v>
      </c>
      <c r="AK174" s="99">
        <f>'BS Forecasts'!AK$241</f>
        <v>0</v>
      </c>
      <c r="AL174" s="99">
        <f>'BS Forecasts'!AL$241</f>
        <v>0</v>
      </c>
      <c r="AM174" s="99">
        <f>'BS Forecasts'!AM$241</f>
        <v>0</v>
      </c>
      <c r="AN174" s="99">
        <f>'BS Forecasts'!AN$241</f>
        <v>0</v>
      </c>
      <c r="AO174" s="99">
        <f>'BS Forecasts'!AO$241</f>
        <v>0</v>
      </c>
      <c r="AP174" s="99">
        <f>'BS Forecasts'!AP$241</f>
        <v>0</v>
      </c>
      <c r="AQ174" s="99">
        <f>'BS Forecasts'!AQ$241</f>
        <v>0</v>
      </c>
      <c r="AR174" s="99">
        <f>'BS Forecasts'!AR$241</f>
        <v>0</v>
      </c>
      <c r="AS174" s="99">
        <f>'BS Forecasts'!AS$241</f>
        <v>0</v>
      </c>
      <c r="AT174" s="99">
        <f>'BS Forecasts'!AT$241</f>
        <v>0</v>
      </c>
      <c r="AU174" s="99">
        <f>'BS Forecasts'!AU$241</f>
        <v>0</v>
      </c>
      <c r="AV174" s="99">
        <f>'BS Forecasts'!AV$241</f>
        <v>0</v>
      </c>
      <c r="AW174" s="99">
        <f>'BS Forecasts'!AW$241</f>
        <v>0</v>
      </c>
      <c r="AX174" s="99">
        <f>'BS Forecasts'!AX$241</f>
        <v>0</v>
      </c>
      <c r="AY174" s="99">
        <f>'BS Forecasts'!AY$241</f>
        <v>0</v>
      </c>
      <c r="AZ174" s="99">
        <f>'BS Forecasts'!AZ$241</f>
        <v>0</v>
      </c>
      <c r="BA174" s="99">
        <f>'BS Forecasts'!BA$241</f>
        <v>0</v>
      </c>
      <c r="BB174" s="99">
        <f>'BS Forecasts'!BB$241</f>
        <v>0</v>
      </c>
      <c r="BC174" s="99">
        <f>'BS Forecasts'!BC$241</f>
        <v>0</v>
      </c>
      <c r="BD174" s="99">
        <f>'BS Forecasts'!BD$241</f>
        <v>0</v>
      </c>
      <c r="BE174" s="99">
        <f>'BS Forecasts'!BE$241</f>
        <v>0</v>
      </c>
      <c r="BF174" s="99">
        <f>'BS Forecasts'!BF$241</f>
        <v>0</v>
      </c>
      <c r="BG174" s="99">
        <f>'BS Forecasts'!BG$241</f>
        <v>0</v>
      </c>
      <c r="BH174" s="99">
        <f>'BS Forecasts'!BH$241</f>
        <v>0</v>
      </c>
      <c r="BI174" s="99">
        <f>'BS Forecasts'!BI$241</f>
        <v>0</v>
      </c>
      <c r="BJ174" s="99">
        <f>'BS Forecasts'!BJ$241</f>
        <v>0</v>
      </c>
      <c r="BX174" s="99">
        <f>'BS Forecasts'!BX$241</f>
        <v>0</v>
      </c>
      <c r="BY174" s="99">
        <f>'BS Forecasts'!BY$241</f>
        <v>0</v>
      </c>
      <c r="BZ174" s="99">
        <f>'BS Forecasts'!BZ$241</f>
        <v>0</v>
      </c>
      <c r="CA174" s="99">
        <f>'BS Forecasts'!CA$241</f>
        <v>0</v>
      </c>
      <c r="CB174" s="99">
        <f>'BS Forecasts'!CB$241</f>
        <v>0</v>
      </c>
      <c r="CC174" s="99">
        <f>'BS Forecasts'!CC$241</f>
        <v>0</v>
      </c>
      <c r="CD174" s="99">
        <f>'BS Forecasts'!CD$241</f>
        <v>0</v>
      </c>
      <c r="CE174" s="99">
        <f>'BS Forecasts'!CE$241</f>
        <v>0</v>
      </c>
      <c r="CF174" s="99">
        <f>'BS Forecasts'!CF$241</f>
        <v>0</v>
      </c>
      <c r="CG174" s="99">
        <f>'BS Forecasts'!CG$241</f>
        <v>0</v>
      </c>
      <c r="CH174" s="99">
        <f>'BS Forecasts'!CH$241</f>
        <v>0</v>
      </c>
      <c r="CI174" s="99">
        <f>'BS Forecasts'!CI$241</f>
        <v>0</v>
      </c>
      <c r="CK174" s="312"/>
      <c r="CO174" s="100">
        <f t="shared" si="163"/>
        <v>0</v>
      </c>
      <c r="CP174" s="100">
        <f t="shared" si="164"/>
        <v>0</v>
      </c>
      <c r="CQ174" s="100">
        <f t="shared" si="165"/>
        <v>0</v>
      </c>
      <c r="CR174" s="311"/>
      <c r="CS174" s="215">
        <f t="shared" si="166"/>
        <v>0</v>
      </c>
      <c r="CT174" s="215">
        <f t="shared" si="167"/>
        <v>0</v>
      </c>
      <c r="CU174" s="215">
        <f t="shared" si="168"/>
        <v>0</v>
      </c>
      <c r="CV174" s="215">
        <f t="shared" si="169"/>
        <v>0</v>
      </c>
      <c r="CW174" s="215">
        <f t="shared" si="170"/>
        <v>0</v>
      </c>
      <c r="CX174" s="215">
        <f t="shared" si="171"/>
        <v>0</v>
      </c>
      <c r="CY174" s="215">
        <f t="shared" si="172"/>
        <v>0</v>
      </c>
      <c r="EX174" s="10" t="str">
        <f t="shared" si="155"/>
        <v>Other provisions cash payment</v>
      </c>
    </row>
    <row r="175" spans="1:154" ht="29" x14ac:dyDescent="0.35">
      <c r="A175" s="537" cm="1">
        <f t="array" aca="1" ref="A175" ca="1">HYPERLINK(CONCATENATE("#",CELL("address",IF(MAX($CK175:$CR175)=0,A175,INDEX($CK175:$CR175,MATCH(1,$CK175:$CR175,0))))),MAX($CK175:$CR175))</f>
        <v>0</v>
      </c>
      <c r="C175" s="213" t="s">
        <v>1577</v>
      </c>
      <c r="D175" s="57" t="s">
        <v>1578</v>
      </c>
      <c r="E175" s="558" t="str" cm="1">
        <f t="array" aca="1" ref="E175" ca="1">HYPERLINK(CONCATENATE("#",CELL("address",'BS Forecasts'!$D$79)),LEFT('BS Forecasts'!$D$78,23))</f>
        <v>Unrestricted Short-term</v>
      </c>
      <c r="F175" s="120"/>
      <c r="G175" s="120"/>
      <c r="H175" s="120"/>
      <c r="V175" s="12">
        <f>0-('Opening Balances'!W28-'Opening Balances'!V28)*'Opening Balances'!$V$86</f>
        <v>0</v>
      </c>
      <c r="W175" s="99">
        <f>0-(W$84-V$84)</f>
        <v>0</v>
      </c>
      <c r="X175" s="99">
        <f>0-(X$84-W$84)</f>
        <v>0</v>
      </c>
      <c r="Y175" s="99">
        <f>0-(Y$84-X$84)</f>
        <v>0</v>
      </c>
      <c r="AA175" s="12">
        <f>0-(AA$84-V$84)</f>
        <v>0</v>
      </c>
      <c r="AB175" s="99">
        <f t="shared" ref="AB175:BJ175" si="200">0-(AB$84-AA$84)</f>
        <v>0</v>
      </c>
      <c r="AC175" s="99">
        <f t="shared" si="200"/>
        <v>0</v>
      </c>
      <c r="AD175" s="99">
        <f t="shared" si="200"/>
        <v>0</v>
      </c>
      <c r="AE175" s="99">
        <f t="shared" si="200"/>
        <v>0</v>
      </c>
      <c r="AF175" s="99">
        <f t="shared" si="200"/>
        <v>0</v>
      </c>
      <c r="AG175" s="99">
        <f t="shared" si="200"/>
        <v>0</v>
      </c>
      <c r="AH175" s="99">
        <f t="shared" si="200"/>
        <v>0</v>
      </c>
      <c r="AI175" s="99">
        <f t="shared" si="200"/>
        <v>0</v>
      </c>
      <c r="AJ175" s="99">
        <f t="shared" si="200"/>
        <v>0</v>
      </c>
      <c r="AK175" s="99">
        <f t="shared" si="200"/>
        <v>0</v>
      </c>
      <c r="AL175" s="99">
        <f t="shared" si="200"/>
        <v>0</v>
      </c>
      <c r="AM175" s="99">
        <f t="shared" si="200"/>
        <v>0</v>
      </c>
      <c r="AN175" s="99">
        <f t="shared" si="200"/>
        <v>0</v>
      </c>
      <c r="AO175" s="99">
        <f t="shared" si="200"/>
        <v>0</v>
      </c>
      <c r="AP175" s="99">
        <f t="shared" si="200"/>
        <v>0</v>
      </c>
      <c r="AQ175" s="99">
        <f t="shared" si="200"/>
        <v>0</v>
      </c>
      <c r="AR175" s="99">
        <f t="shared" si="200"/>
        <v>0</v>
      </c>
      <c r="AS175" s="99">
        <f t="shared" si="200"/>
        <v>0</v>
      </c>
      <c r="AT175" s="99">
        <f t="shared" si="200"/>
        <v>0</v>
      </c>
      <c r="AU175" s="99">
        <f t="shared" si="200"/>
        <v>0</v>
      </c>
      <c r="AV175" s="99">
        <f t="shared" si="200"/>
        <v>0</v>
      </c>
      <c r="AW175" s="99">
        <f t="shared" si="200"/>
        <v>0</v>
      </c>
      <c r="AX175" s="99">
        <f t="shared" si="200"/>
        <v>0</v>
      </c>
      <c r="AY175" s="99">
        <f t="shared" si="200"/>
        <v>0</v>
      </c>
      <c r="AZ175" s="99">
        <f t="shared" si="200"/>
        <v>0</v>
      </c>
      <c r="BA175" s="99">
        <f t="shared" si="200"/>
        <v>0</v>
      </c>
      <c r="BB175" s="99">
        <f t="shared" si="200"/>
        <v>0</v>
      </c>
      <c r="BC175" s="99">
        <f t="shared" si="200"/>
        <v>0</v>
      </c>
      <c r="BD175" s="99">
        <f t="shared" si="200"/>
        <v>0</v>
      </c>
      <c r="BE175" s="99">
        <f t="shared" si="200"/>
        <v>0</v>
      </c>
      <c r="BF175" s="99">
        <f t="shared" si="200"/>
        <v>0</v>
      </c>
      <c r="BG175" s="99">
        <f t="shared" si="200"/>
        <v>0</v>
      </c>
      <c r="BH175" s="99">
        <f t="shared" si="200"/>
        <v>0</v>
      </c>
      <c r="BI175" s="99">
        <f t="shared" si="200"/>
        <v>0</v>
      </c>
      <c r="BJ175" s="99">
        <f t="shared" si="200"/>
        <v>0</v>
      </c>
      <c r="BX175" s="12">
        <f>V175</f>
        <v>0</v>
      </c>
      <c r="BY175" s="99">
        <f t="shared" ref="BY175:CI175" si="201">0-(BY$84-BX$84)</f>
        <v>0</v>
      </c>
      <c r="BZ175" s="99">
        <f t="shared" si="201"/>
        <v>0</v>
      </c>
      <c r="CA175" s="99">
        <f t="shared" si="201"/>
        <v>0</v>
      </c>
      <c r="CB175" s="99">
        <f t="shared" si="201"/>
        <v>0</v>
      </c>
      <c r="CC175" s="99">
        <f t="shared" si="201"/>
        <v>0</v>
      </c>
      <c r="CD175" s="99">
        <f t="shared" si="201"/>
        <v>0</v>
      </c>
      <c r="CE175" s="99">
        <f t="shared" si="201"/>
        <v>0</v>
      </c>
      <c r="CF175" s="99">
        <f t="shared" si="201"/>
        <v>0</v>
      </c>
      <c r="CG175" s="99">
        <f t="shared" si="201"/>
        <v>0</v>
      </c>
      <c r="CH175" s="99">
        <f t="shared" si="201"/>
        <v>0</v>
      </c>
      <c r="CI175" s="99">
        <f t="shared" si="201"/>
        <v>0</v>
      </c>
      <c r="CK175" s="312"/>
      <c r="CO175" s="100">
        <f t="shared" si="163"/>
        <v>0</v>
      </c>
      <c r="CP175" s="100">
        <f t="shared" si="164"/>
        <v>0</v>
      </c>
      <c r="CQ175" s="100">
        <f t="shared" si="165"/>
        <v>0</v>
      </c>
      <c r="CR175" s="311"/>
      <c r="CS175" s="215">
        <f t="shared" si="166"/>
        <v>0</v>
      </c>
      <c r="CT175" s="215">
        <f t="shared" si="167"/>
        <v>0</v>
      </c>
      <c r="CU175" s="215">
        <f t="shared" si="168"/>
        <v>0</v>
      </c>
      <c r="CV175" s="215">
        <f t="shared" si="169"/>
        <v>0</v>
      </c>
      <c r="CW175" s="215">
        <f t="shared" si="170"/>
        <v>0</v>
      </c>
      <c r="CX175" s="215">
        <f t="shared" si="171"/>
        <v>0</v>
      </c>
      <c r="CY175" s="215">
        <f t="shared" si="172"/>
        <v>0</v>
      </c>
      <c r="EX175" s="10" t="str">
        <f t="shared" si="155"/>
        <v>Movement in unrestricted short term investments</v>
      </c>
    </row>
    <row r="176" spans="1:154" x14ac:dyDescent="0.35">
      <c r="C176" s="213" t="s">
        <v>1579</v>
      </c>
      <c r="D176" s="107" t="s">
        <v>1580</v>
      </c>
      <c r="E176" s="57"/>
      <c r="F176" s="120"/>
      <c r="G176" s="120"/>
      <c r="H176" s="120"/>
      <c r="V176" s="12">
        <f>SUM(V161:V175)*V$9</f>
        <v>0</v>
      </c>
      <c r="W176" s="12">
        <f>SUM(W161:W175)*W$9</f>
        <v>0</v>
      </c>
      <c r="X176" s="12">
        <f>SUM(X161:X175)*X$9</f>
        <v>0</v>
      </c>
      <c r="Y176" s="12">
        <f>SUM(Y161:Y175)*Y$9</f>
        <v>0</v>
      </c>
      <c r="AA176" s="12">
        <f t="shared" ref="AA176:BJ176" si="202">SUM(AA161:AA175)*AA$9</f>
        <v>0</v>
      </c>
      <c r="AB176" s="12">
        <f t="shared" si="202"/>
        <v>0</v>
      </c>
      <c r="AC176" s="12">
        <f t="shared" si="202"/>
        <v>0</v>
      </c>
      <c r="AD176" s="12">
        <f t="shared" si="202"/>
        <v>0</v>
      </c>
      <c r="AE176" s="12">
        <f t="shared" si="202"/>
        <v>0</v>
      </c>
      <c r="AF176" s="12">
        <f t="shared" si="202"/>
        <v>0</v>
      </c>
      <c r="AG176" s="12">
        <f t="shared" si="202"/>
        <v>0</v>
      </c>
      <c r="AH176" s="12">
        <f t="shared" si="202"/>
        <v>0</v>
      </c>
      <c r="AI176" s="12">
        <f t="shared" si="202"/>
        <v>0</v>
      </c>
      <c r="AJ176" s="12">
        <f t="shared" si="202"/>
        <v>0</v>
      </c>
      <c r="AK176" s="12">
        <f t="shared" si="202"/>
        <v>0</v>
      </c>
      <c r="AL176" s="12">
        <f t="shared" si="202"/>
        <v>0</v>
      </c>
      <c r="AM176" s="12">
        <f t="shared" si="202"/>
        <v>0</v>
      </c>
      <c r="AN176" s="12">
        <f t="shared" si="202"/>
        <v>0</v>
      </c>
      <c r="AO176" s="12">
        <f t="shared" si="202"/>
        <v>0</v>
      </c>
      <c r="AP176" s="12">
        <f t="shared" si="202"/>
        <v>0</v>
      </c>
      <c r="AQ176" s="12">
        <f t="shared" si="202"/>
        <v>0</v>
      </c>
      <c r="AR176" s="12">
        <f t="shared" si="202"/>
        <v>0</v>
      </c>
      <c r="AS176" s="12">
        <f t="shared" si="202"/>
        <v>0</v>
      </c>
      <c r="AT176" s="12">
        <f t="shared" si="202"/>
        <v>0</v>
      </c>
      <c r="AU176" s="12">
        <f t="shared" si="202"/>
        <v>0</v>
      </c>
      <c r="AV176" s="12">
        <f t="shared" si="202"/>
        <v>0</v>
      </c>
      <c r="AW176" s="12">
        <f t="shared" si="202"/>
        <v>0</v>
      </c>
      <c r="AX176" s="12">
        <f t="shared" si="202"/>
        <v>0</v>
      </c>
      <c r="AY176" s="12">
        <f t="shared" si="202"/>
        <v>0</v>
      </c>
      <c r="AZ176" s="12">
        <f t="shared" si="202"/>
        <v>0</v>
      </c>
      <c r="BA176" s="12">
        <f t="shared" si="202"/>
        <v>0</v>
      </c>
      <c r="BB176" s="12">
        <f t="shared" si="202"/>
        <v>0</v>
      </c>
      <c r="BC176" s="12">
        <f t="shared" si="202"/>
        <v>0</v>
      </c>
      <c r="BD176" s="12">
        <f t="shared" si="202"/>
        <v>0</v>
      </c>
      <c r="BE176" s="12">
        <f t="shared" si="202"/>
        <v>0</v>
      </c>
      <c r="BF176" s="12">
        <f t="shared" si="202"/>
        <v>0</v>
      </c>
      <c r="BG176" s="12">
        <f t="shared" si="202"/>
        <v>0</v>
      </c>
      <c r="BH176" s="12">
        <f t="shared" si="202"/>
        <v>0</v>
      </c>
      <c r="BI176" s="12">
        <f t="shared" si="202"/>
        <v>0</v>
      </c>
      <c r="BJ176" s="12">
        <f t="shared" si="202"/>
        <v>0</v>
      </c>
      <c r="BX176" s="12">
        <f t="shared" ref="BX176:CI176" si="203">SUM(BX161:BX175)*BX$9</f>
        <v>0</v>
      </c>
      <c r="BY176" s="12">
        <f t="shared" si="203"/>
        <v>0</v>
      </c>
      <c r="BZ176" s="12">
        <f t="shared" si="203"/>
        <v>0</v>
      </c>
      <c r="CA176" s="12">
        <f t="shared" si="203"/>
        <v>0</v>
      </c>
      <c r="CB176" s="12">
        <f t="shared" si="203"/>
        <v>0</v>
      </c>
      <c r="CC176" s="12">
        <f t="shared" si="203"/>
        <v>0</v>
      </c>
      <c r="CD176" s="12">
        <f t="shared" si="203"/>
        <v>0</v>
      </c>
      <c r="CE176" s="12">
        <f t="shared" si="203"/>
        <v>0</v>
      </c>
      <c r="CF176" s="12">
        <f t="shared" si="203"/>
        <v>0</v>
      </c>
      <c r="CG176" s="12">
        <f t="shared" si="203"/>
        <v>0</v>
      </c>
      <c r="CH176" s="12">
        <f t="shared" si="203"/>
        <v>0</v>
      </c>
      <c r="CI176" s="12">
        <f t="shared" si="203"/>
        <v>0</v>
      </c>
      <c r="CK176" s="312"/>
      <c r="CO176" s="120"/>
      <c r="CP176" s="120"/>
      <c r="CQ176" s="120"/>
      <c r="CR176" s="311"/>
      <c r="EX176" s="10" t="str">
        <f t="shared" si="155"/>
        <v>Total working capital movements</v>
      </c>
    </row>
    <row r="177" spans="1:154" ht="8.25" customHeight="1" x14ac:dyDescent="0.35">
      <c r="C177" s="213"/>
      <c r="E177" s="120"/>
      <c r="F177" s="120"/>
      <c r="G177" s="120"/>
      <c r="H177" s="120"/>
      <c r="CK177" s="311"/>
      <c r="CO177" s="120"/>
      <c r="CP177" s="120"/>
      <c r="CQ177" s="120"/>
      <c r="CR177" s="311"/>
      <c r="EX177" s="10" t="str">
        <f t="shared" si="155"/>
        <v/>
      </c>
    </row>
    <row r="178" spans="1:154" x14ac:dyDescent="0.35">
      <c r="B178" s="5"/>
      <c r="C178" s="213"/>
      <c r="D178" s="107" t="s">
        <v>1581</v>
      </c>
      <c r="E178" s="57"/>
      <c r="F178" s="120"/>
      <c r="G178" s="120"/>
      <c r="H178" s="120"/>
      <c r="CK178" s="312"/>
      <c r="CO178" s="120"/>
      <c r="CP178" s="120"/>
      <c r="CQ178" s="120"/>
      <c r="CR178" s="311"/>
      <c r="EX178" s="10" t="str">
        <f t="shared" si="155"/>
        <v/>
      </c>
    </row>
    <row r="179" spans="1:154" ht="58" x14ac:dyDescent="0.35">
      <c r="A179" s="537" cm="1">
        <f t="array" aca="1" ref="A179" ca="1">HYPERLINK(CONCATENATE("#",CELL("address",IF(MAX($CK179:$CR179)=0,A179,INDEX($CK179:$CR179,MATCH(1,$CK179:$CR179,0))))),MAX($CK179:$CR179))</f>
        <v>0</v>
      </c>
      <c r="C179" s="213" t="s">
        <v>1582</v>
      </c>
      <c r="D179" s="120" t="s">
        <v>1583</v>
      </c>
      <c r="E179" s="558" t="str" cm="1">
        <f t="array" aca="1" ref="E179" ca="1">HYPERLINK(CONCATENATE("#",CELL("address",'I&amp;E Monthly'!$D$150)),'I&amp;E Monthly'!$D$150)</f>
        <v>Interest and investment income</v>
      </c>
      <c r="F179" s="558" t="str" cm="1">
        <f t="array" aca="1" ref="F179" ca="1">HYPERLINK(CONCATENATE("#",CELL("address",'I&amp;E Monthly'!$D$151)),'I&amp;E Monthly'!$D$151)</f>
        <v>Interest and other finance costs</v>
      </c>
      <c r="G179" s="558" t="str" cm="1">
        <f t="array" aca="1" ref="G179" ca="1">HYPERLINK(CONCATENATE("#",CELL("address",'I&amp;E Monthly'!$D$152)),LEFT('I&amp;E Monthly'!$D$152, 34))</f>
        <v>FRS102 adj. - LGPS and EPP net int</v>
      </c>
      <c r="H179" s="120"/>
      <c r="V179" s="99">
        <f>SUM(V42:V43)-V41</f>
        <v>0</v>
      </c>
      <c r="W179" s="99">
        <f>SUM(W42:W43)-W41</f>
        <v>0</v>
      </c>
      <c r="X179" s="99">
        <f>SUM(X42:X43)-X41</f>
        <v>0</v>
      </c>
      <c r="Y179" s="99">
        <f>SUM(Y42:Y43)-Y41</f>
        <v>0</v>
      </c>
      <c r="AA179" s="99">
        <f t="shared" ref="AA179:BJ179" si="204">SUM(AA42:AA43)-AA41</f>
        <v>0</v>
      </c>
      <c r="AB179" s="99">
        <f t="shared" si="204"/>
        <v>0</v>
      </c>
      <c r="AC179" s="99">
        <f t="shared" si="204"/>
        <v>0</v>
      </c>
      <c r="AD179" s="99">
        <f t="shared" si="204"/>
        <v>0</v>
      </c>
      <c r="AE179" s="99">
        <f t="shared" si="204"/>
        <v>0</v>
      </c>
      <c r="AF179" s="99">
        <f t="shared" si="204"/>
        <v>0</v>
      </c>
      <c r="AG179" s="99">
        <f t="shared" si="204"/>
        <v>0</v>
      </c>
      <c r="AH179" s="99">
        <f t="shared" si="204"/>
        <v>0</v>
      </c>
      <c r="AI179" s="99">
        <f t="shared" si="204"/>
        <v>0</v>
      </c>
      <c r="AJ179" s="99">
        <f t="shared" si="204"/>
        <v>0</v>
      </c>
      <c r="AK179" s="99">
        <f t="shared" si="204"/>
        <v>0</v>
      </c>
      <c r="AL179" s="99">
        <f t="shared" si="204"/>
        <v>0</v>
      </c>
      <c r="AM179" s="99">
        <f t="shared" si="204"/>
        <v>0</v>
      </c>
      <c r="AN179" s="99">
        <f t="shared" si="204"/>
        <v>0</v>
      </c>
      <c r="AO179" s="99">
        <f t="shared" si="204"/>
        <v>0</v>
      </c>
      <c r="AP179" s="99">
        <f t="shared" si="204"/>
        <v>0</v>
      </c>
      <c r="AQ179" s="99">
        <f t="shared" si="204"/>
        <v>0</v>
      </c>
      <c r="AR179" s="99">
        <f t="shared" si="204"/>
        <v>0</v>
      </c>
      <c r="AS179" s="99">
        <f t="shared" si="204"/>
        <v>0</v>
      </c>
      <c r="AT179" s="99">
        <f t="shared" si="204"/>
        <v>0</v>
      </c>
      <c r="AU179" s="99">
        <f t="shared" si="204"/>
        <v>0</v>
      </c>
      <c r="AV179" s="99">
        <f t="shared" si="204"/>
        <v>0</v>
      </c>
      <c r="AW179" s="99">
        <f t="shared" si="204"/>
        <v>0</v>
      </c>
      <c r="AX179" s="99">
        <f t="shared" si="204"/>
        <v>0</v>
      </c>
      <c r="AY179" s="99">
        <f t="shared" si="204"/>
        <v>0</v>
      </c>
      <c r="AZ179" s="99">
        <f t="shared" si="204"/>
        <v>0</v>
      </c>
      <c r="BA179" s="99">
        <f t="shared" si="204"/>
        <v>0</v>
      </c>
      <c r="BB179" s="99">
        <f t="shared" si="204"/>
        <v>0</v>
      </c>
      <c r="BC179" s="99">
        <f t="shared" si="204"/>
        <v>0</v>
      </c>
      <c r="BD179" s="99">
        <f t="shared" si="204"/>
        <v>0</v>
      </c>
      <c r="BE179" s="99">
        <f t="shared" si="204"/>
        <v>0</v>
      </c>
      <c r="BF179" s="99">
        <f t="shared" si="204"/>
        <v>0</v>
      </c>
      <c r="BG179" s="99">
        <f t="shared" si="204"/>
        <v>0</v>
      </c>
      <c r="BH179" s="99">
        <f t="shared" si="204"/>
        <v>0</v>
      </c>
      <c r="BI179" s="99">
        <f t="shared" si="204"/>
        <v>0</v>
      </c>
      <c r="BJ179" s="99">
        <f t="shared" si="204"/>
        <v>0</v>
      </c>
      <c r="BX179" s="99">
        <f t="shared" ref="BX179:CI179" si="205">SUM(BX42:BX43)-BX41</f>
        <v>0</v>
      </c>
      <c r="BY179" s="99">
        <f t="shared" si="205"/>
        <v>0</v>
      </c>
      <c r="BZ179" s="99">
        <f t="shared" si="205"/>
        <v>0</v>
      </c>
      <c r="CA179" s="99">
        <f t="shared" si="205"/>
        <v>0</v>
      </c>
      <c r="CB179" s="99">
        <f t="shared" si="205"/>
        <v>0</v>
      </c>
      <c r="CC179" s="99">
        <f t="shared" si="205"/>
        <v>0</v>
      </c>
      <c r="CD179" s="99">
        <f t="shared" si="205"/>
        <v>0</v>
      </c>
      <c r="CE179" s="99">
        <f t="shared" si="205"/>
        <v>0</v>
      </c>
      <c r="CF179" s="99">
        <f t="shared" si="205"/>
        <v>0</v>
      </c>
      <c r="CG179" s="99">
        <f t="shared" si="205"/>
        <v>0</v>
      </c>
      <c r="CH179" s="99">
        <f t="shared" si="205"/>
        <v>0</v>
      </c>
      <c r="CI179" s="99">
        <f t="shared" si="205"/>
        <v>0</v>
      </c>
      <c r="CK179" s="312"/>
      <c r="CO179" s="100">
        <f>IF(SUM($CS179:$CU179)=0, 0, 1)</f>
        <v>0</v>
      </c>
      <c r="CP179" s="100">
        <f>IF(SUM($CV179:$CX179)=0, 0, 1)</f>
        <v>0</v>
      </c>
      <c r="CQ179" s="100">
        <f>IF(CY179=0, 0, 1)</f>
        <v>0</v>
      </c>
      <c r="CR179" s="311"/>
      <c r="CS179" s="215">
        <f>ROUND(W179-SUMIFS($AA179:$BJ179, $AA$3:$BJ$3, W$3), rounding)</f>
        <v>0</v>
      </c>
      <c r="CT179" s="215">
        <f>ROUND($X179-SUMIFS($AA179:$BJ179, $AA$3:$BJ$3, X$3), rounding)</f>
        <v>0</v>
      </c>
      <c r="CU179" s="215">
        <f>ROUND($Y179-SUMIFS($AA179:$BJ179, $AA$3:$BJ$3, Y$3), rounding)</f>
        <v>0</v>
      </c>
      <c r="CV179" s="215">
        <f>ROUND(W179-BY179, rounding)</f>
        <v>0</v>
      </c>
      <c r="CW179" s="215">
        <f>ROUND(X179-BZ179, rounding)</f>
        <v>0</v>
      </c>
      <c r="CX179" s="215">
        <f>ROUND(Y179-CA179, rounding)</f>
        <v>0</v>
      </c>
      <c r="CY179" s="215">
        <f>ROUND(V179-BX179, rounding)</f>
        <v>0</v>
      </c>
      <c r="EX179" s="10" t="str">
        <f t="shared" si="155"/>
        <v>Net interest and finance costs payable/receivable</v>
      </c>
    </row>
    <row r="180" spans="1:154" x14ac:dyDescent="0.35">
      <c r="C180" s="213" t="s">
        <v>1584</v>
      </c>
      <c r="D180" s="107" t="s">
        <v>1585</v>
      </c>
      <c r="E180" s="57"/>
      <c r="F180" s="120"/>
      <c r="G180" s="120"/>
      <c r="H180" s="120"/>
      <c r="V180" s="12">
        <f>SUM(V148, V158, V176,V179)*V$9</f>
        <v>0</v>
      </c>
      <c r="W180" s="12">
        <f>SUM(W148, W158, W176,W179)*W$9</f>
        <v>0</v>
      </c>
      <c r="X180" s="12">
        <f>SUM(X148, X158, X176,X179)*X$9</f>
        <v>0</v>
      </c>
      <c r="Y180" s="12">
        <f>SUM(Y148, Y158, Y176,Y179)*Y$9</f>
        <v>0</v>
      </c>
      <c r="AA180" s="12">
        <f t="shared" ref="AA180:BJ180" si="206">SUM(AA148, AA158, AA176,AA179)*AA$9</f>
        <v>0</v>
      </c>
      <c r="AB180" s="12">
        <f t="shared" si="206"/>
        <v>0</v>
      </c>
      <c r="AC180" s="12">
        <f t="shared" si="206"/>
        <v>0</v>
      </c>
      <c r="AD180" s="12">
        <f t="shared" si="206"/>
        <v>0</v>
      </c>
      <c r="AE180" s="12">
        <f t="shared" si="206"/>
        <v>0</v>
      </c>
      <c r="AF180" s="12">
        <f t="shared" si="206"/>
        <v>0</v>
      </c>
      <c r="AG180" s="12">
        <f t="shared" si="206"/>
        <v>0</v>
      </c>
      <c r="AH180" s="12">
        <f t="shared" si="206"/>
        <v>0</v>
      </c>
      <c r="AI180" s="12">
        <f t="shared" si="206"/>
        <v>0</v>
      </c>
      <c r="AJ180" s="12">
        <f t="shared" si="206"/>
        <v>0</v>
      </c>
      <c r="AK180" s="12">
        <f t="shared" si="206"/>
        <v>0</v>
      </c>
      <c r="AL180" s="12">
        <f t="shared" si="206"/>
        <v>0</v>
      </c>
      <c r="AM180" s="12">
        <f t="shared" si="206"/>
        <v>0</v>
      </c>
      <c r="AN180" s="12">
        <f t="shared" si="206"/>
        <v>0</v>
      </c>
      <c r="AO180" s="12">
        <f t="shared" si="206"/>
        <v>0</v>
      </c>
      <c r="AP180" s="12">
        <f t="shared" si="206"/>
        <v>0</v>
      </c>
      <c r="AQ180" s="12">
        <f t="shared" si="206"/>
        <v>0</v>
      </c>
      <c r="AR180" s="12">
        <f t="shared" si="206"/>
        <v>0</v>
      </c>
      <c r="AS180" s="12">
        <f t="shared" si="206"/>
        <v>0</v>
      </c>
      <c r="AT180" s="12">
        <f t="shared" si="206"/>
        <v>0</v>
      </c>
      <c r="AU180" s="12">
        <f t="shared" si="206"/>
        <v>0</v>
      </c>
      <c r="AV180" s="12">
        <f t="shared" si="206"/>
        <v>0</v>
      </c>
      <c r="AW180" s="12">
        <f t="shared" si="206"/>
        <v>0</v>
      </c>
      <c r="AX180" s="12">
        <f t="shared" si="206"/>
        <v>0</v>
      </c>
      <c r="AY180" s="12">
        <f t="shared" si="206"/>
        <v>0</v>
      </c>
      <c r="AZ180" s="12">
        <f t="shared" si="206"/>
        <v>0</v>
      </c>
      <c r="BA180" s="12">
        <f t="shared" si="206"/>
        <v>0</v>
      </c>
      <c r="BB180" s="12">
        <f t="shared" si="206"/>
        <v>0</v>
      </c>
      <c r="BC180" s="12">
        <f t="shared" si="206"/>
        <v>0</v>
      </c>
      <c r="BD180" s="12">
        <f t="shared" si="206"/>
        <v>0</v>
      </c>
      <c r="BE180" s="12">
        <f t="shared" si="206"/>
        <v>0</v>
      </c>
      <c r="BF180" s="12">
        <f t="shared" si="206"/>
        <v>0</v>
      </c>
      <c r="BG180" s="12">
        <f t="shared" si="206"/>
        <v>0</v>
      </c>
      <c r="BH180" s="12">
        <f t="shared" si="206"/>
        <v>0</v>
      </c>
      <c r="BI180" s="12">
        <f t="shared" si="206"/>
        <v>0</v>
      </c>
      <c r="BJ180" s="12">
        <f t="shared" si="206"/>
        <v>0</v>
      </c>
      <c r="BX180" s="12">
        <f t="shared" ref="BX180:CI180" si="207">SUM(BX148, BX158, BX176,BX179)*BX$9</f>
        <v>0</v>
      </c>
      <c r="BY180" s="12">
        <f t="shared" si="207"/>
        <v>0</v>
      </c>
      <c r="BZ180" s="12">
        <f t="shared" si="207"/>
        <v>0</v>
      </c>
      <c r="CA180" s="12">
        <f t="shared" si="207"/>
        <v>0</v>
      </c>
      <c r="CB180" s="12">
        <f t="shared" si="207"/>
        <v>0</v>
      </c>
      <c r="CC180" s="12">
        <f t="shared" si="207"/>
        <v>0</v>
      </c>
      <c r="CD180" s="12">
        <f t="shared" si="207"/>
        <v>0</v>
      </c>
      <c r="CE180" s="12">
        <f t="shared" si="207"/>
        <v>0</v>
      </c>
      <c r="CF180" s="12">
        <f t="shared" si="207"/>
        <v>0</v>
      </c>
      <c r="CG180" s="12">
        <f t="shared" si="207"/>
        <v>0</v>
      </c>
      <c r="CH180" s="12">
        <f t="shared" si="207"/>
        <v>0</v>
      </c>
      <c r="CI180" s="12">
        <f t="shared" si="207"/>
        <v>0</v>
      </c>
      <c r="CK180" s="312"/>
      <c r="CO180" s="120"/>
      <c r="CP180" s="120"/>
      <c r="CQ180" s="120"/>
      <c r="CR180" s="311"/>
      <c r="EX180" s="10" t="str">
        <f t="shared" si="155"/>
        <v>Net cash flow from operating activities</v>
      </c>
    </row>
    <row r="181" spans="1:154" ht="11.65" customHeight="1" x14ac:dyDescent="0.35">
      <c r="C181" s="213"/>
      <c r="E181" s="120"/>
      <c r="F181" s="120"/>
      <c r="G181" s="120"/>
      <c r="H181" s="120"/>
      <c r="CK181" s="311"/>
      <c r="CO181" s="120"/>
      <c r="CP181" s="120"/>
      <c r="CQ181" s="120"/>
      <c r="CR181" s="311"/>
      <c r="EX181" s="10" t="str">
        <f t="shared" si="155"/>
        <v/>
      </c>
    </row>
    <row r="182" spans="1:154" x14ac:dyDescent="0.35">
      <c r="B182" s="5"/>
      <c r="C182" s="213"/>
      <c r="D182" s="107" t="s">
        <v>1586</v>
      </c>
      <c r="E182" s="57"/>
      <c r="F182" s="120"/>
      <c r="G182" s="120"/>
      <c r="H182" s="120"/>
      <c r="CK182" s="312"/>
      <c r="CO182" s="120"/>
      <c r="CP182" s="120"/>
      <c r="CQ182" s="120"/>
      <c r="CR182" s="311"/>
      <c r="EX182" s="10" t="str">
        <f t="shared" si="155"/>
        <v/>
      </c>
    </row>
    <row r="183" spans="1:154" ht="43.5" x14ac:dyDescent="0.35">
      <c r="A183" s="537" cm="1">
        <f t="array" aca="1" ref="A183" ca="1">HYPERLINK(CONCATENATE("#",CELL("address",IF(MAX($CK183:$CR183)=0,A183,INDEX($CK183:$CR183,MATCH(1,$CK183:$CR183,0))))),MAX($CK183:$CR183))</f>
        <v>0</v>
      </c>
      <c r="C183" s="575" t="s">
        <v>1587</v>
      </c>
      <c r="D183" s="120" t="s">
        <v>1588</v>
      </c>
      <c r="E183" s="558" t="str" cm="1">
        <f t="array" aca="1" ref="E183" ca="1">HYPERLINK(CONCATENATE("#",CELL("address",'Investing Inputs'!$D$167)),'Investing Inputs'!$D$167)</f>
        <v>Total Cash Receipts from Assets</v>
      </c>
      <c r="F183" s="120"/>
      <c r="G183" s="120"/>
      <c r="H183" s="120"/>
      <c r="V183" s="99">
        <f>'Investing Inputs'!V$167</f>
        <v>0</v>
      </c>
      <c r="W183" s="99">
        <f>'Investing Inputs'!W$167</f>
        <v>0</v>
      </c>
      <c r="X183" s="99">
        <f>'Investing Inputs'!X$167</f>
        <v>0</v>
      </c>
      <c r="Y183" s="99">
        <f>'Investing Inputs'!Y$167</f>
        <v>0</v>
      </c>
      <c r="AA183" s="99">
        <f>'Investing Inputs'!AA$167</f>
        <v>0</v>
      </c>
      <c r="AB183" s="99">
        <f>'Investing Inputs'!AB$167</f>
        <v>0</v>
      </c>
      <c r="AC183" s="99">
        <f>'Investing Inputs'!AC$167</f>
        <v>0</v>
      </c>
      <c r="AD183" s="99">
        <f>'Investing Inputs'!AD$167</f>
        <v>0</v>
      </c>
      <c r="AE183" s="99">
        <f>'Investing Inputs'!AE$167</f>
        <v>0</v>
      </c>
      <c r="AF183" s="99">
        <f>'Investing Inputs'!AF$167</f>
        <v>0</v>
      </c>
      <c r="AG183" s="99">
        <f>'Investing Inputs'!AG$167</f>
        <v>0</v>
      </c>
      <c r="AH183" s="99">
        <f>'Investing Inputs'!AH$167</f>
        <v>0</v>
      </c>
      <c r="AI183" s="99">
        <f>'Investing Inputs'!AI$167</f>
        <v>0</v>
      </c>
      <c r="AJ183" s="99">
        <f>'Investing Inputs'!AJ$167</f>
        <v>0</v>
      </c>
      <c r="AK183" s="99">
        <f>'Investing Inputs'!AK$167</f>
        <v>0</v>
      </c>
      <c r="AL183" s="99">
        <f>'Investing Inputs'!AL$167</f>
        <v>0</v>
      </c>
      <c r="AM183" s="99">
        <f>'Investing Inputs'!AM$167</f>
        <v>0</v>
      </c>
      <c r="AN183" s="99">
        <f>'Investing Inputs'!AN$167</f>
        <v>0</v>
      </c>
      <c r="AO183" s="99">
        <f>'Investing Inputs'!AO$167</f>
        <v>0</v>
      </c>
      <c r="AP183" s="99">
        <f>'Investing Inputs'!AP$167</f>
        <v>0</v>
      </c>
      <c r="AQ183" s="99">
        <f>'Investing Inputs'!AQ$167</f>
        <v>0</v>
      </c>
      <c r="AR183" s="99">
        <f>'Investing Inputs'!AR$167</f>
        <v>0</v>
      </c>
      <c r="AS183" s="99">
        <f>'Investing Inputs'!AS$167</f>
        <v>0</v>
      </c>
      <c r="AT183" s="99">
        <f>'Investing Inputs'!AT$167</f>
        <v>0</v>
      </c>
      <c r="AU183" s="99">
        <f>'Investing Inputs'!AU$167</f>
        <v>0</v>
      </c>
      <c r="AV183" s="99">
        <f>'Investing Inputs'!AV$167</f>
        <v>0</v>
      </c>
      <c r="AW183" s="99">
        <f>'Investing Inputs'!AW$167</f>
        <v>0</v>
      </c>
      <c r="AX183" s="99">
        <f>'Investing Inputs'!AX$167</f>
        <v>0</v>
      </c>
      <c r="AY183" s="99">
        <f>'Investing Inputs'!AY$167</f>
        <v>0</v>
      </c>
      <c r="AZ183" s="99">
        <f>'Investing Inputs'!AZ$167</f>
        <v>0</v>
      </c>
      <c r="BA183" s="99">
        <f>'Investing Inputs'!BA$167</f>
        <v>0</v>
      </c>
      <c r="BB183" s="99">
        <f>'Investing Inputs'!BB$167</f>
        <v>0</v>
      </c>
      <c r="BC183" s="99">
        <f>'Investing Inputs'!BC$167</f>
        <v>0</v>
      </c>
      <c r="BD183" s="99">
        <f>'Investing Inputs'!BD$167</f>
        <v>0</v>
      </c>
      <c r="BE183" s="99">
        <f>'Investing Inputs'!BE$167</f>
        <v>0</v>
      </c>
      <c r="BF183" s="99">
        <f>'Investing Inputs'!BF$167</f>
        <v>0</v>
      </c>
      <c r="BG183" s="99">
        <f>'Investing Inputs'!BG$167</f>
        <v>0</v>
      </c>
      <c r="BH183" s="99">
        <f>'Investing Inputs'!BH$167</f>
        <v>0</v>
      </c>
      <c r="BI183" s="99">
        <f>'Investing Inputs'!BI$167</f>
        <v>0</v>
      </c>
      <c r="BJ183" s="99">
        <f>'Investing Inputs'!BJ$167</f>
        <v>0</v>
      </c>
      <c r="BK183" s="99">
        <f>'Investing Inputs'!BK$167</f>
        <v>0</v>
      </c>
      <c r="BL183" s="99">
        <f>'Investing Inputs'!BL$167</f>
        <v>0</v>
      </c>
      <c r="BM183" s="99">
        <f>'Investing Inputs'!BM$167</f>
        <v>0</v>
      </c>
      <c r="BN183" s="99">
        <f>'Investing Inputs'!BN$167</f>
        <v>0</v>
      </c>
      <c r="BO183" s="99">
        <f>'Investing Inputs'!BO$167</f>
        <v>0</v>
      </c>
      <c r="BP183" s="99">
        <f>'Investing Inputs'!BP$167</f>
        <v>0</v>
      </c>
      <c r="BQ183" s="99">
        <f>'Investing Inputs'!BQ$167</f>
        <v>0</v>
      </c>
      <c r="BR183" s="99">
        <f>'Investing Inputs'!BR$167</f>
        <v>0</v>
      </c>
      <c r="BS183" s="99">
        <f>'Investing Inputs'!BS$167</f>
        <v>0</v>
      </c>
      <c r="BT183" s="99">
        <f>'Investing Inputs'!BT$167</f>
        <v>0</v>
      </c>
      <c r="BU183" s="99">
        <f>'Investing Inputs'!BU$167</f>
        <v>0</v>
      </c>
      <c r="BV183" s="99">
        <f>'Investing Inputs'!BV$167</f>
        <v>0</v>
      </c>
      <c r="BX183" s="99">
        <f>'Investing Inputs'!BX$167</f>
        <v>0</v>
      </c>
      <c r="BY183" s="99">
        <f>'Investing Inputs'!BY$167</f>
        <v>0</v>
      </c>
      <c r="BZ183" s="99">
        <f>'Investing Inputs'!BZ$167</f>
        <v>0</v>
      </c>
      <c r="CA183" s="99">
        <f>'Investing Inputs'!CA$167</f>
        <v>0</v>
      </c>
      <c r="CB183" s="99">
        <f>'Investing Inputs'!CB$167</f>
        <v>0</v>
      </c>
      <c r="CC183" s="99">
        <f>'Investing Inputs'!CC$167</f>
        <v>0</v>
      </c>
      <c r="CD183" s="99">
        <f>'Investing Inputs'!CD$167</f>
        <v>0</v>
      </c>
      <c r="CE183" s="99">
        <f>'Investing Inputs'!CE$167</f>
        <v>0</v>
      </c>
      <c r="CF183" s="99">
        <f>'Investing Inputs'!CF$167</f>
        <v>0</v>
      </c>
      <c r="CG183" s="99">
        <f>'Investing Inputs'!CG$167</f>
        <v>0</v>
      </c>
      <c r="CH183" s="99">
        <f>'Investing Inputs'!CH$167</f>
        <v>0</v>
      </c>
      <c r="CI183" s="99">
        <f>'Investing Inputs'!CI$167</f>
        <v>0</v>
      </c>
      <c r="CK183" s="312"/>
      <c r="CO183" s="100">
        <f t="shared" ref="CO183:CO194" si="208">IF(SUM($CS183:$CU183)=0, 0, 1)</f>
        <v>0</v>
      </c>
      <c r="CP183" s="100">
        <f t="shared" ref="CP183:CP194" si="209">IF(SUM($CV183:$CX183)=0, 0, 1)</f>
        <v>0</v>
      </c>
      <c r="CQ183" s="100">
        <f t="shared" ref="CQ183:CQ194" si="210">IF(CY183=0, 0, 1)</f>
        <v>0</v>
      </c>
      <c r="CR183" s="311"/>
      <c r="CS183" s="215">
        <f t="shared" ref="CS183:CS194" si="211">ROUND(W183-SUMIFS($AA183:$BJ183, $AA$3:$BJ$3, W$3), rounding)</f>
        <v>0</v>
      </c>
      <c r="CT183" s="215">
        <f t="shared" ref="CT183:CT194" si="212">ROUND($X183-SUMIFS($AA183:$BJ183, $AA$3:$BJ$3, X$3), rounding)</f>
        <v>0</v>
      </c>
      <c r="CU183" s="215">
        <f t="shared" ref="CU183:CU194" si="213">ROUND($Y183-SUMIFS($AA183:$BJ183, $AA$3:$BJ$3, Y$3), rounding)</f>
        <v>0</v>
      </c>
      <c r="CV183" s="215">
        <f t="shared" ref="CV183:CV194" si="214">ROUND(W183-BY183, rounding)</f>
        <v>0</v>
      </c>
      <c r="CW183" s="215">
        <f t="shared" ref="CW183:CW194" si="215">ROUND(X183-BZ183, rounding)</f>
        <v>0</v>
      </c>
      <c r="CX183" s="215">
        <f t="shared" ref="CX183:CX194" si="216">ROUND(Y183-CA183, rounding)</f>
        <v>0</v>
      </c>
      <c r="CY183" s="215">
        <f t="shared" ref="CY183:CY194" si="217">ROUND(V183-BX183, rounding)</f>
        <v>0</v>
      </c>
      <c r="EX183" s="10" t="str">
        <f t="shared" si="155"/>
        <v>Receipts from sale of Non-Current Assets</v>
      </c>
    </row>
    <row r="184" spans="1:154" ht="58" x14ac:dyDescent="0.35">
      <c r="A184" s="537" cm="1">
        <f t="array" aca="1" ref="A184" ca="1">HYPERLINK(CONCATENATE("#",CELL("address",IF(MAX($CK184:$CR184)=0,A184,INDEX($CK184:$CR184,MATCH(1,$CK184:$CR184,0))))),MAX($CK184:$CR184))</f>
        <v>0</v>
      </c>
      <c r="C184" s="213" t="s">
        <v>1589</v>
      </c>
      <c r="D184" s="120" t="s">
        <v>1590</v>
      </c>
      <c r="E184" s="558" t="str" cm="1">
        <f t="array" aca="1" ref="E184" ca="1">HYPERLINK(CONCATENATE("#",CELL("address",'BS Forecasts'!$D$147:$D$150)),'BS Forecasts'!$D$141)</f>
        <v>Deferred Income - Capital Grant Liability</v>
      </c>
      <c r="F184" s="120"/>
      <c r="G184" s="120"/>
      <c r="H184" s="120"/>
      <c r="V184" s="99">
        <f>SUM('BS Forecasts'!V$147:V$150)</f>
        <v>0</v>
      </c>
      <c r="W184" s="99">
        <f>SUM('BS Forecasts'!W$147:W$150)</f>
        <v>0</v>
      </c>
      <c r="X184" s="99">
        <f>SUM('BS Forecasts'!X$147:X$150)</f>
        <v>0</v>
      </c>
      <c r="Y184" s="99">
        <f>SUM('BS Forecasts'!Y$147:Y$150)</f>
        <v>0</v>
      </c>
      <c r="AA184" s="99">
        <f>SUM('BS Forecasts'!AA$147:AA$150)</f>
        <v>0</v>
      </c>
      <c r="AB184" s="99">
        <f>SUM('BS Forecasts'!AB$147:AB$150)</f>
        <v>0</v>
      </c>
      <c r="AC184" s="99">
        <f>SUM('BS Forecasts'!AC$147:AC$150)</f>
        <v>0</v>
      </c>
      <c r="AD184" s="99">
        <f>SUM('BS Forecasts'!AD$147:AD$150)</f>
        <v>0</v>
      </c>
      <c r="AE184" s="99">
        <f>SUM('BS Forecasts'!AE$147:AE$150)</f>
        <v>0</v>
      </c>
      <c r="AF184" s="99">
        <f>SUM('BS Forecasts'!AF$147:AF$150)</f>
        <v>0</v>
      </c>
      <c r="AG184" s="99">
        <f>SUM('BS Forecasts'!AG$147:AG$150)</f>
        <v>0</v>
      </c>
      <c r="AH184" s="99">
        <f>SUM('BS Forecasts'!AH$147:AH$150)</f>
        <v>0</v>
      </c>
      <c r="AI184" s="99">
        <f>SUM('BS Forecasts'!AI$147:AI$150)</f>
        <v>0</v>
      </c>
      <c r="AJ184" s="99">
        <f>SUM('BS Forecasts'!AJ$147:AJ$150)</f>
        <v>0</v>
      </c>
      <c r="AK184" s="99">
        <f>SUM('BS Forecasts'!AK$147:AK$150)</f>
        <v>0</v>
      </c>
      <c r="AL184" s="99">
        <f>SUM('BS Forecasts'!AL$147:AL$150)</f>
        <v>0</v>
      </c>
      <c r="AM184" s="99">
        <f>SUM('BS Forecasts'!AM$147:AM$150)</f>
        <v>0</v>
      </c>
      <c r="AN184" s="99">
        <f>SUM('BS Forecasts'!AN$147:AN$150)</f>
        <v>0</v>
      </c>
      <c r="AO184" s="99">
        <f>SUM('BS Forecasts'!AO$147:AO$150)</f>
        <v>0</v>
      </c>
      <c r="AP184" s="99">
        <f>SUM('BS Forecasts'!AP$147:AP$150)</f>
        <v>0</v>
      </c>
      <c r="AQ184" s="99">
        <f>SUM('BS Forecasts'!AQ$147:AQ$150)</f>
        <v>0</v>
      </c>
      <c r="AR184" s="99">
        <f>SUM('BS Forecasts'!AR$147:AR$150)</f>
        <v>0</v>
      </c>
      <c r="AS184" s="99">
        <f>SUM('BS Forecasts'!AS$147:AS$150)</f>
        <v>0</v>
      </c>
      <c r="AT184" s="99">
        <f>SUM('BS Forecasts'!AT$147:AT$150)</f>
        <v>0</v>
      </c>
      <c r="AU184" s="99">
        <f>SUM('BS Forecasts'!AU$147:AU$150)</f>
        <v>0</v>
      </c>
      <c r="AV184" s="99">
        <f>SUM('BS Forecasts'!AV$147:AV$150)</f>
        <v>0</v>
      </c>
      <c r="AW184" s="99">
        <f>SUM('BS Forecasts'!AW$147:AW$150)</f>
        <v>0</v>
      </c>
      <c r="AX184" s="99">
        <f>SUM('BS Forecasts'!AX$147:AX$150)</f>
        <v>0</v>
      </c>
      <c r="AY184" s="99">
        <f>SUM('BS Forecasts'!AY$147:AY$150)</f>
        <v>0</v>
      </c>
      <c r="AZ184" s="99">
        <f>SUM('BS Forecasts'!AZ$147:AZ$150)</f>
        <v>0</v>
      </c>
      <c r="BA184" s="99">
        <f>SUM('BS Forecasts'!BA$147:BA$150)</f>
        <v>0</v>
      </c>
      <c r="BB184" s="99">
        <f>SUM('BS Forecasts'!BB$147:BB$150)</f>
        <v>0</v>
      </c>
      <c r="BC184" s="99">
        <f>SUM('BS Forecasts'!BC$147:BC$150)</f>
        <v>0</v>
      </c>
      <c r="BD184" s="99">
        <f>SUM('BS Forecasts'!BD$147:BD$150)</f>
        <v>0</v>
      </c>
      <c r="BE184" s="99">
        <f>SUM('BS Forecasts'!BE$147:BE$150)</f>
        <v>0</v>
      </c>
      <c r="BF184" s="99">
        <f>SUM('BS Forecasts'!BF$147:BF$150)</f>
        <v>0</v>
      </c>
      <c r="BG184" s="99">
        <f>SUM('BS Forecasts'!BG$147:BG$150)</f>
        <v>0</v>
      </c>
      <c r="BH184" s="99">
        <f>SUM('BS Forecasts'!BH$147:BH$150)</f>
        <v>0</v>
      </c>
      <c r="BI184" s="99">
        <f>SUM('BS Forecasts'!BI$147:BI$150)</f>
        <v>0</v>
      </c>
      <c r="BJ184" s="99">
        <f>SUM('BS Forecasts'!BJ$147:BJ$150)</f>
        <v>0</v>
      </c>
      <c r="BX184" s="99">
        <f>SUM('BS Forecasts'!BX$147:BX$150)</f>
        <v>0</v>
      </c>
      <c r="BY184" s="99">
        <f>SUM('BS Forecasts'!BY$147:BY$150)</f>
        <v>0</v>
      </c>
      <c r="BZ184" s="99">
        <f>SUM('BS Forecasts'!BZ$147:BZ$150)</f>
        <v>0</v>
      </c>
      <c r="CA184" s="99">
        <f>SUM('BS Forecasts'!CA$147:CA$150)</f>
        <v>0</v>
      </c>
      <c r="CB184" s="99">
        <f>SUM('BS Forecasts'!CB$147:CB$150)</f>
        <v>0</v>
      </c>
      <c r="CC184" s="99">
        <f>SUM('BS Forecasts'!CC$147:CC$150)</f>
        <v>0</v>
      </c>
      <c r="CD184" s="99">
        <f>SUM('BS Forecasts'!CD$147:CD$150)</f>
        <v>0</v>
      </c>
      <c r="CE184" s="99">
        <f>SUM('BS Forecasts'!CE$147:CE$150)</f>
        <v>0</v>
      </c>
      <c r="CF184" s="99">
        <f>SUM('BS Forecasts'!CF$147:CF$150)</f>
        <v>0</v>
      </c>
      <c r="CG184" s="99">
        <f>SUM('BS Forecasts'!CG$147:CG$150)</f>
        <v>0</v>
      </c>
      <c r="CH184" s="99">
        <f>SUM('BS Forecasts'!CH$147:CH$150)</f>
        <v>0</v>
      </c>
      <c r="CI184" s="99">
        <f>SUM('BS Forecasts'!CI$147:CI$150)</f>
        <v>0</v>
      </c>
      <c r="CK184" s="312"/>
      <c r="CO184" s="100">
        <f t="shared" si="208"/>
        <v>0</v>
      </c>
      <c r="CP184" s="100">
        <f t="shared" si="209"/>
        <v>0</v>
      </c>
      <c r="CQ184" s="100">
        <f t="shared" si="210"/>
        <v>0</v>
      </c>
      <c r="CR184" s="311"/>
      <c r="CS184" s="215">
        <f t="shared" si="211"/>
        <v>0</v>
      </c>
      <c r="CT184" s="215">
        <f t="shared" si="212"/>
        <v>0</v>
      </c>
      <c r="CU184" s="215">
        <f t="shared" si="213"/>
        <v>0</v>
      </c>
      <c r="CV184" s="215">
        <f t="shared" si="214"/>
        <v>0</v>
      </c>
      <c r="CW184" s="215">
        <f t="shared" si="215"/>
        <v>0</v>
      </c>
      <c r="CX184" s="215">
        <f t="shared" si="216"/>
        <v>0</v>
      </c>
      <c r="CY184" s="215">
        <f t="shared" si="217"/>
        <v>0</v>
      </c>
      <c r="EX184" s="10" t="str">
        <f t="shared" ref="EX184:EX219" si="218">IF($C184="","",$D184)</f>
        <v>Repayment of Capital Grants</v>
      </c>
    </row>
    <row r="185" spans="1:154" ht="72.5" x14ac:dyDescent="0.35">
      <c r="A185" s="537" cm="1">
        <f t="array" aca="1" ref="A185" ca="1">HYPERLINK(CONCATENATE("#",CELL("address",IF(MAX($CK185:$CR185)=0,A185,INDEX($CK185:$CR185,MATCH(1,$CK185:$CR185,0))))),MAX($CK185:$CR185))</f>
        <v>0</v>
      </c>
      <c r="C185" s="213" t="s">
        <v>1591</v>
      </c>
      <c r="D185" s="120" t="s">
        <v>1592</v>
      </c>
      <c r="E185" s="558" t="str" cm="1">
        <f t="array" aca="1" ref="E185" ca="1">HYPERLINK(CONCATENATE("#",CELL("address",'Investing Inputs'!$D$28)),'Investing Inputs'!$D$28)</f>
        <v>Land &amp; Buildings Sub-Total</v>
      </c>
      <c r="F185" s="558" t="str" cm="1">
        <f t="array" aca="1" ref="F185" ca="1">HYPERLINK(CONCATENATE("#",CELL("address",'Investing Inputs'!$D$35)),'Investing Inputs'!$D$35)</f>
        <v>Land &amp; Buildings Donations Sub-Total</v>
      </c>
      <c r="G185" s="558" t="str" cm="1">
        <f t="array" aca="1" ref="G185" ca="1">HYPERLINK(CONCATENATE("#",CELL("address",'Investing Inputs'!$D$42)),'Investing Inputs'!$D$42)</f>
        <v>Land &amp; Buildings Finance Leases Sub-Total</v>
      </c>
      <c r="H185" s="120"/>
      <c r="V185" s="99">
        <f>0-('Investing Inputs'!V$28-'Investing Inputs'!V$35-'Investing Inputs'!V$42-'Investing Inputs'!V$49)</f>
        <v>0</v>
      </c>
      <c r="W185" s="99">
        <f>0-('Investing Inputs'!W$28-'Investing Inputs'!W$35-'Investing Inputs'!W$42-'Investing Inputs'!W$49)</f>
        <v>0</v>
      </c>
      <c r="X185" s="99">
        <f>0-('Investing Inputs'!X$28-'Investing Inputs'!X$35-'Investing Inputs'!X$42-'Investing Inputs'!X$49)</f>
        <v>0</v>
      </c>
      <c r="Y185" s="99">
        <f>0-('Investing Inputs'!Y$28-'Investing Inputs'!Y$35-'Investing Inputs'!Y$42-'Investing Inputs'!Y$49)</f>
        <v>0</v>
      </c>
      <c r="AA185" s="99">
        <f>0-('Investing Inputs'!AA$28-'Investing Inputs'!AA$35-'Investing Inputs'!AA$42-'Investing Inputs'!AA$49)</f>
        <v>0</v>
      </c>
      <c r="AB185" s="99">
        <f>0-('Investing Inputs'!AB$28-'Investing Inputs'!AB$35-'Investing Inputs'!AB$42-'Investing Inputs'!AB$49)</f>
        <v>0</v>
      </c>
      <c r="AC185" s="99">
        <f>0-('Investing Inputs'!AC$28-'Investing Inputs'!AC$35-'Investing Inputs'!AC$42-'Investing Inputs'!AC$49)</f>
        <v>0</v>
      </c>
      <c r="AD185" s="99">
        <f>0-('Investing Inputs'!AD$28-'Investing Inputs'!AD$35-'Investing Inputs'!AD$42-'Investing Inputs'!AD$49)</f>
        <v>0</v>
      </c>
      <c r="AE185" s="99">
        <f>0-('Investing Inputs'!AE$28-'Investing Inputs'!AE$35-'Investing Inputs'!AE$42-'Investing Inputs'!AE$49)</f>
        <v>0</v>
      </c>
      <c r="AF185" s="99">
        <f>0-('Investing Inputs'!AF$28-'Investing Inputs'!AF$35-'Investing Inputs'!AF$42-'Investing Inputs'!AF$49)</f>
        <v>0</v>
      </c>
      <c r="AG185" s="99">
        <f>0-('Investing Inputs'!AG$28-'Investing Inputs'!AG$35-'Investing Inputs'!AG$42-'Investing Inputs'!AG$49)</f>
        <v>0</v>
      </c>
      <c r="AH185" s="99">
        <f>0-('Investing Inputs'!AH$28-'Investing Inputs'!AH$35-'Investing Inputs'!AH$42-'Investing Inputs'!AH$49)</f>
        <v>0</v>
      </c>
      <c r="AI185" s="99">
        <f>0-('Investing Inputs'!AI$28-'Investing Inputs'!AI$35-'Investing Inputs'!AI$42-'Investing Inputs'!AI$49)</f>
        <v>0</v>
      </c>
      <c r="AJ185" s="99">
        <f>0-('Investing Inputs'!AJ$28-'Investing Inputs'!AJ$35-'Investing Inputs'!AJ$42-'Investing Inputs'!AJ$49)</f>
        <v>0</v>
      </c>
      <c r="AK185" s="99">
        <f>0-('Investing Inputs'!AK$28-'Investing Inputs'!AK$35-'Investing Inputs'!AK$42-'Investing Inputs'!AK$49)</f>
        <v>0</v>
      </c>
      <c r="AL185" s="99">
        <f>0-('Investing Inputs'!AL$28-'Investing Inputs'!AL$35-'Investing Inputs'!AL$42-'Investing Inputs'!AL$49)</f>
        <v>0</v>
      </c>
      <c r="AM185" s="99">
        <f>0-('Investing Inputs'!AM$28-'Investing Inputs'!AM$35-'Investing Inputs'!AM$42-'Investing Inputs'!AM$49)</f>
        <v>0</v>
      </c>
      <c r="AN185" s="99">
        <f>0-('Investing Inputs'!AN$28-'Investing Inputs'!AN$35-'Investing Inputs'!AN$42-'Investing Inputs'!AN$49)</f>
        <v>0</v>
      </c>
      <c r="AO185" s="99">
        <f>0-('Investing Inputs'!AO$28-'Investing Inputs'!AO$35-'Investing Inputs'!AO$42-'Investing Inputs'!AO$49)</f>
        <v>0</v>
      </c>
      <c r="AP185" s="99">
        <f>0-('Investing Inputs'!AP$28-'Investing Inputs'!AP$35-'Investing Inputs'!AP$42-'Investing Inputs'!AP$49)</f>
        <v>0</v>
      </c>
      <c r="AQ185" s="99">
        <f>0-('Investing Inputs'!AQ$28-'Investing Inputs'!AQ$35-'Investing Inputs'!AQ$42-'Investing Inputs'!AQ$49)</f>
        <v>0</v>
      </c>
      <c r="AR185" s="99">
        <f>0-('Investing Inputs'!AR$28-'Investing Inputs'!AR$35-'Investing Inputs'!AR$42-'Investing Inputs'!AR$49)</f>
        <v>0</v>
      </c>
      <c r="AS185" s="99">
        <f>0-('Investing Inputs'!AS$28-'Investing Inputs'!AS$35-'Investing Inputs'!AS$42-'Investing Inputs'!AS$49)</f>
        <v>0</v>
      </c>
      <c r="AT185" s="99">
        <f>0-('Investing Inputs'!AT$28-'Investing Inputs'!AT$35-'Investing Inputs'!AT$42-'Investing Inputs'!AT$49)</f>
        <v>0</v>
      </c>
      <c r="AU185" s="99">
        <f>0-('Investing Inputs'!AU$28-'Investing Inputs'!AU$35-'Investing Inputs'!AU$42-'Investing Inputs'!AU$49)</f>
        <v>0</v>
      </c>
      <c r="AV185" s="99">
        <f>0-('Investing Inputs'!AV$28-'Investing Inputs'!AV$35-'Investing Inputs'!AV$42-'Investing Inputs'!AV$49)</f>
        <v>0</v>
      </c>
      <c r="AW185" s="99">
        <f>0-('Investing Inputs'!AW$28-'Investing Inputs'!AW$35-'Investing Inputs'!AW$42-'Investing Inputs'!AW$49)</f>
        <v>0</v>
      </c>
      <c r="AX185" s="99">
        <f>0-('Investing Inputs'!AX$28-'Investing Inputs'!AX$35-'Investing Inputs'!AX$42-'Investing Inputs'!AX$49)</f>
        <v>0</v>
      </c>
      <c r="AY185" s="99">
        <f>0-('Investing Inputs'!AY$28-'Investing Inputs'!AY$35-'Investing Inputs'!AY$42-'Investing Inputs'!AY$49)</f>
        <v>0</v>
      </c>
      <c r="AZ185" s="99">
        <f>0-('Investing Inputs'!AZ$28-'Investing Inputs'!AZ$35-'Investing Inputs'!AZ$42-'Investing Inputs'!AZ$49)</f>
        <v>0</v>
      </c>
      <c r="BA185" s="99">
        <f>0-('Investing Inputs'!BA$28-'Investing Inputs'!BA$35-'Investing Inputs'!BA$42-'Investing Inputs'!BA$49)</f>
        <v>0</v>
      </c>
      <c r="BB185" s="99">
        <f>0-('Investing Inputs'!BB$28-'Investing Inputs'!BB$35-'Investing Inputs'!BB$42-'Investing Inputs'!BB$49)</f>
        <v>0</v>
      </c>
      <c r="BC185" s="99">
        <f>0-('Investing Inputs'!BC$28-'Investing Inputs'!BC$35-'Investing Inputs'!BC$42-'Investing Inputs'!BC$49)</f>
        <v>0</v>
      </c>
      <c r="BD185" s="99">
        <f>0-('Investing Inputs'!BD$28-'Investing Inputs'!BD$35-'Investing Inputs'!BD$42-'Investing Inputs'!BD$49)</f>
        <v>0</v>
      </c>
      <c r="BE185" s="99">
        <f>0-('Investing Inputs'!BE$28-'Investing Inputs'!BE$35-'Investing Inputs'!BE$42-'Investing Inputs'!BE$49)</f>
        <v>0</v>
      </c>
      <c r="BF185" s="99">
        <f>0-('Investing Inputs'!BF$28-'Investing Inputs'!BF$35-'Investing Inputs'!BF$42-'Investing Inputs'!BF$49)</f>
        <v>0</v>
      </c>
      <c r="BG185" s="99">
        <f>0-('Investing Inputs'!BG$28-'Investing Inputs'!BG$35-'Investing Inputs'!BG$42-'Investing Inputs'!BG$49)</f>
        <v>0</v>
      </c>
      <c r="BH185" s="99">
        <f>0-('Investing Inputs'!BH$28-'Investing Inputs'!BH$35-'Investing Inputs'!BH$42-'Investing Inputs'!BH$49)</f>
        <v>0</v>
      </c>
      <c r="BI185" s="99">
        <f>0-('Investing Inputs'!BI$28-'Investing Inputs'!BI$35-'Investing Inputs'!BI$42-'Investing Inputs'!BI$49)</f>
        <v>0</v>
      </c>
      <c r="BJ185" s="99">
        <f>0-('Investing Inputs'!BJ$28-'Investing Inputs'!BJ$35-'Investing Inputs'!BJ$42-'Investing Inputs'!BJ$49)</f>
        <v>0</v>
      </c>
      <c r="BX185" s="99">
        <f>0-('Investing Inputs'!BX$28-'Investing Inputs'!BX$35-'Investing Inputs'!BX$42-'Investing Inputs'!BX$49)</f>
        <v>0</v>
      </c>
      <c r="BY185" s="99">
        <f>0-('Investing Inputs'!BY$28-'Investing Inputs'!BY$35-'Investing Inputs'!BY$42-'Investing Inputs'!BY$49)</f>
        <v>0</v>
      </c>
      <c r="BZ185" s="99">
        <f>0-('Investing Inputs'!BZ$28-'Investing Inputs'!BZ$35-'Investing Inputs'!BZ$42-'Investing Inputs'!BZ$49)</f>
        <v>0</v>
      </c>
      <c r="CA185" s="99">
        <f>0-('Investing Inputs'!CA$28-'Investing Inputs'!CA$35-'Investing Inputs'!CA$42-'Investing Inputs'!CA$49)</f>
        <v>0</v>
      </c>
      <c r="CB185" s="99">
        <f>0-('Investing Inputs'!CB$28-'Investing Inputs'!CB$35-'Investing Inputs'!CB$42-'Investing Inputs'!CB$49)</f>
        <v>0</v>
      </c>
      <c r="CC185" s="99">
        <f>0-('Investing Inputs'!CC$28-'Investing Inputs'!CC$35-'Investing Inputs'!CC$42-'Investing Inputs'!CC$49)</f>
        <v>0</v>
      </c>
      <c r="CD185" s="99">
        <f>0-('Investing Inputs'!CD$28-'Investing Inputs'!CD$35-'Investing Inputs'!CD$42-'Investing Inputs'!CD$49)</f>
        <v>0</v>
      </c>
      <c r="CE185" s="99">
        <f>0-('Investing Inputs'!CE$28-'Investing Inputs'!CE$35-'Investing Inputs'!CE$42-'Investing Inputs'!CE$49)</f>
        <v>0</v>
      </c>
      <c r="CF185" s="99">
        <f>0-('Investing Inputs'!CF$28-'Investing Inputs'!CF$35-'Investing Inputs'!CF$42-'Investing Inputs'!CF$49)</f>
        <v>0</v>
      </c>
      <c r="CG185" s="99">
        <f>0-('Investing Inputs'!CG$28-'Investing Inputs'!CG$35-'Investing Inputs'!CG$42-'Investing Inputs'!CG$49)</f>
        <v>0</v>
      </c>
      <c r="CH185" s="99">
        <f>0-('Investing Inputs'!CH$28-'Investing Inputs'!CH$35-'Investing Inputs'!CH$42-'Investing Inputs'!CH$49)</f>
        <v>0</v>
      </c>
      <c r="CI185" s="99">
        <f>0-('Investing Inputs'!CI$28-'Investing Inputs'!CI$35-'Investing Inputs'!CI$42-'Investing Inputs'!CI$49)</f>
        <v>0</v>
      </c>
      <c r="CK185" s="312"/>
      <c r="CO185" s="100">
        <f t="shared" si="208"/>
        <v>0</v>
      </c>
      <c r="CP185" s="100">
        <f t="shared" si="209"/>
        <v>0</v>
      </c>
      <c r="CQ185" s="100">
        <f t="shared" si="210"/>
        <v>0</v>
      </c>
      <c r="CR185" s="311"/>
      <c r="CS185" s="215">
        <f t="shared" si="211"/>
        <v>0</v>
      </c>
      <c r="CT185" s="215">
        <f t="shared" si="212"/>
        <v>0</v>
      </c>
      <c r="CU185" s="215">
        <f t="shared" si="213"/>
        <v>0</v>
      </c>
      <c r="CV185" s="215">
        <f t="shared" si="214"/>
        <v>0</v>
      </c>
      <c r="CW185" s="215">
        <f t="shared" si="215"/>
        <v>0</v>
      </c>
      <c r="CX185" s="215">
        <f t="shared" si="216"/>
        <v>0</v>
      </c>
      <c r="CY185" s="215">
        <f t="shared" si="217"/>
        <v>0</v>
      </c>
      <c r="EX185" s="10" t="str">
        <f t="shared" si="218"/>
        <v>Payments made to acquire Land &amp; Buildings</v>
      </c>
    </row>
    <row r="186" spans="1:154" ht="72.5" x14ac:dyDescent="0.35">
      <c r="A186" s="537" cm="1">
        <f t="array" aca="1" ref="A186" ca="1">HYPERLINK(CONCATENATE("#",CELL("address",IF(MAX($CK186:$CR186)=0,A186,INDEX($CK186:$CR186,MATCH(1,$CK186:$CR186,0))))),MAX($CK186:$CR186))</f>
        <v>0</v>
      </c>
      <c r="C186" s="213" t="s">
        <v>1593</v>
      </c>
      <c r="D186" s="120" t="s">
        <v>1594</v>
      </c>
      <c r="E186" s="558" t="str" cm="1">
        <f t="array" aca="1" ref="E186" ca="1">HYPERLINK(CONCATENATE("#",CELL("address",'Investing Inputs'!$D$29)),'Investing Inputs'!$D$29)</f>
        <v>Equipment Sub-Total</v>
      </c>
      <c r="F186" s="558" t="str" cm="1">
        <f t="array" aca="1" ref="F186" ca="1">HYPERLINK(CONCATENATE("#",CELL("address",'Investing Inputs'!$D$36)),'Investing Inputs'!$D$36)</f>
        <v>Equipment Donations Sub-Total</v>
      </c>
      <c r="G186" s="558" t="str" cm="1">
        <f t="array" aca="1" ref="G186" ca="1">HYPERLINK(CONCATENATE("#",CELL("address",'Investing Inputs'!$D$43)),'Investing Inputs'!$D$43)</f>
        <v>Equipment Finance Leases Sub-Total</v>
      </c>
      <c r="H186" s="120"/>
      <c r="V186" s="99">
        <f>0-('Investing Inputs'!V$29-'Investing Inputs'!V$36-'Investing Inputs'!V$43-'Investing Inputs'!V$50)</f>
        <v>0</v>
      </c>
      <c r="W186" s="99">
        <f>0-('Investing Inputs'!W$29-'Investing Inputs'!W$36-'Investing Inputs'!W$43-'Investing Inputs'!W$50)</f>
        <v>0</v>
      </c>
      <c r="X186" s="99">
        <f>0-('Investing Inputs'!X$29-'Investing Inputs'!X$36-'Investing Inputs'!X$43-'Investing Inputs'!X$50)</f>
        <v>0</v>
      </c>
      <c r="Y186" s="99">
        <f>0-('Investing Inputs'!Y$29-'Investing Inputs'!Y$36-'Investing Inputs'!Y$43-'Investing Inputs'!Y$50)</f>
        <v>0</v>
      </c>
      <c r="AA186" s="99">
        <f>0-('Investing Inputs'!AA$29-'Investing Inputs'!AA$36-'Investing Inputs'!AA$43-'Investing Inputs'!AA$50)</f>
        <v>0</v>
      </c>
      <c r="AB186" s="99">
        <f>0-('Investing Inputs'!AB$29-'Investing Inputs'!AB$36-'Investing Inputs'!AB$43-'Investing Inputs'!AB$50)</f>
        <v>0</v>
      </c>
      <c r="AC186" s="99">
        <f>0-('Investing Inputs'!AC$29-'Investing Inputs'!AC$36-'Investing Inputs'!AC$43-'Investing Inputs'!AC$50)</f>
        <v>0</v>
      </c>
      <c r="AD186" s="99">
        <f>0-('Investing Inputs'!AD$29-'Investing Inputs'!AD$36-'Investing Inputs'!AD$43-'Investing Inputs'!AD$50)</f>
        <v>0</v>
      </c>
      <c r="AE186" s="99">
        <f>0-('Investing Inputs'!AE$29-'Investing Inputs'!AE$36-'Investing Inputs'!AE$43-'Investing Inputs'!AE$50)</f>
        <v>0</v>
      </c>
      <c r="AF186" s="99">
        <f>0-('Investing Inputs'!AF$29-'Investing Inputs'!AF$36-'Investing Inputs'!AF$43-'Investing Inputs'!AF$50)</f>
        <v>0</v>
      </c>
      <c r="AG186" s="99">
        <f>0-('Investing Inputs'!AG$29-'Investing Inputs'!AG$36-'Investing Inputs'!AG$43-'Investing Inputs'!AG$50)</f>
        <v>0</v>
      </c>
      <c r="AH186" s="99">
        <f>0-('Investing Inputs'!AH$29-'Investing Inputs'!AH$36-'Investing Inputs'!AH$43-'Investing Inputs'!AH$50)</f>
        <v>0</v>
      </c>
      <c r="AI186" s="99">
        <f>0-('Investing Inputs'!AI$29-'Investing Inputs'!AI$36-'Investing Inputs'!AI$43-'Investing Inputs'!AI$50)</f>
        <v>0</v>
      </c>
      <c r="AJ186" s="99">
        <f>0-('Investing Inputs'!AJ$29-'Investing Inputs'!AJ$36-'Investing Inputs'!AJ$43-'Investing Inputs'!AJ$50)</f>
        <v>0</v>
      </c>
      <c r="AK186" s="99">
        <f>0-('Investing Inputs'!AK$29-'Investing Inputs'!AK$36-'Investing Inputs'!AK$43-'Investing Inputs'!AK$50)</f>
        <v>0</v>
      </c>
      <c r="AL186" s="99">
        <f>0-('Investing Inputs'!AL$29-'Investing Inputs'!AL$36-'Investing Inputs'!AL$43-'Investing Inputs'!AL$50)</f>
        <v>0</v>
      </c>
      <c r="AM186" s="99">
        <f>0-('Investing Inputs'!AM$29-'Investing Inputs'!AM$36-'Investing Inputs'!AM$43-'Investing Inputs'!AM$50)</f>
        <v>0</v>
      </c>
      <c r="AN186" s="99">
        <f>0-('Investing Inputs'!AN$29-'Investing Inputs'!AN$36-'Investing Inputs'!AN$43-'Investing Inputs'!AN$50)</f>
        <v>0</v>
      </c>
      <c r="AO186" s="99">
        <f>0-('Investing Inputs'!AO$29-'Investing Inputs'!AO$36-'Investing Inputs'!AO$43-'Investing Inputs'!AO$50)</f>
        <v>0</v>
      </c>
      <c r="AP186" s="99">
        <f>0-('Investing Inputs'!AP$29-'Investing Inputs'!AP$36-'Investing Inputs'!AP$43-'Investing Inputs'!AP$50)</f>
        <v>0</v>
      </c>
      <c r="AQ186" s="99">
        <f>0-('Investing Inputs'!AQ$29-'Investing Inputs'!AQ$36-'Investing Inputs'!AQ$43-'Investing Inputs'!AQ$50)</f>
        <v>0</v>
      </c>
      <c r="AR186" s="99">
        <f>0-('Investing Inputs'!AR$29-'Investing Inputs'!AR$36-'Investing Inputs'!AR$43-'Investing Inputs'!AR$50)</f>
        <v>0</v>
      </c>
      <c r="AS186" s="99">
        <f>0-('Investing Inputs'!AS$29-'Investing Inputs'!AS$36-'Investing Inputs'!AS$43-'Investing Inputs'!AS$50)</f>
        <v>0</v>
      </c>
      <c r="AT186" s="99">
        <f>0-('Investing Inputs'!AT$29-'Investing Inputs'!AT$36-'Investing Inputs'!AT$43-'Investing Inputs'!AT$50)</f>
        <v>0</v>
      </c>
      <c r="AU186" s="99">
        <f>0-('Investing Inputs'!AU$29-'Investing Inputs'!AU$36-'Investing Inputs'!AU$43-'Investing Inputs'!AU$50)</f>
        <v>0</v>
      </c>
      <c r="AV186" s="99">
        <f>0-('Investing Inputs'!AV$29-'Investing Inputs'!AV$36-'Investing Inputs'!AV$43-'Investing Inputs'!AV$50)</f>
        <v>0</v>
      </c>
      <c r="AW186" s="99">
        <f>0-('Investing Inputs'!AW$29-'Investing Inputs'!AW$36-'Investing Inputs'!AW$43-'Investing Inputs'!AW$50)</f>
        <v>0</v>
      </c>
      <c r="AX186" s="99">
        <f>0-('Investing Inputs'!AX$29-'Investing Inputs'!AX$36-'Investing Inputs'!AX$43-'Investing Inputs'!AX$50)</f>
        <v>0</v>
      </c>
      <c r="AY186" s="99">
        <f>0-('Investing Inputs'!AY$29-'Investing Inputs'!AY$36-'Investing Inputs'!AY$43-'Investing Inputs'!AY$50)</f>
        <v>0</v>
      </c>
      <c r="AZ186" s="99">
        <f>0-('Investing Inputs'!AZ$29-'Investing Inputs'!AZ$36-'Investing Inputs'!AZ$43-'Investing Inputs'!AZ$50)</f>
        <v>0</v>
      </c>
      <c r="BA186" s="99">
        <f>0-('Investing Inputs'!BA$29-'Investing Inputs'!BA$36-'Investing Inputs'!BA$43-'Investing Inputs'!BA$50)</f>
        <v>0</v>
      </c>
      <c r="BB186" s="99">
        <f>0-('Investing Inputs'!BB$29-'Investing Inputs'!BB$36-'Investing Inputs'!BB$43-'Investing Inputs'!BB$50)</f>
        <v>0</v>
      </c>
      <c r="BC186" s="99">
        <f>0-('Investing Inputs'!BC$29-'Investing Inputs'!BC$36-'Investing Inputs'!BC$43-'Investing Inputs'!BC$50)</f>
        <v>0</v>
      </c>
      <c r="BD186" s="99">
        <f>0-('Investing Inputs'!BD$29-'Investing Inputs'!BD$36-'Investing Inputs'!BD$43-'Investing Inputs'!BD$50)</f>
        <v>0</v>
      </c>
      <c r="BE186" s="99">
        <f>0-('Investing Inputs'!BE$29-'Investing Inputs'!BE$36-'Investing Inputs'!BE$43-'Investing Inputs'!BE$50)</f>
        <v>0</v>
      </c>
      <c r="BF186" s="99">
        <f>0-('Investing Inputs'!BF$29-'Investing Inputs'!BF$36-'Investing Inputs'!BF$43-'Investing Inputs'!BF$50)</f>
        <v>0</v>
      </c>
      <c r="BG186" s="99">
        <f>0-('Investing Inputs'!BG$29-'Investing Inputs'!BG$36-'Investing Inputs'!BG$43-'Investing Inputs'!BG$50)</f>
        <v>0</v>
      </c>
      <c r="BH186" s="99">
        <f>0-('Investing Inputs'!BH$29-'Investing Inputs'!BH$36-'Investing Inputs'!BH$43-'Investing Inputs'!BH$50)</f>
        <v>0</v>
      </c>
      <c r="BI186" s="99">
        <f>0-('Investing Inputs'!BI$29-'Investing Inputs'!BI$36-'Investing Inputs'!BI$43-'Investing Inputs'!BI$50)</f>
        <v>0</v>
      </c>
      <c r="BJ186" s="99">
        <f>0-('Investing Inputs'!BJ$29-'Investing Inputs'!BJ$36-'Investing Inputs'!BJ$43-'Investing Inputs'!BJ$50)</f>
        <v>0</v>
      </c>
      <c r="BK186" s="99">
        <f>0-('Investing Inputs'!BK$29-'Investing Inputs'!BK$36-'Investing Inputs'!BK$43-'Investing Inputs'!BK$50)</f>
        <v>0</v>
      </c>
      <c r="BL186" s="99">
        <f>0-('Investing Inputs'!BL$29-'Investing Inputs'!BL$36-'Investing Inputs'!BL$43-'Investing Inputs'!BL$50)</f>
        <v>0</v>
      </c>
      <c r="BM186" s="99">
        <f>0-('Investing Inputs'!BM$29-'Investing Inputs'!BM$36-'Investing Inputs'!BM$43-'Investing Inputs'!BM$50)</f>
        <v>0</v>
      </c>
      <c r="BN186" s="99">
        <f>0-('Investing Inputs'!BN$29-'Investing Inputs'!BN$36-'Investing Inputs'!BN$43-'Investing Inputs'!BN$50)</f>
        <v>0</v>
      </c>
      <c r="BO186" s="99">
        <f>0-('Investing Inputs'!BO$29-'Investing Inputs'!BO$36-'Investing Inputs'!BO$43-'Investing Inputs'!BO$50)</f>
        <v>0</v>
      </c>
      <c r="BP186" s="99">
        <f>0-('Investing Inputs'!BP$29-'Investing Inputs'!BP$36-'Investing Inputs'!BP$43-'Investing Inputs'!BP$50)</f>
        <v>0</v>
      </c>
      <c r="BQ186" s="99">
        <f>0-('Investing Inputs'!BQ$29-'Investing Inputs'!BQ$36-'Investing Inputs'!BQ$43-'Investing Inputs'!BQ$50)</f>
        <v>0</v>
      </c>
      <c r="BR186" s="99">
        <f>0-('Investing Inputs'!BR$29-'Investing Inputs'!BR$36-'Investing Inputs'!BR$43-'Investing Inputs'!BR$50)</f>
        <v>0</v>
      </c>
      <c r="BX186" s="99">
        <f>0-('Investing Inputs'!BX$29-'Investing Inputs'!BX$36-'Investing Inputs'!BX$43-'Investing Inputs'!BX$50)</f>
        <v>0</v>
      </c>
      <c r="BY186" s="99">
        <f>0-('Investing Inputs'!BY$29-'Investing Inputs'!BY$36-'Investing Inputs'!BY$43-'Investing Inputs'!BY$50)</f>
        <v>0</v>
      </c>
      <c r="BZ186" s="99">
        <f>0-('Investing Inputs'!BZ$29-'Investing Inputs'!BZ$36-'Investing Inputs'!BZ$43-'Investing Inputs'!BZ$50)</f>
        <v>0</v>
      </c>
      <c r="CA186" s="99">
        <f>0-('Investing Inputs'!CA$29-'Investing Inputs'!CA$36-'Investing Inputs'!CA$43-'Investing Inputs'!CA$50)</f>
        <v>0</v>
      </c>
      <c r="CB186" s="99">
        <f>0-('Investing Inputs'!CB$29-'Investing Inputs'!CB$36-'Investing Inputs'!CB$43-'Investing Inputs'!CB$50)</f>
        <v>0</v>
      </c>
      <c r="CC186" s="99">
        <f>0-('Investing Inputs'!CC$29-'Investing Inputs'!CC$36-'Investing Inputs'!CC$43-'Investing Inputs'!CC$50)</f>
        <v>0</v>
      </c>
      <c r="CD186" s="99">
        <f>0-('Investing Inputs'!CD$29-'Investing Inputs'!CD$36-'Investing Inputs'!CD$43-'Investing Inputs'!CD$50)</f>
        <v>0</v>
      </c>
      <c r="CE186" s="99">
        <f>0-('Investing Inputs'!CE$29-'Investing Inputs'!CE$36-'Investing Inputs'!CE$43-'Investing Inputs'!CE$50)</f>
        <v>0</v>
      </c>
      <c r="CF186" s="99">
        <f>0-('Investing Inputs'!CF$29-'Investing Inputs'!CF$36-'Investing Inputs'!CF$43-'Investing Inputs'!CF$50)</f>
        <v>0</v>
      </c>
      <c r="CG186" s="99">
        <f>0-('Investing Inputs'!CG$29-'Investing Inputs'!CG$36-'Investing Inputs'!CG$43-'Investing Inputs'!CG$50)</f>
        <v>0</v>
      </c>
      <c r="CH186" s="99">
        <f>0-('Investing Inputs'!CH$29-'Investing Inputs'!CH$36-'Investing Inputs'!CH$43-'Investing Inputs'!CH$50)</f>
        <v>0</v>
      </c>
      <c r="CI186" s="99">
        <f>0-('Investing Inputs'!CI$29-'Investing Inputs'!CI$36-'Investing Inputs'!CI$43-'Investing Inputs'!CI$50)</f>
        <v>0</v>
      </c>
      <c r="CK186" s="312"/>
      <c r="CO186" s="100">
        <f t="shared" si="208"/>
        <v>0</v>
      </c>
      <c r="CP186" s="100">
        <f t="shared" si="209"/>
        <v>0</v>
      </c>
      <c r="CQ186" s="100">
        <f t="shared" si="210"/>
        <v>0</v>
      </c>
      <c r="CR186" s="311"/>
      <c r="CS186" s="215">
        <f t="shared" si="211"/>
        <v>0</v>
      </c>
      <c r="CT186" s="215">
        <f t="shared" si="212"/>
        <v>0</v>
      </c>
      <c r="CU186" s="215">
        <f t="shared" si="213"/>
        <v>0</v>
      </c>
      <c r="CV186" s="215">
        <f t="shared" si="214"/>
        <v>0</v>
      </c>
      <c r="CW186" s="215">
        <f t="shared" si="215"/>
        <v>0</v>
      </c>
      <c r="CX186" s="215">
        <f t="shared" si="216"/>
        <v>0</v>
      </c>
      <c r="CY186" s="215">
        <f t="shared" si="217"/>
        <v>0</v>
      </c>
      <c r="EX186" s="10" t="str">
        <f t="shared" si="218"/>
        <v>Payments made to acquire Equipment</v>
      </c>
    </row>
    <row r="187" spans="1:154" ht="58" x14ac:dyDescent="0.35">
      <c r="A187" s="537" cm="1">
        <f t="array" aca="1" ref="A187" ca="1">HYPERLINK(CONCATENATE("#",CELL("address",IF(MAX($CK187:$CR187)=0,A187,INDEX($CK187:$CR187,MATCH(1,$CK187:$CR187,0))))),MAX($CK187:$CR187))</f>
        <v>0</v>
      </c>
      <c r="C187" s="213" t="s">
        <v>1595</v>
      </c>
      <c r="D187" s="120" t="s">
        <v>1596</v>
      </c>
      <c r="E187" s="558" t="str" cm="1">
        <f t="array" aca="1" ref="E187" ca="1">HYPERLINK(CONCATENATE("#",CELL("address",'Investing Inputs'!$D$30)),'Investing Inputs'!$D$30)</f>
        <v>Other Sub-Total</v>
      </c>
      <c r="F187" s="558" t="str" cm="1">
        <f t="array" aca="1" ref="F187" ca="1">HYPERLINK(CONCATENATE("#",CELL("address",'Investing Inputs'!$D$37)),'Investing Inputs'!$D$37)</f>
        <v>Other Donations Sub-Total</v>
      </c>
      <c r="G187" s="558" t="str" cm="1">
        <f t="array" aca="1" ref="G187" ca="1">HYPERLINK(CONCATENATE("#",CELL("address",'Investing Inputs'!$D$44)),'Investing Inputs'!$D$44)</f>
        <v>Other - Finance Leases Sub-Total</v>
      </c>
      <c r="H187" s="120"/>
      <c r="V187" s="99">
        <f>0-('Investing Inputs'!V$30-'Investing Inputs'!V$37-'Investing Inputs'!V$44-'Investing Inputs'!V$51)</f>
        <v>0</v>
      </c>
      <c r="W187" s="99">
        <f>0-('Investing Inputs'!W$30-'Investing Inputs'!W$37-'Investing Inputs'!W$44-'Investing Inputs'!W$51)</f>
        <v>0</v>
      </c>
      <c r="X187" s="99">
        <f>0-('Investing Inputs'!X$30-'Investing Inputs'!X$37-'Investing Inputs'!X$44-'Investing Inputs'!X$51)</f>
        <v>0</v>
      </c>
      <c r="Y187" s="99">
        <f>0-('Investing Inputs'!Y$30-'Investing Inputs'!Y$37-'Investing Inputs'!Y$44-'Investing Inputs'!Y$51)</f>
        <v>0</v>
      </c>
      <c r="AA187" s="99">
        <f>0-('Investing Inputs'!AA$30-'Investing Inputs'!AA$37-'Investing Inputs'!AA$44-'Investing Inputs'!AA$51)</f>
        <v>0</v>
      </c>
      <c r="AB187" s="99">
        <f>0-('Investing Inputs'!AB$30-'Investing Inputs'!AB$37-'Investing Inputs'!AB$44-'Investing Inputs'!AB$51)</f>
        <v>0</v>
      </c>
      <c r="AC187" s="99">
        <f>0-('Investing Inputs'!AC$30-'Investing Inputs'!AC$37-'Investing Inputs'!AC$44-'Investing Inputs'!AC$51)</f>
        <v>0</v>
      </c>
      <c r="AD187" s="99">
        <f>0-('Investing Inputs'!AD$30-'Investing Inputs'!AD$37-'Investing Inputs'!AD$44-'Investing Inputs'!AD$51)</f>
        <v>0</v>
      </c>
      <c r="AE187" s="99">
        <f>0-('Investing Inputs'!AE$30-'Investing Inputs'!AE$37-'Investing Inputs'!AE$44-'Investing Inputs'!AE$51)</f>
        <v>0</v>
      </c>
      <c r="AF187" s="99">
        <f>0-('Investing Inputs'!AF$30-'Investing Inputs'!AF$37-'Investing Inputs'!AF$44-'Investing Inputs'!AF$51)</f>
        <v>0</v>
      </c>
      <c r="AG187" s="99">
        <f>0-('Investing Inputs'!AG$30-'Investing Inputs'!AG$37-'Investing Inputs'!AG$44-'Investing Inputs'!AG$51)</f>
        <v>0</v>
      </c>
      <c r="AH187" s="99">
        <f>0-('Investing Inputs'!AH$30-'Investing Inputs'!AH$37-'Investing Inputs'!AH$44-'Investing Inputs'!AH$51)</f>
        <v>0</v>
      </c>
      <c r="AI187" s="99">
        <f>0-('Investing Inputs'!AI$30-'Investing Inputs'!AI$37-'Investing Inputs'!AI$44-'Investing Inputs'!AI$51)</f>
        <v>0</v>
      </c>
      <c r="AJ187" s="99">
        <f>0-('Investing Inputs'!AJ$30-'Investing Inputs'!AJ$37-'Investing Inputs'!AJ$44-'Investing Inputs'!AJ$51)</f>
        <v>0</v>
      </c>
      <c r="AK187" s="99">
        <f>0-('Investing Inputs'!AK$30-'Investing Inputs'!AK$37-'Investing Inputs'!AK$44-'Investing Inputs'!AK$51)</f>
        <v>0</v>
      </c>
      <c r="AL187" s="99">
        <f>0-('Investing Inputs'!AL$30-'Investing Inputs'!AL$37-'Investing Inputs'!AL$44-'Investing Inputs'!AL$51)</f>
        <v>0</v>
      </c>
      <c r="AM187" s="99">
        <f>0-('Investing Inputs'!AM$30-'Investing Inputs'!AM$37-'Investing Inputs'!AM$44-'Investing Inputs'!AM$51)</f>
        <v>0</v>
      </c>
      <c r="AN187" s="99">
        <f>0-('Investing Inputs'!AN$30-'Investing Inputs'!AN$37-'Investing Inputs'!AN$44-'Investing Inputs'!AN$51)</f>
        <v>0</v>
      </c>
      <c r="AO187" s="99">
        <f>0-('Investing Inputs'!AO$30-'Investing Inputs'!AO$37-'Investing Inputs'!AO$44-'Investing Inputs'!AO$51)</f>
        <v>0</v>
      </c>
      <c r="AP187" s="99">
        <f>0-('Investing Inputs'!AP$30-'Investing Inputs'!AP$37-'Investing Inputs'!AP$44-'Investing Inputs'!AP$51)</f>
        <v>0</v>
      </c>
      <c r="AQ187" s="99">
        <f>0-('Investing Inputs'!AQ$30-'Investing Inputs'!AQ$37-'Investing Inputs'!AQ$44-'Investing Inputs'!AQ$51)</f>
        <v>0</v>
      </c>
      <c r="AR187" s="99">
        <f>0-('Investing Inputs'!AR$30-'Investing Inputs'!AR$37-'Investing Inputs'!AR$44-'Investing Inputs'!AR$51)</f>
        <v>0</v>
      </c>
      <c r="AS187" s="99">
        <f>0-('Investing Inputs'!AS$30-'Investing Inputs'!AS$37-'Investing Inputs'!AS$44-'Investing Inputs'!AS$51)</f>
        <v>0</v>
      </c>
      <c r="AT187" s="99">
        <f>0-('Investing Inputs'!AT$30-'Investing Inputs'!AT$37-'Investing Inputs'!AT$44-'Investing Inputs'!AT$51)</f>
        <v>0</v>
      </c>
      <c r="AU187" s="99">
        <f>0-('Investing Inputs'!AU$30-'Investing Inputs'!AU$37-'Investing Inputs'!AU$44-'Investing Inputs'!AU$51)</f>
        <v>0</v>
      </c>
      <c r="AV187" s="99">
        <f>0-('Investing Inputs'!AV$30-'Investing Inputs'!AV$37-'Investing Inputs'!AV$44-'Investing Inputs'!AV$51)</f>
        <v>0</v>
      </c>
      <c r="AW187" s="99">
        <f>0-('Investing Inputs'!AW$30-'Investing Inputs'!AW$37-'Investing Inputs'!AW$44-'Investing Inputs'!AW$51)</f>
        <v>0</v>
      </c>
      <c r="AX187" s="99">
        <f>0-('Investing Inputs'!AX$30-'Investing Inputs'!AX$37-'Investing Inputs'!AX$44-'Investing Inputs'!AX$51)</f>
        <v>0</v>
      </c>
      <c r="AY187" s="99">
        <f>0-('Investing Inputs'!AY$30-'Investing Inputs'!AY$37-'Investing Inputs'!AY$44-'Investing Inputs'!AY$51)</f>
        <v>0</v>
      </c>
      <c r="AZ187" s="99">
        <f>0-('Investing Inputs'!AZ$30-'Investing Inputs'!AZ$37-'Investing Inputs'!AZ$44-'Investing Inputs'!AZ$51)</f>
        <v>0</v>
      </c>
      <c r="BA187" s="99">
        <f>0-('Investing Inputs'!BA$30-'Investing Inputs'!BA$37-'Investing Inputs'!BA$44-'Investing Inputs'!BA$51)</f>
        <v>0</v>
      </c>
      <c r="BB187" s="99">
        <f>0-('Investing Inputs'!BB$30-'Investing Inputs'!BB$37-'Investing Inputs'!BB$44-'Investing Inputs'!BB$51)</f>
        <v>0</v>
      </c>
      <c r="BC187" s="99">
        <f>0-('Investing Inputs'!BC$30-'Investing Inputs'!BC$37-'Investing Inputs'!BC$44-'Investing Inputs'!BC$51)</f>
        <v>0</v>
      </c>
      <c r="BD187" s="99">
        <f>0-('Investing Inputs'!BD$30-'Investing Inputs'!BD$37-'Investing Inputs'!BD$44-'Investing Inputs'!BD$51)</f>
        <v>0</v>
      </c>
      <c r="BE187" s="99">
        <f>0-('Investing Inputs'!BE$30-'Investing Inputs'!BE$37-'Investing Inputs'!BE$44-'Investing Inputs'!BE$51)</f>
        <v>0</v>
      </c>
      <c r="BF187" s="99">
        <f>0-('Investing Inputs'!BF$30-'Investing Inputs'!BF$37-'Investing Inputs'!BF$44-'Investing Inputs'!BF$51)</f>
        <v>0</v>
      </c>
      <c r="BG187" s="99">
        <f>0-('Investing Inputs'!BG$30-'Investing Inputs'!BG$37-'Investing Inputs'!BG$44-'Investing Inputs'!BG$51)</f>
        <v>0</v>
      </c>
      <c r="BH187" s="99">
        <f>0-('Investing Inputs'!BH$30-'Investing Inputs'!BH$37-'Investing Inputs'!BH$44-'Investing Inputs'!BH$51)</f>
        <v>0</v>
      </c>
      <c r="BI187" s="99">
        <f>0-('Investing Inputs'!BI$30-'Investing Inputs'!BI$37-'Investing Inputs'!BI$44-'Investing Inputs'!BI$51)</f>
        <v>0</v>
      </c>
      <c r="BJ187" s="99">
        <f>0-('Investing Inputs'!BJ$30-'Investing Inputs'!BJ$37-'Investing Inputs'!BJ$44-'Investing Inputs'!BJ$51)</f>
        <v>0</v>
      </c>
      <c r="BX187" s="99">
        <f>0-('Investing Inputs'!BX$30-'Investing Inputs'!BX$37-'Investing Inputs'!BX$44-'Investing Inputs'!BX$51)</f>
        <v>0</v>
      </c>
      <c r="BY187" s="99">
        <f>0-('Investing Inputs'!BY$30-'Investing Inputs'!BY$37-'Investing Inputs'!BY$44-'Investing Inputs'!BY$51)</f>
        <v>0</v>
      </c>
      <c r="BZ187" s="99">
        <f>0-('Investing Inputs'!BZ$30-'Investing Inputs'!BZ$37-'Investing Inputs'!BZ$44-'Investing Inputs'!BZ$51)</f>
        <v>0</v>
      </c>
      <c r="CA187" s="99">
        <f>0-('Investing Inputs'!CA$30-'Investing Inputs'!CA$37-'Investing Inputs'!CA$44-'Investing Inputs'!CA$51)</f>
        <v>0</v>
      </c>
      <c r="CB187" s="99">
        <f>0-('Investing Inputs'!CB$30-'Investing Inputs'!CB$37-'Investing Inputs'!CB$44-'Investing Inputs'!CB$51)</f>
        <v>0</v>
      </c>
      <c r="CC187" s="99">
        <f>0-('Investing Inputs'!CC$30-'Investing Inputs'!CC$37-'Investing Inputs'!CC$44-'Investing Inputs'!CC$51)</f>
        <v>0</v>
      </c>
      <c r="CD187" s="99">
        <f>0-('Investing Inputs'!CD$30-'Investing Inputs'!CD$37-'Investing Inputs'!CD$44-'Investing Inputs'!CD$51)</f>
        <v>0</v>
      </c>
      <c r="CE187" s="99">
        <f>0-('Investing Inputs'!CE$30-'Investing Inputs'!CE$37-'Investing Inputs'!CE$44-'Investing Inputs'!CE$51)</f>
        <v>0</v>
      </c>
      <c r="CF187" s="99">
        <f>0-('Investing Inputs'!CF$30-'Investing Inputs'!CF$37-'Investing Inputs'!CF$44-'Investing Inputs'!CF$51)</f>
        <v>0</v>
      </c>
      <c r="CG187" s="99">
        <f>0-('Investing Inputs'!CG$30-'Investing Inputs'!CG$37-'Investing Inputs'!CG$44-'Investing Inputs'!CG$51)</f>
        <v>0</v>
      </c>
      <c r="CH187" s="99">
        <f>0-('Investing Inputs'!CH$30-'Investing Inputs'!CH$37-'Investing Inputs'!CH$44-'Investing Inputs'!CH$51)</f>
        <v>0</v>
      </c>
      <c r="CI187" s="99">
        <f>0-('Investing Inputs'!CI$30-'Investing Inputs'!CI$37-'Investing Inputs'!CI$44-'Investing Inputs'!CI$51)</f>
        <v>0</v>
      </c>
      <c r="CK187" s="311"/>
      <c r="CO187" s="100">
        <f t="shared" si="208"/>
        <v>0</v>
      </c>
      <c r="CP187" s="100">
        <f t="shared" si="209"/>
        <v>0</v>
      </c>
      <c r="CQ187" s="100">
        <f t="shared" si="210"/>
        <v>0</v>
      </c>
      <c r="CR187" s="311"/>
      <c r="CS187" s="215">
        <f t="shared" si="211"/>
        <v>0</v>
      </c>
      <c r="CT187" s="215">
        <f t="shared" si="212"/>
        <v>0</v>
      </c>
      <c r="CU187" s="215">
        <f t="shared" si="213"/>
        <v>0</v>
      </c>
      <c r="CV187" s="215">
        <f t="shared" si="214"/>
        <v>0</v>
      </c>
      <c r="CW187" s="215">
        <f t="shared" si="215"/>
        <v>0</v>
      </c>
      <c r="CX187" s="215">
        <f t="shared" si="216"/>
        <v>0</v>
      </c>
      <c r="CY187" s="215">
        <f t="shared" si="217"/>
        <v>0</v>
      </c>
      <c r="EX187" s="10" t="str">
        <f t="shared" si="218"/>
        <v>Payments made towards Other Non-Current Assets</v>
      </c>
    </row>
    <row r="188" spans="1:154" ht="101.5" x14ac:dyDescent="0.35">
      <c r="A188" s="537" cm="1">
        <f t="array" aca="1" ref="A188" ca="1">HYPERLINK(CONCATENATE("#",CELL("address",IF(MAX($CK188:$CR188)=0,A188,INDEX($CK188:$CR188,MATCH(1,$CK188:$CR188,0))))),MAX($CK188:$CR188))</f>
        <v>0</v>
      </c>
      <c r="C188" s="213" t="s">
        <v>1597</v>
      </c>
      <c r="D188" s="120" t="s">
        <v>1598</v>
      </c>
      <c r="E188" s="558" t="str" cm="1">
        <f t="array" aca="1" ref="E188" ca="1">HYPERLINK(CONCATENATE("#",CELL("address",'Investing Inputs'!$D$31)),'Investing Inputs'!$D$31)</f>
        <v>Assets under Construction</v>
      </c>
      <c r="F188" s="558" t="str" cm="1">
        <f t="array" aca="1" ref="F188" ca="1">HYPERLINK(CONCATENATE("#",CELL("address",'Investing Inputs'!$D$38)),'Investing Inputs'!$D$38)</f>
        <v>Assets Under Construction Donations Sub-Total</v>
      </c>
      <c r="G188" s="558" t="str" cm="1">
        <f t="array" aca="1" ref="G188" ca="1">HYPERLINK(CONCATENATE("#",CELL("address",'Investing Inputs'!$D$45)),'Investing Inputs'!$D$45)</f>
        <v>Assets Under Construction Finance Leases Sub-Total</v>
      </c>
      <c r="H188" s="120"/>
      <c r="V188" s="99">
        <f>0-('Investing Inputs'!V$31-'Investing Inputs'!V$38-'Investing Inputs'!V$45-'Investing Inputs'!V$52)</f>
        <v>0</v>
      </c>
      <c r="W188" s="99">
        <f>0-('Investing Inputs'!W$31-'Investing Inputs'!W$38-'Investing Inputs'!W$45-'Investing Inputs'!W$52)</f>
        <v>0</v>
      </c>
      <c r="X188" s="99">
        <f>0-('Investing Inputs'!X$31-'Investing Inputs'!X$38-'Investing Inputs'!X$45-'Investing Inputs'!X$52)</f>
        <v>0</v>
      </c>
      <c r="Y188" s="99">
        <f>0-('Investing Inputs'!Y$31-'Investing Inputs'!Y$38-'Investing Inputs'!Y$45-'Investing Inputs'!Y$52)</f>
        <v>0</v>
      </c>
      <c r="AA188" s="99">
        <f>0-('Investing Inputs'!AA$31-'Investing Inputs'!AA$38-'Investing Inputs'!AA$45-'Investing Inputs'!AA$52)</f>
        <v>0</v>
      </c>
      <c r="AB188" s="99">
        <f>0-('Investing Inputs'!AB$31-'Investing Inputs'!AB$38-'Investing Inputs'!AB$45-'Investing Inputs'!AB$52)</f>
        <v>0</v>
      </c>
      <c r="AC188" s="99">
        <f>0-('Investing Inputs'!AC$31-'Investing Inputs'!AC$38-'Investing Inputs'!AC$45-'Investing Inputs'!AC$52)</f>
        <v>0</v>
      </c>
      <c r="AD188" s="99">
        <f>0-('Investing Inputs'!AD$31-'Investing Inputs'!AD$38-'Investing Inputs'!AD$45-'Investing Inputs'!AD$52)</f>
        <v>0</v>
      </c>
      <c r="AE188" s="99">
        <f>0-('Investing Inputs'!AE$31-'Investing Inputs'!AE$38-'Investing Inputs'!AE$45-'Investing Inputs'!AE$52)</f>
        <v>0</v>
      </c>
      <c r="AF188" s="99">
        <f>0-('Investing Inputs'!AF$31-'Investing Inputs'!AF$38-'Investing Inputs'!AF$45-'Investing Inputs'!AF$52)</f>
        <v>0</v>
      </c>
      <c r="AG188" s="99">
        <f>0-('Investing Inputs'!AG$31-'Investing Inputs'!AG$38-'Investing Inputs'!AG$45-'Investing Inputs'!AG$52)</f>
        <v>0</v>
      </c>
      <c r="AH188" s="99">
        <f>0-('Investing Inputs'!AH$31-'Investing Inputs'!AH$38-'Investing Inputs'!AH$45-'Investing Inputs'!AH$52)</f>
        <v>0</v>
      </c>
      <c r="AI188" s="99">
        <f>0-('Investing Inputs'!AI$31-'Investing Inputs'!AI$38-'Investing Inputs'!AI$45-'Investing Inputs'!AI$52)</f>
        <v>0</v>
      </c>
      <c r="AJ188" s="99">
        <f>0-('Investing Inputs'!AJ$31-'Investing Inputs'!AJ$38-'Investing Inputs'!AJ$45-'Investing Inputs'!AJ$52)</f>
        <v>0</v>
      </c>
      <c r="AK188" s="99">
        <f>0-('Investing Inputs'!AK$31-'Investing Inputs'!AK$38-'Investing Inputs'!AK$45-'Investing Inputs'!AK$52)</f>
        <v>0</v>
      </c>
      <c r="AL188" s="99">
        <f>0-('Investing Inputs'!AL$31-'Investing Inputs'!AL$38-'Investing Inputs'!AL$45-'Investing Inputs'!AL$52)</f>
        <v>0</v>
      </c>
      <c r="AM188" s="99">
        <f>0-('Investing Inputs'!AM$31-'Investing Inputs'!AM$38-'Investing Inputs'!AM$45-'Investing Inputs'!AM$52)</f>
        <v>0</v>
      </c>
      <c r="AN188" s="99">
        <f>0-('Investing Inputs'!AN$31-'Investing Inputs'!AN$38-'Investing Inputs'!AN$45-'Investing Inputs'!AN$52)</f>
        <v>0</v>
      </c>
      <c r="AO188" s="99">
        <f>0-('Investing Inputs'!AO$31-'Investing Inputs'!AO$38-'Investing Inputs'!AO$45-'Investing Inputs'!AO$52)</f>
        <v>0</v>
      </c>
      <c r="AP188" s="99">
        <f>0-('Investing Inputs'!AP$31-'Investing Inputs'!AP$38-'Investing Inputs'!AP$45-'Investing Inputs'!AP$52)</f>
        <v>0</v>
      </c>
      <c r="AQ188" s="99">
        <f>0-('Investing Inputs'!AQ$31-'Investing Inputs'!AQ$38-'Investing Inputs'!AQ$45-'Investing Inputs'!AQ$52)</f>
        <v>0</v>
      </c>
      <c r="AR188" s="99">
        <f>0-('Investing Inputs'!AR$31-'Investing Inputs'!AR$38-'Investing Inputs'!AR$45-'Investing Inputs'!AR$52)</f>
        <v>0</v>
      </c>
      <c r="AS188" s="99">
        <f>0-('Investing Inputs'!AS$31-'Investing Inputs'!AS$38-'Investing Inputs'!AS$45-'Investing Inputs'!AS$52)</f>
        <v>0</v>
      </c>
      <c r="AT188" s="99">
        <f>0-('Investing Inputs'!AT$31-'Investing Inputs'!AT$38-'Investing Inputs'!AT$45-'Investing Inputs'!AT$52)</f>
        <v>0</v>
      </c>
      <c r="AU188" s="99">
        <f>0-('Investing Inputs'!AU$31-'Investing Inputs'!AU$38-'Investing Inputs'!AU$45-'Investing Inputs'!AU$52)</f>
        <v>0</v>
      </c>
      <c r="AV188" s="99">
        <f>0-('Investing Inputs'!AV$31-'Investing Inputs'!AV$38-'Investing Inputs'!AV$45-'Investing Inputs'!AV$52)</f>
        <v>0</v>
      </c>
      <c r="AW188" s="99">
        <f>0-('Investing Inputs'!AW$31-'Investing Inputs'!AW$38-'Investing Inputs'!AW$45-'Investing Inputs'!AW$52)</f>
        <v>0</v>
      </c>
      <c r="AX188" s="99">
        <f>0-('Investing Inputs'!AX$31-'Investing Inputs'!AX$38-'Investing Inputs'!AX$45-'Investing Inputs'!AX$52)</f>
        <v>0</v>
      </c>
      <c r="AY188" s="99">
        <f>0-('Investing Inputs'!AY$31-'Investing Inputs'!AY$38-'Investing Inputs'!AY$45-'Investing Inputs'!AY$52)</f>
        <v>0</v>
      </c>
      <c r="AZ188" s="99">
        <f>0-('Investing Inputs'!AZ$31-'Investing Inputs'!AZ$38-'Investing Inputs'!AZ$45-'Investing Inputs'!AZ$52)</f>
        <v>0</v>
      </c>
      <c r="BA188" s="99">
        <f>0-('Investing Inputs'!BA$31-'Investing Inputs'!BA$38-'Investing Inputs'!BA$45-'Investing Inputs'!BA$52)</f>
        <v>0</v>
      </c>
      <c r="BB188" s="99">
        <f>0-('Investing Inputs'!BB$31-'Investing Inputs'!BB$38-'Investing Inputs'!BB$45-'Investing Inputs'!BB$52)</f>
        <v>0</v>
      </c>
      <c r="BC188" s="99">
        <f>0-('Investing Inputs'!BC$31-'Investing Inputs'!BC$38-'Investing Inputs'!BC$45-'Investing Inputs'!BC$52)</f>
        <v>0</v>
      </c>
      <c r="BD188" s="99">
        <f>0-('Investing Inputs'!BD$31-'Investing Inputs'!BD$38-'Investing Inputs'!BD$45-'Investing Inputs'!BD$52)</f>
        <v>0</v>
      </c>
      <c r="BE188" s="99">
        <f>0-('Investing Inputs'!BE$31-'Investing Inputs'!BE$38-'Investing Inputs'!BE$45-'Investing Inputs'!BE$52)</f>
        <v>0</v>
      </c>
      <c r="BF188" s="99">
        <f>0-('Investing Inputs'!BF$31-'Investing Inputs'!BF$38-'Investing Inputs'!BF$45-'Investing Inputs'!BF$52)</f>
        <v>0</v>
      </c>
      <c r="BG188" s="99">
        <f>0-('Investing Inputs'!BG$31-'Investing Inputs'!BG$38-'Investing Inputs'!BG$45-'Investing Inputs'!BG$52)</f>
        <v>0</v>
      </c>
      <c r="BH188" s="99">
        <f>0-('Investing Inputs'!BH$31-'Investing Inputs'!BH$38-'Investing Inputs'!BH$45-'Investing Inputs'!BH$52)</f>
        <v>0</v>
      </c>
      <c r="BI188" s="99">
        <f>0-('Investing Inputs'!BI$31-'Investing Inputs'!BI$38-'Investing Inputs'!BI$45-'Investing Inputs'!BI$52)</f>
        <v>0</v>
      </c>
      <c r="BJ188" s="99">
        <f>0-('Investing Inputs'!BJ$31-'Investing Inputs'!BJ$38-'Investing Inputs'!BJ$45-'Investing Inputs'!BJ$52)</f>
        <v>0</v>
      </c>
      <c r="BX188" s="99">
        <f>0-('Investing Inputs'!BX$31-'Investing Inputs'!BX$38-'Investing Inputs'!BX$45-'Investing Inputs'!BX$52)</f>
        <v>0</v>
      </c>
      <c r="BY188" s="99">
        <f>0-('Investing Inputs'!BY$31-'Investing Inputs'!BY$38-'Investing Inputs'!BY$45-'Investing Inputs'!BY$52)</f>
        <v>0</v>
      </c>
      <c r="BZ188" s="99">
        <f>0-('Investing Inputs'!BZ$31-'Investing Inputs'!BZ$38-'Investing Inputs'!BZ$45-'Investing Inputs'!BZ$52)</f>
        <v>0</v>
      </c>
      <c r="CA188" s="99">
        <f>0-('Investing Inputs'!CA$31-'Investing Inputs'!CA$38-'Investing Inputs'!CA$45-'Investing Inputs'!CA$52)</f>
        <v>0</v>
      </c>
      <c r="CB188" s="99">
        <f>0-('Investing Inputs'!CB$31-'Investing Inputs'!CB$38-'Investing Inputs'!CB$45-'Investing Inputs'!CB$52)</f>
        <v>0</v>
      </c>
      <c r="CC188" s="99">
        <f>0-('Investing Inputs'!CC$31-'Investing Inputs'!CC$38-'Investing Inputs'!CC$45-'Investing Inputs'!CC$52)</f>
        <v>0</v>
      </c>
      <c r="CD188" s="99">
        <f>0-('Investing Inputs'!CD$31-'Investing Inputs'!CD$38-'Investing Inputs'!CD$45-'Investing Inputs'!CD$52)</f>
        <v>0</v>
      </c>
      <c r="CE188" s="99">
        <f>0-('Investing Inputs'!CE$31-'Investing Inputs'!CE$38-'Investing Inputs'!CE$45-'Investing Inputs'!CE$52)</f>
        <v>0</v>
      </c>
      <c r="CF188" s="99">
        <f>0-('Investing Inputs'!CF$31-'Investing Inputs'!CF$38-'Investing Inputs'!CF$45-'Investing Inputs'!CF$52)</f>
        <v>0</v>
      </c>
      <c r="CG188" s="99">
        <f>0-('Investing Inputs'!CG$31-'Investing Inputs'!CG$38-'Investing Inputs'!CG$45-'Investing Inputs'!CG$52)</f>
        <v>0</v>
      </c>
      <c r="CH188" s="99">
        <f>0-('Investing Inputs'!CH$31-'Investing Inputs'!CH$38-'Investing Inputs'!CH$45-'Investing Inputs'!CH$52)</f>
        <v>0</v>
      </c>
      <c r="CI188" s="99">
        <f>0-('Investing Inputs'!CI$31-'Investing Inputs'!CI$38-'Investing Inputs'!CI$45-'Investing Inputs'!CI$52)</f>
        <v>0</v>
      </c>
      <c r="CK188" s="311"/>
      <c r="CO188" s="100">
        <f t="shared" si="208"/>
        <v>0</v>
      </c>
      <c r="CP188" s="100">
        <f t="shared" si="209"/>
        <v>0</v>
      </c>
      <c r="CQ188" s="100">
        <f t="shared" si="210"/>
        <v>0</v>
      </c>
      <c r="CR188" s="311"/>
      <c r="CS188" s="215">
        <f t="shared" si="211"/>
        <v>0</v>
      </c>
      <c r="CT188" s="215">
        <f t="shared" si="212"/>
        <v>0</v>
      </c>
      <c r="CU188" s="215">
        <f t="shared" si="213"/>
        <v>0</v>
      </c>
      <c r="CV188" s="215">
        <f t="shared" si="214"/>
        <v>0</v>
      </c>
      <c r="CW188" s="215">
        <f t="shared" si="215"/>
        <v>0</v>
      </c>
      <c r="CX188" s="215">
        <f t="shared" si="216"/>
        <v>0</v>
      </c>
      <c r="CY188" s="215">
        <f t="shared" si="217"/>
        <v>0</v>
      </c>
      <c r="EX188" s="10" t="str">
        <f t="shared" si="218"/>
        <v>Payments made towards Assets under Construction</v>
      </c>
    </row>
    <row r="189" spans="1:154" x14ac:dyDescent="0.35">
      <c r="A189" s="537" cm="1">
        <f t="array" aca="1" ref="A189" ca="1">HYPERLINK(CONCATENATE("#",CELL("address",IF(MAX($CK189:$CR189)=0,A189,INDEX($CK189:$CR189,MATCH(1,$CK189:$CR189,0))))),MAX($CK189:$CR189))</f>
        <v>0</v>
      </c>
      <c r="C189" s="213" t="s">
        <v>1599</v>
      </c>
      <c r="D189" s="120" t="s">
        <v>1600</v>
      </c>
      <c r="E189" s="558" t="str" cm="1">
        <f t="array" aca="1" ref="E189" ca="1">HYPERLINK(CONCATENATE("#",CELL("address",'Investing Inputs'!$D$263)),'Investing Inputs'!$D$261)</f>
        <v>Investments</v>
      </c>
      <c r="F189" s="120"/>
      <c r="G189" s="120"/>
      <c r="H189" s="120"/>
      <c r="V189" s="99">
        <f>0-'Investing Inputs'!V263</f>
        <v>0</v>
      </c>
      <c r="W189" s="99">
        <f>0-'Investing Inputs'!W263</f>
        <v>0</v>
      </c>
      <c r="X189" s="99">
        <f>0-'Investing Inputs'!X263</f>
        <v>0</v>
      </c>
      <c r="Y189" s="99">
        <f>0-'Investing Inputs'!Y263</f>
        <v>0</v>
      </c>
      <c r="AA189" s="99">
        <f>0-'Investing Inputs'!AA263</f>
        <v>0</v>
      </c>
      <c r="AB189" s="99">
        <f>0-'Investing Inputs'!AB263</f>
        <v>0</v>
      </c>
      <c r="AC189" s="99">
        <f>0-'Investing Inputs'!AC263</f>
        <v>0</v>
      </c>
      <c r="AD189" s="99">
        <f>0-'Investing Inputs'!AD263</f>
        <v>0</v>
      </c>
      <c r="AE189" s="99">
        <f>0-'Investing Inputs'!AE263</f>
        <v>0</v>
      </c>
      <c r="AF189" s="99">
        <f>0-'Investing Inputs'!AF263</f>
        <v>0</v>
      </c>
      <c r="AG189" s="99">
        <f>0-'Investing Inputs'!AG263</f>
        <v>0</v>
      </c>
      <c r="AH189" s="99">
        <f>0-'Investing Inputs'!AH263</f>
        <v>0</v>
      </c>
      <c r="AI189" s="99">
        <f>0-'Investing Inputs'!AI263</f>
        <v>0</v>
      </c>
      <c r="AJ189" s="99">
        <f>0-'Investing Inputs'!AJ263</f>
        <v>0</v>
      </c>
      <c r="AK189" s="99">
        <f>0-'Investing Inputs'!AK263</f>
        <v>0</v>
      </c>
      <c r="AL189" s="99">
        <f>0-'Investing Inputs'!AL263</f>
        <v>0</v>
      </c>
      <c r="AM189" s="99">
        <f>0-'Investing Inputs'!AM263</f>
        <v>0</v>
      </c>
      <c r="AN189" s="99">
        <f>0-'Investing Inputs'!AN263</f>
        <v>0</v>
      </c>
      <c r="AO189" s="99">
        <f>0-'Investing Inputs'!AO263</f>
        <v>0</v>
      </c>
      <c r="AP189" s="99">
        <f>0-'Investing Inputs'!AP263</f>
        <v>0</v>
      </c>
      <c r="AQ189" s="99">
        <f>0-'Investing Inputs'!AQ263</f>
        <v>0</v>
      </c>
      <c r="AR189" s="99">
        <f>0-'Investing Inputs'!AR263</f>
        <v>0</v>
      </c>
      <c r="AS189" s="99">
        <f>0-'Investing Inputs'!AS263</f>
        <v>0</v>
      </c>
      <c r="AT189" s="99">
        <f>0-'Investing Inputs'!AT263</f>
        <v>0</v>
      </c>
      <c r="AU189" s="99">
        <f>0-'Investing Inputs'!AU263</f>
        <v>0</v>
      </c>
      <c r="AV189" s="99">
        <f>0-'Investing Inputs'!AV263</f>
        <v>0</v>
      </c>
      <c r="AW189" s="99">
        <f>0-'Investing Inputs'!AW263</f>
        <v>0</v>
      </c>
      <c r="AX189" s="99">
        <f>0-'Investing Inputs'!AX263</f>
        <v>0</v>
      </c>
      <c r="AY189" s="99">
        <f>0-'Investing Inputs'!AY263</f>
        <v>0</v>
      </c>
      <c r="AZ189" s="99">
        <f>0-'Investing Inputs'!AZ263</f>
        <v>0</v>
      </c>
      <c r="BA189" s="99">
        <f>0-'Investing Inputs'!BA263</f>
        <v>0</v>
      </c>
      <c r="BB189" s="99">
        <f>0-'Investing Inputs'!BB263</f>
        <v>0</v>
      </c>
      <c r="BC189" s="99">
        <f>0-'Investing Inputs'!BC263</f>
        <v>0</v>
      </c>
      <c r="BD189" s="99">
        <f>0-'Investing Inputs'!BD263</f>
        <v>0</v>
      </c>
      <c r="BE189" s="99">
        <f>0-'Investing Inputs'!BE263</f>
        <v>0</v>
      </c>
      <c r="BF189" s="99">
        <f>0-'Investing Inputs'!BF263</f>
        <v>0</v>
      </c>
      <c r="BG189" s="99">
        <f>0-'Investing Inputs'!BG263</f>
        <v>0</v>
      </c>
      <c r="BH189" s="99">
        <f>0-'Investing Inputs'!BH263</f>
        <v>0</v>
      </c>
      <c r="BI189" s="99">
        <f>0-'Investing Inputs'!BI263</f>
        <v>0</v>
      </c>
      <c r="BJ189" s="99">
        <f>0-'Investing Inputs'!BJ263</f>
        <v>0</v>
      </c>
      <c r="BX189" s="99">
        <f>0-'Investing Inputs'!BX263</f>
        <v>0</v>
      </c>
      <c r="BY189" s="99">
        <f>0-'Investing Inputs'!BY263</f>
        <v>0</v>
      </c>
      <c r="BZ189" s="99">
        <f>0-'Investing Inputs'!BZ263</f>
        <v>0</v>
      </c>
      <c r="CA189" s="99">
        <f>0-'Investing Inputs'!CA263</f>
        <v>0</v>
      </c>
      <c r="CB189" s="99">
        <f>0-'Investing Inputs'!CB263</f>
        <v>0</v>
      </c>
      <c r="CC189" s="99">
        <f>0-'Investing Inputs'!CC263</f>
        <v>0</v>
      </c>
      <c r="CD189" s="99">
        <f>0-'Investing Inputs'!CD263</f>
        <v>0</v>
      </c>
      <c r="CE189" s="99">
        <f>0-'Investing Inputs'!CE263</f>
        <v>0</v>
      </c>
      <c r="CF189" s="99">
        <f>0-'Investing Inputs'!CF263</f>
        <v>0</v>
      </c>
      <c r="CG189" s="99">
        <f>0-'Investing Inputs'!CG263</f>
        <v>0</v>
      </c>
      <c r="CH189" s="99">
        <f>0-'Investing Inputs'!CH263</f>
        <v>0</v>
      </c>
      <c r="CI189" s="99">
        <f>0-'Investing Inputs'!CI263</f>
        <v>0</v>
      </c>
      <c r="CK189" s="312"/>
      <c r="CO189" s="100">
        <f t="shared" si="208"/>
        <v>0</v>
      </c>
      <c r="CP189" s="100">
        <f t="shared" si="209"/>
        <v>0</v>
      </c>
      <c r="CQ189" s="100">
        <f t="shared" si="210"/>
        <v>0</v>
      </c>
      <c r="CR189" s="311"/>
      <c r="CS189" s="215">
        <f t="shared" si="211"/>
        <v>0</v>
      </c>
      <c r="CT189" s="215">
        <f t="shared" si="212"/>
        <v>0</v>
      </c>
      <c r="CU189" s="215">
        <f t="shared" si="213"/>
        <v>0</v>
      </c>
      <c r="CV189" s="215">
        <f t="shared" si="214"/>
        <v>0</v>
      </c>
      <c r="CW189" s="215">
        <f t="shared" si="215"/>
        <v>0</v>
      </c>
      <c r="CX189" s="215">
        <f t="shared" si="216"/>
        <v>0</v>
      </c>
      <c r="CY189" s="215">
        <f t="shared" si="217"/>
        <v>0</v>
      </c>
      <c r="EX189" s="10" t="str">
        <f t="shared" si="218"/>
        <v>Payments made to acquire Investments</v>
      </c>
    </row>
    <row r="190" spans="1:154" ht="29" x14ac:dyDescent="0.35">
      <c r="A190" s="537" cm="1">
        <f t="array" aca="1" ref="A190" ca="1">HYPERLINK(CONCATENATE("#",CELL("address",IF(MAX($CK190:$CR190)=0,A190,INDEX($CK190:$CR190,MATCH(1,$CK190:$CR190,0))))),MAX($CK190:$CR190))</f>
        <v>0</v>
      </c>
      <c r="C190" s="213" t="s">
        <v>1601</v>
      </c>
      <c r="D190" s="57" t="s">
        <v>1602</v>
      </c>
      <c r="E190" s="558" t="str" cm="1">
        <f t="array" aca="1" ref="E190" ca="1">HYPERLINK(CONCATENATE("#",CELL("address",'BS Forecasts'!$D$179)),LEFT('BS Forecasts'!$D$178,23))</f>
        <v>Fixed Assets Retentions</v>
      </c>
      <c r="F190" s="120"/>
      <c r="G190" s="120"/>
      <c r="H190" s="120"/>
      <c r="V190" s="12">
        <f>('Opening Balances'!W48-'Opening Balances'!V48)*'Opening Balances'!$V$86</f>
        <v>0</v>
      </c>
      <c r="W190" s="99">
        <f>(W$101-V$101)</f>
        <v>0</v>
      </c>
      <c r="X190" s="99">
        <f>(X$101-W$101)</f>
        <v>0</v>
      </c>
      <c r="Y190" s="99">
        <f>(Y$101-X$101)</f>
        <v>0</v>
      </c>
      <c r="AA190" s="12">
        <f>(AA$101-V$101)</f>
        <v>0</v>
      </c>
      <c r="AB190" s="99">
        <f t="shared" ref="AB190:BJ190" si="219">(AB$101-AA$101)</f>
        <v>0</v>
      </c>
      <c r="AC190" s="99">
        <f t="shared" si="219"/>
        <v>0</v>
      </c>
      <c r="AD190" s="99">
        <f t="shared" si="219"/>
        <v>0</v>
      </c>
      <c r="AE190" s="99">
        <f t="shared" si="219"/>
        <v>0</v>
      </c>
      <c r="AF190" s="99">
        <f t="shared" si="219"/>
        <v>0</v>
      </c>
      <c r="AG190" s="99">
        <f t="shared" si="219"/>
        <v>0</v>
      </c>
      <c r="AH190" s="99">
        <f t="shared" si="219"/>
        <v>0</v>
      </c>
      <c r="AI190" s="99">
        <f t="shared" si="219"/>
        <v>0</v>
      </c>
      <c r="AJ190" s="99">
        <f t="shared" si="219"/>
        <v>0</v>
      </c>
      <c r="AK190" s="99">
        <f t="shared" si="219"/>
        <v>0</v>
      </c>
      <c r="AL190" s="99">
        <f t="shared" si="219"/>
        <v>0</v>
      </c>
      <c r="AM190" s="99">
        <f t="shared" si="219"/>
        <v>0</v>
      </c>
      <c r="AN190" s="99">
        <f t="shared" si="219"/>
        <v>0</v>
      </c>
      <c r="AO190" s="99">
        <f t="shared" si="219"/>
        <v>0</v>
      </c>
      <c r="AP190" s="99">
        <f t="shared" si="219"/>
        <v>0</v>
      </c>
      <c r="AQ190" s="99">
        <f t="shared" si="219"/>
        <v>0</v>
      </c>
      <c r="AR190" s="99">
        <f t="shared" si="219"/>
        <v>0</v>
      </c>
      <c r="AS190" s="99">
        <f t="shared" si="219"/>
        <v>0</v>
      </c>
      <c r="AT190" s="99">
        <f t="shared" si="219"/>
        <v>0</v>
      </c>
      <c r="AU190" s="99">
        <f t="shared" si="219"/>
        <v>0</v>
      </c>
      <c r="AV190" s="99">
        <f t="shared" si="219"/>
        <v>0</v>
      </c>
      <c r="AW190" s="99">
        <f t="shared" si="219"/>
        <v>0</v>
      </c>
      <c r="AX190" s="99">
        <f t="shared" si="219"/>
        <v>0</v>
      </c>
      <c r="AY190" s="99">
        <f t="shared" si="219"/>
        <v>0</v>
      </c>
      <c r="AZ190" s="99">
        <f t="shared" si="219"/>
        <v>0</v>
      </c>
      <c r="BA190" s="99">
        <f t="shared" si="219"/>
        <v>0</v>
      </c>
      <c r="BB190" s="99">
        <f t="shared" si="219"/>
        <v>0</v>
      </c>
      <c r="BC190" s="99">
        <f t="shared" si="219"/>
        <v>0</v>
      </c>
      <c r="BD190" s="99">
        <f t="shared" si="219"/>
        <v>0</v>
      </c>
      <c r="BE190" s="99">
        <f t="shared" si="219"/>
        <v>0</v>
      </c>
      <c r="BF190" s="99">
        <f t="shared" si="219"/>
        <v>0</v>
      </c>
      <c r="BG190" s="99">
        <f t="shared" si="219"/>
        <v>0</v>
      </c>
      <c r="BH190" s="99">
        <f t="shared" si="219"/>
        <v>0</v>
      </c>
      <c r="BI190" s="99">
        <f t="shared" si="219"/>
        <v>0</v>
      </c>
      <c r="BJ190" s="99">
        <f t="shared" si="219"/>
        <v>0</v>
      </c>
      <c r="BX190" s="12">
        <f>V190</f>
        <v>0</v>
      </c>
      <c r="BY190" s="99">
        <f t="shared" ref="BY190:CI190" si="220">(BY$101-BX$101)</f>
        <v>0</v>
      </c>
      <c r="BZ190" s="99">
        <f t="shared" si="220"/>
        <v>0</v>
      </c>
      <c r="CA190" s="99">
        <f t="shared" si="220"/>
        <v>0</v>
      </c>
      <c r="CB190" s="99">
        <f t="shared" si="220"/>
        <v>0</v>
      </c>
      <c r="CC190" s="99">
        <f t="shared" si="220"/>
        <v>0</v>
      </c>
      <c r="CD190" s="99">
        <f t="shared" si="220"/>
        <v>0</v>
      </c>
      <c r="CE190" s="99">
        <f t="shared" si="220"/>
        <v>0</v>
      </c>
      <c r="CF190" s="99">
        <f t="shared" si="220"/>
        <v>0</v>
      </c>
      <c r="CG190" s="99">
        <f t="shared" si="220"/>
        <v>0</v>
      </c>
      <c r="CH190" s="99">
        <f t="shared" si="220"/>
        <v>0</v>
      </c>
      <c r="CI190" s="99">
        <f t="shared" si="220"/>
        <v>0</v>
      </c>
      <c r="CK190" s="312"/>
      <c r="CO190" s="100">
        <f t="shared" si="208"/>
        <v>0</v>
      </c>
      <c r="CP190" s="100">
        <f t="shared" si="209"/>
        <v>0</v>
      </c>
      <c r="CQ190" s="100">
        <f t="shared" si="210"/>
        <v>0</v>
      </c>
      <c r="CR190" s="311"/>
      <c r="CS190" s="215">
        <f t="shared" si="211"/>
        <v>0</v>
      </c>
      <c r="CT190" s="215">
        <f t="shared" si="212"/>
        <v>0</v>
      </c>
      <c r="CU190" s="215">
        <f t="shared" si="213"/>
        <v>0</v>
      </c>
      <c r="CV190" s="215">
        <f t="shared" si="214"/>
        <v>0</v>
      </c>
      <c r="CW190" s="215">
        <f t="shared" si="215"/>
        <v>0</v>
      </c>
      <c r="CX190" s="215">
        <f t="shared" si="216"/>
        <v>0</v>
      </c>
      <c r="CY190" s="215">
        <f t="shared" si="217"/>
        <v>0</v>
      </c>
      <c r="EX190" s="10" t="str">
        <f t="shared" si="218"/>
        <v>Movement in Fixed Assets Retentions</v>
      </c>
    </row>
    <row r="191" spans="1:154" ht="29" x14ac:dyDescent="0.35">
      <c r="A191" s="537" cm="1">
        <f t="array" aca="1" ref="A191" ca="1">HYPERLINK(CONCATENATE("#",CELL("address",IF(MAX($CK191:$CR191)=0,A191,INDEX($CK191:$CR191,MATCH(1,$CK191:$CR191,0))))),MAX($CK191:$CR191))</f>
        <v>0</v>
      </c>
      <c r="C191" s="213" t="s">
        <v>1603</v>
      </c>
      <c r="D191" s="120" t="s">
        <v>1604</v>
      </c>
      <c r="E191" s="558" t="str" cm="1">
        <f t="array" aca="1" ref="E191" ca="1">HYPERLINK(CONCATENATE("#",CELL("address",'BS Forecasts'!D$86)),'BS Forecasts'!D$85)</f>
        <v xml:space="preserve">Restricted Cash </v>
      </c>
      <c r="F191" s="120"/>
      <c r="G191" s="120"/>
      <c r="H191" s="120"/>
      <c r="V191" s="12">
        <f>0-('Opening Balances'!W30-'Opening Balances'!V30)*'Opening Balances'!$V$86</f>
        <v>0</v>
      </c>
      <c r="W191" s="99">
        <f>0-('BS Forecasts'!W$86-'BS Forecasts'!V$86)</f>
        <v>0</v>
      </c>
      <c r="X191" s="99">
        <f>0-('BS Forecasts'!X$86-'BS Forecasts'!W$86)</f>
        <v>0</v>
      </c>
      <c r="Y191" s="99">
        <f>0-('BS Forecasts'!Y$86-'BS Forecasts'!X$86)</f>
        <v>0</v>
      </c>
      <c r="AA191" s="12">
        <f>0-('BS Forecasts'!AA$86-'BS Forecasts'!V$86)</f>
        <v>0</v>
      </c>
      <c r="AB191" s="99">
        <f>0-('BS Forecasts'!AB$86-'BS Forecasts'!AA$86)</f>
        <v>0</v>
      </c>
      <c r="AC191" s="99">
        <f>0-('BS Forecasts'!AC$86-'BS Forecasts'!AB$86)</f>
        <v>0</v>
      </c>
      <c r="AD191" s="99">
        <f>0-('BS Forecasts'!AD$86-'BS Forecasts'!AC$86)</f>
        <v>0</v>
      </c>
      <c r="AE191" s="99">
        <f>0-('BS Forecasts'!AE$86-'BS Forecasts'!AD$86)</f>
        <v>0</v>
      </c>
      <c r="AF191" s="99">
        <f>0-('BS Forecasts'!AF$86-'BS Forecasts'!AE$86)</f>
        <v>0</v>
      </c>
      <c r="AG191" s="99">
        <f>0-('BS Forecasts'!AG$86-'BS Forecasts'!AF$86)</f>
        <v>0</v>
      </c>
      <c r="AH191" s="99">
        <f>0-('BS Forecasts'!AH$86-'BS Forecasts'!AG$86)</f>
        <v>0</v>
      </c>
      <c r="AI191" s="99">
        <f>0-('BS Forecasts'!AI$86-'BS Forecasts'!AH$86)</f>
        <v>0</v>
      </c>
      <c r="AJ191" s="99">
        <f>0-('BS Forecasts'!AJ$86-'BS Forecasts'!AI$86)</f>
        <v>0</v>
      </c>
      <c r="AK191" s="99">
        <f>0-('BS Forecasts'!AK$86-'BS Forecasts'!AJ$86)</f>
        <v>0</v>
      </c>
      <c r="AL191" s="99">
        <f>0-('BS Forecasts'!AL$86-'BS Forecasts'!AK$86)</f>
        <v>0</v>
      </c>
      <c r="AM191" s="99">
        <f>0-('BS Forecasts'!AM$86-'BS Forecasts'!AL$86)</f>
        <v>0</v>
      </c>
      <c r="AN191" s="99">
        <f>0-('BS Forecasts'!AN$86-'BS Forecasts'!AM$86)</f>
        <v>0</v>
      </c>
      <c r="AO191" s="99">
        <f>0-('BS Forecasts'!AO$86-'BS Forecasts'!AN$86)</f>
        <v>0</v>
      </c>
      <c r="AP191" s="99">
        <f>0-('BS Forecasts'!AP$86-'BS Forecasts'!AO$86)</f>
        <v>0</v>
      </c>
      <c r="AQ191" s="99">
        <f>0-('BS Forecasts'!AQ$86-'BS Forecasts'!AP$86)</f>
        <v>0</v>
      </c>
      <c r="AR191" s="99">
        <f>0-('BS Forecasts'!AR$86-'BS Forecasts'!AQ$86)</f>
        <v>0</v>
      </c>
      <c r="AS191" s="99">
        <f>0-('BS Forecasts'!AS$86-'BS Forecasts'!AR$86)</f>
        <v>0</v>
      </c>
      <c r="AT191" s="99">
        <f>0-('BS Forecasts'!AT$86-'BS Forecasts'!AS$86)</f>
        <v>0</v>
      </c>
      <c r="AU191" s="99">
        <f>0-('BS Forecasts'!AU$86-'BS Forecasts'!AT$86)</f>
        <v>0</v>
      </c>
      <c r="AV191" s="99">
        <f>0-('BS Forecasts'!AV$86-'BS Forecasts'!AU$86)</f>
        <v>0</v>
      </c>
      <c r="AW191" s="99">
        <f>0-('BS Forecasts'!AW$86-'BS Forecasts'!AV$86)</f>
        <v>0</v>
      </c>
      <c r="AX191" s="99">
        <f>0-('BS Forecasts'!AX$86-'BS Forecasts'!AW$86)</f>
        <v>0</v>
      </c>
      <c r="AY191" s="99">
        <f>0-('BS Forecasts'!AY$86-'BS Forecasts'!AX$86)</f>
        <v>0</v>
      </c>
      <c r="AZ191" s="99">
        <f>0-('BS Forecasts'!AZ$86-'BS Forecasts'!AY$86)</f>
        <v>0</v>
      </c>
      <c r="BA191" s="99">
        <f>0-('BS Forecasts'!BA$86-'BS Forecasts'!AZ$86)</f>
        <v>0</v>
      </c>
      <c r="BB191" s="99">
        <f>0-('BS Forecasts'!BB$86-'BS Forecasts'!BA$86)</f>
        <v>0</v>
      </c>
      <c r="BC191" s="99">
        <f>0-('BS Forecasts'!BC$86-'BS Forecasts'!BB$86)</f>
        <v>0</v>
      </c>
      <c r="BD191" s="99">
        <f>0-('BS Forecasts'!BD$86-'BS Forecasts'!BC$86)</f>
        <v>0</v>
      </c>
      <c r="BE191" s="99">
        <f>0-('BS Forecasts'!BE$86-'BS Forecasts'!BD$86)</f>
        <v>0</v>
      </c>
      <c r="BF191" s="99">
        <f>0-('BS Forecasts'!BF$86-'BS Forecasts'!BE$86)</f>
        <v>0</v>
      </c>
      <c r="BG191" s="99">
        <f>0-('BS Forecasts'!BG$86-'BS Forecasts'!BF$86)</f>
        <v>0</v>
      </c>
      <c r="BH191" s="99">
        <f>0-('BS Forecasts'!BH$86-'BS Forecasts'!BG$86)</f>
        <v>0</v>
      </c>
      <c r="BI191" s="99">
        <f>0-('BS Forecasts'!BI$86-'BS Forecasts'!BH$86)</f>
        <v>0</v>
      </c>
      <c r="BJ191" s="99">
        <f>0-('BS Forecasts'!BJ$86-'BS Forecasts'!BI$86)</f>
        <v>0</v>
      </c>
      <c r="BX191" s="12">
        <f>V191</f>
        <v>0</v>
      </c>
      <c r="BY191" s="99">
        <f>0-('BS Forecasts'!BY$86-'BS Forecasts'!BX$86)</f>
        <v>0</v>
      </c>
      <c r="BZ191" s="99">
        <f>0-('BS Forecasts'!BZ$86-'BS Forecasts'!BY$86)</f>
        <v>0</v>
      </c>
      <c r="CA191" s="99">
        <f>0-('BS Forecasts'!CA$86-'BS Forecasts'!BZ$86)</f>
        <v>0</v>
      </c>
      <c r="CB191" s="99">
        <f>0-('BS Forecasts'!CB$86-'BS Forecasts'!CA$86)</f>
        <v>0</v>
      </c>
      <c r="CC191" s="99">
        <f>0-('BS Forecasts'!CC$86-'BS Forecasts'!CB$86)</f>
        <v>0</v>
      </c>
      <c r="CD191" s="99">
        <f>0-('BS Forecasts'!CD$86-'BS Forecasts'!CC$86)</f>
        <v>0</v>
      </c>
      <c r="CE191" s="99">
        <f>0-('BS Forecasts'!CE$86-'BS Forecasts'!CD$86)</f>
        <v>0</v>
      </c>
      <c r="CF191" s="99">
        <f>0-('BS Forecasts'!CF$86-'BS Forecasts'!CE$86)</f>
        <v>0</v>
      </c>
      <c r="CG191" s="99">
        <f>0-('BS Forecasts'!CG$86-'BS Forecasts'!CF$86)</f>
        <v>0</v>
      </c>
      <c r="CH191" s="99">
        <f>0-('BS Forecasts'!CH$86-'BS Forecasts'!CG$86)</f>
        <v>0</v>
      </c>
      <c r="CI191" s="99">
        <f>0-('BS Forecasts'!CI$86-'BS Forecasts'!CH$86)</f>
        <v>0</v>
      </c>
      <c r="CK191" s="312"/>
      <c r="CO191" s="100">
        <f t="shared" si="208"/>
        <v>0</v>
      </c>
      <c r="CP191" s="100">
        <f t="shared" si="209"/>
        <v>0</v>
      </c>
      <c r="CQ191" s="100">
        <f t="shared" si="210"/>
        <v>0</v>
      </c>
      <c r="CR191" s="311"/>
      <c r="CS191" s="215">
        <f t="shared" si="211"/>
        <v>0</v>
      </c>
      <c r="CT191" s="215">
        <f t="shared" si="212"/>
        <v>0</v>
      </c>
      <c r="CU191" s="215">
        <f t="shared" si="213"/>
        <v>0</v>
      </c>
      <c r="CV191" s="215">
        <f t="shared" si="214"/>
        <v>0</v>
      </c>
      <c r="CW191" s="215">
        <f t="shared" si="215"/>
        <v>0</v>
      </c>
      <c r="CX191" s="215">
        <f t="shared" si="216"/>
        <v>0</v>
      </c>
      <c r="CY191" s="215">
        <f t="shared" si="217"/>
        <v>0</v>
      </c>
      <c r="EX191" s="10" t="str">
        <f t="shared" si="218"/>
        <v>Increase in/release of restricted cash</v>
      </c>
    </row>
    <row r="192" spans="1:154" ht="87" x14ac:dyDescent="0.35">
      <c r="A192" s="537" cm="1">
        <f t="array" aca="1" ref="A192" ca="1">HYPERLINK(CONCATENATE("#",CELL("address",IF(MAX($CK192:$CR192)=0,A192,INDEX($CK192:$CR192,MATCH(1,$CK192:$CR192,0))))),MAX($CK192:$CR192))</f>
        <v>0</v>
      </c>
      <c r="C192" s="213" t="s">
        <v>1605</v>
      </c>
      <c r="D192" s="120" t="s">
        <v>1606</v>
      </c>
      <c r="E192" s="558" t="str" cm="1">
        <f t="array" aca="1" ref="E192" ca="1">HYPERLINK(CONCATENATE("#",CELL("address",'BS Forecasts'!D$143)),'BS Forecasts'!D$143)</f>
        <v>Capital Grant received in cash: DfE/ESFA</v>
      </c>
      <c r="F192" s="558" t="str" cm="1">
        <f t="array" aca="1" ref="F192" ca="1">HYPERLINK(CONCATENATE("#",CELL("address",'BS Forecasts'!D$144)),'BS Forecasts'!D$144)</f>
        <v>Capital Grant received in cash: OfS</v>
      </c>
      <c r="G192" s="558" t="str" cm="1">
        <f t="array" aca="1" ref="G192" ca="1">HYPERLINK(CONCATENATE("#",CELL("address",'BS Forecasts'!D$145)),'BS Forecasts'!D$145)</f>
        <v>Capital Grant received in cash: LEP</v>
      </c>
      <c r="H192" s="558" t="str" cm="1">
        <f t="array" aca="1" ref="H192" ca="1">HYPERLINK(CONCATENATE("#",CELL("address",'BS Forecasts'!D$146)),'BS Forecasts'!D$146)</f>
        <v>Capital Grant received in cash: Other Grants</v>
      </c>
      <c r="V192" s="99">
        <f>SUM('BS Forecasts'!V143:V146)</f>
        <v>0</v>
      </c>
      <c r="W192" s="99">
        <f>SUM('BS Forecasts'!W143:W146)</f>
        <v>0</v>
      </c>
      <c r="X192" s="99">
        <f>SUM('BS Forecasts'!X143:X146)</f>
        <v>0</v>
      </c>
      <c r="Y192" s="99">
        <f>SUM('BS Forecasts'!Y143:Y146)</f>
        <v>0</v>
      </c>
      <c r="AA192" s="99">
        <f>SUM('BS Forecasts'!AA143:AA146)</f>
        <v>0</v>
      </c>
      <c r="AB192" s="99">
        <f>SUM('BS Forecasts'!AB143:AB146)</f>
        <v>0</v>
      </c>
      <c r="AC192" s="99">
        <f>SUM('BS Forecasts'!AC143:AC146)</f>
        <v>0</v>
      </c>
      <c r="AD192" s="99">
        <f>SUM('BS Forecasts'!AD143:AD146)</f>
        <v>0</v>
      </c>
      <c r="AE192" s="99">
        <f>SUM('BS Forecasts'!AE143:AE146)</f>
        <v>0</v>
      </c>
      <c r="AF192" s="99">
        <f>SUM('BS Forecasts'!AF143:AF146)</f>
        <v>0</v>
      </c>
      <c r="AG192" s="99">
        <f>SUM('BS Forecasts'!AG143:AG146)</f>
        <v>0</v>
      </c>
      <c r="AH192" s="99">
        <f>SUM('BS Forecasts'!AH143:AH146)</f>
        <v>0</v>
      </c>
      <c r="AI192" s="99">
        <f>SUM('BS Forecasts'!AI143:AI146)</f>
        <v>0</v>
      </c>
      <c r="AJ192" s="99">
        <f>SUM('BS Forecasts'!AJ143:AJ146)</f>
        <v>0</v>
      </c>
      <c r="AK192" s="99">
        <f>SUM('BS Forecasts'!AK143:AK146)</f>
        <v>0</v>
      </c>
      <c r="AL192" s="99">
        <f>SUM('BS Forecasts'!AL143:AL146)</f>
        <v>0</v>
      </c>
      <c r="AM192" s="99">
        <f>SUM('BS Forecasts'!AM143:AM146)</f>
        <v>0</v>
      </c>
      <c r="AN192" s="99">
        <f>SUM('BS Forecasts'!AN143:AN146)</f>
        <v>0</v>
      </c>
      <c r="AO192" s="99">
        <f>SUM('BS Forecasts'!AO143:AO146)</f>
        <v>0</v>
      </c>
      <c r="AP192" s="99">
        <f>SUM('BS Forecasts'!AP143:AP146)</f>
        <v>0</v>
      </c>
      <c r="AQ192" s="99">
        <f>SUM('BS Forecasts'!AQ143:AQ146)</f>
        <v>0</v>
      </c>
      <c r="AR192" s="99">
        <f>SUM('BS Forecasts'!AR143:AR146)</f>
        <v>0</v>
      </c>
      <c r="AS192" s="99">
        <f>SUM('BS Forecasts'!AS143:AS146)</f>
        <v>0</v>
      </c>
      <c r="AT192" s="99">
        <f>SUM('BS Forecasts'!AT143:AT146)</f>
        <v>0</v>
      </c>
      <c r="AU192" s="99">
        <f>SUM('BS Forecasts'!AU143:AU146)</f>
        <v>0</v>
      </c>
      <c r="AV192" s="99">
        <f>SUM('BS Forecasts'!AV143:AV146)</f>
        <v>0</v>
      </c>
      <c r="AW192" s="99">
        <f>SUM('BS Forecasts'!AW143:AW146)</f>
        <v>0</v>
      </c>
      <c r="AX192" s="99">
        <f>SUM('BS Forecasts'!AX143:AX146)</f>
        <v>0</v>
      </c>
      <c r="AY192" s="99">
        <f>SUM('BS Forecasts'!AY143:AY146)</f>
        <v>0</v>
      </c>
      <c r="AZ192" s="99">
        <f>SUM('BS Forecasts'!AZ143:AZ146)</f>
        <v>0</v>
      </c>
      <c r="BA192" s="99">
        <f>SUM('BS Forecasts'!BA143:BA146)</f>
        <v>0</v>
      </c>
      <c r="BB192" s="99">
        <f>SUM('BS Forecasts'!BB143:BB146)</f>
        <v>0</v>
      </c>
      <c r="BC192" s="99">
        <f>SUM('BS Forecasts'!BC143:BC146)</f>
        <v>0</v>
      </c>
      <c r="BD192" s="99">
        <f>SUM('BS Forecasts'!BD143:BD146)</f>
        <v>0</v>
      </c>
      <c r="BE192" s="99">
        <f>SUM('BS Forecasts'!BE143:BE146)</f>
        <v>0</v>
      </c>
      <c r="BF192" s="99">
        <f>SUM('BS Forecasts'!BF143:BF146)</f>
        <v>0</v>
      </c>
      <c r="BG192" s="99">
        <f>SUM('BS Forecasts'!BG143:BG146)</f>
        <v>0</v>
      </c>
      <c r="BH192" s="99">
        <f>SUM('BS Forecasts'!BH143:BH146)</f>
        <v>0</v>
      </c>
      <c r="BI192" s="99">
        <f>SUM('BS Forecasts'!BI143:BI146)</f>
        <v>0</v>
      </c>
      <c r="BJ192" s="99">
        <f>SUM('BS Forecasts'!BJ143:BJ146)</f>
        <v>0</v>
      </c>
      <c r="BX192" s="99">
        <f>SUM('BS Forecasts'!BX143:BX146)</f>
        <v>0</v>
      </c>
      <c r="BY192" s="99">
        <f>SUM('BS Forecasts'!BY143:BY146)</f>
        <v>0</v>
      </c>
      <c r="BZ192" s="99">
        <f>SUM('BS Forecasts'!BZ143:BZ146)</f>
        <v>0</v>
      </c>
      <c r="CA192" s="99">
        <f>SUM('BS Forecasts'!CA143:CA146)</f>
        <v>0</v>
      </c>
      <c r="CB192" s="99">
        <f>SUM('BS Forecasts'!CB143:CB146)</f>
        <v>0</v>
      </c>
      <c r="CC192" s="99">
        <f>SUM('BS Forecasts'!CC143:CC146)</f>
        <v>0</v>
      </c>
      <c r="CD192" s="99">
        <f>SUM('BS Forecasts'!CD143:CD146)</f>
        <v>0</v>
      </c>
      <c r="CE192" s="99">
        <f>SUM('BS Forecasts'!CE143:CE146)</f>
        <v>0</v>
      </c>
      <c r="CF192" s="99">
        <f>SUM('BS Forecasts'!CF143:CF146)</f>
        <v>0</v>
      </c>
      <c r="CG192" s="99">
        <f>SUM('BS Forecasts'!CG143:CG146)</f>
        <v>0</v>
      </c>
      <c r="CH192" s="99">
        <f>SUM('BS Forecasts'!CH143:CH146)</f>
        <v>0</v>
      </c>
      <c r="CI192" s="99">
        <f>SUM('BS Forecasts'!CI143:CI146)</f>
        <v>0</v>
      </c>
      <c r="CK192" s="312"/>
      <c r="CO192" s="100">
        <f t="shared" si="208"/>
        <v>0</v>
      </c>
      <c r="CP192" s="100">
        <f t="shared" si="209"/>
        <v>0</v>
      </c>
      <c r="CQ192" s="100">
        <f t="shared" si="210"/>
        <v>0</v>
      </c>
      <c r="CR192" s="311"/>
      <c r="CS192" s="215">
        <f t="shared" si="211"/>
        <v>0</v>
      </c>
      <c r="CT192" s="215">
        <f t="shared" si="212"/>
        <v>0</v>
      </c>
      <c r="CU192" s="215">
        <f t="shared" si="213"/>
        <v>0</v>
      </c>
      <c r="CV192" s="215">
        <f t="shared" si="214"/>
        <v>0</v>
      </c>
      <c r="CW192" s="215">
        <f t="shared" si="215"/>
        <v>0</v>
      </c>
      <c r="CX192" s="215">
        <f t="shared" si="216"/>
        <v>0</v>
      </c>
      <c r="CY192" s="215">
        <f t="shared" si="217"/>
        <v>0</v>
      </c>
      <c r="EX192" s="10" t="str">
        <f t="shared" si="218"/>
        <v>Receipt of Deferred Capital Grants</v>
      </c>
    </row>
    <row r="193" spans="1:154" ht="29" x14ac:dyDescent="0.35">
      <c r="A193" s="537" cm="1">
        <f t="array" aca="1" ref="A193" ca="1">HYPERLINK(CONCATENATE("#",CELL("address",IF(MAX($CK193:$CR193)=0,A193,INDEX($CK193:$CR193,MATCH(1,$CK193:$CR193,0))))),MAX($CK193:$CR193))</f>
        <v>0</v>
      </c>
      <c r="C193" s="213" t="s">
        <v>1607</v>
      </c>
      <c r="D193" s="120" t="s">
        <v>1608</v>
      </c>
      <c r="E193" s="558" t="str" cm="1">
        <f t="array" aca="1" ref="E193" ca="1">HYPERLINK(CONCATENATE("#",CELL("address",'BS Forecasts'!$D$42)),'BS Forecasts'!$D$42)</f>
        <v>Dividends received</v>
      </c>
      <c r="F193" s="120"/>
      <c r="G193" s="120"/>
      <c r="H193" s="120"/>
      <c r="V193" s="99">
        <f>0-'BS Forecasts'!V42</f>
        <v>0</v>
      </c>
      <c r="W193" s="99">
        <f>0-'BS Forecasts'!W42</f>
        <v>0</v>
      </c>
      <c r="X193" s="99">
        <f>0-'BS Forecasts'!X42</f>
        <v>0</v>
      </c>
      <c r="Y193" s="99">
        <f>0-'BS Forecasts'!Y42</f>
        <v>0</v>
      </c>
      <c r="AA193" s="99">
        <f>0-'BS Forecasts'!AA42</f>
        <v>0</v>
      </c>
      <c r="AB193" s="99">
        <f>0-'BS Forecasts'!AB42</f>
        <v>0</v>
      </c>
      <c r="AC193" s="99">
        <f>0-'BS Forecasts'!AC42</f>
        <v>0</v>
      </c>
      <c r="AD193" s="99">
        <f>0-'BS Forecasts'!AD42</f>
        <v>0</v>
      </c>
      <c r="AE193" s="99">
        <f>0-'BS Forecasts'!AE42</f>
        <v>0</v>
      </c>
      <c r="AF193" s="99">
        <f>0-'BS Forecasts'!AF42</f>
        <v>0</v>
      </c>
      <c r="AG193" s="99">
        <f>0-'BS Forecasts'!AG42</f>
        <v>0</v>
      </c>
      <c r="AH193" s="99">
        <f>0-'BS Forecasts'!AH42</f>
        <v>0</v>
      </c>
      <c r="AI193" s="99">
        <f>0-'BS Forecasts'!AI42</f>
        <v>0</v>
      </c>
      <c r="AJ193" s="99">
        <f>0-'BS Forecasts'!AJ42</f>
        <v>0</v>
      </c>
      <c r="AK193" s="99">
        <f>0-'BS Forecasts'!AK42</f>
        <v>0</v>
      </c>
      <c r="AL193" s="99">
        <f>0-'BS Forecasts'!AL42</f>
        <v>0</v>
      </c>
      <c r="AM193" s="99">
        <f>0-'BS Forecasts'!AM42</f>
        <v>0</v>
      </c>
      <c r="AN193" s="99">
        <f>0-'BS Forecasts'!AN42</f>
        <v>0</v>
      </c>
      <c r="AO193" s="99">
        <f>0-'BS Forecasts'!AO42</f>
        <v>0</v>
      </c>
      <c r="AP193" s="99">
        <f>0-'BS Forecasts'!AP42</f>
        <v>0</v>
      </c>
      <c r="AQ193" s="99">
        <f>0-'BS Forecasts'!AQ42</f>
        <v>0</v>
      </c>
      <c r="AR193" s="99">
        <f>0-'BS Forecasts'!AR42</f>
        <v>0</v>
      </c>
      <c r="AS193" s="99">
        <f>0-'BS Forecasts'!AS42</f>
        <v>0</v>
      </c>
      <c r="AT193" s="99">
        <f>0-'BS Forecasts'!AT42</f>
        <v>0</v>
      </c>
      <c r="AU193" s="99">
        <f>0-'BS Forecasts'!AU42</f>
        <v>0</v>
      </c>
      <c r="AV193" s="99">
        <f>0-'BS Forecasts'!AV42</f>
        <v>0</v>
      </c>
      <c r="AW193" s="99">
        <f>0-'BS Forecasts'!AW42</f>
        <v>0</v>
      </c>
      <c r="AX193" s="99">
        <f>0-'BS Forecasts'!AX42</f>
        <v>0</v>
      </c>
      <c r="AY193" s="99">
        <f>0-'BS Forecasts'!AY42</f>
        <v>0</v>
      </c>
      <c r="AZ193" s="99">
        <f>0-'BS Forecasts'!AZ42</f>
        <v>0</v>
      </c>
      <c r="BA193" s="99">
        <f>0-'BS Forecasts'!BA42</f>
        <v>0</v>
      </c>
      <c r="BB193" s="99">
        <f>0-'BS Forecasts'!BB42</f>
        <v>0</v>
      </c>
      <c r="BC193" s="99">
        <f>0-'BS Forecasts'!BC42</f>
        <v>0</v>
      </c>
      <c r="BD193" s="99">
        <f>0-'BS Forecasts'!BD42</f>
        <v>0</v>
      </c>
      <c r="BE193" s="99">
        <f>0-'BS Forecasts'!BE42</f>
        <v>0</v>
      </c>
      <c r="BF193" s="99">
        <f>0-'BS Forecasts'!BF42</f>
        <v>0</v>
      </c>
      <c r="BG193" s="99">
        <f>0-'BS Forecasts'!BG42</f>
        <v>0</v>
      </c>
      <c r="BH193" s="99">
        <f>0-'BS Forecasts'!BH42</f>
        <v>0</v>
      </c>
      <c r="BI193" s="99">
        <f>0-'BS Forecasts'!BI42</f>
        <v>0</v>
      </c>
      <c r="BJ193" s="99">
        <f>0-'BS Forecasts'!BJ42</f>
        <v>0</v>
      </c>
      <c r="BX193" s="99">
        <f>0-'BS Forecasts'!BX42</f>
        <v>0</v>
      </c>
      <c r="BY193" s="99">
        <f>0-'BS Forecasts'!BY42</f>
        <v>0</v>
      </c>
      <c r="BZ193" s="99">
        <f>0-'BS Forecasts'!BZ42</f>
        <v>0</v>
      </c>
      <c r="CA193" s="99">
        <f>0-'BS Forecasts'!CA42</f>
        <v>0</v>
      </c>
      <c r="CB193" s="99">
        <f>0-'BS Forecasts'!CB42</f>
        <v>0</v>
      </c>
      <c r="CC193" s="99">
        <f>0-'BS Forecasts'!CC42</f>
        <v>0</v>
      </c>
      <c r="CD193" s="99">
        <f>0-'BS Forecasts'!CD42</f>
        <v>0</v>
      </c>
      <c r="CE193" s="99">
        <f>0-'BS Forecasts'!CE42</f>
        <v>0</v>
      </c>
      <c r="CF193" s="99">
        <f>0-'BS Forecasts'!CF42</f>
        <v>0</v>
      </c>
      <c r="CG193" s="99">
        <f>0-'BS Forecasts'!CG42</f>
        <v>0</v>
      </c>
      <c r="CH193" s="99">
        <f>0-'BS Forecasts'!CH42</f>
        <v>0</v>
      </c>
      <c r="CI193" s="99">
        <f>0-'BS Forecasts'!CI42</f>
        <v>0</v>
      </c>
      <c r="CK193" s="312"/>
      <c r="CO193" s="100">
        <f t="shared" si="208"/>
        <v>0</v>
      </c>
      <c r="CP193" s="100">
        <f t="shared" si="209"/>
        <v>0</v>
      </c>
      <c r="CQ193" s="100">
        <f t="shared" si="210"/>
        <v>0</v>
      </c>
      <c r="CR193" s="311"/>
      <c r="CS193" s="215">
        <f t="shared" si="211"/>
        <v>0</v>
      </c>
      <c r="CT193" s="215">
        <f t="shared" si="212"/>
        <v>0</v>
      </c>
      <c r="CU193" s="215">
        <f t="shared" si="213"/>
        <v>0</v>
      </c>
      <c r="CV193" s="215">
        <f t="shared" si="214"/>
        <v>0</v>
      </c>
      <c r="CW193" s="215">
        <f t="shared" si="215"/>
        <v>0</v>
      </c>
      <c r="CX193" s="215">
        <f t="shared" si="216"/>
        <v>0</v>
      </c>
      <c r="CY193" s="215">
        <f t="shared" si="217"/>
        <v>0</v>
      </c>
      <c r="EX193" s="10" t="str">
        <f t="shared" si="218"/>
        <v>Dividends received from Investment in JVs</v>
      </c>
    </row>
    <row r="194" spans="1:154" ht="43.5" x14ac:dyDescent="0.35">
      <c r="A194" s="537" cm="1">
        <f t="array" aca="1" ref="A194" ca="1">HYPERLINK(CONCATENATE("#",CELL("address",IF(MAX($CK194:$CR194)=0,A194,INDEX($CK194:$CR194,MATCH(1,$CK194:$CR194,0))))),MAX($CK194:$CR194))</f>
        <v>0</v>
      </c>
      <c r="C194" s="213" t="s">
        <v>1609</v>
      </c>
      <c r="D194" s="120" t="s">
        <v>1610</v>
      </c>
      <c r="E194" s="558" t="str" cm="1">
        <f t="array" aca="1" ref="E194" ca="1">HYPERLINK(CONCATENATE("#",CELL("address",'I&amp;E Annual'!$D$150)),'I&amp;E Annual'!$D$150)</f>
        <v>Interest and investment income</v>
      </c>
      <c r="F194" s="120"/>
      <c r="G194" s="120"/>
      <c r="H194" s="120"/>
      <c r="V194" s="99">
        <f>V41</f>
        <v>0</v>
      </c>
      <c r="W194" s="99">
        <f>W41</f>
        <v>0</v>
      </c>
      <c r="X194" s="99">
        <f>X41</f>
        <v>0</v>
      </c>
      <c r="Y194" s="99">
        <f>Y41</f>
        <v>0</v>
      </c>
      <c r="AA194" s="99">
        <f t="shared" ref="AA194:BJ194" si="221">AA41</f>
        <v>0</v>
      </c>
      <c r="AB194" s="99">
        <f t="shared" si="221"/>
        <v>0</v>
      </c>
      <c r="AC194" s="99">
        <f t="shared" si="221"/>
        <v>0</v>
      </c>
      <c r="AD194" s="99">
        <f t="shared" si="221"/>
        <v>0</v>
      </c>
      <c r="AE194" s="99">
        <f t="shared" si="221"/>
        <v>0</v>
      </c>
      <c r="AF194" s="99">
        <f t="shared" si="221"/>
        <v>0</v>
      </c>
      <c r="AG194" s="99">
        <f t="shared" si="221"/>
        <v>0</v>
      </c>
      <c r="AH194" s="99">
        <f t="shared" si="221"/>
        <v>0</v>
      </c>
      <c r="AI194" s="99">
        <f t="shared" si="221"/>
        <v>0</v>
      </c>
      <c r="AJ194" s="99">
        <f t="shared" si="221"/>
        <v>0</v>
      </c>
      <c r="AK194" s="99">
        <f t="shared" si="221"/>
        <v>0</v>
      </c>
      <c r="AL194" s="99">
        <f t="shared" si="221"/>
        <v>0</v>
      </c>
      <c r="AM194" s="99">
        <f t="shared" si="221"/>
        <v>0</v>
      </c>
      <c r="AN194" s="99">
        <f t="shared" si="221"/>
        <v>0</v>
      </c>
      <c r="AO194" s="99">
        <f t="shared" si="221"/>
        <v>0</v>
      </c>
      <c r="AP194" s="99">
        <f t="shared" si="221"/>
        <v>0</v>
      </c>
      <c r="AQ194" s="99">
        <f t="shared" si="221"/>
        <v>0</v>
      </c>
      <c r="AR194" s="99">
        <f t="shared" si="221"/>
        <v>0</v>
      </c>
      <c r="AS194" s="99">
        <f t="shared" si="221"/>
        <v>0</v>
      </c>
      <c r="AT194" s="99">
        <f t="shared" si="221"/>
        <v>0</v>
      </c>
      <c r="AU194" s="99">
        <f t="shared" si="221"/>
        <v>0</v>
      </c>
      <c r="AV194" s="99">
        <f t="shared" si="221"/>
        <v>0</v>
      </c>
      <c r="AW194" s="99">
        <f t="shared" si="221"/>
        <v>0</v>
      </c>
      <c r="AX194" s="99">
        <f t="shared" si="221"/>
        <v>0</v>
      </c>
      <c r="AY194" s="99">
        <f t="shared" si="221"/>
        <v>0</v>
      </c>
      <c r="AZ194" s="99">
        <f t="shared" si="221"/>
        <v>0</v>
      </c>
      <c r="BA194" s="99">
        <f t="shared" si="221"/>
        <v>0</v>
      </c>
      <c r="BB194" s="99">
        <f t="shared" si="221"/>
        <v>0</v>
      </c>
      <c r="BC194" s="99">
        <f t="shared" si="221"/>
        <v>0</v>
      </c>
      <c r="BD194" s="99">
        <f t="shared" si="221"/>
        <v>0</v>
      </c>
      <c r="BE194" s="99">
        <f t="shared" si="221"/>
        <v>0</v>
      </c>
      <c r="BF194" s="99">
        <f t="shared" si="221"/>
        <v>0</v>
      </c>
      <c r="BG194" s="99">
        <f t="shared" si="221"/>
        <v>0</v>
      </c>
      <c r="BH194" s="99">
        <f t="shared" si="221"/>
        <v>0</v>
      </c>
      <c r="BI194" s="99">
        <f t="shared" si="221"/>
        <v>0</v>
      </c>
      <c r="BJ194" s="99">
        <f t="shared" si="221"/>
        <v>0</v>
      </c>
      <c r="BX194" s="99">
        <f t="shared" ref="BX194:CI194" si="222">BX41</f>
        <v>0</v>
      </c>
      <c r="BY194" s="99">
        <f t="shared" si="222"/>
        <v>0</v>
      </c>
      <c r="BZ194" s="99">
        <f t="shared" si="222"/>
        <v>0</v>
      </c>
      <c r="CA194" s="99">
        <f t="shared" si="222"/>
        <v>0</v>
      </c>
      <c r="CB194" s="99">
        <f t="shared" si="222"/>
        <v>0</v>
      </c>
      <c r="CC194" s="99">
        <f t="shared" si="222"/>
        <v>0</v>
      </c>
      <c r="CD194" s="99">
        <f t="shared" si="222"/>
        <v>0</v>
      </c>
      <c r="CE194" s="99">
        <f t="shared" si="222"/>
        <v>0</v>
      </c>
      <c r="CF194" s="99">
        <f t="shared" si="222"/>
        <v>0</v>
      </c>
      <c r="CG194" s="99">
        <f t="shared" si="222"/>
        <v>0</v>
      </c>
      <c r="CH194" s="99">
        <f t="shared" si="222"/>
        <v>0</v>
      </c>
      <c r="CI194" s="99">
        <f t="shared" si="222"/>
        <v>0</v>
      </c>
      <c r="CK194" s="312"/>
      <c r="CO194" s="100">
        <f t="shared" si="208"/>
        <v>0</v>
      </c>
      <c r="CP194" s="100">
        <f t="shared" si="209"/>
        <v>0</v>
      </c>
      <c r="CQ194" s="100">
        <f t="shared" si="210"/>
        <v>0</v>
      </c>
      <c r="CR194" s="311"/>
      <c r="CS194" s="215">
        <f t="shared" si="211"/>
        <v>0</v>
      </c>
      <c r="CT194" s="215">
        <f t="shared" si="212"/>
        <v>0</v>
      </c>
      <c r="CU194" s="215">
        <f t="shared" si="213"/>
        <v>0</v>
      </c>
      <c r="CV194" s="215">
        <f t="shared" si="214"/>
        <v>0</v>
      </c>
      <c r="CW194" s="215">
        <f t="shared" si="215"/>
        <v>0</v>
      </c>
      <c r="CX194" s="215">
        <f t="shared" si="216"/>
        <v>0</v>
      </c>
      <c r="CY194" s="215">
        <f t="shared" si="217"/>
        <v>0</v>
      </c>
      <c r="EX194" s="10" t="str">
        <f t="shared" si="218"/>
        <v>Interest and Investment Income</v>
      </c>
    </row>
    <row r="195" spans="1:154" x14ac:dyDescent="0.35">
      <c r="C195" s="213" t="s">
        <v>1611</v>
      </c>
      <c r="D195" s="107" t="s">
        <v>1612</v>
      </c>
      <c r="E195" s="57"/>
      <c r="F195" s="120"/>
      <c r="G195" s="120"/>
      <c r="H195" s="120"/>
      <c r="V195" s="12">
        <f>SUM(V183:V194)*V$9</f>
        <v>0</v>
      </c>
      <c r="W195" s="12">
        <f>SUM(W183:W194)*W$9</f>
        <v>0</v>
      </c>
      <c r="X195" s="12">
        <f>SUM(X183:X194)*X$9</f>
        <v>0</v>
      </c>
      <c r="Y195" s="12">
        <f>SUM(Y183:Y194)*Y$9</f>
        <v>0</v>
      </c>
      <c r="AA195" s="12">
        <f t="shared" ref="AA195:BJ195" si="223">SUM(AA183:AA194)*AA$9</f>
        <v>0</v>
      </c>
      <c r="AB195" s="12">
        <f t="shared" si="223"/>
        <v>0</v>
      </c>
      <c r="AC195" s="12">
        <f t="shared" si="223"/>
        <v>0</v>
      </c>
      <c r="AD195" s="12">
        <f t="shared" si="223"/>
        <v>0</v>
      </c>
      <c r="AE195" s="12">
        <f t="shared" si="223"/>
        <v>0</v>
      </c>
      <c r="AF195" s="12">
        <f t="shared" si="223"/>
        <v>0</v>
      </c>
      <c r="AG195" s="12">
        <f t="shared" si="223"/>
        <v>0</v>
      </c>
      <c r="AH195" s="12">
        <f t="shared" si="223"/>
        <v>0</v>
      </c>
      <c r="AI195" s="12">
        <f t="shared" si="223"/>
        <v>0</v>
      </c>
      <c r="AJ195" s="12">
        <f t="shared" si="223"/>
        <v>0</v>
      </c>
      <c r="AK195" s="12">
        <f t="shared" si="223"/>
        <v>0</v>
      </c>
      <c r="AL195" s="12">
        <f t="shared" si="223"/>
        <v>0</v>
      </c>
      <c r="AM195" s="12">
        <f t="shared" si="223"/>
        <v>0</v>
      </c>
      <c r="AN195" s="12">
        <f t="shared" si="223"/>
        <v>0</v>
      </c>
      <c r="AO195" s="12">
        <f t="shared" si="223"/>
        <v>0</v>
      </c>
      <c r="AP195" s="12">
        <f t="shared" si="223"/>
        <v>0</v>
      </c>
      <c r="AQ195" s="12">
        <f t="shared" si="223"/>
        <v>0</v>
      </c>
      <c r="AR195" s="12">
        <f t="shared" si="223"/>
        <v>0</v>
      </c>
      <c r="AS195" s="12">
        <f t="shared" si="223"/>
        <v>0</v>
      </c>
      <c r="AT195" s="12">
        <f t="shared" si="223"/>
        <v>0</v>
      </c>
      <c r="AU195" s="12">
        <f t="shared" si="223"/>
        <v>0</v>
      </c>
      <c r="AV195" s="12">
        <f t="shared" si="223"/>
        <v>0</v>
      </c>
      <c r="AW195" s="12">
        <f t="shared" si="223"/>
        <v>0</v>
      </c>
      <c r="AX195" s="12">
        <f t="shared" si="223"/>
        <v>0</v>
      </c>
      <c r="AY195" s="12">
        <f t="shared" si="223"/>
        <v>0</v>
      </c>
      <c r="AZ195" s="12">
        <f t="shared" si="223"/>
        <v>0</v>
      </c>
      <c r="BA195" s="12">
        <f t="shared" si="223"/>
        <v>0</v>
      </c>
      <c r="BB195" s="12">
        <f t="shared" si="223"/>
        <v>0</v>
      </c>
      <c r="BC195" s="12">
        <f t="shared" si="223"/>
        <v>0</v>
      </c>
      <c r="BD195" s="12">
        <f t="shared" si="223"/>
        <v>0</v>
      </c>
      <c r="BE195" s="12">
        <f t="shared" si="223"/>
        <v>0</v>
      </c>
      <c r="BF195" s="12">
        <f t="shared" si="223"/>
        <v>0</v>
      </c>
      <c r="BG195" s="12">
        <f t="shared" si="223"/>
        <v>0</v>
      </c>
      <c r="BH195" s="12">
        <f t="shared" si="223"/>
        <v>0</v>
      </c>
      <c r="BI195" s="12">
        <f t="shared" si="223"/>
        <v>0</v>
      </c>
      <c r="BJ195" s="12">
        <f t="shared" si="223"/>
        <v>0</v>
      </c>
      <c r="BX195" s="12">
        <f t="shared" ref="BX195:CI195" si="224">SUM(BX183:BX194)*BX$9</f>
        <v>0</v>
      </c>
      <c r="BY195" s="12">
        <f t="shared" si="224"/>
        <v>0</v>
      </c>
      <c r="BZ195" s="12">
        <f t="shared" si="224"/>
        <v>0</v>
      </c>
      <c r="CA195" s="12">
        <f t="shared" si="224"/>
        <v>0</v>
      </c>
      <c r="CB195" s="12">
        <f t="shared" si="224"/>
        <v>0</v>
      </c>
      <c r="CC195" s="12">
        <f t="shared" si="224"/>
        <v>0</v>
      </c>
      <c r="CD195" s="12">
        <f t="shared" si="224"/>
        <v>0</v>
      </c>
      <c r="CE195" s="12">
        <f t="shared" si="224"/>
        <v>0</v>
      </c>
      <c r="CF195" s="12">
        <f t="shared" si="224"/>
        <v>0</v>
      </c>
      <c r="CG195" s="12">
        <f t="shared" si="224"/>
        <v>0</v>
      </c>
      <c r="CH195" s="12">
        <f t="shared" si="224"/>
        <v>0</v>
      </c>
      <c r="CI195" s="12">
        <f t="shared" si="224"/>
        <v>0</v>
      </c>
      <c r="CK195" s="312"/>
      <c r="CO195" s="120"/>
      <c r="CP195" s="120"/>
      <c r="CQ195" s="120"/>
      <c r="CR195" s="311"/>
      <c r="EX195" s="10" t="str">
        <f t="shared" si="218"/>
        <v>Net cash flow from Investing Activities</v>
      </c>
    </row>
    <row r="196" spans="1:154" ht="11.65" customHeight="1" x14ac:dyDescent="0.35">
      <c r="C196" s="213"/>
      <c r="E196" s="120"/>
      <c r="F196" s="120"/>
      <c r="G196" s="120"/>
      <c r="H196" s="120"/>
      <c r="CK196" s="311"/>
      <c r="CO196" s="120"/>
      <c r="CP196" s="120"/>
      <c r="CQ196" s="120"/>
      <c r="CR196" s="311"/>
      <c r="EX196" s="10" t="str">
        <f t="shared" si="218"/>
        <v/>
      </c>
    </row>
    <row r="197" spans="1:154" x14ac:dyDescent="0.35">
      <c r="B197" s="5"/>
      <c r="C197" s="213"/>
      <c r="D197" s="107" t="s">
        <v>1613</v>
      </c>
      <c r="E197" s="57"/>
      <c r="F197" s="120"/>
      <c r="G197" s="120"/>
      <c r="H197" s="120"/>
      <c r="CK197" s="312"/>
      <c r="CO197" s="120"/>
      <c r="CP197" s="120"/>
      <c r="CQ197" s="120"/>
      <c r="CR197" s="311"/>
      <c r="EX197" s="10" t="str">
        <f t="shared" si="218"/>
        <v/>
      </c>
    </row>
    <row r="198" spans="1:154" ht="29" x14ac:dyDescent="0.35">
      <c r="A198" s="537" cm="1">
        <f t="array" aca="1" ref="A198" ca="1">HYPERLINK(CONCATENATE("#",CELL("address",IF(MAX($CK198:$CR198)=0,A198,INDEX($CK198:$CR198,MATCH(1,$CK198:$CR198,0))))),MAX($CK198:$CR198))</f>
        <v>0</v>
      </c>
      <c r="B198" s="5"/>
      <c r="C198" s="213" t="s">
        <v>1614</v>
      </c>
      <c r="D198" s="120" t="s">
        <v>1615</v>
      </c>
      <c r="E198" s="558" t="str" cm="1">
        <f t="array" aca="1" ref="E198" ca="1">HYPERLINK(CONCATENATE("#",CELL("address",Loans!$D$1126)),Loans!$D$1122)</f>
        <v xml:space="preserve">Interest Payment </v>
      </c>
      <c r="F198" s="120"/>
      <c r="G198" s="120"/>
      <c r="H198" s="120"/>
      <c r="V198" s="99">
        <f>Loans!V1126</f>
        <v>0</v>
      </c>
      <c r="W198" s="99">
        <f>Loans!W1126</f>
        <v>0</v>
      </c>
      <c r="X198" s="99">
        <f>Loans!X1126</f>
        <v>0</v>
      </c>
      <c r="Y198" s="99">
        <f>Loans!Y1126</f>
        <v>0</v>
      </c>
      <c r="AA198" s="99">
        <f>Loans!AA1126</f>
        <v>0</v>
      </c>
      <c r="AB198" s="99">
        <f>Loans!AB1126</f>
        <v>0</v>
      </c>
      <c r="AC198" s="99">
        <f>Loans!AC1126</f>
        <v>0</v>
      </c>
      <c r="AD198" s="99">
        <f>Loans!AD1126</f>
        <v>0</v>
      </c>
      <c r="AE198" s="99">
        <f>Loans!AE1126</f>
        <v>0</v>
      </c>
      <c r="AF198" s="99">
        <f>Loans!AF1126</f>
        <v>0</v>
      </c>
      <c r="AG198" s="99">
        <f>Loans!AG1126</f>
        <v>0</v>
      </c>
      <c r="AH198" s="99">
        <f>Loans!AH1126</f>
        <v>0</v>
      </c>
      <c r="AI198" s="99">
        <f>Loans!AI1126</f>
        <v>0</v>
      </c>
      <c r="AJ198" s="99">
        <f>Loans!AJ1126</f>
        <v>0</v>
      </c>
      <c r="AK198" s="99">
        <f>Loans!AK1126</f>
        <v>0</v>
      </c>
      <c r="AL198" s="99">
        <f>Loans!AL1126</f>
        <v>0</v>
      </c>
      <c r="AM198" s="99">
        <f>Loans!AM1126</f>
        <v>0</v>
      </c>
      <c r="AN198" s="99">
        <f>Loans!AN1126</f>
        <v>0</v>
      </c>
      <c r="AO198" s="99">
        <f>Loans!AO1126</f>
        <v>0</v>
      </c>
      <c r="AP198" s="99">
        <f>Loans!AP1126</f>
        <v>0</v>
      </c>
      <c r="AQ198" s="99">
        <f>Loans!AQ1126</f>
        <v>0</v>
      </c>
      <c r="AR198" s="99">
        <f>Loans!AR1126</f>
        <v>0</v>
      </c>
      <c r="AS198" s="99">
        <f>Loans!AS1126</f>
        <v>0</v>
      </c>
      <c r="AT198" s="99">
        <f>Loans!AT1126</f>
        <v>0</v>
      </c>
      <c r="AU198" s="99">
        <f>Loans!AU1126</f>
        <v>0</v>
      </c>
      <c r="AV198" s="99">
        <f>Loans!AV1126</f>
        <v>0</v>
      </c>
      <c r="AW198" s="99">
        <f>Loans!AW1126</f>
        <v>0</v>
      </c>
      <c r="AX198" s="99">
        <f>Loans!AX1126</f>
        <v>0</v>
      </c>
      <c r="AY198" s="99">
        <f>Loans!AY1126</f>
        <v>0</v>
      </c>
      <c r="AZ198" s="99">
        <f>Loans!AZ1126</f>
        <v>0</v>
      </c>
      <c r="BA198" s="99">
        <f>Loans!BA1126</f>
        <v>0</v>
      </c>
      <c r="BB198" s="99">
        <f>Loans!BB1126</f>
        <v>0</v>
      </c>
      <c r="BC198" s="99">
        <f>Loans!BC1126</f>
        <v>0</v>
      </c>
      <c r="BD198" s="99">
        <f>Loans!BD1126</f>
        <v>0</v>
      </c>
      <c r="BE198" s="99">
        <f>Loans!BE1126</f>
        <v>0</v>
      </c>
      <c r="BF198" s="99">
        <f>Loans!BF1126</f>
        <v>0</v>
      </c>
      <c r="BG198" s="99">
        <f>Loans!BG1126</f>
        <v>0</v>
      </c>
      <c r="BH198" s="99">
        <f>Loans!BH1126</f>
        <v>0</v>
      </c>
      <c r="BI198" s="99">
        <f>Loans!BI1126</f>
        <v>0</v>
      </c>
      <c r="BJ198" s="99">
        <f>Loans!BJ1126</f>
        <v>0</v>
      </c>
      <c r="BX198" s="99">
        <f>Loans!BX1126</f>
        <v>0</v>
      </c>
      <c r="BY198" s="99">
        <f>Loans!BY1126</f>
        <v>0</v>
      </c>
      <c r="BZ198" s="99">
        <f>Loans!BZ1126</f>
        <v>0</v>
      </c>
      <c r="CA198" s="99">
        <f>Loans!CA1126</f>
        <v>0</v>
      </c>
      <c r="CB198" s="99">
        <f>Loans!CB1126</f>
        <v>0</v>
      </c>
      <c r="CC198" s="99">
        <f>Loans!CC1126</f>
        <v>0</v>
      </c>
      <c r="CD198" s="99">
        <f>Loans!CD1126</f>
        <v>0</v>
      </c>
      <c r="CE198" s="99">
        <f>Loans!CE1126</f>
        <v>0</v>
      </c>
      <c r="CF198" s="99">
        <f>Loans!CF1126</f>
        <v>0</v>
      </c>
      <c r="CG198" s="99">
        <f>Loans!CG1126</f>
        <v>0</v>
      </c>
      <c r="CH198" s="99">
        <f>Loans!CH1126</f>
        <v>0</v>
      </c>
      <c r="CI198" s="99">
        <f>Loans!CI1126</f>
        <v>0</v>
      </c>
      <c r="CK198" s="312"/>
      <c r="CO198" s="100">
        <f t="shared" ref="CO198:CO205" si="225">IF(SUM($CS198:$CU198)=0, 0, 1)</f>
        <v>0</v>
      </c>
      <c r="CP198" s="100">
        <f t="shared" ref="CP198:CP205" si="226">IF(SUM($CV198:$CX198)=0, 0, 1)</f>
        <v>0</v>
      </c>
      <c r="CQ198" s="100">
        <f t="shared" ref="CQ198:CQ205" si="227">IF(CY198=0, 0, 1)</f>
        <v>0</v>
      </c>
      <c r="CR198" s="311"/>
      <c r="CS198" s="215">
        <f t="shared" ref="CS198:CS205" si="228">ROUND(W198-SUMIFS($AA198:$BJ198, $AA$3:$BJ$3, W$3), rounding)</f>
        <v>0</v>
      </c>
      <c r="CT198" s="215">
        <f t="shared" ref="CT198:CT205" si="229">ROUND($X198-SUMIFS($AA198:$BJ198, $AA$3:$BJ$3, X$3), rounding)</f>
        <v>0</v>
      </c>
      <c r="CU198" s="215">
        <f t="shared" ref="CU198:CU205" si="230">ROUND($Y198-SUMIFS($AA198:$BJ198, $AA$3:$BJ$3, Y$3), rounding)</f>
        <v>0</v>
      </c>
      <c r="CV198" s="215">
        <f t="shared" ref="CV198:CX205" si="231">ROUND(W198-BY198, rounding)</f>
        <v>0</v>
      </c>
      <c r="CW198" s="215">
        <f t="shared" si="231"/>
        <v>0</v>
      </c>
      <c r="CX198" s="215">
        <f t="shared" si="231"/>
        <v>0</v>
      </c>
      <c r="CY198" s="215">
        <f t="shared" ref="CY198:CY205" si="232">ROUND(V198-BX198, rounding)</f>
        <v>0</v>
      </c>
      <c r="EX198" s="10" t="str">
        <f t="shared" si="218"/>
        <v xml:space="preserve">Interest paid </v>
      </c>
    </row>
    <row r="199" spans="1:154" ht="43.5" x14ac:dyDescent="0.35">
      <c r="A199" s="537" cm="1">
        <f t="array" aca="1" ref="A199" ca="1">HYPERLINK(CONCATENATE("#",CELL("address",IF(MAX($CK199:$CR199)=0,A199,INDEX($CK199:$CR199,MATCH(1,$CK199:$CR199,0))))),MAX($CK199:$CR199))</f>
        <v>0</v>
      </c>
      <c r="B199" s="5"/>
      <c r="C199" s="213" t="s">
        <v>1616</v>
      </c>
      <c r="D199" s="120" t="s">
        <v>1617</v>
      </c>
      <c r="E199" s="558" t="str" cm="1">
        <f t="array" aca="1" ref="E199" ca="1">HYPERLINK(CONCATENATE("#",CELL("address",Loans!$D$1150)),Loans!$D$1146)</f>
        <v>Early Repayment Fee</v>
      </c>
      <c r="F199" s="120"/>
      <c r="G199" s="120"/>
      <c r="H199" s="120"/>
      <c r="V199" s="99">
        <f>0-Loans!V1150</f>
        <v>0</v>
      </c>
      <c r="W199" s="99">
        <f>0-Loans!W1150</f>
        <v>0</v>
      </c>
      <c r="X199" s="99">
        <f>0-Loans!X1150</f>
        <v>0</v>
      </c>
      <c r="Y199" s="99">
        <f>0-Loans!Y1150</f>
        <v>0</v>
      </c>
      <c r="AA199" s="99">
        <f>0-Loans!AA1150</f>
        <v>0</v>
      </c>
      <c r="AB199" s="99">
        <f>0-Loans!AB1150</f>
        <v>0</v>
      </c>
      <c r="AC199" s="99">
        <f>0-Loans!AC1150</f>
        <v>0</v>
      </c>
      <c r="AD199" s="99">
        <f>0-Loans!AD1150</f>
        <v>0</v>
      </c>
      <c r="AE199" s="99">
        <f>0-Loans!AE1150</f>
        <v>0</v>
      </c>
      <c r="AF199" s="99">
        <f>0-Loans!AF1150</f>
        <v>0</v>
      </c>
      <c r="AG199" s="99">
        <f>0-Loans!AG1150</f>
        <v>0</v>
      </c>
      <c r="AH199" s="99">
        <f>0-Loans!AH1150</f>
        <v>0</v>
      </c>
      <c r="AI199" s="99">
        <f>0-Loans!AI1150</f>
        <v>0</v>
      </c>
      <c r="AJ199" s="99">
        <f>0-Loans!AJ1150</f>
        <v>0</v>
      </c>
      <c r="AK199" s="99">
        <f>0-Loans!AK1150</f>
        <v>0</v>
      </c>
      <c r="AL199" s="99">
        <f>0-Loans!AL1150</f>
        <v>0</v>
      </c>
      <c r="AM199" s="99">
        <f>0-Loans!AM1150</f>
        <v>0</v>
      </c>
      <c r="AN199" s="99">
        <f>0-Loans!AN1150</f>
        <v>0</v>
      </c>
      <c r="AO199" s="99">
        <f>0-Loans!AO1150</f>
        <v>0</v>
      </c>
      <c r="AP199" s="99">
        <f>0-Loans!AP1150</f>
        <v>0</v>
      </c>
      <c r="AQ199" s="99">
        <f>0-Loans!AQ1150</f>
        <v>0</v>
      </c>
      <c r="AR199" s="99">
        <f>0-Loans!AR1150</f>
        <v>0</v>
      </c>
      <c r="AS199" s="99">
        <f>0-Loans!AS1150</f>
        <v>0</v>
      </c>
      <c r="AT199" s="99">
        <f>0-Loans!AT1150</f>
        <v>0</v>
      </c>
      <c r="AU199" s="99">
        <f>0-Loans!AU1150</f>
        <v>0</v>
      </c>
      <c r="AV199" s="99">
        <f>0-Loans!AV1150</f>
        <v>0</v>
      </c>
      <c r="AW199" s="99">
        <f>0-Loans!AW1150</f>
        <v>0</v>
      </c>
      <c r="AX199" s="99">
        <f>0-Loans!AX1150</f>
        <v>0</v>
      </c>
      <c r="AY199" s="99">
        <f>0-Loans!AY1150</f>
        <v>0</v>
      </c>
      <c r="AZ199" s="99">
        <f>0-Loans!AZ1150</f>
        <v>0</v>
      </c>
      <c r="BA199" s="99">
        <f>0-Loans!BA1150</f>
        <v>0</v>
      </c>
      <c r="BB199" s="99">
        <f>0-Loans!BB1150</f>
        <v>0</v>
      </c>
      <c r="BC199" s="99">
        <f>0-Loans!BC1150</f>
        <v>0</v>
      </c>
      <c r="BD199" s="99">
        <f>0-Loans!BD1150</f>
        <v>0</v>
      </c>
      <c r="BE199" s="99">
        <f>0-Loans!BE1150</f>
        <v>0</v>
      </c>
      <c r="BF199" s="99">
        <f>0-Loans!BF1150</f>
        <v>0</v>
      </c>
      <c r="BG199" s="99">
        <f>0-Loans!BG1150</f>
        <v>0</v>
      </c>
      <c r="BH199" s="99">
        <f>0-Loans!BH1150</f>
        <v>0</v>
      </c>
      <c r="BI199" s="99">
        <f>0-Loans!BI1150</f>
        <v>0</v>
      </c>
      <c r="BJ199" s="99">
        <f>0-Loans!BJ1150</f>
        <v>0</v>
      </c>
      <c r="BX199" s="99">
        <f>0-Loans!BX1150</f>
        <v>0</v>
      </c>
      <c r="BY199" s="99">
        <f>0-Loans!BY1150</f>
        <v>0</v>
      </c>
      <c r="BZ199" s="99">
        <f>0-Loans!BZ1150</f>
        <v>0</v>
      </c>
      <c r="CA199" s="99">
        <f>0-Loans!CA1150</f>
        <v>0</v>
      </c>
      <c r="CB199" s="99">
        <f>0-Loans!CB1150</f>
        <v>0</v>
      </c>
      <c r="CC199" s="99">
        <f>0-Loans!CC1150</f>
        <v>0</v>
      </c>
      <c r="CD199" s="99">
        <f>0-Loans!CD1150</f>
        <v>0</v>
      </c>
      <c r="CE199" s="99">
        <f>0-Loans!CE1150</f>
        <v>0</v>
      </c>
      <c r="CF199" s="99">
        <f>0-Loans!CF1150</f>
        <v>0</v>
      </c>
      <c r="CG199" s="99">
        <f>0-Loans!CG1150</f>
        <v>0</v>
      </c>
      <c r="CH199" s="99">
        <f>0-Loans!CH1150</f>
        <v>0</v>
      </c>
      <c r="CI199" s="99">
        <f>0-Loans!CI1150</f>
        <v>0</v>
      </c>
      <c r="CK199" s="312"/>
      <c r="CO199" s="100">
        <f t="shared" si="225"/>
        <v>0</v>
      </c>
      <c r="CP199" s="100">
        <f t="shared" si="226"/>
        <v>0</v>
      </c>
      <c r="CQ199" s="100">
        <f t="shared" si="227"/>
        <v>0</v>
      </c>
      <c r="CR199" s="311"/>
      <c r="CS199" s="215">
        <f t="shared" si="228"/>
        <v>0</v>
      </c>
      <c r="CT199" s="215">
        <f t="shared" si="229"/>
        <v>0</v>
      </c>
      <c r="CU199" s="215">
        <f t="shared" si="230"/>
        <v>0</v>
      </c>
      <c r="CV199" s="215">
        <f t="shared" si="231"/>
        <v>0</v>
      </c>
      <c r="CW199" s="215">
        <f t="shared" si="231"/>
        <v>0</v>
      </c>
      <c r="CX199" s="215">
        <f t="shared" si="231"/>
        <v>0</v>
      </c>
      <c r="CY199" s="215">
        <f t="shared" si="232"/>
        <v>0</v>
      </c>
      <c r="EX199" s="10" t="str">
        <f t="shared" si="218"/>
        <v>Early Loan Capital Repayment Fees</v>
      </c>
    </row>
    <row r="200" spans="1:154" ht="87" x14ac:dyDescent="0.35">
      <c r="A200" s="537" cm="1">
        <f t="array" aca="1" ref="A200" ca="1">HYPERLINK(CONCATENATE("#",CELL("address",IF(MAX($CK200:$CR200)=0,A200,INDEX($CK200:$CR200,MATCH(1,$CK200:$CR200,0))))),MAX($CK200:$CR200))</f>
        <v>0</v>
      </c>
      <c r="C200" s="213" t="s">
        <v>1618</v>
      </c>
      <c r="D200" s="57" t="s">
        <v>1619</v>
      </c>
      <c r="E200" s="558" t="str" cm="1">
        <f t="array" aca="1" ref="E200" ca="1">HYPERLINK(CONCATENATE("#",CELL("address",'BS Forecasts'!$D$127)),'BS Forecasts'!$D$124)</f>
        <v>Total Finance and Operating Lease (Right of use) Obligations</v>
      </c>
      <c r="F200" s="120"/>
      <c r="G200" s="120"/>
      <c r="H200" s="120"/>
      <c r="V200" s="99">
        <f>'BS Forecasts'!V$129</f>
        <v>0</v>
      </c>
      <c r="W200" s="99">
        <f>'BS Forecasts'!W$129</f>
        <v>0</v>
      </c>
      <c r="X200" s="99">
        <f>'BS Forecasts'!X$129</f>
        <v>0</v>
      </c>
      <c r="Y200" s="99">
        <f>'BS Forecasts'!Y$129</f>
        <v>0</v>
      </c>
      <c r="AA200" s="99">
        <f>'BS Forecasts'!AA$129</f>
        <v>0</v>
      </c>
      <c r="AB200" s="99">
        <f>'BS Forecasts'!AB$129</f>
        <v>0</v>
      </c>
      <c r="AC200" s="99">
        <f>'BS Forecasts'!AC$129</f>
        <v>0</v>
      </c>
      <c r="AD200" s="99">
        <f>'BS Forecasts'!AD$129</f>
        <v>0</v>
      </c>
      <c r="AE200" s="99">
        <f>'BS Forecasts'!AE$129</f>
        <v>0</v>
      </c>
      <c r="AF200" s="99">
        <f>'BS Forecasts'!AF$129</f>
        <v>0</v>
      </c>
      <c r="AG200" s="99">
        <f>'BS Forecasts'!AG$129</f>
        <v>0</v>
      </c>
      <c r="AH200" s="99">
        <f>'BS Forecasts'!AH$129</f>
        <v>0</v>
      </c>
      <c r="AI200" s="99">
        <f>'BS Forecasts'!AI$129</f>
        <v>0</v>
      </c>
      <c r="AJ200" s="99">
        <f>'BS Forecasts'!AJ$129</f>
        <v>0</v>
      </c>
      <c r="AK200" s="99">
        <f>'BS Forecasts'!AK$129</f>
        <v>0</v>
      </c>
      <c r="AL200" s="99">
        <f>'BS Forecasts'!AL$129</f>
        <v>0</v>
      </c>
      <c r="AM200" s="99">
        <f>'BS Forecasts'!AM$129</f>
        <v>0</v>
      </c>
      <c r="AN200" s="99">
        <f>'BS Forecasts'!AN$129</f>
        <v>0</v>
      </c>
      <c r="AO200" s="99">
        <f>'BS Forecasts'!AO$129</f>
        <v>0</v>
      </c>
      <c r="AP200" s="99">
        <f>'BS Forecasts'!AP$129</f>
        <v>0</v>
      </c>
      <c r="AQ200" s="99">
        <f>'BS Forecasts'!AQ$129</f>
        <v>0</v>
      </c>
      <c r="AR200" s="99">
        <f>'BS Forecasts'!AR$129</f>
        <v>0</v>
      </c>
      <c r="AS200" s="99">
        <f>'BS Forecasts'!AS$129</f>
        <v>0</v>
      </c>
      <c r="AT200" s="99">
        <f>'BS Forecasts'!AT$129</f>
        <v>0</v>
      </c>
      <c r="AU200" s="99">
        <f>'BS Forecasts'!AU$129</f>
        <v>0</v>
      </c>
      <c r="AV200" s="99">
        <f>'BS Forecasts'!AV$129</f>
        <v>0</v>
      </c>
      <c r="AW200" s="99">
        <f>'BS Forecasts'!AW$129</f>
        <v>0</v>
      </c>
      <c r="AX200" s="99">
        <f>'BS Forecasts'!AX$129</f>
        <v>0</v>
      </c>
      <c r="AY200" s="99">
        <f>'BS Forecasts'!AY$129</f>
        <v>0</v>
      </c>
      <c r="AZ200" s="99">
        <f>'BS Forecasts'!AZ$129</f>
        <v>0</v>
      </c>
      <c r="BA200" s="99">
        <f>'BS Forecasts'!BA$129</f>
        <v>0</v>
      </c>
      <c r="BB200" s="99">
        <f>'BS Forecasts'!BB$129</f>
        <v>0</v>
      </c>
      <c r="BC200" s="99">
        <f>'BS Forecasts'!BC$129</f>
        <v>0</v>
      </c>
      <c r="BD200" s="99">
        <f>'BS Forecasts'!BD$129</f>
        <v>0</v>
      </c>
      <c r="BE200" s="99">
        <f>'BS Forecasts'!BE$129</f>
        <v>0</v>
      </c>
      <c r="BF200" s="99">
        <f>'BS Forecasts'!BF$129</f>
        <v>0</v>
      </c>
      <c r="BG200" s="99">
        <f>'BS Forecasts'!BG$129</f>
        <v>0</v>
      </c>
      <c r="BH200" s="99">
        <f>'BS Forecasts'!BH$129</f>
        <v>0</v>
      </c>
      <c r="BI200" s="99">
        <f>'BS Forecasts'!BI$129</f>
        <v>0</v>
      </c>
      <c r="BJ200" s="99">
        <f>'BS Forecasts'!BJ$129</f>
        <v>0</v>
      </c>
      <c r="BX200" s="99">
        <f>'BS Forecasts'!BX$129</f>
        <v>0</v>
      </c>
      <c r="BY200" s="99">
        <f>'BS Forecasts'!BY$129</f>
        <v>0</v>
      </c>
      <c r="BZ200" s="99">
        <f>'BS Forecasts'!BZ$129</f>
        <v>0</v>
      </c>
      <c r="CA200" s="99">
        <f>'BS Forecasts'!CA$129</f>
        <v>0</v>
      </c>
      <c r="CB200" s="99">
        <f>'BS Forecasts'!CB$129</f>
        <v>0</v>
      </c>
      <c r="CC200" s="99">
        <f>'BS Forecasts'!CC$129</f>
        <v>0</v>
      </c>
      <c r="CD200" s="99">
        <f>'BS Forecasts'!CD$129</f>
        <v>0</v>
      </c>
      <c r="CE200" s="99">
        <f>'BS Forecasts'!CE$129</f>
        <v>0</v>
      </c>
      <c r="CF200" s="99">
        <f>'BS Forecasts'!CF$129</f>
        <v>0</v>
      </c>
      <c r="CG200" s="99">
        <f>'BS Forecasts'!CG$129</f>
        <v>0</v>
      </c>
      <c r="CH200" s="99">
        <f>'BS Forecasts'!CH$129</f>
        <v>0</v>
      </c>
      <c r="CI200" s="99">
        <f>'BS Forecasts'!CI$129</f>
        <v>0</v>
      </c>
      <c r="CK200" s="311"/>
      <c r="CO200" s="100">
        <f t="shared" si="225"/>
        <v>0</v>
      </c>
      <c r="CP200" s="100">
        <f t="shared" si="226"/>
        <v>0</v>
      </c>
      <c r="CQ200" s="100">
        <f t="shared" si="227"/>
        <v>0</v>
      </c>
      <c r="CR200" s="311"/>
      <c r="CS200" s="215">
        <f t="shared" si="228"/>
        <v>0</v>
      </c>
      <c r="CT200" s="215">
        <f t="shared" si="229"/>
        <v>0</v>
      </c>
      <c r="CU200" s="215">
        <f t="shared" si="230"/>
        <v>0</v>
      </c>
      <c r="CV200" s="215">
        <f t="shared" si="231"/>
        <v>0</v>
      </c>
      <c r="CW200" s="215">
        <f t="shared" si="231"/>
        <v>0</v>
      </c>
      <c r="CX200" s="215">
        <f t="shared" si="231"/>
        <v>0</v>
      </c>
      <c r="CY200" s="215">
        <f t="shared" si="232"/>
        <v>0</v>
      </c>
      <c r="EX200" s="10" t="str">
        <f t="shared" si="218"/>
        <v>Interest element of finance lease/operating lease (right of use) rental payments</v>
      </c>
    </row>
    <row r="201" spans="1:154" x14ac:dyDescent="0.35">
      <c r="A201" s="537" cm="1">
        <f t="array" aca="1" ref="A201" ca="1">HYPERLINK(CONCATENATE("#",CELL("address",IF(MAX($CK201:$CR201)=0,A201,INDEX($CK201:$CR201,MATCH(1,$CK201:$CR201,0))))),MAX($CK201:$CR201))</f>
        <v>0</v>
      </c>
      <c r="C201" s="213" t="s">
        <v>1620</v>
      </c>
      <c r="D201" s="120" t="s">
        <v>1621</v>
      </c>
      <c r="E201" s="558" t="str" cm="1">
        <f t="array" aca="1" ref="E201" ca="1">HYPERLINK(CONCATENATE("#",CELL("address",Loans!$D$1108)),Loans!$D$1104)</f>
        <v>Drawdown</v>
      </c>
      <c r="F201" s="120"/>
      <c r="G201" s="120"/>
      <c r="H201" s="120"/>
      <c r="V201" s="99">
        <f>Loans!V$1108</f>
        <v>0</v>
      </c>
      <c r="W201" s="99">
        <f>Loans!W$1108</f>
        <v>0</v>
      </c>
      <c r="X201" s="99">
        <f>Loans!X$1108</f>
        <v>0</v>
      </c>
      <c r="Y201" s="99">
        <f>Loans!Y$1108</f>
        <v>0</v>
      </c>
      <c r="AA201" s="99">
        <f>Loans!AA$1108</f>
        <v>0</v>
      </c>
      <c r="AB201" s="99">
        <f>Loans!AB$1108</f>
        <v>0</v>
      </c>
      <c r="AC201" s="99">
        <f>Loans!AC$1108</f>
        <v>0</v>
      </c>
      <c r="AD201" s="99">
        <f>Loans!AD$1108</f>
        <v>0</v>
      </c>
      <c r="AE201" s="99">
        <f>Loans!AE$1108</f>
        <v>0</v>
      </c>
      <c r="AF201" s="99">
        <f>Loans!AF$1108</f>
        <v>0</v>
      </c>
      <c r="AG201" s="99">
        <f>Loans!AG$1108</f>
        <v>0</v>
      </c>
      <c r="AH201" s="99">
        <f>Loans!AH$1108</f>
        <v>0</v>
      </c>
      <c r="AI201" s="99">
        <f>Loans!AI$1108</f>
        <v>0</v>
      </c>
      <c r="AJ201" s="99">
        <f>Loans!AJ$1108</f>
        <v>0</v>
      </c>
      <c r="AK201" s="99">
        <f>Loans!AK$1108</f>
        <v>0</v>
      </c>
      <c r="AL201" s="99">
        <f>Loans!AL$1108</f>
        <v>0</v>
      </c>
      <c r="AM201" s="99">
        <f>Loans!AM$1108</f>
        <v>0</v>
      </c>
      <c r="AN201" s="99">
        <f>Loans!AN$1108</f>
        <v>0</v>
      </c>
      <c r="AO201" s="99">
        <f>Loans!AO$1108</f>
        <v>0</v>
      </c>
      <c r="AP201" s="99">
        <f>Loans!AP$1108</f>
        <v>0</v>
      </c>
      <c r="AQ201" s="99">
        <f>Loans!AQ$1108</f>
        <v>0</v>
      </c>
      <c r="AR201" s="99">
        <f>Loans!AR$1108</f>
        <v>0</v>
      </c>
      <c r="AS201" s="99">
        <f>Loans!AS$1108</f>
        <v>0</v>
      </c>
      <c r="AT201" s="99">
        <f>Loans!AT$1108</f>
        <v>0</v>
      </c>
      <c r="AU201" s="99">
        <f>Loans!AU$1108</f>
        <v>0</v>
      </c>
      <c r="AV201" s="99">
        <f>Loans!AV$1108</f>
        <v>0</v>
      </c>
      <c r="AW201" s="99">
        <f>Loans!AW$1108</f>
        <v>0</v>
      </c>
      <c r="AX201" s="99">
        <f>Loans!AX$1108</f>
        <v>0</v>
      </c>
      <c r="AY201" s="99">
        <f>Loans!AY$1108</f>
        <v>0</v>
      </c>
      <c r="AZ201" s="99">
        <f>Loans!AZ$1108</f>
        <v>0</v>
      </c>
      <c r="BA201" s="99">
        <f>Loans!BA$1108</f>
        <v>0</v>
      </c>
      <c r="BB201" s="99">
        <f>Loans!BB$1108</f>
        <v>0</v>
      </c>
      <c r="BC201" s="99">
        <f>Loans!BC$1108</f>
        <v>0</v>
      </c>
      <c r="BD201" s="99">
        <f>Loans!BD$1108</f>
        <v>0</v>
      </c>
      <c r="BE201" s="99">
        <f>Loans!BE$1108</f>
        <v>0</v>
      </c>
      <c r="BF201" s="99">
        <f>Loans!BF$1108</f>
        <v>0</v>
      </c>
      <c r="BG201" s="99">
        <f>Loans!BG$1108</f>
        <v>0</v>
      </c>
      <c r="BH201" s="99">
        <f>Loans!BH$1108</f>
        <v>0</v>
      </c>
      <c r="BI201" s="99">
        <f>Loans!BI$1108</f>
        <v>0</v>
      </c>
      <c r="BJ201" s="99">
        <f>Loans!BJ$1108</f>
        <v>0</v>
      </c>
      <c r="BX201" s="99">
        <f>Loans!BX$1108</f>
        <v>0</v>
      </c>
      <c r="BY201" s="99">
        <f>Loans!BY$1108</f>
        <v>0</v>
      </c>
      <c r="BZ201" s="99">
        <f>Loans!BZ$1108</f>
        <v>0</v>
      </c>
      <c r="CA201" s="99">
        <f>Loans!CA$1108</f>
        <v>0</v>
      </c>
      <c r="CB201" s="99">
        <f>Loans!CB$1108</f>
        <v>0</v>
      </c>
      <c r="CC201" s="99">
        <f>Loans!CC$1108</f>
        <v>0</v>
      </c>
      <c r="CD201" s="99">
        <f>Loans!CD$1108</f>
        <v>0</v>
      </c>
      <c r="CE201" s="99">
        <f>Loans!CE$1108</f>
        <v>0</v>
      </c>
      <c r="CF201" s="99">
        <f>Loans!CF$1108</f>
        <v>0</v>
      </c>
      <c r="CG201" s="99">
        <f>Loans!CG$1108</f>
        <v>0</v>
      </c>
      <c r="CH201" s="99">
        <f>Loans!CH$1108</f>
        <v>0</v>
      </c>
      <c r="CI201" s="99">
        <f>Loans!CI$1108</f>
        <v>0</v>
      </c>
      <c r="CK201" s="311"/>
      <c r="CO201" s="100">
        <f t="shared" si="225"/>
        <v>0</v>
      </c>
      <c r="CP201" s="100">
        <f t="shared" si="226"/>
        <v>0</v>
      </c>
      <c r="CQ201" s="100">
        <f t="shared" si="227"/>
        <v>0</v>
      </c>
      <c r="CR201" s="311"/>
      <c r="CS201" s="215">
        <f t="shared" si="228"/>
        <v>0</v>
      </c>
      <c r="CT201" s="215">
        <f t="shared" si="229"/>
        <v>0</v>
      </c>
      <c r="CU201" s="215">
        <f t="shared" si="230"/>
        <v>0</v>
      </c>
      <c r="CV201" s="215">
        <f t="shared" si="231"/>
        <v>0</v>
      </c>
      <c r="CW201" s="215">
        <f t="shared" si="231"/>
        <v>0</v>
      </c>
      <c r="CX201" s="215">
        <f t="shared" si="231"/>
        <v>0</v>
      </c>
      <c r="CY201" s="215">
        <f t="shared" si="232"/>
        <v>0</v>
      </c>
      <c r="EX201" s="10" t="str">
        <f t="shared" si="218"/>
        <v>New long term loans</v>
      </c>
    </row>
    <row r="202" spans="1:154" ht="58" x14ac:dyDescent="0.35">
      <c r="A202" s="537" cm="1">
        <f t="array" aca="1" ref="A202" ca="1">HYPERLINK(CONCATENATE("#",CELL("address",IF(MAX($CK202:$CR202)=0,A202,INDEX($CK202:$CR202,MATCH(1,$CK202:$CR202,0))))),MAX($CK202:$CR202))</f>
        <v>0</v>
      </c>
      <c r="C202" s="213" t="s">
        <v>1622</v>
      </c>
      <c r="D202" s="120" t="str">
        <f>Loans!D1110</f>
        <v>Loan Capital Repayment (as per loan agreement)</v>
      </c>
      <c r="E202" s="558" t="str" cm="1">
        <f t="array" aca="1" ref="E202" ca="1">HYPERLINK(CONCATENATE("#",CELL("address",Loans!$D$1114)),Loans!$D$1110)</f>
        <v>Loan Capital Repayment (as per loan agreement)</v>
      </c>
      <c r="F202" s="120"/>
      <c r="G202" s="120"/>
      <c r="H202" s="120"/>
      <c r="V202" s="99">
        <f>Loans!V$1114</f>
        <v>0</v>
      </c>
      <c r="W202" s="99">
        <f>Loans!W$1114</f>
        <v>0</v>
      </c>
      <c r="X202" s="99">
        <f>Loans!X$1114</f>
        <v>0</v>
      </c>
      <c r="Y202" s="99">
        <f>Loans!Y$1114</f>
        <v>0</v>
      </c>
      <c r="AA202" s="99">
        <f>Loans!AA$1114</f>
        <v>0</v>
      </c>
      <c r="AB202" s="99">
        <f>Loans!AB$1114</f>
        <v>0</v>
      </c>
      <c r="AC202" s="99">
        <f>Loans!AC$1114</f>
        <v>0</v>
      </c>
      <c r="AD202" s="99">
        <f>Loans!AD$1114</f>
        <v>0</v>
      </c>
      <c r="AE202" s="99">
        <f>Loans!AE$1114</f>
        <v>0</v>
      </c>
      <c r="AF202" s="99">
        <f>Loans!AF$1114</f>
        <v>0</v>
      </c>
      <c r="AG202" s="99">
        <f>Loans!AG$1114</f>
        <v>0</v>
      </c>
      <c r="AH202" s="99">
        <f>Loans!AH$1114</f>
        <v>0</v>
      </c>
      <c r="AI202" s="99">
        <f>Loans!AI$1114</f>
        <v>0</v>
      </c>
      <c r="AJ202" s="99">
        <f>Loans!AJ$1114</f>
        <v>0</v>
      </c>
      <c r="AK202" s="99">
        <f>Loans!AK$1114</f>
        <v>0</v>
      </c>
      <c r="AL202" s="99">
        <f>Loans!AL$1114</f>
        <v>0</v>
      </c>
      <c r="AM202" s="99">
        <f>Loans!AM$1114</f>
        <v>0</v>
      </c>
      <c r="AN202" s="99">
        <f>Loans!AN$1114</f>
        <v>0</v>
      </c>
      <c r="AO202" s="99">
        <f>Loans!AO$1114</f>
        <v>0</v>
      </c>
      <c r="AP202" s="99">
        <f>Loans!AP$1114</f>
        <v>0</v>
      </c>
      <c r="AQ202" s="99">
        <f>Loans!AQ$1114</f>
        <v>0</v>
      </c>
      <c r="AR202" s="99">
        <f>Loans!AR$1114</f>
        <v>0</v>
      </c>
      <c r="AS202" s="99">
        <f>Loans!AS$1114</f>
        <v>0</v>
      </c>
      <c r="AT202" s="99">
        <f>Loans!AT$1114</f>
        <v>0</v>
      </c>
      <c r="AU202" s="99">
        <f>Loans!AU$1114</f>
        <v>0</v>
      </c>
      <c r="AV202" s="99">
        <f>Loans!AV$1114</f>
        <v>0</v>
      </c>
      <c r="AW202" s="99">
        <f>Loans!AW$1114</f>
        <v>0</v>
      </c>
      <c r="AX202" s="99">
        <f>Loans!AX$1114</f>
        <v>0</v>
      </c>
      <c r="AY202" s="99">
        <f>Loans!AY$1114</f>
        <v>0</v>
      </c>
      <c r="AZ202" s="99">
        <f>Loans!AZ$1114</f>
        <v>0</v>
      </c>
      <c r="BA202" s="99">
        <f>Loans!BA$1114</f>
        <v>0</v>
      </c>
      <c r="BB202" s="99">
        <f>Loans!BB$1114</f>
        <v>0</v>
      </c>
      <c r="BC202" s="99">
        <f>Loans!BC$1114</f>
        <v>0</v>
      </c>
      <c r="BD202" s="99">
        <f>Loans!BD$1114</f>
        <v>0</v>
      </c>
      <c r="BE202" s="99">
        <f>Loans!BE$1114</f>
        <v>0</v>
      </c>
      <c r="BF202" s="99">
        <f>Loans!BF$1114</f>
        <v>0</v>
      </c>
      <c r="BG202" s="99">
        <f>Loans!BG$1114</f>
        <v>0</v>
      </c>
      <c r="BH202" s="99">
        <f>Loans!BH$1114</f>
        <v>0</v>
      </c>
      <c r="BI202" s="99">
        <f>Loans!BI$1114</f>
        <v>0</v>
      </c>
      <c r="BJ202" s="99">
        <f>Loans!BJ$1114</f>
        <v>0</v>
      </c>
      <c r="BX202" s="99">
        <f>Loans!BX$1114</f>
        <v>0</v>
      </c>
      <c r="BY202" s="99">
        <f>Loans!BY$1114</f>
        <v>0</v>
      </c>
      <c r="BZ202" s="99">
        <f>Loans!BZ$1114</f>
        <v>0</v>
      </c>
      <c r="CA202" s="99">
        <f>Loans!CA$1114</f>
        <v>0</v>
      </c>
      <c r="CB202" s="99">
        <f>Loans!CB$1114</f>
        <v>0</v>
      </c>
      <c r="CC202" s="99">
        <f>Loans!CC$1114</f>
        <v>0</v>
      </c>
      <c r="CD202" s="99">
        <f>Loans!CD$1114</f>
        <v>0</v>
      </c>
      <c r="CE202" s="99">
        <f>Loans!CE$1114</f>
        <v>0</v>
      </c>
      <c r="CF202" s="99">
        <f>Loans!CF$1114</f>
        <v>0</v>
      </c>
      <c r="CG202" s="99">
        <f>Loans!CG$1114</f>
        <v>0</v>
      </c>
      <c r="CH202" s="99">
        <f>Loans!CH$1114</f>
        <v>0</v>
      </c>
      <c r="CI202" s="99">
        <f>Loans!CI$1114</f>
        <v>0</v>
      </c>
      <c r="CK202" s="311"/>
      <c r="CO202" s="100">
        <f t="shared" si="225"/>
        <v>0</v>
      </c>
      <c r="CP202" s="100">
        <f t="shared" si="226"/>
        <v>0</v>
      </c>
      <c r="CQ202" s="100">
        <f t="shared" si="227"/>
        <v>0</v>
      </c>
      <c r="CR202" s="311"/>
      <c r="CS202" s="215">
        <f t="shared" si="228"/>
        <v>0</v>
      </c>
      <c r="CT202" s="215">
        <f t="shared" si="229"/>
        <v>0</v>
      </c>
      <c r="CU202" s="215">
        <f t="shared" si="230"/>
        <v>0</v>
      </c>
      <c r="CV202" s="215">
        <f t="shared" si="231"/>
        <v>0</v>
      </c>
      <c r="CW202" s="215">
        <f t="shared" si="231"/>
        <v>0</v>
      </c>
      <c r="CX202" s="215">
        <f t="shared" si="231"/>
        <v>0</v>
      </c>
      <c r="CY202" s="215">
        <f t="shared" si="232"/>
        <v>0</v>
      </c>
      <c r="EX202" s="10" t="str">
        <f t="shared" si="218"/>
        <v>Loan Capital Repayment (as per loan agreement)</v>
      </c>
    </row>
    <row r="203" spans="1:154" ht="43.5" x14ac:dyDescent="0.35">
      <c r="A203" s="537" cm="1">
        <f t="array" aca="1" ref="A203" ca="1">HYPERLINK(CONCATENATE("#",CELL("address",IF(MAX($CK203:$CR203)=0,A203,INDEX($CK203:$CR203,MATCH(1,$CK203:$CR203,0))))),MAX($CK203:$CR203))</f>
        <v>0</v>
      </c>
      <c r="C203" s="213" t="s">
        <v>1623</v>
      </c>
      <c r="D203" s="120" t="str">
        <f>Loans!D1116</f>
        <v>Early Loan Capital Repayment</v>
      </c>
      <c r="E203" s="558" t="str" cm="1">
        <f t="array" aca="1" ref="E203" ca="1">HYPERLINK(CONCATENATE("#",CELL("address",Loans!$D$1120)),Loans!$D$1116)</f>
        <v>Early Loan Capital Repayment</v>
      </c>
      <c r="F203" s="120"/>
      <c r="G203" s="120"/>
      <c r="H203" s="120"/>
      <c r="V203" s="99">
        <f>Loans!V$1120</f>
        <v>0</v>
      </c>
      <c r="W203" s="99">
        <f>Loans!W$1120</f>
        <v>0</v>
      </c>
      <c r="X203" s="99">
        <f>Loans!X$1120</f>
        <v>0</v>
      </c>
      <c r="Y203" s="99">
        <f>Loans!Y$1120</f>
        <v>0</v>
      </c>
      <c r="AA203" s="99">
        <f>Loans!AA$1120</f>
        <v>0</v>
      </c>
      <c r="AB203" s="99">
        <f>Loans!AB$1120</f>
        <v>0</v>
      </c>
      <c r="AC203" s="99">
        <f>Loans!AC$1120</f>
        <v>0</v>
      </c>
      <c r="AD203" s="99">
        <f>Loans!AD$1120</f>
        <v>0</v>
      </c>
      <c r="AE203" s="99">
        <f>Loans!AE$1120</f>
        <v>0</v>
      </c>
      <c r="AF203" s="99">
        <f>Loans!AF$1120</f>
        <v>0</v>
      </c>
      <c r="AG203" s="99">
        <f>Loans!AG$1120</f>
        <v>0</v>
      </c>
      <c r="AH203" s="99">
        <f>Loans!AH$1120</f>
        <v>0</v>
      </c>
      <c r="AI203" s="99">
        <f>Loans!AI$1120</f>
        <v>0</v>
      </c>
      <c r="AJ203" s="99">
        <f>Loans!AJ$1120</f>
        <v>0</v>
      </c>
      <c r="AK203" s="99">
        <f>Loans!AK$1120</f>
        <v>0</v>
      </c>
      <c r="AL203" s="99">
        <f>Loans!AL$1120</f>
        <v>0</v>
      </c>
      <c r="AM203" s="99">
        <f>Loans!AM$1120</f>
        <v>0</v>
      </c>
      <c r="AN203" s="99">
        <f>Loans!AN$1120</f>
        <v>0</v>
      </c>
      <c r="AO203" s="99">
        <f>Loans!AO$1120</f>
        <v>0</v>
      </c>
      <c r="AP203" s="99">
        <f>Loans!AP$1120</f>
        <v>0</v>
      </c>
      <c r="AQ203" s="99">
        <f>Loans!AQ$1120</f>
        <v>0</v>
      </c>
      <c r="AR203" s="99">
        <f>Loans!AR$1120</f>
        <v>0</v>
      </c>
      <c r="AS203" s="99">
        <f>Loans!AS$1120</f>
        <v>0</v>
      </c>
      <c r="AT203" s="99">
        <f>Loans!AT$1120</f>
        <v>0</v>
      </c>
      <c r="AU203" s="99">
        <f>Loans!AU$1120</f>
        <v>0</v>
      </c>
      <c r="AV203" s="99">
        <f>Loans!AV$1120</f>
        <v>0</v>
      </c>
      <c r="AW203" s="99">
        <f>Loans!AW$1120</f>
        <v>0</v>
      </c>
      <c r="AX203" s="99">
        <f>Loans!AX$1120</f>
        <v>0</v>
      </c>
      <c r="AY203" s="99">
        <f>Loans!AY$1120</f>
        <v>0</v>
      </c>
      <c r="AZ203" s="99">
        <f>Loans!AZ$1120</f>
        <v>0</v>
      </c>
      <c r="BA203" s="99">
        <f>Loans!BA$1120</f>
        <v>0</v>
      </c>
      <c r="BB203" s="99">
        <f>Loans!BB$1120</f>
        <v>0</v>
      </c>
      <c r="BC203" s="99">
        <f>Loans!BC$1120</f>
        <v>0</v>
      </c>
      <c r="BD203" s="99">
        <f>Loans!BD$1120</f>
        <v>0</v>
      </c>
      <c r="BE203" s="99">
        <f>Loans!BE$1120</f>
        <v>0</v>
      </c>
      <c r="BF203" s="99">
        <f>Loans!BF$1120</f>
        <v>0</v>
      </c>
      <c r="BG203" s="99">
        <f>Loans!BG$1120</f>
        <v>0</v>
      </c>
      <c r="BH203" s="99">
        <f>Loans!BH$1120</f>
        <v>0</v>
      </c>
      <c r="BI203" s="99">
        <f>Loans!BI$1120</f>
        <v>0</v>
      </c>
      <c r="BJ203" s="99">
        <f>Loans!BJ$1120</f>
        <v>0</v>
      </c>
      <c r="BX203" s="99">
        <f>Loans!BX$1120</f>
        <v>0</v>
      </c>
      <c r="BY203" s="99">
        <f>Loans!BY$1120</f>
        <v>0</v>
      </c>
      <c r="BZ203" s="99">
        <f>Loans!BZ$1120</f>
        <v>0</v>
      </c>
      <c r="CA203" s="99">
        <f>Loans!CA$1120</f>
        <v>0</v>
      </c>
      <c r="CB203" s="99">
        <f>Loans!CB$1120</f>
        <v>0</v>
      </c>
      <c r="CC203" s="99">
        <f>Loans!CC$1120</f>
        <v>0</v>
      </c>
      <c r="CD203" s="99">
        <f>Loans!CD$1120</f>
        <v>0</v>
      </c>
      <c r="CE203" s="99">
        <f>Loans!CE$1120</f>
        <v>0</v>
      </c>
      <c r="CF203" s="99">
        <f>Loans!CF$1120</f>
        <v>0</v>
      </c>
      <c r="CG203" s="99">
        <f>Loans!CG$1120</f>
        <v>0</v>
      </c>
      <c r="CH203" s="99">
        <f>Loans!CH$1120</f>
        <v>0</v>
      </c>
      <c r="CI203" s="99">
        <f>Loans!CI$1120</f>
        <v>0</v>
      </c>
      <c r="CK203" s="311"/>
      <c r="CO203" s="100">
        <f t="shared" si="225"/>
        <v>0</v>
      </c>
      <c r="CP203" s="100">
        <f t="shared" si="226"/>
        <v>0</v>
      </c>
      <c r="CQ203" s="100">
        <f t="shared" si="227"/>
        <v>0</v>
      </c>
      <c r="CR203" s="311"/>
      <c r="CS203" s="215">
        <f t="shared" si="228"/>
        <v>0</v>
      </c>
      <c r="CT203" s="215">
        <f t="shared" si="229"/>
        <v>0</v>
      </c>
      <c r="CU203" s="215">
        <f t="shared" si="230"/>
        <v>0</v>
      </c>
      <c r="CV203" s="215">
        <f t="shared" si="231"/>
        <v>0</v>
      </c>
      <c r="CW203" s="215">
        <f t="shared" si="231"/>
        <v>0</v>
      </c>
      <c r="CX203" s="215">
        <f t="shared" si="231"/>
        <v>0</v>
      </c>
      <c r="CY203" s="215">
        <f t="shared" si="232"/>
        <v>0</v>
      </c>
      <c r="EX203" s="10" t="str">
        <f t="shared" si="218"/>
        <v>Early Loan Capital Repayment</v>
      </c>
    </row>
    <row r="204" spans="1:154" ht="87" x14ac:dyDescent="0.35">
      <c r="A204" s="537" cm="1">
        <f t="array" aca="1" ref="A204" ca="1">HYPERLINK(CONCATENATE("#",CELL("address",IF(MAX($CK204:$CR204)=0,A204,INDEX($CK204:$CR204,MATCH(1,$CK204:$CR204,0))))),MAX($CK204:$CR204))</f>
        <v>0</v>
      </c>
      <c r="C204" s="213" t="s">
        <v>1624</v>
      </c>
      <c r="D204" s="57" t="s">
        <v>1625</v>
      </c>
      <c r="E204" s="558" t="str" cm="1">
        <f t="array" aca="1" ref="E204" ca="1">HYPERLINK(CONCATENATE("#",CELL("address",'BS Forecasts'!$D$128)),'BS Forecasts'!$D$124)</f>
        <v>Total Finance and Operating Lease (Right of use) Obligations</v>
      </c>
      <c r="F204" s="120"/>
      <c r="G204" s="120"/>
      <c r="H204" s="120"/>
      <c r="V204" s="99">
        <f>'BS Forecasts'!V$128</f>
        <v>0</v>
      </c>
      <c r="W204" s="99">
        <f>'BS Forecasts'!W$128</f>
        <v>0</v>
      </c>
      <c r="X204" s="99">
        <f>'BS Forecasts'!X$128</f>
        <v>0</v>
      </c>
      <c r="Y204" s="99">
        <f>'BS Forecasts'!Y$128</f>
        <v>0</v>
      </c>
      <c r="AA204" s="99">
        <f>'BS Forecasts'!AA$128</f>
        <v>0</v>
      </c>
      <c r="AB204" s="99">
        <f>'BS Forecasts'!AB$128</f>
        <v>0</v>
      </c>
      <c r="AC204" s="99">
        <f>'BS Forecasts'!AC$128</f>
        <v>0</v>
      </c>
      <c r="AD204" s="99">
        <f>'BS Forecasts'!AD$128</f>
        <v>0</v>
      </c>
      <c r="AE204" s="99">
        <f>'BS Forecasts'!AE$128</f>
        <v>0</v>
      </c>
      <c r="AF204" s="99">
        <f>'BS Forecasts'!AF$128</f>
        <v>0</v>
      </c>
      <c r="AG204" s="99">
        <f>'BS Forecasts'!AG$128</f>
        <v>0</v>
      </c>
      <c r="AH204" s="99">
        <f>'BS Forecasts'!AH$128</f>
        <v>0</v>
      </c>
      <c r="AI204" s="99">
        <f>'BS Forecasts'!AI$128</f>
        <v>0</v>
      </c>
      <c r="AJ204" s="99">
        <f>'BS Forecasts'!AJ$128</f>
        <v>0</v>
      </c>
      <c r="AK204" s="99">
        <f>'BS Forecasts'!AK$128</f>
        <v>0</v>
      </c>
      <c r="AL204" s="99">
        <f>'BS Forecasts'!AL$128</f>
        <v>0</v>
      </c>
      <c r="AM204" s="99">
        <f>'BS Forecasts'!AM$128</f>
        <v>0</v>
      </c>
      <c r="AN204" s="99">
        <f>'BS Forecasts'!AN$128</f>
        <v>0</v>
      </c>
      <c r="AO204" s="99">
        <f>'BS Forecasts'!AO$128</f>
        <v>0</v>
      </c>
      <c r="AP204" s="99">
        <f>'BS Forecasts'!AP$128</f>
        <v>0</v>
      </c>
      <c r="AQ204" s="99">
        <f>'BS Forecasts'!AQ$128</f>
        <v>0</v>
      </c>
      <c r="AR204" s="99">
        <f>'BS Forecasts'!AR$128</f>
        <v>0</v>
      </c>
      <c r="AS204" s="99">
        <f>'BS Forecasts'!AS$128</f>
        <v>0</v>
      </c>
      <c r="AT204" s="99">
        <f>'BS Forecasts'!AT$128</f>
        <v>0</v>
      </c>
      <c r="AU204" s="99">
        <f>'BS Forecasts'!AU$128</f>
        <v>0</v>
      </c>
      <c r="AV204" s="99">
        <f>'BS Forecasts'!AV$128</f>
        <v>0</v>
      </c>
      <c r="AW204" s="99">
        <f>'BS Forecasts'!AW$128</f>
        <v>0</v>
      </c>
      <c r="AX204" s="99">
        <f>'BS Forecasts'!AX$128</f>
        <v>0</v>
      </c>
      <c r="AY204" s="99">
        <f>'BS Forecasts'!AY$128</f>
        <v>0</v>
      </c>
      <c r="AZ204" s="99">
        <f>'BS Forecasts'!AZ$128</f>
        <v>0</v>
      </c>
      <c r="BA204" s="99">
        <f>'BS Forecasts'!BA$128</f>
        <v>0</v>
      </c>
      <c r="BB204" s="99">
        <f>'BS Forecasts'!BB$128</f>
        <v>0</v>
      </c>
      <c r="BC204" s="99">
        <f>'BS Forecasts'!BC$128</f>
        <v>0</v>
      </c>
      <c r="BD204" s="99">
        <f>'BS Forecasts'!BD$128</f>
        <v>0</v>
      </c>
      <c r="BE204" s="99">
        <f>'BS Forecasts'!BE$128</f>
        <v>0</v>
      </c>
      <c r="BF204" s="99">
        <f>'BS Forecasts'!BF$128</f>
        <v>0</v>
      </c>
      <c r="BG204" s="99">
        <f>'BS Forecasts'!BG$128</f>
        <v>0</v>
      </c>
      <c r="BH204" s="99">
        <f>'BS Forecasts'!BH$128</f>
        <v>0</v>
      </c>
      <c r="BI204" s="99">
        <f>'BS Forecasts'!BI$128</f>
        <v>0</v>
      </c>
      <c r="BJ204" s="99">
        <f>'BS Forecasts'!BJ$128</f>
        <v>0</v>
      </c>
      <c r="BX204" s="99">
        <f>'BS Forecasts'!BX$128</f>
        <v>0</v>
      </c>
      <c r="BY204" s="99">
        <f>'BS Forecasts'!BY$128</f>
        <v>0</v>
      </c>
      <c r="BZ204" s="99">
        <f>'BS Forecasts'!BZ$128</f>
        <v>0</v>
      </c>
      <c r="CA204" s="99">
        <f>'BS Forecasts'!CA$128</f>
        <v>0</v>
      </c>
      <c r="CB204" s="99">
        <f>'BS Forecasts'!CB$128</f>
        <v>0</v>
      </c>
      <c r="CC204" s="99">
        <f>'BS Forecasts'!CC$128</f>
        <v>0</v>
      </c>
      <c r="CD204" s="99">
        <f>'BS Forecasts'!CD$128</f>
        <v>0</v>
      </c>
      <c r="CE204" s="99">
        <f>'BS Forecasts'!CE$128</f>
        <v>0</v>
      </c>
      <c r="CF204" s="99">
        <f>'BS Forecasts'!CF$128</f>
        <v>0</v>
      </c>
      <c r="CG204" s="99">
        <f>'BS Forecasts'!CG$128</f>
        <v>0</v>
      </c>
      <c r="CH204" s="99">
        <f>'BS Forecasts'!CH$128</f>
        <v>0</v>
      </c>
      <c r="CI204" s="99">
        <f>'BS Forecasts'!CI$128</f>
        <v>0</v>
      </c>
      <c r="CK204" s="311"/>
      <c r="CO204" s="100">
        <f t="shared" si="225"/>
        <v>0</v>
      </c>
      <c r="CP204" s="100">
        <f t="shared" si="226"/>
        <v>0</v>
      </c>
      <c r="CQ204" s="100">
        <f t="shared" si="227"/>
        <v>0</v>
      </c>
      <c r="CR204" s="311"/>
      <c r="CS204" s="215">
        <f t="shared" si="228"/>
        <v>0</v>
      </c>
      <c r="CT204" s="215">
        <f t="shared" si="229"/>
        <v>0</v>
      </c>
      <c r="CU204" s="215">
        <f t="shared" si="230"/>
        <v>0</v>
      </c>
      <c r="CV204" s="215">
        <f t="shared" si="231"/>
        <v>0</v>
      </c>
      <c r="CW204" s="215">
        <f t="shared" si="231"/>
        <v>0</v>
      </c>
      <c r="CX204" s="215">
        <f t="shared" si="231"/>
        <v>0</v>
      </c>
      <c r="CY204" s="215">
        <f t="shared" si="232"/>
        <v>0</v>
      </c>
      <c r="EX204" s="10" t="str">
        <f t="shared" si="218"/>
        <v>Capital element of finance lease/operating lease (right of use) rental payments</v>
      </c>
    </row>
    <row r="205" spans="1:154" ht="37.5" customHeight="1" x14ac:dyDescent="0.35">
      <c r="A205" s="537" cm="1">
        <f t="array" aca="1" ref="A205" ca="1">HYPERLINK(CONCATENATE("#",CELL("address",IF(MAX($CK205:$CR205)=0,A205,INDEX($CK205:$CR205,MATCH(1,$CK205:$CR205,0))))),MAX($CK205:$CR205))</f>
        <v>0</v>
      </c>
      <c r="C205" s="213" t="s">
        <v>1626</v>
      </c>
      <c r="D205" s="120" t="s">
        <v>1627</v>
      </c>
      <c r="E205" s="558" t="str" cm="1">
        <f t="array" aca="1" ref="E205" ca="1">HYPERLINK(CONCATENATE("#",CELL("address",'BS Forecasts'!$D$82)),LEFT('BS Forecasts'!$D$81,23))</f>
        <v>Unrestricted Cash and C</v>
      </c>
      <c r="F205" s="120"/>
      <c r="G205" s="120"/>
      <c r="H205" s="120"/>
      <c r="V205" s="99">
        <f>'BS Forecasts'!V$82</f>
        <v>0</v>
      </c>
      <c r="W205" s="99">
        <f>'BS Forecasts'!W$82</f>
        <v>0</v>
      </c>
      <c r="X205" s="99">
        <f>'BS Forecasts'!X$82</f>
        <v>0</v>
      </c>
      <c r="Y205" s="99">
        <f>'BS Forecasts'!Y$82</f>
        <v>0</v>
      </c>
      <c r="AA205" s="99">
        <f>'BS Forecasts'!AA$82</f>
        <v>0</v>
      </c>
      <c r="AB205" s="99">
        <f>'BS Forecasts'!AB$82</f>
        <v>0</v>
      </c>
      <c r="AC205" s="99">
        <f>'BS Forecasts'!AC$82</f>
        <v>0</v>
      </c>
      <c r="AD205" s="99">
        <f>'BS Forecasts'!AD$82</f>
        <v>0</v>
      </c>
      <c r="AE205" s="99">
        <f>'BS Forecasts'!AE$82</f>
        <v>0</v>
      </c>
      <c r="AF205" s="99">
        <f>'BS Forecasts'!AF$82</f>
        <v>0</v>
      </c>
      <c r="AG205" s="99">
        <f>'BS Forecasts'!AG$82</f>
        <v>0</v>
      </c>
      <c r="AH205" s="99">
        <f>'BS Forecasts'!AH$82</f>
        <v>0</v>
      </c>
      <c r="AI205" s="99">
        <f>'BS Forecasts'!AI$82</f>
        <v>0</v>
      </c>
      <c r="AJ205" s="99">
        <f>'BS Forecasts'!AJ$82</f>
        <v>0</v>
      </c>
      <c r="AK205" s="99">
        <f>'BS Forecasts'!AK$82</f>
        <v>0</v>
      </c>
      <c r="AL205" s="99">
        <f>'BS Forecasts'!AL$82</f>
        <v>0</v>
      </c>
      <c r="AM205" s="99">
        <f>'BS Forecasts'!AM$82</f>
        <v>0</v>
      </c>
      <c r="AN205" s="99">
        <f>'BS Forecasts'!AN$82</f>
        <v>0</v>
      </c>
      <c r="AO205" s="99">
        <f>'BS Forecasts'!AO$82</f>
        <v>0</v>
      </c>
      <c r="AP205" s="99">
        <f>'BS Forecasts'!AP$82</f>
        <v>0</v>
      </c>
      <c r="AQ205" s="99">
        <f>'BS Forecasts'!AQ$82</f>
        <v>0</v>
      </c>
      <c r="AR205" s="99">
        <f>'BS Forecasts'!AR$82</f>
        <v>0</v>
      </c>
      <c r="AS205" s="99">
        <f>'BS Forecasts'!AS$82</f>
        <v>0</v>
      </c>
      <c r="AT205" s="99">
        <f>'BS Forecasts'!AT$82</f>
        <v>0</v>
      </c>
      <c r="AU205" s="99">
        <f>'BS Forecasts'!AU$82</f>
        <v>0</v>
      </c>
      <c r="AV205" s="99">
        <f>'BS Forecasts'!AV$82</f>
        <v>0</v>
      </c>
      <c r="AW205" s="99">
        <f>'BS Forecasts'!AW$82</f>
        <v>0</v>
      </c>
      <c r="AX205" s="99">
        <f>'BS Forecasts'!AX$82</f>
        <v>0</v>
      </c>
      <c r="AY205" s="99">
        <f>'BS Forecasts'!AY$82</f>
        <v>0</v>
      </c>
      <c r="AZ205" s="99">
        <f>'BS Forecasts'!AZ$82</f>
        <v>0</v>
      </c>
      <c r="BA205" s="99">
        <f>'BS Forecasts'!BA$82</f>
        <v>0</v>
      </c>
      <c r="BB205" s="99">
        <f>'BS Forecasts'!BB$82</f>
        <v>0</v>
      </c>
      <c r="BC205" s="99">
        <f>'BS Forecasts'!BC$82</f>
        <v>0</v>
      </c>
      <c r="BD205" s="99">
        <f>'BS Forecasts'!BD$82</f>
        <v>0</v>
      </c>
      <c r="BE205" s="99">
        <f>'BS Forecasts'!BE$82</f>
        <v>0</v>
      </c>
      <c r="BF205" s="99">
        <f>'BS Forecasts'!BF$82</f>
        <v>0</v>
      </c>
      <c r="BG205" s="99">
        <f>'BS Forecasts'!BG$82</f>
        <v>0</v>
      </c>
      <c r="BH205" s="99">
        <f>'BS Forecasts'!BH$82</f>
        <v>0</v>
      </c>
      <c r="BI205" s="99">
        <f>'BS Forecasts'!BI$82</f>
        <v>0</v>
      </c>
      <c r="BJ205" s="99">
        <f>'BS Forecasts'!BJ$82</f>
        <v>0</v>
      </c>
      <c r="BX205" s="99">
        <f>'BS Forecasts'!BX$82</f>
        <v>0</v>
      </c>
      <c r="BY205" s="99">
        <f>'BS Forecasts'!BY$82</f>
        <v>0</v>
      </c>
      <c r="BZ205" s="99">
        <f>'BS Forecasts'!BZ$82</f>
        <v>0</v>
      </c>
      <c r="CA205" s="99">
        <f>'BS Forecasts'!CA$82</f>
        <v>0</v>
      </c>
      <c r="CB205" s="99">
        <f>'BS Forecasts'!CB$82</f>
        <v>0</v>
      </c>
      <c r="CC205" s="99">
        <f>'BS Forecasts'!CC$82</f>
        <v>0</v>
      </c>
      <c r="CD205" s="99">
        <f>'BS Forecasts'!CD$82</f>
        <v>0</v>
      </c>
      <c r="CE205" s="99">
        <f>'BS Forecasts'!CE$82</f>
        <v>0</v>
      </c>
      <c r="CF205" s="99">
        <f>'BS Forecasts'!CF$82</f>
        <v>0</v>
      </c>
      <c r="CG205" s="99">
        <f>'BS Forecasts'!CG$82</f>
        <v>0</v>
      </c>
      <c r="CH205" s="99">
        <f>'BS Forecasts'!CH$82</f>
        <v>0</v>
      </c>
      <c r="CI205" s="99">
        <f>'BS Forecasts'!CI$82</f>
        <v>0</v>
      </c>
      <c r="CK205" s="312"/>
      <c r="CO205" s="100">
        <f t="shared" si="225"/>
        <v>0</v>
      </c>
      <c r="CP205" s="100">
        <f t="shared" si="226"/>
        <v>0</v>
      </c>
      <c r="CQ205" s="100">
        <f t="shared" si="227"/>
        <v>0</v>
      </c>
      <c r="CR205" s="311"/>
      <c r="CS205" s="215">
        <f t="shared" si="228"/>
        <v>0</v>
      </c>
      <c r="CT205" s="215">
        <f t="shared" si="229"/>
        <v>0</v>
      </c>
      <c r="CU205" s="215">
        <f t="shared" si="230"/>
        <v>0</v>
      </c>
      <c r="CV205" s="215">
        <f t="shared" si="231"/>
        <v>0</v>
      </c>
      <c r="CW205" s="215">
        <f t="shared" si="231"/>
        <v>0</v>
      </c>
      <c r="CX205" s="215">
        <f t="shared" si="231"/>
        <v>0</v>
      </c>
      <c r="CY205" s="215">
        <f t="shared" si="232"/>
        <v>0</v>
      </c>
      <c r="EX205" s="10" t="str">
        <f t="shared" si="218"/>
        <v>Cash movement due to merger / de-merger</v>
      </c>
    </row>
    <row r="206" spans="1:154" x14ac:dyDescent="0.35">
      <c r="C206" s="213" t="s">
        <v>1628</v>
      </c>
      <c r="D206" s="107" t="s">
        <v>1629</v>
      </c>
      <c r="V206" s="12">
        <f>SUM(V198:V205)*V$9</f>
        <v>0</v>
      </c>
      <c r="W206" s="12">
        <f>SUM(W198:W205)*W$9</f>
        <v>0</v>
      </c>
      <c r="X206" s="12">
        <f>SUM(X198:X205)*X$9</f>
        <v>0</v>
      </c>
      <c r="Y206" s="12">
        <f>SUM(Y198:Y205)*Y$9</f>
        <v>0</v>
      </c>
      <c r="AA206" s="12">
        <f t="shared" ref="AA206:BJ206" si="233">SUM(AA198:AA205)*AA$9</f>
        <v>0</v>
      </c>
      <c r="AB206" s="12">
        <f t="shared" si="233"/>
        <v>0</v>
      </c>
      <c r="AC206" s="12">
        <f t="shared" si="233"/>
        <v>0</v>
      </c>
      <c r="AD206" s="12">
        <f t="shared" si="233"/>
        <v>0</v>
      </c>
      <c r="AE206" s="12">
        <f t="shared" si="233"/>
        <v>0</v>
      </c>
      <c r="AF206" s="12">
        <f t="shared" si="233"/>
        <v>0</v>
      </c>
      <c r="AG206" s="12">
        <f t="shared" si="233"/>
        <v>0</v>
      </c>
      <c r="AH206" s="12">
        <f t="shared" si="233"/>
        <v>0</v>
      </c>
      <c r="AI206" s="12">
        <f t="shared" si="233"/>
        <v>0</v>
      </c>
      <c r="AJ206" s="12">
        <f t="shared" si="233"/>
        <v>0</v>
      </c>
      <c r="AK206" s="12">
        <f t="shared" si="233"/>
        <v>0</v>
      </c>
      <c r="AL206" s="12">
        <f t="shared" si="233"/>
        <v>0</v>
      </c>
      <c r="AM206" s="12">
        <f t="shared" si="233"/>
        <v>0</v>
      </c>
      <c r="AN206" s="12">
        <f t="shared" si="233"/>
        <v>0</v>
      </c>
      <c r="AO206" s="12">
        <f t="shared" si="233"/>
        <v>0</v>
      </c>
      <c r="AP206" s="12">
        <f t="shared" si="233"/>
        <v>0</v>
      </c>
      <c r="AQ206" s="12">
        <f t="shared" si="233"/>
        <v>0</v>
      </c>
      <c r="AR206" s="12">
        <f t="shared" si="233"/>
        <v>0</v>
      </c>
      <c r="AS206" s="12">
        <f t="shared" si="233"/>
        <v>0</v>
      </c>
      <c r="AT206" s="12">
        <f t="shared" si="233"/>
        <v>0</v>
      </c>
      <c r="AU206" s="12">
        <f t="shared" si="233"/>
        <v>0</v>
      </c>
      <c r="AV206" s="12">
        <f t="shared" si="233"/>
        <v>0</v>
      </c>
      <c r="AW206" s="12">
        <f t="shared" si="233"/>
        <v>0</v>
      </c>
      <c r="AX206" s="12">
        <f t="shared" si="233"/>
        <v>0</v>
      </c>
      <c r="AY206" s="12">
        <f t="shared" si="233"/>
        <v>0</v>
      </c>
      <c r="AZ206" s="12">
        <f t="shared" si="233"/>
        <v>0</v>
      </c>
      <c r="BA206" s="12">
        <f t="shared" si="233"/>
        <v>0</v>
      </c>
      <c r="BB206" s="12">
        <f t="shared" si="233"/>
        <v>0</v>
      </c>
      <c r="BC206" s="12">
        <f t="shared" si="233"/>
        <v>0</v>
      </c>
      <c r="BD206" s="12">
        <f t="shared" si="233"/>
        <v>0</v>
      </c>
      <c r="BE206" s="12">
        <f t="shared" si="233"/>
        <v>0</v>
      </c>
      <c r="BF206" s="12">
        <f t="shared" si="233"/>
        <v>0</v>
      </c>
      <c r="BG206" s="12">
        <f t="shared" si="233"/>
        <v>0</v>
      </c>
      <c r="BH206" s="12">
        <f t="shared" si="233"/>
        <v>0</v>
      </c>
      <c r="BI206" s="12">
        <f t="shared" si="233"/>
        <v>0</v>
      </c>
      <c r="BJ206" s="12">
        <f t="shared" si="233"/>
        <v>0</v>
      </c>
      <c r="BX206" s="12">
        <f t="shared" ref="BX206:CI206" si="234">SUM(BX198:BX205)*BX$9</f>
        <v>0</v>
      </c>
      <c r="BY206" s="12">
        <f t="shared" si="234"/>
        <v>0</v>
      </c>
      <c r="BZ206" s="12">
        <f t="shared" si="234"/>
        <v>0</v>
      </c>
      <c r="CA206" s="12">
        <f t="shared" si="234"/>
        <v>0</v>
      </c>
      <c r="CB206" s="12">
        <f t="shared" si="234"/>
        <v>0</v>
      </c>
      <c r="CC206" s="12">
        <f t="shared" si="234"/>
        <v>0</v>
      </c>
      <c r="CD206" s="12">
        <f t="shared" si="234"/>
        <v>0</v>
      </c>
      <c r="CE206" s="12">
        <f t="shared" si="234"/>
        <v>0</v>
      </c>
      <c r="CF206" s="12">
        <f t="shared" si="234"/>
        <v>0</v>
      </c>
      <c r="CG206" s="12">
        <f t="shared" si="234"/>
        <v>0</v>
      </c>
      <c r="CH206" s="12">
        <f t="shared" si="234"/>
        <v>0</v>
      </c>
      <c r="CI206" s="12">
        <f t="shared" si="234"/>
        <v>0</v>
      </c>
      <c r="CK206" s="311"/>
      <c r="CR206" s="311"/>
      <c r="EX206" s="10" t="str">
        <f t="shared" si="218"/>
        <v>Net cash flow from financing activities</v>
      </c>
    </row>
    <row r="207" spans="1:154" ht="11.65" customHeight="1" x14ac:dyDescent="0.35">
      <c r="C207" s="213"/>
      <c r="E207"/>
      <c r="CK207" s="311"/>
      <c r="CR207" s="311"/>
      <c r="EX207" s="10" t="str">
        <f t="shared" si="218"/>
        <v/>
      </c>
    </row>
    <row r="208" spans="1:154" x14ac:dyDescent="0.35">
      <c r="C208" s="213" t="s">
        <v>1630</v>
      </c>
      <c r="D208" s="107" t="s">
        <v>1631</v>
      </c>
      <c r="E208"/>
      <c r="V208" s="12">
        <f>V180+V195+V206</f>
        <v>0</v>
      </c>
      <c r="W208" s="12">
        <f>W180+W195+W206</f>
        <v>0</v>
      </c>
      <c r="X208" s="12">
        <f>X180+X195+X206</f>
        <v>0</v>
      </c>
      <c r="Y208" s="12">
        <f>Y180+Y195+Y206</f>
        <v>0</v>
      </c>
      <c r="AA208" s="12">
        <f t="shared" ref="AA208:BJ208" si="235">AA180+AA195+AA206</f>
        <v>0</v>
      </c>
      <c r="AB208" s="12">
        <f t="shared" si="235"/>
        <v>0</v>
      </c>
      <c r="AC208" s="12">
        <f t="shared" si="235"/>
        <v>0</v>
      </c>
      <c r="AD208" s="12">
        <f t="shared" si="235"/>
        <v>0</v>
      </c>
      <c r="AE208" s="12">
        <f t="shared" si="235"/>
        <v>0</v>
      </c>
      <c r="AF208" s="12">
        <f t="shared" si="235"/>
        <v>0</v>
      </c>
      <c r="AG208" s="12">
        <f t="shared" si="235"/>
        <v>0</v>
      </c>
      <c r="AH208" s="12">
        <f t="shared" si="235"/>
        <v>0</v>
      </c>
      <c r="AI208" s="12">
        <f t="shared" si="235"/>
        <v>0</v>
      </c>
      <c r="AJ208" s="12">
        <f t="shared" si="235"/>
        <v>0</v>
      </c>
      <c r="AK208" s="12">
        <f t="shared" si="235"/>
        <v>0</v>
      </c>
      <c r="AL208" s="12">
        <f t="shared" si="235"/>
        <v>0</v>
      </c>
      <c r="AM208" s="12">
        <f t="shared" si="235"/>
        <v>0</v>
      </c>
      <c r="AN208" s="12">
        <f t="shared" si="235"/>
        <v>0</v>
      </c>
      <c r="AO208" s="12">
        <f t="shared" si="235"/>
        <v>0</v>
      </c>
      <c r="AP208" s="12">
        <f t="shared" si="235"/>
        <v>0</v>
      </c>
      <c r="AQ208" s="12">
        <f t="shared" si="235"/>
        <v>0</v>
      </c>
      <c r="AR208" s="12">
        <f t="shared" si="235"/>
        <v>0</v>
      </c>
      <c r="AS208" s="12">
        <f t="shared" si="235"/>
        <v>0</v>
      </c>
      <c r="AT208" s="12">
        <f t="shared" si="235"/>
        <v>0</v>
      </c>
      <c r="AU208" s="12">
        <f t="shared" si="235"/>
        <v>0</v>
      </c>
      <c r="AV208" s="12">
        <f t="shared" si="235"/>
        <v>0</v>
      </c>
      <c r="AW208" s="12">
        <f t="shared" si="235"/>
        <v>0</v>
      </c>
      <c r="AX208" s="12">
        <f t="shared" si="235"/>
        <v>0</v>
      </c>
      <c r="AY208" s="12">
        <f t="shared" si="235"/>
        <v>0</v>
      </c>
      <c r="AZ208" s="12">
        <f t="shared" si="235"/>
        <v>0</v>
      </c>
      <c r="BA208" s="12">
        <f t="shared" si="235"/>
        <v>0</v>
      </c>
      <c r="BB208" s="12">
        <f t="shared" si="235"/>
        <v>0</v>
      </c>
      <c r="BC208" s="12">
        <f t="shared" si="235"/>
        <v>0</v>
      </c>
      <c r="BD208" s="12">
        <f t="shared" si="235"/>
        <v>0</v>
      </c>
      <c r="BE208" s="12">
        <f t="shared" si="235"/>
        <v>0</v>
      </c>
      <c r="BF208" s="12">
        <f t="shared" si="235"/>
        <v>0</v>
      </c>
      <c r="BG208" s="12">
        <f t="shared" si="235"/>
        <v>0</v>
      </c>
      <c r="BH208" s="12">
        <f t="shared" si="235"/>
        <v>0</v>
      </c>
      <c r="BI208" s="12">
        <f t="shared" si="235"/>
        <v>0</v>
      </c>
      <c r="BJ208" s="12">
        <f t="shared" si="235"/>
        <v>0</v>
      </c>
      <c r="BX208" s="12">
        <f t="shared" ref="BX208:CI208" si="236">BX180+BX195+BX206</f>
        <v>0</v>
      </c>
      <c r="BY208" s="12">
        <f t="shared" si="236"/>
        <v>0</v>
      </c>
      <c r="BZ208" s="12">
        <f t="shared" si="236"/>
        <v>0</v>
      </c>
      <c r="CA208" s="12">
        <f t="shared" si="236"/>
        <v>0</v>
      </c>
      <c r="CB208" s="12">
        <f t="shared" si="236"/>
        <v>0</v>
      </c>
      <c r="CC208" s="12">
        <f t="shared" si="236"/>
        <v>0</v>
      </c>
      <c r="CD208" s="12">
        <f t="shared" si="236"/>
        <v>0</v>
      </c>
      <c r="CE208" s="12">
        <f t="shared" si="236"/>
        <v>0</v>
      </c>
      <c r="CF208" s="12">
        <f t="shared" si="236"/>
        <v>0</v>
      </c>
      <c r="CG208" s="12">
        <f t="shared" si="236"/>
        <v>0</v>
      </c>
      <c r="CH208" s="12">
        <f t="shared" si="236"/>
        <v>0</v>
      </c>
      <c r="CI208" s="12">
        <f t="shared" si="236"/>
        <v>0</v>
      </c>
      <c r="CK208" s="311"/>
      <c r="CR208" s="311"/>
      <c r="EX208" s="10" t="str">
        <f t="shared" si="218"/>
        <v>Increase/(decrease) in unrestricted cash and cash equivalents</v>
      </c>
    </row>
    <row r="209" spans="1:154" ht="8.25" customHeight="1" x14ac:dyDescent="0.35">
      <c r="C209" s="213"/>
      <c r="E209"/>
      <c r="CK209" s="311"/>
      <c r="CR209" s="311"/>
      <c r="EX209" s="10" t="str">
        <f t="shared" si="218"/>
        <v/>
      </c>
    </row>
    <row r="210" spans="1:154" x14ac:dyDescent="0.35">
      <c r="B210" s="5"/>
      <c r="C210" s="213"/>
      <c r="D210" s="107" t="s">
        <v>1632</v>
      </c>
      <c r="E210"/>
      <c r="V210" s="553"/>
      <c r="CK210" s="311"/>
      <c r="CR210" s="311"/>
      <c r="EX210" s="10" t="str">
        <f t="shared" si="218"/>
        <v/>
      </c>
    </row>
    <row r="211" spans="1:154" x14ac:dyDescent="0.35">
      <c r="C211" s="213" t="s">
        <v>1633</v>
      </c>
      <c r="D211" s="120" t="s">
        <v>1634</v>
      </c>
      <c r="E211" t="s">
        <v>904</v>
      </c>
      <c r="V211" s="12">
        <f>'Opening Balances'!V29*'Opening Balances'!$V$86</f>
        <v>0</v>
      </c>
      <c r="W211" s="99">
        <f>V212</f>
        <v>0</v>
      </c>
      <c r="X211" s="99">
        <f>W212</f>
        <v>0</v>
      </c>
      <c r="Y211" s="99">
        <f>X212</f>
        <v>0</v>
      </c>
      <c r="AA211" s="12">
        <f>W211</f>
        <v>0</v>
      </c>
      <c r="AB211" s="99">
        <f t="shared" ref="AB211:BJ211" si="237">AA212</f>
        <v>0</v>
      </c>
      <c r="AC211" s="99">
        <f t="shared" si="237"/>
        <v>0</v>
      </c>
      <c r="AD211" s="99">
        <f t="shared" si="237"/>
        <v>0</v>
      </c>
      <c r="AE211" s="99">
        <f t="shared" si="237"/>
        <v>0</v>
      </c>
      <c r="AF211" s="99">
        <f t="shared" si="237"/>
        <v>0</v>
      </c>
      <c r="AG211" s="99">
        <f t="shared" si="237"/>
        <v>0</v>
      </c>
      <c r="AH211" s="99">
        <f t="shared" si="237"/>
        <v>0</v>
      </c>
      <c r="AI211" s="99">
        <f t="shared" si="237"/>
        <v>0</v>
      </c>
      <c r="AJ211" s="99">
        <f t="shared" si="237"/>
        <v>0</v>
      </c>
      <c r="AK211" s="99">
        <f t="shared" si="237"/>
        <v>0</v>
      </c>
      <c r="AL211" s="99">
        <f t="shared" si="237"/>
        <v>0</v>
      </c>
      <c r="AM211" s="99">
        <f t="shared" si="237"/>
        <v>0</v>
      </c>
      <c r="AN211" s="99">
        <f t="shared" si="237"/>
        <v>0</v>
      </c>
      <c r="AO211" s="99">
        <f t="shared" si="237"/>
        <v>0</v>
      </c>
      <c r="AP211" s="99">
        <f t="shared" si="237"/>
        <v>0</v>
      </c>
      <c r="AQ211" s="99">
        <f t="shared" si="237"/>
        <v>0</v>
      </c>
      <c r="AR211" s="99">
        <f t="shared" si="237"/>
        <v>0</v>
      </c>
      <c r="AS211" s="99">
        <f t="shared" si="237"/>
        <v>0</v>
      </c>
      <c r="AT211" s="99">
        <f t="shared" si="237"/>
        <v>0</v>
      </c>
      <c r="AU211" s="99">
        <f t="shared" si="237"/>
        <v>0</v>
      </c>
      <c r="AV211" s="99">
        <f t="shared" si="237"/>
        <v>0</v>
      </c>
      <c r="AW211" s="99">
        <f t="shared" si="237"/>
        <v>0</v>
      </c>
      <c r="AX211" s="99">
        <f t="shared" si="237"/>
        <v>0</v>
      </c>
      <c r="AY211" s="99">
        <f t="shared" si="237"/>
        <v>0</v>
      </c>
      <c r="AZ211" s="99">
        <f t="shared" si="237"/>
        <v>0</v>
      </c>
      <c r="BA211" s="99">
        <f t="shared" si="237"/>
        <v>0</v>
      </c>
      <c r="BB211" s="99">
        <f t="shared" si="237"/>
        <v>0</v>
      </c>
      <c r="BC211" s="99">
        <f t="shared" si="237"/>
        <v>0</v>
      </c>
      <c r="BD211" s="99">
        <f t="shared" si="237"/>
        <v>0</v>
      </c>
      <c r="BE211" s="99">
        <f t="shared" si="237"/>
        <v>0</v>
      </c>
      <c r="BF211" s="99">
        <f t="shared" si="237"/>
        <v>0</v>
      </c>
      <c r="BG211" s="99">
        <f t="shared" si="237"/>
        <v>0</v>
      </c>
      <c r="BH211" s="99">
        <f t="shared" si="237"/>
        <v>0</v>
      </c>
      <c r="BI211" s="99">
        <f t="shared" si="237"/>
        <v>0</v>
      </c>
      <c r="BJ211" s="99">
        <f t="shared" si="237"/>
        <v>0</v>
      </c>
      <c r="BX211" s="12">
        <f>V211</f>
        <v>0</v>
      </c>
      <c r="BY211" s="99">
        <f t="shared" ref="BY211:CI211" si="238">BX212</f>
        <v>0</v>
      </c>
      <c r="BZ211" s="99">
        <f t="shared" si="238"/>
        <v>0</v>
      </c>
      <c r="CA211" s="99">
        <f t="shared" si="238"/>
        <v>0</v>
      </c>
      <c r="CB211" s="99">
        <f t="shared" si="238"/>
        <v>0</v>
      </c>
      <c r="CC211" s="99">
        <f t="shared" si="238"/>
        <v>0</v>
      </c>
      <c r="CD211" s="99">
        <f t="shared" si="238"/>
        <v>0</v>
      </c>
      <c r="CE211" s="99">
        <f t="shared" si="238"/>
        <v>0</v>
      </c>
      <c r="CF211" s="99">
        <f t="shared" si="238"/>
        <v>0</v>
      </c>
      <c r="CG211" s="99">
        <f t="shared" si="238"/>
        <v>0</v>
      </c>
      <c r="CH211" s="99">
        <f t="shared" si="238"/>
        <v>0</v>
      </c>
      <c r="CI211" s="99">
        <f t="shared" si="238"/>
        <v>0</v>
      </c>
      <c r="CK211" s="311"/>
      <c r="CR211" s="311"/>
      <c r="EX211" s="10" t="str">
        <f t="shared" si="218"/>
        <v>Unrestricted cash and cash equivalents at beginning of the period</v>
      </c>
    </row>
    <row r="212" spans="1:154" x14ac:dyDescent="0.35">
      <c r="A212" s="537" cm="1">
        <f t="array" aca="1" ref="A212" ca="1">HYPERLINK(CONCATENATE("#",CELL("address",IF(MAX($CK212:$CR212)=0,A212,INDEX($CK212:$CR212,MATCH(1,$CK212:$CR212,0))))),MAX($CK212:$CR212))</f>
        <v>0</v>
      </c>
      <c r="C212" s="308" t="s">
        <v>1635</v>
      </c>
      <c r="D212" s="120" t="s">
        <v>1636</v>
      </c>
      <c r="E212" s="215">
        <f>ROUND(SUM(V208:V211)-V212, rounding)*$V$9</f>
        <v>0</v>
      </c>
      <c r="V212" s="12">
        <f>'Opening Balances'!$W$29</f>
        <v>0</v>
      </c>
      <c r="W212" s="99">
        <f>W211+W208</f>
        <v>0</v>
      </c>
      <c r="X212" s="99">
        <f>X211+X208</f>
        <v>0</v>
      </c>
      <c r="Y212" s="99">
        <f>Y211+Y208</f>
        <v>0</v>
      </c>
      <c r="AA212" s="99">
        <f t="shared" ref="AA212:BJ212" si="239">AA211+AA208</f>
        <v>0</v>
      </c>
      <c r="AB212" s="99">
        <f t="shared" si="239"/>
        <v>0</v>
      </c>
      <c r="AC212" s="99">
        <f t="shared" si="239"/>
        <v>0</v>
      </c>
      <c r="AD212" s="99">
        <f t="shared" si="239"/>
        <v>0</v>
      </c>
      <c r="AE212" s="99">
        <f t="shared" si="239"/>
        <v>0</v>
      </c>
      <c r="AF212" s="99">
        <f t="shared" si="239"/>
        <v>0</v>
      </c>
      <c r="AG212" s="99">
        <f t="shared" si="239"/>
        <v>0</v>
      </c>
      <c r="AH212" s="99">
        <f t="shared" si="239"/>
        <v>0</v>
      </c>
      <c r="AI212" s="99">
        <f t="shared" si="239"/>
        <v>0</v>
      </c>
      <c r="AJ212" s="99">
        <f t="shared" si="239"/>
        <v>0</v>
      </c>
      <c r="AK212" s="99">
        <f t="shared" si="239"/>
        <v>0</v>
      </c>
      <c r="AL212" s="99">
        <f t="shared" si="239"/>
        <v>0</v>
      </c>
      <c r="AM212" s="99">
        <f t="shared" si="239"/>
        <v>0</v>
      </c>
      <c r="AN212" s="99">
        <f t="shared" si="239"/>
        <v>0</v>
      </c>
      <c r="AO212" s="99">
        <f t="shared" si="239"/>
        <v>0</v>
      </c>
      <c r="AP212" s="99">
        <f t="shared" si="239"/>
        <v>0</v>
      </c>
      <c r="AQ212" s="99">
        <f t="shared" si="239"/>
        <v>0</v>
      </c>
      <c r="AR212" s="99">
        <f t="shared" si="239"/>
        <v>0</v>
      </c>
      <c r="AS212" s="99">
        <f t="shared" si="239"/>
        <v>0</v>
      </c>
      <c r="AT212" s="99">
        <f t="shared" si="239"/>
        <v>0</v>
      </c>
      <c r="AU212" s="99">
        <f t="shared" si="239"/>
        <v>0</v>
      </c>
      <c r="AV212" s="99">
        <f t="shared" si="239"/>
        <v>0</v>
      </c>
      <c r="AW212" s="99">
        <f t="shared" si="239"/>
        <v>0</v>
      </c>
      <c r="AX212" s="99">
        <f t="shared" si="239"/>
        <v>0</v>
      </c>
      <c r="AY212" s="99">
        <f t="shared" si="239"/>
        <v>0</v>
      </c>
      <c r="AZ212" s="99">
        <f t="shared" si="239"/>
        <v>0</v>
      </c>
      <c r="BA212" s="99">
        <f t="shared" si="239"/>
        <v>0</v>
      </c>
      <c r="BB212" s="99">
        <f t="shared" si="239"/>
        <v>0</v>
      </c>
      <c r="BC212" s="99">
        <f t="shared" si="239"/>
        <v>0</v>
      </c>
      <c r="BD212" s="99">
        <f t="shared" si="239"/>
        <v>0</v>
      </c>
      <c r="BE212" s="99">
        <f t="shared" si="239"/>
        <v>0</v>
      </c>
      <c r="BF212" s="99">
        <f t="shared" si="239"/>
        <v>0</v>
      </c>
      <c r="BG212" s="99">
        <f t="shared" si="239"/>
        <v>0</v>
      </c>
      <c r="BH212" s="99">
        <f t="shared" si="239"/>
        <v>0</v>
      </c>
      <c r="BI212" s="99">
        <f t="shared" si="239"/>
        <v>0</v>
      </c>
      <c r="BJ212" s="99">
        <f t="shared" si="239"/>
        <v>0</v>
      </c>
      <c r="BX212" s="12">
        <f>V212</f>
        <v>0</v>
      </c>
      <c r="BY212" s="99">
        <f t="shared" ref="BY212:CI212" si="240">BY211+BY208</f>
        <v>0</v>
      </c>
      <c r="BZ212" s="99">
        <f t="shared" si="240"/>
        <v>0</v>
      </c>
      <c r="CA212" s="99">
        <f t="shared" si="240"/>
        <v>0</v>
      </c>
      <c r="CB212" s="99">
        <f t="shared" si="240"/>
        <v>0</v>
      </c>
      <c r="CC212" s="99">
        <f t="shared" si="240"/>
        <v>0</v>
      </c>
      <c r="CD212" s="99">
        <f t="shared" si="240"/>
        <v>0</v>
      </c>
      <c r="CE212" s="99">
        <f t="shared" si="240"/>
        <v>0</v>
      </c>
      <c r="CF212" s="99">
        <f t="shared" si="240"/>
        <v>0</v>
      </c>
      <c r="CG212" s="99">
        <f t="shared" si="240"/>
        <v>0</v>
      </c>
      <c r="CH212" s="99">
        <f t="shared" si="240"/>
        <v>0</v>
      </c>
      <c r="CI212" s="99">
        <f t="shared" si="240"/>
        <v>0</v>
      </c>
      <c r="CK212" s="311"/>
      <c r="CN212" s="100">
        <f>IF(ABS(E212)&gt;Parameters!$D$33, 1, 0)</f>
        <v>0</v>
      </c>
      <c r="CR212" s="311"/>
      <c r="EX212" s="10" t="str">
        <f t="shared" si="218"/>
        <v>Unrestricted cash and cash equivalents at end of the period</v>
      </c>
    </row>
    <row r="213" spans="1:154" ht="8.25" customHeight="1" x14ac:dyDescent="0.35">
      <c r="C213" s="256"/>
      <c r="D213" s="57"/>
      <c r="E213"/>
      <c r="CK213" s="312"/>
      <c r="CR213" s="311"/>
      <c r="EX213" s="10"/>
    </row>
    <row r="214" spans="1:154" x14ac:dyDescent="0.35">
      <c r="A214" s="537" cm="1">
        <f t="array" aca="1" ref="A214" ca="1">HYPERLINK(CONCATENATE("#",CELL("address",IF(MAX($CK214:$CR214)=0,A214,INDEX($CK214:$CR214,MATCH(1,$CK214:$CR214,0))))),MAX($CK214:$CR214))</f>
        <v>0</v>
      </c>
      <c r="C214" s="308" t="s">
        <v>1635</v>
      </c>
      <c r="D214" s="571" t="s">
        <v>1636</v>
      </c>
      <c r="E214" s="215"/>
      <c r="V214" s="12">
        <f>V212</f>
        <v>0</v>
      </c>
      <c r="W214" s="99">
        <f>W212</f>
        <v>0</v>
      </c>
      <c r="X214" s="99">
        <f>X212</f>
        <v>0</v>
      </c>
      <c r="Y214" s="99">
        <f>Y212</f>
        <v>0</v>
      </c>
      <c r="AA214" s="99">
        <f t="shared" ref="AA214:BJ214" si="241">AA212</f>
        <v>0</v>
      </c>
      <c r="AB214" s="99">
        <f t="shared" si="241"/>
        <v>0</v>
      </c>
      <c r="AC214" s="99">
        <f t="shared" si="241"/>
        <v>0</v>
      </c>
      <c r="AD214" s="99">
        <f t="shared" si="241"/>
        <v>0</v>
      </c>
      <c r="AE214" s="99">
        <f t="shared" si="241"/>
        <v>0</v>
      </c>
      <c r="AF214" s="99">
        <f t="shared" si="241"/>
        <v>0</v>
      </c>
      <c r="AG214" s="99">
        <f t="shared" si="241"/>
        <v>0</v>
      </c>
      <c r="AH214" s="99">
        <f t="shared" si="241"/>
        <v>0</v>
      </c>
      <c r="AI214" s="99">
        <f t="shared" si="241"/>
        <v>0</v>
      </c>
      <c r="AJ214" s="99">
        <f t="shared" si="241"/>
        <v>0</v>
      </c>
      <c r="AK214" s="99">
        <f t="shared" si="241"/>
        <v>0</v>
      </c>
      <c r="AL214" s="99">
        <f t="shared" si="241"/>
        <v>0</v>
      </c>
      <c r="AM214" s="99">
        <f t="shared" si="241"/>
        <v>0</v>
      </c>
      <c r="AN214" s="99">
        <f t="shared" si="241"/>
        <v>0</v>
      </c>
      <c r="AO214" s="99">
        <f t="shared" si="241"/>
        <v>0</v>
      </c>
      <c r="AP214" s="99">
        <f t="shared" si="241"/>
        <v>0</v>
      </c>
      <c r="AQ214" s="99">
        <f t="shared" si="241"/>
        <v>0</v>
      </c>
      <c r="AR214" s="99">
        <f t="shared" si="241"/>
        <v>0</v>
      </c>
      <c r="AS214" s="99">
        <f t="shared" si="241"/>
        <v>0</v>
      </c>
      <c r="AT214" s="99">
        <f t="shared" si="241"/>
        <v>0</v>
      </c>
      <c r="AU214" s="99">
        <f t="shared" si="241"/>
        <v>0</v>
      </c>
      <c r="AV214" s="99">
        <f t="shared" si="241"/>
        <v>0</v>
      </c>
      <c r="AW214" s="99">
        <f t="shared" si="241"/>
        <v>0</v>
      </c>
      <c r="AX214" s="99">
        <f t="shared" si="241"/>
        <v>0</v>
      </c>
      <c r="AY214" s="99">
        <f t="shared" si="241"/>
        <v>0</v>
      </c>
      <c r="AZ214" s="99">
        <f t="shared" si="241"/>
        <v>0</v>
      </c>
      <c r="BA214" s="99">
        <f t="shared" si="241"/>
        <v>0</v>
      </c>
      <c r="BB214" s="99">
        <f t="shared" si="241"/>
        <v>0</v>
      </c>
      <c r="BC214" s="99">
        <f t="shared" si="241"/>
        <v>0</v>
      </c>
      <c r="BD214" s="99">
        <f t="shared" si="241"/>
        <v>0</v>
      </c>
      <c r="BE214" s="99">
        <f t="shared" si="241"/>
        <v>0</v>
      </c>
      <c r="BF214" s="99">
        <f t="shared" si="241"/>
        <v>0</v>
      </c>
      <c r="BG214" s="99">
        <f t="shared" si="241"/>
        <v>0</v>
      </c>
      <c r="BH214" s="99">
        <f t="shared" si="241"/>
        <v>0</v>
      </c>
      <c r="BI214" s="99">
        <f t="shared" si="241"/>
        <v>0</v>
      </c>
      <c r="BJ214" s="99">
        <f t="shared" si="241"/>
        <v>0</v>
      </c>
      <c r="BX214" s="12">
        <f t="shared" ref="BX214:CI214" si="242">BX212</f>
        <v>0</v>
      </c>
      <c r="BY214" s="99">
        <f t="shared" si="242"/>
        <v>0</v>
      </c>
      <c r="BZ214" s="99">
        <f t="shared" si="242"/>
        <v>0</v>
      </c>
      <c r="CA214" s="99">
        <f t="shared" si="242"/>
        <v>0</v>
      </c>
      <c r="CB214" s="99">
        <f t="shared" si="242"/>
        <v>0</v>
      </c>
      <c r="CC214" s="99">
        <f t="shared" si="242"/>
        <v>0</v>
      </c>
      <c r="CD214" s="99">
        <f t="shared" si="242"/>
        <v>0</v>
      </c>
      <c r="CE214" s="99">
        <f t="shared" si="242"/>
        <v>0</v>
      </c>
      <c r="CF214" s="99">
        <f t="shared" si="242"/>
        <v>0</v>
      </c>
      <c r="CG214" s="99">
        <f t="shared" si="242"/>
        <v>0</v>
      </c>
      <c r="CH214" s="99">
        <f t="shared" si="242"/>
        <v>0</v>
      </c>
      <c r="CI214" s="99">
        <f t="shared" si="242"/>
        <v>0</v>
      </c>
      <c r="CK214" s="311"/>
      <c r="CN214" s="100"/>
      <c r="CR214" s="311"/>
      <c r="EX214" s="10"/>
    </row>
    <row r="215" spans="1:154" x14ac:dyDescent="0.35">
      <c r="A215" s="537" cm="1">
        <f t="array" aca="1" ref="A215" ca="1">HYPERLINK(CONCATENATE("#",CELL("address",IF(MAX($CK215:$CR215)=0,A215,INDEX($CK215:$CR215,MATCH(1,$CK215:$CR215,0))))),MAX($CK215:$CR215))</f>
        <v>0</v>
      </c>
      <c r="C215" s="308" t="s">
        <v>1637</v>
      </c>
      <c r="D215" s="571" t="s">
        <v>652</v>
      </c>
      <c r="E215" s="215"/>
      <c r="V215" s="12">
        <f>'BS Forecasts'!V79</f>
        <v>0</v>
      </c>
      <c r="W215" s="99">
        <f>'BS Forecasts'!W79</f>
        <v>0</v>
      </c>
      <c r="X215" s="99">
        <f>'BS Forecasts'!X79</f>
        <v>0</v>
      </c>
      <c r="Y215" s="99">
        <f>'BS Forecasts'!Y79</f>
        <v>0</v>
      </c>
      <c r="AA215" s="99">
        <f>'BS Forecasts'!AA79</f>
        <v>0</v>
      </c>
      <c r="AB215" s="99">
        <f>'BS Forecasts'!AB79</f>
        <v>0</v>
      </c>
      <c r="AC215" s="99">
        <f>'BS Forecasts'!AC79</f>
        <v>0</v>
      </c>
      <c r="AD215" s="99">
        <f>'BS Forecasts'!AD79</f>
        <v>0</v>
      </c>
      <c r="AE215" s="99">
        <f>'BS Forecasts'!AE79</f>
        <v>0</v>
      </c>
      <c r="AF215" s="99">
        <f>'BS Forecasts'!AF79</f>
        <v>0</v>
      </c>
      <c r="AG215" s="99">
        <f>'BS Forecasts'!AG79</f>
        <v>0</v>
      </c>
      <c r="AH215" s="99">
        <f>'BS Forecasts'!AH79</f>
        <v>0</v>
      </c>
      <c r="AI215" s="99">
        <f>'BS Forecasts'!AI79</f>
        <v>0</v>
      </c>
      <c r="AJ215" s="99">
        <f>'BS Forecasts'!AJ79</f>
        <v>0</v>
      </c>
      <c r="AK215" s="99">
        <f>'BS Forecasts'!AK79</f>
        <v>0</v>
      </c>
      <c r="AL215" s="99">
        <f>'BS Forecasts'!AL79</f>
        <v>0</v>
      </c>
      <c r="AM215" s="99">
        <f>'BS Forecasts'!AM79</f>
        <v>0</v>
      </c>
      <c r="AN215" s="99">
        <f>'BS Forecasts'!AN79</f>
        <v>0</v>
      </c>
      <c r="AO215" s="99">
        <f>'BS Forecasts'!AO79</f>
        <v>0</v>
      </c>
      <c r="AP215" s="99">
        <f>'BS Forecasts'!AP79</f>
        <v>0</v>
      </c>
      <c r="AQ215" s="99">
        <f>'BS Forecasts'!AQ79</f>
        <v>0</v>
      </c>
      <c r="AR215" s="99">
        <f>'BS Forecasts'!AR79</f>
        <v>0</v>
      </c>
      <c r="AS215" s="99">
        <f>'BS Forecasts'!AS79</f>
        <v>0</v>
      </c>
      <c r="AT215" s="99">
        <f>'BS Forecasts'!AT79</f>
        <v>0</v>
      </c>
      <c r="AU215" s="99">
        <f>'BS Forecasts'!AU79</f>
        <v>0</v>
      </c>
      <c r="AV215" s="99">
        <f>'BS Forecasts'!AV79</f>
        <v>0</v>
      </c>
      <c r="AW215" s="99">
        <f>'BS Forecasts'!AW79</f>
        <v>0</v>
      </c>
      <c r="AX215" s="99">
        <f>'BS Forecasts'!AX79</f>
        <v>0</v>
      </c>
      <c r="AY215" s="99">
        <f>'BS Forecasts'!AY79</f>
        <v>0</v>
      </c>
      <c r="AZ215" s="99">
        <f>'BS Forecasts'!AZ79</f>
        <v>0</v>
      </c>
      <c r="BA215" s="99">
        <f>'BS Forecasts'!BA79</f>
        <v>0</v>
      </c>
      <c r="BB215" s="99">
        <f>'BS Forecasts'!BB79</f>
        <v>0</v>
      </c>
      <c r="BC215" s="99">
        <f>'BS Forecasts'!BC79</f>
        <v>0</v>
      </c>
      <c r="BD215" s="99">
        <f>'BS Forecasts'!BD79</f>
        <v>0</v>
      </c>
      <c r="BE215" s="99">
        <f>'BS Forecasts'!BE79</f>
        <v>0</v>
      </c>
      <c r="BF215" s="99">
        <f>'BS Forecasts'!BF79</f>
        <v>0</v>
      </c>
      <c r="BG215" s="99">
        <f>'BS Forecasts'!BG79</f>
        <v>0</v>
      </c>
      <c r="BH215" s="99">
        <f>'BS Forecasts'!BH79</f>
        <v>0</v>
      </c>
      <c r="BI215" s="99">
        <f>'BS Forecasts'!BI79</f>
        <v>0</v>
      </c>
      <c r="BJ215" s="99">
        <f>'BS Forecasts'!BJ79</f>
        <v>0</v>
      </c>
      <c r="BX215" s="12">
        <f>'BS Forecasts'!BX79</f>
        <v>0</v>
      </c>
      <c r="BY215" s="99">
        <f>'BS Forecasts'!BY79</f>
        <v>0</v>
      </c>
      <c r="BZ215" s="99">
        <f>'BS Forecasts'!BZ79</f>
        <v>0</v>
      </c>
      <c r="CA215" s="99">
        <f>'BS Forecasts'!CA79</f>
        <v>0</v>
      </c>
      <c r="CB215" s="99">
        <f>'BS Forecasts'!CB79</f>
        <v>0</v>
      </c>
      <c r="CC215" s="99">
        <f>'BS Forecasts'!CC79</f>
        <v>0</v>
      </c>
      <c r="CD215" s="99">
        <f>'BS Forecasts'!CD79</f>
        <v>0</v>
      </c>
      <c r="CE215" s="99">
        <f>'BS Forecasts'!CE79</f>
        <v>0</v>
      </c>
      <c r="CF215" s="99">
        <f>'BS Forecasts'!CF79</f>
        <v>0</v>
      </c>
      <c r="CG215" s="99">
        <f>'BS Forecasts'!CG79</f>
        <v>0</v>
      </c>
      <c r="CH215" s="99">
        <f>'BS Forecasts'!CH79</f>
        <v>0</v>
      </c>
      <c r="CI215" s="99">
        <f>'BS Forecasts'!CI79</f>
        <v>0</v>
      </c>
      <c r="CK215" s="311"/>
      <c r="CN215" s="100"/>
      <c r="CR215" s="311"/>
      <c r="EX215" s="10"/>
    </row>
    <row r="216" spans="1:154" x14ac:dyDescent="0.35">
      <c r="A216" s="537" cm="1">
        <f t="array" aca="1" ref="A216" ca="1">HYPERLINK(CONCATENATE("#",CELL("address",IF(MAX($CK216:$CR216)=0,A216,INDEX($CK216:$CR216,MATCH(1,$CK216:$CR216,0))))),MAX($CK216:$CR216))</f>
        <v>0</v>
      </c>
      <c r="C216" s="308" t="s">
        <v>1638</v>
      </c>
      <c r="D216" s="571" t="s">
        <v>1639</v>
      </c>
      <c r="E216" s="215"/>
      <c r="V216" s="12">
        <f>'BS Forecasts'!V86</f>
        <v>0</v>
      </c>
      <c r="W216" s="99">
        <f>'BS Forecasts'!W86</f>
        <v>0</v>
      </c>
      <c r="X216" s="99">
        <f>'BS Forecasts'!X86</f>
        <v>0</v>
      </c>
      <c r="Y216" s="99">
        <f>'BS Forecasts'!Y86</f>
        <v>0</v>
      </c>
      <c r="AA216" s="99">
        <f>'BS Forecasts'!AA86</f>
        <v>0</v>
      </c>
      <c r="AB216" s="99">
        <f>'BS Forecasts'!AB86</f>
        <v>0</v>
      </c>
      <c r="AC216" s="99">
        <f>'BS Forecasts'!AC86</f>
        <v>0</v>
      </c>
      <c r="AD216" s="99">
        <f>'BS Forecasts'!AD86</f>
        <v>0</v>
      </c>
      <c r="AE216" s="99">
        <f>'BS Forecasts'!AE86</f>
        <v>0</v>
      </c>
      <c r="AF216" s="99">
        <f>'BS Forecasts'!AF86</f>
        <v>0</v>
      </c>
      <c r="AG216" s="99">
        <f>'BS Forecasts'!AG86</f>
        <v>0</v>
      </c>
      <c r="AH216" s="99">
        <f>'BS Forecasts'!AH86</f>
        <v>0</v>
      </c>
      <c r="AI216" s="99">
        <f>'BS Forecasts'!AI86</f>
        <v>0</v>
      </c>
      <c r="AJ216" s="99">
        <f>'BS Forecasts'!AJ86</f>
        <v>0</v>
      </c>
      <c r="AK216" s="99">
        <f>'BS Forecasts'!AK86</f>
        <v>0</v>
      </c>
      <c r="AL216" s="99">
        <f>'BS Forecasts'!AL86</f>
        <v>0</v>
      </c>
      <c r="AM216" s="99">
        <f>'BS Forecasts'!AM86</f>
        <v>0</v>
      </c>
      <c r="AN216" s="99">
        <f>'BS Forecasts'!AN86</f>
        <v>0</v>
      </c>
      <c r="AO216" s="99">
        <f>'BS Forecasts'!AO86</f>
        <v>0</v>
      </c>
      <c r="AP216" s="99">
        <f>'BS Forecasts'!AP86</f>
        <v>0</v>
      </c>
      <c r="AQ216" s="99">
        <f>'BS Forecasts'!AQ86</f>
        <v>0</v>
      </c>
      <c r="AR216" s="99">
        <f>'BS Forecasts'!AR86</f>
        <v>0</v>
      </c>
      <c r="AS216" s="99">
        <f>'BS Forecasts'!AS86</f>
        <v>0</v>
      </c>
      <c r="AT216" s="99">
        <f>'BS Forecasts'!AT86</f>
        <v>0</v>
      </c>
      <c r="AU216" s="99">
        <f>'BS Forecasts'!AU86</f>
        <v>0</v>
      </c>
      <c r="AV216" s="99">
        <f>'BS Forecasts'!AV86</f>
        <v>0</v>
      </c>
      <c r="AW216" s="99">
        <f>'BS Forecasts'!AW86</f>
        <v>0</v>
      </c>
      <c r="AX216" s="99">
        <f>'BS Forecasts'!AX86</f>
        <v>0</v>
      </c>
      <c r="AY216" s="99">
        <f>'BS Forecasts'!AY86</f>
        <v>0</v>
      </c>
      <c r="AZ216" s="99">
        <f>'BS Forecasts'!AZ86</f>
        <v>0</v>
      </c>
      <c r="BA216" s="99">
        <f>'BS Forecasts'!BA86</f>
        <v>0</v>
      </c>
      <c r="BB216" s="99">
        <f>'BS Forecasts'!BB86</f>
        <v>0</v>
      </c>
      <c r="BC216" s="99">
        <f>'BS Forecasts'!BC86</f>
        <v>0</v>
      </c>
      <c r="BD216" s="99">
        <f>'BS Forecasts'!BD86</f>
        <v>0</v>
      </c>
      <c r="BE216" s="99">
        <f>'BS Forecasts'!BE86</f>
        <v>0</v>
      </c>
      <c r="BF216" s="99">
        <f>'BS Forecasts'!BF86</f>
        <v>0</v>
      </c>
      <c r="BG216" s="99">
        <f>'BS Forecasts'!BG86</f>
        <v>0</v>
      </c>
      <c r="BH216" s="99">
        <f>'BS Forecasts'!BH86</f>
        <v>0</v>
      </c>
      <c r="BI216" s="99">
        <f>'BS Forecasts'!BI86</f>
        <v>0</v>
      </c>
      <c r="BJ216" s="99">
        <f>'BS Forecasts'!BJ86</f>
        <v>0</v>
      </c>
      <c r="BX216" s="12">
        <f>'BS Forecasts'!BX86</f>
        <v>0</v>
      </c>
      <c r="BY216" s="99">
        <f>'BS Forecasts'!BY86</f>
        <v>0</v>
      </c>
      <c r="BZ216" s="99">
        <f>'BS Forecasts'!BZ86</f>
        <v>0</v>
      </c>
      <c r="CA216" s="99">
        <f>'BS Forecasts'!CA86</f>
        <v>0</v>
      </c>
      <c r="CB216" s="99">
        <f>'BS Forecasts'!CB86</f>
        <v>0</v>
      </c>
      <c r="CC216" s="99">
        <f>'BS Forecasts'!CC86</f>
        <v>0</v>
      </c>
      <c r="CD216" s="99">
        <f>'BS Forecasts'!CD86</f>
        <v>0</v>
      </c>
      <c r="CE216" s="99">
        <f>'BS Forecasts'!CE86</f>
        <v>0</v>
      </c>
      <c r="CF216" s="99">
        <f>'BS Forecasts'!CF86</f>
        <v>0</v>
      </c>
      <c r="CG216" s="99">
        <f>'BS Forecasts'!CG86</f>
        <v>0</v>
      </c>
      <c r="CH216" s="99">
        <f>'BS Forecasts'!CH86</f>
        <v>0</v>
      </c>
      <c r="CI216" s="99">
        <f>'BS Forecasts'!CI86</f>
        <v>0</v>
      </c>
      <c r="CK216" s="311"/>
      <c r="CN216" s="100"/>
      <c r="CR216" s="311"/>
      <c r="EX216" s="10"/>
    </row>
    <row r="217" spans="1:154" x14ac:dyDescent="0.35">
      <c r="A217" s="537"/>
      <c r="C217" s="642" t="s">
        <v>1640</v>
      </c>
      <c r="D217" s="641" t="s">
        <v>1641</v>
      </c>
      <c r="E217" s="215"/>
      <c r="V217" s="12">
        <f>SUM(V214:V216)</f>
        <v>0</v>
      </c>
      <c r="W217" s="12">
        <f>SUM(W214:W216)</f>
        <v>0</v>
      </c>
      <c r="X217" s="12">
        <f>SUM(X214:X216)</f>
        <v>0</v>
      </c>
      <c r="Y217" s="12">
        <f>SUM(Y214:Y216)</f>
        <v>0</v>
      </c>
      <c r="AA217" s="12">
        <f t="shared" ref="AA217:BJ217" si="243">SUM(AA214:AA216)</f>
        <v>0</v>
      </c>
      <c r="AB217" s="12">
        <f t="shared" si="243"/>
        <v>0</v>
      </c>
      <c r="AC217" s="12">
        <f t="shared" si="243"/>
        <v>0</v>
      </c>
      <c r="AD217" s="12">
        <f t="shared" si="243"/>
        <v>0</v>
      </c>
      <c r="AE217" s="12">
        <f t="shared" si="243"/>
        <v>0</v>
      </c>
      <c r="AF217" s="12">
        <f t="shared" si="243"/>
        <v>0</v>
      </c>
      <c r="AG217" s="12">
        <f t="shared" si="243"/>
        <v>0</v>
      </c>
      <c r="AH217" s="12">
        <f t="shared" si="243"/>
        <v>0</v>
      </c>
      <c r="AI217" s="12">
        <f t="shared" si="243"/>
        <v>0</v>
      </c>
      <c r="AJ217" s="12">
        <f t="shared" si="243"/>
        <v>0</v>
      </c>
      <c r="AK217" s="12">
        <f t="shared" si="243"/>
        <v>0</v>
      </c>
      <c r="AL217" s="12">
        <f t="shared" si="243"/>
        <v>0</v>
      </c>
      <c r="AM217" s="12">
        <f t="shared" si="243"/>
        <v>0</v>
      </c>
      <c r="AN217" s="12">
        <f t="shared" si="243"/>
        <v>0</v>
      </c>
      <c r="AO217" s="12">
        <f t="shared" si="243"/>
        <v>0</v>
      </c>
      <c r="AP217" s="12">
        <f t="shared" si="243"/>
        <v>0</v>
      </c>
      <c r="AQ217" s="12">
        <f t="shared" si="243"/>
        <v>0</v>
      </c>
      <c r="AR217" s="12">
        <f t="shared" si="243"/>
        <v>0</v>
      </c>
      <c r="AS217" s="12">
        <f t="shared" si="243"/>
        <v>0</v>
      </c>
      <c r="AT217" s="12">
        <f t="shared" si="243"/>
        <v>0</v>
      </c>
      <c r="AU217" s="12">
        <f t="shared" si="243"/>
        <v>0</v>
      </c>
      <c r="AV217" s="12">
        <f t="shared" si="243"/>
        <v>0</v>
      </c>
      <c r="AW217" s="12">
        <f t="shared" si="243"/>
        <v>0</v>
      </c>
      <c r="AX217" s="12">
        <f t="shared" si="243"/>
        <v>0</v>
      </c>
      <c r="AY217" s="12">
        <f t="shared" si="243"/>
        <v>0</v>
      </c>
      <c r="AZ217" s="12">
        <f t="shared" si="243"/>
        <v>0</v>
      </c>
      <c r="BA217" s="12">
        <f t="shared" si="243"/>
        <v>0</v>
      </c>
      <c r="BB217" s="12">
        <f t="shared" si="243"/>
        <v>0</v>
      </c>
      <c r="BC217" s="12">
        <f t="shared" si="243"/>
        <v>0</v>
      </c>
      <c r="BD217" s="12">
        <f t="shared" si="243"/>
        <v>0</v>
      </c>
      <c r="BE217" s="12">
        <f t="shared" si="243"/>
        <v>0</v>
      </c>
      <c r="BF217" s="12">
        <f t="shared" si="243"/>
        <v>0</v>
      </c>
      <c r="BG217" s="12">
        <f t="shared" si="243"/>
        <v>0</v>
      </c>
      <c r="BH217" s="12">
        <f t="shared" si="243"/>
        <v>0</v>
      </c>
      <c r="BI217" s="12">
        <f t="shared" si="243"/>
        <v>0</v>
      </c>
      <c r="BJ217" s="12">
        <f t="shared" si="243"/>
        <v>0</v>
      </c>
      <c r="BX217" s="12">
        <f t="shared" ref="BX217:CI217" si="244">SUM(BX214:BX216)</f>
        <v>0</v>
      </c>
      <c r="BY217" s="12">
        <f t="shared" si="244"/>
        <v>0</v>
      </c>
      <c r="BZ217" s="12">
        <f t="shared" si="244"/>
        <v>0</v>
      </c>
      <c r="CA217" s="12">
        <f t="shared" si="244"/>
        <v>0</v>
      </c>
      <c r="CB217" s="12">
        <f t="shared" si="244"/>
        <v>0</v>
      </c>
      <c r="CC217" s="12">
        <f t="shared" si="244"/>
        <v>0</v>
      </c>
      <c r="CD217" s="12">
        <f t="shared" si="244"/>
        <v>0</v>
      </c>
      <c r="CE217" s="12">
        <f t="shared" si="244"/>
        <v>0</v>
      </c>
      <c r="CF217" s="12">
        <f t="shared" si="244"/>
        <v>0</v>
      </c>
      <c r="CG217" s="12">
        <f t="shared" si="244"/>
        <v>0</v>
      </c>
      <c r="CH217" s="12">
        <f t="shared" si="244"/>
        <v>0</v>
      </c>
      <c r="CI217" s="12">
        <f t="shared" si="244"/>
        <v>0</v>
      </c>
      <c r="CK217" s="311"/>
      <c r="CN217" s="100"/>
      <c r="CR217" s="311"/>
      <c r="EX217" s="10"/>
    </row>
    <row r="218" spans="1:154" ht="8.25" customHeight="1" x14ac:dyDescent="0.35">
      <c r="C218" s="256"/>
      <c r="D218" s="57"/>
      <c r="E218"/>
      <c r="CK218" s="312"/>
      <c r="CR218" s="311"/>
      <c r="EX218" s="10" t="str">
        <f t="shared" si="218"/>
        <v/>
      </c>
    </row>
    <row r="219" spans="1:154" x14ac:dyDescent="0.35">
      <c r="A219" s="312" t="s">
        <v>16</v>
      </c>
      <c r="B219" s="312" t="s">
        <v>16</v>
      </c>
      <c r="C219" s="576" t="s">
        <v>16</v>
      </c>
      <c r="D219" s="576" t="s">
        <v>16</v>
      </c>
      <c r="E219" s="314" t="s">
        <v>16</v>
      </c>
      <c r="F219" s="312" t="s">
        <v>16</v>
      </c>
      <c r="G219" s="312" t="s">
        <v>16</v>
      </c>
      <c r="H219" s="312" t="s">
        <v>16</v>
      </c>
      <c r="I219" s="312" t="s">
        <v>16</v>
      </c>
      <c r="J219" s="312" t="s">
        <v>16</v>
      </c>
      <c r="K219" s="312" t="s">
        <v>16</v>
      </c>
      <c r="L219" s="312" t="s">
        <v>16</v>
      </c>
      <c r="M219" s="312" t="s">
        <v>16</v>
      </c>
      <c r="N219" s="312" t="s">
        <v>16</v>
      </c>
      <c r="O219" s="312" t="s">
        <v>16</v>
      </c>
      <c r="P219" s="312" t="s">
        <v>16</v>
      </c>
      <c r="Q219" s="312" t="s">
        <v>16</v>
      </c>
      <c r="R219" s="312" t="s">
        <v>16</v>
      </c>
      <c r="S219" s="312"/>
      <c r="T219" s="312" t="s">
        <v>16</v>
      </c>
      <c r="U219" s="312" t="s">
        <v>16</v>
      </c>
      <c r="V219" s="312" t="s">
        <v>16</v>
      </c>
      <c r="W219" s="312" t="s">
        <v>16</v>
      </c>
      <c r="X219" s="312"/>
      <c r="Y219" s="312"/>
      <c r="Z219" s="312" t="s">
        <v>16</v>
      </c>
      <c r="AA219" s="312" t="s">
        <v>16</v>
      </c>
      <c r="AB219" s="312" t="s">
        <v>16</v>
      </c>
      <c r="AC219" s="312" t="s">
        <v>16</v>
      </c>
      <c r="AD219" s="312" t="s">
        <v>16</v>
      </c>
      <c r="AE219" s="312" t="s">
        <v>16</v>
      </c>
      <c r="AF219" s="312" t="s">
        <v>16</v>
      </c>
      <c r="AG219" s="312" t="s">
        <v>16</v>
      </c>
      <c r="AH219" s="312" t="s">
        <v>16</v>
      </c>
      <c r="AI219" s="312" t="s">
        <v>16</v>
      </c>
      <c r="AJ219" s="312" t="s">
        <v>16</v>
      </c>
      <c r="AK219" s="312" t="s">
        <v>16</v>
      </c>
      <c r="AL219" s="312" t="s">
        <v>16</v>
      </c>
      <c r="AM219" s="312" t="s">
        <v>16</v>
      </c>
      <c r="AN219" s="312" t="s">
        <v>16</v>
      </c>
      <c r="AO219" s="312" t="s">
        <v>16</v>
      </c>
      <c r="AP219" s="312" t="s">
        <v>16</v>
      </c>
      <c r="AQ219" s="312" t="s">
        <v>16</v>
      </c>
      <c r="AR219" s="312" t="s">
        <v>16</v>
      </c>
      <c r="AS219" s="312" t="s">
        <v>16</v>
      </c>
      <c r="AT219" s="312" t="s">
        <v>16</v>
      </c>
      <c r="AU219" s="312" t="s">
        <v>16</v>
      </c>
      <c r="AV219" s="312" t="s">
        <v>16</v>
      </c>
      <c r="AW219" s="312" t="s">
        <v>16</v>
      </c>
      <c r="AX219" s="312" t="s">
        <v>16</v>
      </c>
      <c r="AY219" s="312" t="s">
        <v>16</v>
      </c>
      <c r="AZ219" s="312" t="s">
        <v>16</v>
      </c>
      <c r="BA219" s="312" t="s">
        <v>16</v>
      </c>
      <c r="BB219" s="312" t="s">
        <v>16</v>
      </c>
      <c r="BC219" s="312" t="s">
        <v>16</v>
      </c>
      <c r="BD219" s="312" t="s">
        <v>16</v>
      </c>
      <c r="BE219" s="312" t="s">
        <v>16</v>
      </c>
      <c r="BF219" s="312" t="s">
        <v>16</v>
      </c>
      <c r="BG219" s="312" t="s">
        <v>16</v>
      </c>
      <c r="BH219" s="312" t="s">
        <v>16</v>
      </c>
      <c r="BI219" s="312" t="s">
        <v>16</v>
      </c>
      <c r="BJ219" s="312" t="s">
        <v>16</v>
      </c>
      <c r="BK219" s="312" t="s">
        <v>16</v>
      </c>
      <c r="BL219" s="312" t="s">
        <v>16</v>
      </c>
      <c r="BM219" s="312" t="s">
        <v>16</v>
      </c>
      <c r="BN219" s="312" t="s">
        <v>16</v>
      </c>
      <c r="BO219" s="312" t="s">
        <v>16</v>
      </c>
      <c r="BP219" s="312" t="s">
        <v>16</v>
      </c>
      <c r="BQ219" s="312" t="s">
        <v>16</v>
      </c>
      <c r="BR219" s="312" t="s">
        <v>16</v>
      </c>
      <c r="BS219" s="312" t="s">
        <v>16</v>
      </c>
      <c r="BT219" s="312" t="s">
        <v>16</v>
      </c>
      <c r="BU219" s="312" t="s">
        <v>16</v>
      </c>
      <c r="BV219" s="312" t="s">
        <v>16</v>
      </c>
      <c r="BW219" s="312" t="s">
        <v>16</v>
      </c>
      <c r="BX219" s="312" t="s">
        <v>16</v>
      </c>
      <c r="BY219" s="312" t="s">
        <v>16</v>
      </c>
      <c r="BZ219" s="312" t="s">
        <v>16</v>
      </c>
      <c r="CA219" s="312" t="s">
        <v>16</v>
      </c>
      <c r="CB219" s="312" t="s">
        <v>16</v>
      </c>
      <c r="CC219" s="312" t="s">
        <v>16</v>
      </c>
      <c r="CD219" s="312" t="s">
        <v>16</v>
      </c>
      <c r="CE219" s="312" t="s">
        <v>16</v>
      </c>
      <c r="CF219" s="312" t="s">
        <v>16</v>
      </c>
      <c r="CG219" s="312" t="s">
        <v>16</v>
      </c>
      <c r="CH219" s="312" t="s">
        <v>16</v>
      </c>
      <c r="CI219" s="312" t="s">
        <v>16</v>
      </c>
      <c r="CJ219" s="312" t="s">
        <v>16</v>
      </c>
      <c r="CK219" s="312" t="s">
        <v>16</v>
      </c>
      <c r="CL219" s="312" t="s">
        <v>16</v>
      </c>
      <c r="CM219" s="311" t="s">
        <v>16</v>
      </c>
      <c r="CN219" s="311"/>
      <c r="CO219" s="312"/>
      <c r="CP219" s="312"/>
      <c r="CQ219" s="312"/>
      <c r="CR219" s="312" t="s">
        <v>16</v>
      </c>
      <c r="EX219" s="10" t="str">
        <f t="shared" si="218"/>
        <v>*</v>
      </c>
    </row>
  </sheetData>
  <sheetProtection algorithmName="SHA-512" hashValue="H3/EJV8Ut76TNxawBZEl/bXXWDdaUXMDjLH4OiNaDtNcbzs7L+tk5zvisDKddJGp/2Eq6kPXWo9vPHhFP1yRSg==" saltValue="2Gdp0Ma/nMUaLpiqAuotjQ==" spinCount="100000" sheet="1" insertRows="0" deleteRows="0"/>
  <mergeCells count="15">
    <mergeCell ref="CY2:CY6"/>
    <mergeCell ref="CV2:CV6"/>
    <mergeCell ref="CK1:CK6"/>
    <mergeCell ref="CR1:CR6"/>
    <mergeCell ref="CL3:CL6"/>
    <mergeCell ref="CM3:CM6"/>
    <mergeCell ref="CN3:CN6"/>
    <mergeCell ref="CW2:CW6"/>
    <mergeCell ref="CX2:CX6"/>
    <mergeCell ref="CO2:CO6"/>
    <mergeCell ref="CP2:CP6"/>
    <mergeCell ref="CQ2:CQ6"/>
    <mergeCell ref="CS2:CS6"/>
    <mergeCell ref="CT2:CT6"/>
    <mergeCell ref="CU2:CU6"/>
  </mergeCells>
  <phoneticPr fontId="9" type="noConversion"/>
  <conditionalFormatting sqref="A1:A2">
    <cfRule type="cellIs" dxfId="478" priority="54" operator="equal">
      <formula>0</formula>
    </cfRule>
    <cfRule type="cellIs" dxfId="477" priority="55" operator="greaterThan">
      <formula>0</formula>
    </cfRule>
  </conditionalFormatting>
  <conditionalFormatting sqref="A13:A25 CO13:CQ25 CS13:CY25 A27:A30 A32 A34:A36 A38 A40:A45 A47 A49:A54 A56 A58 A60 A62 A67:A74 A76:A88 A90:A110 A112 A114 A116:A124 A126:A131 A133:A137 A139 A148 A151:A157 A179 A183:A194 A198:A205">
    <cfRule type="cellIs" dxfId="476" priority="73" operator="equal">
      <formula>0</formula>
    </cfRule>
    <cfRule type="cellIs" dxfId="475" priority="74" operator="greaterThan">
      <formula>0</formula>
    </cfRule>
  </conditionalFormatting>
  <conditionalFormatting sqref="A141">
    <cfRule type="cellIs" dxfId="474" priority="56" operator="equal">
      <formula>0</formula>
    </cfRule>
    <cfRule type="cellIs" dxfId="473" priority="57" operator="greaterThan">
      <formula>0</formula>
    </cfRule>
  </conditionalFormatting>
  <conditionalFormatting sqref="A143">
    <cfRule type="cellIs" dxfId="472" priority="69" operator="equal">
      <formula>0</formula>
    </cfRule>
    <cfRule type="cellIs" dxfId="471" priority="70" operator="greaterThan">
      <formula>0</formula>
    </cfRule>
  </conditionalFormatting>
  <conditionalFormatting sqref="A212 A214:A216">
    <cfRule type="cellIs" dxfId="470" priority="38" operator="equal">
      <formula>0</formula>
    </cfRule>
    <cfRule type="cellIs" dxfId="469" priority="39" operator="greaterThan">
      <formula>0</formula>
    </cfRule>
  </conditionalFormatting>
  <conditionalFormatting sqref="E212">
    <cfRule type="cellIs" dxfId="468" priority="42" operator="lessThan">
      <formula>0</formula>
    </cfRule>
    <cfRule type="cellIs" dxfId="467" priority="43" operator="greaterThan">
      <formula>0</formula>
    </cfRule>
    <cfRule type="cellIs" dxfId="466" priority="44" operator="equal">
      <formula>0</formula>
    </cfRule>
  </conditionalFormatting>
  <conditionalFormatting sqref="V38:Y39 V139:Y139 V141:Y141">
    <cfRule type="cellIs" dxfId="465" priority="58" operator="equal">
      <formula>0</formula>
    </cfRule>
    <cfRule type="cellIs" dxfId="464" priority="59" operator="greaterThan">
      <formula>0</formula>
    </cfRule>
  </conditionalFormatting>
  <conditionalFormatting sqref="V139:Y139 AA139:BJ139 BX139:CI139">
    <cfRule type="cellIs" dxfId="463" priority="60" operator="lessThan">
      <formula>0</formula>
    </cfRule>
  </conditionalFormatting>
  <conditionalFormatting sqref="V143:Y143 AA143:BJ143 BX143:CI143">
    <cfRule type="cellIs" dxfId="462" priority="269" operator="greaterThan">
      <formula>0</formula>
    </cfRule>
    <cfRule type="cellIs" dxfId="461" priority="268" operator="equal">
      <formula>0</formula>
    </cfRule>
  </conditionalFormatting>
  <conditionalFormatting sqref="AA38:BJ38 BX38:CI38">
    <cfRule type="cellIs" dxfId="460" priority="288" operator="equal">
      <formula>0</formula>
    </cfRule>
    <cfRule type="cellIs" dxfId="459" priority="289" operator="greaterThan">
      <formula>0</formula>
    </cfRule>
  </conditionalFormatting>
  <conditionalFormatting sqref="AA58:BJ58 BX58:CI58">
    <cfRule type="cellIs" dxfId="458" priority="255" operator="greaterThan">
      <formula>0</formula>
    </cfRule>
    <cfRule type="cellIs" dxfId="457" priority="254" operator="equal">
      <formula>0</formula>
    </cfRule>
  </conditionalFormatting>
  <conditionalFormatting sqref="AA139:BJ139 BX139:CI139">
    <cfRule type="cellIs" dxfId="456" priority="61" operator="greaterThan">
      <formula>0</formula>
    </cfRule>
    <cfRule type="cellIs" dxfId="455" priority="62" operator="equal">
      <formula>0</formula>
    </cfRule>
  </conditionalFormatting>
  <conditionalFormatting sqref="AA141:BJ141 BX141:CI141">
    <cfRule type="cellIs" dxfId="454" priority="274" operator="equal">
      <formula>0</formula>
    </cfRule>
    <cfRule type="cellIs" dxfId="453" priority="275" operator="greaterThan">
      <formula>0</formula>
    </cfRule>
  </conditionalFormatting>
  <conditionalFormatting sqref="CL38 CL58 CL143 CO148:CQ148 A161:A175">
    <cfRule type="cellIs" dxfId="452" priority="290" operator="equal">
      <formula>0</formula>
    </cfRule>
    <cfRule type="cellIs" dxfId="451" priority="291" operator="greaterThan">
      <formula>0</formula>
    </cfRule>
  </conditionalFormatting>
  <conditionalFormatting sqref="CM141:CN141">
    <cfRule type="cellIs" dxfId="450" priority="258" operator="equal">
      <formula>0</formula>
    </cfRule>
    <cfRule type="cellIs" dxfId="449" priority="259" operator="greaterThan">
      <formula>0</formula>
    </cfRule>
  </conditionalFormatting>
  <conditionalFormatting sqref="CN212">
    <cfRule type="cellIs" dxfId="448" priority="41" operator="greaterThan">
      <formula>0</formula>
    </cfRule>
    <cfRule type="cellIs" dxfId="447" priority="40" operator="equal">
      <formula>0</formula>
    </cfRule>
  </conditionalFormatting>
  <conditionalFormatting sqref="CO27:CQ30 CO32:CQ32 CO34:CQ36 CO38:CQ38 CO40:CQ45 CO47:CQ47 CO49:CQ54 CO56:CQ56 CO58:CQ58 CO60:CQ60 CO62:CQ62">
    <cfRule type="cellIs" dxfId="446" priority="100" operator="greaterThan">
      <formula>0</formula>
    </cfRule>
    <cfRule type="cellIs" dxfId="445" priority="99" operator="equal">
      <formula>0</formula>
    </cfRule>
  </conditionalFormatting>
  <conditionalFormatting sqref="CO67:CQ74 CO76:CQ88 CO90:CQ110 CO112:CQ112 CO114:CQ114 CO116:CQ124 CO126:CQ131 CO133:CQ137 CO139:CQ139">
    <cfRule type="cellIs" dxfId="444" priority="84" operator="greaterThan">
      <formula>0</formula>
    </cfRule>
    <cfRule type="cellIs" dxfId="443" priority="83" operator="equal">
      <formula>0</formula>
    </cfRule>
  </conditionalFormatting>
  <conditionalFormatting sqref="CO151:CQ157 CO179:CQ179 CO198:CQ205">
    <cfRule type="cellIs" dxfId="442" priority="48" operator="greaterThan">
      <formula>0</formula>
    </cfRule>
    <cfRule type="cellIs" dxfId="441" priority="47" operator="equal">
      <formula>0</formula>
    </cfRule>
  </conditionalFormatting>
  <conditionalFormatting sqref="CO161:CQ175">
    <cfRule type="cellIs" dxfId="440" priority="145" operator="greaterThan">
      <formula>0</formula>
    </cfRule>
    <cfRule type="cellIs" dxfId="439" priority="146" operator="equal">
      <formula>0</formula>
    </cfRule>
  </conditionalFormatting>
  <conditionalFormatting sqref="CO183:CQ194 CS198:CY205">
    <cfRule type="cellIs" dxfId="438" priority="115" operator="greaterThan">
      <formula>0</formula>
    </cfRule>
    <cfRule type="cellIs" dxfId="437" priority="116" operator="equal">
      <formula>0</formula>
    </cfRule>
  </conditionalFormatting>
  <conditionalFormatting sqref="CS13:CY194">
    <cfRule type="cellIs" dxfId="436" priority="77" operator="lessThan">
      <formula>0</formula>
    </cfRule>
  </conditionalFormatting>
  <conditionalFormatting sqref="CS27:CY194">
    <cfRule type="cellIs" dxfId="435" priority="78" operator="greaterThan">
      <formula>0</formula>
    </cfRule>
    <cfRule type="cellIs" dxfId="434" priority="79" operator="equal">
      <formula>0</formula>
    </cfRule>
  </conditionalFormatting>
  <conditionalFormatting sqref="CS198:CY205">
    <cfRule type="cellIs" dxfId="433" priority="114" operator="lessThan">
      <formula>0</formula>
    </cfRule>
  </conditionalFormatting>
  <dataValidations xWindow="1089" yWindow="406" count="7">
    <dataValidation allowBlank="1" showInputMessage="1" promptTitle="Periods in Use Flag" prompt="This checks if optional periods are in use. Outputs are calculated for optional periods only if the optional inputs are filled in across all applicable sheets:_x000a_&gt;I&amp;E Monthly_x000a_&gt;Opening Balances_x000a_&gt;Investing Inputs_x000a_&gt;Loans (if applicable)_x000a_&gt;BS Forecasts_x000a_" sqref="B9" xr:uid="{B9F80F70-2FC0-4E72-983C-9CFBFF16571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Q7" xr:uid="{D63500C2-FAD4-43EC-8D8D-8F5BD8DD2C6E}"/>
    <dataValidation allowBlank="1" showInputMessage="1" promptTitle="Reconciliation to 12 year values" prompt="Checks if the monthly amounts = annual amounts on the 12 Year timeline for all 3 years._x000a__x000a_Refer to Differences section (columns CJ - CL) in case of flags." sqref="CP7" xr:uid="{68D49F60-D27D-4816-838C-59B65279C65B}"/>
    <dataValidation allowBlank="1" showInputMessage="1" promptTitle="Reconciliation to 4 year values" prompt="Checks if the monthly amounts = annual amounts on the 4 Year timeline._x000a__x000a_Refer to Differences section (columns CG - CI) in case of flags." sqref="CO7" xr:uid="{321DD4FD-E35C-4AC3-BC42-B328B27BEC03}"/>
    <dataValidation allowBlank="1" showInputMessage="1" promptTitle="Balance Sheet check" prompt="Checks that the balance sheet balances:_x000a_Assets = Liabilities + Reserves" sqref="CM7" xr:uid="{57C6356D-EC15-4F0F-9CB6-B90341A03713}"/>
    <dataValidation allowBlank="1" showInputMessage="1" promptTitle="Reconciliation Checks" prompt="Checks if the I&amp;E on the Fins Stat sheet reconciles to the I&amp;E on the &quot;I&amp;E Annual&quot; sheet." sqref="CL7" xr:uid="{56024381-BA02-439A-A376-F53357B2DC69}"/>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N7" xr:uid="{2C0B91A7-2431-43C8-8658-29B5326E5028}"/>
  </dataValidations>
  <pageMargins left="0.70866141732283472" right="0.70866141732283472" top="0.74803149606299213" bottom="0.74803149606299213" header="0.31496062992125984" footer="0.31496062992125984"/>
  <pageSetup paperSize="8" scale="59" fitToWidth="0" fitToHeight="0" orientation="portrait" r:id="rId1"/>
  <headerFooter>
    <oddHeader>&amp;C&amp;"Aptos"&amp;11&amp;K000000 OFFICIAL - FOR PUBLIC RELEASE&amp;1#_x000D_</oddHeader>
    <oddFooter>&amp;C_x000D_&amp;1#&amp;"Aptos"&amp;11&amp;K000000 OFFICIAL - FOR PUBLIC RELEASE</oddFooter>
  </headerFooter>
  <rowBreaks count="2" manualBreakCount="2">
    <brk id="63" max="25" man="1"/>
    <brk id="144" max="25" man="1"/>
  </rowBreaks>
  <extLst>
    <ext xmlns:x14="http://schemas.microsoft.com/office/spreadsheetml/2009/9/main" uri="{78C0D931-6437-407d-A8EE-F0AAD7539E65}">
      <x14:conditionalFormattings>
        <x14:conditionalFormatting xmlns:xm="http://schemas.microsoft.com/office/excel/2006/main">
          <x14:cfRule type="expression" priority="1" id="{12F4FE00-1B47-4690-9C27-1DC9207D8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xWindow="1089" yWindow="406" count="1">
        <x14:dataValidation type="list" allowBlank="1" showInputMessage="1" showErrorMessage="1" xr:uid="{F7060860-D598-4F12-ACE7-E38859954703}">
          <x14:formula1>
            <xm:f>'Dash Data'!$D$93:$D$100</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488D-6A48-4761-B0C6-89EC4778FD05}">
  <sheetPr codeName="Sheet21">
    <tabColor rgb="FF00B0F0"/>
    <outlinePr summaryBelow="0" summaryRight="0"/>
    <pageSetUpPr autoPageBreaks="0"/>
  </sheetPr>
  <dimension ref="A1:EX69"/>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56" style="1" customWidth="1"/>
    <col min="5" max="5" width="9.81640625" style="1" customWidth="1"/>
    <col min="6" max="6" width="5.81640625" customWidth="1"/>
    <col min="7" max="7" width="7.1796875" customWidth="1"/>
    <col min="8" max="8" width="12.1796875" customWidth="1"/>
    <col min="9" max="9" width="2" customWidth="1" collapsed="1"/>
    <col min="10" max="10" width="2" hidden="1" customWidth="1" outlineLevel="1"/>
    <col min="11" max="12" width="3.1796875" hidden="1" customWidth="1" outlineLevel="1"/>
    <col min="13" max="16" width="8.81640625" hidden="1" customWidth="1" outlineLevel="1"/>
    <col min="17" max="18" width="12.1796875" hidden="1" customWidth="1" outlineLevel="1"/>
    <col min="19" max="19" width="1.1796875" hidden="1" customWidth="1" outlineLevel="1"/>
    <col min="20" max="21" width="11.1796875" hidden="1" customWidth="1" outlineLevel="1"/>
    <col min="22"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2.1796875" customWidth="1"/>
    <col min="89" max="89" width="3.453125" customWidth="1"/>
    <col min="90" max="90" width="13.1796875" customWidth="1"/>
    <col min="91" max="91" width="3.453125" customWidth="1"/>
    <col min="92" max="93" width="13.1796875" customWidth="1"/>
    <col min="94" max="94" width="2.81640625" customWidth="1"/>
    <col min="99" max="99" width="11.453125" bestFit="1" customWidth="1"/>
    <col min="153" max="153" width="8.81640625" collapsed="1"/>
    <col min="154" max="154" width="97.1796875" hidden="1" customWidth="1" outlineLevel="1"/>
  </cols>
  <sheetData>
    <row r="1" spans="1:154" x14ac:dyDescent="0.35">
      <c r="A1" s="7">
        <f ca="1">ToC!A1</f>
        <v>0</v>
      </c>
      <c r="B1" s="13" t="s">
        <v>1642</v>
      </c>
      <c r="C1" s="13"/>
      <c r="D1" s="2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80"/>
      <c r="CL1" s="5" t="s">
        <v>5</v>
      </c>
      <c r="CM1" s="680"/>
      <c r="CN1" s="5" t="s">
        <v>176</v>
      </c>
      <c r="CP1" s="680"/>
      <c r="CQ1" s="5" t="s">
        <v>295</v>
      </c>
      <c r="EX1" s="5" t="s">
        <v>177</v>
      </c>
    </row>
    <row r="2" spans="1:154" ht="14.65" customHeight="1" x14ac:dyDescent="0.35">
      <c r="A2" s="537" cm="1">
        <f t="array" aca="1" ref="A2" ca="1">HYPERLINK(CONCATENATE("#",CELL("address",IF(SUM(A$7:A$69)=0,$A$2,INDEX(A$7:A$69,MATCH(1,A$7:A$69,0))))),SUM(A$7:A$69))</f>
        <v>0</v>
      </c>
      <c r="B2" s="67" t="str" cm="1">
        <f t="array" aca="1" ref="B2" ca="1">HYPERLINK(CONCATENATE("#",CELL("address",Guide!$C$120)),Guide!$B$1)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L2" s="538" cm="1">
        <f t="array" aca="1" ref="CL2" ca="1">HYPERLINK(CONCATENATE("#",CELL("address",IF(SUM(CL$7:CL$69)=0,$CL$2,INDEX(CL$7:CL$69,MATCH(1,CL$7:CL$69,0))))),SUM(CL$7:CL$69))</f>
        <v>0</v>
      </c>
      <c r="CM2" s="680"/>
      <c r="CN2" s="666" t="s">
        <v>1643</v>
      </c>
      <c r="CO2" s="666" t="s">
        <v>1644</v>
      </c>
      <c r="CP2" s="680"/>
      <c r="CQ2" s="667" t="s">
        <v>1645</v>
      </c>
      <c r="CR2" s="668" t="s">
        <v>1646</v>
      </c>
      <c r="CS2" s="668" t="s">
        <v>1647</v>
      </c>
      <c r="CT2" s="669" t="s">
        <v>1648</v>
      </c>
      <c r="CU2" s="667" t="s">
        <v>1646</v>
      </c>
      <c r="CV2" s="668" t="s">
        <v>1647</v>
      </c>
      <c r="CW2" s="669" t="s">
        <v>1648</v>
      </c>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80"/>
      <c r="CL3" s="664" t="s">
        <v>179</v>
      </c>
      <c r="CM3" s="680"/>
      <c r="CN3" s="666"/>
      <c r="CO3" s="666"/>
      <c r="CP3" s="680"/>
      <c r="CQ3" s="672"/>
      <c r="CR3" s="664"/>
      <c r="CS3" s="664"/>
      <c r="CT3" s="677"/>
      <c r="CU3" s="672"/>
      <c r="CV3" s="664"/>
      <c r="CW3" s="677"/>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80"/>
      <c r="CL4" s="664"/>
      <c r="CM4" s="680"/>
      <c r="CN4" s="666"/>
      <c r="CO4" s="666"/>
      <c r="CP4" s="680"/>
      <c r="CQ4" s="672"/>
      <c r="CR4" s="664"/>
      <c r="CS4" s="664"/>
      <c r="CT4" s="677"/>
      <c r="CU4" s="672"/>
      <c r="CV4" s="664"/>
      <c r="CW4" s="677"/>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80"/>
      <c r="CL5" s="664"/>
      <c r="CM5" s="680"/>
      <c r="CN5" s="666"/>
      <c r="CO5" s="666"/>
      <c r="CP5" s="680"/>
      <c r="CQ5" s="672"/>
      <c r="CR5" s="664"/>
      <c r="CS5" s="664"/>
      <c r="CT5" s="677"/>
      <c r="CU5" s="672"/>
      <c r="CV5" s="664"/>
      <c r="CW5" s="677"/>
    </row>
    <row r="6" spans="1:154" ht="29" x14ac:dyDescent="0.35">
      <c r="A6" s="67" t="str" cm="1">
        <f t="array" aca="1" ref="A6" ca="1">HYPERLINK(CONCATENATE("#",CELL("address",CM7)),"Check")</f>
        <v>Check</v>
      </c>
      <c r="B6" s="13"/>
      <c r="C6" s="13" t="s">
        <v>183</v>
      </c>
      <c r="D6" s="23" t="s">
        <v>19</v>
      </c>
      <c r="E6" s="13"/>
      <c r="F6" s="623"/>
      <c r="G6" s="13" t="s">
        <v>272</v>
      </c>
      <c r="H6" s="623" t="s">
        <v>1649</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0"/>
      <c r="CL6" s="664"/>
      <c r="CM6" s="680"/>
      <c r="CN6" s="666"/>
      <c r="CO6" s="666"/>
      <c r="CP6" s="680"/>
      <c r="CQ6" s="539" t="s">
        <v>1650</v>
      </c>
      <c r="CR6" s="540"/>
      <c r="CS6" s="540"/>
      <c r="CT6" s="541"/>
      <c r="CU6" s="539" t="s">
        <v>1651</v>
      </c>
      <c r="CV6" s="540"/>
      <c r="CW6" s="541"/>
    </row>
    <row r="7" spans="1:154" x14ac:dyDescent="0.35">
      <c r="B7" s="97"/>
      <c r="E7"/>
      <c r="BY7" s="6"/>
      <c r="CK7" s="311"/>
      <c r="CL7" s="85" t="s">
        <v>122</v>
      </c>
      <c r="CM7" s="311"/>
      <c r="CN7" s="85" t="s">
        <v>122</v>
      </c>
      <c r="CO7" s="85" t="s">
        <v>122</v>
      </c>
      <c r="CP7" s="542"/>
      <c r="CQ7" s="543"/>
      <c r="CR7" s="262"/>
      <c r="CS7" s="262"/>
      <c r="CT7" s="544"/>
      <c r="CU7" s="543"/>
      <c r="CV7" s="262"/>
      <c r="CW7" s="544"/>
    </row>
    <row r="8" spans="1:154" ht="8.25" customHeight="1" x14ac:dyDescent="0.35">
      <c r="C8" s="217"/>
      <c r="D8" s="57"/>
      <c r="E8"/>
      <c r="CK8" s="312"/>
      <c r="CM8" s="312"/>
      <c r="CP8" s="542"/>
      <c r="EX8" s="10" t="str">
        <f t="shared" ref="EX8:EX23" si="0">IF($C8="","",$D8)</f>
        <v/>
      </c>
    </row>
    <row r="9" spans="1:154" x14ac:dyDescent="0.35">
      <c r="B9" s="85" t="s">
        <v>122</v>
      </c>
      <c r="C9" s="217"/>
      <c r="D9" s="57" t="s">
        <v>1509</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M9" s="312"/>
      <c r="CP9" s="542"/>
      <c r="EX9" s="10" t="str">
        <f t="shared" si="0"/>
        <v/>
      </c>
    </row>
    <row r="10" spans="1:154" ht="8.25" customHeight="1" x14ac:dyDescent="0.35">
      <c r="E10"/>
      <c r="CK10" s="311"/>
      <c r="CM10" s="311"/>
      <c r="CP10" s="542"/>
      <c r="EX10" s="10" t="str">
        <f t="shared" si="0"/>
        <v/>
      </c>
    </row>
    <row r="11" spans="1:154" x14ac:dyDescent="0.35">
      <c r="A11" s="34"/>
      <c r="B11" s="34"/>
      <c r="C11" s="212"/>
      <c r="D11" s="545"/>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2"/>
      <c r="CP11" s="542"/>
      <c r="EX11" s="10" t="str">
        <f t="shared" si="0"/>
        <v/>
      </c>
    </row>
    <row r="12" spans="1:154" ht="8.25" customHeight="1" x14ac:dyDescent="0.35">
      <c r="C12" s="210"/>
      <c r="E12"/>
      <c r="CK12" s="311"/>
      <c r="CM12" s="311"/>
      <c r="CP12" s="542"/>
      <c r="EX12" s="10" t="str">
        <f t="shared" si="0"/>
        <v/>
      </c>
    </row>
    <row r="13" spans="1:154" x14ac:dyDescent="0.35">
      <c r="B13" s="5"/>
      <c r="C13" s="210"/>
      <c r="D13" s="24" t="s">
        <v>1652</v>
      </c>
      <c r="Y13" s="546"/>
      <c r="CK13" s="312"/>
      <c r="CM13" s="312"/>
      <c r="CP13" s="311"/>
      <c r="EX13" s="10" t="str">
        <f t="shared" si="0"/>
        <v/>
      </c>
    </row>
    <row r="14" spans="1:154" x14ac:dyDescent="0.35">
      <c r="A14" s="537" cm="1">
        <f t="array" aca="1" ref="A14" ca="1">HYPERLINK(CONCATENATE("#",CELL("address",IF(MAX($CM14:$CP14)=0,A14,INDEX($CM14:$CP14,MATCH(1,$CM14:$CP14,0))))),MAX($CM14:$CP14))</f>
        <v>0</v>
      </c>
      <c r="B14" s="85" t="s">
        <v>122</v>
      </c>
      <c r="C14" s="213" t="s">
        <v>1653</v>
      </c>
      <c r="D14" s="1" t="s">
        <v>1654</v>
      </c>
      <c r="G14" t="s">
        <v>1655</v>
      </c>
      <c r="V14" s="10">
        <f>('Fin Stat'!V24- 'Fin Stat'!V23-'Fin Stat'!V22+'Fin Stat'!V41)*V$9</f>
        <v>0</v>
      </c>
      <c r="W14" s="10">
        <f>('Fin Stat'!W24- 'Fin Stat'!W23-'Fin Stat'!W22+'Fin Stat'!W41)*W$9</f>
        <v>0</v>
      </c>
      <c r="X14" s="10">
        <f>('Fin Stat'!X24- 'Fin Stat'!X23-'Fin Stat'!X22+'Fin Stat'!X41)*X$9</f>
        <v>0</v>
      </c>
      <c r="Y14" s="10">
        <f>('Fin Stat'!Y24- 'Fin Stat'!Y23-'Fin Stat'!Y22+'Fin Stat'!Y41)*Y$9</f>
        <v>0</v>
      </c>
      <c r="AA14" s="10">
        <f>('Fin Stat'!AA24- 'Fin Stat'!AA23-'Fin Stat'!AA22+'Fin Stat'!AA41)*AA$9</f>
        <v>0</v>
      </c>
      <c r="AB14" s="10">
        <f>('Fin Stat'!AB24- 'Fin Stat'!AB23-'Fin Stat'!AB22+'Fin Stat'!AB41)*AB$9</f>
        <v>0</v>
      </c>
      <c r="AC14" s="10">
        <f>('Fin Stat'!AC24- 'Fin Stat'!AC23-'Fin Stat'!AC22+'Fin Stat'!AC41)*AC$9</f>
        <v>0</v>
      </c>
      <c r="AD14" s="10">
        <f>('Fin Stat'!AD24- 'Fin Stat'!AD23-'Fin Stat'!AD22+'Fin Stat'!AD41)*AD$9</f>
        <v>0</v>
      </c>
      <c r="AE14" s="10">
        <f>('Fin Stat'!AE24- 'Fin Stat'!AE23-'Fin Stat'!AE22+'Fin Stat'!AE41)*AE$9</f>
        <v>0</v>
      </c>
      <c r="AF14" s="10">
        <f>('Fin Stat'!AF24- 'Fin Stat'!AF23-'Fin Stat'!AF22+'Fin Stat'!AF41)*AF$9</f>
        <v>0</v>
      </c>
      <c r="AG14" s="10">
        <f>('Fin Stat'!AG24- 'Fin Stat'!AG23-'Fin Stat'!AG22+'Fin Stat'!AG41)*AG$9</f>
        <v>0</v>
      </c>
      <c r="AH14" s="10">
        <f>('Fin Stat'!AH24- 'Fin Stat'!AH23-'Fin Stat'!AH22+'Fin Stat'!AH41)*AH$9</f>
        <v>0</v>
      </c>
      <c r="AI14" s="10">
        <f>('Fin Stat'!AI24- 'Fin Stat'!AI23-'Fin Stat'!AI22+'Fin Stat'!AI41)*AI$9</f>
        <v>0</v>
      </c>
      <c r="AJ14" s="10">
        <f>('Fin Stat'!AJ24- 'Fin Stat'!AJ23-'Fin Stat'!AJ22+'Fin Stat'!AJ41)*AJ$9</f>
        <v>0</v>
      </c>
      <c r="AK14" s="10">
        <f>('Fin Stat'!AK24- 'Fin Stat'!AK23-'Fin Stat'!AK22+'Fin Stat'!AK41)*AK$9</f>
        <v>0</v>
      </c>
      <c r="AL14" s="10">
        <f>('Fin Stat'!AL24- 'Fin Stat'!AL23-'Fin Stat'!AL22+'Fin Stat'!AL41)*AL$9</f>
        <v>0</v>
      </c>
      <c r="AM14" s="10">
        <f>('Fin Stat'!AM24- 'Fin Stat'!AM23-'Fin Stat'!AM22+'Fin Stat'!AM41)*AM$9</f>
        <v>0</v>
      </c>
      <c r="AN14" s="10">
        <f>('Fin Stat'!AN24- 'Fin Stat'!AN23-'Fin Stat'!AN22+'Fin Stat'!AN41)*AN$9</f>
        <v>0</v>
      </c>
      <c r="AO14" s="10">
        <f>('Fin Stat'!AO24- 'Fin Stat'!AO23-'Fin Stat'!AO22+'Fin Stat'!AO41)*AO$9</f>
        <v>0</v>
      </c>
      <c r="AP14" s="10">
        <f>('Fin Stat'!AP24- 'Fin Stat'!AP23-'Fin Stat'!AP22+'Fin Stat'!AP41)*AP$9</f>
        <v>0</v>
      </c>
      <c r="AQ14" s="10">
        <f>('Fin Stat'!AQ24- 'Fin Stat'!AQ23-'Fin Stat'!AQ22+'Fin Stat'!AQ41)*AQ$9</f>
        <v>0</v>
      </c>
      <c r="AR14" s="10">
        <f>('Fin Stat'!AR24- 'Fin Stat'!AR23-'Fin Stat'!AR22+'Fin Stat'!AR41)*AR$9</f>
        <v>0</v>
      </c>
      <c r="AS14" s="10">
        <f>('Fin Stat'!AS24- 'Fin Stat'!AS23-'Fin Stat'!AS22+'Fin Stat'!AS41)*AS$9</f>
        <v>0</v>
      </c>
      <c r="AT14" s="10">
        <f>('Fin Stat'!AT24- 'Fin Stat'!AT23-'Fin Stat'!AT22+'Fin Stat'!AT41)*AT$9</f>
        <v>0</v>
      </c>
      <c r="AU14" s="10">
        <f>('Fin Stat'!AU24- 'Fin Stat'!AU23-'Fin Stat'!AU22+'Fin Stat'!AU41)*AU$9</f>
        <v>0</v>
      </c>
      <c r="AV14" s="10">
        <f>('Fin Stat'!AV24- 'Fin Stat'!AV23-'Fin Stat'!AV22+'Fin Stat'!AV41)*AV$9</f>
        <v>0</v>
      </c>
      <c r="AW14" s="10">
        <f>('Fin Stat'!AW24- 'Fin Stat'!AW23-'Fin Stat'!AW22+'Fin Stat'!AW41)*AW$9</f>
        <v>0</v>
      </c>
      <c r="AX14" s="10">
        <f>('Fin Stat'!AX24- 'Fin Stat'!AX23-'Fin Stat'!AX22+'Fin Stat'!AX41)*AX$9</f>
        <v>0</v>
      </c>
      <c r="AY14" s="10">
        <f>('Fin Stat'!AY24- 'Fin Stat'!AY23-'Fin Stat'!AY22+'Fin Stat'!AY41)*AY$9</f>
        <v>0</v>
      </c>
      <c r="AZ14" s="10">
        <f>('Fin Stat'!AZ24- 'Fin Stat'!AZ23-'Fin Stat'!AZ22+'Fin Stat'!AZ41)*AZ$9</f>
        <v>0</v>
      </c>
      <c r="BA14" s="10">
        <f>('Fin Stat'!BA24- 'Fin Stat'!BA23-'Fin Stat'!BA22+'Fin Stat'!BA41)*BA$9</f>
        <v>0</v>
      </c>
      <c r="BB14" s="10">
        <f>('Fin Stat'!BB24- 'Fin Stat'!BB23-'Fin Stat'!BB22+'Fin Stat'!BB41)*BB$9</f>
        <v>0</v>
      </c>
      <c r="BC14" s="10">
        <f>('Fin Stat'!BC24- 'Fin Stat'!BC23-'Fin Stat'!BC22+'Fin Stat'!BC41)*BC$9</f>
        <v>0</v>
      </c>
      <c r="BD14" s="10">
        <f>('Fin Stat'!BD24- 'Fin Stat'!BD23-'Fin Stat'!BD22+'Fin Stat'!BD41)*BD$9</f>
        <v>0</v>
      </c>
      <c r="BE14" s="10">
        <f>('Fin Stat'!BE24- 'Fin Stat'!BE23-'Fin Stat'!BE22+'Fin Stat'!BE41)*BE$9</f>
        <v>0</v>
      </c>
      <c r="BF14" s="10">
        <f>('Fin Stat'!BF24- 'Fin Stat'!BF23-'Fin Stat'!BF22+'Fin Stat'!BF41)*BF$9</f>
        <v>0</v>
      </c>
      <c r="BG14" s="10">
        <f>('Fin Stat'!BG24- 'Fin Stat'!BG23-'Fin Stat'!BG22+'Fin Stat'!BG41)*BG$9</f>
        <v>0</v>
      </c>
      <c r="BH14" s="10">
        <f>('Fin Stat'!BH24- 'Fin Stat'!BH23-'Fin Stat'!BH22+'Fin Stat'!BH41)*BH$9</f>
        <v>0</v>
      </c>
      <c r="BI14" s="10">
        <f>('Fin Stat'!BI24- 'Fin Stat'!BI23-'Fin Stat'!BI22+'Fin Stat'!BI41)*BI$9</f>
        <v>0</v>
      </c>
      <c r="BJ14" s="10">
        <f>('Fin Stat'!BJ24- 'Fin Stat'!BJ23-'Fin Stat'!BJ22+'Fin Stat'!BJ41)*BJ$9</f>
        <v>0</v>
      </c>
      <c r="BX14" s="10">
        <f>('Fin Stat'!BX24- 'Fin Stat'!BX23-'Fin Stat'!BX22+'Fin Stat'!BX41)*BX$9</f>
        <v>0</v>
      </c>
      <c r="BY14" s="10">
        <f>('Fin Stat'!BY24- 'Fin Stat'!BY23-'Fin Stat'!BY22+'Fin Stat'!BY41)*BY$9</f>
        <v>0</v>
      </c>
      <c r="BZ14" s="10">
        <f>('Fin Stat'!BZ24- 'Fin Stat'!BZ23-'Fin Stat'!BZ22+'Fin Stat'!BZ41)*BZ$9</f>
        <v>0</v>
      </c>
      <c r="CA14" s="10">
        <f>('Fin Stat'!CA24- 'Fin Stat'!CA23-'Fin Stat'!CA22+'Fin Stat'!CA41)*CA$9</f>
        <v>0</v>
      </c>
      <c r="CB14" s="10">
        <f>('Fin Stat'!CB24- 'Fin Stat'!CB23-'Fin Stat'!CB22+'Fin Stat'!CB41)*CB$9</f>
        <v>0</v>
      </c>
      <c r="CC14" s="10">
        <f>('Fin Stat'!CC24- 'Fin Stat'!CC23-'Fin Stat'!CC22+'Fin Stat'!CC41)*CC$9</f>
        <v>0</v>
      </c>
      <c r="CD14" s="10">
        <f>('Fin Stat'!CD24- 'Fin Stat'!CD23-'Fin Stat'!CD22+'Fin Stat'!CD41)*CD$9</f>
        <v>0</v>
      </c>
      <c r="CE14" s="10">
        <f>('Fin Stat'!CE24- 'Fin Stat'!CE23-'Fin Stat'!CE22+'Fin Stat'!CE41)*CE$9</f>
        <v>0</v>
      </c>
      <c r="CF14" s="10">
        <f>('Fin Stat'!CF24- 'Fin Stat'!CF23-'Fin Stat'!CF22+'Fin Stat'!CF41)*CF$9</f>
        <v>0</v>
      </c>
      <c r="CG14" s="10">
        <f>('Fin Stat'!CG24- 'Fin Stat'!CG23-'Fin Stat'!CG22+'Fin Stat'!CG41)*CG$9</f>
        <v>0</v>
      </c>
      <c r="CH14" s="10">
        <f>('Fin Stat'!CH24- 'Fin Stat'!CH23-'Fin Stat'!CH22+'Fin Stat'!CH41)*CH$9</f>
        <v>0</v>
      </c>
      <c r="CI14" s="10">
        <f>('Fin Stat'!CI24- 'Fin Stat'!CI23-'Fin Stat'!CI22+'Fin Stat'!CI41)*CI$9</f>
        <v>0</v>
      </c>
      <c r="CK14" s="312"/>
      <c r="CM14" s="312"/>
      <c r="CN14" s="7">
        <f>IF(SUM($CQ14:$CT14)=0, 0, 1)</f>
        <v>0</v>
      </c>
      <c r="CP14" s="311"/>
      <c r="CQ14" s="215">
        <f t="shared" ref="CQ14:CT15" si="1">ROUND(BX14-V14, rounding)</f>
        <v>0</v>
      </c>
      <c r="CR14" s="215">
        <f t="shared" si="1"/>
        <v>0</v>
      </c>
      <c r="CS14" s="215">
        <f t="shared" si="1"/>
        <v>0</v>
      </c>
      <c r="CT14" s="215">
        <f t="shared" si="1"/>
        <v>0</v>
      </c>
      <c r="EX14" s="10" t="str">
        <f t="shared" si="0"/>
        <v>Adjusted Income</v>
      </c>
    </row>
    <row r="15" spans="1:154" x14ac:dyDescent="0.35">
      <c r="A15" s="537" cm="1">
        <f t="array" aca="1" ref="A15" ca="1">HYPERLINK(CONCATENATE("#",CELL("address",IF(MAX($CM15:$CP15)=0,A15,INDEX($CM15:$CP15,MATCH(1,$CM15:$CP15,0))))),MAX($CM15:$CP15))</f>
        <v>0</v>
      </c>
      <c r="B15" s="85" t="s">
        <v>122</v>
      </c>
      <c r="C15" s="213" t="s">
        <v>1656</v>
      </c>
      <c r="D15" s="1" t="s">
        <v>1657</v>
      </c>
      <c r="E15"/>
      <c r="G15" t="s">
        <v>1655</v>
      </c>
      <c r="V15" s="10">
        <f>SUM('Fin Stat'!V27:V28)*V$9</f>
        <v>0</v>
      </c>
      <c r="W15" s="10">
        <f>SUM('Fin Stat'!W27:W28)*W$9</f>
        <v>0</v>
      </c>
      <c r="X15" s="10">
        <f>SUM('Fin Stat'!X27:X28)*X$9</f>
        <v>0</v>
      </c>
      <c r="Y15" s="10">
        <f>SUM('Fin Stat'!Y27:Y28)*Y$9</f>
        <v>0</v>
      </c>
      <c r="BX15" s="10">
        <f>SUM('Fin Stat'!BX27:BX28)*BX$9</f>
        <v>0</v>
      </c>
      <c r="BY15" s="10">
        <f>SUM('Fin Stat'!BY27:BY28)*BY$9</f>
        <v>0</v>
      </c>
      <c r="BZ15" s="10">
        <f>SUM('Fin Stat'!BZ27:BZ28)*BZ$9</f>
        <v>0</v>
      </c>
      <c r="CA15" s="10">
        <f>SUM('Fin Stat'!CA27:CA28)*CA$9</f>
        <v>0</v>
      </c>
      <c r="CB15" s="10">
        <f>SUM('Fin Stat'!CB27:CB28)*CB$9</f>
        <v>0</v>
      </c>
      <c r="CC15" s="10">
        <f>SUM('Fin Stat'!CC27:CC28)*CC$9</f>
        <v>0</v>
      </c>
      <c r="CD15" s="10">
        <f>SUM('Fin Stat'!CD27:CD28)*CD$9</f>
        <v>0</v>
      </c>
      <c r="CE15" s="10">
        <f>SUM('Fin Stat'!CE27:CE28)*CE$9</f>
        <v>0</v>
      </c>
      <c r="CF15" s="10">
        <f>SUM('Fin Stat'!CF27:CF28)*CF$9</f>
        <v>0</v>
      </c>
      <c r="CG15" s="10">
        <f>SUM('Fin Stat'!CG27:CG28)*CG$9</f>
        <v>0</v>
      </c>
      <c r="CH15" s="10">
        <f>SUM('Fin Stat'!CH27:CH28)*CH$9</f>
        <v>0</v>
      </c>
      <c r="CI15" s="10">
        <f>SUM('Fin Stat'!CI27:CI28)*CI$9</f>
        <v>0</v>
      </c>
      <c r="CK15" s="312"/>
      <c r="CM15" s="312"/>
      <c r="CN15" s="7">
        <f>IF(SUM($CQ15:$CT15)=0, 0, 1)</f>
        <v>0</v>
      </c>
      <c r="CP15" s="311"/>
      <c r="CQ15" s="215">
        <f t="shared" si="1"/>
        <v>0</v>
      </c>
      <c r="CR15" s="215">
        <f t="shared" si="1"/>
        <v>0</v>
      </c>
      <c r="CS15" s="215">
        <f t="shared" si="1"/>
        <v>0</v>
      </c>
      <c r="CT15" s="215">
        <f t="shared" si="1"/>
        <v>0</v>
      </c>
      <c r="EX15" s="10" t="str">
        <f t="shared" si="0"/>
        <v>Operating Expenditure excl. staff Restructuring Costs</v>
      </c>
    </row>
    <row r="16" spans="1:154" ht="8.25" customHeight="1" x14ac:dyDescent="0.35">
      <c r="C16" s="211"/>
      <c r="E16"/>
      <c r="CK16" s="311"/>
      <c r="CM16" s="311"/>
      <c r="CP16" s="311"/>
      <c r="EX16" s="10" t="str">
        <f t="shared" si="0"/>
        <v/>
      </c>
    </row>
    <row r="17" spans="1:154" x14ac:dyDescent="0.35">
      <c r="B17" s="5"/>
      <c r="C17" s="213"/>
      <c r="D17" s="24" t="s">
        <v>1658</v>
      </c>
      <c r="CK17" s="312"/>
      <c r="CM17" s="312"/>
      <c r="CP17" s="311"/>
      <c r="EX17" s="10" t="str">
        <f t="shared" si="0"/>
        <v/>
      </c>
    </row>
    <row r="18" spans="1:154" x14ac:dyDescent="0.35">
      <c r="A18" s="537" cm="1">
        <f t="array" aca="1" ref="A18" ca="1">HYPERLINK(CONCATENATE("#",CELL("address",IF(MAX($CM18:$CP18)=0,A18,INDEX($CM18:$CP18,MATCH(1,$CM18:$CP18,0))))),MAX($CM18:$CP18))</f>
        <v>0</v>
      </c>
      <c r="B18" s="126" t="s">
        <v>122</v>
      </c>
      <c r="C18" s="213" t="s">
        <v>1659</v>
      </c>
      <c r="D18" s="1" t="s">
        <v>1660</v>
      </c>
      <c r="G18" t="s">
        <v>1655</v>
      </c>
      <c r="V18" s="12">
        <f>(('Fin Stat'!V27-'I&amp;E Annual'!BX113)+('Fin Stat'!V28-'I&amp;E Annual'!BX124)+'Fin Stat'!V42)*V$9</f>
        <v>0</v>
      </c>
      <c r="W18" s="12">
        <f>(('Fin Stat'!W27-'I&amp;E Annual'!BY113)+('Fin Stat'!W28-'I&amp;E Annual'!BY124)+'Fin Stat'!W42)*W$9</f>
        <v>0</v>
      </c>
      <c r="X18" s="12">
        <f>(('Fin Stat'!X27-'I&amp;E Annual'!BZ113)+('Fin Stat'!X28-'I&amp;E Annual'!BZ124)+'Fin Stat'!X42)*X$9</f>
        <v>0</v>
      </c>
      <c r="Y18" s="12">
        <f>(('Fin Stat'!Y27-'I&amp;E Annual'!CA113)+('Fin Stat'!Y28-'I&amp;E Annual'!CA124)+'Fin Stat'!Y42)*Y$9</f>
        <v>0</v>
      </c>
      <c r="AA18" s="10">
        <f t="shared" ref="AA18:BJ18" si="2">SUMIFS($V$18:$Y$18, $V$3:$Y$3, AA$3)</f>
        <v>0</v>
      </c>
      <c r="AB18" s="10">
        <f t="shared" si="2"/>
        <v>0</v>
      </c>
      <c r="AC18" s="10">
        <f t="shared" si="2"/>
        <v>0</v>
      </c>
      <c r="AD18" s="10">
        <f t="shared" si="2"/>
        <v>0</v>
      </c>
      <c r="AE18" s="10">
        <f t="shared" si="2"/>
        <v>0</v>
      </c>
      <c r="AF18" s="10">
        <f t="shared" si="2"/>
        <v>0</v>
      </c>
      <c r="AG18" s="10">
        <f t="shared" si="2"/>
        <v>0</v>
      </c>
      <c r="AH18" s="10">
        <f t="shared" si="2"/>
        <v>0</v>
      </c>
      <c r="AI18" s="10">
        <f t="shared" si="2"/>
        <v>0</v>
      </c>
      <c r="AJ18" s="10">
        <f t="shared" si="2"/>
        <v>0</v>
      </c>
      <c r="AK18" s="10">
        <f t="shared" si="2"/>
        <v>0</v>
      </c>
      <c r="AL18" s="10">
        <f t="shared" si="2"/>
        <v>0</v>
      </c>
      <c r="AM18" s="10">
        <f t="shared" si="2"/>
        <v>0</v>
      </c>
      <c r="AN18" s="10">
        <f t="shared" si="2"/>
        <v>0</v>
      </c>
      <c r="AO18" s="10">
        <f t="shared" si="2"/>
        <v>0</v>
      </c>
      <c r="AP18" s="10">
        <f t="shared" si="2"/>
        <v>0</v>
      </c>
      <c r="AQ18" s="10">
        <f t="shared" si="2"/>
        <v>0</v>
      </c>
      <c r="AR18" s="10">
        <f t="shared" si="2"/>
        <v>0</v>
      </c>
      <c r="AS18" s="10">
        <f t="shared" si="2"/>
        <v>0</v>
      </c>
      <c r="AT18" s="10">
        <f t="shared" si="2"/>
        <v>0</v>
      </c>
      <c r="AU18" s="10">
        <f t="shared" si="2"/>
        <v>0</v>
      </c>
      <c r="AV18" s="10">
        <f t="shared" si="2"/>
        <v>0</v>
      </c>
      <c r="AW18" s="10">
        <f t="shared" si="2"/>
        <v>0</v>
      </c>
      <c r="AX18" s="10">
        <f t="shared" si="2"/>
        <v>0</v>
      </c>
      <c r="AY18" s="10">
        <f t="shared" si="2"/>
        <v>0</v>
      </c>
      <c r="AZ18" s="10">
        <f t="shared" si="2"/>
        <v>0</v>
      </c>
      <c r="BA18" s="10">
        <f t="shared" si="2"/>
        <v>0</v>
      </c>
      <c r="BB18" s="10">
        <f t="shared" si="2"/>
        <v>0</v>
      </c>
      <c r="BC18" s="10">
        <f t="shared" si="2"/>
        <v>0</v>
      </c>
      <c r="BD18" s="10">
        <f t="shared" si="2"/>
        <v>0</v>
      </c>
      <c r="BE18" s="10">
        <f t="shared" si="2"/>
        <v>0</v>
      </c>
      <c r="BF18" s="10">
        <f t="shared" si="2"/>
        <v>0</v>
      </c>
      <c r="BG18" s="10">
        <f t="shared" si="2"/>
        <v>0</v>
      </c>
      <c r="BH18" s="10">
        <f t="shared" si="2"/>
        <v>0</v>
      </c>
      <c r="BI18" s="10">
        <f t="shared" si="2"/>
        <v>0</v>
      </c>
      <c r="BJ18" s="10">
        <f t="shared" si="2"/>
        <v>0</v>
      </c>
      <c r="BX18" s="12">
        <f>(('Fin Stat'!BX27-'I&amp;E Annual'!BX113)+('Fin Stat'!BX28-'I&amp;E Annual'!BX124)+'Fin Stat'!BX42)*BX$9</f>
        <v>0</v>
      </c>
      <c r="BY18" s="12">
        <f>(('Fin Stat'!BY27-'I&amp;E Annual'!BY113)+('Fin Stat'!BY28-'I&amp;E Annual'!BY124)+'Fin Stat'!BY42)*BY$9</f>
        <v>0</v>
      </c>
      <c r="BZ18" s="12">
        <f>(('Fin Stat'!BZ27-'I&amp;E Annual'!BZ113)+('Fin Stat'!BZ28-'I&amp;E Annual'!BZ124)+'Fin Stat'!BZ42)*BZ$9</f>
        <v>0</v>
      </c>
      <c r="CA18" s="12">
        <f>(('Fin Stat'!CA27-'I&amp;E Annual'!CA113)+('Fin Stat'!CA28-'I&amp;E Annual'!CA124)+'Fin Stat'!CA42)*CA$9</f>
        <v>0</v>
      </c>
      <c r="CB18" s="12">
        <f>(('Fin Stat'!CB27-'I&amp;E Annual'!CB113)+('Fin Stat'!CB28-'I&amp;E Annual'!CB124)+'Fin Stat'!CB42)*CB$9</f>
        <v>0</v>
      </c>
      <c r="CC18" s="12">
        <f>(('Fin Stat'!CC27-'I&amp;E Annual'!CC113)+('Fin Stat'!CC28-'I&amp;E Annual'!CC124)+'Fin Stat'!CC42)*CC$9</f>
        <v>0</v>
      </c>
      <c r="CD18" s="12">
        <f>(('Fin Stat'!CD27-'I&amp;E Annual'!CD113)+('Fin Stat'!CD28-'I&amp;E Annual'!CD124)+'Fin Stat'!CD42)*CD$9</f>
        <v>0</v>
      </c>
      <c r="CE18" s="12">
        <f>(('Fin Stat'!CE27-'I&amp;E Annual'!CE113)+('Fin Stat'!CE28-'I&amp;E Annual'!CE124)+'Fin Stat'!CE42)*CE$9</f>
        <v>0</v>
      </c>
      <c r="CF18" s="12">
        <f>(('Fin Stat'!CF27-'I&amp;E Annual'!CF113)+('Fin Stat'!CF28-'I&amp;E Annual'!CF124)+'Fin Stat'!CF42)*CF$9</f>
        <v>0</v>
      </c>
      <c r="CG18" s="12">
        <f>(('Fin Stat'!CG27-'I&amp;E Annual'!CG113)+('Fin Stat'!CG28-'I&amp;E Annual'!CG124)+'Fin Stat'!CG42)*CG$9</f>
        <v>0</v>
      </c>
      <c r="CH18" s="12">
        <f>(('Fin Stat'!CH27-'I&amp;E Annual'!CH113)+('Fin Stat'!CH28-'I&amp;E Annual'!CH124)+'Fin Stat'!CH42)*CH$9</f>
        <v>0</v>
      </c>
      <c r="CI18" s="12">
        <f>(('Fin Stat'!CI27-'I&amp;E Annual'!CI113)+('Fin Stat'!CI28-'I&amp;E Annual'!CI124)+'Fin Stat'!CI42)*CI$9</f>
        <v>0</v>
      </c>
      <c r="CK18" s="312"/>
      <c r="CM18" s="312"/>
      <c r="CN18" s="7">
        <f>IF(SUM($CQ18:$CT18)=0, 0, 1)</f>
        <v>0</v>
      </c>
      <c r="CP18" s="311"/>
      <c r="CQ18" s="215">
        <f t="shared" ref="CQ18:CT20" si="3">ROUND(BX18-V18, rounding)</f>
        <v>0</v>
      </c>
      <c r="CR18" s="215">
        <f t="shared" si="3"/>
        <v>0</v>
      </c>
      <c r="CS18" s="215">
        <f t="shared" si="3"/>
        <v>0</v>
      </c>
      <c r="CT18" s="215">
        <f t="shared" si="3"/>
        <v>0</v>
      </c>
      <c r="EX18" s="10" t="str">
        <f t="shared" si="0"/>
        <v>Expenditure for Adjusted Unrestricted Cash Days</v>
      </c>
    </row>
    <row r="19" spans="1:154" ht="29" x14ac:dyDescent="0.35">
      <c r="A19" s="537" cm="1">
        <f t="array" aca="1" ref="A19" ca="1">HYPERLINK(CONCATENATE("#",CELL("address",IF(MAX($CM19:$CP19)=0,A19,INDEX($CM19:$CP19,MATCH(1,$CM19:$CP19,0))))),MAX($CM19:$CP19))</f>
        <v>0</v>
      </c>
      <c r="B19" s="5"/>
      <c r="C19" s="213" t="s">
        <v>1661</v>
      </c>
      <c r="D19" s="1" t="s">
        <v>1662</v>
      </c>
      <c r="G19" t="s">
        <v>1655</v>
      </c>
      <c r="V19" s="10">
        <f>'BS Forecasts'!V83+'BS Forecasts'!V79</f>
        <v>0</v>
      </c>
      <c r="W19" s="10">
        <f>'BS Forecasts'!W83+'BS Forecasts'!W79</f>
        <v>0</v>
      </c>
      <c r="X19" s="10">
        <f>'BS Forecasts'!X83+'BS Forecasts'!X79</f>
        <v>0</v>
      </c>
      <c r="Y19" s="10">
        <f>'BS Forecasts'!Y83+'BS Forecasts'!Y79</f>
        <v>0</v>
      </c>
      <c r="AA19" s="10">
        <f>'BS Forecasts'!AA83+'BS Forecasts'!AA79</f>
        <v>0</v>
      </c>
      <c r="AB19" s="10">
        <f>'BS Forecasts'!AB83+'BS Forecasts'!AB79</f>
        <v>0</v>
      </c>
      <c r="AC19" s="10">
        <f>'BS Forecasts'!AC83+'BS Forecasts'!AC79</f>
        <v>0</v>
      </c>
      <c r="AD19" s="10">
        <f>'BS Forecasts'!AD83+'BS Forecasts'!AD79</f>
        <v>0</v>
      </c>
      <c r="AE19" s="10">
        <f>'BS Forecasts'!AE83+'BS Forecasts'!AE79</f>
        <v>0</v>
      </c>
      <c r="AF19" s="10">
        <f>'BS Forecasts'!AF83+'BS Forecasts'!AF79</f>
        <v>0</v>
      </c>
      <c r="AG19" s="10">
        <f>'BS Forecasts'!AG83+'BS Forecasts'!AG79</f>
        <v>0</v>
      </c>
      <c r="AH19" s="10">
        <f>'BS Forecasts'!AH83+'BS Forecasts'!AH79</f>
        <v>0</v>
      </c>
      <c r="AI19" s="10">
        <f>'BS Forecasts'!AI83+'BS Forecasts'!AI79</f>
        <v>0</v>
      </c>
      <c r="AJ19" s="10">
        <f>'BS Forecasts'!AJ83+'BS Forecasts'!AJ79</f>
        <v>0</v>
      </c>
      <c r="AK19" s="10">
        <f>'BS Forecasts'!AK83+'BS Forecasts'!AK79</f>
        <v>0</v>
      </c>
      <c r="AL19" s="10">
        <f>'BS Forecasts'!AL83+'BS Forecasts'!AL79</f>
        <v>0</v>
      </c>
      <c r="AM19" s="10">
        <f>'BS Forecasts'!AM83+'BS Forecasts'!AM79</f>
        <v>0</v>
      </c>
      <c r="AN19" s="10">
        <f>'BS Forecasts'!AN83+'BS Forecasts'!AN79</f>
        <v>0</v>
      </c>
      <c r="AO19" s="10">
        <f>'BS Forecasts'!AO83+'BS Forecasts'!AO79</f>
        <v>0</v>
      </c>
      <c r="AP19" s="10">
        <f>'BS Forecasts'!AP83+'BS Forecasts'!AP79</f>
        <v>0</v>
      </c>
      <c r="AQ19" s="10">
        <f>'BS Forecasts'!AQ83+'BS Forecasts'!AQ79</f>
        <v>0</v>
      </c>
      <c r="AR19" s="10">
        <f>'BS Forecasts'!AR83+'BS Forecasts'!AR79</f>
        <v>0</v>
      </c>
      <c r="AS19" s="10">
        <f>'BS Forecasts'!AS83+'BS Forecasts'!AS79</f>
        <v>0</v>
      </c>
      <c r="AT19" s="10">
        <f>'BS Forecasts'!AT83+'BS Forecasts'!AT79</f>
        <v>0</v>
      </c>
      <c r="AU19" s="10">
        <f>'BS Forecasts'!AU83+'BS Forecasts'!AU79</f>
        <v>0</v>
      </c>
      <c r="AV19" s="10">
        <f>'BS Forecasts'!AV83+'BS Forecasts'!AV79</f>
        <v>0</v>
      </c>
      <c r="AW19" s="10">
        <f>'BS Forecasts'!AW83+'BS Forecasts'!AW79</f>
        <v>0</v>
      </c>
      <c r="AX19" s="10">
        <f>'BS Forecasts'!AX83+'BS Forecasts'!AX79</f>
        <v>0</v>
      </c>
      <c r="AY19" s="10">
        <f>'BS Forecasts'!AY83+'BS Forecasts'!AY79</f>
        <v>0</v>
      </c>
      <c r="AZ19" s="10">
        <f>'BS Forecasts'!AZ83+'BS Forecasts'!AZ79</f>
        <v>0</v>
      </c>
      <c r="BA19" s="10">
        <f>'BS Forecasts'!BA83+'BS Forecasts'!BA79</f>
        <v>0</v>
      </c>
      <c r="BB19" s="10">
        <f>'BS Forecasts'!BB83+'BS Forecasts'!BB79</f>
        <v>0</v>
      </c>
      <c r="BC19" s="10">
        <f>'BS Forecasts'!BC83+'BS Forecasts'!BC79</f>
        <v>0</v>
      </c>
      <c r="BD19" s="10">
        <f>'BS Forecasts'!BD83+'BS Forecasts'!BD79</f>
        <v>0</v>
      </c>
      <c r="BE19" s="10">
        <f>'BS Forecasts'!BE83+'BS Forecasts'!BE79</f>
        <v>0</v>
      </c>
      <c r="BF19" s="10">
        <f>'BS Forecasts'!BF83+'BS Forecasts'!BF79</f>
        <v>0</v>
      </c>
      <c r="BG19" s="10">
        <f>'BS Forecasts'!BG83+'BS Forecasts'!BG79</f>
        <v>0</v>
      </c>
      <c r="BH19" s="10">
        <f>'BS Forecasts'!BH83+'BS Forecasts'!BH79</f>
        <v>0</v>
      </c>
      <c r="BI19" s="10">
        <f>'BS Forecasts'!BI83+'BS Forecasts'!BI79</f>
        <v>0</v>
      </c>
      <c r="BJ19" s="10">
        <f>'BS Forecasts'!BJ83+'BS Forecasts'!BJ79</f>
        <v>0</v>
      </c>
      <c r="BX19" s="10">
        <f>'BS Forecasts'!BX83+'BS Forecasts'!BX79</f>
        <v>0</v>
      </c>
      <c r="BY19" s="10">
        <f>'BS Forecasts'!BY83+'BS Forecasts'!BY79</f>
        <v>0</v>
      </c>
      <c r="BZ19" s="10">
        <f>'BS Forecasts'!BZ83+'BS Forecasts'!BZ79</f>
        <v>0</v>
      </c>
      <c r="CA19" s="10">
        <f>'BS Forecasts'!CA83+'BS Forecasts'!CA79</f>
        <v>0</v>
      </c>
      <c r="CB19" s="10">
        <f>'BS Forecasts'!CB83+'BS Forecasts'!CB79</f>
        <v>0</v>
      </c>
      <c r="CC19" s="10">
        <f>'BS Forecasts'!CC83+'BS Forecasts'!CC79</f>
        <v>0</v>
      </c>
      <c r="CD19" s="10">
        <f>'BS Forecasts'!CD83+'BS Forecasts'!CD79</f>
        <v>0</v>
      </c>
      <c r="CE19" s="10">
        <f>'BS Forecasts'!CE83+'BS Forecasts'!CE79</f>
        <v>0</v>
      </c>
      <c r="CF19" s="10">
        <f>'BS Forecasts'!CF83+'BS Forecasts'!CF79</f>
        <v>0</v>
      </c>
      <c r="CG19" s="10">
        <f>'BS Forecasts'!CG83+'BS Forecasts'!CG79</f>
        <v>0</v>
      </c>
      <c r="CH19" s="10">
        <f>'BS Forecasts'!CH83+'BS Forecasts'!CH79</f>
        <v>0</v>
      </c>
      <c r="CI19" s="10">
        <f>'BS Forecasts'!CI83+'BS Forecasts'!CI79</f>
        <v>0</v>
      </c>
      <c r="CK19" s="312"/>
      <c r="CM19" s="312"/>
      <c r="CN19" s="7">
        <f>IF(SUM($CQ19:$CT19)=0, 0, 1)</f>
        <v>0</v>
      </c>
      <c r="CO19" s="7">
        <f>IF(SUM($CU19:$CW19)=0, 0, 1)</f>
        <v>0</v>
      </c>
      <c r="CP19" s="311"/>
      <c r="CQ19" s="215">
        <f t="shared" si="3"/>
        <v>0</v>
      </c>
      <c r="CR19" s="215">
        <f t="shared" si="3"/>
        <v>0</v>
      </c>
      <c r="CS19" s="215">
        <f t="shared" si="3"/>
        <v>0</v>
      </c>
      <c r="CT19" s="215">
        <f t="shared" si="3"/>
        <v>0</v>
      </c>
      <c r="CU19" s="215">
        <f t="shared" ref="CU19:CW20" si="4">ROUND(INDEX($AA19:$BJ19, MATCH(W$5,$AA$5:$BJ$5,0))-W19, rounding)</f>
        <v>0</v>
      </c>
      <c r="CV19" s="215">
        <f t="shared" si="4"/>
        <v>0</v>
      </c>
      <c r="CW19" s="215">
        <f t="shared" si="4"/>
        <v>0</v>
      </c>
      <c r="EX19" s="10" t="str">
        <f t="shared" si="0"/>
        <v>Unrestricted cash and cash equivalents and short-term investments</v>
      </c>
    </row>
    <row r="20" spans="1:154" x14ac:dyDescent="0.35">
      <c r="A20" s="537" cm="1">
        <f t="array" aca="1" ref="A20" ca="1">HYPERLINK(CONCATENATE("#",CELL("address",IF(MAX($CM20:$CP20)=0,A20,INDEX($CM20:$CP20,MATCH(1,$CM20:$CP20,0))))),MAX($CM20:$CP20))</f>
        <v>0</v>
      </c>
      <c r="B20" s="126" t="s">
        <v>122</v>
      </c>
      <c r="C20" s="213" t="s">
        <v>1663</v>
      </c>
      <c r="D20" s="1" t="s">
        <v>1664</v>
      </c>
      <c r="G20" t="s">
        <v>1665</v>
      </c>
      <c r="H20" s="644" t="s">
        <v>1666</v>
      </c>
      <c r="J20" s="120"/>
      <c r="S20" s="120"/>
      <c r="V20" s="10">
        <f>IF(OR(V19&lt;0, V18=0), 0, V19/V18 )*Parameters!$E$29</f>
        <v>0</v>
      </c>
      <c r="W20" s="10">
        <f>IF(OR(W19&lt;0, W18=0), 0, W19/W18 )*Parameters!$E$29</f>
        <v>0</v>
      </c>
      <c r="X20" s="10">
        <f>IF(OR(X19&lt;0, X18=0), 0, X19/X18 )*Parameters!$E$29</f>
        <v>0</v>
      </c>
      <c r="Y20" s="10">
        <f>IF(OR(Y19&lt;0, Y18=0), 0, Y19/Y18 )*Parameters!$E$29</f>
        <v>0</v>
      </c>
      <c r="AA20" s="10">
        <f>IF(OR(AA19&lt;0, AA18=0), 0, AA19/AA18 )*Parameters!$E$29</f>
        <v>0</v>
      </c>
      <c r="AB20" s="10">
        <f>IF(OR(AB19&lt;0, AB18=0), 0, AB19/AB18 )*Parameters!$E$29</f>
        <v>0</v>
      </c>
      <c r="AC20" s="10">
        <f>IF(OR(AC19&lt;0, AC18=0), 0, AC19/AC18 )*Parameters!$E$29</f>
        <v>0</v>
      </c>
      <c r="AD20" s="10">
        <f>IF(OR(AD19&lt;0, AD18=0), 0, AD19/AD18 )*Parameters!$E$29</f>
        <v>0</v>
      </c>
      <c r="AE20" s="10">
        <f>IF(OR(AE19&lt;0, AE18=0), 0, AE19/AE18 )*Parameters!$E$29</f>
        <v>0</v>
      </c>
      <c r="AF20" s="10">
        <f>IF(OR(AF19&lt;0, AF18=0), 0, AF19/AF18 )*Parameters!$E$29</f>
        <v>0</v>
      </c>
      <c r="AG20" s="10">
        <f>IF(OR(AG19&lt;0, AG18=0), 0, AG19/AG18 )*Parameters!$E$29</f>
        <v>0</v>
      </c>
      <c r="AH20" s="10">
        <f>IF(OR(AH19&lt;0, AH18=0), 0, AH19/AH18 )*Parameters!$E$29</f>
        <v>0</v>
      </c>
      <c r="AI20" s="10">
        <f>IF(OR(AI19&lt;0, AI18=0), 0, AI19/AI18 )*Parameters!$E$29</f>
        <v>0</v>
      </c>
      <c r="AJ20" s="10">
        <f>IF(OR(AJ19&lt;0, AJ18=0), 0, AJ19/AJ18 )*Parameters!$E$29</f>
        <v>0</v>
      </c>
      <c r="AK20" s="10">
        <f>IF(OR(AK19&lt;0, AK18=0), 0, AK19/AK18 )*Parameters!$E$29</f>
        <v>0</v>
      </c>
      <c r="AL20" s="10">
        <f>IF(OR(AL19&lt;0, AL18=0), 0, AL19/AL18 )*Parameters!$E$29</f>
        <v>0</v>
      </c>
      <c r="AM20" s="10">
        <f>IF(OR(AM19&lt;0, AM18=0), 0, AM19/AM18 )*Parameters!$E$29</f>
        <v>0</v>
      </c>
      <c r="AN20" s="10">
        <f>IF(OR(AN19&lt;0, AN18=0), 0, AN19/AN18 )*Parameters!$E$29</f>
        <v>0</v>
      </c>
      <c r="AO20" s="10">
        <f>IF(OR(AO19&lt;0, AO18=0), 0, AO19/AO18 )*Parameters!$E$29</f>
        <v>0</v>
      </c>
      <c r="AP20" s="10">
        <f>IF(OR(AP19&lt;0, AP18=0), 0, AP19/AP18 )*Parameters!$E$29</f>
        <v>0</v>
      </c>
      <c r="AQ20" s="10">
        <f>IF(OR(AQ19&lt;0, AQ18=0), 0, AQ19/AQ18 )*Parameters!$E$29</f>
        <v>0</v>
      </c>
      <c r="AR20" s="10">
        <f>IF(OR(AR19&lt;0, AR18=0), 0, AR19/AR18 )*Parameters!$E$29</f>
        <v>0</v>
      </c>
      <c r="AS20" s="10">
        <f>IF(OR(AS19&lt;0, AS18=0), 0, AS19/AS18 )*Parameters!$E$29</f>
        <v>0</v>
      </c>
      <c r="AT20" s="10">
        <f>IF(OR(AT19&lt;0, AT18=0), 0, AT19/AT18 )*Parameters!$E$29</f>
        <v>0</v>
      </c>
      <c r="AU20" s="10">
        <f>IF(OR(AU19&lt;0, AU18=0), 0, AU19/AU18 )*Parameters!$E$29</f>
        <v>0</v>
      </c>
      <c r="AV20" s="10">
        <f>IF(OR(AV19&lt;0, AV18=0), 0, AV19/AV18 )*Parameters!$E$29</f>
        <v>0</v>
      </c>
      <c r="AW20" s="10">
        <f>IF(OR(AW19&lt;0, AW18=0), 0, AW19/AW18 )*Parameters!$E$29</f>
        <v>0</v>
      </c>
      <c r="AX20" s="10">
        <f>IF(OR(AX19&lt;0, AX18=0), 0, AX19/AX18 )*Parameters!$E$29</f>
        <v>0</v>
      </c>
      <c r="AY20" s="10">
        <f>IF(OR(AY19&lt;0, AY18=0), 0, AY19/AY18 )*Parameters!$E$29</f>
        <v>0</v>
      </c>
      <c r="AZ20" s="10">
        <f>IF(OR(AZ19&lt;0, AZ18=0), 0, AZ19/AZ18 )*Parameters!$E$29</f>
        <v>0</v>
      </c>
      <c r="BA20" s="10">
        <f>IF(OR(BA19&lt;0, BA18=0), 0, BA19/BA18 )*Parameters!$E$29</f>
        <v>0</v>
      </c>
      <c r="BB20" s="10">
        <f>IF(OR(BB19&lt;0, BB18=0), 0, BB19/BB18 )*Parameters!$E$29</f>
        <v>0</v>
      </c>
      <c r="BC20" s="10">
        <f>IF(OR(BC19&lt;0, BC18=0), 0, BC19/BC18 )*Parameters!$E$29</f>
        <v>0</v>
      </c>
      <c r="BD20" s="10">
        <f>IF(OR(BD19&lt;0, BD18=0), 0, BD19/BD18 )*Parameters!$E$29</f>
        <v>0</v>
      </c>
      <c r="BE20" s="10">
        <f>IF(OR(BE19&lt;0, BE18=0), 0, BE19/BE18 )*Parameters!$E$29</f>
        <v>0</v>
      </c>
      <c r="BF20" s="10">
        <f>IF(OR(BF19&lt;0, BF18=0), 0, BF19/BF18 )*Parameters!$E$29</f>
        <v>0</v>
      </c>
      <c r="BG20" s="10">
        <f>IF(OR(BG19&lt;0, BG18=0), 0, BG19/BG18 )*Parameters!$E$29</f>
        <v>0</v>
      </c>
      <c r="BH20" s="10">
        <f>IF(OR(BH19&lt;0, BH18=0), 0, BH19/BH18 )*Parameters!$E$29</f>
        <v>0</v>
      </c>
      <c r="BI20" s="10">
        <f>IF(OR(BI19&lt;0, BI18=0), 0, BI19/BI18 )*Parameters!$E$29</f>
        <v>0</v>
      </c>
      <c r="BJ20" s="10">
        <f>IF(OR(BJ19&lt;0, BJ18=0), 0, BJ19/BJ18 )*Parameters!$E$29</f>
        <v>0</v>
      </c>
      <c r="BW20" s="120"/>
      <c r="BX20" s="10">
        <f>IF(OR(BX19&lt;0, BX18=0), 0, BX19/BX18 )*Parameters!$E$29</f>
        <v>0</v>
      </c>
      <c r="BY20" s="10">
        <f>IF(OR(BY19&lt;0, BY18=0), 0, BY19/BY18 )*Parameters!$E$29</f>
        <v>0</v>
      </c>
      <c r="BZ20" s="10">
        <f>IF(OR(BZ19&lt;0, BZ18=0), 0, BZ19/BZ18 )*Parameters!$E$29</f>
        <v>0</v>
      </c>
      <c r="CA20" s="10">
        <f>IF(OR(CA19&lt;0, CA18=0), 0, CA19/CA18 )*Parameters!$E$29</f>
        <v>0</v>
      </c>
      <c r="CB20" s="10">
        <f>IF(OR(CB19&lt;0, CB18=0), 0, CB19/CB18 )*Parameters!$E$29</f>
        <v>0</v>
      </c>
      <c r="CC20" s="10">
        <f>IF(OR(CC19&lt;0, CC18=0), 0, CC19/CC18 )*Parameters!$E$29</f>
        <v>0</v>
      </c>
      <c r="CD20" s="10">
        <f>IF(OR(CD19&lt;0, CD18=0), 0, CD19/CD18 )*Parameters!$E$29</f>
        <v>0</v>
      </c>
      <c r="CE20" s="10">
        <f>IF(OR(CE19&lt;0, CE18=0), 0, CE19/CE18 )*Parameters!$E$29</f>
        <v>0</v>
      </c>
      <c r="CF20" s="10">
        <f>IF(OR(CF19&lt;0, CF18=0), 0, CF19/CF18 )*Parameters!$E$29</f>
        <v>0</v>
      </c>
      <c r="CG20" s="10">
        <f>IF(OR(CG19&lt;0, CG18=0), 0, CG19/CG18 )*Parameters!$E$29</f>
        <v>0</v>
      </c>
      <c r="CH20" s="10">
        <f>IF(OR(CH19&lt;0, CH18=0), 0, CH19/CH18 )*Parameters!$E$29</f>
        <v>0</v>
      </c>
      <c r="CI20" s="10">
        <f>IF(OR(CI19&lt;0, CI18=0), 0, CI19/CI18 )*Parameters!$E$29</f>
        <v>0</v>
      </c>
      <c r="CK20" s="312"/>
      <c r="CL20" s="241">
        <f>IF(MIN($V20:$CI20)&lt;0, 1, 0)</f>
        <v>0</v>
      </c>
      <c r="CM20" s="312"/>
      <c r="CN20" s="7">
        <f>IF(SUM($CQ20:$CT20)=0, 0, 1)</f>
        <v>0</v>
      </c>
      <c r="CO20" s="7">
        <f>IF(SUM($CU20:$CW20)=0, 0, 1)</f>
        <v>0</v>
      </c>
      <c r="CP20" s="311"/>
      <c r="CQ20" s="215">
        <f t="shared" si="3"/>
        <v>0</v>
      </c>
      <c r="CR20" s="215">
        <f t="shared" si="3"/>
        <v>0</v>
      </c>
      <c r="CS20" s="215">
        <f t="shared" si="3"/>
        <v>0</v>
      </c>
      <c r="CT20" s="215">
        <f t="shared" si="3"/>
        <v>0</v>
      </c>
      <c r="CU20" s="215">
        <f t="shared" si="4"/>
        <v>0</v>
      </c>
      <c r="CV20" s="215">
        <f t="shared" si="4"/>
        <v>0</v>
      </c>
      <c r="CW20" s="215">
        <f t="shared" si="4"/>
        <v>0</v>
      </c>
      <c r="EX20" s="10" t="str">
        <f t="shared" si="0"/>
        <v>Adjusted unrestricted cash days in hand</v>
      </c>
    </row>
    <row r="21" spans="1:154" ht="8.25" customHeight="1" x14ac:dyDescent="0.35">
      <c r="C21" s="211"/>
      <c r="E21"/>
      <c r="CK21" s="311"/>
      <c r="CM21" s="311"/>
      <c r="CP21" s="311"/>
      <c r="EX21" s="10" t="str">
        <f t="shared" si="0"/>
        <v/>
      </c>
    </row>
    <row r="22" spans="1:154" x14ac:dyDescent="0.35">
      <c r="A22" s="537" cm="1">
        <f t="array" aca="1" ref="A22" ca="1">HYPERLINK(CONCATENATE("#",CELL("address",IF(MAX($CM22:$CP22)=0,A22,INDEX($CM22:$CP22,MATCH(1,$CM22:$CP22,0))))),MAX($CM22:$CP22))</f>
        <v>0</v>
      </c>
      <c r="B22" s="85" t="s">
        <v>122</v>
      </c>
      <c r="C22" s="213" t="s">
        <v>1667</v>
      </c>
      <c r="D22" s="1" t="s">
        <v>1668</v>
      </c>
      <c r="G22" t="s">
        <v>1041</v>
      </c>
      <c r="J22" s="120"/>
      <c r="V22" s="240">
        <f>IF('Fin Stat'!V110=0, 0, 'Fin Stat'!V88/'Fin Stat'!V110)</f>
        <v>0</v>
      </c>
      <c r="W22" s="240">
        <f>IF('Fin Stat'!W110=0, 0, 'Fin Stat'!W88/'Fin Stat'!W110)</f>
        <v>0</v>
      </c>
      <c r="X22" s="240">
        <f>IF('Fin Stat'!X110=0, 0, 'Fin Stat'!X88/'Fin Stat'!X110)</f>
        <v>0</v>
      </c>
      <c r="Y22" s="240">
        <f>IF('Fin Stat'!Y110=0, 0, 'Fin Stat'!Y88/'Fin Stat'!Y110)</f>
        <v>0</v>
      </c>
      <c r="AA22" s="240">
        <f>IF('Fin Stat'!AA110=0, 0, 'Fin Stat'!AA88/'Fin Stat'!AA110)</f>
        <v>0</v>
      </c>
      <c r="AB22" s="240">
        <f>IF('Fin Stat'!AB110=0, 0, 'Fin Stat'!AB88/'Fin Stat'!AB110)</f>
        <v>0</v>
      </c>
      <c r="AC22" s="240">
        <f>IF('Fin Stat'!AC110=0, 0, 'Fin Stat'!AC88/'Fin Stat'!AC110)</f>
        <v>0</v>
      </c>
      <c r="AD22" s="240">
        <f>IF('Fin Stat'!AD110=0, 0, 'Fin Stat'!AD88/'Fin Stat'!AD110)</f>
        <v>0</v>
      </c>
      <c r="AE22" s="240">
        <f>IF('Fin Stat'!AE110=0, 0, 'Fin Stat'!AE88/'Fin Stat'!AE110)</f>
        <v>0</v>
      </c>
      <c r="AF22" s="240">
        <f>IF('Fin Stat'!AF110=0, 0, 'Fin Stat'!AF88/'Fin Stat'!AF110)</f>
        <v>0</v>
      </c>
      <c r="AG22" s="240">
        <f>IF('Fin Stat'!AG110=0, 0, 'Fin Stat'!AG88/'Fin Stat'!AG110)</f>
        <v>0</v>
      </c>
      <c r="AH22" s="240">
        <f>IF('Fin Stat'!AH110=0, 0, 'Fin Stat'!AH88/'Fin Stat'!AH110)</f>
        <v>0</v>
      </c>
      <c r="AI22" s="240">
        <f>IF('Fin Stat'!AI110=0, 0, 'Fin Stat'!AI88/'Fin Stat'!AI110)</f>
        <v>0</v>
      </c>
      <c r="AJ22" s="240">
        <f>IF('Fin Stat'!AJ110=0, 0, 'Fin Stat'!AJ88/'Fin Stat'!AJ110)</f>
        <v>0</v>
      </c>
      <c r="AK22" s="240">
        <f>IF('Fin Stat'!AK110=0, 0, 'Fin Stat'!AK88/'Fin Stat'!AK110)</f>
        <v>0</v>
      </c>
      <c r="AL22" s="240">
        <f>IF('Fin Stat'!AL110=0, 0, 'Fin Stat'!AL88/'Fin Stat'!AL110)</f>
        <v>0</v>
      </c>
      <c r="AM22" s="240">
        <f>IF('Fin Stat'!AM110=0, 0, 'Fin Stat'!AM88/'Fin Stat'!AM110)</f>
        <v>0</v>
      </c>
      <c r="AN22" s="240">
        <f>IF('Fin Stat'!AN110=0, 0, 'Fin Stat'!AN88/'Fin Stat'!AN110)</f>
        <v>0</v>
      </c>
      <c r="AO22" s="240">
        <f>IF('Fin Stat'!AO110=0, 0, 'Fin Stat'!AO88/'Fin Stat'!AO110)</f>
        <v>0</v>
      </c>
      <c r="AP22" s="240">
        <f>IF('Fin Stat'!AP110=0, 0, 'Fin Stat'!AP88/'Fin Stat'!AP110)</f>
        <v>0</v>
      </c>
      <c r="AQ22" s="240">
        <f>IF('Fin Stat'!AQ110=0, 0, 'Fin Stat'!AQ88/'Fin Stat'!AQ110)</f>
        <v>0</v>
      </c>
      <c r="AR22" s="240">
        <f>IF('Fin Stat'!AR110=0, 0, 'Fin Stat'!AR88/'Fin Stat'!AR110)</f>
        <v>0</v>
      </c>
      <c r="AS22" s="240">
        <f>IF('Fin Stat'!AS110=0, 0, 'Fin Stat'!AS88/'Fin Stat'!AS110)</f>
        <v>0</v>
      </c>
      <c r="AT22" s="240">
        <f>IF('Fin Stat'!AT110=0, 0, 'Fin Stat'!AT88/'Fin Stat'!AT110)</f>
        <v>0</v>
      </c>
      <c r="AU22" s="240">
        <f>IF('Fin Stat'!AU110=0, 0, 'Fin Stat'!AU88/'Fin Stat'!AU110)</f>
        <v>0</v>
      </c>
      <c r="AV22" s="240">
        <f>IF('Fin Stat'!AV110=0, 0, 'Fin Stat'!AV88/'Fin Stat'!AV110)</f>
        <v>0</v>
      </c>
      <c r="AW22" s="240">
        <f>IF('Fin Stat'!AW110=0, 0, 'Fin Stat'!AW88/'Fin Stat'!AW110)</f>
        <v>0</v>
      </c>
      <c r="AX22" s="240">
        <f>IF('Fin Stat'!AX110=0, 0, 'Fin Stat'!AX88/'Fin Stat'!AX110)</f>
        <v>0</v>
      </c>
      <c r="AY22" s="240">
        <f>IF('Fin Stat'!AY110=0, 0, 'Fin Stat'!AY88/'Fin Stat'!AY110)</f>
        <v>0</v>
      </c>
      <c r="AZ22" s="240">
        <f>IF('Fin Stat'!AZ110=0, 0, 'Fin Stat'!AZ88/'Fin Stat'!AZ110)</f>
        <v>0</v>
      </c>
      <c r="BA22" s="240">
        <f>IF('Fin Stat'!BA110=0, 0, 'Fin Stat'!BA88/'Fin Stat'!BA110)</f>
        <v>0</v>
      </c>
      <c r="BB22" s="240">
        <f>IF('Fin Stat'!BB110=0, 0, 'Fin Stat'!BB88/'Fin Stat'!BB110)</f>
        <v>0</v>
      </c>
      <c r="BC22" s="240">
        <f>IF('Fin Stat'!BC110=0, 0, 'Fin Stat'!BC88/'Fin Stat'!BC110)</f>
        <v>0</v>
      </c>
      <c r="BD22" s="240">
        <f>IF('Fin Stat'!BD110=0, 0, 'Fin Stat'!BD88/'Fin Stat'!BD110)</f>
        <v>0</v>
      </c>
      <c r="BE22" s="240">
        <f>IF('Fin Stat'!BE110=0, 0, 'Fin Stat'!BE88/'Fin Stat'!BE110)</f>
        <v>0</v>
      </c>
      <c r="BF22" s="240">
        <f>IF('Fin Stat'!BF110=0, 0, 'Fin Stat'!BF88/'Fin Stat'!BF110)</f>
        <v>0</v>
      </c>
      <c r="BG22" s="240">
        <f>IF('Fin Stat'!BG110=0, 0, 'Fin Stat'!BG88/'Fin Stat'!BG110)</f>
        <v>0</v>
      </c>
      <c r="BH22" s="240">
        <f>IF('Fin Stat'!BH110=0, 0, 'Fin Stat'!BH88/'Fin Stat'!BH110)</f>
        <v>0</v>
      </c>
      <c r="BI22" s="240">
        <f>IF('Fin Stat'!BI110=0, 0, 'Fin Stat'!BI88/'Fin Stat'!BI110)</f>
        <v>0</v>
      </c>
      <c r="BJ22" s="240">
        <f>IF('Fin Stat'!BJ110=0, 0, 'Fin Stat'!BJ88/'Fin Stat'!BJ110)</f>
        <v>0</v>
      </c>
      <c r="BW22" s="120"/>
      <c r="BX22" s="240">
        <f>IF('Fin Stat'!BX110=0, 0, 'Fin Stat'!BX88/'Fin Stat'!BX110)</f>
        <v>0</v>
      </c>
      <c r="BY22" s="240">
        <f>IF('Fin Stat'!BY110=0, 0, 'Fin Stat'!BY88/'Fin Stat'!BY110)</f>
        <v>0</v>
      </c>
      <c r="BZ22" s="240">
        <f>IF('Fin Stat'!BZ110=0, 0, 'Fin Stat'!BZ88/'Fin Stat'!BZ110)</f>
        <v>0</v>
      </c>
      <c r="CA22" s="240">
        <f>IF('Fin Stat'!CA110=0, 0, 'Fin Stat'!CA88/'Fin Stat'!CA110)</f>
        <v>0</v>
      </c>
      <c r="CB22" s="240">
        <f>IF('Fin Stat'!CB110=0, 0, 'Fin Stat'!CB88/'Fin Stat'!CB110)</f>
        <v>0</v>
      </c>
      <c r="CC22" s="240">
        <f>IF('Fin Stat'!CC110=0, 0, 'Fin Stat'!CC88/'Fin Stat'!CC110)</f>
        <v>0</v>
      </c>
      <c r="CD22" s="240">
        <f>IF('Fin Stat'!CD110=0, 0, 'Fin Stat'!CD88/'Fin Stat'!CD110)</f>
        <v>0</v>
      </c>
      <c r="CE22" s="240">
        <f>IF('Fin Stat'!CE110=0, 0, 'Fin Stat'!CE88/'Fin Stat'!CE110)</f>
        <v>0</v>
      </c>
      <c r="CF22" s="240">
        <f>IF('Fin Stat'!CF110=0, 0, 'Fin Stat'!CF88/'Fin Stat'!CF110)</f>
        <v>0</v>
      </c>
      <c r="CG22" s="240">
        <f>IF('Fin Stat'!CG110=0, 0, 'Fin Stat'!CG88/'Fin Stat'!CG110)</f>
        <v>0</v>
      </c>
      <c r="CH22" s="240">
        <f>IF('Fin Stat'!CH110=0, 0, 'Fin Stat'!CH88/'Fin Stat'!CH110)</f>
        <v>0</v>
      </c>
      <c r="CI22" s="240">
        <f>IF('Fin Stat'!CI110=0, 0, 'Fin Stat'!CI88/'Fin Stat'!CI110)</f>
        <v>0</v>
      </c>
      <c r="CK22" s="312"/>
      <c r="CM22" s="312"/>
      <c r="CN22" s="7">
        <f t="shared" ref="CN22:CN28" si="5">IF(SUM($CQ22:$CT22)=0, 0, 1)</f>
        <v>0</v>
      </c>
      <c r="CP22" s="311"/>
      <c r="CQ22" s="215">
        <f t="shared" ref="CQ22:CT28" si="6">ROUND(BX22-V22, rounding)</f>
        <v>0</v>
      </c>
      <c r="CR22" s="215">
        <f t="shared" si="6"/>
        <v>0</v>
      </c>
      <c r="CS22" s="215">
        <f t="shared" si="6"/>
        <v>0</v>
      </c>
      <c r="CT22" s="215">
        <f t="shared" si="6"/>
        <v>0</v>
      </c>
      <c r="EX22" s="10" t="str">
        <f t="shared" si="0"/>
        <v>Current ratio</v>
      </c>
    </row>
    <row r="23" spans="1:154" x14ac:dyDescent="0.35">
      <c r="A23" s="537" cm="1">
        <f t="array" aca="1" ref="A23" ca="1">HYPERLINK(CONCATENATE("#",CELL("address",IF(MAX($CM23:$CP23)=0,A23,INDEX($CM23:$CP23,MATCH(1,$CM23:$CP23,0))))),MAX($CM23:$CP23))</f>
        <v>0</v>
      </c>
      <c r="B23" s="85" t="s">
        <v>122</v>
      </c>
      <c r="C23" s="213" t="s">
        <v>1669</v>
      </c>
      <c r="D23" s="547" t="s">
        <v>1670</v>
      </c>
      <c r="G23" t="s">
        <v>1041</v>
      </c>
      <c r="H23" s="644" t="s">
        <v>1671</v>
      </c>
      <c r="J23" s="120"/>
      <c r="V23" s="240">
        <f>IFERROR(('Fin Stat'!V88-'Fin Stat'!V86-'Fin Stat'!V77)/('Fin Stat'!V110- 'Fin Stat'!V106-'Fin Stat'!V96-'Fin Stat'!V97 ), 0)*V$9</f>
        <v>0</v>
      </c>
      <c r="W23" s="240">
        <f>IFERROR(('Fin Stat'!W88-'Fin Stat'!W86-'Fin Stat'!W77)/('Fin Stat'!W110- 'Fin Stat'!W106-'Fin Stat'!W96-'Fin Stat'!W97 ), 0)*W$9</f>
        <v>0</v>
      </c>
      <c r="X23" s="240">
        <f>IFERROR(('Fin Stat'!X88-'Fin Stat'!X86-'Fin Stat'!X77)/('Fin Stat'!X110- 'Fin Stat'!X106-'Fin Stat'!X96-'Fin Stat'!X97 ), 0)*X$9</f>
        <v>0</v>
      </c>
      <c r="Y23" s="240">
        <f>IFERROR(('Fin Stat'!Y88-'Fin Stat'!Y86-'Fin Stat'!Y77)/('Fin Stat'!Y110- 'Fin Stat'!Y106-'Fin Stat'!Y96-'Fin Stat'!Y97 ), 0)*Y$9</f>
        <v>0</v>
      </c>
      <c r="AA23" s="240">
        <f>IFERROR(('Fin Stat'!AA88-'Fin Stat'!AA86-'Fin Stat'!AA77)/('Fin Stat'!AA110- 'Fin Stat'!AA106-'Fin Stat'!AA96-'Fin Stat'!AA97 ), 0)*AA$9</f>
        <v>0</v>
      </c>
      <c r="AB23" s="240">
        <f>IFERROR(('Fin Stat'!AB88-'Fin Stat'!AB86-'Fin Stat'!AB77)/('Fin Stat'!AB110- 'Fin Stat'!AB106-'Fin Stat'!AB96-'Fin Stat'!AB97 ), 0)*AB$9</f>
        <v>0</v>
      </c>
      <c r="AC23" s="240">
        <f>IFERROR(('Fin Stat'!AC88-'Fin Stat'!AC86-'Fin Stat'!AC77)/('Fin Stat'!AC110- 'Fin Stat'!AC106-'Fin Stat'!AC96-'Fin Stat'!AC97 ), 0)*AC$9</f>
        <v>0</v>
      </c>
      <c r="AD23" s="240">
        <f>IFERROR(('Fin Stat'!AD88-'Fin Stat'!AD86-'Fin Stat'!AD77)/('Fin Stat'!AD110- 'Fin Stat'!AD106-'Fin Stat'!AD96-'Fin Stat'!AD97 ), 0)*AD$9</f>
        <v>0</v>
      </c>
      <c r="AE23" s="240">
        <f>IFERROR(('Fin Stat'!AE88-'Fin Stat'!AE86-'Fin Stat'!AE77)/('Fin Stat'!AE110- 'Fin Stat'!AE106-'Fin Stat'!AE96-'Fin Stat'!AE97 ), 0)*AE$9</f>
        <v>0</v>
      </c>
      <c r="AF23" s="240">
        <f>IFERROR(('Fin Stat'!AF88-'Fin Stat'!AF86-'Fin Stat'!AF77)/('Fin Stat'!AF110- 'Fin Stat'!AF106-'Fin Stat'!AF96-'Fin Stat'!AF97 ), 0)*AF$9</f>
        <v>0</v>
      </c>
      <c r="AG23" s="240">
        <f>IFERROR(('Fin Stat'!AG88-'Fin Stat'!AG86-'Fin Stat'!AG77)/('Fin Stat'!AG110- 'Fin Stat'!AG106-'Fin Stat'!AG96-'Fin Stat'!AG97 ), 0)*AG$9</f>
        <v>0</v>
      </c>
      <c r="AH23" s="240">
        <f>IFERROR(('Fin Stat'!AH88-'Fin Stat'!AH86-'Fin Stat'!AH77)/('Fin Stat'!AH110- 'Fin Stat'!AH106-'Fin Stat'!AH96-'Fin Stat'!AH97 ), 0)*AH$9</f>
        <v>0</v>
      </c>
      <c r="AI23" s="240">
        <f>IFERROR(('Fin Stat'!AI88-'Fin Stat'!AI86-'Fin Stat'!AI77)/('Fin Stat'!AI110- 'Fin Stat'!AI106-'Fin Stat'!AI96-'Fin Stat'!AI97 ), 0)*AI$9</f>
        <v>0</v>
      </c>
      <c r="AJ23" s="240">
        <f>IFERROR(('Fin Stat'!AJ88-'Fin Stat'!AJ86-'Fin Stat'!AJ77)/('Fin Stat'!AJ110- 'Fin Stat'!AJ106-'Fin Stat'!AJ96-'Fin Stat'!AJ97 ), 0)*AJ$9</f>
        <v>0</v>
      </c>
      <c r="AK23" s="240">
        <f>IFERROR(('Fin Stat'!AK88-'Fin Stat'!AK86-'Fin Stat'!AK77)/('Fin Stat'!AK110- 'Fin Stat'!AK106-'Fin Stat'!AK96-'Fin Stat'!AK97 ), 0)*AK$9</f>
        <v>0</v>
      </c>
      <c r="AL23" s="240">
        <f>IFERROR(('Fin Stat'!AL88-'Fin Stat'!AL86-'Fin Stat'!AL77)/('Fin Stat'!AL110- 'Fin Stat'!AL106-'Fin Stat'!AL96-'Fin Stat'!AL97 ), 0)*AL$9</f>
        <v>0</v>
      </c>
      <c r="AM23" s="240">
        <f>IFERROR(('Fin Stat'!AM88-'Fin Stat'!AM86-'Fin Stat'!AM77)/('Fin Stat'!AM110- 'Fin Stat'!AM106-'Fin Stat'!AM96-'Fin Stat'!AM97 ), 0)*AM$9</f>
        <v>0</v>
      </c>
      <c r="AN23" s="240">
        <f>IFERROR(('Fin Stat'!AN88-'Fin Stat'!AN86-'Fin Stat'!AN77)/('Fin Stat'!AN110- 'Fin Stat'!AN106-'Fin Stat'!AN96-'Fin Stat'!AN97 ), 0)*AN$9</f>
        <v>0</v>
      </c>
      <c r="AO23" s="240">
        <f>IFERROR(('Fin Stat'!AO88-'Fin Stat'!AO86-'Fin Stat'!AO77)/('Fin Stat'!AO110- 'Fin Stat'!AO106-'Fin Stat'!AO96-'Fin Stat'!AO97 ), 0)*AO$9</f>
        <v>0</v>
      </c>
      <c r="AP23" s="240">
        <f>IFERROR(('Fin Stat'!AP88-'Fin Stat'!AP86-'Fin Stat'!AP77)/('Fin Stat'!AP110- 'Fin Stat'!AP106-'Fin Stat'!AP96-'Fin Stat'!AP97 ), 0)*AP$9</f>
        <v>0</v>
      </c>
      <c r="AQ23" s="240">
        <f>IFERROR(('Fin Stat'!AQ88-'Fin Stat'!AQ86-'Fin Stat'!AQ77)/('Fin Stat'!AQ110- 'Fin Stat'!AQ106-'Fin Stat'!AQ96-'Fin Stat'!AQ97 ), 0)*AQ$9</f>
        <v>0</v>
      </c>
      <c r="AR23" s="240">
        <f>IFERROR(('Fin Stat'!AR88-'Fin Stat'!AR86-'Fin Stat'!AR77)/('Fin Stat'!AR110- 'Fin Stat'!AR106-'Fin Stat'!AR96-'Fin Stat'!AR97 ), 0)*AR$9</f>
        <v>0</v>
      </c>
      <c r="AS23" s="240">
        <f>IFERROR(('Fin Stat'!AS88-'Fin Stat'!AS86-'Fin Stat'!AS77)/('Fin Stat'!AS110- 'Fin Stat'!AS106-'Fin Stat'!AS96-'Fin Stat'!AS97 ), 0)*AS$9</f>
        <v>0</v>
      </c>
      <c r="AT23" s="240">
        <f>IFERROR(('Fin Stat'!AT88-'Fin Stat'!AT86-'Fin Stat'!AT77)/('Fin Stat'!AT110- 'Fin Stat'!AT106-'Fin Stat'!AT96-'Fin Stat'!AT97 ), 0)*AT$9</f>
        <v>0</v>
      </c>
      <c r="AU23" s="240">
        <f>IFERROR(('Fin Stat'!AU88-'Fin Stat'!AU86-'Fin Stat'!AU77)/('Fin Stat'!AU110- 'Fin Stat'!AU106-'Fin Stat'!AU96-'Fin Stat'!AU97 ), 0)*AU$9</f>
        <v>0</v>
      </c>
      <c r="AV23" s="240">
        <f>IFERROR(('Fin Stat'!AV88-'Fin Stat'!AV86-'Fin Stat'!AV77)/('Fin Stat'!AV110- 'Fin Stat'!AV106-'Fin Stat'!AV96-'Fin Stat'!AV97 ), 0)*AV$9</f>
        <v>0</v>
      </c>
      <c r="AW23" s="240">
        <f>IFERROR(('Fin Stat'!AW88-'Fin Stat'!AW86-'Fin Stat'!AW77)/('Fin Stat'!AW110- 'Fin Stat'!AW106-'Fin Stat'!AW96-'Fin Stat'!AW97 ), 0)*AW$9</f>
        <v>0</v>
      </c>
      <c r="AX23" s="240">
        <f>IFERROR(('Fin Stat'!AX88-'Fin Stat'!AX86-'Fin Stat'!AX77)/('Fin Stat'!AX110- 'Fin Stat'!AX106-'Fin Stat'!AX96-'Fin Stat'!AX97 ), 0)*AX$9</f>
        <v>0</v>
      </c>
      <c r="AY23" s="240">
        <f>IFERROR(('Fin Stat'!AY88-'Fin Stat'!AY86-'Fin Stat'!AY77)/('Fin Stat'!AY110- 'Fin Stat'!AY106-'Fin Stat'!AY96-'Fin Stat'!AY97 ), 0)*AY$9</f>
        <v>0</v>
      </c>
      <c r="AZ23" s="240">
        <f>IFERROR(('Fin Stat'!AZ88-'Fin Stat'!AZ86-'Fin Stat'!AZ77)/('Fin Stat'!AZ110- 'Fin Stat'!AZ106-'Fin Stat'!AZ96-'Fin Stat'!AZ97 ), 0)*AZ$9</f>
        <v>0</v>
      </c>
      <c r="BA23" s="240">
        <f>IFERROR(('Fin Stat'!BA88-'Fin Stat'!BA86-'Fin Stat'!BA77)/('Fin Stat'!BA110- 'Fin Stat'!BA106-'Fin Stat'!BA96-'Fin Stat'!BA97 ), 0)*BA$9</f>
        <v>0</v>
      </c>
      <c r="BB23" s="240">
        <f>IFERROR(('Fin Stat'!BB88-'Fin Stat'!BB86-'Fin Stat'!BB77)/('Fin Stat'!BB110- 'Fin Stat'!BB106-'Fin Stat'!BB96-'Fin Stat'!BB97 ), 0)*BB$9</f>
        <v>0</v>
      </c>
      <c r="BC23" s="240">
        <f>IFERROR(('Fin Stat'!BC88-'Fin Stat'!BC86-'Fin Stat'!BC77)/('Fin Stat'!BC110- 'Fin Stat'!BC106-'Fin Stat'!BC96-'Fin Stat'!BC97 ), 0)*BC$9</f>
        <v>0</v>
      </c>
      <c r="BD23" s="240">
        <f>IFERROR(('Fin Stat'!BD88-'Fin Stat'!BD86-'Fin Stat'!BD77)/('Fin Stat'!BD110- 'Fin Stat'!BD106-'Fin Stat'!BD96-'Fin Stat'!BD97 ), 0)*BD$9</f>
        <v>0</v>
      </c>
      <c r="BE23" s="240">
        <f>IFERROR(('Fin Stat'!BE88-'Fin Stat'!BE86-'Fin Stat'!BE77)/('Fin Stat'!BE110- 'Fin Stat'!BE106-'Fin Stat'!BE96-'Fin Stat'!BE97 ), 0)*BE$9</f>
        <v>0</v>
      </c>
      <c r="BF23" s="240">
        <f>IFERROR(('Fin Stat'!BF88-'Fin Stat'!BF86-'Fin Stat'!BF77)/('Fin Stat'!BF110- 'Fin Stat'!BF106-'Fin Stat'!BF96-'Fin Stat'!BF97 ), 0)*BF$9</f>
        <v>0</v>
      </c>
      <c r="BG23" s="240">
        <f>IFERROR(('Fin Stat'!BG88-'Fin Stat'!BG86-'Fin Stat'!BG77)/('Fin Stat'!BG110- 'Fin Stat'!BG106-'Fin Stat'!BG96-'Fin Stat'!BG97 ), 0)*BG$9</f>
        <v>0</v>
      </c>
      <c r="BH23" s="240">
        <f>IFERROR(('Fin Stat'!BH88-'Fin Stat'!BH86-'Fin Stat'!BH77)/('Fin Stat'!BH110- 'Fin Stat'!BH106-'Fin Stat'!BH96-'Fin Stat'!BH97 ), 0)*BH$9</f>
        <v>0</v>
      </c>
      <c r="BI23" s="240">
        <f>IFERROR(('Fin Stat'!BI88-'Fin Stat'!BI86-'Fin Stat'!BI77)/('Fin Stat'!BI110- 'Fin Stat'!BI106-'Fin Stat'!BI96-'Fin Stat'!BI97 ), 0)*BI$9</f>
        <v>0</v>
      </c>
      <c r="BJ23" s="240">
        <f>IFERROR(('Fin Stat'!BJ88-'Fin Stat'!BJ86-'Fin Stat'!BJ77)/('Fin Stat'!BJ110- 'Fin Stat'!BJ106-'Fin Stat'!BJ96-'Fin Stat'!BJ97 ), 0)*BJ$9</f>
        <v>0</v>
      </c>
      <c r="BX23" s="240">
        <f>IFERROR(('Fin Stat'!BX88-'Fin Stat'!BX86-'Fin Stat'!BX77)/('Fin Stat'!BX110- 'Fin Stat'!BX106-'Fin Stat'!BX96-'Fin Stat'!BX97 ), 0)*BX$9</f>
        <v>0</v>
      </c>
      <c r="BY23" s="240">
        <f>IFERROR(('Fin Stat'!BY88-'Fin Stat'!BY86-'Fin Stat'!BY77)/('Fin Stat'!BY110- 'Fin Stat'!BY106-'Fin Stat'!BY96-'Fin Stat'!BY97 ), 0)*BY$9</f>
        <v>0</v>
      </c>
      <c r="BZ23" s="240">
        <f>IFERROR(('Fin Stat'!BZ88-'Fin Stat'!BZ86-'Fin Stat'!BZ77)/('Fin Stat'!BZ110- 'Fin Stat'!BZ106-'Fin Stat'!BZ96-'Fin Stat'!BZ97 ), 0)*BZ$9</f>
        <v>0</v>
      </c>
      <c r="CA23" s="240">
        <f>IFERROR(('Fin Stat'!CA88-'Fin Stat'!CA86-'Fin Stat'!CA77)/('Fin Stat'!CA110- 'Fin Stat'!CA106-'Fin Stat'!CA96-'Fin Stat'!CA97 ), 0)*CA$9</f>
        <v>0</v>
      </c>
      <c r="CB23" s="240">
        <f>IFERROR(('Fin Stat'!CB88-'Fin Stat'!CB86-'Fin Stat'!CB77)/('Fin Stat'!CB110- 'Fin Stat'!CB106-'Fin Stat'!CB96-'Fin Stat'!CB97 ), 0)*CB$9</f>
        <v>0</v>
      </c>
      <c r="CC23" s="240">
        <f>IFERROR(('Fin Stat'!CC88-'Fin Stat'!CC86-'Fin Stat'!CC77)/('Fin Stat'!CC110- 'Fin Stat'!CC106-'Fin Stat'!CC96-'Fin Stat'!CC97 ), 0)*CC$9</f>
        <v>0</v>
      </c>
      <c r="CD23" s="240">
        <f>IFERROR(('Fin Stat'!CD88-'Fin Stat'!CD86-'Fin Stat'!CD77)/('Fin Stat'!CD110- 'Fin Stat'!CD106-'Fin Stat'!CD96-'Fin Stat'!CD97 ), 0)*CD$9</f>
        <v>0</v>
      </c>
      <c r="CE23" s="240">
        <f>IFERROR(('Fin Stat'!CE88-'Fin Stat'!CE86-'Fin Stat'!CE77)/('Fin Stat'!CE110- 'Fin Stat'!CE106-'Fin Stat'!CE96-'Fin Stat'!CE97 ), 0)*CE$9</f>
        <v>0</v>
      </c>
      <c r="CF23" s="240">
        <f>IFERROR(('Fin Stat'!CF88-'Fin Stat'!CF86-'Fin Stat'!CF77)/('Fin Stat'!CF110- 'Fin Stat'!CF106-'Fin Stat'!CF96-'Fin Stat'!CF97 ), 0)*CF$9</f>
        <v>0</v>
      </c>
      <c r="CG23" s="240">
        <f>IFERROR(('Fin Stat'!CG88-'Fin Stat'!CG86-'Fin Stat'!CG77)/('Fin Stat'!CG110- 'Fin Stat'!CG106-'Fin Stat'!CG96-'Fin Stat'!CG97 ), 0)*CG$9</f>
        <v>0</v>
      </c>
      <c r="CH23" s="240">
        <f>IFERROR(('Fin Stat'!CH88-'Fin Stat'!CH86-'Fin Stat'!CH77)/('Fin Stat'!CH110- 'Fin Stat'!CH106-'Fin Stat'!CH96-'Fin Stat'!CH97 ), 0)*CH$9</f>
        <v>0</v>
      </c>
      <c r="CI23" s="240">
        <f>IFERROR(('Fin Stat'!CI88-'Fin Stat'!CI86-'Fin Stat'!CI77)/('Fin Stat'!CI110- 'Fin Stat'!CI106-'Fin Stat'!CI96-'Fin Stat'!CI97 ), 0)*CI$9</f>
        <v>0</v>
      </c>
      <c r="CK23" s="312"/>
      <c r="CM23" s="312"/>
      <c r="CN23" s="7">
        <f t="shared" si="5"/>
        <v>0</v>
      </c>
      <c r="CP23" s="311"/>
      <c r="CQ23" s="215">
        <f t="shared" si="6"/>
        <v>0</v>
      </c>
      <c r="CR23" s="215">
        <f t="shared" si="6"/>
        <v>0</v>
      </c>
      <c r="CS23" s="215">
        <f t="shared" si="6"/>
        <v>0</v>
      </c>
      <c r="CT23" s="215">
        <f t="shared" si="6"/>
        <v>0</v>
      </c>
      <c r="EX23" s="10" t="str">
        <f t="shared" si="0"/>
        <v>Adjusted current ratio</v>
      </c>
    </row>
    <row r="24" spans="1:154" x14ac:dyDescent="0.35">
      <c r="A24" s="537" cm="1">
        <f t="array" aca="1" ref="A24" ca="1">HYPERLINK(CONCATENATE("#",CELL("address",IF(MAX($CM24:$CP24)=0,A24,INDEX($CM24:$CP24,MATCH(1,$CM24:$CP24,0))))),MAX($CM24:$CP24))</f>
        <v>0</v>
      </c>
      <c r="B24" s="85" t="s">
        <v>122</v>
      </c>
      <c r="C24" s="213" t="s">
        <v>1672</v>
      </c>
      <c r="D24" s="547" t="s">
        <v>1673</v>
      </c>
      <c r="G24" t="s">
        <v>1655</v>
      </c>
      <c r="J24" s="120"/>
      <c r="V24" s="12">
        <f>BX24</f>
        <v>0</v>
      </c>
      <c r="W24" s="12">
        <f>BY24</f>
        <v>0</v>
      </c>
      <c r="X24" s="12">
        <f>BZ24</f>
        <v>0</v>
      </c>
      <c r="Y24" s="12">
        <f>CA24</f>
        <v>0</v>
      </c>
      <c r="AA24" s="10">
        <f>SUM('I&amp;E Annual'!AA$36, 'I&amp;E Annual'!AA$42, 'I&amp;E Annual'!AA$45, 'I&amp;E Annual'!AA$51, 'I&amp;E Annual'!AA59, 'I&amp;E Annual'!AA$64:AA$69, 'I&amp;E Annual'!AA$71:AA$73, 'I&amp;E Annual'!AA$77:AA$84, 'I&amp;E Annual'!AA$88)</f>
        <v>0</v>
      </c>
      <c r="AB24" s="10">
        <f>SUM('I&amp;E Annual'!AB$36, 'I&amp;E Annual'!AB$42, 'I&amp;E Annual'!AB$45, 'I&amp;E Annual'!AB$51, 'I&amp;E Annual'!AB59, 'I&amp;E Annual'!AB$64:AB$69, 'I&amp;E Annual'!AB$71:AB$73, 'I&amp;E Annual'!AB$77:AB$84, 'I&amp;E Annual'!AB$88)</f>
        <v>0</v>
      </c>
      <c r="AC24" s="10">
        <f>SUM('I&amp;E Annual'!AC$36, 'I&amp;E Annual'!AC$42, 'I&amp;E Annual'!AC$45, 'I&amp;E Annual'!AC$51, 'I&amp;E Annual'!AC59, 'I&amp;E Annual'!AC$64:AC$69, 'I&amp;E Annual'!AC$71:AC$73, 'I&amp;E Annual'!AC$77:AC$84, 'I&amp;E Annual'!AC$88)</f>
        <v>0</v>
      </c>
      <c r="AD24" s="10">
        <f>SUM('I&amp;E Annual'!AD$36, 'I&amp;E Annual'!AD$42, 'I&amp;E Annual'!AD$45, 'I&amp;E Annual'!AD$51, 'I&amp;E Annual'!AD59, 'I&amp;E Annual'!AD$64:AD$69, 'I&amp;E Annual'!AD$71:AD$73, 'I&amp;E Annual'!AD$77:AD$84, 'I&amp;E Annual'!AD$88)</f>
        <v>0</v>
      </c>
      <c r="AE24" s="10">
        <f>SUM('I&amp;E Annual'!AE$36, 'I&amp;E Annual'!AE$42, 'I&amp;E Annual'!AE$45, 'I&amp;E Annual'!AE$51, 'I&amp;E Annual'!AE59, 'I&amp;E Annual'!AE$64:AE$69, 'I&amp;E Annual'!AE$71:AE$73, 'I&amp;E Annual'!AE$77:AE$84, 'I&amp;E Annual'!AE$88)</f>
        <v>0</v>
      </c>
      <c r="AF24" s="10">
        <f>SUM('I&amp;E Annual'!AF$36, 'I&amp;E Annual'!AF$42, 'I&amp;E Annual'!AF$45, 'I&amp;E Annual'!AF$51, 'I&amp;E Annual'!AF59, 'I&amp;E Annual'!AF$64:AF$69, 'I&amp;E Annual'!AF$71:AF$73, 'I&amp;E Annual'!AF$77:AF$84, 'I&amp;E Annual'!AF$88)</f>
        <v>0</v>
      </c>
      <c r="AG24" s="10">
        <f>SUM('I&amp;E Annual'!AG$36, 'I&amp;E Annual'!AG$42, 'I&amp;E Annual'!AG$45, 'I&amp;E Annual'!AG$51, 'I&amp;E Annual'!AG59, 'I&amp;E Annual'!AG$64:AG$69, 'I&amp;E Annual'!AG$71:AG$73, 'I&amp;E Annual'!AG$77:AG$84, 'I&amp;E Annual'!AG$88)</f>
        <v>0</v>
      </c>
      <c r="AH24" s="10">
        <f>SUM('I&amp;E Annual'!AH$36, 'I&amp;E Annual'!AH$42, 'I&amp;E Annual'!AH$45, 'I&amp;E Annual'!AH$51, 'I&amp;E Annual'!AH59, 'I&amp;E Annual'!AH$64:AH$69, 'I&amp;E Annual'!AH$71:AH$73, 'I&amp;E Annual'!AH$77:AH$84, 'I&amp;E Annual'!AH$88)</f>
        <v>0</v>
      </c>
      <c r="AI24" s="10">
        <f>SUM('I&amp;E Annual'!AI$36, 'I&amp;E Annual'!AI$42, 'I&amp;E Annual'!AI$45, 'I&amp;E Annual'!AI$51, 'I&amp;E Annual'!AI59, 'I&amp;E Annual'!AI$64:AI$69, 'I&amp;E Annual'!AI$71:AI$73, 'I&amp;E Annual'!AI$77:AI$84, 'I&amp;E Annual'!AI$88)</f>
        <v>0</v>
      </c>
      <c r="AJ24" s="10">
        <f>SUM('I&amp;E Annual'!AJ$36, 'I&amp;E Annual'!AJ$42, 'I&amp;E Annual'!AJ$45, 'I&amp;E Annual'!AJ$51, 'I&amp;E Annual'!AJ59, 'I&amp;E Annual'!AJ$64:AJ$69, 'I&amp;E Annual'!AJ$71:AJ$73, 'I&amp;E Annual'!AJ$77:AJ$84, 'I&amp;E Annual'!AJ$88)</f>
        <v>0</v>
      </c>
      <c r="AK24" s="10">
        <f>SUM('I&amp;E Annual'!AK$36, 'I&amp;E Annual'!AK$42, 'I&amp;E Annual'!AK$45, 'I&amp;E Annual'!AK$51, 'I&amp;E Annual'!AK59, 'I&amp;E Annual'!AK$64:AK$69, 'I&amp;E Annual'!AK$71:AK$73, 'I&amp;E Annual'!AK$77:AK$84, 'I&amp;E Annual'!AK$88)</f>
        <v>0</v>
      </c>
      <c r="AL24" s="10">
        <f>SUM('I&amp;E Annual'!AL$36, 'I&amp;E Annual'!AL$42, 'I&amp;E Annual'!AL$45, 'I&amp;E Annual'!AL$51, 'I&amp;E Annual'!AL59, 'I&amp;E Annual'!AL$64:AL$69, 'I&amp;E Annual'!AL$71:AL$73, 'I&amp;E Annual'!AL$77:AL$84, 'I&amp;E Annual'!AL$88)</f>
        <v>0</v>
      </c>
      <c r="AM24" s="10">
        <f>SUM('I&amp;E Annual'!AM$36, 'I&amp;E Annual'!AM$42, 'I&amp;E Annual'!AM$45, 'I&amp;E Annual'!AM$51, 'I&amp;E Annual'!AM59, 'I&amp;E Annual'!AM$64:AM$69, 'I&amp;E Annual'!AM$71:AM$73, 'I&amp;E Annual'!AM$77:AM$84, 'I&amp;E Annual'!AM$88)</f>
        <v>0</v>
      </c>
      <c r="AN24" s="10">
        <f>SUM('I&amp;E Annual'!AN$36, 'I&amp;E Annual'!AN$42, 'I&amp;E Annual'!AN$45, 'I&amp;E Annual'!AN$51, 'I&amp;E Annual'!AN59, 'I&amp;E Annual'!AN$64:AN$69, 'I&amp;E Annual'!AN$71:AN$73, 'I&amp;E Annual'!AN$77:AN$84, 'I&amp;E Annual'!AN$88)</f>
        <v>0</v>
      </c>
      <c r="AO24" s="10">
        <f>SUM('I&amp;E Annual'!AO$36, 'I&amp;E Annual'!AO$42, 'I&amp;E Annual'!AO$45, 'I&amp;E Annual'!AO$51, 'I&amp;E Annual'!AO59, 'I&amp;E Annual'!AO$64:AO$69, 'I&amp;E Annual'!AO$71:AO$73, 'I&amp;E Annual'!AO$77:AO$84, 'I&amp;E Annual'!AO$88)</f>
        <v>0</v>
      </c>
      <c r="AP24" s="10">
        <f>SUM('I&amp;E Annual'!AP$36, 'I&amp;E Annual'!AP$42, 'I&amp;E Annual'!AP$45, 'I&amp;E Annual'!AP$51, 'I&amp;E Annual'!AP59, 'I&amp;E Annual'!AP$64:AP$69, 'I&amp;E Annual'!AP$71:AP$73, 'I&amp;E Annual'!AP$77:AP$84, 'I&amp;E Annual'!AP$88)</f>
        <v>0</v>
      </c>
      <c r="AQ24" s="10">
        <f>SUM('I&amp;E Annual'!AQ$36, 'I&amp;E Annual'!AQ$42, 'I&amp;E Annual'!AQ$45, 'I&amp;E Annual'!AQ$51, 'I&amp;E Annual'!AQ59, 'I&amp;E Annual'!AQ$64:AQ$69, 'I&amp;E Annual'!AQ$71:AQ$73, 'I&amp;E Annual'!AQ$77:AQ$84, 'I&amp;E Annual'!AQ$88)</f>
        <v>0</v>
      </c>
      <c r="AR24" s="10">
        <f>SUM('I&amp;E Annual'!AR$36, 'I&amp;E Annual'!AR$42, 'I&amp;E Annual'!AR$45, 'I&amp;E Annual'!AR$51, 'I&amp;E Annual'!AR59, 'I&amp;E Annual'!AR$64:AR$69, 'I&amp;E Annual'!AR$71:AR$73, 'I&amp;E Annual'!AR$77:AR$84, 'I&amp;E Annual'!AR$88)</f>
        <v>0</v>
      </c>
      <c r="AS24" s="10">
        <f>SUM('I&amp;E Annual'!AS$36, 'I&amp;E Annual'!AS$42, 'I&amp;E Annual'!AS$45, 'I&amp;E Annual'!AS$51, 'I&amp;E Annual'!AS59, 'I&amp;E Annual'!AS$64:AS$69, 'I&amp;E Annual'!AS$71:AS$73, 'I&amp;E Annual'!AS$77:AS$84, 'I&amp;E Annual'!AS$88)</f>
        <v>0</v>
      </c>
      <c r="AT24" s="10">
        <f>SUM('I&amp;E Annual'!AT$36, 'I&amp;E Annual'!AT$42, 'I&amp;E Annual'!AT$45, 'I&amp;E Annual'!AT$51, 'I&amp;E Annual'!AT59, 'I&amp;E Annual'!AT$64:AT$69, 'I&amp;E Annual'!AT$71:AT$73, 'I&amp;E Annual'!AT$77:AT$84, 'I&amp;E Annual'!AT$88)</f>
        <v>0</v>
      </c>
      <c r="AU24" s="10">
        <f>SUM('I&amp;E Annual'!AU$36, 'I&amp;E Annual'!AU$42, 'I&amp;E Annual'!AU$45, 'I&amp;E Annual'!AU$51, 'I&amp;E Annual'!AU59, 'I&amp;E Annual'!AU$64:AU$69, 'I&amp;E Annual'!AU$71:AU$73, 'I&amp;E Annual'!AU$77:AU$84, 'I&amp;E Annual'!AU$88)</f>
        <v>0</v>
      </c>
      <c r="AV24" s="10">
        <f>SUM('I&amp;E Annual'!AV$36, 'I&amp;E Annual'!AV$42, 'I&amp;E Annual'!AV$45, 'I&amp;E Annual'!AV$51, 'I&amp;E Annual'!AV59, 'I&amp;E Annual'!AV$64:AV$69, 'I&amp;E Annual'!AV$71:AV$73, 'I&amp;E Annual'!AV$77:AV$84, 'I&amp;E Annual'!AV$88)</f>
        <v>0</v>
      </c>
      <c r="AW24" s="10">
        <f>SUM('I&amp;E Annual'!AW$36, 'I&amp;E Annual'!AW$42, 'I&amp;E Annual'!AW$45, 'I&amp;E Annual'!AW$51, 'I&amp;E Annual'!AW59, 'I&amp;E Annual'!AW$64:AW$69, 'I&amp;E Annual'!AW$71:AW$73, 'I&amp;E Annual'!AW$77:AW$84, 'I&amp;E Annual'!AW$88)</f>
        <v>0</v>
      </c>
      <c r="AX24" s="10">
        <f>SUM('I&amp;E Annual'!AX$36, 'I&amp;E Annual'!AX$42, 'I&amp;E Annual'!AX$45, 'I&amp;E Annual'!AX$51, 'I&amp;E Annual'!AX59, 'I&amp;E Annual'!AX$64:AX$69, 'I&amp;E Annual'!AX$71:AX$73, 'I&amp;E Annual'!AX$77:AX$84, 'I&amp;E Annual'!AX$88)</f>
        <v>0</v>
      </c>
      <c r="AY24" s="10">
        <f>SUM('I&amp;E Annual'!AY$36, 'I&amp;E Annual'!AY$42, 'I&amp;E Annual'!AY$45, 'I&amp;E Annual'!AY$51, 'I&amp;E Annual'!AY59, 'I&amp;E Annual'!AY$64:AY$69, 'I&amp;E Annual'!AY$71:AY$73, 'I&amp;E Annual'!AY$77:AY$84, 'I&amp;E Annual'!AY$88)</f>
        <v>0</v>
      </c>
      <c r="AZ24" s="10">
        <f>SUM('I&amp;E Annual'!AZ$36, 'I&amp;E Annual'!AZ$42, 'I&amp;E Annual'!AZ$45, 'I&amp;E Annual'!AZ$51, 'I&amp;E Annual'!AZ59, 'I&amp;E Annual'!AZ$64:AZ$69, 'I&amp;E Annual'!AZ$71:AZ$73, 'I&amp;E Annual'!AZ$77:AZ$84, 'I&amp;E Annual'!AZ$88)</f>
        <v>0</v>
      </c>
      <c r="BA24" s="10">
        <f>SUM('I&amp;E Annual'!BA$36, 'I&amp;E Annual'!BA$42, 'I&amp;E Annual'!BA$45, 'I&amp;E Annual'!BA$51, 'I&amp;E Annual'!BA59, 'I&amp;E Annual'!BA$64:BA$69, 'I&amp;E Annual'!BA$71:BA$73, 'I&amp;E Annual'!BA$77:BA$84, 'I&amp;E Annual'!BA$88)</f>
        <v>0</v>
      </c>
      <c r="BB24" s="10">
        <f>SUM('I&amp;E Annual'!BB$36, 'I&amp;E Annual'!BB$42, 'I&amp;E Annual'!BB$45, 'I&amp;E Annual'!BB$51, 'I&amp;E Annual'!BB59, 'I&amp;E Annual'!BB$64:BB$69, 'I&amp;E Annual'!BB$71:BB$73, 'I&amp;E Annual'!BB$77:BB$84, 'I&amp;E Annual'!BB$88)</f>
        <v>0</v>
      </c>
      <c r="BC24" s="10">
        <f>SUM('I&amp;E Annual'!BC$36, 'I&amp;E Annual'!BC$42, 'I&amp;E Annual'!BC$45, 'I&amp;E Annual'!BC$51, 'I&amp;E Annual'!BC59, 'I&amp;E Annual'!BC$64:BC$69, 'I&amp;E Annual'!BC$71:BC$73, 'I&amp;E Annual'!BC$77:BC$84, 'I&amp;E Annual'!BC$88)</f>
        <v>0</v>
      </c>
      <c r="BD24" s="10">
        <f>SUM('I&amp;E Annual'!BD$36, 'I&amp;E Annual'!BD$42, 'I&amp;E Annual'!BD$45, 'I&amp;E Annual'!BD$51, 'I&amp;E Annual'!BD59, 'I&amp;E Annual'!BD$64:BD$69, 'I&amp;E Annual'!BD$71:BD$73, 'I&amp;E Annual'!BD$77:BD$84, 'I&amp;E Annual'!BD$88)</f>
        <v>0</v>
      </c>
      <c r="BE24" s="10">
        <f>SUM('I&amp;E Annual'!BE$36, 'I&amp;E Annual'!BE$42, 'I&amp;E Annual'!BE$45, 'I&amp;E Annual'!BE$51, 'I&amp;E Annual'!BE59, 'I&amp;E Annual'!BE$64:BE$69, 'I&amp;E Annual'!BE$71:BE$73, 'I&amp;E Annual'!BE$77:BE$84, 'I&amp;E Annual'!BE$88)</f>
        <v>0</v>
      </c>
      <c r="BF24" s="10">
        <f>SUM('I&amp;E Annual'!BF$36, 'I&amp;E Annual'!BF$42, 'I&amp;E Annual'!BF$45, 'I&amp;E Annual'!BF$51, 'I&amp;E Annual'!BF59, 'I&amp;E Annual'!BF$64:BF$69, 'I&amp;E Annual'!BF$71:BF$73, 'I&amp;E Annual'!BF$77:BF$84, 'I&amp;E Annual'!BF$88)</f>
        <v>0</v>
      </c>
      <c r="BG24" s="10">
        <f>SUM('I&amp;E Annual'!BG$36, 'I&amp;E Annual'!BG$42, 'I&amp;E Annual'!BG$45, 'I&amp;E Annual'!BG$51, 'I&amp;E Annual'!BG59, 'I&amp;E Annual'!BG$64:BG$69, 'I&amp;E Annual'!BG$71:BG$73, 'I&amp;E Annual'!BG$77:BG$84, 'I&amp;E Annual'!BG$88)</f>
        <v>0</v>
      </c>
      <c r="BH24" s="10">
        <f>SUM('I&amp;E Annual'!BH$36, 'I&amp;E Annual'!BH$42, 'I&amp;E Annual'!BH$45, 'I&amp;E Annual'!BH$51, 'I&amp;E Annual'!BH59, 'I&amp;E Annual'!BH$64:BH$69, 'I&amp;E Annual'!BH$71:BH$73, 'I&amp;E Annual'!BH$77:BH$84, 'I&amp;E Annual'!BH$88)</f>
        <v>0</v>
      </c>
      <c r="BI24" s="10">
        <f>SUM('I&amp;E Annual'!BI$36, 'I&amp;E Annual'!BI$42, 'I&amp;E Annual'!BI$45, 'I&amp;E Annual'!BI$51, 'I&amp;E Annual'!BI59, 'I&amp;E Annual'!BI$64:BI$69, 'I&amp;E Annual'!BI$71:BI$73, 'I&amp;E Annual'!BI$77:BI$84, 'I&amp;E Annual'!BI$88)</f>
        <v>0</v>
      </c>
      <c r="BJ24" s="10">
        <f>SUM('I&amp;E Annual'!BJ$36, 'I&amp;E Annual'!BJ$42, 'I&amp;E Annual'!BJ$45, 'I&amp;E Annual'!BJ$51, 'I&amp;E Annual'!BJ59, 'I&amp;E Annual'!BJ$64:BJ$69, 'I&amp;E Annual'!BJ$71:BJ$73, 'I&amp;E Annual'!BJ$77:BJ$84, 'I&amp;E Annual'!BJ$88)</f>
        <v>0</v>
      </c>
      <c r="BX24" s="10">
        <f>SUM('I&amp;E Annual'!BX$36, 'I&amp;E Annual'!BX$42, 'I&amp;E Annual'!BX$45, 'I&amp;E Annual'!BX$51, 'I&amp;E Annual'!BX59, 'I&amp;E Annual'!BX$64:BX$69, 'I&amp;E Annual'!BX$71:BX$73, 'I&amp;E Annual'!BX$77:BX$84, 'I&amp;E Annual'!BX$88)</f>
        <v>0</v>
      </c>
      <c r="BY24" s="10">
        <f>SUM('I&amp;E Annual'!BY$36, 'I&amp;E Annual'!BY$42, 'I&amp;E Annual'!BY$45, 'I&amp;E Annual'!BY$51, 'I&amp;E Annual'!BY59, 'I&amp;E Annual'!BY$64:BY$69, 'I&amp;E Annual'!BY$71:BY$73, 'I&amp;E Annual'!BY$77:BY$84, 'I&amp;E Annual'!BY$88)</f>
        <v>0</v>
      </c>
      <c r="BZ24" s="10">
        <f>SUM('I&amp;E Annual'!BZ$36, 'I&amp;E Annual'!BZ$42, 'I&amp;E Annual'!BZ$45, 'I&amp;E Annual'!BZ$51, 'I&amp;E Annual'!BZ59, 'I&amp;E Annual'!BZ$64:BZ$69, 'I&amp;E Annual'!BZ$71:BZ$73, 'I&amp;E Annual'!BZ$77:BZ$84, 'I&amp;E Annual'!BZ$88)</f>
        <v>0</v>
      </c>
      <c r="CA24" s="10">
        <f>SUM('I&amp;E Annual'!CA$36, 'I&amp;E Annual'!CA$42, 'I&amp;E Annual'!CA$45, 'I&amp;E Annual'!CA$51, 'I&amp;E Annual'!CA59, 'I&amp;E Annual'!CA$64:CA$69, 'I&amp;E Annual'!CA$71:CA$73, 'I&amp;E Annual'!CA$77:CA$84, 'I&amp;E Annual'!CA$88)</f>
        <v>0</v>
      </c>
      <c r="CB24" s="10">
        <f>SUM('I&amp;E Annual'!CB$36, 'I&amp;E Annual'!CB$42, 'I&amp;E Annual'!CB$45, 'I&amp;E Annual'!CB$51, 'I&amp;E Annual'!CB59, 'I&amp;E Annual'!CB$64:CB$69, 'I&amp;E Annual'!CB$71:CB$73, 'I&amp;E Annual'!CB$77:CB$84, 'I&amp;E Annual'!CB$88)</f>
        <v>0</v>
      </c>
      <c r="CC24" s="10">
        <f>SUM('I&amp;E Annual'!CC$36, 'I&amp;E Annual'!CC$42, 'I&amp;E Annual'!CC$45, 'I&amp;E Annual'!CC$51, 'I&amp;E Annual'!CC59, 'I&amp;E Annual'!CC$64:CC$69, 'I&amp;E Annual'!CC$71:CC$73, 'I&amp;E Annual'!CC$77:CC$84, 'I&amp;E Annual'!CC$88)</f>
        <v>0</v>
      </c>
      <c r="CD24" s="10">
        <f>SUM('I&amp;E Annual'!CD$36, 'I&amp;E Annual'!CD$42, 'I&amp;E Annual'!CD$45, 'I&amp;E Annual'!CD$51, 'I&amp;E Annual'!CD59, 'I&amp;E Annual'!CD$64:CD$69, 'I&amp;E Annual'!CD$71:CD$73, 'I&amp;E Annual'!CD$77:CD$84, 'I&amp;E Annual'!CD$88)</f>
        <v>0</v>
      </c>
      <c r="CE24" s="10">
        <f>SUM('I&amp;E Annual'!CE$36, 'I&amp;E Annual'!CE$42, 'I&amp;E Annual'!CE$45, 'I&amp;E Annual'!CE$51, 'I&amp;E Annual'!CE59, 'I&amp;E Annual'!CE$64:CE$69, 'I&amp;E Annual'!CE$71:CE$73, 'I&amp;E Annual'!CE$77:CE$84, 'I&amp;E Annual'!CE$88)</f>
        <v>0</v>
      </c>
      <c r="CF24" s="10">
        <f>SUM('I&amp;E Annual'!CF$36, 'I&amp;E Annual'!CF$42, 'I&amp;E Annual'!CF$45, 'I&amp;E Annual'!CF$51, 'I&amp;E Annual'!CF59, 'I&amp;E Annual'!CF$64:CF$69, 'I&amp;E Annual'!CF$71:CF$73, 'I&amp;E Annual'!CF$77:CF$84, 'I&amp;E Annual'!CF$88)</f>
        <v>0</v>
      </c>
      <c r="CG24" s="10">
        <f>SUM('I&amp;E Annual'!CG$36, 'I&amp;E Annual'!CG$42, 'I&amp;E Annual'!CG$45, 'I&amp;E Annual'!CG$51, 'I&amp;E Annual'!CG59, 'I&amp;E Annual'!CG$64:CG$69, 'I&amp;E Annual'!CG$71:CG$73, 'I&amp;E Annual'!CG$77:CG$84, 'I&amp;E Annual'!CG$88)</f>
        <v>0</v>
      </c>
      <c r="CH24" s="10">
        <f>SUM('I&amp;E Annual'!CH$36, 'I&amp;E Annual'!CH$42, 'I&amp;E Annual'!CH$45, 'I&amp;E Annual'!CH$51, 'I&amp;E Annual'!CH59, 'I&amp;E Annual'!CH$64:CH$69, 'I&amp;E Annual'!CH$71:CH$73, 'I&amp;E Annual'!CH$77:CH$84, 'I&amp;E Annual'!CH$88)</f>
        <v>0</v>
      </c>
      <c r="CI24" s="10">
        <f>SUM('I&amp;E Annual'!CI$36, 'I&amp;E Annual'!CI$42, 'I&amp;E Annual'!CI$45, 'I&amp;E Annual'!CI$51, 'I&amp;E Annual'!CI59, 'I&amp;E Annual'!CI$64:CI$69, 'I&amp;E Annual'!CI$71:CI$73, 'I&amp;E Annual'!CI$77:CI$84, 'I&amp;E Annual'!CI$88)</f>
        <v>0</v>
      </c>
      <c r="CK24" s="312"/>
      <c r="CM24" s="312"/>
      <c r="CN24" s="7">
        <f t="shared" si="5"/>
        <v>0</v>
      </c>
      <c r="CP24" s="311"/>
      <c r="CQ24" s="215">
        <f t="shared" si="6"/>
        <v>0</v>
      </c>
      <c r="CR24" s="215">
        <f t="shared" si="6"/>
        <v>0</v>
      </c>
      <c r="CS24" s="215">
        <f t="shared" si="6"/>
        <v>0</v>
      </c>
      <c r="CT24" s="215">
        <f t="shared" si="6"/>
        <v>0</v>
      </c>
      <c r="EX24" s="10"/>
    </row>
    <row r="25" spans="1:154" x14ac:dyDescent="0.35">
      <c r="A25" s="537" cm="1">
        <f t="array" aca="1" ref="A25" ca="1">HYPERLINK(CONCATENATE("#",CELL("address",IF(MAX($CM25:$CP25)=0,A25,INDEX($CM25:$CP25,MATCH(1,$CM25:$CP25,0))))),MAX($CM25:$CP25))</f>
        <v>0</v>
      </c>
      <c r="B25" s="85" t="s">
        <v>122</v>
      </c>
      <c r="C25" s="213" t="s">
        <v>1674</v>
      </c>
      <c r="D25" s="1" t="s">
        <v>1675</v>
      </c>
      <c r="G25" t="s">
        <v>1665</v>
      </c>
      <c r="V25" s="240">
        <f>IF(V24=0, 0, 'Fin Stat'!V79/V24)*Parameters!$E$29*V$9</f>
        <v>0</v>
      </c>
      <c r="W25" s="240">
        <f>IF(W24=0, 0, 'Fin Stat'!W79/W24)*Parameters!$E$29*W$9</f>
        <v>0</v>
      </c>
      <c r="X25" s="240">
        <f>IF(X24=0, 0, 'Fin Stat'!X79/X24)*Parameters!$E$29*X$9</f>
        <v>0</v>
      </c>
      <c r="Y25" s="240">
        <f>IF(Y24=0, 0, 'Fin Stat'!Y79/Y24)*Parameters!$E$29*Y$9</f>
        <v>0</v>
      </c>
      <c r="AA25" s="240">
        <f>IF(AA24=0, 0, 'Fin Stat'!AA79/AA24)*Parameters!$E$30*AA$9</f>
        <v>0</v>
      </c>
      <c r="AB25" s="240">
        <f>IF(AB24=0, 0, 'Fin Stat'!AB79/AB24)*Parameters!$E$30*AB$9</f>
        <v>0</v>
      </c>
      <c r="AC25" s="240">
        <f>IF(AC24=0, 0, 'Fin Stat'!AC79/AC24)*Parameters!$E$30*AC$9</f>
        <v>0</v>
      </c>
      <c r="AD25" s="240">
        <f>IF(AD24=0, 0, 'Fin Stat'!AD79/AD24)*Parameters!$E$30*AD$9</f>
        <v>0</v>
      </c>
      <c r="AE25" s="240">
        <f>IF(AE24=0, 0, 'Fin Stat'!AE79/AE24)*Parameters!$E$30*AE$9</f>
        <v>0</v>
      </c>
      <c r="AF25" s="240">
        <f>IF(AF24=0, 0, 'Fin Stat'!AF79/AF24)*Parameters!$E$30*AF$9</f>
        <v>0</v>
      </c>
      <c r="AG25" s="240">
        <f>IF(AG24=0, 0, 'Fin Stat'!AG79/AG24)*Parameters!$E$30*AG$9</f>
        <v>0</v>
      </c>
      <c r="AH25" s="240">
        <f>IF(AH24=0, 0, 'Fin Stat'!AH79/AH24)*Parameters!$E$30*AH$9</f>
        <v>0</v>
      </c>
      <c r="AI25" s="240">
        <f>IF(AI24=0, 0, 'Fin Stat'!AI79/AI24)*Parameters!$E$30*AI$9</f>
        <v>0</v>
      </c>
      <c r="AJ25" s="240">
        <f>IF(AJ24=0, 0, 'Fin Stat'!AJ79/AJ24)*Parameters!$E$30*AJ$9</f>
        <v>0</v>
      </c>
      <c r="AK25" s="240">
        <f>IF(AK24=0, 0, 'Fin Stat'!AK79/AK24)*Parameters!$E$30*AK$9</f>
        <v>0</v>
      </c>
      <c r="AL25" s="240">
        <f>IF(AL24=0, 0, 'Fin Stat'!AL79/AL24)*Parameters!$E$30*AL$9</f>
        <v>0</v>
      </c>
      <c r="AM25" s="240">
        <f>IF(AM24=0, 0, 'Fin Stat'!AM79/AM24)*Parameters!$E$30*AM$9</f>
        <v>0</v>
      </c>
      <c r="AN25" s="240">
        <f>IF(AN24=0, 0, 'Fin Stat'!AN79/AN24)*Parameters!$E$30*AN$9</f>
        <v>0</v>
      </c>
      <c r="AO25" s="240">
        <f>IF(AO24=0, 0, 'Fin Stat'!AO79/AO24)*Parameters!$E$30*AO$9</f>
        <v>0</v>
      </c>
      <c r="AP25" s="240">
        <f>IF(AP24=0, 0, 'Fin Stat'!AP79/AP24)*Parameters!$E$30*AP$9</f>
        <v>0</v>
      </c>
      <c r="AQ25" s="240">
        <f>IF(AQ24=0, 0, 'Fin Stat'!AQ79/AQ24)*Parameters!$E$30*AQ$9</f>
        <v>0</v>
      </c>
      <c r="AR25" s="240">
        <f>IF(AR24=0, 0, 'Fin Stat'!AR79/AR24)*Parameters!$E$30*AR$9</f>
        <v>0</v>
      </c>
      <c r="AS25" s="240">
        <f>IF(AS24=0, 0, 'Fin Stat'!AS79/AS24)*Parameters!$E$30*AS$9</f>
        <v>0</v>
      </c>
      <c r="AT25" s="240">
        <f>IF(AT24=0, 0, 'Fin Stat'!AT79/AT24)*Parameters!$E$30*AT$9</f>
        <v>0</v>
      </c>
      <c r="AU25" s="240">
        <f>IF(AU24=0, 0, 'Fin Stat'!AU79/AU24)*Parameters!$E$30*AU$9</f>
        <v>0</v>
      </c>
      <c r="AV25" s="240">
        <f>IF(AV24=0, 0, 'Fin Stat'!AV79/AV24)*Parameters!$E$30*AV$9</f>
        <v>0</v>
      </c>
      <c r="AW25" s="240">
        <f>IF(AW24=0, 0, 'Fin Stat'!AW79/AW24)*Parameters!$E$30*AW$9</f>
        <v>0</v>
      </c>
      <c r="AX25" s="240">
        <f>IF(AX24=0, 0, 'Fin Stat'!AX79/AX24)*Parameters!$E$30*AX$9</f>
        <v>0</v>
      </c>
      <c r="AY25" s="240">
        <f>IF(AY24=0, 0, 'Fin Stat'!AY79/AY24)*Parameters!$E$30*AY$9</f>
        <v>0</v>
      </c>
      <c r="AZ25" s="240">
        <f>IF(AZ24=0, 0, 'Fin Stat'!AZ79/AZ24)*Parameters!$E$30*AZ$9</f>
        <v>0</v>
      </c>
      <c r="BA25" s="240">
        <f>IF(BA24=0, 0, 'Fin Stat'!BA79/BA24)*Parameters!$E$30*BA$9</f>
        <v>0</v>
      </c>
      <c r="BB25" s="240">
        <f>IF(BB24=0, 0, 'Fin Stat'!BB79/BB24)*Parameters!$E$30*BB$9</f>
        <v>0</v>
      </c>
      <c r="BC25" s="240">
        <f>IF(BC24=0, 0, 'Fin Stat'!BC79/BC24)*Parameters!$E$30*BC$9</f>
        <v>0</v>
      </c>
      <c r="BD25" s="240">
        <f>IF(BD24=0, 0, 'Fin Stat'!BD79/BD24)*Parameters!$E$30*BD$9</f>
        <v>0</v>
      </c>
      <c r="BE25" s="240">
        <f>IF(BE24=0, 0, 'Fin Stat'!BE79/BE24)*Parameters!$E$30*BE$9</f>
        <v>0</v>
      </c>
      <c r="BF25" s="240">
        <f>IF(BF24=0, 0, 'Fin Stat'!BF79/BF24)*Parameters!$E$30*BF$9</f>
        <v>0</v>
      </c>
      <c r="BG25" s="240">
        <f>IF(BG24=0, 0, 'Fin Stat'!BG79/BG24)*Parameters!$E$30*BG$9</f>
        <v>0</v>
      </c>
      <c r="BH25" s="240">
        <f>IF(BH24=0, 0, 'Fin Stat'!BH79/BH24)*Parameters!$E$30*BH$9</f>
        <v>0</v>
      </c>
      <c r="BI25" s="240">
        <f>IF(BI24=0, 0, 'Fin Stat'!BI79/BI24)*Parameters!$E$30*BI$9</f>
        <v>0</v>
      </c>
      <c r="BJ25" s="240">
        <f>IF(BJ24=0, 0, 'Fin Stat'!BJ79/BJ24)*Parameters!$E$30*BJ$9</f>
        <v>0</v>
      </c>
      <c r="BX25" s="240">
        <f>IF(BX24=0, 0, 'Fin Stat'!BX79/BX24)*Parameters!$E$29*BX$9</f>
        <v>0</v>
      </c>
      <c r="BY25" s="240">
        <f>IF(BY24=0, 0, 'Fin Stat'!BY79/BY24)*Parameters!$E$29*BY$9</f>
        <v>0</v>
      </c>
      <c r="BZ25" s="240">
        <f>IF(BZ24=0, 0, 'Fin Stat'!BZ79/BZ24)*Parameters!$E$29*BZ$9</f>
        <v>0</v>
      </c>
      <c r="CA25" s="240">
        <f>IF(CA24=0, 0, 'Fin Stat'!CA79/CA24)*Parameters!$E$29*CA$9</f>
        <v>0</v>
      </c>
      <c r="CB25" s="240">
        <f>IF(CB24=0, 0, 'Fin Stat'!CB79/CB24)*Parameters!$E$29*CB$9</f>
        <v>0</v>
      </c>
      <c r="CC25" s="240">
        <f>IF(CC24=0, 0, 'Fin Stat'!CC79/CC24)*Parameters!$E$29*CC$9</f>
        <v>0</v>
      </c>
      <c r="CD25" s="240">
        <f>IF(CD24=0, 0, 'Fin Stat'!CD79/CD24)*Parameters!$E$29*CD$9</f>
        <v>0</v>
      </c>
      <c r="CE25" s="240">
        <f>IF(CE24=0, 0, 'Fin Stat'!CE79/CE24)*Parameters!$E$29*CE$9</f>
        <v>0</v>
      </c>
      <c r="CF25" s="240">
        <f>IF(CF24=0, 0, 'Fin Stat'!CF79/CF24)*Parameters!$E$29*CF$9</f>
        <v>0</v>
      </c>
      <c r="CG25" s="240">
        <f>IF(CG24=0, 0, 'Fin Stat'!CG79/CG24)*Parameters!$E$29*CG$9</f>
        <v>0</v>
      </c>
      <c r="CH25" s="240">
        <f>IF(CH24=0, 0, 'Fin Stat'!CH79/CH24)*Parameters!$E$29*CH$9</f>
        <v>0</v>
      </c>
      <c r="CI25" s="240">
        <f>IF(CI24=0, 0, 'Fin Stat'!CI79/CI24)*Parameters!$E$29*CI$9</f>
        <v>0</v>
      </c>
      <c r="CK25" s="312"/>
      <c r="CL25" s="241">
        <f>IF(MIN($V25:$CI25)&lt;0, 1, 0)</f>
        <v>0</v>
      </c>
      <c r="CM25" s="312"/>
      <c r="CN25" s="7">
        <f t="shared" si="5"/>
        <v>0</v>
      </c>
      <c r="CP25" s="311"/>
      <c r="CQ25" s="215">
        <f t="shared" si="6"/>
        <v>0</v>
      </c>
      <c r="CR25" s="215">
        <f t="shared" si="6"/>
        <v>0</v>
      </c>
      <c r="CS25" s="215">
        <f t="shared" si="6"/>
        <v>0</v>
      </c>
      <c r="CT25" s="215">
        <f t="shared" si="6"/>
        <v>0</v>
      </c>
      <c r="EX25" s="10" t="str">
        <f>IF($C25="","",$D25)</f>
        <v>Trade debtor days -excluding funding body grants</v>
      </c>
    </row>
    <row r="26" spans="1:154" x14ac:dyDescent="0.35">
      <c r="A26" s="537" cm="1">
        <f t="array" aca="1" ref="A26" ca="1">HYPERLINK(CONCATENATE("#",CELL("address",IF(MAX($CM26:$CP26)=0,A26,INDEX($CM26:$CP26,MATCH(1,$CM26:$CP26,0))))),MAX($CM26:$CP26))</f>
        <v>0</v>
      </c>
      <c r="B26" s="85" t="s">
        <v>122</v>
      </c>
      <c r="C26" s="213" t="s">
        <v>1676</v>
      </c>
      <c r="D26" s="1" t="s">
        <v>1677</v>
      </c>
      <c r="G26" t="s">
        <v>1665</v>
      </c>
      <c r="V26" s="240">
        <f>Parameters!$E$29*IF('Fin Stat'!V28=0, 0, 'Fin Stat'!V98/'Fin Stat'!V28)*V$9</f>
        <v>0</v>
      </c>
      <c r="W26" s="240">
        <f>Parameters!$E$29*IF('Fin Stat'!W28=0, 0, 'Fin Stat'!W98/'Fin Stat'!W28)*W$9</f>
        <v>0</v>
      </c>
      <c r="X26" s="240">
        <f>Parameters!$E$29*IF('Fin Stat'!X28=0, 0, 'Fin Stat'!X98/'Fin Stat'!X28)*X$9</f>
        <v>0</v>
      </c>
      <c r="Y26" s="240">
        <f>Parameters!$E$29*IF('Fin Stat'!Y28=0, 0, 'Fin Stat'!Y98/'Fin Stat'!Y28)*Y$9</f>
        <v>0</v>
      </c>
      <c r="AA26" s="240">
        <f>Parameters!$E$30*IF('Fin Stat'!AA28=0, 0, 'Fin Stat'!AA98/'Fin Stat'!AA28)*AA$9</f>
        <v>0</v>
      </c>
      <c r="AB26" s="240">
        <f>Parameters!$E$30*IF('Fin Stat'!AB28=0, 0, 'Fin Stat'!AB98/'Fin Stat'!AB28)*AB$9</f>
        <v>0</v>
      </c>
      <c r="AC26" s="240">
        <f>Parameters!$E$30*IF('Fin Stat'!AC28=0, 0, 'Fin Stat'!AC98/'Fin Stat'!AC28)*AC$9</f>
        <v>0</v>
      </c>
      <c r="AD26" s="240">
        <f>Parameters!$E$30*IF('Fin Stat'!AD28=0, 0, 'Fin Stat'!AD98/'Fin Stat'!AD28)*AD$9</f>
        <v>0</v>
      </c>
      <c r="AE26" s="240">
        <f>Parameters!$E$30*IF('Fin Stat'!AE28=0, 0, 'Fin Stat'!AE98/'Fin Stat'!AE28)*AE$9</f>
        <v>0</v>
      </c>
      <c r="AF26" s="240">
        <f>Parameters!$E$30*IF('Fin Stat'!AF28=0, 0, 'Fin Stat'!AF98/'Fin Stat'!AF28)*AF$9</f>
        <v>0</v>
      </c>
      <c r="AG26" s="240">
        <f>Parameters!$E$30*IF('Fin Stat'!AG28=0, 0, 'Fin Stat'!AG98/'Fin Stat'!AG28)*AG$9</f>
        <v>0</v>
      </c>
      <c r="AH26" s="240">
        <f>Parameters!$E$30*IF('Fin Stat'!AH28=0, 0, 'Fin Stat'!AH98/'Fin Stat'!AH28)*AH$9</f>
        <v>0</v>
      </c>
      <c r="AI26" s="240">
        <f>Parameters!$E$30*IF('Fin Stat'!AI28=0, 0, 'Fin Stat'!AI98/'Fin Stat'!AI28)*AI$9</f>
        <v>0</v>
      </c>
      <c r="AJ26" s="240">
        <f>Parameters!$E$30*IF('Fin Stat'!AJ28=0, 0, 'Fin Stat'!AJ98/'Fin Stat'!AJ28)*AJ$9</f>
        <v>0</v>
      </c>
      <c r="AK26" s="240">
        <f>Parameters!$E$30*IF('Fin Stat'!AK28=0, 0, 'Fin Stat'!AK98/'Fin Stat'!AK28)*AK$9</f>
        <v>0</v>
      </c>
      <c r="AL26" s="240">
        <f>Parameters!$E$30*IF('Fin Stat'!AL28=0, 0, 'Fin Stat'!AL98/'Fin Stat'!AL28)*AL$9</f>
        <v>0</v>
      </c>
      <c r="AM26" s="240">
        <f>Parameters!$E$30*IF('Fin Stat'!AM28=0, 0, 'Fin Stat'!AM98/'Fin Stat'!AM28)*AM$9</f>
        <v>0</v>
      </c>
      <c r="AN26" s="240">
        <f>Parameters!$E$30*IF('Fin Stat'!AN28=0, 0, 'Fin Stat'!AN98/'Fin Stat'!AN28)*AN$9</f>
        <v>0</v>
      </c>
      <c r="AO26" s="240">
        <f>Parameters!$E$30*IF('Fin Stat'!AO28=0, 0, 'Fin Stat'!AO98/'Fin Stat'!AO28)*AO$9</f>
        <v>0</v>
      </c>
      <c r="AP26" s="240">
        <f>Parameters!$E$30*IF('Fin Stat'!AP28=0, 0, 'Fin Stat'!AP98/'Fin Stat'!AP28)*AP$9</f>
        <v>0</v>
      </c>
      <c r="AQ26" s="240">
        <f>Parameters!$E$30*IF('Fin Stat'!AQ28=0, 0, 'Fin Stat'!AQ98/'Fin Stat'!AQ28)*AQ$9</f>
        <v>0</v>
      </c>
      <c r="AR26" s="240">
        <f>Parameters!$E$30*IF('Fin Stat'!AR28=0, 0, 'Fin Stat'!AR98/'Fin Stat'!AR28)*AR$9</f>
        <v>0</v>
      </c>
      <c r="AS26" s="240">
        <f>Parameters!$E$30*IF('Fin Stat'!AS28=0, 0, 'Fin Stat'!AS98/'Fin Stat'!AS28)*AS$9</f>
        <v>0</v>
      </c>
      <c r="AT26" s="240">
        <f>Parameters!$E$30*IF('Fin Stat'!AT28=0, 0, 'Fin Stat'!AT98/'Fin Stat'!AT28)*AT$9</f>
        <v>0</v>
      </c>
      <c r="AU26" s="240">
        <f>Parameters!$E$30*IF('Fin Stat'!AU28=0, 0, 'Fin Stat'!AU98/'Fin Stat'!AU28)*AU$9</f>
        <v>0</v>
      </c>
      <c r="AV26" s="240">
        <f>Parameters!$E$30*IF('Fin Stat'!AV28=0, 0, 'Fin Stat'!AV98/'Fin Stat'!AV28)*AV$9</f>
        <v>0</v>
      </c>
      <c r="AW26" s="240">
        <f>Parameters!$E$30*IF('Fin Stat'!AW28=0, 0, 'Fin Stat'!AW98/'Fin Stat'!AW28)*AW$9</f>
        <v>0</v>
      </c>
      <c r="AX26" s="240">
        <f>Parameters!$E$30*IF('Fin Stat'!AX28=0, 0, 'Fin Stat'!AX98/'Fin Stat'!AX28)*AX$9</f>
        <v>0</v>
      </c>
      <c r="AY26" s="240">
        <f>Parameters!$E$30*IF('Fin Stat'!AY28=0, 0, 'Fin Stat'!AY98/'Fin Stat'!AY28)*AY$9</f>
        <v>0</v>
      </c>
      <c r="AZ26" s="240">
        <f>Parameters!$E$30*IF('Fin Stat'!AZ28=0, 0, 'Fin Stat'!AZ98/'Fin Stat'!AZ28)*AZ$9</f>
        <v>0</v>
      </c>
      <c r="BA26" s="240">
        <f>Parameters!$E$30*IF('Fin Stat'!BA28=0, 0, 'Fin Stat'!BA98/'Fin Stat'!BA28)*BA$9</f>
        <v>0</v>
      </c>
      <c r="BB26" s="240">
        <f>Parameters!$E$30*IF('Fin Stat'!BB28=0, 0, 'Fin Stat'!BB98/'Fin Stat'!BB28)*BB$9</f>
        <v>0</v>
      </c>
      <c r="BC26" s="240">
        <f>Parameters!$E$30*IF('Fin Stat'!BC28=0, 0, 'Fin Stat'!BC98/'Fin Stat'!BC28)*BC$9</f>
        <v>0</v>
      </c>
      <c r="BD26" s="240">
        <f>Parameters!$E$30*IF('Fin Stat'!BD28=0, 0, 'Fin Stat'!BD98/'Fin Stat'!BD28)*BD$9</f>
        <v>0</v>
      </c>
      <c r="BE26" s="240">
        <f>Parameters!$E$30*IF('Fin Stat'!BE28=0, 0, 'Fin Stat'!BE98/'Fin Stat'!BE28)*BE$9</f>
        <v>0</v>
      </c>
      <c r="BF26" s="240">
        <f>Parameters!$E$30*IF('Fin Stat'!BF28=0, 0, 'Fin Stat'!BF98/'Fin Stat'!BF28)*BF$9</f>
        <v>0</v>
      </c>
      <c r="BG26" s="240">
        <f>Parameters!$E$30*IF('Fin Stat'!BG28=0, 0, 'Fin Stat'!BG98/'Fin Stat'!BG28)*BG$9</f>
        <v>0</v>
      </c>
      <c r="BH26" s="240">
        <f>Parameters!$E$30*IF('Fin Stat'!BH28=0, 0, 'Fin Stat'!BH98/'Fin Stat'!BH28)*BH$9</f>
        <v>0</v>
      </c>
      <c r="BI26" s="240">
        <f>Parameters!$E$30*IF('Fin Stat'!BI28=0, 0, 'Fin Stat'!BI98/'Fin Stat'!BI28)*BI$9</f>
        <v>0</v>
      </c>
      <c r="BJ26" s="240">
        <f>Parameters!$E$30*IF('Fin Stat'!BJ28=0, 0, 'Fin Stat'!BJ98/'Fin Stat'!BJ28)*BJ$9</f>
        <v>0</v>
      </c>
      <c r="BX26" s="240">
        <f>Parameters!$E$29*IF('Fin Stat'!BX28=0, 0, 'Fin Stat'!BX98/'Fin Stat'!BX28)*BX$9</f>
        <v>0</v>
      </c>
      <c r="BY26" s="240">
        <f>Parameters!$E$29*IF('Fin Stat'!BY28=0, 0, 'Fin Stat'!BY98/'Fin Stat'!BY28)*BY$9</f>
        <v>0</v>
      </c>
      <c r="BZ26" s="240">
        <f>Parameters!$E$29*IF('Fin Stat'!BZ28=0, 0, 'Fin Stat'!BZ98/'Fin Stat'!BZ28)*BZ$9</f>
        <v>0</v>
      </c>
      <c r="CA26" s="240">
        <f>Parameters!$E$29*IF('Fin Stat'!CA28=0, 0, 'Fin Stat'!CA98/'Fin Stat'!CA28)*CA$9</f>
        <v>0</v>
      </c>
      <c r="CB26" s="240">
        <f>Parameters!$E$29*IF('Fin Stat'!CB28=0, 0, 'Fin Stat'!CB98/'Fin Stat'!CB28)*CB$9</f>
        <v>0</v>
      </c>
      <c r="CC26" s="240">
        <f>Parameters!$E$29*IF('Fin Stat'!CC28=0, 0, 'Fin Stat'!CC98/'Fin Stat'!CC28)*CC$9</f>
        <v>0</v>
      </c>
      <c r="CD26" s="240">
        <f>Parameters!$E$29*IF('Fin Stat'!CD28=0, 0, 'Fin Stat'!CD98/'Fin Stat'!CD28)*CD$9</f>
        <v>0</v>
      </c>
      <c r="CE26" s="240">
        <f>Parameters!$E$29*IF('Fin Stat'!CE28=0, 0, 'Fin Stat'!CE98/'Fin Stat'!CE28)*CE$9</f>
        <v>0</v>
      </c>
      <c r="CF26" s="240">
        <f>Parameters!$E$29*IF('Fin Stat'!CF28=0, 0, 'Fin Stat'!CF98/'Fin Stat'!CF28)*CF$9</f>
        <v>0</v>
      </c>
      <c r="CG26" s="240">
        <f>Parameters!$E$29*IF('Fin Stat'!CG28=0, 0, 'Fin Stat'!CG98/'Fin Stat'!CG28)*CG$9</f>
        <v>0</v>
      </c>
      <c r="CH26" s="240">
        <f>Parameters!$E$29*IF('Fin Stat'!CH28=0, 0, 'Fin Stat'!CH98/'Fin Stat'!CH28)*CH$9</f>
        <v>0</v>
      </c>
      <c r="CI26" s="240">
        <f>Parameters!$E$29*IF('Fin Stat'!CI28=0, 0, 'Fin Stat'!CI98/'Fin Stat'!CI28)*CI$9</f>
        <v>0</v>
      </c>
      <c r="CK26" s="312"/>
      <c r="CL26" s="241">
        <f>IF(MIN($V26:$CI26)&lt;0, 1, 0)</f>
        <v>0</v>
      </c>
      <c r="CM26" s="312"/>
      <c r="CN26" s="7">
        <f t="shared" si="5"/>
        <v>0</v>
      </c>
      <c r="CP26" s="311"/>
      <c r="CQ26" s="215">
        <f t="shared" si="6"/>
        <v>0</v>
      </c>
      <c r="CR26" s="215">
        <f t="shared" si="6"/>
        <v>0</v>
      </c>
      <c r="CS26" s="215">
        <f t="shared" si="6"/>
        <v>0</v>
      </c>
      <c r="CT26" s="215">
        <f t="shared" si="6"/>
        <v>0</v>
      </c>
      <c r="EX26" s="10" t="str">
        <f>IF($C26="","",$D26)</f>
        <v>Trade creditors days - non-pay expenditure</v>
      </c>
    </row>
    <row r="27" spans="1:154" x14ac:dyDescent="0.35">
      <c r="A27" s="537" cm="1">
        <f t="array" aca="1" ref="A27" ca="1">HYPERLINK(CONCATENATE("#",CELL("address",IF(MAX($CM27:$CP27)=0,A27,INDEX($CM27:$CP27,MATCH(1,$CM27:$CP27,0))))),MAX($CM27:$CP27))</f>
        <v>0</v>
      </c>
      <c r="B27" s="85"/>
      <c r="C27" s="213" t="str">
        <f>'Fin Stat'!C$180</f>
        <v>IC-1</v>
      </c>
      <c r="D27" s="548" t="s">
        <v>1585</v>
      </c>
      <c r="G27" t="s">
        <v>1655</v>
      </c>
      <c r="V27" s="10">
        <f>'Fin Stat'!V$180</f>
        <v>0</v>
      </c>
      <c r="W27" s="10">
        <f>'Fin Stat'!W$180</f>
        <v>0</v>
      </c>
      <c r="X27" s="10">
        <f>'Fin Stat'!X$180</f>
        <v>0</v>
      </c>
      <c r="Y27" s="10">
        <f>'Fin Stat'!Y$180</f>
        <v>0</v>
      </c>
      <c r="AA27" s="10">
        <f>'Fin Stat'!AA$180</f>
        <v>0</v>
      </c>
      <c r="AB27" s="10">
        <f>'Fin Stat'!AB$180</f>
        <v>0</v>
      </c>
      <c r="AC27" s="10">
        <f>'Fin Stat'!AC$180</f>
        <v>0</v>
      </c>
      <c r="AD27" s="10">
        <f>'Fin Stat'!AD$180</f>
        <v>0</v>
      </c>
      <c r="AE27" s="10">
        <f>'Fin Stat'!AE$180</f>
        <v>0</v>
      </c>
      <c r="AF27" s="10">
        <f>'Fin Stat'!AF$180</f>
        <v>0</v>
      </c>
      <c r="AG27" s="10">
        <f>'Fin Stat'!AG$180</f>
        <v>0</v>
      </c>
      <c r="AH27" s="10">
        <f>'Fin Stat'!AH$180</f>
        <v>0</v>
      </c>
      <c r="AI27" s="10">
        <f>'Fin Stat'!AI$180</f>
        <v>0</v>
      </c>
      <c r="AJ27" s="10">
        <f>'Fin Stat'!AJ$180</f>
        <v>0</v>
      </c>
      <c r="AK27" s="10">
        <f>'Fin Stat'!AK$180</f>
        <v>0</v>
      </c>
      <c r="AL27" s="10">
        <f>'Fin Stat'!AL$180</f>
        <v>0</v>
      </c>
      <c r="AM27" s="10">
        <f>'Fin Stat'!AM$180</f>
        <v>0</v>
      </c>
      <c r="AN27" s="10">
        <f>'Fin Stat'!AN$180</f>
        <v>0</v>
      </c>
      <c r="AO27" s="10">
        <f>'Fin Stat'!AO$180</f>
        <v>0</v>
      </c>
      <c r="AP27" s="10">
        <f>'Fin Stat'!AP$180</f>
        <v>0</v>
      </c>
      <c r="AQ27" s="10">
        <f>'Fin Stat'!AQ$180</f>
        <v>0</v>
      </c>
      <c r="AR27" s="10">
        <f>'Fin Stat'!AR$180</f>
        <v>0</v>
      </c>
      <c r="AS27" s="10">
        <f>'Fin Stat'!AS$180</f>
        <v>0</v>
      </c>
      <c r="AT27" s="10">
        <f>'Fin Stat'!AT$180</f>
        <v>0</v>
      </c>
      <c r="AU27" s="10">
        <f>'Fin Stat'!AU$180</f>
        <v>0</v>
      </c>
      <c r="AV27" s="10">
        <f>'Fin Stat'!AV$180</f>
        <v>0</v>
      </c>
      <c r="AW27" s="10">
        <f>'Fin Stat'!AW$180</f>
        <v>0</v>
      </c>
      <c r="AX27" s="10">
        <f>'Fin Stat'!AX$180</f>
        <v>0</v>
      </c>
      <c r="AY27" s="10">
        <f>'Fin Stat'!AY$180</f>
        <v>0</v>
      </c>
      <c r="AZ27" s="10">
        <f>'Fin Stat'!AZ$180</f>
        <v>0</v>
      </c>
      <c r="BA27" s="10">
        <f>'Fin Stat'!BA$180</f>
        <v>0</v>
      </c>
      <c r="BB27" s="10">
        <f>'Fin Stat'!BB$180</f>
        <v>0</v>
      </c>
      <c r="BC27" s="10">
        <f>'Fin Stat'!BC$180</f>
        <v>0</v>
      </c>
      <c r="BD27" s="10">
        <f>'Fin Stat'!BD$180</f>
        <v>0</v>
      </c>
      <c r="BE27" s="10">
        <f>'Fin Stat'!BE$180</f>
        <v>0</v>
      </c>
      <c r="BF27" s="10">
        <f>'Fin Stat'!BF$180</f>
        <v>0</v>
      </c>
      <c r="BG27" s="10">
        <f>'Fin Stat'!BG$180</f>
        <v>0</v>
      </c>
      <c r="BH27" s="10">
        <f>'Fin Stat'!BH$180</f>
        <v>0</v>
      </c>
      <c r="BI27" s="10">
        <f>'Fin Stat'!BI$180</f>
        <v>0</v>
      </c>
      <c r="BJ27" s="10">
        <f>'Fin Stat'!BJ$180</f>
        <v>0</v>
      </c>
      <c r="BX27" s="10">
        <f>'Fin Stat'!BX$180</f>
        <v>0</v>
      </c>
      <c r="BY27" s="10">
        <f>'Fin Stat'!BY$180</f>
        <v>0</v>
      </c>
      <c r="BZ27" s="10">
        <f>'Fin Stat'!BZ$180</f>
        <v>0</v>
      </c>
      <c r="CA27" s="10">
        <f>'Fin Stat'!CA$180</f>
        <v>0</v>
      </c>
      <c r="CB27" s="10">
        <f>'Fin Stat'!CB$180</f>
        <v>0</v>
      </c>
      <c r="CC27" s="10">
        <f>'Fin Stat'!CC$180</f>
        <v>0</v>
      </c>
      <c r="CD27" s="10">
        <f>'Fin Stat'!CD$180</f>
        <v>0</v>
      </c>
      <c r="CE27" s="10">
        <f>'Fin Stat'!CE$180</f>
        <v>0</v>
      </c>
      <c r="CF27" s="10">
        <f>'Fin Stat'!CF$180</f>
        <v>0</v>
      </c>
      <c r="CG27" s="10">
        <f>'Fin Stat'!CG$180</f>
        <v>0</v>
      </c>
      <c r="CH27" s="10">
        <f>'Fin Stat'!CH$180</f>
        <v>0</v>
      </c>
      <c r="CI27" s="10">
        <f>'Fin Stat'!CI$180</f>
        <v>0</v>
      </c>
      <c r="CK27" s="312"/>
      <c r="CM27" s="312"/>
      <c r="CN27" s="7">
        <f t="shared" si="5"/>
        <v>0</v>
      </c>
      <c r="CP27" s="311"/>
      <c r="CQ27" s="215">
        <f t="shared" si="6"/>
        <v>0</v>
      </c>
      <c r="CR27" s="215">
        <f t="shared" si="6"/>
        <v>0</v>
      </c>
      <c r="CS27" s="215">
        <f t="shared" si="6"/>
        <v>0</v>
      </c>
      <c r="CT27" s="215">
        <f t="shared" si="6"/>
        <v>0</v>
      </c>
      <c r="EX27" s="10" t="str">
        <f>IF($C27="","",$D27)</f>
        <v>Net cash flow from operating activities</v>
      </c>
    </row>
    <row r="28" spans="1:154" x14ac:dyDescent="0.35">
      <c r="A28" s="537" cm="1">
        <f t="array" aca="1" ref="A28" ca="1">HYPERLINK(CONCATENATE("#",CELL("address",IF(MAX($CM28:$CP28)=0,A28,INDEX($CM28:$CP28,MATCH(1,$CM28:$CP28,0))))),MAX($CM28:$CP28))</f>
        <v>0</v>
      </c>
      <c r="B28" s="85"/>
      <c r="C28" s="213" t="s">
        <v>1678</v>
      </c>
      <c r="D28" s="1" t="s">
        <v>1679</v>
      </c>
      <c r="G28" t="s">
        <v>758</v>
      </c>
      <c r="V28" s="55">
        <f>IF(V$14=0, 0, V27/V$14)</f>
        <v>0</v>
      </c>
      <c r="W28" s="55">
        <f>IF(W$14=0, 0, W27/W$14)</f>
        <v>0</v>
      </c>
      <c r="X28" s="55">
        <f>IF(X$14=0, 0, X27/X$14)</f>
        <v>0</v>
      </c>
      <c r="Y28" s="55">
        <f>IF(Y$14=0, 0, Y27/Y$14)</f>
        <v>0</v>
      </c>
      <c r="AA28" s="55">
        <f t="shared" ref="AA28:BJ28" si="7">IF(AA$14=0, 0, AA27/AA$14)</f>
        <v>0</v>
      </c>
      <c r="AB28" s="55">
        <f t="shared" si="7"/>
        <v>0</v>
      </c>
      <c r="AC28" s="55">
        <f t="shared" si="7"/>
        <v>0</v>
      </c>
      <c r="AD28" s="55">
        <f t="shared" si="7"/>
        <v>0</v>
      </c>
      <c r="AE28" s="55">
        <f t="shared" si="7"/>
        <v>0</v>
      </c>
      <c r="AF28" s="55">
        <f t="shared" si="7"/>
        <v>0</v>
      </c>
      <c r="AG28" s="55">
        <f t="shared" si="7"/>
        <v>0</v>
      </c>
      <c r="AH28" s="55">
        <f t="shared" si="7"/>
        <v>0</v>
      </c>
      <c r="AI28" s="55">
        <f t="shared" si="7"/>
        <v>0</v>
      </c>
      <c r="AJ28" s="55">
        <f t="shared" si="7"/>
        <v>0</v>
      </c>
      <c r="AK28" s="55">
        <f t="shared" si="7"/>
        <v>0</v>
      </c>
      <c r="AL28" s="55">
        <f t="shared" si="7"/>
        <v>0</v>
      </c>
      <c r="AM28" s="55">
        <f t="shared" si="7"/>
        <v>0</v>
      </c>
      <c r="AN28" s="55">
        <f t="shared" si="7"/>
        <v>0</v>
      </c>
      <c r="AO28" s="55">
        <f t="shared" si="7"/>
        <v>0</v>
      </c>
      <c r="AP28" s="55">
        <f t="shared" si="7"/>
        <v>0</v>
      </c>
      <c r="AQ28" s="55">
        <f t="shared" si="7"/>
        <v>0</v>
      </c>
      <c r="AR28" s="55">
        <f t="shared" si="7"/>
        <v>0</v>
      </c>
      <c r="AS28" s="55">
        <f t="shared" si="7"/>
        <v>0</v>
      </c>
      <c r="AT28" s="55">
        <f t="shared" si="7"/>
        <v>0</v>
      </c>
      <c r="AU28" s="55">
        <f t="shared" si="7"/>
        <v>0</v>
      </c>
      <c r="AV28" s="55">
        <f t="shared" si="7"/>
        <v>0</v>
      </c>
      <c r="AW28" s="55">
        <f t="shared" si="7"/>
        <v>0</v>
      </c>
      <c r="AX28" s="55">
        <f t="shared" si="7"/>
        <v>0</v>
      </c>
      <c r="AY28" s="55">
        <f t="shared" si="7"/>
        <v>0</v>
      </c>
      <c r="AZ28" s="55">
        <f t="shared" si="7"/>
        <v>0</v>
      </c>
      <c r="BA28" s="55">
        <f t="shared" si="7"/>
        <v>0</v>
      </c>
      <c r="BB28" s="55">
        <f t="shared" si="7"/>
        <v>0</v>
      </c>
      <c r="BC28" s="55">
        <f t="shared" si="7"/>
        <v>0</v>
      </c>
      <c r="BD28" s="55">
        <f t="shared" si="7"/>
        <v>0</v>
      </c>
      <c r="BE28" s="55">
        <f t="shared" si="7"/>
        <v>0</v>
      </c>
      <c r="BF28" s="55">
        <f t="shared" si="7"/>
        <v>0</v>
      </c>
      <c r="BG28" s="55">
        <f t="shared" si="7"/>
        <v>0</v>
      </c>
      <c r="BH28" s="55">
        <f t="shared" si="7"/>
        <v>0</v>
      </c>
      <c r="BI28" s="55">
        <f t="shared" si="7"/>
        <v>0</v>
      </c>
      <c r="BJ28" s="55">
        <f t="shared" si="7"/>
        <v>0</v>
      </c>
      <c r="BX28" s="55">
        <f t="shared" ref="BX28:CI28" si="8">IF(BX$14=0, 0, BX27/BX$14)</f>
        <v>0</v>
      </c>
      <c r="BY28" s="55">
        <f t="shared" si="8"/>
        <v>0</v>
      </c>
      <c r="BZ28" s="55">
        <f t="shared" si="8"/>
        <v>0</v>
      </c>
      <c r="CA28" s="55">
        <f t="shared" si="8"/>
        <v>0</v>
      </c>
      <c r="CB28" s="55">
        <f t="shared" si="8"/>
        <v>0</v>
      </c>
      <c r="CC28" s="55">
        <f t="shared" si="8"/>
        <v>0</v>
      </c>
      <c r="CD28" s="55">
        <f t="shared" si="8"/>
        <v>0</v>
      </c>
      <c r="CE28" s="55">
        <f t="shared" si="8"/>
        <v>0</v>
      </c>
      <c r="CF28" s="55">
        <f t="shared" si="8"/>
        <v>0</v>
      </c>
      <c r="CG28" s="55">
        <f t="shared" si="8"/>
        <v>0</v>
      </c>
      <c r="CH28" s="55">
        <f t="shared" si="8"/>
        <v>0</v>
      </c>
      <c r="CI28" s="55">
        <f t="shared" si="8"/>
        <v>0</v>
      </c>
      <c r="CK28" s="312"/>
      <c r="CM28" s="312"/>
      <c r="CN28" s="7">
        <f t="shared" si="5"/>
        <v>0</v>
      </c>
      <c r="CP28" s="311"/>
      <c r="CQ28" s="549">
        <f t="shared" si="6"/>
        <v>0</v>
      </c>
      <c r="CR28" s="549">
        <f t="shared" si="6"/>
        <v>0</v>
      </c>
      <c r="CS28" s="549">
        <f t="shared" si="6"/>
        <v>0</v>
      </c>
      <c r="CT28" s="549">
        <f t="shared" si="6"/>
        <v>0</v>
      </c>
      <c r="EX28" s="12" t="e">
        <f>'Financial Health'!#REF!</f>
        <v>#REF!</v>
      </c>
    </row>
    <row r="29" spans="1:154" ht="8.25" customHeight="1" x14ac:dyDescent="0.35">
      <c r="C29" s="213"/>
      <c r="E29"/>
      <c r="CK29" s="311"/>
      <c r="CM29" s="311"/>
      <c r="CP29" s="311"/>
      <c r="EX29" s="10" t="str">
        <f>IF($C29="","",$D29)</f>
        <v/>
      </c>
    </row>
    <row r="30" spans="1:154" x14ac:dyDescent="0.35">
      <c r="B30" s="5"/>
      <c r="C30" s="213"/>
      <c r="D30" s="24" t="s">
        <v>1680</v>
      </c>
      <c r="CK30" s="312"/>
      <c r="CM30" s="312"/>
      <c r="CP30" s="311"/>
      <c r="EX30" s="10" t="str">
        <f>IF($C30="","",$D30)</f>
        <v/>
      </c>
    </row>
    <row r="31" spans="1:154" x14ac:dyDescent="0.35">
      <c r="A31" s="537" cm="1">
        <f t="array" aca="1" ref="A31" ca="1">HYPERLINK(CONCATENATE("#",CELL("address",IF(MAX($CM31:$CP31)=0,A31,INDEX($CM31:$CP31,MATCH(1,$CM31:$CP31,0))))),MAX($CM31:$CP31))</f>
        <v>0</v>
      </c>
      <c r="B31" s="85" t="s">
        <v>122</v>
      </c>
      <c r="C31" s="213" t="s">
        <v>1681</v>
      </c>
      <c r="D31" s="1" t="s">
        <v>1682</v>
      </c>
      <c r="G31" t="s">
        <v>1041</v>
      </c>
      <c r="H31" s="644" t="s">
        <v>1683</v>
      </c>
      <c r="V31" s="240">
        <f>MAX(IFERROR('Fin Stat'!V180/-('Fin Stat'!V$198+'Fin Stat'!V$200+'Fin Stat'!V$202+'Fin Stat'!V$204), 0))*V$9</f>
        <v>0</v>
      </c>
      <c r="W31" s="240">
        <f>MAX(IFERROR('Fin Stat'!W180/-('Fin Stat'!W$198+'Fin Stat'!W$200+'Fin Stat'!W$202+'Fin Stat'!W$204), 0))*W$9</f>
        <v>0</v>
      </c>
      <c r="X31" s="240">
        <f>MAX(IFERROR('Fin Stat'!X180/-('Fin Stat'!X$198+'Fin Stat'!X$200+'Fin Stat'!X$202+'Fin Stat'!X$204), 0))*X$9</f>
        <v>0</v>
      </c>
      <c r="Y31" s="240">
        <f>MAX(IFERROR('Fin Stat'!Y180/-('Fin Stat'!Y$198+'Fin Stat'!Y$200+'Fin Stat'!Y$202+'Fin Stat'!Y$204), 0))*Y$9</f>
        <v>0</v>
      </c>
      <c r="AA31" s="240">
        <f>MAX(IFERROR('Fin Stat'!AA180/-('Fin Stat'!AA$198+'Fin Stat'!AA$200+'Fin Stat'!AA$202+'Fin Stat'!AA$204), 0))*AA$9</f>
        <v>0</v>
      </c>
      <c r="AB31" s="240">
        <f>MAX(IFERROR('Fin Stat'!AB180/-('Fin Stat'!AB$198+'Fin Stat'!AB$200+'Fin Stat'!AB$202+'Fin Stat'!AB$204), 0))*AB$9</f>
        <v>0</v>
      </c>
      <c r="AC31" s="240">
        <f>MAX(IFERROR('Fin Stat'!AC180/-('Fin Stat'!AC$198+'Fin Stat'!AC$200+'Fin Stat'!AC$202+'Fin Stat'!AC$204), 0))*AC$9</f>
        <v>0</v>
      </c>
      <c r="AD31" s="240">
        <f>MAX(IFERROR('Fin Stat'!AD180/-('Fin Stat'!AD$198+'Fin Stat'!AD$200+'Fin Stat'!AD$202+'Fin Stat'!AD$204), 0))*AD$9</f>
        <v>0</v>
      </c>
      <c r="AE31" s="240">
        <f>MAX(IFERROR('Fin Stat'!AE180/-('Fin Stat'!AE$198+'Fin Stat'!AE$200+'Fin Stat'!AE$202+'Fin Stat'!AE$204), 0))*AE$9</f>
        <v>0</v>
      </c>
      <c r="AF31" s="240">
        <f>MAX(IFERROR('Fin Stat'!AF180/-('Fin Stat'!AF$198+'Fin Stat'!AF$200+'Fin Stat'!AF$202+'Fin Stat'!AF$204), 0))*AF$9</f>
        <v>0</v>
      </c>
      <c r="AG31" s="240">
        <f>MAX(IFERROR('Fin Stat'!AG180/-('Fin Stat'!AG$198+'Fin Stat'!AG$200+'Fin Stat'!AG$202+'Fin Stat'!AG$204), 0))*AG$9</f>
        <v>0</v>
      </c>
      <c r="AH31" s="240">
        <f>MAX(IFERROR('Fin Stat'!AH180/-('Fin Stat'!AH$198+'Fin Stat'!AH$200+'Fin Stat'!AH$202+'Fin Stat'!AH$204), 0))*AH$9</f>
        <v>0</v>
      </c>
      <c r="AI31" s="240">
        <f>MAX(IFERROR('Fin Stat'!AI180/-('Fin Stat'!AI$198+'Fin Stat'!AI$200+'Fin Stat'!AI$202+'Fin Stat'!AI$204), 0))*AI$9</f>
        <v>0</v>
      </c>
      <c r="AJ31" s="240">
        <f>MAX(IFERROR('Fin Stat'!AJ180/-('Fin Stat'!AJ$198+'Fin Stat'!AJ$200+'Fin Stat'!AJ$202+'Fin Stat'!AJ$204), 0))*AJ$9</f>
        <v>0</v>
      </c>
      <c r="AK31" s="240">
        <f>MAX(IFERROR('Fin Stat'!AK180/-('Fin Stat'!AK$198+'Fin Stat'!AK$200+'Fin Stat'!AK$202+'Fin Stat'!AK$204), 0))*AK$9</f>
        <v>0</v>
      </c>
      <c r="AL31" s="240">
        <f>MAX(IFERROR('Fin Stat'!AL180/-('Fin Stat'!AL$198+'Fin Stat'!AL$200+'Fin Stat'!AL$202+'Fin Stat'!AL$204), 0))*AL$9</f>
        <v>0</v>
      </c>
      <c r="AM31" s="240">
        <f>MAX(IFERROR('Fin Stat'!AM180/-('Fin Stat'!AM$198+'Fin Stat'!AM$200+'Fin Stat'!AM$202+'Fin Stat'!AM$204), 0))*AM$9</f>
        <v>0</v>
      </c>
      <c r="AN31" s="240">
        <f>MAX(IFERROR('Fin Stat'!AN180/-('Fin Stat'!AN$198+'Fin Stat'!AN$200+'Fin Stat'!AN$202+'Fin Stat'!AN$204), 0))*AN$9</f>
        <v>0</v>
      </c>
      <c r="AO31" s="240">
        <f>MAX(IFERROR('Fin Stat'!AO180/-('Fin Stat'!AO$198+'Fin Stat'!AO$200+'Fin Stat'!AO$202+'Fin Stat'!AO$204), 0))*AO$9</f>
        <v>0</v>
      </c>
      <c r="AP31" s="240">
        <f>MAX(IFERROR('Fin Stat'!AP180/-('Fin Stat'!AP$198+'Fin Stat'!AP$200+'Fin Stat'!AP$202+'Fin Stat'!AP$204), 0))*AP$9</f>
        <v>0</v>
      </c>
      <c r="AQ31" s="240">
        <f>MAX(IFERROR('Fin Stat'!AQ180/-('Fin Stat'!AQ$198+'Fin Stat'!AQ$200+'Fin Stat'!AQ$202+'Fin Stat'!AQ$204), 0))*AQ$9</f>
        <v>0</v>
      </c>
      <c r="AR31" s="240">
        <f>MAX(IFERROR('Fin Stat'!AR180/-('Fin Stat'!AR$198+'Fin Stat'!AR$200+'Fin Stat'!AR$202+'Fin Stat'!AR$204), 0))*AR$9</f>
        <v>0</v>
      </c>
      <c r="AS31" s="240">
        <f>MAX(IFERROR('Fin Stat'!AS180/-('Fin Stat'!AS$198+'Fin Stat'!AS$200+'Fin Stat'!AS$202+'Fin Stat'!AS$204), 0))*AS$9</f>
        <v>0</v>
      </c>
      <c r="AT31" s="240">
        <f>MAX(IFERROR('Fin Stat'!AT180/-('Fin Stat'!AT$198+'Fin Stat'!AT$200+'Fin Stat'!AT$202+'Fin Stat'!AT$204), 0))*AT$9</f>
        <v>0</v>
      </c>
      <c r="AU31" s="240">
        <f>MAX(IFERROR('Fin Stat'!AU180/-('Fin Stat'!AU$198+'Fin Stat'!AU$200+'Fin Stat'!AU$202+'Fin Stat'!AU$204), 0))*AU$9</f>
        <v>0</v>
      </c>
      <c r="AV31" s="240">
        <f>MAX(IFERROR('Fin Stat'!AV180/-('Fin Stat'!AV$198+'Fin Stat'!AV$200+'Fin Stat'!AV$202+'Fin Stat'!AV$204), 0))*AV$9</f>
        <v>0</v>
      </c>
      <c r="AW31" s="240">
        <f>MAX(IFERROR('Fin Stat'!AW180/-('Fin Stat'!AW$198+'Fin Stat'!AW$200+'Fin Stat'!AW$202+'Fin Stat'!AW$204), 0))*AW$9</f>
        <v>0</v>
      </c>
      <c r="AX31" s="240">
        <f>MAX(IFERROR('Fin Stat'!AX180/-('Fin Stat'!AX$198+'Fin Stat'!AX$200+'Fin Stat'!AX$202+'Fin Stat'!AX$204), 0))*AX$9</f>
        <v>0</v>
      </c>
      <c r="AY31" s="240">
        <f>MAX(IFERROR('Fin Stat'!AY180/-('Fin Stat'!AY$198+'Fin Stat'!AY$200+'Fin Stat'!AY$202+'Fin Stat'!AY$204), 0))*AY$9</f>
        <v>0</v>
      </c>
      <c r="AZ31" s="240">
        <f>MAX(IFERROR('Fin Stat'!AZ180/-('Fin Stat'!AZ$198+'Fin Stat'!AZ$200+'Fin Stat'!AZ$202+'Fin Stat'!AZ$204), 0))*AZ$9</f>
        <v>0</v>
      </c>
      <c r="BA31" s="240">
        <f>MAX(IFERROR('Fin Stat'!BA180/-('Fin Stat'!BA$198+'Fin Stat'!BA$200+'Fin Stat'!BA$202+'Fin Stat'!BA$204), 0))*BA$9</f>
        <v>0</v>
      </c>
      <c r="BB31" s="240">
        <f>MAX(IFERROR('Fin Stat'!BB180/-('Fin Stat'!BB$198+'Fin Stat'!BB$200+'Fin Stat'!BB$202+'Fin Stat'!BB$204), 0))*BB$9</f>
        <v>0</v>
      </c>
      <c r="BC31" s="240">
        <f>MAX(IFERROR('Fin Stat'!BC180/-('Fin Stat'!BC$198+'Fin Stat'!BC$200+'Fin Stat'!BC$202+'Fin Stat'!BC$204), 0))*BC$9</f>
        <v>0</v>
      </c>
      <c r="BD31" s="240">
        <f>MAX(IFERROR('Fin Stat'!BD180/-('Fin Stat'!BD$198+'Fin Stat'!BD$200+'Fin Stat'!BD$202+'Fin Stat'!BD$204), 0))*BD$9</f>
        <v>0</v>
      </c>
      <c r="BE31" s="240">
        <f>MAX(IFERROR('Fin Stat'!BE180/-('Fin Stat'!BE$198+'Fin Stat'!BE$200+'Fin Stat'!BE$202+'Fin Stat'!BE$204), 0))*BE$9</f>
        <v>0</v>
      </c>
      <c r="BF31" s="240">
        <f>MAX(IFERROR('Fin Stat'!BF180/-('Fin Stat'!BF$198+'Fin Stat'!BF$200+'Fin Stat'!BF$202+'Fin Stat'!BF$204), 0))*BF$9</f>
        <v>0</v>
      </c>
      <c r="BG31" s="240">
        <f>MAX(IFERROR('Fin Stat'!BG180/-('Fin Stat'!BG$198+'Fin Stat'!BG$200+'Fin Stat'!BG$202+'Fin Stat'!BG$204), 0))*BG$9</f>
        <v>0</v>
      </c>
      <c r="BH31" s="240">
        <f>MAX(IFERROR('Fin Stat'!BH180/-('Fin Stat'!BH$198+'Fin Stat'!BH$200+'Fin Stat'!BH$202+'Fin Stat'!BH$204), 0))*BH$9</f>
        <v>0</v>
      </c>
      <c r="BI31" s="240">
        <f>MAX(IFERROR('Fin Stat'!BI180/-('Fin Stat'!BI$198+'Fin Stat'!BI$200+'Fin Stat'!BI$202+'Fin Stat'!BI$204), 0))*BI$9</f>
        <v>0</v>
      </c>
      <c r="BJ31" s="240">
        <f>MAX(IFERROR('Fin Stat'!BJ180/-('Fin Stat'!BJ$198+'Fin Stat'!BJ$200+'Fin Stat'!BJ$202+'Fin Stat'!BJ$204), 0))*BJ$9</f>
        <v>0</v>
      </c>
      <c r="BX31" s="240">
        <f>MAX(IFERROR('Fin Stat'!BX180/-('Fin Stat'!BX$198+'Fin Stat'!BX$200+'Fin Stat'!BX$202+'Fin Stat'!BX$204), 0))*BX$9</f>
        <v>0</v>
      </c>
      <c r="BY31" s="240">
        <f>MAX(IFERROR('Fin Stat'!BY180/-('Fin Stat'!BY$198+'Fin Stat'!BY$200+'Fin Stat'!BY$202+'Fin Stat'!BY$204), 0))*BY$9</f>
        <v>0</v>
      </c>
      <c r="BZ31" s="240">
        <f>MAX(IFERROR('Fin Stat'!BZ180/-('Fin Stat'!BZ$198+'Fin Stat'!BZ$200+'Fin Stat'!BZ$202+'Fin Stat'!BZ$204), 0))*BZ$9</f>
        <v>0</v>
      </c>
      <c r="CA31" s="240">
        <f>MAX(IFERROR('Fin Stat'!CA180/-('Fin Stat'!CA$198+'Fin Stat'!CA$200+'Fin Stat'!CA$202+'Fin Stat'!CA$204), 0))*CA$9</f>
        <v>0</v>
      </c>
      <c r="CB31" s="240">
        <f>MAX(IFERROR('Fin Stat'!CB180/-('Fin Stat'!CB$198+'Fin Stat'!CB$200+'Fin Stat'!CB$202+'Fin Stat'!CB$204), 0))*CB$9</f>
        <v>0</v>
      </c>
      <c r="CC31" s="240">
        <f>MAX(IFERROR('Fin Stat'!CC180/-('Fin Stat'!CC$198+'Fin Stat'!CC$200+'Fin Stat'!CC$202+'Fin Stat'!CC$204), 0))*CC$9</f>
        <v>0</v>
      </c>
      <c r="CD31" s="240">
        <f>MAX(IFERROR('Fin Stat'!CD180/-('Fin Stat'!CD$198+'Fin Stat'!CD$200+'Fin Stat'!CD$202+'Fin Stat'!CD$204), 0))*CD$9</f>
        <v>0</v>
      </c>
      <c r="CE31" s="240">
        <f>MAX(IFERROR('Fin Stat'!CE180/-('Fin Stat'!CE$198+'Fin Stat'!CE$200+'Fin Stat'!CE$202+'Fin Stat'!CE$204), 0))*CE$9</f>
        <v>0</v>
      </c>
      <c r="CF31" s="240">
        <f>MAX(IFERROR('Fin Stat'!CF180/-('Fin Stat'!CF$198+'Fin Stat'!CF$200+'Fin Stat'!CF$202+'Fin Stat'!CF$204), 0))*CF$9</f>
        <v>0</v>
      </c>
      <c r="CG31" s="240">
        <f>MAX(IFERROR('Fin Stat'!CG180/-('Fin Stat'!CG$198+'Fin Stat'!CG$200+'Fin Stat'!CG$202+'Fin Stat'!CG$204), 0))*CG$9</f>
        <v>0</v>
      </c>
      <c r="CH31" s="240">
        <f>MAX(IFERROR('Fin Stat'!CH180/-('Fin Stat'!CH$198+'Fin Stat'!CH$200+'Fin Stat'!CH$202+'Fin Stat'!CH$204), 0))*CH$9</f>
        <v>0</v>
      </c>
      <c r="CI31" s="240">
        <f>MAX(IFERROR('Fin Stat'!CI180/-('Fin Stat'!CI$198+'Fin Stat'!CI$200+'Fin Stat'!CI$202+'Fin Stat'!CI$204), 0))*CI$9</f>
        <v>0</v>
      </c>
      <c r="CK31" s="312"/>
      <c r="CL31" s="241">
        <f>IF(MIN($V31:$CI31)&lt;0, 1, 0)</f>
        <v>0</v>
      </c>
      <c r="CM31" s="312"/>
      <c r="CN31" s="7">
        <f>IF(SUM($CQ31:$CT31)=0, 0, 1)</f>
        <v>0</v>
      </c>
      <c r="CP31" s="311"/>
      <c r="CQ31" s="215">
        <f t="shared" ref="CQ31:CT34" si="9">ROUND(BX31-V31, rounding)</f>
        <v>0</v>
      </c>
      <c r="CR31" s="215">
        <f t="shared" si="9"/>
        <v>0</v>
      </c>
      <c r="CS31" s="215">
        <f t="shared" si="9"/>
        <v>0</v>
      </c>
      <c r="CT31" s="215">
        <f t="shared" si="9"/>
        <v>0</v>
      </c>
      <c r="EX31" s="12" t="e">
        <f>'Financial Health'!#REF!</f>
        <v>#REF!</v>
      </c>
    </row>
    <row r="32" spans="1:154" x14ac:dyDescent="0.35">
      <c r="A32" s="537" cm="1">
        <f t="array" aca="1" ref="A32" ca="1">HYPERLINK(CONCATENATE("#",CELL("address",IF(MAX($CM32:$CP32)=0,A32,INDEX($CM32:$CP32,MATCH(1,$CM32:$CP32,0))))),MAX($CM32:$CP32))</f>
        <v>0</v>
      </c>
      <c r="B32" s="85" t="s">
        <v>122</v>
      </c>
      <c r="C32" s="213" t="s">
        <v>1684</v>
      </c>
      <c r="D32" s="1" t="s">
        <v>1685</v>
      </c>
      <c r="G32" t="s">
        <v>1655</v>
      </c>
      <c r="V32" s="10">
        <f>(SUM('Fin Stat'!V91:V94)+'Fin Stat'!V95+SUM('Fin Stat'!V117:V119)+'Fin Stat'!V120)*V$9</f>
        <v>0</v>
      </c>
      <c r="W32" s="10">
        <f>(SUM('Fin Stat'!W91:W94)+'Fin Stat'!W95+SUM('Fin Stat'!W117:W119)+'Fin Stat'!W120)*W$9</f>
        <v>0</v>
      </c>
      <c r="X32" s="10">
        <f>(SUM('Fin Stat'!X91:X94)+'Fin Stat'!X95+SUM('Fin Stat'!X117:X119)+'Fin Stat'!X120)*X$9</f>
        <v>0</v>
      </c>
      <c r="Y32" s="10">
        <f>(SUM('Fin Stat'!Y91:Y94)+'Fin Stat'!Y95+SUM('Fin Stat'!Y117:Y119)+'Fin Stat'!Y120)*Y$9</f>
        <v>0</v>
      </c>
      <c r="AA32" s="10">
        <f>(SUM('Fin Stat'!AA91:AA94)+'Fin Stat'!AA95+SUM('Fin Stat'!AA117:AA119)+'Fin Stat'!AA120)*AA$9</f>
        <v>0</v>
      </c>
      <c r="AB32" s="10">
        <f>(SUM('Fin Stat'!AB91:AB94)+'Fin Stat'!AB95+SUM('Fin Stat'!AB117:AB119)+'Fin Stat'!AB120)*AB$9</f>
        <v>0</v>
      </c>
      <c r="AC32" s="10">
        <f>(SUM('Fin Stat'!AC91:AC94)+'Fin Stat'!AC95+SUM('Fin Stat'!AC117:AC119)+'Fin Stat'!AC120)*AC$9</f>
        <v>0</v>
      </c>
      <c r="AD32" s="10">
        <f>(SUM('Fin Stat'!AD91:AD94)+'Fin Stat'!AD95+SUM('Fin Stat'!AD117:AD119)+'Fin Stat'!AD120)*AD$9</f>
        <v>0</v>
      </c>
      <c r="AE32" s="10">
        <f>(SUM('Fin Stat'!AE91:AE94)+'Fin Stat'!AE95+SUM('Fin Stat'!AE117:AE119)+'Fin Stat'!AE120)*AE$9</f>
        <v>0</v>
      </c>
      <c r="AF32" s="10">
        <f>(SUM('Fin Stat'!AF91:AF94)+'Fin Stat'!AF95+SUM('Fin Stat'!AF117:AF119)+'Fin Stat'!AF120)*AF$9</f>
        <v>0</v>
      </c>
      <c r="AG32" s="10">
        <f>(SUM('Fin Stat'!AG91:AG94)+'Fin Stat'!AG95+SUM('Fin Stat'!AG117:AG119)+'Fin Stat'!AG120)*AG$9</f>
        <v>0</v>
      </c>
      <c r="AH32" s="10">
        <f>(SUM('Fin Stat'!AH91:AH94)+'Fin Stat'!AH95+SUM('Fin Stat'!AH117:AH119)+'Fin Stat'!AH120)*AH$9</f>
        <v>0</v>
      </c>
      <c r="AI32" s="10">
        <f>(SUM('Fin Stat'!AI91:AI94)+'Fin Stat'!AI95+SUM('Fin Stat'!AI117:AI119)+'Fin Stat'!AI120)*AI$9</f>
        <v>0</v>
      </c>
      <c r="AJ32" s="10">
        <f>(SUM('Fin Stat'!AJ91:AJ94)+'Fin Stat'!AJ95+SUM('Fin Stat'!AJ117:AJ119)+'Fin Stat'!AJ120)*AJ$9</f>
        <v>0</v>
      </c>
      <c r="AK32" s="10">
        <f>(SUM('Fin Stat'!AK91:AK94)+'Fin Stat'!AK95+SUM('Fin Stat'!AK117:AK119)+'Fin Stat'!AK120)*AK$9</f>
        <v>0</v>
      </c>
      <c r="AL32" s="10">
        <f>(SUM('Fin Stat'!AL91:AL94)+'Fin Stat'!AL95+SUM('Fin Stat'!AL117:AL119)+'Fin Stat'!AL120)*AL$9</f>
        <v>0</v>
      </c>
      <c r="AM32" s="10">
        <f>(SUM('Fin Stat'!AM91:AM94)+'Fin Stat'!AM95+SUM('Fin Stat'!AM117:AM119)+'Fin Stat'!AM120)*AM$9</f>
        <v>0</v>
      </c>
      <c r="AN32" s="10">
        <f>(SUM('Fin Stat'!AN91:AN94)+'Fin Stat'!AN95+SUM('Fin Stat'!AN117:AN119)+'Fin Stat'!AN120)*AN$9</f>
        <v>0</v>
      </c>
      <c r="AO32" s="10">
        <f>(SUM('Fin Stat'!AO91:AO94)+'Fin Stat'!AO95+SUM('Fin Stat'!AO117:AO119)+'Fin Stat'!AO120)*AO$9</f>
        <v>0</v>
      </c>
      <c r="AP32" s="10">
        <f>(SUM('Fin Stat'!AP91:AP94)+'Fin Stat'!AP95+SUM('Fin Stat'!AP117:AP119)+'Fin Stat'!AP120)*AP$9</f>
        <v>0</v>
      </c>
      <c r="AQ32" s="10">
        <f>(SUM('Fin Stat'!AQ91:AQ94)+'Fin Stat'!AQ95+SUM('Fin Stat'!AQ117:AQ119)+'Fin Stat'!AQ120)*AQ$9</f>
        <v>0</v>
      </c>
      <c r="AR32" s="10">
        <f>(SUM('Fin Stat'!AR91:AR94)+'Fin Stat'!AR95+SUM('Fin Stat'!AR117:AR119)+'Fin Stat'!AR120)*AR$9</f>
        <v>0</v>
      </c>
      <c r="AS32" s="10">
        <f>(SUM('Fin Stat'!AS91:AS94)+'Fin Stat'!AS95+SUM('Fin Stat'!AS117:AS119)+'Fin Stat'!AS120)*AS$9</f>
        <v>0</v>
      </c>
      <c r="AT32" s="10">
        <f>(SUM('Fin Stat'!AT91:AT94)+'Fin Stat'!AT95+SUM('Fin Stat'!AT117:AT119)+'Fin Stat'!AT120)*AT$9</f>
        <v>0</v>
      </c>
      <c r="AU32" s="10">
        <f>(SUM('Fin Stat'!AU91:AU94)+'Fin Stat'!AU95+SUM('Fin Stat'!AU117:AU119)+'Fin Stat'!AU120)*AU$9</f>
        <v>0</v>
      </c>
      <c r="AV32" s="10">
        <f>(SUM('Fin Stat'!AV91:AV94)+'Fin Stat'!AV95+SUM('Fin Stat'!AV117:AV119)+'Fin Stat'!AV120)*AV$9</f>
        <v>0</v>
      </c>
      <c r="AW32" s="10">
        <f>(SUM('Fin Stat'!AW91:AW94)+'Fin Stat'!AW95+SUM('Fin Stat'!AW117:AW119)+'Fin Stat'!AW120)*AW$9</f>
        <v>0</v>
      </c>
      <c r="AX32" s="10">
        <f>(SUM('Fin Stat'!AX91:AX94)+'Fin Stat'!AX95+SUM('Fin Stat'!AX117:AX119)+'Fin Stat'!AX120)*AX$9</f>
        <v>0</v>
      </c>
      <c r="AY32" s="10">
        <f>(SUM('Fin Stat'!AY91:AY94)+'Fin Stat'!AY95+SUM('Fin Stat'!AY117:AY119)+'Fin Stat'!AY120)*AY$9</f>
        <v>0</v>
      </c>
      <c r="AZ32" s="10">
        <f>(SUM('Fin Stat'!AZ91:AZ94)+'Fin Stat'!AZ95+SUM('Fin Stat'!AZ117:AZ119)+'Fin Stat'!AZ120)*AZ$9</f>
        <v>0</v>
      </c>
      <c r="BA32" s="10">
        <f>(SUM('Fin Stat'!BA91:BA94)+'Fin Stat'!BA95+SUM('Fin Stat'!BA117:BA119)+'Fin Stat'!BA120)*BA$9</f>
        <v>0</v>
      </c>
      <c r="BB32" s="10">
        <f>(SUM('Fin Stat'!BB91:BB94)+'Fin Stat'!BB95+SUM('Fin Stat'!BB117:BB119)+'Fin Stat'!BB120)*BB$9</f>
        <v>0</v>
      </c>
      <c r="BC32" s="10">
        <f>(SUM('Fin Stat'!BC91:BC94)+'Fin Stat'!BC95+SUM('Fin Stat'!BC117:BC119)+'Fin Stat'!BC120)*BC$9</f>
        <v>0</v>
      </c>
      <c r="BD32" s="10">
        <f>(SUM('Fin Stat'!BD91:BD94)+'Fin Stat'!BD95+SUM('Fin Stat'!BD117:BD119)+'Fin Stat'!BD120)*BD$9</f>
        <v>0</v>
      </c>
      <c r="BE32" s="10">
        <f>(SUM('Fin Stat'!BE91:BE94)+'Fin Stat'!BE95+SUM('Fin Stat'!BE117:BE119)+'Fin Stat'!BE120)*BE$9</f>
        <v>0</v>
      </c>
      <c r="BF32" s="10">
        <f>(SUM('Fin Stat'!BF91:BF94)+'Fin Stat'!BF95+SUM('Fin Stat'!BF117:BF119)+'Fin Stat'!BF120)*BF$9</f>
        <v>0</v>
      </c>
      <c r="BG32" s="10">
        <f>(SUM('Fin Stat'!BG91:BG94)+'Fin Stat'!BG95+SUM('Fin Stat'!BG117:BG119)+'Fin Stat'!BG120)*BG$9</f>
        <v>0</v>
      </c>
      <c r="BH32" s="10">
        <f>(SUM('Fin Stat'!BH91:BH94)+'Fin Stat'!BH95+SUM('Fin Stat'!BH117:BH119)+'Fin Stat'!BH120)*BH$9</f>
        <v>0</v>
      </c>
      <c r="BI32" s="10">
        <f>(SUM('Fin Stat'!BI91:BI94)+'Fin Stat'!BI95+SUM('Fin Stat'!BI117:BI119)+'Fin Stat'!BI120)*BI$9</f>
        <v>0</v>
      </c>
      <c r="BJ32" s="10">
        <f>(SUM('Fin Stat'!BJ91:BJ94)+'Fin Stat'!BJ95+SUM('Fin Stat'!BJ117:BJ119)+'Fin Stat'!BJ120)*BJ$9</f>
        <v>0</v>
      </c>
      <c r="BX32" s="10">
        <f>(SUM('Fin Stat'!BX91:BX94)+'Fin Stat'!BX95+SUM('Fin Stat'!BX117:BX119)+'Fin Stat'!BX120)*BX$9</f>
        <v>0</v>
      </c>
      <c r="BY32" s="10">
        <f>(SUM('Fin Stat'!BY91:BY94)+'Fin Stat'!BY95+SUM('Fin Stat'!BY117:BY119)+'Fin Stat'!BY120)*BY$9</f>
        <v>0</v>
      </c>
      <c r="BZ32" s="10">
        <f>(SUM('Fin Stat'!BZ91:BZ94)+'Fin Stat'!BZ95+SUM('Fin Stat'!BZ117:BZ119)+'Fin Stat'!BZ120)*BZ$9</f>
        <v>0</v>
      </c>
      <c r="CA32" s="10">
        <f>(SUM('Fin Stat'!CA91:CA94)+'Fin Stat'!CA95+SUM('Fin Stat'!CA117:CA119)+'Fin Stat'!CA120)*CA$9</f>
        <v>0</v>
      </c>
      <c r="CB32" s="10">
        <f>(SUM('Fin Stat'!CB91:CB94)+'Fin Stat'!CB95+SUM('Fin Stat'!CB117:CB119)+'Fin Stat'!CB120)*CB$9</f>
        <v>0</v>
      </c>
      <c r="CC32" s="10">
        <f>(SUM('Fin Stat'!CC91:CC94)+'Fin Stat'!CC95+SUM('Fin Stat'!CC117:CC119)+'Fin Stat'!CC120)*CC$9</f>
        <v>0</v>
      </c>
      <c r="CD32" s="10">
        <f>(SUM('Fin Stat'!CD91:CD94)+'Fin Stat'!CD95+SUM('Fin Stat'!CD117:CD119)+'Fin Stat'!CD120)*CD$9</f>
        <v>0</v>
      </c>
      <c r="CE32" s="10">
        <f>(SUM('Fin Stat'!CE91:CE94)+'Fin Stat'!CE95+SUM('Fin Stat'!CE117:CE119)+'Fin Stat'!CE120)*CE$9</f>
        <v>0</v>
      </c>
      <c r="CF32" s="10">
        <f>(SUM('Fin Stat'!CF91:CF94)+'Fin Stat'!CF95+SUM('Fin Stat'!CF117:CF119)+'Fin Stat'!CF120)*CF$9</f>
        <v>0</v>
      </c>
      <c r="CG32" s="10">
        <f>(SUM('Fin Stat'!CG91:CG94)+'Fin Stat'!CG95+SUM('Fin Stat'!CG117:CG119)+'Fin Stat'!CG120)*CG$9</f>
        <v>0</v>
      </c>
      <c r="CH32" s="10">
        <f>(SUM('Fin Stat'!CH91:CH94)+'Fin Stat'!CH95+SUM('Fin Stat'!CH117:CH119)+'Fin Stat'!CH120)*CH$9</f>
        <v>0</v>
      </c>
      <c r="CI32" s="10">
        <f>(SUM('Fin Stat'!CI91:CI94)+'Fin Stat'!CI95+SUM('Fin Stat'!CI117:CI119)+'Fin Stat'!CI120)*CI$9</f>
        <v>0</v>
      </c>
      <c r="CK32" s="312"/>
      <c r="CM32" s="312"/>
      <c r="CN32" s="7">
        <f>IF(SUM($CQ32:$CT32)=0, 0, 1)</f>
        <v>0</v>
      </c>
      <c r="CP32" s="311"/>
      <c r="CQ32" s="215">
        <f t="shared" si="9"/>
        <v>0</v>
      </c>
      <c r="CR32" s="215">
        <f t="shared" si="9"/>
        <v>0</v>
      </c>
      <c r="CS32" s="215">
        <f t="shared" si="9"/>
        <v>0</v>
      </c>
      <c r="CT32" s="215">
        <f t="shared" si="9"/>
        <v>0</v>
      </c>
      <c r="EX32" s="10" t="str">
        <f>IF($C32="","",$D32)</f>
        <v>Borrowing</v>
      </c>
    </row>
    <row r="33" spans="1:154" x14ac:dyDescent="0.35">
      <c r="A33" s="537" cm="1">
        <f t="array" aca="1" ref="A33" ca="1">HYPERLINK(CONCATENATE("#",CELL("address",IF(MAX($CM33:$CP33)=0,A33,INDEX($CM33:$CP33,MATCH(1,$CM33:$CP33,0))))),MAX($CM33:$CP33))</f>
        <v>0</v>
      </c>
      <c r="C33" s="213" t="s">
        <v>1686</v>
      </c>
      <c r="D33" s="1" t="s">
        <v>1687</v>
      </c>
      <c r="G33" t="s">
        <v>758</v>
      </c>
      <c r="V33" s="55">
        <f>IF(V14=0, 0, V32/V14)</f>
        <v>0</v>
      </c>
      <c r="W33" s="55">
        <f>IF(W14=0, 0, W32/W14)</f>
        <v>0</v>
      </c>
      <c r="X33" s="55">
        <f>IF(X14=0, 0, X32/X14)</f>
        <v>0</v>
      </c>
      <c r="Y33" s="55">
        <f>IF(Y14=0, 0, Y32/Y14)</f>
        <v>0</v>
      </c>
      <c r="AA33" s="55">
        <f t="shared" ref="AA33:BJ33" si="10">IF(AA14=0, 0, AA32/AA14)</f>
        <v>0</v>
      </c>
      <c r="AB33" s="55">
        <f t="shared" si="10"/>
        <v>0</v>
      </c>
      <c r="AC33" s="55">
        <f t="shared" si="10"/>
        <v>0</v>
      </c>
      <c r="AD33" s="55">
        <f t="shared" si="10"/>
        <v>0</v>
      </c>
      <c r="AE33" s="55">
        <f t="shared" si="10"/>
        <v>0</v>
      </c>
      <c r="AF33" s="55">
        <f t="shared" si="10"/>
        <v>0</v>
      </c>
      <c r="AG33" s="55">
        <f t="shared" si="10"/>
        <v>0</v>
      </c>
      <c r="AH33" s="55">
        <f t="shared" si="10"/>
        <v>0</v>
      </c>
      <c r="AI33" s="55">
        <f t="shared" si="10"/>
        <v>0</v>
      </c>
      <c r="AJ33" s="55">
        <f t="shared" si="10"/>
        <v>0</v>
      </c>
      <c r="AK33" s="55">
        <f t="shared" si="10"/>
        <v>0</v>
      </c>
      <c r="AL33" s="55">
        <f t="shared" si="10"/>
        <v>0</v>
      </c>
      <c r="AM33" s="55">
        <f t="shared" si="10"/>
        <v>0</v>
      </c>
      <c r="AN33" s="55">
        <f t="shared" si="10"/>
        <v>0</v>
      </c>
      <c r="AO33" s="55">
        <f t="shared" si="10"/>
        <v>0</v>
      </c>
      <c r="AP33" s="55">
        <f t="shared" si="10"/>
        <v>0</v>
      </c>
      <c r="AQ33" s="55">
        <f t="shared" si="10"/>
        <v>0</v>
      </c>
      <c r="AR33" s="55">
        <f t="shared" si="10"/>
        <v>0</v>
      </c>
      <c r="AS33" s="55">
        <f t="shared" si="10"/>
        <v>0</v>
      </c>
      <c r="AT33" s="55">
        <f t="shared" si="10"/>
        <v>0</v>
      </c>
      <c r="AU33" s="55">
        <f t="shared" si="10"/>
        <v>0</v>
      </c>
      <c r="AV33" s="55">
        <f t="shared" si="10"/>
        <v>0</v>
      </c>
      <c r="AW33" s="55">
        <f t="shared" si="10"/>
        <v>0</v>
      </c>
      <c r="AX33" s="55">
        <f t="shared" si="10"/>
        <v>0</v>
      </c>
      <c r="AY33" s="55">
        <f t="shared" si="10"/>
        <v>0</v>
      </c>
      <c r="AZ33" s="55">
        <f t="shared" si="10"/>
        <v>0</v>
      </c>
      <c r="BA33" s="55">
        <f t="shared" si="10"/>
        <v>0</v>
      </c>
      <c r="BB33" s="55">
        <f t="shared" si="10"/>
        <v>0</v>
      </c>
      <c r="BC33" s="55">
        <f t="shared" si="10"/>
        <v>0</v>
      </c>
      <c r="BD33" s="55">
        <f t="shared" si="10"/>
        <v>0</v>
      </c>
      <c r="BE33" s="55">
        <f t="shared" si="10"/>
        <v>0</v>
      </c>
      <c r="BF33" s="55">
        <f t="shared" si="10"/>
        <v>0</v>
      </c>
      <c r="BG33" s="55">
        <f t="shared" si="10"/>
        <v>0</v>
      </c>
      <c r="BH33" s="55">
        <f t="shared" si="10"/>
        <v>0</v>
      </c>
      <c r="BI33" s="55">
        <f t="shared" si="10"/>
        <v>0</v>
      </c>
      <c r="BJ33" s="55">
        <f t="shared" si="10"/>
        <v>0</v>
      </c>
      <c r="BX33" s="55">
        <f t="shared" ref="BX33:CI33" si="11">IF(BX14=0, 0, BX32/BX14)</f>
        <v>0</v>
      </c>
      <c r="BY33" s="55">
        <f t="shared" si="11"/>
        <v>0</v>
      </c>
      <c r="BZ33" s="55">
        <f t="shared" si="11"/>
        <v>0</v>
      </c>
      <c r="CA33" s="55">
        <f t="shared" si="11"/>
        <v>0</v>
      </c>
      <c r="CB33" s="55">
        <f t="shared" si="11"/>
        <v>0</v>
      </c>
      <c r="CC33" s="55">
        <f t="shared" si="11"/>
        <v>0</v>
      </c>
      <c r="CD33" s="55">
        <f t="shared" si="11"/>
        <v>0</v>
      </c>
      <c r="CE33" s="55">
        <f t="shared" si="11"/>
        <v>0</v>
      </c>
      <c r="CF33" s="55">
        <f t="shared" si="11"/>
        <v>0</v>
      </c>
      <c r="CG33" s="55">
        <f t="shared" si="11"/>
        <v>0</v>
      </c>
      <c r="CH33" s="55">
        <f t="shared" si="11"/>
        <v>0</v>
      </c>
      <c r="CI33" s="55">
        <f t="shared" si="11"/>
        <v>0</v>
      </c>
      <c r="CK33" s="312"/>
      <c r="CM33" s="312"/>
      <c r="CN33" s="7">
        <f>IF(SUM($CQ33:$CT33)=0, 0, 1)</f>
        <v>0</v>
      </c>
      <c r="CP33" s="311"/>
      <c r="CQ33" s="549">
        <f t="shared" si="9"/>
        <v>0</v>
      </c>
      <c r="CR33" s="549">
        <f t="shared" si="9"/>
        <v>0</v>
      </c>
      <c r="CS33" s="549">
        <f t="shared" si="9"/>
        <v>0</v>
      </c>
      <c r="CT33" s="549">
        <f t="shared" si="9"/>
        <v>0</v>
      </c>
      <c r="EX33" s="12" t="str">
        <f>'Financial Health'!$EW$16</f>
        <v>Financial Health Grading Borrowing as a % of adjusted income</v>
      </c>
    </row>
    <row r="34" spans="1:154" x14ac:dyDescent="0.35">
      <c r="A34" s="537" cm="1">
        <f t="array" aca="1" ref="A34" ca="1">HYPERLINK(CONCATENATE("#",CELL("address",IF(MAX($CM34:$CP34)=0,A34,INDEX($CM34:$CP34,MATCH(1,$CM34:$CP34,0))))),MAX($CM34:$CP34))</f>
        <v>0</v>
      </c>
      <c r="C34" s="213" t="s">
        <v>1688</v>
      </c>
      <c r="D34" s="1" t="s">
        <v>1689</v>
      </c>
      <c r="G34" t="s">
        <v>758</v>
      </c>
      <c r="V34" s="55">
        <f>IF(V14=0, 0, -('Fin Stat'!V198+'Fin Stat'!V200)/V14)*V$9</f>
        <v>0</v>
      </c>
      <c r="W34" s="55">
        <f>IF(W14=0, 0, -('Fin Stat'!W198+'Fin Stat'!W200)/W14)*W$9</f>
        <v>0</v>
      </c>
      <c r="X34" s="55">
        <f>IF(X14=0, 0, -('Fin Stat'!X198+'Fin Stat'!X200)/X14)*X$9</f>
        <v>0</v>
      </c>
      <c r="Y34" s="55">
        <f>IF(Y14=0, 0, -('Fin Stat'!Y198+'Fin Stat'!Y200)/Y14)*Y$9</f>
        <v>0</v>
      </c>
      <c r="AB34" s="546"/>
      <c r="BX34" s="55">
        <f>IF(BX14=0, 0, -('Fin Stat'!BX198+'Fin Stat'!BX200)/BX14)*BX$9</f>
        <v>0</v>
      </c>
      <c r="BY34" s="55">
        <f>IF(BY14=0, 0, -('Fin Stat'!BY198+'Fin Stat'!BY200)/BY14)*BY$9</f>
        <v>0</v>
      </c>
      <c r="BZ34" s="55">
        <f>IF(BZ14=0, 0, -('Fin Stat'!BZ198+'Fin Stat'!BZ200)/BZ14)*BZ$9</f>
        <v>0</v>
      </c>
      <c r="CA34" s="55">
        <f>IF(CA14=0, 0, -('Fin Stat'!CA198+'Fin Stat'!CA200)/CA14)*CA$9</f>
        <v>0</v>
      </c>
      <c r="CB34" s="55">
        <f>IF(CB14=0, 0, -('Fin Stat'!CB198+'Fin Stat'!CB200)/CB14)*CB$9</f>
        <v>0</v>
      </c>
      <c r="CC34" s="55">
        <f>IF(CC14=0, 0, -('Fin Stat'!CC198+'Fin Stat'!CC200)/CC14)*CC$9</f>
        <v>0</v>
      </c>
      <c r="CD34" s="55">
        <f>IF(CD14=0, 0, -('Fin Stat'!CD198+'Fin Stat'!CD200)/CD14)*CD$9</f>
        <v>0</v>
      </c>
      <c r="CE34" s="55">
        <f>IF(CE14=0, 0, -('Fin Stat'!CE198+'Fin Stat'!CE200)/CE14)*CE$9</f>
        <v>0</v>
      </c>
      <c r="CF34" s="55">
        <f>IF(CF14=0, 0, -('Fin Stat'!CF198+'Fin Stat'!CF200)/CF14)*CF$9</f>
        <v>0</v>
      </c>
      <c r="CG34" s="55">
        <f>IF(CG14=0, 0, -('Fin Stat'!CG198+'Fin Stat'!CG200)/CG14)*CG$9</f>
        <v>0</v>
      </c>
      <c r="CH34" s="55">
        <f>IF(CH14=0, 0, -('Fin Stat'!CH198+'Fin Stat'!CH200)/CH14)*CH$9</f>
        <v>0</v>
      </c>
      <c r="CI34" s="55">
        <f>IF(CI14=0, 0, -('Fin Stat'!CI198+'Fin Stat'!CI200)/CI14)*CI$9</f>
        <v>0</v>
      </c>
      <c r="CK34" s="312"/>
      <c r="CM34" s="312"/>
      <c r="CN34" s="7">
        <f>IF(SUM($CQ34:$CT34)=0, 0, 1)</f>
        <v>0</v>
      </c>
      <c r="CP34" s="311"/>
      <c r="CQ34" s="549">
        <f t="shared" si="9"/>
        <v>0</v>
      </c>
      <c r="CR34" s="549">
        <f t="shared" si="9"/>
        <v>0</v>
      </c>
      <c r="CS34" s="549">
        <f t="shared" si="9"/>
        <v>0</v>
      </c>
      <c r="CT34" s="549">
        <f t="shared" si="9"/>
        <v>0</v>
      </c>
      <c r="EX34" s="10" t="str">
        <f t="shared" ref="EX34:EX69" si="12">IF($C34="","",$D34)</f>
        <v>Interest as a % of adjusted income</v>
      </c>
    </row>
    <row r="35" spans="1:154" ht="8.25" customHeight="1" x14ac:dyDescent="0.35">
      <c r="C35" s="213"/>
      <c r="E35"/>
      <c r="CK35" s="311"/>
      <c r="CM35" s="311"/>
      <c r="CP35" s="311"/>
      <c r="EX35" s="10" t="str">
        <f t="shared" si="12"/>
        <v/>
      </c>
    </row>
    <row r="36" spans="1:154" x14ac:dyDescent="0.35">
      <c r="B36" s="5"/>
      <c r="C36" s="213"/>
      <c r="D36" s="24" t="s">
        <v>1690</v>
      </c>
      <c r="CK36" s="312"/>
      <c r="CM36" s="312"/>
      <c r="CP36" s="311"/>
      <c r="EX36" s="10" t="str">
        <f t="shared" si="12"/>
        <v/>
      </c>
    </row>
    <row r="37" spans="1:154" x14ac:dyDescent="0.35">
      <c r="A37" s="537" cm="1">
        <f t="array" aca="1" ref="A37" ca="1">HYPERLINK(CONCATENATE("#",CELL("address",IF(MAX($CM37:$CP37)=0,A37,INDEX($CM37:$CP37,MATCH(1,$CM37:$CP37,0))))),MAX($CM37:$CP37))</f>
        <v>0</v>
      </c>
      <c r="C37" s="213" t="str">
        <f>'Fin Stat'!C56</f>
        <v>FS-IE-6</v>
      </c>
      <c r="D37" s="1" t="s">
        <v>454</v>
      </c>
      <c r="G37" t="s">
        <v>1655</v>
      </c>
      <c r="V37" s="10">
        <f>'Fin Stat'!V56</f>
        <v>0</v>
      </c>
      <c r="W37" s="10">
        <f>'Fin Stat'!W56</f>
        <v>0</v>
      </c>
      <c r="X37" s="10">
        <f>'Fin Stat'!X56</f>
        <v>0</v>
      </c>
      <c r="Y37" s="10">
        <f>'Fin Stat'!Y56</f>
        <v>0</v>
      </c>
      <c r="BX37" s="10">
        <f>'Fin Stat'!BX56</f>
        <v>0</v>
      </c>
      <c r="BY37" s="10">
        <f>'Fin Stat'!BY56</f>
        <v>0</v>
      </c>
      <c r="BZ37" s="10">
        <f>'Fin Stat'!BZ56</f>
        <v>0</v>
      </c>
      <c r="CA37" s="10">
        <f>'Fin Stat'!CA56</f>
        <v>0</v>
      </c>
      <c r="CB37" s="10">
        <f>'Fin Stat'!CB56</f>
        <v>0</v>
      </c>
      <c r="CC37" s="10">
        <f>'Fin Stat'!CC56</f>
        <v>0</v>
      </c>
      <c r="CD37" s="10">
        <f>'Fin Stat'!CD56</f>
        <v>0</v>
      </c>
      <c r="CE37" s="10">
        <f>'Fin Stat'!CE56</f>
        <v>0</v>
      </c>
      <c r="CF37" s="10">
        <f>'Fin Stat'!CF56</f>
        <v>0</v>
      </c>
      <c r="CG37" s="10">
        <f>'Fin Stat'!CG56</f>
        <v>0</v>
      </c>
      <c r="CH37" s="10">
        <f>'Fin Stat'!CH56</f>
        <v>0</v>
      </c>
      <c r="CI37" s="10">
        <f>'Fin Stat'!CI56</f>
        <v>0</v>
      </c>
      <c r="CK37" s="312"/>
      <c r="CM37" s="312"/>
      <c r="CN37" s="7">
        <f t="shared" ref="CN37:CN46" si="13">IF(SUM($CQ37:$CT37)=0, 0, 1)</f>
        <v>0</v>
      </c>
      <c r="CP37" s="311"/>
      <c r="CQ37" s="215">
        <f t="shared" ref="CQ37:CQ46" si="14">ROUND(BX37-V37, rounding)</f>
        <v>0</v>
      </c>
      <c r="CR37" s="215">
        <f t="shared" ref="CR37:CR46" si="15">ROUND(BY37-W37, rounding)</f>
        <v>0</v>
      </c>
      <c r="CS37" s="215">
        <f t="shared" ref="CS37:CS46" si="16">ROUND(BZ37-X37, rounding)</f>
        <v>0</v>
      </c>
      <c r="CT37" s="215">
        <f t="shared" ref="CT37:CT46" si="17">ROUND(CA37-Y37, rounding)</f>
        <v>0</v>
      </c>
      <c r="EX37" s="10" t="str">
        <f t="shared" si="12"/>
        <v>Total surplus/(deficit) for the year</v>
      </c>
    </row>
    <row r="38" spans="1:154" x14ac:dyDescent="0.35">
      <c r="A38" s="537" cm="1">
        <f t="array" aca="1" ref="A38" ca="1">HYPERLINK(CONCATENATE("#",CELL("address",IF(MAX($CM38:$CP38)=0,A38,INDEX($CM38:$CP38,MATCH(1,$CM38:$CP38,0))))),MAX($CM38:$CP38))</f>
        <v>0</v>
      </c>
      <c r="C38" s="213" t="s">
        <v>1691</v>
      </c>
      <c r="D38" s="1" t="s">
        <v>1692</v>
      </c>
      <c r="G38" t="s">
        <v>758</v>
      </c>
      <c r="V38" s="55">
        <f>IF(V$14=0, 0, V37/V$14)</f>
        <v>0</v>
      </c>
      <c r="W38" s="55">
        <f>IF(W$14=0, 0, W37/W$14)</f>
        <v>0</v>
      </c>
      <c r="X38" s="55">
        <f>IF(X$14=0, 0, X37/X$14)</f>
        <v>0</v>
      </c>
      <c r="Y38" s="55">
        <f>IF(Y$14=0, 0, Y37/Y$14)</f>
        <v>0</v>
      </c>
      <c r="BX38" s="55">
        <f t="shared" ref="BX38:CI38" si="18">IF(BX$14=0, 0, BX37/BX$14)</f>
        <v>0</v>
      </c>
      <c r="BY38" s="55">
        <f t="shared" si="18"/>
        <v>0</v>
      </c>
      <c r="BZ38" s="55">
        <f t="shared" si="18"/>
        <v>0</v>
      </c>
      <c r="CA38" s="55">
        <f t="shared" si="18"/>
        <v>0</v>
      </c>
      <c r="CB38" s="55">
        <f t="shared" si="18"/>
        <v>0</v>
      </c>
      <c r="CC38" s="55">
        <f t="shared" si="18"/>
        <v>0</v>
      </c>
      <c r="CD38" s="55">
        <f t="shared" si="18"/>
        <v>0</v>
      </c>
      <c r="CE38" s="55">
        <f t="shared" si="18"/>
        <v>0</v>
      </c>
      <c r="CF38" s="55">
        <f t="shared" si="18"/>
        <v>0</v>
      </c>
      <c r="CG38" s="55">
        <f t="shared" si="18"/>
        <v>0</v>
      </c>
      <c r="CH38" s="55">
        <f t="shared" si="18"/>
        <v>0</v>
      </c>
      <c r="CI38" s="55">
        <f t="shared" si="18"/>
        <v>0</v>
      </c>
      <c r="CK38" s="312"/>
      <c r="CM38" s="312"/>
      <c r="CN38" s="7">
        <f t="shared" si="13"/>
        <v>0</v>
      </c>
      <c r="CP38" s="311"/>
      <c r="CQ38" s="549">
        <f t="shared" si="14"/>
        <v>0</v>
      </c>
      <c r="CR38" s="549">
        <f t="shared" si="15"/>
        <v>0</v>
      </c>
      <c r="CS38" s="549">
        <f t="shared" si="16"/>
        <v>0</v>
      </c>
      <c r="CT38" s="549">
        <f t="shared" si="17"/>
        <v>0</v>
      </c>
      <c r="EX38" s="10" t="str">
        <f t="shared" si="12"/>
        <v>Total surplus/(deficit) as a % of adjusted income</v>
      </c>
    </row>
    <row r="39" spans="1:154" x14ac:dyDescent="0.35">
      <c r="A39" s="537" cm="1">
        <f t="array" aca="1" ref="A39" ca="1">HYPERLINK(CONCATENATE("#",CELL("address",IF(MAX($CM39:$CP39)=0,A39,INDEX($CM39:$CP39,MATCH(1,$CM39:$CP39,0))))),MAX($CM39:$CP39))</f>
        <v>0</v>
      </c>
      <c r="B39" s="85" t="s">
        <v>122</v>
      </c>
      <c r="C39" s="213" t="s">
        <v>1693</v>
      </c>
      <c r="D39" s="1" t="s">
        <v>1694</v>
      </c>
      <c r="G39" t="s">
        <v>758</v>
      </c>
      <c r="V39" s="550">
        <f>IFERROR('Fin Stat'!BX$60/V14,0)</f>
        <v>0</v>
      </c>
      <c r="W39" s="550">
        <f>IFERROR('Fin Stat'!BY$60/W14,0)</f>
        <v>0</v>
      </c>
      <c r="X39" s="550">
        <f>IFERROR('Fin Stat'!BZ$60/X14,0)</f>
        <v>0</v>
      </c>
      <c r="Y39" s="550">
        <f>IFERROR('Fin Stat'!CA$60/Y14,0)</f>
        <v>0</v>
      </c>
      <c r="BX39" s="55">
        <f>IFERROR('Fin Stat'!BX$60/BX14,0)</f>
        <v>0</v>
      </c>
      <c r="BY39" s="55">
        <f>IFERROR('Fin Stat'!BY$60/BY14,0)</f>
        <v>0</v>
      </c>
      <c r="BZ39" s="55">
        <f>IFERROR('Fin Stat'!BZ$60/BZ14,0)</f>
        <v>0</v>
      </c>
      <c r="CA39" s="55">
        <f>IFERROR('Fin Stat'!CA$60/CA14,0)</f>
        <v>0</v>
      </c>
      <c r="CB39" s="55">
        <f>IFERROR('Fin Stat'!CB$60/CB14,0)</f>
        <v>0</v>
      </c>
      <c r="CC39" s="55">
        <f>IFERROR('Fin Stat'!CC$60/CC14,0)</f>
        <v>0</v>
      </c>
      <c r="CD39" s="55">
        <f>IFERROR('Fin Stat'!CD$60/CD14,0)</f>
        <v>0</v>
      </c>
      <c r="CE39" s="55">
        <f>IFERROR('Fin Stat'!CE$60/CE14,0)</f>
        <v>0</v>
      </c>
      <c r="CF39" s="55">
        <f>IFERROR('Fin Stat'!CF$60/CF14,0)</f>
        <v>0</v>
      </c>
      <c r="CG39" s="55">
        <f>IFERROR('Fin Stat'!CG$60/CG14,0)</f>
        <v>0</v>
      </c>
      <c r="CH39" s="55">
        <f>IFERROR('Fin Stat'!CH$60/CH14,0)</f>
        <v>0</v>
      </c>
      <c r="CI39" s="55">
        <f>IFERROR('Fin Stat'!CI$60/CI14,0)</f>
        <v>0</v>
      </c>
      <c r="CK39" s="312"/>
      <c r="CM39" s="312"/>
      <c r="CN39" s="7">
        <f t="shared" si="13"/>
        <v>0</v>
      </c>
      <c r="CP39" s="311"/>
      <c r="CQ39" s="549">
        <f t="shared" si="14"/>
        <v>0</v>
      </c>
      <c r="CR39" s="549">
        <f t="shared" si="15"/>
        <v>0</v>
      </c>
      <c r="CS39" s="549">
        <f t="shared" si="16"/>
        <v>0</v>
      </c>
      <c r="CT39" s="549">
        <f t="shared" si="17"/>
        <v>0</v>
      </c>
      <c r="EX39" s="10" t="str">
        <f t="shared" si="12"/>
        <v>Total comprehensive income as a % of adjusted income</v>
      </c>
    </row>
    <row r="40" spans="1:154" x14ac:dyDescent="0.35">
      <c r="A40" s="537" cm="1">
        <f t="array" aca="1" ref="A40" ca="1">HYPERLINK(CONCATENATE("#",CELL("address",IF(MAX($CM40:$CP40)=0,A40,INDEX($CM40:$CP40,MATCH(1,$CM40:$CP40,0))))),MAX($CM40:$CP40))</f>
        <v>0</v>
      </c>
      <c r="B40" s="85" t="s">
        <v>122</v>
      </c>
      <c r="C40" s="213" t="s">
        <v>1695</v>
      </c>
      <c r="D40" s="1" t="s">
        <v>1696</v>
      </c>
      <c r="G40" t="s">
        <v>758</v>
      </c>
      <c r="V40" s="55">
        <f>IF(V14=0, 0, ('Fin Stat'!V136+'BS Forecasts'!V217+'BS Forecasts'!V226+'BS Forecasts'!V236)/V14)*V$9</f>
        <v>0</v>
      </c>
      <c r="W40" s="55">
        <f>IF(W14=0, 0, ('Fin Stat'!W136+'BS Forecasts'!W217+'BS Forecasts'!W226+'BS Forecasts'!W236)/W14)*W$9</f>
        <v>0</v>
      </c>
      <c r="X40" s="55">
        <f>IF(X14=0, 0, ('Fin Stat'!X136+'BS Forecasts'!X217+'BS Forecasts'!X226+'BS Forecasts'!X236)/X14)*X$9</f>
        <v>0</v>
      </c>
      <c r="Y40" s="55">
        <f>IF(Y14=0, 0, ('Fin Stat'!Y136+'BS Forecasts'!Y217+'BS Forecasts'!Y226+'BS Forecasts'!Y236)/Y14)*Y$9</f>
        <v>0</v>
      </c>
      <c r="BX40" s="55">
        <f>IF(BX14=0, 0, ('Fin Stat'!BX136+'BS Forecasts'!BX217+'BS Forecasts'!BX226+'BS Forecasts'!BX236)/BX14)*BX$9</f>
        <v>0</v>
      </c>
      <c r="BY40" s="55">
        <f>IF(BY14=0, 0, ('Fin Stat'!BY136+'BS Forecasts'!BY217+'BS Forecasts'!BY226+'BS Forecasts'!BY236)/BY14)*BY$9</f>
        <v>0</v>
      </c>
      <c r="BZ40" s="55">
        <f>IF(BZ14=0, 0, ('Fin Stat'!BZ136+'BS Forecasts'!BZ217+'BS Forecasts'!BZ226+'BS Forecasts'!BZ236)/BZ14)*BZ$9</f>
        <v>0</v>
      </c>
      <c r="CA40" s="55">
        <f>IF(CA14=0, 0, ('Fin Stat'!CA136+'BS Forecasts'!CA217+'BS Forecasts'!CA226+'BS Forecasts'!CA236)/CA14)*CA$9</f>
        <v>0</v>
      </c>
      <c r="CB40" s="55">
        <f>IF(CB14=0, 0, ('Fin Stat'!CB136+'BS Forecasts'!CB217+'BS Forecasts'!CB226+'BS Forecasts'!CB236)/CB14)*CB$9</f>
        <v>0</v>
      </c>
      <c r="CC40" s="55">
        <f>IF(CC14=0, 0, ('Fin Stat'!CC136+'BS Forecasts'!CC217+'BS Forecasts'!CC226+'BS Forecasts'!CC236)/CC14)*CC$9</f>
        <v>0</v>
      </c>
      <c r="CD40" s="55">
        <f>IF(CD14=0, 0, ('Fin Stat'!CD136+'BS Forecasts'!CD217+'BS Forecasts'!CD226+'BS Forecasts'!CD236)/CD14)*CD$9</f>
        <v>0</v>
      </c>
      <c r="CE40" s="55">
        <f>IF(CE14=0, 0, ('Fin Stat'!CE136+'BS Forecasts'!CE217+'BS Forecasts'!CE226+'BS Forecasts'!CE236)/CE14)*CE$9</f>
        <v>0</v>
      </c>
      <c r="CF40" s="55">
        <f>IF(CF14=0, 0, ('Fin Stat'!CF136+'BS Forecasts'!CF217+'BS Forecasts'!CF226+'BS Forecasts'!CF236)/CF14)*CF$9</f>
        <v>0</v>
      </c>
      <c r="CG40" s="55">
        <f>IF(CG14=0, 0, ('Fin Stat'!CG136+'BS Forecasts'!CG217+'BS Forecasts'!CG226+'BS Forecasts'!CG236)/CG14)*CG$9</f>
        <v>0</v>
      </c>
      <c r="CH40" s="55">
        <f>IF(CH14=0, 0, ('Fin Stat'!CH136+'BS Forecasts'!CH217+'BS Forecasts'!CH226+'BS Forecasts'!CH236)/CH14)*CH$9</f>
        <v>0</v>
      </c>
      <c r="CI40" s="55">
        <f>IF(CI14=0, 0, ('Fin Stat'!CI136+'BS Forecasts'!CI217+'BS Forecasts'!CI226+'BS Forecasts'!CI236)/CI14)*CI$9</f>
        <v>0</v>
      </c>
      <c r="CK40" s="312"/>
      <c r="CM40" s="312"/>
      <c r="CN40" s="7">
        <f t="shared" si="13"/>
        <v>0</v>
      </c>
      <c r="CP40" s="311"/>
      <c r="CQ40" s="549">
        <f t="shared" si="14"/>
        <v>0</v>
      </c>
      <c r="CR40" s="549">
        <f t="shared" si="15"/>
        <v>0</v>
      </c>
      <c r="CS40" s="549">
        <f t="shared" si="16"/>
        <v>0</v>
      </c>
      <c r="CT40" s="549">
        <f t="shared" si="17"/>
        <v>0</v>
      </c>
      <c r="EX40" s="10" t="str">
        <f t="shared" si="12"/>
        <v>Available reserves as a % of adjusted income</v>
      </c>
    </row>
    <row r="41" spans="1:154" x14ac:dyDescent="0.35">
      <c r="A41" s="537" cm="1">
        <f t="array" aca="1" ref="A41" ca="1">HYPERLINK(CONCATENATE("#",CELL("address",IF(MAX($CM41:$CP41)=0,A41,INDEX($CM41:$CP41,MATCH(1,$CM41:$CP41,0))))),MAX($CM41:$CP41))</f>
        <v>0</v>
      </c>
      <c r="B41" s="85" t="s">
        <v>122</v>
      </c>
      <c r="C41" s="213" t="s">
        <v>1697</v>
      </c>
      <c r="D41" s="1" t="s">
        <v>1698</v>
      </c>
      <c r="G41" t="s">
        <v>1655</v>
      </c>
      <c r="V41" s="12">
        <f>('Fin Stat'!V47-'Fin Stat'!V22+'Fin Stat'!V43+'Fin Stat'!V44+'I&amp;E Annual'!BX113+'I&amp;E Annual'!BX180)*V$9</f>
        <v>0</v>
      </c>
      <c r="W41" s="12">
        <f>('Fin Stat'!W47-'Fin Stat'!W22+'Fin Stat'!W43+'Fin Stat'!W44+'I&amp;E Annual'!BY113+'I&amp;E Annual'!BY180)*W$9</f>
        <v>0</v>
      </c>
      <c r="X41" s="12">
        <f>('Fin Stat'!X47-'Fin Stat'!X22+'Fin Stat'!X43+'Fin Stat'!X44+'I&amp;E Annual'!BZ113+'I&amp;E Annual'!BZ180)*X$9</f>
        <v>0</v>
      </c>
      <c r="Y41" s="12">
        <f>('Fin Stat'!Y47-'Fin Stat'!Y22+'Fin Stat'!Y43+'Fin Stat'!Y44+'I&amp;E Annual'!CA113+'I&amp;E Annual'!CA180)*Y$9</f>
        <v>0</v>
      </c>
      <c r="BX41" s="10">
        <f>('Fin Stat'!BX47-'Fin Stat'!BX22+'Fin Stat'!BX43+'Fin Stat'!BX44+'I&amp;E Annual'!BX113+'I&amp;E Annual'!BX180)*BX$9</f>
        <v>0</v>
      </c>
      <c r="BY41" s="10">
        <f>('Fin Stat'!BY47-'Fin Stat'!BY22+'Fin Stat'!BY43+'Fin Stat'!BY44+'I&amp;E Annual'!BY113+'I&amp;E Annual'!BY180)*BY$9</f>
        <v>0</v>
      </c>
      <c r="BZ41" s="10">
        <f>('Fin Stat'!BZ47-'Fin Stat'!BZ22+'Fin Stat'!BZ43+'Fin Stat'!BZ44+'I&amp;E Annual'!BZ113+'I&amp;E Annual'!BZ180)*BZ$9</f>
        <v>0</v>
      </c>
      <c r="CA41" s="10">
        <f>('Fin Stat'!CA47-'Fin Stat'!CA22+'Fin Stat'!CA43+'Fin Stat'!CA44+'I&amp;E Annual'!CA113+'I&amp;E Annual'!CA180)*CA$9</f>
        <v>0</v>
      </c>
      <c r="CB41" s="10">
        <f>('Fin Stat'!CB47-'Fin Stat'!CB22+'Fin Stat'!CB43+'Fin Stat'!CB44+'I&amp;E Annual'!CB113+'I&amp;E Annual'!CB180)*CB$9</f>
        <v>0</v>
      </c>
      <c r="CC41" s="10">
        <f>('Fin Stat'!CC47-'Fin Stat'!CC22+'Fin Stat'!CC43+'Fin Stat'!CC44+'I&amp;E Annual'!CC113+'I&amp;E Annual'!CC180)*CC$9</f>
        <v>0</v>
      </c>
      <c r="CD41" s="10">
        <f>('Fin Stat'!CD47-'Fin Stat'!CD22+'Fin Stat'!CD43+'Fin Stat'!CD44+'I&amp;E Annual'!CD113+'I&amp;E Annual'!CD180)*CD$9</f>
        <v>0</v>
      </c>
      <c r="CE41" s="10">
        <f>('Fin Stat'!CE47-'Fin Stat'!CE22+'Fin Stat'!CE43+'Fin Stat'!CE44+'I&amp;E Annual'!CE113+'I&amp;E Annual'!CE180)*CE$9</f>
        <v>0</v>
      </c>
      <c r="CF41" s="10">
        <f>('Fin Stat'!CF47-'Fin Stat'!CF22+'Fin Stat'!CF43+'Fin Stat'!CF44+'I&amp;E Annual'!CF113+'I&amp;E Annual'!CF180)*CF$9</f>
        <v>0</v>
      </c>
      <c r="CG41" s="10">
        <f>('Fin Stat'!CG47-'Fin Stat'!CG22+'Fin Stat'!CG43+'Fin Stat'!CG44+'I&amp;E Annual'!CG113+'I&amp;E Annual'!CG180)*CG$9</f>
        <v>0</v>
      </c>
      <c r="CH41" s="10">
        <f>('Fin Stat'!CH47-'Fin Stat'!CH22+'Fin Stat'!CH43+'Fin Stat'!CH44+'I&amp;E Annual'!CH113+'I&amp;E Annual'!CH180)*CH$9</f>
        <v>0</v>
      </c>
      <c r="CI41" s="10">
        <f>('Fin Stat'!CI47-'Fin Stat'!CI22+'Fin Stat'!CI43+'Fin Stat'!CI44+'I&amp;E Annual'!CI113+'I&amp;E Annual'!CI180)*CI$9</f>
        <v>0</v>
      </c>
      <c r="CK41" s="312"/>
      <c r="CM41" s="312"/>
      <c r="CN41" s="7">
        <f t="shared" si="13"/>
        <v>0</v>
      </c>
      <c r="CP41" s="311"/>
      <c r="CQ41" s="215">
        <f t="shared" si="14"/>
        <v>0</v>
      </c>
      <c r="CR41" s="215">
        <f t="shared" si="15"/>
        <v>0</v>
      </c>
      <c r="CS41" s="215">
        <f t="shared" si="16"/>
        <v>0</v>
      </c>
      <c r="CT41" s="215">
        <f t="shared" si="17"/>
        <v>0</v>
      </c>
      <c r="EX41" s="10" t="str">
        <f t="shared" si="12"/>
        <v>Adjusted Operating Surplus (Deficit)</v>
      </c>
    </row>
    <row r="42" spans="1:154" x14ac:dyDescent="0.35">
      <c r="A42" s="537" cm="1">
        <f t="array" aca="1" ref="A42" ca="1">HYPERLINK(CONCATENATE("#",CELL("address",IF(MAX($CM42:$CP42)=0,A42,INDEX($CM42:$CP42,MATCH(1,$CM42:$CP42,0))))),MAX($CM42:$CP42))</f>
        <v>0</v>
      </c>
      <c r="C42" s="213" t="s">
        <v>1699</v>
      </c>
      <c r="D42" s="1" t="s">
        <v>1700</v>
      </c>
      <c r="G42" t="s">
        <v>758</v>
      </c>
      <c r="V42" s="55">
        <f>IF(V$14=0, 0, V41/V$14)</f>
        <v>0</v>
      </c>
      <c r="W42" s="55">
        <f>IF(W$14=0, 0, W41/W$14)</f>
        <v>0</v>
      </c>
      <c r="X42" s="55">
        <f>IF(X$14=0, 0, X41/X$14)</f>
        <v>0</v>
      </c>
      <c r="Y42" s="55">
        <f>IF(Y$14=0, 0, Y41/Y$14)</f>
        <v>0</v>
      </c>
      <c r="BX42" s="55">
        <f t="shared" ref="BX42:CI42" si="19">IF(BX$14=0, 0, BX41/BX$14)</f>
        <v>0</v>
      </c>
      <c r="BY42" s="55">
        <f t="shared" si="19"/>
        <v>0</v>
      </c>
      <c r="BZ42" s="55">
        <f t="shared" si="19"/>
        <v>0</v>
      </c>
      <c r="CA42" s="55">
        <f t="shared" si="19"/>
        <v>0</v>
      </c>
      <c r="CB42" s="55">
        <f t="shared" si="19"/>
        <v>0</v>
      </c>
      <c r="CC42" s="55">
        <f t="shared" si="19"/>
        <v>0</v>
      </c>
      <c r="CD42" s="55">
        <f t="shared" si="19"/>
        <v>0</v>
      </c>
      <c r="CE42" s="55">
        <f t="shared" si="19"/>
        <v>0</v>
      </c>
      <c r="CF42" s="55">
        <f t="shared" si="19"/>
        <v>0</v>
      </c>
      <c r="CG42" s="55">
        <f t="shared" si="19"/>
        <v>0</v>
      </c>
      <c r="CH42" s="55">
        <f t="shared" si="19"/>
        <v>0</v>
      </c>
      <c r="CI42" s="55">
        <f t="shared" si="19"/>
        <v>0</v>
      </c>
      <c r="CK42" s="312"/>
      <c r="CM42" s="312"/>
      <c r="CN42" s="7">
        <f t="shared" si="13"/>
        <v>0</v>
      </c>
      <c r="CP42" s="311"/>
      <c r="CQ42" s="549">
        <f t="shared" si="14"/>
        <v>0</v>
      </c>
      <c r="CR42" s="549">
        <f t="shared" si="15"/>
        <v>0</v>
      </c>
      <c r="CS42" s="549">
        <f t="shared" si="16"/>
        <v>0</v>
      </c>
      <c r="CT42" s="549">
        <f t="shared" si="17"/>
        <v>0</v>
      </c>
      <c r="EX42" s="10" t="str">
        <f t="shared" si="12"/>
        <v>Adjusted Operating Ratio</v>
      </c>
    </row>
    <row r="43" spans="1:154" x14ac:dyDescent="0.35">
      <c r="A43" s="537" cm="1">
        <f t="array" aca="1" ref="A43" ca="1">HYPERLINK(CONCATENATE("#",CELL("address",IF(MAX($CM43:$CP43)=0,A43,INDEX($CM43:$CP43,MATCH(1,$CM43:$CP43,0))))),MAX($CM43:$CP43))</f>
        <v>0</v>
      </c>
      <c r="C43" s="213" t="str">
        <f>'Fin Stat'!C36</f>
        <v>FS-IE-4</v>
      </c>
      <c r="D43" s="1" t="s">
        <v>1701</v>
      </c>
      <c r="G43" t="s">
        <v>1655</v>
      </c>
      <c r="V43" s="10">
        <f>'Fin Stat'!V36</f>
        <v>0</v>
      </c>
      <c r="W43" s="10">
        <f>'Fin Stat'!W36</f>
        <v>0</v>
      </c>
      <c r="X43" s="10">
        <f>'Fin Stat'!X36</f>
        <v>0</v>
      </c>
      <c r="Y43" s="10">
        <f>'Fin Stat'!Y36</f>
        <v>0</v>
      </c>
      <c r="BX43" s="10">
        <f>'Fin Stat'!BX36</f>
        <v>0</v>
      </c>
      <c r="BY43" s="10">
        <f>'Fin Stat'!BY36</f>
        <v>0</v>
      </c>
      <c r="BZ43" s="10">
        <f>'Fin Stat'!BZ36</f>
        <v>0</v>
      </c>
      <c r="CA43" s="10">
        <f>'Fin Stat'!CA36</f>
        <v>0</v>
      </c>
      <c r="CB43" s="10">
        <f>'Fin Stat'!CB36</f>
        <v>0</v>
      </c>
      <c r="CC43" s="10">
        <f>'Fin Stat'!CC36</f>
        <v>0</v>
      </c>
      <c r="CD43" s="10">
        <f>'Fin Stat'!CD36</f>
        <v>0</v>
      </c>
      <c r="CE43" s="10">
        <f>'Fin Stat'!CE36</f>
        <v>0</v>
      </c>
      <c r="CF43" s="10">
        <f>'Fin Stat'!CF36</f>
        <v>0</v>
      </c>
      <c r="CG43" s="10">
        <f>'Fin Stat'!CG36</f>
        <v>0</v>
      </c>
      <c r="CH43" s="10">
        <f>'Fin Stat'!CH36</f>
        <v>0</v>
      </c>
      <c r="CI43" s="10">
        <f>'Fin Stat'!CI36</f>
        <v>0</v>
      </c>
      <c r="CK43" s="312"/>
      <c r="CM43" s="312"/>
      <c r="CN43" s="7">
        <f t="shared" si="13"/>
        <v>0</v>
      </c>
      <c r="CP43" s="311"/>
      <c r="CQ43" s="215">
        <f t="shared" si="14"/>
        <v>0</v>
      </c>
      <c r="CR43" s="215">
        <f t="shared" si="15"/>
        <v>0</v>
      </c>
      <c r="CS43" s="215">
        <f t="shared" si="16"/>
        <v>0</v>
      </c>
      <c r="CT43" s="215">
        <f t="shared" si="17"/>
        <v>0</v>
      </c>
      <c r="EX43" s="10" t="str">
        <f t="shared" si="12"/>
        <v xml:space="preserve">EBITDA - standard </v>
      </c>
    </row>
    <row r="44" spans="1:154" x14ac:dyDescent="0.35">
      <c r="A44" s="537" cm="1">
        <f t="array" aca="1" ref="A44" ca="1">HYPERLINK(CONCATENATE("#",CELL("address",IF(MAX($CM44:$CP44)=0,A44,INDEX($CM44:$CP44,MATCH(1,$CM44:$CP44,0))))),MAX($CM44:$CP44))</f>
        <v>0</v>
      </c>
      <c r="C44" s="213" t="s">
        <v>1702</v>
      </c>
      <c r="D44" s="1" t="s">
        <v>1703</v>
      </c>
      <c r="G44" t="s">
        <v>758</v>
      </c>
      <c r="V44" s="55">
        <f>IF(V$14=0, 0, V43/V$14)</f>
        <v>0</v>
      </c>
      <c r="W44" s="55">
        <f>IF(W$14=0, 0, W43/W$14)</f>
        <v>0</v>
      </c>
      <c r="X44" s="55">
        <f>IF(X$14=0, 0, X43/X$14)</f>
        <v>0</v>
      </c>
      <c r="Y44" s="55">
        <f>IF(Y$14=0, 0, Y43/Y$14)</f>
        <v>0</v>
      </c>
      <c r="BX44" s="55">
        <f t="shared" ref="BX44:CI44" si="20">IF(BX$14=0, 0, BX43/BX$14)</f>
        <v>0</v>
      </c>
      <c r="BY44" s="55">
        <f t="shared" si="20"/>
        <v>0</v>
      </c>
      <c r="BZ44" s="55">
        <f t="shared" si="20"/>
        <v>0</v>
      </c>
      <c r="CA44" s="55">
        <f t="shared" si="20"/>
        <v>0</v>
      </c>
      <c r="CB44" s="55">
        <f t="shared" si="20"/>
        <v>0</v>
      </c>
      <c r="CC44" s="55">
        <f t="shared" si="20"/>
        <v>0</v>
      </c>
      <c r="CD44" s="55">
        <f t="shared" si="20"/>
        <v>0</v>
      </c>
      <c r="CE44" s="55">
        <f t="shared" si="20"/>
        <v>0</v>
      </c>
      <c r="CF44" s="55">
        <f t="shared" si="20"/>
        <v>0</v>
      </c>
      <c r="CG44" s="55">
        <f t="shared" si="20"/>
        <v>0</v>
      </c>
      <c r="CH44" s="55">
        <f t="shared" si="20"/>
        <v>0</v>
      </c>
      <c r="CI44" s="55">
        <f t="shared" si="20"/>
        <v>0</v>
      </c>
      <c r="CK44" s="312"/>
      <c r="CM44" s="312"/>
      <c r="CN44" s="7">
        <f t="shared" si="13"/>
        <v>0</v>
      </c>
      <c r="CP44" s="311"/>
      <c r="CQ44" s="549">
        <f t="shared" si="14"/>
        <v>0</v>
      </c>
      <c r="CR44" s="549">
        <f t="shared" si="15"/>
        <v>0</v>
      </c>
      <c r="CS44" s="549">
        <f t="shared" si="16"/>
        <v>0</v>
      </c>
      <c r="CT44" s="549">
        <f t="shared" si="17"/>
        <v>0</v>
      </c>
      <c r="EX44" s="10" t="str">
        <f t="shared" si="12"/>
        <v>EBITDA as a % of adjusted income - standard</v>
      </c>
    </row>
    <row r="45" spans="1:154" x14ac:dyDescent="0.35">
      <c r="A45" s="537" cm="1">
        <f t="array" aca="1" ref="A45" ca="1">HYPERLINK(CONCATENATE("#",CELL("address",IF(MAX($CM45:$CP45)=0,A45,INDEX($CM45:$CP45,MATCH(1,$CM45:$CP45,0))))),MAX($CM45:$CP45))</f>
        <v>0</v>
      </c>
      <c r="C45" s="213" t="str">
        <f>'Fin Stat'!C62</f>
        <v>FS-IE-8</v>
      </c>
      <c r="D45" s="1" t="s">
        <v>1704</v>
      </c>
      <c r="G45" t="s">
        <v>1655</v>
      </c>
      <c r="V45" s="10">
        <f>'Fin Stat'!V62</f>
        <v>0</v>
      </c>
      <c r="W45" s="10">
        <f>'Fin Stat'!W62</f>
        <v>0</v>
      </c>
      <c r="X45" s="10">
        <f>'Fin Stat'!X62</f>
        <v>0</v>
      </c>
      <c r="Y45" s="10">
        <f>'Fin Stat'!Y62</f>
        <v>0</v>
      </c>
      <c r="BX45" s="10">
        <f>'Fin Stat'!BX62</f>
        <v>0</v>
      </c>
      <c r="BY45" s="10">
        <f>'Fin Stat'!BY62</f>
        <v>0</v>
      </c>
      <c r="BZ45" s="10">
        <f>'Fin Stat'!BZ62</f>
        <v>0</v>
      </c>
      <c r="CA45" s="10">
        <f>'Fin Stat'!CA62</f>
        <v>0</v>
      </c>
      <c r="CB45" s="10">
        <f>'Fin Stat'!CB62</f>
        <v>0</v>
      </c>
      <c r="CC45" s="10">
        <f>'Fin Stat'!CC62</f>
        <v>0</v>
      </c>
      <c r="CD45" s="10">
        <f>'Fin Stat'!CD62</f>
        <v>0</v>
      </c>
      <c r="CE45" s="10">
        <f>'Fin Stat'!CE62</f>
        <v>0</v>
      </c>
      <c r="CF45" s="10">
        <f>'Fin Stat'!CF62</f>
        <v>0</v>
      </c>
      <c r="CG45" s="10">
        <f>'Fin Stat'!CG62</f>
        <v>0</v>
      </c>
      <c r="CH45" s="10">
        <f>'Fin Stat'!CH62</f>
        <v>0</v>
      </c>
      <c r="CI45" s="10">
        <f>'Fin Stat'!CI62</f>
        <v>0</v>
      </c>
      <c r="CK45" s="312"/>
      <c r="CM45" s="312"/>
      <c r="CN45" s="7">
        <f t="shared" si="13"/>
        <v>0</v>
      </c>
      <c r="CP45" s="311"/>
      <c r="CQ45" s="215">
        <f t="shared" si="14"/>
        <v>0</v>
      </c>
      <c r="CR45" s="215">
        <f t="shared" si="15"/>
        <v>0</v>
      </c>
      <c r="CS45" s="215">
        <f t="shared" si="16"/>
        <v>0</v>
      </c>
      <c r="CT45" s="215">
        <f t="shared" si="17"/>
        <v>0</v>
      </c>
      <c r="EX45" s="10" t="str">
        <f t="shared" si="12"/>
        <v xml:space="preserve">EBITDA - education specific </v>
      </c>
    </row>
    <row r="46" spans="1:154" x14ac:dyDescent="0.35">
      <c r="A46" s="537" cm="1">
        <f t="array" aca="1" ref="A46" ca="1">HYPERLINK(CONCATENATE("#",CELL("address",IF(MAX($CM46:$CP46)=0,A46,INDEX($CM46:$CP46,MATCH(1,$CM46:$CP46,0))))),MAX($CM46:$CP46))</f>
        <v>0</v>
      </c>
      <c r="C46" s="213" t="s">
        <v>1705</v>
      </c>
      <c r="D46" s="1" t="s">
        <v>1706</v>
      </c>
      <c r="G46" t="s">
        <v>758</v>
      </c>
      <c r="H46" s="644" t="s">
        <v>1707</v>
      </c>
      <c r="V46" s="55">
        <f>IF(V$14=0, 0, V45/V$14)</f>
        <v>0</v>
      </c>
      <c r="W46" s="55">
        <f>IF(W$14=0, 0, W45/W$14)</f>
        <v>0</v>
      </c>
      <c r="X46" s="55">
        <f>IF(X$14=0, 0, X45/X$14)</f>
        <v>0</v>
      </c>
      <c r="Y46" s="55">
        <f>IF(Y$14=0, 0, Y45/Y$14)</f>
        <v>0</v>
      </c>
      <c r="BX46" s="55">
        <f t="shared" ref="BX46:CI46" si="21">IF(BX$14=0, 0, BX45/BX$14)</f>
        <v>0</v>
      </c>
      <c r="BY46" s="55">
        <f t="shared" si="21"/>
        <v>0</v>
      </c>
      <c r="BZ46" s="55">
        <f t="shared" si="21"/>
        <v>0</v>
      </c>
      <c r="CA46" s="55">
        <f t="shared" si="21"/>
        <v>0</v>
      </c>
      <c r="CB46" s="55">
        <f t="shared" si="21"/>
        <v>0</v>
      </c>
      <c r="CC46" s="55">
        <f t="shared" si="21"/>
        <v>0</v>
      </c>
      <c r="CD46" s="55">
        <f t="shared" si="21"/>
        <v>0</v>
      </c>
      <c r="CE46" s="55">
        <f t="shared" si="21"/>
        <v>0</v>
      </c>
      <c r="CF46" s="55">
        <f t="shared" si="21"/>
        <v>0</v>
      </c>
      <c r="CG46" s="55">
        <f t="shared" si="21"/>
        <v>0</v>
      </c>
      <c r="CH46" s="55">
        <f t="shared" si="21"/>
        <v>0</v>
      </c>
      <c r="CI46" s="55">
        <f t="shared" si="21"/>
        <v>0</v>
      </c>
      <c r="CK46" s="312"/>
      <c r="CM46" s="312"/>
      <c r="CN46" s="7">
        <f t="shared" si="13"/>
        <v>0</v>
      </c>
      <c r="CP46" s="311"/>
      <c r="CQ46" s="549">
        <f t="shared" si="14"/>
        <v>0</v>
      </c>
      <c r="CR46" s="549">
        <f t="shared" si="15"/>
        <v>0</v>
      </c>
      <c r="CS46" s="549">
        <f t="shared" si="16"/>
        <v>0</v>
      </c>
      <c r="CT46" s="549">
        <f t="shared" si="17"/>
        <v>0</v>
      </c>
      <c r="EX46" s="10" t="str">
        <f t="shared" si="12"/>
        <v>EBITDA as a % of adjusted income - education specific</v>
      </c>
    </row>
    <row r="47" spans="1:154" ht="8.25" customHeight="1" x14ac:dyDescent="0.35">
      <c r="C47" s="213"/>
      <c r="E47"/>
      <c r="CK47" s="311"/>
      <c r="CM47" s="311"/>
      <c r="CP47" s="311"/>
      <c r="EX47" s="10" t="str">
        <f t="shared" si="12"/>
        <v/>
      </c>
    </row>
    <row r="48" spans="1:154" x14ac:dyDescent="0.35">
      <c r="B48" s="5"/>
      <c r="C48" s="213"/>
      <c r="D48" s="24" t="s">
        <v>1708</v>
      </c>
      <c r="CK48" s="312"/>
      <c r="CM48" s="312"/>
      <c r="CP48" s="311"/>
      <c r="EX48" s="10" t="str">
        <f t="shared" si="12"/>
        <v/>
      </c>
    </row>
    <row r="49" spans="1:154" x14ac:dyDescent="0.35">
      <c r="A49" s="537" cm="1">
        <f t="array" aca="1" ref="A49" ca="1">HYPERLINK(CONCATENATE("#",CELL("address",IF(MAX($CM49:$CP49)=0,A49,INDEX($CM49:$CP49,MATCH(1,$CM49:$CP49,0))))),MAX($CM49:$CP49))</f>
        <v>0</v>
      </c>
      <c r="C49" s="213" t="s">
        <v>1709</v>
      </c>
      <c r="D49" s="1" t="s">
        <v>1710</v>
      </c>
      <c r="G49" t="s">
        <v>758</v>
      </c>
      <c r="V49" s="106"/>
      <c r="W49" s="55">
        <f>IF(OR(V$9=0, W$9=0), 0, IF(V14=0, 0, (W14-V14)/V14))</f>
        <v>0</v>
      </c>
      <c r="X49" s="55">
        <f>IF(OR(W$9=0, X$9=0), "", IF(W14=0, 0, (X14-W14)/W14))</f>
        <v>0</v>
      </c>
      <c r="Y49" s="55">
        <f>IF(OR(X$9=0, Y$9=0), "", IF(X14=0, 0, (Y14-X14)/X14))</f>
        <v>0</v>
      </c>
      <c r="BX49" s="106"/>
      <c r="BY49" s="550">
        <f>W49</f>
        <v>0</v>
      </c>
      <c r="BZ49" s="550">
        <f>X49</f>
        <v>0</v>
      </c>
      <c r="CA49" s="550">
        <f>Y49</f>
        <v>0</v>
      </c>
      <c r="CB49" s="55" t="str">
        <f t="shared" ref="CB49:CI49" si="22">IF(OR(CA$9=0, CB$9=0), "", IF(CA14=0, 0, (CB14-CA14)/CA14))</f>
        <v/>
      </c>
      <c r="CC49" s="55" t="str">
        <f t="shared" si="22"/>
        <v/>
      </c>
      <c r="CD49" s="55" t="str">
        <f t="shared" si="22"/>
        <v/>
      </c>
      <c r="CE49" s="55" t="str">
        <f t="shared" si="22"/>
        <v/>
      </c>
      <c r="CF49" s="55" t="str">
        <f t="shared" si="22"/>
        <v/>
      </c>
      <c r="CG49" s="55" t="str">
        <f t="shared" si="22"/>
        <v/>
      </c>
      <c r="CH49" s="55" t="str">
        <f t="shared" si="22"/>
        <v/>
      </c>
      <c r="CI49" s="55" t="str">
        <f t="shared" si="22"/>
        <v/>
      </c>
      <c r="CK49" s="312"/>
      <c r="CM49" s="312"/>
      <c r="CN49" s="7">
        <f t="shared" ref="CN49:CN56" si="23">IF(SUM($CQ49:$CT49)=0, 0, 1)</f>
        <v>0</v>
      </c>
      <c r="CP49" s="311"/>
      <c r="CQ49" s="215">
        <f t="shared" ref="CQ49:CT56" si="24">ROUND(BX49-V49, rounding)</f>
        <v>0</v>
      </c>
      <c r="CR49" s="549">
        <f t="shared" si="24"/>
        <v>0</v>
      </c>
      <c r="CS49" s="549">
        <f t="shared" si="24"/>
        <v>0</v>
      </c>
      <c r="CT49" s="549">
        <f t="shared" si="24"/>
        <v>0</v>
      </c>
      <c r="EX49" s="10" t="str">
        <f t="shared" si="12"/>
        <v>Year on year (month on month) increase - income</v>
      </c>
    </row>
    <row r="50" spans="1:154" x14ac:dyDescent="0.35">
      <c r="A50" s="537" cm="1">
        <f t="array" aca="1" ref="A50" ca="1">HYPERLINK(CONCATENATE("#",CELL("address",IF(MAX($CM50:$CP50)=0,A50,INDEX($CM50:$CP50,MATCH(1,$CM50:$CP50,0))))),MAX($CM50:$CP50))</f>
        <v>0</v>
      </c>
      <c r="C50" s="213" t="s">
        <v>1711</v>
      </c>
      <c r="D50" s="1" t="s">
        <v>1712</v>
      </c>
      <c r="G50" t="s">
        <v>758</v>
      </c>
      <c r="V50" s="550">
        <f t="shared" ref="V50:Y56" si="25">BX50</f>
        <v>0</v>
      </c>
      <c r="W50" s="550">
        <f t="shared" si="25"/>
        <v>0</v>
      </c>
      <c r="X50" s="550">
        <f t="shared" si="25"/>
        <v>0</v>
      </c>
      <c r="Y50" s="550">
        <f t="shared" si="25"/>
        <v>0</v>
      </c>
      <c r="BX50" s="55">
        <f>IF(BX$14=0, 0, 'I&amp;E Annual'!BX$13/BX$14)*BX$9</f>
        <v>0</v>
      </c>
      <c r="BY50" s="55">
        <f>IF(BY$14=0, 0, 'I&amp;E Annual'!BY$13/BY$14)*BY$9</f>
        <v>0</v>
      </c>
      <c r="BZ50" s="55">
        <f>IF(BZ$14=0, 0, 'I&amp;E Annual'!BZ$13/BZ$14)*BZ$9</f>
        <v>0</v>
      </c>
      <c r="CA50" s="55">
        <f>IF(CA$14=0, 0, 'I&amp;E Annual'!CA$13/CA$14)*CA$9</f>
        <v>0</v>
      </c>
      <c r="CB50" s="55">
        <f>IF(CB$14=0, 0, 'I&amp;E Annual'!CB$13/CB$14)*CB$9</f>
        <v>0</v>
      </c>
      <c r="CC50" s="55">
        <f>IF(CC$14=0, 0, 'I&amp;E Annual'!CC$13/CC$14)*CC$9</f>
        <v>0</v>
      </c>
      <c r="CD50" s="55">
        <f>IF(CD$14=0, 0, 'I&amp;E Annual'!CD$13/CD$14)*CD$9</f>
        <v>0</v>
      </c>
      <c r="CE50" s="55">
        <f>IF(CE$14=0, 0, 'I&amp;E Annual'!CE$13/CE$14)*CE$9</f>
        <v>0</v>
      </c>
      <c r="CF50" s="55">
        <f>IF(CF$14=0, 0, 'I&amp;E Annual'!CF$13/CF$14)*CF$9</f>
        <v>0</v>
      </c>
      <c r="CG50" s="55">
        <f>IF(CG$14=0, 0, 'I&amp;E Annual'!CG$13/CG$14)*CG$9</f>
        <v>0</v>
      </c>
      <c r="CH50" s="55">
        <f>IF(CH$14=0, 0, 'I&amp;E Annual'!CH$13/CH$14)*CH$9</f>
        <v>0</v>
      </c>
      <c r="CI50" s="55">
        <f>IF(CI$14=0, 0, 'I&amp;E Annual'!CI$13/CI$14)*CI$9</f>
        <v>0</v>
      </c>
      <c r="CK50" s="312"/>
      <c r="CM50" s="312"/>
      <c r="CN50" s="7">
        <f t="shared" si="23"/>
        <v>0</v>
      </c>
      <c r="CP50" s="311"/>
      <c r="CQ50" s="549">
        <f t="shared" si="24"/>
        <v>0</v>
      </c>
      <c r="CR50" s="549">
        <f t="shared" si="24"/>
        <v>0</v>
      </c>
      <c r="CS50" s="549">
        <f t="shared" si="24"/>
        <v>0</v>
      </c>
      <c r="CT50" s="549">
        <f t="shared" si="24"/>
        <v>0</v>
      </c>
      <c r="EX50" s="10" t="str">
        <f t="shared" si="12"/>
        <v>Dependency on 14-16 income</v>
      </c>
    </row>
    <row r="51" spans="1:154" x14ac:dyDescent="0.35">
      <c r="A51" s="537" cm="1">
        <f t="array" aca="1" ref="A51" ca="1">HYPERLINK(CONCATENATE("#",CELL("address",IF(MAX($CM51:$CP51)=0,A51,INDEX($CM51:$CP51,MATCH(1,$CM51:$CP51,0))))),MAX($CM51:$CP51))</f>
        <v>0</v>
      </c>
      <c r="C51" s="213" t="s">
        <v>1713</v>
      </c>
      <c r="D51" s="1" t="s">
        <v>1714</v>
      </c>
      <c r="G51" t="s">
        <v>758</v>
      </c>
      <c r="V51" s="550">
        <f t="shared" si="25"/>
        <v>0</v>
      </c>
      <c r="W51" s="550">
        <f t="shared" si="25"/>
        <v>0</v>
      </c>
      <c r="X51" s="550">
        <f t="shared" si="25"/>
        <v>0</v>
      </c>
      <c r="Y51" s="550">
        <f t="shared" si="25"/>
        <v>0</v>
      </c>
      <c r="BX51" s="55">
        <f>IF(BX$14=0, 0, 'I&amp;E Annual'!BX$23/BX$14)*BX$9</f>
        <v>0</v>
      </c>
      <c r="BY51" s="55">
        <f>IF(BY$14=0, 0, 'I&amp;E Annual'!BY$23/BY$14)*BY$9</f>
        <v>0</v>
      </c>
      <c r="BZ51" s="55">
        <f>IF(BZ$14=0, 0, 'I&amp;E Annual'!BZ$23/BZ$14)*BZ$9</f>
        <v>0</v>
      </c>
      <c r="CA51" s="55">
        <f>IF(CA$14=0, 0, 'I&amp;E Annual'!CA$23/CA$14)*CA$9</f>
        <v>0</v>
      </c>
      <c r="CB51" s="55">
        <f>IF(CB$14=0, 0, 'I&amp;E Annual'!CB$23/CB$14)*CB$9</f>
        <v>0</v>
      </c>
      <c r="CC51" s="55">
        <f>IF(CC$14=0, 0, 'I&amp;E Annual'!CC$23/CC$14)*CC$9</f>
        <v>0</v>
      </c>
      <c r="CD51" s="55">
        <f>IF(CD$14=0, 0, 'I&amp;E Annual'!CD$23/CD$14)*CD$9</f>
        <v>0</v>
      </c>
      <c r="CE51" s="55">
        <f>IF(CE$14=0, 0, 'I&amp;E Annual'!CE$23/CE$14)*CE$9</f>
        <v>0</v>
      </c>
      <c r="CF51" s="55">
        <f>IF(CF$14=0, 0, 'I&amp;E Annual'!CF$23/CF$14)*CF$9</f>
        <v>0</v>
      </c>
      <c r="CG51" s="55">
        <f>IF(CG$14=0, 0, 'I&amp;E Annual'!CG$23/CG$14)*CG$9</f>
        <v>0</v>
      </c>
      <c r="CH51" s="55">
        <f>IF(CH$14=0, 0, 'I&amp;E Annual'!CH$23/CH$14)*CH$9</f>
        <v>0</v>
      </c>
      <c r="CI51" s="55">
        <f>IF(CI$14=0, 0, 'I&amp;E Annual'!CI$23/CI$14)*CI$9</f>
        <v>0</v>
      </c>
      <c r="CK51" s="312"/>
      <c r="CM51" s="312"/>
      <c r="CN51" s="7">
        <f t="shared" si="23"/>
        <v>0</v>
      </c>
      <c r="CP51" s="311"/>
      <c r="CQ51" s="549">
        <f t="shared" si="24"/>
        <v>0</v>
      </c>
      <c r="CR51" s="549">
        <f t="shared" si="24"/>
        <v>0</v>
      </c>
      <c r="CS51" s="549">
        <f t="shared" si="24"/>
        <v>0</v>
      </c>
      <c r="CT51" s="549">
        <f t="shared" si="24"/>
        <v>0</v>
      </c>
      <c r="EX51" s="10" t="str">
        <f t="shared" si="12"/>
        <v>Dependency on 14-19 income</v>
      </c>
    </row>
    <row r="52" spans="1:154" x14ac:dyDescent="0.35">
      <c r="A52" s="537" cm="1">
        <f t="array" aca="1" ref="A52" ca="1">HYPERLINK(CONCATENATE("#",CELL("address",IF(MAX($CM52:$CP52)=0,A52,INDEX($CM52:$CP52,MATCH(1,$CM52:$CP52,0))))),MAX($CM52:$CP52))</f>
        <v>0</v>
      </c>
      <c r="C52" s="213" t="s">
        <v>1715</v>
      </c>
      <c r="D52" s="73" t="s">
        <v>1716</v>
      </c>
      <c r="G52" t="s">
        <v>758</v>
      </c>
      <c r="V52" s="550">
        <f t="shared" si="25"/>
        <v>0</v>
      </c>
      <c r="W52" s="550">
        <f t="shared" si="25"/>
        <v>0</v>
      </c>
      <c r="X52" s="550">
        <f t="shared" si="25"/>
        <v>0</v>
      </c>
      <c r="Y52" s="550">
        <f t="shared" si="25"/>
        <v>0</v>
      </c>
      <c r="BX52" s="55">
        <f>IF(BX$14=0, 0, 'I&amp;E Annual'!BX$29/BX$14)*BX$9</f>
        <v>0</v>
      </c>
      <c r="BY52" s="55">
        <f>IF(BY$14=0, 0, 'I&amp;E Annual'!BY$29/BY$14)*BY$9</f>
        <v>0</v>
      </c>
      <c r="BZ52" s="55">
        <f>IF(BZ$14=0, 0, 'I&amp;E Annual'!BZ$29/BZ$14)*BZ$9</f>
        <v>0</v>
      </c>
      <c r="CA52" s="55">
        <f>IF(CA$14=0, 0, 'I&amp;E Annual'!CA$29/CA$14)*CA$9</f>
        <v>0</v>
      </c>
      <c r="CB52" s="55">
        <f>IF(CB$14=0, 0, 'I&amp;E Annual'!CB$29/CB$14)*CB$9</f>
        <v>0</v>
      </c>
      <c r="CC52" s="55">
        <f>IF(CC$14=0, 0, 'I&amp;E Annual'!CC$29/CC$14)*CC$9</f>
        <v>0</v>
      </c>
      <c r="CD52" s="55">
        <f>IF(CD$14=0, 0, 'I&amp;E Annual'!CD$29/CD$14)*CD$9</f>
        <v>0</v>
      </c>
      <c r="CE52" s="55">
        <f>IF(CE$14=0, 0, 'I&amp;E Annual'!CE$29/CE$14)*CE$9</f>
        <v>0</v>
      </c>
      <c r="CF52" s="55">
        <f>IF(CF$14=0, 0, 'I&amp;E Annual'!CF$29/CF$14)*CF$9</f>
        <v>0</v>
      </c>
      <c r="CG52" s="55">
        <f>IF(CG$14=0, 0, 'I&amp;E Annual'!CG$29/CG$14)*CG$9</f>
        <v>0</v>
      </c>
      <c r="CH52" s="55">
        <f>IF(CH$14=0, 0, 'I&amp;E Annual'!CH$29/CH$14)*CH$9</f>
        <v>0</v>
      </c>
      <c r="CI52" s="55">
        <f>IF(CI$14=0, 0, 'I&amp;E Annual'!CI$29/CI$14)*CI$9</f>
        <v>0</v>
      </c>
      <c r="CK52" s="312"/>
      <c r="CM52" s="312"/>
      <c r="CN52" s="7">
        <f t="shared" si="23"/>
        <v>0</v>
      </c>
      <c r="CP52" s="311"/>
      <c r="CQ52" s="549">
        <f t="shared" si="24"/>
        <v>0</v>
      </c>
      <c r="CR52" s="549">
        <f t="shared" si="24"/>
        <v>0</v>
      </c>
      <c r="CS52" s="549">
        <f t="shared" si="24"/>
        <v>0</v>
      </c>
      <c r="CT52" s="549">
        <f t="shared" si="24"/>
        <v>0</v>
      </c>
      <c r="EX52" s="10" t="str">
        <f t="shared" si="12"/>
        <v>Dependency on  Apprenticeship income</v>
      </c>
    </row>
    <row r="53" spans="1:154" x14ac:dyDescent="0.35">
      <c r="A53" s="537" cm="1">
        <f t="array" aca="1" ref="A53" ca="1">HYPERLINK(CONCATENATE("#",CELL("address",IF(MAX($CM53:$CP53)=0,A53,INDEX($CM53:$CP53,MATCH(1,$CM53:$CP53,0))))),MAX($CM53:$CP53))</f>
        <v>0</v>
      </c>
      <c r="C53" s="213" t="s">
        <v>1717</v>
      </c>
      <c r="D53" s="73" t="s">
        <v>1718</v>
      </c>
      <c r="G53" t="s">
        <v>758</v>
      </c>
      <c r="V53" s="550">
        <f t="shared" si="25"/>
        <v>0</v>
      </c>
      <c r="W53" s="550">
        <f t="shared" si="25"/>
        <v>0</v>
      </c>
      <c r="X53" s="550">
        <f t="shared" si="25"/>
        <v>0</v>
      </c>
      <c r="Y53" s="550">
        <f t="shared" si="25"/>
        <v>0</v>
      </c>
      <c r="BX53" s="55">
        <f>IF(BX$14=0, 0, 'I&amp;E Annual'!BX$38/BX$14)*BX$9</f>
        <v>0</v>
      </c>
      <c r="BY53" s="55">
        <f>IF(BY$14=0, 0, 'I&amp;E Annual'!BY$38/BY$14)*BY$9</f>
        <v>0</v>
      </c>
      <c r="BZ53" s="55">
        <f>IF(BZ$14=0, 0, 'I&amp;E Annual'!BZ$38/BZ$14)*BZ$9</f>
        <v>0</v>
      </c>
      <c r="CA53" s="55">
        <f>IF(CA$14=0, 0, 'I&amp;E Annual'!CA$38/CA$14)*CA$9</f>
        <v>0</v>
      </c>
      <c r="CB53" s="55">
        <f>IF(CB$14=0, 0, 'I&amp;E Annual'!CB$38/CB$14)*CB$9</f>
        <v>0</v>
      </c>
      <c r="CC53" s="55">
        <f>IF(CC$14=0, 0, 'I&amp;E Annual'!CC$38/CC$14)*CC$9</f>
        <v>0</v>
      </c>
      <c r="CD53" s="55">
        <f>IF(CD$14=0, 0, 'I&amp;E Annual'!CD$38/CD$14)*CD$9</f>
        <v>0</v>
      </c>
      <c r="CE53" s="55">
        <f>IF(CE$14=0, 0, 'I&amp;E Annual'!CE$38/CE$14)*CE$9</f>
        <v>0</v>
      </c>
      <c r="CF53" s="55">
        <f>IF(CF$14=0, 0, 'I&amp;E Annual'!CF$38/CF$14)*CF$9</f>
        <v>0</v>
      </c>
      <c r="CG53" s="55">
        <f>IF(CG$14=0, 0, 'I&amp;E Annual'!CG$38/CG$14)*CG$9</f>
        <v>0</v>
      </c>
      <c r="CH53" s="55">
        <f>IF(CH$14=0, 0, 'I&amp;E Annual'!CH$38/CH$14)*CH$9</f>
        <v>0</v>
      </c>
      <c r="CI53" s="55">
        <f>IF(CI$14=0, 0, 'I&amp;E Annual'!CI$38/CI$14)*CI$9</f>
        <v>0</v>
      </c>
      <c r="CK53" s="312"/>
      <c r="CM53" s="312"/>
      <c r="CN53" s="7">
        <f t="shared" si="23"/>
        <v>0</v>
      </c>
      <c r="CP53" s="311"/>
      <c r="CQ53" s="549">
        <f t="shared" si="24"/>
        <v>0</v>
      </c>
      <c r="CR53" s="549">
        <f t="shared" si="24"/>
        <v>0</v>
      </c>
      <c r="CS53" s="549">
        <f t="shared" si="24"/>
        <v>0</v>
      </c>
      <c r="CT53" s="549">
        <f t="shared" si="24"/>
        <v>0</v>
      </c>
      <c r="EX53" s="10" t="str">
        <f t="shared" si="12"/>
        <v>Dependency on AEB income</v>
      </c>
    </row>
    <row r="54" spans="1:154" x14ac:dyDescent="0.35">
      <c r="A54" s="537" cm="1">
        <f t="array" aca="1" ref="A54" ca="1">HYPERLINK(CONCATENATE("#",CELL("address",IF(MAX($CM54:$CP54)=0,A54,INDEX($CM54:$CP54,MATCH(1,$CM54:$CP54,0))))),MAX($CM54:$CP54))</f>
        <v>0</v>
      </c>
      <c r="C54" s="213" t="s">
        <v>1719</v>
      </c>
      <c r="D54" s="1" t="s">
        <v>1720</v>
      </c>
      <c r="G54" t="s">
        <v>758</v>
      </c>
      <c r="V54" s="550">
        <f t="shared" si="25"/>
        <v>0</v>
      </c>
      <c r="W54" s="550">
        <f t="shared" si="25"/>
        <v>0</v>
      </c>
      <c r="X54" s="550">
        <f t="shared" si="25"/>
        <v>0</v>
      </c>
      <c r="Y54" s="550">
        <f t="shared" si="25"/>
        <v>0</v>
      </c>
      <c r="BX54" s="55">
        <f>IF(BX$14=0, 0, 'I&amp;E Annual'!BX$46/BX$14)*BX$9</f>
        <v>0</v>
      </c>
      <c r="BY54" s="55">
        <f>IF(BY$14=0, 0, 'I&amp;E Annual'!BY$46/BY$14)*BY$9</f>
        <v>0</v>
      </c>
      <c r="BZ54" s="55">
        <f>IF(BZ$14=0, 0, 'I&amp;E Annual'!BZ$46/BZ$14)*BZ$9</f>
        <v>0</v>
      </c>
      <c r="CA54" s="55">
        <f>IF(CA$14=0, 0, 'I&amp;E Annual'!CA$46/CA$14)*CA$9</f>
        <v>0</v>
      </c>
      <c r="CB54" s="55">
        <f>IF(CB$14=0, 0, 'I&amp;E Annual'!CB$46/CB$14)*CB$9</f>
        <v>0</v>
      </c>
      <c r="CC54" s="55">
        <f>IF(CC$14=0, 0, 'I&amp;E Annual'!CC$46/CC$14)*CC$9</f>
        <v>0</v>
      </c>
      <c r="CD54" s="55">
        <f>IF(CD$14=0, 0, 'I&amp;E Annual'!CD$46/CD$14)*CD$9</f>
        <v>0</v>
      </c>
      <c r="CE54" s="55">
        <f>IF(CE$14=0, 0, 'I&amp;E Annual'!CE$46/CE$14)*CE$9</f>
        <v>0</v>
      </c>
      <c r="CF54" s="55">
        <f>IF(CF$14=0, 0, 'I&amp;E Annual'!CF$46/CF$14)*CF$9</f>
        <v>0</v>
      </c>
      <c r="CG54" s="55">
        <f>IF(CG$14=0, 0, 'I&amp;E Annual'!CG$46/CG$14)*CG$9</f>
        <v>0</v>
      </c>
      <c r="CH54" s="55">
        <f>IF(CH$14=0, 0, 'I&amp;E Annual'!CH$46/CH$14)*CH$9</f>
        <v>0</v>
      </c>
      <c r="CI54" s="55">
        <f>IF(CI$14=0, 0, 'I&amp;E Annual'!CI$46/CI$14)*CI$9</f>
        <v>0</v>
      </c>
      <c r="CK54" s="312"/>
      <c r="CM54" s="312"/>
      <c r="CN54" s="7">
        <f t="shared" si="23"/>
        <v>0</v>
      </c>
      <c r="CP54" s="311"/>
      <c r="CQ54" s="549">
        <f t="shared" si="24"/>
        <v>0</v>
      </c>
      <c r="CR54" s="549">
        <f t="shared" si="24"/>
        <v>0</v>
      </c>
      <c r="CS54" s="549">
        <f t="shared" si="24"/>
        <v>0</v>
      </c>
      <c r="CT54" s="549">
        <f t="shared" si="24"/>
        <v>0</v>
      </c>
      <c r="EX54" s="10" t="str">
        <f t="shared" si="12"/>
        <v>Dependency on HE income</v>
      </c>
    </row>
    <row r="55" spans="1:154" x14ac:dyDescent="0.35">
      <c r="A55" s="537" cm="1">
        <f t="array" aca="1" ref="A55" ca="1">HYPERLINK(CONCATENATE("#",CELL("address",IF(MAX($CM55:$CP55)=0,A55,INDEX($CM55:$CP55,MATCH(1,$CM55:$CP55,0))))),MAX($CM55:$CP55))</f>
        <v>0</v>
      </c>
      <c r="C55" s="213" t="s">
        <v>1721</v>
      </c>
      <c r="D55" s="73" t="s">
        <v>1722</v>
      </c>
      <c r="G55" t="s">
        <v>758</v>
      </c>
      <c r="V55" s="550">
        <f t="shared" si="25"/>
        <v>0</v>
      </c>
      <c r="W55" s="550">
        <f t="shared" si="25"/>
        <v>0</v>
      </c>
      <c r="X55" s="550">
        <f t="shared" si="25"/>
        <v>0</v>
      </c>
      <c r="Y55" s="550">
        <f t="shared" si="25"/>
        <v>0</v>
      </c>
      <c r="BX55" s="55">
        <f>IF(BX$14=0, 0, 'I&amp;E Annual'!BX$53/BX$14)*BX$9</f>
        <v>0</v>
      </c>
      <c r="BY55" s="55">
        <f>IF(BY$14=0, 0, 'I&amp;E Annual'!BY$53/BY$14)*BY$9</f>
        <v>0</v>
      </c>
      <c r="BZ55" s="55">
        <f>IF(BZ$14=0, 0, 'I&amp;E Annual'!BZ$53/BZ$14)*BZ$9</f>
        <v>0</v>
      </c>
      <c r="CA55" s="55">
        <f>IF(CA$14=0, 0, 'I&amp;E Annual'!CA$53/CA$14)*CA$9</f>
        <v>0</v>
      </c>
      <c r="CB55" s="55">
        <f>IF(CB$14=0, 0, 'I&amp;E Annual'!CB$53/CB$14)*CB$9</f>
        <v>0</v>
      </c>
      <c r="CC55" s="55">
        <f>IF(CC$14=0, 0, 'I&amp;E Annual'!CC$53/CC$14)*CC$9</f>
        <v>0</v>
      </c>
      <c r="CD55" s="55">
        <f>IF(CD$14=0, 0, 'I&amp;E Annual'!CD$53/CD$14)*CD$9</f>
        <v>0</v>
      </c>
      <c r="CE55" s="55">
        <f>IF(CE$14=0, 0, 'I&amp;E Annual'!CE$53/CE$14)*CE$9</f>
        <v>0</v>
      </c>
      <c r="CF55" s="55">
        <f>IF(CF$14=0, 0, 'I&amp;E Annual'!CF$53/CF$14)*CF$9</f>
        <v>0</v>
      </c>
      <c r="CG55" s="55">
        <f>IF(CG$14=0, 0, 'I&amp;E Annual'!CG$53/CG$14)*CG$9</f>
        <v>0</v>
      </c>
      <c r="CH55" s="55">
        <f>IF(CH$14=0, 0, 'I&amp;E Annual'!CH$53/CH$14)*CH$9</f>
        <v>0</v>
      </c>
      <c r="CI55" s="55">
        <f>IF(CI$14=0, 0, 'I&amp;E Annual'!CI$53/CI$14)*CI$9</f>
        <v>0</v>
      </c>
      <c r="CK55" s="312"/>
      <c r="CM55" s="312"/>
      <c r="CN55" s="7">
        <f t="shared" si="23"/>
        <v>0</v>
      </c>
      <c r="CP55" s="311"/>
      <c r="CQ55" s="549">
        <f t="shared" si="24"/>
        <v>0</v>
      </c>
      <c r="CR55" s="549">
        <f t="shared" si="24"/>
        <v>0</v>
      </c>
      <c r="CS55" s="549">
        <f t="shared" si="24"/>
        <v>0</v>
      </c>
      <c r="CT55" s="549">
        <f t="shared" si="24"/>
        <v>0</v>
      </c>
      <c r="EX55" s="10" t="str">
        <f t="shared" si="12"/>
        <v>Dependency on European Income</v>
      </c>
    </row>
    <row r="56" spans="1:154" x14ac:dyDescent="0.35">
      <c r="A56" s="537" cm="1">
        <f t="array" aca="1" ref="A56" ca="1">HYPERLINK(CONCATENATE("#",CELL("address",IF(MAX($CM56:$CP56)=0,A56,INDEX($CM56:$CP56,MATCH(1,$CM56:$CP56,0))))),MAX($CM56:$CP56))</f>
        <v>0</v>
      </c>
      <c r="B56" s="85" t="s">
        <v>122</v>
      </c>
      <c r="C56" s="213" t="s">
        <v>1723</v>
      </c>
      <c r="D56" s="1" t="s">
        <v>1724</v>
      </c>
      <c r="G56" t="s">
        <v>758</v>
      </c>
      <c r="V56" s="550">
        <f t="shared" si="25"/>
        <v>0</v>
      </c>
      <c r="W56" s="550">
        <f t="shared" si="25"/>
        <v>0</v>
      </c>
      <c r="X56" s="550">
        <f t="shared" si="25"/>
        <v>0</v>
      </c>
      <c r="Y56" s="550">
        <f t="shared" si="25"/>
        <v>0</v>
      </c>
      <c r="BX56" s="55">
        <f>IF(BX$14=0, 0, SUM('I&amp;E Annual'!BX$74,'I&amp;E Annual'!BX$60, 'I&amp;E Annual'!BX$85, 'I&amp;E Annual'!BX$90)/BX$14)*BX$9</f>
        <v>0</v>
      </c>
      <c r="BY56" s="55">
        <f>IF(BY$14=0, 0, SUM('I&amp;E Annual'!BY$74,'I&amp;E Annual'!BY$60, 'I&amp;E Annual'!BY$85, 'I&amp;E Annual'!BY$90)/BY$14)*BY$9</f>
        <v>0</v>
      </c>
      <c r="BZ56" s="55">
        <f>IF(BZ$14=0, 0, SUM('I&amp;E Annual'!BZ$74,'I&amp;E Annual'!BZ$60, 'I&amp;E Annual'!BZ$85, 'I&amp;E Annual'!BZ$90)/BZ$14)*BZ$9</f>
        <v>0</v>
      </c>
      <c r="CA56" s="55">
        <f>IF(CA$14=0, 0, SUM('I&amp;E Annual'!CA$74,'I&amp;E Annual'!CA$60, 'I&amp;E Annual'!CA$85, 'I&amp;E Annual'!CA$90)/CA$14)*CA$9</f>
        <v>0</v>
      </c>
      <c r="CB56" s="55">
        <f>IF(CB$14=0, 0, SUM('I&amp;E Annual'!CB$74,'I&amp;E Annual'!CB$60, 'I&amp;E Annual'!CB$85, 'I&amp;E Annual'!CB$90)/CB$14)*CB$9</f>
        <v>0</v>
      </c>
      <c r="CC56" s="55">
        <f>IF(CC$14=0, 0, SUM('I&amp;E Annual'!CC$74,'I&amp;E Annual'!CC$60, 'I&amp;E Annual'!CC$85, 'I&amp;E Annual'!CC$90)/CC$14)*CC$9</f>
        <v>0</v>
      </c>
      <c r="CD56" s="55">
        <f>IF(CD$14=0, 0, SUM('I&amp;E Annual'!CD$74,'I&amp;E Annual'!CD$60, 'I&amp;E Annual'!CD$85, 'I&amp;E Annual'!CD$90)/CD$14)*CD$9</f>
        <v>0</v>
      </c>
      <c r="CE56" s="55">
        <f>IF(CE$14=0, 0, SUM('I&amp;E Annual'!CE$74,'I&amp;E Annual'!CE$60, 'I&amp;E Annual'!CE$85, 'I&amp;E Annual'!CE$90)/CE$14)*CE$9</f>
        <v>0</v>
      </c>
      <c r="CF56" s="55">
        <f>IF(CF$14=0, 0, SUM('I&amp;E Annual'!CF$74,'I&amp;E Annual'!CF$60, 'I&amp;E Annual'!CF$85, 'I&amp;E Annual'!CF$90)/CF$14)*CF$9</f>
        <v>0</v>
      </c>
      <c r="CG56" s="55">
        <f>IF(CG$14=0, 0, SUM('I&amp;E Annual'!CG$74,'I&amp;E Annual'!CG$60, 'I&amp;E Annual'!CG$85, 'I&amp;E Annual'!CG$90)/CG$14)*CG$9</f>
        <v>0</v>
      </c>
      <c r="CH56" s="55">
        <f>IF(CH$14=0, 0, SUM('I&amp;E Annual'!CH$74,'I&amp;E Annual'!CH$60, 'I&amp;E Annual'!CH$85, 'I&amp;E Annual'!CH$90)/CH$14)*CH$9</f>
        <v>0</v>
      </c>
      <c r="CI56" s="55">
        <f>IF(CI$14=0, 0, SUM('I&amp;E Annual'!CI$74,'I&amp;E Annual'!CI$60, 'I&amp;E Annual'!CI$85, 'I&amp;E Annual'!CI$90)/CI$14)*CI$9</f>
        <v>0</v>
      </c>
      <c r="CK56" s="312"/>
      <c r="CM56" s="312"/>
      <c r="CN56" s="7">
        <f t="shared" si="23"/>
        <v>0</v>
      </c>
      <c r="CP56" s="311"/>
      <c r="CQ56" s="549">
        <f t="shared" si="24"/>
        <v>0</v>
      </c>
      <c r="CR56" s="549">
        <f t="shared" si="24"/>
        <v>0</v>
      </c>
      <c r="CS56" s="549">
        <f t="shared" si="24"/>
        <v>0</v>
      </c>
      <c r="CT56" s="549">
        <f t="shared" si="24"/>
        <v>0</v>
      </c>
      <c r="EX56" s="10" t="str">
        <f t="shared" si="12"/>
        <v>Dependency on all other income</v>
      </c>
    </row>
    <row r="57" spans="1:154" ht="8.25" customHeight="1" x14ac:dyDescent="0.35">
      <c r="C57" s="213"/>
      <c r="E57"/>
      <c r="CK57" s="311"/>
      <c r="CM57" s="311"/>
      <c r="CP57" s="311"/>
      <c r="EX57" s="10" t="str">
        <f t="shared" si="12"/>
        <v/>
      </c>
    </row>
    <row r="58" spans="1:154" x14ac:dyDescent="0.35">
      <c r="A58" s="537" cm="1">
        <f t="array" aca="1" ref="A58" ca="1">HYPERLINK(CONCATENATE("#",CELL("address",IF(MAX($CM58:$CP58)=0,A58,INDEX($CM58:$CP58,MATCH(1,$CM58:$CP58,0))))),MAX($CM58:$CP58))</f>
        <v>0</v>
      </c>
      <c r="B58" s="5"/>
      <c r="C58" s="213"/>
      <c r="D58" s="24" t="s">
        <v>1725</v>
      </c>
      <c r="CK58" s="312"/>
      <c r="CM58" s="312"/>
      <c r="CN58" s="7">
        <f>IF(SUM($CQ58:$CT58)=0, 0, 1)</f>
        <v>0</v>
      </c>
      <c r="CP58" s="311"/>
      <c r="CQ58" s="215">
        <f>ROUND(BX58-V58, rounding)</f>
        <v>0</v>
      </c>
      <c r="CR58" s="215">
        <f>ROUND(BY58-W58, rounding)</f>
        <v>0</v>
      </c>
      <c r="CS58" s="215">
        <f>ROUND(BZ58-X58, rounding)</f>
        <v>0</v>
      </c>
      <c r="CT58" s="215">
        <f>ROUND(CA58-Y58, rounding)</f>
        <v>0</v>
      </c>
      <c r="EX58" s="10" t="str">
        <f t="shared" si="12"/>
        <v/>
      </c>
    </row>
    <row r="59" spans="1:154" x14ac:dyDescent="0.35">
      <c r="B59" s="85" t="s">
        <v>122</v>
      </c>
      <c r="C59" s="213" t="s">
        <v>1726</v>
      </c>
      <c r="D59" s="1" t="s">
        <v>1727</v>
      </c>
      <c r="G59" t="s">
        <v>758</v>
      </c>
      <c r="V59" s="55">
        <f>IF(V$14=0, 0, SUM('Fin Stat'!V20:V21)/V$14)*V$9</f>
        <v>0</v>
      </c>
      <c r="W59" s="55">
        <f>IF(W$14=0, 0, SUM('Fin Stat'!W20:W21)/W$14)*W$9</f>
        <v>0</v>
      </c>
      <c r="X59" s="55">
        <f>IF(X$14=0, 0, SUM('Fin Stat'!X20:X21)/X$14)*X$9</f>
        <v>0</v>
      </c>
      <c r="Y59" s="55">
        <f>IF(Y$14=0, 0, SUM('Fin Stat'!Y20:Y21)/Y$14)*Y$9</f>
        <v>0</v>
      </c>
      <c r="BX59" s="55">
        <f>IF(BX$14=0, 0, SUM('Fin Stat'!BX20:BX21)/BX$14)*BX$9</f>
        <v>0</v>
      </c>
      <c r="BY59" s="55">
        <f>IF(BY$14=0, 0, SUM('Fin Stat'!BY20:BY21)/BY$14)*BY$9</f>
        <v>0</v>
      </c>
      <c r="BZ59" s="55">
        <f>IF(BZ$14=0, 0, SUM('Fin Stat'!BZ20:BZ21)/BZ$14)*BZ$9</f>
        <v>0</v>
      </c>
      <c r="CA59" s="55">
        <f>IF(CA$14=0, 0, SUM('Fin Stat'!CA20:CA21)/CA$14)*CA$9</f>
        <v>0</v>
      </c>
      <c r="CB59" s="55">
        <f>IF(CB$14=0, 0, SUM('Fin Stat'!CB20:CB21)/CB$14)*CB$9</f>
        <v>0</v>
      </c>
      <c r="CC59" s="55">
        <f>IF(CC$14=0, 0, SUM('Fin Stat'!CC20:CC21)/CC$14)*CC$9</f>
        <v>0</v>
      </c>
      <c r="CD59" s="55">
        <f>IF(CD$14=0, 0, SUM('Fin Stat'!CD20:CD21)/CD$14)*CD$9</f>
        <v>0</v>
      </c>
      <c r="CE59" s="55">
        <f>IF(CE$14=0, 0, SUM('Fin Stat'!CE20:CE21)/CE$14)*CE$9</f>
        <v>0</v>
      </c>
      <c r="CF59" s="55">
        <f>IF(CF$14=0, 0, SUM('Fin Stat'!CF20:CF21)/CF$14)*CF$9</f>
        <v>0</v>
      </c>
      <c r="CG59" s="55">
        <f>IF(CG$14=0, 0, SUM('Fin Stat'!CG20:CG21)/CG$14)*CG$9</f>
        <v>0</v>
      </c>
      <c r="CH59" s="55">
        <f>IF(CH$14=0, 0, SUM('Fin Stat'!CH20:CH21)/CH$14)*CH$9</f>
        <v>0</v>
      </c>
      <c r="CI59" s="55">
        <f>IF(CI$14=0, 0, SUM('Fin Stat'!CI20:CI21)/CI$14)*CI$9</f>
        <v>0</v>
      </c>
      <c r="CK59" s="312"/>
      <c r="CM59" s="312"/>
      <c r="CP59" s="311"/>
      <c r="EX59" s="10" t="str">
        <f t="shared" si="12"/>
        <v xml:space="preserve">Contribution from other income generating activities </v>
      </c>
    </row>
    <row r="60" spans="1:154" ht="8.25" customHeight="1" x14ac:dyDescent="0.35">
      <c r="C60" s="213"/>
      <c r="E60"/>
      <c r="CK60" s="311"/>
      <c r="CM60" s="311"/>
      <c r="CP60" s="311"/>
      <c r="EX60" s="10" t="str">
        <f t="shared" si="12"/>
        <v/>
      </c>
    </row>
    <row r="61" spans="1:154" x14ac:dyDescent="0.35">
      <c r="B61" s="5"/>
      <c r="C61" s="213"/>
      <c r="D61" s="24" t="s">
        <v>1728</v>
      </c>
      <c r="G61" t="s">
        <v>758</v>
      </c>
      <c r="CK61" s="312"/>
      <c r="CM61" s="312"/>
      <c r="CP61" s="311"/>
      <c r="EX61" s="10" t="str">
        <f t="shared" si="12"/>
        <v/>
      </c>
    </row>
    <row r="62" spans="1:154" ht="29" x14ac:dyDescent="0.35">
      <c r="A62" s="537" cm="1">
        <f t="array" aca="1" ref="A62" ca="1">HYPERLINK(CONCATENATE("#",CELL("address",IF(MAX($CM62:$CP62)=0,A62,INDEX($CM62:$CP62,MATCH(1,$CM62:$CP62,0))))),MAX($CM62:$CP62))</f>
        <v>0</v>
      </c>
      <c r="C62" s="213" t="s">
        <v>1729</v>
      </c>
      <c r="D62" s="1" t="s">
        <v>1730</v>
      </c>
      <c r="G62" t="s">
        <v>758</v>
      </c>
      <c r="V62" s="550">
        <f>IF(V$15=0, 0, ('I&amp;E Annual'!BX108+'I&amp;E Annual'!BX119)/V$15)*V$9</f>
        <v>0</v>
      </c>
      <c r="W62" s="550">
        <f>IF(W$15=0, 0, ('I&amp;E Annual'!BY108+'I&amp;E Annual'!BY119)/W$15)*W$9</f>
        <v>0</v>
      </c>
      <c r="X62" s="550">
        <f>IF(X$15=0, 0, ('I&amp;E Annual'!BZ108+'I&amp;E Annual'!BZ119)/X$15)*X$9</f>
        <v>0</v>
      </c>
      <c r="Y62" s="550">
        <f>IF(Y$15=0, 0, ('I&amp;E Annual'!CA108+'I&amp;E Annual'!CA119)/Y$15)*Y$9</f>
        <v>0</v>
      </c>
      <c r="BX62" s="55">
        <f>IF(BX$15=0, 0, ('I&amp;E Annual'!BX108+'I&amp;E Annual'!BX119)/BX$15)*BX$9</f>
        <v>0</v>
      </c>
      <c r="BY62" s="55">
        <f>IF(BY$15=0, 0, ('I&amp;E Annual'!BY108+'I&amp;E Annual'!BY119)/BY$15)*BY$9</f>
        <v>0</v>
      </c>
      <c r="BZ62" s="55">
        <f>IF(BZ$15=0, 0, ('I&amp;E Annual'!BZ108+'I&amp;E Annual'!BZ119)/BZ$15)*BZ$9</f>
        <v>0</v>
      </c>
      <c r="CA62" s="55">
        <f>IF(CA$15=0, 0, ('I&amp;E Annual'!CA108+'I&amp;E Annual'!CA119)/CA$15)*CA$9</f>
        <v>0</v>
      </c>
      <c r="CB62" s="55">
        <f>IF(CB$15=0, 0, ('I&amp;E Annual'!CB108+'I&amp;E Annual'!CB119)/CB$15)*CB$9</f>
        <v>0</v>
      </c>
      <c r="CC62" s="55">
        <f>IF(CC$15=0, 0, ('I&amp;E Annual'!CC108+'I&amp;E Annual'!CC119)/CC$15)*CC$9</f>
        <v>0</v>
      </c>
      <c r="CD62" s="55">
        <f>IF(CD$15=0, 0, ('I&amp;E Annual'!CD108+'I&amp;E Annual'!CD119)/CD$15)*CD$9</f>
        <v>0</v>
      </c>
      <c r="CE62" s="55">
        <f>IF(CE$15=0, 0, ('I&amp;E Annual'!CE108+'I&amp;E Annual'!CE119)/CE$15)*CE$9</f>
        <v>0</v>
      </c>
      <c r="CF62" s="55">
        <f>IF(CF$15=0, 0, ('I&amp;E Annual'!CF108+'I&amp;E Annual'!CF119)/CF$15)*CF$9</f>
        <v>0</v>
      </c>
      <c r="CG62" s="55">
        <f>IF(CG$15=0, 0, ('I&amp;E Annual'!CG108+'I&amp;E Annual'!CG119)/CG$15)*CG$9</f>
        <v>0</v>
      </c>
      <c r="CH62" s="55">
        <f>IF(CH$15=0, 0, ('I&amp;E Annual'!CH108+'I&amp;E Annual'!CH119)/CH$15)*CH$9</f>
        <v>0</v>
      </c>
      <c r="CI62" s="55">
        <f>IF(CI$15=0, 0, ('I&amp;E Annual'!CI108+'I&amp;E Annual'!CI119)/CI$15)*CI$9</f>
        <v>0</v>
      </c>
      <c r="CK62" s="312"/>
      <c r="CM62" s="312"/>
      <c r="CN62" s="7">
        <f>IF(SUM($CQ62:$CT62)=0, 0, 1)</f>
        <v>0</v>
      </c>
      <c r="CP62" s="311"/>
      <c r="CQ62" s="549">
        <f t="shared" ref="CQ62:CT63" si="26">ROUND(BX62-V62, rounding)</f>
        <v>0</v>
      </c>
      <c r="CR62" s="549">
        <f t="shared" si="26"/>
        <v>0</v>
      </c>
      <c r="CS62" s="549">
        <f t="shared" si="26"/>
        <v>0</v>
      </c>
      <c r="CT62" s="549">
        <f t="shared" si="26"/>
        <v>0</v>
      </c>
      <c r="EX62" s="10" t="str">
        <f t="shared" si="12"/>
        <v>Administration costs as a % of total expenditure 
(before depreciation, interest and tax costs)</v>
      </c>
    </row>
    <row r="63" spans="1:154" ht="29" x14ac:dyDescent="0.35">
      <c r="A63" s="537" cm="1">
        <f t="array" aca="1" ref="A63" ca="1">HYPERLINK(CONCATENATE("#",CELL("address",IF(MAX($CM63:$CP63)=0,A63,INDEX($CM63:$CP63,MATCH(1,$CM63:$CP63,0))))),MAX($CM63:$CP63))</f>
        <v>0</v>
      </c>
      <c r="C63" s="213" t="s">
        <v>1731</v>
      </c>
      <c r="D63" s="1" t="s">
        <v>1732</v>
      </c>
      <c r="G63" t="s">
        <v>758</v>
      </c>
      <c r="V63" s="550">
        <f>IF(V$14=0, 0, ('I&amp;E Annual'!BX132-'I&amp;E Annual'!BX123)/V$14)*V$9</f>
        <v>0</v>
      </c>
      <c r="W63" s="550">
        <f>IF(W$14=0, 0, ('I&amp;E Annual'!BY132-'I&amp;E Annual'!BY123)/W$14)*W$9</f>
        <v>0</v>
      </c>
      <c r="X63" s="550">
        <f>IF(X$14=0, 0, ('I&amp;E Annual'!BZ132-'I&amp;E Annual'!BZ123)/X$14)*X$9</f>
        <v>0</v>
      </c>
      <c r="Y63" s="550">
        <f>IF(Y$14=0, 0, ('I&amp;E Annual'!CA132-'I&amp;E Annual'!CA123)/Y$14)*Y$9</f>
        <v>0</v>
      </c>
      <c r="BX63" s="55">
        <f>IF(BX$14=0, 0, ('I&amp;E Annual'!BX132-'I&amp;E Annual'!BX123)/BX$14)*BX$9</f>
        <v>0</v>
      </c>
      <c r="BY63" s="55">
        <f>IF(BY$14=0, 0, ('I&amp;E Annual'!BY132-'I&amp;E Annual'!BY123)/BY$14)*BY$9</f>
        <v>0</v>
      </c>
      <c r="BZ63" s="55">
        <f>IF(BZ$14=0, 0, ('I&amp;E Annual'!BZ132-'I&amp;E Annual'!BZ123)/BZ$14)*BZ$9</f>
        <v>0</v>
      </c>
      <c r="CA63" s="55">
        <f>IF(CA$14=0, 0, ('I&amp;E Annual'!CA132-'I&amp;E Annual'!CA123)/CA$14)*CA$9</f>
        <v>0</v>
      </c>
      <c r="CB63" s="55">
        <f>IF(CB$14=0, 0, ('I&amp;E Annual'!CB132-'I&amp;E Annual'!CB123)/CB$14)*CB$9</f>
        <v>0</v>
      </c>
      <c r="CC63" s="55">
        <f>IF(CC$14=0, 0, ('I&amp;E Annual'!CC132-'I&amp;E Annual'!CC123)/CC$14)*CC$9</f>
        <v>0</v>
      </c>
      <c r="CD63" s="55">
        <f>IF(CD$14=0, 0, ('I&amp;E Annual'!CD132-'I&amp;E Annual'!CD123)/CD$14)*CD$9</f>
        <v>0</v>
      </c>
      <c r="CE63" s="55">
        <f>IF(CE$14=0, 0, ('I&amp;E Annual'!CE132-'I&amp;E Annual'!CE123)/CE$14)*CE$9</f>
        <v>0</v>
      </c>
      <c r="CF63" s="55">
        <f>IF(CF$14=0, 0, ('I&amp;E Annual'!CF132-'I&amp;E Annual'!CF123)/CF$14)*CF$9</f>
        <v>0</v>
      </c>
      <c r="CG63" s="55">
        <f>IF(CG$14=0, 0, ('I&amp;E Annual'!CG132-'I&amp;E Annual'!CG123)/CG$14)*CG$9</f>
        <v>0</v>
      </c>
      <c r="CH63" s="55">
        <f>IF(CH$14=0, 0, ('I&amp;E Annual'!CH132-'I&amp;E Annual'!CH123)/CH$14)*CH$9</f>
        <v>0</v>
      </c>
      <c r="CI63" s="55">
        <f>IF(CI$14=0, 0, ('I&amp;E Annual'!CI132-'I&amp;E Annual'!CI123)/CI$14)*CI$9</f>
        <v>0</v>
      </c>
      <c r="CK63" s="312"/>
      <c r="CM63" s="312"/>
      <c r="CN63" s="7">
        <f>IF(SUM($CQ63:$CT63)=0, 0, 1)</f>
        <v>0</v>
      </c>
      <c r="CP63" s="311"/>
      <c r="CQ63" s="549">
        <f t="shared" si="26"/>
        <v>0</v>
      </c>
      <c r="CR63" s="549">
        <f t="shared" si="26"/>
        <v>0</v>
      </c>
      <c r="CS63" s="549">
        <f t="shared" si="26"/>
        <v>0</v>
      </c>
      <c r="CT63" s="549">
        <f t="shared" si="26"/>
        <v>0</v>
      </c>
      <c r="EX63" s="10" t="str">
        <f t="shared" si="12"/>
        <v>Other operating expenditure (excluding subcontracting) as a % of total adjusted income</v>
      </c>
    </row>
    <row r="64" spans="1:154" ht="8.25" customHeight="1" x14ac:dyDescent="0.35">
      <c r="C64" s="213"/>
      <c r="E64"/>
      <c r="CK64" s="311"/>
      <c r="CM64" s="311"/>
      <c r="CP64" s="311"/>
      <c r="EX64" s="10" t="str">
        <f t="shared" si="12"/>
        <v/>
      </c>
    </row>
    <row r="65" spans="1:154" x14ac:dyDescent="0.35">
      <c r="B65" s="5"/>
      <c r="C65" s="213"/>
      <c r="D65" s="24" t="s">
        <v>1733</v>
      </c>
      <c r="G65" t="s">
        <v>758</v>
      </c>
      <c r="CK65" s="312"/>
      <c r="CM65" s="312"/>
      <c r="CP65" s="311"/>
      <c r="EX65" s="10" t="str">
        <f t="shared" si="12"/>
        <v/>
      </c>
    </row>
    <row r="66" spans="1:154" ht="29.15" customHeight="1" x14ac:dyDescent="0.35">
      <c r="A66" s="537" cm="1">
        <f t="array" aca="1" ref="A66" ca="1">HYPERLINK(CONCATENATE("#",CELL("address",IF(MAX($CM66:$CP66)=0,A66,INDEX($CM66:$CP66,MATCH(1,$CM66:$CP66,0))))),MAX($CM66:$CP66))</f>
        <v>0</v>
      </c>
      <c r="B66" s="85" t="s">
        <v>122</v>
      </c>
      <c r="C66" s="213" t="s">
        <v>1734</v>
      </c>
      <c r="D66" s="1" t="s">
        <v>1735</v>
      </c>
      <c r="G66" t="s">
        <v>758</v>
      </c>
      <c r="H66" s="645" t="s">
        <v>1736</v>
      </c>
      <c r="V66" s="55">
        <f>IF(V$14-'Fin Stat'!V$25=0, 0, ('Fin Stat'!V$27-'I&amp;E Annual'!V$113+'Fin Stat'!V$35)/(V$14-'Fin Stat'!V$25))*V$9</f>
        <v>0</v>
      </c>
      <c r="W66" s="55">
        <f>IF(W$14-'Fin Stat'!W$25=0, 0, ('Fin Stat'!W$27-'I&amp;E Annual'!W$113+'Fin Stat'!W$35)/(W$14-'Fin Stat'!W$25))*W$9</f>
        <v>0</v>
      </c>
      <c r="X66" s="55">
        <f>IF(X$14-'Fin Stat'!X$25=0, 0, ('Fin Stat'!X$27-'I&amp;E Annual'!X$113+'Fin Stat'!X$35)/(X$14-'Fin Stat'!X$25))*X$9</f>
        <v>0</v>
      </c>
      <c r="Y66" s="55">
        <f>IF(Y$14-'Fin Stat'!Y$25=0, 0, ('Fin Stat'!Y$27-'I&amp;E Annual'!Y$113+'Fin Stat'!Y$35)/(Y$14-'Fin Stat'!Y$25))*Y$9</f>
        <v>0</v>
      </c>
      <c r="BX66" s="55">
        <f>IF(BX$14-'Fin Stat'!BX$25=0, 0, ('Fin Stat'!BX$27-'I&amp;E Annual'!BX$113+'Fin Stat'!BX$35)/(BX$14-'Fin Stat'!BX$25))*BX$9</f>
        <v>0</v>
      </c>
      <c r="BY66" s="55">
        <f>IF(BY$14-'Fin Stat'!BY$25=0, 0, ('Fin Stat'!BY$27-'I&amp;E Annual'!BY$113+'Fin Stat'!BY$35)/(BY$14-'Fin Stat'!BY$25))*BY$9</f>
        <v>0</v>
      </c>
      <c r="BZ66" s="55">
        <f>IF(BZ$14-'Fin Stat'!BZ$25=0, 0, ('Fin Stat'!BZ$27-'I&amp;E Annual'!BZ$113+'Fin Stat'!BZ$35)/(BZ$14-'Fin Stat'!BZ$25))*BZ$9</f>
        <v>0</v>
      </c>
      <c r="CA66" s="55">
        <f>IF(CA$14-'Fin Stat'!CA$25=0, 0, ('Fin Stat'!CA$27-'I&amp;E Annual'!CA$113+'Fin Stat'!CA$35)/(CA$14-'Fin Stat'!CA$25))*CA$9</f>
        <v>0</v>
      </c>
      <c r="CB66" s="55">
        <f>IF(CB$14-'Fin Stat'!CB$25=0, 0, ('Fin Stat'!CB$27-'I&amp;E Annual'!CB$113+'Fin Stat'!CB$35)/(CB$14-'Fin Stat'!CB$25))*CB$9</f>
        <v>0</v>
      </c>
      <c r="CC66" s="55">
        <f>IF(CC$14-'Fin Stat'!CC$25=0, 0, ('Fin Stat'!CC$27-'I&amp;E Annual'!CC$113+'Fin Stat'!CC$35)/(CC$14-'Fin Stat'!CC$25))*CC$9</f>
        <v>0</v>
      </c>
      <c r="CD66" s="55">
        <f>IF(CD$14-'Fin Stat'!CD$25=0, 0, ('Fin Stat'!CD$27-'I&amp;E Annual'!CD$113+'Fin Stat'!CD$35)/(CD$14-'Fin Stat'!CD$25))*CD$9</f>
        <v>0</v>
      </c>
      <c r="CE66" s="55">
        <f>IF(CE$14-'Fin Stat'!CE$25=0, 0, ('Fin Stat'!CE$27-'I&amp;E Annual'!CE$113+'Fin Stat'!CE$35)/(CE$14-'Fin Stat'!CE$25))*CE$9</f>
        <v>0</v>
      </c>
      <c r="CF66" s="55">
        <f>IF(CF$14-'Fin Stat'!CF$25=0, 0, ('Fin Stat'!CF$27-'I&amp;E Annual'!CF$113+'Fin Stat'!CF$35)/(CF$14-'Fin Stat'!CF$25))*CF$9</f>
        <v>0</v>
      </c>
      <c r="CG66" s="55">
        <f>IF(CG$14-'Fin Stat'!CG$25=0, 0, ('Fin Stat'!CG$27-'I&amp;E Annual'!CG$113+'Fin Stat'!CG$35)/(CG$14-'Fin Stat'!CG$25))*CG$9</f>
        <v>0</v>
      </c>
      <c r="CH66" s="55">
        <f>IF(CH$14-'Fin Stat'!CH$25=0, 0, ('Fin Stat'!CH$27-'I&amp;E Annual'!CH$113+'Fin Stat'!CH$35)/(CH$14-'Fin Stat'!CH$25))*CH$9</f>
        <v>0</v>
      </c>
      <c r="CI66" s="55">
        <f>IF(CI$14-'Fin Stat'!CI$25=0, 0, ('Fin Stat'!CI$27-'I&amp;E Annual'!CI$113+'Fin Stat'!CI$35)/(CI$14-'Fin Stat'!CI$25))*CI$9</f>
        <v>0</v>
      </c>
      <c r="CK66" s="312"/>
      <c r="CM66" s="312"/>
      <c r="CN66" s="7">
        <f>IF(SUM($CQ66:$CT66)=0, 0, 1)</f>
        <v>0</v>
      </c>
      <c r="CP66" s="311"/>
      <c r="CQ66" s="549">
        <f t="shared" ref="CQ66:CT67" si="27">ROUND(BX66-V66, rounding)</f>
        <v>0</v>
      </c>
      <c r="CR66" s="549">
        <f t="shared" si="27"/>
        <v>0</v>
      </c>
      <c r="CS66" s="549">
        <f t="shared" si="27"/>
        <v>0</v>
      </c>
      <c r="CT66" s="549">
        <f t="shared" si="27"/>
        <v>0</v>
      </c>
      <c r="EX66" s="10" t="str">
        <f t="shared" si="12"/>
        <v>Staff costs (incl. contract tuition services/excl. restructuring and FRS102) as % of adjusted income (excl. income subcontracted out)</v>
      </c>
    </row>
    <row r="67" spans="1:154" x14ac:dyDescent="0.35">
      <c r="A67" s="537" cm="1">
        <f t="array" aca="1" ref="A67" ca="1">HYPERLINK(CONCATENATE("#",CELL("address",IF(MAX($CM67:$CP67)=0,A67,INDEX($CM67:$CP67,MATCH(1,$CM67:$CP67,0))))),MAX($CM67:$CP67))</f>
        <v>0</v>
      </c>
      <c r="C67" s="213" t="s">
        <v>1737</v>
      </c>
      <c r="D67" s="1" t="s">
        <v>1738</v>
      </c>
      <c r="G67" t="s">
        <v>758</v>
      </c>
      <c r="V67" s="550">
        <f>IFERROR(('Fin Stat'!V$27+'Fin Stat'!V29)/V$14, 0)*V$9</f>
        <v>0</v>
      </c>
      <c r="W67" s="550">
        <f>IFERROR(('Fin Stat'!W$27+'Fin Stat'!W29)/W$14, 0)*W$9</f>
        <v>0</v>
      </c>
      <c r="X67" s="550">
        <f>IFERROR(('Fin Stat'!X$27+'Fin Stat'!X29)/X$14, 0)*X$9</f>
        <v>0</v>
      </c>
      <c r="Y67" s="550">
        <f>IFERROR(('Fin Stat'!Y$27+'Fin Stat'!Y29)/Y$14, 0)*Y$9</f>
        <v>0</v>
      </c>
      <c r="BX67" s="55">
        <f>IFERROR(('Fin Stat'!BX$27+'Fin Stat'!BX29)/BX$14, 0)*BX$9</f>
        <v>0</v>
      </c>
      <c r="BY67" s="55">
        <f>IFERROR(('Fin Stat'!BY$27+'Fin Stat'!BY29)/BY$14, 0)*BY$9</f>
        <v>0</v>
      </c>
      <c r="BZ67" s="55">
        <f>IFERROR(('Fin Stat'!BZ$27+'Fin Stat'!BZ29)/BZ$14, 0)*BZ$9</f>
        <v>0</v>
      </c>
      <c r="CA67" s="55">
        <f>IFERROR(('Fin Stat'!CA$27+'Fin Stat'!CA29)/CA$14, 0)*CA$9</f>
        <v>0</v>
      </c>
      <c r="CB67" s="55">
        <f>IFERROR(('Fin Stat'!CB$27+'Fin Stat'!CB29)/CB$14, 0)*CB$9</f>
        <v>0</v>
      </c>
      <c r="CC67" s="55">
        <f>IFERROR(('Fin Stat'!CC$27+'Fin Stat'!CC29)/CC$14, 0)*CC$9</f>
        <v>0</v>
      </c>
      <c r="CD67" s="55">
        <f>IFERROR(('Fin Stat'!CD$27+'Fin Stat'!CD29)/CD$14, 0)*CD$9</f>
        <v>0</v>
      </c>
      <c r="CE67" s="55">
        <f>IFERROR(('Fin Stat'!CE$27+'Fin Stat'!CE29)/CE$14, 0)*CE$9</f>
        <v>0</v>
      </c>
      <c r="CF67" s="55">
        <f>IFERROR(('Fin Stat'!CF$27+'Fin Stat'!CF29)/CF$14, 0)*CF$9</f>
        <v>0</v>
      </c>
      <c r="CG67" s="55">
        <f>IFERROR(('Fin Stat'!CG$27+'Fin Stat'!CG29)/CG$14, 0)*CG$9</f>
        <v>0</v>
      </c>
      <c r="CH67" s="55">
        <f>IFERROR(('Fin Stat'!CH$27+'Fin Stat'!CH29)/CH$14, 0)*CH$9</f>
        <v>0</v>
      </c>
      <c r="CI67" s="55">
        <f>IFERROR(('Fin Stat'!CI$27+'Fin Stat'!CI29)/CI$14, 0)*CI$9</f>
        <v>0</v>
      </c>
      <c r="CK67" s="312"/>
      <c r="CM67" s="312"/>
      <c r="CN67" s="7">
        <f>IF(SUM($CQ67:$CT67)=0, 0, 1)</f>
        <v>0</v>
      </c>
      <c r="CP67" s="311"/>
      <c r="CQ67" s="549">
        <f t="shared" si="27"/>
        <v>0</v>
      </c>
      <c r="CR67" s="549">
        <f t="shared" si="27"/>
        <v>0</v>
      </c>
      <c r="CS67" s="549">
        <f t="shared" si="27"/>
        <v>0</v>
      </c>
      <c r="CT67" s="549">
        <f t="shared" si="27"/>
        <v>0</v>
      </c>
      <c r="EX67" s="10" t="str">
        <f t="shared" si="12"/>
        <v>Total Staff costs as % of Adjusted Income</v>
      </c>
    </row>
    <row r="68" spans="1:154" ht="8.25" customHeight="1" x14ac:dyDescent="0.35">
      <c r="E68"/>
      <c r="CK68" s="311"/>
      <c r="CM68" s="311"/>
      <c r="CP68" s="311"/>
      <c r="EX68" s="10" t="str">
        <f t="shared" si="12"/>
        <v/>
      </c>
    </row>
    <row r="69" spans="1:154" x14ac:dyDescent="0.35">
      <c r="A69" s="312" t="s">
        <v>16</v>
      </c>
      <c r="B69" s="312" t="s">
        <v>16</v>
      </c>
      <c r="C69" s="312" t="s">
        <v>16</v>
      </c>
      <c r="D69" s="312" t="s">
        <v>16</v>
      </c>
      <c r="E69" s="312" t="s">
        <v>16</v>
      </c>
      <c r="F69" s="312"/>
      <c r="G69" s="312" t="s">
        <v>16</v>
      </c>
      <c r="H69" s="312" t="s">
        <v>16</v>
      </c>
      <c r="I69" s="312" t="s">
        <v>16</v>
      </c>
      <c r="J69" s="312" t="s">
        <v>16</v>
      </c>
      <c r="K69" s="312" t="s">
        <v>16</v>
      </c>
      <c r="L69" s="312" t="s">
        <v>16</v>
      </c>
      <c r="M69" s="312" t="s">
        <v>16</v>
      </c>
      <c r="N69" s="312" t="s">
        <v>16</v>
      </c>
      <c r="O69" s="312" t="s">
        <v>16</v>
      </c>
      <c r="P69" s="312" t="s">
        <v>16</v>
      </c>
      <c r="Q69" s="312" t="s">
        <v>16</v>
      </c>
      <c r="R69" s="312" t="s">
        <v>16</v>
      </c>
      <c r="S69" s="312" t="s">
        <v>16</v>
      </c>
      <c r="T69" s="312" t="s">
        <v>16</v>
      </c>
      <c r="U69" s="312" t="s">
        <v>16</v>
      </c>
      <c r="V69" s="312" t="s">
        <v>16</v>
      </c>
      <c r="W69" s="312" t="s">
        <v>16</v>
      </c>
      <c r="X69" s="312" t="s">
        <v>16</v>
      </c>
      <c r="Y69" s="312" t="s">
        <v>16</v>
      </c>
      <c r="Z69" s="312" t="s">
        <v>16</v>
      </c>
      <c r="AA69" s="312" t="s">
        <v>16</v>
      </c>
      <c r="AB69" s="312" t="s">
        <v>16</v>
      </c>
      <c r="AC69" s="312" t="s">
        <v>16</v>
      </c>
      <c r="AD69" s="312" t="s">
        <v>16</v>
      </c>
      <c r="AE69" s="312" t="s">
        <v>16</v>
      </c>
      <c r="AF69" s="312" t="s">
        <v>16</v>
      </c>
      <c r="AG69" s="312" t="s">
        <v>16</v>
      </c>
      <c r="AH69" s="312" t="s">
        <v>16</v>
      </c>
      <c r="AI69" s="312" t="s">
        <v>16</v>
      </c>
      <c r="AJ69" s="312" t="s">
        <v>16</v>
      </c>
      <c r="AK69" s="312" t="s">
        <v>16</v>
      </c>
      <c r="AL69" s="312" t="s">
        <v>16</v>
      </c>
      <c r="AM69" s="312" t="s">
        <v>16</v>
      </c>
      <c r="AN69" s="312" t="s">
        <v>16</v>
      </c>
      <c r="AO69" s="312" t="s">
        <v>16</v>
      </c>
      <c r="AP69" s="312" t="s">
        <v>16</v>
      </c>
      <c r="AQ69" s="312" t="s">
        <v>16</v>
      </c>
      <c r="AR69" s="312" t="s">
        <v>16</v>
      </c>
      <c r="AS69" s="312" t="s">
        <v>16</v>
      </c>
      <c r="AT69" s="312" t="s">
        <v>16</v>
      </c>
      <c r="AU69" s="312" t="s">
        <v>16</v>
      </c>
      <c r="AV69" s="312" t="s">
        <v>16</v>
      </c>
      <c r="AW69" s="312" t="s">
        <v>16</v>
      </c>
      <c r="AX69" s="312" t="s">
        <v>16</v>
      </c>
      <c r="AY69" s="312" t="s">
        <v>16</v>
      </c>
      <c r="AZ69" s="312" t="s">
        <v>16</v>
      </c>
      <c r="BA69" s="312" t="s">
        <v>16</v>
      </c>
      <c r="BB69" s="312" t="s">
        <v>16</v>
      </c>
      <c r="BC69" s="312" t="s">
        <v>16</v>
      </c>
      <c r="BD69" s="312" t="s">
        <v>16</v>
      </c>
      <c r="BE69" s="312" t="s">
        <v>16</v>
      </c>
      <c r="BF69" s="312" t="s">
        <v>16</v>
      </c>
      <c r="BG69" s="312" t="s">
        <v>16</v>
      </c>
      <c r="BH69" s="312" t="s">
        <v>16</v>
      </c>
      <c r="BI69" s="312" t="s">
        <v>16</v>
      </c>
      <c r="BJ69" s="312" t="s">
        <v>16</v>
      </c>
      <c r="BK69" s="312" t="s">
        <v>16</v>
      </c>
      <c r="BL69" s="312" t="s">
        <v>16</v>
      </c>
      <c r="BM69" s="312" t="s">
        <v>16</v>
      </c>
      <c r="BN69" s="312" t="s">
        <v>16</v>
      </c>
      <c r="BO69" s="312" t="s">
        <v>16</v>
      </c>
      <c r="BP69" s="312" t="s">
        <v>16</v>
      </c>
      <c r="BQ69" s="312" t="s">
        <v>16</v>
      </c>
      <c r="BR69" s="312" t="s">
        <v>16</v>
      </c>
      <c r="BS69" s="312" t="s">
        <v>16</v>
      </c>
      <c r="BT69" s="312" t="s">
        <v>16</v>
      </c>
      <c r="BU69" s="312" t="s">
        <v>16</v>
      </c>
      <c r="BV69" s="312" t="s">
        <v>16</v>
      </c>
      <c r="BW69" s="312" t="s">
        <v>16</v>
      </c>
      <c r="BX69" s="312" t="s">
        <v>16</v>
      </c>
      <c r="BY69" s="312" t="s">
        <v>16</v>
      </c>
      <c r="BZ69" s="312" t="s">
        <v>16</v>
      </c>
      <c r="CA69" s="312" t="s">
        <v>16</v>
      </c>
      <c r="CB69" s="312" t="s">
        <v>16</v>
      </c>
      <c r="CC69" s="312" t="s">
        <v>16</v>
      </c>
      <c r="CD69" s="312" t="s">
        <v>16</v>
      </c>
      <c r="CE69" s="312" t="s">
        <v>16</v>
      </c>
      <c r="CF69" s="312" t="s">
        <v>16</v>
      </c>
      <c r="CG69" s="312" t="s">
        <v>16</v>
      </c>
      <c r="CH69" s="312" t="s">
        <v>16</v>
      </c>
      <c r="CI69" s="312" t="s">
        <v>16</v>
      </c>
      <c r="CJ69" s="312" t="s">
        <v>16</v>
      </c>
      <c r="CK69" s="312" t="s">
        <v>16</v>
      </c>
      <c r="CL69" s="312" t="s">
        <v>16</v>
      </c>
      <c r="CM69" s="312" t="s">
        <v>16</v>
      </c>
      <c r="CN69" s="312" t="s">
        <v>16</v>
      </c>
      <c r="CO69" s="312"/>
      <c r="CP69" s="312" t="s">
        <v>16</v>
      </c>
      <c r="CQ69" s="312" t="s">
        <v>16</v>
      </c>
      <c r="CR69" s="312" t="s">
        <v>16</v>
      </c>
      <c r="CS69" s="312" t="s">
        <v>16</v>
      </c>
      <c r="CT69" s="312" t="s">
        <v>16</v>
      </c>
      <c r="EX69" s="10" t="str">
        <f t="shared" si="12"/>
        <v>*</v>
      </c>
    </row>
  </sheetData>
  <sheetProtection algorithmName="SHA-512" hashValue="2WAcIkRzsCz2f07YMVjkgIQxYuo1nfrhctRBM8D6TPV8UDayHuvlSyc2AGIbb0cPhEmq78p9ubBHJlXAqxAtnA==" saltValue="NAW4mirZ9h3Xad8wwVOhkQ==" spinCount="100000" sheet="1" insertRows="0" deleteRows="0"/>
  <mergeCells count="13">
    <mergeCell ref="CV2:CV5"/>
    <mergeCell ref="CW2:CW5"/>
    <mergeCell ref="CN2:CN6"/>
    <mergeCell ref="CK1:CK6"/>
    <mergeCell ref="CM1:CM6"/>
    <mergeCell ref="CP1:CP6"/>
    <mergeCell ref="CO2:CO6"/>
    <mergeCell ref="CL3:CL6"/>
    <mergeCell ref="CQ2:CQ5"/>
    <mergeCell ref="CR2:CR5"/>
    <mergeCell ref="CS2:CS5"/>
    <mergeCell ref="CT2:CT5"/>
    <mergeCell ref="CU2:CU5"/>
  </mergeCells>
  <phoneticPr fontId="9" type="noConversion"/>
  <conditionalFormatting sqref="A1:A2">
    <cfRule type="cellIs" dxfId="431" priority="101" operator="equal">
      <formula>0</formula>
    </cfRule>
    <cfRule type="cellIs" dxfId="430" priority="102" operator="greaterThan">
      <formula>0</formula>
    </cfRule>
  </conditionalFormatting>
  <conditionalFormatting sqref="A14:A15 J14:U15 CN14:CN15 CQ14:CT15">
    <cfRule type="cellIs" dxfId="429" priority="49" operator="equal">
      <formula>0</formula>
    </cfRule>
    <cfRule type="cellIs" dxfId="428" priority="50" operator="greaterThan">
      <formula>0</formula>
    </cfRule>
  </conditionalFormatting>
  <conditionalFormatting sqref="A18:A20">
    <cfRule type="cellIs" dxfId="427" priority="85" operator="greaterThan">
      <formula>0</formula>
    </cfRule>
    <cfRule type="cellIs" dxfId="426" priority="84" operator="equal">
      <formula>0</formula>
    </cfRule>
  </conditionalFormatting>
  <conditionalFormatting sqref="A22:A28">
    <cfRule type="cellIs" dxfId="425" priority="104" operator="greaterThan">
      <formula>0</formula>
    </cfRule>
    <cfRule type="cellIs" dxfId="424" priority="103" operator="equal">
      <formula>0</formula>
    </cfRule>
  </conditionalFormatting>
  <conditionalFormatting sqref="A31:A34 J31:U34 CN31:CO34 CQ31:CT34">
    <cfRule type="cellIs" dxfId="423" priority="51" operator="equal">
      <formula>0</formula>
    </cfRule>
  </conditionalFormatting>
  <conditionalFormatting sqref="A37:A46 A58 A62:A63 A66:A67">
    <cfRule type="cellIs" dxfId="422" priority="53" operator="equal">
      <formula>0</formula>
    </cfRule>
    <cfRule type="cellIs" dxfId="421" priority="54" operator="greaterThan">
      <formula>0</formula>
    </cfRule>
  </conditionalFormatting>
  <conditionalFormatting sqref="A49:A56">
    <cfRule type="cellIs" dxfId="420" priority="11" operator="equal">
      <formula>0</formula>
    </cfRule>
    <cfRule type="cellIs" dxfId="419" priority="12" operator="greaterThan">
      <formula>0</formula>
    </cfRule>
  </conditionalFormatting>
  <conditionalFormatting sqref="CL2">
    <cfRule type="cellIs" dxfId="418" priority="9" operator="greaterThan">
      <formula>0</formula>
    </cfRule>
    <cfRule type="cellIs" dxfId="417" priority="10" operator="equal">
      <formula>0</formula>
    </cfRule>
  </conditionalFormatting>
  <conditionalFormatting sqref="CL20">
    <cfRule type="cellIs" dxfId="416" priority="47" operator="greaterThan">
      <formula>0</formula>
    </cfRule>
    <cfRule type="cellIs" dxfId="415" priority="48" operator="equal">
      <formula>0</formula>
    </cfRule>
  </conditionalFormatting>
  <conditionalFormatting sqref="CL25:CL26">
    <cfRule type="cellIs" dxfId="414" priority="5" operator="greaterThan">
      <formula>0</formula>
    </cfRule>
    <cfRule type="cellIs" dxfId="413" priority="6" operator="equal">
      <formula>0</formula>
    </cfRule>
  </conditionalFormatting>
  <conditionalFormatting sqref="CL31 A31:A34 J31:U34 CN31:CO34 CQ31:CT34">
    <cfRule type="cellIs" dxfId="412" priority="52" operator="greaterThan">
      <formula>0</formula>
    </cfRule>
  </conditionalFormatting>
  <conditionalFormatting sqref="CL31">
    <cfRule type="cellIs" dxfId="411" priority="7" operator="greaterThan">
      <formula>0</formula>
    </cfRule>
    <cfRule type="cellIs" dxfId="410" priority="8" operator="equal">
      <formula>0</formula>
    </cfRule>
  </conditionalFormatting>
  <conditionalFormatting sqref="CN14:CN15 CN31:CN34">
    <cfRule type="cellIs" dxfId="409" priority="114" operator="equal">
      <formula>1</formula>
    </cfRule>
  </conditionalFormatting>
  <conditionalFormatting sqref="CN18:CN19">
    <cfRule type="cellIs" dxfId="408" priority="97" operator="equal">
      <formula>1</formula>
    </cfRule>
    <cfRule type="cellIs" dxfId="407" priority="96" operator="equal">
      <formula>0</formula>
    </cfRule>
  </conditionalFormatting>
  <conditionalFormatting sqref="CN22:CN28">
    <cfRule type="cellIs" dxfId="406" priority="112" operator="equal">
      <formula>1</formula>
    </cfRule>
    <cfRule type="cellIs" dxfId="405" priority="111" operator="equal">
      <formula>0</formula>
    </cfRule>
  </conditionalFormatting>
  <conditionalFormatting sqref="CN37:CN46">
    <cfRule type="cellIs" dxfId="404" priority="66" operator="equal">
      <formula>1</formula>
    </cfRule>
    <cfRule type="cellIs" dxfId="403" priority="65" operator="equal">
      <formula>0</formula>
    </cfRule>
  </conditionalFormatting>
  <conditionalFormatting sqref="CN49:CN56">
    <cfRule type="cellIs" dxfId="402" priority="13" operator="equal">
      <formula>0</formula>
    </cfRule>
    <cfRule type="cellIs" dxfId="401" priority="14" operator="equal">
      <formula>1</formula>
    </cfRule>
  </conditionalFormatting>
  <conditionalFormatting sqref="CN58 CN62:CN63 CN66:CN67">
    <cfRule type="cellIs" dxfId="400" priority="55" operator="equal">
      <formula>0</formula>
    </cfRule>
    <cfRule type="cellIs" dxfId="399" priority="56" operator="equal">
      <formula>1</formula>
    </cfRule>
  </conditionalFormatting>
  <conditionalFormatting sqref="CN20:CO20">
    <cfRule type="cellIs" dxfId="398" priority="90" operator="equal">
      <formula>1</formula>
    </cfRule>
    <cfRule type="cellIs" dxfId="397" priority="89" operator="equal">
      <formula>0</formula>
    </cfRule>
  </conditionalFormatting>
  <conditionalFormatting sqref="CO19">
    <cfRule type="cellIs" dxfId="396" priority="74" operator="equal">
      <formula>1</formula>
    </cfRule>
    <cfRule type="cellIs" dxfId="395" priority="73" operator="equal">
      <formula>0</formula>
    </cfRule>
  </conditionalFormatting>
  <conditionalFormatting sqref="CQ14:CT15 CQ31:CT34">
    <cfRule type="cellIs" dxfId="394" priority="118" operator="lessThan">
      <formula>0</formula>
    </cfRule>
  </conditionalFormatting>
  <conditionalFormatting sqref="CQ18:CT20 CQ22:CT28">
    <cfRule type="cellIs" dxfId="393" priority="72" operator="equal">
      <formula>0</formula>
    </cfRule>
    <cfRule type="cellIs" dxfId="392" priority="71" operator="greaterThan">
      <formula>0</formula>
    </cfRule>
    <cfRule type="cellIs" dxfId="391" priority="70" operator="lessThan">
      <formula>0</formula>
    </cfRule>
  </conditionalFormatting>
  <conditionalFormatting sqref="CQ37:CT46">
    <cfRule type="cellIs" dxfId="390" priority="69" operator="equal">
      <formula>0</formula>
    </cfRule>
    <cfRule type="cellIs" dxfId="389" priority="68" operator="greaterThan">
      <formula>0</formula>
    </cfRule>
    <cfRule type="cellIs" dxfId="388" priority="67" operator="lessThan">
      <formula>0</formula>
    </cfRule>
  </conditionalFormatting>
  <conditionalFormatting sqref="CQ49:CT56">
    <cfRule type="cellIs" dxfId="387" priority="17" operator="equal">
      <formula>0</formula>
    </cfRule>
    <cfRule type="cellIs" dxfId="386" priority="16" operator="greaterThan">
      <formula>0</formula>
    </cfRule>
    <cfRule type="cellIs" dxfId="385" priority="15" operator="lessThan">
      <formula>0</formula>
    </cfRule>
  </conditionalFormatting>
  <conditionalFormatting sqref="CQ58:CT58 CQ62:CT63 CQ66:CT67">
    <cfRule type="cellIs" dxfId="384" priority="59" operator="equal">
      <formula>0</formula>
    </cfRule>
    <cfRule type="cellIs" dxfId="383" priority="58" operator="greaterThan">
      <formula>0</formula>
    </cfRule>
    <cfRule type="cellIs" dxfId="382" priority="57" operator="lessThan">
      <formula>0</formula>
    </cfRule>
  </conditionalFormatting>
  <conditionalFormatting sqref="CU19:CW20">
    <cfRule type="cellIs" dxfId="381" priority="76" operator="greaterThan">
      <formula>0</formula>
    </cfRule>
    <cfRule type="cellIs" dxfId="380" priority="77" operator="equal">
      <formula>0</formula>
    </cfRule>
    <cfRule type="cellIs" dxfId="379" priority="75" operator="lessThan">
      <formula>0</formula>
    </cfRule>
  </conditionalFormatting>
  <dataValidations count="23">
    <dataValidation allowBlank="1" showInputMessage="1" promptTitle="Adjusted Income" prompt="Total Operating Income _x000a_less:_x000a_&gt;emergency funding _x000a_&gt;non cash receipts (gifts) &amp; donations of fixed assets_x000a_plus:_x000a_&gt; interest and investment income_x000a__x000a__x000a__x000a_" sqref="B14" xr:uid="{11A7C9E4-3448-4714-81CC-C7D4F996C401}"/>
    <dataValidation allowBlank="1" showInputMessage="1" promptTitle="Adjusted Expenditure" prompt="Total Expenditure excl. bursary costs _x000a__x000a_" sqref="B15" xr:uid="{B43EB498-68AD-46F6-959C-A0DDBA529C7A}"/>
    <dataValidation allowBlank="1" showInputMessage="1" promptTitle="Current Ratio" prompt="Calculated as:_x000a_current assets / creditors due within 1 year_x000a__x000a_" sqref="B22" xr:uid="{29B49262-DACC-48DA-88F8-332F0EA0F7BD}"/>
    <dataValidation allowBlank="1" showInputMessage="1" promptTitle="Adjusted Current Ratio" prompt="Calculated as:_x000a_(Current assets - restricted cash - assets held for sale) / (current liabilities - capital grant liability due in less than one year - accrual for holiday &amp; sabbatical pay - unspent capital grant due in less than one year) _x000a__x000a_" sqref="B23" xr:uid="{EBC8F8A9-8C72-4456-B669-5EA5D3AD47F3}"/>
    <dataValidation allowBlank="1" showInputMessage="1" promptTitle="Creditor Days" prompt="Trade payables/(other operating costs) _x000a__x000a__x000a_" sqref="B27:B28" xr:uid="{201F126C-04A7-448C-A7CC-D9AF911F3073}"/>
    <dataValidation allowBlank="1" showInputMessage="1" promptTitle="Debt Service Cover Ratio (DSCR)" prompt="Calculated as:_x000a_Net operating cash flow/ (total interest paid + interest element of finance leases + repayment of amount borrowed + capital element of finance leases) _x000a__x000a_DSCR does not take into account early loan repayments and related fees._x000a__x000a_" sqref="B31" xr:uid="{601CBAF9-85AA-44EA-9B83-C275A081A1F2}"/>
    <dataValidation allowBlank="1" showInputMessage="1" promptTitle="Comprehensive Income %" prompt="Calculated as:_x000a_(Total Surplus/Deficit - transfer to/from revaluation reserve - Actuarial gain/loss ) / Adjusted income _x000a__x000a_" sqref="B39" xr:uid="{AC7D5578-58F9-47F6-99EB-948DDDC99310}"/>
    <dataValidation allowBlank="1" showInputMessage="1" promptTitle="Available Reserves %" prompt="Calculated as:_x000a_(Income &amp; Expenditure reserve + pension reserves) / Adjusted income _x000a__x000a_" sqref="B40" xr:uid="{5F833FC5-9250-4758-924D-C2BBCEF664B5}"/>
    <dataValidation allowBlank="1" showInputMessage="1" promptTitle="Dependency on other income" prompt="Calculated as:_x000a_(Other Income from education and training + Total commercial Income + Total Other Income) / Adjusted income _x000a__x000a_Does not include income from emergency funding, gifts and donations_x000a__x000a_" sqref="B56" xr:uid="{774F07BE-F3DF-462A-917F-CB0DAB4D6927}"/>
    <dataValidation allowBlank="1" showInputMessage="1" promptTitle="Dependency on other income" prompt="Calculated as:_x000a_(Commercial Income + Other Income) / Adjusted income _x000a__x000a_" sqref="B59" xr:uid="{9274B9DB-FB84-4B9A-918C-0BDB69CB4E58}"/>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41" xr:uid="{3B40DD4B-B674-438A-B838-550A6D67A4D8}"/>
    <dataValidation allowBlank="1" showInputMessage="1" promptTitle="Adjusted cash days" prompt="Cash and cash equivalents/ (Staff costs excl. restructuring excluding LGPS costs and contributions + Other operating expenditure + interest expense)_x000a__x000a_" sqref="A21:B21" xr:uid="{EE6D60B6-2783-4C81-A256-6FB233F60523}"/>
    <dataValidation allowBlank="1" showInputMessage="1" promptTitle="Staff costs as % of income" prompt="Calculated as:_x000a_(Total staff costs excl. restructuring less pension costs and contributions) / (Adjusted income - subcontracted out income)_x000a__x000a_" sqref="B66" xr:uid="{800AB828-DD91-4F34-AC5A-355EB302B31A}"/>
    <dataValidation allowBlank="1" showInputMessage="1" promptTitle="Expenditure for Adj. Cash Days" prompt="Expenditure for Adj. Cash Days includes:_x000a_&gt; Staff costs excl. restructuring less LGPS &amp; other pension costs and contributions_x000a_&gt; Other operating expenditure excl. bad debt provision costs_x000a_&gt; Interest expense on debt and finance leases_x000a__x000a_" sqref="B18" xr:uid="{F2A8EF97-AF8A-4A2B-A868-6F20B1169E3F}"/>
    <dataValidation allowBlank="1" showInputMessage="1" promptTitle="Debtor Days" prompt="Calculated as:_x000a_(Trade Receivables / non-grant operating income) * 365 days_x000a__x000a_" sqref="B25" xr:uid="{93B894E1-5931-4CD7-8C3D-41A399DB1440}"/>
    <dataValidation allowBlank="1" showInputMessage="1" promptTitle="Borrowing" prompt="Calculated as:_x000a_Loans / overdrafts and finance leases due within one year _x000a_+ loans and finance leases due after one year _x000a_+ interest payable on loans/overdrafts_x000a_ _x000a_" sqref="B32" xr:uid="{512E4437-2100-4AC1-8610-1807978064EB}"/>
    <dataValidation allowBlank="1" showInputMessage="1" promptTitle="Income for debtor days" prompt="non-grant operating income _x000a_" sqref="B24" xr:uid="{7274633E-C155-4A6B-B9E4-6C970434D249}"/>
    <dataValidation allowBlank="1" showInputMessage="1" promptTitle="Periods in Use Flag" prompt="This checks if optional periods are used. Outputs are calculated for optional periods only if the optional inputs are given across all applicable sheets:_x000a_&gt;I&amp;E Monthly_x000a_&gt;Opening Balances_x000a_&gt;Investing Inputs_x000a_&gt;Loans (if applicable)_x000a_&gt;BS Forecasts_x000a_" sqref="B9" xr:uid="{8EB3302D-19F9-4A16-8373-3B7CF5463C1E}"/>
    <dataValidation allowBlank="1" showInputMessage="1" promptTitle="Reconciliation to 12 year " prompt="This checks if the annual values on the 4 year timeline match the annual values on the 12 year timeline. _x000a__x000a_Refer to Differences section (columns CE - CH) in case of flags." sqref="CN7" xr:uid="{2DDC2B81-5941-4765-AC0A-974BB550D789}"/>
    <dataValidation allowBlank="1" showInputMessage="1" promptTitle="Reconciliation to 12 year " prompt="This checks that the value on the the 4 year timeline matches the end of year value on the monthly timeline._x000a__x000a_Refer to Differences section (columns CI - CK) in case of flags." sqref="CO7" xr:uid="{120A7412-12AC-47BE-9B73-5536D3E8D925}"/>
    <dataValidation allowBlank="1" showInputMessage="1" promptTitle="Mid Year Merger Date" prompt="This checks for unexpected signs. E.g. trade debtor and creditor days are not expected to be negative since it is not expected to have negative trade debtor/ creditor balance." sqref="CL7" xr:uid="{67439CC9-6702-4F6F-8484-C665C8B0016D}"/>
    <dataValidation allowBlank="1" showInputMessage="1" promptTitle="Adjusted Cash Days" prompt="Calculated as:_x000a_Cash and cash equivalents / (Staff costs excl. restructuring costs and LGPS costs and contributions + other operating expenditure + interest expense)_x000a__x000a_" sqref="B20" xr:uid="{8B05FDA3-5E73-4D8A-A7BE-63BD7A8396CF}"/>
    <dataValidation allowBlank="1" showInputMessage="1" promptTitle="Creditor Days" prompt="Calculated as:_x000a_Trade payables / (other operating costs) _x000a__x000a_" sqref="B26" xr:uid="{B2D7C98E-7EDE-473D-8BDF-87C642E10D71}"/>
  </dataValidations>
  <pageMargins left="0.70866141732283472" right="0.70866141732283472" top="0.74803149606299213" bottom="0.74803149606299213" header="0.31496062992125984" footer="0.31496062992125984"/>
  <pageSetup paperSize="8" scale="87" orientation="portrait"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1" id="{00227A81-58D1-485F-A84E-ED647176DE0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096CD2C-7F05-4B8F-8985-2B3C4B9C4472}">
          <x14:formula1>
            <xm:f>'Dash Data'!$D$93:$D$100</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8F23-430E-4699-BDC5-A931305885B2}">
  <sheetPr codeName="Sheet11">
    <tabColor rgb="FF00B0F0"/>
    <outlinePr summaryBelow="0" summaryRight="0"/>
    <pageSetUpPr autoPageBreaks="0"/>
  </sheetPr>
  <dimension ref="A1:EW147"/>
  <sheetViews>
    <sheetView showGridLines="0" zoomScaleNormal="100" workbookViewId="0">
      <pane xSplit="8" ySplit="7" topLeftCell="I12"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style="57" bestFit="1" customWidth="1"/>
    <col min="4" max="4" width="52.54296875" style="57" customWidth="1"/>
    <col min="5" max="5" width="2" style="1" bestFit="1" customWidth="1"/>
    <col min="6" max="6" width="1.54296875" customWidth="1"/>
    <col min="7" max="7" width="7.1796875" customWidth="1"/>
    <col min="8" max="8" width="2" bestFit="1" customWidth="1"/>
    <col min="9" max="9" width="2" bestFit="1" customWidth="1" collapsed="1"/>
    <col min="10" max="10" width="2" hidden="1" customWidth="1" outlineLevel="1"/>
    <col min="11" max="18" width="8.81640625" hidden="1" customWidth="1" outlineLevel="1"/>
    <col min="19" max="19" width="3" hidden="1" customWidth="1" outlineLevel="1"/>
    <col min="20" max="20" width="11.54296875" hidden="1" customWidth="1" outlineLevel="1"/>
    <col min="21" max="21" width="9.54296875" hidden="1" customWidth="1" outlineLevel="1"/>
    <col min="22" max="23" width="8.81640625" bestFit="1" customWidth="1"/>
    <col min="24" max="24" width="8.81640625" customWidth="1"/>
    <col min="25" max="25" width="8.81640625" bestFit="1" customWidth="1"/>
    <col min="26" max="26" width="3.1796875" customWidth="1"/>
    <col min="27" max="27" width="14.54296875" customWidth="1" collapsed="1"/>
    <col min="28" max="75" width="9.81640625" hidden="1" customWidth="1" outlineLevel="1"/>
    <col min="76" max="76" width="1.1796875" hidden="1" customWidth="1" outlineLevel="1"/>
    <col min="77" max="86" width="8.81640625" hidden="1" customWidth="1" outlineLevel="1"/>
    <col min="87" max="87" width="3.453125" hidden="1" customWidth="1" outlineLevel="1"/>
    <col min="88" max="88" width="3.7265625" hidden="1" customWidth="1" outlineLevel="1"/>
    <col min="89" max="89" width="3" customWidth="1"/>
    <col min="90" max="90" width="2" bestFit="1" customWidth="1"/>
    <col min="95" max="95" width="9.1796875" customWidth="1"/>
    <col min="96" max="96" width="23.1796875" customWidth="1"/>
    <col min="97" max="97" width="10.81640625" bestFit="1" customWidth="1"/>
    <col min="98" max="98" width="2.81640625" customWidth="1"/>
    <col min="99" max="99" width="13.1796875" style="120" customWidth="1"/>
    <col min="100" max="100" width="3" customWidth="1"/>
    <col min="101" max="105" width="13.1796875" customWidth="1"/>
    <col min="106" max="106" width="2.81640625" customWidth="1"/>
    <col min="152" max="152" width="8.81640625" collapsed="1"/>
    <col min="153" max="153" width="89.1796875" hidden="1" customWidth="1" outlineLevel="1"/>
  </cols>
  <sheetData>
    <row r="1" spans="1:153" x14ac:dyDescent="0.35">
      <c r="A1" s="7">
        <f ca="1">ToC!A1</f>
        <v>0</v>
      </c>
      <c r="B1" s="13" t="s">
        <v>169</v>
      </c>
      <c r="C1" s="56"/>
      <c r="D1" s="56">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t="str">
        <f>Timeline!AA1</f>
        <v>Monthly Timeline</v>
      </c>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t="str">
        <f>Timeline!BX1</f>
        <v>12 Year Annual Timeline</v>
      </c>
      <c r="BZ1" s="13"/>
      <c r="CA1" s="13"/>
      <c r="CB1" s="13"/>
      <c r="CC1" s="13"/>
      <c r="CD1" s="13"/>
      <c r="CE1" s="13"/>
      <c r="CF1" s="13"/>
      <c r="CG1" s="13"/>
      <c r="CH1" s="13"/>
      <c r="CI1" s="13"/>
      <c r="CJ1" s="13"/>
      <c r="CK1" s="13"/>
      <c r="CL1" s="13"/>
      <c r="CM1" s="13"/>
      <c r="CN1" s="13"/>
      <c r="CO1" s="13"/>
      <c r="CP1" s="13"/>
      <c r="CQ1" s="13"/>
      <c r="CR1" s="13"/>
      <c r="CS1" s="13"/>
      <c r="CT1" s="663"/>
      <c r="CU1" s="107" t="s">
        <v>5</v>
      </c>
      <c r="CV1" s="663"/>
      <c r="CW1" s="5" t="s">
        <v>175</v>
      </c>
      <c r="DB1" s="663"/>
      <c r="EW1" s="5" t="s">
        <v>177</v>
      </c>
    </row>
    <row r="2" spans="1:153" ht="14.65" customHeight="1" x14ac:dyDescent="0.35">
      <c r="A2" s="220" cm="1">
        <f t="array" aca="1" ref="A2" ca="1">HYPERLINK(CONCATENATE("#",CELL("address",IF(SUM(A$7:A$36)=0,$A$2,INDEX(A$7:A$36,MATCH(1,A$7:A$36,0))))),SUM(A$7:A$36))</f>
        <v>0</v>
      </c>
      <c r="B2" s="67" t="str" cm="1">
        <f t="array" aca="1" ref="B2" ca="1">HYPERLINK(CONCATENATE("#",CELL("address",Guide!$C$121)),Guide!$B$1)</f>
        <v>Guide</v>
      </c>
      <c r="C2" s="56"/>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663"/>
      <c r="CU2" s="272" cm="1">
        <f t="array" aca="1" ref="CU2" ca="1">HYPERLINK(CONCATENATE("#",CELL("address",IF(SUM(CU$7:CU$35)=0,$CM$2,INDEX(CU$7:CU$35,MATCH(1,CU$7:CU$35,0))))),SUM(CU$7:CU$35))</f>
        <v>0</v>
      </c>
      <c r="CV2" s="663"/>
      <c r="DB2" s="663"/>
    </row>
    <row r="3" spans="1:153" x14ac:dyDescent="0.35">
      <c r="A3" s="67" t="str" cm="1">
        <f t="array" aca="1" ref="A3" ca="1">HYPERLINK(CONCATENATE("#",CELL("address",ToC!$A$1)),ToC!$C$1)</f>
        <v>ToC</v>
      </c>
      <c r="B3" s="13"/>
      <c r="C3" s="56"/>
      <c r="D3" s="60"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3"/>
      <c r="AB3" s="16" t="str">
        <f>Timeline!AA3</f>
        <v>FY2026</v>
      </c>
      <c r="AC3" s="17" t="str">
        <f>Timeline!AB3</f>
        <v>FY2026</v>
      </c>
      <c r="AD3" s="17" t="str">
        <f>Timeline!AC3</f>
        <v>FY2026</v>
      </c>
      <c r="AE3" s="17" t="str">
        <f>Timeline!AD3</f>
        <v>FY2026</v>
      </c>
      <c r="AF3" s="17" t="str">
        <f>Timeline!AE3</f>
        <v>FY2026</v>
      </c>
      <c r="AG3" s="17" t="str">
        <f>Timeline!AF3</f>
        <v>FY2026</v>
      </c>
      <c r="AH3" s="17" t="str">
        <f>Timeline!AG3</f>
        <v>FY2026</v>
      </c>
      <c r="AI3" s="17" t="str">
        <f>Timeline!AH3</f>
        <v>FY2026</v>
      </c>
      <c r="AJ3" s="17" t="str">
        <f>Timeline!AI3</f>
        <v>FY2026</v>
      </c>
      <c r="AK3" s="17" t="str">
        <f>Timeline!AJ3</f>
        <v>FY2026</v>
      </c>
      <c r="AL3" s="17" t="str">
        <f>Timeline!AK3</f>
        <v>FY2026</v>
      </c>
      <c r="AM3" s="18" t="str">
        <f>Timeline!AL3</f>
        <v>FY2026</v>
      </c>
      <c r="AN3" s="17" t="str">
        <f>Timeline!AM3</f>
        <v>FY2027</v>
      </c>
      <c r="AO3" s="17" t="str">
        <f>Timeline!AN3</f>
        <v>FY2027</v>
      </c>
      <c r="AP3" s="17" t="str">
        <f>Timeline!AO3</f>
        <v>FY2027</v>
      </c>
      <c r="AQ3" s="17" t="str">
        <f>Timeline!AP3</f>
        <v>FY2027</v>
      </c>
      <c r="AR3" s="17" t="str">
        <f>Timeline!AQ3</f>
        <v>FY2027</v>
      </c>
      <c r="AS3" s="17" t="str">
        <f>Timeline!AR3</f>
        <v>FY2027</v>
      </c>
      <c r="AT3" s="17" t="str">
        <f>Timeline!AS3</f>
        <v>FY2027</v>
      </c>
      <c r="AU3" s="17" t="str">
        <f>Timeline!AT3</f>
        <v>FY2027</v>
      </c>
      <c r="AV3" s="17" t="str">
        <f>Timeline!AU3</f>
        <v>FY2027</v>
      </c>
      <c r="AW3" s="17" t="str">
        <f>Timeline!AV3</f>
        <v>FY2027</v>
      </c>
      <c r="AX3" s="17" t="str">
        <f>Timeline!AW3</f>
        <v>FY2027</v>
      </c>
      <c r="AY3" s="17" t="str">
        <f>Timeline!AX3</f>
        <v>FY2027</v>
      </c>
      <c r="AZ3" s="16" t="str">
        <f>Timeline!AY3</f>
        <v>FY2028</v>
      </c>
      <c r="BA3" s="17" t="str">
        <f>Timeline!AZ3</f>
        <v>FY2028</v>
      </c>
      <c r="BB3" s="17" t="str">
        <f>Timeline!BA3</f>
        <v>FY2028</v>
      </c>
      <c r="BC3" s="17" t="str">
        <f>Timeline!BB3</f>
        <v>FY2028</v>
      </c>
      <c r="BD3" s="17" t="str">
        <f>Timeline!BC3</f>
        <v>FY2028</v>
      </c>
      <c r="BE3" s="17" t="str">
        <f>Timeline!BD3</f>
        <v>FY2028</v>
      </c>
      <c r="BF3" s="17" t="str">
        <f>Timeline!BE3</f>
        <v>FY2028</v>
      </c>
      <c r="BG3" s="17" t="str">
        <f>Timeline!BF3</f>
        <v>FY2028</v>
      </c>
      <c r="BH3" s="17" t="str">
        <f>Timeline!BG3</f>
        <v>FY2028</v>
      </c>
      <c r="BI3" s="17" t="str">
        <f>Timeline!BH3</f>
        <v>FY2028</v>
      </c>
      <c r="BJ3" s="17" t="str">
        <f>Timeline!BI3</f>
        <v>FY2028</v>
      </c>
      <c r="BK3" s="18" t="str">
        <f>Timeline!BJ3</f>
        <v>FY2028</v>
      </c>
      <c r="BL3" s="155"/>
      <c r="BM3" s="155"/>
      <c r="BN3" s="155"/>
      <c r="BO3" s="155"/>
      <c r="BP3" s="155"/>
      <c r="BQ3" s="155"/>
      <c r="BR3" s="155"/>
      <c r="BS3" s="155"/>
      <c r="BT3" s="155"/>
      <c r="BU3" s="155"/>
      <c r="BV3" s="155"/>
      <c r="BW3" s="155"/>
      <c r="BX3" s="13"/>
      <c r="BY3" s="16" t="str">
        <f>Timeline!BX3</f>
        <v>FY2025</v>
      </c>
      <c r="BZ3" s="17" t="str">
        <f>Timeline!BY3</f>
        <v>FY2026</v>
      </c>
      <c r="CA3" s="17" t="str">
        <f>Timeline!BZ3</f>
        <v>FY2027</v>
      </c>
      <c r="CB3" s="18" t="str">
        <f>Timeline!CA3</f>
        <v>FY2028</v>
      </c>
      <c r="CC3" s="17" t="str">
        <f>Timeline!CB3</f>
        <v>FY2029</v>
      </c>
      <c r="CD3" s="17" t="str">
        <f>Timeline!CC3</f>
        <v>FY2030</v>
      </c>
      <c r="CE3" s="17" t="str">
        <f>Timeline!CD3</f>
        <v>FY2031</v>
      </c>
      <c r="CF3" s="17" t="str">
        <f>Timeline!CE3</f>
        <v>FY2032</v>
      </c>
      <c r="CG3" s="17" t="str">
        <f>Timeline!CF3</f>
        <v>FY2033</v>
      </c>
      <c r="CH3" s="17" t="str">
        <f>Timeline!CG3</f>
        <v>FY2034</v>
      </c>
      <c r="CI3" s="17" t="str">
        <f>Timeline!CH3</f>
        <v>FY2035</v>
      </c>
      <c r="CJ3" s="18" t="str">
        <f>Timeline!CI3</f>
        <v>FY2036</v>
      </c>
      <c r="CK3" s="13"/>
      <c r="CL3" s="13"/>
      <c r="CM3" s="13"/>
      <c r="CN3" s="13"/>
      <c r="CO3" s="13"/>
      <c r="CP3" s="13"/>
      <c r="CQ3" s="13"/>
      <c r="CR3" s="13"/>
      <c r="CS3" s="13"/>
      <c r="CT3" s="663"/>
      <c r="CU3" s="57"/>
      <c r="CV3" s="663"/>
      <c r="CW3" s="664" t="s">
        <v>1739</v>
      </c>
      <c r="CX3" s="664" t="s">
        <v>1740</v>
      </c>
      <c r="CY3" s="664" t="s">
        <v>1741</v>
      </c>
      <c r="CZ3" s="664" t="s">
        <v>1742</v>
      </c>
      <c r="DA3" s="664" t="s">
        <v>1743</v>
      </c>
      <c r="DB3" s="663"/>
      <c r="DC3" s="683"/>
    </row>
    <row r="4" spans="1:153" x14ac:dyDescent="0.35">
      <c r="A4" s="13"/>
      <c r="B4" s="13"/>
      <c r="C4" s="56"/>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28">
        <f>Timeline!AA4</f>
        <v>0</v>
      </c>
      <c r="AC4" s="29">
        <f>Timeline!AB4</f>
        <v>0</v>
      </c>
      <c r="AD4" s="29">
        <f>Timeline!AC4</f>
        <v>0</v>
      </c>
      <c r="AE4" s="29">
        <f>Timeline!AD4</f>
        <v>0</v>
      </c>
      <c r="AF4" s="29">
        <f>Timeline!AE4</f>
        <v>0</v>
      </c>
      <c r="AG4" s="29">
        <f>Timeline!AF4</f>
        <v>0</v>
      </c>
      <c r="AH4" s="29">
        <f>Timeline!AG4</f>
        <v>0</v>
      </c>
      <c r="AI4" s="29">
        <f>Timeline!AH4</f>
        <v>0</v>
      </c>
      <c r="AJ4" s="29">
        <f>Timeline!AI4</f>
        <v>1</v>
      </c>
      <c r="AK4" s="29">
        <f>Timeline!AJ4</f>
        <v>1</v>
      </c>
      <c r="AL4" s="29">
        <f>Timeline!AK4</f>
        <v>1</v>
      </c>
      <c r="AM4" s="30">
        <f>Timeline!AL4</f>
        <v>1</v>
      </c>
      <c r="AN4" s="29">
        <f>Timeline!AM4</f>
        <v>1</v>
      </c>
      <c r="AO4" s="29">
        <f>Timeline!AN4</f>
        <v>1</v>
      </c>
      <c r="AP4" s="29">
        <f>Timeline!AO4</f>
        <v>1</v>
      </c>
      <c r="AQ4" s="29">
        <f>Timeline!AP4</f>
        <v>1</v>
      </c>
      <c r="AR4" s="29">
        <f>Timeline!AQ4</f>
        <v>1</v>
      </c>
      <c r="AS4" s="29">
        <f>Timeline!AR4</f>
        <v>1</v>
      </c>
      <c r="AT4" s="29">
        <f>Timeline!AS4</f>
        <v>1</v>
      </c>
      <c r="AU4" s="29">
        <f>Timeline!AT4</f>
        <v>1</v>
      </c>
      <c r="AV4" s="29">
        <f>Timeline!AU4</f>
        <v>1</v>
      </c>
      <c r="AW4" s="29">
        <f>Timeline!AV4</f>
        <v>1</v>
      </c>
      <c r="AX4" s="29">
        <f>Timeline!AW4</f>
        <v>1</v>
      </c>
      <c r="AY4" s="29">
        <f>Timeline!AX4</f>
        <v>1</v>
      </c>
      <c r="AZ4" s="28">
        <f>Timeline!AY4</f>
        <v>1</v>
      </c>
      <c r="BA4" s="29">
        <f>Timeline!AZ4</f>
        <v>1</v>
      </c>
      <c r="BB4" s="29">
        <f>Timeline!BA4</f>
        <v>1</v>
      </c>
      <c r="BC4" s="29">
        <f>Timeline!BB4</f>
        <v>1</v>
      </c>
      <c r="BD4" s="29">
        <f>Timeline!BC4</f>
        <v>1</v>
      </c>
      <c r="BE4" s="29">
        <f>Timeline!BD4</f>
        <v>1</v>
      </c>
      <c r="BF4" s="29">
        <f>Timeline!BE4</f>
        <v>1</v>
      </c>
      <c r="BG4" s="29">
        <f>Timeline!BF4</f>
        <v>1</v>
      </c>
      <c r="BH4" s="29">
        <f>Timeline!BG4</f>
        <v>1</v>
      </c>
      <c r="BI4" s="29">
        <f>Timeline!BH4</f>
        <v>1</v>
      </c>
      <c r="BJ4" s="29">
        <f>Timeline!BI4</f>
        <v>1</v>
      </c>
      <c r="BK4" s="30">
        <f>Timeline!BJ4</f>
        <v>1</v>
      </c>
      <c r="BL4" s="29"/>
      <c r="BM4" s="29"/>
      <c r="BN4" s="29"/>
      <c r="BO4" s="29"/>
      <c r="BP4" s="29"/>
      <c r="BQ4" s="29"/>
      <c r="BR4" s="29"/>
      <c r="BS4" s="29"/>
      <c r="BT4" s="29"/>
      <c r="BU4" s="29"/>
      <c r="BV4" s="29"/>
      <c r="BW4" s="29"/>
      <c r="BX4" s="13"/>
      <c r="BY4" s="28">
        <f>Timeline!BX4</f>
        <v>0</v>
      </c>
      <c r="BZ4" s="29">
        <f>Timeline!BY4</f>
        <v>-1</v>
      </c>
      <c r="CA4" s="29">
        <f>Timeline!BZ4</f>
        <v>1</v>
      </c>
      <c r="CB4" s="30">
        <f>Timeline!CA4</f>
        <v>1</v>
      </c>
      <c r="CC4" s="29">
        <f>Timeline!CB4</f>
        <v>1</v>
      </c>
      <c r="CD4" s="29">
        <f>Timeline!CC4</f>
        <v>1</v>
      </c>
      <c r="CE4" s="29">
        <f>Timeline!CD4</f>
        <v>1</v>
      </c>
      <c r="CF4" s="29">
        <f>Timeline!CE4</f>
        <v>1</v>
      </c>
      <c r="CG4" s="29">
        <f>Timeline!CF4</f>
        <v>1</v>
      </c>
      <c r="CH4" s="29">
        <f>Timeline!CG4</f>
        <v>1</v>
      </c>
      <c r="CI4" s="29">
        <f>Timeline!CH4</f>
        <v>1</v>
      </c>
      <c r="CJ4" s="30">
        <f>Timeline!CI4</f>
        <v>1</v>
      </c>
      <c r="CK4" s="13"/>
      <c r="CL4" s="13"/>
      <c r="CM4" s="13"/>
      <c r="CN4" s="13"/>
      <c r="CO4" s="13"/>
      <c r="CP4" s="13"/>
      <c r="CQ4" s="13"/>
      <c r="CR4" s="13"/>
      <c r="CS4" s="13"/>
      <c r="CT4" s="663"/>
      <c r="CU4" s="664" t="s">
        <v>1744</v>
      </c>
      <c r="CV4" s="663"/>
      <c r="CW4" s="664"/>
      <c r="CX4" s="664"/>
      <c r="CY4" s="664"/>
      <c r="CZ4" s="664"/>
      <c r="DA4" s="664"/>
      <c r="DB4" s="663"/>
      <c r="DC4" s="683"/>
    </row>
    <row r="5" spans="1:153" x14ac:dyDescent="0.35">
      <c r="A5" s="13"/>
      <c r="B5" s="13"/>
      <c r="C5" s="56"/>
      <c r="D5" s="60"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3"/>
      <c r="AB5" s="19">
        <f>Timeline!AA5</f>
        <v>45900</v>
      </c>
      <c r="AC5" s="20">
        <f>Timeline!AB5</f>
        <v>45930</v>
      </c>
      <c r="AD5" s="20">
        <f>Timeline!AC5</f>
        <v>45961</v>
      </c>
      <c r="AE5" s="20">
        <f>Timeline!AD5</f>
        <v>45991</v>
      </c>
      <c r="AF5" s="20">
        <f>Timeline!AE5</f>
        <v>46022</v>
      </c>
      <c r="AG5" s="20">
        <f>Timeline!AF5</f>
        <v>46053</v>
      </c>
      <c r="AH5" s="20">
        <f>Timeline!AG5</f>
        <v>46081</v>
      </c>
      <c r="AI5" s="20">
        <f>Timeline!AH5</f>
        <v>46112</v>
      </c>
      <c r="AJ5" s="20">
        <f>Timeline!AI5</f>
        <v>46142</v>
      </c>
      <c r="AK5" s="20">
        <f>Timeline!AJ5</f>
        <v>46173</v>
      </c>
      <c r="AL5" s="20">
        <f>Timeline!AK5</f>
        <v>46203</v>
      </c>
      <c r="AM5" s="21">
        <f>Timeline!AL5</f>
        <v>46234</v>
      </c>
      <c r="AN5" s="20">
        <f>Timeline!AM5</f>
        <v>46265</v>
      </c>
      <c r="AO5" s="20">
        <f>Timeline!AN5</f>
        <v>46295</v>
      </c>
      <c r="AP5" s="20">
        <f>Timeline!AO5</f>
        <v>46326</v>
      </c>
      <c r="AQ5" s="20">
        <f>Timeline!AP5</f>
        <v>46356</v>
      </c>
      <c r="AR5" s="20">
        <f>Timeline!AQ5</f>
        <v>46387</v>
      </c>
      <c r="AS5" s="20">
        <f>Timeline!AR5</f>
        <v>46418</v>
      </c>
      <c r="AT5" s="20">
        <f>Timeline!AS5</f>
        <v>46446</v>
      </c>
      <c r="AU5" s="20">
        <f>Timeline!AT5</f>
        <v>46477</v>
      </c>
      <c r="AV5" s="20">
        <f>Timeline!AU5</f>
        <v>46507</v>
      </c>
      <c r="AW5" s="20">
        <f>Timeline!AV5</f>
        <v>46538</v>
      </c>
      <c r="AX5" s="20">
        <f>Timeline!AW5</f>
        <v>46568</v>
      </c>
      <c r="AY5" s="20">
        <f>Timeline!AX5</f>
        <v>46599</v>
      </c>
      <c r="AZ5" s="19">
        <f>Timeline!AY5</f>
        <v>46630</v>
      </c>
      <c r="BA5" s="20">
        <f>Timeline!AZ5</f>
        <v>46660</v>
      </c>
      <c r="BB5" s="20">
        <f>Timeline!BA5</f>
        <v>46691</v>
      </c>
      <c r="BC5" s="20">
        <f>Timeline!BB5</f>
        <v>46721</v>
      </c>
      <c r="BD5" s="20">
        <f>Timeline!BC5</f>
        <v>46752</v>
      </c>
      <c r="BE5" s="20">
        <f>Timeline!BD5</f>
        <v>46783</v>
      </c>
      <c r="BF5" s="20">
        <f>Timeline!BE5</f>
        <v>46812</v>
      </c>
      <c r="BG5" s="20">
        <f>Timeline!BF5</f>
        <v>46843</v>
      </c>
      <c r="BH5" s="20">
        <f>Timeline!BG5</f>
        <v>46873</v>
      </c>
      <c r="BI5" s="20">
        <f>Timeline!BH5</f>
        <v>46904</v>
      </c>
      <c r="BJ5" s="20">
        <f>Timeline!BI5</f>
        <v>46934</v>
      </c>
      <c r="BK5" s="21">
        <f>Timeline!BJ5</f>
        <v>46965</v>
      </c>
      <c r="BL5" s="261"/>
      <c r="BM5" s="261"/>
      <c r="BN5" s="261"/>
      <c r="BO5" s="261"/>
      <c r="BP5" s="261"/>
      <c r="BQ5" s="261"/>
      <c r="BR5" s="261"/>
      <c r="BS5" s="261"/>
      <c r="BT5" s="261"/>
      <c r="BU5" s="261"/>
      <c r="BV5" s="261"/>
      <c r="BW5" s="261"/>
      <c r="BX5" s="13"/>
      <c r="BY5" s="19">
        <f>Timeline!BX5</f>
        <v>45869</v>
      </c>
      <c r="BZ5" s="20">
        <f>Timeline!BY5</f>
        <v>46234</v>
      </c>
      <c r="CA5" s="20">
        <f>Timeline!BZ5</f>
        <v>46599</v>
      </c>
      <c r="CB5" s="21">
        <f>Timeline!CA5</f>
        <v>46965</v>
      </c>
      <c r="CC5" s="20">
        <f>Timeline!CB5</f>
        <v>47330</v>
      </c>
      <c r="CD5" s="20">
        <f>Timeline!CC5</f>
        <v>47695</v>
      </c>
      <c r="CE5" s="20">
        <f>Timeline!CD5</f>
        <v>48060</v>
      </c>
      <c r="CF5" s="20">
        <f>Timeline!CE5</f>
        <v>48426</v>
      </c>
      <c r="CG5" s="20">
        <f>Timeline!CF5</f>
        <v>48791</v>
      </c>
      <c r="CH5" s="20">
        <f>Timeline!CG5</f>
        <v>49156</v>
      </c>
      <c r="CI5" s="20">
        <f>Timeline!CH5</f>
        <v>49521</v>
      </c>
      <c r="CJ5" s="21">
        <f>Timeline!CI5</f>
        <v>49887</v>
      </c>
      <c r="CK5" s="13"/>
      <c r="CL5" s="13"/>
      <c r="CM5" s="13"/>
      <c r="CN5" s="13"/>
      <c r="CO5" s="13"/>
      <c r="CP5" s="13"/>
      <c r="CQ5" s="13"/>
      <c r="CR5" s="13"/>
      <c r="CS5" s="13"/>
      <c r="CT5" s="663"/>
      <c r="CU5" s="685"/>
      <c r="CV5" s="663"/>
      <c r="CW5" s="664"/>
      <c r="CX5" s="664"/>
      <c r="CY5" s="664"/>
      <c r="CZ5" s="664"/>
      <c r="DA5" s="664"/>
      <c r="DB5" s="663"/>
      <c r="DC5" s="683"/>
    </row>
    <row r="6" spans="1:153" x14ac:dyDescent="0.35">
      <c r="A6" s="67" t="str" cm="1">
        <f t="array" aca="1" ref="A6" ca="1">HYPERLINK(CONCATENATE("#",CELL("address",CU7)),"Check")</f>
        <v>Check</v>
      </c>
      <c r="B6" s="13"/>
      <c r="C6" s="13" t="s">
        <v>183</v>
      </c>
      <c r="D6" s="56" t="s">
        <v>19</v>
      </c>
      <c r="E6" s="13"/>
      <c r="F6" s="13"/>
      <c r="G6" s="13" t="s">
        <v>272</v>
      </c>
      <c r="H6" s="13"/>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532" t="str" cm="1">
        <f t="array" aca="1" ref="BY6" ca="1">HYPERLINK(CONCATENATE("#",CELL("address",$V$6)),"Link to 4 Year Annual Timeline")</f>
        <v>Link to 4 Year Annual Timeline</v>
      </c>
      <c r="BZ6" s="13"/>
      <c r="CA6" s="13"/>
      <c r="CB6" s="13"/>
      <c r="CC6" s="13"/>
      <c r="CD6" s="13"/>
      <c r="CE6" s="13"/>
      <c r="CF6" s="13"/>
      <c r="CG6" s="13"/>
      <c r="CH6" s="13"/>
      <c r="CI6" s="15"/>
      <c r="CJ6" s="13"/>
      <c r="CK6" s="13"/>
      <c r="CL6" s="13"/>
      <c r="CM6" s="13" t="s">
        <v>1745</v>
      </c>
      <c r="CN6" s="13"/>
      <c r="CO6" s="13"/>
      <c r="CP6" s="13"/>
      <c r="CQ6" s="13"/>
      <c r="CR6" s="13"/>
      <c r="CS6" s="13"/>
      <c r="CT6" s="663"/>
      <c r="CU6" s="57"/>
      <c r="CV6" s="663"/>
      <c r="CW6" s="664"/>
      <c r="CX6" s="664"/>
      <c r="CY6" s="664"/>
      <c r="CZ6" s="664"/>
      <c r="DA6" s="664"/>
      <c r="DB6" s="663"/>
      <c r="DC6" s="683"/>
    </row>
    <row r="7" spans="1:153" x14ac:dyDescent="0.35">
      <c r="B7" s="97" t="s">
        <v>184</v>
      </c>
      <c r="E7"/>
      <c r="BZ7" s="6"/>
      <c r="CT7" s="87"/>
      <c r="CU7" s="85" t="s">
        <v>122</v>
      </c>
      <c r="CV7" s="35"/>
      <c r="CW7" s="85" t="s">
        <v>122</v>
      </c>
      <c r="CX7" s="85" t="s">
        <v>122</v>
      </c>
      <c r="DB7" s="35"/>
    </row>
    <row r="8" spans="1:153" ht="6.75" customHeight="1" x14ac:dyDescent="0.35">
      <c r="C8" s="210"/>
      <c r="E8"/>
      <c r="BZ8" s="6"/>
      <c r="CT8" s="11"/>
      <c r="CV8" s="35"/>
      <c r="DB8" s="35"/>
      <c r="EW8" s="10" t="str">
        <f t="shared" ref="EW8:EW15" si="0">IF($C8="","",$D8)</f>
        <v/>
      </c>
    </row>
    <row r="9" spans="1:153" x14ac:dyDescent="0.35">
      <c r="B9" s="85" t="s">
        <v>122</v>
      </c>
      <c r="D9" s="57" t="str">
        <f>'BS Forecasts'!D$10</f>
        <v>Periods in use Flag</v>
      </c>
      <c r="E9"/>
      <c r="V9" s="38">
        <f>'BS Forecasts'!V$10</f>
        <v>0</v>
      </c>
      <c r="W9" s="38">
        <f>'BS Forecasts'!W$10</f>
        <v>1</v>
      </c>
      <c r="X9" s="38">
        <f>'BS Forecasts'!X$10</f>
        <v>1</v>
      </c>
      <c r="Y9" s="38">
        <f>'BS Forecasts'!Y$10</f>
        <v>1</v>
      </c>
      <c r="BZ9" s="6"/>
      <c r="CM9" s="5" t="s">
        <v>1746</v>
      </c>
      <c r="CT9" s="11"/>
      <c r="CV9" s="35"/>
      <c r="DB9" s="35"/>
      <c r="EW9" s="10" t="str">
        <f t="shared" si="0"/>
        <v/>
      </c>
    </row>
    <row r="10" spans="1:153" ht="6.75" customHeight="1" x14ac:dyDescent="0.35">
      <c r="C10" s="210"/>
      <c r="E10"/>
      <c r="BZ10" s="6"/>
      <c r="CT10" s="11"/>
      <c r="CV10" s="35"/>
      <c r="DB10" s="35"/>
      <c r="EW10" s="10" t="str">
        <f t="shared" si="0"/>
        <v/>
      </c>
    </row>
    <row r="11" spans="1:153" ht="14.65" customHeight="1" x14ac:dyDescent="0.35">
      <c r="A11" s="34"/>
      <c r="B11" s="34"/>
      <c r="C11" s="212"/>
      <c r="D11" s="58" t="s">
        <v>1747</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M11" s="267" t="s">
        <v>1748</v>
      </c>
      <c r="CN11" s="681" t="s">
        <v>1749</v>
      </c>
      <c r="CO11" s="681" t="s">
        <v>1670</v>
      </c>
      <c r="CP11" s="681" t="s">
        <v>1750</v>
      </c>
      <c r="CQ11" s="267" t="s">
        <v>1748</v>
      </c>
      <c r="CR11" s="267" t="s">
        <v>1751</v>
      </c>
      <c r="CT11" s="11"/>
      <c r="CU11" s="241"/>
      <c r="CV11" s="11"/>
      <c r="DB11" s="11"/>
      <c r="EW11" s="10" t="str">
        <f t="shared" si="0"/>
        <v/>
      </c>
    </row>
    <row r="12" spans="1:153" ht="56.25" customHeight="1" x14ac:dyDescent="0.35">
      <c r="C12" s="210"/>
      <c r="E12"/>
      <c r="BZ12" s="6"/>
      <c r="CM12" s="270"/>
      <c r="CN12" s="682"/>
      <c r="CO12" s="682"/>
      <c r="CP12" s="682"/>
      <c r="CQ12" s="270"/>
      <c r="CR12" s="270"/>
      <c r="CT12" s="11"/>
      <c r="CU12" s="241"/>
      <c r="CV12" s="35"/>
      <c r="DB12" s="35"/>
      <c r="EW12" s="10" t="str">
        <f t="shared" si="0"/>
        <v/>
      </c>
    </row>
    <row r="13" spans="1:153" x14ac:dyDescent="0.35">
      <c r="B13" s="5"/>
      <c r="C13" s="210"/>
      <c r="D13" s="61" t="s">
        <v>1752</v>
      </c>
      <c r="E13"/>
      <c r="CM13" s="268">
        <v>100</v>
      </c>
      <c r="CN13" s="269" t="s">
        <v>1753</v>
      </c>
      <c r="CO13" s="269" t="s">
        <v>1754</v>
      </c>
      <c r="CP13" s="269">
        <v>0</v>
      </c>
      <c r="CQ13" s="268">
        <v>100</v>
      </c>
      <c r="CR13" s="291"/>
      <c r="CT13" s="11"/>
      <c r="CU13" s="241"/>
      <c r="CV13" s="11"/>
      <c r="DB13" s="35"/>
      <c r="EW13" s="10" t="str">
        <f t="shared" si="0"/>
        <v/>
      </c>
    </row>
    <row r="14" spans="1:153" x14ac:dyDescent="0.35">
      <c r="C14" s="213" t="str">
        <f>Ratios!C$23</f>
        <v>R-2c</v>
      </c>
      <c r="D14" s="57" t="s">
        <v>1670</v>
      </c>
      <c r="E14"/>
      <c r="G14" t="s">
        <v>1041</v>
      </c>
      <c r="V14" s="240">
        <f>Ratios!V$23</f>
        <v>0</v>
      </c>
      <c r="W14" s="240">
        <f>Ratios!W$23</f>
        <v>0</v>
      </c>
      <c r="X14" s="240">
        <f>Ratios!X$23</f>
        <v>0</v>
      </c>
      <c r="Y14" s="240">
        <f>Ratios!Y$23</f>
        <v>0</v>
      </c>
      <c r="CM14" s="268">
        <v>90</v>
      </c>
      <c r="CN14" s="269" t="s">
        <v>1755</v>
      </c>
      <c r="CO14" s="269" t="s">
        <v>1756</v>
      </c>
      <c r="CP14" s="269" t="s">
        <v>1757</v>
      </c>
      <c r="CQ14" s="268">
        <v>90</v>
      </c>
      <c r="CR14" s="292"/>
      <c r="CT14" s="11"/>
      <c r="CU14" s="241"/>
      <c r="CV14" s="11"/>
      <c r="DB14" s="35"/>
      <c r="EW14" s="10" t="str">
        <f t="shared" si="0"/>
        <v>Adjusted current ratio</v>
      </c>
    </row>
    <row r="15" spans="1:153" x14ac:dyDescent="0.35">
      <c r="C15" s="213" t="str">
        <f>Ratios!C$46</f>
        <v>R-5g</v>
      </c>
      <c r="D15" s="57" t="s">
        <v>1706</v>
      </c>
      <c r="E15"/>
      <c r="G15" t="s">
        <v>758</v>
      </c>
      <c r="V15" s="55">
        <f>Ratios!V$46</f>
        <v>0</v>
      </c>
      <c r="W15" s="55">
        <f>Ratios!W$46</f>
        <v>0</v>
      </c>
      <c r="X15" s="55">
        <f>Ratios!X$46</f>
        <v>0</v>
      </c>
      <c r="Y15" s="55">
        <f>Ratios!Y$46</f>
        <v>0</v>
      </c>
      <c r="CM15" s="268">
        <v>80</v>
      </c>
      <c r="CN15" s="269" t="s">
        <v>1758</v>
      </c>
      <c r="CO15" s="269" t="s">
        <v>1759</v>
      </c>
      <c r="CP15" s="269" t="s">
        <v>1760</v>
      </c>
      <c r="CQ15" s="268">
        <v>80</v>
      </c>
      <c r="CR15" s="293"/>
      <c r="CT15" s="35"/>
      <c r="CV15" s="11"/>
      <c r="DB15" s="35"/>
      <c r="EW15" s="10" t="str">
        <f t="shared" si="0"/>
        <v>EBITDA as a % of adjusted income - education specific</v>
      </c>
    </row>
    <row r="16" spans="1:153" ht="14.65" customHeight="1" x14ac:dyDescent="0.35">
      <c r="C16" s="213" t="str">
        <f>Ratios!C33</f>
        <v>R-4c</v>
      </c>
      <c r="D16" s="57" t="s">
        <v>1687</v>
      </c>
      <c r="G16" t="s">
        <v>758</v>
      </c>
      <c r="V16" s="55">
        <f>Ratios!V33</f>
        <v>0</v>
      </c>
      <c r="W16" s="55">
        <f>Ratios!W33</f>
        <v>0</v>
      </c>
      <c r="X16" s="55">
        <f>Ratios!X33</f>
        <v>0</v>
      </c>
      <c r="Y16" s="55">
        <f>Ratios!Y33</f>
        <v>0</v>
      </c>
      <c r="CM16" s="268">
        <v>70</v>
      </c>
      <c r="CN16" s="269" t="s">
        <v>1761</v>
      </c>
      <c r="CO16" s="269" t="s">
        <v>1762</v>
      </c>
      <c r="CP16" s="269" t="s">
        <v>1763</v>
      </c>
      <c r="CQ16" s="268">
        <v>70</v>
      </c>
      <c r="CR16" s="292"/>
      <c r="CT16" s="11"/>
      <c r="CV16" s="11"/>
      <c r="DB16" s="35"/>
      <c r="EW16" s="12" t="str">
        <f t="shared" ref="EW16:EW23" si="1">IF($C16="","",CONCATENATE(D$11, " ", $D16))</f>
        <v>Financial Health Grading Borrowing as a % of adjusted income</v>
      </c>
    </row>
    <row r="17" spans="1:153" ht="14.65" customHeight="1" x14ac:dyDescent="0.35">
      <c r="C17" s="213"/>
      <c r="E17"/>
      <c r="CM17" s="268">
        <v>60</v>
      </c>
      <c r="CN17" s="269" t="s">
        <v>1764</v>
      </c>
      <c r="CO17" s="269" t="s">
        <v>1765</v>
      </c>
      <c r="CP17" s="269" t="s">
        <v>1766</v>
      </c>
      <c r="CQ17" s="268">
        <v>60</v>
      </c>
      <c r="CR17" s="293"/>
      <c r="CT17" s="11"/>
      <c r="CU17" s="241"/>
      <c r="CV17" s="11"/>
      <c r="DB17" s="35"/>
      <c r="EW17" s="12" t="str">
        <f t="shared" si="1"/>
        <v/>
      </c>
    </row>
    <row r="18" spans="1:153" x14ac:dyDescent="0.35">
      <c r="B18" s="5"/>
      <c r="C18" s="213"/>
      <c r="D18" s="61" t="s">
        <v>1767</v>
      </c>
      <c r="E18"/>
      <c r="CM18" s="268">
        <v>50</v>
      </c>
      <c r="CN18" s="269" t="s">
        <v>1768</v>
      </c>
      <c r="CO18" s="269" t="s">
        <v>1769</v>
      </c>
      <c r="CP18" s="269" t="s">
        <v>1770</v>
      </c>
      <c r="CQ18" s="268">
        <v>50</v>
      </c>
      <c r="CR18" s="292"/>
      <c r="CT18" s="11"/>
      <c r="CU18" s="241"/>
      <c r="CV18" s="11"/>
      <c r="DB18" s="35"/>
      <c r="EW18" s="12" t="str">
        <f t="shared" si="1"/>
        <v/>
      </c>
    </row>
    <row r="19" spans="1:153" x14ac:dyDescent="0.35">
      <c r="C19" s="213" t="s">
        <v>1771</v>
      </c>
      <c r="D19" s="57" t="s">
        <v>1772</v>
      </c>
      <c r="E19"/>
      <c r="G19" t="s">
        <v>1773</v>
      </c>
      <c r="V19" s="10">
        <f>IF(OR(V14&lt;0,SUM(V14:V16)=0),0,VLOOKUP(V14,Parameters!$C$112:$E$122,Parameters!$E111))</f>
        <v>0</v>
      </c>
      <c r="W19" s="10">
        <f>IF(OR(W14&lt;0,SUM(W14:W16)=0),0,VLOOKUP(W14,Parameters!$C$112:$E$122,Parameters!$E111))</f>
        <v>0</v>
      </c>
      <c r="X19" s="10">
        <f>IF(OR(X14&lt;0,SUM(X14:X16)=0),0,VLOOKUP(X14,Parameters!$C$112:$E$122,Parameters!$E111))</f>
        <v>0</v>
      </c>
      <c r="Y19" s="10">
        <f>IF(OR(Y14&lt;0,SUM(Y14:Y16)=0),0,VLOOKUP(Y14,Parameters!$C$112:$E$122,Parameters!$E111))</f>
        <v>0</v>
      </c>
      <c r="CM19" s="268">
        <v>40</v>
      </c>
      <c r="CN19" s="269" t="s">
        <v>1774</v>
      </c>
      <c r="CO19" s="269" t="s">
        <v>1775</v>
      </c>
      <c r="CP19" s="269" t="s">
        <v>1776</v>
      </c>
      <c r="CQ19" s="268">
        <v>40</v>
      </c>
      <c r="CR19" s="293"/>
      <c r="CT19" s="11"/>
      <c r="CU19" s="241"/>
      <c r="CV19" s="11"/>
      <c r="DB19" s="35"/>
      <c r="EW19" s="12" t="str">
        <f t="shared" si="1"/>
        <v>Financial Health Grading Adjusted current ratio points</v>
      </c>
    </row>
    <row r="20" spans="1:153" x14ac:dyDescent="0.35">
      <c r="C20" s="213" t="s">
        <v>1777</v>
      </c>
      <c r="D20" s="57" t="s">
        <v>1778</v>
      </c>
      <c r="E20"/>
      <c r="G20" t="s">
        <v>1773</v>
      </c>
      <c r="V20" s="10">
        <f>IF(OR(V15&lt;0, SUM(V$14:V$16)=0), 0, VLOOKUP(V15, Parameters!$C128:$E138, Parameters!$E127))</f>
        <v>0</v>
      </c>
      <c r="W20" s="10">
        <f>IF(OR(W15&lt;0, SUM(W$14:W$16)=0), 0, VLOOKUP(W15, Parameters!$C128:$E138, Parameters!$E127))</f>
        <v>0</v>
      </c>
      <c r="X20" s="10">
        <f>IF(OR(X15&lt;0, SUM(X$14:X$16)=0), 0, VLOOKUP(X15, Parameters!$C128:$E138, Parameters!$E127))</f>
        <v>0</v>
      </c>
      <c r="Y20" s="10">
        <f>IF(OR(Y15&lt;0, SUM(Y$14:Y$16)=0), 0, VLOOKUP(Y15, Parameters!$C128:$E138, Parameters!$E127))</f>
        <v>0</v>
      </c>
      <c r="CM20" s="268">
        <v>30</v>
      </c>
      <c r="CN20" s="269" t="s">
        <v>1779</v>
      </c>
      <c r="CO20" s="269" t="s">
        <v>1780</v>
      </c>
      <c r="CP20" s="269" t="s">
        <v>1781</v>
      </c>
      <c r="CQ20" s="268">
        <v>30</v>
      </c>
      <c r="CR20" s="292"/>
      <c r="CT20" s="11"/>
      <c r="CU20" s="241"/>
      <c r="CV20" s="11"/>
      <c r="DB20" s="35"/>
      <c r="EW20" s="12" t="str">
        <f t="shared" si="1"/>
        <v>Financial Health Grading EBITDA as a % of income - education specific points</v>
      </c>
    </row>
    <row r="21" spans="1:153" x14ac:dyDescent="0.35">
      <c r="C21" s="213" t="s">
        <v>1782</v>
      </c>
      <c r="D21" s="57" t="s">
        <v>1783</v>
      </c>
      <c r="G21" t="s">
        <v>1773</v>
      </c>
      <c r="V21" s="10">
        <f>IF(SUM(V$14:V$16)=0, 0, VLOOKUP(V16, Parameters!$B$144:$E$155, Parameters!$E$143))</f>
        <v>0</v>
      </c>
      <c r="W21" s="10">
        <f>IF(SUM(W$14:W$16)=0, 0, VLOOKUP(W16, Parameters!$B$144:$E$155, Parameters!$E$143))</f>
        <v>0</v>
      </c>
      <c r="X21" s="10">
        <f>IF(SUM(X$14:X$16)=0, 0, VLOOKUP(X16, Parameters!$B$144:$E$155, Parameters!$E$143))</f>
        <v>0</v>
      </c>
      <c r="Y21" s="10">
        <f>IF(SUM(Y$14:Y$16)=0, 0, VLOOKUP(Y16, Parameters!$B$144:$E$155, Parameters!$E$143))</f>
        <v>0</v>
      </c>
      <c r="CM21" s="268">
        <v>20</v>
      </c>
      <c r="CN21" s="269" t="s">
        <v>1784</v>
      </c>
      <c r="CO21" s="269" t="s">
        <v>1785</v>
      </c>
      <c r="CP21" s="269" t="s">
        <v>1786</v>
      </c>
      <c r="CQ21" s="268">
        <v>20</v>
      </c>
      <c r="CR21" s="292"/>
      <c r="CT21" s="11"/>
      <c r="CU21" s="241"/>
      <c r="CV21" s="11"/>
      <c r="DB21" s="35"/>
      <c r="EW21" s="12" t="str">
        <f t="shared" si="1"/>
        <v>Financial Health Grading Borrowing as a % of adjusted income points</v>
      </c>
    </row>
    <row r="22" spans="1:153" ht="14.65" customHeight="1" x14ac:dyDescent="0.35">
      <c r="C22" s="213"/>
      <c r="E22"/>
      <c r="CM22" s="268">
        <v>10</v>
      </c>
      <c r="CN22" s="269" t="s">
        <v>1787</v>
      </c>
      <c r="CO22" s="269" t="s">
        <v>1788</v>
      </c>
      <c r="CP22" s="269" t="s">
        <v>1789</v>
      </c>
      <c r="CQ22" s="268">
        <v>10</v>
      </c>
      <c r="CR22" s="292"/>
      <c r="CT22" s="11"/>
      <c r="CU22" s="241"/>
      <c r="CV22" s="11"/>
      <c r="DB22" s="35"/>
      <c r="EW22" s="12" t="str">
        <f t="shared" si="1"/>
        <v/>
      </c>
    </row>
    <row r="23" spans="1:153" x14ac:dyDescent="0.35">
      <c r="B23" s="5"/>
      <c r="C23" s="213" t="s">
        <v>1790</v>
      </c>
      <c r="D23" s="61" t="s">
        <v>1791</v>
      </c>
      <c r="G23" t="s">
        <v>1773</v>
      </c>
      <c r="V23" s="10">
        <f>SUM(V19:V21)</f>
        <v>0</v>
      </c>
      <c r="W23" s="10">
        <f>SUM(W19:W21)</f>
        <v>0</v>
      </c>
      <c r="X23" s="10">
        <f>SUM(X19:X21)</f>
        <v>0</v>
      </c>
      <c r="Y23" s="10">
        <f>SUM(Y19:Y21)</f>
        <v>0</v>
      </c>
      <c r="CM23" s="268">
        <v>0</v>
      </c>
      <c r="CN23" s="269" t="s">
        <v>1792</v>
      </c>
      <c r="CO23" s="269" t="s">
        <v>1793</v>
      </c>
      <c r="CP23" s="269" t="s">
        <v>1794</v>
      </c>
      <c r="CQ23" s="268">
        <v>0</v>
      </c>
      <c r="CR23" s="293"/>
      <c r="CT23" s="11"/>
      <c r="CU23" s="241"/>
      <c r="CV23" s="11"/>
      <c r="DB23" s="35"/>
      <c r="EW23" s="12" t="str">
        <f t="shared" si="1"/>
        <v>Financial Health Grading Total Points</v>
      </c>
    </row>
    <row r="24" spans="1:153" ht="6.75" customHeight="1" x14ac:dyDescent="0.35">
      <c r="C24" s="211"/>
      <c r="E24"/>
      <c r="BZ24" s="6"/>
      <c r="CT24" s="11"/>
      <c r="CU24" s="241"/>
      <c r="CV24" s="35"/>
      <c r="DB24" s="35"/>
      <c r="EW24" s="10" t="str">
        <f>IF($C24="","",$D24)</f>
        <v/>
      </c>
    </row>
    <row r="25" spans="1:153" x14ac:dyDescent="0.35">
      <c r="B25" s="5"/>
      <c r="C25" s="213"/>
      <c r="D25" s="61" t="s">
        <v>209</v>
      </c>
      <c r="E25"/>
      <c r="CM25" s="37" t="s">
        <v>1751</v>
      </c>
      <c r="CN25" s="37"/>
      <c r="CO25" s="37"/>
      <c r="CP25" s="22" t="s">
        <v>1795</v>
      </c>
      <c r="CT25" s="35"/>
      <c r="CV25" s="11"/>
      <c r="DB25" s="35"/>
      <c r="EW25" s="12" t="str">
        <f t="shared" ref="EW25:EW26" si="2">IF($C25="","",CONCATENATE(D$11, " ", $D25))</f>
        <v/>
      </c>
    </row>
    <row r="26" spans="1:153" x14ac:dyDescent="0.35">
      <c r="C26" s="213" t="s">
        <v>1796</v>
      </c>
      <c r="D26" s="57" t="s">
        <v>1797</v>
      </c>
      <c r="E26"/>
      <c r="V26" s="524">
        <f>IF('I&amp;E Annual'!BX$93&gt;0, 1, 0)*V$9</f>
        <v>0</v>
      </c>
      <c r="W26" s="524">
        <f>IF('I&amp;E Annual'!BY$93&gt;0, 1, 0)*W$9</f>
        <v>0</v>
      </c>
      <c r="X26" s="524">
        <f>IF('I&amp;E Annual'!BZ$93&gt;0, 1, 0)*X$9</f>
        <v>0</v>
      </c>
      <c r="Y26" s="524">
        <f>IF('I&amp;E Annual'!CA$93&gt;0, 1, 0)*Y$9</f>
        <v>0</v>
      </c>
      <c r="CM26" s="294" t="str">
        <f>Parameters!D95</f>
        <v>Inadequate</v>
      </c>
      <c r="CN26" s="295"/>
      <c r="CO26" s="295"/>
      <c r="CP26" s="10">
        <f>Parameters!E95</f>
        <v>110</v>
      </c>
      <c r="CT26" s="11"/>
      <c r="CV26" s="11"/>
      <c r="DB26" s="35"/>
      <c r="EW26" s="12" t="str">
        <f t="shared" si="2"/>
        <v>Financial Health Grading Automated adjustment- Emergency Funding Grant Support</v>
      </c>
    </row>
    <row r="27" spans="1:153" ht="43.5" x14ac:dyDescent="0.35">
      <c r="A27" s="220">
        <f>CU27</f>
        <v>0</v>
      </c>
      <c r="C27" s="213" t="s">
        <v>1798</v>
      </c>
      <c r="D27" s="57" t="s">
        <v>1799</v>
      </c>
      <c r="E27"/>
      <c r="V27" s="621" t="s">
        <v>3</v>
      </c>
      <c r="W27" s="620" t="s">
        <v>3</v>
      </c>
      <c r="X27" s="622" t="s">
        <v>3</v>
      </c>
      <c r="Y27" s="622" t="s">
        <v>3</v>
      </c>
      <c r="AA27" s="626" t="str">
        <f>IF(CU27=1,"V27 and W27 must not be blank","")</f>
        <v/>
      </c>
      <c r="CM27" s="296" t="str">
        <f>Parameters!D96</f>
        <v>Requires Improvement</v>
      </c>
      <c r="CN27" s="297"/>
      <c r="CO27" s="297"/>
      <c r="CP27" s="10">
        <f>Parameters!E96</f>
        <v>170</v>
      </c>
      <c r="CT27" s="11"/>
      <c r="CU27" s="271">
        <f>IF(OR(ISBLANK(V27),ISBLANK(W27)),1,0)</f>
        <v>0</v>
      </c>
      <c r="CV27" s="11"/>
      <c r="DB27" s="35"/>
      <c r="EW27" s="12" t="str">
        <f t="shared" ref="EW27:EW32" si="3">IF($C28="","",CONCATENATE(D$11, " ", $D28))</f>
        <v>Financial Health Grading Automated adjustment - EBITDA score of zero</v>
      </c>
    </row>
    <row r="28" spans="1:153" x14ac:dyDescent="0.35">
      <c r="C28" s="213" t="s">
        <v>1800</v>
      </c>
      <c r="D28" s="57" t="s">
        <v>1801</v>
      </c>
      <c r="E28"/>
      <c r="V28" s="525">
        <f>IF(V20=0, 1, 0)*V$9</f>
        <v>0</v>
      </c>
      <c r="W28" s="525">
        <f>IF(W20=0, 1, 0)*W$9</f>
        <v>1</v>
      </c>
      <c r="X28" s="525">
        <f>IF(X20=0, 1, 0)*X$9</f>
        <v>1</v>
      </c>
      <c r="Y28" s="525">
        <f>IF(Y20=0, 1, 0)*Y$9</f>
        <v>1</v>
      </c>
      <c r="CM28" s="298" t="str">
        <f>Parameters!D97</f>
        <v>Good</v>
      </c>
      <c r="CN28" s="299"/>
      <c r="CO28" s="299"/>
      <c r="CP28" s="10">
        <f>Parameters!E97</f>
        <v>230</v>
      </c>
      <c r="CT28" s="11"/>
      <c r="CU28" s="241"/>
      <c r="CV28" s="11"/>
      <c r="DB28" s="35"/>
      <c r="EW28" s="12" t="str">
        <f t="shared" si="3"/>
        <v>Financial Health Grading Financial health grade - auto grade</v>
      </c>
    </row>
    <row r="29" spans="1:153" ht="14.65" customHeight="1" x14ac:dyDescent="0.35">
      <c r="C29" s="213" t="s">
        <v>1802</v>
      </c>
      <c r="D29" s="57" t="s">
        <v>1803</v>
      </c>
      <c r="V29" s="163" t="str">
        <f>IF(OR(V26=1,V27="Yes"),$CM$26,
IF(SUM(V14:V16)=0,"",
IF(V23&lt;=$CP$26,$CM$26,
IF(V23&lt;=$CP$27,$CM$27,
IF(V28=1,$CM$27,
IF(V23&lt;=$CP$28,$CM$28,$CM$29))))))</f>
        <v/>
      </c>
      <c r="W29" s="163" t="str">
        <f t="shared" ref="W29:Y29" si="4">IF(OR(W26=1,W27="Yes"),$CM$26,
IF(SUM(W14:W16)=0,"",
IF(W23&lt;=$CP$26,$CM$26,
IF(W23&lt;=$CP$27,$CM$27,
IF(W28=1,$CM$27,
IF(W23&lt;=$CP$28,$CM$28,$CM$29))))))</f>
        <v/>
      </c>
      <c r="X29" s="163" t="str">
        <f t="shared" si="4"/>
        <v/>
      </c>
      <c r="Y29" s="163" t="str">
        <f t="shared" si="4"/>
        <v/>
      </c>
      <c r="AA29" s="624"/>
      <c r="CM29" s="300" t="str">
        <f>Parameters!D98</f>
        <v>Outstanding</v>
      </c>
      <c r="CN29" s="301"/>
      <c r="CO29" s="301"/>
      <c r="CP29" s="10">
        <f>Parameters!E98</f>
        <v>300</v>
      </c>
      <c r="CT29" s="11"/>
      <c r="CU29" s="241"/>
      <c r="CV29" s="11"/>
      <c r="DB29" s="35"/>
      <c r="EW29" s="12" t="str">
        <f t="shared" si="3"/>
        <v/>
      </c>
    </row>
    <row r="30" spans="1:153" x14ac:dyDescent="0.35">
      <c r="C30" s="211"/>
      <c r="E30"/>
      <c r="AA30" s="624"/>
      <c r="CM30" s="601"/>
      <c r="CT30" s="11"/>
      <c r="CV30" s="11"/>
      <c r="DB30" s="35"/>
      <c r="EW30" s="12" t="str">
        <f t="shared" si="3"/>
        <v>Financial Health Grading College Self-Assessment  grade</v>
      </c>
    </row>
    <row r="31" spans="1:153" ht="13.5" customHeight="1" x14ac:dyDescent="0.35">
      <c r="A31" s="220">
        <f>CU31</f>
        <v>0</v>
      </c>
      <c r="B31" s="85" t="s">
        <v>122</v>
      </c>
      <c r="C31" s="213" t="s">
        <v>1804</v>
      </c>
      <c r="D31" s="61" t="s">
        <v>1805</v>
      </c>
      <c r="V31" s="240"/>
      <c r="W31" s="114" t="str">
        <f>W29</f>
        <v/>
      </c>
      <c r="X31" s="114" t="str">
        <f>X29</f>
        <v/>
      </c>
      <c r="Y31" s="114" t="str">
        <f>Y29</f>
        <v/>
      </c>
      <c r="CT31" s="35"/>
      <c r="CU31" s="271">
        <f>IF(OR(W31=0, X31=0, Y31=0), 1, 0)</f>
        <v>0</v>
      </c>
      <c r="CV31" s="11"/>
      <c r="CW31" s="100">
        <f>IF(AND($V$33="",IFERROR(MATCH(Parameters!$D$95, 'Financial Health'!$V$31:$Y$31, 0),0)&gt;0), 1, 0)</f>
        <v>0</v>
      </c>
      <c r="CX31" s="7">
        <f>IF(AND($V$31&lt;&gt;"",IFERROR(MATCH($V$31, Parameters!$D$95:$D$98,0),0)=0), 1,0)</f>
        <v>0</v>
      </c>
      <c r="CY31" s="7">
        <f>IF(AND($W$31&lt;&gt;"",IFERROR(MATCH($W$31, Parameters!$D$95:$D$98,0),0)=0), 1,0)</f>
        <v>0</v>
      </c>
      <c r="CZ31" s="7">
        <f>IF(AND($X$31&lt;&gt;"",IFERROR(MATCH($X$31, Parameters!$D$95:$D$98,0),0)=0), 1,0)</f>
        <v>0</v>
      </c>
      <c r="DA31" s="7">
        <f>IF(AND($Y$31&lt;&gt;"",IFERROR(MATCH($Y$31, Parameters!$D$95:$D$98,0),0)=0), 1,0)</f>
        <v>0</v>
      </c>
      <c r="DB31" s="35"/>
      <c r="EW31" s="12" t="str">
        <f t="shared" si="3"/>
        <v/>
      </c>
    </row>
    <row r="32" spans="1:153" ht="18.75" customHeight="1" x14ac:dyDescent="0.35">
      <c r="C32" s="211"/>
      <c r="E32"/>
      <c r="W32" s="562">
        <f>IF(AND(W31&lt;&gt;0,W14&lt;&gt;0,W29&lt;&gt;W31,$V$33=""),1,0)</f>
        <v>0</v>
      </c>
      <c r="X32" s="562">
        <f t="shared" ref="X32:Y32" si="5">IF(AND(X31&lt;&gt;0,X14&lt;&gt;0,X29&lt;&gt;X31,$V$33=""),1,0)</f>
        <v>0</v>
      </c>
      <c r="Y32" s="562">
        <f t="shared" si="5"/>
        <v>0</v>
      </c>
      <c r="AA32" t="str">
        <f>IF(OR($W$31=0, $X$31=0, $Y$31=0),"CELLS W31:Y31 MUST NOT BE BLANK","")</f>
        <v/>
      </c>
      <c r="CT32" s="11"/>
      <c r="CV32" s="11"/>
      <c r="DB32" s="35"/>
      <c r="EW32" s="12" t="str">
        <f t="shared" si="3"/>
        <v>Financial Health Grading College Self-Assessment Narrative</v>
      </c>
    </row>
    <row r="33" spans="1:153" ht="112.5" customHeight="1" x14ac:dyDescent="0.35">
      <c r="A33" s="271">
        <f>MAX(W32:Y32)</f>
        <v>0</v>
      </c>
      <c r="B33" s="126" t="s">
        <v>122</v>
      </c>
      <c r="C33" s="213" t="s">
        <v>1806</v>
      </c>
      <c r="D33" s="61" t="s">
        <v>1807</v>
      </c>
      <c r="V33" s="684"/>
      <c r="W33" s="684"/>
      <c r="X33" s="684"/>
      <c r="Y33" s="684"/>
      <c r="AA33" s="625" t="str">
        <f>IF($A$33=1,"Narrative must be entred when self-assessment grade differs from auto grade","")</f>
        <v/>
      </c>
      <c r="BZ33" s="6"/>
      <c r="CT33" s="11"/>
      <c r="CU33" s="241"/>
      <c r="CV33" s="11"/>
      <c r="DB33" s="35"/>
      <c r="EW33" s="10" t="str">
        <f>IF($C34="","",$D34)</f>
        <v/>
      </c>
    </row>
    <row r="34" spans="1:153" x14ac:dyDescent="0.35">
      <c r="C34" s="217"/>
      <c r="E34"/>
      <c r="CM34" s="5"/>
      <c r="CT34" s="11"/>
      <c r="CU34" s="241"/>
      <c r="CV34" s="11"/>
      <c r="DB34" s="11"/>
      <c r="EW34" s="10" t="e">
        <f>IF(#REF!="","",#REF!)</f>
        <v>#REF!</v>
      </c>
    </row>
    <row r="35" spans="1:153" x14ac:dyDescent="0.35">
      <c r="C35" s="210"/>
      <c r="E35"/>
      <c r="CU35"/>
      <c r="DB35" s="11"/>
      <c r="EW35" s="10" t="str">
        <f>IF($C36="","",$D36)</f>
        <v>*</v>
      </c>
    </row>
    <row r="36" spans="1:153" x14ac:dyDescent="0.35">
      <c r="A36" s="11" t="s">
        <v>16</v>
      </c>
      <c r="B36" s="11" t="s">
        <v>16</v>
      </c>
      <c r="C36" s="59" t="s">
        <v>16</v>
      </c>
      <c r="D36" s="59" t="s">
        <v>16</v>
      </c>
      <c r="E36" s="25" t="s">
        <v>16</v>
      </c>
      <c r="F36" s="11" t="s">
        <v>16</v>
      </c>
      <c r="G36" s="11" t="s">
        <v>16</v>
      </c>
      <c r="H36" s="11" t="s">
        <v>16</v>
      </c>
      <c r="I36" s="11" t="s">
        <v>16</v>
      </c>
      <c r="J36" s="11" t="s">
        <v>16</v>
      </c>
      <c r="K36" s="11" t="s">
        <v>16</v>
      </c>
      <c r="L36" s="11" t="s">
        <v>16</v>
      </c>
      <c r="M36" s="11" t="s">
        <v>16</v>
      </c>
      <c r="N36" s="11" t="s">
        <v>16</v>
      </c>
      <c r="O36" s="11" t="s">
        <v>16</v>
      </c>
      <c r="P36" s="11" t="s">
        <v>16</v>
      </c>
      <c r="Q36" s="11" t="s">
        <v>16</v>
      </c>
      <c r="R36" s="11" t="s">
        <v>16</v>
      </c>
      <c r="S36" s="11"/>
      <c r="T36" s="11" t="s">
        <v>16</v>
      </c>
      <c r="U36" s="11" t="s">
        <v>16</v>
      </c>
      <c r="V36" s="11" t="s">
        <v>16</v>
      </c>
      <c r="W36" s="11" t="s">
        <v>16</v>
      </c>
      <c r="X36" s="11"/>
      <c r="Y36" s="11"/>
      <c r="Z36" s="11" t="s">
        <v>16</v>
      </c>
      <c r="AA36" s="11"/>
      <c r="AB36" s="11" t="s">
        <v>16</v>
      </c>
      <c r="AC36" s="11" t="s">
        <v>16</v>
      </c>
      <c r="AD36" s="11" t="s">
        <v>16</v>
      </c>
      <c r="AE36" s="11" t="s">
        <v>16</v>
      </c>
      <c r="AF36" s="11" t="s">
        <v>16</v>
      </c>
      <c r="AG36" s="11" t="s">
        <v>16</v>
      </c>
      <c r="AH36" s="11" t="s">
        <v>16</v>
      </c>
      <c r="AI36" s="11" t="s">
        <v>16</v>
      </c>
      <c r="AJ36" s="11" t="s">
        <v>16</v>
      </c>
      <c r="AK36" s="11" t="s">
        <v>16</v>
      </c>
      <c r="AL36" s="11" t="s">
        <v>16</v>
      </c>
      <c r="AM36" s="11" t="s">
        <v>16</v>
      </c>
      <c r="AN36" s="11" t="s">
        <v>16</v>
      </c>
      <c r="AO36" s="11" t="s">
        <v>16</v>
      </c>
      <c r="AP36" s="11" t="s">
        <v>16</v>
      </c>
      <c r="AQ36" s="11" t="s">
        <v>16</v>
      </c>
      <c r="AR36" s="11" t="s">
        <v>16</v>
      </c>
      <c r="AS36" s="11" t="s">
        <v>16</v>
      </c>
      <c r="AT36" s="11" t="s">
        <v>16</v>
      </c>
      <c r="AU36" s="11" t="s">
        <v>16</v>
      </c>
      <c r="AV36" s="11" t="s">
        <v>16</v>
      </c>
      <c r="AW36" s="11" t="s">
        <v>16</v>
      </c>
      <c r="AX36" s="11" t="s">
        <v>16</v>
      </c>
      <c r="AY36" s="11" t="s">
        <v>16</v>
      </c>
      <c r="AZ36" s="11" t="s">
        <v>16</v>
      </c>
      <c r="BA36" s="11" t="s">
        <v>16</v>
      </c>
      <c r="BB36" s="11" t="s">
        <v>16</v>
      </c>
      <c r="BC36" s="11" t="s">
        <v>16</v>
      </c>
      <c r="BD36" s="11" t="s">
        <v>16</v>
      </c>
      <c r="BE36" s="11" t="s">
        <v>16</v>
      </c>
      <c r="BF36" s="11" t="s">
        <v>16</v>
      </c>
      <c r="BG36" s="11" t="s">
        <v>16</v>
      </c>
      <c r="BH36" s="11" t="s">
        <v>16</v>
      </c>
      <c r="BI36" s="11" t="s">
        <v>16</v>
      </c>
      <c r="BJ36" s="11" t="s">
        <v>16</v>
      </c>
      <c r="BK36" s="11" t="s">
        <v>16</v>
      </c>
      <c r="BL36" s="11"/>
      <c r="BM36" s="11" t="s">
        <v>16</v>
      </c>
      <c r="BN36" s="11" t="s">
        <v>16</v>
      </c>
      <c r="BO36" s="11" t="s">
        <v>16</v>
      </c>
      <c r="BP36" s="11" t="s">
        <v>16</v>
      </c>
      <c r="BQ36" s="11" t="s">
        <v>16</v>
      </c>
      <c r="BR36" s="11" t="s">
        <v>16</v>
      </c>
      <c r="BS36" s="11" t="s">
        <v>16</v>
      </c>
      <c r="BT36" s="11" t="s">
        <v>16</v>
      </c>
      <c r="BU36" s="11" t="s">
        <v>16</v>
      </c>
      <c r="BV36" s="11" t="s">
        <v>16</v>
      </c>
      <c r="BW36" s="11" t="s">
        <v>16</v>
      </c>
      <c r="BX36" s="11" t="s">
        <v>16</v>
      </c>
      <c r="BY36" s="11" t="s">
        <v>16</v>
      </c>
      <c r="BZ36" s="11" t="s">
        <v>16</v>
      </c>
      <c r="CA36" s="11" t="s">
        <v>16</v>
      </c>
      <c r="CB36" s="11" t="s">
        <v>16</v>
      </c>
      <c r="CC36" s="11" t="s">
        <v>16</v>
      </c>
      <c r="CD36" s="11" t="s">
        <v>16</v>
      </c>
      <c r="CE36" s="11" t="s">
        <v>16</v>
      </c>
      <c r="CF36" s="11" t="s">
        <v>16</v>
      </c>
      <c r="CG36" s="11" t="s">
        <v>16</v>
      </c>
      <c r="CH36" s="11" t="s">
        <v>16</v>
      </c>
      <c r="CI36" s="11" t="s">
        <v>16</v>
      </c>
      <c r="CJ36" s="11" t="s">
        <v>16</v>
      </c>
      <c r="CK36" s="11" t="s">
        <v>16</v>
      </c>
      <c r="CL36" s="11" t="s">
        <v>16</v>
      </c>
      <c r="CM36" s="11" t="s">
        <v>16</v>
      </c>
      <c r="CN36" s="11" t="s">
        <v>16</v>
      </c>
      <c r="CO36" s="11" t="s">
        <v>16</v>
      </c>
      <c r="CP36" s="11" t="s">
        <v>16</v>
      </c>
      <c r="CQ36" s="11" t="s">
        <v>16</v>
      </c>
      <c r="CR36" s="11"/>
      <c r="CS36" s="11" t="s">
        <v>16</v>
      </c>
      <c r="CT36" s="11"/>
      <c r="CU36" s="121" t="s">
        <v>16</v>
      </c>
      <c r="CV36" s="11" t="s">
        <v>16</v>
      </c>
      <c r="CW36" s="11" t="s">
        <v>16</v>
      </c>
      <c r="CX36" s="11" t="s">
        <v>16</v>
      </c>
      <c r="CY36" s="11" t="s">
        <v>16</v>
      </c>
      <c r="CZ36" s="11" t="s">
        <v>16</v>
      </c>
      <c r="DA36" s="11" t="s">
        <v>16</v>
      </c>
      <c r="DB36" s="11" t="s">
        <v>16</v>
      </c>
    </row>
    <row r="37" spans="1:153" x14ac:dyDescent="0.35">
      <c r="CT37" s="120"/>
    </row>
    <row r="38" spans="1:153" x14ac:dyDescent="0.35">
      <c r="CT38" s="120"/>
    </row>
    <row r="39" spans="1:153" x14ac:dyDescent="0.35">
      <c r="CT39" s="120"/>
    </row>
    <row r="40" spans="1:153" x14ac:dyDescent="0.35">
      <c r="CT40" s="120"/>
    </row>
    <row r="41" spans="1:153" x14ac:dyDescent="0.35">
      <c r="CT41" s="120"/>
    </row>
    <row r="42" spans="1:153" x14ac:dyDescent="0.35">
      <c r="CT42" s="120"/>
    </row>
    <row r="43" spans="1:153" x14ac:dyDescent="0.35">
      <c r="CT43" s="120"/>
    </row>
    <row r="44" spans="1:153" x14ac:dyDescent="0.35">
      <c r="CT44" s="120"/>
    </row>
    <row r="45" spans="1:153" x14ac:dyDescent="0.35">
      <c r="CT45" s="120"/>
    </row>
    <row r="46" spans="1:153" x14ac:dyDescent="0.35">
      <c r="CT46" s="120"/>
    </row>
    <row r="47" spans="1:153" x14ac:dyDescent="0.35">
      <c r="CT47" s="120"/>
    </row>
    <row r="48" spans="1:153" x14ac:dyDescent="0.35">
      <c r="CT48" s="120"/>
    </row>
    <row r="49" spans="98:98" x14ac:dyDescent="0.35">
      <c r="CT49" s="120"/>
    </row>
    <row r="50" spans="98:98" x14ac:dyDescent="0.35">
      <c r="CT50" s="120"/>
    </row>
    <row r="51" spans="98:98" x14ac:dyDescent="0.35">
      <c r="CT51" s="120"/>
    </row>
    <row r="52" spans="98:98" x14ac:dyDescent="0.35">
      <c r="CT52" s="120"/>
    </row>
    <row r="53" spans="98:98" x14ac:dyDescent="0.35">
      <c r="CT53" s="120"/>
    </row>
    <row r="54" spans="98:98" x14ac:dyDescent="0.35">
      <c r="CT54" s="120"/>
    </row>
    <row r="55" spans="98:98" x14ac:dyDescent="0.35">
      <c r="CT55" s="120"/>
    </row>
    <row r="56" spans="98:98" x14ac:dyDescent="0.35">
      <c r="CT56" s="120"/>
    </row>
    <row r="57" spans="98:98" x14ac:dyDescent="0.35">
      <c r="CT57" s="120"/>
    </row>
    <row r="58" spans="98:98" x14ac:dyDescent="0.35">
      <c r="CT58" s="120"/>
    </row>
    <row r="59" spans="98:98" x14ac:dyDescent="0.35">
      <c r="CT59" s="120"/>
    </row>
    <row r="60" spans="98:98" x14ac:dyDescent="0.35">
      <c r="CT60" s="120"/>
    </row>
    <row r="61" spans="98:98" x14ac:dyDescent="0.35">
      <c r="CT61" s="120"/>
    </row>
    <row r="62" spans="98:98" x14ac:dyDescent="0.35">
      <c r="CT62" s="120"/>
    </row>
    <row r="63" spans="98:98" x14ac:dyDescent="0.35">
      <c r="CT63" s="120"/>
    </row>
    <row r="64" spans="98:98" x14ac:dyDescent="0.35">
      <c r="CT64" s="120"/>
    </row>
    <row r="65" spans="98:98" x14ac:dyDescent="0.35">
      <c r="CT65" s="120"/>
    </row>
    <row r="66" spans="98:98" x14ac:dyDescent="0.35">
      <c r="CT66" s="120"/>
    </row>
    <row r="67" spans="98:98" x14ac:dyDescent="0.35">
      <c r="CT67" s="120"/>
    </row>
    <row r="68" spans="98:98" x14ac:dyDescent="0.35">
      <c r="CT68" s="120"/>
    </row>
    <row r="69" spans="98:98" x14ac:dyDescent="0.35">
      <c r="CT69" s="120"/>
    </row>
    <row r="70" spans="98:98" x14ac:dyDescent="0.35">
      <c r="CT70" s="120"/>
    </row>
    <row r="71" spans="98:98" x14ac:dyDescent="0.35">
      <c r="CT71" s="120"/>
    </row>
    <row r="72" spans="98:98" x14ac:dyDescent="0.35">
      <c r="CT72" s="120"/>
    </row>
    <row r="73" spans="98:98" x14ac:dyDescent="0.35">
      <c r="CT73" s="120"/>
    </row>
    <row r="74" spans="98:98" x14ac:dyDescent="0.35">
      <c r="CT74" s="120"/>
    </row>
    <row r="75" spans="98:98" x14ac:dyDescent="0.35">
      <c r="CT75" s="120"/>
    </row>
    <row r="76" spans="98:98" x14ac:dyDescent="0.35">
      <c r="CT76" s="120"/>
    </row>
    <row r="77" spans="98:98" x14ac:dyDescent="0.35">
      <c r="CT77" s="120"/>
    </row>
    <row r="78" spans="98:98" x14ac:dyDescent="0.35">
      <c r="CT78" s="120"/>
    </row>
    <row r="79" spans="98:98" x14ac:dyDescent="0.35">
      <c r="CT79" s="120"/>
    </row>
    <row r="80" spans="98:98" x14ac:dyDescent="0.35">
      <c r="CT80" s="120"/>
    </row>
    <row r="81" spans="98:98" x14ac:dyDescent="0.35">
      <c r="CT81" s="120"/>
    </row>
    <row r="82" spans="98:98" x14ac:dyDescent="0.35">
      <c r="CT82" s="120"/>
    </row>
    <row r="83" spans="98:98" x14ac:dyDescent="0.35">
      <c r="CT83" s="120"/>
    </row>
    <row r="84" spans="98:98" x14ac:dyDescent="0.35">
      <c r="CT84" s="120"/>
    </row>
    <row r="85" spans="98:98" x14ac:dyDescent="0.35">
      <c r="CT85" s="120"/>
    </row>
    <row r="86" spans="98:98" x14ac:dyDescent="0.35">
      <c r="CT86" s="120"/>
    </row>
    <row r="87" spans="98:98" x14ac:dyDescent="0.35">
      <c r="CT87" s="120"/>
    </row>
    <row r="88" spans="98:98" x14ac:dyDescent="0.35">
      <c r="CT88" s="120"/>
    </row>
    <row r="89" spans="98:98" x14ac:dyDescent="0.35">
      <c r="CT89" s="120"/>
    </row>
    <row r="90" spans="98:98" x14ac:dyDescent="0.35">
      <c r="CT90" s="120"/>
    </row>
    <row r="91" spans="98:98" x14ac:dyDescent="0.35">
      <c r="CT91" s="120"/>
    </row>
    <row r="92" spans="98:98" x14ac:dyDescent="0.35">
      <c r="CT92" s="120"/>
    </row>
    <row r="93" spans="98:98" x14ac:dyDescent="0.35">
      <c r="CT93" s="120"/>
    </row>
    <row r="94" spans="98:98" x14ac:dyDescent="0.35">
      <c r="CT94" s="120"/>
    </row>
    <row r="95" spans="98:98" x14ac:dyDescent="0.35">
      <c r="CT95" s="120"/>
    </row>
    <row r="96" spans="98:98" x14ac:dyDescent="0.35">
      <c r="CT96" s="120"/>
    </row>
    <row r="97" spans="98:98" x14ac:dyDescent="0.35">
      <c r="CT97" s="120"/>
    </row>
    <row r="98" spans="98:98" x14ac:dyDescent="0.35">
      <c r="CT98" s="120"/>
    </row>
    <row r="99" spans="98:98" x14ac:dyDescent="0.35">
      <c r="CT99" s="120"/>
    </row>
    <row r="100" spans="98:98" x14ac:dyDescent="0.35">
      <c r="CT100" s="120"/>
    </row>
    <row r="101" spans="98:98" x14ac:dyDescent="0.35">
      <c r="CT101" s="120"/>
    </row>
    <row r="102" spans="98:98" x14ac:dyDescent="0.35">
      <c r="CT102" s="120"/>
    </row>
    <row r="103" spans="98:98" x14ac:dyDescent="0.35">
      <c r="CT103" s="120"/>
    </row>
    <row r="104" spans="98:98" x14ac:dyDescent="0.35">
      <c r="CT104" s="120"/>
    </row>
    <row r="105" spans="98:98" x14ac:dyDescent="0.35">
      <c r="CT105" s="120"/>
    </row>
    <row r="106" spans="98:98" x14ac:dyDescent="0.35">
      <c r="CT106" s="120"/>
    </row>
    <row r="107" spans="98:98" x14ac:dyDescent="0.35">
      <c r="CT107" s="120"/>
    </row>
    <row r="108" spans="98:98" x14ac:dyDescent="0.35">
      <c r="CT108" s="120"/>
    </row>
    <row r="109" spans="98:98" x14ac:dyDescent="0.35">
      <c r="CT109" s="120"/>
    </row>
    <row r="110" spans="98:98" x14ac:dyDescent="0.35">
      <c r="CT110" s="120"/>
    </row>
    <row r="111" spans="98:98" x14ac:dyDescent="0.35">
      <c r="CT111" s="120"/>
    </row>
    <row r="112" spans="98:98" x14ac:dyDescent="0.35">
      <c r="CT112" s="120"/>
    </row>
    <row r="113" spans="98:98" x14ac:dyDescent="0.35">
      <c r="CT113" s="120"/>
    </row>
    <row r="114" spans="98:98" x14ac:dyDescent="0.35">
      <c r="CT114" s="120"/>
    </row>
    <row r="115" spans="98:98" x14ac:dyDescent="0.35">
      <c r="CT115" s="120"/>
    </row>
    <row r="116" spans="98:98" x14ac:dyDescent="0.35">
      <c r="CT116" s="120"/>
    </row>
    <row r="117" spans="98:98" x14ac:dyDescent="0.35">
      <c r="CT117" s="120"/>
    </row>
    <row r="118" spans="98:98" x14ac:dyDescent="0.35">
      <c r="CT118" s="120"/>
    </row>
    <row r="119" spans="98:98" x14ac:dyDescent="0.35">
      <c r="CT119" s="120"/>
    </row>
    <row r="120" spans="98:98" x14ac:dyDescent="0.35">
      <c r="CT120" s="120"/>
    </row>
    <row r="121" spans="98:98" x14ac:dyDescent="0.35">
      <c r="CT121" s="120"/>
    </row>
    <row r="122" spans="98:98" x14ac:dyDescent="0.35">
      <c r="CT122" s="120"/>
    </row>
    <row r="123" spans="98:98" x14ac:dyDescent="0.35">
      <c r="CT123" s="120"/>
    </row>
    <row r="124" spans="98:98" x14ac:dyDescent="0.35">
      <c r="CT124" s="120"/>
    </row>
    <row r="125" spans="98:98" x14ac:dyDescent="0.35">
      <c r="CT125" s="120"/>
    </row>
    <row r="126" spans="98:98" x14ac:dyDescent="0.35">
      <c r="CT126" s="120"/>
    </row>
    <row r="127" spans="98:98" x14ac:dyDescent="0.35">
      <c r="CT127" s="120"/>
    </row>
    <row r="128" spans="98:98" x14ac:dyDescent="0.35">
      <c r="CT128" s="120"/>
    </row>
    <row r="129" spans="98:98" x14ac:dyDescent="0.35">
      <c r="CT129" s="120"/>
    </row>
    <row r="130" spans="98:98" x14ac:dyDescent="0.35">
      <c r="CT130" s="120"/>
    </row>
    <row r="131" spans="98:98" x14ac:dyDescent="0.35">
      <c r="CT131" s="120"/>
    </row>
    <row r="132" spans="98:98" x14ac:dyDescent="0.35">
      <c r="CT132" s="120"/>
    </row>
    <row r="133" spans="98:98" x14ac:dyDescent="0.35">
      <c r="CT133" s="120"/>
    </row>
    <row r="134" spans="98:98" x14ac:dyDescent="0.35">
      <c r="CT134" s="120"/>
    </row>
    <row r="135" spans="98:98" x14ac:dyDescent="0.35">
      <c r="CT135" s="120"/>
    </row>
    <row r="136" spans="98:98" x14ac:dyDescent="0.35">
      <c r="CT136" s="120"/>
    </row>
    <row r="137" spans="98:98" x14ac:dyDescent="0.35">
      <c r="CT137" s="120"/>
    </row>
    <row r="138" spans="98:98" x14ac:dyDescent="0.35">
      <c r="CT138" s="120"/>
    </row>
    <row r="139" spans="98:98" x14ac:dyDescent="0.35">
      <c r="CT139" s="120"/>
    </row>
    <row r="140" spans="98:98" x14ac:dyDescent="0.35">
      <c r="CT140" s="120"/>
    </row>
    <row r="141" spans="98:98" x14ac:dyDescent="0.35">
      <c r="CT141" s="120"/>
    </row>
    <row r="142" spans="98:98" x14ac:dyDescent="0.35">
      <c r="CT142" s="120"/>
    </row>
    <row r="143" spans="98:98" x14ac:dyDescent="0.35">
      <c r="CT143" s="120"/>
    </row>
    <row r="144" spans="98:98" x14ac:dyDescent="0.35">
      <c r="CT144" s="120"/>
    </row>
    <row r="145" spans="98:98" x14ac:dyDescent="0.35">
      <c r="CT145" s="120"/>
    </row>
    <row r="146" spans="98:98" x14ac:dyDescent="0.35">
      <c r="CT146" s="120"/>
    </row>
    <row r="147" spans="98:98" x14ac:dyDescent="0.35">
      <c r="CT147" s="120"/>
    </row>
  </sheetData>
  <sheetProtection algorithmName="SHA-512" hashValue="DR6HLxtLTChwDUi5TT9EQarNX+21KiNAaoETMpJQjPg1GeuKbupTynnLzi1YN55MhJ1co9jQVlbs9IVbijm14Q==" saltValue="N0iX2GIWWlvEWv9sE08PMw==" spinCount="100000" sheet="1" objects="1" scenarios="1"/>
  <mergeCells count="14">
    <mergeCell ref="CP11:CP12"/>
    <mergeCell ref="DC3:DC6"/>
    <mergeCell ref="V33:Y33"/>
    <mergeCell ref="CV1:CV6"/>
    <mergeCell ref="DB1:DB6"/>
    <mergeCell ref="DA3:DA6"/>
    <mergeCell ref="CX3:CX6"/>
    <mergeCell ref="CY3:CY6"/>
    <mergeCell ref="CZ3:CZ6"/>
    <mergeCell ref="CW3:CW6"/>
    <mergeCell ref="CT1:CT6"/>
    <mergeCell ref="CU4:CU5"/>
    <mergeCell ref="CN11:CN12"/>
    <mergeCell ref="CO11:CO12"/>
  </mergeCells>
  <phoneticPr fontId="9" type="noConversion"/>
  <conditionalFormatting sqref="A1:A2">
    <cfRule type="cellIs" dxfId="377" priority="253" operator="greaterThan">
      <formula>0</formula>
    </cfRule>
    <cfRule type="cellIs" dxfId="376" priority="252" operator="equal">
      <formula>0</formula>
    </cfRule>
  </conditionalFormatting>
  <conditionalFormatting sqref="A27">
    <cfRule type="cellIs" dxfId="375" priority="3" operator="equal">
      <formula>0</formula>
    </cfRule>
    <cfRule type="cellIs" dxfId="374" priority="4" operator="greaterThan">
      <formula>0</formula>
    </cfRule>
  </conditionalFormatting>
  <conditionalFormatting sqref="A31">
    <cfRule type="cellIs" dxfId="373" priority="257" operator="greaterThan">
      <formula>0</formula>
    </cfRule>
    <cfRule type="cellIs" dxfId="372" priority="256" operator="equal">
      <formula>0</formula>
    </cfRule>
  </conditionalFormatting>
  <conditionalFormatting sqref="A33">
    <cfRule type="cellIs" dxfId="371" priority="254" operator="equal">
      <formula>0</formula>
    </cfRule>
    <cfRule type="cellIs" dxfId="370" priority="255" operator="greaterThan">
      <formula>0</formula>
    </cfRule>
  </conditionalFormatting>
  <conditionalFormatting sqref="V29:Y29">
    <cfRule type="containsText" dxfId="369" priority="283" operator="containsText" text="&quot;&quot;">
      <formula>NOT(ISERROR(SEARCH("""""",V29)))</formula>
    </cfRule>
    <cfRule type="containsText" dxfId="368" priority="282" operator="containsText" text="Good">
      <formula>NOT(ISERROR(SEARCH("Good",V29)))</formula>
    </cfRule>
    <cfRule type="containsText" dxfId="367" priority="281" operator="containsText" text="Inadequate">
      <formula>NOT(ISERROR(SEARCH("Inadequate",V29)))</formula>
    </cfRule>
    <cfRule type="containsText" dxfId="366" priority="280" operator="containsText" text="Requires Improvement">
      <formula>NOT(ISERROR(SEARCH("Requires Improvement",V29)))</formula>
    </cfRule>
    <cfRule type="containsText" dxfId="365" priority="279" operator="containsText" text="Outstanding">
      <formula>NOT(ISERROR(SEARCH("Outstanding",V29)))</formula>
    </cfRule>
    <cfRule type="cellIs" dxfId="364" priority="278" operator="equal">
      <formula>0</formula>
    </cfRule>
  </conditionalFormatting>
  <conditionalFormatting sqref="W31:Y31 V32:Y34">
    <cfRule type="containsText" dxfId="363" priority="174" operator="containsText" text="Requires Improvement">
      <formula>NOT(ISERROR(SEARCH("Requires Improvement",V31)))</formula>
    </cfRule>
    <cfRule type="containsText" dxfId="362" priority="175" operator="containsText" text="Inadequate">
      <formula>NOT(ISERROR(SEARCH("Inadequate",V31)))</formula>
    </cfRule>
    <cfRule type="containsText" dxfId="361" priority="176" operator="containsText" text="Good">
      <formula>NOT(ISERROR(SEARCH("Good",V31)))</formula>
    </cfRule>
    <cfRule type="containsText" dxfId="360" priority="177" operator="containsText" text="&quot;&quot;">
      <formula>NOT(ISERROR(SEARCH("""""",V31)))</formula>
    </cfRule>
    <cfRule type="containsText" dxfId="359" priority="173" operator="containsText" text="Outstanding">
      <formula>NOT(ISERROR(SEARCH("Outstanding",V31)))</formula>
    </cfRule>
  </conditionalFormatting>
  <conditionalFormatting sqref="W31:Y31">
    <cfRule type="cellIs" dxfId="358" priority="240" operator="equal">
      <formula>0</formula>
    </cfRule>
  </conditionalFormatting>
  <conditionalFormatting sqref="X27:Y27">
    <cfRule type="cellIs" dxfId="357" priority="5" operator="equal">
      <formula>0</formula>
    </cfRule>
    <cfRule type="containsText" dxfId="356" priority="6" operator="containsText" text="Outstanding">
      <formula>NOT(ISERROR(SEARCH("Outstanding",X27)))</formula>
    </cfRule>
    <cfRule type="containsText" dxfId="355" priority="7" operator="containsText" text="Requires Improvement">
      <formula>NOT(ISERROR(SEARCH("Requires Improvement",X27)))</formula>
    </cfRule>
    <cfRule type="containsText" dxfId="354" priority="10" operator="containsText" text="&quot;&quot;">
      <formula>NOT(ISERROR(SEARCH("""""",X27)))</formula>
    </cfRule>
    <cfRule type="containsText" dxfId="353" priority="9" operator="containsText" text="Good">
      <formula>NOT(ISERROR(SEARCH("Good",X27)))</formula>
    </cfRule>
    <cfRule type="containsText" dxfId="352" priority="8" operator="containsText" text="Inadequate">
      <formula>NOT(ISERROR(SEARCH("Inadequate",X27)))</formula>
    </cfRule>
  </conditionalFormatting>
  <conditionalFormatting sqref="Z34:CK34">
    <cfRule type="containsText" dxfId="351" priority="15" operator="containsText" text="&quot;&quot;">
      <formula>NOT(ISERROR(SEARCH("""""",Z34)))</formula>
    </cfRule>
    <cfRule type="containsText" dxfId="350" priority="14" operator="containsText" text="Good">
      <formula>NOT(ISERROR(SEARCH("Good",Z34)))</formula>
    </cfRule>
    <cfRule type="containsText" dxfId="349" priority="13" operator="containsText" text="Inadequate">
      <formula>NOT(ISERROR(SEARCH("Inadequate",Z34)))</formula>
    </cfRule>
    <cfRule type="containsText" dxfId="348" priority="12" operator="containsText" text="Requires Improvement">
      <formula>NOT(ISERROR(SEARCH("Requires Improvement",Z34)))</formula>
    </cfRule>
    <cfRule type="containsText" dxfId="347" priority="11" operator="containsText" text="Outstanding">
      <formula>NOT(ISERROR(SEARCH("Outstanding",Z34)))</formula>
    </cfRule>
  </conditionalFormatting>
  <conditionalFormatting sqref="CU2">
    <cfRule type="cellIs" dxfId="346" priority="161" operator="equal">
      <formula>0</formula>
    </cfRule>
    <cfRule type="cellIs" dxfId="345" priority="160" operator="greaterThan">
      <formula>0</formula>
    </cfRule>
  </conditionalFormatting>
  <conditionalFormatting sqref="CU27">
    <cfRule type="cellIs" dxfId="344" priority="2" operator="equal">
      <formula>0</formula>
    </cfRule>
    <cfRule type="cellIs" dxfId="343" priority="1" operator="greaterThan">
      <formula>0</formula>
    </cfRule>
  </conditionalFormatting>
  <conditionalFormatting sqref="CU31">
    <cfRule type="cellIs" dxfId="342" priority="19" operator="equal">
      <formula>0</formula>
    </cfRule>
    <cfRule type="cellIs" dxfId="341" priority="18" operator="greaterThan">
      <formula>0</formula>
    </cfRule>
  </conditionalFormatting>
  <conditionalFormatting sqref="CW31:DA31">
    <cfRule type="cellIs" dxfId="340" priority="258" operator="equal">
      <formula>0</formula>
    </cfRule>
    <cfRule type="cellIs" dxfId="339" priority="259" operator="equal">
      <formula>1</formula>
    </cfRule>
  </conditionalFormatting>
  <dataValidations count="7">
    <dataValidation allowBlank="1" showInputMessage="1" promptTitle="Reconciliation to 12 year " prompt="This checks that the monthly amounts match the annual amounts on the 4 Year timeline._x000a__x000a_This check is only applied to line items set to &quot;Annual&quot; via the dropdown menu in column G. See the Differences section (columns CI - CK) if errors are flagged." sqref="CW7" xr:uid="{61AC9287-F545-4AB7-B63E-1853C38BB74C}"/>
    <dataValidation allowBlank="1" showInputMessage="1" promptTitle="Self Assessment Check prior year" prompt="This checks that the self assessment selected for the prior year is a valid input, i.e. it is &quot;Outstanding&quot;, &quot;Good&quot;, &quot;Requires Improvement&quot; or &quot;Inadequate&quot;._x000a__x000a_Self-assessment is optional and should be applied if it differs from the calculated FH grade." sqref="CX7" xr:uid="{3987FB67-8838-449F-99D0-01AE5A7E996C}"/>
    <dataValidation allowBlank="1" showInputMessage="1" promptTitle="Self Assessment " prompt="In certain circumstances you may propose a moderation to the college's automated financial health grade. _x000a__x000a_If so, please use the dropdown menu to select the proposed grade and provide further detail in the narrative box below." sqref="B31" xr:uid="{9051367A-7C02-46B9-B478-4DC77B892F45}"/>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261BF7A3-5CB6-4F72-8535-0C97687ECAFF}"/>
    <dataValidation allowBlank="1" showInputMessage="1" promptTitle="Completion Warnings" prompt="This checks whether there are values in the self-assessment financial health cells, W30:Y30. _x000a__x000a_If a warning is generated, please ensure self-assessment financial health grades are entered before submitting._x000a_" sqref="CU7" xr:uid="{513CB717-42D1-4CFF-B6F7-E8F1C5355100}"/>
    <dataValidation allowBlank="1" showInputMessage="1" promptTitle="Self Assessment Narrative" prompt="Please provide self-assessment narrative if self-assessment has been applied. _x000a__x000a_If self-assessment grades are selected but no narrative is provided to support them, the submission will be rejected." sqref="B33" xr:uid="{AD8C3866-0BD0-4994-A5B7-F34201478D01}"/>
    <dataValidation type="list" allowBlank="1" showInputMessage="1" showErrorMessage="1" sqref="V27:W27" xr:uid="{ECC30928-0D9B-4C10-AF39-4DD185D1B879}">
      <formula1>"No,Yes"</formula1>
    </dataValidation>
  </dataValidations>
  <pageMargins left="0.70866141732283472" right="0.70866141732283472" top="0.74803149606299213" bottom="0.74803149606299213" header="0.31496062992125984" footer="0.31496062992125984"/>
  <pageSetup paperSize="8" scale="73" orientation="landscape" r:id="rId1"/>
  <headerFooter>
    <oddHeader>&amp;C&amp;"Aptos"&amp;11&amp;K000000 OFFICIAL - FOR PUBLIC RELEASE&amp;1#_x000D_</oddHeader>
    <oddFooter>&amp;C_x000D_&amp;1#&amp;"Aptos"&amp;11&amp;K000000 OFFICIAL - FOR PUBLIC RELEASE</oddFooter>
  </headerFooter>
  <ignoredErrors>
    <ignoredError sqref="W31:Y31"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78" id="{A75E7960-1637-4A91-A92E-7F054A930BE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E1426D0-CFD8-41AC-81B6-2AACD41441B7}">
          <x14:formula1>
            <xm:f>Parameters!$D$95:$D$98</xm:f>
          </x14:formula1>
          <xm:sqref>W31:Y31</xm:sqref>
        </x14:dataValidation>
        <x14:dataValidation type="list" allowBlank="1" showInputMessage="1" showErrorMessage="1" xr:uid="{6EEA2264-F2BF-4486-9F6E-375869780FE5}">
          <x14:formula1>
            <xm:f>'Dash Data'!$D$93:$D$100</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168D-9976-4F80-A856-A2FB443D4185}">
  <sheetPr codeName="Sheet22">
    <tabColor rgb="FF00B0F0"/>
    <outlinePr summaryBelow="0" summaryRight="0"/>
    <pageSetUpPr autoPageBreaks="0"/>
  </sheetPr>
  <dimension ref="A1:EX106"/>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63.54296875" bestFit="1" customWidth="1"/>
    <col min="5" max="5" width="2" style="1" customWidth="1" outlineLevel="1"/>
    <col min="6" max="6" width="1.54296875" customWidth="1"/>
    <col min="7" max="8" width="2" bestFit="1" customWidth="1" outlineLevel="1"/>
    <col min="9" max="9" width="2" bestFit="1" customWidth="1"/>
    <col min="10" max="10" width="2" bestFit="1" customWidth="1" collapsed="1"/>
    <col min="11" max="18" width="8.81640625" hidden="1" customWidth="1" outlineLevel="1"/>
    <col min="19" max="19" width="11.453125" hidden="1" customWidth="1" outlineLevel="1"/>
    <col min="20" max="21" width="11.1796875" hidden="1" customWidth="1" outlineLevel="1"/>
    <col min="22" max="25" width="11.1796875" customWidth="1"/>
    <col min="26" max="26" width="1.1796875" customWidth="1"/>
    <col min="27" max="61" width="11.1796875" customWidth="1"/>
    <col min="62" max="62" width="11.1796875" customWidth="1" collapsed="1"/>
    <col min="63" max="74" width="11.1796875" hidden="1" customWidth="1" outlineLevel="1"/>
    <col min="75" max="75" width="1.1796875" customWidth="1"/>
    <col min="76" max="87" width="11.1796875" customWidth="1"/>
    <col min="88" max="88" width="1.1796875" customWidth="1"/>
    <col min="89" max="89" width="3.453125" customWidth="1"/>
    <col min="90" max="90" width="13.1796875" customWidth="1"/>
    <col min="91" max="91" width="3.453125" customWidth="1"/>
    <col min="92" max="92" width="13.1796875" customWidth="1"/>
    <col min="93" max="93" width="2.81640625" customWidth="1"/>
    <col min="153" max="153" width="8.81640625" collapsed="1"/>
    <col min="154" max="154" width="46.1796875" hidden="1" customWidth="1" outlineLevel="1"/>
  </cols>
  <sheetData>
    <row r="1" spans="1:154" x14ac:dyDescent="0.35">
      <c r="A1" s="7">
        <f ca="1">ToC!A1</f>
        <v>0</v>
      </c>
      <c r="B1" s="13" t="s">
        <v>1808</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80"/>
      <c r="CL1" t="s">
        <v>5</v>
      </c>
      <c r="CM1" s="680"/>
      <c r="CN1" t="s">
        <v>4</v>
      </c>
      <c r="CO1" s="680"/>
      <c r="EX1" s="5" t="s">
        <v>177</v>
      </c>
    </row>
    <row r="2" spans="1:154" ht="14.65" customHeight="1" x14ac:dyDescent="0.35">
      <c r="A2" s="537" cm="1">
        <f t="array" aca="1" ref="A2" ca="1">HYPERLINK(CONCATENATE("#",CELL("address",IF(SUM(A$7:A$106)=0,$A$2,INDEX(A$7:A$106,MATCH(1,A$7:A$106,0))))),SUM(A$7:A$106))</f>
        <v>0</v>
      </c>
      <c r="B2" s="67" t="str" cm="1">
        <f t="array" aca="1" ref="B2" ca="1">HYPERLINK(CONCATENATE("#",CELL("address",Guide!$C$123)),Guide!$B$1)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M2" s="680"/>
      <c r="CN2" s="666" t="s">
        <v>1809</v>
      </c>
      <c r="CO2" s="680"/>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80"/>
      <c r="CM3" s="680"/>
      <c r="CN3" s="666"/>
      <c r="CO3" s="680"/>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80"/>
      <c r="CL4" s="664"/>
      <c r="CM4" s="680"/>
      <c r="CN4" s="666"/>
      <c r="CO4" s="680"/>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80"/>
      <c r="CL5" s="664"/>
      <c r="CM5" s="680"/>
      <c r="CN5" s="666"/>
      <c r="CO5" s="680"/>
    </row>
    <row r="6" spans="1:154" x14ac:dyDescent="0.35">
      <c r="A6" s="67" t="str" cm="1">
        <f t="array" aca="1" ref="A6" ca="1">HYPERLINK(CONCATENATE("#",CELL("address",CM7)),"Check")</f>
        <v>Check</v>
      </c>
      <c r="B6" s="13"/>
      <c r="C6" s="13" t="s">
        <v>183</v>
      </c>
      <c r="D6" s="23" t="s">
        <v>19</v>
      </c>
      <c r="E6" s="13"/>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0"/>
      <c r="CL6" s="664"/>
      <c r="CM6" s="680"/>
      <c r="CN6" s="666"/>
      <c r="CO6" s="680"/>
    </row>
    <row r="7" spans="1:154" x14ac:dyDescent="0.35">
      <c r="B7" s="97" t="s">
        <v>184</v>
      </c>
      <c r="D7" s="1"/>
      <c r="E7"/>
      <c r="BY7" s="6"/>
      <c r="CK7" s="311"/>
      <c r="CM7" s="311"/>
      <c r="CO7" s="311"/>
    </row>
    <row r="8" spans="1:154" ht="8.25" customHeight="1" x14ac:dyDescent="0.35">
      <c r="D8" s="1"/>
      <c r="E8"/>
      <c r="CK8" s="311"/>
      <c r="CM8" s="311"/>
      <c r="CO8" s="311"/>
      <c r="EX8" s="10" t="str">
        <f t="shared" ref="EX8:EX52" si="0">IF($C8="","",$D8)</f>
        <v/>
      </c>
    </row>
    <row r="9" spans="1:154" ht="14.25" customHeight="1" x14ac:dyDescent="0.35">
      <c r="A9" s="34"/>
      <c r="B9" s="34"/>
      <c r="C9" s="34"/>
      <c r="D9" s="34" t="s">
        <v>1810</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11"/>
      <c r="CM9" s="311"/>
      <c r="CO9" s="311"/>
      <c r="EX9" s="10" t="str">
        <f t="shared" si="0"/>
        <v/>
      </c>
    </row>
    <row r="10" spans="1:154" ht="8.25" customHeight="1" x14ac:dyDescent="0.35">
      <c r="E10"/>
      <c r="CK10" s="311"/>
      <c r="CM10" s="311"/>
      <c r="CO10" s="311"/>
      <c r="EX10" s="10" t="str">
        <f t="shared" si="0"/>
        <v/>
      </c>
    </row>
    <row r="11" spans="1:154" ht="14.25" customHeight="1" x14ac:dyDescent="0.35">
      <c r="CK11" s="311"/>
      <c r="CM11" s="311"/>
      <c r="CO11" s="311"/>
      <c r="EX11" s="10" t="str">
        <f t="shared" si="0"/>
        <v/>
      </c>
    </row>
    <row r="12" spans="1:154" ht="14.25" customHeight="1" x14ac:dyDescent="0.35">
      <c r="CK12" s="311"/>
      <c r="CM12" s="311"/>
      <c r="CO12" s="311"/>
      <c r="EX12" s="10" t="str">
        <f t="shared" si="0"/>
        <v/>
      </c>
    </row>
    <row r="13" spans="1:154" ht="14.25" customHeight="1" x14ac:dyDescent="0.45">
      <c r="Y13" s="577"/>
      <c r="CK13" s="311"/>
      <c r="CM13" s="311"/>
      <c r="CO13" s="311"/>
      <c r="EX13" s="10" t="str">
        <f t="shared" si="0"/>
        <v/>
      </c>
    </row>
    <row r="14" spans="1:154" ht="14.25" customHeight="1" x14ac:dyDescent="0.35">
      <c r="CK14" s="311"/>
      <c r="CM14" s="311"/>
      <c r="CO14" s="311"/>
      <c r="EX14" s="10" t="str">
        <f t="shared" si="0"/>
        <v/>
      </c>
    </row>
    <row r="15" spans="1:154" ht="14.25" customHeight="1" x14ac:dyDescent="0.35">
      <c r="CK15" s="311"/>
      <c r="CM15" s="311"/>
      <c r="CO15" s="311"/>
      <c r="EX15" s="10" t="str">
        <f t="shared" si="0"/>
        <v/>
      </c>
    </row>
    <row r="16" spans="1:154" ht="14.25" customHeight="1" x14ac:dyDescent="0.35">
      <c r="CK16" s="311"/>
      <c r="CM16" s="311"/>
      <c r="CO16" s="311"/>
      <c r="EX16" s="10" t="str">
        <f t="shared" si="0"/>
        <v/>
      </c>
    </row>
    <row r="17" spans="89:154" ht="14.25" customHeight="1" x14ac:dyDescent="0.35">
      <c r="CK17" s="311"/>
      <c r="CM17" s="311"/>
      <c r="CO17" s="311"/>
      <c r="EX17" s="10" t="str">
        <f t="shared" si="0"/>
        <v/>
      </c>
    </row>
    <row r="18" spans="89:154" ht="14.25" customHeight="1" x14ac:dyDescent="0.35">
      <c r="CK18" s="311"/>
      <c r="CM18" s="311"/>
      <c r="CO18" s="311"/>
      <c r="EX18" s="10" t="str">
        <f t="shared" si="0"/>
        <v/>
      </c>
    </row>
    <row r="19" spans="89:154" ht="14.25" customHeight="1" x14ac:dyDescent="0.35">
      <c r="CK19" s="311"/>
      <c r="CM19" s="311"/>
      <c r="CO19" s="311"/>
      <c r="EX19" s="10" t="str">
        <f t="shared" si="0"/>
        <v/>
      </c>
    </row>
    <row r="20" spans="89:154" ht="14.25" customHeight="1" x14ac:dyDescent="0.35">
      <c r="CK20" s="311"/>
      <c r="CM20" s="311"/>
      <c r="CO20" s="311"/>
      <c r="EX20" s="10" t="str">
        <f t="shared" si="0"/>
        <v/>
      </c>
    </row>
    <row r="21" spans="89:154" ht="14.25" customHeight="1" x14ac:dyDescent="0.35">
      <c r="CK21" s="311"/>
      <c r="CM21" s="311"/>
      <c r="CO21" s="311"/>
      <c r="EX21" s="10" t="str">
        <f t="shared" si="0"/>
        <v/>
      </c>
    </row>
    <row r="22" spans="89:154" ht="14.25" customHeight="1" x14ac:dyDescent="0.35">
      <c r="CK22" s="311"/>
      <c r="CM22" s="311"/>
      <c r="CO22" s="311"/>
      <c r="EX22" s="10" t="str">
        <f t="shared" si="0"/>
        <v/>
      </c>
    </row>
    <row r="23" spans="89:154" ht="14.25" customHeight="1" x14ac:dyDescent="0.35">
      <c r="CK23" s="311"/>
      <c r="CM23" s="311"/>
      <c r="CO23" s="311"/>
      <c r="EX23" s="10" t="str">
        <f t="shared" si="0"/>
        <v/>
      </c>
    </row>
    <row r="24" spans="89:154" ht="14.25" customHeight="1" x14ac:dyDescent="0.35">
      <c r="CK24" s="311"/>
      <c r="CM24" s="311"/>
      <c r="CO24" s="311"/>
      <c r="EX24" s="10" t="str">
        <f t="shared" si="0"/>
        <v/>
      </c>
    </row>
    <row r="25" spans="89:154" ht="14.25" customHeight="1" x14ac:dyDescent="0.35">
      <c r="CK25" s="311"/>
      <c r="CM25" s="311"/>
      <c r="CO25" s="311"/>
      <c r="EX25" s="10" t="str">
        <f t="shared" si="0"/>
        <v/>
      </c>
    </row>
    <row r="26" spans="89:154" ht="14.25" customHeight="1" x14ac:dyDescent="0.35">
      <c r="CK26" s="311"/>
      <c r="CM26" s="311"/>
      <c r="CO26" s="311"/>
      <c r="EX26" s="10" t="str">
        <f t="shared" si="0"/>
        <v/>
      </c>
    </row>
    <row r="27" spans="89:154" ht="14.25" customHeight="1" x14ac:dyDescent="0.35">
      <c r="CK27" s="311"/>
      <c r="CM27" s="311"/>
      <c r="CO27" s="311"/>
      <c r="EX27" s="10" t="str">
        <f t="shared" si="0"/>
        <v/>
      </c>
    </row>
    <row r="28" spans="89:154" ht="14.25" customHeight="1" x14ac:dyDescent="0.35">
      <c r="CK28" s="311"/>
      <c r="CM28" s="311"/>
      <c r="CO28" s="311"/>
      <c r="EX28" s="10" t="str">
        <f t="shared" si="0"/>
        <v/>
      </c>
    </row>
    <row r="29" spans="89:154" ht="14.25" customHeight="1" x14ac:dyDescent="0.35">
      <c r="CK29" s="311"/>
      <c r="CM29" s="311"/>
      <c r="CO29" s="311"/>
      <c r="EX29" s="10" t="str">
        <f t="shared" si="0"/>
        <v/>
      </c>
    </row>
    <row r="30" spans="89:154" ht="14.25" customHeight="1" x14ac:dyDescent="0.35">
      <c r="CK30" s="311"/>
      <c r="CM30" s="311"/>
      <c r="CO30" s="311"/>
      <c r="EX30" s="10" t="str">
        <f t="shared" si="0"/>
        <v/>
      </c>
    </row>
    <row r="31" spans="89:154" ht="14.25" customHeight="1" x14ac:dyDescent="0.35">
      <c r="CK31" s="311"/>
      <c r="CM31" s="311"/>
      <c r="CO31" s="311"/>
      <c r="EX31" s="10" t="str">
        <f t="shared" si="0"/>
        <v/>
      </c>
    </row>
    <row r="32" spans="89:154" ht="14.25" customHeight="1" x14ac:dyDescent="0.35">
      <c r="CK32" s="311"/>
      <c r="CM32" s="311"/>
      <c r="CO32" s="311"/>
      <c r="EX32" s="10" t="str">
        <f t="shared" si="0"/>
        <v/>
      </c>
    </row>
    <row r="33" spans="5:154" ht="14.25" customHeight="1" x14ac:dyDescent="0.35">
      <c r="CK33" s="311"/>
      <c r="CM33" s="311"/>
      <c r="CO33" s="311"/>
      <c r="EX33" s="10" t="str">
        <f t="shared" si="0"/>
        <v/>
      </c>
    </row>
    <row r="34" spans="5:154" ht="14.25" customHeight="1" x14ac:dyDescent="0.35">
      <c r="CK34" s="311"/>
      <c r="CM34" s="311"/>
      <c r="CO34" s="311"/>
      <c r="EX34" s="10" t="str">
        <f t="shared" si="0"/>
        <v/>
      </c>
    </row>
    <row r="35" spans="5:154" ht="8.25" customHeight="1" x14ac:dyDescent="0.35">
      <c r="E35"/>
      <c r="CK35" s="311"/>
      <c r="CM35" s="311"/>
      <c r="CO35" s="311"/>
      <c r="EX35" s="10" t="str">
        <f t="shared" si="0"/>
        <v/>
      </c>
    </row>
    <row r="36" spans="5:154" ht="14.25" customHeight="1" x14ac:dyDescent="0.35">
      <c r="CK36" s="311"/>
      <c r="CM36" s="311"/>
      <c r="CO36" s="311"/>
      <c r="EX36" s="10" t="str">
        <f t="shared" si="0"/>
        <v/>
      </c>
    </row>
    <row r="37" spans="5:154" ht="14.25" customHeight="1" x14ac:dyDescent="0.35">
      <c r="CK37" s="311"/>
      <c r="CM37" s="311"/>
      <c r="CO37" s="311"/>
      <c r="EX37" s="10" t="str">
        <f t="shared" si="0"/>
        <v/>
      </c>
    </row>
    <row r="38" spans="5:154" ht="14.25" customHeight="1" x14ac:dyDescent="0.45">
      <c r="Y38" s="577"/>
      <c r="CK38" s="311"/>
      <c r="CM38" s="311"/>
      <c r="CO38" s="311"/>
      <c r="EX38" s="10" t="str">
        <f t="shared" si="0"/>
        <v/>
      </c>
    </row>
    <row r="39" spans="5:154" ht="14.25" customHeight="1" x14ac:dyDescent="0.35">
      <c r="CK39" s="311"/>
      <c r="CM39" s="311"/>
      <c r="CO39" s="311"/>
      <c r="EX39" s="10" t="str">
        <f t="shared" si="0"/>
        <v/>
      </c>
    </row>
    <row r="40" spans="5:154" ht="14.25" customHeight="1" x14ac:dyDescent="0.35">
      <c r="CK40" s="311"/>
      <c r="CM40" s="311"/>
      <c r="CO40" s="311"/>
      <c r="EX40" s="10" t="str">
        <f t="shared" si="0"/>
        <v/>
      </c>
    </row>
    <row r="41" spans="5:154" ht="14.25" customHeight="1" x14ac:dyDescent="0.35">
      <c r="CK41" s="311"/>
      <c r="CM41" s="311"/>
      <c r="CO41" s="311"/>
      <c r="EX41" s="10" t="str">
        <f t="shared" si="0"/>
        <v/>
      </c>
    </row>
    <row r="42" spans="5:154" ht="14.25" customHeight="1" x14ac:dyDescent="0.35">
      <c r="CK42" s="311"/>
      <c r="CM42" s="311"/>
      <c r="CO42" s="311"/>
      <c r="EX42" s="10" t="str">
        <f t="shared" si="0"/>
        <v/>
      </c>
    </row>
    <row r="43" spans="5:154" ht="14.25" customHeight="1" x14ac:dyDescent="0.35">
      <c r="CK43" s="311"/>
      <c r="CM43" s="311"/>
      <c r="CO43" s="311"/>
      <c r="EX43" s="10" t="str">
        <f t="shared" si="0"/>
        <v/>
      </c>
    </row>
    <row r="44" spans="5:154" ht="14.25" customHeight="1" x14ac:dyDescent="0.45">
      <c r="Y44" s="577"/>
      <c r="CK44" s="311"/>
      <c r="CM44" s="311"/>
      <c r="CO44" s="311"/>
      <c r="EX44" s="10" t="str">
        <f t="shared" si="0"/>
        <v/>
      </c>
    </row>
    <row r="45" spans="5:154" ht="14.25" customHeight="1" x14ac:dyDescent="0.35">
      <c r="CK45" s="311"/>
      <c r="CM45" s="311"/>
      <c r="CO45" s="311"/>
      <c r="EX45" s="10" t="str">
        <f t="shared" si="0"/>
        <v/>
      </c>
    </row>
    <row r="46" spans="5:154" ht="14.25" customHeight="1" x14ac:dyDescent="0.35">
      <c r="CK46" s="311"/>
      <c r="CM46" s="311"/>
      <c r="CO46" s="311"/>
      <c r="EX46" s="10" t="str">
        <f t="shared" si="0"/>
        <v/>
      </c>
    </row>
    <row r="47" spans="5:154" ht="14.25" customHeight="1" x14ac:dyDescent="0.35">
      <c r="CK47" s="311"/>
      <c r="CM47" s="311"/>
      <c r="CO47" s="311"/>
      <c r="EX47" s="10" t="str">
        <f t="shared" si="0"/>
        <v/>
      </c>
    </row>
    <row r="48" spans="5:154" ht="14.25" customHeight="1" x14ac:dyDescent="0.35">
      <c r="CK48" s="311"/>
      <c r="CM48" s="311"/>
      <c r="CO48" s="311"/>
      <c r="EX48" s="10" t="str">
        <f t="shared" si="0"/>
        <v/>
      </c>
    </row>
    <row r="49" spans="1:154" ht="8.25" customHeight="1" x14ac:dyDescent="0.35">
      <c r="E49"/>
      <c r="CK49" s="311"/>
      <c r="CM49" s="311"/>
      <c r="CO49" s="311"/>
      <c r="EX49" s="10" t="str">
        <f t="shared" si="0"/>
        <v/>
      </c>
    </row>
    <row r="50" spans="1:154" ht="15.75" customHeight="1" x14ac:dyDescent="0.35">
      <c r="A50" s="34"/>
      <c r="B50" s="34"/>
      <c r="C50" s="34"/>
      <c r="D50" s="34" t="s">
        <v>1811</v>
      </c>
      <c r="E50" s="34"/>
      <c r="F50" s="34"/>
      <c r="G50" s="34"/>
      <c r="H50" s="34"/>
      <c r="I50" s="34"/>
      <c r="J50" s="34"/>
      <c r="K50" s="34"/>
      <c r="L50" s="34"/>
      <c r="M50" s="34"/>
      <c r="N50" s="34"/>
      <c r="O50" s="34"/>
      <c r="P50" s="34"/>
      <c r="Q50" s="34"/>
      <c r="R50" s="34"/>
      <c r="S50" s="34"/>
      <c r="T50" s="34"/>
      <c r="U50" s="34"/>
      <c r="V50" s="34"/>
      <c r="W50" s="34"/>
      <c r="X50" s="34"/>
      <c r="Y50" s="34"/>
      <c r="Z50" s="34"/>
      <c r="AA50" s="34"/>
      <c r="AB50" s="34"/>
      <c r="AC50" s="578"/>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12"/>
      <c r="CM50" s="312"/>
      <c r="CO50" s="311"/>
      <c r="EX50" s="10" t="str">
        <f t="shared" si="0"/>
        <v/>
      </c>
    </row>
    <row r="51" spans="1:154" ht="8.25" customHeight="1" x14ac:dyDescent="0.35">
      <c r="C51" s="210"/>
      <c r="E51"/>
      <c r="CK51" s="311"/>
      <c r="CM51" s="311"/>
      <c r="CO51" s="311"/>
      <c r="EX51" s="10" t="str">
        <f t="shared" si="0"/>
        <v/>
      </c>
    </row>
    <row r="52" spans="1:154" ht="15" customHeight="1" x14ac:dyDescent="0.35">
      <c r="B52" s="85" t="s">
        <v>122</v>
      </c>
      <c r="C52" s="217"/>
      <c r="D52" s="57" t="s">
        <v>1509</v>
      </c>
      <c r="E52"/>
      <c r="V52" s="38">
        <f>'BS Forecasts'!V$10</f>
        <v>0</v>
      </c>
      <c r="W52" s="38">
        <f>'BS Forecasts'!W$10</f>
        <v>1</v>
      </c>
      <c r="X52" s="38">
        <f>'BS Forecasts'!X$10</f>
        <v>1</v>
      </c>
      <c r="Y52" s="38">
        <f>'BS Forecasts'!Y$10</f>
        <v>1</v>
      </c>
      <c r="AA52" s="38">
        <f>'BS Forecasts'!AA$10</f>
        <v>1</v>
      </c>
      <c r="AB52" s="38">
        <f>'BS Forecasts'!AB$10</f>
        <v>1</v>
      </c>
      <c r="AC52" s="38">
        <f>'BS Forecasts'!AC$10</f>
        <v>1</v>
      </c>
      <c r="AD52" s="38">
        <f>'BS Forecasts'!AD$10</f>
        <v>1</v>
      </c>
      <c r="AE52" s="38">
        <f>'BS Forecasts'!AE$10</f>
        <v>1</v>
      </c>
      <c r="AF52" s="38">
        <f>'BS Forecasts'!AF$10</f>
        <v>1</v>
      </c>
      <c r="AG52" s="38">
        <f>'BS Forecasts'!AG$10</f>
        <v>1</v>
      </c>
      <c r="AH52" s="38">
        <f>'BS Forecasts'!AH$10</f>
        <v>1</v>
      </c>
      <c r="AI52" s="38">
        <f>'BS Forecasts'!AI$10</f>
        <v>1</v>
      </c>
      <c r="AJ52" s="38">
        <f>'BS Forecasts'!AJ$10</f>
        <v>1</v>
      </c>
      <c r="AK52" s="38">
        <f>'BS Forecasts'!AK$10</f>
        <v>1</v>
      </c>
      <c r="AL52" s="38">
        <f>'BS Forecasts'!AL$10</f>
        <v>1</v>
      </c>
      <c r="AM52" s="38">
        <f>'BS Forecasts'!AM$10</f>
        <v>1</v>
      </c>
      <c r="AN52" s="38">
        <f>'BS Forecasts'!AN$10</f>
        <v>1</v>
      </c>
      <c r="AO52" s="38">
        <f>'BS Forecasts'!AO$10</f>
        <v>1</v>
      </c>
      <c r="AP52" s="38">
        <f>'BS Forecasts'!AP$10</f>
        <v>1</v>
      </c>
      <c r="AQ52" s="38">
        <f>'BS Forecasts'!AQ$10</f>
        <v>1</v>
      </c>
      <c r="AR52" s="38">
        <f>'BS Forecasts'!AR$10</f>
        <v>1</v>
      </c>
      <c r="AS52" s="38">
        <f>'BS Forecasts'!AS$10</f>
        <v>1</v>
      </c>
      <c r="AT52" s="38">
        <f>'BS Forecasts'!AT$10</f>
        <v>1</v>
      </c>
      <c r="AU52" s="38">
        <f>'BS Forecasts'!AU$10</f>
        <v>1</v>
      </c>
      <c r="AV52" s="38">
        <f>'BS Forecasts'!AV$10</f>
        <v>1</v>
      </c>
      <c r="AW52" s="38">
        <f>'BS Forecasts'!AW$10</f>
        <v>1</v>
      </c>
      <c r="AX52" s="38">
        <f>'BS Forecasts'!AX$10</f>
        <v>1</v>
      </c>
      <c r="AY52" s="38">
        <f>'BS Forecasts'!AY$10</f>
        <v>1</v>
      </c>
      <c r="AZ52" s="38">
        <f>'BS Forecasts'!AZ$10</f>
        <v>1</v>
      </c>
      <c r="BA52" s="38">
        <f>'BS Forecasts'!BA$10</f>
        <v>1</v>
      </c>
      <c r="BB52" s="38">
        <f>'BS Forecasts'!BB$10</f>
        <v>1</v>
      </c>
      <c r="BC52" s="38">
        <f>'BS Forecasts'!BC$10</f>
        <v>1</v>
      </c>
      <c r="BD52" s="38">
        <f>'BS Forecasts'!BD$10</f>
        <v>1</v>
      </c>
      <c r="BE52" s="38">
        <f>'BS Forecasts'!BE$10</f>
        <v>1</v>
      </c>
      <c r="BF52" s="38">
        <f>'BS Forecasts'!BF$10</f>
        <v>1</v>
      </c>
      <c r="BG52" s="38">
        <f>'BS Forecasts'!BG$10</f>
        <v>1</v>
      </c>
      <c r="BH52" s="38">
        <f>'BS Forecasts'!BH$10</f>
        <v>1</v>
      </c>
      <c r="BI52" s="38">
        <f>'BS Forecasts'!BI$10</f>
        <v>1</v>
      </c>
      <c r="BJ52" s="38">
        <f>'BS Forecasts'!BJ$10</f>
        <v>1</v>
      </c>
      <c r="BX52" s="38">
        <f>'BS Forecasts'!BX$10</f>
        <v>0</v>
      </c>
      <c r="BY52" s="38">
        <f>'BS Forecasts'!BY$10</f>
        <v>1</v>
      </c>
      <c r="BZ52" s="38">
        <f>'BS Forecasts'!BZ$10</f>
        <v>1</v>
      </c>
      <c r="CA52" s="38">
        <f>'BS Forecasts'!CA$10</f>
        <v>1</v>
      </c>
      <c r="CB52" s="38">
        <f>'BS Forecasts'!CB$10</f>
        <v>0</v>
      </c>
      <c r="CC52" s="38">
        <f>'BS Forecasts'!CC$10</f>
        <v>0</v>
      </c>
      <c r="CD52" s="38">
        <f>'BS Forecasts'!CD$10</f>
        <v>0</v>
      </c>
      <c r="CE52" s="38">
        <f>'BS Forecasts'!CE$10</f>
        <v>0</v>
      </c>
      <c r="CF52" s="38">
        <f>'BS Forecasts'!CF$10</f>
        <v>0</v>
      </c>
      <c r="CG52" s="38">
        <f>'BS Forecasts'!CG$10</f>
        <v>0</v>
      </c>
      <c r="CH52" s="38">
        <f>'BS Forecasts'!CH$10</f>
        <v>0</v>
      </c>
      <c r="CI52" s="38">
        <f>'BS Forecasts'!CI$10</f>
        <v>0</v>
      </c>
      <c r="CK52" s="312"/>
      <c r="CM52" s="312"/>
      <c r="CO52" s="311"/>
      <c r="EX52" s="10" t="str">
        <f t="shared" si="0"/>
        <v/>
      </c>
    </row>
    <row r="53" spans="1:154" ht="8.25" customHeight="1" x14ac:dyDescent="0.35">
      <c r="C53" s="210"/>
      <c r="E53"/>
      <c r="CK53" s="311"/>
      <c r="CM53" s="311"/>
      <c r="CO53" s="311"/>
      <c r="EX53" s="10"/>
    </row>
    <row r="54" spans="1:154" x14ac:dyDescent="0.35">
      <c r="C54" s="213" t="str">
        <f>'Fin Stat'!C$47</f>
        <v>FS-IE-5</v>
      </c>
      <c r="D54" s="579" t="str">
        <f>'Fin Stat'!D$47</f>
        <v>Surplus/(deficit) after interest, tax, depreciation and amortisation costs</v>
      </c>
      <c r="E54" s="217"/>
      <c r="F54" s="217"/>
      <c r="G54" s="217"/>
      <c r="H54" s="217"/>
      <c r="I54" s="217"/>
      <c r="J54" s="217"/>
      <c r="K54" s="217"/>
      <c r="L54" s="217"/>
      <c r="M54" s="217"/>
      <c r="N54" s="217"/>
      <c r="O54" s="217"/>
      <c r="P54" s="217"/>
      <c r="Q54" s="217"/>
      <c r="R54" s="217"/>
      <c r="S54" s="217"/>
      <c r="T54" s="217"/>
      <c r="U54" s="217"/>
      <c r="V54" s="10">
        <f>'Fin Stat'!V$47</f>
        <v>0</v>
      </c>
      <c r="W54" s="10">
        <f>'Fin Stat'!W$47</f>
        <v>0</v>
      </c>
      <c r="X54" s="10">
        <f>'Fin Stat'!X$47</f>
        <v>0</v>
      </c>
      <c r="Y54" s="10">
        <f>'Fin Stat'!Y$47</f>
        <v>0</v>
      </c>
      <c r="AA54" s="10">
        <f>'Fin Stat'!AA$47</f>
        <v>0</v>
      </c>
      <c r="AB54" s="10">
        <f>'Fin Stat'!AB$47</f>
        <v>0</v>
      </c>
      <c r="AC54" s="10">
        <f>'Fin Stat'!AC$47</f>
        <v>0</v>
      </c>
      <c r="AD54" s="10">
        <f>'Fin Stat'!AD$47</f>
        <v>0</v>
      </c>
      <c r="AE54" s="10">
        <f>'Fin Stat'!AE$47</f>
        <v>0</v>
      </c>
      <c r="AF54" s="10">
        <f>'Fin Stat'!AF$47</f>
        <v>0</v>
      </c>
      <c r="AG54" s="10">
        <f>'Fin Stat'!AG$47</f>
        <v>0</v>
      </c>
      <c r="AH54" s="10">
        <f>'Fin Stat'!AH$47</f>
        <v>0</v>
      </c>
      <c r="AI54" s="10">
        <f>'Fin Stat'!AI$47</f>
        <v>0</v>
      </c>
      <c r="AJ54" s="10">
        <f>'Fin Stat'!AJ$47</f>
        <v>0</v>
      </c>
      <c r="AK54" s="10">
        <f>'Fin Stat'!AK$47</f>
        <v>0</v>
      </c>
      <c r="AL54" s="10">
        <f>'Fin Stat'!AL$47</f>
        <v>0</v>
      </c>
      <c r="AM54" s="10">
        <f>'Fin Stat'!AM$47</f>
        <v>0</v>
      </c>
      <c r="AN54" s="10">
        <f>'Fin Stat'!AN$47</f>
        <v>0</v>
      </c>
      <c r="AO54" s="10">
        <f>'Fin Stat'!AO$47</f>
        <v>0</v>
      </c>
      <c r="AP54" s="10">
        <f>'Fin Stat'!AP$47</f>
        <v>0</v>
      </c>
      <c r="AQ54" s="10">
        <f>'Fin Stat'!AQ$47</f>
        <v>0</v>
      </c>
      <c r="AR54" s="10">
        <f>'Fin Stat'!AR$47</f>
        <v>0</v>
      </c>
      <c r="AS54" s="10">
        <f>'Fin Stat'!AS$47</f>
        <v>0</v>
      </c>
      <c r="AT54" s="10">
        <f>'Fin Stat'!AT$47</f>
        <v>0</v>
      </c>
      <c r="AU54" s="10">
        <f>'Fin Stat'!AU$47</f>
        <v>0</v>
      </c>
      <c r="AV54" s="10">
        <f>'Fin Stat'!AV$47</f>
        <v>0</v>
      </c>
      <c r="AW54" s="10">
        <f>'Fin Stat'!AW$47</f>
        <v>0</v>
      </c>
      <c r="AX54" s="10">
        <f>'Fin Stat'!AX$47</f>
        <v>0</v>
      </c>
      <c r="AY54" s="10">
        <f>'Fin Stat'!AY$47</f>
        <v>0</v>
      </c>
      <c r="AZ54" s="10">
        <f>'Fin Stat'!AZ$47</f>
        <v>0</v>
      </c>
      <c r="BA54" s="10">
        <f>'Fin Stat'!BA$47</f>
        <v>0</v>
      </c>
      <c r="BB54" s="10">
        <f>'Fin Stat'!BB$47</f>
        <v>0</v>
      </c>
      <c r="BC54" s="10">
        <f>'Fin Stat'!BC$47</f>
        <v>0</v>
      </c>
      <c r="BD54" s="10">
        <f>'Fin Stat'!BD$47</f>
        <v>0</v>
      </c>
      <c r="BE54" s="10">
        <f>'Fin Stat'!BE$47</f>
        <v>0</v>
      </c>
      <c r="BF54" s="10">
        <f>'Fin Stat'!BF$47</f>
        <v>0</v>
      </c>
      <c r="BG54" s="10">
        <f>'Fin Stat'!BG$47</f>
        <v>0</v>
      </c>
      <c r="BH54" s="10">
        <f>'Fin Stat'!BH$47</f>
        <v>0</v>
      </c>
      <c r="BI54" s="10">
        <f>'Fin Stat'!BI$47</f>
        <v>0</v>
      </c>
      <c r="BJ54" s="10">
        <f>'Fin Stat'!BJ$47</f>
        <v>0</v>
      </c>
      <c r="BX54" s="10">
        <f>'Fin Stat'!BX$47</f>
        <v>0</v>
      </c>
      <c r="BY54" s="10">
        <f>'Fin Stat'!BY$47</f>
        <v>0</v>
      </c>
      <c r="BZ54" s="10">
        <f>'Fin Stat'!BZ$47</f>
        <v>0</v>
      </c>
      <c r="CA54" s="10">
        <f>'Fin Stat'!CA$47</f>
        <v>0</v>
      </c>
      <c r="CB54" s="10">
        <f>'Fin Stat'!CB$47</f>
        <v>0</v>
      </c>
      <c r="CC54" s="10">
        <f>'Fin Stat'!CC$47</f>
        <v>0</v>
      </c>
      <c r="CD54" s="10">
        <f>'Fin Stat'!CD$47</f>
        <v>0</v>
      </c>
      <c r="CE54" s="10">
        <f>'Fin Stat'!CE$47</f>
        <v>0</v>
      </c>
      <c r="CF54" s="10">
        <f>'Fin Stat'!CF$47</f>
        <v>0</v>
      </c>
      <c r="CG54" s="10">
        <f>'Fin Stat'!CG$47</f>
        <v>0</v>
      </c>
      <c r="CH54" s="10">
        <f>'Fin Stat'!CH$47</f>
        <v>0</v>
      </c>
      <c r="CI54" s="10">
        <f>'Fin Stat'!CI$47</f>
        <v>0</v>
      </c>
      <c r="CK54" s="312"/>
      <c r="CM54" s="312"/>
      <c r="CO54" s="311"/>
      <c r="EX54" s="10" t="str">
        <f>IF($C54="","",$D54)</f>
        <v>Surplus/(deficit) after interest, tax, depreciation and amortisation costs</v>
      </c>
    </row>
    <row r="55" spans="1:154" ht="8.25" customHeight="1" x14ac:dyDescent="0.35">
      <c r="C55" s="213"/>
      <c r="E55"/>
      <c r="CK55" s="311"/>
      <c r="CM55" s="311"/>
      <c r="CO55" s="311"/>
      <c r="EX55" s="10" t="str">
        <f>IF($C55="","",$D55)</f>
        <v/>
      </c>
    </row>
    <row r="56" spans="1:154" x14ac:dyDescent="0.35">
      <c r="C56" s="213" t="str">
        <f>'Fin Stat'!C$151</f>
        <v>IC-1a-1</v>
      </c>
      <c r="D56" s="580" t="str">
        <f>'Fin Stat'!D$151</f>
        <v>Depreciation and amortisation</v>
      </c>
      <c r="E56" s="217"/>
      <c r="F56" s="217"/>
      <c r="G56" s="217"/>
      <c r="H56" s="217"/>
      <c r="I56" s="217"/>
      <c r="J56" s="217"/>
      <c r="K56" s="217"/>
      <c r="L56" s="217"/>
      <c r="M56" s="217"/>
      <c r="N56" s="217"/>
      <c r="O56" s="217"/>
      <c r="P56" s="217"/>
      <c r="Q56" s="217"/>
      <c r="R56" s="217"/>
      <c r="S56" s="217"/>
      <c r="T56" s="217"/>
      <c r="U56" s="217"/>
      <c r="V56" s="10">
        <f>'Fin Stat'!V$151</f>
        <v>0</v>
      </c>
      <c r="W56" s="10">
        <f>'Fin Stat'!W$151</f>
        <v>0</v>
      </c>
      <c r="X56" s="10">
        <f>'Fin Stat'!X$151</f>
        <v>0</v>
      </c>
      <c r="Y56" s="10">
        <f>'Fin Stat'!Y$151</f>
        <v>0</v>
      </c>
      <c r="AA56" s="10">
        <f>'Fin Stat'!AA$151</f>
        <v>0</v>
      </c>
      <c r="AB56" s="10">
        <f>'Fin Stat'!AB$151</f>
        <v>0</v>
      </c>
      <c r="AC56" s="10">
        <f>'Fin Stat'!AC$151</f>
        <v>0</v>
      </c>
      <c r="AD56" s="10">
        <f>'Fin Stat'!AD$151</f>
        <v>0</v>
      </c>
      <c r="AE56" s="10">
        <f>'Fin Stat'!AE$151</f>
        <v>0</v>
      </c>
      <c r="AF56" s="10">
        <f>'Fin Stat'!AF$151</f>
        <v>0</v>
      </c>
      <c r="AG56" s="10">
        <f>'Fin Stat'!AG$151</f>
        <v>0</v>
      </c>
      <c r="AH56" s="10">
        <f>'Fin Stat'!AH$151</f>
        <v>0</v>
      </c>
      <c r="AI56" s="10">
        <f>'Fin Stat'!AI$151</f>
        <v>0</v>
      </c>
      <c r="AJ56" s="10">
        <f>'Fin Stat'!AJ$151</f>
        <v>0</v>
      </c>
      <c r="AK56" s="10">
        <f>'Fin Stat'!AK$151</f>
        <v>0</v>
      </c>
      <c r="AL56" s="10">
        <f>'Fin Stat'!AL$151</f>
        <v>0</v>
      </c>
      <c r="AM56" s="10">
        <f>'Fin Stat'!AM$151</f>
        <v>0</v>
      </c>
      <c r="AN56" s="10">
        <f>'Fin Stat'!AN$151</f>
        <v>0</v>
      </c>
      <c r="AO56" s="10">
        <f>'Fin Stat'!AO$151</f>
        <v>0</v>
      </c>
      <c r="AP56" s="10">
        <f>'Fin Stat'!AP$151</f>
        <v>0</v>
      </c>
      <c r="AQ56" s="10">
        <f>'Fin Stat'!AQ$151</f>
        <v>0</v>
      </c>
      <c r="AR56" s="10">
        <f>'Fin Stat'!AR$151</f>
        <v>0</v>
      </c>
      <c r="AS56" s="10">
        <f>'Fin Stat'!AS$151</f>
        <v>0</v>
      </c>
      <c r="AT56" s="10">
        <f>'Fin Stat'!AT$151</f>
        <v>0</v>
      </c>
      <c r="AU56" s="10">
        <f>'Fin Stat'!AU$151</f>
        <v>0</v>
      </c>
      <c r="AV56" s="10">
        <f>'Fin Stat'!AV$151</f>
        <v>0</v>
      </c>
      <c r="AW56" s="10">
        <f>'Fin Stat'!AW$151</f>
        <v>0</v>
      </c>
      <c r="AX56" s="10">
        <f>'Fin Stat'!AX$151</f>
        <v>0</v>
      </c>
      <c r="AY56" s="10">
        <f>'Fin Stat'!AY$151</f>
        <v>0</v>
      </c>
      <c r="AZ56" s="10">
        <f>'Fin Stat'!AZ$151</f>
        <v>0</v>
      </c>
      <c r="BA56" s="10">
        <f>'Fin Stat'!BA$151</f>
        <v>0</v>
      </c>
      <c r="BB56" s="10">
        <f>'Fin Stat'!BB$151</f>
        <v>0</v>
      </c>
      <c r="BC56" s="10">
        <f>'Fin Stat'!BC$151</f>
        <v>0</v>
      </c>
      <c r="BD56" s="10">
        <f>'Fin Stat'!BD$151</f>
        <v>0</v>
      </c>
      <c r="BE56" s="10">
        <f>'Fin Stat'!BE$151</f>
        <v>0</v>
      </c>
      <c r="BF56" s="10">
        <f>'Fin Stat'!BF$151</f>
        <v>0</v>
      </c>
      <c r="BG56" s="10">
        <f>'Fin Stat'!BG$151</f>
        <v>0</v>
      </c>
      <c r="BH56" s="10">
        <f>'Fin Stat'!BH$151</f>
        <v>0</v>
      </c>
      <c r="BI56" s="10">
        <f>'Fin Stat'!BI$151</f>
        <v>0</v>
      </c>
      <c r="BJ56" s="10">
        <f>'Fin Stat'!BJ$151</f>
        <v>0</v>
      </c>
      <c r="BX56" s="10">
        <f>'Fin Stat'!BX$151</f>
        <v>0</v>
      </c>
      <c r="BY56" s="10">
        <f>'Fin Stat'!BY$151</f>
        <v>0</v>
      </c>
      <c r="BZ56" s="10">
        <f>'Fin Stat'!BZ$151</f>
        <v>0</v>
      </c>
      <c r="CA56" s="10">
        <f>'Fin Stat'!CA$151</f>
        <v>0</v>
      </c>
      <c r="CB56" s="10">
        <f>'Fin Stat'!CB$151</f>
        <v>0</v>
      </c>
      <c r="CC56" s="10">
        <f>'Fin Stat'!CC$151</f>
        <v>0</v>
      </c>
      <c r="CD56" s="10">
        <f>'Fin Stat'!CD$151</f>
        <v>0</v>
      </c>
      <c r="CE56" s="10">
        <f>'Fin Stat'!CE$151</f>
        <v>0</v>
      </c>
      <c r="CF56" s="10">
        <f>'Fin Stat'!CF$151</f>
        <v>0</v>
      </c>
      <c r="CG56" s="10">
        <f>'Fin Stat'!CG$151</f>
        <v>0</v>
      </c>
      <c r="CH56" s="10">
        <f>'Fin Stat'!CH$151</f>
        <v>0</v>
      </c>
      <c r="CI56" s="10">
        <f>'Fin Stat'!CI$151</f>
        <v>0</v>
      </c>
      <c r="CK56" s="312"/>
      <c r="CM56" s="312"/>
      <c r="CO56" s="311"/>
      <c r="EX56" s="10" t="str">
        <f>IF($C56="","",$D56)</f>
        <v>Depreciation and amortisation</v>
      </c>
    </row>
    <row r="57" spans="1:154" x14ac:dyDescent="0.35">
      <c r="C57" s="213" t="s">
        <v>1812</v>
      </c>
      <c r="D57" s="217" t="s">
        <v>1813</v>
      </c>
      <c r="E57" s="217"/>
      <c r="F57" s="217"/>
      <c r="G57" s="217"/>
      <c r="H57" s="217"/>
      <c r="I57" s="217"/>
      <c r="J57" s="217"/>
      <c r="K57" s="217"/>
      <c r="L57" s="217"/>
      <c r="M57" s="217"/>
      <c r="N57" s="217"/>
      <c r="O57" s="217"/>
      <c r="P57" s="217"/>
      <c r="Q57" s="217"/>
      <c r="R57" s="217"/>
      <c r="S57" s="217"/>
      <c r="T57" s="217"/>
      <c r="U57" s="217"/>
      <c r="V57" s="10">
        <f>SUM('Fin Stat'!V$152:V$154)</f>
        <v>0</v>
      </c>
      <c r="W57" s="10">
        <f>SUM('Fin Stat'!W$152:W$154)</f>
        <v>0</v>
      </c>
      <c r="X57" s="10">
        <f>SUM('Fin Stat'!X$152:X$154)</f>
        <v>0</v>
      </c>
      <c r="Y57" s="10">
        <f>SUM('Fin Stat'!Y$152:Y$154)</f>
        <v>0</v>
      </c>
      <c r="AA57" s="10">
        <f>SUM('Fin Stat'!AA$152:AA$154)</f>
        <v>0</v>
      </c>
      <c r="AB57" s="10">
        <f>SUM('Fin Stat'!AB$152:AB$154)</f>
        <v>0</v>
      </c>
      <c r="AC57" s="10">
        <f>SUM('Fin Stat'!AC$152:AC$154)</f>
        <v>0</v>
      </c>
      <c r="AD57" s="10">
        <f>SUM('Fin Stat'!AD$152:AD$154)</f>
        <v>0</v>
      </c>
      <c r="AE57" s="10">
        <f>SUM('Fin Stat'!AE$152:AE$154)</f>
        <v>0</v>
      </c>
      <c r="AF57" s="10">
        <f>SUM('Fin Stat'!AF$152:AF$154)</f>
        <v>0</v>
      </c>
      <c r="AG57" s="10">
        <f>SUM('Fin Stat'!AG$152:AG$154)</f>
        <v>0</v>
      </c>
      <c r="AH57" s="10">
        <f>SUM('Fin Stat'!AH$152:AH$154)</f>
        <v>0</v>
      </c>
      <c r="AI57" s="10">
        <f>SUM('Fin Stat'!AI$152:AI$154)</f>
        <v>0</v>
      </c>
      <c r="AJ57" s="10">
        <f>SUM('Fin Stat'!AJ$152:AJ$154)</f>
        <v>0</v>
      </c>
      <c r="AK57" s="10">
        <f>SUM('Fin Stat'!AK$152:AK$154)</f>
        <v>0</v>
      </c>
      <c r="AL57" s="10">
        <f>SUM('Fin Stat'!AL$152:AL$154)</f>
        <v>0</v>
      </c>
      <c r="AM57" s="10">
        <f>SUM('Fin Stat'!AM$152:AM$154)</f>
        <v>0</v>
      </c>
      <c r="AN57" s="10">
        <f>SUM('Fin Stat'!AN$152:AN$154)</f>
        <v>0</v>
      </c>
      <c r="AO57" s="10">
        <f>SUM('Fin Stat'!AO$152:AO$154)</f>
        <v>0</v>
      </c>
      <c r="AP57" s="10">
        <f>SUM('Fin Stat'!AP$152:AP$154)</f>
        <v>0</v>
      </c>
      <c r="AQ57" s="10">
        <f>SUM('Fin Stat'!AQ$152:AQ$154)</f>
        <v>0</v>
      </c>
      <c r="AR57" s="10">
        <f>SUM('Fin Stat'!AR$152:AR$154)</f>
        <v>0</v>
      </c>
      <c r="AS57" s="10">
        <f>SUM('Fin Stat'!AS$152:AS$154)</f>
        <v>0</v>
      </c>
      <c r="AT57" s="10">
        <f>SUM('Fin Stat'!AT$152:AT$154)</f>
        <v>0</v>
      </c>
      <c r="AU57" s="10">
        <f>SUM('Fin Stat'!AU$152:AU$154)</f>
        <v>0</v>
      </c>
      <c r="AV57" s="10">
        <f>SUM('Fin Stat'!AV$152:AV$154)</f>
        <v>0</v>
      </c>
      <c r="AW57" s="10">
        <f>SUM('Fin Stat'!AW$152:AW$154)</f>
        <v>0</v>
      </c>
      <c r="AX57" s="10">
        <f>SUM('Fin Stat'!AX$152:AX$154)</f>
        <v>0</v>
      </c>
      <c r="AY57" s="10">
        <f>SUM('Fin Stat'!AY$152:AY$154)</f>
        <v>0</v>
      </c>
      <c r="AZ57" s="10">
        <f>SUM('Fin Stat'!AZ$152:AZ$154)</f>
        <v>0</v>
      </c>
      <c r="BA57" s="10">
        <f>SUM('Fin Stat'!BA$152:BA$154)</f>
        <v>0</v>
      </c>
      <c r="BB57" s="10">
        <f>SUM('Fin Stat'!BB$152:BB$154)</f>
        <v>0</v>
      </c>
      <c r="BC57" s="10">
        <f>SUM('Fin Stat'!BC$152:BC$154)</f>
        <v>0</v>
      </c>
      <c r="BD57" s="10">
        <f>SUM('Fin Stat'!BD$152:BD$154)</f>
        <v>0</v>
      </c>
      <c r="BE57" s="10">
        <f>SUM('Fin Stat'!BE$152:BE$154)</f>
        <v>0</v>
      </c>
      <c r="BF57" s="10">
        <f>SUM('Fin Stat'!BF$152:BF$154)</f>
        <v>0</v>
      </c>
      <c r="BG57" s="10">
        <f>SUM('Fin Stat'!BG$152:BG$154)</f>
        <v>0</v>
      </c>
      <c r="BH57" s="10">
        <f>SUM('Fin Stat'!BH$152:BH$154)</f>
        <v>0</v>
      </c>
      <c r="BI57" s="10">
        <f>SUM('Fin Stat'!BI$152:BI$154)</f>
        <v>0</v>
      </c>
      <c r="BJ57" s="10">
        <f>SUM('Fin Stat'!BJ$152:BJ$154)</f>
        <v>0</v>
      </c>
      <c r="BX57" s="10">
        <f>SUM('Fin Stat'!BX$152:BX$154)</f>
        <v>0</v>
      </c>
      <c r="BY57" s="10">
        <f>SUM('Fin Stat'!BY$152:BY$154)</f>
        <v>0</v>
      </c>
      <c r="BZ57" s="10">
        <f>SUM('Fin Stat'!BZ$152:BZ$154)</f>
        <v>0</v>
      </c>
      <c r="CA57" s="10">
        <f>SUM('Fin Stat'!CA$152:CA$154)</f>
        <v>0</v>
      </c>
      <c r="CB57" s="10">
        <f>SUM('Fin Stat'!CB$152:CB$154)</f>
        <v>0</v>
      </c>
      <c r="CC57" s="10">
        <f>SUM('Fin Stat'!CC$152:CC$154)</f>
        <v>0</v>
      </c>
      <c r="CD57" s="10">
        <f>SUM('Fin Stat'!CD$152:CD$154)</f>
        <v>0</v>
      </c>
      <c r="CE57" s="10">
        <f>SUM('Fin Stat'!CE$152:CE$154)</f>
        <v>0</v>
      </c>
      <c r="CF57" s="10">
        <f>SUM('Fin Stat'!CF$152:CF$154)</f>
        <v>0</v>
      </c>
      <c r="CG57" s="10">
        <f>SUM('Fin Stat'!CG$152:CG$154)</f>
        <v>0</v>
      </c>
      <c r="CH57" s="10">
        <f>SUM('Fin Stat'!CH$152:CH$154)</f>
        <v>0</v>
      </c>
      <c r="CI57" s="10">
        <f>SUM('Fin Stat'!CI$152:CI$154)</f>
        <v>0</v>
      </c>
      <c r="CK57" s="312"/>
      <c r="CM57" s="312"/>
      <c r="CO57" s="311"/>
      <c r="EX57" s="10" t="str">
        <f>IF($C57="","",$D57)</f>
        <v>Pension Provisions cash adjustments</v>
      </c>
    </row>
    <row r="58" spans="1:154" x14ac:dyDescent="0.35">
      <c r="C58" s="213" t="str">
        <f>'Fin Stat'!C$155</f>
        <v>IC-1a-3</v>
      </c>
      <c r="D58" s="217" t="str">
        <f>'Fin Stat'!D$155</f>
        <v>Release of deferred capital grants</v>
      </c>
      <c r="E58" s="217"/>
      <c r="F58" s="217"/>
      <c r="G58" s="217"/>
      <c r="H58" s="217"/>
      <c r="I58" s="217"/>
      <c r="J58" s="217"/>
      <c r="K58" s="217"/>
      <c r="L58" s="217"/>
      <c r="M58" s="217"/>
      <c r="N58" s="217"/>
      <c r="O58" s="217"/>
      <c r="P58" s="217"/>
      <c r="Q58" s="217"/>
      <c r="R58" s="217"/>
      <c r="S58" s="217"/>
      <c r="T58" s="217"/>
      <c r="U58" s="217"/>
      <c r="V58" s="10">
        <f>'Fin Stat'!V$155</f>
        <v>0</v>
      </c>
      <c r="W58" s="10">
        <f>'Fin Stat'!W$155</f>
        <v>0</v>
      </c>
      <c r="X58" s="10">
        <f>'Fin Stat'!X$155</f>
        <v>0</v>
      </c>
      <c r="Y58" s="10">
        <f>'Fin Stat'!Y$155</f>
        <v>0</v>
      </c>
      <c r="AA58" s="10">
        <f>'Fin Stat'!AA$155</f>
        <v>0</v>
      </c>
      <c r="AB58" s="10">
        <f>'Fin Stat'!AB$155</f>
        <v>0</v>
      </c>
      <c r="AC58" s="10">
        <f>'Fin Stat'!AC$155</f>
        <v>0</v>
      </c>
      <c r="AD58" s="10">
        <f>'Fin Stat'!AD$155</f>
        <v>0</v>
      </c>
      <c r="AE58" s="10">
        <f>'Fin Stat'!AE$155</f>
        <v>0</v>
      </c>
      <c r="AF58" s="10">
        <f>'Fin Stat'!AF$155</f>
        <v>0</v>
      </c>
      <c r="AG58" s="10">
        <f>'Fin Stat'!AG$155</f>
        <v>0</v>
      </c>
      <c r="AH58" s="10">
        <f>'Fin Stat'!AH$155</f>
        <v>0</v>
      </c>
      <c r="AI58" s="10">
        <f>'Fin Stat'!AI$155</f>
        <v>0</v>
      </c>
      <c r="AJ58" s="10">
        <f>'Fin Stat'!AJ$155</f>
        <v>0</v>
      </c>
      <c r="AK58" s="10">
        <f>'Fin Stat'!AK$155</f>
        <v>0</v>
      </c>
      <c r="AL58" s="10">
        <f>'Fin Stat'!AL$155</f>
        <v>0</v>
      </c>
      <c r="AM58" s="10">
        <f>'Fin Stat'!AM$155</f>
        <v>0</v>
      </c>
      <c r="AN58" s="10">
        <f>'Fin Stat'!AN$155</f>
        <v>0</v>
      </c>
      <c r="AO58" s="10">
        <f>'Fin Stat'!AO$155</f>
        <v>0</v>
      </c>
      <c r="AP58" s="10">
        <f>'Fin Stat'!AP$155</f>
        <v>0</v>
      </c>
      <c r="AQ58" s="10">
        <f>'Fin Stat'!AQ$155</f>
        <v>0</v>
      </c>
      <c r="AR58" s="10">
        <f>'Fin Stat'!AR$155</f>
        <v>0</v>
      </c>
      <c r="AS58" s="10">
        <f>'Fin Stat'!AS$155</f>
        <v>0</v>
      </c>
      <c r="AT58" s="10">
        <f>'Fin Stat'!AT$155</f>
        <v>0</v>
      </c>
      <c r="AU58" s="10">
        <f>'Fin Stat'!AU$155</f>
        <v>0</v>
      </c>
      <c r="AV58" s="10">
        <f>'Fin Stat'!AV$155</f>
        <v>0</v>
      </c>
      <c r="AW58" s="10">
        <f>'Fin Stat'!AW$155</f>
        <v>0</v>
      </c>
      <c r="AX58" s="10">
        <f>'Fin Stat'!AX$155</f>
        <v>0</v>
      </c>
      <c r="AY58" s="10">
        <f>'Fin Stat'!AY$155</f>
        <v>0</v>
      </c>
      <c r="AZ58" s="10">
        <f>'Fin Stat'!AZ$155</f>
        <v>0</v>
      </c>
      <c r="BA58" s="10">
        <f>'Fin Stat'!BA$155</f>
        <v>0</v>
      </c>
      <c r="BB58" s="10">
        <f>'Fin Stat'!BB$155</f>
        <v>0</v>
      </c>
      <c r="BC58" s="10">
        <f>'Fin Stat'!BC$155</f>
        <v>0</v>
      </c>
      <c r="BD58" s="10">
        <f>'Fin Stat'!BD$155</f>
        <v>0</v>
      </c>
      <c r="BE58" s="10">
        <f>'Fin Stat'!BE$155</f>
        <v>0</v>
      </c>
      <c r="BF58" s="10">
        <f>'Fin Stat'!BF$155</f>
        <v>0</v>
      </c>
      <c r="BG58" s="10">
        <f>'Fin Stat'!BG$155</f>
        <v>0</v>
      </c>
      <c r="BH58" s="10">
        <f>'Fin Stat'!BH$155</f>
        <v>0</v>
      </c>
      <c r="BI58" s="10">
        <f>'Fin Stat'!BI$155</f>
        <v>0</v>
      </c>
      <c r="BJ58" s="10">
        <f>'Fin Stat'!BJ$155</f>
        <v>0</v>
      </c>
      <c r="BX58" s="10">
        <f>'Fin Stat'!BX$155</f>
        <v>0</v>
      </c>
      <c r="BY58" s="10">
        <f>'Fin Stat'!BY$155</f>
        <v>0</v>
      </c>
      <c r="BZ58" s="10">
        <f>'Fin Stat'!BZ$155</f>
        <v>0</v>
      </c>
      <c r="CA58" s="10">
        <f>'Fin Stat'!CA$155</f>
        <v>0</v>
      </c>
      <c r="CB58" s="10">
        <f>'Fin Stat'!CB$155</f>
        <v>0</v>
      </c>
      <c r="CC58" s="10">
        <f>'Fin Stat'!CC$155</f>
        <v>0</v>
      </c>
      <c r="CD58" s="10">
        <f>'Fin Stat'!CD$155</f>
        <v>0</v>
      </c>
      <c r="CE58" s="10">
        <f>'Fin Stat'!CE$155</f>
        <v>0</v>
      </c>
      <c r="CF58" s="10">
        <f>'Fin Stat'!CF$155</f>
        <v>0</v>
      </c>
      <c r="CG58" s="10">
        <f>'Fin Stat'!CG$155</f>
        <v>0</v>
      </c>
      <c r="CH58" s="10">
        <f>'Fin Stat'!CH$155</f>
        <v>0</v>
      </c>
      <c r="CI58" s="10">
        <f>'Fin Stat'!CI$155</f>
        <v>0</v>
      </c>
      <c r="CK58" s="312"/>
      <c r="CM58" s="312"/>
      <c r="CO58" s="311"/>
      <c r="EX58" s="10"/>
    </row>
    <row r="59" spans="1:154" x14ac:dyDescent="0.35">
      <c r="C59" s="213" t="s">
        <v>1814</v>
      </c>
      <c r="D59" s="217" t="s">
        <v>1815</v>
      </c>
      <c r="E59" s="217"/>
      <c r="F59" s="217"/>
      <c r="G59" s="217"/>
      <c r="H59" s="217"/>
      <c r="I59" s="217"/>
      <c r="J59" s="217"/>
      <c r="K59" s="217"/>
      <c r="L59" s="217"/>
      <c r="M59" s="217"/>
      <c r="N59" s="217"/>
      <c r="O59" s="217"/>
      <c r="P59" s="217"/>
      <c r="Q59" s="217"/>
      <c r="R59" s="217"/>
      <c r="S59" s="217"/>
      <c r="T59" s="217"/>
      <c r="U59" s="217"/>
      <c r="V59" s="10">
        <f>SUM('Fin Stat'!V156:V157)</f>
        <v>0</v>
      </c>
      <c r="W59" s="10">
        <f>SUM('Fin Stat'!W156:W157)</f>
        <v>0</v>
      </c>
      <c r="X59" s="10">
        <f>SUM('Fin Stat'!X156:X157)</f>
        <v>0</v>
      </c>
      <c r="Y59" s="10">
        <f>SUM('Fin Stat'!Y156:Y157)</f>
        <v>0</v>
      </c>
      <c r="AA59" s="10">
        <f>SUM('Fin Stat'!AA156:AA157)</f>
        <v>0</v>
      </c>
      <c r="AB59" s="10">
        <f>SUM('Fin Stat'!AB156:AB157)</f>
        <v>0</v>
      </c>
      <c r="AC59" s="10">
        <f>SUM('Fin Stat'!AC156:AC157)</f>
        <v>0</v>
      </c>
      <c r="AD59" s="10">
        <f>SUM('Fin Stat'!AD156:AD157)</f>
        <v>0</v>
      </c>
      <c r="AE59" s="10">
        <f>SUM('Fin Stat'!AE156:AE157)</f>
        <v>0</v>
      </c>
      <c r="AF59" s="10">
        <f>SUM('Fin Stat'!AF156:AF157)</f>
        <v>0</v>
      </c>
      <c r="AG59" s="10">
        <f>SUM('Fin Stat'!AG156:AG157)</f>
        <v>0</v>
      </c>
      <c r="AH59" s="10">
        <f>SUM('Fin Stat'!AH156:AH157)</f>
        <v>0</v>
      </c>
      <c r="AI59" s="10">
        <f>SUM('Fin Stat'!AI156:AI157)</f>
        <v>0</v>
      </c>
      <c r="AJ59" s="10">
        <f>SUM('Fin Stat'!AJ156:AJ157)</f>
        <v>0</v>
      </c>
      <c r="AK59" s="10">
        <f>SUM('Fin Stat'!AK156:AK157)</f>
        <v>0</v>
      </c>
      <c r="AL59" s="10">
        <f>SUM('Fin Stat'!AL156:AL157)</f>
        <v>0</v>
      </c>
      <c r="AM59" s="10">
        <f>SUM('Fin Stat'!AM156:AM157)</f>
        <v>0</v>
      </c>
      <c r="AN59" s="10">
        <f>SUM('Fin Stat'!AN156:AN157)</f>
        <v>0</v>
      </c>
      <c r="AO59" s="10">
        <f>SUM('Fin Stat'!AO156:AO157)</f>
        <v>0</v>
      </c>
      <c r="AP59" s="10">
        <f>SUM('Fin Stat'!AP156:AP157)</f>
        <v>0</v>
      </c>
      <c r="AQ59" s="10">
        <f>SUM('Fin Stat'!AQ156:AQ157)</f>
        <v>0</v>
      </c>
      <c r="AR59" s="10">
        <f>SUM('Fin Stat'!AR156:AR157)</f>
        <v>0</v>
      </c>
      <c r="AS59" s="10">
        <f>SUM('Fin Stat'!AS156:AS157)</f>
        <v>0</v>
      </c>
      <c r="AT59" s="10">
        <f>SUM('Fin Stat'!AT156:AT157)</f>
        <v>0</v>
      </c>
      <c r="AU59" s="10">
        <f>SUM('Fin Stat'!AU156:AU157)</f>
        <v>0</v>
      </c>
      <c r="AV59" s="10">
        <f>SUM('Fin Stat'!AV156:AV157)</f>
        <v>0</v>
      </c>
      <c r="AW59" s="10">
        <f>SUM('Fin Stat'!AW156:AW157)</f>
        <v>0</v>
      </c>
      <c r="AX59" s="10">
        <f>SUM('Fin Stat'!AX156:AX157)</f>
        <v>0</v>
      </c>
      <c r="AY59" s="10">
        <f>SUM('Fin Stat'!AY156:AY157)</f>
        <v>0</v>
      </c>
      <c r="AZ59" s="10">
        <f>SUM('Fin Stat'!AZ156:AZ157)</f>
        <v>0</v>
      </c>
      <c r="BA59" s="10">
        <f>SUM('Fin Stat'!BA156:BA157)</f>
        <v>0</v>
      </c>
      <c r="BB59" s="10">
        <f>SUM('Fin Stat'!BB156:BB157)</f>
        <v>0</v>
      </c>
      <c r="BC59" s="10">
        <f>SUM('Fin Stat'!BC156:BC157)</f>
        <v>0</v>
      </c>
      <c r="BD59" s="10">
        <f>SUM('Fin Stat'!BD156:BD157)</f>
        <v>0</v>
      </c>
      <c r="BE59" s="10">
        <f>SUM('Fin Stat'!BE156:BE157)</f>
        <v>0</v>
      </c>
      <c r="BF59" s="10">
        <f>SUM('Fin Stat'!BF156:BF157)</f>
        <v>0</v>
      </c>
      <c r="BG59" s="10">
        <f>SUM('Fin Stat'!BG156:BG157)</f>
        <v>0</v>
      </c>
      <c r="BH59" s="10">
        <f>SUM('Fin Stat'!BH156:BH157)</f>
        <v>0</v>
      </c>
      <c r="BI59" s="10">
        <f>SUM('Fin Stat'!BI156:BI157)</f>
        <v>0</v>
      </c>
      <c r="BJ59" s="10">
        <f>SUM('Fin Stat'!BJ156:BJ157)</f>
        <v>0</v>
      </c>
      <c r="BX59" s="10">
        <f>SUM('Fin Stat'!BX156:BX157)</f>
        <v>0</v>
      </c>
      <c r="BY59" s="10">
        <f>SUM('Fin Stat'!BY156:BY157)</f>
        <v>0</v>
      </c>
      <c r="BZ59" s="10">
        <f>SUM('Fin Stat'!BZ156:BZ157)</f>
        <v>0</v>
      </c>
      <c r="CA59" s="10">
        <f>SUM('Fin Stat'!CA156:CA157)</f>
        <v>0</v>
      </c>
      <c r="CB59" s="10">
        <f>SUM('Fin Stat'!CB156:CB157)</f>
        <v>0</v>
      </c>
      <c r="CC59" s="10">
        <f>SUM('Fin Stat'!CC156:CC157)</f>
        <v>0</v>
      </c>
      <c r="CD59" s="10">
        <f>SUM('Fin Stat'!CD156:CD157)</f>
        <v>0</v>
      </c>
      <c r="CE59" s="10">
        <f>SUM('Fin Stat'!CE156:CE157)</f>
        <v>0</v>
      </c>
      <c r="CF59" s="10">
        <f>SUM('Fin Stat'!CF156:CF157)</f>
        <v>0</v>
      </c>
      <c r="CG59" s="10">
        <f>SUM('Fin Stat'!CG156:CG157)</f>
        <v>0</v>
      </c>
      <c r="CH59" s="10">
        <f>SUM('Fin Stat'!CH156:CH157)</f>
        <v>0</v>
      </c>
      <c r="CI59" s="10">
        <f>SUM('Fin Stat'!CI156:CI157)</f>
        <v>0</v>
      </c>
      <c r="CK59" s="312"/>
      <c r="CM59" s="312"/>
      <c r="CO59" s="311"/>
      <c r="EX59" s="10" t="str">
        <f t="shared" ref="EX59:EX75" si="1">IF($C59="","",$D59)</f>
        <v>Other non-cash adjustments</v>
      </c>
    </row>
    <row r="60" spans="1:154" ht="8.25" customHeight="1" x14ac:dyDescent="0.35">
      <c r="C60" s="213"/>
      <c r="E60"/>
      <c r="CK60" s="311"/>
      <c r="CM60" s="311"/>
      <c r="CO60" s="311"/>
      <c r="EX60" s="10" t="str">
        <f t="shared" si="1"/>
        <v/>
      </c>
    </row>
    <row r="61" spans="1:154" x14ac:dyDescent="0.35">
      <c r="C61" s="213" t="s">
        <v>1816</v>
      </c>
      <c r="D61" s="217" t="s">
        <v>1817</v>
      </c>
      <c r="E61" s="217"/>
      <c r="F61" s="217"/>
      <c r="G61" s="217"/>
      <c r="H61" s="217"/>
      <c r="I61" s="217"/>
      <c r="J61" s="217"/>
      <c r="K61" s="217"/>
      <c r="L61" s="217"/>
      <c r="M61" s="217"/>
      <c r="N61" s="217"/>
      <c r="O61" s="217"/>
      <c r="P61" s="217"/>
      <c r="Q61" s="217"/>
      <c r="R61" s="217"/>
      <c r="S61" s="217"/>
      <c r="T61" s="217"/>
      <c r="U61" s="217"/>
      <c r="V61" s="10">
        <f>SUM('Fin Stat'!V$161:V$164)</f>
        <v>0</v>
      </c>
      <c r="W61" s="10">
        <f>SUM('Fin Stat'!W$161:W$164)</f>
        <v>0</v>
      </c>
      <c r="X61" s="10">
        <f>SUM('Fin Stat'!X$161:X$164)</f>
        <v>0</v>
      </c>
      <c r="Y61" s="10">
        <f>SUM('Fin Stat'!Y$161:Y$164)</f>
        <v>0</v>
      </c>
      <c r="AA61" s="10">
        <f>SUM('Fin Stat'!AA$161:AA$164)</f>
        <v>0</v>
      </c>
      <c r="AB61" s="10">
        <f>SUM('Fin Stat'!AB$161:AB$164)</f>
        <v>0</v>
      </c>
      <c r="AC61" s="10">
        <f>SUM('Fin Stat'!AC$161:AC$164)</f>
        <v>0</v>
      </c>
      <c r="AD61" s="10">
        <f>SUM('Fin Stat'!AD$161:AD$164)</f>
        <v>0</v>
      </c>
      <c r="AE61" s="10">
        <f>SUM('Fin Stat'!AE$161:AE$164)</f>
        <v>0</v>
      </c>
      <c r="AF61" s="10">
        <f>SUM('Fin Stat'!AF$161:AF$164)</f>
        <v>0</v>
      </c>
      <c r="AG61" s="10">
        <f>SUM('Fin Stat'!AG$161:AG$164)</f>
        <v>0</v>
      </c>
      <c r="AH61" s="10">
        <f>SUM('Fin Stat'!AH$161:AH$164)</f>
        <v>0</v>
      </c>
      <c r="AI61" s="10">
        <f>SUM('Fin Stat'!AI$161:AI$164)</f>
        <v>0</v>
      </c>
      <c r="AJ61" s="10">
        <f>SUM('Fin Stat'!AJ$161:AJ$164)</f>
        <v>0</v>
      </c>
      <c r="AK61" s="10">
        <f>SUM('Fin Stat'!AK$161:AK$164)</f>
        <v>0</v>
      </c>
      <c r="AL61" s="10">
        <f>SUM('Fin Stat'!AL$161:AL$164)</f>
        <v>0</v>
      </c>
      <c r="AM61" s="10">
        <f>SUM('Fin Stat'!AM$161:AM$164)</f>
        <v>0</v>
      </c>
      <c r="AN61" s="10">
        <f>SUM('Fin Stat'!AN$161:AN$164)</f>
        <v>0</v>
      </c>
      <c r="AO61" s="10">
        <f>SUM('Fin Stat'!AO$161:AO$164)</f>
        <v>0</v>
      </c>
      <c r="AP61" s="10">
        <f>SUM('Fin Stat'!AP$161:AP$164)</f>
        <v>0</v>
      </c>
      <c r="AQ61" s="10">
        <f>SUM('Fin Stat'!AQ$161:AQ$164)</f>
        <v>0</v>
      </c>
      <c r="AR61" s="10">
        <f>SUM('Fin Stat'!AR$161:AR$164)</f>
        <v>0</v>
      </c>
      <c r="AS61" s="10">
        <f>SUM('Fin Stat'!AS$161:AS$164)</f>
        <v>0</v>
      </c>
      <c r="AT61" s="10">
        <f>SUM('Fin Stat'!AT$161:AT$164)</f>
        <v>0</v>
      </c>
      <c r="AU61" s="10">
        <f>SUM('Fin Stat'!AU$161:AU$164)</f>
        <v>0</v>
      </c>
      <c r="AV61" s="10">
        <f>SUM('Fin Stat'!AV$161:AV$164)</f>
        <v>0</v>
      </c>
      <c r="AW61" s="10">
        <f>SUM('Fin Stat'!AW$161:AW$164)</f>
        <v>0</v>
      </c>
      <c r="AX61" s="10">
        <f>SUM('Fin Stat'!AX$161:AX$164)</f>
        <v>0</v>
      </c>
      <c r="AY61" s="10">
        <f>SUM('Fin Stat'!AY$161:AY$164)</f>
        <v>0</v>
      </c>
      <c r="AZ61" s="10">
        <f>SUM('Fin Stat'!AZ$161:AZ$164)</f>
        <v>0</v>
      </c>
      <c r="BA61" s="10">
        <f>SUM('Fin Stat'!BA$161:BA$164)</f>
        <v>0</v>
      </c>
      <c r="BB61" s="10">
        <f>SUM('Fin Stat'!BB$161:BB$164)</f>
        <v>0</v>
      </c>
      <c r="BC61" s="10">
        <f>SUM('Fin Stat'!BC$161:BC$164)</f>
        <v>0</v>
      </c>
      <c r="BD61" s="10">
        <f>SUM('Fin Stat'!BD$161:BD$164)</f>
        <v>0</v>
      </c>
      <c r="BE61" s="10">
        <f>SUM('Fin Stat'!BE$161:BE$164)</f>
        <v>0</v>
      </c>
      <c r="BF61" s="10">
        <f>SUM('Fin Stat'!BF$161:BF$164)</f>
        <v>0</v>
      </c>
      <c r="BG61" s="10">
        <f>SUM('Fin Stat'!BG$161:BG$164)</f>
        <v>0</v>
      </c>
      <c r="BH61" s="10">
        <f>SUM('Fin Stat'!BH$161:BH$164)</f>
        <v>0</v>
      </c>
      <c r="BI61" s="10">
        <f>SUM('Fin Stat'!BI$161:BI$164)</f>
        <v>0</v>
      </c>
      <c r="BJ61" s="10">
        <f>SUM('Fin Stat'!BJ$161:BJ$164)</f>
        <v>0</v>
      </c>
      <c r="BK61" s="10">
        <f>SUM('Fin Stat'!BK$161:BK$164)</f>
        <v>0</v>
      </c>
      <c r="BL61" s="10">
        <f>SUM('Fin Stat'!BL$161:BL$164)</f>
        <v>0</v>
      </c>
      <c r="BM61" s="10">
        <f>SUM('Fin Stat'!BM$161:BM$164)</f>
        <v>0</v>
      </c>
      <c r="BN61" s="10">
        <f>SUM('Fin Stat'!BN$161:BN$164)</f>
        <v>0</v>
      </c>
      <c r="BO61" s="10">
        <f>SUM('Fin Stat'!BO$161:BO$164)</f>
        <v>0</v>
      </c>
      <c r="BP61" s="10">
        <f>SUM('Fin Stat'!BP$161:BP$164)</f>
        <v>0</v>
      </c>
      <c r="BQ61" s="10">
        <f>SUM('Fin Stat'!BQ$161:BQ$164)</f>
        <v>0</v>
      </c>
      <c r="BR61" s="10">
        <f>SUM('Fin Stat'!BR$161:BR$164)</f>
        <v>0</v>
      </c>
      <c r="BS61" s="10">
        <f>SUM('Fin Stat'!BS$161:BS$164)</f>
        <v>0</v>
      </c>
      <c r="BT61" s="10">
        <f>SUM('Fin Stat'!BT$161:BT$164)</f>
        <v>0</v>
      </c>
      <c r="BU61" s="10">
        <f>SUM('Fin Stat'!BU$161:BU$164)</f>
        <v>0</v>
      </c>
      <c r="BV61" s="10">
        <f>SUM('Fin Stat'!BV$161:BV$164)</f>
        <v>0</v>
      </c>
      <c r="BX61" s="10">
        <f>SUM('Fin Stat'!BX$161:BX$164)</f>
        <v>0</v>
      </c>
      <c r="BY61" s="10">
        <f>SUM('Fin Stat'!BY$161:BY$164)</f>
        <v>0</v>
      </c>
      <c r="BZ61" s="10">
        <f>SUM('Fin Stat'!BZ$161:BZ$164)</f>
        <v>0</v>
      </c>
      <c r="CA61" s="10">
        <f>SUM('Fin Stat'!CA$161:CA$164)</f>
        <v>0</v>
      </c>
      <c r="CB61" s="10">
        <f>SUM('Fin Stat'!CB$161:CB$164)</f>
        <v>0</v>
      </c>
      <c r="CC61" s="10">
        <f>SUM('Fin Stat'!CC$161:CC$164)</f>
        <v>0</v>
      </c>
      <c r="CD61" s="10">
        <f>SUM('Fin Stat'!CD$161:CD$164)</f>
        <v>0</v>
      </c>
      <c r="CE61" s="10">
        <f>SUM('Fin Stat'!CE$161:CE$164)</f>
        <v>0</v>
      </c>
      <c r="CF61" s="10">
        <f>SUM('Fin Stat'!CF$161:CF$164)</f>
        <v>0</v>
      </c>
      <c r="CG61" s="10">
        <f>SUM('Fin Stat'!CG$161:CG$164)</f>
        <v>0</v>
      </c>
      <c r="CH61" s="10">
        <f>SUM('Fin Stat'!CH$161:CH$164)</f>
        <v>0</v>
      </c>
      <c r="CI61" s="10">
        <f>SUM('Fin Stat'!CI$161:CI$164)</f>
        <v>0</v>
      </c>
      <c r="CK61" s="312"/>
      <c r="CM61" s="312"/>
      <c r="CO61" s="311"/>
      <c r="EX61" s="10" t="str">
        <f t="shared" si="1"/>
        <v>Movement in Working Capital</v>
      </c>
    </row>
    <row r="62" spans="1:154" x14ac:dyDescent="0.35">
      <c r="C62" s="213" t="s">
        <v>1818</v>
      </c>
      <c r="D62" s="217" t="s">
        <v>1819</v>
      </c>
      <c r="E62" s="217"/>
      <c r="F62" s="217"/>
      <c r="G62" s="217"/>
      <c r="H62" s="217"/>
      <c r="I62" s="217"/>
      <c r="J62" s="217"/>
      <c r="K62" s="217"/>
      <c r="L62" s="217"/>
      <c r="M62" s="217"/>
      <c r="N62" s="217"/>
      <c r="O62" s="217"/>
      <c r="P62" s="217"/>
      <c r="Q62" s="217"/>
      <c r="R62" s="217"/>
      <c r="S62" s="217"/>
      <c r="T62" s="217"/>
      <c r="U62" s="217"/>
      <c r="V62" s="10">
        <f>SUM('Fin Stat'!V$165:V$166)</f>
        <v>0</v>
      </c>
      <c r="W62" s="10">
        <f>SUM('Fin Stat'!W$165:W$166)</f>
        <v>0</v>
      </c>
      <c r="X62" s="10">
        <f>SUM('Fin Stat'!X$165:X$166)</f>
        <v>0</v>
      </c>
      <c r="Y62" s="10">
        <f>SUM('Fin Stat'!Y$165:Y$166)</f>
        <v>0</v>
      </c>
      <c r="AA62" s="10">
        <f>SUM('Fin Stat'!AA$165:AA$166)</f>
        <v>0</v>
      </c>
      <c r="AB62" s="10">
        <f>SUM('Fin Stat'!AB$165:AB$166)</f>
        <v>0</v>
      </c>
      <c r="AC62" s="10">
        <f>SUM('Fin Stat'!AC$165:AC$166)</f>
        <v>0</v>
      </c>
      <c r="AD62" s="10">
        <f>SUM('Fin Stat'!AD$165:AD$166)</f>
        <v>0</v>
      </c>
      <c r="AE62" s="10">
        <f>SUM('Fin Stat'!AE$165:AE$166)</f>
        <v>0</v>
      </c>
      <c r="AF62" s="10">
        <f>SUM('Fin Stat'!AF$165:AF$166)</f>
        <v>0</v>
      </c>
      <c r="AG62" s="10">
        <f>SUM('Fin Stat'!AG$165:AG$166)</f>
        <v>0</v>
      </c>
      <c r="AH62" s="10">
        <f>SUM('Fin Stat'!AH$165:AH$166)</f>
        <v>0</v>
      </c>
      <c r="AI62" s="10">
        <f>SUM('Fin Stat'!AI$165:AI$166)</f>
        <v>0</v>
      </c>
      <c r="AJ62" s="10">
        <f>SUM('Fin Stat'!AJ$165:AJ$166)</f>
        <v>0</v>
      </c>
      <c r="AK62" s="10">
        <f>SUM('Fin Stat'!AK$165:AK$166)</f>
        <v>0</v>
      </c>
      <c r="AL62" s="10">
        <f>SUM('Fin Stat'!AL$165:AL$166)</f>
        <v>0</v>
      </c>
      <c r="AM62" s="10">
        <f>SUM('Fin Stat'!AM$165:AM$166)</f>
        <v>0</v>
      </c>
      <c r="AN62" s="10">
        <f>SUM('Fin Stat'!AN$165:AN$166)</f>
        <v>0</v>
      </c>
      <c r="AO62" s="10">
        <f>SUM('Fin Stat'!AO$165:AO$166)</f>
        <v>0</v>
      </c>
      <c r="AP62" s="10">
        <f>SUM('Fin Stat'!AP$165:AP$166)</f>
        <v>0</v>
      </c>
      <c r="AQ62" s="10">
        <f>SUM('Fin Stat'!AQ$165:AQ$166)</f>
        <v>0</v>
      </c>
      <c r="AR62" s="10">
        <f>SUM('Fin Stat'!AR$165:AR$166)</f>
        <v>0</v>
      </c>
      <c r="AS62" s="10">
        <f>SUM('Fin Stat'!AS$165:AS$166)</f>
        <v>0</v>
      </c>
      <c r="AT62" s="10">
        <f>SUM('Fin Stat'!AT$165:AT$166)</f>
        <v>0</v>
      </c>
      <c r="AU62" s="10">
        <f>SUM('Fin Stat'!AU$165:AU$166)</f>
        <v>0</v>
      </c>
      <c r="AV62" s="10">
        <f>SUM('Fin Stat'!AV$165:AV$166)</f>
        <v>0</v>
      </c>
      <c r="AW62" s="10">
        <f>SUM('Fin Stat'!AW$165:AW$166)</f>
        <v>0</v>
      </c>
      <c r="AX62" s="10">
        <f>SUM('Fin Stat'!AX$165:AX$166)</f>
        <v>0</v>
      </c>
      <c r="AY62" s="10">
        <f>SUM('Fin Stat'!AY$165:AY$166)</f>
        <v>0</v>
      </c>
      <c r="AZ62" s="10">
        <f>SUM('Fin Stat'!AZ$165:AZ$166)</f>
        <v>0</v>
      </c>
      <c r="BA62" s="10">
        <f>SUM('Fin Stat'!BA$165:BA$166)</f>
        <v>0</v>
      </c>
      <c r="BB62" s="10">
        <f>SUM('Fin Stat'!BB$165:BB$166)</f>
        <v>0</v>
      </c>
      <c r="BC62" s="10">
        <f>SUM('Fin Stat'!BC$165:BC$166)</f>
        <v>0</v>
      </c>
      <c r="BD62" s="10">
        <f>SUM('Fin Stat'!BD$165:BD$166)</f>
        <v>0</v>
      </c>
      <c r="BE62" s="10">
        <f>SUM('Fin Stat'!BE$165:BE$166)</f>
        <v>0</v>
      </c>
      <c r="BF62" s="10">
        <f>SUM('Fin Stat'!BF$165:BF$166)</f>
        <v>0</v>
      </c>
      <c r="BG62" s="10">
        <f>SUM('Fin Stat'!BG$165:BG$166)</f>
        <v>0</v>
      </c>
      <c r="BH62" s="10">
        <f>SUM('Fin Stat'!BH$165:BH$166)</f>
        <v>0</v>
      </c>
      <c r="BI62" s="10">
        <f>SUM('Fin Stat'!BI$165:BI$166)</f>
        <v>0</v>
      </c>
      <c r="BJ62" s="10">
        <f>SUM('Fin Stat'!BJ$165:BJ$166)</f>
        <v>0</v>
      </c>
      <c r="BX62" s="10">
        <f>SUM('Fin Stat'!BX$165:BX$166)</f>
        <v>0</v>
      </c>
      <c r="BY62" s="10">
        <f>SUM('Fin Stat'!BY$165:BY$166)</f>
        <v>0</v>
      </c>
      <c r="BZ62" s="10">
        <f>SUM('Fin Stat'!BZ$165:BZ$166)</f>
        <v>0</v>
      </c>
      <c r="CA62" s="10">
        <f>SUM('Fin Stat'!CA$165:CA$166)</f>
        <v>0</v>
      </c>
      <c r="CB62" s="10">
        <f>SUM('Fin Stat'!CB$165:CB$166)</f>
        <v>0</v>
      </c>
      <c r="CC62" s="10">
        <f>SUM('Fin Stat'!CC$165:CC$166)</f>
        <v>0</v>
      </c>
      <c r="CD62" s="10">
        <f>SUM('Fin Stat'!CD$165:CD$166)</f>
        <v>0</v>
      </c>
      <c r="CE62" s="10">
        <f>SUM('Fin Stat'!CE$165:CE$166)</f>
        <v>0</v>
      </c>
      <c r="CF62" s="10">
        <f>SUM('Fin Stat'!CF$165:CF$166)</f>
        <v>0</v>
      </c>
      <c r="CG62" s="10">
        <f>SUM('Fin Stat'!CG$165:CG$166)</f>
        <v>0</v>
      </c>
      <c r="CH62" s="10">
        <f>SUM('Fin Stat'!CH$165:CH$166)</f>
        <v>0</v>
      </c>
      <c r="CI62" s="10">
        <f>SUM('Fin Stat'!CI$165:CI$166)</f>
        <v>0</v>
      </c>
      <c r="CK62" s="312"/>
      <c r="CM62" s="312"/>
      <c r="CO62" s="311"/>
      <c r="EX62" s="10" t="str">
        <f t="shared" si="1"/>
        <v>Movements in taxes</v>
      </c>
    </row>
    <row r="63" spans="1:154" x14ac:dyDescent="0.35">
      <c r="C63" s="213" t="s">
        <v>1820</v>
      </c>
      <c r="D63" s="217" t="s">
        <v>1821</v>
      </c>
      <c r="E63" s="217"/>
      <c r="F63" s="217"/>
      <c r="G63" s="217"/>
      <c r="H63" s="217"/>
      <c r="I63" s="217"/>
      <c r="J63" s="217"/>
      <c r="K63" s="217"/>
      <c r="L63" s="217"/>
      <c r="M63" s="217"/>
      <c r="N63" s="217"/>
      <c r="O63" s="217"/>
      <c r="P63" s="217"/>
      <c r="Q63" s="217"/>
      <c r="R63" s="217"/>
      <c r="S63" s="217"/>
      <c r="T63" s="217"/>
      <c r="U63" s="217"/>
      <c r="V63" s="10">
        <f>SUM('Fin Stat'!V$167:V$175)</f>
        <v>0</v>
      </c>
      <c r="W63" s="10">
        <f>SUM('Fin Stat'!W$167:W$175)</f>
        <v>0</v>
      </c>
      <c r="X63" s="10">
        <f>SUM('Fin Stat'!X$167:X$175)</f>
        <v>0</v>
      </c>
      <c r="Y63" s="10">
        <f>SUM('Fin Stat'!Y$167:Y$175)</f>
        <v>0</v>
      </c>
      <c r="AA63" s="10">
        <f>SUM('Fin Stat'!AA$167:AA$175)</f>
        <v>0</v>
      </c>
      <c r="AB63" s="10">
        <f>SUM('Fin Stat'!AB$167:AB$175)</f>
        <v>0</v>
      </c>
      <c r="AC63" s="10">
        <f>SUM('Fin Stat'!AC$167:AC$175)</f>
        <v>0</v>
      </c>
      <c r="AD63" s="10">
        <f>SUM('Fin Stat'!AD$167:AD$175)</f>
        <v>0</v>
      </c>
      <c r="AE63" s="10">
        <f>SUM('Fin Stat'!AE$167:AE$175)</f>
        <v>0</v>
      </c>
      <c r="AF63" s="10">
        <f>SUM('Fin Stat'!AF$167:AF$175)</f>
        <v>0</v>
      </c>
      <c r="AG63" s="10">
        <f>SUM('Fin Stat'!AG$167:AG$175)</f>
        <v>0</v>
      </c>
      <c r="AH63" s="10">
        <f>SUM('Fin Stat'!AH$167:AH$175)</f>
        <v>0</v>
      </c>
      <c r="AI63" s="10">
        <f>SUM('Fin Stat'!AI$167:AI$175)</f>
        <v>0</v>
      </c>
      <c r="AJ63" s="10">
        <f>SUM('Fin Stat'!AJ$167:AJ$175)</f>
        <v>0</v>
      </c>
      <c r="AK63" s="10">
        <f>SUM('Fin Stat'!AK$167:AK$175)</f>
        <v>0</v>
      </c>
      <c r="AL63" s="10">
        <f>SUM('Fin Stat'!AL$167:AL$175)</f>
        <v>0</v>
      </c>
      <c r="AM63" s="10">
        <f>SUM('Fin Stat'!AM$167:AM$175)</f>
        <v>0</v>
      </c>
      <c r="AN63" s="10">
        <f>SUM('Fin Stat'!AN$167:AN$175)</f>
        <v>0</v>
      </c>
      <c r="AO63" s="10">
        <f>SUM('Fin Stat'!AO$167:AO$175)</f>
        <v>0</v>
      </c>
      <c r="AP63" s="10">
        <f>SUM('Fin Stat'!AP$167:AP$175)</f>
        <v>0</v>
      </c>
      <c r="AQ63" s="10">
        <f>SUM('Fin Stat'!AQ$167:AQ$175)</f>
        <v>0</v>
      </c>
      <c r="AR63" s="10">
        <f>SUM('Fin Stat'!AR$167:AR$175)</f>
        <v>0</v>
      </c>
      <c r="AS63" s="10">
        <f>SUM('Fin Stat'!AS$167:AS$175)</f>
        <v>0</v>
      </c>
      <c r="AT63" s="10">
        <f>SUM('Fin Stat'!AT$167:AT$175)</f>
        <v>0</v>
      </c>
      <c r="AU63" s="10">
        <f>SUM('Fin Stat'!AU$167:AU$175)</f>
        <v>0</v>
      </c>
      <c r="AV63" s="10">
        <f>SUM('Fin Stat'!AV$167:AV$175)</f>
        <v>0</v>
      </c>
      <c r="AW63" s="10">
        <f>SUM('Fin Stat'!AW$167:AW$175)</f>
        <v>0</v>
      </c>
      <c r="AX63" s="10">
        <f>SUM('Fin Stat'!AX$167:AX$175)</f>
        <v>0</v>
      </c>
      <c r="AY63" s="10">
        <f>SUM('Fin Stat'!AY$167:AY$175)</f>
        <v>0</v>
      </c>
      <c r="AZ63" s="10">
        <f>SUM('Fin Stat'!AZ$167:AZ$175)</f>
        <v>0</v>
      </c>
      <c r="BA63" s="10">
        <f>SUM('Fin Stat'!BA$167:BA$175)</f>
        <v>0</v>
      </c>
      <c r="BB63" s="10">
        <f>SUM('Fin Stat'!BB$167:BB$175)</f>
        <v>0</v>
      </c>
      <c r="BC63" s="10">
        <f>SUM('Fin Stat'!BC$167:BC$175)</f>
        <v>0</v>
      </c>
      <c r="BD63" s="10">
        <f>SUM('Fin Stat'!BD$167:BD$175)</f>
        <v>0</v>
      </c>
      <c r="BE63" s="10">
        <f>SUM('Fin Stat'!BE$167:BE$175)</f>
        <v>0</v>
      </c>
      <c r="BF63" s="10">
        <f>SUM('Fin Stat'!BF$167:BF$175)</f>
        <v>0</v>
      </c>
      <c r="BG63" s="10">
        <f>SUM('Fin Stat'!BG$167:BG$175)</f>
        <v>0</v>
      </c>
      <c r="BH63" s="10">
        <f>SUM('Fin Stat'!BH$167:BH$175)</f>
        <v>0</v>
      </c>
      <c r="BI63" s="10">
        <f>SUM('Fin Stat'!BI$167:BI$175)</f>
        <v>0</v>
      </c>
      <c r="BJ63" s="10">
        <f>SUM('Fin Stat'!BJ$167:BJ$175)</f>
        <v>0</v>
      </c>
      <c r="BX63" s="10">
        <f>SUM('Fin Stat'!BX$167:BX$175)</f>
        <v>0</v>
      </c>
      <c r="BY63" s="10">
        <f>SUM('Fin Stat'!BY$167:BY$175)</f>
        <v>0</v>
      </c>
      <c r="BZ63" s="10">
        <f>SUM('Fin Stat'!BZ$167:BZ$175)</f>
        <v>0</v>
      </c>
      <c r="CA63" s="10">
        <f>SUM('Fin Stat'!CA$167:CA$175)</f>
        <v>0</v>
      </c>
      <c r="CB63" s="10">
        <f>SUM('Fin Stat'!CB$167:CB$175)</f>
        <v>0</v>
      </c>
      <c r="CC63" s="10">
        <f>SUM('Fin Stat'!CC$167:CC$175)</f>
        <v>0</v>
      </c>
      <c r="CD63" s="10">
        <f>SUM('Fin Stat'!CD$167:CD$175)</f>
        <v>0</v>
      </c>
      <c r="CE63" s="10">
        <f>SUM('Fin Stat'!CE$167:CE$175)</f>
        <v>0</v>
      </c>
      <c r="CF63" s="10">
        <f>SUM('Fin Stat'!CF$167:CF$175)</f>
        <v>0</v>
      </c>
      <c r="CG63" s="10">
        <f>SUM('Fin Stat'!CG$167:CG$175)</f>
        <v>0</v>
      </c>
      <c r="CH63" s="10">
        <f>SUM('Fin Stat'!CH$167:CH$175)</f>
        <v>0</v>
      </c>
      <c r="CI63" s="10">
        <f>SUM('Fin Stat'!CI$167:CI$175)</f>
        <v>0</v>
      </c>
      <c r="CK63" s="312"/>
      <c r="CM63" s="312"/>
      <c r="CO63" s="311"/>
      <c r="EX63" s="10" t="str">
        <f t="shared" si="1"/>
        <v>Movements in other accruals, deferrals and provisions</v>
      </c>
    </row>
    <row r="64" spans="1:154" ht="8.25" customHeight="1" x14ac:dyDescent="0.35">
      <c r="C64" s="213"/>
      <c r="E64"/>
      <c r="CK64" s="311"/>
      <c r="CM64" s="311"/>
      <c r="CO64" s="311"/>
      <c r="EX64" s="10" t="str">
        <f t="shared" si="1"/>
        <v/>
      </c>
    </row>
    <row r="65" spans="1:154" x14ac:dyDescent="0.35">
      <c r="C65" s="213" t="str">
        <f>'Fin Stat'!C$179</f>
        <v>IC-1c</v>
      </c>
      <c r="D65" s="217" t="str">
        <f>'Fin Stat'!D$179</f>
        <v>Net interest and finance costs payable/receivable</v>
      </c>
      <c r="E65" s="217"/>
      <c r="F65" s="217"/>
      <c r="G65" s="217"/>
      <c r="H65" s="217"/>
      <c r="I65" s="217"/>
      <c r="J65" s="217"/>
      <c r="K65" s="217"/>
      <c r="L65" s="217"/>
      <c r="M65" s="217"/>
      <c r="N65" s="217"/>
      <c r="O65" s="217"/>
      <c r="P65" s="217"/>
      <c r="Q65" s="217"/>
      <c r="R65" s="217"/>
      <c r="S65" s="217"/>
      <c r="T65" s="217"/>
      <c r="U65" s="217"/>
      <c r="V65" s="10">
        <f>'Fin Stat'!V$179</f>
        <v>0</v>
      </c>
      <c r="W65" s="10">
        <f>'Fin Stat'!W$179</f>
        <v>0</v>
      </c>
      <c r="X65" s="10">
        <f>'Fin Stat'!X$179</f>
        <v>0</v>
      </c>
      <c r="Y65" s="10">
        <f>'Fin Stat'!Y$179</f>
        <v>0</v>
      </c>
      <c r="AA65" s="10">
        <f>'Fin Stat'!AA$179</f>
        <v>0</v>
      </c>
      <c r="AB65" s="10">
        <f>'Fin Stat'!AB$179</f>
        <v>0</v>
      </c>
      <c r="AC65" s="10">
        <f>'Fin Stat'!AC$179</f>
        <v>0</v>
      </c>
      <c r="AD65" s="10">
        <f>'Fin Stat'!AD$179</f>
        <v>0</v>
      </c>
      <c r="AE65" s="10">
        <f>'Fin Stat'!AE$179</f>
        <v>0</v>
      </c>
      <c r="AF65" s="10">
        <f>'Fin Stat'!AF$179</f>
        <v>0</v>
      </c>
      <c r="AG65" s="10">
        <f>'Fin Stat'!AG$179</f>
        <v>0</v>
      </c>
      <c r="AH65" s="10">
        <f>'Fin Stat'!AH$179</f>
        <v>0</v>
      </c>
      <c r="AI65" s="10">
        <f>'Fin Stat'!AI$179</f>
        <v>0</v>
      </c>
      <c r="AJ65" s="10">
        <f>'Fin Stat'!AJ$179</f>
        <v>0</v>
      </c>
      <c r="AK65" s="10">
        <f>'Fin Stat'!AK$179</f>
        <v>0</v>
      </c>
      <c r="AL65" s="10">
        <f>'Fin Stat'!AL$179</f>
        <v>0</v>
      </c>
      <c r="AM65" s="10">
        <f>'Fin Stat'!AM$179</f>
        <v>0</v>
      </c>
      <c r="AN65" s="10">
        <f>'Fin Stat'!AN$179</f>
        <v>0</v>
      </c>
      <c r="AO65" s="10">
        <f>'Fin Stat'!AO$179</f>
        <v>0</v>
      </c>
      <c r="AP65" s="10">
        <f>'Fin Stat'!AP$179</f>
        <v>0</v>
      </c>
      <c r="AQ65" s="10">
        <f>'Fin Stat'!AQ$179</f>
        <v>0</v>
      </c>
      <c r="AR65" s="10">
        <f>'Fin Stat'!AR$179</f>
        <v>0</v>
      </c>
      <c r="AS65" s="10">
        <f>'Fin Stat'!AS$179</f>
        <v>0</v>
      </c>
      <c r="AT65" s="10">
        <f>'Fin Stat'!AT$179</f>
        <v>0</v>
      </c>
      <c r="AU65" s="10">
        <f>'Fin Stat'!AU$179</f>
        <v>0</v>
      </c>
      <c r="AV65" s="10">
        <f>'Fin Stat'!AV$179</f>
        <v>0</v>
      </c>
      <c r="AW65" s="10">
        <f>'Fin Stat'!AW$179</f>
        <v>0</v>
      </c>
      <c r="AX65" s="10">
        <f>'Fin Stat'!AX$179</f>
        <v>0</v>
      </c>
      <c r="AY65" s="10">
        <f>'Fin Stat'!AY$179</f>
        <v>0</v>
      </c>
      <c r="AZ65" s="10">
        <f>'Fin Stat'!AZ$179</f>
        <v>0</v>
      </c>
      <c r="BA65" s="10">
        <f>'Fin Stat'!BA$179</f>
        <v>0</v>
      </c>
      <c r="BB65" s="10">
        <f>'Fin Stat'!BB$179</f>
        <v>0</v>
      </c>
      <c r="BC65" s="10">
        <f>'Fin Stat'!BC$179</f>
        <v>0</v>
      </c>
      <c r="BD65" s="10">
        <f>'Fin Stat'!BD$179</f>
        <v>0</v>
      </c>
      <c r="BE65" s="10">
        <f>'Fin Stat'!BE$179</f>
        <v>0</v>
      </c>
      <c r="BF65" s="10">
        <f>'Fin Stat'!BF$179</f>
        <v>0</v>
      </c>
      <c r="BG65" s="10">
        <f>'Fin Stat'!BG$179</f>
        <v>0</v>
      </c>
      <c r="BH65" s="10">
        <f>'Fin Stat'!BH$179</f>
        <v>0</v>
      </c>
      <c r="BI65" s="10">
        <f>'Fin Stat'!BI$179</f>
        <v>0</v>
      </c>
      <c r="BJ65" s="10">
        <f>'Fin Stat'!BJ$179</f>
        <v>0</v>
      </c>
      <c r="BX65" s="10">
        <f>'Fin Stat'!BX$179</f>
        <v>0</v>
      </c>
      <c r="BY65" s="10">
        <f>'Fin Stat'!BY$179</f>
        <v>0</v>
      </c>
      <c r="BZ65" s="10">
        <f>'Fin Stat'!BZ$179</f>
        <v>0</v>
      </c>
      <c r="CA65" s="10">
        <f>'Fin Stat'!CA$179</f>
        <v>0</v>
      </c>
      <c r="CB65" s="10">
        <f>'Fin Stat'!CB$179</f>
        <v>0</v>
      </c>
      <c r="CC65" s="10">
        <f>'Fin Stat'!CC$179</f>
        <v>0</v>
      </c>
      <c r="CD65" s="10">
        <f>'Fin Stat'!CD$179</f>
        <v>0</v>
      </c>
      <c r="CE65" s="10">
        <f>'Fin Stat'!CE$179</f>
        <v>0</v>
      </c>
      <c r="CF65" s="10">
        <f>'Fin Stat'!CF$179</f>
        <v>0</v>
      </c>
      <c r="CG65" s="10">
        <f>'Fin Stat'!CG$179</f>
        <v>0</v>
      </c>
      <c r="CH65" s="10">
        <f>'Fin Stat'!CH$179</f>
        <v>0</v>
      </c>
      <c r="CI65" s="10">
        <f>'Fin Stat'!CI$179</f>
        <v>0</v>
      </c>
      <c r="CK65" s="312"/>
      <c r="CM65" s="312"/>
      <c r="CO65" s="311"/>
      <c r="EX65" s="10" t="str">
        <f t="shared" si="1"/>
        <v>Net interest and finance costs payable/receivable</v>
      </c>
    </row>
    <row r="66" spans="1:154" ht="8.25" customHeight="1" x14ac:dyDescent="0.35">
      <c r="C66" s="213"/>
      <c r="E66"/>
      <c r="CK66" s="311"/>
      <c r="CM66" s="311"/>
      <c r="CO66" s="311"/>
      <c r="EX66" s="10" t="str">
        <f t="shared" si="1"/>
        <v/>
      </c>
    </row>
    <row r="67" spans="1:154" x14ac:dyDescent="0.35">
      <c r="C67" s="213" t="str">
        <f>'Fin Stat'!C$180</f>
        <v>IC-1</v>
      </c>
      <c r="D67" s="5" t="s">
        <v>1585</v>
      </c>
      <c r="E67"/>
      <c r="V67" s="12">
        <f>'Fin Stat'!V$180</f>
        <v>0</v>
      </c>
      <c r="W67" s="12">
        <f>'Fin Stat'!W$180</f>
        <v>0</v>
      </c>
      <c r="X67" s="12">
        <f>'Fin Stat'!X$180</f>
        <v>0</v>
      </c>
      <c r="Y67" s="12">
        <f>'Fin Stat'!Y$180</f>
        <v>0</v>
      </c>
      <c r="AA67" s="12">
        <f>'Fin Stat'!AA$180</f>
        <v>0</v>
      </c>
      <c r="AB67" s="12">
        <f>'Fin Stat'!AB$180</f>
        <v>0</v>
      </c>
      <c r="AC67" s="12">
        <f>'Fin Stat'!AC$180</f>
        <v>0</v>
      </c>
      <c r="AD67" s="12">
        <f>'Fin Stat'!AD$180</f>
        <v>0</v>
      </c>
      <c r="AE67" s="12">
        <f>'Fin Stat'!AE$180</f>
        <v>0</v>
      </c>
      <c r="AF67" s="12">
        <f>'Fin Stat'!AF$180</f>
        <v>0</v>
      </c>
      <c r="AG67" s="12">
        <f>'Fin Stat'!AG$180</f>
        <v>0</v>
      </c>
      <c r="AH67" s="12">
        <f>'Fin Stat'!AH$180</f>
        <v>0</v>
      </c>
      <c r="AI67" s="12">
        <f>'Fin Stat'!AI$180</f>
        <v>0</v>
      </c>
      <c r="AJ67" s="12">
        <f>'Fin Stat'!AJ$180</f>
        <v>0</v>
      </c>
      <c r="AK67" s="12">
        <f>'Fin Stat'!AK$180</f>
        <v>0</v>
      </c>
      <c r="AL67" s="12">
        <f>'Fin Stat'!AL$180</f>
        <v>0</v>
      </c>
      <c r="AM67" s="12">
        <f>'Fin Stat'!AM$180</f>
        <v>0</v>
      </c>
      <c r="AN67" s="12">
        <f>'Fin Stat'!AN$180</f>
        <v>0</v>
      </c>
      <c r="AO67" s="12">
        <f>'Fin Stat'!AO$180</f>
        <v>0</v>
      </c>
      <c r="AP67" s="12">
        <f>'Fin Stat'!AP$180</f>
        <v>0</v>
      </c>
      <c r="AQ67" s="12">
        <f>'Fin Stat'!AQ$180</f>
        <v>0</v>
      </c>
      <c r="AR67" s="12">
        <f>'Fin Stat'!AR$180</f>
        <v>0</v>
      </c>
      <c r="AS67" s="12">
        <f>'Fin Stat'!AS$180</f>
        <v>0</v>
      </c>
      <c r="AT67" s="12">
        <f>'Fin Stat'!AT$180</f>
        <v>0</v>
      </c>
      <c r="AU67" s="12">
        <f>'Fin Stat'!AU$180</f>
        <v>0</v>
      </c>
      <c r="AV67" s="12">
        <f>'Fin Stat'!AV$180</f>
        <v>0</v>
      </c>
      <c r="AW67" s="12">
        <f>'Fin Stat'!AW$180</f>
        <v>0</v>
      </c>
      <c r="AX67" s="12">
        <f>'Fin Stat'!AX$180</f>
        <v>0</v>
      </c>
      <c r="AY67" s="12">
        <f>'Fin Stat'!AY$180</f>
        <v>0</v>
      </c>
      <c r="AZ67" s="12">
        <f>'Fin Stat'!AZ$180</f>
        <v>0</v>
      </c>
      <c r="BA67" s="12">
        <f>'Fin Stat'!BA$180</f>
        <v>0</v>
      </c>
      <c r="BB67" s="12">
        <f>'Fin Stat'!BB$180</f>
        <v>0</v>
      </c>
      <c r="BC67" s="12">
        <f>'Fin Stat'!BC$180</f>
        <v>0</v>
      </c>
      <c r="BD67" s="12">
        <f>'Fin Stat'!BD$180</f>
        <v>0</v>
      </c>
      <c r="BE67" s="12">
        <f>'Fin Stat'!BE$180</f>
        <v>0</v>
      </c>
      <c r="BF67" s="12">
        <f>'Fin Stat'!BF$180</f>
        <v>0</v>
      </c>
      <c r="BG67" s="12">
        <f>'Fin Stat'!BG$180</f>
        <v>0</v>
      </c>
      <c r="BH67" s="12">
        <f>'Fin Stat'!BH$180</f>
        <v>0</v>
      </c>
      <c r="BI67" s="12">
        <f>'Fin Stat'!BI$180</f>
        <v>0</v>
      </c>
      <c r="BJ67" s="12">
        <f>'Fin Stat'!BJ$180</f>
        <v>0</v>
      </c>
      <c r="BX67" s="12">
        <f>'Fin Stat'!BX$180</f>
        <v>0</v>
      </c>
      <c r="BY67" s="12">
        <f>'Fin Stat'!BY$180</f>
        <v>0</v>
      </c>
      <c r="BZ67" s="12">
        <f>'Fin Stat'!BZ$180</f>
        <v>0</v>
      </c>
      <c r="CA67" s="12">
        <f>'Fin Stat'!CA$180</f>
        <v>0</v>
      </c>
      <c r="CB67" s="12">
        <f>'Fin Stat'!CB$180</f>
        <v>0</v>
      </c>
      <c r="CC67" s="12">
        <f>'Fin Stat'!CC$180</f>
        <v>0</v>
      </c>
      <c r="CD67" s="12">
        <f>'Fin Stat'!CD$180</f>
        <v>0</v>
      </c>
      <c r="CE67" s="12">
        <f>'Fin Stat'!CE$180</f>
        <v>0</v>
      </c>
      <c r="CF67" s="12">
        <f>'Fin Stat'!CF$180</f>
        <v>0</v>
      </c>
      <c r="CG67" s="12">
        <f>'Fin Stat'!CG$180</f>
        <v>0</v>
      </c>
      <c r="CH67" s="12">
        <f>'Fin Stat'!CH$180</f>
        <v>0</v>
      </c>
      <c r="CI67" s="12">
        <f>'Fin Stat'!CI$180</f>
        <v>0</v>
      </c>
      <c r="CK67" s="312"/>
      <c r="CM67" s="312"/>
      <c r="CO67" s="311"/>
      <c r="EX67" s="10" t="str">
        <f t="shared" si="1"/>
        <v>Net cash flow from operating activities</v>
      </c>
    </row>
    <row r="68" spans="1:154" ht="8.25" customHeight="1" x14ac:dyDescent="0.35">
      <c r="C68" s="213"/>
      <c r="E68"/>
      <c r="CK68" s="311"/>
      <c r="CM68" s="311"/>
      <c r="CO68" s="311"/>
      <c r="EX68" s="10" t="str">
        <f t="shared" si="1"/>
        <v/>
      </c>
    </row>
    <row r="69" spans="1:154" x14ac:dyDescent="0.35">
      <c r="A69" s="537" cm="1">
        <f t="array" aca="1" ref="A69" ca="1">HYPERLINK(CONCATENATE("#",CELL("address",IF(MAX($CM69:$CO69)=0,A69,INDEX($CM69:$CO69,MATCH(1,$CM69:$CO69,0))))),MAX($CM69:$CO69))</f>
        <v>0</v>
      </c>
      <c r="C69" s="211"/>
      <c r="D69" s="217" t="s">
        <v>1822</v>
      </c>
      <c r="E69" s="217"/>
      <c r="F69" s="217"/>
      <c r="G69" s="217"/>
      <c r="H69" s="217"/>
      <c r="I69" s="217"/>
      <c r="J69" s="217"/>
      <c r="K69" s="217"/>
      <c r="L69" s="217"/>
      <c r="M69" s="217"/>
      <c r="N69" s="217"/>
      <c r="O69" s="217"/>
      <c r="P69" s="217"/>
      <c r="Q69" s="217"/>
      <c r="R69" s="217"/>
      <c r="S69" s="217"/>
      <c r="T69" s="217"/>
      <c r="U69" s="217"/>
      <c r="V69" s="125">
        <f>ROUND(V67-SUM(V54:V65)*V$52, rounding)</f>
        <v>0</v>
      </c>
      <c r="W69" s="125">
        <f>ROUND(W67-SUM(W54:W65)*W$52, rounding)</f>
        <v>0</v>
      </c>
      <c r="X69" s="125">
        <f>ROUND(X67-SUM(X54:X65)*X$52, rounding)</f>
        <v>0</v>
      </c>
      <c r="Y69" s="125">
        <f>ROUND(Y67-SUM(Y54:Y65)*Y$52, rounding)</f>
        <v>0</v>
      </c>
      <c r="AA69" s="125">
        <f t="shared" ref="AA69:BJ69" si="2">ROUND(AA67-SUM(AA54:AA65)*AA$52, rounding)</f>
        <v>0</v>
      </c>
      <c r="AB69" s="125">
        <f t="shared" si="2"/>
        <v>0</v>
      </c>
      <c r="AC69" s="125">
        <f t="shared" si="2"/>
        <v>0</v>
      </c>
      <c r="AD69" s="125">
        <f t="shared" si="2"/>
        <v>0</v>
      </c>
      <c r="AE69" s="125">
        <f t="shared" si="2"/>
        <v>0</v>
      </c>
      <c r="AF69" s="125">
        <f t="shared" si="2"/>
        <v>0</v>
      </c>
      <c r="AG69" s="125">
        <f t="shared" si="2"/>
        <v>0</v>
      </c>
      <c r="AH69" s="125">
        <f t="shared" si="2"/>
        <v>0</v>
      </c>
      <c r="AI69" s="125">
        <f t="shared" si="2"/>
        <v>0</v>
      </c>
      <c r="AJ69" s="125">
        <f t="shared" si="2"/>
        <v>0</v>
      </c>
      <c r="AK69" s="125">
        <f t="shared" si="2"/>
        <v>0</v>
      </c>
      <c r="AL69" s="125">
        <f t="shared" si="2"/>
        <v>0</v>
      </c>
      <c r="AM69" s="125">
        <f t="shared" si="2"/>
        <v>0</v>
      </c>
      <c r="AN69" s="125">
        <f t="shared" si="2"/>
        <v>0</v>
      </c>
      <c r="AO69" s="125">
        <f t="shared" si="2"/>
        <v>0</v>
      </c>
      <c r="AP69" s="125">
        <f t="shared" si="2"/>
        <v>0</v>
      </c>
      <c r="AQ69" s="125">
        <f t="shared" si="2"/>
        <v>0</v>
      </c>
      <c r="AR69" s="125">
        <f t="shared" si="2"/>
        <v>0</v>
      </c>
      <c r="AS69" s="125">
        <f t="shared" si="2"/>
        <v>0</v>
      </c>
      <c r="AT69" s="125">
        <f t="shared" si="2"/>
        <v>0</v>
      </c>
      <c r="AU69" s="125">
        <f t="shared" si="2"/>
        <v>0</v>
      </c>
      <c r="AV69" s="125">
        <f t="shared" si="2"/>
        <v>0</v>
      </c>
      <c r="AW69" s="125">
        <f t="shared" si="2"/>
        <v>0</v>
      </c>
      <c r="AX69" s="125">
        <f t="shared" si="2"/>
        <v>0</v>
      </c>
      <c r="AY69" s="125">
        <f t="shared" si="2"/>
        <v>0</v>
      </c>
      <c r="AZ69" s="125">
        <f t="shared" si="2"/>
        <v>0</v>
      </c>
      <c r="BA69" s="125">
        <f t="shared" si="2"/>
        <v>0</v>
      </c>
      <c r="BB69" s="125">
        <f t="shared" si="2"/>
        <v>0</v>
      </c>
      <c r="BC69" s="125">
        <f t="shared" si="2"/>
        <v>0</v>
      </c>
      <c r="BD69" s="125">
        <f t="shared" si="2"/>
        <v>0</v>
      </c>
      <c r="BE69" s="125">
        <f t="shared" si="2"/>
        <v>0</v>
      </c>
      <c r="BF69" s="125">
        <f t="shared" si="2"/>
        <v>0</v>
      </c>
      <c r="BG69" s="125">
        <f t="shared" si="2"/>
        <v>0</v>
      </c>
      <c r="BH69" s="125">
        <f t="shared" si="2"/>
        <v>0</v>
      </c>
      <c r="BI69" s="125">
        <f t="shared" si="2"/>
        <v>0</v>
      </c>
      <c r="BJ69" s="125">
        <f t="shared" si="2"/>
        <v>0</v>
      </c>
      <c r="BX69" s="125">
        <f t="shared" ref="BX69:CI69" si="3">ROUND(BX67-SUM(BX54:BX65)*BX$52, rounding)</f>
        <v>0</v>
      </c>
      <c r="BY69" s="125">
        <f t="shared" si="3"/>
        <v>0</v>
      </c>
      <c r="BZ69" s="125">
        <f t="shared" si="3"/>
        <v>0</v>
      </c>
      <c r="CA69" s="125">
        <f t="shared" si="3"/>
        <v>0</v>
      </c>
      <c r="CB69" s="125">
        <f t="shared" si="3"/>
        <v>0</v>
      </c>
      <c r="CC69" s="125">
        <f t="shared" si="3"/>
        <v>0</v>
      </c>
      <c r="CD69" s="125">
        <f t="shared" si="3"/>
        <v>0</v>
      </c>
      <c r="CE69" s="125">
        <f t="shared" si="3"/>
        <v>0</v>
      </c>
      <c r="CF69" s="125">
        <f t="shared" si="3"/>
        <v>0</v>
      </c>
      <c r="CG69" s="125">
        <f t="shared" si="3"/>
        <v>0</v>
      </c>
      <c r="CH69" s="125">
        <f t="shared" si="3"/>
        <v>0</v>
      </c>
      <c r="CI69" s="125">
        <f t="shared" si="3"/>
        <v>0</v>
      </c>
      <c r="CK69" s="312"/>
      <c r="CM69" s="312"/>
      <c r="CN69" s="7">
        <f>IF(AND( ABS(MAX($V69:$CI69))&lt;Parameters!$D$33,  ABS(MIN($V69:$CI69))&lt;Parameters!$D$33), 0, 1)</f>
        <v>0</v>
      </c>
      <c r="CO69" s="311"/>
      <c r="EX69" s="10" t="str">
        <f t="shared" si="1"/>
        <v/>
      </c>
    </row>
    <row r="70" spans="1:154" ht="8.25" customHeight="1" x14ac:dyDescent="0.35">
      <c r="C70" s="211"/>
      <c r="E70"/>
      <c r="CK70" s="311"/>
      <c r="CM70" s="311"/>
      <c r="CO70" s="311"/>
      <c r="EX70" s="10" t="str">
        <f t="shared" si="1"/>
        <v/>
      </c>
    </row>
    <row r="71" spans="1:154" x14ac:dyDescent="0.35">
      <c r="C71" s="213" t="str">
        <f>'Fin Stat'!C183</f>
        <v>IC-2a</v>
      </c>
      <c r="D71" t="s">
        <v>1823</v>
      </c>
      <c r="V71" s="10">
        <f>'Fin Stat'!V183</f>
        <v>0</v>
      </c>
      <c r="W71" s="99">
        <f>'Fin Stat'!W183</f>
        <v>0</v>
      </c>
      <c r="X71" s="99">
        <f>'Fin Stat'!X183</f>
        <v>0</v>
      </c>
      <c r="Y71" s="99">
        <f>'Fin Stat'!Y183</f>
        <v>0</v>
      </c>
      <c r="AA71" s="99">
        <f>'Fin Stat'!AA183</f>
        <v>0</v>
      </c>
      <c r="AB71" s="99">
        <f>'Fin Stat'!AB183</f>
        <v>0</v>
      </c>
      <c r="AC71" s="99">
        <f>'Fin Stat'!AC183</f>
        <v>0</v>
      </c>
      <c r="AD71" s="99">
        <f>'Fin Stat'!AD183</f>
        <v>0</v>
      </c>
      <c r="AE71" s="99">
        <f>'Fin Stat'!AE183</f>
        <v>0</v>
      </c>
      <c r="AF71" s="99">
        <f>'Fin Stat'!AF183</f>
        <v>0</v>
      </c>
      <c r="AG71" s="99">
        <f>'Fin Stat'!AG183</f>
        <v>0</v>
      </c>
      <c r="AH71" s="99">
        <f>'Fin Stat'!AH183</f>
        <v>0</v>
      </c>
      <c r="AI71" s="99">
        <f>'Fin Stat'!AI183</f>
        <v>0</v>
      </c>
      <c r="AJ71" s="99">
        <f>'Fin Stat'!AJ183</f>
        <v>0</v>
      </c>
      <c r="AK71" s="99">
        <f>'Fin Stat'!AK183</f>
        <v>0</v>
      </c>
      <c r="AL71" s="99">
        <f>'Fin Stat'!AL183</f>
        <v>0</v>
      </c>
      <c r="AM71" s="99">
        <f>'Fin Stat'!AM183</f>
        <v>0</v>
      </c>
      <c r="AN71" s="99">
        <f>'Fin Stat'!AN183</f>
        <v>0</v>
      </c>
      <c r="AO71" s="99">
        <f>'Fin Stat'!AO183</f>
        <v>0</v>
      </c>
      <c r="AP71" s="99">
        <f>'Fin Stat'!AP183</f>
        <v>0</v>
      </c>
      <c r="AQ71" s="99">
        <f>'Fin Stat'!AQ183</f>
        <v>0</v>
      </c>
      <c r="AR71" s="99">
        <f>'Fin Stat'!AR183</f>
        <v>0</v>
      </c>
      <c r="AS71" s="99">
        <f>'Fin Stat'!AS183</f>
        <v>0</v>
      </c>
      <c r="AT71" s="99">
        <f>'Fin Stat'!AT183</f>
        <v>0</v>
      </c>
      <c r="AU71" s="99">
        <f>'Fin Stat'!AU183</f>
        <v>0</v>
      </c>
      <c r="AV71" s="99">
        <f>'Fin Stat'!AV183</f>
        <v>0</v>
      </c>
      <c r="AW71" s="99">
        <f>'Fin Stat'!AW183</f>
        <v>0</v>
      </c>
      <c r="AX71" s="99">
        <f>'Fin Stat'!AX183</f>
        <v>0</v>
      </c>
      <c r="AY71" s="99">
        <f>'Fin Stat'!AY183</f>
        <v>0</v>
      </c>
      <c r="AZ71" s="99">
        <f>'Fin Stat'!AZ183</f>
        <v>0</v>
      </c>
      <c r="BA71" s="99">
        <f>'Fin Stat'!BA183</f>
        <v>0</v>
      </c>
      <c r="BB71" s="99">
        <f>'Fin Stat'!BB183</f>
        <v>0</v>
      </c>
      <c r="BC71" s="99">
        <f>'Fin Stat'!BC183</f>
        <v>0</v>
      </c>
      <c r="BD71" s="99">
        <f>'Fin Stat'!BD183</f>
        <v>0</v>
      </c>
      <c r="BE71" s="99">
        <f>'Fin Stat'!BE183</f>
        <v>0</v>
      </c>
      <c r="BF71" s="99">
        <f>'Fin Stat'!BF183</f>
        <v>0</v>
      </c>
      <c r="BG71" s="99">
        <f>'Fin Stat'!BG183</f>
        <v>0</v>
      </c>
      <c r="BH71" s="99">
        <f>'Fin Stat'!BH183</f>
        <v>0</v>
      </c>
      <c r="BI71" s="99">
        <f>'Fin Stat'!BI183</f>
        <v>0</v>
      </c>
      <c r="BJ71" s="99">
        <f>'Fin Stat'!BJ183</f>
        <v>0</v>
      </c>
      <c r="BX71" s="99">
        <f>'Fin Stat'!BX183</f>
        <v>0</v>
      </c>
      <c r="BY71" s="99">
        <f>'Fin Stat'!BY183</f>
        <v>0</v>
      </c>
      <c r="BZ71" s="99">
        <f>'Fin Stat'!BZ183</f>
        <v>0</v>
      </c>
      <c r="CA71" s="99">
        <f>'Fin Stat'!CA183</f>
        <v>0</v>
      </c>
      <c r="CB71" s="99">
        <f>'Fin Stat'!CB183</f>
        <v>0</v>
      </c>
      <c r="CC71" s="99">
        <f>'Fin Stat'!CC183</f>
        <v>0</v>
      </c>
      <c r="CD71" s="99">
        <f>'Fin Stat'!CD183</f>
        <v>0</v>
      </c>
      <c r="CE71" s="99">
        <f>'Fin Stat'!CE183</f>
        <v>0</v>
      </c>
      <c r="CF71" s="99">
        <f>'Fin Stat'!CF183</f>
        <v>0</v>
      </c>
      <c r="CG71" s="99">
        <f>'Fin Stat'!CG183</f>
        <v>0</v>
      </c>
      <c r="CH71" s="99">
        <f>'Fin Stat'!CH183</f>
        <v>0</v>
      </c>
      <c r="CI71" s="99">
        <f>'Fin Stat'!CI183</f>
        <v>0</v>
      </c>
      <c r="CK71" s="312"/>
      <c r="CM71" s="312"/>
      <c r="CO71" s="311"/>
      <c r="EX71" s="10" t="str">
        <f t="shared" si="1"/>
        <v>Receipts from sale of non-current assets</v>
      </c>
    </row>
    <row r="72" spans="1:154" x14ac:dyDescent="0.35">
      <c r="C72" s="213" t="str">
        <f>'Fin Stat'!C184</f>
        <v>IC-2b</v>
      </c>
      <c r="D72" t="s">
        <v>1824</v>
      </c>
      <c r="V72" s="10">
        <f>'Fin Stat'!V184</f>
        <v>0</v>
      </c>
      <c r="W72" s="99">
        <f>'Fin Stat'!W184</f>
        <v>0</v>
      </c>
      <c r="X72" s="99">
        <f>'Fin Stat'!X184</f>
        <v>0</v>
      </c>
      <c r="Y72" s="99">
        <f>'Fin Stat'!Y184</f>
        <v>0</v>
      </c>
      <c r="AA72" s="99">
        <f>'Fin Stat'!AA184</f>
        <v>0</v>
      </c>
      <c r="AB72" s="99">
        <f>'Fin Stat'!AB184</f>
        <v>0</v>
      </c>
      <c r="AC72" s="99">
        <f>'Fin Stat'!AC184</f>
        <v>0</v>
      </c>
      <c r="AD72" s="99">
        <f>'Fin Stat'!AD184</f>
        <v>0</v>
      </c>
      <c r="AE72" s="99">
        <f>'Fin Stat'!AE184</f>
        <v>0</v>
      </c>
      <c r="AF72" s="99">
        <f>'Fin Stat'!AF184</f>
        <v>0</v>
      </c>
      <c r="AG72" s="99">
        <f>'Fin Stat'!AG184</f>
        <v>0</v>
      </c>
      <c r="AH72" s="99">
        <f>'Fin Stat'!AH184</f>
        <v>0</v>
      </c>
      <c r="AI72" s="99">
        <f>'Fin Stat'!AI184</f>
        <v>0</v>
      </c>
      <c r="AJ72" s="99">
        <f>'Fin Stat'!AJ184</f>
        <v>0</v>
      </c>
      <c r="AK72" s="99">
        <f>'Fin Stat'!AK184</f>
        <v>0</v>
      </c>
      <c r="AL72" s="99">
        <f>'Fin Stat'!AL184</f>
        <v>0</v>
      </c>
      <c r="AM72" s="99">
        <f>'Fin Stat'!AM184</f>
        <v>0</v>
      </c>
      <c r="AN72" s="99">
        <f>'Fin Stat'!AN184</f>
        <v>0</v>
      </c>
      <c r="AO72" s="99">
        <f>'Fin Stat'!AO184</f>
        <v>0</v>
      </c>
      <c r="AP72" s="99">
        <f>'Fin Stat'!AP184</f>
        <v>0</v>
      </c>
      <c r="AQ72" s="99">
        <f>'Fin Stat'!AQ184</f>
        <v>0</v>
      </c>
      <c r="AR72" s="99">
        <f>'Fin Stat'!AR184</f>
        <v>0</v>
      </c>
      <c r="AS72" s="99">
        <f>'Fin Stat'!AS184</f>
        <v>0</v>
      </c>
      <c r="AT72" s="99">
        <f>'Fin Stat'!AT184</f>
        <v>0</v>
      </c>
      <c r="AU72" s="99">
        <f>'Fin Stat'!AU184</f>
        <v>0</v>
      </c>
      <c r="AV72" s="99">
        <f>'Fin Stat'!AV184</f>
        <v>0</v>
      </c>
      <c r="AW72" s="99">
        <f>'Fin Stat'!AW184</f>
        <v>0</v>
      </c>
      <c r="AX72" s="99">
        <f>'Fin Stat'!AX184</f>
        <v>0</v>
      </c>
      <c r="AY72" s="99">
        <f>'Fin Stat'!AY184</f>
        <v>0</v>
      </c>
      <c r="AZ72" s="99">
        <f>'Fin Stat'!AZ184</f>
        <v>0</v>
      </c>
      <c r="BA72" s="99">
        <f>'Fin Stat'!BA184</f>
        <v>0</v>
      </c>
      <c r="BB72" s="99">
        <f>'Fin Stat'!BB184</f>
        <v>0</v>
      </c>
      <c r="BC72" s="99">
        <f>'Fin Stat'!BC184</f>
        <v>0</v>
      </c>
      <c r="BD72" s="99">
        <f>'Fin Stat'!BD184</f>
        <v>0</v>
      </c>
      <c r="BE72" s="99">
        <f>'Fin Stat'!BE184</f>
        <v>0</v>
      </c>
      <c r="BF72" s="99">
        <f>'Fin Stat'!BF184</f>
        <v>0</v>
      </c>
      <c r="BG72" s="99">
        <f>'Fin Stat'!BG184</f>
        <v>0</v>
      </c>
      <c r="BH72" s="99">
        <f>'Fin Stat'!BH184</f>
        <v>0</v>
      </c>
      <c r="BI72" s="99">
        <f>'Fin Stat'!BI184</f>
        <v>0</v>
      </c>
      <c r="BJ72" s="99">
        <f>'Fin Stat'!BJ184</f>
        <v>0</v>
      </c>
      <c r="BX72" s="99">
        <f>'Fin Stat'!BX184</f>
        <v>0</v>
      </c>
      <c r="BY72" s="99">
        <f>'Fin Stat'!BY184</f>
        <v>0</v>
      </c>
      <c r="BZ72" s="99">
        <f>'Fin Stat'!BZ184</f>
        <v>0</v>
      </c>
      <c r="CA72" s="99">
        <f>'Fin Stat'!CA184</f>
        <v>0</v>
      </c>
      <c r="CB72" s="99">
        <f>'Fin Stat'!CB184</f>
        <v>0</v>
      </c>
      <c r="CC72" s="99">
        <f>'Fin Stat'!CC184</f>
        <v>0</v>
      </c>
      <c r="CD72" s="99">
        <f>'Fin Stat'!CD184</f>
        <v>0</v>
      </c>
      <c r="CE72" s="99">
        <f>'Fin Stat'!CE184</f>
        <v>0</v>
      </c>
      <c r="CF72" s="99">
        <f>'Fin Stat'!CF184</f>
        <v>0</v>
      </c>
      <c r="CG72" s="99">
        <f>'Fin Stat'!CG184</f>
        <v>0</v>
      </c>
      <c r="CH72" s="99">
        <f>'Fin Stat'!CH184</f>
        <v>0</v>
      </c>
      <c r="CI72" s="99">
        <f>'Fin Stat'!CI184</f>
        <v>0</v>
      </c>
      <c r="CK72" s="312"/>
      <c r="CM72" s="312"/>
      <c r="CO72" s="311"/>
      <c r="EX72" s="10" t="str">
        <f t="shared" si="1"/>
        <v>Repayment of capital grants</v>
      </c>
    </row>
    <row r="73" spans="1:154" x14ac:dyDescent="0.35">
      <c r="C73" s="213" t="s">
        <v>1825</v>
      </c>
      <c r="D73" t="s">
        <v>1826</v>
      </c>
      <c r="V73" s="10">
        <f>SUM('Fin Stat'!V$185:V$190)</f>
        <v>0</v>
      </c>
      <c r="W73" s="10">
        <f>SUM('Fin Stat'!W$185:W$190)</f>
        <v>0</v>
      </c>
      <c r="X73" s="10">
        <f>SUM('Fin Stat'!X$185:X$190)</f>
        <v>0</v>
      </c>
      <c r="Y73" s="10">
        <f>SUM('Fin Stat'!Y$185:Y$190)</f>
        <v>0</v>
      </c>
      <c r="AA73" s="10">
        <f>SUM('Fin Stat'!AA$185:AA$190)</f>
        <v>0</v>
      </c>
      <c r="AB73" s="10">
        <f>SUM('Fin Stat'!AB$185:AB$190)</f>
        <v>0</v>
      </c>
      <c r="AC73" s="10">
        <f>SUM('Fin Stat'!AC$185:AC$190)</f>
        <v>0</v>
      </c>
      <c r="AD73" s="10">
        <f>SUM('Fin Stat'!AD$185:AD$190)</f>
        <v>0</v>
      </c>
      <c r="AE73" s="10">
        <f>SUM('Fin Stat'!AE$185:AE$190)</f>
        <v>0</v>
      </c>
      <c r="AF73" s="10">
        <f>SUM('Fin Stat'!AF$185:AF$190)</f>
        <v>0</v>
      </c>
      <c r="AG73" s="10">
        <f>SUM('Fin Stat'!AG$185:AG$190)</f>
        <v>0</v>
      </c>
      <c r="AH73" s="10">
        <f>SUM('Fin Stat'!AH$185:AH$190)</f>
        <v>0</v>
      </c>
      <c r="AI73" s="10">
        <f>SUM('Fin Stat'!AI$185:AI$190)</f>
        <v>0</v>
      </c>
      <c r="AJ73" s="10">
        <f>SUM('Fin Stat'!AJ$185:AJ$190)</f>
        <v>0</v>
      </c>
      <c r="AK73" s="10">
        <f>SUM('Fin Stat'!AK$185:AK$190)</f>
        <v>0</v>
      </c>
      <c r="AL73" s="10">
        <f>SUM('Fin Stat'!AL$185:AL$190)</f>
        <v>0</v>
      </c>
      <c r="AM73" s="10">
        <f>SUM('Fin Stat'!AM$185:AM$190)</f>
        <v>0</v>
      </c>
      <c r="AN73" s="10">
        <f>SUM('Fin Stat'!AN$185:AN$190)</f>
        <v>0</v>
      </c>
      <c r="AO73" s="10">
        <f>SUM('Fin Stat'!AO$185:AO$190)</f>
        <v>0</v>
      </c>
      <c r="AP73" s="10">
        <f>SUM('Fin Stat'!AP$185:AP$190)</f>
        <v>0</v>
      </c>
      <c r="AQ73" s="10">
        <f>SUM('Fin Stat'!AQ$185:AQ$190)</f>
        <v>0</v>
      </c>
      <c r="AR73" s="10">
        <f>SUM('Fin Stat'!AR$185:AR$190)</f>
        <v>0</v>
      </c>
      <c r="AS73" s="10">
        <f>SUM('Fin Stat'!AS$185:AS$190)</f>
        <v>0</v>
      </c>
      <c r="AT73" s="10">
        <f>SUM('Fin Stat'!AT$185:AT$190)</f>
        <v>0</v>
      </c>
      <c r="AU73" s="10">
        <f>SUM('Fin Stat'!AU$185:AU$190)</f>
        <v>0</v>
      </c>
      <c r="AV73" s="10">
        <f>SUM('Fin Stat'!AV$185:AV$190)</f>
        <v>0</v>
      </c>
      <c r="AW73" s="10">
        <f>SUM('Fin Stat'!AW$185:AW$190)</f>
        <v>0</v>
      </c>
      <c r="AX73" s="10">
        <f>SUM('Fin Stat'!AX$185:AX$190)</f>
        <v>0</v>
      </c>
      <c r="AY73" s="10">
        <f>SUM('Fin Stat'!AY$185:AY$190)</f>
        <v>0</v>
      </c>
      <c r="AZ73" s="10">
        <f>SUM('Fin Stat'!AZ$185:AZ$190)</f>
        <v>0</v>
      </c>
      <c r="BA73" s="10">
        <f>SUM('Fin Stat'!BA$185:BA$190)</f>
        <v>0</v>
      </c>
      <c r="BB73" s="10">
        <f>SUM('Fin Stat'!BB$185:BB$190)</f>
        <v>0</v>
      </c>
      <c r="BC73" s="10">
        <f>SUM('Fin Stat'!BC$185:BC$190)</f>
        <v>0</v>
      </c>
      <c r="BD73" s="10">
        <f>SUM('Fin Stat'!BD$185:BD$190)</f>
        <v>0</v>
      </c>
      <c r="BE73" s="10">
        <f>SUM('Fin Stat'!BE$185:BE$190)</f>
        <v>0</v>
      </c>
      <c r="BF73" s="10">
        <f>SUM('Fin Stat'!BF$185:BF$190)</f>
        <v>0</v>
      </c>
      <c r="BG73" s="10">
        <f>SUM('Fin Stat'!BG$185:BG$190)</f>
        <v>0</v>
      </c>
      <c r="BH73" s="10">
        <f>SUM('Fin Stat'!BH$185:BH$190)</f>
        <v>0</v>
      </c>
      <c r="BI73" s="10">
        <f>SUM('Fin Stat'!BI$185:BI$190)</f>
        <v>0</v>
      </c>
      <c r="BJ73" s="10">
        <f>SUM('Fin Stat'!BJ$185:BJ$190)</f>
        <v>0</v>
      </c>
      <c r="BX73" s="10">
        <f>SUM('Fin Stat'!BX$185:BX$190)</f>
        <v>0</v>
      </c>
      <c r="BY73" s="10">
        <f>SUM('Fin Stat'!BY$185:BY$190)</f>
        <v>0</v>
      </c>
      <c r="BZ73" s="10">
        <f>SUM('Fin Stat'!BZ$185:BZ$190)</f>
        <v>0</v>
      </c>
      <c r="CA73" s="10">
        <f>SUM('Fin Stat'!CA$185:CA$190)</f>
        <v>0</v>
      </c>
      <c r="CB73" s="10">
        <f>SUM('Fin Stat'!CB$185:CB$190)</f>
        <v>0</v>
      </c>
      <c r="CC73" s="10">
        <f>SUM('Fin Stat'!CC$185:CC$190)</f>
        <v>0</v>
      </c>
      <c r="CD73" s="10">
        <f>SUM('Fin Stat'!CD$185:CD$190)</f>
        <v>0</v>
      </c>
      <c r="CE73" s="10">
        <f>SUM('Fin Stat'!CE$185:CE$190)</f>
        <v>0</v>
      </c>
      <c r="CF73" s="10">
        <f>SUM('Fin Stat'!CF$185:CF$190)</f>
        <v>0</v>
      </c>
      <c r="CG73" s="10">
        <f>SUM('Fin Stat'!CG$185:CG$190)</f>
        <v>0</v>
      </c>
      <c r="CH73" s="10">
        <f>SUM('Fin Stat'!CH$185:CH$190)</f>
        <v>0</v>
      </c>
      <c r="CI73" s="10">
        <f>SUM('Fin Stat'!CI$185:CI$190)</f>
        <v>0</v>
      </c>
      <c r="CK73" s="312"/>
      <c r="CM73" s="312"/>
      <c r="CO73" s="311"/>
      <c r="EX73" s="10" t="str">
        <f t="shared" si="1"/>
        <v>Payments made to acquire non-current assets and investments</v>
      </c>
    </row>
    <row r="74" spans="1:154" x14ac:dyDescent="0.35">
      <c r="C74" s="213" t="str">
        <f>'Fin Stat'!C191</f>
        <v>IC-2d</v>
      </c>
      <c r="D74" t="s">
        <v>1604</v>
      </c>
      <c r="V74" s="10">
        <f>'Fin Stat'!V191</f>
        <v>0</v>
      </c>
      <c r="W74" s="99">
        <f>'Fin Stat'!W191</f>
        <v>0</v>
      </c>
      <c r="X74" s="99">
        <f>'Fin Stat'!X191</f>
        <v>0</v>
      </c>
      <c r="Y74" s="99">
        <f>'Fin Stat'!Y191</f>
        <v>0</v>
      </c>
      <c r="AA74" s="99">
        <f>'Fin Stat'!AA191</f>
        <v>0</v>
      </c>
      <c r="AB74" s="99">
        <f>'Fin Stat'!AB191</f>
        <v>0</v>
      </c>
      <c r="AC74" s="99">
        <f>'Fin Stat'!AC191</f>
        <v>0</v>
      </c>
      <c r="AD74" s="99">
        <f>'Fin Stat'!AD191</f>
        <v>0</v>
      </c>
      <c r="AE74" s="99">
        <f>'Fin Stat'!AE191</f>
        <v>0</v>
      </c>
      <c r="AF74" s="99">
        <f>'Fin Stat'!AF191</f>
        <v>0</v>
      </c>
      <c r="AG74" s="99">
        <f>'Fin Stat'!AG191</f>
        <v>0</v>
      </c>
      <c r="AH74" s="99">
        <f>'Fin Stat'!AH191</f>
        <v>0</v>
      </c>
      <c r="AI74" s="99">
        <f>'Fin Stat'!AI191</f>
        <v>0</v>
      </c>
      <c r="AJ74" s="99">
        <f>'Fin Stat'!AJ191</f>
        <v>0</v>
      </c>
      <c r="AK74" s="99">
        <f>'Fin Stat'!AK191</f>
        <v>0</v>
      </c>
      <c r="AL74" s="99">
        <f>'Fin Stat'!AL191</f>
        <v>0</v>
      </c>
      <c r="AM74" s="99">
        <f>'Fin Stat'!AM191</f>
        <v>0</v>
      </c>
      <c r="AN74" s="99">
        <f>'Fin Stat'!AN191</f>
        <v>0</v>
      </c>
      <c r="AO74" s="99">
        <f>'Fin Stat'!AO191</f>
        <v>0</v>
      </c>
      <c r="AP74" s="99">
        <f>'Fin Stat'!AP191</f>
        <v>0</v>
      </c>
      <c r="AQ74" s="99">
        <f>'Fin Stat'!AQ191</f>
        <v>0</v>
      </c>
      <c r="AR74" s="99">
        <f>'Fin Stat'!AR191</f>
        <v>0</v>
      </c>
      <c r="AS74" s="99">
        <f>'Fin Stat'!AS191</f>
        <v>0</v>
      </c>
      <c r="AT74" s="99">
        <f>'Fin Stat'!AT191</f>
        <v>0</v>
      </c>
      <c r="AU74" s="99">
        <f>'Fin Stat'!AU191</f>
        <v>0</v>
      </c>
      <c r="AV74" s="99">
        <f>'Fin Stat'!AV191</f>
        <v>0</v>
      </c>
      <c r="AW74" s="99">
        <f>'Fin Stat'!AW191</f>
        <v>0</v>
      </c>
      <c r="AX74" s="99">
        <f>'Fin Stat'!AX191</f>
        <v>0</v>
      </c>
      <c r="AY74" s="99">
        <f>'Fin Stat'!AY191</f>
        <v>0</v>
      </c>
      <c r="AZ74" s="99">
        <f>'Fin Stat'!AZ191</f>
        <v>0</v>
      </c>
      <c r="BA74" s="99">
        <f>'Fin Stat'!BA191</f>
        <v>0</v>
      </c>
      <c r="BB74" s="99">
        <f>'Fin Stat'!BB191</f>
        <v>0</v>
      </c>
      <c r="BC74" s="99">
        <f>'Fin Stat'!BC191</f>
        <v>0</v>
      </c>
      <c r="BD74" s="99">
        <f>'Fin Stat'!BD191</f>
        <v>0</v>
      </c>
      <c r="BE74" s="99">
        <f>'Fin Stat'!BE191</f>
        <v>0</v>
      </c>
      <c r="BF74" s="99">
        <f>'Fin Stat'!BF191</f>
        <v>0</v>
      </c>
      <c r="BG74" s="99">
        <f>'Fin Stat'!BG191</f>
        <v>0</v>
      </c>
      <c r="BH74" s="99">
        <f>'Fin Stat'!BH191</f>
        <v>0</v>
      </c>
      <c r="BI74" s="99">
        <f>'Fin Stat'!BI191</f>
        <v>0</v>
      </c>
      <c r="BJ74" s="99">
        <f>'Fin Stat'!BJ191</f>
        <v>0</v>
      </c>
      <c r="BX74" s="99">
        <f>'Fin Stat'!BX191</f>
        <v>0</v>
      </c>
      <c r="BY74" s="99">
        <f>'Fin Stat'!BY191</f>
        <v>0</v>
      </c>
      <c r="BZ74" s="99">
        <f>'Fin Stat'!BZ191</f>
        <v>0</v>
      </c>
      <c r="CA74" s="99">
        <f>'Fin Stat'!CA191</f>
        <v>0</v>
      </c>
      <c r="CB74" s="99">
        <f>'Fin Stat'!CB191</f>
        <v>0</v>
      </c>
      <c r="CC74" s="99">
        <f>'Fin Stat'!CC191</f>
        <v>0</v>
      </c>
      <c r="CD74" s="99">
        <f>'Fin Stat'!CD191</f>
        <v>0</v>
      </c>
      <c r="CE74" s="99">
        <f>'Fin Stat'!CE191</f>
        <v>0</v>
      </c>
      <c r="CF74" s="99">
        <f>'Fin Stat'!CF191</f>
        <v>0</v>
      </c>
      <c r="CG74" s="99">
        <f>'Fin Stat'!CG191</f>
        <v>0</v>
      </c>
      <c r="CH74" s="99">
        <f>'Fin Stat'!CH191</f>
        <v>0</v>
      </c>
      <c r="CI74" s="99">
        <f>'Fin Stat'!CI191</f>
        <v>0</v>
      </c>
      <c r="CK74" s="311"/>
      <c r="CM74" s="311"/>
      <c r="CO74" s="311"/>
      <c r="EX74" s="10" t="str">
        <f t="shared" si="1"/>
        <v>Increase in/release of restricted cash</v>
      </c>
    </row>
    <row r="75" spans="1:154" x14ac:dyDescent="0.35">
      <c r="C75" s="213" t="str">
        <f>'Fin Stat'!C192</f>
        <v>IC-2e</v>
      </c>
      <c r="D75" t="s">
        <v>1827</v>
      </c>
      <c r="V75" s="10">
        <f>'Fin Stat'!V192</f>
        <v>0</v>
      </c>
      <c r="W75" s="99">
        <f>'Fin Stat'!W192</f>
        <v>0</v>
      </c>
      <c r="X75" s="99">
        <f>'Fin Stat'!X192</f>
        <v>0</v>
      </c>
      <c r="Y75" s="99">
        <f>'Fin Stat'!Y192</f>
        <v>0</v>
      </c>
      <c r="AA75" s="99">
        <f>'Fin Stat'!AA192</f>
        <v>0</v>
      </c>
      <c r="AB75" s="99">
        <f>'Fin Stat'!AB192</f>
        <v>0</v>
      </c>
      <c r="AC75" s="99">
        <f>'Fin Stat'!AC192</f>
        <v>0</v>
      </c>
      <c r="AD75" s="99">
        <f>'Fin Stat'!AD192</f>
        <v>0</v>
      </c>
      <c r="AE75" s="99">
        <f>'Fin Stat'!AE192</f>
        <v>0</v>
      </c>
      <c r="AF75" s="99">
        <f>'Fin Stat'!AF192</f>
        <v>0</v>
      </c>
      <c r="AG75" s="99">
        <f>'Fin Stat'!AG192</f>
        <v>0</v>
      </c>
      <c r="AH75" s="99">
        <f>'Fin Stat'!AH192</f>
        <v>0</v>
      </c>
      <c r="AI75" s="99">
        <f>'Fin Stat'!AI192</f>
        <v>0</v>
      </c>
      <c r="AJ75" s="99">
        <f>'Fin Stat'!AJ192</f>
        <v>0</v>
      </c>
      <c r="AK75" s="99">
        <f>'Fin Stat'!AK192</f>
        <v>0</v>
      </c>
      <c r="AL75" s="99">
        <f>'Fin Stat'!AL192</f>
        <v>0</v>
      </c>
      <c r="AM75" s="99">
        <f>'Fin Stat'!AM192</f>
        <v>0</v>
      </c>
      <c r="AN75" s="99">
        <f>'Fin Stat'!AN192</f>
        <v>0</v>
      </c>
      <c r="AO75" s="99">
        <f>'Fin Stat'!AO192</f>
        <v>0</v>
      </c>
      <c r="AP75" s="99">
        <f>'Fin Stat'!AP192</f>
        <v>0</v>
      </c>
      <c r="AQ75" s="99">
        <f>'Fin Stat'!AQ192</f>
        <v>0</v>
      </c>
      <c r="AR75" s="99">
        <f>'Fin Stat'!AR192</f>
        <v>0</v>
      </c>
      <c r="AS75" s="99">
        <f>'Fin Stat'!AS192</f>
        <v>0</v>
      </c>
      <c r="AT75" s="99">
        <f>'Fin Stat'!AT192</f>
        <v>0</v>
      </c>
      <c r="AU75" s="99">
        <f>'Fin Stat'!AU192</f>
        <v>0</v>
      </c>
      <c r="AV75" s="99">
        <f>'Fin Stat'!AV192</f>
        <v>0</v>
      </c>
      <c r="AW75" s="99">
        <f>'Fin Stat'!AW192</f>
        <v>0</v>
      </c>
      <c r="AX75" s="99">
        <f>'Fin Stat'!AX192</f>
        <v>0</v>
      </c>
      <c r="AY75" s="99">
        <f>'Fin Stat'!AY192</f>
        <v>0</v>
      </c>
      <c r="AZ75" s="99">
        <f>'Fin Stat'!AZ192</f>
        <v>0</v>
      </c>
      <c r="BA75" s="99">
        <f>'Fin Stat'!BA192</f>
        <v>0</v>
      </c>
      <c r="BB75" s="99">
        <f>'Fin Stat'!BB192</f>
        <v>0</v>
      </c>
      <c r="BC75" s="99">
        <f>'Fin Stat'!BC192</f>
        <v>0</v>
      </c>
      <c r="BD75" s="99">
        <f>'Fin Stat'!BD192</f>
        <v>0</v>
      </c>
      <c r="BE75" s="99">
        <f>'Fin Stat'!BE192</f>
        <v>0</v>
      </c>
      <c r="BF75" s="99">
        <f>'Fin Stat'!BF192</f>
        <v>0</v>
      </c>
      <c r="BG75" s="99">
        <f>'Fin Stat'!BG192</f>
        <v>0</v>
      </c>
      <c r="BH75" s="99">
        <f>'Fin Stat'!BH192</f>
        <v>0</v>
      </c>
      <c r="BI75" s="99">
        <f>'Fin Stat'!BI192</f>
        <v>0</v>
      </c>
      <c r="BJ75" s="99">
        <f>'Fin Stat'!BJ192</f>
        <v>0</v>
      </c>
      <c r="BX75" s="99">
        <f>'Fin Stat'!BX192</f>
        <v>0</v>
      </c>
      <c r="BY75" s="99">
        <f>'Fin Stat'!BY192</f>
        <v>0</v>
      </c>
      <c r="BZ75" s="99">
        <f>'Fin Stat'!BZ192</f>
        <v>0</v>
      </c>
      <c r="CA75" s="99">
        <f>'Fin Stat'!CA192</f>
        <v>0</v>
      </c>
      <c r="CB75" s="99">
        <f>'Fin Stat'!CB192</f>
        <v>0</v>
      </c>
      <c r="CC75" s="99">
        <f>'Fin Stat'!CC192</f>
        <v>0</v>
      </c>
      <c r="CD75" s="99">
        <f>'Fin Stat'!CD192</f>
        <v>0</v>
      </c>
      <c r="CE75" s="99">
        <f>'Fin Stat'!CE192</f>
        <v>0</v>
      </c>
      <c r="CF75" s="99">
        <f>'Fin Stat'!CF192</f>
        <v>0</v>
      </c>
      <c r="CG75" s="99">
        <f>'Fin Stat'!CG192</f>
        <v>0</v>
      </c>
      <c r="CH75" s="99">
        <f>'Fin Stat'!CH192</f>
        <v>0</v>
      </c>
      <c r="CI75" s="99">
        <f>'Fin Stat'!CI192</f>
        <v>0</v>
      </c>
      <c r="CK75" s="311"/>
      <c r="CM75" s="311"/>
      <c r="CO75" s="311"/>
      <c r="EX75" s="10" t="str">
        <f t="shared" si="1"/>
        <v>Receipt of deferred capital grants</v>
      </c>
    </row>
    <row r="76" spans="1:154" x14ac:dyDescent="0.35">
      <c r="C76" s="213" t="str">
        <f>'Fin Stat'!C193</f>
        <v>IC-2f</v>
      </c>
      <c r="D76" t="s">
        <v>1828</v>
      </c>
      <c r="V76" s="10">
        <f>'Fin Stat'!V193</f>
        <v>0</v>
      </c>
      <c r="W76" s="10">
        <f>'Fin Stat'!W193</f>
        <v>0</v>
      </c>
      <c r="X76" s="10">
        <f>'Fin Stat'!X193</f>
        <v>0</v>
      </c>
      <c r="Y76" s="10">
        <f>'Fin Stat'!Y193</f>
        <v>0</v>
      </c>
      <c r="AA76" s="10">
        <f>'Fin Stat'!AA193</f>
        <v>0</v>
      </c>
      <c r="AB76" s="10">
        <f>'Fin Stat'!AB193</f>
        <v>0</v>
      </c>
      <c r="AC76" s="10">
        <f>'Fin Stat'!AC193</f>
        <v>0</v>
      </c>
      <c r="AD76" s="10">
        <f>'Fin Stat'!AD193</f>
        <v>0</v>
      </c>
      <c r="AE76" s="10">
        <f>'Fin Stat'!AE193</f>
        <v>0</v>
      </c>
      <c r="AF76" s="10">
        <f>'Fin Stat'!AF193</f>
        <v>0</v>
      </c>
      <c r="AG76" s="10">
        <f>'Fin Stat'!AG193</f>
        <v>0</v>
      </c>
      <c r="AH76" s="10">
        <f>'Fin Stat'!AH193</f>
        <v>0</v>
      </c>
      <c r="AI76" s="10">
        <f>'Fin Stat'!AI193</f>
        <v>0</v>
      </c>
      <c r="AJ76" s="10">
        <f>'Fin Stat'!AJ193</f>
        <v>0</v>
      </c>
      <c r="AK76" s="10">
        <f>'Fin Stat'!AK193</f>
        <v>0</v>
      </c>
      <c r="AL76" s="10">
        <f>'Fin Stat'!AL193</f>
        <v>0</v>
      </c>
      <c r="AM76" s="10">
        <f>'Fin Stat'!AM193</f>
        <v>0</v>
      </c>
      <c r="AN76" s="10">
        <f>'Fin Stat'!AN193</f>
        <v>0</v>
      </c>
      <c r="AO76" s="10">
        <f>'Fin Stat'!AO193</f>
        <v>0</v>
      </c>
      <c r="AP76" s="10">
        <f>'Fin Stat'!AP193</f>
        <v>0</v>
      </c>
      <c r="AQ76" s="10">
        <f>'Fin Stat'!AQ193</f>
        <v>0</v>
      </c>
      <c r="AR76" s="10">
        <f>'Fin Stat'!AR193</f>
        <v>0</v>
      </c>
      <c r="AS76" s="10">
        <f>'Fin Stat'!AS193</f>
        <v>0</v>
      </c>
      <c r="AT76" s="10">
        <f>'Fin Stat'!AT193</f>
        <v>0</v>
      </c>
      <c r="AU76" s="10">
        <f>'Fin Stat'!AU193</f>
        <v>0</v>
      </c>
      <c r="AV76" s="10">
        <f>'Fin Stat'!AV193</f>
        <v>0</v>
      </c>
      <c r="AW76" s="10">
        <f>'Fin Stat'!AW193</f>
        <v>0</v>
      </c>
      <c r="AX76" s="10">
        <f>'Fin Stat'!AX193</f>
        <v>0</v>
      </c>
      <c r="AY76" s="10">
        <f>'Fin Stat'!AY193</f>
        <v>0</v>
      </c>
      <c r="AZ76" s="10">
        <f>'Fin Stat'!AZ193</f>
        <v>0</v>
      </c>
      <c r="BA76" s="10">
        <f>'Fin Stat'!BA193</f>
        <v>0</v>
      </c>
      <c r="BB76" s="10">
        <f>'Fin Stat'!BB193</f>
        <v>0</v>
      </c>
      <c r="BC76" s="10">
        <f>'Fin Stat'!BC193</f>
        <v>0</v>
      </c>
      <c r="BD76" s="10">
        <f>'Fin Stat'!BD193</f>
        <v>0</v>
      </c>
      <c r="BE76" s="10">
        <f>'Fin Stat'!BE193</f>
        <v>0</v>
      </c>
      <c r="BF76" s="10">
        <f>'Fin Stat'!BF193</f>
        <v>0</v>
      </c>
      <c r="BG76" s="10">
        <f>'Fin Stat'!BG193</f>
        <v>0</v>
      </c>
      <c r="BH76" s="10">
        <f>'Fin Stat'!BH193</f>
        <v>0</v>
      </c>
      <c r="BI76" s="10">
        <f>'Fin Stat'!BI193</f>
        <v>0</v>
      </c>
      <c r="BJ76" s="10">
        <f>'Fin Stat'!BJ193</f>
        <v>0</v>
      </c>
      <c r="BX76" s="10">
        <f>'Fin Stat'!BX193</f>
        <v>0</v>
      </c>
      <c r="BY76" s="10">
        <f>'Fin Stat'!BY193</f>
        <v>0</v>
      </c>
      <c r="BZ76" s="10">
        <f>'Fin Stat'!BZ193</f>
        <v>0</v>
      </c>
      <c r="CA76" s="10">
        <f>'Fin Stat'!CA193</f>
        <v>0</v>
      </c>
      <c r="CB76" s="10">
        <f>'Fin Stat'!CB193</f>
        <v>0</v>
      </c>
      <c r="CC76" s="10">
        <f>'Fin Stat'!CC193</f>
        <v>0</v>
      </c>
      <c r="CD76" s="10">
        <f>'Fin Stat'!CD193</f>
        <v>0</v>
      </c>
      <c r="CE76" s="10">
        <f>'Fin Stat'!CE193</f>
        <v>0</v>
      </c>
      <c r="CF76" s="10">
        <f>'Fin Stat'!CF193</f>
        <v>0</v>
      </c>
      <c r="CG76" s="10">
        <f>'Fin Stat'!CG193</f>
        <v>0</v>
      </c>
      <c r="CH76" s="10">
        <f>'Fin Stat'!CH193</f>
        <v>0</v>
      </c>
      <c r="CI76" s="10">
        <f>'Fin Stat'!CI193</f>
        <v>0</v>
      </c>
      <c r="CK76" s="311"/>
      <c r="CM76" s="311"/>
      <c r="CO76" s="311"/>
      <c r="EX76" s="10"/>
    </row>
    <row r="77" spans="1:154" ht="14.65" customHeight="1" x14ac:dyDescent="0.35">
      <c r="C77" s="213" t="str">
        <f>'Fin Stat'!C194</f>
        <v>IC-2g</v>
      </c>
      <c r="D77" t="s">
        <v>441</v>
      </c>
      <c r="V77" s="10">
        <f>'Fin Stat'!V194</f>
        <v>0</v>
      </c>
      <c r="W77" s="10">
        <f>'Fin Stat'!W194</f>
        <v>0</v>
      </c>
      <c r="X77" s="10">
        <f>'Fin Stat'!X194</f>
        <v>0</v>
      </c>
      <c r="Y77" s="10">
        <f>'Fin Stat'!Y194</f>
        <v>0</v>
      </c>
      <c r="AA77" s="10">
        <f>'Fin Stat'!AA194</f>
        <v>0</v>
      </c>
      <c r="AB77" s="10">
        <f>'Fin Stat'!AB194</f>
        <v>0</v>
      </c>
      <c r="AC77" s="10">
        <f>'Fin Stat'!AC194</f>
        <v>0</v>
      </c>
      <c r="AD77" s="10">
        <f>'Fin Stat'!AD194</f>
        <v>0</v>
      </c>
      <c r="AE77" s="10">
        <f>'Fin Stat'!AE194</f>
        <v>0</v>
      </c>
      <c r="AF77" s="10">
        <f>'Fin Stat'!AF194</f>
        <v>0</v>
      </c>
      <c r="AG77" s="10">
        <f>'Fin Stat'!AG194</f>
        <v>0</v>
      </c>
      <c r="AH77" s="10">
        <f>'Fin Stat'!AH194</f>
        <v>0</v>
      </c>
      <c r="AI77" s="10">
        <f>'Fin Stat'!AI194</f>
        <v>0</v>
      </c>
      <c r="AJ77" s="10">
        <f>'Fin Stat'!AJ194</f>
        <v>0</v>
      </c>
      <c r="AK77" s="10">
        <f>'Fin Stat'!AK194</f>
        <v>0</v>
      </c>
      <c r="AL77" s="10">
        <f>'Fin Stat'!AL194</f>
        <v>0</v>
      </c>
      <c r="AM77" s="10">
        <f>'Fin Stat'!AM194</f>
        <v>0</v>
      </c>
      <c r="AN77" s="10">
        <f>'Fin Stat'!AN194</f>
        <v>0</v>
      </c>
      <c r="AO77" s="10">
        <f>'Fin Stat'!AO194</f>
        <v>0</v>
      </c>
      <c r="AP77" s="10">
        <f>'Fin Stat'!AP194</f>
        <v>0</v>
      </c>
      <c r="AQ77" s="10">
        <f>'Fin Stat'!AQ194</f>
        <v>0</v>
      </c>
      <c r="AR77" s="10">
        <f>'Fin Stat'!AR194</f>
        <v>0</v>
      </c>
      <c r="AS77" s="10">
        <f>'Fin Stat'!AS194</f>
        <v>0</v>
      </c>
      <c r="AT77" s="10">
        <f>'Fin Stat'!AT194</f>
        <v>0</v>
      </c>
      <c r="AU77" s="10">
        <f>'Fin Stat'!AU194</f>
        <v>0</v>
      </c>
      <c r="AV77" s="10">
        <f>'Fin Stat'!AV194</f>
        <v>0</v>
      </c>
      <c r="AW77" s="10">
        <f>'Fin Stat'!AW194</f>
        <v>0</v>
      </c>
      <c r="AX77" s="10">
        <f>'Fin Stat'!AX194</f>
        <v>0</v>
      </c>
      <c r="AY77" s="10">
        <f>'Fin Stat'!AY194</f>
        <v>0</v>
      </c>
      <c r="AZ77" s="10">
        <f>'Fin Stat'!AZ194</f>
        <v>0</v>
      </c>
      <c r="BA77" s="10">
        <f>'Fin Stat'!BA194</f>
        <v>0</v>
      </c>
      <c r="BB77" s="10">
        <f>'Fin Stat'!BB194</f>
        <v>0</v>
      </c>
      <c r="BC77" s="10">
        <f>'Fin Stat'!BC194</f>
        <v>0</v>
      </c>
      <c r="BD77" s="10">
        <f>'Fin Stat'!BD194</f>
        <v>0</v>
      </c>
      <c r="BE77" s="10">
        <f>'Fin Stat'!BE194</f>
        <v>0</v>
      </c>
      <c r="BF77" s="10">
        <f>'Fin Stat'!BF194</f>
        <v>0</v>
      </c>
      <c r="BG77" s="10">
        <f>'Fin Stat'!BG194</f>
        <v>0</v>
      </c>
      <c r="BH77" s="10">
        <f>'Fin Stat'!BH194</f>
        <v>0</v>
      </c>
      <c r="BI77" s="10">
        <f>'Fin Stat'!BI194</f>
        <v>0</v>
      </c>
      <c r="BJ77" s="10">
        <f>'Fin Stat'!BJ194</f>
        <v>0</v>
      </c>
      <c r="BX77" s="10">
        <f>'Fin Stat'!BX194</f>
        <v>0</v>
      </c>
      <c r="BY77" s="10">
        <f>'Fin Stat'!BY194</f>
        <v>0</v>
      </c>
      <c r="BZ77" s="10">
        <f>'Fin Stat'!BZ194</f>
        <v>0</v>
      </c>
      <c r="CA77" s="10">
        <f>'Fin Stat'!CA194</f>
        <v>0</v>
      </c>
      <c r="CB77" s="10">
        <f>'Fin Stat'!CB194</f>
        <v>0</v>
      </c>
      <c r="CC77" s="10">
        <f>'Fin Stat'!CC194</f>
        <v>0</v>
      </c>
      <c r="CD77" s="10">
        <f>'Fin Stat'!CD194</f>
        <v>0</v>
      </c>
      <c r="CE77" s="10">
        <f>'Fin Stat'!CE194</f>
        <v>0</v>
      </c>
      <c r="CF77" s="10">
        <f>'Fin Stat'!CF194</f>
        <v>0</v>
      </c>
      <c r="CG77" s="10">
        <f>'Fin Stat'!CG194</f>
        <v>0</v>
      </c>
      <c r="CH77" s="10">
        <f>'Fin Stat'!CH194</f>
        <v>0</v>
      </c>
      <c r="CI77" s="10">
        <f>'Fin Stat'!CI194</f>
        <v>0</v>
      </c>
      <c r="CK77" s="311"/>
      <c r="CM77" s="311"/>
      <c r="CO77" s="311"/>
      <c r="EX77" s="10" t="str">
        <f t="shared" ref="EX77:EX86" si="4">IF($C77="","",$D77)</f>
        <v>Interest and investment income</v>
      </c>
    </row>
    <row r="78" spans="1:154" x14ac:dyDescent="0.35">
      <c r="C78" s="213" t="str">
        <f>'Fin Stat'!C$195</f>
        <v>IC-2</v>
      </c>
      <c r="D78" s="5" t="s">
        <v>1829</v>
      </c>
      <c r="V78" s="12">
        <f>'Fin Stat'!V$195</f>
        <v>0</v>
      </c>
      <c r="W78" s="12">
        <f>'Fin Stat'!W$195</f>
        <v>0</v>
      </c>
      <c r="X78" s="12">
        <f>'Fin Stat'!X$195</f>
        <v>0</v>
      </c>
      <c r="Y78" s="12">
        <f>'Fin Stat'!Y$195</f>
        <v>0</v>
      </c>
      <c r="AA78" s="12">
        <f>'Fin Stat'!AA$195</f>
        <v>0</v>
      </c>
      <c r="AB78" s="12">
        <f>'Fin Stat'!AB$195</f>
        <v>0</v>
      </c>
      <c r="AC78" s="12">
        <f>'Fin Stat'!AC$195</f>
        <v>0</v>
      </c>
      <c r="AD78" s="12">
        <f>'Fin Stat'!AD$195</f>
        <v>0</v>
      </c>
      <c r="AE78" s="12">
        <f>'Fin Stat'!AE$195</f>
        <v>0</v>
      </c>
      <c r="AF78" s="12">
        <f>'Fin Stat'!AF$195</f>
        <v>0</v>
      </c>
      <c r="AG78" s="12">
        <f>'Fin Stat'!AG$195</f>
        <v>0</v>
      </c>
      <c r="AH78" s="12">
        <f>'Fin Stat'!AH$195</f>
        <v>0</v>
      </c>
      <c r="AI78" s="12">
        <f>'Fin Stat'!AI$195</f>
        <v>0</v>
      </c>
      <c r="AJ78" s="12">
        <f>'Fin Stat'!AJ$195</f>
        <v>0</v>
      </c>
      <c r="AK78" s="12">
        <f>'Fin Stat'!AK$195</f>
        <v>0</v>
      </c>
      <c r="AL78" s="12">
        <f>'Fin Stat'!AL$195</f>
        <v>0</v>
      </c>
      <c r="AM78" s="12">
        <f>'Fin Stat'!AM$195</f>
        <v>0</v>
      </c>
      <c r="AN78" s="12">
        <f>'Fin Stat'!AN$195</f>
        <v>0</v>
      </c>
      <c r="AO78" s="12">
        <f>'Fin Stat'!AO$195</f>
        <v>0</v>
      </c>
      <c r="AP78" s="12">
        <f>'Fin Stat'!AP$195</f>
        <v>0</v>
      </c>
      <c r="AQ78" s="12">
        <f>'Fin Stat'!AQ$195</f>
        <v>0</v>
      </c>
      <c r="AR78" s="12">
        <f>'Fin Stat'!AR$195</f>
        <v>0</v>
      </c>
      <c r="AS78" s="12">
        <f>'Fin Stat'!AS$195</f>
        <v>0</v>
      </c>
      <c r="AT78" s="12">
        <f>'Fin Stat'!AT$195</f>
        <v>0</v>
      </c>
      <c r="AU78" s="12">
        <f>'Fin Stat'!AU$195</f>
        <v>0</v>
      </c>
      <c r="AV78" s="12">
        <f>'Fin Stat'!AV$195</f>
        <v>0</v>
      </c>
      <c r="AW78" s="12">
        <f>'Fin Stat'!AW$195</f>
        <v>0</v>
      </c>
      <c r="AX78" s="12">
        <f>'Fin Stat'!AX$195</f>
        <v>0</v>
      </c>
      <c r="AY78" s="12">
        <f>'Fin Stat'!AY$195</f>
        <v>0</v>
      </c>
      <c r="AZ78" s="12">
        <f>'Fin Stat'!AZ$195</f>
        <v>0</v>
      </c>
      <c r="BA78" s="12">
        <f>'Fin Stat'!BA$195</f>
        <v>0</v>
      </c>
      <c r="BB78" s="12">
        <f>'Fin Stat'!BB$195</f>
        <v>0</v>
      </c>
      <c r="BC78" s="12">
        <f>'Fin Stat'!BC$195</f>
        <v>0</v>
      </c>
      <c r="BD78" s="12">
        <f>'Fin Stat'!BD$195</f>
        <v>0</v>
      </c>
      <c r="BE78" s="12">
        <f>'Fin Stat'!BE$195</f>
        <v>0</v>
      </c>
      <c r="BF78" s="12">
        <f>'Fin Stat'!BF$195</f>
        <v>0</v>
      </c>
      <c r="BG78" s="12">
        <f>'Fin Stat'!BG$195</f>
        <v>0</v>
      </c>
      <c r="BH78" s="12">
        <f>'Fin Stat'!BH$195</f>
        <v>0</v>
      </c>
      <c r="BI78" s="12">
        <f>'Fin Stat'!BI$195</f>
        <v>0</v>
      </c>
      <c r="BJ78" s="12">
        <f>'Fin Stat'!BJ$195</f>
        <v>0</v>
      </c>
      <c r="BX78" s="12">
        <f>'Fin Stat'!BX$195</f>
        <v>0</v>
      </c>
      <c r="BY78" s="12">
        <f>'Fin Stat'!BY$195</f>
        <v>0</v>
      </c>
      <c r="BZ78" s="12">
        <f>'Fin Stat'!BZ$195</f>
        <v>0</v>
      </c>
      <c r="CA78" s="12">
        <f>'Fin Stat'!CA$195</f>
        <v>0</v>
      </c>
      <c r="CB78" s="12">
        <f>'Fin Stat'!CB$195</f>
        <v>0</v>
      </c>
      <c r="CC78" s="12">
        <f>'Fin Stat'!CC$195</f>
        <v>0</v>
      </c>
      <c r="CD78" s="12">
        <f>'Fin Stat'!CD$195</f>
        <v>0</v>
      </c>
      <c r="CE78" s="12">
        <f>'Fin Stat'!CE$195</f>
        <v>0</v>
      </c>
      <c r="CF78" s="12">
        <f>'Fin Stat'!CF$195</f>
        <v>0</v>
      </c>
      <c r="CG78" s="12">
        <f>'Fin Stat'!CG$195</f>
        <v>0</v>
      </c>
      <c r="CH78" s="12">
        <f>'Fin Stat'!CH$195</f>
        <v>0</v>
      </c>
      <c r="CI78" s="12">
        <f>'Fin Stat'!CI$195</f>
        <v>0</v>
      </c>
      <c r="CK78" s="312"/>
      <c r="CM78" s="312"/>
      <c r="CO78" s="311"/>
      <c r="EX78" s="10" t="str">
        <f t="shared" si="4"/>
        <v>Net cash flow from investing activities</v>
      </c>
    </row>
    <row r="79" spans="1:154" ht="8.25" customHeight="1" x14ac:dyDescent="0.35">
      <c r="C79" s="213"/>
      <c r="E79"/>
      <c r="CK79" s="311"/>
      <c r="CM79" s="311"/>
      <c r="CO79" s="311"/>
      <c r="EX79" s="10" t="str">
        <f t="shared" si="4"/>
        <v/>
      </c>
    </row>
    <row r="80" spans="1:154" x14ac:dyDescent="0.35">
      <c r="A80" s="537" cm="1">
        <f t="array" aca="1" ref="A80" ca="1">HYPERLINK(CONCATENATE("#",CELL("address",IF(MAX($CM80:$CO80)=0,A80,INDEX($CM80:$CO80,MATCH(1,$CM80:$CO80,0))))),MAX($CM80:$CO80))</f>
        <v>0</v>
      </c>
      <c r="C80" s="213"/>
      <c r="D80" s="217" t="s">
        <v>1830</v>
      </c>
      <c r="E80" s="217"/>
      <c r="F80" s="217"/>
      <c r="G80" s="217"/>
      <c r="H80" s="217"/>
      <c r="I80" s="217"/>
      <c r="J80" s="217"/>
      <c r="K80" s="217"/>
      <c r="L80" s="217"/>
      <c r="M80" s="217"/>
      <c r="N80" s="217"/>
      <c r="O80" s="217"/>
      <c r="P80" s="217"/>
      <c r="Q80" s="217"/>
      <c r="R80" s="217"/>
      <c r="S80" s="217"/>
      <c r="T80" s="217"/>
      <c r="U80" s="217"/>
      <c r="V80" s="125">
        <f>ROUND(V78-SUM(V71:V77)*V$52, rounding)</f>
        <v>0</v>
      </c>
      <c r="W80" s="125">
        <f>ROUND(W78-SUM(W71:W77)*W$52, rounding)</f>
        <v>0</v>
      </c>
      <c r="X80" s="125">
        <f>ROUND(X78-SUM(X71:X77)*X$52, rounding)</f>
        <v>0</v>
      </c>
      <c r="Y80" s="125">
        <f>ROUND(Y78-SUM(Y71:Y77)*Y$52, rounding)</f>
        <v>0</v>
      </c>
      <c r="AA80" s="125">
        <f t="shared" ref="AA80:BJ80" si="5">ROUND(AA78-SUM(AA71:AA77)*AA$52, rounding)</f>
        <v>0</v>
      </c>
      <c r="AB80" s="125">
        <f t="shared" si="5"/>
        <v>0</v>
      </c>
      <c r="AC80" s="125">
        <f t="shared" si="5"/>
        <v>0</v>
      </c>
      <c r="AD80" s="125">
        <f t="shared" si="5"/>
        <v>0</v>
      </c>
      <c r="AE80" s="125">
        <f t="shared" si="5"/>
        <v>0</v>
      </c>
      <c r="AF80" s="125">
        <f t="shared" si="5"/>
        <v>0</v>
      </c>
      <c r="AG80" s="125">
        <f t="shared" si="5"/>
        <v>0</v>
      </c>
      <c r="AH80" s="125">
        <f t="shared" si="5"/>
        <v>0</v>
      </c>
      <c r="AI80" s="125">
        <f t="shared" si="5"/>
        <v>0</v>
      </c>
      <c r="AJ80" s="125">
        <f t="shared" si="5"/>
        <v>0</v>
      </c>
      <c r="AK80" s="125">
        <f t="shared" si="5"/>
        <v>0</v>
      </c>
      <c r="AL80" s="125">
        <f t="shared" si="5"/>
        <v>0</v>
      </c>
      <c r="AM80" s="125">
        <f t="shared" si="5"/>
        <v>0</v>
      </c>
      <c r="AN80" s="125">
        <f t="shared" si="5"/>
        <v>0</v>
      </c>
      <c r="AO80" s="125">
        <f t="shared" si="5"/>
        <v>0</v>
      </c>
      <c r="AP80" s="125">
        <f t="shared" si="5"/>
        <v>0</v>
      </c>
      <c r="AQ80" s="125">
        <f t="shared" si="5"/>
        <v>0</v>
      </c>
      <c r="AR80" s="125">
        <f t="shared" si="5"/>
        <v>0</v>
      </c>
      <c r="AS80" s="125">
        <f t="shared" si="5"/>
        <v>0</v>
      </c>
      <c r="AT80" s="125">
        <f t="shared" si="5"/>
        <v>0</v>
      </c>
      <c r="AU80" s="125">
        <f t="shared" si="5"/>
        <v>0</v>
      </c>
      <c r="AV80" s="125">
        <f t="shared" si="5"/>
        <v>0</v>
      </c>
      <c r="AW80" s="125">
        <f t="shared" si="5"/>
        <v>0</v>
      </c>
      <c r="AX80" s="125">
        <f t="shared" si="5"/>
        <v>0</v>
      </c>
      <c r="AY80" s="125">
        <f t="shared" si="5"/>
        <v>0</v>
      </c>
      <c r="AZ80" s="125">
        <f t="shared" si="5"/>
        <v>0</v>
      </c>
      <c r="BA80" s="125">
        <f t="shared" si="5"/>
        <v>0</v>
      </c>
      <c r="BB80" s="125">
        <f t="shared" si="5"/>
        <v>0</v>
      </c>
      <c r="BC80" s="125">
        <f t="shared" si="5"/>
        <v>0</v>
      </c>
      <c r="BD80" s="125">
        <f t="shared" si="5"/>
        <v>0</v>
      </c>
      <c r="BE80" s="125">
        <f t="shared" si="5"/>
        <v>0</v>
      </c>
      <c r="BF80" s="125">
        <f t="shared" si="5"/>
        <v>0</v>
      </c>
      <c r="BG80" s="125">
        <f t="shared" si="5"/>
        <v>0</v>
      </c>
      <c r="BH80" s="125">
        <f t="shared" si="5"/>
        <v>0</v>
      </c>
      <c r="BI80" s="125">
        <f t="shared" si="5"/>
        <v>0</v>
      </c>
      <c r="BJ80" s="125">
        <f t="shared" si="5"/>
        <v>0</v>
      </c>
      <c r="BX80" s="125">
        <f t="shared" ref="BX80:CI80" si="6">ROUND(BX78-SUM(BX71:BX77)*BX$52, rounding)</f>
        <v>0</v>
      </c>
      <c r="BY80" s="125">
        <f t="shared" si="6"/>
        <v>0</v>
      </c>
      <c r="BZ80" s="125">
        <f t="shared" si="6"/>
        <v>0</v>
      </c>
      <c r="CA80" s="125">
        <f t="shared" si="6"/>
        <v>0</v>
      </c>
      <c r="CB80" s="125">
        <f t="shared" si="6"/>
        <v>0</v>
      </c>
      <c r="CC80" s="125">
        <f t="shared" si="6"/>
        <v>0</v>
      </c>
      <c r="CD80" s="125">
        <f t="shared" si="6"/>
        <v>0</v>
      </c>
      <c r="CE80" s="125">
        <f t="shared" si="6"/>
        <v>0</v>
      </c>
      <c r="CF80" s="125">
        <f t="shared" si="6"/>
        <v>0</v>
      </c>
      <c r="CG80" s="125">
        <f t="shared" si="6"/>
        <v>0</v>
      </c>
      <c r="CH80" s="125">
        <f t="shared" si="6"/>
        <v>0</v>
      </c>
      <c r="CI80" s="125">
        <f t="shared" si="6"/>
        <v>0</v>
      </c>
      <c r="CK80" s="312"/>
      <c r="CM80" s="312"/>
      <c r="CN80" s="7">
        <f>IF(AND( ABS(MAX($V80:$CI80))&lt;Parameters!$D$33,  ABS(MIN($V80:$CI80))&lt;Parameters!$D$33), 0, 1)</f>
        <v>0</v>
      </c>
      <c r="CO80" s="311"/>
      <c r="EX80" s="10" t="str">
        <f t="shared" si="4"/>
        <v/>
      </c>
    </row>
    <row r="81" spans="1:154" ht="8.25" customHeight="1" x14ac:dyDescent="0.35">
      <c r="C81" s="213"/>
      <c r="E81"/>
      <c r="CK81" s="311"/>
      <c r="CM81" s="311"/>
      <c r="CO81" s="311"/>
      <c r="EX81" s="10" t="str">
        <f t="shared" si="4"/>
        <v/>
      </c>
    </row>
    <row r="82" spans="1:154" ht="14.65" customHeight="1" x14ac:dyDescent="0.35">
      <c r="C82" s="213" t="s">
        <v>1831</v>
      </c>
      <c r="D82" t="s">
        <v>1832</v>
      </c>
      <c r="V82" s="10">
        <f>SUM('Fin Stat'!V$198:V$199)</f>
        <v>0</v>
      </c>
      <c r="W82" s="10">
        <f>SUM('Fin Stat'!W$198:W$199)</f>
        <v>0</v>
      </c>
      <c r="X82" s="10">
        <f>SUM('Fin Stat'!X$198:X$199)</f>
        <v>0</v>
      </c>
      <c r="Y82" s="10">
        <f>SUM('Fin Stat'!Y$198:Y$199)</f>
        <v>0</v>
      </c>
      <c r="AA82" s="10">
        <f>SUM('Fin Stat'!AA$198:AA$199)</f>
        <v>0</v>
      </c>
      <c r="AB82" s="10">
        <f>SUM('Fin Stat'!AB$198:AB$199)</f>
        <v>0</v>
      </c>
      <c r="AC82" s="10">
        <f>SUM('Fin Stat'!AC$198:AC$199)</f>
        <v>0</v>
      </c>
      <c r="AD82" s="10">
        <f>SUM('Fin Stat'!AD$198:AD$199)</f>
        <v>0</v>
      </c>
      <c r="AE82" s="10">
        <f>SUM('Fin Stat'!AE$198:AE$199)</f>
        <v>0</v>
      </c>
      <c r="AF82" s="10">
        <f>SUM('Fin Stat'!AF$198:AF$199)</f>
        <v>0</v>
      </c>
      <c r="AG82" s="10">
        <f>SUM('Fin Stat'!AG$198:AG$199)</f>
        <v>0</v>
      </c>
      <c r="AH82" s="10">
        <f>SUM('Fin Stat'!AH$198:AH$199)</f>
        <v>0</v>
      </c>
      <c r="AI82" s="10">
        <f>SUM('Fin Stat'!AI$198:AI$199)</f>
        <v>0</v>
      </c>
      <c r="AJ82" s="10">
        <f>SUM('Fin Stat'!AJ$198:AJ$199)</f>
        <v>0</v>
      </c>
      <c r="AK82" s="10">
        <f>SUM('Fin Stat'!AK$198:AK$199)</f>
        <v>0</v>
      </c>
      <c r="AL82" s="10">
        <f>SUM('Fin Stat'!AL$198:AL$199)</f>
        <v>0</v>
      </c>
      <c r="AM82" s="10">
        <f>SUM('Fin Stat'!AM$198:AM$199)</f>
        <v>0</v>
      </c>
      <c r="AN82" s="10">
        <f>SUM('Fin Stat'!AN$198:AN$199)</f>
        <v>0</v>
      </c>
      <c r="AO82" s="10">
        <f>SUM('Fin Stat'!AO$198:AO$199)</f>
        <v>0</v>
      </c>
      <c r="AP82" s="10">
        <f>SUM('Fin Stat'!AP$198:AP$199)</f>
        <v>0</v>
      </c>
      <c r="AQ82" s="10">
        <f>SUM('Fin Stat'!AQ$198:AQ$199)</f>
        <v>0</v>
      </c>
      <c r="AR82" s="10">
        <f>SUM('Fin Stat'!AR$198:AR$199)</f>
        <v>0</v>
      </c>
      <c r="AS82" s="10">
        <f>SUM('Fin Stat'!AS$198:AS$199)</f>
        <v>0</v>
      </c>
      <c r="AT82" s="10">
        <f>SUM('Fin Stat'!AT$198:AT$199)</f>
        <v>0</v>
      </c>
      <c r="AU82" s="10">
        <f>SUM('Fin Stat'!AU$198:AU$199)</f>
        <v>0</v>
      </c>
      <c r="AV82" s="10">
        <f>SUM('Fin Stat'!AV$198:AV$199)</f>
        <v>0</v>
      </c>
      <c r="AW82" s="10">
        <f>SUM('Fin Stat'!AW$198:AW$199)</f>
        <v>0</v>
      </c>
      <c r="AX82" s="10">
        <f>SUM('Fin Stat'!AX$198:AX$199)</f>
        <v>0</v>
      </c>
      <c r="AY82" s="10">
        <f>SUM('Fin Stat'!AY$198:AY$199)</f>
        <v>0</v>
      </c>
      <c r="AZ82" s="10">
        <f>SUM('Fin Stat'!AZ$198:AZ$199)</f>
        <v>0</v>
      </c>
      <c r="BA82" s="10">
        <f>SUM('Fin Stat'!BA$198:BA$199)</f>
        <v>0</v>
      </c>
      <c r="BB82" s="10">
        <f>SUM('Fin Stat'!BB$198:BB$199)</f>
        <v>0</v>
      </c>
      <c r="BC82" s="10">
        <f>SUM('Fin Stat'!BC$198:BC$199)</f>
        <v>0</v>
      </c>
      <c r="BD82" s="10">
        <f>SUM('Fin Stat'!BD$198:BD$199)</f>
        <v>0</v>
      </c>
      <c r="BE82" s="10">
        <f>SUM('Fin Stat'!BE$198:BE$199)</f>
        <v>0</v>
      </c>
      <c r="BF82" s="10">
        <f>SUM('Fin Stat'!BF$198:BF$199)</f>
        <v>0</v>
      </c>
      <c r="BG82" s="10">
        <f>SUM('Fin Stat'!BG$198:BG$199)</f>
        <v>0</v>
      </c>
      <c r="BH82" s="10">
        <f>SUM('Fin Stat'!BH$198:BH$199)</f>
        <v>0</v>
      </c>
      <c r="BI82" s="10">
        <f>SUM('Fin Stat'!BI$198:BI$199)</f>
        <v>0</v>
      </c>
      <c r="BJ82" s="10">
        <f>SUM('Fin Stat'!BJ$198:BJ$199)</f>
        <v>0</v>
      </c>
      <c r="BX82" s="10">
        <f>SUM('Fin Stat'!BX$198:BX$199)</f>
        <v>0</v>
      </c>
      <c r="BY82" s="10">
        <f>SUM('Fin Stat'!BY$198:BY$199)</f>
        <v>0</v>
      </c>
      <c r="BZ82" s="10">
        <f>SUM('Fin Stat'!BZ$198:BZ$199)</f>
        <v>0</v>
      </c>
      <c r="CA82" s="10">
        <f>SUM('Fin Stat'!CA$198:CA$199)</f>
        <v>0</v>
      </c>
      <c r="CB82" s="10">
        <f>SUM('Fin Stat'!CB$198:CB$199)</f>
        <v>0</v>
      </c>
      <c r="CC82" s="10">
        <f>SUM('Fin Stat'!CC$198:CC$199)</f>
        <v>0</v>
      </c>
      <c r="CD82" s="10">
        <f>SUM('Fin Stat'!CD$198:CD$199)</f>
        <v>0</v>
      </c>
      <c r="CE82" s="10">
        <f>SUM('Fin Stat'!CE$198:CE$199)</f>
        <v>0</v>
      </c>
      <c r="CF82" s="10">
        <f>SUM('Fin Stat'!CF$198:CF$199)</f>
        <v>0</v>
      </c>
      <c r="CG82" s="10">
        <f>SUM('Fin Stat'!CG$198:CG$199)</f>
        <v>0</v>
      </c>
      <c r="CH82" s="10">
        <f>SUM('Fin Stat'!CH$198:CH$199)</f>
        <v>0</v>
      </c>
      <c r="CI82" s="10">
        <f>SUM('Fin Stat'!CI$198:CI$199)</f>
        <v>0</v>
      </c>
      <c r="CK82" s="311"/>
      <c r="CM82" s="311"/>
      <c r="CO82" s="311"/>
      <c r="EX82" s="10" t="str">
        <f t="shared" si="4"/>
        <v>Interest and finance fee payments</v>
      </c>
    </row>
    <row r="83" spans="1:154" ht="14.65" customHeight="1" x14ac:dyDescent="0.35">
      <c r="C83" s="213" t="str">
        <f>'Fin Stat'!C200</f>
        <v>IC-3b</v>
      </c>
      <c r="D83" t="s">
        <v>1833</v>
      </c>
      <c r="V83" s="10">
        <f>'Fin Stat'!V200</f>
        <v>0</v>
      </c>
      <c r="W83" s="10">
        <f>'Fin Stat'!W200</f>
        <v>0</v>
      </c>
      <c r="X83" s="10">
        <f>'Fin Stat'!X200</f>
        <v>0</v>
      </c>
      <c r="Y83" s="10">
        <f>'Fin Stat'!Y200</f>
        <v>0</v>
      </c>
      <c r="AA83" s="10">
        <f>'Fin Stat'!AA200</f>
        <v>0</v>
      </c>
      <c r="AB83" s="10">
        <f>'Fin Stat'!AB200</f>
        <v>0</v>
      </c>
      <c r="AC83" s="10">
        <f>'Fin Stat'!AC200</f>
        <v>0</v>
      </c>
      <c r="AD83" s="10">
        <f>'Fin Stat'!AD200</f>
        <v>0</v>
      </c>
      <c r="AE83" s="10">
        <f>'Fin Stat'!AE200</f>
        <v>0</v>
      </c>
      <c r="AF83" s="10">
        <f>'Fin Stat'!AF200</f>
        <v>0</v>
      </c>
      <c r="AG83" s="10">
        <f>'Fin Stat'!AG200</f>
        <v>0</v>
      </c>
      <c r="AH83" s="10">
        <f>'Fin Stat'!AH200</f>
        <v>0</v>
      </c>
      <c r="AI83" s="10">
        <f>'Fin Stat'!AI200</f>
        <v>0</v>
      </c>
      <c r="AJ83" s="10">
        <f>'Fin Stat'!AJ200</f>
        <v>0</v>
      </c>
      <c r="AK83" s="10">
        <f>'Fin Stat'!AK200</f>
        <v>0</v>
      </c>
      <c r="AL83" s="10">
        <f>'Fin Stat'!AL200</f>
        <v>0</v>
      </c>
      <c r="AM83" s="10">
        <f>'Fin Stat'!AM200</f>
        <v>0</v>
      </c>
      <c r="AN83" s="10">
        <f>'Fin Stat'!AN200</f>
        <v>0</v>
      </c>
      <c r="AO83" s="10">
        <f>'Fin Stat'!AO200</f>
        <v>0</v>
      </c>
      <c r="AP83" s="10">
        <f>'Fin Stat'!AP200</f>
        <v>0</v>
      </c>
      <c r="AQ83" s="10">
        <f>'Fin Stat'!AQ200</f>
        <v>0</v>
      </c>
      <c r="AR83" s="10">
        <f>'Fin Stat'!AR200</f>
        <v>0</v>
      </c>
      <c r="AS83" s="10">
        <f>'Fin Stat'!AS200</f>
        <v>0</v>
      </c>
      <c r="AT83" s="10">
        <f>'Fin Stat'!AT200</f>
        <v>0</v>
      </c>
      <c r="AU83" s="10">
        <f>'Fin Stat'!AU200</f>
        <v>0</v>
      </c>
      <c r="AV83" s="10">
        <f>'Fin Stat'!AV200</f>
        <v>0</v>
      </c>
      <c r="AW83" s="10">
        <f>'Fin Stat'!AW200</f>
        <v>0</v>
      </c>
      <c r="AX83" s="10">
        <f>'Fin Stat'!AX200</f>
        <v>0</v>
      </c>
      <c r="AY83" s="10">
        <f>'Fin Stat'!AY200</f>
        <v>0</v>
      </c>
      <c r="AZ83" s="10">
        <f>'Fin Stat'!AZ200</f>
        <v>0</v>
      </c>
      <c r="BA83" s="10">
        <f>'Fin Stat'!BA200</f>
        <v>0</v>
      </c>
      <c r="BB83" s="10">
        <f>'Fin Stat'!BB200</f>
        <v>0</v>
      </c>
      <c r="BC83" s="10">
        <f>'Fin Stat'!BC200</f>
        <v>0</v>
      </c>
      <c r="BD83" s="10">
        <f>'Fin Stat'!BD200</f>
        <v>0</v>
      </c>
      <c r="BE83" s="10">
        <f>'Fin Stat'!BE200</f>
        <v>0</v>
      </c>
      <c r="BF83" s="10">
        <f>'Fin Stat'!BF200</f>
        <v>0</v>
      </c>
      <c r="BG83" s="10">
        <f>'Fin Stat'!BG200</f>
        <v>0</v>
      </c>
      <c r="BH83" s="10">
        <f>'Fin Stat'!BH200</f>
        <v>0</v>
      </c>
      <c r="BI83" s="10">
        <f>'Fin Stat'!BI200</f>
        <v>0</v>
      </c>
      <c r="BJ83" s="10">
        <f>'Fin Stat'!BJ200</f>
        <v>0</v>
      </c>
      <c r="BX83" s="10">
        <f>'Fin Stat'!BX200</f>
        <v>0</v>
      </c>
      <c r="BY83" s="10">
        <f>'Fin Stat'!BY200</f>
        <v>0</v>
      </c>
      <c r="BZ83" s="10">
        <f>'Fin Stat'!BZ200</f>
        <v>0</v>
      </c>
      <c r="CA83" s="10">
        <f>'Fin Stat'!CA200</f>
        <v>0</v>
      </c>
      <c r="CB83" s="10">
        <f>'Fin Stat'!CB200</f>
        <v>0</v>
      </c>
      <c r="CC83" s="10">
        <f>'Fin Stat'!CC200</f>
        <v>0</v>
      </c>
      <c r="CD83" s="10">
        <f>'Fin Stat'!CD200</f>
        <v>0</v>
      </c>
      <c r="CE83" s="10">
        <f>'Fin Stat'!CE200</f>
        <v>0</v>
      </c>
      <c r="CF83" s="10">
        <f>'Fin Stat'!CF200</f>
        <v>0</v>
      </c>
      <c r="CG83" s="10">
        <f>'Fin Stat'!CG200</f>
        <v>0</v>
      </c>
      <c r="CH83" s="10">
        <f>'Fin Stat'!CH200</f>
        <v>0</v>
      </c>
      <c r="CI83" s="10">
        <f>'Fin Stat'!CI200</f>
        <v>0</v>
      </c>
      <c r="CK83" s="311"/>
      <c r="CM83" s="311"/>
      <c r="CO83" s="311"/>
      <c r="EX83" s="10" t="str">
        <f t="shared" si="4"/>
        <v>Interest element of finance/operating (right of use) lease rental payments</v>
      </c>
    </row>
    <row r="84" spans="1:154" ht="14.65" customHeight="1" x14ac:dyDescent="0.35">
      <c r="C84" s="213" t="str">
        <f>'Fin Stat'!C201</f>
        <v>IC-3c</v>
      </c>
      <c r="D84" t="s">
        <v>1834</v>
      </c>
      <c r="V84" s="99">
        <f>'Fin Stat'!V201</f>
        <v>0</v>
      </c>
      <c r="W84" s="99">
        <f>'Fin Stat'!W201</f>
        <v>0</v>
      </c>
      <c r="X84" s="99">
        <f>'Fin Stat'!X201</f>
        <v>0</v>
      </c>
      <c r="Y84" s="99">
        <f>'Fin Stat'!Y201</f>
        <v>0</v>
      </c>
      <c r="AA84" s="99">
        <f>'Fin Stat'!AA201</f>
        <v>0</v>
      </c>
      <c r="AB84" s="99">
        <f>'Fin Stat'!AB201</f>
        <v>0</v>
      </c>
      <c r="AC84" s="99">
        <f>'Fin Stat'!AC201</f>
        <v>0</v>
      </c>
      <c r="AD84" s="99">
        <f>'Fin Stat'!AD201</f>
        <v>0</v>
      </c>
      <c r="AE84" s="99">
        <f>'Fin Stat'!AE201</f>
        <v>0</v>
      </c>
      <c r="AF84" s="99">
        <f>'Fin Stat'!AF201</f>
        <v>0</v>
      </c>
      <c r="AG84" s="99">
        <f>'Fin Stat'!AG201</f>
        <v>0</v>
      </c>
      <c r="AH84" s="99">
        <f>'Fin Stat'!AH201</f>
        <v>0</v>
      </c>
      <c r="AI84" s="99">
        <f>'Fin Stat'!AI201</f>
        <v>0</v>
      </c>
      <c r="AJ84" s="99">
        <f>'Fin Stat'!AJ201</f>
        <v>0</v>
      </c>
      <c r="AK84" s="99">
        <f>'Fin Stat'!AK201</f>
        <v>0</v>
      </c>
      <c r="AL84" s="99">
        <f>'Fin Stat'!AL201</f>
        <v>0</v>
      </c>
      <c r="AM84" s="99">
        <f>'Fin Stat'!AM201</f>
        <v>0</v>
      </c>
      <c r="AN84" s="99">
        <f>'Fin Stat'!AN201</f>
        <v>0</v>
      </c>
      <c r="AO84" s="99">
        <f>'Fin Stat'!AO201</f>
        <v>0</v>
      </c>
      <c r="AP84" s="99">
        <f>'Fin Stat'!AP201</f>
        <v>0</v>
      </c>
      <c r="AQ84" s="99">
        <f>'Fin Stat'!AQ201</f>
        <v>0</v>
      </c>
      <c r="AR84" s="99">
        <f>'Fin Stat'!AR201</f>
        <v>0</v>
      </c>
      <c r="AS84" s="99">
        <f>'Fin Stat'!AS201</f>
        <v>0</v>
      </c>
      <c r="AT84" s="99">
        <f>'Fin Stat'!AT201</f>
        <v>0</v>
      </c>
      <c r="AU84" s="99">
        <f>'Fin Stat'!AU201</f>
        <v>0</v>
      </c>
      <c r="AV84" s="99">
        <f>'Fin Stat'!AV201</f>
        <v>0</v>
      </c>
      <c r="AW84" s="99">
        <f>'Fin Stat'!AW201</f>
        <v>0</v>
      </c>
      <c r="AX84" s="99">
        <f>'Fin Stat'!AX201</f>
        <v>0</v>
      </c>
      <c r="AY84" s="99">
        <f>'Fin Stat'!AY201</f>
        <v>0</v>
      </c>
      <c r="AZ84" s="99">
        <f>'Fin Stat'!AZ201</f>
        <v>0</v>
      </c>
      <c r="BA84" s="99">
        <f>'Fin Stat'!BA201</f>
        <v>0</v>
      </c>
      <c r="BB84" s="99">
        <f>'Fin Stat'!BB201</f>
        <v>0</v>
      </c>
      <c r="BC84" s="99">
        <f>'Fin Stat'!BC201</f>
        <v>0</v>
      </c>
      <c r="BD84" s="99">
        <f>'Fin Stat'!BD201</f>
        <v>0</v>
      </c>
      <c r="BE84" s="99">
        <f>'Fin Stat'!BE201</f>
        <v>0</v>
      </c>
      <c r="BF84" s="99">
        <f>'Fin Stat'!BF201</f>
        <v>0</v>
      </c>
      <c r="BG84" s="99">
        <f>'Fin Stat'!BG201</f>
        <v>0</v>
      </c>
      <c r="BH84" s="99">
        <f>'Fin Stat'!BH201</f>
        <v>0</v>
      </c>
      <c r="BI84" s="99">
        <f>'Fin Stat'!BI201</f>
        <v>0</v>
      </c>
      <c r="BJ84" s="99">
        <f>'Fin Stat'!BJ201</f>
        <v>0</v>
      </c>
      <c r="BX84" s="99">
        <f>'Fin Stat'!BX201</f>
        <v>0</v>
      </c>
      <c r="BY84" s="99">
        <f>'Fin Stat'!BY201</f>
        <v>0</v>
      </c>
      <c r="BZ84" s="99">
        <f>'Fin Stat'!BZ201</f>
        <v>0</v>
      </c>
      <c r="CA84" s="99">
        <f>'Fin Stat'!CA201</f>
        <v>0</v>
      </c>
      <c r="CB84" s="99">
        <f>'Fin Stat'!CB201</f>
        <v>0</v>
      </c>
      <c r="CC84" s="99">
        <f>'Fin Stat'!CC201</f>
        <v>0</v>
      </c>
      <c r="CD84" s="99">
        <f>'Fin Stat'!CD201</f>
        <v>0</v>
      </c>
      <c r="CE84" s="99">
        <f>'Fin Stat'!CE201</f>
        <v>0</v>
      </c>
      <c r="CF84" s="99">
        <f>'Fin Stat'!CF201</f>
        <v>0</v>
      </c>
      <c r="CG84" s="99">
        <f>'Fin Stat'!CG201</f>
        <v>0</v>
      </c>
      <c r="CH84" s="99">
        <f>'Fin Stat'!CH201</f>
        <v>0</v>
      </c>
      <c r="CI84" s="99">
        <f>'Fin Stat'!CI201</f>
        <v>0</v>
      </c>
      <c r="CK84" s="311"/>
      <c r="CM84" s="311"/>
      <c r="CO84" s="311"/>
      <c r="EX84" s="10" t="str">
        <f t="shared" si="4"/>
        <v>New long term loans/Finance/operating (right of use) leases</v>
      </c>
    </row>
    <row r="85" spans="1:154" ht="14.65" customHeight="1" x14ac:dyDescent="0.35">
      <c r="C85" s="213" t="s">
        <v>1835</v>
      </c>
      <c r="D85" t="s">
        <v>1836</v>
      </c>
      <c r="V85" s="99">
        <f>SUM('Fin Stat'!V$202:V$203)</f>
        <v>0</v>
      </c>
      <c r="W85" s="99">
        <f>SUM('Fin Stat'!W$202:W$203)</f>
        <v>0</v>
      </c>
      <c r="X85" s="99">
        <f>SUM('Fin Stat'!X$202:X$203)</f>
        <v>0</v>
      </c>
      <c r="Y85" s="99">
        <f>SUM('Fin Stat'!Y$202:Y$203)</f>
        <v>0</v>
      </c>
      <c r="AA85" s="99">
        <f>SUM('Fin Stat'!AA$202:AA$203)</f>
        <v>0</v>
      </c>
      <c r="AB85" s="99">
        <f>SUM('Fin Stat'!AB$202:AB$203)</f>
        <v>0</v>
      </c>
      <c r="AC85" s="99">
        <f>SUM('Fin Stat'!AC$202:AC$203)</f>
        <v>0</v>
      </c>
      <c r="AD85" s="99">
        <f>SUM('Fin Stat'!AD$202:AD$203)</f>
        <v>0</v>
      </c>
      <c r="AE85" s="99">
        <f>SUM('Fin Stat'!AE$202:AE$203)</f>
        <v>0</v>
      </c>
      <c r="AF85" s="99">
        <f>SUM('Fin Stat'!AF$202:AF$203)</f>
        <v>0</v>
      </c>
      <c r="AG85" s="99">
        <f>SUM('Fin Stat'!AG$202:AG$203)</f>
        <v>0</v>
      </c>
      <c r="AH85" s="99">
        <f>SUM('Fin Stat'!AH$202:AH$203)</f>
        <v>0</v>
      </c>
      <c r="AI85" s="99">
        <f>SUM('Fin Stat'!AI$202:AI$203)</f>
        <v>0</v>
      </c>
      <c r="AJ85" s="99">
        <f>SUM('Fin Stat'!AJ$202:AJ$203)</f>
        <v>0</v>
      </c>
      <c r="AK85" s="99">
        <f>SUM('Fin Stat'!AK$202:AK$203)</f>
        <v>0</v>
      </c>
      <c r="AL85" s="99">
        <f>SUM('Fin Stat'!AL$202:AL$203)</f>
        <v>0</v>
      </c>
      <c r="AM85" s="99">
        <f>SUM('Fin Stat'!AM$202:AM$203)</f>
        <v>0</v>
      </c>
      <c r="AN85" s="99">
        <f>SUM('Fin Stat'!AN$202:AN$203)</f>
        <v>0</v>
      </c>
      <c r="AO85" s="99">
        <f>SUM('Fin Stat'!AO$202:AO$203)</f>
        <v>0</v>
      </c>
      <c r="AP85" s="99">
        <f>SUM('Fin Stat'!AP$202:AP$203)</f>
        <v>0</v>
      </c>
      <c r="AQ85" s="99">
        <f>SUM('Fin Stat'!AQ$202:AQ$203)</f>
        <v>0</v>
      </c>
      <c r="AR85" s="99">
        <f>SUM('Fin Stat'!AR$202:AR$203)</f>
        <v>0</v>
      </c>
      <c r="AS85" s="99">
        <f>SUM('Fin Stat'!AS$202:AS$203)</f>
        <v>0</v>
      </c>
      <c r="AT85" s="99">
        <f>SUM('Fin Stat'!AT$202:AT$203)</f>
        <v>0</v>
      </c>
      <c r="AU85" s="99">
        <f>SUM('Fin Stat'!AU$202:AU$203)</f>
        <v>0</v>
      </c>
      <c r="AV85" s="99">
        <f>SUM('Fin Stat'!AV$202:AV$203)</f>
        <v>0</v>
      </c>
      <c r="AW85" s="99">
        <f>SUM('Fin Stat'!AW$202:AW$203)</f>
        <v>0</v>
      </c>
      <c r="AX85" s="99">
        <f>SUM('Fin Stat'!AX$202:AX$203)</f>
        <v>0</v>
      </c>
      <c r="AY85" s="99">
        <f>SUM('Fin Stat'!AY$202:AY$203)</f>
        <v>0</v>
      </c>
      <c r="AZ85" s="99">
        <f>SUM('Fin Stat'!AZ$202:AZ$203)</f>
        <v>0</v>
      </c>
      <c r="BA85" s="99">
        <f>SUM('Fin Stat'!BA$202:BA$203)</f>
        <v>0</v>
      </c>
      <c r="BB85" s="99">
        <f>SUM('Fin Stat'!BB$202:BB$203)</f>
        <v>0</v>
      </c>
      <c r="BC85" s="99">
        <f>SUM('Fin Stat'!BC$202:BC$203)</f>
        <v>0</v>
      </c>
      <c r="BD85" s="99">
        <f>SUM('Fin Stat'!BD$202:BD$203)</f>
        <v>0</v>
      </c>
      <c r="BE85" s="99">
        <f>SUM('Fin Stat'!BE$202:BE$203)</f>
        <v>0</v>
      </c>
      <c r="BF85" s="99">
        <f>SUM('Fin Stat'!BF$202:BF$203)</f>
        <v>0</v>
      </c>
      <c r="BG85" s="99">
        <f>SUM('Fin Stat'!BG$202:BG$203)</f>
        <v>0</v>
      </c>
      <c r="BH85" s="99">
        <f>SUM('Fin Stat'!BH$202:BH$203)</f>
        <v>0</v>
      </c>
      <c r="BI85" s="99">
        <f>SUM('Fin Stat'!BI$202:BI$203)</f>
        <v>0</v>
      </c>
      <c r="BJ85" s="99">
        <f>SUM('Fin Stat'!BJ$202:BJ$203)</f>
        <v>0</v>
      </c>
      <c r="BX85" s="99">
        <f>SUM('Fin Stat'!BX$202:BX$203)</f>
        <v>0</v>
      </c>
      <c r="BY85" s="99">
        <f>SUM('Fin Stat'!BY$202:BY$203)</f>
        <v>0</v>
      </c>
      <c r="BZ85" s="99">
        <f>SUM('Fin Stat'!BZ$202:BZ$203)</f>
        <v>0</v>
      </c>
      <c r="CA85" s="99">
        <f>SUM('Fin Stat'!CA$202:CA$203)</f>
        <v>0</v>
      </c>
      <c r="CB85" s="99">
        <f>SUM('Fin Stat'!CB$202:CB$203)</f>
        <v>0</v>
      </c>
      <c r="CC85" s="99">
        <f>SUM('Fin Stat'!CC$202:CC$203)</f>
        <v>0</v>
      </c>
      <c r="CD85" s="99">
        <f>SUM('Fin Stat'!CD$202:CD$203)</f>
        <v>0</v>
      </c>
      <c r="CE85" s="99">
        <f>SUM('Fin Stat'!CE$202:CE$203)</f>
        <v>0</v>
      </c>
      <c r="CF85" s="99">
        <f>SUM('Fin Stat'!CF$202:CF$203)</f>
        <v>0</v>
      </c>
      <c r="CG85" s="99">
        <f>SUM('Fin Stat'!CG$202:CG$203)</f>
        <v>0</v>
      </c>
      <c r="CH85" s="99">
        <f>SUM('Fin Stat'!CH$202:CH$203)</f>
        <v>0</v>
      </c>
      <c r="CI85" s="99">
        <f>SUM('Fin Stat'!CI$202:CI$203)</f>
        <v>0</v>
      </c>
      <c r="CK85" s="311"/>
      <c r="CM85" s="311"/>
      <c r="CO85" s="311"/>
      <c r="EX85" s="10" t="str">
        <f t="shared" si="4"/>
        <v xml:space="preserve">Loan Capital Repayment </v>
      </c>
    </row>
    <row r="86" spans="1:154" ht="14.65" customHeight="1" x14ac:dyDescent="0.35">
      <c r="C86" s="213" t="str">
        <f>'Fin Stat'!C204</f>
        <v>IC-3e</v>
      </c>
      <c r="D86" t="s">
        <v>1837</v>
      </c>
      <c r="V86" s="99">
        <f>'Fin Stat'!V204</f>
        <v>0</v>
      </c>
      <c r="W86" s="99">
        <f>'Fin Stat'!W204</f>
        <v>0</v>
      </c>
      <c r="X86" s="99">
        <f>'Fin Stat'!X204</f>
        <v>0</v>
      </c>
      <c r="Y86" s="99">
        <f>'Fin Stat'!Y204</f>
        <v>0</v>
      </c>
      <c r="AA86" s="99">
        <f>'Fin Stat'!AA204</f>
        <v>0</v>
      </c>
      <c r="AB86" s="99">
        <f>'Fin Stat'!AB204</f>
        <v>0</v>
      </c>
      <c r="AC86" s="99">
        <f>'Fin Stat'!AC204</f>
        <v>0</v>
      </c>
      <c r="AD86" s="99">
        <f>'Fin Stat'!AD204</f>
        <v>0</v>
      </c>
      <c r="AE86" s="99">
        <f>'Fin Stat'!AE204</f>
        <v>0</v>
      </c>
      <c r="AF86" s="99">
        <f>'Fin Stat'!AF204</f>
        <v>0</v>
      </c>
      <c r="AG86" s="99">
        <f>'Fin Stat'!AG204</f>
        <v>0</v>
      </c>
      <c r="AH86" s="99">
        <f>'Fin Stat'!AH204</f>
        <v>0</v>
      </c>
      <c r="AI86" s="99">
        <f>'Fin Stat'!AI204</f>
        <v>0</v>
      </c>
      <c r="AJ86" s="99">
        <f>'Fin Stat'!AJ204</f>
        <v>0</v>
      </c>
      <c r="AK86" s="99">
        <f>'Fin Stat'!AK204</f>
        <v>0</v>
      </c>
      <c r="AL86" s="99">
        <f>'Fin Stat'!AL204</f>
        <v>0</v>
      </c>
      <c r="AM86" s="99">
        <f>'Fin Stat'!AM204</f>
        <v>0</v>
      </c>
      <c r="AN86" s="99">
        <f>'Fin Stat'!AN204</f>
        <v>0</v>
      </c>
      <c r="AO86" s="99">
        <f>'Fin Stat'!AO204</f>
        <v>0</v>
      </c>
      <c r="AP86" s="99">
        <f>'Fin Stat'!AP204</f>
        <v>0</v>
      </c>
      <c r="AQ86" s="99">
        <f>'Fin Stat'!AQ204</f>
        <v>0</v>
      </c>
      <c r="AR86" s="99">
        <f>'Fin Stat'!AR204</f>
        <v>0</v>
      </c>
      <c r="AS86" s="99">
        <f>'Fin Stat'!AS204</f>
        <v>0</v>
      </c>
      <c r="AT86" s="99">
        <f>'Fin Stat'!AT204</f>
        <v>0</v>
      </c>
      <c r="AU86" s="99">
        <f>'Fin Stat'!AU204</f>
        <v>0</v>
      </c>
      <c r="AV86" s="99">
        <f>'Fin Stat'!AV204</f>
        <v>0</v>
      </c>
      <c r="AW86" s="99">
        <f>'Fin Stat'!AW204</f>
        <v>0</v>
      </c>
      <c r="AX86" s="99">
        <f>'Fin Stat'!AX204</f>
        <v>0</v>
      </c>
      <c r="AY86" s="99">
        <f>'Fin Stat'!AY204</f>
        <v>0</v>
      </c>
      <c r="AZ86" s="99">
        <f>'Fin Stat'!AZ204</f>
        <v>0</v>
      </c>
      <c r="BA86" s="99">
        <f>'Fin Stat'!BA204</f>
        <v>0</v>
      </c>
      <c r="BB86" s="99">
        <f>'Fin Stat'!BB204</f>
        <v>0</v>
      </c>
      <c r="BC86" s="99">
        <f>'Fin Stat'!BC204</f>
        <v>0</v>
      </c>
      <c r="BD86" s="99">
        <f>'Fin Stat'!BD204</f>
        <v>0</v>
      </c>
      <c r="BE86" s="99">
        <f>'Fin Stat'!BE204</f>
        <v>0</v>
      </c>
      <c r="BF86" s="99">
        <f>'Fin Stat'!BF204</f>
        <v>0</v>
      </c>
      <c r="BG86" s="99">
        <f>'Fin Stat'!BG204</f>
        <v>0</v>
      </c>
      <c r="BH86" s="99">
        <f>'Fin Stat'!BH204</f>
        <v>0</v>
      </c>
      <c r="BI86" s="99">
        <f>'Fin Stat'!BI204</f>
        <v>0</v>
      </c>
      <c r="BJ86" s="99">
        <f>'Fin Stat'!BJ204</f>
        <v>0</v>
      </c>
      <c r="BX86" s="99">
        <f>'Fin Stat'!BX204</f>
        <v>0</v>
      </c>
      <c r="BY86" s="99">
        <f>'Fin Stat'!BY204</f>
        <v>0</v>
      </c>
      <c r="BZ86" s="99">
        <f>'Fin Stat'!BZ204</f>
        <v>0</v>
      </c>
      <c r="CA86" s="99">
        <f>'Fin Stat'!CA204</f>
        <v>0</v>
      </c>
      <c r="CB86" s="99">
        <f>'Fin Stat'!CB204</f>
        <v>0</v>
      </c>
      <c r="CC86" s="99">
        <f>'Fin Stat'!CC204</f>
        <v>0</v>
      </c>
      <c r="CD86" s="99">
        <f>'Fin Stat'!CD204</f>
        <v>0</v>
      </c>
      <c r="CE86" s="99">
        <f>'Fin Stat'!CE204</f>
        <v>0</v>
      </c>
      <c r="CF86" s="99">
        <f>'Fin Stat'!CF204</f>
        <v>0</v>
      </c>
      <c r="CG86" s="99">
        <f>'Fin Stat'!CG204</f>
        <v>0</v>
      </c>
      <c r="CH86" s="99">
        <f>'Fin Stat'!CH204</f>
        <v>0</v>
      </c>
      <c r="CI86" s="99">
        <f>'Fin Stat'!CI204</f>
        <v>0</v>
      </c>
      <c r="CK86" s="311"/>
      <c r="CM86" s="311"/>
      <c r="CO86" s="311"/>
      <c r="EX86" s="10" t="str">
        <f t="shared" si="4"/>
        <v>Capital element of finance/operating (right of use) lease rental payments</v>
      </c>
    </row>
    <row r="87" spans="1:154" ht="14.65" customHeight="1" x14ac:dyDescent="0.35">
      <c r="C87" s="213" t="str">
        <f>'Fin Stat'!C205</f>
        <v>IC-3f</v>
      </c>
      <c r="D87" t="s">
        <v>1627</v>
      </c>
      <c r="V87" s="99">
        <f>'Fin Stat'!V205</f>
        <v>0</v>
      </c>
      <c r="W87" s="99">
        <f>'Fin Stat'!W205</f>
        <v>0</v>
      </c>
      <c r="X87" s="99">
        <f>'Fin Stat'!X205</f>
        <v>0</v>
      </c>
      <c r="Y87" s="99">
        <f>'Fin Stat'!Y205</f>
        <v>0</v>
      </c>
      <c r="AA87" s="99">
        <f>'Fin Stat'!AA205</f>
        <v>0</v>
      </c>
      <c r="AB87" s="99">
        <f>'Fin Stat'!AB205</f>
        <v>0</v>
      </c>
      <c r="AC87" s="99">
        <f>'Fin Stat'!AC205</f>
        <v>0</v>
      </c>
      <c r="AD87" s="99">
        <f>'Fin Stat'!AD205</f>
        <v>0</v>
      </c>
      <c r="AE87" s="99">
        <f>'Fin Stat'!AE205</f>
        <v>0</v>
      </c>
      <c r="AF87" s="99">
        <f>'Fin Stat'!AF205</f>
        <v>0</v>
      </c>
      <c r="AG87" s="99">
        <f>'Fin Stat'!AG205</f>
        <v>0</v>
      </c>
      <c r="AH87" s="99">
        <f>'Fin Stat'!AH205</f>
        <v>0</v>
      </c>
      <c r="AI87" s="99">
        <f>'Fin Stat'!AI205</f>
        <v>0</v>
      </c>
      <c r="AJ87" s="99">
        <f>'Fin Stat'!AJ205</f>
        <v>0</v>
      </c>
      <c r="AK87" s="99">
        <f>'Fin Stat'!AK205</f>
        <v>0</v>
      </c>
      <c r="AL87" s="99">
        <f>'Fin Stat'!AL205</f>
        <v>0</v>
      </c>
      <c r="AM87" s="99">
        <f>'Fin Stat'!AM205</f>
        <v>0</v>
      </c>
      <c r="AN87" s="99">
        <f>'Fin Stat'!AN205</f>
        <v>0</v>
      </c>
      <c r="AO87" s="99">
        <f>'Fin Stat'!AO205</f>
        <v>0</v>
      </c>
      <c r="AP87" s="99">
        <f>'Fin Stat'!AP205</f>
        <v>0</v>
      </c>
      <c r="AQ87" s="99">
        <f>'Fin Stat'!AQ205</f>
        <v>0</v>
      </c>
      <c r="AR87" s="99">
        <f>'Fin Stat'!AR205</f>
        <v>0</v>
      </c>
      <c r="AS87" s="99">
        <f>'Fin Stat'!AS205</f>
        <v>0</v>
      </c>
      <c r="AT87" s="99">
        <f>'Fin Stat'!AT205</f>
        <v>0</v>
      </c>
      <c r="AU87" s="99">
        <f>'Fin Stat'!AU205</f>
        <v>0</v>
      </c>
      <c r="AV87" s="99">
        <f>'Fin Stat'!AV205</f>
        <v>0</v>
      </c>
      <c r="AW87" s="99">
        <f>'Fin Stat'!AW205</f>
        <v>0</v>
      </c>
      <c r="AX87" s="99">
        <f>'Fin Stat'!AX205</f>
        <v>0</v>
      </c>
      <c r="AY87" s="99">
        <f>'Fin Stat'!AY205</f>
        <v>0</v>
      </c>
      <c r="AZ87" s="99">
        <f>'Fin Stat'!AZ205</f>
        <v>0</v>
      </c>
      <c r="BA87" s="99">
        <f>'Fin Stat'!BA205</f>
        <v>0</v>
      </c>
      <c r="BB87" s="99">
        <f>'Fin Stat'!BB205</f>
        <v>0</v>
      </c>
      <c r="BC87" s="99">
        <f>'Fin Stat'!BC205</f>
        <v>0</v>
      </c>
      <c r="BD87" s="99">
        <f>'Fin Stat'!BD205</f>
        <v>0</v>
      </c>
      <c r="BE87" s="99">
        <f>'Fin Stat'!BE205</f>
        <v>0</v>
      </c>
      <c r="BF87" s="99">
        <f>'Fin Stat'!BF205</f>
        <v>0</v>
      </c>
      <c r="BG87" s="99">
        <f>'Fin Stat'!BG205</f>
        <v>0</v>
      </c>
      <c r="BH87" s="99">
        <f>'Fin Stat'!BH205</f>
        <v>0</v>
      </c>
      <c r="BI87" s="99">
        <f>'Fin Stat'!BI205</f>
        <v>0</v>
      </c>
      <c r="BJ87" s="99">
        <f>'Fin Stat'!BJ205</f>
        <v>0</v>
      </c>
      <c r="BX87" s="99">
        <f>'Fin Stat'!BX205</f>
        <v>0</v>
      </c>
      <c r="BY87" s="99">
        <f>'Fin Stat'!BY205</f>
        <v>0</v>
      </c>
      <c r="BZ87" s="99">
        <f>'Fin Stat'!BZ205</f>
        <v>0</v>
      </c>
      <c r="CA87" s="99">
        <f>'Fin Stat'!CA205</f>
        <v>0</v>
      </c>
      <c r="CB87" s="99">
        <f>'Fin Stat'!CB205</f>
        <v>0</v>
      </c>
      <c r="CC87" s="99">
        <f>'Fin Stat'!CC205</f>
        <v>0</v>
      </c>
      <c r="CD87" s="99">
        <f>'Fin Stat'!CD205</f>
        <v>0</v>
      </c>
      <c r="CE87" s="99">
        <f>'Fin Stat'!CE205</f>
        <v>0</v>
      </c>
      <c r="CF87" s="99">
        <f>'Fin Stat'!CF205</f>
        <v>0</v>
      </c>
      <c r="CG87" s="99">
        <f>'Fin Stat'!CG205</f>
        <v>0</v>
      </c>
      <c r="CH87" s="99">
        <f>'Fin Stat'!CH205</f>
        <v>0</v>
      </c>
      <c r="CI87" s="99">
        <f>'Fin Stat'!CI205</f>
        <v>0</v>
      </c>
      <c r="CK87" s="311"/>
      <c r="CM87" s="311"/>
      <c r="CO87" s="311"/>
      <c r="EX87" s="10"/>
    </row>
    <row r="88" spans="1:154" x14ac:dyDescent="0.35">
      <c r="C88" s="213" t="str">
        <f>'Fin Stat'!C$206</f>
        <v>IC-3</v>
      </c>
      <c r="D88" s="5" t="s">
        <v>1629</v>
      </c>
      <c r="V88" s="12">
        <f>'Fin Stat'!V$206</f>
        <v>0</v>
      </c>
      <c r="W88" s="12">
        <f>'Fin Stat'!W$206</f>
        <v>0</v>
      </c>
      <c r="X88" s="12">
        <f>'Fin Stat'!X$206</f>
        <v>0</v>
      </c>
      <c r="Y88" s="12">
        <f>'Fin Stat'!Y$206</f>
        <v>0</v>
      </c>
      <c r="AA88" s="12">
        <f>'Fin Stat'!AA$206</f>
        <v>0</v>
      </c>
      <c r="AB88" s="12">
        <f>'Fin Stat'!AB$206</f>
        <v>0</v>
      </c>
      <c r="AC88" s="12">
        <f>'Fin Stat'!AC$206</f>
        <v>0</v>
      </c>
      <c r="AD88" s="12">
        <f>'Fin Stat'!AD$206</f>
        <v>0</v>
      </c>
      <c r="AE88" s="12">
        <f>'Fin Stat'!AE$206</f>
        <v>0</v>
      </c>
      <c r="AF88" s="12">
        <f>'Fin Stat'!AF$206</f>
        <v>0</v>
      </c>
      <c r="AG88" s="12">
        <f>'Fin Stat'!AG$206</f>
        <v>0</v>
      </c>
      <c r="AH88" s="12">
        <f>'Fin Stat'!AH$206</f>
        <v>0</v>
      </c>
      <c r="AI88" s="12">
        <f>'Fin Stat'!AI$206</f>
        <v>0</v>
      </c>
      <c r="AJ88" s="12">
        <f>'Fin Stat'!AJ$206</f>
        <v>0</v>
      </c>
      <c r="AK88" s="12">
        <f>'Fin Stat'!AK$206</f>
        <v>0</v>
      </c>
      <c r="AL88" s="12">
        <f>'Fin Stat'!AL$206</f>
        <v>0</v>
      </c>
      <c r="AM88" s="12">
        <f>'Fin Stat'!AM$206</f>
        <v>0</v>
      </c>
      <c r="AN88" s="12">
        <f>'Fin Stat'!AN$206</f>
        <v>0</v>
      </c>
      <c r="AO88" s="12">
        <f>'Fin Stat'!AO$206</f>
        <v>0</v>
      </c>
      <c r="AP88" s="12">
        <f>'Fin Stat'!AP$206</f>
        <v>0</v>
      </c>
      <c r="AQ88" s="12">
        <f>'Fin Stat'!AQ$206</f>
        <v>0</v>
      </c>
      <c r="AR88" s="12">
        <f>'Fin Stat'!AR$206</f>
        <v>0</v>
      </c>
      <c r="AS88" s="12">
        <f>'Fin Stat'!AS$206</f>
        <v>0</v>
      </c>
      <c r="AT88" s="12">
        <f>'Fin Stat'!AT$206</f>
        <v>0</v>
      </c>
      <c r="AU88" s="12">
        <f>'Fin Stat'!AU$206</f>
        <v>0</v>
      </c>
      <c r="AV88" s="12">
        <f>'Fin Stat'!AV$206</f>
        <v>0</v>
      </c>
      <c r="AW88" s="12">
        <f>'Fin Stat'!AW$206</f>
        <v>0</v>
      </c>
      <c r="AX88" s="12">
        <f>'Fin Stat'!AX$206</f>
        <v>0</v>
      </c>
      <c r="AY88" s="12">
        <f>'Fin Stat'!AY$206</f>
        <v>0</v>
      </c>
      <c r="AZ88" s="12">
        <f>'Fin Stat'!AZ$206</f>
        <v>0</v>
      </c>
      <c r="BA88" s="12">
        <f>'Fin Stat'!BA$206</f>
        <v>0</v>
      </c>
      <c r="BB88" s="12">
        <f>'Fin Stat'!BB$206</f>
        <v>0</v>
      </c>
      <c r="BC88" s="12">
        <f>'Fin Stat'!BC$206</f>
        <v>0</v>
      </c>
      <c r="BD88" s="12">
        <f>'Fin Stat'!BD$206</f>
        <v>0</v>
      </c>
      <c r="BE88" s="12">
        <f>'Fin Stat'!BE$206</f>
        <v>0</v>
      </c>
      <c r="BF88" s="12">
        <f>'Fin Stat'!BF$206</f>
        <v>0</v>
      </c>
      <c r="BG88" s="12">
        <f>'Fin Stat'!BG$206</f>
        <v>0</v>
      </c>
      <c r="BH88" s="12">
        <f>'Fin Stat'!BH$206</f>
        <v>0</v>
      </c>
      <c r="BI88" s="12">
        <f>'Fin Stat'!BI$206</f>
        <v>0</v>
      </c>
      <c r="BJ88" s="12">
        <f>'Fin Stat'!BJ$206</f>
        <v>0</v>
      </c>
      <c r="BX88" s="12">
        <f>'Fin Stat'!BX$206</f>
        <v>0</v>
      </c>
      <c r="BY88" s="12">
        <f>'Fin Stat'!BY$206</f>
        <v>0</v>
      </c>
      <c r="BZ88" s="12">
        <f>'Fin Stat'!BZ$206</f>
        <v>0</v>
      </c>
      <c r="CA88" s="12">
        <f>'Fin Stat'!CA$206</f>
        <v>0</v>
      </c>
      <c r="CB88" s="12">
        <f>'Fin Stat'!CB$206</f>
        <v>0</v>
      </c>
      <c r="CC88" s="12">
        <f>'Fin Stat'!CC$206</f>
        <v>0</v>
      </c>
      <c r="CD88" s="12">
        <f>'Fin Stat'!CD$206</f>
        <v>0</v>
      </c>
      <c r="CE88" s="12">
        <f>'Fin Stat'!CE$206</f>
        <v>0</v>
      </c>
      <c r="CF88" s="12">
        <f>'Fin Stat'!CF$206</f>
        <v>0</v>
      </c>
      <c r="CG88" s="12">
        <f>'Fin Stat'!CG$206</f>
        <v>0</v>
      </c>
      <c r="CH88" s="12">
        <f>'Fin Stat'!CH$206</f>
        <v>0</v>
      </c>
      <c r="CI88" s="12">
        <f>'Fin Stat'!CI$206</f>
        <v>0</v>
      </c>
      <c r="CK88" s="312"/>
      <c r="CM88" s="312"/>
      <c r="CO88" s="311"/>
      <c r="EX88" s="10" t="str">
        <f t="shared" ref="EX88:EX106" si="7">IF($C88="","",$D88)</f>
        <v>Net cash flow from financing activities</v>
      </c>
    </row>
    <row r="89" spans="1:154" ht="8.25" customHeight="1" x14ac:dyDescent="0.35">
      <c r="C89" s="213"/>
      <c r="E89"/>
      <c r="CK89" s="311"/>
      <c r="CM89" s="311"/>
      <c r="CO89" s="311"/>
      <c r="EX89" s="10" t="str">
        <f t="shared" si="7"/>
        <v/>
      </c>
    </row>
    <row r="90" spans="1:154" x14ac:dyDescent="0.35">
      <c r="A90" s="537" cm="1">
        <f t="array" aca="1" ref="A90" ca="1">HYPERLINK(CONCATENATE("#",CELL("address",IF(MAX($CM90:$CO90)=0,A90,INDEX($CM90:$CO90,MATCH(1,$CM90:$CO90,0))))),MAX($CM90:$CO90))</f>
        <v>0</v>
      </c>
      <c r="C90" s="213"/>
      <c r="D90" s="217" t="s">
        <v>1838</v>
      </c>
      <c r="E90" s="217"/>
      <c r="F90" s="217"/>
      <c r="G90" s="217"/>
      <c r="H90" s="217"/>
      <c r="I90" s="217"/>
      <c r="J90" s="217"/>
      <c r="K90" s="217"/>
      <c r="L90" s="217"/>
      <c r="M90" s="217"/>
      <c r="N90" s="217"/>
      <c r="O90" s="217"/>
      <c r="P90" s="217"/>
      <c r="Q90" s="217"/>
      <c r="R90" s="217"/>
      <c r="S90" s="217"/>
      <c r="T90" s="217"/>
      <c r="U90" s="217"/>
      <c r="V90" s="125">
        <f>ROUND(V88-SUM(V82:V87)*V$52, rounding)</f>
        <v>0</v>
      </c>
      <c r="W90" s="125">
        <f>ROUND(W88-SUM(W82:W87)*W$52, rounding)</f>
        <v>0</v>
      </c>
      <c r="X90" s="125">
        <f>ROUND(X88-SUM(X82:X87)*X$52, rounding)</f>
        <v>0</v>
      </c>
      <c r="Y90" s="125">
        <f>ROUND(Y88-SUM(Y82:Y87)*Y$52, rounding)</f>
        <v>0</v>
      </c>
      <c r="AA90" s="125">
        <f t="shared" ref="AA90:BJ90" si="8">ROUND(AA88-SUM(AA82:AA87)*AA$52, rounding)</f>
        <v>0</v>
      </c>
      <c r="AB90" s="125">
        <f t="shared" si="8"/>
        <v>0</v>
      </c>
      <c r="AC90" s="125">
        <f t="shared" si="8"/>
        <v>0</v>
      </c>
      <c r="AD90" s="125">
        <f t="shared" si="8"/>
        <v>0</v>
      </c>
      <c r="AE90" s="125">
        <f t="shared" si="8"/>
        <v>0</v>
      </c>
      <c r="AF90" s="125">
        <f t="shared" si="8"/>
        <v>0</v>
      </c>
      <c r="AG90" s="125">
        <f t="shared" si="8"/>
        <v>0</v>
      </c>
      <c r="AH90" s="125">
        <f t="shared" si="8"/>
        <v>0</v>
      </c>
      <c r="AI90" s="125">
        <f t="shared" si="8"/>
        <v>0</v>
      </c>
      <c r="AJ90" s="125">
        <f t="shared" si="8"/>
        <v>0</v>
      </c>
      <c r="AK90" s="125">
        <f t="shared" si="8"/>
        <v>0</v>
      </c>
      <c r="AL90" s="125">
        <f t="shared" si="8"/>
        <v>0</v>
      </c>
      <c r="AM90" s="125">
        <f t="shared" si="8"/>
        <v>0</v>
      </c>
      <c r="AN90" s="125">
        <f t="shared" si="8"/>
        <v>0</v>
      </c>
      <c r="AO90" s="125">
        <f t="shared" si="8"/>
        <v>0</v>
      </c>
      <c r="AP90" s="125">
        <f t="shared" si="8"/>
        <v>0</v>
      </c>
      <c r="AQ90" s="125">
        <f t="shared" si="8"/>
        <v>0</v>
      </c>
      <c r="AR90" s="125">
        <f t="shared" si="8"/>
        <v>0</v>
      </c>
      <c r="AS90" s="125">
        <f t="shared" si="8"/>
        <v>0</v>
      </c>
      <c r="AT90" s="125">
        <f t="shared" si="8"/>
        <v>0</v>
      </c>
      <c r="AU90" s="125">
        <f t="shared" si="8"/>
        <v>0</v>
      </c>
      <c r="AV90" s="125">
        <f t="shared" si="8"/>
        <v>0</v>
      </c>
      <c r="AW90" s="125">
        <f t="shared" si="8"/>
        <v>0</v>
      </c>
      <c r="AX90" s="125">
        <f t="shared" si="8"/>
        <v>0</v>
      </c>
      <c r="AY90" s="125">
        <f t="shared" si="8"/>
        <v>0</v>
      </c>
      <c r="AZ90" s="125">
        <f t="shared" si="8"/>
        <v>0</v>
      </c>
      <c r="BA90" s="125">
        <f t="shared" si="8"/>
        <v>0</v>
      </c>
      <c r="BB90" s="125">
        <f t="shared" si="8"/>
        <v>0</v>
      </c>
      <c r="BC90" s="125">
        <f t="shared" si="8"/>
        <v>0</v>
      </c>
      <c r="BD90" s="125">
        <f t="shared" si="8"/>
        <v>0</v>
      </c>
      <c r="BE90" s="125">
        <f t="shared" si="8"/>
        <v>0</v>
      </c>
      <c r="BF90" s="125">
        <f t="shared" si="8"/>
        <v>0</v>
      </c>
      <c r="BG90" s="125">
        <f t="shared" si="8"/>
        <v>0</v>
      </c>
      <c r="BH90" s="125">
        <f t="shared" si="8"/>
        <v>0</v>
      </c>
      <c r="BI90" s="125">
        <f t="shared" si="8"/>
        <v>0</v>
      </c>
      <c r="BJ90" s="125">
        <f t="shared" si="8"/>
        <v>0</v>
      </c>
      <c r="BX90" s="125">
        <f t="shared" ref="BX90:CI90" si="9">ROUND(BX88-SUM(BX82:BX87)*BX$52, rounding)</f>
        <v>0</v>
      </c>
      <c r="BY90" s="125">
        <f t="shared" si="9"/>
        <v>0</v>
      </c>
      <c r="BZ90" s="125">
        <f t="shared" si="9"/>
        <v>0</v>
      </c>
      <c r="CA90" s="125">
        <f t="shared" si="9"/>
        <v>0</v>
      </c>
      <c r="CB90" s="125">
        <f t="shared" si="9"/>
        <v>0</v>
      </c>
      <c r="CC90" s="125">
        <f t="shared" si="9"/>
        <v>0</v>
      </c>
      <c r="CD90" s="125">
        <f t="shared" si="9"/>
        <v>0</v>
      </c>
      <c r="CE90" s="125">
        <f t="shared" si="9"/>
        <v>0</v>
      </c>
      <c r="CF90" s="125">
        <f t="shared" si="9"/>
        <v>0</v>
      </c>
      <c r="CG90" s="125">
        <f t="shared" si="9"/>
        <v>0</v>
      </c>
      <c r="CH90" s="125">
        <f t="shared" si="9"/>
        <v>0</v>
      </c>
      <c r="CI90" s="125">
        <f t="shared" si="9"/>
        <v>0</v>
      </c>
      <c r="CK90" s="312"/>
      <c r="CM90" s="312"/>
      <c r="CN90" s="7">
        <f>IF(AND( ABS(MAX($V90:$CI90))&lt;Parameters!$D$33,  ABS(MIN($V90:$CI90))&lt;Parameters!$D$33), 0, 1)</f>
        <v>0</v>
      </c>
      <c r="CO90" s="311"/>
      <c r="EX90" s="10" t="str">
        <f t="shared" si="7"/>
        <v/>
      </c>
    </row>
    <row r="91" spans="1:154" ht="8.25" customHeight="1" x14ac:dyDescent="0.35">
      <c r="C91" s="213"/>
      <c r="E91"/>
      <c r="CK91" s="311"/>
      <c r="CM91" s="311"/>
      <c r="CO91" s="311"/>
      <c r="EX91" s="10" t="str">
        <f t="shared" si="7"/>
        <v/>
      </c>
    </row>
    <row r="92" spans="1:154" x14ac:dyDescent="0.35">
      <c r="C92" s="213" t="str">
        <f>'Fin Stat'!C$208</f>
        <v>IC-4</v>
      </c>
      <c r="D92" s="5" t="s">
        <v>1631</v>
      </c>
      <c r="V92" s="12">
        <f>'Fin Stat'!V$208</f>
        <v>0</v>
      </c>
      <c r="W92" s="12">
        <f>'Fin Stat'!W$208</f>
        <v>0</v>
      </c>
      <c r="X92" s="12">
        <f>'Fin Stat'!X$208</f>
        <v>0</v>
      </c>
      <c r="Y92" s="12">
        <f>'Fin Stat'!Y$208</f>
        <v>0</v>
      </c>
      <c r="AA92" s="12">
        <f>'Fin Stat'!AA$208</f>
        <v>0</v>
      </c>
      <c r="AB92" s="12">
        <f>'Fin Stat'!AB$208</f>
        <v>0</v>
      </c>
      <c r="AC92" s="12">
        <f>'Fin Stat'!AC$208</f>
        <v>0</v>
      </c>
      <c r="AD92" s="12">
        <f>'Fin Stat'!AD$208</f>
        <v>0</v>
      </c>
      <c r="AE92" s="12">
        <f>'Fin Stat'!AE$208</f>
        <v>0</v>
      </c>
      <c r="AF92" s="12">
        <f>'Fin Stat'!AF$208</f>
        <v>0</v>
      </c>
      <c r="AG92" s="12">
        <f>'Fin Stat'!AG$208</f>
        <v>0</v>
      </c>
      <c r="AH92" s="12">
        <f>'Fin Stat'!AH$208</f>
        <v>0</v>
      </c>
      <c r="AI92" s="12">
        <f>'Fin Stat'!AI$208</f>
        <v>0</v>
      </c>
      <c r="AJ92" s="12">
        <f>'Fin Stat'!AJ$208</f>
        <v>0</v>
      </c>
      <c r="AK92" s="12">
        <f>'Fin Stat'!AK$208</f>
        <v>0</v>
      </c>
      <c r="AL92" s="12">
        <f>'Fin Stat'!AL$208</f>
        <v>0</v>
      </c>
      <c r="AM92" s="12">
        <f>'Fin Stat'!AM$208</f>
        <v>0</v>
      </c>
      <c r="AN92" s="12">
        <f>'Fin Stat'!AN$208</f>
        <v>0</v>
      </c>
      <c r="AO92" s="12">
        <f>'Fin Stat'!AO$208</f>
        <v>0</v>
      </c>
      <c r="AP92" s="12">
        <f>'Fin Stat'!AP$208</f>
        <v>0</v>
      </c>
      <c r="AQ92" s="12">
        <f>'Fin Stat'!AQ$208</f>
        <v>0</v>
      </c>
      <c r="AR92" s="12">
        <f>'Fin Stat'!AR$208</f>
        <v>0</v>
      </c>
      <c r="AS92" s="12">
        <f>'Fin Stat'!AS$208</f>
        <v>0</v>
      </c>
      <c r="AT92" s="12">
        <f>'Fin Stat'!AT$208</f>
        <v>0</v>
      </c>
      <c r="AU92" s="12">
        <f>'Fin Stat'!AU$208</f>
        <v>0</v>
      </c>
      <c r="AV92" s="12">
        <f>'Fin Stat'!AV$208</f>
        <v>0</v>
      </c>
      <c r="AW92" s="12">
        <f>'Fin Stat'!AW$208</f>
        <v>0</v>
      </c>
      <c r="AX92" s="12">
        <f>'Fin Stat'!AX$208</f>
        <v>0</v>
      </c>
      <c r="AY92" s="12">
        <f>'Fin Stat'!AY$208</f>
        <v>0</v>
      </c>
      <c r="AZ92" s="12">
        <f>'Fin Stat'!AZ$208</f>
        <v>0</v>
      </c>
      <c r="BA92" s="12">
        <f>'Fin Stat'!BA$208</f>
        <v>0</v>
      </c>
      <c r="BB92" s="12">
        <f>'Fin Stat'!BB$208</f>
        <v>0</v>
      </c>
      <c r="BC92" s="12">
        <f>'Fin Stat'!BC$208</f>
        <v>0</v>
      </c>
      <c r="BD92" s="12">
        <f>'Fin Stat'!BD$208</f>
        <v>0</v>
      </c>
      <c r="BE92" s="12">
        <f>'Fin Stat'!BE$208</f>
        <v>0</v>
      </c>
      <c r="BF92" s="12">
        <f>'Fin Stat'!BF$208</f>
        <v>0</v>
      </c>
      <c r="BG92" s="12">
        <f>'Fin Stat'!BG$208</f>
        <v>0</v>
      </c>
      <c r="BH92" s="12">
        <f>'Fin Stat'!BH$208</f>
        <v>0</v>
      </c>
      <c r="BI92" s="12">
        <f>'Fin Stat'!BI$208</f>
        <v>0</v>
      </c>
      <c r="BJ92" s="12">
        <f>'Fin Stat'!BJ$208</f>
        <v>0</v>
      </c>
      <c r="BX92" s="12">
        <f>'Fin Stat'!BX$208</f>
        <v>0</v>
      </c>
      <c r="BY92" s="12">
        <f>'Fin Stat'!BY$208</f>
        <v>0</v>
      </c>
      <c r="BZ92" s="12">
        <f>'Fin Stat'!BZ$208</f>
        <v>0</v>
      </c>
      <c r="CA92" s="12">
        <f>'Fin Stat'!CA$208</f>
        <v>0</v>
      </c>
      <c r="CB92" s="12">
        <f>'Fin Stat'!CB$208</f>
        <v>0</v>
      </c>
      <c r="CC92" s="12">
        <f>'Fin Stat'!CC$208</f>
        <v>0</v>
      </c>
      <c r="CD92" s="12">
        <f>'Fin Stat'!CD$208</f>
        <v>0</v>
      </c>
      <c r="CE92" s="12">
        <f>'Fin Stat'!CE$208</f>
        <v>0</v>
      </c>
      <c r="CF92" s="12">
        <f>'Fin Stat'!CF$208</f>
        <v>0</v>
      </c>
      <c r="CG92" s="12">
        <f>'Fin Stat'!CG$208</f>
        <v>0</v>
      </c>
      <c r="CH92" s="12">
        <f>'Fin Stat'!CH$208</f>
        <v>0</v>
      </c>
      <c r="CI92" s="12">
        <f>'Fin Stat'!CI$208</f>
        <v>0</v>
      </c>
      <c r="CK92" s="312"/>
      <c r="CM92" s="312"/>
      <c r="CO92" s="311"/>
      <c r="EX92" s="10" t="str">
        <f t="shared" si="7"/>
        <v>Increase/(decrease) in unrestricted cash and cash equivalents</v>
      </c>
    </row>
    <row r="93" spans="1:154" ht="8.25" customHeight="1" x14ac:dyDescent="0.35">
      <c r="C93" s="213"/>
      <c r="E93"/>
      <c r="CK93" s="311"/>
      <c r="CM93" s="311"/>
      <c r="CO93" s="311"/>
      <c r="EX93" s="10" t="str">
        <f t="shared" si="7"/>
        <v/>
      </c>
    </row>
    <row r="94" spans="1:154" x14ac:dyDescent="0.35">
      <c r="A94" s="537" cm="1">
        <f t="array" aca="1" ref="A94" ca="1">HYPERLINK(CONCATENATE("#",CELL("address",IF(MAX($CM94:$CO94)=0,A94,INDEX($CM94:$CO94,MATCH(1,$CM94:$CO94,0))))),MAX($CM94:$CO94))</f>
        <v>0</v>
      </c>
      <c r="C94" s="213"/>
      <c r="D94" s="217" t="s">
        <v>1839</v>
      </c>
      <c r="E94" s="217"/>
      <c r="F94" s="217"/>
      <c r="G94" s="217"/>
      <c r="H94" s="217"/>
      <c r="I94" s="217"/>
      <c r="J94" s="217"/>
      <c r="K94" s="217"/>
      <c r="L94" s="217"/>
      <c r="M94" s="217"/>
      <c r="N94" s="217"/>
      <c r="O94" s="217"/>
      <c r="P94" s="217"/>
      <c r="Q94" s="217"/>
      <c r="R94" s="217"/>
      <c r="S94" s="217"/>
      <c r="T94" s="217"/>
      <c r="U94" s="217"/>
      <c r="V94" s="125">
        <f>ROUND(V92-SUM(V88, V78, V67)*V$52, rounding)</f>
        <v>0</v>
      </c>
      <c r="W94" s="125">
        <f>ROUND(W92-SUM(W88, W78, W67)*W$52, rounding)</f>
        <v>0</v>
      </c>
      <c r="X94" s="125">
        <f>ROUND(X92-SUM(X88, X78, X67)*X$52, rounding)</f>
        <v>0</v>
      </c>
      <c r="Y94" s="125">
        <f>ROUND(Y92-SUM(Y88, Y78, Y67)*Y$52, rounding)</f>
        <v>0</v>
      </c>
      <c r="AA94" s="125">
        <f t="shared" ref="AA94:BJ94" si="10">ROUND(AA92-SUM(AA88, AA78, AA67)*AA$52, rounding)</f>
        <v>0</v>
      </c>
      <c r="AB94" s="125">
        <f t="shared" si="10"/>
        <v>0</v>
      </c>
      <c r="AC94" s="125">
        <f t="shared" si="10"/>
        <v>0</v>
      </c>
      <c r="AD94" s="125">
        <f t="shared" si="10"/>
        <v>0</v>
      </c>
      <c r="AE94" s="125">
        <f t="shared" si="10"/>
        <v>0</v>
      </c>
      <c r="AF94" s="125">
        <f t="shared" si="10"/>
        <v>0</v>
      </c>
      <c r="AG94" s="125">
        <f t="shared" si="10"/>
        <v>0</v>
      </c>
      <c r="AH94" s="125">
        <f t="shared" si="10"/>
        <v>0</v>
      </c>
      <c r="AI94" s="125">
        <f t="shared" si="10"/>
        <v>0</v>
      </c>
      <c r="AJ94" s="125">
        <f t="shared" si="10"/>
        <v>0</v>
      </c>
      <c r="AK94" s="125">
        <f t="shared" si="10"/>
        <v>0</v>
      </c>
      <c r="AL94" s="125">
        <f t="shared" si="10"/>
        <v>0</v>
      </c>
      <c r="AM94" s="125">
        <f t="shared" si="10"/>
        <v>0</v>
      </c>
      <c r="AN94" s="125">
        <f t="shared" si="10"/>
        <v>0</v>
      </c>
      <c r="AO94" s="125">
        <f t="shared" si="10"/>
        <v>0</v>
      </c>
      <c r="AP94" s="125">
        <f t="shared" si="10"/>
        <v>0</v>
      </c>
      <c r="AQ94" s="125">
        <f t="shared" si="10"/>
        <v>0</v>
      </c>
      <c r="AR94" s="125">
        <f t="shared" si="10"/>
        <v>0</v>
      </c>
      <c r="AS94" s="125">
        <f t="shared" si="10"/>
        <v>0</v>
      </c>
      <c r="AT94" s="125">
        <f t="shared" si="10"/>
        <v>0</v>
      </c>
      <c r="AU94" s="125">
        <f t="shared" si="10"/>
        <v>0</v>
      </c>
      <c r="AV94" s="125">
        <f t="shared" si="10"/>
        <v>0</v>
      </c>
      <c r="AW94" s="125">
        <f t="shared" si="10"/>
        <v>0</v>
      </c>
      <c r="AX94" s="125">
        <f t="shared" si="10"/>
        <v>0</v>
      </c>
      <c r="AY94" s="125">
        <f t="shared" si="10"/>
        <v>0</v>
      </c>
      <c r="AZ94" s="125">
        <f t="shared" si="10"/>
        <v>0</v>
      </c>
      <c r="BA94" s="125">
        <f t="shared" si="10"/>
        <v>0</v>
      </c>
      <c r="BB94" s="125">
        <f t="shared" si="10"/>
        <v>0</v>
      </c>
      <c r="BC94" s="125">
        <f t="shared" si="10"/>
        <v>0</v>
      </c>
      <c r="BD94" s="125">
        <f t="shared" si="10"/>
        <v>0</v>
      </c>
      <c r="BE94" s="125">
        <f t="shared" si="10"/>
        <v>0</v>
      </c>
      <c r="BF94" s="125">
        <f t="shared" si="10"/>
        <v>0</v>
      </c>
      <c r="BG94" s="125">
        <f t="shared" si="10"/>
        <v>0</v>
      </c>
      <c r="BH94" s="125">
        <f t="shared" si="10"/>
        <v>0</v>
      </c>
      <c r="BI94" s="125">
        <f t="shared" si="10"/>
        <v>0</v>
      </c>
      <c r="BJ94" s="125">
        <f t="shared" si="10"/>
        <v>0</v>
      </c>
      <c r="BX94" s="125">
        <f t="shared" ref="BX94:CI94" si="11">ROUND(BX92-SUM(BX88, BX78, BX67)*BX$52, rounding)</f>
        <v>0</v>
      </c>
      <c r="BY94" s="125">
        <f t="shared" si="11"/>
        <v>0</v>
      </c>
      <c r="BZ94" s="125">
        <f t="shared" si="11"/>
        <v>0</v>
      </c>
      <c r="CA94" s="125">
        <f t="shared" si="11"/>
        <v>0</v>
      </c>
      <c r="CB94" s="125">
        <f t="shared" si="11"/>
        <v>0</v>
      </c>
      <c r="CC94" s="125">
        <f t="shared" si="11"/>
        <v>0</v>
      </c>
      <c r="CD94" s="125">
        <f t="shared" si="11"/>
        <v>0</v>
      </c>
      <c r="CE94" s="125">
        <f t="shared" si="11"/>
        <v>0</v>
      </c>
      <c r="CF94" s="125">
        <f t="shared" si="11"/>
        <v>0</v>
      </c>
      <c r="CG94" s="125">
        <f t="shared" si="11"/>
        <v>0</v>
      </c>
      <c r="CH94" s="125">
        <f t="shared" si="11"/>
        <v>0</v>
      </c>
      <c r="CI94" s="125">
        <f t="shared" si="11"/>
        <v>0</v>
      </c>
      <c r="CK94" s="312"/>
      <c r="CM94" s="312"/>
      <c r="CN94" s="7">
        <f>IF(AND( ABS(MAX($V94:$CI94))&lt;Parameters!$D$33,  ABS(MIN($V94:$CI94))&lt;Parameters!$D$33), 0, 1)</f>
        <v>0</v>
      </c>
      <c r="CO94" s="311"/>
      <c r="EX94" s="10" t="str">
        <f t="shared" si="7"/>
        <v/>
      </c>
    </row>
    <row r="95" spans="1:154" ht="8.25" customHeight="1" x14ac:dyDescent="0.35">
      <c r="C95" s="213"/>
      <c r="E95"/>
      <c r="CK95" s="311"/>
      <c r="CM95" s="311"/>
      <c r="CO95" s="311"/>
      <c r="EX95" s="10" t="str">
        <f t="shared" si="7"/>
        <v/>
      </c>
    </row>
    <row r="96" spans="1:154" x14ac:dyDescent="0.35">
      <c r="C96" s="213" t="str">
        <f>'Fin Stat'!C$212</f>
        <v>IC-5</v>
      </c>
      <c r="D96" s="5" t="s">
        <v>1636</v>
      </c>
      <c r="V96" s="12">
        <f>'Fin Stat'!V$212</f>
        <v>0</v>
      </c>
      <c r="W96" s="12">
        <f>'Fin Stat'!W$212</f>
        <v>0</v>
      </c>
      <c r="X96" s="12">
        <f>'Fin Stat'!X$212</f>
        <v>0</v>
      </c>
      <c r="Y96" s="12">
        <f>'Fin Stat'!Y$212</f>
        <v>0</v>
      </c>
      <c r="AA96" s="12">
        <f>'Fin Stat'!AA$212</f>
        <v>0</v>
      </c>
      <c r="AB96" s="12">
        <f>'Fin Stat'!AB$212</f>
        <v>0</v>
      </c>
      <c r="AC96" s="12">
        <f>'Fin Stat'!AC$212</f>
        <v>0</v>
      </c>
      <c r="AD96" s="12">
        <f>'Fin Stat'!AD$212</f>
        <v>0</v>
      </c>
      <c r="AE96" s="12">
        <f>'Fin Stat'!AE$212</f>
        <v>0</v>
      </c>
      <c r="AF96" s="12">
        <f>'Fin Stat'!AF$212</f>
        <v>0</v>
      </c>
      <c r="AG96" s="12">
        <f>'Fin Stat'!AG$212</f>
        <v>0</v>
      </c>
      <c r="AH96" s="12">
        <f>'Fin Stat'!AH$212</f>
        <v>0</v>
      </c>
      <c r="AI96" s="12">
        <f>'Fin Stat'!AI$212</f>
        <v>0</v>
      </c>
      <c r="AJ96" s="12">
        <f>'Fin Stat'!AJ$212</f>
        <v>0</v>
      </c>
      <c r="AK96" s="12">
        <f>'Fin Stat'!AK$212</f>
        <v>0</v>
      </c>
      <c r="AL96" s="12">
        <f>'Fin Stat'!AL$212</f>
        <v>0</v>
      </c>
      <c r="AM96" s="12">
        <f>'Fin Stat'!AM$212</f>
        <v>0</v>
      </c>
      <c r="AN96" s="12">
        <f>'Fin Stat'!AN$212</f>
        <v>0</v>
      </c>
      <c r="AO96" s="12">
        <f>'Fin Stat'!AO$212</f>
        <v>0</v>
      </c>
      <c r="AP96" s="12">
        <f>'Fin Stat'!AP$212</f>
        <v>0</v>
      </c>
      <c r="AQ96" s="12">
        <f>'Fin Stat'!AQ$212</f>
        <v>0</v>
      </c>
      <c r="AR96" s="12">
        <f>'Fin Stat'!AR$212</f>
        <v>0</v>
      </c>
      <c r="AS96" s="12">
        <f>'Fin Stat'!AS$212</f>
        <v>0</v>
      </c>
      <c r="AT96" s="12">
        <f>'Fin Stat'!AT$212</f>
        <v>0</v>
      </c>
      <c r="AU96" s="12">
        <f>'Fin Stat'!AU$212</f>
        <v>0</v>
      </c>
      <c r="AV96" s="12">
        <f>'Fin Stat'!AV$212</f>
        <v>0</v>
      </c>
      <c r="AW96" s="12">
        <f>'Fin Stat'!AW$212</f>
        <v>0</v>
      </c>
      <c r="AX96" s="12">
        <f>'Fin Stat'!AX$212</f>
        <v>0</v>
      </c>
      <c r="AY96" s="12">
        <f>'Fin Stat'!AY$212</f>
        <v>0</v>
      </c>
      <c r="AZ96" s="12">
        <f>'Fin Stat'!AZ$212</f>
        <v>0</v>
      </c>
      <c r="BA96" s="12">
        <f>'Fin Stat'!BA$212</f>
        <v>0</v>
      </c>
      <c r="BB96" s="12">
        <f>'Fin Stat'!BB$212</f>
        <v>0</v>
      </c>
      <c r="BC96" s="12">
        <f>'Fin Stat'!BC$212</f>
        <v>0</v>
      </c>
      <c r="BD96" s="12">
        <f>'Fin Stat'!BD$212</f>
        <v>0</v>
      </c>
      <c r="BE96" s="12">
        <f>'Fin Stat'!BE$212</f>
        <v>0</v>
      </c>
      <c r="BF96" s="12">
        <f>'Fin Stat'!BF$212</f>
        <v>0</v>
      </c>
      <c r="BG96" s="12">
        <f>'Fin Stat'!BG$212</f>
        <v>0</v>
      </c>
      <c r="BH96" s="12">
        <f>'Fin Stat'!BH$212</f>
        <v>0</v>
      </c>
      <c r="BI96" s="12">
        <f>'Fin Stat'!BI$212</f>
        <v>0</v>
      </c>
      <c r="BJ96" s="12">
        <f>'Fin Stat'!BJ$212</f>
        <v>0</v>
      </c>
      <c r="BX96" s="12">
        <f>'Fin Stat'!BX$212</f>
        <v>0</v>
      </c>
      <c r="BY96" s="12">
        <f>'Fin Stat'!BY$212</f>
        <v>0</v>
      </c>
      <c r="BZ96" s="12">
        <f>'Fin Stat'!BZ$212</f>
        <v>0</v>
      </c>
      <c r="CA96" s="12">
        <f>'Fin Stat'!CA$212</f>
        <v>0</v>
      </c>
      <c r="CB96" s="12">
        <f>'Fin Stat'!CB$212</f>
        <v>0</v>
      </c>
      <c r="CC96" s="12">
        <f>'Fin Stat'!CC$212</f>
        <v>0</v>
      </c>
      <c r="CD96" s="12">
        <f>'Fin Stat'!CD$212</f>
        <v>0</v>
      </c>
      <c r="CE96" s="12">
        <f>'Fin Stat'!CE$212</f>
        <v>0</v>
      </c>
      <c r="CF96" s="12">
        <f>'Fin Stat'!CF$212</f>
        <v>0</v>
      </c>
      <c r="CG96" s="12">
        <f>'Fin Stat'!CG$212</f>
        <v>0</v>
      </c>
      <c r="CH96" s="12">
        <f>'Fin Stat'!CH$212</f>
        <v>0</v>
      </c>
      <c r="CI96" s="12">
        <f>'Fin Stat'!CI$212</f>
        <v>0</v>
      </c>
      <c r="CK96" s="312"/>
      <c r="CM96" s="312"/>
      <c r="CO96" s="311"/>
      <c r="EX96" s="10" t="str">
        <f t="shared" si="7"/>
        <v>Unrestricted cash and cash equivalents at end of the period</v>
      </c>
    </row>
    <row r="97" spans="1:154" ht="8.25" customHeight="1" x14ac:dyDescent="0.35">
      <c r="C97" s="213"/>
      <c r="E97"/>
      <c r="CK97" s="311"/>
      <c r="CM97" s="311"/>
      <c r="CO97" s="311"/>
      <c r="EX97" s="10" t="str">
        <f t="shared" si="7"/>
        <v/>
      </c>
    </row>
    <row r="98" spans="1:154" x14ac:dyDescent="0.35">
      <c r="C98" s="213" t="str">
        <f>Ratios!C$20</f>
        <v>R-2a</v>
      </c>
      <c r="D98" s="5" t="s">
        <v>1664</v>
      </c>
      <c r="V98" s="10">
        <f>Ratios!V$20</f>
        <v>0</v>
      </c>
      <c r="W98" s="10">
        <f>Ratios!W$20</f>
        <v>0</v>
      </c>
      <c r="X98" s="10">
        <f>Ratios!X$20</f>
        <v>0</v>
      </c>
      <c r="Y98" s="10">
        <f>Ratios!Y$20</f>
        <v>0</v>
      </c>
      <c r="AA98" s="10">
        <f>Ratios!AA$20</f>
        <v>0</v>
      </c>
      <c r="AB98" s="10">
        <f>Ratios!AB$20</f>
        <v>0</v>
      </c>
      <c r="AC98" s="10">
        <f>Ratios!AC$20</f>
        <v>0</v>
      </c>
      <c r="AD98" s="10">
        <f>Ratios!AD$20</f>
        <v>0</v>
      </c>
      <c r="AE98" s="10">
        <f>Ratios!AE$20</f>
        <v>0</v>
      </c>
      <c r="AF98" s="10">
        <f>Ratios!AF$20</f>
        <v>0</v>
      </c>
      <c r="AG98" s="10">
        <f>Ratios!AG$20</f>
        <v>0</v>
      </c>
      <c r="AH98" s="10">
        <f>Ratios!AH$20</f>
        <v>0</v>
      </c>
      <c r="AI98" s="10">
        <f>Ratios!AI$20</f>
        <v>0</v>
      </c>
      <c r="AJ98" s="10">
        <f>Ratios!AJ$20</f>
        <v>0</v>
      </c>
      <c r="AK98" s="10">
        <f>Ratios!AK$20</f>
        <v>0</v>
      </c>
      <c r="AL98" s="10">
        <f>Ratios!AL$20</f>
        <v>0</v>
      </c>
      <c r="AM98" s="10">
        <f>Ratios!AM$20</f>
        <v>0</v>
      </c>
      <c r="AN98" s="10">
        <f>Ratios!AN$20</f>
        <v>0</v>
      </c>
      <c r="AO98" s="10">
        <f>Ratios!AO$20</f>
        <v>0</v>
      </c>
      <c r="AP98" s="10">
        <f>Ratios!AP$20</f>
        <v>0</v>
      </c>
      <c r="AQ98" s="10">
        <f>Ratios!AQ$20</f>
        <v>0</v>
      </c>
      <c r="AR98" s="10">
        <f>Ratios!AR$20</f>
        <v>0</v>
      </c>
      <c r="AS98" s="10">
        <f>Ratios!AS$20</f>
        <v>0</v>
      </c>
      <c r="AT98" s="10">
        <f>Ratios!AT$20</f>
        <v>0</v>
      </c>
      <c r="AU98" s="10">
        <f>Ratios!AU$20</f>
        <v>0</v>
      </c>
      <c r="AV98" s="10">
        <f>Ratios!AV$20</f>
        <v>0</v>
      </c>
      <c r="AW98" s="10">
        <f>Ratios!AW$20</f>
        <v>0</v>
      </c>
      <c r="AX98" s="10">
        <f>Ratios!AX$20</f>
        <v>0</v>
      </c>
      <c r="AY98" s="10">
        <f>Ratios!AY$20</f>
        <v>0</v>
      </c>
      <c r="AZ98" s="10">
        <f>Ratios!AZ$20</f>
        <v>0</v>
      </c>
      <c r="BA98" s="10">
        <f>Ratios!BA$20</f>
        <v>0</v>
      </c>
      <c r="BB98" s="10">
        <f>Ratios!BB$20</f>
        <v>0</v>
      </c>
      <c r="BC98" s="10">
        <f>Ratios!BC$20</f>
        <v>0</v>
      </c>
      <c r="BD98" s="10">
        <f>Ratios!BD$20</f>
        <v>0</v>
      </c>
      <c r="BE98" s="10">
        <f>Ratios!BE$20</f>
        <v>0</v>
      </c>
      <c r="BF98" s="10">
        <f>Ratios!BF$20</f>
        <v>0</v>
      </c>
      <c r="BG98" s="10">
        <f>Ratios!BG$20</f>
        <v>0</v>
      </c>
      <c r="BH98" s="10">
        <f>Ratios!BH$20</f>
        <v>0</v>
      </c>
      <c r="BI98" s="10">
        <f>Ratios!BI$20</f>
        <v>0</v>
      </c>
      <c r="BJ98" s="10">
        <f>Ratios!BJ$20</f>
        <v>0</v>
      </c>
      <c r="BX98" s="10">
        <f>Ratios!BX$20</f>
        <v>0</v>
      </c>
      <c r="BY98" s="10">
        <f>Ratios!BY$20</f>
        <v>0</v>
      </c>
      <c r="BZ98" s="10">
        <f>Ratios!BZ$20</f>
        <v>0</v>
      </c>
      <c r="CA98" s="10">
        <f>Ratios!CA$20</f>
        <v>0</v>
      </c>
      <c r="CB98" s="10">
        <f>Ratios!CB$20</f>
        <v>0</v>
      </c>
      <c r="CC98" s="10">
        <f>Ratios!CC$20</f>
        <v>0</v>
      </c>
      <c r="CD98" s="10">
        <f>Ratios!CD$20</f>
        <v>0</v>
      </c>
      <c r="CE98" s="10">
        <f>Ratios!CE$20</f>
        <v>0</v>
      </c>
      <c r="CF98" s="10">
        <f>Ratios!CF$20</f>
        <v>0</v>
      </c>
      <c r="CG98" s="10">
        <f>Ratios!CG$20</f>
        <v>0</v>
      </c>
      <c r="CH98" s="10">
        <f>Ratios!CH$20</f>
        <v>0</v>
      </c>
      <c r="CI98" s="10">
        <f>Ratios!CI$20</f>
        <v>0</v>
      </c>
      <c r="CK98" s="312"/>
      <c r="CM98" s="312"/>
      <c r="CO98" s="311"/>
      <c r="EX98" s="10" t="str">
        <f t="shared" si="7"/>
        <v>Adjusted unrestricted cash days in hand</v>
      </c>
    </row>
    <row r="99" spans="1:154" x14ac:dyDescent="0.35">
      <c r="C99" s="213" t="str">
        <f>Ratios!C$22</f>
        <v>R-2b</v>
      </c>
      <c r="D99" s="5" t="s">
        <v>1668</v>
      </c>
      <c r="V99" s="10">
        <f>Ratios!V$22</f>
        <v>0</v>
      </c>
      <c r="W99" s="10">
        <f>Ratios!W$22</f>
        <v>0</v>
      </c>
      <c r="X99" s="10">
        <f>Ratios!X$22</f>
        <v>0</v>
      </c>
      <c r="Y99" s="10">
        <f>Ratios!Y$22</f>
        <v>0</v>
      </c>
      <c r="AA99" s="10">
        <f>Ratios!AA$22</f>
        <v>0</v>
      </c>
      <c r="AB99" s="10">
        <f>Ratios!AB$22</f>
        <v>0</v>
      </c>
      <c r="AC99" s="10">
        <f>Ratios!AC$22</f>
        <v>0</v>
      </c>
      <c r="AD99" s="10">
        <f>Ratios!AD$22</f>
        <v>0</v>
      </c>
      <c r="AE99" s="10">
        <f>Ratios!AE$22</f>
        <v>0</v>
      </c>
      <c r="AF99" s="10">
        <f>Ratios!AF$22</f>
        <v>0</v>
      </c>
      <c r="AG99" s="10">
        <f>Ratios!AG$22</f>
        <v>0</v>
      </c>
      <c r="AH99" s="10">
        <f>Ratios!AH$22</f>
        <v>0</v>
      </c>
      <c r="AI99" s="10">
        <f>Ratios!AI$22</f>
        <v>0</v>
      </c>
      <c r="AJ99" s="10">
        <f>Ratios!AJ$22</f>
        <v>0</v>
      </c>
      <c r="AK99" s="10">
        <f>Ratios!AK$22</f>
        <v>0</v>
      </c>
      <c r="AL99" s="10">
        <f>Ratios!AL$22</f>
        <v>0</v>
      </c>
      <c r="AM99" s="10">
        <f>Ratios!AM$22</f>
        <v>0</v>
      </c>
      <c r="AN99" s="10">
        <f>Ratios!AN$22</f>
        <v>0</v>
      </c>
      <c r="AO99" s="10">
        <f>Ratios!AO$22</f>
        <v>0</v>
      </c>
      <c r="AP99" s="10">
        <f>Ratios!AP$22</f>
        <v>0</v>
      </c>
      <c r="AQ99" s="10">
        <f>Ratios!AQ$22</f>
        <v>0</v>
      </c>
      <c r="AR99" s="10">
        <f>Ratios!AR$22</f>
        <v>0</v>
      </c>
      <c r="AS99" s="10">
        <f>Ratios!AS$22</f>
        <v>0</v>
      </c>
      <c r="AT99" s="10">
        <f>Ratios!AT$22</f>
        <v>0</v>
      </c>
      <c r="AU99" s="10">
        <f>Ratios!AU$22</f>
        <v>0</v>
      </c>
      <c r="AV99" s="10">
        <f>Ratios!AV$22</f>
        <v>0</v>
      </c>
      <c r="AW99" s="10">
        <f>Ratios!AW$22</f>
        <v>0</v>
      </c>
      <c r="AX99" s="10">
        <f>Ratios!AX$22</f>
        <v>0</v>
      </c>
      <c r="AY99" s="10">
        <f>Ratios!AY$22</f>
        <v>0</v>
      </c>
      <c r="AZ99" s="10">
        <f>Ratios!AZ$22</f>
        <v>0</v>
      </c>
      <c r="BA99" s="10">
        <f>Ratios!BA$22</f>
        <v>0</v>
      </c>
      <c r="BB99" s="10">
        <f>Ratios!BB$22</f>
        <v>0</v>
      </c>
      <c r="BC99" s="10">
        <f>Ratios!BC$22</f>
        <v>0</v>
      </c>
      <c r="BD99" s="10">
        <f>Ratios!BD$22</f>
        <v>0</v>
      </c>
      <c r="BE99" s="10">
        <f>Ratios!BE$22</f>
        <v>0</v>
      </c>
      <c r="BF99" s="10">
        <f>Ratios!BF$22</f>
        <v>0</v>
      </c>
      <c r="BG99" s="10">
        <f>Ratios!BG$22</f>
        <v>0</v>
      </c>
      <c r="BH99" s="10">
        <f>Ratios!BH$22</f>
        <v>0</v>
      </c>
      <c r="BI99" s="10">
        <f>Ratios!BI$22</f>
        <v>0</v>
      </c>
      <c r="BJ99" s="10">
        <f>Ratios!BJ$22</f>
        <v>0</v>
      </c>
      <c r="BX99" s="10">
        <f>Ratios!BX$22</f>
        <v>0</v>
      </c>
      <c r="BY99" s="10">
        <f>Ratios!BY$22</f>
        <v>0</v>
      </c>
      <c r="BZ99" s="10">
        <f>Ratios!BZ$22</f>
        <v>0</v>
      </c>
      <c r="CA99" s="10">
        <f>Ratios!CA$22</f>
        <v>0</v>
      </c>
      <c r="CB99" s="10">
        <f>Ratios!CB$22</f>
        <v>0</v>
      </c>
      <c r="CC99" s="10">
        <f>Ratios!CC$22</f>
        <v>0</v>
      </c>
      <c r="CD99" s="10">
        <f>Ratios!CD$22</f>
        <v>0</v>
      </c>
      <c r="CE99" s="10">
        <f>Ratios!CE$22</f>
        <v>0</v>
      </c>
      <c r="CF99" s="10">
        <f>Ratios!CF$22</f>
        <v>0</v>
      </c>
      <c r="CG99" s="10">
        <f>Ratios!CG$22</f>
        <v>0</v>
      </c>
      <c r="CH99" s="10">
        <f>Ratios!CH$22</f>
        <v>0</v>
      </c>
      <c r="CI99" s="10">
        <f>Ratios!CI$22</f>
        <v>0</v>
      </c>
      <c r="CK99" s="312"/>
      <c r="CM99" s="312"/>
      <c r="CO99" s="311"/>
      <c r="EX99" s="10" t="str">
        <f t="shared" si="7"/>
        <v>Current ratio</v>
      </c>
    </row>
    <row r="100" spans="1:154" ht="8.25" customHeight="1" x14ac:dyDescent="0.35">
      <c r="C100" s="213"/>
      <c r="E100"/>
      <c r="CK100" s="312"/>
      <c r="CM100" s="312"/>
      <c r="CO100" s="311"/>
      <c r="EX100" s="640"/>
    </row>
    <row r="101" spans="1:154" x14ac:dyDescent="0.35">
      <c r="C101" s="308" t="s">
        <v>1635</v>
      </c>
      <c r="D101" s="571" t="s">
        <v>1636</v>
      </c>
      <c r="E101"/>
      <c r="V101" s="12">
        <f>V96</f>
        <v>0</v>
      </c>
      <c r="W101" s="99">
        <f>W96</f>
        <v>0</v>
      </c>
      <c r="X101" s="99">
        <f t="shared" ref="X101:Y101" si="12">X96</f>
        <v>0</v>
      </c>
      <c r="Y101" s="99">
        <f t="shared" si="12"/>
        <v>0</v>
      </c>
      <c r="AA101" s="99">
        <f t="shared" ref="AA101:BJ101" si="13">AA96</f>
        <v>0</v>
      </c>
      <c r="AB101" s="99">
        <f t="shared" si="13"/>
        <v>0</v>
      </c>
      <c r="AC101" s="99">
        <f t="shared" si="13"/>
        <v>0</v>
      </c>
      <c r="AD101" s="99">
        <f t="shared" si="13"/>
        <v>0</v>
      </c>
      <c r="AE101" s="99">
        <f t="shared" si="13"/>
        <v>0</v>
      </c>
      <c r="AF101" s="99">
        <f t="shared" si="13"/>
        <v>0</v>
      </c>
      <c r="AG101" s="99">
        <f t="shared" si="13"/>
        <v>0</v>
      </c>
      <c r="AH101" s="99">
        <f t="shared" si="13"/>
        <v>0</v>
      </c>
      <c r="AI101" s="99">
        <f t="shared" si="13"/>
        <v>0</v>
      </c>
      <c r="AJ101" s="99">
        <f t="shared" si="13"/>
        <v>0</v>
      </c>
      <c r="AK101" s="99">
        <f t="shared" si="13"/>
        <v>0</v>
      </c>
      <c r="AL101" s="99">
        <f t="shared" si="13"/>
        <v>0</v>
      </c>
      <c r="AM101" s="99">
        <f t="shared" si="13"/>
        <v>0</v>
      </c>
      <c r="AN101" s="99">
        <f t="shared" si="13"/>
        <v>0</v>
      </c>
      <c r="AO101" s="99">
        <f t="shared" si="13"/>
        <v>0</v>
      </c>
      <c r="AP101" s="99">
        <f t="shared" si="13"/>
        <v>0</v>
      </c>
      <c r="AQ101" s="99">
        <f t="shared" si="13"/>
        <v>0</v>
      </c>
      <c r="AR101" s="99">
        <f t="shared" si="13"/>
        <v>0</v>
      </c>
      <c r="AS101" s="99">
        <f t="shared" si="13"/>
        <v>0</v>
      </c>
      <c r="AT101" s="99">
        <f t="shared" si="13"/>
        <v>0</v>
      </c>
      <c r="AU101" s="99">
        <f t="shared" si="13"/>
        <v>0</v>
      </c>
      <c r="AV101" s="99">
        <f t="shared" si="13"/>
        <v>0</v>
      </c>
      <c r="AW101" s="99">
        <f t="shared" si="13"/>
        <v>0</v>
      </c>
      <c r="AX101" s="99">
        <f t="shared" si="13"/>
        <v>0</v>
      </c>
      <c r="AY101" s="99">
        <f t="shared" si="13"/>
        <v>0</v>
      </c>
      <c r="AZ101" s="99">
        <f t="shared" si="13"/>
        <v>0</v>
      </c>
      <c r="BA101" s="99">
        <f t="shared" si="13"/>
        <v>0</v>
      </c>
      <c r="BB101" s="99">
        <f t="shared" si="13"/>
        <v>0</v>
      </c>
      <c r="BC101" s="99">
        <f t="shared" si="13"/>
        <v>0</v>
      </c>
      <c r="BD101" s="99">
        <f t="shared" si="13"/>
        <v>0</v>
      </c>
      <c r="BE101" s="99">
        <f t="shared" si="13"/>
        <v>0</v>
      </c>
      <c r="BF101" s="99">
        <f t="shared" si="13"/>
        <v>0</v>
      </c>
      <c r="BG101" s="99">
        <f t="shared" si="13"/>
        <v>0</v>
      </c>
      <c r="BH101" s="99">
        <f t="shared" si="13"/>
        <v>0</v>
      </c>
      <c r="BI101" s="99">
        <f t="shared" si="13"/>
        <v>0</v>
      </c>
      <c r="BJ101" s="99">
        <f t="shared" si="13"/>
        <v>0</v>
      </c>
      <c r="BX101" s="12">
        <f>BX96</f>
        <v>0</v>
      </c>
      <c r="BY101" s="99">
        <f t="shared" ref="BY101:CI101" si="14">BY96</f>
        <v>0</v>
      </c>
      <c r="BZ101" s="99">
        <f t="shared" si="14"/>
        <v>0</v>
      </c>
      <c r="CA101" s="99">
        <f t="shared" si="14"/>
        <v>0</v>
      </c>
      <c r="CB101" s="99">
        <f t="shared" si="14"/>
        <v>0</v>
      </c>
      <c r="CC101" s="99">
        <f t="shared" si="14"/>
        <v>0</v>
      </c>
      <c r="CD101" s="99">
        <f t="shared" si="14"/>
        <v>0</v>
      </c>
      <c r="CE101" s="99">
        <f t="shared" si="14"/>
        <v>0</v>
      </c>
      <c r="CF101" s="99">
        <f t="shared" si="14"/>
        <v>0</v>
      </c>
      <c r="CG101" s="99">
        <f t="shared" si="14"/>
        <v>0</v>
      </c>
      <c r="CH101" s="99">
        <f t="shared" si="14"/>
        <v>0</v>
      </c>
      <c r="CI101" s="99">
        <f t="shared" si="14"/>
        <v>0</v>
      </c>
      <c r="CK101" s="311"/>
      <c r="CM101" s="312"/>
      <c r="CO101" s="311"/>
      <c r="EX101" s="10"/>
    </row>
    <row r="102" spans="1:154" x14ac:dyDescent="0.35">
      <c r="C102" s="308" t="s">
        <v>1637</v>
      </c>
      <c r="D102" s="571" t="s">
        <v>1840</v>
      </c>
      <c r="E102"/>
      <c r="V102" s="12">
        <f>'BS Forecasts'!V79</f>
        <v>0</v>
      </c>
      <c r="W102" s="99">
        <f>'BS Forecasts'!W79</f>
        <v>0</v>
      </c>
      <c r="X102" s="99">
        <f>'BS Forecasts'!X79</f>
        <v>0</v>
      </c>
      <c r="Y102" s="99">
        <f>'BS Forecasts'!Y79</f>
        <v>0</v>
      </c>
      <c r="AA102" s="99">
        <f>'BS Forecasts'!AA79</f>
        <v>0</v>
      </c>
      <c r="AB102" s="99">
        <f>'BS Forecasts'!AB79</f>
        <v>0</v>
      </c>
      <c r="AC102" s="99">
        <f>'BS Forecasts'!AC79</f>
        <v>0</v>
      </c>
      <c r="AD102" s="99">
        <f>'BS Forecasts'!AD79</f>
        <v>0</v>
      </c>
      <c r="AE102" s="99">
        <f>'BS Forecasts'!AE79</f>
        <v>0</v>
      </c>
      <c r="AF102" s="99">
        <f>'BS Forecasts'!AF79</f>
        <v>0</v>
      </c>
      <c r="AG102" s="99">
        <f>'BS Forecasts'!AG79</f>
        <v>0</v>
      </c>
      <c r="AH102" s="99">
        <f>'BS Forecasts'!AH79</f>
        <v>0</v>
      </c>
      <c r="AI102" s="99">
        <f>'BS Forecasts'!AI79</f>
        <v>0</v>
      </c>
      <c r="AJ102" s="99">
        <f>'BS Forecasts'!AJ79</f>
        <v>0</v>
      </c>
      <c r="AK102" s="99">
        <f>'BS Forecasts'!AK79</f>
        <v>0</v>
      </c>
      <c r="AL102" s="99">
        <f>'BS Forecasts'!AL79</f>
        <v>0</v>
      </c>
      <c r="AM102" s="99">
        <f>'BS Forecasts'!AM79</f>
        <v>0</v>
      </c>
      <c r="AN102" s="99">
        <f>'BS Forecasts'!AN79</f>
        <v>0</v>
      </c>
      <c r="AO102" s="99">
        <f>'BS Forecasts'!AO79</f>
        <v>0</v>
      </c>
      <c r="AP102" s="99">
        <f>'BS Forecasts'!AP79</f>
        <v>0</v>
      </c>
      <c r="AQ102" s="99">
        <f>'BS Forecasts'!AQ79</f>
        <v>0</v>
      </c>
      <c r="AR102" s="99">
        <f>'BS Forecasts'!AR79</f>
        <v>0</v>
      </c>
      <c r="AS102" s="99">
        <f>'BS Forecasts'!AS79</f>
        <v>0</v>
      </c>
      <c r="AT102" s="99">
        <f>'BS Forecasts'!AT79</f>
        <v>0</v>
      </c>
      <c r="AU102" s="99">
        <f>'BS Forecasts'!AU79</f>
        <v>0</v>
      </c>
      <c r="AV102" s="99">
        <f>'BS Forecasts'!AV79</f>
        <v>0</v>
      </c>
      <c r="AW102" s="99">
        <f>'BS Forecasts'!AW79</f>
        <v>0</v>
      </c>
      <c r="AX102" s="99">
        <f>'BS Forecasts'!AX79</f>
        <v>0</v>
      </c>
      <c r="AY102" s="99">
        <f>'BS Forecasts'!AY79</f>
        <v>0</v>
      </c>
      <c r="AZ102" s="99">
        <f>'BS Forecasts'!AZ79</f>
        <v>0</v>
      </c>
      <c r="BA102" s="99">
        <f>'BS Forecasts'!BA79</f>
        <v>0</v>
      </c>
      <c r="BB102" s="99">
        <f>'BS Forecasts'!BB79</f>
        <v>0</v>
      </c>
      <c r="BC102" s="99">
        <f>'BS Forecasts'!BC79</f>
        <v>0</v>
      </c>
      <c r="BD102" s="99">
        <f>'BS Forecasts'!BD79</f>
        <v>0</v>
      </c>
      <c r="BE102" s="99">
        <f>'BS Forecasts'!BE79</f>
        <v>0</v>
      </c>
      <c r="BF102" s="99">
        <f>'BS Forecasts'!BF79</f>
        <v>0</v>
      </c>
      <c r="BG102" s="99">
        <f>'BS Forecasts'!BG79</f>
        <v>0</v>
      </c>
      <c r="BH102" s="99">
        <f>'BS Forecasts'!BH79</f>
        <v>0</v>
      </c>
      <c r="BI102" s="99">
        <f>'BS Forecasts'!BI79</f>
        <v>0</v>
      </c>
      <c r="BJ102" s="99">
        <f>'BS Forecasts'!BJ79</f>
        <v>0</v>
      </c>
      <c r="BX102" s="12">
        <f>'BS Forecasts'!BX79</f>
        <v>0</v>
      </c>
      <c r="BY102" s="99">
        <f>'BS Forecasts'!BY79</f>
        <v>0</v>
      </c>
      <c r="BZ102" s="99">
        <f>'BS Forecasts'!BZ79</f>
        <v>0</v>
      </c>
      <c r="CA102" s="99">
        <f>'BS Forecasts'!CA79</f>
        <v>0</v>
      </c>
      <c r="CB102" s="99">
        <f>'BS Forecasts'!CB79</f>
        <v>0</v>
      </c>
      <c r="CC102" s="99">
        <f>'BS Forecasts'!CC79</f>
        <v>0</v>
      </c>
      <c r="CD102" s="99">
        <f>'BS Forecasts'!CD79</f>
        <v>0</v>
      </c>
      <c r="CE102" s="99">
        <f>'BS Forecasts'!CE79</f>
        <v>0</v>
      </c>
      <c r="CF102" s="99">
        <f>'BS Forecasts'!CF79</f>
        <v>0</v>
      </c>
      <c r="CG102" s="99">
        <f>'BS Forecasts'!CG79</f>
        <v>0</v>
      </c>
      <c r="CH102" s="99">
        <f>'BS Forecasts'!CH79</f>
        <v>0</v>
      </c>
      <c r="CI102" s="99">
        <f>'BS Forecasts'!CI79</f>
        <v>0</v>
      </c>
      <c r="CK102" s="311"/>
      <c r="CM102" s="312"/>
      <c r="CO102" s="311"/>
      <c r="EX102" s="10"/>
    </row>
    <row r="103" spans="1:154" x14ac:dyDescent="0.35">
      <c r="C103" s="308" t="s">
        <v>1638</v>
      </c>
      <c r="D103" s="571" t="s">
        <v>1639</v>
      </c>
      <c r="E103"/>
      <c r="V103" s="12">
        <f>'BS Forecasts'!V86</f>
        <v>0</v>
      </c>
      <c r="W103" s="99">
        <f>'BS Forecasts'!W86</f>
        <v>0</v>
      </c>
      <c r="X103" s="99">
        <f>'BS Forecasts'!X86</f>
        <v>0</v>
      </c>
      <c r="Y103" s="99">
        <f>'BS Forecasts'!Y86</f>
        <v>0</v>
      </c>
      <c r="AA103" s="99">
        <f>'BS Forecasts'!AA86</f>
        <v>0</v>
      </c>
      <c r="AB103" s="99">
        <f>'BS Forecasts'!AB86</f>
        <v>0</v>
      </c>
      <c r="AC103" s="99">
        <f>'BS Forecasts'!AC86</f>
        <v>0</v>
      </c>
      <c r="AD103" s="99">
        <f>'BS Forecasts'!AD86</f>
        <v>0</v>
      </c>
      <c r="AE103" s="99">
        <f>'BS Forecasts'!AE86</f>
        <v>0</v>
      </c>
      <c r="AF103" s="99">
        <f>'BS Forecasts'!AF86</f>
        <v>0</v>
      </c>
      <c r="AG103" s="99">
        <f>'BS Forecasts'!AG86</f>
        <v>0</v>
      </c>
      <c r="AH103" s="99">
        <f>'BS Forecasts'!AH86</f>
        <v>0</v>
      </c>
      <c r="AI103" s="99">
        <f>'BS Forecasts'!AI86</f>
        <v>0</v>
      </c>
      <c r="AJ103" s="99">
        <f>'BS Forecasts'!AJ86</f>
        <v>0</v>
      </c>
      <c r="AK103" s="99">
        <f>'BS Forecasts'!AK86</f>
        <v>0</v>
      </c>
      <c r="AL103" s="99">
        <f>'BS Forecasts'!AL86</f>
        <v>0</v>
      </c>
      <c r="AM103" s="99">
        <f>'BS Forecasts'!AM86</f>
        <v>0</v>
      </c>
      <c r="AN103" s="99">
        <f>'BS Forecasts'!AN86</f>
        <v>0</v>
      </c>
      <c r="AO103" s="99">
        <f>'BS Forecasts'!AO86</f>
        <v>0</v>
      </c>
      <c r="AP103" s="99">
        <f>'BS Forecasts'!AP86</f>
        <v>0</v>
      </c>
      <c r="AQ103" s="99">
        <f>'BS Forecasts'!AQ86</f>
        <v>0</v>
      </c>
      <c r="AR103" s="99">
        <f>'BS Forecasts'!AR86</f>
        <v>0</v>
      </c>
      <c r="AS103" s="99">
        <f>'BS Forecasts'!AS86</f>
        <v>0</v>
      </c>
      <c r="AT103" s="99">
        <f>'BS Forecasts'!AT86</f>
        <v>0</v>
      </c>
      <c r="AU103" s="99">
        <f>'BS Forecasts'!AU86</f>
        <v>0</v>
      </c>
      <c r="AV103" s="99">
        <f>'BS Forecasts'!AV86</f>
        <v>0</v>
      </c>
      <c r="AW103" s="99">
        <f>'BS Forecasts'!AW86</f>
        <v>0</v>
      </c>
      <c r="AX103" s="99">
        <f>'BS Forecasts'!AX86</f>
        <v>0</v>
      </c>
      <c r="AY103" s="99">
        <f>'BS Forecasts'!AY86</f>
        <v>0</v>
      </c>
      <c r="AZ103" s="99">
        <f>'BS Forecasts'!AZ86</f>
        <v>0</v>
      </c>
      <c r="BA103" s="99">
        <f>'BS Forecasts'!BA86</f>
        <v>0</v>
      </c>
      <c r="BB103" s="99">
        <f>'BS Forecasts'!BB86</f>
        <v>0</v>
      </c>
      <c r="BC103" s="99">
        <f>'BS Forecasts'!BC86</f>
        <v>0</v>
      </c>
      <c r="BD103" s="99">
        <f>'BS Forecasts'!BD86</f>
        <v>0</v>
      </c>
      <c r="BE103" s="99">
        <f>'BS Forecasts'!BE86</f>
        <v>0</v>
      </c>
      <c r="BF103" s="99">
        <f>'BS Forecasts'!BF86</f>
        <v>0</v>
      </c>
      <c r="BG103" s="99">
        <f>'BS Forecasts'!BG86</f>
        <v>0</v>
      </c>
      <c r="BH103" s="99">
        <f>'BS Forecasts'!BH86</f>
        <v>0</v>
      </c>
      <c r="BI103" s="99">
        <f>'BS Forecasts'!BI86</f>
        <v>0</v>
      </c>
      <c r="BJ103" s="99">
        <f>'BS Forecasts'!BJ86</f>
        <v>0</v>
      </c>
      <c r="BX103" s="12">
        <f>'BS Forecasts'!BX86</f>
        <v>0</v>
      </c>
      <c r="BY103" s="99">
        <f>'BS Forecasts'!BY86</f>
        <v>0</v>
      </c>
      <c r="BZ103" s="99">
        <f>'BS Forecasts'!BZ86</f>
        <v>0</v>
      </c>
      <c r="CA103" s="99">
        <f>'BS Forecasts'!CA86</f>
        <v>0</v>
      </c>
      <c r="CB103" s="99">
        <f>'BS Forecasts'!CB86</f>
        <v>0</v>
      </c>
      <c r="CC103" s="99">
        <f>'BS Forecasts'!CC86</f>
        <v>0</v>
      </c>
      <c r="CD103" s="99">
        <f>'BS Forecasts'!CD86</f>
        <v>0</v>
      </c>
      <c r="CE103" s="99">
        <f>'BS Forecasts'!CE86</f>
        <v>0</v>
      </c>
      <c r="CF103" s="99">
        <f>'BS Forecasts'!CF86</f>
        <v>0</v>
      </c>
      <c r="CG103" s="99">
        <f>'BS Forecasts'!CG86</f>
        <v>0</v>
      </c>
      <c r="CH103" s="99">
        <f>'BS Forecasts'!CH86</f>
        <v>0</v>
      </c>
      <c r="CI103" s="99">
        <f>'BS Forecasts'!CI86</f>
        <v>0</v>
      </c>
      <c r="CK103" s="311"/>
      <c r="CM103" s="312"/>
      <c r="CO103" s="311"/>
      <c r="EX103" s="10"/>
    </row>
    <row r="104" spans="1:154" x14ac:dyDescent="0.35">
      <c r="C104" s="642" t="s">
        <v>1640</v>
      </c>
      <c r="D104" s="641" t="s">
        <v>1641</v>
      </c>
      <c r="E104"/>
      <c r="V104" s="12">
        <f>SUM(V101:V103)</f>
        <v>0</v>
      </c>
      <c r="W104" s="12">
        <f>SUM(W101:W103)</f>
        <v>0</v>
      </c>
      <c r="X104" s="12">
        <f>SUM(X101:X103)</f>
        <v>0</v>
      </c>
      <c r="Y104" s="12">
        <f>SUM(Y101:Y103)</f>
        <v>0</v>
      </c>
      <c r="AA104" s="12">
        <f t="shared" ref="AA104:BJ104" si="15">SUM(AA101:AA103)</f>
        <v>0</v>
      </c>
      <c r="AB104" s="12">
        <f t="shared" si="15"/>
        <v>0</v>
      </c>
      <c r="AC104" s="12">
        <f t="shared" si="15"/>
        <v>0</v>
      </c>
      <c r="AD104" s="12">
        <f t="shared" si="15"/>
        <v>0</v>
      </c>
      <c r="AE104" s="12">
        <f t="shared" si="15"/>
        <v>0</v>
      </c>
      <c r="AF104" s="12">
        <f t="shared" si="15"/>
        <v>0</v>
      </c>
      <c r="AG104" s="12">
        <f t="shared" si="15"/>
        <v>0</v>
      </c>
      <c r="AH104" s="12">
        <f t="shared" si="15"/>
        <v>0</v>
      </c>
      <c r="AI104" s="12">
        <f t="shared" si="15"/>
        <v>0</v>
      </c>
      <c r="AJ104" s="12">
        <f t="shared" si="15"/>
        <v>0</v>
      </c>
      <c r="AK104" s="12">
        <f t="shared" si="15"/>
        <v>0</v>
      </c>
      <c r="AL104" s="12">
        <f t="shared" si="15"/>
        <v>0</v>
      </c>
      <c r="AM104" s="12">
        <f t="shared" si="15"/>
        <v>0</v>
      </c>
      <c r="AN104" s="12">
        <f t="shared" si="15"/>
        <v>0</v>
      </c>
      <c r="AO104" s="12">
        <f t="shared" si="15"/>
        <v>0</v>
      </c>
      <c r="AP104" s="12">
        <f t="shared" si="15"/>
        <v>0</v>
      </c>
      <c r="AQ104" s="12">
        <f t="shared" si="15"/>
        <v>0</v>
      </c>
      <c r="AR104" s="12">
        <f t="shared" si="15"/>
        <v>0</v>
      </c>
      <c r="AS104" s="12">
        <f t="shared" si="15"/>
        <v>0</v>
      </c>
      <c r="AT104" s="12">
        <f t="shared" si="15"/>
        <v>0</v>
      </c>
      <c r="AU104" s="12">
        <f t="shared" si="15"/>
        <v>0</v>
      </c>
      <c r="AV104" s="12">
        <f t="shared" si="15"/>
        <v>0</v>
      </c>
      <c r="AW104" s="12">
        <f t="shared" si="15"/>
        <v>0</v>
      </c>
      <c r="AX104" s="12">
        <f t="shared" si="15"/>
        <v>0</v>
      </c>
      <c r="AY104" s="12">
        <f t="shared" si="15"/>
        <v>0</v>
      </c>
      <c r="AZ104" s="12">
        <f t="shared" si="15"/>
        <v>0</v>
      </c>
      <c r="BA104" s="12">
        <f t="shared" si="15"/>
        <v>0</v>
      </c>
      <c r="BB104" s="12">
        <f t="shared" si="15"/>
        <v>0</v>
      </c>
      <c r="BC104" s="12">
        <f t="shared" si="15"/>
        <v>0</v>
      </c>
      <c r="BD104" s="12">
        <f t="shared" si="15"/>
        <v>0</v>
      </c>
      <c r="BE104" s="12">
        <f t="shared" si="15"/>
        <v>0</v>
      </c>
      <c r="BF104" s="12">
        <f t="shared" si="15"/>
        <v>0</v>
      </c>
      <c r="BG104" s="12">
        <f t="shared" si="15"/>
        <v>0</v>
      </c>
      <c r="BH104" s="12">
        <f t="shared" si="15"/>
        <v>0</v>
      </c>
      <c r="BI104" s="12">
        <f t="shared" si="15"/>
        <v>0</v>
      </c>
      <c r="BJ104" s="12">
        <f t="shared" si="15"/>
        <v>0</v>
      </c>
      <c r="BX104" s="12">
        <f t="shared" ref="BX104:CI104" si="16">SUM(BX101:BX103)</f>
        <v>0</v>
      </c>
      <c r="BY104" s="12">
        <f t="shared" si="16"/>
        <v>0</v>
      </c>
      <c r="BZ104" s="12">
        <f t="shared" si="16"/>
        <v>0</v>
      </c>
      <c r="CA104" s="12">
        <f t="shared" si="16"/>
        <v>0</v>
      </c>
      <c r="CB104" s="12">
        <f t="shared" si="16"/>
        <v>0</v>
      </c>
      <c r="CC104" s="12">
        <f t="shared" si="16"/>
        <v>0</v>
      </c>
      <c r="CD104" s="12">
        <f t="shared" si="16"/>
        <v>0</v>
      </c>
      <c r="CE104" s="12">
        <f t="shared" si="16"/>
        <v>0</v>
      </c>
      <c r="CF104" s="12">
        <f t="shared" si="16"/>
        <v>0</v>
      </c>
      <c r="CG104" s="12">
        <f t="shared" si="16"/>
        <v>0</v>
      </c>
      <c r="CH104" s="12">
        <f t="shared" si="16"/>
        <v>0</v>
      </c>
      <c r="CI104" s="12">
        <f t="shared" si="16"/>
        <v>0</v>
      </c>
      <c r="CK104" s="311"/>
      <c r="CM104" s="312"/>
      <c r="CO104" s="311"/>
      <c r="EX104" s="10"/>
    </row>
    <row r="105" spans="1:154" ht="8.25" customHeight="1" x14ac:dyDescent="0.35">
      <c r="C105" s="213"/>
      <c r="E105"/>
      <c r="CK105" s="312"/>
      <c r="CM105" s="312"/>
      <c r="CO105" s="311"/>
      <c r="EX105" s="640"/>
    </row>
    <row r="106" spans="1:154" x14ac:dyDescent="0.35">
      <c r="A106" s="312" t="s">
        <v>16</v>
      </c>
      <c r="B106" s="312" t="s">
        <v>16</v>
      </c>
      <c r="C106" s="312" t="s">
        <v>16</v>
      </c>
      <c r="D106" s="312" t="s">
        <v>16</v>
      </c>
      <c r="E106" s="314" t="s">
        <v>16</v>
      </c>
      <c r="F106" s="312" t="s">
        <v>16</v>
      </c>
      <c r="G106" s="312" t="s">
        <v>16</v>
      </c>
      <c r="H106" s="312" t="s">
        <v>16</v>
      </c>
      <c r="I106" s="312" t="s">
        <v>16</v>
      </c>
      <c r="J106" s="312" t="s">
        <v>16</v>
      </c>
      <c r="K106" s="312" t="s">
        <v>16</v>
      </c>
      <c r="L106" s="312" t="s">
        <v>16</v>
      </c>
      <c r="M106" s="312" t="s">
        <v>16</v>
      </c>
      <c r="N106" s="312" t="s">
        <v>16</v>
      </c>
      <c r="O106" s="312" t="s">
        <v>16</v>
      </c>
      <c r="P106" s="312" t="s">
        <v>16</v>
      </c>
      <c r="Q106" s="312" t="s">
        <v>16</v>
      </c>
      <c r="R106" s="312" t="s">
        <v>16</v>
      </c>
      <c r="S106" s="312"/>
      <c r="T106" s="312" t="s">
        <v>16</v>
      </c>
      <c r="U106" s="312" t="s">
        <v>16</v>
      </c>
      <c r="V106" s="312" t="s">
        <v>16</v>
      </c>
      <c r="W106" s="312" t="s">
        <v>16</v>
      </c>
      <c r="X106" s="312"/>
      <c r="Y106" s="312"/>
      <c r="Z106" s="312" t="s">
        <v>16</v>
      </c>
      <c r="AA106" s="312" t="s">
        <v>16</v>
      </c>
      <c r="AB106" s="312" t="s">
        <v>16</v>
      </c>
      <c r="AC106" s="312" t="s">
        <v>16</v>
      </c>
      <c r="AD106" s="312" t="s">
        <v>16</v>
      </c>
      <c r="AE106" s="312" t="s">
        <v>16</v>
      </c>
      <c r="AF106" s="312" t="s">
        <v>16</v>
      </c>
      <c r="AG106" s="312" t="s">
        <v>16</v>
      </c>
      <c r="AH106" s="312" t="s">
        <v>16</v>
      </c>
      <c r="AI106" s="312" t="s">
        <v>16</v>
      </c>
      <c r="AJ106" s="312" t="s">
        <v>16</v>
      </c>
      <c r="AK106" s="312" t="s">
        <v>16</v>
      </c>
      <c r="AL106" s="312" t="s">
        <v>16</v>
      </c>
      <c r="AM106" s="312" t="s">
        <v>16</v>
      </c>
      <c r="AN106" s="312" t="s">
        <v>16</v>
      </c>
      <c r="AO106" s="312" t="s">
        <v>16</v>
      </c>
      <c r="AP106" s="312" t="s">
        <v>16</v>
      </c>
      <c r="AQ106" s="312" t="s">
        <v>16</v>
      </c>
      <c r="AR106" s="312" t="s">
        <v>16</v>
      </c>
      <c r="AS106" s="312" t="s">
        <v>16</v>
      </c>
      <c r="AT106" s="312" t="s">
        <v>16</v>
      </c>
      <c r="AU106" s="312" t="s">
        <v>16</v>
      </c>
      <c r="AV106" s="312" t="s">
        <v>16</v>
      </c>
      <c r="AW106" s="312" t="s">
        <v>16</v>
      </c>
      <c r="AX106" s="312" t="s">
        <v>16</v>
      </c>
      <c r="AY106" s="312" t="s">
        <v>16</v>
      </c>
      <c r="AZ106" s="312" t="s">
        <v>16</v>
      </c>
      <c r="BA106" s="312" t="s">
        <v>16</v>
      </c>
      <c r="BB106" s="312" t="s">
        <v>16</v>
      </c>
      <c r="BC106" s="312" t="s">
        <v>16</v>
      </c>
      <c r="BD106" s="312" t="s">
        <v>16</v>
      </c>
      <c r="BE106" s="312" t="s">
        <v>16</v>
      </c>
      <c r="BF106" s="312" t="s">
        <v>16</v>
      </c>
      <c r="BG106" s="312" t="s">
        <v>16</v>
      </c>
      <c r="BH106" s="312" t="s">
        <v>16</v>
      </c>
      <c r="BI106" s="312" t="s">
        <v>16</v>
      </c>
      <c r="BJ106" s="312" t="s">
        <v>16</v>
      </c>
      <c r="BK106" s="312" t="s">
        <v>16</v>
      </c>
      <c r="BL106" s="312" t="s">
        <v>16</v>
      </c>
      <c r="BM106" s="312" t="s">
        <v>16</v>
      </c>
      <c r="BN106" s="312" t="s">
        <v>16</v>
      </c>
      <c r="BO106" s="312" t="s">
        <v>16</v>
      </c>
      <c r="BP106" s="312" t="s">
        <v>16</v>
      </c>
      <c r="BQ106" s="312" t="s">
        <v>16</v>
      </c>
      <c r="BR106" s="312" t="s">
        <v>16</v>
      </c>
      <c r="BS106" s="312" t="s">
        <v>16</v>
      </c>
      <c r="BT106" s="312" t="s">
        <v>16</v>
      </c>
      <c r="BU106" s="312" t="s">
        <v>16</v>
      </c>
      <c r="BV106" s="312" t="s">
        <v>16</v>
      </c>
      <c r="BW106" s="312" t="s">
        <v>16</v>
      </c>
      <c r="BX106" s="312" t="s">
        <v>16</v>
      </c>
      <c r="BY106" s="312" t="s">
        <v>16</v>
      </c>
      <c r="BZ106" s="312" t="s">
        <v>16</v>
      </c>
      <c r="CA106" s="312" t="s">
        <v>16</v>
      </c>
      <c r="CB106" s="312" t="s">
        <v>16</v>
      </c>
      <c r="CC106" s="312" t="s">
        <v>16</v>
      </c>
      <c r="CD106" s="312" t="s">
        <v>16</v>
      </c>
      <c r="CE106" s="312" t="s">
        <v>16</v>
      </c>
      <c r="CF106" s="312" t="s">
        <v>16</v>
      </c>
      <c r="CG106" s="312" t="s">
        <v>16</v>
      </c>
      <c r="CH106" s="312" t="s">
        <v>16</v>
      </c>
      <c r="CI106" s="312" t="s">
        <v>16</v>
      </c>
      <c r="CJ106" s="312" t="s">
        <v>16</v>
      </c>
      <c r="CK106" s="312" t="s">
        <v>16</v>
      </c>
      <c r="CL106" s="312" t="s">
        <v>16</v>
      </c>
      <c r="CM106" s="312" t="s">
        <v>16</v>
      </c>
      <c r="CN106" s="312" t="s">
        <v>16</v>
      </c>
      <c r="CO106" s="312" t="s">
        <v>16</v>
      </c>
      <c r="EX106" s="10" t="str">
        <f t="shared" si="7"/>
        <v>*</v>
      </c>
    </row>
  </sheetData>
  <sheetProtection algorithmName="SHA-512" hashValue="Fhys9XMX/bZnm4sD3UliyRBMiPwdKPn3weXldz/1wDqo/FfUGvAo+/NuFaMkCSUyNOSBP9gAbxwCIT4mQrXATQ==" saltValue="QsU/xZQdb2WHBL6JtDTO4Q==" spinCount="100000" sheet="1" insertRows="0" deleteRows="0"/>
  <mergeCells count="5">
    <mergeCell ref="CM1:CM6"/>
    <mergeCell ref="CO1:CO6"/>
    <mergeCell ref="CK1:CK6"/>
    <mergeCell ref="CL4:CL6"/>
    <mergeCell ref="CN2:CN6"/>
  </mergeCells>
  <phoneticPr fontId="9" type="noConversion"/>
  <conditionalFormatting sqref="A1:A2">
    <cfRule type="cellIs" dxfId="337" priority="78" operator="equal">
      <formula>0</formula>
    </cfRule>
    <cfRule type="cellIs" dxfId="336" priority="79" operator="greaterThan">
      <formula>0</formula>
    </cfRule>
  </conditionalFormatting>
  <conditionalFormatting sqref="A69">
    <cfRule type="cellIs" dxfId="335" priority="86" operator="equal">
      <formula>0</formula>
    </cfRule>
    <cfRule type="cellIs" dxfId="334" priority="87" operator="greaterThan">
      <formula>0</formula>
    </cfRule>
  </conditionalFormatting>
  <conditionalFormatting sqref="A80">
    <cfRule type="cellIs" dxfId="333" priority="74" operator="equal">
      <formula>0</formula>
    </cfRule>
    <cfRule type="cellIs" dxfId="332" priority="75" operator="greaterThan">
      <formula>0</formula>
    </cfRule>
  </conditionalFormatting>
  <conditionalFormatting sqref="A90">
    <cfRule type="cellIs" dxfId="331" priority="64" operator="equal">
      <formula>0</formula>
    </cfRule>
    <cfRule type="cellIs" dxfId="330" priority="65" operator="greaterThan">
      <formula>0</formula>
    </cfRule>
  </conditionalFormatting>
  <conditionalFormatting sqref="A94">
    <cfRule type="cellIs" dxfId="329" priority="57" operator="equal">
      <formula>0</formula>
    </cfRule>
    <cfRule type="cellIs" dxfId="328" priority="58" operator="greaterThan">
      <formula>0</formula>
    </cfRule>
  </conditionalFormatting>
  <conditionalFormatting sqref="V69:Y69 AA69:BJ69 BX69:CI69">
    <cfRule type="cellIs" dxfId="327" priority="69" operator="lessThan">
      <formula>0</formula>
    </cfRule>
    <cfRule type="cellIs" dxfId="326" priority="88" operator="equal">
      <formula>0</formula>
    </cfRule>
    <cfRule type="cellIs" dxfId="325" priority="89" operator="greaterThan">
      <formula>0</formula>
    </cfRule>
  </conditionalFormatting>
  <conditionalFormatting sqref="V80:Y80 AA80:BJ80 BX80:CI80">
    <cfRule type="cellIs" dxfId="324" priority="66" operator="lessThan">
      <formula>0</formula>
    </cfRule>
    <cfRule type="cellIs" dxfId="323" priority="67" operator="equal">
      <formula>0</formula>
    </cfRule>
    <cfRule type="cellIs" dxfId="322" priority="68" operator="greaterThan">
      <formula>0</formula>
    </cfRule>
  </conditionalFormatting>
  <conditionalFormatting sqref="V90:Y90 AA90:BJ90 BX90:CI90">
    <cfRule type="cellIs" dxfId="321" priority="59" operator="lessThan">
      <formula>0</formula>
    </cfRule>
    <cfRule type="cellIs" dxfId="320" priority="60" operator="equal">
      <formula>0</formula>
    </cfRule>
    <cfRule type="cellIs" dxfId="319" priority="61" operator="greaterThan">
      <formula>0</formula>
    </cfRule>
  </conditionalFormatting>
  <conditionalFormatting sqref="V94:Y94 AA94:BJ94 BX94:CI94">
    <cfRule type="cellIs" dxfId="318" priority="52" operator="lessThan">
      <formula>0</formula>
    </cfRule>
    <cfRule type="cellIs" dxfId="317" priority="53" operator="equal">
      <formula>0</formula>
    </cfRule>
    <cfRule type="cellIs" dxfId="316" priority="54" operator="greaterThan">
      <formula>0</formula>
    </cfRule>
  </conditionalFormatting>
  <conditionalFormatting sqref="CN69">
    <cfRule type="cellIs" dxfId="315" priority="82" operator="equal">
      <formula>0</formula>
    </cfRule>
    <cfRule type="cellIs" dxfId="314" priority="83" operator="greaterThan">
      <formula>0</formula>
    </cfRule>
  </conditionalFormatting>
  <conditionalFormatting sqref="CN80 CN90 CN94">
    <cfRule type="cellIs" dxfId="313" priority="8" operator="equal">
      <formula>0</formula>
    </cfRule>
    <cfRule type="cellIs" dxfId="312" priority="9"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52" xr:uid="{99B412A4-FBA4-43A3-A9D4-7601E9E96DF8}"/>
  </dataValidations>
  <pageMargins left="0.70866141732283472" right="0.70866141732283472" top="0.74803149606299213" bottom="0.74803149606299213" header="0.31496062992125984" footer="0.31496062992125984"/>
  <pageSetup paperSize="8" scale="75" orientation="landscape" r:id="rId1"/>
  <headerFooter>
    <oddHeader>&amp;C&amp;"Aptos"&amp;11&amp;K000000 OFFICIAL - FOR PUBLIC RELEASE&amp;1#_x000D_</oddHeader>
    <oddFooter>&amp;C_x000D_&amp;1#&amp;"Aptos"&amp;11&amp;K000000 OFFICIAL - FOR PUBLIC RELEASE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2" id="{DB409C92-C99C-4548-8D94-B7CE91AF3E8E}">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5BB7BEA-1400-4ED9-9769-62E55DA38C62}">
          <x14:formula1>
            <xm:f>'Dash Data'!$D$93:$D$100</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F105D-70E3-4E7B-8526-A28B4AB28502}">
  <sheetPr codeName="Sheet23">
    <tabColor rgb="FF00B0F0"/>
    <outlinePr summaryBelow="0" summaryRight="0"/>
    <pageSetUpPr autoPageBreaks="0"/>
  </sheetPr>
  <dimension ref="A1:EX43"/>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37.81640625" customWidth="1"/>
    <col min="5" max="5" width="2" style="1" customWidth="1" outlineLevel="1"/>
    <col min="6" max="6" width="1.54296875" customWidth="1" collapsed="1"/>
    <col min="7" max="7" width="6.81640625" hidden="1" customWidth="1" outlineLevel="1"/>
    <col min="8" max="8" width="9" hidden="1" customWidth="1" outlineLevel="1"/>
    <col min="9" max="9" width="2" bestFit="1" customWidth="1"/>
    <col min="10" max="10" width="2" bestFit="1" customWidth="1" collapsed="1"/>
    <col min="11" max="18" width="8.81640625" hidden="1" customWidth="1" outlineLevel="1"/>
    <col min="19" max="19" width="3" hidden="1" customWidth="1" outlineLevel="1"/>
    <col min="20" max="20" width="11.54296875" hidden="1" customWidth="1" outlineLevel="1"/>
    <col min="21" max="21" width="9.54296875" hidden="1" customWidth="1" outlineLevel="1"/>
    <col min="22" max="23" width="9.54296875" bestFit="1" customWidth="1"/>
    <col min="24" max="25" width="9.54296875" customWidth="1"/>
    <col min="26" max="26" width="3" bestFit="1" customWidth="1"/>
    <col min="27" max="27" width="9.54296875" bestFit="1" customWidth="1"/>
    <col min="28" max="29" width="9.453125" bestFit="1" customWidth="1"/>
    <col min="30" max="31" width="9.54296875" bestFit="1" customWidth="1"/>
    <col min="32" max="32" width="9.1796875" bestFit="1" customWidth="1"/>
    <col min="33" max="33" width="9.453125" customWidth="1"/>
    <col min="34" max="34" width="9.54296875" bestFit="1" customWidth="1"/>
    <col min="35" max="35" width="9.453125" bestFit="1" customWidth="1"/>
    <col min="36" max="36" width="10.1796875" bestFit="1" customWidth="1"/>
    <col min="37" max="37" width="9.453125" bestFit="1" customWidth="1"/>
    <col min="38" max="38" width="8.54296875" bestFit="1" customWidth="1"/>
    <col min="39" max="39" width="9.54296875" bestFit="1" customWidth="1"/>
    <col min="40" max="41" width="9.453125" bestFit="1" customWidth="1"/>
    <col min="42" max="43" width="9.54296875" bestFit="1" customWidth="1"/>
    <col min="44" max="44" width="9.1796875" bestFit="1" customWidth="1"/>
    <col min="45" max="45" width="9.453125" bestFit="1" customWidth="1"/>
    <col min="46" max="46" width="9.54296875" bestFit="1" customWidth="1"/>
    <col min="47" max="47" width="9.453125" bestFit="1" customWidth="1"/>
    <col min="48" max="48" width="10.1796875" bestFit="1" customWidth="1"/>
    <col min="49" max="49" width="9.453125" bestFit="1" customWidth="1"/>
    <col min="50" max="50" width="8.54296875" bestFit="1" customWidth="1"/>
    <col min="51" max="51" width="9.54296875" bestFit="1" customWidth="1"/>
    <col min="52" max="53" width="9.453125" bestFit="1" customWidth="1"/>
    <col min="54" max="55" width="9.54296875" bestFit="1" customWidth="1"/>
    <col min="56" max="56" width="9.1796875" bestFit="1" customWidth="1"/>
    <col min="57" max="57" width="9.453125" bestFit="1" customWidth="1"/>
    <col min="58" max="58" width="9.54296875" bestFit="1" customWidth="1"/>
    <col min="59" max="59" width="9.453125" bestFit="1" customWidth="1"/>
    <col min="60" max="60" width="10.1796875" bestFit="1" customWidth="1"/>
    <col min="61" max="61" width="9.453125" bestFit="1" customWidth="1"/>
    <col min="62" max="62" width="8.54296875" bestFit="1" customWidth="1"/>
    <col min="63" max="63" width="9.54296875" bestFit="1" customWidth="1"/>
    <col min="64" max="65" width="9.453125" bestFit="1" customWidth="1"/>
    <col min="66" max="67" width="9.54296875" bestFit="1" customWidth="1"/>
    <col min="68" max="68" width="9.1796875" bestFit="1" customWidth="1"/>
    <col min="69" max="69" width="9.453125" bestFit="1" customWidth="1"/>
    <col min="70" max="70" width="9.54296875" bestFit="1" customWidth="1"/>
    <col min="71" max="71" width="9.453125" bestFit="1" customWidth="1"/>
    <col min="72" max="72" width="10.1796875" bestFit="1" customWidth="1"/>
    <col min="73" max="73" width="9.453125" bestFit="1" customWidth="1"/>
    <col min="74" max="74" width="8.54296875" bestFit="1" customWidth="1"/>
    <col min="75" max="75" width="3" bestFit="1" customWidth="1"/>
    <col min="76" max="76" width="9.54296875" customWidth="1"/>
    <col min="77" max="77" width="10.54296875" customWidth="1"/>
    <col min="78" max="79" width="9.54296875" customWidth="1"/>
    <col min="80" max="87" width="9.54296875" bestFit="1" customWidth="1"/>
    <col min="88" max="88" width="3" bestFit="1" customWidth="1"/>
    <col min="89" max="89" width="3.453125" customWidth="1"/>
    <col min="90" max="90" width="13.1796875" customWidth="1"/>
    <col min="91" max="91" width="2.81640625" customWidth="1"/>
    <col min="153" max="153" width="8.81640625" collapsed="1"/>
    <col min="154" max="154" width="44.453125" hidden="1" customWidth="1" outlineLevel="1"/>
  </cols>
  <sheetData>
    <row r="1" spans="1:154" x14ac:dyDescent="0.35">
      <c r="A1" s="7">
        <f ca="1">ToC!A1</f>
        <v>0</v>
      </c>
      <c r="B1" s="13" t="s">
        <v>1841</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680"/>
      <c r="CM1" s="680"/>
      <c r="EX1" s="5" t="s">
        <v>177</v>
      </c>
    </row>
    <row r="2" spans="1:154" ht="14.65" customHeight="1" x14ac:dyDescent="0.35">
      <c r="A2" s="7">
        <f>SUM(A$7:A$43)</f>
        <v>0</v>
      </c>
      <c r="B2" s="67" t="str" cm="1">
        <f t="array" aca="1" ref="B2" ca="1">HYPERLINK(CONCATENATE("#",CELL("address",Guide!$C$124)),Guide!$B$1)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680"/>
      <c r="CM2" s="680"/>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680"/>
      <c r="CM3" s="680"/>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680"/>
      <c r="CL4" s="664"/>
      <c r="CM4" s="680"/>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680"/>
      <c r="CL5" s="664"/>
      <c r="CM5" s="680"/>
    </row>
    <row r="6" spans="1:154" x14ac:dyDescent="0.35">
      <c r="A6" s="67" t="str" cm="1">
        <f t="array" aca="1" ref="A6" ca="1">HYPERLINK(CONCATENATE("#",CELL("address",CK7)),"Check")</f>
        <v>Check</v>
      </c>
      <c r="B6" s="13"/>
      <c r="C6" s="13" t="s">
        <v>183</v>
      </c>
      <c r="D6" s="23" t="s">
        <v>19</v>
      </c>
      <c r="E6" s="13"/>
      <c r="F6" s="13"/>
      <c r="G6" s="13" t="s">
        <v>272</v>
      </c>
      <c r="H6" s="13" t="s">
        <v>313</v>
      </c>
      <c r="I6" s="13"/>
      <c r="J6" s="13"/>
      <c r="K6" s="13"/>
      <c r="L6" s="13"/>
      <c r="M6" s="13"/>
      <c r="N6" s="15"/>
      <c r="O6" s="13"/>
      <c r="P6" s="13"/>
      <c r="Q6" s="13"/>
      <c r="R6" s="13"/>
      <c r="S6" s="13"/>
      <c r="T6" s="13"/>
      <c r="U6" s="13"/>
      <c r="V6" s="67"/>
      <c r="W6" s="13"/>
      <c r="X6" s="13"/>
      <c r="Y6" s="13"/>
      <c r="Z6" s="13"/>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680"/>
      <c r="CL6" s="664"/>
      <c r="CM6" s="680"/>
    </row>
    <row r="7" spans="1:154" x14ac:dyDescent="0.35">
      <c r="B7" s="97" t="s">
        <v>184</v>
      </c>
      <c r="D7" s="1"/>
      <c r="E7"/>
      <c r="BY7" s="6"/>
      <c r="CK7" s="311"/>
      <c r="CM7" s="311"/>
    </row>
    <row r="8" spans="1:154" ht="8.25" customHeight="1" x14ac:dyDescent="0.35">
      <c r="E8"/>
      <c r="CK8" s="311"/>
      <c r="CM8" s="311"/>
      <c r="EX8" s="10" t="str">
        <f t="shared" ref="EX8:EX43" si="0">IF($C8="","",$D8)</f>
        <v/>
      </c>
    </row>
    <row r="9" spans="1:154" x14ac:dyDescent="0.35">
      <c r="B9" s="85" t="s">
        <v>122</v>
      </c>
      <c r="C9" s="210"/>
      <c r="D9" s="57" t="s">
        <v>1509</v>
      </c>
      <c r="E9"/>
      <c r="V9" s="38">
        <f>'BS Forecasts'!V$10</f>
        <v>0</v>
      </c>
      <c r="W9" s="38">
        <f>'BS Forecasts'!W$10</f>
        <v>1</v>
      </c>
      <c r="X9" s="38">
        <f>'BS Forecasts'!X$10</f>
        <v>1</v>
      </c>
      <c r="Y9" s="38">
        <f>'BS Forecasts'!Y$10</f>
        <v>1</v>
      </c>
      <c r="CK9" s="312"/>
      <c r="CM9" s="311"/>
      <c r="EX9" s="10" t="str">
        <f t="shared" si="0"/>
        <v/>
      </c>
    </row>
    <row r="10" spans="1:154" ht="8.25" customHeight="1" x14ac:dyDescent="0.35">
      <c r="E10"/>
      <c r="CK10" s="311"/>
      <c r="CM10" s="311"/>
      <c r="EX10" s="10" t="str">
        <f t="shared" si="0"/>
        <v/>
      </c>
    </row>
    <row r="11" spans="1:154" x14ac:dyDescent="0.35">
      <c r="A11" s="34"/>
      <c r="B11" s="34"/>
      <c r="C11" s="34"/>
      <c r="D11" s="34" t="s">
        <v>1842</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0"/>
        <v/>
      </c>
    </row>
    <row r="12" spans="1:154" ht="8.25" customHeight="1" x14ac:dyDescent="0.35">
      <c r="C12" s="210"/>
      <c r="E12"/>
      <c r="CK12" s="311"/>
      <c r="CM12" s="311"/>
      <c r="EX12" s="10" t="str">
        <f t="shared" si="0"/>
        <v/>
      </c>
    </row>
    <row r="13" spans="1:154" x14ac:dyDescent="0.35">
      <c r="C13" s="213" t="str">
        <f>'Fin Stat'!C$78</f>
        <v>B-2b-CB</v>
      </c>
      <c r="D13" s="1" t="str">
        <f ca="1">'Fin Stat'!D$78</f>
        <v>Stock</v>
      </c>
      <c r="E13"/>
      <c r="V13" s="10">
        <f>'Fin Stat'!V$78*V$9</f>
        <v>0</v>
      </c>
      <c r="W13" s="10">
        <f>'Fin Stat'!W$78*W$9</f>
        <v>0</v>
      </c>
      <c r="X13" s="10">
        <f>'Fin Stat'!X$78*X$9</f>
        <v>0</v>
      </c>
      <c r="Y13" s="10">
        <f>'Fin Stat'!Y$78*Y$9</f>
        <v>0</v>
      </c>
      <c r="CK13" s="312"/>
      <c r="CM13" s="311"/>
      <c r="EX13" s="10" t="str">
        <f t="shared" ca="1" si="0"/>
        <v>Stock</v>
      </c>
    </row>
    <row r="14" spans="1:154" ht="8.25" customHeight="1" x14ac:dyDescent="0.35">
      <c r="C14" s="213"/>
      <c r="D14" s="1"/>
      <c r="E14"/>
      <c r="CK14" s="311"/>
      <c r="CM14" s="311"/>
      <c r="EX14" s="10" t="str">
        <f t="shared" si="0"/>
        <v/>
      </c>
    </row>
    <row r="15" spans="1:154" x14ac:dyDescent="0.35">
      <c r="C15" s="213" t="str">
        <f>'Fin Stat'!C$79</f>
        <v>B-2c-CB</v>
      </c>
      <c r="D15" s="1" t="str">
        <f ca="1">'Fin Stat'!D$79</f>
        <v>Trade Receivables</v>
      </c>
      <c r="E15"/>
      <c r="V15" s="10">
        <f>'Fin Stat'!V$79*V$9</f>
        <v>0</v>
      </c>
      <c r="W15" s="10">
        <f>'Fin Stat'!W$79*W$9</f>
        <v>0</v>
      </c>
      <c r="X15" s="10">
        <f>'Fin Stat'!X$79*X$9</f>
        <v>0</v>
      </c>
      <c r="Y15" s="10">
        <f>'Fin Stat'!Y$79*Y$9</f>
        <v>0</v>
      </c>
      <c r="CK15" s="312"/>
      <c r="CM15" s="311"/>
      <c r="EX15" s="10" t="str">
        <f t="shared" ca="1" si="0"/>
        <v>Trade Receivables</v>
      </c>
    </row>
    <row r="16" spans="1:154" ht="8.25" customHeight="1" x14ac:dyDescent="0.35">
      <c r="C16" s="213"/>
      <c r="D16" s="1"/>
      <c r="E16"/>
      <c r="CK16" s="311"/>
      <c r="CM16" s="311"/>
      <c r="EX16" s="10" t="str">
        <f t="shared" si="0"/>
        <v/>
      </c>
    </row>
    <row r="17" spans="3:154" x14ac:dyDescent="0.35">
      <c r="C17" s="213" t="str">
        <f>'Fin Stat'!C$98</f>
        <v>B-3g-CB</v>
      </c>
      <c r="D17" s="1" t="str">
        <f ca="1">'Fin Stat'!D$98</f>
        <v>Trade Payables</v>
      </c>
      <c r="E17"/>
      <c r="V17" s="10">
        <f>'Fin Stat'!V$98*V$9</f>
        <v>0</v>
      </c>
      <c r="W17" s="10">
        <f>'Fin Stat'!W$98*W$9</f>
        <v>0</v>
      </c>
      <c r="X17" s="10">
        <f>'Fin Stat'!X$98*X$9</f>
        <v>0</v>
      </c>
      <c r="Y17" s="10">
        <f>'Fin Stat'!Y$98*Y$9</f>
        <v>0</v>
      </c>
      <c r="CK17" s="312"/>
      <c r="CM17" s="311"/>
      <c r="EX17" s="10" t="str">
        <f t="shared" ca="1" si="0"/>
        <v>Trade Payables</v>
      </c>
    </row>
    <row r="18" spans="3:154" ht="8.25" customHeight="1" x14ac:dyDescent="0.35">
      <c r="C18" s="213"/>
      <c r="D18" s="1"/>
      <c r="E18"/>
      <c r="CK18" s="311"/>
      <c r="CM18" s="311"/>
      <c r="EX18" s="10" t="str">
        <f t="shared" si="0"/>
        <v/>
      </c>
    </row>
    <row r="19" spans="3:154" x14ac:dyDescent="0.35">
      <c r="C19" s="211"/>
      <c r="CK19" s="312"/>
      <c r="CM19" s="311"/>
      <c r="EX19" s="10" t="str">
        <f t="shared" si="0"/>
        <v/>
      </c>
    </row>
    <row r="20" spans="3:154" x14ac:dyDescent="0.35">
      <c r="C20" s="211"/>
      <c r="CK20" s="312"/>
      <c r="CM20" s="311"/>
      <c r="EX20" s="10" t="str">
        <f t="shared" si="0"/>
        <v/>
      </c>
    </row>
    <row r="21" spans="3:154" x14ac:dyDescent="0.35">
      <c r="C21" s="211"/>
      <c r="CK21" s="312"/>
      <c r="CM21" s="311"/>
      <c r="EX21" s="10" t="str">
        <f t="shared" si="0"/>
        <v/>
      </c>
    </row>
    <row r="22" spans="3:154" x14ac:dyDescent="0.35">
      <c r="C22" s="211"/>
      <c r="CK22" s="312"/>
      <c r="CM22" s="311"/>
      <c r="EX22" s="10" t="str">
        <f t="shared" si="0"/>
        <v/>
      </c>
    </row>
    <row r="23" spans="3:154" x14ac:dyDescent="0.35">
      <c r="C23" s="213"/>
      <c r="CK23" s="312"/>
      <c r="CM23" s="311"/>
      <c r="EX23" s="10" t="str">
        <f t="shared" si="0"/>
        <v/>
      </c>
    </row>
    <row r="24" spans="3:154" x14ac:dyDescent="0.35">
      <c r="C24" s="213"/>
      <c r="CK24" s="312"/>
      <c r="CM24" s="311"/>
      <c r="EX24" s="10" t="str">
        <f t="shared" si="0"/>
        <v/>
      </c>
    </row>
    <row r="25" spans="3:154" x14ac:dyDescent="0.35">
      <c r="C25" s="213"/>
      <c r="CK25" s="312"/>
      <c r="CM25" s="311"/>
      <c r="EX25" s="10" t="str">
        <f t="shared" si="0"/>
        <v/>
      </c>
    </row>
    <row r="26" spans="3:154" x14ac:dyDescent="0.35">
      <c r="C26" s="213"/>
      <c r="CK26" s="312"/>
      <c r="CM26" s="311"/>
      <c r="EX26" s="10" t="str">
        <f t="shared" si="0"/>
        <v/>
      </c>
    </row>
    <row r="27" spans="3:154" x14ac:dyDescent="0.35">
      <c r="C27" s="211"/>
      <c r="CK27" s="312"/>
      <c r="CM27" s="311"/>
      <c r="EX27" s="10" t="str">
        <f t="shared" si="0"/>
        <v/>
      </c>
    </row>
    <row r="28" spans="3:154" x14ac:dyDescent="0.35">
      <c r="C28" s="211"/>
      <c r="CK28" s="312"/>
      <c r="CM28" s="311"/>
      <c r="EX28" s="10" t="str">
        <f t="shared" si="0"/>
        <v/>
      </c>
    </row>
    <row r="29" spans="3:154" x14ac:dyDescent="0.35">
      <c r="C29" s="211"/>
      <c r="CK29" s="312"/>
      <c r="CM29" s="311"/>
      <c r="EX29" s="10" t="str">
        <f t="shared" si="0"/>
        <v/>
      </c>
    </row>
    <row r="30" spans="3:154" x14ac:dyDescent="0.35">
      <c r="C30" s="211"/>
      <c r="CK30" s="312"/>
      <c r="CM30" s="311"/>
      <c r="EX30" s="10" t="str">
        <f t="shared" si="0"/>
        <v/>
      </c>
    </row>
    <row r="31" spans="3:154" x14ac:dyDescent="0.35">
      <c r="C31" s="211"/>
      <c r="CK31" s="312"/>
      <c r="CM31" s="311"/>
      <c r="EX31" s="10" t="str">
        <f t="shared" si="0"/>
        <v/>
      </c>
    </row>
    <row r="32" spans="3:154" x14ac:dyDescent="0.35">
      <c r="C32" s="213" t="str">
        <f>Ratios!C$20</f>
        <v>R-2a</v>
      </c>
      <c r="D32" t="s">
        <v>1664</v>
      </c>
      <c r="V32" s="10">
        <f>Ratios!V$20</f>
        <v>0</v>
      </c>
      <c r="W32" s="10">
        <f>Ratios!W$20</f>
        <v>0</v>
      </c>
      <c r="X32" s="10">
        <f>Ratios!X$20</f>
        <v>0</v>
      </c>
      <c r="Y32" s="10">
        <f>Ratios!Y$20</f>
        <v>0</v>
      </c>
      <c r="CK32" s="312"/>
      <c r="CM32" s="311"/>
      <c r="EX32" s="10" t="str">
        <f t="shared" si="0"/>
        <v>Adjusted unrestricted cash days in hand</v>
      </c>
    </row>
    <row r="33" spans="1:154" ht="29" x14ac:dyDescent="0.35">
      <c r="C33" s="213" t="str">
        <f>Ratios!C$25</f>
        <v>R-2d</v>
      </c>
      <c r="D33" s="1" t="str">
        <f>Ratios!D$25</f>
        <v>Trade debtor days -excluding funding body grants</v>
      </c>
      <c r="E33"/>
      <c r="V33" s="240">
        <f>Ratios!V$25</f>
        <v>0</v>
      </c>
      <c r="W33" s="240">
        <f>Ratios!W$25</f>
        <v>0</v>
      </c>
      <c r="X33" s="240">
        <f>Ratios!X$25</f>
        <v>0</v>
      </c>
      <c r="Y33" s="240">
        <f>Ratios!Y$25</f>
        <v>0</v>
      </c>
      <c r="CK33" s="312"/>
      <c r="CM33" s="311"/>
      <c r="EX33" s="10" t="str">
        <f t="shared" si="0"/>
        <v>Trade debtor days -excluding funding body grants</v>
      </c>
    </row>
    <row r="34" spans="1:154" x14ac:dyDescent="0.35">
      <c r="C34" s="213" t="str">
        <f>Ratios!C$26</f>
        <v>R-2e</v>
      </c>
      <c r="D34" s="1" t="str">
        <f>Ratios!D$26</f>
        <v>Trade creditors days - non-pay expenditure</v>
      </c>
      <c r="E34"/>
      <c r="V34" s="240">
        <f>Ratios!V$26</f>
        <v>0</v>
      </c>
      <c r="W34" s="240">
        <f>Ratios!W$26</f>
        <v>0</v>
      </c>
      <c r="X34" s="240">
        <f>Ratios!X$26</f>
        <v>0</v>
      </c>
      <c r="Y34" s="240">
        <f>Ratios!Y$26</f>
        <v>0</v>
      </c>
      <c r="CK34" s="312"/>
      <c r="CM34" s="311"/>
      <c r="EX34" s="10" t="str">
        <f t="shared" si="0"/>
        <v>Trade creditors days - non-pay expenditure</v>
      </c>
    </row>
    <row r="35" spans="1:154" x14ac:dyDescent="0.35">
      <c r="C35" s="210"/>
      <c r="CK35" s="312"/>
      <c r="CM35" s="311"/>
      <c r="EX35" s="10" t="str">
        <f t="shared" si="0"/>
        <v/>
      </c>
    </row>
    <row r="36" spans="1:154" x14ac:dyDescent="0.35">
      <c r="C36" s="210"/>
      <c r="CK36" s="312"/>
      <c r="CM36" s="311"/>
      <c r="EX36" s="10" t="str">
        <f t="shared" si="0"/>
        <v/>
      </c>
    </row>
    <row r="37" spans="1:154" x14ac:dyDescent="0.35">
      <c r="C37" s="210"/>
      <c r="CK37" s="312"/>
      <c r="CM37" s="311"/>
      <c r="EX37" s="10" t="str">
        <f t="shared" si="0"/>
        <v/>
      </c>
    </row>
    <row r="38" spans="1:154" x14ac:dyDescent="0.35">
      <c r="C38" s="210"/>
      <c r="CK38" s="312"/>
      <c r="CM38" s="311"/>
      <c r="EX38" s="10" t="str">
        <f t="shared" si="0"/>
        <v/>
      </c>
    </row>
    <row r="39" spans="1:154" x14ac:dyDescent="0.35">
      <c r="C39" s="210"/>
      <c r="CK39" s="312"/>
      <c r="CM39" s="311"/>
      <c r="EX39" s="10" t="str">
        <f t="shared" si="0"/>
        <v/>
      </c>
    </row>
    <row r="40" spans="1:154" x14ac:dyDescent="0.35">
      <c r="C40" s="210"/>
      <c r="CK40" s="312"/>
      <c r="CM40" s="311"/>
      <c r="EX40" s="10" t="str">
        <f t="shared" si="0"/>
        <v/>
      </c>
    </row>
    <row r="41" spans="1:154" x14ac:dyDescent="0.35">
      <c r="C41" s="210"/>
      <c r="CK41" s="312"/>
      <c r="CM41" s="311"/>
      <c r="EX41" s="10" t="str">
        <f t="shared" si="0"/>
        <v/>
      </c>
    </row>
    <row r="42" spans="1:154" x14ac:dyDescent="0.35">
      <c r="C42" s="210"/>
      <c r="CK42" s="312"/>
      <c r="CM42" s="311"/>
      <c r="EX42" s="10" t="str">
        <f t="shared" si="0"/>
        <v/>
      </c>
    </row>
    <row r="43" spans="1:154" x14ac:dyDescent="0.35">
      <c r="A43" s="312" t="s">
        <v>16</v>
      </c>
      <c r="B43" s="312" t="s">
        <v>16</v>
      </c>
      <c r="C43" s="312" t="s">
        <v>16</v>
      </c>
      <c r="D43" s="312" t="s">
        <v>16</v>
      </c>
      <c r="E43" s="314" t="s">
        <v>16</v>
      </c>
      <c r="F43" s="312" t="s">
        <v>16</v>
      </c>
      <c r="G43" s="312" t="s">
        <v>16</v>
      </c>
      <c r="H43" s="312" t="s">
        <v>16</v>
      </c>
      <c r="I43" s="312" t="s">
        <v>16</v>
      </c>
      <c r="J43" s="312" t="s">
        <v>16</v>
      </c>
      <c r="K43" s="312" t="s">
        <v>16</v>
      </c>
      <c r="L43" s="312" t="s">
        <v>16</v>
      </c>
      <c r="M43" s="312" t="s">
        <v>16</v>
      </c>
      <c r="N43" s="312" t="s">
        <v>16</v>
      </c>
      <c r="O43" s="312" t="s">
        <v>16</v>
      </c>
      <c r="P43" s="312" t="s">
        <v>16</v>
      </c>
      <c r="Q43" s="312" t="s">
        <v>16</v>
      </c>
      <c r="R43" s="312" t="s">
        <v>16</v>
      </c>
      <c r="S43" s="312"/>
      <c r="T43" s="312" t="s">
        <v>16</v>
      </c>
      <c r="U43" s="312" t="s">
        <v>16</v>
      </c>
      <c r="V43" s="312" t="s">
        <v>16</v>
      </c>
      <c r="W43" s="312" t="s">
        <v>16</v>
      </c>
      <c r="X43" s="312"/>
      <c r="Y43" s="312"/>
      <c r="Z43" s="312" t="s">
        <v>16</v>
      </c>
      <c r="AA43" s="312" t="s">
        <v>16</v>
      </c>
      <c r="AB43" s="312" t="s">
        <v>16</v>
      </c>
      <c r="AC43" s="312" t="s">
        <v>16</v>
      </c>
      <c r="AD43" s="312" t="s">
        <v>16</v>
      </c>
      <c r="AE43" s="312" t="s">
        <v>16</v>
      </c>
      <c r="AF43" s="312" t="s">
        <v>16</v>
      </c>
      <c r="AG43" s="312" t="s">
        <v>16</v>
      </c>
      <c r="AH43" s="312" t="s">
        <v>16</v>
      </c>
      <c r="AI43" s="312" t="s">
        <v>16</v>
      </c>
      <c r="AJ43" s="312" t="s">
        <v>16</v>
      </c>
      <c r="AK43" s="312" t="s">
        <v>16</v>
      </c>
      <c r="AL43" s="312" t="s">
        <v>16</v>
      </c>
      <c r="AM43" s="312" t="s">
        <v>16</v>
      </c>
      <c r="AN43" s="312" t="s">
        <v>16</v>
      </c>
      <c r="AO43" s="312" t="s">
        <v>16</v>
      </c>
      <c r="AP43" s="312" t="s">
        <v>16</v>
      </c>
      <c r="AQ43" s="312" t="s">
        <v>16</v>
      </c>
      <c r="AR43" s="312" t="s">
        <v>16</v>
      </c>
      <c r="AS43" s="312" t="s">
        <v>16</v>
      </c>
      <c r="AT43" s="312" t="s">
        <v>16</v>
      </c>
      <c r="AU43" s="312" t="s">
        <v>16</v>
      </c>
      <c r="AV43" s="312" t="s">
        <v>16</v>
      </c>
      <c r="AW43" s="312" t="s">
        <v>16</v>
      </c>
      <c r="AX43" s="312" t="s">
        <v>16</v>
      </c>
      <c r="AY43" s="312" t="s">
        <v>16</v>
      </c>
      <c r="AZ43" s="312" t="s">
        <v>16</v>
      </c>
      <c r="BA43" s="312" t="s">
        <v>16</v>
      </c>
      <c r="BB43" s="312" t="s">
        <v>16</v>
      </c>
      <c r="BC43" s="312" t="s">
        <v>16</v>
      </c>
      <c r="BD43" s="312" t="s">
        <v>16</v>
      </c>
      <c r="BE43" s="312" t="s">
        <v>16</v>
      </c>
      <c r="BF43" s="312" t="s">
        <v>16</v>
      </c>
      <c r="BG43" s="312" t="s">
        <v>16</v>
      </c>
      <c r="BH43" s="312" t="s">
        <v>16</v>
      </c>
      <c r="BI43" s="312" t="s">
        <v>16</v>
      </c>
      <c r="BJ43" s="312" t="s">
        <v>16</v>
      </c>
      <c r="BK43" s="312" t="s">
        <v>16</v>
      </c>
      <c r="BL43" s="312" t="s">
        <v>16</v>
      </c>
      <c r="BM43" s="312" t="s">
        <v>16</v>
      </c>
      <c r="BN43" s="312" t="s">
        <v>16</v>
      </c>
      <c r="BO43" s="312" t="s">
        <v>16</v>
      </c>
      <c r="BP43" s="312" t="s">
        <v>16</v>
      </c>
      <c r="BQ43" s="312" t="s">
        <v>16</v>
      </c>
      <c r="BR43" s="312" t="s">
        <v>16</v>
      </c>
      <c r="BS43" s="312" t="s">
        <v>16</v>
      </c>
      <c r="BT43" s="312" t="s">
        <v>16</v>
      </c>
      <c r="BU43" s="312" t="s">
        <v>16</v>
      </c>
      <c r="BV43" s="312" t="s">
        <v>16</v>
      </c>
      <c r="BW43" s="312" t="s">
        <v>16</v>
      </c>
      <c r="BX43" s="312" t="s">
        <v>16</v>
      </c>
      <c r="BY43" s="312" t="s">
        <v>16</v>
      </c>
      <c r="BZ43" s="312" t="s">
        <v>16</v>
      </c>
      <c r="CA43" s="312" t="s">
        <v>16</v>
      </c>
      <c r="CB43" s="312" t="s">
        <v>16</v>
      </c>
      <c r="CC43" s="312" t="s">
        <v>16</v>
      </c>
      <c r="CD43" s="312" t="s">
        <v>16</v>
      </c>
      <c r="CE43" s="312" t="s">
        <v>16</v>
      </c>
      <c r="CF43" s="312" t="s">
        <v>16</v>
      </c>
      <c r="CG43" s="312" t="s">
        <v>16</v>
      </c>
      <c r="CH43" s="312" t="s">
        <v>16</v>
      </c>
      <c r="CI43" s="312" t="s">
        <v>16</v>
      </c>
      <c r="CJ43" s="312" t="s">
        <v>16</v>
      </c>
      <c r="CK43" s="312" t="s">
        <v>16</v>
      </c>
      <c r="CL43" s="312" t="s">
        <v>16</v>
      </c>
      <c r="CM43" s="312" t="s">
        <v>16</v>
      </c>
      <c r="EX43" s="10" t="str">
        <f t="shared" si="0"/>
        <v>*</v>
      </c>
    </row>
  </sheetData>
  <sheetProtection algorithmName="SHA-512" hashValue="ZBvzOKfArhsEPiSqICB0Gr7rN+RfAVh0bssK5xjL0s8shVVjztJmOLy3kGN1O1trJ6lXA9jhrWUQMFdpPsk6XQ==" saltValue="P5/HxIiY4PXGLBaCkXC1Ow==" spinCount="100000" sheet="1" insertRows="0" deleteRows="0"/>
  <mergeCells count="3">
    <mergeCell ref="CK1:CK6"/>
    <mergeCell ref="CM1:CM6"/>
    <mergeCell ref="CL4:CL6"/>
  </mergeCells>
  <conditionalFormatting sqref="A1:A2">
    <cfRule type="cellIs" dxfId="310" priority="5" operator="equal">
      <formula>0</formula>
    </cfRule>
    <cfRule type="cellIs" dxfId="309" priority="6"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F8A63A8B-FE7C-4505-B76F-2C1FD52CAFFE}"/>
  </dataValidations>
  <pageMargins left="0.70866141732283472" right="0.70866141732283472" top="0.74803149606299213" bottom="0.74803149606299213" header="0.31496062992125984" footer="0.31496062992125984"/>
  <pageSetup paperSize="8" scale="82" orientation="landscape" r:id="rId1"/>
  <headerFooter>
    <oddHeader>&amp;C&amp;"Aptos"&amp;11&amp;K000000 OFFICIAL - FOR PUBLIC RELEASE&amp;1#_x000D_</oddHeader>
    <oddFooter>&amp;C_x000D_&amp;1#&amp;"Aptos"&amp;11&amp;K000000 OFFICIAL - FOR PUBLIC RELEASE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7BE7489E-D0F2-4209-8A00-53D75B40A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13A111F-BB32-432A-895E-12C734D9F105}">
          <x14:formula1>
            <xm:f>'Dash Data'!$D$93:$D$100</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6026-3C0F-4E21-B650-892B38E78A51}">
  <sheetPr codeName="Sheet12">
    <tabColor rgb="FF00B0F0"/>
    <outlinePr summaryBelow="0" summaryRight="0"/>
    <pageSetUpPr autoPageBreaks="0"/>
  </sheetPr>
  <dimension ref="A1:EX147"/>
  <sheetViews>
    <sheetView showGridLines="0" zoomScaleNormal="100" workbookViewId="0">
      <pane xSplit="8" ySplit="6" topLeftCell="I7"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4.1796875" customWidth="1"/>
    <col min="3" max="3" width="11.1796875" customWidth="1"/>
    <col min="4" max="4" width="53.1796875" bestFit="1" customWidth="1"/>
    <col min="5" max="5" width="12.453125" style="57" bestFit="1" customWidth="1"/>
    <col min="6" max="6" width="9.54296875" style="120" customWidth="1"/>
    <col min="7" max="7" width="2" customWidth="1" outlineLevel="1"/>
    <col min="8" max="8" width="2.453125" customWidth="1" outlineLevel="1"/>
    <col min="9" max="9" width="1" customWidth="1" collapsed="1"/>
    <col min="10" max="10" width="2" hidden="1" customWidth="1" outlineLevel="1"/>
    <col min="11" max="18" width="8.81640625" hidden="1" customWidth="1" outlineLevel="1"/>
    <col min="19" max="21" width="3" hidden="1" customWidth="1" outlineLevel="1"/>
    <col min="22" max="25" width="12.54296875" bestFit="1" customWidth="1"/>
    <col min="26" max="26" width="3" bestFit="1" customWidth="1"/>
    <col min="27" max="30" width="12.54296875" bestFit="1" customWidth="1"/>
    <col min="31" max="31" width="9.54296875" bestFit="1" customWidth="1"/>
    <col min="32" max="32" width="9.1796875" bestFit="1" customWidth="1"/>
    <col min="33" max="33" width="9.453125" customWidth="1"/>
    <col min="34" max="34" width="9.54296875" bestFit="1" customWidth="1"/>
    <col min="35" max="35" width="9.453125" bestFit="1" customWidth="1"/>
    <col min="36" max="36" width="10.1796875" bestFit="1" customWidth="1"/>
    <col min="37" max="37" width="9.453125" bestFit="1" customWidth="1"/>
    <col min="38" max="38" width="8.54296875" bestFit="1" customWidth="1"/>
    <col min="39" max="39" width="9.54296875" bestFit="1" customWidth="1"/>
    <col min="40" max="40" width="3" customWidth="1"/>
    <col min="41" max="41" width="9.453125" bestFit="1" customWidth="1"/>
    <col min="42" max="43" width="9.54296875" bestFit="1" customWidth="1"/>
    <col min="44" max="44" width="9.1796875" bestFit="1" customWidth="1"/>
    <col min="45" max="45" width="9.453125" bestFit="1" customWidth="1"/>
    <col min="46" max="46" width="9.54296875" bestFit="1" customWidth="1"/>
    <col min="47" max="47" width="9.453125" bestFit="1" customWidth="1"/>
    <col min="48" max="49" width="9.54296875" bestFit="1" customWidth="1"/>
    <col min="50" max="50" width="9.1796875" bestFit="1" customWidth="1"/>
    <col min="51" max="51" width="9.453125" bestFit="1" customWidth="1"/>
    <col min="52" max="52" width="9.54296875" bestFit="1" customWidth="1"/>
    <col min="53" max="53" width="9.453125" bestFit="1" customWidth="1"/>
    <col min="54" max="55" width="9.54296875" bestFit="1" customWidth="1"/>
    <col min="56" max="56" width="9.1796875" bestFit="1" customWidth="1"/>
    <col min="57" max="57" width="9.453125" bestFit="1" customWidth="1"/>
    <col min="58" max="58" width="9.54296875" bestFit="1" customWidth="1"/>
    <col min="59" max="59" width="9.453125" bestFit="1" customWidth="1"/>
    <col min="60" max="60" width="10.1796875" bestFit="1" customWidth="1"/>
    <col min="61" max="61" width="9.453125" bestFit="1" customWidth="1"/>
    <col min="62" max="62" width="8.54296875" bestFit="1" customWidth="1"/>
    <col min="63" max="63" width="9.54296875" hidden="1" customWidth="1"/>
    <col min="64" max="65" width="9.453125" hidden="1" customWidth="1"/>
    <col min="66" max="67" width="9.54296875" hidden="1" customWidth="1"/>
    <col min="68" max="68" width="9.1796875" hidden="1" customWidth="1"/>
    <col min="69" max="69" width="9.453125" hidden="1" customWidth="1"/>
    <col min="70" max="70" width="9.54296875" hidden="1" customWidth="1"/>
    <col min="71" max="71" width="9.453125" hidden="1" customWidth="1"/>
    <col min="72" max="72" width="10.1796875" hidden="1" customWidth="1"/>
    <col min="73" max="73" width="9.453125" hidden="1" customWidth="1"/>
    <col min="74" max="74" width="8.54296875" hidden="1" customWidth="1"/>
    <col min="75" max="75" width="3" hidden="1" customWidth="1"/>
    <col min="76" max="76" width="9.54296875" hidden="1" customWidth="1"/>
    <col min="77" max="77" width="10.54296875" hidden="1" customWidth="1"/>
    <col min="78" max="87" width="9.54296875" hidden="1" customWidth="1"/>
    <col min="88" max="88" width="3" hidden="1" customWidth="1"/>
    <col min="89" max="89" width="3.453125" customWidth="1"/>
    <col min="90" max="90" width="13.1796875" customWidth="1"/>
    <col min="91" max="91" width="2.81640625" customWidth="1"/>
    <col min="153" max="153" width="8.81640625" collapsed="1"/>
    <col min="154" max="154" width="38.1796875" hidden="1" customWidth="1" outlineLevel="1"/>
  </cols>
  <sheetData>
    <row r="1" spans="1:154" x14ac:dyDescent="0.35">
      <c r="A1" s="7">
        <f ca="1">ToC!A1</f>
        <v>0</v>
      </c>
      <c r="B1" s="13" t="s">
        <v>1843</v>
      </c>
      <c r="C1" s="13"/>
      <c r="D1" s="13">
        <f>CollegeNameInput</f>
        <v>0</v>
      </c>
      <c r="E1" s="81"/>
      <c r="F1" s="8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80"/>
      <c r="CM1" s="680"/>
      <c r="EX1" s="5" t="s">
        <v>177</v>
      </c>
    </row>
    <row r="2" spans="1:154" ht="14.65" customHeight="1" x14ac:dyDescent="0.35">
      <c r="A2" s="7">
        <f>SUM(A$7:A$147)</f>
        <v>0</v>
      </c>
      <c r="B2" s="67" t="str" cm="1">
        <f t="array" aca="1" ref="B2" ca="1">HYPERLINK(CONCATENATE("#",CELL("address",Guide!$C$125)),Guide!$B$1)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M2" s="680"/>
    </row>
    <row r="3" spans="1:154" x14ac:dyDescent="0.35">
      <c r="A3" s="67" t="str" cm="1">
        <f t="array" aca="1" ref="A3" ca="1">HYPERLINK(CONCATENATE("#",CELL("address",ToC!$A$1)),ToC!$C$1)</f>
        <v>ToC</v>
      </c>
      <c r="B3" s="13"/>
      <c r="C3" s="13"/>
      <c r="D3" s="36" t="str">
        <f>Timeline!D3</f>
        <v>Financial Year</v>
      </c>
      <c r="E3" s="81"/>
      <c r="F3" s="81"/>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 t="shared" ref="AA3:AD5" si="0">V3</f>
        <v>FY2025</v>
      </c>
      <c r="AB3" s="17" t="str">
        <f t="shared" si="0"/>
        <v>FY2026</v>
      </c>
      <c r="AC3" s="17" t="str">
        <f t="shared" si="0"/>
        <v>FY2027</v>
      </c>
      <c r="AD3" s="18" t="str">
        <f t="shared" si="0"/>
        <v>FY2028</v>
      </c>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80"/>
      <c r="CM3" s="680"/>
    </row>
    <row r="4" spans="1:154" x14ac:dyDescent="0.35">
      <c r="A4" s="13"/>
      <c r="B4" s="13"/>
      <c r="C4" s="13"/>
      <c r="D4" s="36" t="str">
        <f>Timeline!D4</f>
        <v>Forecast vs Actual</v>
      </c>
      <c r="E4" s="81"/>
      <c r="F4" s="81"/>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 t="shared" si="0"/>
        <v>0</v>
      </c>
      <c r="AB4" s="29">
        <f t="shared" si="0"/>
        <v>-1</v>
      </c>
      <c r="AC4" s="29">
        <f t="shared" si="0"/>
        <v>1</v>
      </c>
      <c r="AD4" s="30">
        <f t="shared" si="0"/>
        <v>1</v>
      </c>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80"/>
      <c r="CL4" s="664"/>
      <c r="CM4" s="680"/>
    </row>
    <row r="5" spans="1:154" x14ac:dyDescent="0.35">
      <c r="A5" s="13"/>
      <c r="B5" s="13"/>
      <c r="C5" s="13"/>
      <c r="D5" s="36" t="str">
        <f>Timeline!D5</f>
        <v>Period End Date</v>
      </c>
      <c r="E5" s="81"/>
      <c r="F5" s="81"/>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 t="shared" si="0"/>
        <v>45869</v>
      </c>
      <c r="AB5" s="20">
        <f t="shared" si="0"/>
        <v>46234</v>
      </c>
      <c r="AC5" s="20">
        <f t="shared" si="0"/>
        <v>46599</v>
      </c>
      <c r="AD5" s="21">
        <f t="shared" si="0"/>
        <v>46965</v>
      </c>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80"/>
      <c r="CL5" s="664"/>
      <c r="CM5" s="680"/>
    </row>
    <row r="6" spans="1:154" ht="29" x14ac:dyDescent="0.35">
      <c r="A6" s="67"/>
      <c r="B6" s="13"/>
      <c r="C6" s="13" t="s">
        <v>183</v>
      </c>
      <c r="D6" s="23"/>
      <c r="E6" s="280" t="s">
        <v>1649</v>
      </c>
      <c r="F6" s="554"/>
      <c r="G6" s="13"/>
      <c r="H6" s="13"/>
      <c r="I6" s="13"/>
      <c r="J6" s="13"/>
      <c r="K6" s="13"/>
      <c r="L6" s="13"/>
      <c r="M6" s="13"/>
      <c r="N6" s="15"/>
      <c r="O6" s="13"/>
      <c r="P6" s="13"/>
      <c r="Q6" s="13"/>
      <c r="R6" s="13"/>
      <c r="S6" s="13"/>
      <c r="T6" s="13"/>
      <c r="U6" s="13"/>
      <c r="V6" s="67"/>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80"/>
      <c r="CL6" s="664"/>
      <c r="CM6" s="680"/>
    </row>
    <row r="7" spans="1:154" x14ac:dyDescent="0.35">
      <c r="B7" s="97" t="s">
        <v>184</v>
      </c>
      <c r="D7" s="1"/>
      <c r="E7" s="120"/>
      <c r="BY7" s="6"/>
      <c r="CK7" s="311"/>
      <c r="CM7" s="311"/>
    </row>
    <row r="8" spans="1:154" ht="4.5" customHeight="1" x14ac:dyDescent="0.35">
      <c r="E8" s="120"/>
      <c r="I8" s="5" t="s">
        <v>1844</v>
      </c>
      <c r="CK8" s="311"/>
      <c r="CM8" s="311"/>
      <c r="EX8" s="10" t="str">
        <f t="shared" ref="EX8:EX39" si="1">IF($C8="","",$D8)</f>
        <v/>
      </c>
    </row>
    <row r="9" spans="1:154" x14ac:dyDescent="0.35">
      <c r="B9" s="85" t="s">
        <v>122</v>
      </c>
      <c r="D9" s="57" t="s">
        <v>1509</v>
      </c>
      <c r="E9" s="120"/>
      <c r="V9" s="38">
        <f>'BS Forecasts'!V$10</f>
        <v>0</v>
      </c>
      <c r="W9" s="38">
        <f>'BS Forecasts'!W$10</f>
        <v>1</v>
      </c>
      <c r="X9" s="38">
        <f>'BS Forecasts'!X$10</f>
        <v>1</v>
      </c>
      <c r="Y9" s="38">
        <f>'BS Forecasts'!Y$10</f>
        <v>1</v>
      </c>
      <c r="CK9" s="311"/>
      <c r="CM9" s="311"/>
      <c r="EX9" s="10" t="str">
        <f t="shared" si="1"/>
        <v/>
      </c>
    </row>
    <row r="10" spans="1:154" ht="4.5" customHeight="1" x14ac:dyDescent="0.35">
      <c r="E10" s="120"/>
      <c r="CK10" s="311"/>
      <c r="CM10" s="311"/>
      <c r="EX10" s="10" t="str">
        <f t="shared" si="1"/>
        <v/>
      </c>
    </row>
    <row r="11" spans="1:154" x14ac:dyDescent="0.35">
      <c r="A11" s="34"/>
      <c r="B11" s="34"/>
      <c r="C11" s="34"/>
      <c r="D11" s="34" t="s">
        <v>1845</v>
      </c>
      <c r="E11" s="34" t="s">
        <v>1846</v>
      </c>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1"/>
        <v/>
      </c>
    </row>
    <row r="12" spans="1:154" ht="4.5" customHeight="1" x14ac:dyDescent="0.35">
      <c r="E12" s="120"/>
      <c r="I12" s="5"/>
      <c r="CK12" s="311"/>
      <c r="CM12" s="311"/>
      <c r="EX12" s="10" t="str">
        <f t="shared" si="1"/>
        <v/>
      </c>
    </row>
    <row r="13" spans="1:154" x14ac:dyDescent="0.35">
      <c r="B13" s="5" t="s">
        <v>1847</v>
      </c>
      <c r="E13" s="120"/>
      <c r="V13" s="5" t="s">
        <v>1848</v>
      </c>
      <c r="AA13" s="5"/>
      <c r="CK13" s="312"/>
      <c r="CM13" s="311"/>
      <c r="EX13" s="10" t="str">
        <f t="shared" si="1"/>
        <v/>
      </c>
    </row>
    <row r="14" spans="1:154" x14ac:dyDescent="0.35">
      <c r="B14" s="1"/>
      <c r="C14" s="211" t="str">
        <f>CONCATENATE("DB-",'Financial Health'!C$29)</f>
        <v>DB-FH-2c</v>
      </c>
      <c r="D14" s="120" t="s">
        <v>1849</v>
      </c>
      <c r="E14" s="120"/>
      <c r="V14" s="555" t="str">
        <f>'Financial Health'!V$29</f>
        <v/>
      </c>
      <c r="W14" s="555" t="str">
        <f>'Financial Health'!W$29</f>
        <v/>
      </c>
      <c r="X14" s="555" t="str">
        <f>'Financial Health'!X$29</f>
        <v/>
      </c>
      <c r="Y14" s="555" t="str">
        <f>'Financial Health'!Y$29</f>
        <v/>
      </c>
      <c r="AA14" s="5"/>
      <c r="AB14" s="5"/>
      <c r="AC14" s="5"/>
      <c r="AD14" s="5"/>
      <c r="CK14" s="312"/>
      <c r="CM14" s="311"/>
      <c r="EX14" s="10" t="str">
        <f t="shared" si="1"/>
        <v xml:space="preserve">Financial Health Grade  </v>
      </c>
    </row>
    <row r="15" spans="1:154" x14ac:dyDescent="0.35">
      <c r="C15" s="211" t="str">
        <f>CONCATENATE("DB-",'Financial Health'!C$23)</f>
        <v>DB-FH-1d</v>
      </c>
      <c r="D15" s="120" t="str">
        <f>'Financial Health'!D$23</f>
        <v>Total Points</v>
      </c>
      <c r="E15" s="120"/>
      <c r="V15" s="99">
        <f>'Financial Health'!V$23</f>
        <v>0</v>
      </c>
      <c r="W15" s="99">
        <f>'Financial Health'!W$23</f>
        <v>0</v>
      </c>
      <c r="X15" s="99">
        <f>'Financial Health'!X$23</f>
        <v>0</v>
      </c>
      <c r="Y15" s="99">
        <f>'Financial Health'!Y$23</f>
        <v>0</v>
      </c>
      <c r="AA15" s="5"/>
      <c r="AB15" s="5"/>
      <c r="AC15" s="5"/>
      <c r="AD15" s="5"/>
      <c r="CK15" s="312"/>
      <c r="CM15" s="311"/>
      <c r="EX15" s="10" t="str">
        <f t="shared" si="1"/>
        <v>Total Points</v>
      </c>
    </row>
    <row r="16" spans="1:154" ht="4.5" customHeight="1" x14ac:dyDescent="0.35">
      <c r="C16" s="211"/>
      <c r="E16" s="120"/>
      <c r="CK16" s="311"/>
      <c r="CM16" s="311"/>
      <c r="EX16" s="10" t="str">
        <f t="shared" si="1"/>
        <v/>
      </c>
    </row>
    <row r="17" spans="2:154" ht="15" customHeight="1" x14ac:dyDescent="0.35">
      <c r="B17" s="5" t="s">
        <v>1850</v>
      </c>
      <c r="C17" s="211"/>
      <c r="E17" s="120"/>
      <c r="CK17" s="311"/>
      <c r="CM17" s="311"/>
      <c r="EX17" s="10" t="str">
        <f t="shared" si="1"/>
        <v/>
      </c>
    </row>
    <row r="18" spans="2:154" x14ac:dyDescent="0.35">
      <c r="C18" s="211" t="str">
        <f>CONCATENATE("DB-",Ratios!C$45)</f>
        <v>DB-FS-IE-8</v>
      </c>
      <c r="D18" t="str">
        <f>Ratios!D$45</f>
        <v xml:space="preserve">EBITDA - education specific </v>
      </c>
      <c r="E18" s="120"/>
      <c r="F18" s="107" t="s">
        <v>1851</v>
      </c>
      <c r="V18" s="10">
        <f>Ratios!V$45</f>
        <v>0</v>
      </c>
      <c r="W18" s="10">
        <f>Ratios!W$45</f>
        <v>0</v>
      </c>
      <c r="X18" s="10">
        <f>Ratios!X$45</f>
        <v>0</v>
      </c>
      <c r="Y18" s="10">
        <f>Ratios!Y$45</f>
        <v>0</v>
      </c>
      <c r="CK18" s="312"/>
      <c r="CM18" s="311"/>
      <c r="EX18" s="10" t="str">
        <f t="shared" si="1"/>
        <v xml:space="preserve">EBITDA - education specific </v>
      </c>
    </row>
    <row r="19" spans="2:154" x14ac:dyDescent="0.35">
      <c r="C19" s="211" t="str">
        <f>CONCATENATE("DB-",Ratios!C$46)</f>
        <v>DB-R-5g</v>
      </c>
      <c r="D19" s="24" t="str">
        <f>Ratios!D$46</f>
        <v>EBITDA as a % of adjusted income - education specific</v>
      </c>
      <c r="E19" s="644" t="str">
        <f>Ratios!H46</f>
        <v>&gt; 6%</v>
      </c>
      <c r="F19" s="305"/>
      <c r="V19" s="55">
        <f>Ratios!V$46</f>
        <v>0</v>
      </c>
      <c r="W19" s="55">
        <f>Ratios!W$46</f>
        <v>0</v>
      </c>
      <c r="X19" s="55">
        <f>Ratios!X$46</f>
        <v>0</v>
      </c>
      <c r="Y19" s="55">
        <f>Ratios!Y$46</f>
        <v>0</v>
      </c>
      <c r="CK19" s="312"/>
      <c r="CM19" s="311"/>
      <c r="EX19" s="10" t="str">
        <f t="shared" si="1"/>
        <v>EBITDA as a % of adjusted income - education specific</v>
      </c>
    </row>
    <row r="20" spans="2:154" ht="58.5" customHeight="1" x14ac:dyDescent="0.35">
      <c r="C20" s="211"/>
      <c r="D20" s="556" t="s">
        <v>1852</v>
      </c>
      <c r="E20"/>
      <c r="F20"/>
      <c r="CK20" s="312"/>
      <c r="CM20" s="311"/>
      <c r="EX20" s="10" t="str">
        <f t="shared" si="1"/>
        <v/>
      </c>
    </row>
    <row r="21" spans="2:154" x14ac:dyDescent="0.35">
      <c r="C21" s="211"/>
      <c r="E21"/>
      <c r="F21"/>
      <c r="CK21" s="312"/>
      <c r="CM21" s="311"/>
      <c r="EX21" s="10" t="str">
        <f t="shared" si="1"/>
        <v/>
      </c>
    </row>
    <row r="22" spans="2:154" x14ac:dyDescent="0.35">
      <c r="C22" s="211"/>
      <c r="CK22" s="312"/>
      <c r="CM22" s="311"/>
      <c r="EX22" s="10" t="str">
        <f t="shared" si="1"/>
        <v/>
      </c>
    </row>
    <row r="23" spans="2:154" x14ac:dyDescent="0.35">
      <c r="C23" s="211"/>
      <c r="CK23" s="312"/>
      <c r="CM23" s="311"/>
      <c r="EX23" s="10" t="str">
        <f t="shared" si="1"/>
        <v/>
      </c>
    </row>
    <row r="24" spans="2:154" x14ac:dyDescent="0.35">
      <c r="C24" s="211"/>
      <c r="CK24" s="312"/>
      <c r="CM24" s="311"/>
      <c r="EX24" s="10" t="str">
        <f t="shared" si="1"/>
        <v/>
      </c>
    </row>
    <row r="25" spans="2:154" x14ac:dyDescent="0.35">
      <c r="C25" s="211"/>
      <c r="CK25" s="312"/>
      <c r="CM25" s="311"/>
      <c r="EX25" s="10" t="str">
        <f t="shared" si="1"/>
        <v/>
      </c>
    </row>
    <row r="26" spans="2:154" x14ac:dyDescent="0.35">
      <c r="C26" s="211"/>
      <c r="E26"/>
      <c r="F26"/>
      <c r="CK26" s="312"/>
      <c r="CM26" s="311"/>
      <c r="EX26" s="10" t="str">
        <f t="shared" si="1"/>
        <v/>
      </c>
    </row>
    <row r="27" spans="2:154" x14ac:dyDescent="0.35">
      <c r="C27" s="211"/>
      <c r="CK27" s="312"/>
      <c r="CM27" s="311"/>
      <c r="EX27" s="10" t="str">
        <f t="shared" si="1"/>
        <v/>
      </c>
    </row>
    <row r="28" spans="2:154" x14ac:dyDescent="0.35">
      <c r="C28" s="211"/>
      <c r="CK28" s="312"/>
      <c r="CM28" s="311"/>
      <c r="EX28" s="10" t="str">
        <f t="shared" si="1"/>
        <v/>
      </c>
    </row>
    <row r="29" spans="2:154" ht="4.5" customHeight="1" x14ac:dyDescent="0.35">
      <c r="C29" s="211"/>
      <c r="E29" s="120"/>
      <c r="I29" s="5"/>
      <c r="CK29" s="311"/>
      <c r="CM29" s="311"/>
      <c r="EX29" s="10" t="str">
        <f t="shared" si="1"/>
        <v/>
      </c>
    </row>
    <row r="30" spans="2:154" x14ac:dyDescent="0.35">
      <c r="C30" s="211"/>
      <c r="E30" s="107"/>
      <c r="F30" s="107" t="s">
        <v>1851</v>
      </c>
      <c r="CK30" s="312"/>
      <c r="CM30" s="311"/>
      <c r="EX30" s="10" t="str">
        <f t="shared" si="1"/>
        <v/>
      </c>
    </row>
    <row r="31" spans="2:154" x14ac:dyDescent="0.35">
      <c r="B31" s="85" t="s">
        <v>122</v>
      </c>
      <c r="C31" s="211" t="str">
        <f>CONCATENATE("DB-",Ratios!C$41)</f>
        <v>DB-R-5d</v>
      </c>
      <c r="D31" t="str">
        <f>Ratios!D$41</f>
        <v>Adjusted Operating Surplus (Deficit)</v>
      </c>
      <c r="E31" s="107"/>
      <c r="F31" s="305"/>
      <c r="V31" s="10">
        <f>Ratios!V$41</f>
        <v>0</v>
      </c>
      <c r="W31" s="10">
        <f>Ratios!W$41</f>
        <v>0</v>
      </c>
      <c r="X31" s="10">
        <f>Ratios!X$41</f>
        <v>0</v>
      </c>
      <c r="Y31" s="10">
        <f>Ratios!Y$41</f>
        <v>0</v>
      </c>
      <c r="CK31" s="312"/>
      <c r="CM31" s="311"/>
      <c r="EX31" s="10" t="str">
        <f t="shared" si="1"/>
        <v>Adjusted Operating Surplus (Deficit)</v>
      </c>
    </row>
    <row r="32" spans="2:154" x14ac:dyDescent="0.35">
      <c r="C32" s="211" t="str">
        <f>CONCATENATE("DB-",Ratios!C$42)</f>
        <v>DB-R-5e</v>
      </c>
      <c r="D32" s="5" t="s">
        <v>1853</v>
      </c>
      <c r="E32" s="120"/>
      <c r="V32" s="55">
        <f>Ratios!V$42</f>
        <v>0</v>
      </c>
      <c r="W32" s="55">
        <f>Ratios!W$42</f>
        <v>0</v>
      </c>
      <c r="X32" s="55">
        <f>Ratios!X$42</f>
        <v>0</v>
      </c>
      <c r="Y32" s="55">
        <f>Ratios!Y$42</f>
        <v>0</v>
      </c>
      <c r="CK32" s="312"/>
      <c r="CM32" s="311"/>
      <c r="EX32" s="10" t="str">
        <f t="shared" si="1"/>
        <v>Adjusted Operating Surplus/Deficit as a % of adjusted income</v>
      </c>
    </row>
    <row r="33" spans="1:154" ht="43.5" x14ac:dyDescent="0.35">
      <c r="C33" s="211"/>
      <c r="D33" s="557" t="str">
        <f>Parameters!$D$102</f>
        <v>Surplus/(deficit) on continuing operations after depreciation and before exceptional items, tax, pension finance income and FRS 102 adjustments, divided by adjusted income</v>
      </c>
      <c r="E33" s="120"/>
      <c r="CK33" s="312"/>
      <c r="CM33" s="311"/>
      <c r="EX33" s="10" t="str">
        <f t="shared" si="1"/>
        <v/>
      </c>
    </row>
    <row r="34" spans="1:154" x14ac:dyDescent="0.35">
      <c r="C34" s="211"/>
      <c r="D34" s="1"/>
      <c r="E34" s="120"/>
      <c r="CK34" s="312"/>
      <c r="CM34" s="311"/>
      <c r="EX34" s="10" t="str">
        <f t="shared" si="1"/>
        <v/>
      </c>
    </row>
    <row r="35" spans="1:154" x14ac:dyDescent="0.35">
      <c r="C35" s="211"/>
      <c r="E35" s="120"/>
      <c r="CK35" s="312"/>
      <c r="CM35" s="311"/>
      <c r="EX35" s="10" t="str">
        <f t="shared" si="1"/>
        <v/>
      </c>
    </row>
    <row r="36" spans="1:154" x14ac:dyDescent="0.35">
      <c r="C36" s="211"/>
      <c r="E36" s="120"/>
      <c r="CK36" s="312"/>
      <c r="CM36" s="311"/>
      <c r="EX36" s="10" t="str">
        <f t="shared" si="1"/>
        <v/>
      </c>
    </row>
    <row r="37" spans="1:154" x14ac:dyDescent="0.35">
      <c r="C37" s="211"/>
      <c r="D37" s="1"/>
      <c r="E37" s="120"/>
      <c r="CK37" s="312"/>
      <c r="CM37" s="311"/>
      <c r="EX37" s="10" t="str">
        <f t="shared" si="1"/>
        <v/>
      </c>
    </row>
    <row r="38" spans="1:154" x14ac:dyDescent="0.35">
      <c r="C38" s="211"/>
      <c r="E38" s="120"/>
      <c r="CK38" s="312"/>
      <c r="CM38" s="311"/>
      <c r="EX38" s="10" t="str">
        <f t="shared" si="1"/>
        <v/>
      </c>
    </row>
    <row r="39" spans="1:154" x14ac:dyDescent="0.35">
      <c r="C39" s="211"/>
      <c r="D39" s="1"/>
      <c r="E39" s="120"/>
      <c r="CK39" s="312"/>
      <c r="CM39" s="311"/>
      <c r="EX39" s="10" t="str">
        <f t="shared" si="1"/>
        <v/>
      </c>
    </row>
    <row r="40" spans="1:154" x14ac:dyDescent="0.35">
      <c r="C40" s="211"/>
      <c r="E40" s="120"/>
      <c r="CK40" s="312"/>
      <c r="CM40" s="311"/>
      <c r="EX40" s="10" t="str">
        <f t="shared" ref="EX40:EX71" si="2">IF($C40="","",$D40)</f>
        <v/>
      </c>
    </row>
    <row r="41" spans="1:154" x14ac:dyDescent="0.35">
      <c r="C41" s="211"/>
      <c r="E41" s="120"/>
      <c r="CK41" s="312"/>
      <c r="CM41" s="311"/>
      <c r="EX41" s="10" t="str">
        <f t="shared" si="2"/>
        <v/>
      </c>
    </row>
    <row r="42" spans="1:154" x14ac:dyDescent="0.35">
      <c r="C42" s="211"/>
      <c r="D42" s="1"/>
      <c r="E42" s="120"/>
      <c r="CK42" s="312"/>
      <c r="CM42" s="311"/>
      <c r="EX42" s="10" t="str">
        <f t="shared" si="2"/>
        <v/>
      </c>
    </row>
    <row r="43" spans="1:154" ht="4.5" customHeight="1" x14ac:dyDescent="0.35">
      <c r="C43" s="211"/>
      <c r="E43" s="120"/>
      <c r="I43" s="5"/>
      <c r="CK43" s="311"/>
      <c r="CM43" s="311"/>
      <c r="EX43" s="10" t="str">
        <f t="shared" si="2"/>
        <v/>
      </c>
    </row>
    <row r="44" spans="1:154" x14ac:dyDescent="0.35">
      <c r="B44" s="5" t="s">
        <v>1854</v>
      </c>
      <c r="C44" s="211"/>
      <c r="E44" s="107"/>
      <c r="F44" s="107" t="s">
        <v>1851</v>
      </c>
      <c r="CK44" s="312"/>
      <c r="CM44" s="311"/>
      <c r="EX44" s="10" t="str">
        <f t="shared" si="2"/>
        <v/>
      </c>
    </row>
    <row r="45" spans="1:154" x14ac:dyDescent="0.35">
      <c r="B45" s="85" t="s">
        <v>122</v>
      </c>
      <c r="C45" s="211" t="str">
        <f>CONCATENATE("DB-",Ratios!C$31)</f>
        <v>DB-R-4a</v>
      </c>
      <c r="D45" s="5" t="str">
        <f>Ratios!D$31</f>
        <v>Debt Service Cover Ratio</v>
      </c>
      <c r="E45" s="644" t="str">
        <f>Ratios!H31</f>
        <v>&gt; 2</v>
      </c>
      <c r="F45" s="306"/>
      <c r="V45" s="240">
        <f>Ratios!V$31</f>
        <v>0</v>
      </c>
      <c r="W45" s="240">
        <f>Ratios!W$31</f>
        <v>0</v>
      </c>
      <c r="X45" s="240">
        <f>Ratios!X$31</f>
        <v>0</v>
      </c>
      <c r="Y45" s="240">
        <f>Ratios!Y$31</f>
        <v>0</v>
      </c>
      <c r="CK45" s="312"/>
      <c r="CM45" s="311"/>
      <c r="EX45" s="10" t="str">
        <f t="shared" si="2"/>
        <v>Debt Service Cover Ratio</v>
      </c>
    </row>
    <row r="46" spans="1:154" s="5" customFormat="1" ht="43.5" x14ac:dyDescent="0.35">
      <c r="A46"/>
      <c r="B46"/>
      <c r="C46" s="211"/>
      <c r="D46" s="557" t="str">
        <f>Parameters!$D$103</f>
        <v>Net cashflow from operating activities divided by the total of interest paid, interest element of finance leases, repayment of amount borrowed and capital element of finance leases</v>
      </c>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s="312"/>
      <c r="CL46"/>
      <c r="CM46" s="311"/>
      <c r="EX46" s="10" t="str">
        <f t="shared" si="2"/>
        <v/>
      </c>
    </row>
    <row r="47" spans="1:154" x14ac:dyDescent="0.35">
      <c r="C47" s="211"/>
      <c r="CK47" s="312"/>
      <c r="CM47" s="311"/>
      <c r="EX47" s="10" t="str">
        <f t="shared" si="2"/>
        <v/>
      </c>
    </row>
    <row r="48" spans="1:154" x14ac:dyDescent="0.35">
      <c r="C48" s="211"/>
      <c r="E48" s="120"/>
      <c r="CK48" s="312"/>
      <c r="CM48" s="311"/>
      <c r="EX48" s="10" t="str">
        <f t="shared" si="2"/>
        <v/>
      </c>
    </row>
    <row r="49" spans="2:154" x14ac:dyDescent="0.35">
      <c r="C49" s="211"/>
      <c r="CK49" s="312"/>
      <c r="CM49" s="311"/>
      <c r="EX49" s="10" t="str">
        <f t="shared" si="2"/>
        <v/>
      </c>
    </row>
    <row r="50" spans="2:154" x14ac:dyDescent="0.35">
      <c r="C50" s="211"/>
      <c r="E50" s="120"/>
      <c r="CK50" s="312"/>
      <c r="CM50" s="311"/>
      <c r="EX50" s="10" t="str">
        <f t="shared" si="2"/>
        <v/>
      </c>
    </row>
    <row r="51" spans="2:154" x14ac:dyDescent="0.35">
      <c r="C51" s="211"/>
      <c r="E51" s="120"/>
      <c r="CK51" s="312"/>
      <c r="CM51" s="311"/>
      <c r="EX51" s="10" t="str">
        <f t="shared" si="2"/>
        <v/>
      </c>
    </row>
    <row r="52" spans="2:154" x14ac:dyDescent="0.35">
      <c r="C52" s="211"/>
      <c r="E52" s="120"/>
      <c r="CK52" s="312"/>
      <c r="CM52" s="311"/>
      <c r="EX52" s="10" t="str">
        <f t="shared" si="2"/>
        <v/>
      </c>
    </row>
    <row r="53" spans="2:154" x14ac:dyDescent="0.35">
      <c r="C53" s="211"/>
      <c r="E53" s="120"/>
      <c r="CK53" s="312"/>
      <c r="CM53" s="311"/>
      <c r="EX53" s="10" t="str">
        <f t="shared" si="2"/>
        <v/>
      </c>
    </row>
    <row r="54" spans="2:154" x14ac:dyDescent="0.35">
      <c r="C54" s="211"/>
      <c r="E54" s="120"/>
      <c r="CK54" s="312"/>
      <c r="CM54" s="311"/>
      <c r="EX54" s="10" t="str">
        <f t="shared" si="2"/>
        <v/>
      </c>
    </row>
    <row r="55" spans="2:154" x14ac:dyDescent="0.35">
      <c r="C55" s="211"/>
      <c r="E55" s="120"/>
      <c r="CK55" s="312"/>
      <c r="CM55" s="311"/>
      <c r="EX55" s="10" t="str">
        <f t="shared" si="2"/>
        <v/>
      </c>
    </row>
    <row r="56" spans="2:154" x14ac:dyDescent="0.35">
      <c r="C56" s="211"/>
      <c r="F56" s="107" t="s">
        <v>1851</v>
      </c>
      <c r="CK56" s="312"/>
      <c r="CM56" s="311"/>
      <c r="EX56" s="10" t="str">
        <f t="shared" si="2"/>
        <v/>
      </c>
    </row>
    <row r="57" spans="2:154" x14ac:dyDescent="0.35">
      <c r="B57" s="85" t="s">
        <v>122</v>
      </c>
      <c r="C57" s="211" t="str">
        <f>CONCATENATE("DB-",Ratios!C$33)</f>
        <v>DB-R-4c</v>
      </c>
      <c r="D57" s="5" t="str">
        <f>Ratios!D$33</f>
        <v>Borrowing as a % of adjusted income</v>
      </c>
      <c r="E57" s="120"/>
      <c r="F57" s="305"/>
      <c r="V57" s="55">
        <f>Ratios!V$33</f>
        <v>0</v>
      </c>
      <c r="W57" s="55">
        <f>Ratios!W$33</f>
        <v>0</v>
      </c>
      <c r="X57" s="55">
        <f>Ratios!X$33</f>
        <v>0</v>
      </c>
      <c r="Y57" s="55">
        <f>Ratios!Y$33</f>
        <v>0</v>
      </c>
      <c r="CK57" s="312"/>
      <c r="CM57" s="311"/>
      <c r="EX57" s="10" t="str">
        <f t="shared" si="2"/>
        <v>Borrowing as a % of adjusted income</v>
      </c>
    </row>
    <row r="58" spans="2:154" ht="57.75" customHeight="1" x14ac:dyDescent="0.35">
      <c r="C58" s="211"/>
      <c r="D58" s="556" t="s">
        <v>1855</v>
      </c>
      <c r="E58" s="120"/>
      <c r="CK58" s="312"/>
      <c r="CM58" s="311"/>
      <c r="EX58" s="10" t="str">
        <f t="shared" si="2"/>
        <v/>
      </c>
    </row>
    <row r="59" spans="2:154" x14ac:dyDescent="0.35">
      <c r="C59" s="211"/>
      <c r="E59" s="120"/>
      <c r="CK59" s="312"/>
      <c r="CM59" s="311"/>
      <c r="EX59" s="10" t="str">
        <f t="shared" si="2"/>
        <v/>
      </c>
    </row>
    <row r="60" spans="2:154" x14ac:dyDescent="0.35">
      <c r="C60" s="211"/>
      <c r="E60" s="120"/>
      <c r="CK60" s="312"/>
      <c r="CM60" s="311"/>
      <c r="EX60" s="10" t="str">
        <f t="shared" si="2"/>
        <v/>
      </c>
    </row>
    <row r="61" spans="2:154" x14ac:dyDescent="0.35">
      <c r="C61" s="211"/>
      <c r="E61" s="120"/>
      <c r="CK61" s="312"/>
      <c r="CM61" s="311"/>
      <c r="EX61" s="10" t="str">
        <f t="shared" si="2"/>
        <v/>
      </c>
    </row>
    <row r="62" spans="2:154" x14ac:dyDescent="0.35">
      <c r="C62" s="211"/>
      <c r="E62" s="120"/>
      <c r="CK62" s="312"/>
      <c r="CM62" s="311"/>
      <c r="EX62" s="10" t="str">
        <f t="shared" si="2"/>
        <v/>
      </c>
    </row>
    <row r="63" spans="2:154" x14ac:dyDescent="0.35">
      <c r="C63" s="211"/>
      <c r="E63" s="120"/>
      <c r="CK63" s="312"/>
      <c r="CM63" s="311"/>
      <c r="EX63" s="10" t="str">
        <f t="shared" si="2"/>
        <v/>
      </c>
    </row>
    <row r="64" spans="2:154" x14ac:dyDescent="0.35">
      <c r="C64" s="211"/>
      <c r="E64" s="120"/>
      <c r="CK64" s="312"/>
      <c r="CM64" s="311"/>
      <c r="EX64" s="10" t="str">
        <f t="shared" si="2"/>
        <v/>
      </c>
    </row>
    <row r="65" spans="2:154" x14ac:dyDescent="0.35">
      <c r="C65" s="211"/>
      <c r="CK65" s="312"/>
      <c r="CM65" s="311"/>
      <c r="EX65" s="10" t="str">
        <f t="shared" si="2"/>
        <v/>
      </c>
    </row>
    <row r="66" spans="2:154" x14ac:dyDescent="0.35">
      <c r="C66" s="211"/>
      <c r="CK66" s="312"/>
      <c r="CM66" s="311"/>
      <c r="EX66" s="10" t="str">
        <f t="shared" si="2"/>
        <v/>
      </c>
    </row>
    <row r="67" spans="2:154" x14ac:dyDescent="0.35">
      <c r="C67" s="211"/>
      <c r="CK67" s="312"/>
      <c r="CM67" s="311"/>
      <c r="EX67" s="10" t="str">
        <f t="shared" si="2"/>
        <v/>
      </c>
    </row>
    <row r="68" spans="2:154" x14ac:dyDescent="0.35">
      <c r="C68" s="211"/>
      <c r="CK68" s="312"/>
      <c r="CM68" s="311"/>
      <c r="EX68" s="10" t="str">
        <f t="shared" si="2"/>
        <v/>
      </c>
    </row>
    <row r="69" spans="2:154" ht="4.5" customHeight="1" x14ac:dyDescent="0.35">
      <c r="C69" s="211"/>
      <c r="E69" s="120"/>
      <c r="I69" s="5"/>
      <c r="CK69" s="311"/>
      <c r="CM69" s="311"/>
      <c r="EX69" s="10" t="str">
        <f t="shared" si="2"/>
        <v/>
      </c>
    </row>
    <row r="70" spans="2:154" x14ac:dyDescent="0.35">
      <c r="B70" s="5" t="s">
        <v>1856</v>
      </c>
      <c r="C70" s="211"/>
      <c r="E70" s="107"/>
      <c r="F70" s="107" t="s">
        <v>1851</v>
      </c>
      <c r="CK70" s="312"/>
      <c r="CM70" s="311"/>
      <c r="EX70" s="10" t="str">
        <f t="shared" si="2"/>
        <v/>
      </c>
    </row>
    <row r="71" spans="2:154" x14ac:dyDescent="0.35">
      <c r="B71" s="126" t="s">
        <v>122</v>
      </c>
      <c r="C71" s="211" t="str">
        <f>CONCATENATE("DB-",Ratios!C$20)</f>
        <v>DB-R-2a</v>
      </c>
      <c r="D71" s="5" t="str">
        <f>Ratios!D$20</f>
        <v>Adjusted unrestricted cash days in hand</v>
      </c>
      <c r="E71" s="644" t="str">
        <f>Ratios!H20</f>
        <v>&gt; 40</v>
      </c>
      <c r="F71" s="307"/>
      <c r="V71" s="240">
        <f>Ratios!V$20</f>
        <v>0</v>
      </c>
      <c r="W71" s="240">
        <f>Ratios!W$20</f>
        <v>0</v>
      </c>
      <c r="X71" s="240">
        <f>Ratios!X$20</f>
        <v>0</v>
      </c>
      <c r="Y71" s="240">
        <f>Ratios!Y$20</f>
        <v>0</v>
      </c>
      <c r="CK71" s="312"/>
      <c r="CM71" s="311"/>
      <c r="EX71" s="10" t="str">
        <f t="shared" si="2"/>
        <v>Adjusted unrestricted cash days in hand</v>
      </c>
    </row>
    <row r="72" spans="2:154" ht="58" x14ac:dyDescent="0.35">
      <c r="C72" s="211"/>
      <c r="D72" s="557" t="str">
        <f>Parameters!$D$104</f>
        <v>Cash and investments divided by annual operating costs and interest charges, then multiplied by 365 days.
Effectively a measure of how many days it would take to exhaust cash reserves if all income were to stop.</v>
      </c>
      <c r="E72"/>
      <c r="F72"/>
      <c r="CK72" s="312"/>
      <c r="CM72" s="311"/>
      <c r="EX72" s="10" t="str">
        <f t="shared" ref="EX72:EX103" si="3">IF($C72="","",$D72)</f>
        <v/>
      </c>
    </row>
    <row r="73" spans="2:154" x14ac:dyDescent="0.35">
      <c r="C73" s="211"/>
      <c r="CK73" s="312"/>
      <c r="CM73" s="311"/>
      <c r="EX73" s="10" t="str">
        <f t="shared" si="3"/>
        <v/>
      </c>
    </row>
    <row r="74" spans="2:154" x14ac:dyDescent="0.35">
      <c r="C74" s="211"/>
      <c r="CK74" s="312"/>
      <c r="CM74" s="311"/>
      <c r="EX74" s="10" t="str">
        <f t="shared" si="3"/>
        <v/>
      </c>
    </row>
    <row r="75" spans="2:154" x14ac:dyDescent="0.35">
      <c r="C75" s="211"/>
      <c r="E75" s="120"/>
      <c r="CK75" s="312"/>
      <c r="CM75" s="311"/>
      <c r="EX75" s="10" t="str">
        <f t="shared" si="3"/>
        <v/>
      </c>
    </row>
    <row r="76" spans="2:154" x14ac:dyDescent="0.35">
      <c r="C76" s="211"/>
      <c r="E76" s="120"/>
      <c r="CK76" s="312"/>
      <c r="CM76" s="311"/>
      <c r="EX76" s="10" t="str">
        <f t="shared" si="3"/>
        <v/>
      </c>
    </row>
    <row r="77" spans="2:154" x14ac:dyDescent="0.35">
      <c r="C77" s="211"/>
      <c r="E77" s="120"/>
      <c r="CK77" s="312"/>
      <c r="CM77" s="311"/>
      <c r="EX77" s="10" t="str">
        <f t="shared" si="3"/>
        <v/>
      </c>
    </row>
    <row r="78" spans="2:154" x14ac:dyDescent="0.35">
      <c r="C78" s="211"/>
      <c r="E78" s="120"/>
      <c r="CK78" s="312"/>
      <c r="CM78" s="311"/>
      <c r="EX78" s="10" t="str">
        <f t="shared" si="3"/>
        <v/>
      </c>
    </row>
    <row r="79" spans="2:154" x14ac:dyDescent="0.35">
      <c r="C79" s="211"/>
      <c r="CK79" s="312"/>
      <c r="CM79" s="311"/>
      <c r="EX79" s="10" t="str">
        <f t="shared" si="3"/>
        <v/>
      </c>
    </row>
    <row r="80" spans="2:154" x14ac:dyDescent="0.35">
      <c r="C80" s="211"/>
      <c r="E80" s="120"/>
      <c r="CK80" s="312"/>
      <c r="CM80" s="311"/>
      <c r="EX80" s="10" t="str">
        <f t="shared" si="3"/>
        <v/>
      </c>
    </row>
    <row r="81" spans="1:154" x14ac:dyDescent="0.35">
      <c r="C81" s="211"/>
      <c r="CK81" s="312"/>
      <c r="CM81" s="311"/>
      <c r="EX81" s="10" t="str">
        <f t="shared" si="3"/>
        <v/>
      </c>
    </row>
    <row r="82" spans="1:154" x14ac:dyDescent="0.35">
      <c r="C82" s="211"/>
      <c r="E82" s="107"/>
      <c r="F82" s="107" t="s">
        <v>1851</v>
      </c>
      <c r="CK82" s="312"/>
      <c r="CM82" s="311"/>
      <c r="EX82" s="10" t="str">
        <f t="shared" si="3"/>
        <v/>
      </c>
    </row>
    <row r="83" spans="1:154" x14ac:dyDescent="0.35">
      <c r="B83" s="85" t="s">
        <v>122</v>
      </c>
      <c r="C83" s="211" t="str">
        <f>CONCATENATE("DB-",Ratios!C$23)</f>
        <v>DB-R-2c</v>
      </c>
      <c r="D83" s="5" t="str">
        <f>Ratios!D$23</f>
        <v>Adjusted current ratio</v>
      </c>
      <c r="E83" s="644" t="str">
        <f>Ratios!H23</f>
        <v>&gt; 1.4</v>
      </c>
      <c r="F83" s="306"/>
      <c r="V83" s="240">
        <f>Ratios!V$23</f>
        <v>0</v>
      </c>
      <c r="W83" s="240">
        <f>Ratios!W$23</f>
        <v>0</v>
      </c>
      <c r="X83" s="240">
        <f>Ratios!X$23</f>
        <v>0</v>
      </c>
      <c r="Y83" s="240">
        <f>Ratios!Y$23</f>
        <v>0</v>
      </c>
      <c r="CK83" s="312"/>
      <c r="CM83" s="311"/>
      <c r="EX83" s="10" t="str">
        <f t="shared" si="3"/>
        <v>Adjusted current ratio</v>
      </c>
    </row>
    <row r="84" spans="1:154" ht="58" x14ac:dyDescent="0.35">
      <c r="C84" s="211"/>
      <c r="D84" s="557" t="str">
        <f>Parameters!$D$105</f>
        <v xml:space="preserve">Current assets (excluding restricted cash from disposal of fixed assets held for future reinvestment and assets held for resale) divided by current liabilities (excluding deferred capital grants and holiday pay accruals) </v>
      </c>
      <c r="E84" s="120"/>
      <c r="CK84" s="312"/>
      <c r="CM84" s="311"/>
      <c r="EX84" s="10" t="str">
        <f t="shared" si="3"/>
        <v/>
      </c>
    </row>
    <row r="85" spans="1:154" x14ac:dyDescent="0.35">
      <c r="C85" s="211"/>
      <c r="CK85" s="312"/>
      <c r="CM85" s="311"/>
      <c r="EX85" s="10" t="str">
        <f t="shared" si="3"/>
        <v/>
      </c>
    </row>
    <row r="86" spans="1:154" x14ac:dyDescent="0.35">
      <c r="C86" s="211"/>
      <c r="CK86" s="312"/>
      <c r="CM86" s="311"/>
      <c r="EX86" s="10" t="str">
        <f t="shared" si="3"/>
        <v/>
      </c>
    </row>
    <row r="87" spans="1:154" x14ac:dyDescent="0.35">
      <c r="C87" s="211"/>
      <c r="CK87" s="312"/>
      <c r="CM87" s="311"/>
      <c r="EX87" s="10" t="str">
        <f t="shared" si="3"/>
        <v/>
      </c>
    </row>
    <row r="88" spans="1:154" x14ac:dyDescent="0.35">
      <c r="C88" s="211"/>
      <c r="CK88" s="312"/>
      <c r="CM88" s="311"/>
      <c r="EX88" s="10" t="str">
        <f t="shared" si="3"/>
        <v/>
      </c>
    </row>
    <row r="89" spans="1:154" x14ac:dyDescent="0.35">
      <c r="C89" s="211"/>
      <c r="CK89" s="312"/>
      <c r="CM89" s="311"/>
      <c r="EX89" s="10" t="str">
        <f t="shared" si="3"/>
        <v/>
      </c>
    </row>
    <row r="90" spans="1:154" x14ac:dyDescent="0.35">
      <c r="C90" s="211"/>
      <c r="CK90" s="312"/>
      <c r="CM90" s="311"/>
      <c r="EX90" s="10" t="str">
        <f t="shared" si="3"/>
        <v/>
      </c>
    </row>
    <row r="91" spans="1:154" x14ac:dyDescent="0.35">
      <c r="CK91" s="312"/>
      <c r="CM91" s="311"/>
      <c r="EX91" s="10" t="str">
        <f t="shared" si="3"/>
        <v/>
      </c>
    </row>
    <row r="92" spans="1:154" x14ac:dyDescent="0.35">
      <c r="CK92" s="312"/>
      <c r="CM92" s="311"/>
      <c r="EX92" s="10" t="str">
        <f t="shared" si="3"/>
        <v/>
      </c>
    </row>
    <row r="93" spans="1:154" x14ac:dyDescent="0.35">
      <c r="CK93" s="312"/>
      <c r="CM93" s="311"/>
      <c r="EX93" s="10" t="str">
        <f t="shared" si="3"/>
        <v/>
      </c>
    </row>
    <row r="94" spans="1:154" x14ac:dyDescent="0.35">
      <c r="CK94" s="312"/>
      <c r="CM94" s="311"/>
      <c r="EX94" s="10" t="str">
        <f t="shared" si="3"/>
        <v/>
      </c>
    </row>
    <row r="95" spans="1:154" x14ac:dyDescent="0.35">
      <c r="A95" s="34"/>
      <c r="B95" s="34"/>
      <c r="C95" s="34"/>
      <c r="D95" s="34" t="s">
        <v>1857</v>
      </c>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12"/>
      <c r="CM95" s="311"/>
      <c r="EX95" s="10" t="str">
        <f t="shared" si="3"/>
        <v/>
      </c>
    </row>
    <row r="96" spans="1:154" x14ac:dyDescent="0.35">
      <c r="B96" s="5" t="s">
        <v>1858</v>
      </c>
      <c r="E96" s="120"/>
      <c r="CK96" s="312"/>
      <c r="CM96" s="311"/>
      <c r="EX96" s="10" t="str">
        <f t="shared" si="3"/>
        <v/>
      </c>
    </row>
    <row r="97" spans="2:154" x14ac:dyDescent="0.35">
      <c r="C97" s="211" t="str">
        <f>CONCATENATE("DB-",'Fin Stat'!C$24)</f>
        <v>DB-FS-IE-1</v>
      </c>
      <c r="D97" t="s">
        <v>1859</v>
      </c>
      <c r="E97" s="120"/>
      <c r="V97" s="10">
        <f>'Fin Stat'!V$24</f>
        <v>0</v>
      </c>
      <c r="W97" s="10">
        <f>'Fin Stat'!W$24</f>
        <v>0</v>
      </c>
      <c r="X97" s="10">
        <f>'Fin Stat'!X$24</f>
        <v>0</v>
      </c>
      <c r="Y97" s="10">
        <f>'Fin Stat'!Y$24</f>
        <v>0</v>
      </c>
      <c r="CK97" s="312"/>
      <c r="CM97" s="311"/>
      <c r="EX97" s="10" t="str">
        <f t="shared" si="3"/>
        <v>Total income</v>
      </c>
    </row>
    <row r="98" spans="2:154" x14ac:dyDescent="0.35">
      <c r="C98" s="211" t="str">
        <f>CONCATENATE("DB-",'Fin Stat'!C$30)</f>
        <v>DB-FS-IE-2</v>
      </c>
      <c r="D98" t="s">
        <v>1860</v>
      </c>
      <c r="E98" s="120"/>
      <c r="V98" s="10">
        <f>'Fin Stat'!V$30</f>
        <v>0</v>
      </c>
      <c r="W98" s="10">
        <f>'Fin Stat'!W$30</f>
        <v>0</v>
      </c>
      <c r="X98" s="10">
        <f>'Fin Stat'!X$30</f>
        <v>0</v>
      </c>
      <c r="Y98" s="10">
        <f>'Fin Stat'!Y$30</f>
        <v>0</v>
      </c>
      <c r="CK98" s="312"/>
      <c r="CM98" s="311"/>
      <c r="EX98" s="10" t="str">
        <f t="shared" si="3"/>
        <v>Total expenditure</v>
      </c>
    </row>
    <row r="99" spans="2:154" x14ac:dyDescent="0.35">
      <c r="C99" s="211"/>
      <c r="D99" t="s">
        <v>1861</v>
      </c>
      <c r="E99" s="120"/>
      <c r="V99" s="10">
        <f>SUM(V97:V98)</f>
        <v>0</v>
      </c>
      <c r="W99" s="10">
        <f>SUM(W97:W98)</f>
        <v>0</v>
      </c>
      <c r="X99" s="10">
        <f>SUM(X97:X98)</f>
        <v>0</v>
      </c>
      <c r="Y99" s="10">
        <f>SUM(Y97:Y98)</f>
        <v>0</v>
      </c>
      <c r="CK99" s="312"/>
      <c r="CM99" s="311"/>
      <c r="EX99" s="10" t="str">
        <f t="shared" si="3"/>
        <v/>
      </c>
    </row>
    <row r="100" spans="2:154" ht="3" customHeight="1" x14ac:dyDescent="0.35">
      <c r="C100" s="211"/>
      <c r="CK100" s="312"/>
      <c r="CM100" s="311"/>
      <c r="EX100" s="10" t="str">
        <f t="shared" si="3"/>
        <v/>
      </c>
    </row>
    <row r="101" spans="2:154" x14ac:dyDescent="0.35">
      <c r="C101" s="213" t="str">
        <f>CONCATENATE("DB-",'Fin Stat'!C$34)</f>
        <v>DB-FS-IE-4a</v>
      </c>
      <c r="D101" t="s">
        <v>1862</v>
      </c>
      <c r="V101" s="10">
        <f>'Fin Stat'!V$34*V$9</f>
        <v>0</v>
      </c>
      <c r="W101" s="10">
        <f>'Fin Stat'!W$34*W$9</f>
        <v>0</v>
      </c>
      <c r="X101" s="10">
        <f>'Fin Stat'!X$34*X$9</f>
        <v>0</v>
      </c>
      <c r="Y101" s="10">
        <f>'Fin Stat'!Y$34*Y$9</f>
        <v>0</v>
      </c>
      <c r="CK101" s="312"/>
      <c r="CM101" s="311"/>
      <c r="EX101" s="10" t="str">
        <f t="shared" si="3"/>
        <v>Release of capital grants</v>
      </c>
    </row>
    <row r="102" spans="2:154" x14ac:dyDescent="0.35">
      <c r="C102" s="213" t="str">
        <f>CONCATENATE("DB-",'Fin Stat'!C$22)</f>
        <v>DB-FS-IE-1i</v>
      </c>
      <c r="D102" t="s">
        <v>1863</v>
      </c>
      <c r="V102" s="10">
        <f>'Fin Stat'!V$22*V$9</f>
        <v>0</v>
      </c>
      <c r="W102" s="10">
        <f>'Fin Stat'!W$22*W$9</f>
        <v>0</v>
      </c>
      <c r="X102" s="10">
        <f>'Fin Stat'!X$22*X$9</f>
        <v>0</v>
      </c>
      <c r="Y102" s="10">
        <f>'Fin Stat'!Y$22*Y$9</f>
        <v>0</v>
      </c>
      <c r="CK102" s="312"/>
      <c r="CM102" s="311"/>
      <c r="EX102" s="10" t="str">
        <f t="shared" si="3"/>
        <v>Emergency Funding &amp; RF</v>
      </c>
    </row>
    <row r="103" spans="2:154" x14ac:dyDescent="0.35">
      <c r="C103" s="213" t="str">
        <f>CONCATENATE("DB-",'Fin Stat'!C$36)</f>
        <v>DB-FS-IE-4</v>
      </c>
      <c r="D103" t="s">
        <v>1864</v>
      </c>
      <c r="V103" s="10">
        <f>'Fin Stat'!V$36</f>
        <v>0</v>
      </c>
      <c r="W103" s="10">
        <f>'Fin Stat'!W$36</f>
        <v>0</v>
      </c>
      <c r="X103" s="10">
        <f>'Fin Stat'!X$36</f>
        <v>0</v>
      </c>
      <c r="Y103" s="10">
        <f>'Fin Stat'!Y$36</f>
        <v>0</v>
      </c>
      <c r="CK103" s="312"/>
      <c r="CM103" s="311"/>
      <c r="EX103" s="10" t="str">
        <f t="shared" si="3"/>
        <v>Surplus/deficit before ITDA</v>
      </c>
    </row>
    <row r="104" spans="2:154" ht="3" customHeight="1" x14ac:dyDescent="0.35">
      <c r="C104" s="213"/>
      <c r="CK104" s="312"/>
      <c r="CM104" s="311"/>
      <c r="EX104" s="10" t="str">
        <f t="shared" ref="EX104:EX135" si="4">IF($C104="","",$D104)</f>
        <v/>
      </c>
    </row>
    <row r="105" spans="2:154" x14ac:dyDescent="0.35">
      <c r="C105" s="213" t="str">
        <f>CONCATENATE("DB-",'Fin Stat'!C$45)</f>
        <v>DB-FS-IE-5a</v>
      </c>
      <c r="D105" t="s">
        <v>1865</v>
      </c>
      <c r="V105" s="10">
        <f>'Fin Stat'!V$45</f>
        <v>0</v>
      </c>
      <c r="W105" s="10">
        <f>'Fin Stat'!W$45</f>
        <v>0</v>
      </c>
      <c r="X105" s="10">
        <f>'Fin Stat'!X$45</f>
        <v>0</v>
      </c>
      <c r="Y105" s="10">
        <f>'Fin Stat'!Y$45</f>
        <v>0</v>
      </c>
      <c r="CK105" s="312"/>
      <c r="CM105" s="311"/>
      <c r="EX105" s="10" t="str">
        <f t="shared" si="4"/>
        <v>Total ITDA</v>
      </c>
    </row>
    <row r="106" spans="2:154" x14ac:dyDescent="0.35">
      <c r="C106" s="213" t="str">
        <f>CONCATENATE("DB-",'Fin Stat'!C$47)</f>
        <v>DB-FS-IE-5</v>
      </c>
      <c r="D106" t="s">
        <v>1866</v>
      </c>
      <c r="V106" s="10">
        <f>'Fin Stat'!V$47</f>
        <v>0</v>
      </c>
      <c r="W106" s="10">
        <f>'Fin Stat'!W$47</f>
        <v>0</v>
      </c>
      <c r="X106" s="10">
        <f>'Fin Stat'!X$47</f>
        <v>0</v>
      </c>
      <c r="Y106" s="10">
        <f>'Fin Stat'!Y$47</f>
        <v>0</v>
      </c>
      <c r="CK106" s="312"/>
      <c r="CM106" s="311"/>
      <c r="EX106" s="10" t="str">
        <f t="shared" si="4"/>
        <v>Surplus/(deficit) after ITDA</v>
      </c>
    </row>
    <row r="107" spans="2:154" ht="3" customHeight="1" x14ac:dyDescent="0.35">
      <c r="C107" s="213"/>
      <c r="CK107" s="312"/>
      <c r="CM107" s="311"/>
      <c r="EX107" s="10" t="str">
        <f t="shared" si="4"/>
        <v/>
      </c>
    </row>
    <row r="108" spans="2:154" x14ac:dyDescent="0.35">
      <c r="B108" s="5" t="s">
        <v>1867</v>
      </c>
      <c r="C108" s="213"/>
      <c r="D108" s="558" t="str" cm="1">
        <f t="array" aca="1" ref="D108" ca="1">HYPERLINK(CONCATENATE("#",CELL("address",'Cash Flow Summary'!$I$9)),CONCATENATE('Cash Flow Summary'!$B$1, " Graphs"))</f>
        <v>Cash Flow Summary Graphs</v>
      </c>
      <c r="CK108" s="312"/>
      <c r="CM108" s="311"/>
      <c r="EX108" s="10" t="str">
        <f t="shared" si="4"/>
        <v/>
      </c>
    </row>
    <row r="109" spans="2:154" x14ac:dyDescent="0.35">
      <c r="C109" s="213" t="str">
        <f>CONCATENATE("DB-",'Fin Stat'!C$148)</f>
        <v>DB-FS-IE-5</v>
      </c>
      <c r="D109" t="s">
        <v>1868</v>
      </c>
      <c r="V109" s="10">
        <f>'Fin Stat'!V$148</f>
        <v>0</v>
      </c>
      <c r="W109" s="10">
        <f>'Fin Stat'!W$148</f>
        <v>0</v>
      </c>
      <c r="X109" s="10">
        <f>'Fin Stat'!X$148</f>
        <v>0</v>
      </c>
      <c r="Y109" s="10">
        <f>'Fin Stat'!Y$148</f>
        <v>0</v>
      </c>
      <c r="CK109" s="312"/>
      <c r="CM109" s="311"/>
      <c r="EX109" s="10" t="str">
        <f t="shared" si="4"/>
        <v>Operating surplus/deficit</v>
      </c>
    </row>
    <row r="110" spans="2:154" ht="3" customHeight="1" x14ac:dyDescent="0.35">
      <c r="C110" s="213"/>
      <c r="CK110" s="312"/>
      <c r="CM110" s="311"/>
      <c r="EX110" s="10" t="str">
        <f t="shared" si="4"/>
        <v/>
      </c>
    </row>
    <row r="111" spans="2:154" x14ac:dyDescent="0.35">
      <c r="C111" s="213" t="str">
        <f>CONCATENATE("DB-",'Fin Stat'!C$195)</f>
        <v>DB-IC-2</v>
      </c>
      <c r="D111" t="s">
        <v>1869</v>
      </c>
      <c r="V111" s="10">
        <f>'Fin Stat'!V$195</f>
        <v>0</v>
      </c>
      <c r="W111" s="10">
        <f>'Fin Stat'!W$195</f>
        <v>0</v>
      </c>
      <c r="X111" s="10">
        <f>'Fin Stat'!X$195</f>
        <v>0</v>
      </c>
      <c r="Y111" s="10">
        <f>'Fin Stat'!Y$195</f>
        <v>0</v>
      </c>
      <c r="CK111" s="312"/>
      <c r="CM111" s="311"/>
      <c r="EX111" s="10" t="str">
        <f t="shared" si="4"/>
        <v>Net investment receipts and payments</v>
      </c>
    </row>
    <row r="112" spans="2:154" x14ac:dyDescent="0.35">
      <c r="C112" s="213" t="s">
        <v>1870</v>
      </c>
      <c r="D112" t="s">
        <v>1871</v>
      </c>
      <c r="V112" s="10">
        <f>'Fin Stat'!V180+'Fin Stat'!V195</f>
        <v>0</v>
      </c>
      <c r="W112" s="10">
        <f>'Fin Stat'!W180+'Fin Stat'!W195</f>
        <v>0</v>
      </c>
      <c r="X112" s="10">
        <f>'Fin Stat'!X180+'Fin Stat'!X195</f>
        <v>0</v>
      </c>
      <c r="Y112" s="10">
        <f>'Fin Stat'!Y180+'Fin Stat'!Y195</f>
        <v>0</v>
      </c>
      <c r="CK112" s="312"/>
      <c r="CM112" s="311"/>
      <c r="EX112" s="10" t="str">
        <f t="shared" si="4"/>
        <v>CFADS</v>
      </c>
    </row>
    <row r="113" spans="1:154" ht="3" customHeight="1" x14ac:dyDescent="0.35">
      <c r="C113" s="213"/>
      <c r="CK113" s="312"/>
      <c r="CM113" s="311"/>
      <c r="EX113" s="10" t="str">
        <f t="shared" si="4"/>
        <v/>
      </c>
    </row>
    <row r="114" spans="1:154" x14ac:dyDescent="0.35">
      <c r="C114" s="213" t="str">
        <f>CONCATENATE("DB-",'Fin Stat'!C$206)</f>
        <v>DB-IC-3</v>
      </c>
      <c r="D114" t="s">
        <v>1872</v>
      </c>
      <c r="V114" s="10">
        <f>'Fin Stat'!V$206</f>
        <v>0</v>
      </c>
      <c r="W114" s="10">
        <f>'Fin Stat'!W$206</f>
        <v>0</v>
      </c>
      <c r="X114" s="10">
        <f>'Fin Stat'!X$206</f>
        <v>0</v>
      </c>
      <c r="Y114" s="10">
        <f>'Fin Stat'!Y$206</f>
        <v>0</v>
      </c>
      <c r="CK114" s="312"/>
      <c r="CM114" s="311"/>
      <c r="EX114" s="10" t="str">
        <f t="shared" si="4"/>
        <v>Net financing receipts and payments</v>
      </c>
    </row>
    <row r="115" spans="1:154" x14ac:dyDescent="0.35">
      <c r="C115" s="213" t="str">
        <f>CONCATENATE("DB-",'Fin Stat'!C$208)</f>
        <v>DB-IC-4</v>
      </c>
      <c r="D115" t="s">
        <v>1873</v>
      </c>
      <c r="V115" s="10">
        <f>'Fin Stat'!V$208</f>
        <v>0</v>
      </c>
      <c r="W115" s="10">
        <f>'Fin Stat'!W$208</f>
        <v>0</v>
      </c>
      <c r="X115" s="10">
        <f>'Fin Stat'!X$208</f>
        <v>0</v>
      </c>
      <c r="Y115" s="10">
        <f>'Fin Stat'!Y$208</f>
        <v>0</v>
      </c>
      <c r="CK115" s="312"/>
      <c r="CM115" s="311"/>
      <c r="EX115" s="10" t="str">
        <f t="shared" si="4"/>
        <v>Total cash movement</v>
      </c>
    </row>
    <row r="116" spans="1:154" ht="3" customHeight="1" x14ac:dyDescent="0.35">
      <c r="C116" s="213"/>
      <c r="CK116" s="312"/>
      <c r="CM116" s="311"/>
      <c r="EX116" s="10" t="str">
        <f t="shared" si="4"/>
        <v/>
      </c>
    </row>
    <row r="117" spans="1:154" x14ac:dyDescent="0.35">
      <c r="C117" s="213" t="str">
        <f>CONCATENATE("DB-",'Fin Stat'!C$211)</f>
        <v>DB-IC-5a</v>
      </c>
      <c r="D117" t="s">
        <v>1874</v>
      </c>
      <c r="V117" s="10">
        <f>'Fin Stat'!V$211</f>
        <v>0</v>
      </c>
      <c r="W117" s="10">
        <f>'Fin Stat'!W$211</f>
        <v>0</v>
      </c>
      <c r="X117" s="10">
        <f>'Fin Stat'!X$211</f>
        <v>0</v>
      </c>
      <c r="Y117" s="10">
        <f>'Fin Stat'!Y$211</f>
        <v>0</v>
      </c>
      <c r="CK117" s="312"/>
      <c r="CM117" s="311"/>
      <c r="EX117" s="10" t="str">
        <f t="shared" si="4"/>
        <v>Opening unrestricted cash</v>
      </c>
    </row>
    <row r="118" spans="1:154" x14ac:dyDescent="0.35">
      <c r="C118" s="213" t="str">
        <f>CONCATENATE("DB-",'Fin Stat'!C$191)</f>
        <v>DB-IC-2d</v>
      </c>
      <c r="D118" t="s">
        <v>1875</v>
      </c>
      <c r="V118" s="10">
        <f>'Fin Stat'!V$191*V$9</f>
        <v>0</v>
      </c>
      <c r="W118" s="10">
        <f>'Fin Stat'!W$191*W$9</f>
        <v>0</v>
      </c>
      <c r="X118" s="10">
        <f>'Fin Stat'!X$191*X$9</f>
        <v>0</v>
      </c>
      <c r="Y118" s="10">
        <f>'Fin Stat'!Y$191*Y$9</f>
        <v>0</v>
      </c>
      <c r="CK118" s="312"/>
      <c r="CM118" s="311"/>
      <c r="EX118" s="10" t="str">
        <f t="shared" si="4"/>
        <v>Movement in restricted cash</v>
      </c>
    </row>
    <row r="119" spans="1:154" x14ac:dyDescent="0.35">
      <c r="C119" s="211" t="str">
        <f>CONCATENATE("DB-",'Fin Stat'!C$212)</f>
        <v>DB-IC-5</v>
      </c>
      <c r="D119" t="s">
        <v>1876</v>
      </c>
      <c r="V119" s="10">
        <f>'Fin Stat'!V$212</f>
        <v>0</v>
      </c>
      <c r="W119" s="10">
        <f>'Fin Stat'!W$212</f>
        <v>0</v>
      </c>
      <c r="X119" s="10">
        <f>'Fin Stat'!X$212</f>
        <v>0</v>
      </c>
      <c r="Y119" s="10">
        <f>'Fin Stat'!Y$212</f>
        <v>0</v>
      </c>
      <c r="CK119" s="312"/>
      <c r="CM119" s="311"/>
      <c r="EX119" s="10" t="str">
        <f t="shared" si="4"/>
        <v>Closing unrestricted cash</v>
      </c>
    </row>
    <row r="120" spans="1:154" ht="3" customHeight="1" x14ac:dyDescent="0.35">
      <c r="C120" s="211"/>
      <c r="CK120" s="312"/>
      <c r="CM120" s="311"/>
      <c r="EX120" s="10" t="str">
        <f t="shared" si="4"/>
        <v/>
      </c>
    </row>
    <row r="121" spans="1:154" x14ac:dyDescent="0.35">
      <c r="B121" s="5" t="s">
        <v>1877</v>
      </c>
      <c r="C121" s="211"/>
      <c r="CK121" s="312"/>
      <c r="CM121" s="311"/>
      <c r="EX121" s="10" t="str">
        <f t="shared" si="4"/>
        <v/>
      </c>
    </row>
    <row r="122" spans="1:154" x14ac:dyDescent="0.35">
      <c r="C122" s="211" t="s">
        <v>1878</v>
      </c>
      <c r="D122" t="s">
        <v>1879</v>
      </c>
      <c r="V122" s="10">
        <f>'Fin Stat'!V$112</f>
        <v>0</v>
      </c>
      <c r="W122" s="10">
        <f>'Fin Stat'!W$112</f>
        <v>0</v>
      </c>
      <c r="X122" s="10">
        <f>'Fin Stat'!X$112</f>
        <v>0</v>
      </c>
      <c r="Y122" s="10">
        <f>'Fin Stat'!Y$112</f>
        <v>0</v>
      </c>
      <c r="CK122" s="312"/>
      <c r="CM122" s="311"/>
      <c r="EX122" s="10" t="str">
        <f t="shared" si="4"/>
        <v>Net current assets</v>
      </c>
    </row>
    <row r="123" spans="1:154" x14ac:dyDescent="0.35">
      <c r="C123" s="211" t="str">
        <f>CONCATENATE("DB-",'Fin Stat'!C$74)</f>
        <v>DB-FS-B-1-CB</v>
      </c>
      <c r="D123" t="s">
        <v>1880</v>
      </c>
      <c r="V123" s="10">
        <f>'Fin Stat'!V$74</f>
        <v>0</v>
      </c>
      <c r="W123" s="10">
        <f>'Fin Stat'!W$74</f>
        <v>0</v>
      </c>
      <c r="X123" s="10">
        <f>'Fin Stat'!X$74</f>
        <v>0</v>
      </c>
      <c r="Y123" s="10">
        <f>'Fin Stat'!Y$74</f>
        <v>0</v>
      </c>
      <c r="CK123" s="312"/>
      <c r="CM123" s="311"/>
      <c r="EX123" s="10" t="str">
        <f t="shared" si="4"/>
        <v>Non current assets</v>
      </c>
    </row>
    <row r="124" spans="1:154" x14ac:dyDescent="0.35">
      <c r="C124" s="211" t="s">
        <v>1881</v>
      </c>
      <c r="D124" t="s">
        <v>1882</v>
      </c>
      <c r="V124" s="10">
        <f>SUM('Fin Stat'!V$124,'Fin Stat'!V$131)</f>
        <v>0</v>
      </c>
      <c r="W124" s="10">
        <f>SUM('Fin Stat'!W$124,'Fin Stat'!W$131)</f>
        <v>0</v>
      </c>
      <c r="X124" s="10">
        <f>SUM('Fin Stat'!X$124,'Fin Stat'!X$131)</f>
        <v>0</v>
      </c>
      <c r="Y124" s="10">
        <f>SUM('Fin Stat'!Y$124,'Fin Stat'!Y$131)</f>
        <v>0</v>
      </c>
      <c r="CK124" s="312"/>
      <c r="CM124" s="311"/>
      <c r="EX124" s="10" t="str">
        <f t="shared" si="4"/>
        <v>Non current liabilities and provisions</v>
      </c>
    </row>
    <row r="125" spans="1:154" x14ac:dyDescent="0.35">
      <c r="C125" s="211" t="str">
        <f>CONCATENATE("DB-",'Fin Stat'!C$74)</f>
        <v>DB-FS-B-1-CB</v>
      </c>
      <c r="D125" t="s">
        <v>1883</v>
      </c>
      <c r="V125" s="10">
        <f>'Fin Stat'!V$137</f>
        <v>0</v>
      </c>
      <c r="W125" s="10">
        <f>'Fin Stat'!W$137</f>
        <v>0</v>
      </c>
      <c r="X125" s="10">
        <f>'Fin Stat'!X$137</f>
        <v>0</v>
      </c>
      <c r="Y125" s="10">
        <f>'Fin Stat'!Y$137</f>
        <v>0</v>
      </c>
      <c r="CK125" s="312"/>
      <c r="CM125" s="311"/>
      <c r="EX125" s="10" t="str">
        <f t="shared" si="4"/>
        <v>Total net assets</v>
      </c>
    </row>
    <row r="126" spans="1:154" ht="8.25" customHeight="1" x14ac:dyDescent="0.35">
      <c r="C126" s="211"/>
      <c r="CK126" s="312"/>
      <c r="CM126" s="311"/>
      <c r="EX126" s="10" t="str">
        <f t="shared" si="4"/>
        <v/>
      </c>
    </row>
    <row r="127" spans="1:154" x14ac:dyDescent="0.35">
      <c r="A127" s="34"/>
      <c r="B127" s="34"/>
      <c r="C127" s="34"/>
      <c r="D127" s="34" t="s">
        <v>1884</v>
      </c>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12"/>
      <c r="CM127" s="311"/>
      <c r="EX127" s="10" t="str">
        <f t="shared" si="4"/>
        <v/>
      </c>
    </row>
    <row r="128" spans="1:154" x14ac:dyDescent="0.35">
      <c r="CK128" s="312"/>
      <c r="CM128" s="311"/>
      <c r="EX128" s="10" t="str">
        <f t="shared" si="4"/>
        <v/>
      </c>
    </row>
    <row r="129" spans="2:154" x14ac:dyDescent="0.35">
      <c r="B129" s="5" t="s">
        <v>1885</v>
      </c>
      <c r="C129" s="211"/>
      <c r="E129" s="120"/>
      <c r="CK129" s="312"/>
      <c r="CM129" s="311"/>
      <c r="EX129" s="10" t="str">
        <f t="shared" si="4"/>
        <v/>
      </c>
    </row>
    <row r="130" spans="2:154" x14ac:dyDescent="0.35">
      <c r="C130" s="211" t="s">
        <v>1886</v>
      </c>
      <c r="D130" t="str">
        <f>Loans!D$1093</f>
        <v>Overdrafts</v>
      </c>
      <c r="E130" s="120"/>
      <c r="V130" s="10">
        <f>Loans!V$1093*V$9</f>
        <v>0</v>
      </c>
      <c r="W130" s="10">
        <f>Loans!W$1093*W$9</f>
        <v>0</v>
      </c>
      <c r="X130" s="10">
        <f>Loans!X$1093*X$9</f>
        <v>0</v>
      </c>
      <c r="Y130" s="10">
        <f>Loans!Y$1093*Y$9</f>
        <v>0</v>
      </c>
      <c r="CK130" s="312"/>
      <c r="CM130" s="311"/>
      <c r="EX130" s="10" t="str">
        <f t="shared" si="4"/>
        <v>Overdrafts</v>
      </c>
    </row>
    <row r="131" spans="2:154" x14ac:dyDescent="0.35">
      <c r="C131" s="211" t="s">
        <v>1886</v>
      </c>
      <c r="D131" t="str">
        <f>Loans!D$1094</f>
        <v>Loans (DfE/ESFA)</v>
      </c>
      <c r="E131" s="120"/>
      <c r="V131" s="10">
        <f>Loans!V$1094*V$9</f>
        <v>0</v>
      </c>
      <c r="W131" s="10">
        <f>Loans!W$1094*W$9</f>
        <v>0</v>
      </c>
      <c r="X131" s="10">
        <f>Loans!X$1094*X$9</f>
        <v>0</v>
      </c>
      <c r="Y131" s="10">
        <f>Loans!Y$1094*Y$9</f>
        <v>0</v>
      </c>
      <c r="CK131" s="312"/>
      <c r="CM131" s="311"/>
      <c r="EX131" s="10" t="str">
        <f t="shared" si="4"/>
        <v>Loans (DfE/ESFA)</v>
      </c>
    </row>
    <row r="132" spans="2:154" x14ac:dyDescent="0.35">
      <c r="C132" s="211" t="s">
        <v>1886</v>
      </c>
      <c r="D132" t="str">
        <f>Loans!D$1095</f>
        <v>Commercial</v>
      </c>
      <c r="E132" s="120"/>
      <c r="V132" s="10">
        <f>Loans!V$1095*V$9</f>
        <v>0</v>
      </c>
      <c r="W132" s="10">
        <f>Loans!W$1095*W$9</f>
        <v>0</v>
      </c>
      <c r="X132" s="10">
        <f>Loans!X$1095*X$9</f>
        <v>0</v>
      </c>
      <c r="Y132" s="10">
        <f>Loans!Y$1095*Y$9</f>
        <v>0</v>
      </c>
      <c r="CK132" s="312"/>
      <c r="CM132" s="311"/>
      <c r="EX132" s="10" t="str">
        <f t="shared" si="4"/>
        <v>Commercial</v>
      </c>
    </row>
    <row r="133" spans="2:154" x14ac:dyDescent="0.35">
      <c r="CK133" s="312"/>
      <c r="CM133" s="311"/>
      <c r="EX133" s="10" t="str">
        <f t="shared" si="4"/>
        <v/>
      </c>
    </row>
    <row r="134" spans="2:154" x14ac:dyDescent="0.35">
      <c r="E134" s="120"/>
      <c r="CK134" s="312"/>
      <c r="CM134" s="311"/>
      <c r="EX134" s="10" t="str">
        <f t="shared" si="4"/>
        <v/>
      </c>
    </row>
    <row r="135" spans="2:154" x14ac:dyDescent="0.35">
      <c r="E135" s="120"/>
      <c r="CK135" s="312"/>
      <c r="CM135" s="311"/>
      <c r="EX135" s="10" t="str">
        <f t="shared" si="4"/>
        <v/>
      </c>
    </row>
    <row r="136" spans="2:154" x14ac:dyDescent="0.35">
      <c r="E136" s="120"/>
      <c r="CK136" s="312"/>
      <c r="CM136" s="311"/>
      <c r="EX136" s="10" t="str">
        <f t="shared" ref="EX136:EX147" si="5">IF($C136="","",$D136)</f>
        <v/>
      </c>
    </row>
    <row r="137" spans="2:154" x14ac:dyDescent="0.35">
      <c r="E137" s="120"/>
      <c r="CK137" s="312"/>
      <c r="CM137" s="311"/>
      <c r="EX137" s="10" t="str">
        <f t="shared" si="5"/>
        <v/>
      </c>
    </row>
    <row r="138" spans="2:154" x14ac:dyDescent="0.35">
      <c r="E138" s="120"/>
      <c r="CK138" s="312"/>
      <c r="CM138" s="311"/>
      <c r="EX138" s="10" t="str">
        <f t="shared" si="5"/>
        <v/>
      </c>
    </row>
    <row r="139" spans="2:154" x14ac:dyDescent="0.35">
      <c r="E139" s="120"/>
      <c r="CK139" s="312"/>
      <c r="CM139" s="311"/>
      <c r="EX139" s="10" t="str">
        <f t="shared" si="5"/>
        <v/>
      </c>
    </row>
    <row r="140" spans="2:154" x14ac:dyDescent="0.35">
      <c r="E140" s="120"/>
      <c r="CK140" s="312"/>
      <c r="CM140" s="311"/>
      <c r="EX140" s="10" t="str">
        <f t="shared" si="5"/>
        <v/>
      </c>
    </row>
    <row r="141" spans="2:154" x14ac:dyDescent="0.35">
      <c r="E141" s="120"/>
      <c r="CK141" s="312"/>
      <c r="CM141" s="311"/>
      <c r="EX141" s="10" t="str">
        <f t="shared" si="5"/>
        <v/>
      </c>
    </row>
    <row r="142" spans="2:154" x14ac:dyDescent="0.35">
      <c r="E142" s="120"/>
      <c r="CK142" s="312"/>
      <c r="CM142" s="311"/>
      <c r="EX142" s="10" t="str">
        <f t="shared" si="5"/>
        <v/>
      </c>
    </row>
    <row r="143" spans="2:154" x14ac:dyDescent="0.35">
      <c r="E143" s="120"/>
      <c r="CK143" s="312"/>
      <c r="CM143" s="311"/>
      <c r="EX143" s="10" t="str">
        <f t="shared" si="5"/>
        <v/>
      </c>
    </row>
    <row r="144" spans="2:154" x14ac:dyDescent="0.35">
      <c r="E144" s="120"/>
      <c r="CK144" s="312"/>
      <c r="CM144" s="311"/>
      <c r="EX144" s="10" t="str">
        <f t="shared" si="5"/>
        <v/>
      </c>
    </row>
    <row r="145" spans="1:154" x14ac:dyDescent="0.35">
      <c r="E145" s="120"/>
      <c r="CK145" s="312"/>
      <c r="CM145" s="311"/>
      <c r="EX145" s="10" t="str">
        <f t="shared" si="5"/>
        <v/>
      </c>
    </row>
    <row r="146" spans="1:154" x14ac:dyDescent="0.35">
      <c r="CK146" s="312"/>
      <c r="CM146" s="311"/>
      <c r="EX146" s="10" t="str">
        <f t="shared" si="5"/>
        <v/>
      </c>
    </row>
    <row r="147" spans="1:154" x14ac:dyDescent="0.35">
      <c r="A147" s="312" t="s">
        <v>16</v>
      </c>
      <c r="B147" s="312" t="s">
        <v>16</v>
      </c>
      <c r="C147" s="312" t="s">
        <v>16</v>
      </c>
      <c r="D147" s="312" t="s">
        <v>16</v>
      </c>
      <c r="E147" s="559" t="s">
        <v>16</v>
      </c>
      <c r="F147" s="560" t="s">
        <v>16</v>
      </c>
      <c r="G147" s="312" t="s">
        <v>16</v>
      </c>
      <c r="H147" s="312" t="s">
        <v>16</v>
      </c>
      <c r="I147" s="312" t="s">
        <v>16</v>
      </c>
      <c r="J147" s="312" t="s">
        <v>16</v>
      </c>
      <c r="K147" s="312" t="s">
        <v>16</v>
      </c>
      <c r="L147" s="312" t="s">
        <v>16</v>
      </c>
      <c r="M147" s="312" t="s">
        <v>16</v>
      </c>
      <c r="N147" s="312" t="s">
        <v>16</v>
      </c>
      <c r="O147" s="312" t="s">
        <v>16</v>
      </c>
      <c r="P147" s="312" t="s">
        <v>16</v>
      </c>
      <c r="Q147" s="312" t="s">
        <v>16</v>
      </c>
      <c r="R147" s="312" t="s">
        <v>16</v>
      </c>
      <c r="S147" s="312"/>
      <c r="T147" s="312"/>
      <c r="U147" s="312"/>
      <c r="V147" s="312" t="s">
        <v>16</v>
      </c>
      <c r="W147" s="312" t="s">
        <v>16</v>
      </c>
      <c r="X147" s="312"/>
      <c r="Y147" s="312"/>
      <c r="Z147" s="312" t="s">
        <v>16</v>
      </c>
      <c r="AA147" s="312" t="s">
        <v>16</v>
      </c>
      <c r="AB147" s="312" t="s">
        <v>16</v>
      </c>
      <c r="AC147" s="312" t="s">
        <v>16</v>
      </c>
      <c r="AD147" s="312" t="s">
        <v>16</v>
      </c>
      <c r="AE147" s="312" t="s">
        <v>16</v>
      </c>
      <c r="AF147" s="312" t="s">
        <v>16</v>
      </c>
      <c r="AG147" s="312" t="s">
        <v>16</v>
      </c>
      <c r="AH147" s="312" t="s">
        <v>16</v>
      </c>
      <c r="AI147" s="312" t="s">
        <v>16</v>
      </c>
      <c r="AJ147" s="312" t="s">
        <v>16</v>
      </c>
      <c r="AK147" s="312" t="s">
        <v>16</v>
      </c>
      <c r="AL147" s="312" t="s">
        <v>16</v>
      </c>
      <c r="AM147" s="312" t="s">
        <v>16</v>
      </c>
      <c r="AN147" s="312" t="s">
        <v>16</v>
      </c>
      <c r="AO147" s="312" t="s">
        <v>16</v>
      </c>
      <c r="AP147" s="312" t="s">
        <v>16</v>
      </c>
      <c r="AQ147" s="312" t="s">
        <v>16</v>
      </c>
      <c r="AR147" s="312" t="s">
        <v>16</v>
      </c>
      <c r="AS147" s="312" t="s">
        <v>16</v>
      </c>
      <c r="AT147" s="312" t="s">
        <v>16</v>
      </c>
      <c r="AU147" s="312" t="s">
        <v>16</v>
      </c>
      <c r="AV147" s="312" t="s">
        <v>16</v>
      </c>
      <c r="AW147" s="312" t="s">
        <v>16</v>
      </c>
      <c r="AX147" s="312" t="s">
        <v>16</v>
      </c>
      <c r="AY147" s="312" t="s">
        <v>16</v>
      </c>
      <c r="AZ147" s="312" t="s">
        <v>16</v>
      </c>
      <c r="BA147" s="312" t="s">
        <v>16</v>
      </c>
      <c r="BB147" s="312" t="s">
        <v>16</v>
      </c>
      <c r="BC147" s="312" t="s">
        <v>16</v>
      </c>
      <c r="BD147" s="312" t="s">
        <v>16</v>
      </c>
      <c r="BE147" s="312" t="s">
        <v>16</v>
      </c>
      <c r="BF147" s="312" t="s">
        <v>16</v>
      </c>
      <c r="BG147" s="312" t="s">
        <v>16</v>
      </c>
      <c r="BH147" s="312" t="s">
        <v>16</v>
      </c>
      <c r="BI147" s="312" t="s">
        <v>16</v>
      </c>
      <c r="BJ147" s="312" t="s">
        <v>16</v>
      </c>
      <c r="BK147" s="312" t="s">
        <v>16</v>
      </c>
      <c r="BL147" s="312" t="s">
        <v>16</v>
      </c>
      <c r="BM147" s="312" t="s">
        <v>16</v>
      </c>
      <c r="BN147" s="312" t="s">
        <v>16</v>
      </c>
      <c r="BO147" s="312" t="s">
        <v>16</v>
      </c>
      <c r="BP147" s="312" t="s">
        <v>16</v>
      </c>
      <c r="BQ147" s="312" t="s">
        <v>16</v>
      </c>
      <c r="BR147" s="312" t="s">
        <v>16</v>
      </c>
      <c r="BS147" s="312" t="s">
        <v>16</v>
      </c>
      <c r="BT147" s="312" t="s">
        <v>16</v>
      </c>
      <c r="BU147" s="312" t="s">
        <v>16</v>
      </c>
      <c r="BV147" s="312" t="s">
        <v>16</v>
      </c>
      <c r="BW147" s="312" t="s">
        <v>16</v>
      </c>
      <c r="BX147" s="312" t="s">
        <v>16</v>
      </c>
      <c r="BY147" s="312" t="s">
        <v>16</v>
      </c>
      <c r="BZ147" s="312" t="s">
        <v>16</v>
      </c>
      <c r="CA147" s="312" t="s">
        <v>16</v>
      </c>
      <c r="CB147" s="312" t="s">
        <v>16</v>
      </c>
      <c r="CC147" s="312" t="s">
        <v>16</v>
      </c>
      <c r="CD147" s="312" t="s">
        <v>16</v>
      </c>
      <c r="CE147" s="312" t="s">
        <v>16</v>
      </c>
      <c r="CF147" s="312" t="s">
        <v>16</v>
      </c>
      <c r="CG147" s="312" t="s">
        <v>16</v>
      </c>
      <c r="CH147" s="312" t="s">
        <v>16</v>
      </c>
      <c r="CI147" s="312" t="s">
        <v>16</v>
      </c>
      <c r="CJ147" s="312" t="s">
        <v>16</v>
      </c>
      <c r="CK147" s="312" t="s">
        <v>16</v>
      </c>
      <c r="CL147" s="312" t="s">
        <v>16</v>
      </c>
      <c r="CM147" s="312" t="s">
        <v>16</v>
      </c>
      <c r="EX147" s="10" t="str">
        <f t="shared" si="5"/>
        <v>*</v>
      </c>
    </row>
  </sheetData>
  <sheetProtection algorithmName="SHA-512" hashValue="r1eZLociKAF+6X2EHiVkR+odL8ka5pCHBBCS1f/EXEofffV4VrZlOXi+xV5rEtUUw/4jUyZRI9RRIfSk7KVgJA==" saltValue="6gih37bUtRbqik7XhZX8XQ==" spinCount="100000" sheet="1" objects="1" scenarios="1"/>
  <mergeCells count="3">
    <mergeCell ref="CK1:CK6"/>
    <mergeCell ref="CM1:CM6"/>
    <mergeCell ref="CL4:CL6"/>
  </mergeCells>
  <conditionalFormatting sqref="A1:A2">
    <cfRule type="cellIs" dxfId="307" priority="5" operator="equal">
      <formula>0</formula>
    </cfRule>
    <cfRule type="cellIs" dxfId="306" priority="6" operator="greaterThan">
      <formula>0</formula>
    </cfRule>
  </conditionalFormatting>
  <conditionalFormatting sqref="V14:Y14">
    <cfRule type="cellIs" dxfId="305" priority="25" operator="equal">
      <formula>0</formula>
    </cfRule>
    <cfRule type="containsText" dxfId="304" priority="26" operator="containsText" text="Outstanding">
      <formula>NOT(ISERROR(SEARCH("Outstanding",V14)))</formula>
    </cfRule>
    <cfRule type="containsText" dxfId="303" priority="27" operator="containsText" text="Requires Improvement">
      <formula>NOT(ISERROR(SEARCH("Requires Improvement",V14)))</formula>
    </cfRule>
    <cfRule type="containsText" dxfId="302" priority="28" operator="containsText" text="Inadequate">
      <formula>NOT(ISERROR(SEARCH("Inadequate",V14)))</formula>
    </cfRule>
    <cfRule type="containsText" dxfId="301" priority="29" operator="containsText" text="Good">
      <formula>NOT(ISERROR(SEARCH("Good",V14)))</formula>
    </cfRule>
    <cfRule type="containsText" dxfId="300" priority="30" operator="containsText" text="&quot;&quot;">
      <formula>NOT(ISERROR(SEARCH("""""",V14)))</formula>
    </cfRule>
  </conditionalFormatting>
  <dataValidations count="6">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83" xr:uid="{D04E0196-7263-470D-9218-461D9E602355}"/>
    <dataValidation allowBlank="1" showInputMessage="1" promptTitle="DSCR" prompt="Calculated as:_x000a_Net operating cash flow / (Total interest paid + Interest element of finance leases + Repayment of amount borrowed + Capital element of finance leases) _x000a__x000a__x000a_" sqref="B45" xr:uid="{FE40EB7B-C9D6-4299-B065-643C4A0E69E4}"/>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31" xr:uid="{96863431-5913-4CAB-B32D-4FEA39AFC01C}"/>
    <dataValidation allowBlank="1" showInputMessage="1" promptTitle="Adjusted cash days" prompt="Calculated as:_x000a_Cash and cash equivalents / (Staff costs excl. restructuring less LGPS costs and contributions + Other operating expenditure less Bad debt provision costs + Interest expense)_x000a__x000a_" sqref="B71" xr:uid="{492A2886-2877-4F90-9806-1BFC750B8428}"/>
    <dataValidation allowBlank="1" showInputMessage="1" promptTitle="Borrowing" prompt="+loans/overdrafts and finance leases due within one year _x000a_+ loans and finance leases due after one year _x000a_+ interest payable on loans/overdrafts_x000a__x000a_as % of adjusted income_x000a_ _x000a__x000a_" sqref="B57" xr:uid="{3EAEC433-B0D6-4F42-A664-1C48BE367917}"/>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DE0D8BD9-F812-4B8F-BC58-817C7E432267}"/>
  </dataValidations>
  <pageMargins left="0.70866141732283472" right="0.70866141732283472" top="0.74803149606299213" bottom="0.74803149606299213" header="0.31496062992125984" footer="0.31496062992125984"/>
  <pageSetup paperSize="8" scale="60" orientation="landscape" r:id="rId1"/>
  <headerFooter>
    <oddHeader>&amp;C&amp;"Aptos"&amp;11&amp;K000000 OFFICIAL - FOR PUBLIC RELEASE&amp;1#_x000D_</oddHeader>
    <oddFooter>&amp;C_x000D_&amp;1#&amp;"Aptos"&amp;11&amp;K000000 OFFICIAL - FOR PUBLIC RELEASE</oddFooter>
  </headerFooter>
  <rowBreaks count="1" manualBreakCount="1">
    <brk id="55" max="35" man="1"/>
  </rowBreaks>
  <drawing r:id="rId2"/>
  <extLst>
    <ext xmlns:x14="http://schemas.microsoft.com/office/spreadsheetml/2009/9/main" uri="{78C0D931-6437-407d-A8EE-F0AAD7539E65}">
      <x14:conditionalFormattings>
        <x14:conditionalFormatting xmlns:xm="http://schemas.microsoft.com/office/excel/2006/main">
          <x14:cfRule type="expression" priority="1" id="{588618DF-5A8C-4806-9038-C2F83875648B}">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1003E14-FF98-470D-AB29-DBD02D3DB55A}">
          <x14:formula1>
            <xm:f>'Dash Data'!$D$93:$D$100</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6ABB-9636-4E1B-BF18-D8E9742E8CC1}">
  <sheetPr codeName="Sheet25">
    <outlinePr summaryBelow="0" summaryRight="0"/>
    <pageSetUpPr autoPageBreaks="0"/>
  </sheetPr>
  <dimension ref="A1:EX103"/>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5.81640625" bestFit="1" customWidth="1" collapsed="1"/>
    <col min="2" max="2" width="9.453125" bestFit="1" customWidth="1"/>
    <col min="3" max="3" width="9.1796875" bestFit="1" customWidth="1"/>
    <col min="4" max="4" width="48.453125" customWidth="1"/>
    <col min="5" max="5" width="12.453125" style="1" customWidth="1" outlineLevel="1"/>
    <col min="6" max="6" width="1.54296875" customWidth="1" collapsed="1"/>
    <col min="7" max="7" width="7.1796875" hidden="1" customWidth="1" outlineLevel="1"/>
    <col min="8" max="8" width="15" hidden="1" customWidth="1" outlineLevel="1"/>
    <col min="9" max="9" width="2" bestFit="1" customWidth="1" collapsed="1"/>
    <col min="10" max="10" width="2" hidden="1" customWidth="1" outlineLevel="1"/>
    <col min="11" max="18" width="8.81640625" hidden="1" customWidth="1" outlineLevel="1"/>
    <col min="19" max="19" width="1.1796875" hidden="1" customWidth="1" outlineLevel="1"/>
    <col min="20" max="21" width="11.1796875" hidden="1" customWidth="1" outlineLevel="1"/>
    <col min="22"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0" width="13.1796875" customWidth="1"/>
    <col min="91" max="91" width="2.81640625" customWidth="1"/>
    <col min="153" max="153" width="8.81640625" collapsed="1"/>
    <col min="154" max="154" width="23.54296875" hidden="1" customWidth="1" outlineLevel="1"/>
  </cols>
  <sheetData>
    <row r="1" spans="1:154" x14ac:dyDescent="0.35">
      <c r="A1" s="7">
        <f ca="1">ToC!A1</f>
        <v>0</v>
      </c>
      <c r="B1" s="13" t="s">
        <v>1887</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M1" s="663"/>
      <c r="EX1" s="5" t="s">
        <v>177</v>
      </c>
    </row>
    <row r="2" spans="1:154" ht="14.65" customHeight="1" x14ac:dyDescent="0.35">
      <c r="A2" s="13"/>
      <c r="B2" s="67" t="str" cm="1">
        <f t="array" aca="1" ref="B2" ca="1">HYPERLINK(CONCATENATE("#",CELL("address",Guide!$A$133)),Guide!$B$1)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M2" s="663"/>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M3" s="663"/>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row>
    <row r="6" spans="1:154" x14ac:dyDescent="0.35">
      <c r="A6" s="67" t="str" cm="1">
        <f t="array" aca="1" ref="A6" ca="1">HYPERLINK(CONCATENATE("#",CELL("address",CK7)),"Check")</f>
        <v>Check</v>
      </c>
      <c r="B6" s="13"/>
      <c r="C6" s="13"/>
      <c r="D6" s="23" t="s">
        <v>19</v>
      </c>
      <c r="E6" s="13"/>
      <c r="F6" s="13"/>
      <c r="G6" s="13" t="s">
        <v>272</v>
      </c>
      <c r="H6" s="13" t="s">
        <v>313</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row>
    <row r="7" spans="1:154" x14ac:dyDescent="0.35">
      <c r="B7" s="97" t="s">
        <v>184</v>
      </c>
      <c r="D7" s="1"/>
      <c r="E7"/>
      <c r="BY7" s="6"/>
      <c r="CK7" s="311"/>
      <c r="CM7" s="311"/>
    </row>
    <row r="8" spans="1:154" ht="8.25" customHeight="1" x14ac:dyDescent="0.35">
      <c r="E8"/>
      <c r="CK8" s="311"/>
      <c r="CM8" s="311"/>
      <c r="EX8" s="10" t="str">
        <f t="shared" ref="EX8:EX39" si="0">IF($C8="","",$D8)</f>
        <v/>
      </c>
    </row>
    <row r="9" spans="1:154" x14ac:dyDescent="0.35">
      <c r="C9" s="217"/>
      <c r="D9" s="57" t="str">
        <f>'BS Forecasts'!D$10</f>
        <v>Periods in use Flag</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M9" s="311"/>
      <c r="EX9" s="10" t="str">
        <f t="shared" si="0"/>
        <v/>
      </c>
    </row>
    <row r="10" spans="1:154" ht="8.25" customHeight="1" x14ac:dyDescent="0.35">
      <c r="E10"/>
      <c r="CK10" s="311"/>
      <c r="CM10" s="311"/>
      <c r="EX10" s="10" t="str">
        <f t="shared" si="0"/>
        <v/>
      </c>
    </row>
    <row r="11" spans="1:154" x14ac:dyDescent="0.35">
      <c r="A11" s="34"/>
      <c r="B11" s="34"/>
      <c r="C11" s="34"/>
      <c r="D11" s="34" t="s">
        <v>1842</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0"/>
        <v/>
      </c>
    </row>
    <row r="12" spans="1:154" ht="8.25" customHeight="1" x14ac:dyDescent="0.35">
      <c r="E12"/>
      <c r="S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K12" s="311"/>
      <c r="CM12" s="311"/>
      <c r="EX12" s="10" t="str">
        <f t="shared" si="0"/>
        <v/>
      </c>
    </row>
    <row r="13" spans="1:154" x14ac:dyDescent="0.35">
      <c r="D13" t="str">
        <f ca="1">'Fin Stat'!D$78</f>
        <v>Stock</v>
      </c>
      <c r="E13"/>
      <c r="S13" s="4"/>
      <c r="V13" s="10">
        <f>'Fin Stat'!V$78*V$9</f>
        <v>0</v>
      </c>
      <c r="W13" s="10">
        <f>'Fin Stat'!W$78*W$9</f>
        <v>0</v>
      </c>
      <c r="X13" s="10">
        <f>'Fin Stat'!X$78*X$9</f>
        <v>0</v>
      </c>
      <c r="Y13" s="10">
        <f>'Fin Stat'!Y$78*Y$9</f>
        <v>0</v>
      </c>
      <c r="Z13" s="4"/>
      <c r="AA13" s="10">
        <f>'Fin Stat'!AA$78*AA$9</f>
        <v>0</v>
      </c>
      <c r="AB13" s="10">
        <f>'Fin Stat'!AB$78*AB$9</f>
        <v>0</v>
      </c>
      <c r="AC13" s="10">
        <f>'Fin Stat'!AC$78*AC$9</f>
        <v>0</v>
      </c>
      <c r="AD13" s="10">
        <f>'Fin Stat'!AD$78*AD$9</f>
        <v>0</v>
      </c>
      <c r="AE13" s="10">
        <f>'Fin Stat'!AE$78*AE$9</f>
        <v>0</v>
      </c>
      <c r="AF13" s="10">
        <f>'Fin Stat'!AF$78*AF$9</f>
        <v>0</v>
      </c>
      <c r="AG13" s="10">
        <f>'Fin Stat'!AG$78*AG$9</f>
        <v>0</v>
      </c>
      <c r="AH13" s="10">
        <f>'Fin Stat'!AH$78*AH$9</f>
        <v>0</v>
      </c>
      <c r="AI13" s="10">
        <f>'Fin Stat'!AI$78*AI$9</f>
        <v>0</v>
      </c>
      <c r="AJ13" s="10">
        <f>'Fin Stat'!AJ$78*AJ$9</f>
        <v>0</v>
      </c>
      <c r="AK13" s="10">
        <f>'Fin Stat'!AK$78*AK$9</f>
        <v>0</v>
      </c>
      <c r="AL13" s="10">
        <f>'Fin Stat'!AL$78*AL$9</f>
        <v>0</v>
      </c>
      <c r="AM13" s="10">
        <f>'Fin Stat'!AM$78*AM$9</f>
        <v>0</v>
      </c>
      <c r="AN13" s="10">
        <f>'Fin Stat'!AN$78*AN$9</f>
        <v>0</v>
      </c>
      <c r="AO13" s="10">
        <f>'Fin Stat'!AO$78*AO$9</f>
        <v>0</v>
      </c>
      <c r="AP13" s="10">
        <f>'Fin Stat'!AP$78*AP$9</f>
        <v>0</v>
      </c>
      <c r="AQ13" s="10">
        <f>'Fin Stat'!AQ$78*AQ$9</f>
        <v>0</v>
      </c>
      <c r="AR13" s="10">
        <f>'Fin Stat'!AR$78*AR$9</f>
        <v>0</v>
      </c>
      <c r="AS13" s="10">
        <f>'Fin Stat'!AS$78*AS$9</f>
        <v>0</v>
      </c>
      <c r="AT13" s="10">
        <f>'Fin Stat'!AT$78*AT$9</f>
        <v>0</v>
      </c>
      <c r="AU13" s="10">
        <f>'Fin Stat'!AU$78*AU$9</f>
        <v>0</v>
      </c>
      <c r="AV13" s="10">
        <f>'Fin Stat'!AV$78*AV$9</f>
        <v>0</v>
      </c>
      <c r="AW13" s="10">
        <f>'Fin Stat'!AW$78*AW$9</f>
        <v>0</v>
      </c>
      <c r="AX13" s="10">
        <f>'Fin Stat'!AX$78*AX$9</f>
        <v>0</v>
      </c>
      <c r="AY13" s="10">
        <f>'Fin Stat'!AY$78*AY$9</f>
        <v>0</v>
      </c>
      <c r="AZ13" s="10">
        <f>'Fin Stat'!AZ$78*AZ$9</f>
        <v>0</v>
      </c>
      <c r="BA13" s="10">
        <f>'Fin Stat'!BA$78*BA$9</f>
        <v>0</v>
      </c>
      <c r="BB13" s="10">
        <f>'Fin Stat'!BB$78*BB$9</f>
        <v>0</v>
      </c>
      <c r="BC13" s="10">
        <f>'Fin Stat'!BC$78*BC$9</f>
        <v>0</v>
      </c>
      <c r="BD13" s="10">
        <f>'Fin Stat'!BD$78*BD$9</f>
        <v>0</v>
      </c>
      <c r="BE13" s="10">
        <f>'Fin Stat'!BE$78*BE$9</f>
        <v>0</v>
      </c>
      <c r="BF13" s="10">
        <f>'Fin Stat'!BF$78*BF$9</f>
        <v>0</v>
      </c>
      <c r="BG13" s="10">
        <f>'Fin Stat'!BG$78*BG$9</f>
        <v>0</v>
      </c>
      <c r="BH13" s="10">
        <f>'Fin Stat'!BH$78*BH$9</f>
        <v>0</v>
      </c>
      <c r="BI13" s="10">
        <f>'Fin Stat'!BI$78*BI$9</f>
        <v>0</v>
      </c>
      <c r="BJ13" s="10">
        <f>'Fin Stat'!BJ$78*BJ$9</f>
        <v>0</v>
      </c>
      <c r="BK13" s="4"/>
      <c r="BL13" s="4"/>
      <c r="BM13" s="4"/>
      <c r="BN13" s="4"/>
      <c r="BO13" s="4"/>
      <c r="BP13" s="4"/>
      <c r="BQ13" s="4"/>
      <c r="BR13" s="4"/>
      <c r="BS13" s="4"/>
      <c r="BT13" s="4"/>
      <c r="BU13" s="4"/>
      <c r="BV13" s="4"/>
      <c r="BW13" s="4"/>
      <c r="BX13" s="10">
        <f>'Fin Stat'!BX$78*BX$9</f>
        <v>0</v>
      </c>
      <c r="BY13" s="10">
        <f>'Fin Stat'!BY$78*BY$9</f>
        <v>0</v>
      </c>
      <c r="BZ13" s="10">
        <f>'Fin Stat'!BZ$78*BZ$9</f>
        <v>0</v>
      </c>
      <c r="CA13" s="10">
        <f>'Fin Stat'!CA$78*CA$9</f>
        <v>0</v>
      </c>
      <c r="CB13" s="10">
        <f>'Fin Stat'!CB$78*CB$9</f>
        <v>0</v>
      </c>
      <c r="CC13" s="10">
        <f>'Fin Stat'!CC$78*CC$9</f>
        <v>0</v>
      </c>
      <c r="CD13" s="10">
        <f>'Fin Stat'!CD$78*CD$9</f>
        <v>0</v>
      </c>
      <c r="CE13" s="10">
        <f>'Fin Stat'!CE$78*CE$9</f>
        <v>0</v>
      </c>
      <c r="CF13" s="10">
        <f>'Fin Stat'!CF$78*CF$9</f>
        <v>0</v>
      </c>
      <c r="CG13" s="10">
        <f>'Fin Stat'!CG$78*CG$9</f>
        <v>0</v>
      </c>
      <c r="CH13" s="10">
        <f>'Fin Stat'!CH$78*CH$9</f>
        <v>0</v>
      </c>
      <c r="CI13" s="10">
        <f>'Fin Stat'!CI$78*CI$9</f>
        <v>0</v>
      </c>
      <c r="CK13" s="312"/>
      <c r="CM13" s="311"/>
      <c r="EX13" s="10" t="str">
        <f t="shared" si="0"/>
        <v/>
      </c>
    </row>
    <row r="14" spans="1:154" ht="8.25" customHeight="1" x14ac:dyDescent="0.35">
      <c r="E14"/>
      <c r="S14" s="4"/>
      <c r="Z14" s="4"/>
      <c r="BK14" s="4"/>
      <c r="BL14" s="4"/>
      <c r="BM14" s="4"/>
      <c r="BN14" s="4"/>
      <c r="BO14" s="4"/>
      <c r="BP14" s="4"/>
      <c r="BQ14" s="4"/>
      <c r="BR14" s="4"/>
      <c r="BS14" s="4"/>
      <c r="BT14" s="4"/>
      <c r="BU14" s="4"/>
      <c r="BV14" s="4"/>
      <c r="BW14" s="4"/>
      <c r="CK14" s="311"/>
      <c r="CM14" s="311"/>
      <c r="EX14" s="10" t="str">
        <f t="shared" si="0"/>
        <v/>
      </c>
    </row>
    <row r="15" spans="1:154" x14ac:dyDescent="0.35">
      <c r="D15" t="str">
        <f ca="1">'Fin Stat'!D$79</f>
        <v>Trade Receivables</v>
      </c>
      <c r="E15"/>
      <c r="S15" s="4"/>
      <c r="V15" s="10">
        <f>'Fin Stat'!V$79*V$9</f>
        <v>0</v>
      </c>
      <c r="W15" s="10">
        <f>'Fin Stat'!W$79*W$9</f>
        <v>0</v>
      </c>
      <c r="X15" s="10">
        <f>'Fin Stat'!X$79*X$9</f>
        <v>0</v>
      </c>
      <c r="Y15" s="10">
        <f>'Fin Stat'!Y$79*Y$9</f>
        <v>0</v>
      </c>
      <c r="Z15" s="4"/>
      <c r="AA15" s="10">
        <f>'Fin Stat'!AA$79*AA$9</f>
        <v>0</v>
      </c>
      <c r="AB15" s="10">
        <f>'Fin Stat'!AB$79*AB$9</f>
        <v>0</v>
      </c>
      <c r="AC15" s="10">
        <f>'Fin Stat'!AC$79*AC$9</f>
        <v>0</v>
      </c>
      <c r="AD15" s="10">
        <f>'Fin Stat'!AD$79*AD$9</f>
        <v>0</v>
      </c>
      <c r="AE15" s="10">
        <f>'Fin Stat'!AE$79*AE$9</f>
        <v>0</v>
      </c>
      <c r="AF15" s="10">
        <f>'Fin Stat'!AF$79*AF$9</f>
        <v>0</v>
      </c>
      <c r="AG15" s="10">
        <f>'Fin Stat'!AG$79*AG$9</f>
        <v>0</v>
      </c>
      <c r="AH15" s="10">
        <f>'Fin Stat'!AH$79*AH$9</f>
        <v>0</v>
      </c>
      <c r="AI15" s="10">
        <f>'Fin Stat'!AI$79*AI$9</f>
        <v>0</v>
      </c>
      <c r="AJ15" s="10">
        <f>'Fin Stat'!AJ$79*AJ$9</f>
        <v>0</v>
      </c>
      <c r="AK15" s="10">
        <f>'Fin Stat'!AK$79*AK$9</f>
        <v>0</v>
      </c>
      <c r="AL15" s="10">
        <f>'Fin Stat'!AL$79*AL$9</f>
        <v>0</v>
      </c>
      <c r="AM15" s="10">
        <f>'Fin Stat'!AM$79*AM$9</f>
        <v>0</v>
      </c>
      <c r="AN15" s="10">
        <f>'Fin Stat'!AN$79*AN$9</f>
        <v>0</v>
      </c>
      <c r="AO15" s="10">
        <f>'Fin Stat'!AO$79*AO$9</f>
        <v>0</v>
      </c>
      <c r="AP15" s="10">
        <f>'Fin Stat'!AP$79*AP$9</f>
        <v>0</v>
      </c>
      <c r="AQ15" s="10">
        <f>'Fin Stat'!AQ$79*AQ$9</f>
        <v>0</v>
      </c>
      <c r="AR15" s="10">
        <f>'Fin Stat'!AR$79*AR$9</f>
        <v>0</v>
      </c>
      <c r="AS15" s="10">
        <f>'Fin Stat'!AS$79*AS$9</f>
        <v>0</v>
      </c>
      <c r="AT15" s="10">
        <f>'Fin Stat'!AT$79*AT$9</f>
        <v>0</v>
      </c>
      <c r="AU15" s="10">
        <f>'Fin Stat'!AU$79*AU$9</f>
        <v>0</v>
      </c>
      <c r="AV15" s="10">
        <f>'Fin Stat'!AV$79*AV$9</f>
        <v>0</v>
      </c>
      <c r="AW15" s="10">
        <f>'Fin Stat'!AW$79*AW$9</f>
        <v>0</v>
      </c>
      <c r="AX15" s="10">
        <f>'Fin Stat'!AX$79*AX$9</f>
        <v>0</v>
      </c>
      <c r="AY15" s="10">
        <f>'Fin Stat'!AY$79*AY$9</f>
        <v>0</v>
      </c>
      <c r="AZ15" s="10">
        <f>'Fin Stat'!AZ$79*AZ$9</f>
        <v>0</v>
      </c>
      <c r="BA15" s="10">
        <f>'Fin Stat'!BA$79*BA$9</f>
        <v>0</v>
      </c>
      <c r="BB15" s="10">
        <f>'Fin Stat'!BB$79*BB$9</f>
        <v>0</v>
      </c>
      <c r="BC15" s="10">
        <f>'Fin Stat'!BC$79*BC$9</f>
        <v>0</v>
      </c>
      <c r="BD15" s="10">
        <f>'Fin Stat'!BD$79*BD$9</f>
        <v>0</v>
      </c>
      <c r="BE15" s="10">
        <f>'Fin Stat'!BE$79*BE$9</f>
        <v>0</v>
      </c>
      <c r="BF15" s="10">
        <f>'Fin Stat'!BF$79*BF$9</f>
        <v>0</v>
      </c>
      <c r="BG15" s="10">
        <f>'Fin Stat'!BG$79*BG$9</f>
        <v>0</v>
      </c>
      <c r="BH15" s="10">
        <f>'Fin Stat'!BH$79*BH$9</f>
        <v>0</v>
      </c>
      <c r="BI15" s="10">
        <f>'Fin Stat'!BI$79*BI$9</f>
        <v>0</v>
      </c>
      <c r="BJ15" s="10">
        <f>'Fin Stat'!BJ$79*BJ$9</f>
        <v>0</v>
      </c>
      <c r="BK15" s="4"/>
      <c r="BL15" s="4"/>
      <c r="BM15" s="4"/>
      <c r="BN15" s="4"/>
      <c r="BO15" s="4"/>
      <c r="BP15" s="4"/>
      <c r="BQ15" s="4"/>
      <c r="BR15" s="4"/>
      <c r="BS15" s="4"/>
      <c r="BT15" s="4"/>
      <c r="BU15" s="4"/>
      <c r="BV15" s="4"/>
      <c r="BW15" s="4"/>
      <c r="BX15" s="10">
        <f>'Fin Stat'!BX$79*BX$9</f>
        <v>0</v>
      </c>
      <c r="BY15" s="10">
        <f>'Fin Stat'!BY$79*BY$9</f>
        <v>0</v>
      </c>
      <c r="BZ15" s="10">
        <f>'Fin Stat'!BZ$79*BZ$9</f>
        <v>0</v>
      </c>
      <c r="CA15" s="10">
        <f>'Fin Stat'!CA$79*CA$9</f>
        <v>0</v>
      </c>
      <c r="CB15" s="10">
        <f>'Fin Stat'!CB$79*CB$9</f>
        <v>0</v>
      </c>
      <c r="CC15" s="10">
        <f>'Fin Stat'!CC$79*CC$9</f>
        <v>0</v>
      </c>
      <c r="CD15" s="10">
        <f>'Fin Stat'!CD$79*CD$9</f>
        <v>0</v>
      </c>
      <c r="CE15" s="10">
        <f>'Fin Stat'!CE$79*CE$9</f>
        <v>0</v>
      </c>
      <c r="CF15" s="10">
        <f>'Fin Stat'!CF$79*CF$9</f>
        <v>0</v>
      </c>
      <c r="CG15" s="10">
        <f>'Fin Stat'!CG$79*CG$9</f>
        <v>0</v>
      </c>
      <c r="CH15" s="10">
        <f>'Fin Stat'!CH$79*CH$9</f>
        <v>0</v>
      </c>
      <c r="CI15" s="10">
        <f>'Fin Stat'!CI$79*CI$9</f>
        <v>0</v>
      </c>
      <c r="CK15" s="312"/>
      <c r="CM15" s="311"/>
      <c r="EX15" s="10" t="str">
        <f t="shared" si="0"/>
        <v/>
      </c>
    </row>
    <row r="16" spans="1:154" x14ac:dyDescent="0.35">
      <c r="D16" s="5" t="s">
        <v>641</v>
      </c>
      <c r="E16"/>
      <c r="S16" s="4"/>
      <c r="V16" s="12">
        <f>SUM(V15:V15)</f>
        <v>0</v>
      </c>
      <c r="W16" s="12">
        <f>SUM(W15:W15)</f>
        <v>0</v>
      </c>
      <c r="X16" s="12">
        <f>SUM(X15:X15)</f>
        <v>0</v>
      </c>
      <c r="Y16" s="12">
        <f>SUM(Y15:Y15)</f>
        <v>0</v>
      </c>
      <c r="Z16" s="4"/>
      <c r="AA16" s="12">
        <f t="shared" ref="AA16:BJ16" si="1">SUM(AA15:AA15)</f>
        <v>0</v>
      </c>
      <c r="AB16" s="12">
        <f t="shared" si="1"/>
        <v>0</v>
      </c>
      <c r="AC16" s="12">
        <f t="shared" si="1"/>
        <v>0</v>
      </c>
      <c r="AD16" s="12">
        <f t="shared" si="1"/>
        <v>0</v>
      </c>
      <c r="AE16" s="12">
        <f t="shared" si="1"/>
        <v>0</v>
      </c>
      <c r="AF16" s="12">
        <f t="shared" si="1"/>
        <v>0</v>
      </c>
      <c r="AG16" s="12">
        <f t="shared" si="1"/>
        <v>0</v>
      </c>
      <c r="AH16" s="12">
        <f t="shared" si="1"/>
        <v>0</v>
      </c>
      <c r="AI16" s="12">
        <f t="shared" si="1"/>
        <v>0</v>
      </c>
      <c r="AJ16" s="12">
        <f t="shared" si="1"/>
        <v>0</v>
      </c>
      <c r="AK16" s="12">
        <f t="shared" si="1"/>
        <v>0</v>
      </c>
      <c r="AL16" s="12">
        <f t="shared" si="1"/>
        <v>0</v>
      </c>
      <c r="AM16" s="12">
        <f t="shared" si="1"/>
        <v>0</v>
      </c>
      <c r="AN16" s="12">
        <f t="shared" si="1"/>
        <v>0</v>
      </c>
      <c r="AO16" s="12">
        <f t="shared" si="1"/>
        <v>0</v>
      </c>
      <c r="AP16" s="12">
        <f t="shared" si="1"/>
        <v>0</v>
      </c>
      <c r="AQ16" s="12">
        <f t="shared" si="1"/>
        <v>0</v>
      </c>
      <c r="AR16" s="12">
        <f t="shared" si="1"/>
        <v>0</v>
      </c>
      <c r="AS16" s="12">
        <f t="shared" si="1"/>
        <v>0</v>
      </c>
      <c r="AT16" s="12">
        <f t="shared" si="1"/>
        <v>0</v>
      </c>
      <c r="AU16" s="12">
        <f t="shared" si="1"/>
        <v>0</v>
      </c>
      <c r="AV16" s="12">
        <f t="shared" si="1"/>
        <v>0</v>
      </c>
      <c r="AW16" s="12">
        <f t="shared" si="1"/>
        <v>0</v>
      </c>
      <c r="AX16" s="12">
        <f t="shared" si="1"/>
        <v>0</v>
      </c>
      <c r="AY16" s="12">
        <f t="shared" si="1"/>
        <v>0</v>
      </c>
      <c r="AZ16" s="12">
        <f t="shared" si="1"/>
        <v>0</v>
      </c>
      <c r="BA16" s="12">
        <f t="shared" si="1"/>
        <v>0</v>
      </c>
      <c r="BB16" s="12">
        <f t="shared" si="1"/>
        <v>0</v>
      </c>
      <c r="BC16" s="12">
        <f t="shared" si="1"/>
        <v>0</v>
      </c>
      <c r="BD16" s="12">
        <f t="shared" si="1"/>
        <v>0</v>
      </c>
      <c r="BE16" s="12">
        <f t="shared" si="1"/>
        <v>0</v>
      </c>
      <c r="BF16" s="12">
        <f t="shared" si="1"/>
        <v>0</v>
      </c>
      <c r="BG16" s="12">
        <f t="shared" si="1"/>
        <v>0</v>
      </c>
      <c r="BH16" s="12">
        <f t="shared" si="1"/>
        <v>0</v>
      </c>
      <c r="BI16" s="12">
        <f t="shared" si="1"/>
        <v>0</v>
      </c>
      <c r="BJ16" s="12">
        <f t="shared" si="1"/>
        <v>0</v>
      </c>
      <c r="BK16" s="4"/>
      <c r="BL16" s="4"/>
      <c r="BM16" s="4"/>
      <c r="BN16" s="4"/>
      <c r="BO16" s="4"/>
      <c r="BP16" s="4"/>
      <c r="BQ16" s="4"/>
      <c r="BR16" s="4"/>
      <c r="BS16" s="4"/>
      <c r="BT16" s="4"/>
      <c r="BU16" s="4"/>
      <c r="BV16" s="4"/>
      <c r="BW16" s="4"/>
      <c r="BX16" s="12">
        <f t="shared" ref="BX16:CI16" si="2">SUM(BX15:BX15)</f>
        <v>0</v>
      </c>
      <c r="BY16" s="12">
        <f t="shared" si="2"/>
        <v>0</v>
      </c>
      <c r="BZ16" s="12">
        <f t="shared" si="2"/>
        <v>0</v>
      </c>
      <c r="CA16" s="12">
        <f t="shared" si="2"/>
        <v>0</v>
      </c>
      <c r="CB16" s="12">
        <f t="shared" si="2"/>
        <v>0</v>
      </c>
      <c r="CC16" s="12">
        <f t="shared" si="2"/>
        <v>0</v>
      </c>
      <c r="CD16" s="12">
        <f t="shared" si="2"/>
        <v>0</v>
      </c>
      <c r="CE16" s="12">
        <f t="shared" si="2"/>
        <v>0</v>
      </c>
      <c r="CF16" s="12">
        <f t="shared" si="2"/>
        <v>0</v>
      </c>
      <c r="CG16" s="12">
        <f t="shared" si="2"/>
        <v>0</v>
      </c>
      <c r="CH16" s="12">
        <f t="shared" si="2"/>
        <v>0</v>
      </c>
      <c r="CI16" s="12">
        <f t="shared" si="2"/>
        <v>0</v>
      </c>
      <c r="CK16" s="312"/>
      <c r="CM16" s="311"/>
      <c r="EX16" s="10" t="str">
        <f t="shared" si="0"/>
        <v/>
      </c>
    </row>
    <row r="17" spans="1:154" ht="8.25" customHeight="1" x14ac:dyDescent="0.35">
      <c r="E17"/>
      <c r="S17" s="4"/>
      <c r="Z17" s="4"/>
      <c r="BK17" s="4"/>
      <c r="BL17" s="4"/>
      <c r="BM17" s="4"/>
      <c r="BN17" s="4"/>
      <c r="BO17" s="4"/>
      <c r="BP17" s="4"/>
      <c r="BQ17" s="4"/>
      <c r="BR17" s="4"/>
      <c r="BS17" s="4"/>
      <c r="BT17" s="4"/>
      <c r="BU17" s="4"/>
      <c r="BV17" s="4"/>
      <c r="BW17" s="4"/>
      <c r="CK17" s="311"/>
      <c r="CM17" s="311"/>
      <c r="EX17" s="10" t="str">
        <f t="shared" si="0"/>
        <v/>
      </c>
    </row>
    <row r="18" spans="1:154" x14ac:dyDescent="0.35">
      <c r="D18" t="s">
        <v>681</v>
      </c>
      <c r="E18"/>
      <c r="S18" s="4"/>
      <c r="V18" s="10">
        <f>'Fin Stat'!V$98*V$9</f>
        <v>0</v>
      </c>
      <c r="W18" s="10">
        <f>'Fin Stat'!W$98*W$9</f>
        <v>0</v>
      </c>
      <c r="X18" s="10">
        <f>'Fin Stat'!X$98*X$9</f>
        <v>0</v>
      </c>
      <c r="Y18" s="10">
        <f>'Fin Stat'!Y$98*Y$9</f>
        <v>0</v>
      </c>
      <c r="Z18" s="4"/>
      <c r="AA18" s="10">
        <f>'Fin Stat'!AA$98*AA$9</f>
        <v>0</v>
      </c>
      <c r="AB18" s="10">
        <f>'Fin Stat'!AB$98*AB$9</f>
        <v>0</v>
      </c>
      <c r="AC18" s="10">
        <f>'Fin Stat'!AC$98*AC$9</f>
        <v>0</v>
      </c>
      <c r="AD18" s="10">
        <f>'Fin Stat'!AD$98*AD$9</f>
        <v>0</v>
      </c>
      <c r="AE18" s="10">
        <f>'Fin Stat'!AE$98*AE$9</f>
        <v>0</v>
      </c>
      <c r="AF18" s="10">
        <f>'Fin Stat'!AF$98*AF$9</f>
        <v>0</v>
      </c>
      <c r="AG18" s="10">
        <f>'Fin Stat'!AG$98*AG$9</f>
        <v>0</v>
      </c>
      <c r="AH18" s="10">
        <f>'Fin Stat'!AH$98*AH$9</f>
        <v>0</v>
      </c>
      <c r="AI18" s="10">
        <f>'Fin Stat'!AI$98*AI$9</f>
        <v>0</v>
      </c>
      <c r="AJ18" s="10">
        <f>'Fin Stat'!AJ$98*AJ$9</f>
        <v>0</v>
      </c>
      <c r="AK18" s="10">
        <f>'Fin Stat'!AK$98*AK$9</f>
        <v>0</v>
      </c>
      <c r="AL18" s="10">
        <f>'Fin Stat'!AL$98*AL$9</f>
        <v>0</v>
      </c>
      <c r="AM18" s="10">
        <f>'Fin Stat'!AM$98*AM$9</f>
        <v>0</v>
      </c>
      <c r="AN18" s="10">
        <f>'Fin Stat'!AN$98*AN$9</f>
        <v>0</v>
      </c>
      <c r="AO18" s="10">
        <f>'Fin Stat'!AO$98*AO$9</f>
        <v>0</v>
      </c>
      <c r="AP18" s="10">
        <f>'Fin Stat'!AP$98*AP$9</f>
        <v>0</v>
      </c>
      <c r="AQ18" s="10">
        <f>'Fin Stat'!AQ$98*AQ$9</f>
        <v>0</v>
      </c>
      <c r="AR18" s="10">
        <f>'Fin Stat'!AR$98*AR$9</f>
        <v>0</v>
      </c>
      <c r="AS18" s="10">
        <f>'Fin Stat'!AS$98*AS$9</f>
        <v>0</v>
      </c>
      <c r="AT18" s="10">
        <f>'Fin Stat'!AT$98*AT$9</f>
        <v>0</v>
      </c>
      <c r="AU18" s="10">
        <f>'Fin Stat'!AU$98*AU$9</f>
        <v>0</v>
      </c>
      <c r="AV18" s="10">
        <f>'Fin Stat'!AV$98*AV$9</f>
        <v>0</v>
      </c>
      <c r="AW18" s="10">
        <f>'Fin Stat'!AW$98*AW$9</f>
        <v>0</v>
      </c>
      <c r="AX18" s="10">
        <f>'Fin Stat'!AX$98*AX$9</f>
        <v>0</v>
      </c>
      <c r="AY18" s="10">
        <f>'Fin Stat'!AY$98*AY$9</f>
        <v>0</v>
      </c>
      <c r="AZ18" s="10">
        <f>'Fin Stat'!AZ$98*AZ$9</f>
        <v>0</v>
      </c>
      <c r="BA18" s="10">
        <f>'Fin Stat'!BA$98*BA$9</f>
        <v>0</v>
      </c>
      <c r="BB18" s="10">
        <f>'Fin Stat'!BB$98*BB$9</f>
        <v>0</v>
      </c>
      <c r="BC18" s="10">
        <f>'Fin Stat'!BC$98*BC$9</f>
        <v>0</v>
      </c>
      <c r="BD18" s="10">
        <f>'Fin Stat'!BD$98*BD$9</f>
        <v>0</v>
      </c>
      <c r="BE18" s="10">
        <f>'Fin Stat'!BE$98*BE$9</f>
        <v>0</v>
      </c>
      <c r="BF18" s="10">
        <f>'Fin Stat'!BF$98*BF$9</f>
        <v>0</v>
      </c>
      <c r="BG18" s="10">
        <f>'Fin Stat'!BG$98*BG$9</f>
        <v>0</v>
      </c>
      <c r="BH18" s="10">
        <f>'Fin Stat'!BH$98*BH$9</f>
        <v>0</v>
      </c>
      <c r="BI18" s="10">
        <f>'Fin Stat'!BI$98*BI$9</f>
        <v>0</v>
      </c>
      <c r="BJ18" s="10">
        <f>'Fin Stat'!BJ$98*BJ$9</f>
        <v>0</v>
      </c>
      <c r="BK18" s="4"/>
      <c r="BL18" s="4"/>
      <c r="BM18" s="4"/>
      <c r="BN18" s="4"/>
      <c r="BO18" s="4"/>
      <c r="BP18" s="4"/>
      <c r="BQ18" s="4"/>
      <c r="BR18" s="4"/>
      <c r="BS18" s="4"/>
      <c r="BT18" s="4"/>
      <c r="BU18" s="4"/>
      <c r="BV18" s="4"/>
      <c r="BW18" s="4"/>
      <c r="BX18" s="10">
        <f>'Fin Stat'!BX$98*BX$9</f>
        <v>0</v>
      </c>
      <c r="BY18" s="10">
        <f>'Fin Stat'!BY$98*BY$9</f>
        <v>0</v>
      </c>
      <c r="BZ18" s="10">
        <f>'Fin Stat'!BZ$98*BZ$9</f>
        <v>0</v>
      </c>
      <c r="CA18" s="10">
        <f>'Fin Stat'!CA$98*CA$9</f>
        <v>0</v>
      </c>
      <c r="CB18" s="10">
        <f>'Fin Stat'!CB$98*CB$9</f>
        <v>0</v>
      </c>
      <c r="CC18" s="10">
        <f>'Fin Stat'!CC$98*CC$9</f>
        <v>0</v>
      </c>
      <c r="CD18" s="10">
        <f>'Fin Stat'!CD$98*CD$9</f>
        <v>0</v>
      </c>
      <c r="CE18" s="10">
        <f>'Fin Stat'!CE$98*CE$9</f>
        <v>0</v>
      </c>
      <c r="CF18" s="10">
        <f>'Fin Stat'!CF$98*CF$9</f>
        <v>0</v>
      </c>
      <c r="CG18" s="10">
        <f>'Fin Stat'!CG$98*CG$9</f>
        <v>0</v>
      </c>
      <c r="CH18" s="10">
        <f>'Fin Stat'!CH$98*CH$9</f>
        <v>0</v>
      </c>
      <c r="CI18" s="10">
        <f>'Fin Stat'!CI$98*CI$9</f>
        <v>0</v>
      </c>
      <c r="CK18" s="312"/>
      <c r="CM18" s="311"/>
      <c r="EX18" s="10" t="str">
        <f t="shared" si="0"/>
        <v/>
      </c>
    </row>
    <row r="19" spans="1:154" x14ac:dyDescent="0.35">
      <c r="D19" s="5" t="s">
        <v>681</v>
      </c>
      <c r="S19" s="4"/>
      <c r="V19" s="12">
        <f>SUM(V18:V18)</f>
        <v>0</v>
      </c>
      <c r="W19" s="12">
        <f>SUM(W18:W18)</f>
        <v>0</v>
      </c>
      <c r="X19" s="12">
        <f>SUM(X18:X18)</f>
        <v>0</v>
      </c>
      <c r="Y19" s="12">
        <f>SUM(Y18:Y18)</f>
        <v>0</v>
      </c>
      <c r="Z19" s="4"/>
      <c r="AA19" s="12">
        <f t="shared" ref="AA19:BJ19" si="3">SUM(AA18:AA18)</f>
        <v>0</v>
      </c>
      <c r="AB19" s="12">
        <f t="shared" si="3"/>
        <v>0</v>
      </c>
      <c r="AC19" s="12">
        <f t="shared" si="3"/>
        <v>0</v>
      </c>
      <c r="AD19" s="12">
        <f t="shared" si="3"/>
        <v>0</v>
      </c>
      <c r="AE19" s="12">
        <f t="shared" si="3"/>
        <v>0</v>
      </c>
      <c r="AF19" s="12">
        <f t="shared" si="3"/>
        <v>0</v>
      </c>
      <c r="AG19" s="12">
        <f t="shared" si="3"/>
        <v>0</v>
      </c>
      <c r="AH19" s="12">
        <f t="shared" si="3"/>
        <v>0</v>
      </c>
      <c r="AI19" s="12">
        <f t="shared" si="3"/>
        <v>0</v>
      </c>
      <c r="AJ19" s="12">
        <f t="shared" si="3"/>
        <v>0</v>
      </c>
      <c r="AK19" s="12">
        <f t="shared" si="3"/>
        <v>0</v>
      </c>
      <c r="AL19" s="12">
        <f t="shared" si="3"/>
        <v>0</v>
      </c>
      <c r="AM19" s="12">
        <f t="shared" si="3"/>
        <v>0</v>
      </c>
      <c r="AN19" s="12">
        <f t="shared" si="3"/>
        <v>0</v>
      </c>
      <c r="AO19" s="12">
        <f t="shared" si="3"/>
        <v>0</v>
      </c>
      <c r="AP19" s="12">
        <f t="shared" si="3"/>
        <v>0</v>
      </c>
      <c r="AQ19" s="12">
        <f t="shared" si="3"/>
        <v>0</v>
      </c>
      <c r="AR19" s="12">
        <f t="shared" si="3"/>
        <v>0</v>
      </c>
      <c r="AS19" s="12">
        <f t="shared" si="3"/>
        <v>0</v>
      </c>
      <c r="AT19" s="12">
        <f t="shared" si="3"/>
        <v>0</v>
      </c>
      <c r="AU19" s="12">
        <f t="shared" si="3"/>
        <v>0</v>
      </c>
      <c r="AV19" s="12">
        <f t="shared" si="3"/>
        <v>0</v>
      </c>
      <c r="AW19" s="12">
        <f t="shared" si="3"/>
        <v>0</v>
      </c>
      <c r="AX19" s="12">
        <f t="shared" si="3"/>
        <v>0</v>
      </c>
      <c r="AY19" s="12">
        <f t="shared" si="3"/>
        <v>0</v>
      </c>
      <c r="AZ19" s="12">
        <f t="shared" si="3"/>
        <v>0</v>
      </c>
      <c r="BA19" s="12">
        <f t="shared" si="3"/>
        <v>0</v>
      </c>
      <c r="BB19" s="12">
        <f t="shared" si="3"/>
        <v>0</v>
      </c>
      <c r="BC19" s="12">
        <f t="shared" si="3"/>
        <v>0</v>
      </c>
      <c r="BD19" s="12">
        <f t="shared" si="3"/>
        <v>0</v>
      </c>
      <c r="BE19" s="12">
        <f t="shared" si="3"/>
        <v>0</v>
      </c>
      <c r="BF19" s="12">
        <f t="shared" si="3"/>
        <v>0</v>
      </c>
      <c r="BG19" s="12">
        <f t="shared" si="3"/>
        <v>0</v>
      </c>
      <c r="BH19" s="12">
        <f t="shared" si="3"/>
        <v>0</v>
      </c>
      <c r="BI19" s="12">
        <f t="shared" si="3"/>
        <v>0</v>
      </c>
      <c r="BJ19" s="12">
        <f t="shared" si="3"/>
        <v>0</v>
      </c>
      <c r="BK19" s="4"/>
      <c r="BL19" s="4"/>
      <c r="BM19" s="4"/>
      <c r="BN19" s="4"/>
      <c r="BO19" s="4"/>
      <c r="BP19" s="4"/>
      <c r="BQ19" s="4"/>
      <c r="BR19" s="4"/>
      <c r="BS19" s="4"/>
      <c r="BT19" s="4"/>
      <c r="BU19" s="4"/>
      <c r="BV19" s="4"/>
      <c r="BW19" s="4"/>
      <c r="BX19" s="12">
        <f t="shared" ref="BX19:CI19" si="4">SUM(BX18:BX18)</f>
        <v>0</v>
      </c>
      <c r="BY19" s="12">
        <f t="shared" si="4"/>
        <v>0</v>
      </c>
      <c r="BZ19" s="12">
        <f t="shared" si="4"/>
        <v>0</v>
      </c>
      <c r="CA19" s="12">
        <f t="shared" si="4"/>
        <v>0</v>
      </c>
      <c r="CB19" s="12">
        <f t="shared" si="4"/>
        <v>0</v>
      </c>
      <c r="CC19" s="12">
        <f t="shared" si="4"/>
        <v>0</v>
      </c>
      <c r="CD19" s="12">
        <f t="shared" si="4"/>
        <v>0</v>
      </c>
      <c r="CE19" s="12">
        <f t="shared" si="4"/>
        <v>0</v>
      </c>
      <c r="CF19" s="12">
        <f t="shared" si="4"/>
        <v>0</v>
      </c>
      <c r="CG19" s="12">
        <f t="shared" si="4"/>
        <v>0</v>
      </c>
      <c r="CH19" s="12">
        <f t="shared" si="4"/>
        <v>0</v>
      </c>
      <c r="CI19" s="12">
        <f t="shared" si="4"/>
        <v>0</v>
      </c>
      <c r="CK19" s="312"/>
      <c r="CM19" s="311"/>
      <c r="EX19" s="10" t="str">
        <f t="shared" si="0"/>
        <v/>
      </c>
    </row>
    <row r="20" spans="1:154" ht="8.25" customHeight="1" x14ac:dyDescent="0.35">
      <c r="E20"/>
      <c r="S20" s="4"/>
      <c r="Z20" s="4"/>
      <c r="BK20" s="4"/>
      <c r="BL20" s="4"/>
      <c r="BM20" s="4"/>
      <c r="BN20" s="4"/>
      <c r="BO20" s="4"/>
      <c r="BP20" s="4"/>
      <c r="BQ20" s="4"/>
      <c r="BR20" s="4"/>
      <c r="BS20" s="4"/>
      <c r="BT20" s="4"/>
      <c r="BU20" s="4"/>
      <c r="BV20" s="4"/>
      <c r="BW20" s="4"/>
      <c r="CK20" s="311"/>
      <c r="CM20" s="311"/>
      <c r="EX20" s="10" t="str">
        <f t="shared" si="0"/>
        <v/>
      </c>
    </row>
    <row r="21" spans="1:154" x14ac:dyDescent="0.35">
      <c r="D21" t="s">
        <v>1888</v>
      </c>
      <c r="S21" s="4"/>
      <c r="V21" s="10">
        <f>'Fin Stat'!V$100*V$9</f>
        <v>0</v>
      </c>
      <c r="W21" s="10">
        <f>'Fin Stat'!W$100*W$9</f>
        <v>0</v>
      </c>
      <c r="X21" s="10">
        <f>'Fin Stat'!X$100*X$9</f>
        <v>0</v>
      </c>
      <c r="Y21" s="10">
        <f>'Fin Stat'!Y$100*Y$9</f>
        <v>0</v>
      </c>
      <c r="Z21" s="4"/>
      <c r="AA21" s="10">
        <f>'Fin Stat'!AA$100*AA$9</f>
        <v>0</v>
      </c>
      <c r="AB21" s="10">
        <f>'Fin Stat'!AB$100*AB$9</f>
        <v>0</v>
      </c>
      <c r="AC21" s="10">
        <f>'Fin Stat'!AC$100*AC$9</f>
        <v>0</v>
      </c>
      <c r="AD21" s="10">
        <f>'Fin Stat'!AD$100*AD$9</f>
        <v>0</v>
      </c>
      <c r="AE21" s="10">
        <f>'Fin Stat'!AE$100*AE$9</f>
        <v>0</v>
      </c>
      <c r="AF21" s="10">
        <f>'Fin Stat'!AF$100*AF$9</f>
        <v>0</v>
      </c>
      <c r="AG21" s="10">
        <f>'Fin Stat'!AG$100*AG$9</f>
        <v>0</v>
      </c>
      <c r="AH21" s="10">
        <f>'Fin Stat'!AH$100*AH$9</f>
        <v>0</v>
      </c>
      <c r="AI21" s="10">
        <f>'Fin Stat'!AI$100*AI$9</f>
        <v>0</v>
      </c>
      <c r="AJ21" s="10">
        <f>'Fin Stat'!AJ$100*AJ$9</f>
        <v>0</v>
      </c>
      <c r="AK21" s="10">
        <f>'Fin Stat'!AK$100*AK$9</f>
        <v>0</v>
      </c>
      <c r="AL21" s="10">
        <f>'Fin Stat'!AL$100*AL$9</f>
        <v>0</v>
      </c>
      <c r="AM21" s="10">
        <f>'Fin Stat'!AM$100*AM$9</f>
        <v>0</v>
      </c>
      <c r="AN21" s="10">
        <f>'Fin Stat'!AN$100*AN$9</f>
        <v>0</v>
      </c>
      <c r="AO21" s="10">
        <f>'Fin Stat'!AO$100*AO$9</f>
        <v>0</v>
      </c>
      <c r="AP21" s="10">
        <f>'Fin Stat'!AP$100*AP$9</f>
        <v>0</v>
      </c>
      <c r="AQ21" s="10">
        <f>'Fin Stat'!AQ$100*AQ$9</f>
        <v>0</v>
      </c>
      <c r="AR21" s="10">
        <f>'Fin Stat'!AR$100*AR$9</f>
        <v>0</v>
      </c>
      <c r="AS21" s="10">
        <f>'Fin Stat'!AS$100*AS$9</f>
        <v>0</v>
      </c>
      <c r="AT21" s="10">
        <f>'Fin Stat'!AT$100*AT$9</f>
        <v>0</v>
      </c>
      <c r="AU21" s="10">
        <f>'Fin Stat'!AU$100*AU$9</f>
        <v>0</v>
      </c>
      <c r="AV21" s="10">
        <f>'Fin Stat'!AV$100*AV$9</f>
        <v>0</v>
      </c>
      <c r="AW21" s="10">
        <f>'Fin Stat'!AW$100*AW$9</f>
        <v>0</v>
      </c>
      <c r="AX21" s="10">
        <f>'Fin Stat'!AX$100*AX$9</f>
        <v>0</v>
      </c>
      <c r="AY21" s="10">
        <f>'Fin Stat'!AY$100*AY$9</f>
        <v>0</v>
      </c>
      <c r="AZ21" s="10">
        <f>'Fin Stat'!AZ$100*AZ$9</f>
        <v>0</v>
      </c>
      <c r="BA21" s="10">
        <f>'Fin Stat'!BA$100*BA$9</f>
        <v>0</v>
      </c>
      <c r="BB21" s="10">
        <f>'Fin Stat'!BB$100*BB$9</f>
        <v>0</v>
      </c>
      <c r="BC21" s="10">
        <f>'Fin Stat'!BC$100*BC$9</f>
        <v>0</v>
      </c>
      <c r="BD21" s="10">
        <f>'Fin Stat'!BD$100*BD$9</f>
        <v>0</v>
      </c>
      <c r="BE21" s="10">
        <f>'Fin Stat'!BE$100*BE$9</f>
        <v>0</v>
      </c>
      <c r="BF21" s="10">
        <f>'Fin Stat'!BF$100*BF$9</f>
        <v>0</v>
      </c>
      <c r="BG21" s="10">
        <f>'Fin Stat'!BG$100*BG$9</f>
        <v>0</v>
      </c>
      <c r="BH21" s="10">
        <f>'Fin Stat'!BH$100*BH$9</f>
        <v>0</v>
      </c>
      <c r="BI21" s="10">
        <f>'Fin Stat'!BI$100*BI$9</f>
        <v>0</v>
      </c>
      <c r="BJ21" s="10">
        <f>'Fin Stat'!BJ$100*BJ$9</f>
        <v>0</v>
      </c>
      <c r="BK21" s="4"/>
      <c r="BL21" s="4"/>
      <c r="BM21" s="4"/>
      <c r="BN21" s="4"/>
      <c r="BO21" s="4"/>
      <c r="BP21" s="4"/>
      <c r="BQ21" s="4"/>
      <c r="BR21" s="4"/>
      <c r="BS21" s="4"/>
      <c r="BT21" s="4"/>
      <c r="BU21" s="4"/>
      <c r="BV21" s="4"/>
      <c r="BW21" s="4"/>
      <c r="BX21" s="10">
        <f>'Fin Stat'!BX$100*BX$9</f>
        <v>0</v>
      </c>
      <c r="BY21" s="10">
        <f>'Fin Stat'!BY$100*BY$9</f>
        <v>0</v>
      </c>
      <c r="BZ21" s="10">
        <f>'Fin Stat'!BZ$100*BZ$9</f>
        <v>0</v>
      </c>
      <c r="CA21" s="10">
        <f>'Fin Stat'!CA$100*CA$9</f>
        <v>0</v>
      </c>
      <c r="CB21" s="10">
        <f>'Fin Stat'!CB$100*CB$9</f>
        <v>0</v>
      </c>
      <c r="CC21" s="10">
        <f>'Fin Stat'!CC$100*CC$9</f>
        <v>0</v>
      </c>
      <c r="CD21" s="10">
        <f>'Fin Stat'!CD$100*CD$9</f>
        <v>0</v>
      </c>
      <c r="CE21" s="10">
        <f>'Fin Stat'!CE$100*CE$9</f>
        <v>0</v>
      </c>
      <c r="CF21" s="10">
        <f>'Fin Stat'!CF$100*CF$9</f>
        <v>0</v>
      </c>
      <c r="CG21" s="10">
        <f>'Fin Stat'!CG$100*CG$9</f>
        <v>0</v>
      </c>
      <c r="CH21" s="10">
        <f>'Fin Stat'!CH$100*CH$9</f>
        <v>0</v>
      </c>
      <c r="CI21" s="10">
        <f>'Fin Stat'!CI$100*CI$9</f>
        <v>0</v>
      </c>
      <c r="CK21" s="312"/>
      <c r="CM21" s="311"/>
      <c r="EX21" s="10" t="str">
        <f t="shared" si="0"/>
        <v/>
      </c>
    </row>
    <row r="22" spans="1:154" ht="8.25" customHeight="1" x14ac:dyDescent="0.35">
      <c r="E22"/>
      <c r="BK22" s="4"/>
      <c r="BL22" s="4"/>
      <c r="BM22" s="4"/>
      <c r="BN22" s="4"/>
      <c r="BO22" s="4"/>
      <c r="BP22" s="4"/>
      <c r="BQ22" s="4"/>
      <c r="BR22" s="4"/>
      <c r="BS22" s="4"/>
      <c r="BT22" s="4"/>
      <c r="BU22" s="4"/>
      <c r="BV22" s="4"/>
      <c r="CK22" s="311"/>
      <c r="CM22" s="311"/>
      <c r="EX22" s="10" t="str">
        <f t="shared" si="0"/>
        <v/>
      </c>
    </row>
    <row r="23" spans="1:154" x14ac:dyDescent="0.35">
      <c r="D23" t="str">
        <f>Ratios!D$20</f>
        <v>Adjusted unrestricted cash days in hand</v>
      </c>
      <c r="E23"/>
      <c r="S23" s="4"/>
      <c r="V23" s="99">
        <f>Ratios!V$20</f>
        <v>0</v>
      </c>
      <c r="W23" s="99">
        <f>Ratios!W$20</f>
        <v>0</v>
      </c>
      <c r="X23" s="99">
        <f>Ratios!X$20</f>
        <v>0</v>
      </c>
      <c r="Y23" s="99">
        <f>Ratios!Y$20</f>
        <v>0</v>
      </c>
      <c r="Z23" s="4"/>
      <c r="AA23" s="99">
        <f>Ratios!AA$20</f>
        <v>0</v>
      </c>
      <c r="AB23" s="99">
        <f>Ratios!AB$20</f>
        <v>0</v>
      </c>
      <c r="AC23" s="99">
        <f>Ratios!AC$20</f>
        <v>0</v>
      </c>
      <c r="AD23" s="99">
        <f>Ratios!AD$20</f>
        <v>0</v>
      </c>
      <c r="AE23" s="99">
        <f>Ratios!AE$20</f>
        <v>0</v>
      </c>
      <c r="AF23" s="99">
        <f>Ratios!AF$20</f>
        <v>0</v>
      </c>
      <c r="AG23" s="99">
        <f>Ratios!AG$20</f>
        <v>0</v>
      </c>
      <c r="AH23" s="99">
        <f>Ratios!AH$20</f>
        <v>0</v>
      </c>
      <c r="AI23" s="99">
        <f>Ratios!AI$20</f>
        <v>0</v>
      </c>
      <c r="AJ23" s="99">
        <f>Ratios!AJ$20</f>
        <v>0</v>
      </c>
      <c r="AK23" s="99">
        <f>Ratios!AK$20</f>
        <v>0</v>
      </c>
      <c r="AL23" s="99">
        <f>Ratios!AL$20</f>
        <v>0</v>
      </c>
      <c r="AM23" s="99">
        <f>Ratios!AM$20</f>
        <v>0</v>
      </c>
      <c r="AN23" s="99">
        <f>Ratios!AN$20</f>
        <v>0</v>
      </c>
      <c r="AO23" s="99">
        <f>Ratios!AO$20</f>
        <v>0</v>
      </c>
      <c r="AP23" s="99">
        <f>Ratios!AP$20</f>
        <v>0</v>
      </c>
      <c r="AQ23" s="99">
        <f>Ratios!AQ$20</f>
        <v>0</v>
      </c>
      <c r="AR23" s="99">
        <f>Ratios!AR$20</f>
        <v>0</v>
      </c>
      <c r="AS23" s="99">
        <f>Ratios!AS$20</f>
        <v>0</v>
      </c>
      <c r="AT23" s="99">
        <f>Ratios!AT$20</f>
        <v>0</v>
      </c>
      <c r="AU23" s="99">
        <f>Ratios!AU$20</f>
        <v>0</v>
      </c>
      <c r="AV23" s="99">
        <f>Ratios!AV$20</f>
        <v>0</v>
      </c>
      <c r="AW23" s="99">
        <f>Ratios!AW$20</f>
        <v>0</v>
      </c>
      <c r="AX23" s="99">
        <f>Ratios!AX$20</f>
        <v>0</v>
      </c>
      <c r="AY23" s="99">
        <f>Ratios!AY$20</f>
        <v>0</v>
      </c>
      <c r="AZ23" s="99">
        <f>Ratios!AZ$20</f>
        <v>0</v>
      </c>
      <c r="BA23" s="99">
        <f>Ratios!BA$20</f>
        <v>0</v>
      </c>
      <c r="BB23" s="99">
        <f>Ratios!BB$20</f>
        <v>0</v>
      </c>
      <c r="BC23" s="99">
        <f>Ratios!BC$20</f>
        <v>0</v>
      </c>
      <c r="BD23" s="99">
        <f>Ratios!BD$20</f>
        <v>0</v>
      </c>
      <c r="BE23" s="99">
        <f>Ratios!BE$20</f>
        <v>0</v>
      </c>
      <c r="BF23" s="99">
        <f>Ratios!BF$20</f>
        <v>0</v>
      </c>
      <c r="BG23" s="99">
        <f>Ratios!BG$20</f>
        <v>0</v>
      </c>
      <c r="BH23" s="99">
        <f>Ratios!BH$20</f>
        <v>0</v>
      </c>
      <c r="BI23" s="99">
        <f>Ratios!BI$20</f>
        <v>0</v>
      </c>
      <c r="BJ23" s="99">
        <f>Ratios!BJ$20</f>
        <v>0</v>
      </c>
      <c r="BK23" s="4"/>
      <c r="BL23" s="4"/>
      <c r="BM23" s="4"/>
      <c r="BN23" s="4"/>
      <c r="BO23" s="4"/>
      <c r="BP23" s="4"/>
      <c r="BQ23" s="4"/>
      <c r="BR23" s="4"/>
      <c r="BS23" s="4"/>
      <c r="BT23" s="4"/>
      <c r="BU23" s="4"/>
      <c r="BV23" s="4"/>
      <c r="BW23" s="4"/>
      <c r="BX23" s="99">
        <f>Ratios!BX$20</f>
        <v>0</v>
      </c>
      <c r="BY23" s="99">
        <f>Ratios!BY$20</f>
        <v>0</v>
      </c>
      <c r="BZ23" s="99">
        <f>Ratios!BZ$20</f>
        <v>0</v>
      </c>
      <c r="CA23" s="99">
        <f>Ratios!CA$20</f>
        <v>0</v>
      </c>
      <c r="CB23" s="99">
        <f>Ratios!CB$20</f>
        <v>0</v>
      </c>
      <c r="CC23" s="99">
        <f>Ratios!CC$20</f>
        <v>0</v>
      </c>
      <c r="CD23" s="99">
        <f>Ratios!CD$20</f>
        <v>0</v>
      </c>
      <c r="CE23" s="99">
        <f>Ratios!CE$20</f>
        <v>0</v>
      </c>
      <c r="CF23" s="99">
        <f>Ratios!CF$20</f>
        <v>0</v>
      </c>
      <c r="CG23" s="99">
        <f>Ratios!CG$20</f>
        <v>0</v>
      </c>
      <c r="CH23" s="99">
        <f>Ratios!CH$20</f>
        <v>0</v>
      </c>
      <c r="CI23" s="99">
        <f>Ratios!CI$20</f>
        <v>0</v>
      </c>
      <c r="CK23" s="312"/>
      <c r="CM23" s="311"/>
      <c r="EX23" s="10" t="str">
        <f t="shared" si="0"/>
        <v/>
      </c>
    </row>
    <row r="24" spans="1:154" x14ac:dyDescent="0.35">
      <c r="D24" t="str">
        <f>Ratios!D$25</f>
        <v>Trade debtor days -excluding funding body grants</v>
      </c>
      <c r="E24"/>
      <c r="S24" s="4"/>
      <c r="V24" s="99">
        <f>Ratios!V$25</f>
        <v>0</v>
      </c>
      <c r="W24" s="99">
        <f>Ratios!W$25</f>
        <v>0</v>
      </c>
      <c r="X24" s="99">
        <f>Ratios!X$25</f>
        <v>0</v>
      </c>
      <c r="Y24" s="99">
        <f>Ratios!Y$25</f>
        <v>0</v>
      </c>
      <c r="Z24" s="4"/>
      <c r="AA24" s="99">
        <f>Ratios!AA$25</f>
        <v>0</v>
      </c>
      <c r="AB24" s="99">
        <f>Ratios!AB$25</f>
        <v>0</v>
      </c>
      <c r="AC24" s="99">
        <f>Ratios!AC$25</f>
        <v>0</v>
      </c>
      <c r="AD24" s="99">
        <f>Ratios!AD$25</f>
        <v>0</v>
      </c>
      <c r="AE24" s="99">
        <f>Ratios!AE$25</f>
        <v>0</v>
      </c>
      <c r="AF24" s="99">
        <f>Ratios!AF$25</f>
        <v>0</v>
      </c>
      <c r="AG24" s="99">
        <f>Ratios!AG$25</f>
        <v>0</v>
      </c>
      <c r="AH24" s="99">
        <f>Ratios!AH$25</f>
        <v>0</v>
      </c>
      <c r="AI24" s="99">
        <f>Ratios!AI$25</f>
        <v>0</v>
      </c>
      <c r="AJ24" s="99">
        <f>Ratios!AJ$25</f>
        <v>0</v>
      </c>
      <c r="AK24" s="99">
        <f>Ratios!AK$25</f>
        <v>0</v>
      </c>
      <c r="AL24" s="99">
        <f>Ratios!AL$25</f>
        <v>0</v>
      </c>
      <c r="AM24" s="99">
        <f>Ratios!AM$25</f>
        <v>0</v>
      </c>
      <c r="AN24" s="99">
        <f>Ratios!AN$25</f>
        <v>0</v>
      </c>
      <c r="AO24" s="99">
        <f>Ratios!AO$25</f>
        <v>0</v>
      </c>
      <c r="AP24" s="99">
        <f>Ratios!AP$25</f>
        <v>0</v>
      </c>
      <c r="AQ24" s="99">
        <f>Ratios!AQ$25</f>
        <v>0</v>
      </c>
      <c r="AR24" s="99">
        <f>Ratios!AR$25</f>
        <v>0</v>
      </c>
      <c r="AS24" s="99">
        <f>Ratios!AS$25</f>
        <v>0</v>
      </c>
      <c r="AT24" s="99">
        <f>Ratios!AT$25</f>
        <v>0</v>
      </c>
      <c r="AU24" s="99">
        <f>Ratios!AU$25</f>
        <v>0</v>
      </c>
      <c r="AV24" s="99">
        <f>Ratios!AV$25</f>
        <v>0</v>
      </c>
      <c r="AW24" s="99">
        <f>Ratios!AW$25</f>
        <v>0</v>
      </c>
      <c r="AX24" s="99">
        <f>Ratios!AX$25</f>
        <v>0</v>
      </c>
      <c r="AY24" s="99">
        <f>Ratios!AY$25</f>
        <v>0</v>
      </c>
      <c r="AZ24" s="99">
        <f>Ratios!AZ$25</f>
        <v>0</v>
      </c>
      <c r="BA24" s="99">
        <f>Ratios!BA$25</f>
        <v>0</v>
      </c>
      <c r="BB24" s="99">
        <f>Ratios!BB$25</f>
        <v>0</v>
      </c>
      <c r="BC24" s="99">
        <f>Ratios!BC$25</f>
        <v>0</v>
      </c>
      <c r="BD24" s="99">
        <f>Ratios!BD$25</f>
        <v>0</v>
      </c>
      <c r="BE24" s="99">
        <f>Ratios!BE$25</f>
        <v>0</v>
      </c>
      <c r="BF24" s="99">
        <f>Ratios!BF$25</f>
        <v>0</v>
      </c>
      <c r="BG24" s="99">
        <f>Ratios!BG$25</f>
        <v>0</v>
      </c>
      <c r="BH24" s="99">
        <f>Ratios!BH$25</f>
        <v>0</v>
      </c>
      <c r="BI24" s="99">
        <f>Ratios!BI$25</f>
        <v>0</v>
      </c>
      <c r="BJ24" s="99">
        <f>Ratios!BJ$25</f>
        <v>0</v>
      </c>
      <c r="BK24" s="4"/>
      <c r="BL24" s="4"/>
      <c r="BM24" s="4"/>
      <c r="BN24" s="4"/>
      <c r="BO24" s="4"/>
      <c r="BP24" s="4"/>
      <c r="BQ24" s="4"/>
      <c r="BR24" s="4"/>
      <c r="BS24" s="4"/>
      <c r="BT24" s="4"/>
      <c r="BU24" s="4"/>
      <c r="BV24" s="4"/>
      <c r="BW24" s="4"/>
      <c r="BX24" s="99">
        <f>Ratios!BX$25</f>
        <v>0</v>
      </c>
      <c r="BY24" s="99">
        <f>Ratios!BY$25</f>
        <v>0</v>
      </c>
      <c r="BZ24" s="99">
        <f>Ratios!BZ$25</f>
        <v>0</v>
      </c>
      <c r="CA24" s="99">
        <f>Ratios!CA$25</f>
        <v>0</v>
      </c>
      <c r="CB24" s="99">
        <f>Ratios!CB$25</f>
        <v>0</v>
      </c>
      <c r="CC24" s="99">
        <f>Ratios!CC$25</f>
        <v>0</v>
      </c>
      <c r="CD24" s="99">
        <f>Ratios!CD$25</f>
        <v>0</v>
      </c>
      <c r="CE24" s="99">
        <f>Ratios!CE$25</f>
        <v>0</v>
      </c>
      <c r="CF24" s="99">
        <f>Ratios!CF$25</f>
        <v>0</v>
      </c>
      <c r="CG24" s="99">
        <f>Ratios!CG$25</f>
        <v>0</v>
      </c>
      <c r="CH24" s="99">
        <f>Ratios!CH$25</f>
        <v>0</v>
      </c>
      <c r="CI24" s="99">
        <f>Ratios!CI$25</f>
        <v>0</v>
      </c>
      <c r="CK24" s="312"/>
      <c r="CM24" s="311"/>
      <c r="EX24" s="10" t="str">
        <f t="shared" si="0"/>
        <v/>
      </c>
    </row>
    <row r="25" spans="1:154" x14ac:dyDescent="0.35">
      <c r="D25" t="str">
        <f>Ratios!D$26</f>
        <v>Trade creditors days - non-pay expenditure</v>
      </c>
      <c r="E25"/>
      <c r="S25" s="4"/>
      <c r="V25" s="99">
        <f>Ratios!V$26</f>
        <v>0</v>
      </c>
      <c r="W25" s="99">
        <f>Ratios!W$26</f>
        <v>0</v>
      </c>
      <c r="X25" s="99">
        <f>Ratios!X$26</f>
        <v>0</v>
      </c>
      <c r="Y25" s="99">
        <f>Ratios!Y$26</f>
        <v>0</v>
      </c>
      <c r="Z25" s="4"/>
      <c r="AA25" s="99">
        <f>Ratios!AA$26</f>
        <v>0</v>
      </c>
      <c r="AB25" s="99">
        <f>Ratios!AB$26</f>
        <v>0</v>
      </c>
      <c r="AC25" s="99">
        <f>Ratios!AC$26</f>
        <v>0</v>
      </c>
      <c r="AD25" s="99">
        <f>Ratios!AD$26</f>
        <v>0</v>
      </c>
      <c r="AE25" s="99">
        <f>Ratios!AE$26</f>
        <v>0</v>
      </c>
      <c r="AF25" s="99">
        <f>Ratios!AF$26</f>
        <v>0</v>
      </c>
      <c r="AG25" s="99">
        <f>Ratios!AG$26</f>
        <v>0</v>
      </c>
      <c r="AH25" s="99">
        <f>Ratios!AH$26</f>
        <v>0</v>
      </c>
      <c r="AI25" s="99">
        <f>Ratios!AI$26</f>
        <v>0</v>
      </c>
      <c r="AJ25" s="99">
        <f>Ratios!AJ$26</f>
        <v>0</v>
      </c>
      <c r="AK25" s="99">
        <f>Ratios!AK$26</f>
        <v>0</v>
      </c>
      <c r="AL25" s="99">
        <f>Ratios!AL$26</f>
        <v>0</v>
      </c>
      <c r="AM25" s="99">
        <f>Ratios!AM$26</f>
        <v>0</v>
      </c>
      <c r="AN25" s="99">
        <f>Ratios!AN$26</f>
        <v>0</v>
      </c>
      <c r="AO25" s="99">
        <f>Ratios!AO$26</f>
        <v>0</v>
      </c>
      <c r="AP25" s="99">
        <f>Ratios!AP$26</f>
        <v>0</v>
      </c>
      <c r="AQ25" s="99">
        <f>Ratios!AQ$26</f>
        <v>0</v>
      </c>
      <c r="AR25" s="99">
        <f>Ratios!AR$26</f>
        <v>0</v>
      </c>
      <c r="AS25" s="99">
        <f>Ratios!AS$26</f>
        <v>0</v>
      </c>
      <c r="AT25" s="99">
        <f>Ratios!AT$26</f>
        <v>0</v>
      </c>
      <c r="AU25" s="99">
        <f>Ratios!AU$26</f>
        <v>0</v>
      </c>
      <c r="AV25" s="99">
        <f>Ratios!AV$26</f>
        <v>0</v>
      </c>
      <c r="AW25" s="99">
        <f>Ratios!AW$26</f>
        <v>0</v>
      </c>
      <c r="AX25" s="99">
        <f>Ratios!AX$26</f>
        <v>0</v>
      </c>
      <c r="AY25" s="99">
        <f>Ratios!AY$26</f>
        <v>0</v>
      </c>
      <c r="AZ25" s="99">
        <f>Ratios!AZ$26</f>
        <v>0</v>
      </c>
      <c r="BA25" s="99">
        <f>Ratios!BA$26</f>
        <v>0</v>
      </c>
      <c r="BB25" s="99">
        <f>Ratios!BB$26</f>
        <v>0</v>
      </c>
      <c r="BC25" s="99">
        <f>Ratios!BC$26</f>
        <v>0</v>
      </c>
      <c r="BD25" s="99">
        <f>Ratios!BD$26</f>
        <v>0</v>
      </c>
      <c r="BE25" s="99">
        <f>Ratios!BE$26</f>
        <v>0</v>
      </c>
      <c r="BF25" s="99">
        <f>Ratios!BF$26</f>
        <v>0</v>
      </c>
      <c r="BG25" s="99">
        <f>Ratios!BG$26</f>
        <v>0</v>
      </c>
      <c r="BH25" s="99">
        <f>Ratios!BH$26</f>
        <v>0</v>
      </c>
      <c r="BI25" s="99">
        <f>Ratios!BI$26</f>
        <v>0</v>
      </c>
      <c r="BJ25" s="99">
        <f>Ratios!BJ$26</f>
        <v>0</v>
      </c>
      <c r="BK25" s="4"/>
      <c r="BL25" s="4"/>
      <c r="BM25" s="4"/>
      <c r="BN25" s="4"/>
      <c r="BO25" s="4"/>
      <c r="BP25" s="4"/>
      <c r="BQ25" s="4"/>
      <c r="BR25" s="4"/>
      <c r="BS25" s="4"/>
      <c r="BT25" s="4"/>
      <c r="BU25" s="4"/>
      <c r="BV25" s="4"/>
      <c r="BW25" s="4"/>
      <c r="BX25" s="99">
        <f>Ratios!BX$26</f>
        <v>0</v>
      </c>
      <c r="BY25" s="99">
        <f>Ratios!BY$26</f>
        <v>0</v>
      </c>
      <c r="BZ25" s="99">
        <f>Ratios!BZ$26</f>
        <v>0</v>
      </c>
      <c r="CA25" s="99">
        <f>Ratios!CA$26</f>
        <v>0</v>
      </c>
      <c r="CB25" s="99">
        <f>Ratios!CB$26</f>
        <v>0</v>
      </c>
      <c r="CC25" s="99">
        <f>Ratios!CC$26</f>
        <v>0</v>
      </c>
      <c r="CD25" s="99">
        <f>Ratios!CD$26</f>
        <v>0</v>
      </c>
      <c r="CE25" s="99">
        <f>Ratios!CE$26</f>
        <v>0</v>
      </c>
      <c r="CF25" s="99">
        <f>Ratios!CF$26</f>
        <v>0</v>
      </c>
      <c r="CG25" s="99">
        <f>Ratios!CG$26</f>
        <v>0</v>
      </c>
      <c r="CH25" s="99">
        <f>Ratios!CH$26</f>
        <v>0</v>
      </c>
      <c r="CI25" s="99">
        <f>Ratios!CI$26</f>
        <v>0</v>
      </c>
      <c r="CK25" s="312"/>
      <c r="CM25" s="311"/>
      <c r="EX25" s="10" t="str">
        <f t="shared" si="0"/>
        <v/>
      </c>
    </row>
    <row r="26" spans="1:154" ht="8.25" customHeight="1" x14ac:dyDescent="0.35">
      <c r="E26"/>
      <c r="S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K26" s="311"/>
      <c r="CM26" s="311"/>
      <c r="EX26" s="10" t="str">
        <f t="shared" si="0"/>
        <v/>
      </c>
    </row>
    <row r="27" spans="1:154" x14ac:dyDescent="0.35">
      <c r="A27" s="34"/>
      <c r="B27" s="34"/>
      <c r="C27" s="34"/>
      <c r="D27" s="34" t="s">
        <v>1845</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12"/>
      <c r="CM27" s="311"/>
      <c r="EX27" s="10" t="str">
        <f t="shared" si="0"/>
        <v/>
      </c>
    </row>
    <row r="28" spans="1:154" ht="8.25" customHeight="1" x14ac:dyDescent="0.35">
      <c r="E28"/>
      <c r="S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K28" s="311"/>
      <c r="CM28" s="311"/>
      <c r="EX28" s="10" t="str">
        <f t="shared" si="0"/>
        <v/>
      </c>
    </row>
    <row r="29" spans="1:154" x14ac:dyDescent="0.35">
      <c r="D29" t="s">
        <v>44</v>
      </c>
      <c r="E29"/>
      <c r="V29" s="106"/>
      <c r="W29" s="106"/>
      <c r="X29" s="106"/>
      <c r="Y29" s="106"/>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K29" s="312"/>
      <c r="CM29" s="311"/>
      <c r="EX29" s="10" t="str">
        <f t="shared" si="0"/>
        <v/>
      </c>
    </row>
    <row r="30" spans="1:154" x14ac:dyDescent="0.35">
      <c r="E30"/>
      <c r="S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K30" s="312"/>
      <c r="CM30" s="311"/>
      <c r="EX30" s="10" t="str">
        <f t="shared" si="0"/>
        <v/>
      </c>
    </row>
    <row r="31" spans="1:154" x14ac:dyDescent="0.35">
      <c r="D31" t="str">
        <f>Ratios!D$43</f>
        <v xml:space="preserve">EBITDA - standard </v>
      </c>
      <c r="E31"/>
      <c r="S31" s="4"/>
      <c r="V31" s="10">
        <f>Ratios!V$43</f>
        <v>0</v>
      </c>
      <c r="W31" s="10">
        <f>Ratios!W$43</f>
        <v>0</v>
      </c>
      <c r="X31" s="10">
        <f>Ratios!X$43</f>
        <v>0</v>
      </c>
      <c r="Y31" s="10">
        <f>Ratios!Y$43</f>
        <v>0</v>
      </c>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K31" s="312"/>
      <c r="CM31" s="311"/>
      <c r="EX31" s="10" t="str">
        <f t="shared" si="0"/>
        <v/>
      </c>
    </row>
    <row r="32" spans="1:154" x14ac:dyDescent="0.35">
      <c r="D32" t="str">
        <f>Ratios!D$44</f>
        <v>EBITDA as a % of adjusted income - standard</v>
      </c>
      <c r="E32"/>
      <c r="S32" s="4"/>
      <c r="V32" s="313">
        <f>Ratios!V$44</f>
        <v>0</v>
      </c>
      <c r="W32" s="313">
        <f>Ratios!W$44</f>
        <v>0</v>
      </c>
      <c r="X32" s="313">
        <f>Ratios!X$44</f>
        <v>0</v>
      </c>
      <c r="Y32" s="313">
        <f>Ratios!Y$44</f>
        <v>0</v>
      </c>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K32" s="312"/>
      <c r="CM32" s="311"/>
      <c r="EX32" s="10" t="str">
        <f t="shared" si="0"/>
        <v/>
      </c>
    </row>
    <row r="33" spans="2:154" ht="8.25" customHeight="1" x14ac:dyDescent="0.35">
      <c r="E33"/>
      <c r="S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K33" s="311"/>
      <c r="CM33" s="311"/>
      <c r="EX33" s="10" t="str">
        <f t="shared" si="0"/>
        <v/>
      </c>
    </row>
    <row r="34" spans="2:154" x14ac:dyDescent="0.35">
      <c r="D34" t="str">
        <f>Ratios!D$45</f>
        <v xml:space="preserve">EBITDA - education specific </v>
      </c>
      <c r="E34"/>
      <c r="S34" s="4"/>
      <c r="V34" s="10">
        <f>Ratios!V$45</f>
        <v>0</v>
      </c>
      <c r="W34" s="10">
        <f>Ratios!W$45</f>
        <v>0</v>
      </c>
      <c r="X34" s="10">
        <f>Ratios!X$45</f>
        <v>0</v>
      </c>
      <c r="Y34" s="10">
        <f>Ratios!Y$45</f>
        <v>0</v>
      </c>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K34" s="312"/>
      <c r="CM34" s="311"/>
      <c r="EX34" s="10" t="str">
        <f t="shared" si="0"/>
        <v/>
      </c>
    </row>
    <row r="35" spans="2:154" x14ac:dyDescent="0.35">
      <c r="D35" t="str">
        <f>Ratios!D$46</f>
        <v>EBITDA as a % of adjusted income - education specific</v>
      </c>
      <c r="E35"/>
      <c r="S35" s="4"/>
      <c r="V35" s="313">
        <f>Ratios!V$46</f>
        <v>0</v>
      </c>
      <c r="W35" s="313">
        <f>Ratios!W$46</f>
        <v>0</v>
      </c>
      <c r="X35" s="313">
        <f>Ratios!X$46</f>
        <v>0</v>
      </c>
      <c r="Y35" s="313">
        <f>Ratios!Y$46</f>
        <v>0</v>
      </c>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K35" s="312"/>
      <c r="CM35" s="311"/>
      <c r="EX35" s="10" t="str">
        <f t="shared" si="0"/>
        <v/>
      </c>
    </row>
    <row r="36" spans="2:154" x14ac:dyDescent="0.35">
      <c r="D36" t="s">
        <v>1889</v>
      </c>
      <c r="E36"/>
      <c r="S36" s="4"/>
      <c r="V36" s="313" t="str">
        <f>IF(Dashboard!$F$19="", "", Dashboard!$F$19)</f>
        <v/>
      </c>
      <c r="W36" s="313" t="str">
        <f>IF(Dashboard!$F$19="", "", Dashboard!$F$19)</f>
        <v/>
      </c>
      <c r="X36" s="313" t="str">
        <f>IF(Dashboard!$F$19="", "", Dashboard!$F$19)</f>
        <v/>
      </c>
      <c r="Y36" s="313" t="str">
        <f>IF(Dashboard!$F$19="", "", Dashboard!$F$19)</f>
        <v/>
      </c>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K36" s="312"/>
      <c r="CM36" s="311"/>
      <c r="EX36" s="10" t="str">
        <f t="shared" si="0"/>
        <v/>
      </c>
    </row>
    <row r="37" spans="2:154" x14ac:dyDescent="0.35">
      <c r="E37"/>
      <c r="S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K37" s="312"/>
      <c r="CM37" s="311"/>
      <c r="EX37" s="10" t="str">
        <f t="shared" si="0"/>
        <v/>
      </c>
    </row>
    <row r="38" spans="2:154" x14ac:dyDescent="0.35">
      <c r="D38" t="str">
        <f>Ratios!D$41</f>
        <v>Adjusted Operating Surplus (Deficit)</v>
      </c>
      <c r="E38"/>
      <c r="S38" s="4"/>
      <c r="V38" s="10">
        <f>Ratios!V$41</f>
        <v>0</v>
      </c>
      <c r="W38" s="10">
        <f>Ratios!W$41</f>
        <v>0</v>
      </c>
      <c r="X38" s="10">
        <f>Ratios!X$41</f>
        <v>0</v>
      </c>
      <c r="Y38" s="10">
        <f>Ratios!Y$41</f>
        <v>0</v>
      </c>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K38" s="312"/>
      <c r="CM38" s="311"/>
      <c r="EX38" s="10" t="str">
        <f t="shared" si="0"/>
        <v/>
      </c>
    </row>
    <row r="39" spans="2:154" x14ac:dyDescent="0.35">
      <c r="D39" t="str">
        <f>Ratios!D$42</f>
        <v>Adjusted Operating Ratio</v>
      </c>
      <c r="E39"/>
      <c r="S39" s="4"/>
      <c r="V39" s="313">
        <f>Ratios!V$42</f>
        <v>0</v>
      </c>
      <c r="W39" s="313">
        <f>Ratios!W$42</f>
        <v>0</v>
      </c>
      <c r="X39" s="313">
        <f>Ratios!X$42</f>
        <v>0</v>
      </c>
      <c r="Y39" s="313">
        <f>Ratios!Y$42</f>
        <v>0</v>
      </c>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K39" s="312"/>
      <c r="CM39" s="311"/>
      <c r="EX39" s="10" t="str">
        <f t="shared" si="0"/>
        <v/>
      </c>
    </row>
    <row r="40" spans="2:154" x14ac:dyDescent="0.35">
      <c r="E40"/>
      <c r="S40" s="4"/>
      <c r="V40" s="313">
        <f>Parameters!$F$102</f>
        <v>0</v>
      </c>
      <c r="W40" s="313">
        <f>Parameters!$F$102</f>
        <v>0</v>
      </c>
      <c r="X40" s="313">
        <f>Parameters!$F$102</f>
        <v>0</v>
      </c>
      <c r="Y40" s="313">
        <f>Parameters!$F$102</f>
        <v>0</v>
      </c>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K40" s="312"/>
      <c r="CM40" s="311"/>
      <c r="EX40" s="10" t="str">
        <f t="shared" ref="EX40:EX69" si="5">IF($C40="","",$D40)</f>
        <v/>
      </c>
    </row>
    <row r="41" spans="2:154" x14ac:dyDescent="0.35">
      <c r="D41" t="s">
        <v>1890</v>
      </c>
      <c r="E41"/>
      <c r="S41" s="4"/>
      <c r="V41" s="313" t="str">
        <f>IF(Dashboard!$F$31="", "", Dashboard!$F$31)</f>
        <v/>
      </c>
      <c r="W41" s="313" t="str">
        <f>IF(Dashboard!$F$31="", "", Dashboard!$F$31)</f>
        <v/>
      </c>
      <c r="X41" s="313" t="str">
        <f>IF(Dashboard!$F$31="", "", Dashboard!$F$31)</f>
        <v/>
      </c>
      <c r="Y41" s="313" t="str">
        <f>IF(Dashboard!$F$31="", "", Dashboard!$F$31)</f>
        <v/>
      </c>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K41" s="312"/>
      <c r="CM41" s="311"/>
      <c r="EX41" s="10" t="str">
        <f t="shared" si="5"/>
        <v/>
      </c>
    </row>
    <row r="42" spans="2:154" x14ac:dyDescent="0.35">
      <c r="S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K42" s="312"/>
      <c r="CM42" s="311"/>
      <c r="EX42" s="10" t="str">
        <f t="shared" si="5"/>
        <v/>
      </c>
    </row>
    <row r="43" spans="2:154" x14ac:dyDescent="0.35">
      <c r="B43" s="5" t="s">
        <v>1891</v>
      </c>
      <c r="D43" t="str">
        <f>Ratios!D$31</f>
        <v>Debt Service Cover Ratio</v>
      </c>
      <c r="S43" s="4"/>
      <c r="V43" s="240">
        <f>Ratios!V$31</f>
        <v>0</v>
      </c>
      <c r="W43" s="240">
        <f>Ratios!W$31</f>
        <v>0</v>
      </c>
      <c r="X43" s="240">
        <f>Ratios!X$31</f>
        <v>0</v>
      </c>
      <c r="Y43" s="240">
        <f>Ratios!Y$31</f>
        <v>0</v>
      </c>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K43" s="312"/>
      <c r="CM43" s="311"/>
      <c r="EX43" s="10" t="str">
        <f t="shared" si="5"/>
        <v/>
      </c>
    </row>
    <row r="44" spans="2:154" x14ac:dyDescent="0.35">
      <c r="E44" s="10"/>
      <c r="S44" s="4"/>
      <c r="V44" s="240">
        <f>Parameters!$F$103</f>
        <v>0</v>
      </c>
      <c r="W44" s="240">
        <f>Parameters!$F$103</f>
        <v>0</v>
      </c>
      <c r="X44" s="240">
        <f>Parameters!$F$103</f>
        <v>0</v>
      </c>
      <c r="Y44" s="240">
        <f>Parameters!$F$103</f>
        <v>0</v>
      </c>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K44" s="312"/>
      <c r="CM44" s="311"/>
      <c r="EX44" s="10" t="str">
        <f t="shared" si="5"/>
        <v/>
      </c>
    </row>
    <row r="45" spans="2:154" x14ac:dyDescent="0.35">
      <c r="D45" t="s">
        <v>1892</v>
      </c>
      <c r="E45"/>
      <c r="S45" s="4"/>
      <c r="V45" s="240" t="str">
        <f>IF(Dashboard!$F$45="", "", Dashboard!$F$45)</f>
        <v/>
      </c>
      <c r="W45" s="240" t="str">
        <f>IF(Dashboard!$F$45="", "", Dashboard!$F$45)</f>
        <v/>
      </c>
      <c r="X45" s="240" t="str">
        <f>IF(Dashboard!$F$45="", "", Dashboard!$F$45)</f>
        <v/>
      </c>
      <c r="Y45" s="240" t="str">
        <f>IF(Dashboard!$F$45="", "", Dashboard!$F$45)</f>
        <v/>
      </c>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K45" s="312"/>
      <c r="CM45" s="311"/>
      <c r="EX45" s="10" t="str">
        <f t="shared" si="5"/>
        <v/>
      </c>
    </row>
    <row r="46" spans="2:154" ht="8.25" customHeight="1" x14ac:dyDescent="0.35">
      <c r="E46"/>
      <c r="S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K46" s="311"/>
      <c r="CM46" s="311"/>
      <c r="EX46" s="10" t="str">
        <f t="shared" si="5"/>
        <v/>
      </c>
    </row>
    <row r="47" spans="2:154" x14ac:dyDescent="0.35">
      <c r="D47" t="str">
        <f>Ratios!D$33</f>
        <v>Borrowing as a % of adjusted income</v>
      </c>
      <c r="E47"/>
      <c r="S47" s="4"/>
      <c r="V47" s="313">
        <f>Ratios!V$33</f>
        <v>0</v>
      </c>
      <c r="W47" s="313">
        <f>Ratios!W$33</f>
        <v>0</v>
      </c>
      <c r="X47" s="313">
        <f>Ratios!X$33</f>
        <v>0</v>
      </c>
      <c r="Y47" s="313">
        <f>Ratios!Y$33</f>
        <v>0</v>
      </c>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K47" s="312"/>
      <c r="CM47" s="311"/>
      <c r="EX47" s="10" t="str">
        <f t="shared" si="5"/>
        <v/>
      </c>
    </row>
    <row r="48" spans="2:154" x14ac:dyDescent="0.35">
      <c r="D48" t="s">
        <v>1893</v>
      </c>
      <c r="E48"/>
      <c r="S48" s="4"/>
      <c r="V48" s="313" t="str">
        <f>IF(Dashboard!$F$57="", "", Dashboard!$F$57)</f>
        <v/>
      </c>
      <c r="W48" s="313" t="str">
        <f>IF(Dashboard!$F$57="", "", Dashboard!$F$57)</f>
        <v/>
      </c>
      <c r="X48" s="313" t="str">
        <f>IF(Dashboard!$F$57="", "", Dashboard!$F$57)</f>
        <v/>
      </c>
      <c r="Y48" s="313" t="str">
        <f>IF(Dashboard!$F$57="", "", Dashboard!$F$57)</f>
        <v/>
      </c>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K48" s="312"/>
      <c r="CM48" s="311"/>
      <c r="EX48" s="10" t="str">
        <f t="shared" si="5"/>
        <v/>
      </c>
    </row>
    <row r="49" spans="1:154" x14ac:dyDescent="0.35">
      <c r="E49"/>
      <c r="S49" s="4"/>
      <c r="V49" s="313"/>
      <c r="W49" s="313"/>
      <c r="X49" s="313"/>
      <c r="Y49" s="31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K49" s="312"/>
      <c r="CM49" s="311"/>
      <c r="EX49" s="10" t="str">
        <f t="shared" si="5"/>
        <v/>
      </c>
    </row>
    <row r="50" spans="1:154" x14ac:dyDescent="0.35">
      <c r="S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K50" s="312"/>
      <c r="CM50" s="311"/>
      <c r="EX50" s="10" t="str">
        <f t="shared" si="5"/>
        <v/>
      </c>
    </row>
    <row r="51" spans="1:154" x14ac:dyDescent="0.35">
      <c r="B51" s="5" t="s">
        <v>1894</v>
      </c>
      <c r="D51" t="str">
        <f>Ratios!D$20</f>
        <v>Adjusted unrestricted cash days in hand</v>
      </c>
      <c r="S51" s="4"/>
      <c r="V51" s="10">
        <f>Ratios!V$20</f>
        <v>0</v>
      </c>
      <c r="W51" s="10">
        <f>Ratios!W$20</f>
        <v>0</v>
      </c>
      <c r="X51" s="10">
        <f>Ratios!X$20</f>
        <v>0</v>
      </c>
      <c r="Y51" s="10">
        <f>Ratios!Y$20</f>
        <v>0</v>
      </c>
      <c r="Z51" s="4"/>
      <c r="AA51" s="10">
        <f>Ratios!AA$20</f>
        <v>0</v>
      </c>
      <c r="AB51" s="10">
        <f>Ratios!AB$20</f>
        <v>0</v>
      </c>
      <c r="AC51" s="10">
        <f>Ratios!AC$20</f>
        <v>0</v>
      </c>
      <c r="AD51" s="10">
        <f>Ratios!AD$20</f>
        <v>0</v>
      </c>
      <c r="AE51" s="10">
        <f>Ratios!AE$20</f>
        <v>0</v>
      </c>
      <c r="AF51" s="10">
        <f>Ratios!AF$20</f>
        <v>0</v>
      </c>
      <c r="AG51" s="10">
        <f>Ratios!AG$20</f>
        <v>0</v>
      </c>
      <c r="AH51" s="10">
        <f>Ratios!AH$20</f>
        <v>0</v>
      </c>
      <c r="AI51" s="10">
        <f>Ratios!AI$20</f>
        <v>0</v>
      </c>
      <c r="AJ51" s="10">
        <f>Ratios!AJ$20</f>
        <v>0</v>
      </c>
      <c r="AK51" s="10">
        <f>Ratios!AK$20</f>
        <v>0</v>
      </c>
      <c r="AL51" s="10">
        <f>Ratios!AL$20</f>
        <v>0</v>
      </c>
      <c r="AM51" s="10">
        <f>Ratios!AM$20</f>
        <v>0</v>
      </c>
      <c r="AN51" s="10">
        <f>Ratios!AN$20</f>
        <v>0</v>
      </c>
      <c r="AO51" s="10">
        <f>Ratios!AO$20</f>
        <v>0</v>
      </c>
      <c r="AP51" s="10">
        <f>Ratios!AP$20</f>
        <v>0</v>
      </c>
      <c r="AQ51" s="10">
        <f>Ratios!AQ$20</f>
        <v>0</v>
      </c>
      <c r="AR51" s="10">
        <f>Ratios!AR$20</f>
        <v>0</v>
      </c>
      <c r="AS51" s="10">
        <f>Ratios!AS$20</f>
        <v>0</v>
      </c>
      <c r="AT51" s="10">
        <f>Ratios!AT$20</f>
        <v>0</v>
      </c>
      <c r="AU51" s="10">
        <f>Ratios!AU$20</f>
        <v>0</v>
      </c>
      <c r="AV51" s="10">
        <f>Ratios!AV$20</f>
        <v>0</v>
      </c>
      <c r="AW51" s="10">
        <f>Ratios!AW$20</f>
        <v>0</v>
      </c>
      <c r="AX51" s="10">
        <f>Ratios!AX$20</f>
        <v>0</v>
      </c>
      <c r="AY51" s="10">
        <f>Ratios!AY$20</f>
        <v>0</v>
      </c>
      <c r="AZ51" s="10">
        <f>Ratios!AZ$20</f>
        <v>0</v>
      </c>
      <c r="BA51" s="10">
        <f>Ratios!BA$20</f>
        <v>0</v>
      </c>
      <c r="BB51" s="10">
        <f>Ratios!BB$20</f>
        <v>0</v>
      </c>
      <c r="BC51" s="10">
        <f>Ratios!BC$20</f>
        <v>0</v>
      </c>
      <c r="BD51" s="10">
        <f>Ratios!BD$20</f>
        <v>0</v>
      </c>
      <c r="BE51" s="10">
        <f>Ratios!BE$20</f>
        <v>0</v>
      </c>
      <c r="BF51" s="10">
        <f>Ratios!BF$20</f>
        <v>0</v>
      </c>
      <c r="BG51" s="10">
        <f>Ratios!BG$20</f>
        <v>0</v>
      </c>
      <c r="BH51" s="10">
        <f>Ratios!BH$20</f>
        <v>0</v>
      </c>
      <c r="BI51" s="10">
        <f>Ratios!BI$20</f>
        <v>0</v>
      </c>
      <c r="BJ51" s="10">
        <f>Ratios!BJ$20</f>
        <v>0</v>
      </c>
      <c r="BK51" s="4"/>
      <c r="BL51" s="4"/>
      <c r="BM51" s="4"/>
      <c r="BN51" s="4"/>
      <c r="BO51" s="4"/>
      <c r="BP51" s="4"/>
      <c r="BQ51" s="4"/>
      <c r="BR51" s="4"/>
      <c r="BS51" s="4"/>
      <c r="BT51" s="4"/>
      <c r="BU51" s="4"/>
      <c r="BV51" s="4"/>
      <c r="BW51" s="4"/>
      <c r="BX51" s="10">
        <f>Ratios!BX$20</f>
        <v>0</v>
      </c>
      <c r="BY51" s="10">
        <f>Ratios!BY$20</f>
        <v>0</v>
      </c>
      <c r="BZ51" s="10">
        <f>Ratios!BZ$20</f>
        <v>0</v>
      </c>
      <c r="CA51" s="10">
        <f>Ratios!CA$20</f>
        <v>0</v>
      </c>
      <c r="CB51" s="10">
        <f>Ratios!CB$20</f>
        <v>0</v>
      </c>
      <c r="CC51" s="10">
        <f>Ratios!CC$20</f>
        <v>0</v>
      </c>
      <c r="CD51" s="10">
        <f>Ratios!CD$20</f>
        <v>0</v>
      </c>
      <c r="CE51" s="10">
        <f>Ratios!CE$20</f>
        <v>0</v>
      </c>
      <c r="CF51" s="10">
        <f>Ratios!CF$20</f>
        <v>0</v>
      </c>
      <c r="CG51" s="10">
        <f>Ratios!CG$20</f>
        <v>0</v>
      </c>
      <c r="CH51" s="10">
        <f>Ratios!CH$20</f>
        <v>0</v>
      </c>
      <c r="CI51" s="10">
        <f>Ratios!CI$20</f>
        <v>0</v>
      </c>
      <c r="CK51" s="312"/>
      <c r="CM51" s="311"/>
      <c r="EX51" s="10" t="str">
        <f t="shared" si="5"/>
        <v/>
      </c>
    </row>
    <row r="52" spans="1:154" x14ac:dyDescent="0.35">
      <c r="B52" s="5"/>
      <c r="E52" s="10"/>
      <c r="S52" s="4"/>
      <c r="V52" s="10">
        <f>$E$52</f>
        <v>0</v>
      </c>
      <c r="W52" s="10">
        <f>$E$52</f>
        <v>0</v>
      </c>
      <c r="X52" s="10">
        <f>$E$52</f>
        <v>0</v>
      </c>
      <c r="Y52" s="10">
        <f>$E$52</f>
        <v>0</v>
      </c>
      <c r="Z52" s="4"/>
      <c r="AA52" s="10">
        <f t="shared" ref="AA52:BJ52" si="6">$E$52</f>
        <v>0</v>
      </c>
      <c r="AB52" s="10">
        <f t="shared" si="6"/>
        <v>0</v>
      </c>
      <c r="AC52" s="10">
        <f t="shared" si="6"/>
        <v>0</v>
      </c>
      <c r="AD52" s="10">
        <f t="shared" si="6"/>
        <v>0</v>
      </c>
      <c r="AE52" s="10">
        <f t="shared" si="6"/>
        <v>0</v>
      </c>
      <c r="AF52" s="10">
        <f t="shared" si="6"/>
        <v>0</v>
      </c>
      <c r="AG52" s="10">
        <f t="shared" si="6"/>
        <v>0</v>
      </c>
      <c r="AH52" s="10">
        <f t="shared" si="6"/>
        <v>0</v>
      </c>
      <c r="AI52" s="10">
        <f t="shared" si="6"/>
        <v>0</v>
      </c>
      <c r="AJ52" s="10">
        <f t="shared" si="6"/>
        <v>0</v>
      </c>
      <c r="AK52" s="10">
        <f t="shared" si="6"/>
        <v>0</v>
      </c>
      <c r="AL52" s="10">
        <f t="shared" si="6"/>
        <v>0</v>
      </c>
      <c r="AM52" s="10">
        <f t="shared" si="6"/>
        <v>0</v>
      </c>
      <c r="AN52" s="10">
        <f t="shared" si="6"/>
        <v>0</v>
      </c>
      <c r="AO52" s="10">
        <f t="shared" si="6"/>
        <v>0</v>
      </c>
      <c r="AP52" s="10">
        <f t="shared" si="6"/>
        <v>0</v>
      </c>
      <c r="AQ52" s="10">
        <f t="shared" si="6"/>
        <v>0</v>
      </c>
      <c r="AR52" s="10">
        <f t="shared" si="6"/>
        <v>0</v>
      </c>
      <c r="AS52" s="10">
        <f t="shared" si="6"/>
        <v>0</v>
      </c>
      <c r="AT52" s="10">
        <f t="shared" si="6"/>
        <v>0</v>
      </c>
      <c r="AU52" s="10">
        <f t="shared" si="6"/>
        <v>0</v>
      </c>
      <c r="AV52" s="10">
        <f t="shared" si="6"/>
        <v>0</v>
      </c>
      <c r="AW52" s="10">
        <f t="shared" si="6"/>
        <v>0</v>
      </c>
      <c r="AX52" s="10">
        <f t="shared" si="6"/>
        <v>0</v>
      </c>
      <c r="AY52" s="10">
        <f t="shared" si="6"/>
        <v>0</v>
      </c>
      <c r="AZ52" s="10">
        <f t="shared" si="6"/>
        <v>0</v>
      </c>
      <c r="BA52" s="10">
        <f t="shared" si="6"/>
        <v>0</v>
      </c>
      <c r="BB52" s="10">
        <f t="shared" si="6"/>
        <v>0</v>
      </c>
      <c r="BC52" s="10">
        <f t="shared" si="6"/>
        <v>0</v>
      </c>
      <c r="BD52" s="10">
        <f t="shared" si="6"/>
        <v>0</v>
      </c>
      <c r="BE52" s="10">
        <f t="shared" si="6"/>
        <v>0</v>
      </c>
      <c r="BF52" s="10">
        <f t="shared" si="6"/>
        <v>0</v>
      </c>
      <c r="BG52" s="10">
        <f t="shared" si="6"/>
        <v>0</v>
      </c>
      <c r="BH52" s="10">
        <f t="shared" si="6"/>
        <v>0</v>
      </c>
      <c r="BI52" s="10">
        <f t="shared" si="6"/>
        <v>0</v>
      </c>
      <c r="BJ52" s="10">
        <f t="shared" si="6"/>
        <v>0</v>
      </c>
      <c r="BK52" s="4"/>
      <c r="BL52" s="4"/>
      <c r="BM52" s="4"/>
      <c r="BN52" s="4"/>
      <c r="BO52" s="4"/>
      <c r="BP52" s="4"/>
      <c r="BQ52" s="4"/>
      <c r="BR52" s="4"/>
      <c r="BS52" s="4"/>
      <c r="BT52" s="4"/>
      <c r="BU52" s="4"/>
      <c r="BV52" s="4"/>
      <c r="BW52" s="4"/>
      <c r="BX52" s="10">
        <f t="shared" ref="BX52:CI52" si="7">$E$52</f>
        <v>0</v>
      </c>
      <c r="BY52" s="10">
        <f t="shared" si="7"/>
        <v>0</v>
      </c>
      <c r="BZ52" s="10">
        <f t="shared" si="7"/>
        <v>0</v>
      </c>
      <c r="CA52" s="10">
        <f t="shared" si="7"/>
        <v>0</v>
      </c>
      <c r="CB52" s="10">
        <f t="shared" si="7"/>
        <v>0</v>
      </c>
      <c r="CC52" s="10">
        <f t="shared" si="7"/>
        <v>0</v>
      </c>
      <c r="CD52" s="10">
        <f t="shared" si="7"/>
        <v>0</v>
      </c>
      <c r="CE52" s="10">
        <f t="shared" si="7"/>
        <v>0</v>
      </c>
      <c r="CF52" s="10">
        <f t="shared" si="7"/>
        <v>0</v>
      </c>
      <c r="CG52" s="10">
        <f t="shared" si="7"/>
        <v>0</v>
      </c>
      <c r="CH52" s="10">
        <f t="shared" si="7"/>
        <v>0</v>
      </c>
      <c r="CI52" s="10">
        <f t="shared" si="7"/>
        <v>0</v>
      </c>
      <c r="CK52" s="312"/>
      <c r="CM52" s="311"/>
      <c r="EX52" s="10" t="str">
        <f t="shared" si="5"/>
        <v/>
      </c>
    </row>
    <row r="53" spans="1:154" x14ac:dyDescent="0.35">
      <c r="D53" t="s">
        <v>1895</v>
      </c>
      <c r="E53"/>
      <c r="S53" s="4"/>
      <c r="V53" s="10" t="str">
        <f>IF(Dashboard!$F$71="", "", Dashboard!$F$71)</f>
        <v/>
      </c>
      <c r="W53" s="10" t="str">
        <f>IF(Dashboard!$F$71="", "", Dashboard!$F$71)</f>
        <v/>
      </c>
      <c r="X53" s="10" t="str">
        <f>IF(Dashboard!$F$71="", "", Dashboard!$F$71)</f>
        <v/>
      </c>
      <c r="Y53" s="10" t="str">
        <f>IF(Dashboard!$F$71="", "", Dashboard!$F$71)</f>
        <v/>
      </c>
      <c r="Z53" s="4"/>
      <c r="AA53" s="10" t="str">
        <f>IF(Dashboard!$F$71="", "", Dashboard!$F$71)</f>
        <v/>
      </c>
      <c r="AB53" s="10" t="str">
        <f>IF(Dashboard!$F$71="", "", Dashboard!$F$71)</f>
        <v/>
      </c>
      <c r="AC53" s="10" t="str">
        <f>IF(Dashboard!$F$71="", "", Dashboard!$F$71)</f>
        <v/>
      </c>
      <c r="AD53" s="10" t="str">
        <f>IF(Dashboard!$F$71="", "", Dashboard!$F$71)</f>
        <v/>
      </c>
      <c r="AE53" s="10" t="str">
        <f>IF(Dashboard!$F$71="", "", Dashboard!$F$71)</f>
        <v/>
      </c>
      <c r="AF53" s="10" t="str">
        <f>IF(Dashboard!$F$71="", "", Dashboard!$F$71)</f>
        <v/>
      </c>
      <c r="AG53" s="10" t="str">
        <f>IF(Dashboard!$F$71="", "", Dashboard!$F$71)</f>
        <v/>
      </c>
      <c r="AH53" s="10" t="str">
        <f>IF(Dashboard!$F$71="", "", Dashboard!$F$71)</f>
        <v/>
      </c>
      <c r="AI53" s="10" t="str">
        <f>IF(Dashboard!$F$71="", "", Dashboard!$F$71)</f>
        <v/>
      </c>
      <c r="AJ53" s="10" t="str">
        <f>IF(Dashboard!$F$71="", "", Dashboard!$F$71)</f>
        <v/>
      </c>
      <c r="AK53" s="10" t="str">
        <f>IF(Dashboard!$F$71="", "", Dashboard!$F$71)</f>
        <v/>
      </c>
      <c r="AL53" s="10" t="str">
        <f>IF(Dashboard!$F$71="", "", Dashboard!$F$71)</f>
        <v/>
      </c>
      <c r="AM53" s="10" t="str">
        <f>IF(Dashboard!$F$71="", "", Dashboard!$F$71)</f>
        <v/>
      </c>
      <c r="AN53" s="10" t="str">
        <f>IF(Dashboard!$F$71="", "", Dashboard!$F$71)</f>
        <v/>
      </c>
      <c r="AO53" s="10" t="str">
        <f>IF(Dashboard!$F$71="", "", Dashboard!$F$71)</f>
        <v/>
      </c>
      <c r="AP53" s="10" t="str">
        <f>IF(Dashboard!$F$71="", "", Dashboard!$F$71)</f>
        <v/>
      </c>
      <c r="AQ53" s="10" t="str">
        <f>IF(Dashboard!$F$71="", "", Dashboard!$F$71)</f>
        <v/>
      </c>
      <c r="AR53" s="10" t="str">
        <f>IF(Dashboard!$F$71="", "", Dashboard!$F$71)</f>
        <v/>
      </c>
      <c r="AS53" s="10" t="str">
        <f>IF(Dashboard!$F$71="", "", Dashboard!$F$71)</f>
        <v/>
      </c>
      <c r="AT53" s="10" t="str">
        <f>IF(Dashboard!$F$71="", "", Dashboard!$F$71)</f>
        <v/>
      </c>
      <c r="AU53" s="10" t="str">
        <f>IF(Dashboard!$F$71="", "", Dashboard!$F$71)</f>
        <v/>
      </c>
      <c r="AV53" s="10" t="str">
        <f>IF(Dashboard!$F$71="", "", Dashboard!$F$71)</f>
        <v/>
      </c>
      <c r="AW53" s="10" t="str">
        <f>IF(Dashboard!$F$71="", "", Dashboard!$F$71)</f>
        <v/>
      </c>
      <c r="AX53" s="10" t="str">
        <f>IF(Dashboard!$F$71="", "", Dashboard!$F$71)</f>
        <v/>
      </c>
      <c r="AY53" s="10" t="str">
        <f>IF(Dashboard!$F$71="", "", Dashboard!$F$71)</f>
        <v/>
      </c>
      <c r="AZ53" s="10" t="str">
        <f>IF(Dashboard!$F$71="", "", Dashboard!$F$71)</f>
        <v/>
      </c>
      <c r="BA53" s="10" t="str">
        <f>IF(Dashboard!$F$71="", "", Dashboard!$F$71)</f>
        <v/>
      </c>
      <c r="BB53" s="10" t="str">
        <f>IF(Dashboard!$F$71="", "", Dashboard!$F$71)</f>
        <v/>
      </c>
      <c r="BC53" s="10" t="str">
        <f>IF(Dashboard!$F$71="", "", Dashboard!$F$71)</f>
        <v/>
      </c>
      <c r="BD53" s="10" t="str">
        <f>IF(Dashboard!$F$71="", "", Dashboard!$F$71)</f>
        <v/>
      </c>
      <c r="BE53" s="10" t="str">
        <f>IF(Dashboard!$F$71="", "", Dashboard!$F$71)</f>
        <v/>
      </c>
      <c r="BF53" s="10" t="str">
        <f>IF(Dashboard!$F$71="", "", Dashboard!$F$71)</f>
        <v/>
      </c>
      <c r="BG53" s="10" t="str">
        <f>IF(Dashboard!$F$71="", "", Dashboard!$F$71)</f>
        <v/>
      </c>
      <c r="BH53" s="10" t="str">
        <f>IF(Dashboard!$F$71="", "", Dashboard!$F$71)</f>
        <v/>
      </c>
      <c r="BI53" s="10" t="str">
        <f>IF(Dashboard!$F$71="", "", Dashboard!$F$71)</f>
        <v/>
      </c>
      <c r="BJ53" s="10" t="str">
        <f>IF(Dashboard!$F$71="", "", Dashboard!$F$71)</f>
        <v/>
      </c>
      <c r="BK53" s="4"/>
      <c r="BL53" s="4"/>
      <c r="BM53" s="4"/>
      <c r="BN53" s="4"/>
      <c r="BO53" s="4"/>
      <c r="BP53" s="4"/>
      <c r="BQ53" s="4"/>
      <c r="BR53" s="4"/>
      <c r="BS53" s="4"/>
      <c r="BT53" s="4"/>
      <c r="BU53" s="4"/>
      <c r="BV53" s="4"/>
      <c r="BW53" s="4"/>
      <c r="BX53" s="10" t="str">
        <f>IF(Dashboard!$F$71="", "", Dashboard!$F$71)</f>
        <v/>
      </c>
      <c r="BY53" s="10" t="str">
        <f>IF(Dashboard!$F$71="", "", Dashboard!$F$71)</f>
        <v/>
      </c>
      <c r="BZ53" s="10" t="str">
        <f>IF(Dashboard!$F$71="", "", Dashboard!$F$71)</f>
        <v/>
      </c>
      <c r="CA53" s="10" t="str">
        <f>IF(Dashboard!$F$71="", "", Dashboard!$F$71)</f>
        <v/>
      </c>
      <c r="CB53" s="10" t="str">
        <f>IF(Dashboard!$F$71="", "", Dashboard!$F$71)</f>
        <v/>
      </c>
      <c r="CC53" s="10" t="str">
        <f>IF(Dashboard!$F$71="", "", Dashboard!$F$71)</f>
        <v/>
      </c>
      <c r="CD53" s="10" t="str">
        <f>IF(Dashboard!$F$71="", "", Dashboard!$F$71)</f>
        <v/>
      </c>
      <c r="CE53" s="10" t="str">
        <f>IF(Dashboard!$F$71="", "", Dashboard!$F$71)</f>
        <v/>
      </c>
      <c r="CF53" s="10" t="str">
        <f>IF(Dashboard!$F$71="", "", Dashboard!$F$71)</f>
        <v/>
      </c>
      <c r="CG53" s="10" t="str">
        <f>IF(Dashboard!$F$71="", "", Dashboard!$F$71)</f>
        <v/>
      </c>
      <c r="CH53" s="10" t="str">
        <f>IF(Dashboard!$F$71="", "", Dashboard!$F$71)</f>
        <v/>
      </c>
      <c r="CI53" s="10" t="str">
        <f>IF(Dashboard!$F$71="", "", Dashboard!$F$71)</f>
        <v/>
      </c>
      <c r="CK53" s="312"/>
      <c r="CM53" s="311"/>
      <c r="EX53" s="10" t="str">
        <f t="shared" si="5"/>
        <v/>
      </c>
    </row>
    <row r="54" spans="1:154" x14ac:dyDescent="0.35">
      <c r="B54" s="5"/>
      <c r="E54"/>
      <c r="BK54" s="4"/>
      <c r="BL54" s="4"/>
      <c r="BM54" s="4"/>
      <c r="BN54" s="4"/>
      <c r="BO54" s="4"/>
      <c r="BP54" s="4"/>
      <c r="BQ54" s="4"/>
      <c r="BR54" s="4"/>
      <c r="BS54" s="4"/>
      <c r="BT54" s="4"/>
      <c r="BU54" s="4"/>
      <c r="BV54" s="4"/>
      <c r="CK54" s="312"/>
      <c r="CM54" s="311"/>
      <c r="EX54" s="10" t="str">
        <f t="shared" si="5"/>
        <v/>
      </c>
    </row>
    <row r="55" spans="1:154" x14ac:dyDescent="0.35">
      <c r="D55" t="str">
        <f>Ratios!D$22</f>
        <v>Current ratio</v>
      </c>
      <c r="E55"/>
      <c r="S55" s="4"/>
      <c r="V55" s="240">
        <f>Ratios!V$22</f>
        <v>0</v>
      </c>
      <c r="W55" s="240">
        <f>Ratios!W$22</f>
        <v>0</v>
      </c>
      <c r="X55" s="240">
        <f>Ratios!X$22</f>
        <v>0</v>
      </c>
      <c r="Y55" s="240">
        <f>Ratios!Y$22</f>
        <v>0</v>
      </c>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K55" s="312"/>
      <c r="CM55" s="311"/>
      <c r="EX55" s="10" t="str">
        <f t="shared" si="5"/>
        <v/>
      </c>
    </row>
    <row r="56" spans="1:154" x14ac:dyDescent="0.35">
      <c r="D56" t="str">
        <f>Ratios!D$23</f>
        <v>Adjusted current ratio</v>
      </c>
      <c r="E56"/>
      <c r="S56" s="4"/>
      <c r="V56" s="240">
        <f>Ratios!V$23</f>
        <v>0</v>
      </c>
      <c r="W56" s="240">
        <f>Ratios!W$23</f>
        <v>0</v>
      </c>
      <c r="X56" s="240">
        <f>Ratios!X$23</f>
        <v>0</v>
      </c>
      <c r="Y56" s="240">
        <f>Ratios!Y$23</f>
        <v>0</v>
      </c>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K56" s="312"/>
      <c r="CM56" s="311"/>
      <c r="EX56" s="10" t="str">
        <f t="shared" si="5"/>
        <v/>
      </c>
    </row>
    <row r="57" spans="1:154" x14ac:dyDescent="0.35">
      <c r="E57" s="10"/>
      <c r="S57" s="4"/>
      <c r="V57" s="240">
        <f>$E57</f>
        <v>0</v>
      </c>
      <c r="W57" s="240">
        <f>$E57</f>
        <v>0</v>
      </c>
      <c r="X57" s="240">
        <f>$E57</f>
        <v>0</v>
      </c>
      <c r="Y57" s="240">
        <f>$E57</f>
        <v>0</v>
      </c>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K57" s="312"/>
      <c r="CM57" s="311"/>
      <c r="EX57" s="10" t="str">
        <f t="shared" si="5"/>
        <v/>
      </c>
    </row>
    <row r="58" spans="1:154" x14ac:dyDescent="0.35">
      <c r="D58" t="s">
        <v>1896</v>
      </c>
      <c r="E58"/>
      <c r="S58" s="4"/>
      <c r="V58" s="240" t="str">
        <f>IF(Dashboard!$F$83="", "", Dashboard!$F$83)</f>
        <v/>
      </c>
      <c r="W58" s="240" t="str">
        <f>IF(Dashboard!$F$83="", "", Dashboard!$F$83)</f>
        <v/>
      </c>
      <c r="X58" s="240" t="str">
        <f>IF(Dashboard!$F$83="", "", Dashboard!$F$83)</f>
        <v/>
      </c>
      <c r="Y58" s="240" t="str">
        <f>IF(Dashboard!$F$83="", "", Dashboard!$F$83)</f>
        <v/>
      </c>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K58" s="312"/>
      <c r="CM58" s="311"/>
      <c r="EX58" s="10" t="str">
        <f t="shared" si="5"/>
        <v/>
      </c>
    </row>
    <row r="59" spans="1:154" x14ac:dyDescent="0.35">
      <c r="E59"/>
      <c r="S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K59" s="311"/>
      <c r="CM59" s="311"/>
      <c r="EX59" s="10" t="str">
        <f t="shared" si="5"/>
        <v/>
      </c>
    </row>
    <row r="60" spans="1:154" x14ac:dyDescent="0.35">
      <c r="D60" t="str">
        <f>Ratios!D$26</f>
        <v>Trade creditors days - non-pay expenditure</v>
      </c>
      <c r="E60"/>
      <c r="S60" s="4"/>
      <c r="V60" s="10">
        <f>Ratios!V$26</f>
        <v>0</v>
      </c>
      <c r="W60" s="10">
        <f>Ratios!W$26</f>
        <v>0</v>
      </c>
      <c r="X60" s="10">
        <f>Ratios!X$26</f>
        <v>0</v>
      </c>
      <c r="Y60" s="10">
        <f>Ratios!Y$26</f>
        <v>0</v>
      </c>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K60" s="312"/>
      <c r="CM60" s="311"/>
      <c r="EX60" s="10" t="str">
        <f t="shared" si="5"/>
        <v/>
      </c>
    </row>
    <row r="61" spans="1:154" x14ac:dyDescent="0.35">
      <c r="E61"/>
      <c r="S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K61" s="311"/>
      <c r="CM61" s="311"/>
      <c r="EX61" s="10" t="str">
        <f t="shared" si="5"/>
        <v/>
      </c>
    </row>
    <row r="62" spans="1:154" x14ac:dyDescent="0.35">
      <c r="A62" s="34"/>
      <c r="B62" s="34"/>
      <c r="C62" s="34"/>
      <c r="D62" s="34" t="s">
        <v>1857</v>
      </c>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11"/>
      <c r="CM62" s="311"/>
      <c r="EX62" s="10" t="str">
        <f t="shared" si="5"/>
        <v/>
      </c>
    </row>
    <row r="63" spans="1:154" x14ac:dyDescent="0.35">
      <c r="E63"/>
      <c r="S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K63" s="311"/>
      <c r="CM63" s="311"/>
      <c r="EX63" s="10" t="str">
        <f t="shared" si="5"/>
        <v/>
      </c>
    </row>
    <row r="64" spans="1:154" x14ac:dyDescent="0.35">
      <c r="S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K64" s="311"/>
      <c r="CM64" s="311"/>
      <c r="EX64" s="10" t="str">
        <f t="shared" si="5"/>
        <v/>
      </c>
    </row>
    <row r="65" spans="2:154" x14ac:dyDescent="0.35">
      <c r="B65" s="5" t="s">
        <v>1858</v>
      </c>
      <c r="E65"/>
      <c r="CK65" s="311"/>
      <c r="CM65" s="311"/>
      <c r="EX65" s="10" t="str">
        <f t="shared" si="5"/>
        <v/>
      </c>
    </row>
    <row r="66" spans="2:154" x14ac:dyDescent="0.35">
      <c r="D66" t="str">
        <f>'Fin Stat'!D13</f>
        <v>Total 14-19 Income</v>
      </c>
      <c r="E66"/>
      <c r="V66" s="99">
        <f>'Fin Stat'!V13</f>
        <v>0</v>
      </c>
      <c r="W66" s="99">
        <f>'Fin Stat'!W13</f>
        <v>0</v>
      </c>
      <c r="X66" s="99">
        <f>'Fin Stat'!X13</f>
        <v>0</v>
      </c>
      <c r="Y66" s="99">
        <f>'Fin Stat'!Y13</f>
        <v>0</v>
      </c>
      <c r="CK66" s="311"/>
      <c r="CM66" s="311"/>
      <c r="EX66" s="10" t="str">
        <f t="shared" si="5"/>
        <v/>
      </c>
    </row>
    <row r="67" spans="2:154" x14ac:dyDescent="0.35">
      <c r="D67" t="str">
        <f ca="1">'Fin Stat'!D14</f>
        <v>Total Apprenticeships Income</v>
      </c>
      <c r="E67"/>
      <c r="V67" s="99">
        <f>'Fin Stat'!V14</f>
        <v>0</v>
      </c>
      <c r="W67" s="99">
        <f>'Fin Stat'!W14</f>
        <v>0</v>
      </c>
      <c r="X67" s="99">
        <f>'Fin Stat'!X14</f>
        <v>0</v>
      </c>
      <c r="Y67" s="99">
        <f>'Fin Stat'!Y14</f>
        <v>0</v>
      </c>
      <c r="CK67" s="311"/>
      <c r="CM67" s="311"/>
      <c r="EX67" s="10" t="str">
        <f t="shared" si="5"/>
        <v/>
      </c>
    </row>
    <row r="68" spans="2:154" x14ac:dyDescent="0.35">
      <c r="D68" t="str">
        <f ca="1">'Fin Stat'!D15</f>
        <v>Total Adult Education and Training Income (Excluding clawbacks)</v>
      </c>
      <c r="E68"/>
      <c r="V68" s="99">
        <f>'Fin Stat'!V15</f>
        <v>0</v>
      </c>
      <c r="W68" s="99">
        <f>'Fin Stat'!W15</f>
        <v>0</v>
      </c>
      <c r="X68" s="99">
        <f>'Fin Stat'!X15</f>
        <v>0</v>
      </c>
      <c r="Y68" s="99">
        <f>'Fin Stat'!Y15</f>
        <v>0</v>
      </c>
      <c r="CK68" s="311"/>
      <c r="CM68" s="311"/>
      <c r="EX68" s="10" t="str">
        <f t="shared" si="5"/>
        <v/>
      </c>
    </row>
    <row r="69" spans="2:154" x14ac:dyDescent="0.35">
      <c r="D69" t="str">
        <f ca="1">'Fin Stat'!D16</f>
        <v>Total HE Income</v>
      </c>
      <c r="V69" s="99">
        <f>'Fin Stat'!V16</f>
        <v>0</v>
      </c>
      <c r="W69" s="99">
        <f>'Fin Stat'!W16</f>
        <v>0</v>
      </c>
      <c r="X69" s="99">
        <f>'Fin Stat'!X16</f>
        <v>0</v>
      </c>
      <c r="Y69" s="99">
        <f>'Fin Stat'!Y16</f>
        <v>0</v>
      </c>
      <c r="CK69" s="311"/>
      <c r="CM69" s="311"/>
      <c r="EX69" s="10" t="str">
        <f t="shared" si="5"/>
        <v/>
      </c>
    </row>
    <row r="70" spans="2:154" x14ac:dyDescent="0.35">
      <c r="D70" t="str">
        <f ca="1">'Fin Stat'!D17</f>
        <v>Total European Funding</v>
      </c>
      <c r="V70" s="99">
        <f>'Fin Stat'!V17</f>
        <v>0</v>
      </c>
      <c r="W70" s="99">
        <f>'Fin Stat'!W17</f>
        <v>0</v>
      </c>
      <c r="X70" s="99">
        <f>'Fin Stat'!X17</f>
        <v>0</v>
      </c>
      <c r="Y70" s="99">
        <f>'Fin Stat'!Y17</f>
        <v>0</v>
      </c>
      <c r="CK70" s="311"/>
      <c r="CM70" s="311"/>
      <c r="EX70" s="10"/>
    </row>
    <row r="71" spans="2:154" x14ac:dyDescent="0.35">
      <c r="D71" t="str">
        <f ca="1">'Fin Stat'!D19</f>
        <v>Total Other Income from Provision of Education and Training</v>
      </c>
      <c r="V71" s="99">
        <f>'Fin Stat'!V19</f>
        <v>0</v>
      </c>
      <c r="W71" s="99">
        <f>'Fin Stat'!W19</f>
        <v>0</v>
      </c>
      <c r="X71" s="99">
        <f>'Fin Stat'!X19</f>
        <v>0</v>
      </c>
      <c r="Y71" s="99">
        <f>'Fin Stat'!Y19</f>
        <v>0</v>
      </c>
      <c r="CK71" s="311"/>
      <c r="CM71" s="311"/>
      <c r="EX71" s="10" t="str">
        <f t="shared" ref="EX71:EX103" si="8">IF($C71="","",$D71)</f>
        <v/>
      </c>
    </row>
    <row r="72" spans="2:154" x14ac:dyDescent="0.35">
      <c r="D72" t="str">
        <f ca="1">'Fin Stat'!D20</f>
        <v>Total commercial income</v>
      </c>
      <c r="V72" s="99">
        <f>'Fin Stat'!V20</f>
        <v>0</v>
      </c>
      <c r="W72" s="99">
        <f>'Fin Stat'!W20</f>
        <v>0</v>
      </c>
      <c r="X72" s="99">
        <f>'Fin Stat'!X20</f>
        <v>0</v>
      </c>
      <c r="Y72" s="99">
        <f>'Fin Stat'!Y20</f>
        <v>0</v>
      </c>
      <c r="CK72" s="311"/>
      <c r="CM72" s="311"/>
      <c r="EX72" s="10" t="str">
        <f t="shared" si="8"/>
        <v/>
      </c>
    </row>
    <row r="73" spans="2:154" x14ac:dyDescent="0.35">
      <c r="D73" t="str">
        <f ca="1">'Fin Stat'!D21</f>
        <v>Total Other Income</v>
      </c>
      <c r="V73" s="99">
        <f>'Fin Stat'!V21</f>
        <v>0</v>
      </c>
      <c r="W73" s="99">
        <f>'Fin Stat'!W21</f>
        <v>0</v>
      </c>
      <c r="X73" s="99">
        <f>'Fin Stat'!X21</f>
        <v>0</v>
      </c>
      <c r="Y73" s="99">
        <f>'Fin Stat'!Y21</f>
        <v>0</v>
      </c>
      <c r="CK73" s="311"/>
      <c r="CM73" s="311"/>
      <c r="EX73" s="10" t="str">
        <f t="shared" si="8"/>
        <v/>
      </c>
    </row>
    <row r="74" spans="2:154" x14ac:dyDescent="0.35">
      <c r="D74" t="str">
        <f ca="1">'Fin Stat'!D22</f>
        <v>Total Funding Support</v>
      </c>
      <c r="V74" s="99">
        <f>'Fin Stat'!V22</f>
        <v>0</v>
      </c>
      <c r="W74" s="99">
        <f>'Fin Stat'!W22</f>
        <v>0</v>
      </c>
      <c r="X74" s="99">
        <f>'Fin Stat'!X22</f>
        <v>0</v>
      </c>
      <c r="Y74" s="99">
        <f>'Fin Stat'!Y22</f>
        <v>0</v>
      </c>
      <c r="CK74" s="311"/>
      <c r="CM74" s="311"/>
      <c r="EX74" s="10" t="str">
        <f t="shared" si="8"/>
        <v/>
      </c>
    </row>
    <row r="75" spans="2:154" x14ac:dyDescent="0.35">
      <c r="D75" t="str">
        <f ca="1">'Fin Stat'!D23</f>
        <v>Total gifts and donated assets</v>
      </c>
      <c r="V75" s="99">
        <f>'Fin Stat'!V23</f>
        <v>0</v>
      </c>
      <c r="W75" s="99">
        <f>'Fin Stat'!W23</f>
        <v>0</v>
      </c>
      <c r="X75" s="99">
        <f>'Fin Stat'!X23</f>
        <v>0</v>
      </c>
      <c r="Y75" s="99">
        <f>'Fin Stat'!Y23</f>
        <v>0</v>
      </c>
      <c r="CK75" s="311"/>
      <c r="CM75" s="311"/>
      <c r="EX75" s="10" t="str">
        <f t="shared" si="8"/>
        <v/>
      </c>
    </row>
    <row r="76" spans="2:154" x14ac:dyDescent="0.35">
      <c r="D76" s="5" t="str">
        <f>'Fin Stat'!D24</f>
        <v>Total Operating Income</v>
      </c>
      <c r="V76" s="12">
        <f>SUM(V66:V75)</f>
        <v>0</v>
      </c>
      <c r="W76" s="12">
        <f>SUM(W66:W74)</f>
        <v>0</v>
      </c>
      <c r="X76" s="12">
        <f>SUM(X66:X74)</f>
        <v>0</v>
      </c>
      <c r="Y76" s="12">
        <f>SUM(Y66:Y74)</f>
        <v>0</v>
      </c>
      <c r="CK76" s="311"/>
      <c r="CM76" s="311"/>
      <c r="EX76" s="10" t="str">
        <f t="shared" si="8"/>
        <v/>
      </c>
    </row>
    <row r="77" spans="2:154" x14ac:dyDescent="0.35">
      <c r="D77" t="str">
        <f>'Fin Stat'!D25</f>
        <v>Of which: subcontracted out</v>
      </c>
      <c r="S77" s="4"/>
      <c r="V77" s="99">
        <f>'Fin Stat'!V25</f>
        <v>0</v>
      </c>
      <c r="W77" s="99">
        <f>'Fin Stat'!W25</f>
        <v>0</v>
      </c>
      <c r="X77" s="99">
        <f>'Fin Stat'!X25</f>
        <v>0</v>
      </c>
      <c r="Y77" s="99">
        <f>'Fin Stat'!Y25</f>
        <v>0</v>
      </c>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K77" s="311"/>
      <c r="CM77" s="311"/>
      <c r="EX77" s="10" t="str">
        <f t="shared" si="8"/>
        <v/>
      </c>
    </row>
    <row r="78" spans="2:154" x14ac:dyDescent="0.35">
      <c r="CK78" s="311"/>
      <c r="CM78" s="311"/>
      <c r="EX78" s="10" t="str">
        <f t="shared" si="8"/>
        <v/>
      </c>
    </row>
    <row r="79" spans="2:154" x14ac:dyDescent="0.35">
      <c r="D79" t="str">
        <f>Ratios!D$67</f>
        <v>Total Staff costs as % of Adjusted Income</v>
      </c>
      <c r="S79" s="4"/>
      <c r="V79" s="313">
        <f>Ratios!V$67</f>
        <v>0</v>
      </c>
      <c r="W79" s="313">
        <f>Ratios!W$67</f>
        <v>0</v>
      </c>
      <c r="X79" s="313">
        <f>Ratios!X$67</f>
        <v>0</v>
      </c>
      <c r="Y79" s="313">
        <f>Ratios!Y$67</f>
        <v>0</v>
      </c>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K79" s="311"/>
      <c r="CM79" s="311"/>
      <c r="EX79" s="10" t="str">
        <f t="shared" si="8"/>
        <v/>
      </c>
    </row>
    <row r="80" spans="2:154" ht="8.25" customHeight="1" x14ac:dyDescent="0.35">
      <c r="E80"/>
      <c r="CK80" s="311"/>
      <c r="CM80" s="311"/>
      <c r="EX80" s="10" t="str">
        <f t="shared" si="8"/>
        <v/>
      </c>
    </row>
    <row r="81" spans="1:154" x14ac:dyDescent="0.35">
      <c r="B81" s="5" t="s">
        <v>1530</v>
      </c>
      <c r="E81"/>
      <c r="CK81" s="311"/>
      <c r="CM81" s="311"/>
      <c r="EX81" s="10" t="str">
        <f t="shared" si="8"/>
        <v/>
      </c>
    </row>
    <row r="82" spans="1:154" x14ac:dyDescent="0.35">
      <c r="D82" s="5" t="s">
        <v>1585</v>
      </c>
      <c r="E82"/>
      <c r="V82" s="12">
        <f>'Fin Stat'!V$180</f>
        <v>0</v>
      </c>
      <c r="W82" s="12">
        <f>'Fin Stat'!W$180</f>
        <v>0</v>
      </c>
      <c r="X82" s="12">
        <f>'Fin Stat'!X$180</f>
        <v>0</v>
      </c>
      <c r="Y82" s="12">
        <f>'Fin Stat'!Y$180</f>
        <v>0</v>
      </c>
      <c r="AA82" s="12">
        <f>'Fin Stat'!AA$180</f>
        <v>0</v>
      </c>
      <c r="AB82" s="12">
        <f>'Fin Stat'!AB$180</f>
        <v>0</v>
      </c>
      <c r="AC82" s="12">
        <f>'Fin Stat'!AC$180</f>
        <v>0</v>
      </c>
      <c r="AD82" s="12">
        <f>'Fin Stat'!AD$180</f>
        <v>0</v>
      </c>
      <c r="AE82" s="12">
        <f>'Fin Stat'!AE$180</f>
        <v>0</v>
      </c>
      <c r="AF82" s="12">
        <f>'Fin Stat'!AF$180</f>
        <v>0</v>
      </c>
      <c r="AG82" s="12">
        <f>'Fin Stat'!AG$180</f>
        <v>0</v>
      </c>
      <c r="AH82" s="12">
        <f>'Fin Stat'!AH$180</f>
        <v>0</v>
      </c>
      <c r="AI82" s="12">
        <f>'Fin Stat'!AI$180</f>
        <v>0</v>
      </c>
      <c r="AJ82" s="12">
        <f>'Fin Stat'!AJ$180</f>
        <v>0</v>
      </c>
      <c r="AK82" s="12">
        <f>'Fin Stat'!AK$180</f>
        <v>0</v>
      </c>
      <c r="AL82" s="12">
        <f>'Fin Stat'!AL$180</f>
        <v>0</v>
      </c>
      <c r="AM82" s="12">
        <f>'Fin Stat'!AM$180</f>
        <v>0</v>
      </c>
      <c r="AN82" s="12">
        <f>'Fin Stat'!AN$180</f>
        <v>0</v>
      </c>
      <c r="AO82" s="12">
        <f>'Fin Stat'!AO$180</f>
        <v>0</v>
      </c>
      <c r="AP82" s="12">
        <f>'Fin Stat'!AP$180</f>
        <v>0</v>
      </c>
      <c r="AQ82" s="12">
        <f>'Fin Stat'!AQ$180</f>
        <v>0</v>
      </c>
      <c r="AR82" s="12">
        <f>'Fin Stat'!AR$180</f>
        <v>0</v>
      </c>
      <c r="AS82" s="12">
        <f>'Fin Stat'!AS$180</f>
        <v>0</v>
      </c>
      <c r="AT82" s="12">
        <f>'Fin Stat'!AT$180</f>
        <v>0</v>
      </c>
      <c r="AU82" s="12">
        <f>'Fin Stat'!AU$180</f>
        <v>0</v>
      </c>
      <c r="AV82" s="12">
        <f>'Fin Stat'!AV$180</f>
        <v>0</v>
      </c>
      <c r="AW82" s="12">
        <f>'Fin Stat'!AW$180</f>
        <v>0</v>
      </c>
      <c r="AX82" s="12">
        <f>'Fin Stat'!AX$180</f>
        <v>0</v>
      </c>
      <c r="AY82" s="12">
        <f>'Fin Stat'!AY$180</f>
        <v>0</v>
      </c>
      <c r="AZ82" s="12">
        <f>'Fin Stat'!AZ$180</f>
        <v>0</v>
      </c>
      <c r="BA82" s="12">
        <f>'Fin Stat'!BA$180</f>
        <v>0</v>
      </c>
      <c r="BB82" s="12">
        <f>'Fin Stat'!BB$180</f>
        <v>0</v>
      </c>
      <c r="BC82" s="12">
        <f>'Fin Stat'!BC$180</f>
        <v>0</v>
      </c>
      <c r="BD82" s="12">
        <f>'Fin Stat'!BD$180</f>
        <v>0</v>
      </c>
      <c r="BE82" s="12">
        <f>'Fin Stat'!BE$180</f>
        <v>0</v>
      </c>
      <c r="BF82" s="12">
        <f>'Fin Stat'!BF$180</f>
        <v>0</v>
      </c>
      <c r="BG82" s="12">
        <f>'Fin Stat'!BG$180</f>
        <v>0</v>
      </c>
      <c r="BH82" s="12">
        <f>'Fin Stat'!BH$180</f>
        <v>0</v>
      </c>
      <c r="BI82" s="12">
        <f>'Fin Stat'!BI$180</f>
        <v>0</v>
      </c>
      <c r="BJ82" s="12">
        <f>'Fin Stat'!BJ$180</f>
        <v>0</v>
      </c>
      <c r="BK82" s="4"/>
      <c r="BL82" s="4"/>
      <c r="BM82" s="4"/>
      <c r="BN82" s="4"/>
      <c r="BO82" s="4"/>
      <c r="BP82" s="4"/>
      <c r="BQ82" s="4"/>
      <c r="BR82" s="4"/>
      <c r="BS82" s="4"/>
      <c r="BT82" s="4"/>
      <c r="BU82" s="4"/>
      <c r="BV82" s="4"/>
      <c r="BX82" s="12">
        <f>'Fin Stat'!BX$180</f>
        <v>0</v>
      </c>
      <c r="BY82" s="12">
        <f>'Fin Stat'!BY$180</f>
        <v>0</v>
      </c>
      <c r="BZ82" s="12">
        <f>'Fin Stat'!BZ$180</f>
        <v>0</v>
      </c>
      <c r="CA82" s="12">
        <f>'Fin Stat'!CA$180</f>
        <v>0</v>
      </c>
      <c r="CB82" s="12">
        <f>'Fin Stat'!CB$180</f>
        <v>0</v>
      </c>
      <c r="CC82" s="12">
        <f>'Fin Stat'!CC$180</f>
        <v>0</v>
      </c>
      <c r="CD82" s="12">
        <f>'Fin Stat'!CD$180</f>
        <v>0</v>
      </c>
      <c r="CE82" s="12">
        <f>'Fin Stat'!CE$180</f>
        <v>0</v>
      </c>
      <c r="CF82" s="12">
        <f>'Fin Stat'!CF$180</f>
        <v>0</v>
      </c>
      <c r="CG82" s="12">
        <f>'Fin Stat'!CG$180</f>
        <v>0</v>
      </c>
      <c r="CH82" s="12">
        <f>'Fin Stat'!CH$180</f>
        <v>0</v>
      </c>
      <c r="CI82" s="12">
        <f>'Fin Stat'!CI$180</f>
        <v>0</v>
      </c>
      <c r="CK82" s="311"/>
      <c r="CM82" s="311"/>
      <c r="EX82" s="10" t="str">
        <f t="shared" si="8"/>
        <v/>
      </c>
    </row>
    <row r="83" spans="1:154" x14ac:dyDescent="0.35">
      <c r="D83" s="5" t="s">
        <v>1829</v>
      </c>
      <c r="V83" s="12">
        <f>'Fin Stat'!V186</f>
        <v>0</v>
      </c>
      <c r="W83" s="12">
        <f>'Fin Stat'!W186</f>
        <v>0</v>
      </c>
      <c r="X83" s="12">
        <f>'Fin Stat'!X186</f>
        <v>0</v>
      </c>
      <c r="Y83" s="12">
        <f>'Fin Stat'!Y186</f>
        <v>0</v>
      </c>
      <c r="AA83" s="12">
        <f>'Fin Stat'!AA186</f>
        <v>0</v>
      </c>
      <c r="AB83" s="12">
        <f>'Fin Stat'!AB186</f>
        <v>0</v>
      </c>
      <c r="AC83" s="12">
        <f>'Fin Stat'!AC186</f>
        <v>0</v>
      </c>
      <c r="AD83" s="12">
        <f>'Fin Stat'!AD186</f>
        <v>0</v>
      </c>
      <c r="AE83" s="12">
        <f>'Fin Stat'!AE186</f>
        <v>0</v>
      </c>
      <c r="AF83" s="12">
        <f>'Fin Stat'!AF186</f>
        <v>0</v>
      </c>
      <c r="AG83" s="12">
        <f>'Fin Stat'!AG186</f>
        <v>0</v>
      </c>
      <c r="AH83" s="12">
        <f>'Fin Stat'!AH186</f>
        <v>0</v>
      </c>
      <c r="AI83" s="12">
        <f>'Fin Stat'!AI186</f>
        <v>0</v>
      </c>
      <c r="AJ83" s="12">
        <f>'Fin Stat'!AJ186</f>
        <v>0</v>
      </c>
      <c r="AK83" s="12">
        <f>'Fin Stat'!AK186</f>
        <v>0</v>
      </c>
      <c r="AL83" s="12">
        <f>'Fin Stat'!AL186</f>
        <v>0</v>
      </c>
      <c r="AM83" s="12">
        <f>'Fin Stat'!AM186</f>
        <v>0</v>
      </c>
      <c r="AN83" s="12">
        <f>'Fin Stat'!AN186</f>
        <v>0</v>
      </c>
      <c r="AO83" s="12">
        <f>'Fin Stat'!AO186</f>
        <v>0</v>
      </c>
      <c r="AP83" s="12">
        <f>'Fin Stat'!AP186</f>
        <v>0</v>
      </c>
      <c r="AQ83" s="12">
        <f>'Fin Stat'!AQ186</f>
        <v>0</v>
      </c>
      <c r="AR83" s="12">
        <f>'Fin Stat'!AR186</f>
        <v>0</v>
      </c>
      <c r="AS83" s="12">
        <f>'Fin Stat'!AS186</f>
        <v>0</v>
      </c>
      <c r="AT83" s="12">
        <f>'Fin Stat'!AT186</f>
        <v>0</v>
      </c>
      <c r="AU83" s="12">
        <f>'Fin Stat'!AU186</f>
        <v>0</v>
      </c>
      <c r="AV83" s="12">
        <f>'Fin Stat'!AV186</f>
        <v>0</v>
      </c>
      <c r="AW83" s="12">
        <f>'Fin Stat'!AW186</f>
        <v>0</v>
      </c>
      <c r="AX83" s="12">
        <f>'Fin Stat'!AX186</f>
        <v>0</v>
      </c>
      <c r="AY83" s="12">
        <f>'Fin Stat'!AY186</f>
        <v>0</v>
      </c>
      <c r="AZ83" s="12">
        <f>'Fin Stat'!AZ186</f>
        <v>0</v>
      </c>
      <c r="BA83" s="12">
        <f>'Fin Stat'!BA186</f>
        <v>0</v>
      </c>
      <c r="BB83" s="12">
        <f>'Fin Stat'!BB186</f>
        <v>0</v>
      </c>
      <c r="BC83" s="12">
        <f>'Fin Stat'!BC186</f>
        <v>0</v>
      </c>
      <c r="BD83" s="12">
        <f>'Fin Stat'!BD186</f>
        <v>0</v>
      </c>
      <c r="BE83" s="12">
        <f>'Fin Stat'!BE186</f>
        <v>0</v>
      </c>
      <c r="BF83" s="12">
        <f>'Fin Stat'!BF186</f>
        <v>0</v>
      </c>
      <c r="BG83" s="12">
        <f>'Fin Stat'!BG186</f>
        <v>0</v>
      </c>
      <c r="BH83" s="12">
        <f>'Fin Stat'!BH186</f>
        <v>0</v>
      </c>
      <c r="BI83" s="12">
        <f>'Fin Stat'!BI186</f>
        <v>0</v>
      </c>
      <c r="BJ83" s="12">
        <f>'Fin Stat'!BJ186</f>
        <v>0</v>
      </c>
      <c r="BX83" s="12">
        <f>'Fin Stat'!BX186</f>
        <v>0</v>
      </c>
      <c r="BY83" s="12">
        <f>'Fin Stat'!BY186</f>
        <v>0</v>
      </c>
      <c r="BZ83" s="12">
        <f>'Fin Stat'!BZ186</f>
        <v>0</v>
      </c>
      <c r="CA83" s="12">
        <f>'Fin Stat'!CA186</f>
        <v>0</v>
      </c>
      <c r="CB83" s="12">
        <f>'Fin Stat'!CB186</f>
        <v>0</v>
      </c>
      <c r="CC83" s="12">
        <f>'Fin Stat'!CC186</f>
        <v>0</v>
      </c>
      <c r="CD83" s="12">
        <f>'Fin Stat'!CD186</f>
        <v>0</v>
      </c>
      <c r="CE83" s="12">
        <f>'Fin Stat'!CE186</f>
        <v>0</v>
      </c>
      <c r="CF83" s="12">
        <f>'Fin Stat'!CF186</f>
        <v>0</v>
      </c>
      <c r="CG83" s="12">
        <f>'Fin Stat'!CG186</f>
        <v>0</v>
      </c>
      <c r="CH83" s="12">
        <f>'Fin Stat'!CH186</f>
        <v>0</v>
      </c>
      <c r="CI83" s="12">
        <f>'Fin Stat'!CI186</f>
        <v>0</v>
      </c>
      <c r="CK83" s="311"/>
      <c r="CM83" s="311"/>
      <c r="EX83" s="10" t="str">
        <f t="shared" si="8"/>
        <v/>
      </c>
    </row>
    <row r="84" spans="1:154" x14ac:dyDescent="0.35">
      <c r="E84"/>
      <c r="CK84" s="311"/>
      <c r="CM84" s="311"/>
      <c r="EX84" s="10" t="str">
        <f t="shared" si="8"/>
        <v/>
      </c>
    </row>
    <row r="85" spans="1:154" x14ac:dyDescent="0.35">
      <c r="D85" s="5"/>
      <c r="E85"/>
      <c r="S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X85" s="4"/>
      <c r="BY85" s="4"/>
      <c r="BZ85" s="4"/>
      <c r="CA85" s="4"/>
      <c r="CB85" s="4"/>
      <c r="CC85" s="4"/>
      <c r="CD85" s="4"/>
      <c r="CE85" s="4"/>
      <c r="CF85" s="4"/>
      <c r="CG85" s="4"/>
      <c r="CH85" s="4"/>
      <c r="CI85" s="4"/>
      <c r="CK85" s="311"/>
      <c r="CM85" s="311"/>
      <c r="EX85" s="10" t="str">
        <f t="shared" si="8"/>
        <v/>
      </c>
    </row>
    <row r="86" spans="1:154" ht="8.25" customHeight="1" x14ac:dyDescent="0.35">
      <c r="E86"/>
      <c r="CK86" s="311"/>
      <c r="CM86" s="311"/>
      <c r="EX86" s="10" t="str">
        <f t="shared" si="8"/>
        <v/>
      </c>
    </row>
    <row r="87" spans="1:154" x14ac:dyDescent="0.35">
      <c r="B87" s="5" t="s">
        <v>1884</v>
      </c>
      <c r="D87" t="str">
        <f>Loans!D$1093</f>
        <v>Overdrafts</v>
      </c>
      <c r="E87"/>
      <c r="S87" s="4"/>
      <c r="V87" s="99">
        <f>Loans!V$1093</f>
        <v>0</v>
      </c>
      <c r="W87" s="99">
        <f>Loans!W$1093</f>
        <v>0</v>
      </c>
      <c r="X87" s="99">
        <f>Loans!X$1093</f>
        <v>0</v>
      </c>
      <c r="Y87" s="99">
        <f>Loans!Y$1093</f>
        <v>0</v>
      </c>
      <c r="Z87" s="4"/>
      <c r="AA87" s="99">
        <f>Loans!AA$1093</f>
        <v>0</v>
      </c>
      <c r="AB87" s="99">
        <f>Loans!AB$1093</f>
        <v>0</v>
      </c>
      <c r="AC87" s="99">
        <f>Loans!AC$1093</f>
        <v>0</v>
      </c>
      <c r="AD87" s="99">
        <f>Loans!AD$1093</f>
        <v>0</v>
      </c>
      <c r="AE87" s="99">
        <f>Loans!AE$1093</f>
        <v>0</v>
      </c>
      <c r="AF87" s="99">
        <f>Loans!AF$1093</f>
        <v>0</v>
      </c>
      <c r="AG87" s="99">
        <f>Loans!AG$1093</f>
        <v>0</v>
      </c>
      <c r="AH87" s="99">
        <f>Loans!AH$1093</f>
        <v>0</v>
      </c>
      <c r="AI87" s="99">
        <f>Loans!AI$1093</f>
        <v>0</v>
      </c>
      <c r="AJ87" s="99">
        <f>Loans!AJ$1093</f>
        <v>0</v>
      </c>
      <c r="AK87" s="99">
        <f>Loans!AK$1093</f>
        <v>0</v>
      </c>
      <c r="AL87" s="99">
        <f>Loans!AL$1093</f>
        <v>0</v>
      </c>
      <c r="AM87" s="99">
        <f>Loans!AM$1093</f>
        <v>0</v>
      </c>
      <c r="AN87" s="99">
        <f>Loans!AN$1093</f>
        <v>0</v>
      </c>
      <c r="AO87" s="99">
        <f>Loans!AO$1093</f>
        <v>0</v>
      </c>
      <c r="AP87" s="99">
        <f>Loans!AP$1093</f>
        <v>0</v>
      </c>
      <c r="AQ87" s="99">
        <f>Loans!AQ$1093</f>
        <v>0</v>
      </c>
      <c r="AR87" s="99">
        <f>Loans!AR$1093</f>
        <v>0</v>
      </c>
      <c r="AS87" s="99">
        <f>Loans!AS$1093</f>
        <v>0</v>
      </c>
      <c r="AT87" s="99">
        <f>Loans!AT$1093</f>
        <v>0</v>
      </c>
      <c r="AU87" s="99">
        <f>Loans!AU$1093</f>
        <v>0</v>
      </c>
      <c r="AV87" s="99">
        <f>Loans!AV$1093</f>
        <v>0</v>
      </c>
      <c r="AW87" s="99">
        <f>Loans!AW$1093</f>
        <v>0</v>
      </c>
      <c r="AX87" s="99">
        <f>Loans!AX$1093</f>
        <v>0</v>
      </c>
      <c r="AY87" s="99">
        <f>Loans!AY$1093</f>
        <v>0</v>
      </c>
      <c r="AZ87" s="99">
        <f>Loans!AZ$1093</f>
        <v>0</v>
      </c>
      <c r="BA87" s="99">
        <f>Loans!BA$1093</f>
        <v>0</v>
      </c>
      <c r="BB87" s="99">
        <f>Loans!BB$1093</f>
        <v>0</v>
      </c>
      <c r="BC87" s="99">
        <f>Loans!BC$1093</f>
        <v>0</v>
      </c>
      <c r="BD87" s="99">
        <f>Loans!BD$1093</f>
        <v>0</v>
      </c>
      <c r="BE87" s="99">
        <f>Loans!BE$1093</f>
        <v>0</v>
      </c>
      <c r="BF87" s="99">
        <f>Loans!BF$1093</f>
        <v>0</v>
      </c>
      <c r="BG87" s="99">
        <f>Loans!BG$1093</f>
        <v>0</v>
      </c>
      <c r="BH87" s="99">
        <f>Loans!BH$1093</f>
        <v>0</v>
      </c>
      <c r="BI87" s="99">
        <f>Loans!BI$1093</f>
        <v>0</v>
      </c>
      <c r="BJ87" s="99">
        <f>Loans!BJ$1093</f>
        <v>0</v>
      </c>
      <c r="BX87" s="99">
        <f>Loans!BX$1093</f>
        <v>0</v>
      </c>
      <c r="BY87" s="99">
        <f>Loans!BY$1093</f>
        <v>0</v>
      </c>
      <c r="BZ87" s="99">
        <f>Loans!BZ$1093</f>
        <v>0</v>
      </c>
      <c r="CA87" s="99">
        <f>Loans!CA$1093</f>
        <v>0</v>
      </c>
      <c r="CB87" s="99">
        <f>Loans!CB$1093</f>
        <v>0</v>
      </c>
      <c r="CC87" s="99">
        <f>Loans!CC$1093</f>
        <v>0</v>
      </c>
      <c r="CD87" s="99">
        <f>Loans!CD$1093</f>
        <v>0</v>
      </c>
      <c r="CE87" s="99">
        <f>Loans!CE$1093</f>
        <v>0</v>
      </c>
      <c r="CF87" s="99">
        <f>Loans!CF$1093</f>
        <v>0</v>
      </c>
      <c r="CG87" s="99">
        <f>Loans!CG$1093</f>
        <v>0</v>
      </c>
      <c r="CH87" s="99">
        <f>Loans!CH$1093</f>
        <v>0</v>
      </c>
      <c r="CI87" s="99">
        <f>Loans!CI$1093</f>
        <v>0</v>
      </c>
      <c r="CK87" s="311"/>
      <c r="CM87" s="311"/>
      <c r="EX87" s="10" t="str">
        <f t="shared" si="8"/>
        <v/>
      </c>
    </row>
    <row r="88" spans="1:154" x14ac:dyDescent="0.35">
      <c r="D88" t="str">
        <f>Loans!D$1094</f>
        <v>Loans (DfE/ESFA)</v>
      </c>
      <c r="E88"/>
      <c r="S88" s="4"/>
      <c r="V88" s="99">
        <f>Loans!V$1094</f>
        <v>0</v>
      </c>
      <c r="W88" s="99">
        <f>Loans!W$1094</f>
        <v>0</v>
      </c>
      <c r="X88" s="99">
        <f>Loans!X$1094</f>
        <v>0</v>
      </c>
      <c r="Y88" s="99">
        <f>Loans!Y$1094</f>
        <v>0</v>
      </c>
      <c r="Z88" s="4"/>
      <c r="AA88" s="99">
        <f>Loans!AA$1094</f>
        <v>0</v>
      </c>
      <c r="AB88" s="99">
        <f>Loans!AB$1094</f>
        <v>0</v>
      </c>
      <c r="AC88" s="99">
        <f>Loans!AC$1094</f>
        <v>0</v>
      </c>
      <c r="AD88" s="99">
        <f>Loans!AD$1094</f>
        <v>0</v>
      </c>
      <c r="AE88" s="99">
        <f>Loans!AE$1094</f>
        <v>0</v>
      </c>
      <c r="AF88" s="99">
        <f>Loans!AF$1094</f>
        <v>0</v>
      </c>
      <c r="AG88" s="99">
        <f>Loans!AG$1094</f>
        <v>0</v>
      </c>
      <c r="AH88" s="99">
        <f>Loans!AH$1094</f>
        <v>0</v>
      </c>
      <c r="AI88" s="99">
        <f>Loans!AI$1094</f>
        <v>0</v>
      </c>
      <c r="AJ88" s="99">
        <f>Loans!AJ$1094</f>
        <v>0</v>
      </c>
      <c r="AK88" s="99">
        <f>Loans!AK$1094</f>
        <v>0</v>
      </c>
      <c r="AL88" s="99">
        <f>Loans!AL$1094</f>
        <v>0</v>
      </c>
      <c r="AM88" s="99">
        <f>Loans!AM$1094</f>
        <v>0</v>
      </c>
      <c r="AN88" s="99">
        <f>Loans!AN$1094</f>
        <v>0</v>
      </c>
      <c r="AO88" s="99">
        <f>Loans!AO$1094</f>
        <v>0</v>
      </c>
      <c r="AP88" s="99">
        <f>Loans!AP$1094</f>
        <v>0</v>
      </c>
      <c r="AQ88" s="99">
        <f>Loans!AQ$1094</f>
        <v>0</v>
      </c>
      <c r="AR88" s="99">
        <f>Loans!AR$1094</f>
        <v>0</v>
      </c>
      <c r="AS88" s="99">
        <f>Loans!AS$1094</f>
        <v>0</v>
      </c>
      <c r="AT88" s="99">
        <f>Loans!AT$1094</f>
        <v>0</v>
      </c>
      <c r="AU88" s="99">
        <f>Loans!AU$1094</f>
        <v>0</v>
      </c>
      <c r="AV88" s="99">
        <f>Loans!AV$1094</f>
        <v>0</v>
      </c>
      <c r="AW88" s="99">
        <f>Loans!AW$1094</f>
        <v>0</v>
      </c>
      <c r="AX88" s="99">
        <f>Loans!AX$1094</f>
        <v>0</v>
      </c>
      <c r="AY88" s="99">
        <f>Loans!AY$1094</f>
        <v>0</v>
      </c>
      <c r="AZ88" s="99">
        <f>Loans!AZ$1094</f>
        <v>0</v>
      </c>
      <c r="BA88" s="99">
        <f>Loans!BA$1094</f>
        <v>0</v>
      </c>
      <c r="BB88" s="99">
        <f>Loans!BB$1094</f>
        <v>0</v>
      </c>
      <c r="BC88" s="99">
        <f>Loans!BC$1094</f>
        <v>0</v>
      </c>
      <c r="BD88" s="99">
        <f>Loans!BD$1094</f>
        <v>0</v>
      </c>
      <c r="BE88" s="99">
        <f>Loans!BE$1094</f>
        <v>0</v>
      </c>
      <c r="BF88" s="99">
        <f>Loans!BF$1094</f>
        <v>0</v>
      </c>
      <c r="BG88" s="99">
        <f>Loans!BG$1094</f>
        <v>0</v>
      </c>
      <c r="BH88" s="99">
        <f>Loans!BH$1094</f>
        <v>0</v>
      </c>
      <c r="BI88" s="99">
        <f>Loans!BI$1094</f>
        <v>0</v>
      </c>
      <c r="BJ88" s="99">
        <f>Loans!BJ$1094</f>
        <v>0</v>
      </c>
      <c r="BK88" s="4"/>
      <c r="BL88" s="4"/>
      <c r="BM88" s="4"/>
      <c r="BN88" s="4"/>
      <c r="BO88" s="4"/>
      <c r="BP88" s="4"/>
      <c r="BQ88" s="4"/>
      <c r="BR88" s="4"/>
      <c r="BS88" s="4"/>
      <c r="BT88" s="4"/>
      <c r="BU88" s="4"/>
      <c r="BV88" s="4"/>
      <c r="BX88" s="99">
        <f>Loans!BX$1094</f>
        <v>0</v>
      </c>
      <c r="BY88" s="99">
        <f>Loans!BY$1094</f>
        <v>0</v>
      </c>
      <c r="BZ88" s="99">
        <f>Loans!BZ$1094</f>
        <v>0</v>
      </c>
      <c r="CA88" s="99">
        <f>Loans!CA$1094</f>
        <v>0</v>
      </c>
      <c r="CB88" s="99">
        <f>Loans!CB$1094</f>
        <v>0</v>
      </c>
      <c r="CC88" s="99">
        <f>Loans!CC$1094</f>
        <v>0</v>
      </c>
      <c r="CD88" s="99">
        <f>Loans!CD$1094</f>
        <v>0</v>
      </c>
      <c r="CE88" s="99">
        <f>Loans!CE$1094</f>
        <v>0</v>
      </c>
      <c r="CF88" s="99">
        <f>Loans!CF$1094</f>
        <v>0</v>
      </c>
      <c r="CG88" s="99">
        <f>Loans!CG$1094</f>
        <v>0</v>
      </c>
      <c r="CH88" s="99">
        <f>Loans!CH$1094</f>
        <v>0</v>
      </c>
      <c r="CI88" s="99">
        <f>Loans!CI$1094</f>
        <v>0</v>
      </c>
      <c r="CK88" s="311"/>
      <c r="CM88" s="311"/>
      <c r="EX88" s="10" t="str">
        <f t="shared" si="8"/>
        <v/>
      </c>
    </row>
    <row r="89" spans="1:154" x14ac:dyDescent="0.35">
      <c r="D89" t="str">
        <f>Loans!D$1095</f>
        <v>Commercial</v>
      </c>
      <c r="E89"/>
      <c r="S89" s="4"/>
      <c r="V89" s="99">
        <f>Loans!V$1095</f>
        <v>0</v>
      </c>
      <c r="W89" s="99">
        <f>Loans!W$1095</f>
        <v>0</v>
      </c>
      <c r="X89" s="99">
        <f>Loans!X$1095</f>
        <v>0</v>
      </c>
      <c r="Y89" s="99">
        <f>Loans!Y$1095</f>
        <v>0</v>
      </c>
      <c r="Z89" s="4"/>
      <c r="AA89" s="99">
        <f>Loans!AA$1095</f>
        <v>0</v>
      </c>
      <c r="AB89" s="99">
        <f>Loans!AB$1095</f>
        <v>0</v>
      </c>
      <c r="AC89" s="99">
        <f>Loans!AC$1095</f>
        <v>0</v>
      </c>
      <c r="AD89" s="99">
        <f>Loans!AD$1095</f>
        <v>0</v>
      </c>
      <c r="AE89" s="99">
        <f>Loans!AE$1095</f>
        <v>0</v>
      </c>
      <c r="AF89" s="99">
        <f>Loans!AF$1095</f>
        <v>0</v>
      </c>
      <c r="AG89" s="99">
        <f>Loans!AG$1095</f>
        <v>0</v>
      </c>
      <c r="AH89" s="99">
        <f>Loans!AH$1095</f>
        <v>0</v>
      </c>
      <c r="AI89" s="99">
        <f>Loans!AI$1095</f>
        <v>0</v>
      </c>
      <c r="AJ89" s="99">
        <f>Loans!AJ$1095</f>
        <v>0</v>
      </c>
      <c r="AK89" s="99">
        <f>Loans!AK$1095</f>
        <v>0</v>
      </c>
      <c r="AL89" s="99">
        <f>Loans!AL$1095</f>
        <v>0</v>
      </c>
      <c r="AM89" s="99">
        <f>Loans!AM$1095</f>
        <v>0</v>
      </c>
      <c r="AN89" s="99">
        <f>Loans!AN$1095</f>
        <v>0</v>
      </c>
      <c r="AO89" s="99">
        <f>Loans!AO$1095</f>
        <v>0</v>
      </c>
      <c r="AP89" s="99">
        <f>Loans!AP$1095</f>
        <v>0</v>
      </c>
      <c r="AQ89" s="99">
        <f>Loans!AQ$1095</f>
        <v>0</v>
      </c>
      <c r="AR89" s="99">
        <f>Loans!AR$1095</f>
        <v>0</v>
      </c>
      <c r="AS89" s="99">
        <f>Loans!AS$1095</f>
        <v>0</v>
      </c>
      <c r="AT89" s="99">
        <f>Loans!AT$1095</f>
        <v>0</v>
      </c>
      <c r="AU89" s="99">
        <f>Loans!AU$1095</f>
        <v>0</v>
      </c>
      <c r="AV89" s="99">
        <f>Loans!AV$1095</f>
        <v>0</v>
      </c>
      <c r="AW89" s="99">
        <f>Loans!AW$1095</f>
        <v>0</v>
      </c>
      <c r="AX89" s="99">
        <f>Loans!AX$1095</f>
        <v>0</v>
      </c>
      <c r="AY89" s="99">
        <f>Loans!AY$1095</f>
        <v>0</v>
      </c>
      <c r="AZ89" s="99">
        <f>Loans!AZ$1095</f>
        <v>0</v>
      </c>
      <c r="BA89" s="99">
        <f>Loans!BA$1095</f>
        <v>0</v>
      </c>
      <c r="BB89" s="99">
        <f>Loans!BB$1095</f>
        <v>0</v>
      </c>
      <c r="BC89" s="99">
        <f>Loans!BC$1095</f>
        <v>0</v>
      </c>
      <c r="BD89" s="99">
        <f>Loans!BD$1095</f>
        <v>0</v>
      </c>
      <c r="BE89" s="99">
        <f>Loans!BE$1095</f>
        <v>0</v>
      </c>
      <c r="BF89" s="99">
        <f>Loans!BF$1095</f>
        <v>0</v>
      </c>
      <c r="BG89" s="99">
        <f>Loans!BG$1095</f>
        <v>0</v>
      </c>
      <c r="BH89" s="99">
        <f>Loans!BH$1095</f>
        <v>0</v>
      </c>
      <c r="BI89" s="99">
        <f>Loans!BI$1095</f>
        <v>0</v>
      </c>
      <c r="BJ89" s="99">
        <f>Loans!BJ$1095</f>
        <v>0</v>
      </c>
      <c r="BX89" s="99">
        <f>Loans!BX$1095</f>
        <v>0</v>
      </c>
      <c r="BY89" s="99">
        <f>Loans!BY$1095</f>
        <v>0</v>
      </c>
      <c r="BZ89" s="99">
        <f>Loans!BZ$1095</f>
        <v>0</v>
      </c>
      <c r="CA89" s="99">
        <f>Loans!CA$1095</f>
        <v>0</v>
      </c>
      <c r="CB89" s="99">
        <f>Loans!CB$1095</f>
        <v>0</v>
      </c>
      <c r="CC89" s="99">
        <f>Loans!CC$1095</f>
        <v>0</v>
      </c>
      <c r="CD89" s="99">
        <f>Loans!CD$1095</f>
        <v>0</v>
      </c>
      <c r="CE89" s="99">
        <f>Loans!CE$1095</f>
        <v>0</v>
      </c>
      <c r="CF89" s="99">
        <f>Loans!CF$1095</f>
        <v>0</v>
      </c>
      <c r="CG89" s="99">
        <f>Loans!CG$1095</f>
        <v>0</v>
      </c>
      <c r="CH89" s="99">
        <f>Loans!CH$1095</f>
        <v>0</v>
      </c>
      <c r="CI89" s="99">
        <f>Loans!CI$1095</f>
        <v>0</v>
      </c>
      <c r="CK89" s="311"/>
      <c r="CM89" s="311"/>
      <c r="EX89" s="10" t="str">
        <f t="shared" si="8"/>
        <v/>
      </c>
    </row>
    <row r="90" spans="1:154" ht="8.25" customHeight="1" x14ac:dyDescent="0.35">
      <c r="E90"/>
      <c r="S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K90" s="311"/>
      <c r="CM90" s="311"/>
      <c r="EX90" s="10" t="str">
        <f t="shared" si="8"/>
        <v/>
      </c>
    </row>
    <row r="91" spans="1:154" x14ac:dyDescent="0.35">
      <c r="A91" s="34"/>
      <c r="B91" s="34"/>
      <c r="C91" s="34"/>
      <c r="D91" s="34" t="s">
        <v>1897</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11"/>
      <c r="CM91" s="311"/>
      <c r="EX91" s="10" t="str">
        <f t="shared" si="8"/>
        <v/>
      </c>
    </row>
    <row r="92" spans="1:154" ht="8.25" customHeight="1" x14ac:dyDescent="0.35">
      <c r="E92"/>
      <c r="S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K92" s="311"/>
      <c r="CM92" s="311"/>
      <c r="EX92" s="10" t="str">
        <f t="shared" si="8"/>
        <v/>
      </c>
    </row>
    <row r="93" spans="1:154" x14ac:dyDescent="0.35">
      <c r="B93" s="5" t="s">
        <v>1898</v>
      </c>
      <c r="D93" t="s">
        <v>1899</v>
      </c>
      <c r="E93"/>
      <c r="S93" s="4"/>
      <c r="V93" s="163" t="str">
        <f>Dashboard!V$14</f>
        <v/>
      </c>
      <c r="W93" s="163" t="str">
        <f>Dashboard!W$14</f>
        <v/>
      </c>
      <c r="X93" s="163" t="str">
        <f>Dashboard!X$14</f>
        <v/>
      </c>
      <c r="Y93" s="163" t="str">
        <f>Dashboard!Y$14</f>
        <v/>
      </c>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K93" s="311"/>
      <c r="CM93" s="311"/>
      <c r="EX93" s="10" t="str">
        <f t="shared" si="8"/>
        <v/>
      </c>
    </row>
    <row r="94" spans="1:154" x14ac:dyDescent="0.35">
      <c r="B94" s="5"/>
      <c r="D94" t="s">
        <v>1900</v>
      </c>
      <c r="S94" s="4"/>
      <c r="V94" s="99">
        <f>Dashboard!V$15</f>
        <v>0</v>
      </c>
      <c r="W94" s="99">
        <f>Dashboard!W$15</f>
        <v>0</v>
      </c>
      <c r="X94" s="99">
        <f>Dashboard!X$15</f>
        <v>0</v>
      </c>
      <c r="Y94" s="99">
        <f>Dashboard!Y$15</f>
        <v>0</v>
      </c>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K94" s="311"/>
      <c r="CM94" s="311"/>
      <c r="EX94" s="10" t="str">
        <f t="shared" si="8"/>
        <v/>
      </c>
    </row>
    <row r="95" spans="1:154" x14ac:dyDescent="0.35">
      <c r="B95" s="5" t="s">
        <v>1901</v>
      </c>
      <c r="D95" t="s">
        <v>1706</v>
      </c>
      <c r="S95" s="4"/>
      <c r="V95" s="313">
        <f>Dashboard!V$19</f>
        <v>0</v>
      </c>
      <c r="W95" s="313">
        <f>Dashboard!W$19</f>
        <v>0</v>
      </c>
      <c r="X95" s="313">
        <f>Dashboard!X$19</f>
        <v>0</v>
      </c>
      <c r="Y95" s="313">
        <f>Dashboard!Y$19</f>
        <v>0</v>
      </c>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K95" s="312"/>
      <c r="CM95" s="311"/>
      <c r="EX95" s="10" t="str">
        <f t="shared" si="8"/>
        <v/>
      </c>
    </row>
    <row r="96" spans="1:154" x14ac:dyDescent="0.35">
      <c r="B96" s="5"/>
      <c r="D96" t="s">
        <v>1902</v>
      </c>
      <c r="E96"/>
      <c r="S96" s="4"/>
      <c r="V96" s="313">
        <f>Dashboard!V$32</f>
        <v>0</v>
      </c>
      <c r="W96" s="313">
        <f>Dashboard!W$32</f>
        <v>0</v>
      </c>
      <c r="X96" s="313">
        <f>Dashboard!X$32</f>
        <v>0</v>
      </c>
      <c r="Y96" s="313">
        <f>Dashboard!Y$32</f>
        <v>0</v>
      </c>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K96" s="311"/>
      <c r="CM96" s="311"/>
      <c r="EX96" s="10" t="str">
        <f t="shared" si="8"/>
        <v/>
      </c>
    </row>
    <row r="97" spans="1:154" x14ac:dyDescent="0.35">
      <c r="B97" s="5" t="s">
        <v>1891</v>
      </c>
      <c r="D97" t="s">
        <v>1903</v>
      </c>
      <c r="S97" s="4"/>
      <c r="V97" s="240">
        <f>Dashboard!V45</f>
        <v>0</v>
      </c>
      <c r="W97" s="240">
        <f>Dashboard!W45</f>
        <v>0</v>
      </c>
      <c r="X97" s="240">
        <f>Dashboard!X45</f>
        <v>0</v>
      </c>
      <c r="Y97" s="240">
        <f>Dashboard!Y45</f>
        <v>0</v>
      </c>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K97" s="311"/>
      <c r="CM97" s="311"/>
      <c r="EX97" s="10" t="str">
        <f t="shared" si="8"/>
        <v/>
      </c>
    </row>
    <row r="98" spans="1:154" x14ac:dyDescent="0.35">
      <c r="B98" s="5"/>
      <c r="D98" t="s">
        <v>1687</v>
      </c>
      <c r="S98" s="4"/>
      <c r="V98" s="313">
        <f>Dashboard!V57</f>
        <v>0</v>
      </c>
      <c r="W98" s="313">
        <f>Dashboard!W57</f>
        <v>0</v>
      </c>
      <c r="X98" s="313">
        <f>Dashboard!X57</f>
        <v>0</v>
      </c>
      <c r="Y98" s="313">
        <f>Dashboard!Y57</f>
        <v>0</v>
      </c>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K98" s="312"/>
      <c r="CM98" s="311"/>
      <c r="EX98" s="10" t="str">
        <f t="shared" si="8"/>
        <v/>
      </c>
    </row>
    <row r="99" spans="1:154" x14ac:dyDescent="0.35">
      <c r="B99" s="5" t="s">
        <v>1894</v>
      </c>
      <c r="D99" t="s">
        <v>1664</v>
      </c>
      <c r="E99"/>
      <c r="S99" s="4"/>
      <c r="V99" s="240">
        <f>Dashboard!V$71</f>
        <v>0</v>
      </c>
      <c r="W99" s="240">
        <f>Dashboard!W$71</f>
        <v>0</v>
      </c>
      <c r="X99" s="240">
        <f>Dashboard!X$71</f>
        <v>0</v>
      </c>
      <c r="Y99" s="240">
        <f>Dashboard!Y$71</f>
        <v>0</v>
      </c>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K99" s="311"/>
      <c r="CM99" s="311"/>
      <c r="EX99" s="10" t="str">
        <f t="shared" si="8"/>
        <v/>
      </c>
    </row>
    <row r="100" spans="1:154" x14ac:dyDescent="0.35">
      <c r="D100" t="s">
        <v>1670</v>
      </c>
      <c r="S100" s="4"/>
      <c r="V100" s="240">
        <f>Dashboard!V$83</f>
        <v>0</v>
      </c>
      <c r="W100" s="240">
        <f>Dashboard!W$83</f>
        <v>0</v>
      </c>
      <c r="X100" s="240">
        <f>Dashboard!X$83</f>
        <v>0</v>
      </c>
      <c r="Y100" s="240">
        <f>Dashboard!Y$83</f>
        <v>0</v>
      </c>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K100" s="311"/>
      <c r="CM100" s="311"/>
      <c r="EX100" s="10" t="str">
        <f t="shared" si="8"/>
        <v/>
      </c>
    </row>
    <row r="101" spans="1:154" x14ac:dyDescent="0.35">
      <c r="S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K101" s="312"/>
      <c r="CM101" s="311"/>
      <c r="EX101" s="10" t="str">
        <f t="shared" si="8"/>
        <v/>
      </c>
    </row>
    <row r="102" spans="1:154" ht="8.25" customHeight="1" x14ac:dyDescent="0.35">
      <c r="E102"/>
      <c r="S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K102" s="311"/>
      <c r="CM102" s="311"/>
      <c r="EX102" s="10" t="str">
        <f t="shared" si="8"/>
        <v/>
      </c>
    </row>
    <row r="103" spans="1:154" x14ac:dyDescent="0.35">
      <c r="A103" s="312" t="s">
        <v>16</v>
      </c>
      <c r="B103" s="312" t="s">
        <v>16</v>
      </c>
      <c r="C103" s="312" t="s">
        <v>16</v>
      </c>
      <c r="D103" s="312" t="s">
        <v>16</v>
      </c>
      <c r="E103" s="314" t="s">
        <v>16</v>
      </c>
      <c r="F103" s="312" t="s">
        <v>16</v>
      </c>
      <c r="G103" s="312" t="s">
        <v>16</v>
      </c>
      <c r="H103" s="312" t="s">
        <v>16</v>
      </c>
      <c r="I103" s="312" t="s">
        <v>16</v>
      </c>
      <c r="J103" s="312" t="s">
        <v>16</v>
      </c>
      <c r="K103" s="312" t="s">
        <v>16</v>
      </c>
      <c r="L103" s="312" t="s">
        <v>16</v>
      </c>
      <c r="M103" s="312" t="s">
        <v>16</v>
      </c>
      <c r="N103" s="312" t="s">
        <v>16</v>
      </c>
      <c r="O103" s="312" t="s">
        <v>16</v>
      </c>
      <c r="P103" s="312" t="s">
        <v>16</v>
      </c>
      <c r="Q103" s="312" t="s">
        <v>16</v>
      </c>
      <c r="R103" s="312" t="s">
        <v>16</v>
      </c>
      <c r="S103" s="312"/>
      <c r="T103" s="312" t="s">
        <v>16</v>
      </c>
      <c r="U103" s="312" t="s">
        <v>16</v>
      </c>
      <c r="V103" s="312" t="s">
        <v>16</v>
      </c>
      <c r="W103" s="312" t="s">
        <v>16</v>
      </c>
      <c r="X103" s="312"/>
      <c r="Y103" s="312"/>
      <c r="Z103" s="312" t="s">
        <v>16</v>
      </c>
      <c r="AA103" s="312" t="s">
        <v>16</v>
      </c>
      <c r="AB103" s="312" t="s">
        <v>16</v>
      </c>
      <c r="AC103" s="312" t="s">
        <v>16</v>
      </c>
      <c r="AD103" s="312" t="s">
        <v>16</v>
      </c>
      <c r="AE103" s="312" t="s">
        <v>16</v>
      </c>
      <c r="AF103" s="312" t="s">
        <v>16</v>
      </c>
      <c r="AG103" s="312" t="s">
        <v>16</v>
      </c>
      <c r="AH103" s="312" t="s">
        <v>16</v>
      </c>
      <c r="AI103" s="312" t="s">
        <v>16</v>
      </c>
      <c r="AJ103" s="312" t="s">
        <v>16</v>
      </c>
      <c r="AK103" s="312" t="s">
        <v>16</v>
      </c>
      <c r="AL103" s="312" t="s">
        <v>16</v>
      </c>
      <c r="AM103" s="312" t="s">
        <v>16</v>
      </c>
      <c r="AN103" s="312" t="s">
        <v>16</v>
      </c>
      <c r="AO103" s="312" t="s">
        <v>16</v>
      </c>
      <c r="AP103" s="312" t="s">
        <v>16</v>
      </c>
      <c r="AQ103" s="312" t="s">
        <v>16</v>
      </c>
      <c r="AR103" s="312" t="s">
        <v>16</v>
      </c>
      <c r="AS103" s="312" t="s">
        <v>16</v>
      </c>
      <c r="AT103" s="312" t="s">
        <v>16</v>
      </c>
      <c r="AU103" s="312" t="s">
        <v>16</v>
      </c>
      <c r="AV103" s="312" t="s">
        <v>16</v>
      </c>
      <c r="AW103" s="312" t="s">
        <v>16</v>
      </c>
      <c r="AX103" s="312" t="s">
        <v>16</v>
      </c>
      <c r="AY103" s="312" t="s">
        <v>16</v>
      </c>
      <c r="AZ103" s="312" t="s">
        <v>16</v>
      </c>
      <c r="BA103" s="312" t="s">
        <v>16</v>
      </c>
      <c r="BB103" s="312" t="s">
        <v>16</v>
      </c>
      <c r="BC103" s="312" t="s">
        <v>16</v>
      </c>
      <c r="BD103" s="312" t="s">
        <v>16</v>
      </c>
      <c r="BE103" s="312" t="s">
        <v>16</v>
      </c>
      <c r="BF103" s="312" t="s">
        <v>16</v>
      </c>
      <c r="BG103" s="312" t="s">
        <v>16</v>
      </c>
      <c r="BH103" s="312" t="s">
        <v>16</v>
      </c>
      <c r="BI103" s="312" t="s">
        <v>16</v>
      </c>
      <c r="BJ103" s="312" t="s">
        <v>16</v>
      </c>
      <c r="BK103" s="312" t="s">
        <v>16</v>
      </c>
      <c r="BL103" s="312" t="s">
        <v>16</v>
      </c>
      <c r="BM103" s="312" t="s">
        <v>16</v>
      </c>
      <c r="BN103" s="312" t="s">
        <v>16</v>
      </c>
      <c r="BO103" s="312" t="s">
        <v>16</v>
      </c>
      <c r="BP103" s="312" t="s">
        <v>16</v>
      </c>
      <c r="BQ103" s="312" t="s">
        <v>16</v>
      </c>
      <c r="BR103" s="312" t="s">
        <v>16</v>
      </c>
      <c r="BS103" s="312" t="s">
        <v>16</v>
      </c>
      <c r="BT103" s="312" t="s">
        <v>16</v>
      </c>
      <c r="BU103" s="312" t="s">
        <v>16</v>
      </c>
      <c r="BV103" s="312" t="s">
        <v>16</v>
      </c>
      <c r="BW103" s="312" t="s">
        <v>16</v>
      </c>
      <c r="BX103" s="312" t="s">
        <v>16</v>
      </c>
      <c r="BY103" s="312" t="s">
        <v>16</v>
      </c>
      <c r="BZ103" s="312" t="s">
        <v>16</v>
      </c>
      <c r="CA103" s="312" t="s">
        <v>16</v>
      </c>
      <c r="CB103" s="312" t="s">
        <v>16</v>
      </c>
      <c r="CC103" s="312" t="s">
        <v>16</v>
      </c>
      <c r="CD103" s="312" t="s">
        <v>16</v>
      </c>
      <c r="CE103" s="312" t="s">
        <v>16</v>
      </c>
      <c r="CF103" s="312" t="s">
        <v>16</v>
      </c>
      <c r="CG103" s="312" t="s">
        <v>16</v>
      </c>
      <c r="CH103" s="312" t="s">
        <v>16</v>
      </c>
      <c r="CI103" s="312" t="s">
        <v>16</v>
      </c>
      <c r="CJ103" s="312" t="s">
        <v>16</v>
      </c>
      <c r="CK103" s="312" t="s">
        <v>16</v>
      </c>
      <c r="CL103" s="312" t="s">
        <v>16</v>
      </c>
      <c r="CM103" s="312" t="s">
        <v>16</v>
      </c>
      <c r="EX103" s="10" t="str">
        <f t="shared" si="8"/>
        <v>*</v>
      </c>
    </row>
  </sheetData>
  <sheetProtection algorithmName="SHA-512" hashValue="JSxW3vSL1ydEJCOhqzfKKDPTBjaFBoMEQSQF120tJF4AQOduiDcSPIbnM74ur0iVTZRSbiVTZTQLg6DN7sfPqQ==" saltValue="GlQRgdLhiK0sEGNHwGX3SQ==" spinCount="100000" sheet="1" insertRows="0" deleteRows="0"/>
  <mergeCells count="3">
    <mergeCell ref="CK1:CK6"/>
    <mergeCell ref="CM1:CM6"/>
    <mergeCell ref="CL4:CL6"/>
  </mergeCells>
  <conditionalFormatting sqref="A1">
    <cfRule type="cellIs" dxfId="298" priority="12" operator="equal">
      <formula>0</formula>
    </cfRule>
    <cfRule type="cellIs" dxfId="297" priority="13" operator="greaterThan">
      <formula>0</formula>
    </cfRule>
  </conditionalFormatting>
  <conditionalFormatting sqref="V2:Y2">
    <cfRule type="expression" dxfId="296" priority="1">
      <formula>OR($D$2=$D$95, $D$2=$D$96, $D$2=$D$98)</formula>
    </cfRule>
  </conditionalFormatting>
  <conditionalFormatting sqref="V93:Y93">
    <cfRule type="cellIs" dxfId="295" priority="6" operator="equal">
      <formula>0</formula>
    </cfRule>
    <cfRule type="containsText" dxfId="294" priority="7" operator="containsText" text="Outstanding">
      <formula>NOT(ISERROR(SEARCH("Outstanding",V93)))</formula>
    </cfRule>
    <cfRule type="containsText" dxfId="293" priority="8" operator="containsText" text="Requires Improvement">
      <formula>NOT(ISERROR(SEARCH("Requires Improvement",V93)))</formula>
    </cfRule>
    <cfRule type="containsText" dxfId="292" priority="9" operator="containsText" text="Inadequate">
      <formula>NOT(ISERROR(SEARCH("Inadequate",V93)))</formula>
    </cfRule>
    <cfRule type="containsText" dxfId="291" priority="10" operator="containsText" text="Good">
      <formula>NOT(ISERROR(SEARCH("Good",V93)))</formula>
    </cfRule>
    <cfRule type="containsText" dxfId="290" priority="11" operator="containsText" text="&quot;&quot;">
      <formula>NOT(ISERROR(SEARCH("""""",V93)))</formula>
    </cfRule>
  </conditionalFormatting>
  <dataValidations count="1">
    <dataValidation type="list" allowBlank="1" showInputMessage="1" showErrorMessage="1" sqref="D2" xr:uid="{ECDE0EFE-B226-43F3-AB46-6ED02A28AC73}">
      <formula1>$D$93:$D$100</formula1>
    </dataValidation>
  </dataValidations>
  <pageMargins left="0.70866141732283472" right="0.70866141732283472" top="0.74803149606299213" bottom="0.74803149606299213" header="0.31496062992125984" footer="0.31496062992125984"/>
  <pageSetup paperSize="9" scale="48" orientation="landscape" r:id="rId1"/>
  <headerFooter>
    <oddHeader>&amp;C&amp;"Aptos"&amp;11&amp;K000000 OFFICIAL - FOR PUBLIC RELEASE&amp;1#_x000D_</oddHeader>
    <oddFooter>&amp;C_x000D_&amp;1#&amp;"Aptos"&amp;11&amp;K000000 OFFICIAL - FOR PUBLIC RELEASE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84D3-9312-4144-821B-80DCC03CF397}">
  <sheetPr codeName="Sheet10">
    <outlinePr summaryBelow="0" summaryRight="0"/>
    <pageSetUpPr autoPageBreaks="0"/>
  </sheetPr>
  <dimension ref="A1:M325"/>
  <sheetViews>
    <sheetView showGridLines="0" zoomScaleNormal="100" workbookViewId="0"/>
  </sheetViews>
  <sheetFormatPr defaultColWidth="0" defaultRowHeight="14.5" outlineLevelRow="1" x14ac:dyDescent="0.35"/>
  <cols>
    <col min="1" max="1" width="2.54296875" customWidth="1"/>
    <col min="2" max="2" width="14.7265625" style="3" customWidth="1"/>
    <col min="3" max="3" width="31.81640625" style="57" customWidth="1"/>
    <col min="4" max="4" width="64.1796875" style="185" customWidth="1"/>
    <col min="5" max="5" width="32.54296875" style="14" customWidth="1"/>
    <col min="6" max="6" width="12.54296875" style="14" customWidth="1"/>
    <col min="7" max="7" width="9.81640625" hidden="1" customWidth="1"/>
    <col min="8" max="8" width="0.453125" style="1" customWidth="1"/>
    <col min="9" max="9" width="12.453125" customWidth="1"/>
    <col min="10" max="10" width="0" hidden="1" customWidth="1"/>
    <col min="11" max="16383" width="9.1796875" hidden="1"/>
    <col min="16384" max="16384" width="9.1796875" hidden="1" customWidth="1"/>
  </cols>
  <sheetData>
    <row r="1" spans="1:8" ht="18.75" customHeight="1" x14ac:dyDescent="0.35">
      <c r="A1" s="13"/>
      <c r="B1" s="81" t="s">
        <v>17</v>
      </c>
      <c r="C1" s="81">
        <f>CollegeNameInput</f>
        <v>0</v>
      </c>
      <c r="D1" s="56"/>
      <c r="E1" s="82"/>
      <c r="F1" s="82"/>
    </row>
    <row r="2" spans="1:8" collapsed="1" x14ac:dyDescent="0.35">
      <c r="A2" s="75" t="str" cm="1">
        <f t="array" aca="1" ref="A2" ca="1">HYPERLINK(CONCATENATE("#",CELL("address",ToC!$A$1)),ToC!$C$1)</f>
        <v>ToC</v>
      </c>
      <c r="B2" s="81"/>
      <c r="C2" s="56"/>
      <c r="D2" s="56"/>
      <c r="E2" s="81"/>
      <c r="F2" s="13"/>
      <c r="G2" s="27" t="s">
        <v>1</v>
      </c>
      <c r="H2"/>
    </row>
    <row r="3" spans="1:8" hidden="1" outlineLevel="1" x14ac:dyDescent="0.35">
      <c r="A3" s="13"/>
      <c r="B3" s="81"/>
      <c r="C3" s="60"/>
      <c r="D3" s="56"/>
      <c r="E3" s="81"/>
      <c r="F3" s="13"/>
      <c r="G3" s="26" t="s">
        <v>3</v>
      </c>
      <c r="H3"/>
    </row>
    <row r="4" spans="1:8" hidden="1" outlineLevel="1" x14ac:dyDescent="0.35">
      <c r="A4" s="13"/>
      <c r="B4" s="81"/>
      <c r="C4" s="60"/>
      <c r="D4" s="56"/>
      <c r="E4" s="81"/>
      <c r="F4" s="13"/>
      <c r="G4" s="26" t="s">
        <v>3</v>
      </c>
      <c r="H4"/>
    </row>
    <row r="5" spans="1:8" hidden="1" outlineLevel="1" x14ac:dyDescent="0.35">
      <c r="A5" s="13"/>
      <c r="B5" s="81"/>
      <c r="C5" s="60"/>
      <c r="D5" s="56"/>
      <c r="E5" s="81"/>
      <c r="F5" s="13"/>
      <c r="G5" s="26" t="s">
        <v>3</v>
      </c>
      <c r="H5"/>
    </row>
    <row r="6" spans="1:8" x14ac:dyDescent="0.35">
      <c r="A6" s="13"/>
      <c r="B6" s="81"/>
      <c r="C6" s="56"/>
      <c r="D6" s="56"/>
      <c r="E6" s="81"/>
      <c r="F6" s="13"/>
      <c r="G6" s="26" t="s">
        <v>3</v>
      </c>
      <c r="H6"/>
    </row>
    <row r="7" spans="1:8" x14ac:dyDescent="0.35">
      <c r="G7" s="26" t="s">
        <v>3</v>
      </c>
      <c r="H7"/>
    </row>
    <row r="8" spans="1:8" x14ac:dyDescent="0.35">
      <c r="C8" s="186" t="s">
        <v>18</v>
      </c>
      <c r="D8" s="187" t="s">
        <v>19</v>
      </c>
      <c r="E8" s="172" t="s">
        <v>20</v>
      </c>
      <c r="G8" s="26"/>
      <c r="H8"/>
    </row>
    <row r="9" spans="1:8" x14ac:dyDescent="0.35">
      <c r="C9" s="188" t="s">
        <v>21</v>
      </c>
      <c r="D9" s="189" t="s">
        <v>22</v>
      </c>
      <c r="E9" s="619">
        <v>46169</v>
      </c>
      <c r="G9" s="26"/>
      <c r="H9"/>
    </row>
    <row r="10" spans="1:8" ht="8.25" customHeight="1" x14ac:dyDescent="0.35">
      <c r="G10" s="26"/>
      <c r="H10"/>
    </row>
    <row r="11" spans="1:8" x14ac:dyDescent="0.35">
      <c r="A11" s="34"/>
      <c r="B11" s="34"/>
      <c r="C11" s="34" t="s">
        <v>23</v>
      </c>
      <c r="D11" s="58"/>
      <c r="E11" s="34"/>
      <c r="F11" s="34"/>
      <c r="G11" s="26" t="s">
        <v>3</v>
      </c>
      <c r="H11"/>
    </row>
    <row r="12" spans="1:8" ht="8.25" customHeight="1" x14ac:dyDescent="0.35">
      <c r="G12" s="26" t="s">
        <v>3</v>
      </c>
      <c r="H12"/>
    </row>
    <row r="13" spans="1:8" x14ac:dyDescent="0.35">
      <c r="B13" s="204" t="s">
        <v>24</v>
      </c>
      <c r="C13" s="190"/>
      <c r="D13" s="185" t="s">
        <v>25</v>
      </c>
      <c r="E13" s="164"/>
      <c r="G13" s="26"/>
      <c r="H13"/>
    </row>
    <row r="14" spans="1:8" ht="8.25" customHeight="1" x14ac:dyDescent="0.35">
      <c r="G14" s="26"/>
      <c r="H14"/>
    </row>
    <row r="15" spans="1:8" ht="58" x14ac:dyDescent="0.35">
      <c r="B15" s="176" t="s">
        <v>26</v>
      </c>
      <c r="C15" s="190"/>
      <c r="D15" s="185" t="s">
        <v>27</v>
      </c>
      <c r="E15" s="164"/>
      <c r="G15" s="26"/>
      <c r="H15"/>
    </row>
    <row r="16" spans="1:8" ht="8.25" customHeight="1" x14ac:dyDescent="0.35">
      <c r="G16" s="26"/>
      <c r="H16"/>
    </row>
    <row r="17" spans="1:7" customFormat="1" ht="72.5" x14ac:dyDescent="0.35">
      <c r="B17" s="178" t="s">
        <v>28</v>
      </c>
      <c r="C17" s="275"/>
      <c r="D17" s="185" t="s">
        <v>29</v>
      </c>
      <c r="E17" s="14"/>
      <c r="F17" s="14"/>
      <c r="G17" s="26"/>
    </row>
    <row r="18" spans="1:7" customFormat="1" x14ac:dyDescent="0.35">
      <c r="B18" s="277" t="s">
        <v>30</v>
      </c>
      <c r="C18" s="276"/>
      <c r="D18" s="185"/>
      <c r="E18" s="14"/>
      <c r="F18" s="14"/>
      <c r="G18" s="26"/>
    </row>
    <row r="19" spans="1:7" customFormat="1" x14ac:dyDescent="0.35">
      <c r="B19" t="str">
        <f>'Financial Health'!B1</f>
        <v>Financial Health</v>
      </c>
      <c r="C19" s="276"/>
      <c r="D19" s="196" t="s">
        <v>31</v>
      </c>
      <c r="E19" s="14"/>
      <c r="F19" s="14"/>
      <c r="G19" s="26"/>
    </row>
    <row r="20" spans="1:7" customFormat="1" x14ac:dyDescent="0.35">
      <c r="B20" t="str">
        <f>Dashboard!B1</f>
        <v>Dashboard</v>
      </c>
      <c r="C20" s="276"/>
      <c r="D20" s="196" t="s">
        <v>32</v>
      </c>
      <c r="E20" s="14"/>
      <c r="F20" s="14"/>
      <c r="G20" s="26"/>
    </row>
    <row r="21" spans="1:7" customFormat="1" ht="8.25" customHeight="1" x14ac:dyDescent="0.35">
      <c r="B21" s="3"/>
      <c r="C21" s="57"/>
      <c r="D21" s="185"/>
      <c r="E21" s="14"/>
      <c r="F21" s="14"/>
      <c r="G21" s="26"/>
    </row>
    <row r="22" spans="1:7" customFormat="1" ht="60.75" customHeight="1" x14ac:dyDescent="0.35">
      <c r="B22" s="177" t="s">
        <v>33</v>
      </c>
      <c r="C22" s="190"/>
      <c r="D22" s="185" t="s">
        <v>34</v>
      </c>
      <c r="E22" s="164"/>
      <c r="F22" s="14"/>
      <c r="G22" s="26"/>
    </row>
    <row r="23" spans="1:7" customFormat="1" ht="8.25" customHeight="1" x14ac:dyDescent="0.35">
      <c r="B23" s="3"/>
      <c r="C23" s="57"/>
      <c r="D23" s="185"/>
      <c r="E23" s="14"/>
      <c r="F23" s="14"/>
      <c r="G23" s="26"/>
    </row>
    <row r="24" spans="1:7" customFormat="1" x14ac:dyDescent="0.35">
      <c r="A24" s="34"/>
      <c r="B24" s="34"/>
      <c r="C24" s="34" t="s">
        <v>35</v>
      </c>
      <c r="D24" s="58"/>
      <c r="E24" s="34"/>
      <c r="F24" s="34"/>
      <c r="G24" s="26" t="s">
        <v>3</v>
      </c>
    </row>
    <row r="25" spans="1:7" customFormat="1" ht="8.25" customHeight="1" x14ac:dyDescent="0.35">
      <c r="B25" s="3"/>
      <c r="C25" s="57"/>
      <c r="D25" s="185"/>
      <c r="E25" s="14"/>
      <c r="F25" s="14"/>
      <c r="G25" s="26" t="s">
        <v>3</v>
      </c>
    </row>
    <row r="26" spans="1:7" customFormat="1" x14ac:dyDescent="0.35">
      <c r="B26" s="179" t="s">
        <v>36</v>
      </c>
      <c r="C26" s="190"/>
      <c r="D26" s="185" t="s">
        <v>37</v>
      </c>
      <c r="E26" s="164"/>
      <c r="F26" s="14"/>
      <c r="G26" s="26"/>
    </row>
    <row r="27" spans="1:7" customFormat="1" ht="8.25" customHeight="1" x14ac:dyDescent="0.35">
      <c r="B27" s="3"/>
      <c r="C27" s="57"/>
      <c r="D27" s="185"/>
      <c r="E27" s="14"/>
      <c r="F27" s="14"/>
      <c r="G27" s="26"/>
    </row>
    <row r="28" spans="1:7" customFormat="1" x14ac:dyDescent="0.35">
      <c r="B28" s="180" t="s">
        <v>38</v>
      </c>
      <c r="C28" s="190"/>
      <c r="D28" s="14" t="s">
        <v>39</v>
      </c>
      <c r="E28" s="164"/>
      <c r="F28" s="14"/>
      <c r="G28" s="26"/>
    </row>
    <row r="29" spans="1:7" customFormat="1" ht="8.25" customHeight="1" x14ac:dyDescent="0.35">
      <c r="B29" s="3"/>
      <c r="C29" s="57"/>
      <c r="D29" s="185"/>
      <c r="E29" s="14"/>
      <c r="F29" s="14"/>
      <c r="G29" s="26"/>
    </row>
    <row r="30" spans="1:7" customFormat="1" x14ac:dyDescent="0.35">
      <c r="B30" s="181" t="s">
        <v>40</v>
      </c>
      <c r="C30" s="190"/>
      <c r="D30" s="185" t="s">
        <v>41</v>
      </c>
      <c r="E30" s="164"/>
      <c r="F30" s="14"/>
      <c r="G30" s="26"/>
    </row>
    <row r="31" spans="1:7" customFormat="1" ht="8.25" customHeight="1" x14ac:dyDescent="0.35">
      <c r="B31" s="3"/>
      <c r="C31" s="57"/>
      <c r="D31" s="185"/>
      <c r="E31" s="14"/>
      <c r="F31" s="14"/>
      <c r="G31" s="26"/>
    </row>
    <row r="32" spans="1:7" customFormat="1" x14ac:dyDescent="0.35">
      <c r="B32" s="182" t="s">
        <v>42</v>
      </c>
      <c r="C32" s="190"/>
      <c r="D32" s="14" t="s">
        <v>43</v>
      </c>
      <c r="E32" s="164"/>
      <c r="F32" s="14"/>
      <c r="G32" s="26"/>
    </row>
    <row r="33" spans="1:8" ht="8.25" customHeight="1" x14ac:dyDescent="0.35">
      <c r="G33" s="26"/>
      <c r="H33"/>
    </row>
    <row r="34" spans="1:8" x14ac:dyDescent="0.35">
      <c r="B34" s="183" t="s">
        <v>44</v>
      </c>
      <c r="C34" s="190"/>
      <c r="D34" s="14" t="s">
        <v>45</v>
      </c>
      <c r="E34" s="164"/>
      <c r="G34" s="26"/>
      <c r="H34"/>
    </row>
    <row r="35" spans="1:8" ht="8.25" customHeight="1" x14ac:dyDescent="0.35">
      <c r="G35" s="26"/>
      <c r="H35"/>
    </row>
    <row r="36" spans="1:8" x14ac:dyDescent="0.35">
      <c r="A36" s="34"/>
      <c r="B36" s="34"/>
      <c r="C36" s="34" t="s">
        <v>46</v>
      </c>
      <c r="D36" s="58"/>
      <c r="E36" s="34"/>
      <c r="F36" s="34"/>
    </row>
    <row r="38" spans="1:8" ht="29" x14ac:dyDescent="0.35">
      <c r="C38" s="197" t="s">
        <v>47</v>
      </c>
      <c r="D38" s="98"/>
      <c r="E38" s="98"/>
      <c r="F38" s="108"/>
    </row>
    <row r="39" spans="1:8" ht="3.75" customHeight="1" x14ac:dyDescent="0.35">
      <c r="C39" s="198"/>
      <c r="F39" s="91"/>
    </row>
    <row r="40" spans="1:8" ht="36.75" customHeight="1" x14ac:dyDescent="0.35">
      <c r="C40" s="165"/>
      <c r="D40" s="185" t="s">
        <v>48</v>
      </c>
      <c r="E40" s="289" t="s">
        <v>49</v>
      </c>
      <c r="F40" s="90"/>
    </row>
    <row r="41" spans="1:8" ht="8.25" customHeight="1" x14ac:dyDescent="0.35">
      <c r="C41" s="198"/>
      <c r="F41" s="91"/>
      <c r="G41" s="89" t="s">
        <v>3</v>
      </c>
      <c r="H41"/>
    </row>
    <row r="42" spans="1:8" ht="14.65" customHeight="1" x14ac:dyDescent="0.35">
      <c r="C42" s="165"/>
      <c r="D42" s="80" t="str" cm="1">
        <f t="array" aca="1" ref="D42" ca="1">HYPERLINK(CONCATENATE("#",CELL("address",'Cover Sheet'!$A$2)),'Cover Sheet'!$B$1)</f>
        <v>Cover Sheet</v>
      </c>
      <c r="F42" s="90"/>
    </row>
    <row r="43" spans="1:8" ht="14.65" customHeight="1" x14ac:dyDescent="0.35">
      <c r="C43" s="165"/>
      <c r="D43" s="80" t="str" cm="1">
        <f t="array" aca="1" ref="D43" ca="1">HYPERLINK(CONCATENATE("#",CELL("address",'Learners and Staff'!$A$2)),'Learners and Staff'!$B$1)</f>
        <v>Learners and Staff</v>
      </c>
      <c r="F43" s="90"/>
    </row>
    <row r="44" spans="1:8" ht="8.25" customHeight="1" x14ac:dyDescent="0.35">
      <c r="C44" s="198"/>
      <c r="F44" s="91"/>
      <c r="G44" s="89" t="s">
        <v>3</v>
      </c>
      <c r="H44"/>
    </row>
    <row r="45" spans="1:8" ht="14.65" customHeight="1" x14ac:dyDescent="0.35">
      <c r="C45" s="198" t="s">
        <v>50</v>
      </c>
      <c r="D45" s="80" t="str" cm="1">
        <f t="array" aca="1" ref="D45" ca="1">HYPERLINK(CONCATENATE("#",CELL("address",'I&amp;E Monthly'!$A$2)),'I&amp;E Monthly'!$B$1)</f>
        <v>I&amp;E Monthly</v>
      </c>
      <c r="F45" s="90"/>
    </row>
    <row r="46" spans="1:8" ht="14.65" customHeight="1" x14ac:dyDescent="0.35">
      <c r="C46" s="198"/>
      <c r="D46" s="80" t="str" cm="1">
        <f t="array" aca="1" ref="D46" ca="1">HYPERLINK(CONCATENATE("#",CELL("address",'I&amp;E Annual'!$A$2)),'I&amp;E Annual'!$B$1)</f>
        <v>I&amp;E Annual</v>
      </c>
      <c r="E46" s="289" t="s">
        <v>51</v>
      </c>
      <c r="F46" s="91"/>
      <c r="G46" s="89" t="s">
        <v>3</v>
      </c>
      <c r="H46"/>
    </row>
    <row r="47" spans="1:8" ht="14.65" customHeight="1" x14ac:dyDescent="0.35">
      <c r="C47" s="165"/>
      <c r="D47" s="80" t="str" cm="1">
        <f t="array" aca="1" ref="D47" ca="1">HYPERLINK(CONCATENATE("#",CELL("address",'I&amp;E Profiles'!$A$2)),'I&amp;E Profiles'!$B$1)</f>
        <v>I&amp;E Profiles</v>
      </c>
      <c r="E47" s="289" t="s">
        <v>51</v>
      </c>
      <c r="F47" s="90"/>
    </row>
    <row r="48" spans="1:8" ht="109.5" customHeight="1" x14ac:dyDescent="0.35">
      <c r="C48" s="165"/>
      <c r="D48" s="185" t="s">
        <v>52</v>
      </c>
      <c r="F48" s="90"/>
    </row>
    <row r="49" spans="3:8" x14ac:dyDescent="0.35">
      <c r="C49" s="165"/>
      <c r="D49" s="185" t="s">
        <v>53</v>
      </c>
      <c r="F49" s="90"/>
    </row>
    <row r="50" spans="3:8" ht="71.25" customHeight="1" x14ac:dyDescent="0.35">
      <c r="C50" s="165"/>
      <c r="D50" s="185" t="s">
        <v>54</v>
      </c>
      <c r="F50" s="90"/>
    </row>
    <row r="51" spans="3:8" ht="8.25" customHeight="1" x14ac:dyDescent="0.35">
      <c r="C51" s="198"/>
      <c r="F51" s="91"/>
      <c r="G51" s="89" t="s">
        <v>3</v>
      </c>
      <c r="H51"/>
    </row>
    <row r="52" spans="3:8" ht="69" customHeight="1" x14ac:dyDescent="0.35">
      <c r="C52" s="165"/>
      <c r="D52" s="185" t="s">
        <v>55</v>
      </c>
      <c r="F52" s="90"/>
    </row>
    <row r="53" spans="3:8" ht="8.25" customHeight="1" x14ac:dyDescent="0.35">
      <c r="C53" s="198"/>
      <c r="F53" s="91"/>
      <c r="G53" s="89" t="s">
        <v>3</v>
      </c>
      <c r="H53"/>
    </row>
    <row r="54" spans="3:8" ht="14.65" customHeight="1" x14ac:dyDescent="0.35">
      <c r="C54" s="198" t="s">
        <v>56</v>
      </c>
      <c r="D54" s="80" t="str" cm="1">
        <f t="array" aca="1" ref="D54" ca="1">HYPERLINK(CONCATENATE("#",CELL("address",'Opening Balances'!$A$2)),'Opening Balances'!$B$1)</f>
        <v>Opening Balances</v>
      </c>
      <c r="E54" s="80"/>
      <c r="F54" s="90"/>
    </row>
    <row r="55" spans="3:8" ht="14.65" customHeight="1" x14ac:dyDescent="0.35">
      <c r="C55" s="198"/>
      <c r="D55" s="80" t="str" cm="1">
        <f t="array" aca="1" ref="D55" ca="1">HYPERLINK(CONCATENATE("#",CELL("address",'Investing Inputs'!$A$2)),'Investing Inputs'!$B$1)</f>
        <v>Investing Inputs</v>
      </c>
      <c r="F55" s="91"/>
      <c r="G55" s="89" t="s">
        <v>3</v>
      </c>
      <c r="H55"/>
    </row>
    <row r="56" spans="3:8" ht="14.65" customHeight="1" x14ac:dyDescent="0.35">
      <c r="C56" s="165"/>
      <c r="D56" s="80" t="str" cm="1">
        <f t="array" aca="1" ref="D56" ca="1">HYPERLINK(CONCATENATE("#",CELL("address",Loans!$A$2)),Loans!$B$1)</f>
        <v>Loans</v>
      </c>
      <c r="E56" s="80"/>
      <c r="F56" s="90"/>
    </row>
    <row r="57" spans="3:8" ht="14.65" customHeight="1" x14ac:dyDescent="0.35">
      <c r="C57" s="165"/>
      <c r="D57" s="80" t="str" cm="1">
        <f t="array" aca="1" ref="D57" ca="1">HYPERLINK(CONCATENATE("#",CELL("address",'BS Forecasts'!$A$2)),'BS Forecasts'!$B$1)</f>
        <v>BS Forecasts</v>
      </c>
      <c r="E57" s="80"/>
      <c r="F57" s="90"/>
    </row>
    <row r="58" spans="3:8" ht="8.25" customHeight="1" x14ac:dyDescent="0.35">
      <c r="C58" s="198"/>
      <c r="F58" s="91"/>
      <c r="G58" s="89" t="s">
        <v>3</v>
      </c>
      <c r="H58"/>
    </row>
    <row r="59" spans="3:8" ht="14.65" customHeight="1" x14ac:dyDescent="0.35">
      <c r="C59" s="198" t="s">
        <v>57</v>
      </c>
      <c r="D59" s="80" t="str" cm="1">
        <f t="array" aca="1" ref="D59" ca="1">HYPERLINK(CONCATENATE("#",CELL("address",'User Template'!$A$2)),'User Template'!$B$1)</f>
        <v>User Template</v>
      </c>
      <c r="E59" s="289" t="s">
        <v>51</v>
      </c>
      <c r="F59" s="90"/>
    </row>
    <row r="60" spans="3:8" ht="56.65" customHeight="1" x14ac:dyDescent="0.35">
      <c r="C60" s="165"/>
      <c r="D60" s="185" t="s">
        <v>58</v>
      </c>
      <c r="E60" s="80"/>
      <c r="F60" s="90"/>
    </row>
    <row r="61" spans="3:8" ht="8.25" customHeight="1" x14ac:dyDescent="0.35">
      <c r="C61" s="198"/>
      <c r="F61" s="91"/>
      <c r="G61" s="89" t="s">
        <v>3</v>
      </c>
      <c r="H61"/>
    </row>
    <row r="62" spans="3:8" ht="14.65" customHeight="1" x14ac:dyDescent="0.35">
      <c r="C62" s="198" t="s">
        <v>59</v>
      </c>
      <c r="D62" s="80" t="str" cm="1">
        <f t="array" aca="1" ref="D62" ca="1">HYPERLINK(CONCATENATE("#",CELL("address",'Financial Health'!$A$2)),'Financial Health'!$B$1)</f>
        <v>Financial Health</v>
      </c>
      <c r="E62"/>
      <c r="F62" s="90"/>
    </row>
    <row r="63" spans="3:8" x14ac:dyDescent="0.35">
      <c r="C63" s="165"/>
      <c r="D63" s="185" t="s">
        <v>60</v>
      </c>
      <c r="E63" s="80"/>
      <c r="F63" s="90"/>
    </row>
    <row r="64" spans="3:8" ht="56.65" customHeight="1" x14ac:dyDescent="0.35">
      <c r="C64" s="165"/>
      <c r="D64" s="80" t="str" cm="1">
        <f t="array" aca="1" ref="D64" ca="1">HYPERLINK(CONCATENATE("#",CELL("address",Dashboard!$A$2)),Dashboard!$B$1)</f>
        <v>Dashboard</v>
      </c>
      <c r="E64" s="289" t="s">
        <v>51</v>
      </c>
      <c r="F64" s="90"/>
    </row>
    <row r="65" spans="3:8" ht="29" x14ac:dyDescent="0.35">
      <c r="C65" s="165"/>
      <c r="D65" s="185" t="s">
        <v>61</v>
      </c>
      <c r="E65" s="80"/>
      <c r="F65" s="90"/>
    </row>
    <row r="66" spans="3:8" ht="8.25" customHeight="1" x14ac:dyDescent="0.35">
      <c r="C66" s="198"/>
      <c r="F66" s="91"/>
      <c r="G66" s="89" t="s">
        <v>3</v>
      </c>
      <c r="H66"/>
    </row>
    <row r="67" spans="3:8" x14ac:dyDescent="0.35">
      <c r="C67" s="198" t="s">
        <v>62</v>
      </c>
      <c r="D67" s="80" t="str" cm="1">
        <f t="array" aca="1" ref="D67" ca="1">HYPERLINK(CONCATENATE("#",CELL("address",Guide!$E$90)),Guide!$B$1)</f>
        <v>Guide</v>
      </c>
      <c r="E67" s="289" t="s">
        <v>51</v>
      </c>
      <c r="F67" s="90"/>
    </row>
    <row r="68" spans="3:8" x14ac:dyDescent="0.35">
      <c r="C68" s="198"/>
      <c r="D68" s="185" t="s">
        <v>63</v>
      </c>
      <c r="E68" s="289"/>
      <c r="F68" s="90"/>
    </row>
    <row r="69" spans="3:8" x14ac:dyDescent="0.35">
      <c r="C69" s="198"/>
      <c r="D69" s="290" t="s">
        <v>64</v>
      </c>
      <c r="E69" s="289" t="s">
        <v>51</v>
      </c>
      <c r="F69" s="90"/>
    </row>
    <row r="70" spans="3:8" ht="44.65" customHeight="1" x14ac:dyDescent="0.35">
      <c r="C70" s="198"/>
      <c r="D70" s="185" t="s">
        <v>65</v>
      </c>
      <c r="E70" s="289"/>
      <c r="F70" s="90"/>
    </row>
    <row r="71" spans="3:8" x14ac:dyDescent="0.35">
      <c r="C71" s="165"/>
      <c r="E71" s="80"/>
      <c r="F71" s="90"/>
    </row>
    <row r="72" spans="3:8" ht="8.25" customHeight="1" x14ac:dyDescent="0.35">
      <c r="C72" s="199"/>
      <c r="D72" s="200"/>
      <c r="E72" s="94"/>
      <c r="F72" s="95"/>
      <c r="G72" s="89" t="s">
        <v>3</v>
      </c>
      <c r="H72"/>
    </row>
    <row r="73" spans="3:8" ht="8.25" customHeight="1" x14ac:dyDescent="0.35">
      <c r="C73" s="198"/>
      <c r="F73" s="91"/>
      <c r="G73" s="89" t="s">
        <v>3</v>
      </c>
      <c r="H73"/>
    </row>
    <row r="74" spans="3:8" ht="29" x14ac:dyDescent="0.35">
      <c r="C74" s="203"/>
      <c r="D74" s="185" t="s">
        <v>66</v>
      </c>
      <c r="E74" s="80" t="str" cm="1">
        <f t="array" aca="1" ref="E74" ca="1">HYPERLINK(CONCATENATE("#",CELL("address",$C$11)),"Styles")</f>
        <v>Styles</v>
      </c>
      <c r="F74" s="91"/>
    </row>
    <row r="75" spans="3:8" ht="8.25" customHeight="1" x14ac:dyDescent="0.35">
      <c r="C75" s="198"/>
      <c r="F75" s="91"/>
      <c r="G75" s="89" t="s">
        <v>3</v>
      </c>
      <c r="H75"/>
    </row>
    <row r="76" spans="3:8" ht="29" x14ac:dyDescent="0.35">
      <c r="C76" s="203" t="s">
        <v>67</v>
      </c>
      <c r="D76" s="185" t="s">
        <v>68</v>
      </c>
      <c r="E76" s="204" t="s">
        <v>24</v>
      </c>
      <c r="F76" s="91"/>
    </row>
    <row r="77" spans="3:8" ht="8.25" customHeight="1" x14ac:dyDescent="0.35">
      <c r="C77" s="198"/>
      <c r="F77" s="91"/>
      <c r="G77" s="89" t="s">
        <v>3</v>
      </c>
      <c r="H77"/>
    </row>
    <row r="78" spans="3:8" ht="29" x14ac:dyDescent="0.35">
      <c r="C78" s="198"/>
      <c r="D78" s="185" t="s">
        <v>69</v>
      </c>
      <c r="E78" s="179" t="s">
        <v>36</v>
      </c>
      <c r="F78" s="91"/>
    </row>
    <row r="79" spans="3:8" ht="29" x14ac:dyDescent="0.35">
      <c r="C79" s="198"/>
      <c r="D79" s="185" t="s">
        <v>70</v>
      </c>
      <c r="F79" s="91"/>
    </row>
    <row r="80" spans="3:8" ht="8.25" customHeight="1" x14ac:dyDescent="0.35">
      <c r="C80" s="198"/>
      <c r="F80" s="91"/>
      <c r="G80" s="89" t="s">
        <v>3</v>
      </c>
      <c r="H80"/>
    </row>
    <row r="81" spans="1:8" ht="58" x14ac:dyDescent="0.35">
      <c r="C81" s="203" t="s">
        <v>71</v>
      </c>
      <c r="D81" s="185" t="s">
        <v>72</v>
      </c>
      <c r="E81" s="176" t="s">
        <v>26</v>
      </c>
      <c r="F81" s="91"/>
    </row>
    <row r="82" spans="1:8" ht="8.25" customHeight="1" x14ac:dyDescent="0.35">
      <c r="C82" s="198"/>
      <c r="F82" s="91"/>
      <c r="G82" s="89" t="s">
        <v>3</v>
      </c>
      <c r="H82"/>
    </row>
    <row r="83" spans="1:8" ht="43.5" x14ac:dyDescent="0.35">
      <c r="C83" s="203"/>
      <c r="D83" s="185" t="s">
        <v>73</v>
      </c>
      <c r="E83" s="180" t="s">
        <v>38</v>
      </c>
      <c r="F83" s="91"/>
    </row>
    <row r="84" spans="1:8" ht="43.5" x14ac:dyDescent="0.35">
      <c r="C84" s="198"/>
      <c r="D84" s="185" t="s">
        <v>74</v>
      </c>
      <c r="F84" s="91"/>
    </row>
    <row r="85" spans="1:8" ht="51.75" customHeight="1" x14ac:dyDescent="0.35">
      <c r="C85" s="535" t="s">
        <v>75</v>
      </c>
      <c r="D85" s="600" t="s">
        <v>76</v>
      </c>
      <c r="E85" s="536" t="s">
        <v>77</v>
      </c>
      <c r="F85" s="92"/>
    </row>
    <row r="86" spans="1:8" ht="8.25" customHeight="1" x14ac:dyDescent="0.35">
      <c r="G86" s="26"/>
      <c r="H86"/>
    </row>
    <row r="87" spans="1:8" x14ac:dyDescent="0.35">
      <c r="A87" s="34"/>
      <c r="B87" s="34"/>
      <c r="C87" s="34" t="s">
        <v>78</v>
      </c>
      <c r="D87" s="58"/>
      <c r="E87" s="34"/>
      <c r="F87" s="34"/>
      <c r="G87" s="26" t="s">
        <v>3</v>
      </c>
      <c r="H87"/>
    </row>
    <row r="88" spans="1:8" ht="8.25" customHeight="1" x14ac:dyDescent="0.35">
      <c r="G88" s="26" t="s">
        <v>3</v>
      </c>
      <c r="H88"/>
    </row>
    <row r="89" spans="1:8" ht="18.5" x14ac:dyDescent="0.35">
      <c r="B89" s="184" t="s">
        <v>79</v>
      </c>
      <c r="C89" s="191"/>
      <c r="G89" s="26"/>
      <c r="H89"/>
    </row>
    <row r="90" spans="1:8" x14ac:dyDescent="0.35">
      <c r="C90" s="190"/>
      <c r="D90" s="509" t="s">
        <v>80</v>
      </c>
      <c r="E90" s="164" t="s">
        <v>81</v>
      </c>
      <c r="G90" s="26"/>
      <c r="H90"/>
    </row>
    <row r="91" spans="1:8" x14ac:dyDescent="0.35">
      <c r="B91" s="160">
        <v>1</v>
      </c>
      <c r="C91" s="166" t="str" cm="1">
        <f t="array" aca="1" ref="C91" ca="1">HYPERLINK(CONCATENATE("#",CELL("address",'Cover Sheet'!$B$1)),'Cover Sheet'!$B$1)</f>
        <v>Cover Sheet</v>
      </c>
      <c r="D91" s="192"/>
      <c r="E91" s="302"/>
      <c r="G91" s="14"/>
      <c r="H91"/>
    </row>
    <row r="92" spans="1:8" x14ac:dyDescent="0.35">
      <c r="B92" s="157"/>
      <c r="C92" s="168" t="str" cm="1">
        <f t="array" aca="1" ref="C92" ca="1">HYPERLINK(CONCATENATE("#",CELL("address",'Cover Sheet'!$D$8)),'Cover Sheet'!$D$8)</f>
        <v>College Details</v>
      </c>
      <c r="D92" s="193" t="s">
        <v>82</v>
      </c>
      <c r="E92" s="302"/>
      <c r="G92" s="162"/>
      <c r="H92"/>
    </row>
    <row r="93" spans="1:8" ht="101.5" x14ac:dyDescent="0.35">
      <c r="B93" s="158"/>
      <c r="C93" s="169" t="str" cm="1">
        <f t="array" aca="1" ref="C93" ca="1">HYPERLINK(CONCATENATE("#",CELL("address",'Cover Sheet'!$D$17)),'Cover Sheet'!$D$17)</f>
        <v>Date Inputs</v>
      </c>
      <c r="D93" s="193" t="s">
        <v>83</v>
      </c>
      <c r="E93" s="302"/>
      <c r="G93" s="162"/>
      <c r="H93"/>
    </row>
    <row r="94" spans="1:8" ht="45.75" customHeight="1" x14ac:dyDescent="0.35">
      <c r="B94" s="158"/>
      <c r="C94" s="169" t="str" cm="1">
        <f t="array" aca="1" ref="C94" ca="1">HYPERLINK(CONCATENATE("#",CELL("address",'Cover Sheet'!$D$31)),'Cover Sheet'!$D$31)</f>
        <v>Financial Health Grade</v>
      </c>
      <c r="D94" s="193" t="s">
        <v>84</v>
      </c>
      <c r="E94" s="302"/>
      <c r="G94" s="14"/>
      <c r="H94"/>
    </row>
    <row r="95" spans="1:8" ht="29" x14ac:dyDescent="0.35">
      <c r="B95" s="158"/>
      <c r="C95" s="169" t="str" cm="1">
        <f t="array" aca="1" ref="C95" ca="1">HYPERLINK(CONCATENATE("#",CELL("address",'Cover Sheet'!$D$46)),'Cover Sheet'!$D$46)</f>
        <v>Mid Year Merger Details</v>
      </c>
      <c r="D95" s="193" t="s">
        <v>85</v>
      </c>
      <c r="E95" s="302"/>
      <c r="G95" s="14"/>
      <c r="H95"/>
    </row>
    <row r="96" spans="1:8" ht="31.5" customHeight="1" x14ac:dyDescent="0.35">
      <c r="B96" s="158"/>
      <c r="C96" s="169" t="str" cm="1">
        <f t="array" aca="1" ref="C96" ca="1">HYPERLINK(CONCATENATE("#",CELL("address",'Cover Sheet'!$D$52)),'Cover Sheet'!$D$52)</f>
        <v>Declarations</v>
      </c>
      <c r="D96" s="193" t="s">
        <v>86</v>
      </c>
      <c r="E96" s="302"/>
      <c r="G96" s="14"/>
      <c r="H96"/>
    </row>
    <row r="97" spans="1:8" x14ac:dyDescent="0.35">
      <c r="B97" s="159">
        <v>2</v>
      </c>
      <c r="C97" s="167" t="str" cm="1">
        <f t="array" aca="1" ref="C97" ca="1">HYPERLINK(CONCATENATE("#",CELL("address",'Learners and Staff'!$A$2)),'Learners and Staff'!$B$1)</f>
        <v>Learners and Staff</v>
      </c>
      <c r="D97" s="193" t="s">
        <v>87</v>
      </c>
      <c r="E97" s="302"/>
      <c r="G97" s="14"/>
      <c r="H97"/>
    </row>
    <row r="98" spans="1:8" x14ac:dyDescent="0.35">
      <c r="B98" s="159">
        <v>3</v>
      </c>
      <c r="C98" s="167" t="str" cm="1">
        <f t="array" aca="1" ref="C98" ca="1">HYPERLINK(CONCATENATE("#",CELL("address",$C$133)),$C$133)</f>
        <v>I&amp;E Inputs Completion Steps</v>
      </c>
      <c r="D98" s="193" t="s">
        <v>88</v>
      </c>
      <c r="E98" s="302"/>
      <c r="G98" s="14"/>
      <c r="H98"/>
    </row>
    <row r="99" spans="1:8" ht="43.5" x14ac:dyDescent="0.35">
      <c r="B99" s="159">
        <v>4</v>
      </c>
      <c r="C99" s="167" t="str" cm="1">
        <f t="array" aca="1" ref="C99" ca="1">HYPERLINK(CONCATENATE("#",CELL("address",'Opening Balances'!$B$1)),'Opening Balances'!$B$1)</f>
        <v>Opening Balances</v>
      </c>
      <c r="D99" s="193" t="s">
        <v>89</v>
      </c>
      <c r="E99" s="302"/>
      <c r="G99" s="162"/>
      <c r="H99"/>
    </row>
    <row r="100" spans="1:8" ht="43.5" x14ac:dyDescent="0.35">
      <c r="B100" s="159">
        <v>5</v>
      </c>
      <c r="C100" s="167" t="str" cm="1">
        <f t="array" aca="1" ref="C100" ca="1">HYPERLINK(CONCATENATE("#",CELL("address",'Investing Inputs'!$B$1)),'Investing Inputs'!$B$1)</f>
        <v>Investing Inputs</v>
      </c>
      <c r="D100" s="193" t="s">
        <v>90</v>
      </c>
      <c r="E100" s="302"/>
      <c r="G100" s="162"/>
      <c r="H100"/>
    </row>
    <row r="101" spans="1:8" x14ac:dyDescent="0.35">
      <c r="B101" s="157"/>
      <c r="C101" s="168" t="str" cm="1">
        <f t="array" aca="1" ref="C101" ca="1">HYPERLINK(CONCATENATE("#",CELL("address",'Investing Inputs'!$D$8)),'Investing Inputs'!$D$8)</f>
        <v>Capital Expenditure</v>
      </c>
      <c r="D101" s="194" t="s">
        <v>91</v>
      </c>
      <c r="E101" s="302"/>
      <c r="H101"/>
    </row>
    <row r="102" spans="1:8" ht="24.75" customHeight="1" x14ac:dyDescent="0.35">
      <c r="B102" s="157"/>
      <c r="C102" s="168" t="str" cm="1">
        <f t="array" aca="1" ref="C102" ca="1">HYPERLINK(CONCATENATE("#",CELL("address",'Investing Inputs'!$D$55)),'Investing Inputs'!$D$55)</f>
        <v>Movement from Assets under Construction</v>
      </c>
      <c r="D102" s="194" t="s">
        <v>92</v>
      </c>
      <c r="E102" s="302"/>
      <c r="H102"/>
    </row>
    <row r="103" spans="1:8" ht="24" x14ac:dyDescent="0.35">
      <c r="B103" s="157"/>
      <c r="C103" s="168" t="str" cm="1">
        <f t="array" aca="1" ref="C103" ca="1">HYPERLINK(CONCATENATE("#",CELL("address",'Investing Inputs'!$D$80)),'Investing Inputs'!$D$80)</f>
        <v>Surplus/Loss on Revaluation/ Fair Value Adjustment</v>
      </c>
      <c r="D103" s="194" t="s">
        <v>93</v>
      </c>
      <c r="E103" s="302"/>
      <c r="H103"/>
    </row>
    <row r="104" spans="1:8" x14ac:dyDescent="0.35">
      <c r="B104" s="157"/>
      <c r="C104" s="168" t="str" cm="1">
        <f t="array" aca="1" ref="C104" ca="1">HYPERLINK(CONCATENATE("#",CELL("address",'Investing Inputs'!$D$106)),'Investing Inputs'!$D$106)</f>
        <v>Moved to Assets Held for Sale</v>
      </c>
      <c r="D104" s="194" t="s">
        <v>92</v>
      </c>
      <c r="E104" s="302"/>
      <c r="H104"/>
    </row>
    <row r="105" spans="1:8" x14ac:dyDescent="0.35">
      <c r="B105" s="157"/>
      <c r="C105" s="168" t="str" cm="1">
        <f t="array" aca="1" ref="C105" ca="1">HYPERLINK(CONCATENATE("#",CELL("address",'Investing Inputs'!$D$132)),'Investing Inputs'!$D$132)</f>
        <v>Disposals</v>
      </c>
      <c r="D105" s="194" t="s">
        <v>94</v>
      </c>
      <c r="E105" s="302"/>
      <c r="H105"/>
    </row>
    <row r="106" spans="1:8" ht="72.5" x14ac:dyDescent="0.35">
      <c r="B106" s="157"/>
      <c r="C106" s="168" t="str" cm="1">
        <f t="array" aca="1" ref="C106" ca="1">HYPERLINK(CONCATENATE("#",CELL("address",'Investing Inputs'!$D$217)),'Investing Inputs'!$D$217)</f>
        <v>NCA Accounts</v>
      </c>
      <c r="D106" s="193" t="s">
        <v>95</v>
      </c>
      <c r="E106" s="302"/>
      <c r="H106"/>
    </row>
    <row r="107" spans="1:8" ht="43.5" x14ac:dyDescent="0.35">
      <c r="B107" s="157"/>
      <c r="C107" s="168" t="str" cm="1">
        <f t="array" aca="1" ref="C107" ca="1">HYPERLINK(CONCATENATE("#",CELL("address",'Investing Inputs'!$D$328)),'Investing Inputs'!$D$328)</f>
        <v>NCA Accounts Reclassification</v>
      </c>
      <c r="D107" s="194" t="s">
        <v>96</v>
      </c>
      <c r="E107" s="302"/>
      <c r="H107"/>
    </row>
    <row r="108" spans="1:8" x14ac:dyDescent="0.35">
      <c r="B108" s="159">
        <v>6</v>
      </c>
      <c r="C108" s="167" t="str" cm="1">
        <f t="array" aca="1" ref="C108" ca="1">HYPERLINK(CONCATENATE("#",CELL("address",$C$206)),$C$206)</f>
        <v>Loans</v>
      </c>
      <c r="D108" s="193" t="s">
        <v>88</v>
      </c>
      <c r="E108" s="302"/>
      <c r="H108"/>
    </row>
    <row r="109" spans="1:8" ht="406" x14ac:dyDescent="0.35">
      <c r="B109" s="159">
        <v>7</v>
      </c>
      <c r="C109" s="167" t="str" cm="1">
        <f t="array" aca="1" ref="C109" ca="1">HYPERLINK(CONCATENATE("#",CELL("address",'BS Forecasts'!$B$1)),'BS Forecasts'!$B$1)</f>
        <v>BS Forecasts</v>
      </c>
      <c r="D109" s="193" t="s">
        <v>97</v>
      </c>
      <c r="E109" s="302"/>
      <c r="G109" s="162"/>
      <c r="H109"/>
    </row>
    <row r="110" spans="1:8" ht="29" x14ac:dyDescent="0.35">
      <c r="B110" s="173">
        <v>8</v>
      </c>
      <c r="C110" s="174" t="str" cm="1">
        <f t="array" aca="1" ref="C110" ca="1">HYPERLINK(CONCATENATE("#",CELL("address",'User Template'!$B$1)),'User Template'!$B$1)</f>
        <v>User Template</v>
      </c>
      <c r="D110" s="195" t="s">
        <v>98</v>
      </c>
      <c r="E110" s="303"/>
      <c r="H110"/>
    </row>
    <row r="111" spans="1:8" ht="8.25" customHeight="1" x14ac:dyDescent="0.35">
      <c r="G111" s="26"/>
      <c r="H111"/>
    </row>
    <row r="112" spans="1:8" x14ac:dyDescent="0.35">
      <c r="A112" s="34"/>
      <c r="B112" s="34"/>
      <c r="C112" s="34" t="s">
        <v>99</v>
      </c>
      <c r="D112" s="58"/>
      <c r="E112" s="34"/>
      <c r="F112" s="34"/>
      <c r="G112" s="26" t="s">
        <v>3</v>
      </c>
      <c r="H112"/>
    </row>
    <row r="113" spans="2:8" ht="8.25" customHeight="1" x14ac:dyDescent="0.35">
      <c r="G113" s="26" t="s">
        <v>3</v>
      </c>
      <c r="H113"/>
    </row>
    <row r="114" spans="2:8" ht="18.5" x14ac:dyDescent="0.35">
      <c r="B114" s="184" t="s">
        <v>100</v>
      </c>
      <c r="C114" s="191"/>
      <c r="G114" s="26"/>
      <c r="H114"/>
    </row>
    <row r="115" spans="2:8" x14ac:dyDescent="0.35">
      <c r="C115" s="190"/>
      <c r="D115" s="509" t="s">
        <v>80</v>
      </c>
      <c r="E115" s="164" t="s">
        <v>101</v>
      </c>
      <c r="G115" s="26"/>
      <c r="H115"/>
    </row>
    <row r="116" spans="2:8" x14ac:dyDescent="0.35">
      <c r="B116" s="160">
        <v>1</v>
      </c>
      <c r="C116" s="166" t="str" cm="1">
        <f t="array" aca="1" ref="C116" ca="1">HYPERLINK(CONCATENATE("#",CELL("address",'Fin Stat'!$A$2)),'Fin Stat'!$B$1)</f>
        <v>Fin Stat</v>
      </c>
      <c r="D116" s="192" t="s">
        <v>102</v>
      </c>
      <c r="E116" s="161"/>
      <c r="G116" s="14"/>
      <c r="H116"/>
    </row>
    <row r="117" spans="2:8" x14ac:dyDescent="0.35">
      <c r="B117" s="157"/>
      <c r="C117" s="168" t="str" cm="1">
        <f t="array" aca="1" ref="C117" ca="1">HYPERLINK(CONCATENATE("#",CELL("address",'Fin Stat'!$D$11)),'Fin Stat'!$D$11)</f>
        <v>Income &amp; Expenditure</v>
      </c>
      <c r="D117" s="193" t="s">
        <v>103</v>
      </c>
      <c r="E117" s="302"/>
      <c r="G117" s="162"/>
      <c r="H117"/>
    </row>
    <row r="118" spans="2:8" x14ac:dyDescent="0.35">
      <c r="B118" s="158"/>
      <c r="C118" s="168" t="str" cm="1">
        <f t="array" aca="1" ref="C118" ca="1">HYPERLINK(CONCATENATE("#",CELL("address",'Fin Stat'!$D$64)),'Fin Stat'!$D$64)</f>
        <v>Balance Sheet</v>
      </c>
      <c r="D118" s="193" t="s">
        <v>104</v>
      </c>
      <c r="E118" s="302"/>
      <c r="G118" s="162"/>
      <c r="H118"/>
    </row>
    <row r="119" spans="2:8" ht="43.5" x14ac:dyDescent="0.35">
      <c r="B119" s="158"/>
      <c r="C119" s="168" t="str" cm="1">
        <f t="array" aca="1" ref="C119" ca="1">HYPERLINK(CONCATENATE("#",CELL("address",'Fin Stat'!$D$145)),'Fin Stat'!$D$145)</f>
        <v>Cash Flow</v>
      </c>
      <c r="D119" s="193" t="s">
        <v>105</v>
      </c>
      <c r="E119" s="302"/>
      <c r="G119" s="14"/>
      <c r="H119"/>
    </row>
    <row r="120" spans="2:8" ht="29" x14ac:dyDescent="0.35">
      <c r="B120" s="159">
        <v>2</v>
      </c>
      <c r="C120" s="167" t="str" cm="1">
        <f t="array" aca="1" ref="C120" ca="1">HYPERLINK(CONCATENATE("#",CELL("address",Ratios!$B$1)),Ratios!$B$1)</f>
        <v>Ratios</v>
      </c>
      <c r="D120" s="193" t="s">
        <v>106</v>
      </c>
      <c r="E120" s="302"/>
      <c r="G120" s="14"/>
      <c r="H120"/>
    </row>
    <row r="121" spans="2:8" ht="29" x14ac:dyDescent="0.35">
      <c r="B121" s="159">
        <v>3</v>
      </c>
      <c r="C121" s="167" t="str" cm="1">
        <f t="array" aca="1" ref="C121" ca="1">HYPERLINK(CONCATENATE("#",CELL("address",'Financial Health'!$B$1)),'Financial Health'!$B$1)</f>
        <v>Financial Health</v>
      </c>
      <c r="D121" s="193" t="s">
        <v>107</v>
      </c>
      <c r="E121" s="302"/>
      <c r="G121" s="162"/>
      <c r="H121"/>
    </row>
    <row r="122" spans="2:8" ht="72.5" x14ac:dyDescent="0.35">
      <c r="B122" s="158"/>
      <c r="C122" s="168" t="str" cm="1">
        <f t="array" aca="1" ref="C122" ca="1">HYPERLINK(CONCATENATE("#",CELL("address",'Financial Health'!$D$11)),'Financial Health'!$D$11)</f>
        <v>Financial Health Grading</v>
      </c>
      <c r="D122" s="193" t="s">
        <v>108</v>
      </c>
      <c r="E122" s="302"/>
      <c r="G122" s="162"/>
      <c r="H122"/>
    </row>
    <row r="123" spans="2:8" ht="29" x14ac:dyDescent="0.35">
      <c r="B123" s="159">
        <v>4</v>
      </c>
      <c r="C123" s="167" t="str" cm="1">
        <f t="array" aca="1" ref="C123" ca="1">HYPERLINK(CONCATENATE("#",CELL("address",'Cash Flow Summary'!$B$1)),'Cash Flow Summary'!$B$1)</f>
        <v>Cash Flow Summary</v>
      </c>
      <c r="D123" s="193" t="s">
        <v>109</v>
      </c>
      <c r="E123" s="302"/>
      <c r="G123" s="162"/>
      <c r="H123"/>
    </row>
    <row r="124" spans="2:8" ht="116" x14ac:dyDescent="0.35">
      <c r="B124" s="159">
        <v>5</v>
      </c>
      <c r="C124" s="167" t="str" cm="1">
        <f t="array" aca="1" ref="C124" ca="1">HYPERLINK(CONCATENATE("#",CELL("address",'WC Dashboard'!$B$1)),'WC Dashboard'!$B$1)</f>
        <v>WC Dashboard</v>
      </c>
      <c r="D124" s="193" t="s">
        <v>110</v>
      </c>
      <c r="E124" s="302"/>
      <c r="G124" s="162"/>
      <c r="H124"/>
    </row>
    <row r="125" spans="2:8" ht="72.5" x14ac:dyDescent="0.35">
      <c r="B125" s="159">
        <v>6</v>
      </c>
      <c r="C125" s="167" t="str" cm="1">
        <f t="array" aca="1" ref="C125" ca="1">HYPERLINK(CONCATENATE("#",CELL("address",Dashboard!$B$1)),Dashboard!$B$1)</f>
        <v>Dashboard</v>
      </c>
      <c r="D125" s="193" t="s">
        <v>111</v>
      </c>
      <c r="E125" s="302"/>
      <c r="G125" s="162"/>
      <c r="H125"/>
    </row>
    <row r="126" spans="2:8" x14ac:dyDescent="0.35">
      <c r="B126" s="157"/>
      <c r="C126" s="168" t="str" cm="1">
        <f t="array" aca="1" ref="C126" ca="1">HYPERLINK(CONCATENATE("#",CELL("address",Dashboard!$B$13)),LOWER(Dashboard!$B$13))</f>
        <v>financal health</v>
      </c>
      <c r="D126" s="194" t="s">
        <v>112</v>
      </c>
      <c r="E126" s="302"/>
      <c r="H126"/>
    </row>
    <row r="127" spans="2:8" ht="43.5" x14ac:dyDescent="0.35">
      <c r="B127" s="157"/>
      <c r="C127" s="168" t="str" cm="1">
        <f t="array" aca="1" ref="C127" ca="1">HYPERLINK(CONCATENATE("#",CELL("address",Dashboard!$B$17)),LOWER(Dashboard!$B$17))</f>
        <v>performance</v>
      </c>
      <c r="D127" s="194" t="s">
        <v>113</v>
      </c>
      <c r="E127" s="302"/>
      <c r="H127"/>
    </row>
    <row r="128" spans="2:8" ht="43.5" x14ac:dyDescent="0.35">
      <c r="B128" s="157"/>
      <c r="C128" s="168" t="str" cm="1">
        <f t="array" aca="1" ref="C128" ca="1">HYPERLINK(CONCATENATE("#",CELL("address",Dashboard!$B$44)),LOWER(Dashboard!$B$44))</f>
        <v>financing</v>
      </c>
      <c r="D128" s="194" t="s">
        <v>114</v>
      </c>
      <c r="E128" s="302"/>
      <c r="H128"/>
    </row>
    <row r="129" spans="1:8" ht="43.5" x14ac:dyDescent="0.35">
      <c r="B129" s="157"/>
      <c r="C129" s="168" t="str" cm="1">
        <f t="array" aca="1" ref="C129" ca="1">HYPERLINK(CONCATENATE("#",CELL("address",Dashboard!$B$70)),LOWER(Dashboard!$B$70))</f>
        <v>solvency</v>
      </c>
      <c r="D129" s="194" t="s">
        <v>115</v>
      </c>
      <c r="E129" s="302"/>
      <c r="H129"/>
    </row>
    <row r="130" spans="1:8" ht="58" x14ac:dyDescent="0.35">
      <c r="B130" s="157"/>
      <c r="C130" s="168" t="str" cm="1">
        <f t="array" aca="1" ref="C130" ca="1">HYPERLINK(CONCATENATE("#",CELL("address",Dashboard!$D$95)),Dashboard!$D$95)</f>
        <v>Financial Statements</v>
      </c>
      <c r="D130" s="194" t="s">
        <v>116</v>
      </c>
      <c r="E130" s="302"/>
      <c r="H130"/>
    </row>
    <row r="131" spans="1:8" ht="72.5" x14ac:dyDescent="0.35">
      <c r="B131" s="175"/>
      <c r="C131" s="287" t="str" cm="1">
        <f t="array" aca="1" ref="C131" ca="1">HYPERLINK(CONCATENATE("#",CELL("address",Dashboard!$B$129)),LOWER(Dashboard!$B$129))</f>
        <v>debt</v>
      </c>
      <c r="D131" s="195" t="s">
        <v>117</v>
      </c>
      <c r="E131" s="303"/>
      <c r="H131"/>
    </row>
    <row r="132" spans="1:8" ht="8.25" customHeight="1" x14ac:dyDescent="0.35">
      <c r="G132" s="26"/>
      <c r="H132"/>
    </row>
    <row r="133" spans="1:8" x14ac:dyDescent="0.35">
      <c r="A133" s="34"/>
      <c r="B133" s="34"/>
      <c r="C133" s="58" t="s">
        <v>118</v>
      </c>
      <c r="D133" s="58"/>
      <c r="E133" s="34"/>
      <c r="F133" s="34"/>
      <c r="G133" s="26" t="s">
        <v>3</v>
      </c>
      <c r="H133"/>
    </row>
    <row r="134" spans="1:8" ht="8.25" customHeight="1" x14ac:dyDescent="0.35">
      <c r="G134" s="26" t="s">
        <v>3</v>
      </c>
      <c r="H134"/>
    </row>
    <row r="135" spans="1:8" ht="29" x14ac:dyDescent="0.35">
      <c r="C135" s="196" t="s">
        <v>119</v>
      </c>
      <c r="D135" s="185" t="s">
        <v>120</v>
      </c>
      <c r="G135" s="26" t="s">
        <v>3</v>
      </c>
      <c r="H135"/>
    </row>
    <row r="136" spans="1:8" ht="8.25" customHeight="1" x14ac:dyDescent="0.35">
      <c r="G136" s="26" t="s">
        <v>3</v>
      </c>
      <c r="H136"/>
    </row>
    <row r="137" spans="1:8" x14ac:dyDescent="0.35">
      <c r="C137" s="284" t="s">
        <v>121</v>
      </c>
      <c r="D137" s="285"/>
      <c r="E137" s="98" t="s">
        <v>122</v>
      </c>
      <c r="F137" s="108" t="s">
        <v>122</v>
      </c>
      <c r="G137" s="89"/>
      <c r="H137"/>
    </row>
    <row r="138" spans="1:8" ht="8.25" customHeight="1" x14ac:dyDescent="0.35">
      <c r="C138" s="198"/>
      <c r="F138" s="91"/>
      <c r="G138" s="89" t="s">
        <v>3</v>
      </c>
      <c r="H138"/>
    </row>
    <row r="139" spans="1:8" ht="136.5" customHeight="1" x14ac:dyDescent="0.35">
      <c r="C139" s="203" t="s">
        <v>123</v>
      </c>
      <c r="D139" s="185" t="s">
        <v>124</v>
      </c>
      <c r="E139" s="80" t="str" cm="1">
        <f t="array" aca="1" ref="E139" ca="1">HYPERLINK(CONCATENATE("#",CELL("address",'I&amp;E Monthly'!$B$1)),'I&amp;E Monthly'!$B$1)</f>
        <v>I&amp;E Monthly</v>
      </c>
      <c r="F139" s="90"/>
      <c r="G139" s="89"/>
      <c r="H139"/>
    </row>
    <row r="140" spans="1:8" ht="8.25" customHeight="1" x14ac:dyDescent="0.35">
      <c r="C140" s="198"/>
      <c r="F140" s="91"/>
      <c r="G140" s="89" t="s">
        <v>3</v>
      </c>
      <c r="H140"/>
    </row>
    <row r="141" spans="1:8" ht="90.75" customHeight="1" x14ac:dyDescent="0.35">
      <c r="C141" s="198"/>
      <c r="D141" s="185" t="s">
        <v>125</v>
      </c>
      <c r="E141" s="80" t="str" cm="1">
        <f t="array" aca="1" ref="E141" ca="1">HYPERLINK(CONCATENATE("#",CELL("address",'I&amp;E Monthly'!$E$99)),'I&amp;E Monthly'!$B$1)</f>
        <v>I&amp;E Monthly</v>
      </c>
      <c r="F141" s="91"/>
      <c r="G141" s="89" t="s">
        <v>3</v>
      </c>
      <c r="H141"/>
    </row>
    <row r="142" spans="1:8" ht="8.25" customHeight="1" x14ac:dyDescent="0.35">
      <c r="C142" s="198"/>
      <c r="F142" s="91"/>
      <c r="G142" s="89" t="s">
        <v>3</v>
      </c>
      <c r="H142"/>
    </row>
    <row r="143" spans="1:8" ht="29" x14ac:dyDescent="0.35">
      <c r="C143" s="198"/>
      <c r="D143" s="185" t="s">
        <v>126</v>
      </c>
      <c r="E143" s="80" t="str" cm="1">
        <f t="array" aca="1" ref="E143" ca="1">HYPERLINK(CONCATENATE("#",CELL("address",'I&amp;E Annual'!$B$1)),'I&amp;E Annual'!$B$1)</f>
        <v>I&amp;E Annual</v>
      </c>
      <c r="F143" s="91"/>
      <c r="G143" s="89" t="s">
        <v>3</v>
      </c>
      <c r="H143"/>
    </row>
    <row r="144" spans="1:8" ht="8.25" customHeight="1" x14ac:dyDescent="0.35">
      <c r="C144" s="199"/>
      <c r="D144" s="200"/>
      <c r="E144" s="94"/>
      <c r="F144" s="95"/>
      <c r="G144" s="89" t="s">
        <v>3</v>
      </c>
      <c r="H144"/>
    </row>
    <row r="145" spans="3:8" ht="8.25" customHeight="1" x14ac:dyDescent="0.35">
      <c r="C145" s="198"/>
      <c r="F145" s="91"/>
      <c r="G145" s="89" t="s">
        <v>3</v>
      </c>
      <c r="H145"/>
    </row>
    <row r="146" spans="3:8" x14ac:dyDescent="0.35">
      <c r="C146" s="203" t="s">
        <v>127</v>
      </c>
      <c r="D146" s="185" t="s">
        <v>128</v>
      </c>
      <c r="E146" s="80" t="str" cm="1">
        <f t="array" aca="1" ref="E146" ca="1">HYPERLINK(CONCATENATE("#",CELL("address",'Cover Sheet'!$D$17)),'Cover Sheet'!$B$1)</f>
        <v>Cover Sheet</v>
      </c>
      <c r="F146" s="90"/>
      <c r="G146" s="89"/>
      <c r="H146"/>
    </row>
    <row r="147" spans="3:8" ht="58" x14ac:dyDescent="0.35">
      <c r="C147" s="198"/>
      <c r="D147" s="185" t="s">
        <v>129</v>
      </c>
      <c r="E147" s="80" t="str" cm="1">
        <f t="array" aca="1" ref="E147" ca="1">HYPERLINK(CONCATENATE("#",CELL("address",'I&amp;E Monthly'!$B$1)),'I&amp;E Monthly'!$B$1)</f>
        <v>I&amp;E Monthly</v>
      </c>
      <c r="F147" s="90"/>
      <c r="G147" s="89"/>
      <c r="H147"/>
    </row>
    <row r="148" spans="3:8" ht="8.25" customHeight="1" x14ac:dyDescent="0.35">
      <c r="C148" s="198"/>
      <c r="F148" s="91"/>
      <c r="G148" s="89" t="s">
        <v>3</v>
      </c>
      <c r="H148"/>
    </row>
    <row r="149" spans="3:8" ht="43.5" x14ac:dyDescent="0.35">
      <c r="C149" s="198"/>
      <c r="D149" s="185" t="s">
        <v>130</v>
      </c>
      <c r="E149" s="80" t="str" cm="1">
        <f t="array" aca="1" ref="E149" ca="1">HYPERLINK(CONCATENATE("#",CELL("address",'I&amp;E Monthly'!$B$1)),'I&amp;E Monthly'!$B$1)</f>
        <v>I&amp;E Monthly</v>
      </c>
      <c r="F149" s="90"/>
      <c r="G149" s="89"/>
      <c r="H149"/>
    </row>
    <row r="150" spans="3:8" ht="8.25" customHeight="1" x14ac:dyDescent="0.35">
      <c r="C150" s="198"/>
      <c r="F150" s="91"/>
      <c r="G150" s="89" t="s">
        <v>3</v>
      </c>
      <c r="H150"/>
    </row>
    <row r="151" spans="3:8" ht="29" x14ac:dyDescent="0.35">
      <c r="C151" s="198"/>
      <c r="D151" s="185" t="s">
        <v>131</v>
      </c>
      <c r="E151" s="80" t="str" cm="1">
        <f t="array" aca="1" ref="E151" ca="1">HYPERLINK(CONCATENATE("#",CELL("address",'I&amp;E Annual'!$B$1)),'I&amp;E Annual'!$B$1)</f>
        <v>I&amp;E Annual</v>
      </c>
      <c r="F151" s="91"/>
      <c r="G151" s="89" t="s">
        <v>3</v>
      </c>
      <c r="H151"/>
    </row>
    <row r="152" spans="3:8" ht="8.25" customHeight="1" x14ac:dyDescent="0.35">
      <c r="C152" s="201"/>
      <c r="D152" s="202"/>
      <c r="E152" s="93"/>
      <c r="F152" s="92"/>
      <c r="G152" s="89" t="s">
        <v>3</v>
      </c>
      <c r="H152"/>
    </row>
    <row r="153" spans="3:8" ht="8.25" customHeight="1" x14ac:dyDescent="0.35">
      <c r="G153" s="26" t="s">
        <v>3</v>
      </c>
      <c r="H153"/>
    </row>
    <row r="154" spans="3:8" x14ac:dyDescent="0.35">
      <c r="C154" s="286" t="s">
        <v>132</v>
      </c>
      <c r="D154" s="285"/>
      <c r="E154" s="98" t="s">
        <v>122</v>
      </c>
      <c r="F154" s="108" t="s">
        <v>122</v>
      </c>
      <c r="G154" s="89" t="s">
        <v>3</v>
      </c>
      <c r="H154"/>
    </row>
    <row r="155" spans="3:8" ht="8.25" customHeight="1" x14ac:dyDescent="0.35">
      <c r="C155" s="198"/>
      <c r="F155" s="91"/>
      <c r="G155" s="89" t="s">
        <v>3</v>
      </c>
      <c r="H155"/>
    </row>
    <row r="156" spans="3:8" ht="93" customHeight="1" x14ac:dyDescent="0.35">
      <c r="C156" s="198"/>
      <c r="D156" s="185" t="s">
        <v>133</v>
      </c>
      <c r="E156" s="80"/>
      <c r="F156" s="91"/>
      <c r="G156" s="89" t="s">
        <v>3</v>
      </c>
      <c r="H156"/>
    </row>
    <row r="157" spans="3:8" ht="8.25" customHeight="1" x14ac:dyDescent="0.35">
      <c r="C157" s="198"/>
      <c r="F157" s="91"/>
      <c r="G157" s="89" t="s">
        <v>3</v>
      </c>
      <c r="H157"/>
    </row>
    <row r="158" spans="3:8" ht="29" x14ac:dyDescent="0.35">
      <c r="C158" s="203" t="s">
        <v>123</v>
      </c>
      <c r="D158" s="185" t="s">
        <v>134</v>
      </c>
      <c r="E158" s="80" t="str" cm="1">
        <f t="array" aca="1" ref="E158" ca="1">HYPERLINK(CONCATENATE("#",CELL("address",'I&amp;E Monthly'!$B$1)),'I&amp;E Monthly'!$B$1)</f>
        <v>I&amp;E Monthly</v>
      </c>
      <c r="F158" s="90"/>
      <c r="G158" s="89" t="s">
        <v>3</v>
      </c>
      <c r="H158"/>
    </row>
    <row r="159" spans="3:8" ht="8.25" customHeight="1" x14ac:dyDescent="0.35">
      <c r="C159" s="198"/>
      <c r="F159" s="91"/>
      <c r="G159" s="89" t="s">
        <v>3</v>
      </c>
      <c r="H159"/>
    </row>
    <row r="160" spans="3:8" ht="74.25" customHeight="1" x14ac:dyDescent="0.35">
      <c r="C160" s="198"/>
      <c r="D160" s="185" t="s">
        <v>135</v>
      </c>
      <c r="E160" s="80" t="str" cm="1">
        <f t="array" aca="1" ref="E160" ca="1">HYPERLINK(CONCATENATE("#",CELL("address",'I&amp;E Annual'!$G$6)),'I&amp;E Annual'!$B$1)</f>
        <v>I&amp;E Annual</v>
      </c>
      <c r="F160" s="91"/>
      <c r="G160" s="89" t="s">
        <v>3</v>
      </c>
      <c r="H160"/>
    </row>
    <row r="161" spans="3:8" ht="8.25" customHeight="1" x14ac:dyDescent="0.35">
      <c r="C161" s="198"/>
      <c r="F161" s="91"/>
      <c r="G161" s="89" t="s">
        <v>3</v>
      </c>
      <c r="H161"/>
    </row>
    <row r="162" spans="3:8" ht="43.5" x14ac:dyDescent="0.35">
      <c r="C162" s="198"/>
      <c r="D162" s="185" t="s">
        <v>136</v>
      </c>
      <c r="E162" s="80" t="str" cm="1">
        <f t="array" aca="1" ref="E162" ca="1">HYPERLINK(CONCATENATE("#",CELL("address",'I&amp;E Monthly'!$AA$1)),'I&amp;E Monthly'!$B$1)</f>
        <v>I&amp;E Monthly</v>
      </c>
      <c r="F162" s="91"/>
      <c r="G162" s="89" t="s">
        <v>3</v>
      </c>
      <c r="H162"/>
    </row>
    <row r="163" spans="3:8" ht="8.25" customHeight="1" x14ac:dyDescent="0.35">
      <c r="C163" s="198"/>
      <c r="F163" s="91"/>
      <c r="G163" s="89" t="s">
        <v>3</v>
      </c>
      <c r="H163"/>
    </row>
    <row r="164" spans="3:8" ht="29" x14ac:dyDescent="0.35">
      <c r="C164" s="198"/>
      <c r="D164" s="185" t="s">
        <v>137</v>
      </c>
      <c r="E164" s="80" t="str" cm="1">
        <f t="array" aca="1" ref="E164" ca="1">HYPERLINK(CONCATENATE("#",CELL("address",'I&amp;E Annual'!$W$11)),'I&amp;E Annual'!$B$1)</f>
        <v>I&amp;E Annual</v>
      </c>
      <c r="F164" s="91"/>
      <c r="G164" s="89" t="s">
        <v>3</v>
      </c>
      <c r="H164"/>
    </row>
    <row r="165" spans="3:8" ht="8.25" customHeight="1" x14ac:dyDescent="0.35">
      <c r="C165" s="198"/>
      <c r="F165" s="91"/>
      <c r="G165" s="89" t="s">
        <v>3</v>
      </c>
      <c r="H165"/>
    </row>
    <row r="166" spans="3:8" ht="29" x14ac:dyDescent="0.35">
      <c r="C166" s="165"/>
      <c r="D166" s="185" t="s">
        <v>138</v>
      </c>
      <c r="E166" s="80" t="str" cm="1">
        <f t="array" aca="1" ref="E166" ca="1">HYPERLINK(CONCATENATE("#",CELL("address",'I&amp;E Profiles'!$D$13)),'I&amp;E Profiles'!$B$1)</f>
        <v>I&amp;E Profiles</v>
      </c>
      <c r="F166" s="91"/>
      <c r="G166" s="89" t="s">
        <v>3</v>
      </c>
      <c r="H166"/>
    </row>
    <row r="167" spans="3:8" ht="8.25" customHeight="1" x14ac:dyDescent="0.35">
      <c r="C167" s="198"/>
      <c r="F167" s="91"/>
      <c r="G167" s="89" t="s">
        <v>3</v>
      </c>
      <c r="H167"/>
    </row>
    <row r="168" spans="3:8" ht="29" x14ac:dyDescent="0.35">
      <c r="C168" s="165"/>
      <c r="D168" s="185" t="s">
        <v>139</v>
      </c>
      <c r="E168" s="80" t="str" cm="1">
        <f t="array" aca="1" ref="E168" ca="1">HYPERLINK(CONCATENATE("#",CELL("address",'I&amp;E Annual'!$E$6)),'I&amp;E Annual'!$B$1)</f>
        <v>I&amp;E Annual</v>
      </c>
      <c r="F168" s="91"/>
      <c r="G168" s="89" t="s">
        <v>3</v>
      </c>
      <c r="H168"/>
    </row>
    <row r="169" spans="3:8" ht="8.25" customHeight="1" x14ac:dyDescent="0.35">
      <c r="C169" s="198"/>
      <c r="F169" s="91"/>
      <c r="G169" s="89" t="s">
        <v>3</v>
      </c>
      <c r="H169"/>
    </row>
    <row r="170" spans="3:8" ht="29" x14ac:dyDescent="0.35">
      <c r="C170" s="198"/>
      <c r="D170" s="185" t="s">
        <v>140</v>
      </c>
      <c r="E170" s="80" t="str" cm="1">
        <f t="array" aca="1" ref="E170" ca="1">HYPERLINK(CONCATENATE("#",CELL("address",'I&amp;E Annual'!$B$1)),'I&amp;E Annual'!$B$1)</f>
        <v>I&amp;E Annual</v>
      </c>
      <c r="F170" s="91"/>
      <c r="G170" s="89"/>
      <c r="H170"/>
    </row>
    <row r="171" spans="3:8" ht="8.25" customHeight="1" x14ac:dyDescent="0.35">
      <c r="C171" s="199"/>
      <c r="D171" s="200"/>
      <c r="E171" s="94"/>
      <c r="F171" s="95"/>
      <c r="G171" s="89" t="s">
        <v>3</v>
      </c>
      <c r="H171"/>
    </row>
    <row r="172" spans="3:8" ht="8.25" customHeight="1" x14ac:dyDescent="0.35">
      <c r="C172" s="198"/>
      <c r="F172" s="91"/>
      <c r="G172" s="89" t="s">
        <v>3</v>
      </c>
      <c r="H172"/>
    </row>
    <row r="173" spans="3:8" x14ac:dyDescent="0.35">
      <c r="C173" s="203" t="s">
        <v>127</v>
      </c>
      <c r="D173" s="185" t="s">
        <v>141</v>
      </c>
      <c r="E173" s="80" t="str" cm="1">
        <f t="array" aca="1" ref="E173" ca="1">HYPERLINK(CONCATENATE("#",CELL("address",'Cover Sheet'!$B$1)),'Cover Sheet'!$B$1)</f>
        <v>Cover Sheet</v>
      </c>
      <c r="F173" s="90"/>
      <c r="G173" s="89"/>
      <c r="H173"/>
    </row>
    <row r="174" spans="3:8" ht="8.25" customHeight="1" x14ac:dyDescent="0.35">
      <c r="C174" s="198"/>
      <c r="F174" s="91"/>
      <c r="G174" s="89" t="s">
        <v>3</v>
      </c>
      <c r="H174"/>
    </row>
    <row r="175" spans="3:8" ht="52.5" customHeight="1" x14ac:dyDescent="0.35">
      <c r="C175" s="198"/>
      <c r="D175" s="185" t="s">
        <v>142</v>
      </c>
      <c r="E175" s="80" t="str" cm="1">
        <f t="array" aca="1" ref="E175" ca="1">HYPERLINK(CONCATENATE("#",CELL("address",'I&amp;E Monthly'!$B$1)),'I&amp;E Monthly'!$B$1)</f>
        <v>I&amp;E Monthly</v>
      </c>
      <c r="F175" s="90"/>
      <c r="G175" s="89"/>
      <c r="H175"/>
    </row>
    <row r="176" spans="3:8" ht="8.25" customHeight="1" x14ac:dyDescent="0.35">
      <c r="C176" s="198"/>
      <c r="F176" s="91"/>
      <c r="G176" s="89" t="s">
        <v>3</v>
      </c>
      <c r="H176"/>
    </row>
    <row r="177" spans="3:8" ht="58" x14ac:dyDescent="0.35">
      <c r="C177" s="198"/>
      <c r="D177" s="185" t="s">
        <v>143</v>
      </c>
      <c r="E177" s="80" t="str" cm="1">
        <f t="array" aca="1" ref="E177" ca="1">HYPERLINK(CONCATENATE("#",CELL("address",'I&amp;E Annual'!$W$11)),'I&amp;E Annual'!$B$1)</f>
        <v>I&amp;E Annual</v>
      </c>
      <c r="F177" s="91"/>
      <c r="G177" s="89"/>
      <c r="H177"/>
    </row>
    <row r="178" spans="3:8" ht="8.25" customHeight="1" x14ac:dyDescent="0.35">
      <c r="C178" s="198"/>
      <c r="F178" s="91"/>
      <c r="G178" s="89" t="s">
        <v>3</v>
      </c>
      <c r="H178"/>
    </row>
    <row r="179" spans="3:8" ht="29" x14ac:dyDescent="0.35">
      <c r="C179" s="198"/>
      <c r="D179" s="185" t="s">
        <v>144</v>
      </c>
      <c r="E179" s="80" t="str" cm="1">
        <f t="array" aca="1" ref="E179" ca="1">HYPERLINK(CONCATENATE("#",CELL("address",'I&amp;E Annual'!$B$1)),'I&amp;E Annual'!$B$1)</f>
        <v>I&amp;E Annual</v>
      </c>
      <c r="F179" s="91"/>
      <c r="G179" s="89"/>
      <c r="H179"/>
    </row>
    <row r="180" spans="3:8" ht="8.25" customHeight="1" x14ac:dyDescent="0.35">
      <c r="C180" s="198"/>
      <c r="F180" s="91"/>
      <c r="G180" s="89" t="s">
        <v>3</v>
      </c>
      <c r="H180"/>
    </row>
    <row r="181" spans="3:8" ht="8.25" customHeight="1" x14ac:dyDescent="0.35">
      <c r="C181" s="201"/>
      <c r="D181" s="202"/>
      <c r="E181" s="93"/>
      <c r="F181" s="92"/>
      <c r="G181" s="89" t="s">
        <v>3</v>
      </c>
      <c r="H181"/>
    </row>
    <row r="182" spans="3:8" ht="8.25" customHeight="1" x14ac:dyDescent="0.35">
      <c r="C182" s="3"/>
      <c r="D182" s="3"/>
      <c r="E182" s="3"/>
      <c r="F182" s="3"/>
      <c r="G182" s="3"/>
      <c r="H182" s="3"/>
    </row>
    <row r="183" spans="3:8" x14ac:dyDescent="0.35">
      <c r="G183" s="26" t="s">
        <v>3</v>
      </c>
      <c r="H183"/>
    </row>
    <row r="184" spans="3:8" x14ac:dyDescent="0.35">
      <c r="G184" s="26" t="s">
        <v>3</v>
      </c>
      <c r="H184"/>
    </row>
    <row r="185" spans="3:8" x14ac:dyDescent="0.35">
      <c r="C185" s="80"/>
      <c r="G185" s="26" t="s">
        <v>3</v>
      </c>
      <c r="H185"/>
    </row>
    <row r="186" spans="3:8" x14ac:dyDescent="0.35">
      <c r="C186" s="80"/>
      <c r="G186" s="26" t="s">
        <v>3</v>
      </c>
      <c r="H186"/>
    </row>
    <row r="187" spans="3:8" x14ac:dyDescent="0.35">
      <c r="G187" s="26" t="s">
        <v>3</v>
      </c>
      <c r="H187"/>
    </row>
    <row r="188" spans="3:8" ht="8.25" customHeight="1" x14ac:dyDescent="0.35">
      <c r="G188" s="26" t="s">
        <v>3</v>
      </c>
      <c r="H188"/>
    </row>
    <row r="189" spans="3:8" x14ac:dyDescent="0.35">
      <c r="C189" s="80"/>
      <c r="G189" s="26" t="s">
        <v>3</v>
      </c>
      <c r="H189"/>
    </row>
    <row r="190" spans="3:8" x14ac:dyDescent="0.35">
      <c r="C190" s="80"/>
      <c r="G190" s="26" t="s">
        <v>3</v>
      </c>
      <c r="H190"/>
    </row>
    <row r="191" spans="3:8" x14ac:dyDescent="0.35">
      <c r="G191" s="26" t="s">
        <v>3</v>
      </c>
      <c r="H191"/>
    </row>
    <row r="198" spans="1:8" x14ac:dyDescent="0.35">
      <c r="C198" s="3"/>
      <c r="D198" s="3"/>
      <c r="E198" s="3"/>
      <c r="F198" s="3"/>
      <c r="G198" s="3"/>
      <c r="H198" s="3"/>
    </row>
    <row r="201" spans="1:8" x14ac:dyDescent="0.35">
      <c r="C201" s="3"/>
      <c r="D201" s="3"/>
      <c r="E201" s="3"/>
      <c r="F201" s="3"/>
      <c r="G201" s="3"/>
      <c r="H201" s="3"/>
    </row>
    <row r="204" spans="1:8" x14ac:dyDescent="0.35">
      <c r="A204" s="34"/>
      <c r="B204" s="34"/>
      <c r="C204" s="58" t="s">
        <v>145</v>
      </c>
      <c r="D204" s="58"/>
      <c r="E204" s="34"/>
      <c r="F204" s="34"/>
    </row>
    <row r="206" spans="1:8" x14ac:dyDescent="0.35">
      <c r="C206" s="197" t="s">
        <v>146</v>
      </c>
      <c r="D206" s="98"/>
      <c r="E206" s="98"/>
      <c r="F206" s="108"/>
    </row>
    <row r="207" spans="1:8" ht="3.75" customHeight="1" x14ac:dyDescent="0.35">
      <c r="C207" s="198"/>
      <c r="F207" s="91"/>
    </row>
    <row r="208" spans="1:8" ht="36.75" customHeight="1" x14ac:dyDescent="0.35">
      <c r="C208" s="165" t="str" cm="1">
        <f t="array" aca="1" ref="C208" ca="1">HYPERLINK(CONCATENATE("#",CELL("address",Loans!$D$8)),Loans!$D$8)</f>
        <v>Loan Data Table</v>
      </c>
      <c r="D208" s="185" t="s">
        <v>147</v>
      </c>
      <c r="E208" s="80"/>
      <c r="F208" s="90"/>
    </row>
    <row r="209" spans="3:8" ht="8.25" customHeight="1" x14ac:dyDescent="0.35">
      <c r="C209" s="198"/>
      <c r="F209" s="91"/>
      <c r="G209" s="89" t="s">
        <v>3</v>
      </c>
      <c r="H209"/>
    </row>
    <row r="210" spans="3:8" x14ac:dyDescent="0.35">
      <c r="C210" s="165"/>
      <c r="D210" s="288" t="s">
        <v>148</v>
      </c>
      <c r="E210" s="80" t="str" cm="1">
        <f t="array" aca="1" ref="E210" ca="1">HYPERLINK(CONCATENATE("#",CELL("address",Loans!$D$10)),Loans!$D$10)</f>
        <v>Information Requirement by DfE</v>
      </c>
      <c r="F210" s="90"/>
    </row>
    <row r="211" spans="3:8" x14ac:dyDescent="0.35">
      <c r="C211" s="165"/>
      <c r="D211" s="288" t="s">
        <v>149</v>
      </c>
      <c r="E211" s="80" t="str" cm="1">
        <f t="array" aca="1" ref="E211" ca="1">HYPERLINK(CONCATENATE("#",CELL("address",Loans!$N$10)),Loans!$N$10)</f>
        <v>Loan Covenants</v>
      </c>
      <c r="F211" s="90"/>
    </row>
    <row r="212" spans="3:8" ht="43.5" x14ac:dyDescent="0.35">
      <c r="C212" s="165"/>
      <c r="D212" s="288" t="s">
        <v>150</v>
      </c>
      <c r="E212" s="80" t="str" cm="1">
        <f t="array" aca="1" ref="E212" ca="1">HYPERLINK(CONCATENATE("#",CELL("address",Loans!$Q$10)),Loans!$Q$10)</f>
        <v>Info required if automated interest calc. is used</v>
      </c>
      <c r="F212" s="90"/>
    </row>
    <row r="213" spans="3:8" ht="8.25" customHeight="1" x14ac:dyDescent="0.35">
      <c r="C213" s="198"/>
      <c r="F213" s="91"/>
      <c r="G213" s="89" t="s">
        <v>3</v>
      </c>
      <c r="H213"/>
    </row>
    <row r="214" spans="3:8" ht="87" x14ac:dyDescent="0.35">
      <c r="C214" s="165"/>
      <c r="D214" s="185" t="s">
        <v>151</v>
      </c>
      <c r="E214" s="80" t="str" cm="1">
        <f t="array" aca="1" ref="E214" ca="1">HYPERLINK(CONCATENATE("#",CELL("address",Loans!$Q$11)),Loans!$Q$11)</f>
        <v>Use Automated Interest Calculation?</v>
      </c>
      <c r="F214" s="90"/>
    </row>
    <row r="215" spans="3:8" ht="62.25" customHeight="1" x14ac:dyDescent="0.35">
      <c r="C215" s="165"/>
      <c r="D215" s="185" t="s">
        <v>152</v>
      </c>
      <c r="E215" s="80" t="str" cm="1">
        <f t="array" aca="1" ref="E215" ca="1">HYPERLINK(CONCATENATE("#",CELL("address",Loans!$D$66)),Loans!$D$54)</f>
        <v>Manual Loan Data Inputs</v>
      </c>
      <c r="F215" s="90"/>
    </row>
    <row r="216" spans="3:8" ht="8.25" customHeight="1" x14ac:dyDescent="0.35">
      <c r="C216" s="198"/>
      <c r="F216" s="91"/>
      <c r="G216" s="89" t="s">
        <v>3</v>
      </c>
      <c r="H216"/>
    </row>
    <row r="217" spans="3:8" ht="29" x14ac:dyDescent="0.35">
      <c r="C217" s="165"/>
      <c r="D217" s="185" t="s">
        <v>153</v>
      </c>
      <c r="E217" s="80" t="str" cm="1">
        <f t="array" aca="1" ref="E217" ca="1">HYPERLINK(CONCATENATE("#",CELL("address",Loans!$AA$8)),Loans!$AA$8)</f>
        <v>Variable Annual Interest Rate Option (%)</v>
      </c>
      <c r="F217" s="90"/>
    </row>
    <row r="218" spans="3:8" ht="8.25" customHeight="1" x14ac:dyDescent="0.35">
      <c r="C218" s="199"/>
      <c r="D218" s="200"/>
      <c r="E218" s="94"/>
      <c r="F218" s="95"/>
      <c r="G218" s="89" t="s">
        <v>3</v>
      </c>
      <c r="H218"/>
    </row>
    <row r="219" spans="3:8" ht="8.25" customHeight="1" x14ac:dyDescent="0.35">
      <c r="C219" s="198"/>
      <c r="F219" s="91"/>
      <c r="G219" s="89" t="s">
        <v>3</v>
      </c>
      <c r="H219"/>
    </row>
    <row r="220" spans="3:8" ht="43.5" x14ac:dyDescent="0.35">
      <c r="C220" s="165" t="str" cm="1">
        <f t="array" aca="1" ref="C220" ca="1">HYPERLINK(CONCATENATE("#",CELL("address",Loans!$AA$54)),Loans!$D$54)</f>
        <v>Manual Loan Data Inputs</v>
      </c>
      <c r="D220" s="185" t="s">
        <v>154</v>
      </c>
      <c r="E220" s="80" t="str" cm="1">
        <f t="array" aca="1" ref="E220" ca="1">HYPERLINK(CONCATENATE("#",CELL("address",Loans!$D$56)),Loans!$D$54)</f>
        <v>Manual Loan Data Inputs</v>
      </c>
      <c r="F220" s="91"/>
    </row>
    <row r="221" spans="3:8" ht="8.25" customHeight="1" x14ac:dyDescent="0.35">
      <c r="C221" s="198"/>
      <c r="F221" s="91"/>
      <c r="G221" s="89" t="s">
        <v>3</v>
      </c>
      <c r="H221"/>
    </row>
    <row r="222" spans="3:8" ht="101.5" x14ac:dyDescent="0.35">
      <c r="C222" s="198"/>
      <c r="D222" s="185" t="s">
        <v>155</v>
      </c>
      <c r="E222" s="80"/>
      <c r="F222" s="91"/>
    </row>
    <row r="223" spans="3:8" ht="8.25" customHeight="1" x14ac:dyDescent="0.35">
      <c r="C223" s="198"/>
      <c r="F223" s="91"/>
      <c r="G223" s="89" t="s">
        <v>3</v>
      </c>
      <c r="H223"/>
    </row>
    <row r="224" spans="3:8" ht="29" x14ac:dyDescent="0.35">
      <c r="C224" s="198"/>
      <c r="D224" s="185" t="s">
        <v>156</v>
      </c>
      <c r="E224" s="80" t="str" cm="1">
        <f t="array" aca="1" ref="E224" ca="1">HYPERLINK(CONCATENATE("#",CELL("address",Loans!$D$66)),Loans!$D$54)</f>
        <v>Manual Loan Data Inputs</v>
      </c>
      <c r="F224" s="91"/>
    </row>
    <row r="225" spans="3:8" ht="87" x14ac:dyDescent="0.35">
      <c r="C225" s="198"/>
      <c r="D225" s="185" t="s">
        <v>157</v>
      </c>
      <c r="E225" s="80" t="str" cm="1">
        <f t="array" aca="1" ref="E225" ca="1">HYPERLINK(CONCATENATE("#",CELL("address",Loans!$D$693)),Loans!$D$436)</f>
        <v>Loan Interest Calculation Option</v>
      </c>
      <c r="F225" s="91"/>
    </row>
    <row r="226" spans="3:8" x14ac:dyDescent="0.35">
      <c r="C226" s="198"/>
      <c r="F226" s="91"/>
    </row>
    <row r="227" spans="3:8" x14ac:dyDescent="0.35">
      <c r="C227" s="201"/>
      <c r="D227" s="202"/>
      <c r="E227" s="93"/>
      <c r="F227" s="92"/>
    </row>
    <row r="228" spans="3:8" x14ac:dyDescent="0.35">
      <c r="C228" s="3"/>
      <c r="D228" s="3"/>
      <c r="E228" s="3"/>
      <c r="F228" s="3"/>
      <c r="G228" s="3"/>
      <c r="H228" s="3"/>
    </row>
    <row r="229" spans="3:8" ht="29" x14ac:dyDescent="0.35">
      <c r="C229" s="197" t="s">
        <v>158</v>
      </c>
      <c r="D229" s="98"/>
      <c r="E229" s="98"/>
      <c r="F229" s="108"/>
    </row>
    <row r="230" spans="3:8" x14ac:dyDescent="0.35">
      <c r="C230" s="198"/>
      <c r="F230" s="91"/>
    </row>
    <row r="231" spans="3:8" ht="29" x14ac:dyDescent="0.35">
      <c r="C231" s="165" t="str" cm="1">
        <f t="array" aca="1" ref="C231" ca="1">HYPERLINK(CONCATENATE("#",CELL("address",Loans!$D$436)),Loans!$D$436)</f>
        <v>Loan Interest Calculation Option</v>
      </c>
      <c r="D231" s="185" t="s">
        <v>159</v>
      </c>
      <c r="F231" s="91"/>
    </row>
    <row r="232" spans="3:8" ht="29" x14ac:dyDescent="0.35">
      <c r="C232" s="198"/>
      <c r="D232" s="185" t="s">
        <v>160</v>
      </c>
      <c r="F232" s="91"/>
    </row>
    <row r="233" spans="3:8" ht="8.25" customHeight="1" x14ac:dyDescent="0.35">
      <c r="C233" s="198"/>
      <c r="F233" s="91"/>
      <c r="G233" s="89" t="s">
        <v>3</v>
      </c>
      <c r="H233"/>
    </row>
    <row r="234" spans="3:8" ht="29" x14ac:dyDescent="0.35">
      <c r="C234" s="198"/>
      <c r="D234" s="185" t="s">
        <v>161</v>
      </c>
      <c r="E234" s="80" t="str" cm="1">
        <f t="array" aca="1" ref="E234" ca="1">HYPERLINK(CONCATENATE("#",CELL("address",Loans!$Q$11)),Loans!$Q$11)</f>
        <v>Use Automated Interest Calculation?</v>
      </c>
      <c r="F234" s="91"/>
    </row>
    <row r="235" spans="3:8" ht="8.25" customHeight="1" x14ac:dyDescent="0.35">
      <c r="C235" s="198"/>
      <c r="F235" s="91"/>
      <c r="G235" s="89" t="s">
        <v>3</v>
      </c>
      <c r="H235"/>
    </row>
    <row r="236" spans="3:8" ht="58" x14ac:dyDescent="0.35">
      <c r="C236" s="198"/>
      <c r="D236" s="185" t="s">
        <v>162</v>
      </c>
      <c r="E236" s="80" t="str" cm="1">
        <f t="array" aca="1" ref="E236" ca="1">HYPERLINK(CONCATENATE("#",CELL("address",Loans!$R$11)),Loans!$R$11)</f>
        <v>Date of first forecast interest payment</v>
      </c>
      <c r="F236" s="91"/>
    </row>
    <row r="237" spans="3:8" ht="8.25" customHeight="1" x14ac:dyDescent="0.35">
      <c r="C237" s="198"/>
      <c r="F237" s="91"/>
      <c r="G237" s="89" t="s">
        <v>3</v>
      </c>
      <c r="H237"/>
    </row>
    <row r="238" spans="3:8" ht="43.5" x14ac:dyDescent="0.35">
      <c r="C238" s="198"/>
      <c r="D238" s="185" t="s">
        <v>163</v>
      </c>
      <c r="E238" s="80" t="str" cm="1">
        <f t="array" aca="1" ref="E238" ca="1">HYPERLINK(CONCATENATE("#",CELL("address",Loans!$S$11)),Loans!$S$11)</f>
        <v>Interest Compounding Frequency</v>
      </c>
      <c r="F238" s="91"/>
    </row>
    <row r="239" spans="3:8" ht="8.25" customHeight="1" x14ac:dyDescent="0.35">
      <c r="C239" s="198"/>
      <c r="F239" s="91"/>
      <c r="G239" s="89" t="s">
        <v>3</v>
      </c>
      <c r="H239"/>
    </row>
    <row r="240" spans="3:8" ht="29" x14ac:dyDescent="0.35">
      <c r="C240" s="198"/>
      <c r="D240" s="185" t="s">
        <v>164</v>
      </c>
      <c r="E240" s="80" t="str" cm="1">
        <f t="array" aca="1" ref="E240" ca="1">HYPERLINK(CONCATENATE("#",CELL("address",Loans!$T$11)),Loans!$T$11)</f>
        <v>Interest Payment Frequency</v>
      </c>
      <c r="F240" s="91"/>
    </row>
    <row r="241" spans="1:13" ht="8.25" customHeight="1" x14ac:dyDescent="0.35">
      <c r="C241" s="198"/>
      <c r="F241" s="91"/>
      <c r="G241" s="89" t="s">
        <v>3</v>
      </c>
      <c r="H241"/>
    </row>
    <row r="242" spans="1:13" ht="43.5" x14ac:dyDescent="0.35">
      <c r="C242" s="198"/>
      <c r="D242" s="185" t="s">
        <v>165</v>
      </c>
      <c r="E242" s="80" t="str" cm="1">
        <f t="array" aca="1" ref="E242" ca="1">HYPERLINK(CONCATENATE("#",CELL("address",Loans!$U$11)),Loans!$U$11)</f>
        <v>Intr. accrues at Period End</v>
      </c>
      <c r="F242" s="91"/>
    </row>
    <row r="243" spans="1:13" ht="8.25" customHeight="1" x14ac:dyDescent="0.35">
      <c r="C243" s="198"/>
      <c r="F243" s="91"/>
      <c r="G243" s="89" t="s">
        <v>3</v>
      </c>
      <c r="H243"/>
    </row>
    <row r="244" spans="1:13" x14ac:dyDescent="0.35">
      <c r="C244" s="201"/>
      <c r="D244" s="202"/>
      <c r="E244" s="93"/>
      <c r="F244" s="92"/>
    </row>
    <row r="246" spans="1:13" x14ac:dyDescent="0.35">
      <c r="A246" s="34"/>
      <c r="B246" s="34"/>
      <c r="C246" s="34" t="s">
        <v>166</v>
      </c>
      <c r="D246" s="58"/>
      <c r="E246" s="34"/>
      <c r="F246" s="34"/>
    </row>
    <row r="248" spans="1:13" x14ac:dyDescent="0.35">
      <c r="C248" s="613" t="s">
        <v>167</v>
      </c>
      <c r="D248" s="614"/>
      <c r="E248" s="615"/>
      <c r="F248" s="616"/>
    </row>
    <row r="249" spans="1:13" x14ac:dyDescent="0.35">
      <c r="C249" s="203"/>
      <c r="F249" s="91"/>
    </row>
    <row r="250" spans="1:13" ht="79.5" customHeight="1" x14ac:dyDescent="0.35">
      <c r="C250" s="655" t="s">
        <v>168</v>
      </c>
      <c r="D250" s="656"/>
      <c r="E250" s="656"/>
      <c r="F250" s="657"/>
      <c r="G250" s="612"/>
      <c r="H250" s="612"/>
      <c r="I250" s="612"/>
      <c r="J250" s="612"/>
      <c r="K250" s="612"/>
      <c r="L250" s="612"/>
      <c r="M250" s="612"/>
    </row>
    <row r="251" spans="1:13" x14ac:dyDescent="0.35">
      <c r="C251" s="203"/>
      <c r="F251" s="91"/>
    </row>
    <row r="252" spans="1:13" x14ac:dyDescent="0.35">
      <c r="C252" s="203"/>
      <c r="F252" s="91"/>
    </row>
    <row r="253" spans="1:13" x14ac:dyDescent="0.35">
      <c r="C253" s="203"/>
      <c r="F253" s="91"/>
    </row>
    <row r="254" spans="1:13" x14ac:dyDescent="0.35">
      <c r="C254" s="203"/>
      <c r="F254" s="91"/>
    </row>
    <row r="255" spans="1:13" x14ac:dyDescent="0.35">
      <c r="C255" s="203"/>
      <c r="F255" s="91"/>
    </row>
    <row r="256" spans="1:13" x14ac:dyDescent="0.35">
      <c r="C256" s="203"/>
      <c r="F256" s="91"/>
    </row>
    <row r="257" spans="3:6" x14ac:dyDescent="0.35">
      <c r="C257" s="203"/>
      <c r="F257" s="91"/>
    </row>
    <row r="258" spans="3:6" x14ac:dyDescent="0.35">
      <c r="C258" s="203"/>
      <c r="F258" s="91"/>
    </row>
    <row r="259" spans="3:6" x14ac:dyDescent="0.35">
      <c r="C259" s="203"/>
      <c r="F259" s="91"/>
    </row>
    <row r="260" spans="3:6" x14ac:dyDescent="0.35">
      <c r="C260" s="203"/>
      <c r="F260" s="91"/>
    </row>
    <row r="261" spans="3:6" x14ac:dyDescent="0.35">
      <c r="C261" s="203"/>
      <c r="F261" s="91"/>
    </row>
    <row r="262" spans="3:6" x14ac:dyDescent="0.35">
      <c r="C262" s="203"/>
      <c r="F262" s="91"/>
    </row>
    <row r="263" spans="3:6" x14ac:dyDescent="0.35">
      <c r="C263" s="203"/>
      <c r="F263" s="91"/>
    </row>
    <row r="264" spans="3:6" x14ac:dyDescent="0.35">
      <c r="C264" s="203"/>
      <c r="F264" s="91"/>
    </row>
    <row r="265" spans="3:6" x14ac:dyDescent="0.35">
      <c r="C265" s="203"/>
      <c r="F265" s="91"/>
    </row>
    <row r="266" spans="3:6" x14ac:dyDescent="0.35">
      <c r="C266" s="203"/>
      <c r="F266" s="91"/>
    </row>
    <row r="267" spans="3:6" x14ac:dyDescent="0.35">
      <c r="C267" s="203"/>
      <c r="F267" s="91"/>
    </row>
    <row r="268" spans="3:6" x14ac:dyDescent="0.35">
      <c r="C268" s="198"/>
      <c r="F268" s="91"/>
    </row>
    <row r="269" spans="3:6" x14ac:dyDescent="0.35">
      <c r="C269" s="198"/>
      <c r="F269" s="91"/>
    </row>
    <row r="270" spans="3:6" x14ac:dyDescent="0.35">
      <c r="C270" s="198"/>
      <c r="F270" s="91"/>
    </row>
    <row r="271" spans="3:6" x14ac:dyDescent="0.35">
      <c r="C271" s="198"/>
      <c r="F271" s="91"/>
    </row>
    <row r="272" spans="3:6" x14ac:dyDescent="0.35">
      <c r="C272" s="198"/>
      <c r="F272" s="91"/>
    </row>
    <row r="273" spans="3:6" ht="14.15" customHeight="1" x14ac:dyDescent="0.35">
      <c r="C273" s="198"/>
      <c r="F273" s="91"/>
    </row>
    <row r="274" spans="3:6" x14ac:dyDescent="0.35">
      <c r="C274" s="203" t="s">
        <v>169</v>
      </c>
      <c r="F274" s="91"/>
    </row>
    <row r="275" spans="3:6" x14ac:dyDescent="0.35">
      <c r="C275" s="198"/>
      <c r="F275" s="91"/>
    </row>
    <row r="276" spans="3:6" ht="162.75" customHeight="1" x14ac:dyDescent="0.35">
      <c r="C276" s="658" t="s">
        <v>170</v>
      </c>
      <c r="D276" s="659"/>
      <c r="E276" s="659"/>
      <c r="F276" s="660"/>
    </row>
    <row r="277" spans="3:6" x14ac:dyDescent="0.35">
      <c r="C277" s="198"/>
      <c r="F277" s="91"/>
    </row>
    <row r="278" spans="3:6" x14ac:dyDescent="0.35">
      <c r="C278" s="198"/>
      <c r="F278" s="91"/>
    </row>
    <row r="279" spans="3:6" x14ac:dyDescent="0.35">
      <c r="C279" s="198"/>
      <c r="F279" s="91"/>
    </row>
    <row r="280" spans="3:6" x14ac:dyDescent="0.35">
      <c r="C280" s="198"/>
      <c r="F280" s="91"/>
    </row>
    <row r="281" spans="3:6" x14ac:dyDescent="0.35">
      <c r="C281" s="198"/>
      <c r="F281" s="91"/>
    </row>
    <row r="282" spans="3:6" x14ac:dyDescent="0.35">
      <c r="C282" s="198"/>
      <c r="F282" s="91"/>
    </row>
    <row r="283" spans="3:6" x14ac:dyDescent="0.35">
      <c r="C283" s="198"/>
      <c r="F283" s="91"/>
    </row>
    <row r="284" spans="3:6" x14ac:dyDescent="0.35">
      <c r="C284" s="198"/>
      <c r="F284" s="91"/>
    </row>
    <row r="285" spans="3:6" x14ac:dyDescent="0.35">
      <c r="C285" s="198"/>
      <c r="F285" s="91"/>
    </row>
    <row r="286" spans="3:6" x14ac:dyDescent="0.35">
      <c r="C286" s="198"/>
      <c r="F286" s="91"/>
    </row>
    <row r="287" spans="3:6" x14ac:dyDescent="0.35">
      <c r="C287" s="198"/>
      <c r="F287" s="91"/>
    </row>
    <row r="288" spans="3:6" ht="40.5" customHeight="1" x14ac:dyDescent="0.35">
      <c r="C288" s="198"/>
      <c r="F288" s="91"/>
    </row>
    <row r="289" spans="3:6" ht="55.5" customHeight="1" x14ac:dyDescent="0.35">
      <c r="C289" s="198"/>
      <c r="F289" s="91"/>
    </row>
    <row r="290" spans="3:6" x14ac:dyDescent="0.35">
      <c r="C290" s="198"/>
      <c r="F290" s="91"/>
    </row>
    <row r="291" spans="3:6" ht="89.25" customHeight="1" x14ac:dyDescent="0.35">
      <c r="C291" s="658" t="s">
        <v>171</v>
      </c>
      <c r="D291" s="659"/>
      <c r="E291" s="659"/>
      <c r="F291" s="660"/>
    </row>
    <row r="292" spans="3:6" x14ac:dyDescent="0.35">
      <c r="C292" s="198"/>
      <c r="F292" s="91"/>
    </row>
    <row r="293" spans="3:6" x14ac:dyDescent="0.35">
      <c r="C293" s="198"/>
      <c r="F293" s="91"/>
    </row>
    <row r="294" spans="3:6" x14ac:dyDescent="0.35">
      <c r="C294" s="198"/>
      <c r="F294" s="91"/>
    </row>
    <row r="295" spans="3:6" x14ac:dyDescent="0.35">
      <c r="C295" s="198"/>
      <c r="F295" s="91"/>
    </row>
    <row r="296" spans="3:6" x14ac:dyDescent="0.35">
      <c r="C296" s="198"/>
      <c r="F296" s="91"/>
    </row>
    <row r="297" spans="3:6" x14ac:dyDescent="0.35">
      <c r="C297" s="198"/>
      <c r="F297" s="91"/>
    </row>
    <row r="298" spans="3:6" x14ac:dyDescent="0.35">
      <c r="C298" s="198"/>
      <c r="F298" s="91"/>
    </row>
    <row r="299" spans="3:6" x14ac:dyDescent="0.35">
      <c r="C299" s="198"/>
      <c r="F299" s="91"/>
    </row>
    <row r="300" spans="3:6" x14ac:dyDescent="0.35">
      <c r="C300" s="198"/>
      <c r="F300" s="91"/>
    </row>
    <row r="301" spans="3:6" x14ac:dyDescent="0.35">
      <c r="C301" s="198"/>
      <c r="F301" s="91"/>
    </row>
    <row r="302" spans="3:6" x14ac:dyDescent="0.35">
      <c r="C302" s="198"/>
      <c r="F302" s="91"/>
    </row>
    <row r="303" spans="3:6" x14ac:dyDescent="0.35">
      <c r="C303" s="198"/>
      <c r="F303" s="91"/>
    </row>
    <row r="304" spans="3:6" x14ac:dyDescent="0.35">
      <c r="C304" s="198"/>
      <c r="F304" s="91"/>
    </row>
    <row r="305" spans="3:6" x14ac:dyDescent="0.35">
      <c r="C305" s="198"/>
      <c r="F305" s="91"/>
    </row>
    <row r="306" spans="3:6" x14ac:dyDescent="0.35">
      <c r="C306" s="198"/>
      <c r="F306" s="91"/>
    </row>
    <row r="307" spans="3:6" ht="31.5" customHeight="1" x14ac:dyDescent="0.35">
      <c r="C307" s="198"/>
      <c r="F307" s="91"/>
    </row>
    <row r="308" spans="3:6" ht="24" customHeight="1" x14ac:dyDescent="0.35">
      <c r="C308" s="617" t="s">
        <v>172</v>
      </c>
      <c r="F308" s="91"/>
    </row>
    <row r="309" spans="3:6" ht="255" customHeight="1" x14ac:dyDescent="0.35">
      <c r="C309" s="658" t="s">
        <v>173</v>
      </c>
      <c r="D309" s="659"/>
      <c r="E309" s="659"/>
      <c r="F309" s="660"/>
    </row>
    <row r="310" spans="3:6" x14ac:dyDescent="0.35">
      <c r="C310" s="198"/>
      <c r="F310" s="91"/>
    </row>
    <row r="311" spans="3:6" x14ac:dyDescent="0.35">
      <c r="C311" s="198"/>
      <c r="F311" s="91"/>
    </row>
    <row r="312" spans="3:6" x14ac:dyDescent="0.35">
      <c r="C312" s="198"/>
      <c r="F312" s="91"/>
    </row>
    <row r="313" spans="3:6" x14ac:dyDescent="0.35">
      <c r="C313" s="198"/>
      <c r="F313" s="91"/>
    </row>
    <row r="314" spans="3:6" x14ac:dyDescent="0.35">
      <c r="C314" s="198"/>
      <c r="F314" s="91"/>
    </row>
    <row r="315" spans="3:6" x14ac:dyDescent="0.35">
      <c r="C315" s="198"/>
      <c r="F315" s="91"/>
    </row>
    <row r="316" spans="3:6" x14ac:dyDescent="0.35">
      <c r="C316" s="198"/>
      <c r="F316" s="91"/>
    </row>
    <row r="317" spans="3:6" x14ac:dyDescent="0.35">
      <c r="C317" s="198"/>
      <c r="F317" s="91"/>
    </row>
    <row r="318" spans="3:6" x14ac:dyDescent="0.35">
      <c r="C318" s="198"/>
      <c r="F318" s="91"/>
    </row>
    <row r="319" spans="3:6" x14ac:dyDescent="0.35">
      <c r="C319" s="198"/>
      <c r="F319" s="91"/>
    </row>
    <row r="320" spans="3:6" x14ac:dyDescent="0.35">
      <c r="C320" s="198"/>
      <c r="F320" s="91"/>
    </row>
    <row r="321" spans="1:9" x14ac:dyDescent="0.35">
      <c r="C321" s="198"/>
      <c r="F321" s="91"/>
    </row>
    <row r="322" spans="1:9" x14ac:dyDescent="0.35">
      <c r="C322" s="198"/>
      <c r="F322" s="91"/>
    </row>
    <row r="323" spans="1:9" ht="87" customHeight="1" x14ac:dyDescent="0.35">
      <c r="C323" s="201"/>
      <c r="D323" s="202"/>
      <c r="E323" s="93"/>
      <c r="F323" s="92"/>
    </row>
    <row r="325" spans="1:9" x14ac:dyDescent="0.35">
      <c r="A325" s="11" t="s">
        <v>16</v>
      </c>
      <c r="B325" s="121" t="s">
        <v>16</v>
      </c>
      <c r="C325" s="121" t="s">
        <v>16</v>
      </c>
      <c r="D325" s="121" t="s">
        <v>16</v>
      </c>
      <c r="E325" s="11" t="s">
        <v>16</v>
      </c>
      <c r="F325" s="11" t="s">
        <v>16</v>
      </c>
      <c r="G325" s="11" t="s">
        <v>16</v>
      </c>
      <c r="H325" s="11" t="s">
        <v>16</v>
      </c>
      <c r="I325" s="11" t="s">
        <v>16</v>
      </c>
    </row>
  </sheetData>
  <sheetProtection algorithmName="SHA-512" hashValue="45yQZKkbZAfa3W59VB/i/2l40HyOgoVZ8Ie15BEfawOg/yVNG0E3laX/AGVtr869csvz4fnLmb1k8TDPeDynjA==" saltValue="xihJNTFOo3wIFxP5j7j/2Q==" spinCount="100000" sheet="1" formatColumns="0" formatRows="0"/>
  <mergeCells count="4">
    <mergeCell ref="C250:F250"/>
    <mergeCell ref="C276:F276"/>
    <mergeCell ref="C291:F291"/>
    <mergeCell ref="C309:F309"/>
  </mergeCells>
  <dataValidations count="5">
    <dataValidation allowBlank="1" promptTitle="Selected Profile Name" prompt="The selected Profile name should match the respective name on the 'I&amp;E Inputs_profiles' sheet._x000a__x000a_If the inputed name has changed on the 'I&amp;E Inputs_profiles' sheet, it must be reselected from the dropdown menu here." sqref="D137 D206:F206 D229:F229 D38:F38" xr:uid="{2E2B99F7-DE45-4B50-B5CF-7514C0C81957}"/>
    <dataValidation type="list" allowBlank="1" showInputMessage="1" showErrorMessage="1" sqref="G183:G191 G111:G115 G218:G219 G209 G213 G221 G223 G233 G235 G237 G239 G241 G243 G216 G132:G181 G55 G86:G90 G72:G73 G41 G46 G75 G77 G3:G35 G53 G44 G51 G58 G61 G66 G80 G82" xr:uid="{EFE1769F-25E0-4E9C-B694-CC2724B568AA}">
      <formula1>"Yes,No"</formula1>
    </dataValidation>
    <dataValidation allowBlank="1" showInputMessage="1" promptTitle="Actuals and Optional Data" prompt="Actuals I&amp;E data is always entered in the 'I&amp;E Inputs_monthly' sheet, regardless of the method selected. _x000a__x000a_Optional year I&amp;E data is also always entered on the &quot;I&amp;E Monthly&quot; sheet regardless of the method selected." sqref="E137 E154" xr:uid="{74B71414-2C48-4700-BFC4-281311CD1F01}"/>
    <dataValidation allowBlank="1" showInputMessage="1" promptTitle="Monthly Method: Forecast Data" prompt="Forecast data is entered  in the 'I&amp;E Monthly' sheet on a monthly basis using the monthly timeline." sqref="F137" xr:uid="{A2858C7C-8B38-4E92-98E8-BD3FF1124C46}"/>
    <dataValidation allowBlank="1" showInputMessage="1" promptTitle="Annual Method: Forecast Data" prompt="Forecast data is entered  in the 'I&amp;E Annual' sheet on an annual basis using the annual timeline. " sqref="F154" xr:uid="{A7F00432-945A-4A44-A7D5-0AF9AF147476}"/>
  </dataValidations>
  <pageMargins left="0.7" right="0.7" top="0.75" bottom="0.75" header="0.3" footer="0.3"/>
  <pageSetup paperSize="9" orientation="portrait" horizontalDpi="90" verticalDpi="90" r:id="rId1"/>
  <headerFooter>
    <oddHeader>&amp;C&amp;"Aptos"&amp;11&amp;K000000 OFFICIAL - FOR PUBLIC RELEASE&amp;1#_x000D_</oddHeader>
    <oddFooter>&amp;C_x000D_&amp;1#&amp;"Aptos"&amp;11&amp;K000000 OFFICIAL - FOR PUBLIC RELEASE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10DD-6B13-4B06-B15C-880A2112C11E}">
  <sheetPr codeName="Sheet14">
    <outlinePr summaryBelow="0" summaryRight="0"/>
    <pageSetUpPr autoPageBreaks="0"/>
  </sheetPr>
  <dimension ref="A1:EX388"/>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48.453125" customWidth="1"/>
    <col min="5" max="5" width="11.81640625" style="1" customWidth="1"/>
    <col min="6" max="6" width="11.81640625" customWidth="1"/>
    <col min="7" max="8" width="3" customWidth="1"/>
    <col min="9" max="9" width="2.81640625" bestFit="1" customWidth="1" collapsed="1"/>
    <col min="10" max="10" width="8.81640625" hidden="1" customWidth="1" outlineLevel="1"/>
    <col min="11" max="11" width="10.1796875" hidden="1" customWidth="1" outlineLevel="1"/>
    <col min="12" max="18" width="8.81640625" hidden="1" customWidth="1" outlineLevel="1"/>
    <col min="19" max="19" width="1.1796875" hidden="1" customWidth="1" outlineLevel="1"/>
    <col min="20" max="21" width="11.1796875" hidden="1" customWidth="1" outlineLevel="1"/>
    <col min="22" max="25" width="9.453125" bestFit="1" customWidth="1"/>
    <col min="26" max="26" width="1.1796875" customWidth="1"/>
    <col min="27" max="62" width="9.81640625" bestFit="1" customWidth="1"/>
    <col min="63" max="74" width="9.81640625" customWidth="1"/>
    <col min="75" max="75" width="1.1796875" customWidth="1"/>
    <col min="76" max="79" width="9.453125" customWidth="1" outlineLevel="1"/>
    <col min="80" max="87" width="9.453125" bestFit="1" customWidth="1"/>
    <col min="88" max="88" width="1.1796875" customWidth="1"/>
    <col min="89" max="89" width="3.453125" customWidth="1"/>
    <col min="90" max="90" width="13.1796875" customWidth="1"/>
    <col min="91" max="91" width="2.81640625" customWidth="1"/>
    <col min="153" max="153" width="8.81640625" collapsed="1"/>
    <col min="154" max="154" width="31.1796875" hidden="1" customWidth="1" outlineLevel="1"/>
  </cols>
  <sheetData>
    <row r="1" spans="1:154" x14ac:dyDescent="0.35">
      <c r="A1" s="7">
        <f ca="1">ToC!A1</f>
        <v>0</v>
      </c>
      <c r="B1" s="13" t="s">
        <v>1904</v>
      </c>
      <c r="C1" s="13"/>
      <c r="D1" s="13">
        <f>CollegeNameInput</f>
        <v>0</v>
      </c>
      <c r="E1" s="13"/>
      <c r="F1" s="13"/>
      <c r="G1" s="13"/>
      <c r="H1" s="13"/>
      <c r="I1" s="13"/>
      <c r="J1" s="13"/>
      <c r="K1" s="13"/>
      <c r="L1" s="13"/>
      <c r="M1" s="13"/>
      <c r="N1" s="13"/>
      <c r="O1" s="13"/>
      <c r="P1" s="13"/>
      <c r="Q1" s="13"/>
      <c r="R1" s="13"/>
      <c r="S1" s="13"/>
      <c r="T1" s="13"/>
      <c r="U1" s="13"/>
      <c r="V1" s="13" t="s">
        <v>1905</v>
      </c>
      <c r="W1" s="13"/>
      <c r="X1" s="13"/>
      <c r="Y1" s="13"/>
      <c r="Z1" s="13"/>
      <c r="AA1" s="13" t="s">
        <v>1906</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
        <v>1907</v>
      </c>
      <c r="BY1" s="13"/>
      <c r="BZ1" s="13"/>
      <c r="CA1" s="13"/>
      <c r="CB1" s="13" t="s">
        <v>1908</v>
      </c>
      <c r="CC1" s="13"/>
      <c r="CD1" s="13"/>
      <c r="CE1" s="13"/>
      <c r="CF1" s="13"/>
      <c r="CG1" s="13"/>
      <c r="CH1" s="13"/>
      <c r="CI1" s="13"/>
      <c r="CJ1" s="13"/>
      <c r="CK1" s="686"/>
      <c r="CM1" s="686"/>
      <c r="EX1" s="5" t="s">
        <v>177</v>
      </c>
    </row>
    <row r="2" spans="1:154" ht="14.65" customHeight="1" x14ac:dyDescent="0.35">
      <c r="A2" s="13"/>
      <c r="B2" s="67" t="str" cm="1">
        <f t="array" aca="1" ref="B2" ca="1">HYPERLINK(CONCATENATE("#",CELL("address",Guide!$A$133)),Guide!$B$1)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6"/>
      <c r="CM2" s="686"/>
    </row>
    <row r="3" spans="1:154" x14ac:dyDescent="0.35">
      <c r="A3" s="67" t="str" cm="1">
        <f t="array" aca="1" ref="A3" ca="1">HYPERLINK(CONCATENATE("#",CELL("address",ToC!$A$1)),ToC!$C$1)</f>
        <v>ToC</v>
      </c>
      <c r="B3" s="13"/>
      <c r="C3" s="13"/>
      <c r="D3" s="36" t="s">
        <v>1909</v>
      </c>
      <c r="E3" s="23"/>
      <c r="F3" s="13"/>
      <c r="G3" s="13"/>
      <c r="H3" s="13"/>
      <c r="I3" s="13"/>
      <c r="J3" s="13"/>
      <c r="K3" s="13"/>
      <c r="L3" s="13"/>
      <c r="M3" s="13"/>
      <c r="N3" s="13"/>
      <c r="O3" s="13"/>
      <c r="P3" s="13"/>
      <c r="Q3" s="13"/>
      <c r="R3" s="13"/>
      <c r="S3" s="13"/>
      <c r="T3" s="13"/>
      <c r="U3" s="13"/>
      <c r="V3" s="16" t="str">
        <f>"FY"&amp;V12</f>
        <v>FY2025</v>
      </c>
      <c r="W3" s="17" t="str">
        <f>"FY"&amp;W12</f>
        <v>FY2026</v>
      </c>
      <c r="X3" s="17" t="str">
        <f>"FY"&amp;X12</f>
        <v>FY2027</v>
      </c>
      <c r="Y3" s="18" t="str">
        <f>"FY"&amp;Y12</f>
        <v>FY2028</v>
      </c>
      <c r="Z3" s="13"/>
      <c r="AA3" s="16" t="str">
        <f t="shared" ref="AA3:BV3" si="0">"FY"&amp;AA12</f>
        <v>FY2026</v>
      </c>
      <c r="AB3" s="17" t="str">
        <f t="shared" si="0"/>
        <v>FY2026</v>
      </c>
      <c r="AC3" s="17" t="str">
        <f t="shared" si="0"/>
        <v>FY2026</v>
      </c>
      <c r="AD3" s="17" t="str">
        <f t="shared" si="0"/>
        <v>FY2026</v>
      </c>
      <c r="AE3" s="17" t="str">
        <f t="shared" si="0"/>
        <v>FY2026</v>
      </c>
      <c r="AF3" s="17" t="str">
        <f t="shared" si="0"/>
        <v>FY2026</v>
      </c>
      <c r="AG3" s="17" t="str">
        <f t="shared" si="0"/>
        <v>FY2026</v>
      </c>
      <c r="AH3" s="17" t="str">
        <f t="shared" si="0"/>
        <v>FY2026</v>
      </c>
      <c r="AI3" s="17" t="str">
        <f t="shared" si="0"/>
        <v>FY2026</v>
      </c>
      <c r="AJ3" s="17" t="str">
        <f t="shared" si="0"/>
        <v>FY2026</v>
      </c>
      <c r="AK3" s="17" t="str">
        <f t="shared" si="0"/>
        <v>FY2026</v>
      </c>
      <c r="AL3" s="18" t="str">
        <f t="shared" si="0"/>
        <v>FY2026</v>
      </c>
      <c r="AM3" s="17" t="str">
        <f t="shared" si="0"/>
        <v>FY2027</v>
      </c>
      <c r="AN3" s="17" t="str">
        <f t="shared" si="0"/>
        <v>FY2027</v>
      </c>
      <c r="AO3" s="17" t="str">
        <f t="shared" si="0"/>
        <v>FY2027</v>
      </c>
      <c r="AP3" s="17" t="str">
        <f t="shared" si="0"/>
        <v>FY2027</v>
      </c>
      <c r="AQ3" s="17" t="str">
        <f t="shared" si="0"/>
        <v>FY2027</v>
      </c>
      <c r="AR3" s="17" t="str">
        <f t="shared" si="0"/>
        <v>FY2027</v>
      </c>
      <c r="AS3" s="17" t="str">
        <f t="shared" si="0"/>
        <v>FY2027</v>
      </c>
      <c r="AT3" s="17" t="str">
        <f t="shared" si="0"/>
        <v>FY2027</v>
      </c>
      <c r="AU3" s="17" t="str">
        <f t="shared" si="0"/>
        <v>FY2027</v>
      </c>
      <c r="AV3" s="17" t="str">
        <f t="shared" si="0"/>
        <v>FY2027</v>
      </c>
      <c r="AW3" s="17" t="str">
        <f t="shared" si="0"/>
        <v>FY2027</v>
      </c>
      <c r="AX3" s="17" t="str">
        <f t="shared" si="0"/>
        <v>FY2027</v>
      </c>
      <c r="AY3" s="16" t="str">
        <f t="shared" si="0"/>
        <v>FY2028</v>
      </c>
      <c r="AZ3" s="17" t="str">
        <f t="shared" si="0"/>
        <v>FY2028</v>
      </c>
      <c r="BA3" s="17" t="str">
        <f t="shared" si="0"/>
        <v>FY2028</v>
      </c>
      <c r="BB3" s="17" t="str">
        <f t="shared" si="0"/>
        <v>FY2028</v>
      </c>
      <c r="BC3" s="17" t="str">
        <f t="shared" si="0"/>
        <v>FY2028</v>
      </c>
      <c r="BD3" s="17" t="str">
        <f t="shared" si="0"/>
        <v>FY2028</v>
      </c>
      <c r="BE3" s="17" t="str">
        <f t="shared" si="0"/>
        <v>FY2028</v>
      </c>
      <c r="BF3" s="17" t="str">
        <f t="shared" si="0"/>
        <v>FY2028</v>
      </c>
      <c r="BG3" s="17" t="str">
        <f t="shared" si="0"/>
        <v>FY2028</v>
      </c>
      <c r="BH3" s="17" t="str">
        <f t="shared" si="0"/>
        <v>FY2028</v>
      </c>
      <c r="BI3" s="17" t="str">
        <f t="shared" si="0"/>
        <v>FY2028</v>
      </c>
      <c r="BJ3" s="18" t="str">
        <f t="shared" si="0"/>
        <v>FY2028</v>
      </c>
      <c r="BK3" s="17" t="str">
        <f t="shared" si="0"/>
        <v>FY2029</v>
      </c>
      <c r="BL3" s="17" t="str">
        <f t="shared" si="0"/>
        <v>FY2029</v>
      </c>
      <c r="BM3" s="17" t="str">
        <f t="shared" si="0"/>
        <v>FY2029</v>
      </c>
      <c r="BN3" s="17" t="str">
        <f t="shared" si="0"/>
        <v>FY2029</v>
      </c>
      <c r="BO3" s="17" t="str">
        <f t="shared" si="0"/>
        <v>FY2029</v>
      </c>
      <c r="BP3" s="17" t="str">
        <f t="shared" si="0"/>
        <v>FY2029</v>
      </c>
      <c r="BQ3" s="17" t="str">
        <f t="shared" si="0"/>
        <v>FY2029</v>
      </c>
      <c r="BR3" s="17" t="str">
        <f t="shared" si="0"/>
        <v>FY2029</v>
      </c>
      <c r="BS3" s="17" t="str">
        <f t="shared" si="0"/>
        <v>FY2029</v>
      </c>
      <c r="BT3" s="17" t="str">
        <f t="shared" si="0"/>
        <v>FY2029</v>
      </c>
      <c r="BU3" s="17" t="str">
        <f t="shared" si="0"/>
        <v>FY2029</v>
      </c>
      <c r="BV3" s="18" t="str">
        <f t="shared" si="0"/>
        <v>FY2029</v>
      </c>
      <c r="BW3" s="13"/>
      <c r="BX3" s="16" t="str">
        <f t="shared" ref="BX3:CI3" si="1">"FY"&amp;BX12</f>
        <v>FY2025</v>
      </c>
      <c r="BY3" s="17" t="str">
        <f t="shared" si="1"/>
        <v>FY2026</v>
      </c>
      <c r="BZ3" s="17" t="str">
        <f t="shared" si="1"/>
        <v>FY2027</v>
      </c>
      <c r="CA3" s="18" t="str">
        <f t="shared" si="1"/>
        <v>FY2028</v>
      </c>
      <c r="CB3" s="16" t="str">
        <f t="shared" si="1"/>
        <v>FY2029</v>
      </c>
      <c r="CC3" s="17" t="str">
        <f t="shared" si="1"/>
        <v>FY2030</v>
      </c>
      <c r="CD3" s="17" t="str">
        <f t="shared" si="1"/>
        <v>FY2031</v>
      </c>
      <c r="CE3" s="17" t="str">
        <f t="shared" si="1"/>
        <v>FY2032</v>
      </c>
      <c r="CF3" s="17" t="str">
        <f t="shared" si="1"/>
        <v>FY2033</v>
      </c>
      <c r="CG3" s="17" t="str">
        <f t="shared" si="1"/>
        <v>FY2034</v>
      </c>
      <c r="CH3" s="17" t="str">
        <f t="shared" si="1"/>
        <v>FY2035</v>
      </c>
      <c r="CI3" s="18" t="str">
        <f t="shared" si="1"/>
        <v>FY2036</v>
      </c>
      <c r="CJ3" s="13"/>
      <c r="CK3" s="686"/>
      <c r="CM3" s="686"/>
    </row>
    <row r="4" spans="1:154" x14ac:dyDescent="0.35">
      <c r="A4" s="13"/>
      <c r="B4" s="13"/>
      <c r="C4" s="13"/>
      <c r="D4" s="36" t="s">
        <v>1910</v>
      </c>
      <c r="E4" s="23"/>
      <c r="F4" s="13"/>
      <c r="G4" s="13"/>
      <c r="H4" s="13"/>
      <c r="I4" s="13"/>
      <c r="J4" s="13"/>
      <c r="K4" s="13"/>
      <c r="L4" s="13"/>
      <c r="M4" s="13"/>
      <c r="N4" s="13"/>
      <c r="O4" s="13"/>
      <c r="P4" s="13"/>
      <c r="Q4" s="13"/>
      <c r="R4" s="13"/>
      <c r="S4" s="13"/>
      <c r="T4" s="13"/>
      <c r="U4" s="13"/>
      <c r="V4" s="28">
        <f>IF(AND($E$10&gt;=V8, $E$10&lt;V10), -1, IF($E$10&lt;V10, 1, 0))</f>
        <v>0</v>
      </c>
      <c r="W4" s="29">
        <f>IF(AND($E$10&gt;=W8, $E$10&lt;W10), -1, IF($E$10&lt;W10, 1, 0))</f>
        <v>-1</v>
      </c>
      <c r="X4" s="29">
        <f>IF(AND($E$10&gt;=X8, $E$10&lt;X10), -1, IF($E$10&lt;X10, 1, 0))</f>
        <v>1</v>
      </c>
      <c r="Y4" s="30">
        <f>IF(AND($E$10&gt;=Y8, $E$10&lt;Y10), -1, IF($E$10&lt;Y10, 1, 0))</f>
        <v>1</v>
      </c>
      <c r="Z4" s="13"/>
      <c r="AA4" s="28">
        <f t="shared" ref="AA4:BV4" si="2">IF($E$10&lt;AA10, 1, 0)</f>
        <v>0</v>
      </c>
      <c r="AB4" s="29">
        <f t="shared" si="2"/>
        <v>0</v>
      </c>
      <c r="AC4" s="29">
        <f t="shared" si="2"/>
        <v>0</v>
      </c>
      <c r="AD4" s="29">
        <f t="shared" si="2"/>
        <v>0</v>
      </c>
      <c r="AE4" s="29">
        <f t="shared" si="2"/>
        <v>0</v>
      </c>
      <c r="AF4" s="29">
        <f t="shared" si="2"/>
        <v>0</v>
      </c>
      <c r="AG4" s="29">
        <f t="shared" si="2"/>
        <v>0</v>
      </c>
      <c r="AH4" s="29">
        <f t="shared" si="2"/>
        <v>0</v>
      </c>
      <c r="AI4" s="29">
        <f t="shared" si="2"/>
        <v>1</v>
      </c>
      <c r="AJ4" s="29">
        <f t="shared" si="2"/>
        <v>1</v>
      </c>
      <c r="AK4" s="29">
        <f t="shared" si="2"/>
        <v>1</v>
      </c>
      <c r="AL4" s="30">
        <f t="shared" si="2"/>
        <v>1</v>
      </c>
      <c r="AM4" s="29">
        <f t="shared" si="2"/>
        <v>1</v>
      </c>
      <c r="AN4" s="29">
        <f t="shared" si="2"/>
        <v>1</v>
      </c>
      <c r="AO4" s="29">
        <f t="shared" si="2"/>
        <v>1</v>
      </c>
      <c r="AP4" s="29">
        <f t="shared" si="2"/>
        <v>1</v>
      </c>
      <c r="AQ4" s="29">
        <f t="shared" si="2"/>
        <v>1</v>
      </c>
      <c r="AR4" s="29">
        <f t="shared" si="2"/>
        <v>1</v>
      </c>
      <c r="AS4" s="29">
        <f t="shared" si="2"/>
        <v>1</v>
      </c>
      <c r="AT4" s="29">
        <f t="shared" si="2"/>
        <v>1</v>
      </c>
      <c r="AU4" s="29">
        <f t="shared" si="2"/>
        <v>1</v>
      </c>
      <c r="AV4" s="29">
        <f t="shared" si="2"/>
        <v>1</v>
      </c>
      <c r="AW4" s="29">
        <f t="shared" si="2"/>
        <v>1</v>
      </c>
      <c r="AX4" s="29">
        <f t="shared" si="2"/>
        <v>1</v>
      </c>
      <c r="AY4" s="28">
        <f t="shared" si="2"/>
        <v>1</v>
      </c>
      <c r="AZ4" s="29">
        <f t="shared" si="2"/>
        <v>1</v>
      </c>
      <c r="BA4" s="29">
        <f t="shared" si="2"/>
        <v>1</v>
      </c>
      <c r="BB4" s="29">
        <f t="shared" si="2"/>
        <v>1</v>
      </c>
      <c r="BC4" s="29">
        <f t="shared" si="2"/>
        <v>1</v>
      </c>
      <c r="BD4" s="29">
        <f t="shared" si="2"/>
        <v>1</v>
      </c>
      <c r="BE4" s="29">
        <f t="shared" si="2"/>
        <v>1</v>
      </c>
      <c r="BF4" s="29">
        <f t="shared" si="2"/>
        <v>1</v>
      </c>
      <c r="BG4" s="29">
        <f t="shared" si="2"/>
        <v>1</v>
      </c>
      <c r="BH4" s="29">
        <f t="shared" si="2"/>
        <v>1</v>
      </c>
      <c r="BI4" s="29">
        <f t="shared" si="2"/>
        <v>1</v>
      </c>
      <c r="BJ4" s="30">
        <f t="shared" si="2"/>
        <v>1</v>
      </c>
      <c r="BK4" s="29">
        <f t="shared" si="2"/>
        <v>1</v>
      </c>
      <c r="BL4" s="29">
        <f t="shared" si="2"/>
        <v>1</v>
      </c>
      <c r="BM4" s="29">
        <f t="shared" si="2"/>
        <v>1</v>
      </c>
      <c r="BN4" s="29">
        <f t="shared" si="2"/>
        <v>1</v>
      </c>
      <c r="BO4" s="29">
        <f t="shared" si="2"/>
        <v>1</v>
      </c>
      <c r="BP4" s="29">
        <f t="shared" si="2"/>
        <v>1</v>
      </c>
      <c r="BQ4" s="29">
        <f t="shared" si="2"/>
        <v>1</v>
      </c>
      <c r="BR4" s="29">
        <f t="shared" si="2"/>
        <v>1</v>
      </c>
      <c r="BS4" s="29">
        <f t="shared" si="2"/>
        <v>1</v>
      </c>
      <c r="BT4" s="29">
        <f t="shared" si="2"/>
        <v>1</v>
      </c>
      <c r="BU4" s="29">
        <f t="shared" si="2"/>
        <v>1</v>
      </c>
      <c r="BV4" s="30">
        <f t="shared" si="2"/>
        <v>1</v>
      </c>
      <c r="BW4" s="13"/>
      <c r="BX4" s="28">
        <f t="shared" ref="BX4:CI4" si="3">IF(AND($E$10&gt;=BX8, $E$10&lt;BX10), -1, IF($E$10&lt;BX10, 1, 0))</f>
        <v>0</v>
      </c>
      <c r="BY4" s="29">
        <f t="shared" si="3"/>
        <v>-1</v>
      </c>
      <c r="BZ4" s="29">
        <f t="shared" si="3"/>
        <v>1</v>
      </c>
      <c r="CA4" s="30">
        <f t="shared" si="3"/>
        <v>1</v>
      </c>
      <c r="CB4" s="28">
        <f t="shared" si="3"/>
        <v>1</v>
      </c>
      <c r="CC4" s="29">
        <f t="shared" si="3"/>
        <v>1</v>
      </c>
      <c r="CD4" s="29">
        <f t="shared" si="3"/>
        <v>1</v>
      </c>
      <c r="CE4" s="29">
        <f t="shared" si="3"/>
        <v>1</v>
      </c>
      <c r="CF4" s="29">
        <f t="shared" si="3"/>
        <v>1</v>
      </c>
      <c r="CG4" s="29">
        <f t="shared" si="3"/>
        <v>1</v>
      </c>
      <c r="CH4" s="29">
        <f t="shared" si="3"/>
        <v>1</v>
      </c>
      <c r="CI4" s="30">
        <f t="shared" si="3"/>
        <v>1</v>
      </c>
      <c r="CJ4" s="13"/>
      <c r="CK4" s="686"/>
      <c r="CL4" s="664"/>
      <c r="CM4" s="686"/>
    </row>
    <row r="5" spans="1:154" x14ac:dyDescent="0.35">
      <c r="A5" s="13"/>
      <c r="B5" s="13"/>
      <c r="C5" s="13"/>
      <c r="D5" s="36" t="s">
        <v>1911</v>
      </c>
      <c r="E5" s="23"/>
      <c r="F5" s="13"/>
      <c r="G5" s="13"/>
      <c r="H5" s="13"/>
      <c r="I5" s="13"/>
      <c r="J5" s="13"/>
      <c r="K5" s="13"/>
      <c r="L5" s="13"/>
      <c r="M5" s="13"/>
      <c r="N5" s="13"/>
      <c r="O5" s="13"/>
      <c r="P5" s="13"/>
      <c r="Q5" s="13"/>
      <c r="R5" s="13"/>
      <c r="S5" s="13"/>
      <c r="T5" s="13"/>
      <c r="U5" s="13"/>
      <c r="V5" s="19">
        <f>V10</f>
        <v>45869</v>
      </c>
      <c r="W5" s="20">
        <f>W10</f>
        <v>46234</v>
      </c>
      <c r="X5" s="20">
        <f>X10</f>
        <v>46599</v>
      </c>
      <c r="Y5" s="21">
        <f>Y10</f>
        <v>46965</v>
      </c>
      <c r="Z5" s="13"/>
      <c r="AA5" s="19">
        <f t="shared" ref="AA5:BV5" si="4">AA10</f>
        <v>45900</v>
      </c>
      <c r="AB5" s="20">
        <f t="shared" si="4"/>
        <v>45930</v>
      </c>
      <c r="AC5" s="20">
        <f t="shared" si="4"/>
        <v>45961</v>
      </c>
      <c r="AD5" s="20">
        <f t="shared" si="4"/>
        <v>45991</v>
      </c>
      <c r="AE5" s="20">
        <f t="shared" si="4"/>
        <v>46022</v>
      </c>
      <c r="AF5" s="20">
        <f t="shared" si="4"/>
        <v>46053</v>
      </c>
      <c r="AG5" s="20">
        <f t="shared" si="4"/>
        <v>46081</v>
      </c>
      <c r="AH5" s="20">
        <f t="shared" si="4"/>
        <v>46112</v>
      </c>
      <c r="AI5" s="20">
        <f t="shared" si="4"/>
        <v>46142</v>
      </c>
      <c r="AJ5" s="20">
        <f t="shared" si="4"/>
        <v>46173</v>
      </c>
      <c r="AK5" s="20">
        <f t="shared" si="4"/>
        <v>46203</v>
      </c>
      <c r="AL5" s="21">
        <f t="shared" si="4"/>
        <v>46234</v>
      </c>
      <c r="AM5" s="20">
        <f t="shared" si="4"/>
        <v>46265</v>
      </c>
      <c r="AN5" s="20">
        <f t="shared" si="4"/>
        <v>46295</v>
      </c>
      <c r="AO5" s="20">
        <f t="shared" si="4"/>
        <v>46326</v>
      </c>
      <c r="AP5" s="20">
        <f t="shared" si="4"/>
        <v>46356</v>
      </c>
      <c r="AQ5" s="20">
        <f t="shared" si="4"/>
        <v>46387</v>
      </c>
      <c r="AR5" s="20">
        <f t="shared" si="4"/>
        <v>46418</v>
      </c>
      <c r="AS5" s="20">
        <f t="shared" si="4"/>
        <v>46446</v>
      </c>
      <c r="AT5" s="20">
        <f t="shared" si="4"/>
        <v>46477</v>
      </c>
      <c r="AU5" s="20">
        <f t="shared" si="4"/>
        <v>46507</v>
      </c>
      <c r="AV5" s="20">
        <f t="shared" si="4"/>
        <v>46538</v>
      </c>
      <c r="AW5" s="20">
        <f t="shared" si="4"/>
        <v>46568</v>
      </c>
      <c r="AX5" s="20">
        <f t="shared" si="4"/>
        <v>46599</v>
      </c>
      <c r="AY5" s="19">
        <f t="shared" si="4"/>
        <v>46630</v>
      </c>
      <c r="AZ5" s="20">
        <f t="shared" si="4"/>
        <v>46660</v>
      </c>
      <c r="BA5" s="20">
        <f t="shared" si="4"/>
        <v>46691</v>
      </c>
      <c r="BB5" s="20">
        <f t="shared" si="4"/>
        <v>46721</v>
      </c>
      <c r="BC5" s="20">
        <f t="shared" si="4"/>
        <v>46752</v>
      </c>
      <c r="BD5" s="20">
        <f t="shared" si="4"/>
        <v>46783</v>
      </c>
      <c r="BE5" s="20">
        <f t="shared" si="4"/>
        <v>46812</v>
      </c>
      <c r="BF5" s="20">
        <f t="shared" si="4"/>
        <v>46843</v>
      </c>
      <c r="BG5" s="20">
        <f t="shared" si="4"/>
        <v>46873</v>
      </c>
      <c r="BH5" s="20">
        <f t="shared" si="4"/>
        <v>46904</v>
      </c>
      <c r="BI5" s="20">
        <f t="shared" si="4"/>
        <v>46934</v>
      </c>
      <c r="BJ5" s="21">
        <f t="shared" si="4"/>
        <v>46965</v>
      </c>
      <c r="BK5" s="20">
        <f t="shared" si="4"/>
        <v>46996</v>
      </c>
      <c r="BL5" s="20">
        <f t="shared" si="4"/>
        <v>47026</v>
      </c>
      <c r="BM5" s="20">
        <f t="shared" si="4"/>
        <v>47057</v>
      </c>
      <c r="BN5" s="20">
        <f t="shared" si="4"/>
        <v>47087</v>
      </c>
      <c r="BO5" s="20">
        <f t="shared" si="4"/>
        <v>47118</v>
      </c>
      <c r="BP5" s="20">
        <f t="shared" si="4"/>
        <v>47149</v>
      </c>
      <c r="BQ5" s="20">
        <f t="shared" si="4"/>
        <v>47177</v>
      </c>
      <c r="BR5" s="20">
        <f t="shared" si="4"/>
        <v>47208</v>
      </c>
      <c r="BS5" s="20">
        <f t="shared" si="4"/>
        <v>47238</v>
      </c>
      <c r="BT5" s="20">
        <f t="shared" si="4"/>
        <v>47269</v>
      </c>
      <c r="BU5" s="20">
        <f t="shared" si="4"/>
        <v>47299</v>
      </c>
      <c r="BV5" s="21">
        <f t="shared" si="4"/>
        <v>47330</v>
      </c>
      <c r="BW5" s="13"/>
      <c r="BX5" s="19">
        <f t="shared" ref="BX5:CI5" si="5">BX10</f>
        <v>45869</v>
      </c>
      <c r="BY5" s="20">
        <f t="shared" si="5"/>
        <v>46234</v>
      </c>
      <c r="BZ5" s="20">
        <f t="shared" si="5"/>
        <v>46599</v>
      </c>
      <c r="CA5" s="21">
        <f t="shared" si="5"/>
        <v>46965</v>
      </c>
      <c r="CB5" s="19">
        <f t="shared" si="5"/>
        <v>47330</v>
      </c>
      <c r="CC5" s="20">
        <f t="shared" si="5"/>
        <v>47695</v>
      </c>
      <c r="CD5" s="20">
        <f t="shared" si="5"/>
        <v>48060</v>
      </c>
      <c r="CE5" s="20">
        <f t="shared" si="5"/>
        <v>48426</v>
      </c>
      <c r="CF5" s="20">
        <f t="shared" si="5"/>
        <v>48791</v>
      </c>
      <c r="CG5" s="20">
        <f t="shared" si="5"/>
        <v>49156</v>
      </c>
      <c r="CH5" s="20">
        <f t="shared" si="5"/>
        <v>49521</v>
      </c>
      <c r="CI5" s="21">
        <f t="shared" si="5"/>
        <v>49887</v>
      </c>
      <c r="CJ5" s="13"/>
      <c r="CK5" s="686"/>
      <c r="CL5" s="664"/>
      <c r="CM5" s="686"/>
    </row>
    <row r="6" spans="1:154" x14ac:dyDescent="0.35">
      <c r="A6" s="67" t="str" cm="1">
        <f t="array" aca="1" ref="A6" ca="1">HYPERLINK(CONCATENATE("#",CELL("address",CK7)),"Check")</f>
        <v>Check</v>
      </c>
      <c r="B6" s="13"/>
      <c r="C6" s="13"/>
      <c r="D6" s="13" t="s">
        <v>19</v>
      </c>
      <c r="E6" s="37"/>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6"/>
      <c r="CL6" s="664"/>
      <c r="CM6" s="686"/>
    </row>
    <row r="7" spans="1:154" ht="6.75" customHeight="1" x14ac:dyDescent="0.35">
      <c r="D7" s="1"/>
      <c r="E7"/>
      <c r="BY7" s="6"/>
      <c r="CK7" s="35"/>
      <c r="CM7" s="35"/>
    </row>
    <row r="8" spans="1:154" x14ac:dyDescent="0.35">
      <c r="D8" s="1" t="s">
        <v>1912</v>
      </c>
      <c r="E8" s="117">
        <f>'Cover Sheet'!$E$23</f>
        <v>45870</v>
      </c>
      <c r="V8" s="216">
        <f>DATE(YEAR(W8)-1, first_FY_month, 1)</f>
        <v>45505</v>
      </c>
      <c r="W8" s="216">
        <f>E8</f>
        <v>45870</v>
      </c>
      <c r="X8" s="32">
        <f>W10+1</f>
        <v>46235</v>
      </c>
      <c r="Y8" s="32">
        <f>X10+1</f>
        <v>46600</v>
      </c>
      <c r="Z8" s="31"/>
      <c r="AA8" s="216">
        <f>$E$8</f>
        <v>45870</v>
      </c>
      <c r="AB8" s="32">
        <f t="shared" ref="AB8:BV8" si="6">AA10+1</f>
        <v>45901</v>
      </c>
      <c r="AC8" s="32">
        <f t="shared" si="6"/>
        <v>45931</v>
      </c>
      <c r="AD8" s="32">
        <f t="shared" si="6"/>
        <v>45962</v>
      </c>
      <c r="AE8" s="32">
        <f t="shared" si="6"/>
        <v>45992</v>
      </c>
      <c r="AF8" s="32">
        <f t="shared" si="6"/>
        <v>46023</v>
      </c>
      <c r="AG8" s="32">
        <f t="shared" si="6"/>
        <v>46054</v>
      </c>
      <c r="AH8" s="32">
        <f t="shared" si="6"/>
        <v>46082</v>
      </c>
      <c r="AI8" s="32">
        <f t="shared" si="6"/>
        <v>46113</v>
      </c>
      <c r="AJ8" s="32">
        <f t="shared" si="6"/>
        <v>46143</v>
      </c>
      <c r="AK8" s="32">
        <f t="shared" si="6"/>
        <v>46174</v>
      </c>
      <c r="AL8" s="32">
        <f t="shared" si="6"/>
        <v>46204</v>
      </c>
      <c r="AM8" s="32">
        <f t="shared" si="6"/>
        <v>46235</v>
      </c>
      <c r="AN8" s="32">
        <f t="shared" si="6"/>
        <v>46266</v>
      </c>
      <c r="AO8" s="32">
        <f t="shared" si="6"/>
        <v>46296</v>
      </c>
      <c r="AP8" s="32">
        <f t="shared" si="6"/>
        <v>46327</v>
      </c>
      <c r="AQ8" s="32">
        <f t="shared" si="6"/>
        <v>46357</v>
      </c>
      <c r="AR8" s="32">
        <f t="shared" si="6"/>
        <v>46388</v>
      </c>
      <c r="AS8" s="32">
        <f t="shared" si="6"/>
        <v>46419</v>
      </c>
      <c r="AT8" s="32">
        <f t="shared" si="6"/>
        <v>46447</v>
      </c>
      <c r="AU8" s="32">
        <f t="shared" si="6"/>
        <v>46478</v>
      </c>
      <c r="AV8" s="32">
        <f t="shared" si="6"/>
        <v>46508</v>
      </c>
      <c r="AW8" s="32">
        <f t="shared" si="6"/>
        <v>46539</v>
      </c>
      <c r="AX8" s="32">
        <f t="shared" si="6"/>
        <v>46569</v>
      </c>
      <c r="AY8" s="32">
        <f t="shared" si="6"/>
        <v>46600</v>
      </c>
      <c r="AZ8" s="32">
        <f t="shared" si="6"/>
        <v>46631</v>
      </c>
      <c r="BA8" s="32">
        <f t="shared" si="6"/>
        <v>46661</v>
      </c>
      <c r="BB8" s="32">
        <f t="shared" si="6"/>
        <v>46692</v>
      </c>
      <c r="BC8" s="32">
        <f t="shared" si="6"/>
        <v>46722</v>
      </c>
      <c r="BD8" s="32">
        <f t="shared" si="6"/>
        <v>46753</v>
      </c>
      <c r="BE8" s="32">
        <f t="shared" si="6"/>
        <v>46784</v>
      </c>
      <c r="BF8" s="32">
        <f t="shared" si="6"/>
        <v>46813</v>
      </c>
      <c r="BG8" s="32">
        <f t="shared" si="6"/>
        <v>46844</v>
      </c>
      <c r="BH8" s="32">
        <f t="shared" si="6"/>
        <v>46874</v>
      </c>
      <c r="BI8" s="32">
        <f t="shared" si="6"/>
        <v>46905</v>
      </c>
      <c r="BJ8" s="32">
        <f t="shared" si="6"/>
        <v>46935</v>
      </c>
      <c r="BK8" s="32">
        <f t="shared" si="6"/>
        <v>46966</v>
      </c>
      <c r="BL8" s="32">
        <f t="shared" si="6"/>
        <v>46997</v>
      </c>
      <c r="BM8" s="32">
        <f t="shared" si="6"/>
        <v>47027</v>
      </c>
      <c r="BN8" s="32">
        <f t="shared" si="6"/>
        <v>47058</v>
      </c>
      <c r="BO8" s="32">
        <f t="shared" si="6"/>
        <v>47088</v>
      </c>
      <c r="BP8" s="32">
        <f t="shared" si="6"/>
        <v>47119</v>
      </c>
      <c r="BQ8" s="32">
        <f t="shared" si="6"/>
        <v>47150</v>
      </c>
      <c r="BR8" s="32">
        <f t="shared" si="6"/>
        <v>47178</v>
      </c>
      <c r="BS8" s="32">
        <f t="shared" si="6"/>
        <v>47209</v>
      </c>
      <c r="BT8" s="32">
        <f t="shared" si="6"/>
        <v>47239</v>
      </c>
      <c r="BU8" s="32">
        <f t="shared" si="6"/>
        <v>47270</v>
      </c>
      <c r="BV8" s="32">
        <f t="shared" si="6"/>
        <v>47300</v>
      </c>
      <c r="BW8" s="31"/>
      <c r="BX8" s="216">
        <f>V8</f>
        <v>45505</v>
      </c>
      <c r="BY8" s="216">
        <f>W8</f>
        <v>45870</v>
      </c>
      <c r="BZ8" s="216">
        <f>X8</f>
        <v>46235</v>
      </c>
      <c r="CA8" s="216">
        <f>Y8</f>
        <v>46600</v>
      </c>
      <c r="CB8" s="32">
        <f t="shared" ref="CB8:CI8" si="7">CA10+1</f>
        <v>46966</v>
      </c>
      <c r="CC8" s="32">
        <f t="shared" si="7"/>
        <v>47331</v>
      </c>
      <c r="CD8" s="32">
        <f t="shared" si="7"/>
        <v>47696</v>
      </c>
      <c r="CE8" s="32">
        <f t="shared" si="7"/>
        <v>48061</v>
      </c>
      <c r="CF8" s="32">
        <f t="shared" si="7"/>
        <v>48427</v>
      </c>
      <c r="CG8" s="32">
        <f t="shared" si="7"/>
        <v>48792</v>
      </c>
      <c r="CH8" s="32">
        <f t="shared" si="7"/>
        <v>49157</v>
      </c>
      <c r="CI8" s="32">
        <f t="shared" si="7"/>
        <v>49522</v>
      </c>
      <c r="CK8" s="11"/>
      <c r="CM8" s="11"/>
      <c r="EX8" s="10" t="str">
        <f t="shared" ref="EX8:EX71" si="8">IF($C8="","",$D8)</f>
        <v/>
      </c>
    </row>
    <row r="9" spans="1:154" ht="6.75" customHeight="1" x14ac:dyDescent="0.35">
      <c r="D9" s="1"/>
      <c r="E9"/>
      <c r="BY9" s="6"/>
      <c r="CK9" s="35"/>
      <c r="CM9" s="35"/>
      <c r="EX9" s="10" t="str">
        <f t="shared" si="8"/>
        <v/>
      </c>
    </row>
    <row r="10" spans="1:154" x14ac:dyDescent="0.35">
      <c r="D10" s="1" t="s">
        <v>1911</v>
      </c>
      <c r="E10" s="117">
        <f>'Cover Sheet'!$E$27</f>
        <v>46112</v>
      </c>
      <c r="V10" s="143">
        <f>EOMONTH(DATE(YEAR(V8)+1, last_FY_month, 1),0)</f>
        <v>45869</v>
      </c>
      <c r="W10" s="143">
        <f>EOMONTH(DATE(YEAR(W8)+1, last_FY_month, 1),0)</f>
        <v>46234</v>
      </c>
      <c r="X10" s="143">
        <f>EOMONTH(DATE(YEAR(X8)+1, last_FY_month, 1),0)</f>
        <v>46599</v>
      </c>
      <c r="Y10" s="143">
        <f>EOMONTH(DATE(YEAR(Y8)+1, last_FY_month, 1),0)</f>
        <v>46965</v>
      </c>
      <c r="Z10" s="31"/>
      <c r="AA10" s="32">
        <f t="shared" ref="AA10:BV10" si="9">EOMONTH(AA8,0)</f>
        <v>45900</v>
      </c>
      <c r="AB10" s="32">
        <f t="shared" si="9"/>
        <v>45930</v>
      </c>
      <c r="AC10" s="32">
        <f t="shared" si="9"/>
        <v>45961</v>
      </c>
      <c r="AD10" s="32">
        <f t="shared" si="9"/>
        <v>45991</v>
      </c>
      <c r="AE10" s="32">
        <f t="shared" si="9"/>
        <v>46022</v>
      </c>
      <c r="AF10" s="32">
        <f t="shared" si="9"/>
        <v>46053</v>
      </c>
      <c r="AG10" s="32">
        <f t="shared" si="9"/>
        <v>46081</v>
      </c>
      <c r="AH10" s="32">
        <f t="shared" si="9"/>
        <v>46112</v>
      </c>
      <c r="AI10" s="32">
        <f t="shared" si="9"/>
        <v>46142</v>
      </c>
      <c r="AJ10" s="32">
        <f t="shared" si="9"/>
        <v>46173</v>
      </c>
      <c r="AK10" s="32">
        <f t="shared" si="9"/>
        <v>46203</v>
      </c>
      <c r="AL10" s="32">
        <f t="shared" si="9"/>
        <v>46234</v>
      </c>
      <c r="AM10" s="32">
        <f t="shared" si="9"/>
        <v>46265</v>
      </c>
      <c r="AN10" s="32">
        <f t="shared" si="9"/>
        <v>46295</v>
      </c>
      <c r="AO10" s="32">
        <f t="shared" si="9"/>
        <v>46326</v>
      </c>
      <c r="AP10" s="32">
        <f t="shared" si="9"/>
        <v>46356</v>
      </c>
      <c r="AQ10" s="32">
        <f t="shared" si="9"/>
        <v>46387</v>
      </c>
      <c r="AR10" s="32">
        <f t="shared" si="9"/>
        <v>46418</v>
      </c>
      <c r="AS10" s="32">
        <f t="shared" si="9"/>
        <v>46446</v>
      </c>
      <c r="AT10" s="32">
        <f t="shared" si="9"/>
        <v>46477</v>
      </c>
      <c r="AU10" s="32">
        <f t="shared" si="9"/>
        <v>46507</v>
      </c>
      <c r="AV10" s="32">
        <f t="shared" si="9"/>
        <v>46538</v>
      </c>
      <c r="AW10" s="32">
        <f t="shared" si="9"/>
        <v>46568</v>
      </c>
      <c r="AX10" s="32">
        <f t="shared" si="9"/>
        <v>46599</v>
      </c>
      <c r="AY10" s="32">
        <f t="shared" si="9"/>
        <v>46630</v>
      </c>
      <c r="AZ10" s="32">
        <f t="shared" si="9"/>
        <v>46660</v>
      </c>
      <c r="BA10" s="32">
        <f t="shared" si="9"/>
        <v>46691</v>
      </c>
      <c r="BB10" s="32">
        <f t="shared" si="9"/>
        <v>46721</v>
      </c>
      <c r="BC10" s="32">
        <f t="shared" si="9"/>
        <v>46752</v>
      </c>
      <c r="BD10" s="32">
        <f t="shared" si="9"/>
        <v>46783</v>
      </c>
      <c r="BE10" s="32">
        <f t="shared" si="9"/>
        <v>46812</v>
      </c>
      <c r="BF10" s="32">
        <f t="shared" si="9"/>
        <v>46843</v>
      </c>
      <c r="BG10" s="32">
        <f t="shared" si="9"/>
        <v>46873</v>
      </c>
      <c r="BH10" s="32">
        <f t="shared" si="9"/>
        <v>46904</v>
      </c>
      <c r="BI10" s="32">
        <f t="shared" si="9"/>
        <v>46934</v>
      </c>
      <c r="BJ10" s="32">
        <f t="shared" si="9"/>
        <v>46965</v>
      </c>
      <c r="BK10" s="32">
        <f t="shared" si="9"/>
        <v>46996</v>
      </c>
      <c r="BL10" s="32">
        <f t="shared" si="9"/>
        <v>47026</v>
      </c>
      <c r="BM10" s="32">
        <f t="shared" si="9"/>
        <v>47057</v>
      </c>
      <c r="BN10" s="32">
        <f t="shared" si="9"/>
        <v>47087</v>
      </c>
      <c r="BO10" s="32">
        <f t="shared" si="9"/>
        <v>47118</v>
      </c>
      <c r="BP10" s="32">
        <f t="shared" si="9"/>
        <v>47149</v>
      </c>
      <c r="BQ10" s="32">
        <f t="shared" si="9"/>
        <v>47177</v>
      </c>
      <c r="BR10" s="32">
        <f t="shared" si="9"/>
        <v>47208</v>
      </c>
      <c r="BS10" s="32">
        <f t="shared" si="9"/>
        <v>47238</v>
      </c>
      <c r="BT10" s="32">
        <f t="shared" si="9"/>
        <v>47269</v>
      </c>
      <c r="BU10" s="32">
        <f t="shared" si="9"/>
        <v>47299</v>
      </c>
      <c r="BV10" s="32">
        <f t="shared" si="9"/>
        <v>47330</v>
      </c>
      <c r="BW10" s="31"/>
      <c r="BX10" s="143">
        <f t="shared" ref="BX10:CI10" si="10">EOMONTH(DATE(YEAR(BX8)+1, last_FY_month, 1),0)</f>
        <v>45869</v>
      </c>
      <c r="BY10" s="143">
        <f t="shared" si="10"/>
        <v>46234</v>
      </c>
      <c r="BZ10" s="143">
        <f t="shared" si="10"/>
        <v>46599</v>
      </c>
      <c r="CA10" s="143">
        <f t="shared" si="10"/>
        <v>46965</v>
      </c>
      <c r="CB10" s="143">
        <f t="shared" si="10"/>
        <v>47330</v>
      </c>
      <c r="CC10" s="143">
        <f t="shared" si="10"/>
        <v>47695</v>
      </c>
      <c r="CD10" s="143">
        <f t="shared" si="10"/>
        <v>48060</v>
      </c>
      <c r="CE10" s="143">
        <f t="shared" si="10"/>
        <v>48426</v>
      </c>
      <c r="CF10" s="143">
        <f t="shared" si="10"/>
        <v>48791</v>
      </c>
      <c r="CG10" s="143">
        <f t="shared" si="10"/>
        <v>49156</v>
      </c>
      <c r="CH10" s="143">
        <f t="shared" si="10"/>
        <v>49521</v>
      </c>
      <c r="CI10" s="143">
        <f t="shared" si="10"/>
        <v>49887</v>
      </c>
      <c r="CK10" s="11"/>
      <c r="CM10" s="11"/>
      <c r="EX10" s="10" t="str">
        <f t="shared" si="8"/>
        <v/>
      </c>
    </row>
    <row r="11" spans="1:154" ht="6.75" customHeight="1" x14ac:dyDescent="0.35">
      <c r="D11" s="1"/>
      <c r="E11"/>
      <c r="BY11" s="6"/>
      <c r="CK11" s="35"/>
      <c r="CM11" s="35"/>
      <c r="EX11" s="10" t="str">
        <f t="shared" si="8"/>
        <v/>
      </c>
    </row>
    <row r="12" spans="1:154" x14ac:dyDescent="0.35">
      <c r="D12" s="1" t="s">
        <v>1909</v>
      </c>
      <c r="E12"/>
      <c r="V12" s="144">
        <f>IF(MONTH(V10)&gt;=8,YEAR(V10)+1,YEAR(V10))</f>
        <v>2025</v>
      </c>
      <c r="W12" s="83">
        <f>IF(MONTH(W10)&gt;=8,YEAR(W10)+1,YEAR(W10))</f>
        <v>2026</v>
      </c>
      <c r="X12" s="83">
        <f>IF(MONTH(X10)&gt;=8,YEAR(X10)+1,YEAR(X10))</f>
        <v>2027</v>
      </c>
      <c r="Y12" s="83">
        <f>IF(MONTH(Y10)&gt;=8,YEAR(Y10)+1,YEAR(Y10))</f>
        <v>2028</v>
      </c>
      <c r="AA12" s="83">
        <f t="shared" ref="AA12:BV12" si="11">IF(MONTH(AA10)&gt;=8,YEAR(AA10)+1,YEAR(AA10))</f>
        <v>2026</v>
      </c>
      <c r="AB12" s="83">
        <f t="shared" si="11"/>
        <v>2026</v>
      </c>
      <c r="AC12" s="83">
        <f t="shared" si="11"/>
        <v>2026</v>
      </c>
      <c r="AD12" s="83">
        <f t="shared" si="11"/>
        <v>2026</v>
      </c>
      <c r="AE12" s="83">
        <f t="shared" si="11"/>
        <v>2026</v>
      </c>
      <c r="AF12" s="83">
        <f t="shared" si="11"/>
        <v>2026</v>
      </c>
      <c r="AG12" s="83">
        <f t="shared" si="11"/>
        <v>2026</v>
      </c>
      <c r="AH12" s="83">
        <f t="shared" si="11"/>
        <v>2026</v>
      </c>
      <c r="AI12" s="83">
        <f t="shared" si="11"/>
        <v>2026</v>
      </c>
      <c r="AJ12" s="83">
        <f t="shared" si="11"/>
        <v>2026</v>
      </c>
      <c r="AK12" s="83">
        <f t="shared" si="11"/>
        <v>2026</v>
      </c>
      <c r="AL12" s="83">
        <f t="shared" si="11"/>
        <v>2026</v>
      </c>
      <c r="AM12" s="83">
        <f t="shared" si="11"/>
        <v>2027</v>
      </c>
      <c r="AN12" s="83">
        <f t="shared" si="11"/>
        <v>2027</v>
      </c>
      <c r="AO12" s="83">
        <f t="shared" si="11"/>
        <v>2027</v>
      </c>
      <c r="AP12" s="83">
        <f t="shared" si="11"/>
        <v>2027</v>
      </c>
      <c r="AQ12" s="83">
        <f t="shared" si="11"/>
        <v>2027</v>
      </c>
      <c r="AR12" s="83">
        <f t="shared" si="11"/>
        <v>2027</v>
      </c>
      <c r="AS12" s="83">
        <f t="shared" si="11"/>
        <v>2027</v>
      </c>
      <c r="AT12" s="83">
        <f t="shared" si="11"/>
        <v>2027</v>
      </c>
      <c r="AU12" s="83">
        <f t="shared" si="11"/>
        <v>2027</v>
      </c>
      <c r="AV12" s="83">
        <f t="shared" si="11"/>
        <v>2027</v>
      </c>
      <c r="AW12" s="83">
        <f t="shared" si="11"/>
        <v>2027</v>
      </c>
      <c r="AX12" s="83">
        <f t="shared" si="11"/>
        <v>2027</v>
      </c>
      <c r="AY12" s="83">
        <f t="shared" si="11"/>
        <v>2028</v>
      </c>
      <c r="AZ12" s="83">
        <f t="shared" si="11"/>
        <v>2028</v>
      </c>
      <c r="BA12" s="83">
        <f t="shared" si="11"/>
        <v>2028</v>
      </c>
      <c r="BB12" s="83">
        <f t="shared" si="11"/>
        <v>2028</v>
      </c>
      <c r="BC12" s="83">
        <f t="shared" si="11"/>
        <v>2028</v>
      </c>
      <c r="BD12" s="83">
        <f t="shared" si="11"/>
        <v>2028</v>
      </c>
      <c r="BE12" s="83">
        <f t="shared" si="11"/>
        <v>2028</v>
      </c>
      <c r="BF12" s="83">
        <f t="shared" si="11"/>
        <v>2028</v>
      </c>
      <c r="BG12" s="83">
        <f t="shared" si="11"/>
        <v>2028</v>
      </c>
      <c r="BH12" s="83">
        <f t="shared" si="11"/>
        <v>2028</v>
      </c>
      <c r="BI12" s="83">
        <f t="shared" si="11"/>
        <v>2028</v>
      </c>
      <c r="BJ12" s="83">
        <f t="shared" si="11"/>
        <v>2028</v>
      </c>
      <c r="BK12" s="83">
        <f t="shared" si="11"/>
        <v>2029</v>
      </c>
      <c r="BL12" s="83">
        <f t="shared" si="11"/>
        <v>2029</v>
      </c>
      <c r="BM12" s="83">
        <f t="shared" si="11"/>
        <v>2029</v>
      </c>
      <c r="BN12" s="83">
        <f t="shared" si="11"/>
        <v>2029</v>
      </c>
      <c r="BO12" s="83">
        <f t="shared" si="11"/>
        <v>2029</v>
      </c>
      <c r="BP12" s="83">
        <f t="shared" si="11"/>
        <v>2029</v>
      </c>
      <c r="BQ12" s="83">
        <f t="shared" si="11"/>
        <v>2029</v>
      </c>
      <c r="BR12" s="83">
        <f t="shared" si="11"/>
        <v>2029</v>
      </c>
      <c r="BS12" s="83">
        <f t="shared" si="11"/>
        <v>2029</v>
      </c>
      <c r="BT12" s="83">
        <f t="shared" si="11"/>
        <v>2029</v>
      </c>
      <c r="BU12" s="83">
        <f t="shared" si="11"/>
        <v>2029</v>
      </c>
      <c r="BV12" s="83">
        <f t="shared" si="11"/>
        <v>2029</v>
      </c>
      <c r="BX12" s="83">
        <f t="shared" ref="BX12:CI12" si="12">IF(MONTH(BX10)&gt;=8,YEAR(BX10)+1,YEAR(BX10))</f>
        <v>2025</v>
      </c>
      <c r="BY12" s="83">
        <f t="shared" si="12"/>
        <v>2026</v>
      </c>
      <c r="BZ12" s="83">
        <f t="shared" si="12"/>
        <v>2027</v>
      </c>
      <c r="CA12" s="83">
        <f t="shared" si="12"/>
        <v>2028</v>
      </c>
      <c r="CB12" s="83">
        <f t="shared" si="12"/>
        <v>2029</v>
      </c>
      <c r="CC12" s="83">
        <f t="shared" si="12"/>
        <v>2030</v>
      </c>
      <c r="CD12" s="83">
        <f t="shared" si="12"/>
        <v>2031</v>
      </c>
      <c r="CE12" s="83">
        <f t="shared" si="12"/>
        <v>2032</v>
      </c>
      <c r="CF12" s="83">
        <f t="shared" si="12"/>
        <v>2033</v>
      </c>
      <c r="CG12" s="83">
        <f t="shared" si="12"/>
        <v>2034</v>
      </c>
      <c r="CH12" s="83">
        <f t="shared" si="12"/>
        <v>2035</v>
      </c>
      <c r="CI12" s="83">
        <f t="shared" si="12"/>
        <v>2036</v>
      </c>
      <c r="CK12" s="11"/>
      <c r="CM12" s="11"/>
      <c r="EX12" s="10" t="str">
        <f t="shared" si="8"/>
        <v/>
      </c>
    </row>
    <row r="13" spans="1:154" ht="6.75" customHeight="1" x14ac:dyDescent="0.35">
      <c r="D13" s="1"/>
      <c r="E13"/>
      <c r="BY13" s="6"/>
      <c r="CK13" s="35"/>
      <c r="CM13" s="35"/>
      <c r="EX13" s="10" t="str">
        <f t="shared" si="8"/>
        <v/>
      </c>
    </row>
    <row r="14" spans="1:154" x14ac:dyDescent="0.35">
      <c r="D14" s="1" t="s">
        <v>1913</v>
      </c>
      <c r="E14"/>
      <c r="V14" s="38"/>
      <c r="W14" s="38">
        <f>V14+1</f>
        <v>1</v>
      </c>
      <c r="X14" s="38">
        <f>W14+1</f>
        <v>2</v>
      </c>
      <c r="Y14" s="38">
        <f>X14+1</f>
        <v>3</v>
      </c>
      <c r="AA14" s="38">
        <f t="shared" ref="AA14:BJ14" si="13">INDEX($V14:$Y14, MATCH(AA3, $V3:$Y3, 0))</f>
        <v>1</v>
      </c>
      <c r="AB14" s="38">
        <f t="shared" si="13"/>
        <v>1</v>
      </c>
      <c r="AC14" s="38">
        <f t="shared" si="13"/>
        <v>1</v>
      </c>
      <c r="AD14" s="38">
        <f t="shared" si="13"/>
        <v>1</v>
      </c>
      <c r="AE14" s="38">
        <f t="shared" si="13"/>
        <v>1</v>
      </c>
      <c r="AF14" s="38">
        <f t="shared" si="13"/>
        <v>1</v>
      </c>
      <c r="AG14" s="38">
        <f t="shared" si="13"/>
        <v>1</v>
      </c>
      <c r="AH14" s="38">
        <f t="shared" si="13"/>
        <v>1</v>
      </c>
      <c r="AI14" s="38">
        <f t="shared" si="13"/>
        <v>1</v>
      </c>
      <c r="AJ14" s="38">
        <f t="shared" si="13"/>
        <v>1</v>
      </c>
      <c r="AK14" s="38">
        <f t="shared" si="13"/>
        <v>1</v>
      </c>
      <c r="AL14" s="38">
        <f t="shared" si="13"/>
        <v>1</v>
      </c>
      <c r="AM14" s="38">
        <f t="shared" si="13"/>
        <v>2</v>
      </c>
      <c r="AN14" s="38">
        <f t="shared" si="13"/>
        <v>2</v>
      </c>
      <c r="AO14" s="38">
        <f t="shared" si="13"/>
        <v>2</v>
      </c>
      <c r="AP14" s="38">
        <f t="shared" si="13"/>
        <v>2</v>
      </c>
      <c r="AQ14" s="38">
        <f t="shared" si="13"/>
        <v>2</v>
      </c>
      <c r="AR14" s="38">
        <f t="shared" si="13"/>
        <v>2</v>
      </c>
      <c r="AS14" s="38">
        <f t="shared" si="13"/>
        <v>2</v>
      </c>
      <c r="AT14" s="38">
        <f t="shared" si="13"/>
        <v>2</v>
      </c>
      <c r="AU14" s="38">
        <f t="shared" si="13"/>
        <v>2</v>
      </c>
      <c r="AV14" s="38">
        <f t="shared" si="13"/>
        <v>2</v>
      </c>
      <c r="AW14" s="38">
        <f t="shared" si="13"/>
        <v>2</v>
      </c>
      <c r="AX14" s="38">
        <f t="shared" si="13"/>
        <v>2</v>
      </c>
      <c r="AY14" s="38">
        <f t="shared" si="13"/>
        <v>3</v>
      </c>
      <c r="AZ14" s="38">
        <f t="shared" si="13"/>
        <v>3</v>
      </c>
      <c r="BA14" s="38">
        <f t="shared" si="13"/>
        <v>3</v>
      </c>
      <c r="BB14" s="38">
        <f t="shared" si="13"/>
        <v>3</v>
      </c>
      <c r="BC14" s="38">
        <f t="shared" si="13"/>
        <v>3</v>
      </c>
      <c r="BD14" s="38">
        <f t="shared" si="13"/>
        <v>3</v>
      </c>
      <c r="BE14" s="38">
        <f t="shared" si="13"/>
        <v>3</v>
      </c>
      <c r="BF14" s="38">
        <f t="shared" si="13"/>
        <v>3</v>
      </c>
      <c r="BG14" s="38">
        <f t="shared" si="13"/>
        <v>3</v>
      </c>
      <c r="BH14" s="38">
        <f t="shared" si="13"/>
        <v>3</v>
      </c>
      <c r="BI14" s="38">
        <f t="shared" si="13"/>
        <v>3</v>
      </c>
      <c r="BJ14" s="38">
        <f t="shared" si="13"/>
        <v>3</v>
      </c>
      <c r="BK14" s="106"/>
      <c r="BL14" s="106"/>
      <c r="BM14" s="106"/>
      <c r="BN14" s="106"/>
      <c r="BO14" s="106"/>
      <c r="BP14" s="106"/>
      <c r="BQ14" s="106"/>
      <c r="BR14" s="106"/>
      <c r="BS14" s="106"/>
      <c r="BT14" s="106"/>
      <c r="BU14" s="106"/>
      <c r="BV14" s="106"/>
      <c r="BX14" s="38">
        <f t="shared" ref="BX14:CI14" si="14">IFERROR(INDEX($V14:$Y14, MATCH(BX3, $V3:$Y3, 0)),BW14+1)</f>
        <v>0</v>
      </c>
      <c r="BY14" s="38">
        <f t="shared" si="14"/>
        <v>1</v>
      </c>
      <c r="BZ14" s="38">
        <f t="shared" si="14"/>
        <v>2</v>
      </c>
      <c r="CA14" s="38">
        <f t="shared" si="14"/>
        <v>3</v>
      </c>
      <c r="CB14" s="38">
        <f t="shared" si="14"/>
        <v>4</v>
      </c>
      <c r="CC14" s="38">
        <f t="shared" si="14"/>
        <v>5</v>
      </c>
      <c r="CD14" s="38">
        <f t="shared" si="14"/>
        <v>6</v>
      </c>
      <c r="CE14" s="38">
        <f t="shared" si="14"/>
        <v>7</v>
      </c>
      <c r="CF14" s="38">
        <f t="shared" si="14"/>
        <v>8</v>
      </c>
      <c r="CG14" s="38">
        <f t="shared" si="14"/>
        <v>9</v>
      </c>
      <c r="CH14" s="38">
        <f t="shared" si="14"/>
        <v>10</v>
      </c>
      <c r="CI14" s="38">
        <f t="shared" si="14"/>
        <v>11</v>
      </c>
      <c r="CK14" s="11"/>
      <c r="CM14" s="11"/>
      <c r="EX14" s="10" t="str">
        <f t="shared" si="8"/>
        <v/>
      </c>
    </row>
    <row r="15" spans="1:154" ht="6.75" customHeight="1" x14ac:dyDescent="0.35">
      <c r="D15" s="1"/>
      <c r="E15"/>
      <c r="BY15" s="6"/>
      <c r="CK15" s="35"/>
      <c r="CM15" s="35"/>
      <c r="EX15" s="10" t="str">
        <f t="shared" si="8"/>
        <v/>
      </c>
    </row>
    <row r="16" spans="1:154" x14ac:dyDescent="0.35">
      <c r="D16" s="1" t="s">
        <v>1914</v>
      </c>
      <c r="E16"/>
      <c r="V16" s="38">
        <f>IF(V4=0, 1, 0)</f>
        <v>1</v>
      </c>
      <c r="W16" s="38">
        <f>IF(W4=0, 1, 0)</f>
        <v>0</v>
      </c>
      <c r="X16" s="38">
        <f>IF(X4=0, 1, 0)</f>
        <v>0</v>
      </c>
      <c r="Y16" s="38">
        <f>IF(Y4=0, 1, 0)</f>
        <v>0</v>
      </c>
      <c r="AA16" s="38">
        <f t="shared" ref="AA16:BV16" si="15">IF(AA4=0, 1, 0)</f>
        <v>1</v>
      </c>
      <c r="AB16" s="38">
        <f t="shared" si="15"/>
        <v>1</v>
      </c>
      <c r="AC16" s="38">
        <f t="shared" si="15"/>
        <v>1</v>
      </c>
      <c r="AD16" s="38">
        <f t="shared" si="15"/>
        <v>1</v>
      </c>
      <c r="AE16" s="38">
        <f t="shared" si="15"/>
        <v>1</v>
      </c>
      <c r="AF16" s="38">
        <f t="shared" si="15"/>
        <v>1</v>
      </c>
      <c r="AG16" s="38">
        <f t="shared" si="15"/>
        <v>1</v>
      </c>
      <c r="AH16" s="38">
        <f t="shared" si="15"/>
        <v>1</v>
      </c>
      <c r="AI16" s="38">
        <f t="shared" si="15"/>
        <v>0</v>
      </c>
      <c r="AJ16" s="38">
        <f t="shared" si="15"/>
        <v>0</v>
      </c>
      <c r="AK16" s="38">
        <f t="shared" si="15"/>
        <v>0</v>
      </c>
      <c r="AL16" s="38">
        <f t="shared" si="15"/>
        <v>0</v>
      </c>
      <c r="AM16" s="38">
        <f t="shared" si="15"/>
        <v>0</v>
      </c>
      <c r="AN16" s="38">
        <f t="shared" si="15"/>
        <v>0</v>
      </c>
      <c r="AO16" s="38">
        <f t="shared" si="15"/>
        <v>0</v>
      </c>
      <c r="AP16" s="38">
        <f t="shared" si="15"/>
        <v>0</v>
      </c>
      <c r="AQ16" s="38">
        <f t="shared" si="15"/>
        <v>0</v>
      </c>
      <c r="AR16" s="38">
        <f t="shared" si="15"/>
        <v>0</v>
      </c>
      <c r="AS16" s="38">
        <f t="shared" si="15"/>
        <v>0</v>
      </c>
      <c r="AT16" s="38">
        <f t="shared" si="15"/>
        <v>0</v>
      </c>
      <c r="AU16" s="38">
        <f t="shared" si="15"/>
        <v>0</v>
      </c>
      <c r="AV16" s="38">
        <f t="shared" si="15"/>
        <v>0</v>
      </c>
      <c r="AW16" s="38">
        <f t="shared" si="15"/>
        <v>0</v>
      </c>
      <c r="AX16" s="38">
        <f t="shared" si="15"/>
        <v>0</v>
      </c>
      <c r="AY16" s="38">
        <f t="shared" si="15"/>
        <v>0</v>
      </c>
      <c r="AZ16" s="38">
        <f t="shared" si="15"/>
        <v>0</v>
      </c>
      <c r="BA16" s="38">
        <f t="shared" si="15"/>
        <v>0</v>
      </c>
      <c r="BB16" s="38">
        <f t="shared" si="15"/>
        <v>0</v>
      </c>
      <c r="BC16" s="38">
        <f t="shared" si="15"/>
        <v>0</v>
      </c>
      <c r="BD16" s="38">
        <f t="shared" si="15"/>
        <v>0</v>
      </c>
      <c r="BE16" s="38">
        <f t="shared" si="15"/>
        <v>0</v>
      </c>
      <c r="BF16" s="38">
        <f t="shared" si="15"/>
        <v>0</v>
      </c>
      <c r="BG16" s="38">
        <f t="shared" si="15"/>
        <v>0</v>
      </c>
      <c r="BH16" s="38">
        <f t="shared" si="15"/>
        <v>0</v>
      </c>
      <c r="BI16" s="38">
        <f t="shared" si="15"/>
        <v>0</v>
      </c>
      <c r="BJ16" s="38">
        <f t="shared" si="15"/>
        <v>0</v>
      </c>
      <c r="BK16" s="38">
        <f t="shared" si="15"/>
        <v>0</v>
      </c>
      <c r="BL16" s="38">
        <f t="shared" si="15"/>
        <v>0</v>
      </c>
      <c r="BM16" s="38">
        <f t="shared" si="15"/>
        <v>0</v>
      </c>
      <c r="BN16" s="38">
        <f t="shared" si="15"/>
        <v>0</v>
      </c>
      <c r="BO16" s="38">
        <f t="shared" si="15"/>
        <v>0</v>
      </c>
      <c r="BP16" s="38">
        <f t="shared" si="15"/>
        <v>0</v>
      </c>
      <c r="BQ16" s="38">
        <f t="shared" si="15"/>
        <v>0</v>
      </c>
      <c r="BR16" s="38">
        <f t="shared" si="15"/>
        <v>0</v>
      </c>
      <c r="BS16" s="38">
        <f t="shared" si="15"/>
        <v>0</v>
      </c>
      <c r="BT16" s="38">
        <f t="shared" si="15"/>
        <v>0</v>
      </c>
      <c r="BU16" s="38">
        <f t="shared" si="15"/>
        <v>0</v>
      </c>
      <c r="BV16" s="38">
        <f t="shared" si="15"/>
        <v>0</v>
      </c>
      <c r="BX16" s="38">
        <f t="shared" ref="BX16:CI16" si="16">IF(BX4=0, 1, 0)</f>
        <v>1</v>
      </c>
      <c r="BY16" s="38">
        <f t="shared" si="16"/>
        <v>0</v>
      </c>
      <c r="BZ16" s="38">
        <f t="shared" si="16"/>
        <v>0</v>
      </c>
      <c r="CA16" s="38">
        <f t="shared" si="16"/>
        <v>0</v>
      </c>
      <c r="CB16" s="38">
        <f t="shared" si="16"/>
        <v>0</v>
      </c>
      <c r="CC16" s="38">
        <f t="shared" si="16"/>
        <v>0</v>
      </c>
      <c r="CD16" s="38">
        <f t="shared" si="16"/>
        <v>0</v>
      </c>
      <c r="CE16" s="38">
        <f t="shared" si="16"/>
        <v>0</v>
      </c>
      <c r="CF16" s="38">
        <f t="shared" si="16"/>
        <v>0</v>
      </c>
      <c r="CG16" s="38">
        <f t="shared" si="16"/>
        <v>0</v>
      </c>
      <c r="CH16" s="38">
        <f t="shared" si="16"/>
        <v>0</v>
      </c>
      <c r="CI16" s="38">
        <f t="shared" si="16"/>
        <v>0</v>
      </c>
      <c r="CK16" s="11"/>
      <c r="CM16" s="11"/>
      <c r="EX16" s="10" t="str">
        <f t="shared" si="8"/>
        <v/>
      </c>
    </row>
    <row r="17" spans="4:154" ht="6.75" customHeight="1" x14ac:dyDescent="0.35">
      <c r="D17" s="1"/>
      <c r="E17"/>
      <c r="BY17" s="6"/>
      <c r="CK17" s="35"/>
      <c r="CM17" s="35"/>
      <c r="EX17" s="10" t="str">
        <f t="shared" si="8"/>
        <v/>
      </c>
    </row>
    <row r="18" spans="4:154" x14ac:dyDescent="0.35">
      <c r="D18" s="1" t="s">
        <v>1915</v>
      </c>
      <c r="E18"/>
      <c r="V18" s="132">
        <f>IF(AND(R16=0, V16=1), 1, 0)</f>
        <v>1</v>
      </c>
      <c r="W18" s="132">
        <f>IF(AND(V16=0, W16=1), 1, 0)</f>
        <v>0</v>
      </c>
      <c r="X18" s="132">
        <f>IF(AND(W16=0, X16=1), 1, 0)</f>
        <v>0</v>
      </c>
      <c r="Y18" s="132">
        <f>IF(AND(X16=0, Y16=1), 1, 0)</f>
        <v>0</v>
      </c>
      <c r="AA18" s="132">
        <f t="shared" ref="AA18:BV18" si="17">IF(AND(Z16=0, AA16=1), 1, 0)</f>
        <v>1</v>
      </c>
      <c r="AB18" s="38">
        <f t="shared" si="17"/>
        <v>0</v>
      </c>
      <c r="AC18" s="38">
        <f t="shared" si="17"/>
        <v>0</v>
      </c>
      <c r="AD18" s="38">
        <f t="shared" si="17"/>
        <v>0</v>
      </c>
      <c r="AE18" s="38">
        <f t="shared" si="17"/>
        <v>0</v>
      </c>
      <c r="AF18" s="38">
        <f t="shared" si="17"/>
        <v>0</v>
      </c>
      <c r="AG18" s="38">
        <f t="shared" si="17"/>
        <v>0</v>
      </c>
      <c r="AH18" s="38">
        <f t="shared" si="17"/>
        <v>0</v>
      </c>
      <c r="AI18" s="38">
        <f t="shared" si="17"/>
        <v>0</v>
      </c>
      <c r="AJ18" s="38">
        <f t="shared" si="17"/>
        <v>0</v>
      </c>
      <c r="AK18" s="38">
        <f t="shared" si="17"/>
        <v>0</v>
      </c>
      <c r="AL18" s="38">
        <f t="shared" si="17"/>
        <v>0</v>
      </c>
      <c r="AM18" s="38">
        <f t="shared" si="17"/>
        <v>0</v>
      </c>
      <c r="AN18" s="38">
        <f t="shared" si="17"/>
        <v>0</v>
      </c>
      <c r="AO18" s="38">
        <f t="shared" si="17"/>
        <v>0</v>
      </c>
      <c r="AP18" s="38">
        <f t="shared" si="17"/>
        <v>0</v>
      </c>
      <c r="AQ18" s="38">
        <f t="shared" si="17"/>
        <v>0</v>
      </c>
      <c r="AR18" s="38">
        <f t="shared" si="17"/>
        <v>0</v>
      </c>
      <c r="AS18" s="38">
        <f t="shared" si="17"/>
        <v>0</v>
      </c>
      <c r="AT18" s="38">
        <f t="shared" si="17"/>
        <v>0</v>
      </c>
      <c r="AU18" s="38">
        <f t="shared" si="17"/>
        <v>0</v>
      </c>
      <c r="AV18" s="38">
        <f t="shared" si="17"/>
        <v>0</v>
      </c>
      <c r="AW18" s="38">
        <f t="shared" si="17"/>
        <v>0</v>
      </c>
      <c r="AX18" s="38">
        <f t="shared" si="17"/>
        <v>0</v>
      </c>
      <c r="AY18" s="38">
        <f t="shared" si="17"/>
        <v>0</v>
      </c>
      <c r="AZ18" s="38">
        <f t="shared" si="17"/>
        <v>0</v>
      </c>
      <c r="BA18" s="38">
        <f t="shared" si="17"/>
        <v>0</v>
      </c>
      <c r="BB18" s="38">
        <f t="shared" si="17"/>
        <v>0</v>
      </c>
      <c r="BC18" s="38">
        <f t="shared" si="17"/>
        <v>0</v>
      </c>
      <c r="BD18" s="38">
        <f t="shared" si="17"/>
        <v>0</v>
      </c>
      <c r="BE18" s="38">
        <f t="shared" si="17"/>
        <v>0</v>
      </c>
      <c r="BF18" s="38">
        <f t="shared" si="17"/>
        <v>0</v>
      </c>
      <c r="BG18" s="38">
        <f t="shared" si="17"/>
        <v>0</v>
      </c>
      <c r="BH18" s="38">
        <f t="shared" si="17"/>
        <v>0</v>
      </c>
      <c r="BI18" s="38">
        <f t="shared" si="17"/>
        <v>0</v>
      </c>
      <c r="BJ18" s="38">
        <f t="shared" si="17"/>
        <v>0</v>
      </c>
      <c r="BK18" s="38">
        <f t="shared" si="17"/>
        <v>0</v>
      </c>
      <c r="BL18" s="38">
        <f t="shared" si="17"/>
        <v>0</v>
      </c>
      <c r="BM18" s="38">
        <f t="shared" si="17"/>
        <v>0</v>
      </c>
      <c r="BN18" s="38">
        <f t="shared" si="17"/>
        <v>0</v>
      </c>
      <c r="BO18" s="38">
        <f t="shared" si="17"/>
        <v>0</v>
      </c>
      <c r="BP18" s="38">
        <f t="shared" si="17"/>
        <v>0</v>
      </c>
      <c r="BQ18" s="38">
        <f t="shared" si="17"/>
        <v>0</v>
      </c>
      <c r="BR18" s="38">
        <f t="shared" si="17"/>
        <v>0</v>
      </c>
      <c r="BS18" s="38">
        <f t="shared" si="17"/>
        <v>0</v>
      </c>
      <c r="BT18" s="38">
        <f t="shared" si="17"/>
        <v>0</v>
      </c>
      <c r="BU18" s="38">
        <f t="shared" si="17"/>
        <v>0</v>
      </c>
      <c r="BV18" s="38">
        <f t="shared" si="17"/>
        <v>0</v>
      </c>
      <c r="BX18" s="38">
        <f t="shared" ref="BX18:CI18" si="18">IF(AND(BW16=0, BX16=1), 1, 0)</f>
        <v>1</v>
      </c>
      <c r="BY18" s="38">
        <f t="shared" si="18"/>
        <v>0</v>
      </c>
      <c r="BZ18" s="38">
        <f t="shared" si="18"/>
        <v>0</v>
      </c>
      <c r="CA18" s="38">
        <f t="shared" si="18"/>
        <v>0</v>
      </c>
      <c r="CB18" s="38">
        <f t="shared" si="18"/>
        <v>0</v>
      </c>
      <c r="CC18" s="38">
        <f t="shared" si="18"/>
        <v>0</v>
      </c>
      <c r="CD18" s="38">
        <f t="shared" si="18"/>
        <v>0</v>
      </c>
      <c r="CE18" s="38">
        <f t="shared" si="18"/>
        <v>0</v>
      </c>
      <c r="CF18" s="38">
        <f t="shared" si="18"/>
        <v>0</v>
      </c>
      <c r="CG18" s="38">
        <f t="shared" si="18"/>
        <v>0</v>
      </c>
      <c r="CH18" s="38">
        <f t="shared" si="18"/>
        <v>0</v>
      </c>
      <c r="CI18" s="38">
        <f t="shared" si="18"/>
        <v>0</v>
      </c>
      <c r="CK18" s="11"/>
      <c r="CM18" s="11"/>
      <c r="EX18" s="10" t="str">
        <f t="shared" si="8"/>
        <v/>
      </c>
    </row>
    <row r="19" spans="4:154" ht="6.75" customHeight="1" x14ac:dyDescent="0.35">
      <c r="D19" s="1"/>
      <c r="E19"/>
      <c r="BY19" s="6"/>
      <c r="CK19" s="35"/>
      <c r="CM19" s="35"/>
      <c r="EX19" s="10" t="str">
        <f t="shared" si="8"/>
        <v/>
      </c>
    </row>
    <row r="20" spans="4:154" x14ac:dyDescent="0.35">
      <c r="D20" s="1" t="s">
        <v>1916</v>
      </c>
      <c r="E20"/>
      <c r="V20" s="38">
        <f>IF(AND(R$4=0, V$4=1), 1,0)</f>
        <v>0</v>
      </c>
      <c r="W20" s="38">
        <f>IF(AND(V$4=0, W$4=1), 1,0)</f>
        <v>0</v>
      </c>
      <c r="X20" s="38">
        <f>IF(AND(W$4=0, X$4=1), 1,0)</f>
        <v>0</v>
      </c>
      <c r="Y20" s="38">
        <f>IF(AND(X$4=0, Y$4=1), 1,0)</f>
        <v>0</v>
      </c>
      <c r="AA20" s="38">
        <f t="shared" ref="AA20:BV20" si="19">IF(AND(Z$4=0, AA$4=1), 1,0)</f>
        <v>0</v>
      </c>
      <c r="AB20" s="38">
        <f t="shared" si="19"/>
        <v>0</v>
      </c>
      <c r="AC20" s="38">
        <f t="shared" si="19"/>
        <v>0</v>
      </c>
      <c r="AD20" s="38">
        <f t="shared" si="19"/>
        <v>0</v>
      </c>
      <c r="AE20" s="38">
        <f t="shared" si="19"/>
        <v>0</v>
      </c>
      <c r="AF20" s="38">
        <f t="shared" si="19"/>
        <v>0</v>
      </c>
      <c r="AG20" s="38">
        <f t="shared" si="19"/>
        <v>0</v>
      </c>
      <c r="AH20" s="38">
        <f t="shared" si="19"/>
        <v>0</v>
      </c>
      <c r="AI20" s="38">
        <f t="shared" si="19"/>
        <v>1</v>
      </c>
      <c r="AJ20" s="38">
        <f t="shared" si="19"/>
        <v>0</v>
      </c>
      <c r="AK20" s="38">
        <f t="shared" si="19"/>
        <v>0</v>
      </c>
      <c r="AL20" s="38">
        <f t="shared" si="19"/>
        <v>0</v>
      </c>
      <c r="AM20" s="38">
        <f t="shared" si="19"/>
        <v>0</v>
      </c>
      <c r="AN20" s="38">
        <f t="shared" si="19"/>
        <v>0</v>
      </c>
      <c r="AO20" s="38">
        <f t="shared" si="19"/>
        <v>0</v>
      </c>
      <c r="AP20" s="38">
        <f t="shared" si="19"/>
        <v>0</v>
      </c>
      <c r="AQ20" s="38">
        <f t="shared" si="19"/>
        <v>0</v>
      </c>
      <c r="AR20" s="38">
        <f t="shared" si="19"/>
        <v>0</v>
      </c>
      <c r="AS20" s="38">
        <f t="shared" si="19"/>
        <v>0</v>
      </c>
      <c r="AT20" s="38">
        <f t="shared" si="19"/>
        <v>0</v>
      </c>
      <c r="AU20" s="38">
        <f t="shared" si="19"/>
        <v>0</v>
      </c>
      <c r="AV20" s="38">
        <f t="shared" si="19"/>
        <v>0</v>
      </c>
      <c r="AW20" s="38">
        <f t="shared" si="19"/>
        <v>0</v>
      </c>
      <c r="AX20" s="38">
        <f t="shared" si="19"/>
        <v>0</v>
      </c>
      <c r="AY20" s="38">
        <f t="shared" si="19"/>
        <v>0</v>
      </c>
      <c r="AZ20" s="38">
        <f t="shared" si="19"/>
        <v>0</v>
      </c>
      <c r="BA20" s="38">
        <f t="shared" si="19"/>
        <v>0</v>
      </c>
      <c r="BB20" s="38">
        <f t="shared" si="19"/>
        <v>0</v>
      </c>
      <c r="BC20" s="38">
        <f t="shared" si="19"/>
        <v>0</v>
      </c>
      <c r="BD20" s="38">
        <f t="shared" si="19"/>
        <v>0</v>
      </c>
      <c r="BE20" s="38">
        <f t="shared" si="19"/>
        <v>0</v>
      </c>
      <c r="BF20" s="38">
        <f t="shared" si="19"/>
        <v>0</v>
      </c>
      <c r="BG20" s="38">
        <f t="shared" si="19"/>
        <v>0</v>
      </c>
      <c r="BH20" s="38">
        <f t="shared" si="19"/>
        <v>0</v>
      </c>
      <c r="BI20" s="38">
        <f t="shared" si="19"/>
        <v>0</v>
      </c>
      <c r="BJ20" s="38">
        <f t="shared" si="19"/>
        <v>0</v>
      </c>
      <c r="BK20" s="38">
        <f t="shared" si="19"/>
        <v>0</v>
      </c>
      <c r="BL20" s="38">
        <f t="shared" si="19"/>
        <v>0</v>
      </c>
      <c r="BM20" s="38">
        <f t="shared" si="19"/>
        <v>0</v>
      </c>
      <c r="BN20" s="38">
        <f t="shared" si="19"/>
        <v>0</v>
      </c>
      <c r="BO20" s="38">
        <f t="shared" si="19"/>
        <v>0</v>
      </c>
      <c r="BP20" s="38">
        <f t="shared" si="19"/>
        <v>0</v>
      </c>
      <c r="BQ20" s="38">
        <f t="shared" si="19"/>
        <v>0</v>
      </c>
      <c r="BR20" s="38">
        <f t="shared" si="19"/>
        <v>0</v>
      </c>
      <c r="BS20" s="38">
        <f t="shared" si="19"/>
        <v>0</v>
      </c>
      <c r="BT20" s="38">
        <f t="shared" si="19"/>
        <v>0</v>
      </c>
      <c r="BU20" s="38">
        <f t="shared" si="19"/>
        <v>0</v>
      </c>
      <c r="BV20" s="38">
        <f t="shared" si="19"/>
        <v>0</v>
      </c>
      <c r="BX20" s="38">
        <f t="shared" ref="BX20:CI20" si="20">IF(AND(BW$4=0, BX$4=1), 1,0)</f>
        <v>0</v>
      </c>
      <c r="BY20" s="38">
        <f t="shared" si="20"/>
        <v>0</v>
      </c>
      <c r="BZ20" s="38">
        <f t="shared" si="20"/>
        <v>0</v>
      </c>
      <c r="CA20" s="38">
        <f t="shared" si="20"/>
        <v>0</v>
      </c>
      <c r="CB20" s="38">
        <f t="shared" si="20"/>
        <v>0</v>
      </c>
      <c r="CC20" s="38">
        <f t="shared" si="20"/>
        <v>0</v>
      </c>
      <c r="CD20" s="38">
        <f t="shared" si="20"/>
        <v>0</v>
      </c>
      <c r="CE20" s="38">
        <f t="shared" si="20"/>
        <v>0</v>
      </c>
      <c r="CF20" s="38">
        <f t="shared" si="20"/>
        <v>0</v>
      </c>
      <c r="CG20" s="38">
        <f t="shared" si="20"/>
        <v>0</v>
      </c>
      <c r="CH20" s="38">
        <f t="shared" si="20"/>
        <v>0</v>
      </c>
      <c r="CI20" s="38">
        <f t="shared" si="20"/>
        <v>0</v>
      </c>
      <c r="CK20" s="11"/>
      <c r="CM20" s="11"/>
      <c r="EX20" s="10" t="str">
        <f t="shared" si="8"/>
        <v/>
      </c>
    </row>
    <row r="21" spans="4:154" ht="6.75" customHeight="1" x14ac:dyDescent="0.35">
      <c r="D21" s="1"/>
      <c r="E21"/>
      <c r="BY21" s="6"/>
      <c r="CK21" s="35"/>
      <c r="CM21" s="35"/>
      <c r="EX21" s="10" t="str">
        <f t="shared" si="8"/>
        <v/>
      </c>
    </row>
    <row r="22" spans="4:154" x14ac:dyDescent="0.35">
      <c r="D22" s="1" t="s">
        <v>1917</v>
      </c>
      <c r="E22"/>
      <c r="V22" s="38">
        <f>IF(V4=0,0,1)</f>
        <v>0</v>
      </c>
      <c r="W22" s="38">
        <f>IF(W4=0,0,1)</f>
        <v>1</v>
      </c>
      <c r="X22" s="38">
        <f>IF(X4=0,0,1)</f>
        <v>1</v>
      </c>
      <c r="Y22" s="38">
        <f>IF(Y4=0,0,1)</f>
        <v>1</v>
      </c>
      <c r="AA22" s="38">
        <f t="shared" ref="AA22:BV22" si="21">IF(AA4=0,0,1)</f>
        <v>0</v>
      </c>
      <c r="AB22" s="38">
        <f t="shared" si="21"/>
        <v>0</v>
      </c>
      <c r="AC22" s="38">
        <f t="shared" si="21"/>
        <v>0</v>
      </c>
      <c r="AD22" s="38">
        <f t="shared" si="21"/>
        <v>0</v>
      </c>
      <c r="AE22" s="38">
        <f t="shared" si="21"/>
        <v>0</v>
      </c>
      <c r="AF22" s="38">
        <f t="shared" si="21"/>
        <v>0</v>
      </c>
      <c r="AG22" s="38">
        <f t="shared" si="21"/>
        <v>0</v>
      </c>
      <c r="AH22" s="38">
        <f t="shared" si="21"/>
        <v>0</v>
      </c>
      <c r="AI22" s="38">
        <f t="shared" si="21"/>
        <v>1</v>
      </c>
      <c r="AJ22" s="38">
        <f t="shared" si="21"/>
        <v>1</v>
      </c>
      <c r="AK22" s="38">
        <f t="shared" si="21"/>
        <v>1</v>
      </c>
      <c r="AL22" s="38">
        <f t="shared" si="21"/>
        <v>1</v>
      </c>
      <c r="AM22" s="38">
        <f t="shared" si="21"/>
        <v>1</v>
      </c>
      <c r="AN22" s="38">
        <f t="shared" si="21"/>
        <v>1</v>
      </c>
      <c r="AO22" s="38">
        <f t="shared" si="21"/>
        <v>1</v>
      </c>
      <c r="AP22" s="38">
        <f t="shared" si="21"/>
        <v>1</v>
      </c>
      <c r="AQ22" s="38">
        <f t="shared" si="21"/>
        <v>1</v>
      </c>
      <c r="AR22" s="38">
        <f t="shared" si="21"/>
        <v>1</v>
      </c>
      <c r="AS22" s="38">
        <f t="shared" si="21"/>
        <v>1</v>
      </c>
      <c r="AT22" s="38">
        <f t="shared" si="21"/>
        <v>1</v>
      </c>
      <c r="AU22" s="38">
        <f t="shared" si="21"/>
        <v>1</v>
      </c>
      <c r="AV22" s="38">
        <f t="shared" si="21"/>
        <v>1</v>
      </c>
      <c r="AW22" s="38">
        <f t="shared" si="21"/>
        <v>1</v>
      </c>
      <c r="AX22" s="38">
        <f t="shared" si="21"/>
        <v>1</v>
      </c>
      <c r="AY22" s="38">
        <f t="shared" si="21"/>
        <v>1</v>
      </c>
      <c r="AZ22" s="38">
        <f t="shared" si="21"/>
        <v>1</v>
      </c>
      <c r="BA22" s="38">
        <f t="shared" si="21"/>
        <v>1</v>
      </c>
      <c r="BB22" s="38">
        <f t="shared" si="21"/>
        <v>1</v>
      </c>
      <c r="BC22" s="38">
        <f t="shared" si="21"/>
        <v>1</v>
      </c>
      <c r="BD22" s="38">
        <f t="shared" si="21"/>
        <v>1</v>
      </c>
      <c r="BE22" s="38">
        <f t="shared" si="21"/>
        <v>1</v>
      </c>
      <c r="BF22" s="38">
        <f t="shared" si="21"/>
        <v>1</v>
      </c>
      <c r="BG22" s="38">
        <f t="shared" si="21"/>
        <v>1</v>
      </c>
      <c r="BH22" s="38">
        <f t="shared" si="21"/>
        <v>1</v>
      </c>
      <c r="BI22" s="38">
        <f t="shared" si="21"/>
        <v>1</v>
      </c>
      <c r="BJ22" s="38">
        <f t="shared" si="21"/>
        <v>1</v>
      </c>
      <c r="BK22" s="38">
        <f t="shared" si="21"/>
        <v>1</v>
      </c>
      <c r="BL22" s="38">
        <f t="shared" si="21"/>
        <v>1</v>
      </c>
      <c r="BM22" s="38">
        <f t="shared" si="21"/>
        <v>1</v>
      </c>
      <c r="BN22" s="38">
        <f t="shared" si="21"/>
        <v>1</v>
      </c>
      <c r="BO22" s="38">
        <f t="shared" si="21"/>
        <v>1</v>
      </c>
      <c r="BP22" s="38">
        <f t="shared" si="21"/>
        <v>1</v>
      </c>
      <c r="BQ22" s="38">
        <f t="shared" si="21"/>
        <v>1</v>
      </c>
      <c r="BR22" s="38">
        <f t="shared" si="21"/>
        <v>1</v>
      </c>
      <c r="BS22" s="38">
        <f t="shared" si="21"/>
        <v>1</v>
      </c>
      <c r="BT22" s="38">
        <f t="shared" si="21"/>
        <v>1</v>
      </c>
      <c r="BU22" s="38">
        <f t="shared" si="21"/>
        <v>1</v>
      </c>
      <c r="BV22" s="38">
        <f t="shared" si="21"/>
        <v>1</v>
      </c>
      <c r="BX22" s="38">
        <f t="shared" ref="BX22:CI22" si="22">IF(BX4=0,0,1)</f>
        <v>0</v>
      </c>
      <c r="BY22" s="38">
        <f t="shared" si="22"/>
        <v>1</v>
      </c>
      <c r="BZ22" s="38">
        <f t="shared" si="22"/>
        <v>1</v>
      </c>
      <c r="CA22" s="38">
        <f t="shared" si="22"/>
        <v>1</v>
      </c>
      <c r="CB22" s="38">
        <f t="shared" si="22"/>
        <v>1</v>
      </c>
      <c r="CC22" s="38">
        <f t="shared" si="22"/>
        <v>1</v>
      </c>
      <c r="CD22" s="38">
        <f t="shared" si="22"/>
        <v>1</v>
      </c>
      <c r="CE22" s="38">
        <f t="shared" si="22"/>
        <v>1</v>
      </c>
      <c r="CF22" s="38">
        <f t="shared" si="22"/>
        <v>1</v>
      </c>
      <c r="CG22" s="38">
        <f t="shared" si="22"/>
        <v>1</v>
      </c>
      <c r="CH22" s="38">
        <f t="shared" si="22"/>
        <v>1</v>
      </c>
      <c r="CI22" s="38">
        <f t="shared" si="22"/>
        <v>1</v>
      </c>
      <c r="CK22" s="11"/>
      <c r="CM22" s="11"/>
      <c r="EX22" s="10" t="str">
        <f t="shared" si="8"/>
        <v/>
      </c>
    </row>
    <row r="23" spans="4:154" ht="6.75" customHeight="1" x14ac:dyDescent="0.35">
      <c r="D23" s="1"/>
      <c r="E23"/>
      <c r="BY23" s="6"/>
      <c r="CK23" s="35"/>
      <c r="CM23" s="35"/>
      <c r="EX23" s="10" t="str">
        <f t="shared" si="8"/>
        <v/>
      </c>
    </row>
    <row r="24" spans="4:154" x14ac:dyDescent="0.35">
      <c r="D24" s="1" t="s">
        <v>1918</v>
      </c>
      <c r="E24"/>
      <c r="V24" s="38">
        <f>IF(AND(V10&gt;$W$8, V10&lt;=$W$10), 1, 0)</f>
        <v>0</v>
      </c>
      <c r="W24" s="38">
        <f>IF(AND(W10&gt;$W$8, W10&lt;=$W$10), 1, 0)</f>
        <v>1</v>
      </c>
      <c r="X24" s="38">
        <f>IF(AND(X10&gt;$W$8, X10&lt;=$W$10), 1, 0)</f>
        <v>0</v>
      </c>
      <c r="Y24" s="38">
        <f>IF(AND(Y10&gt;$W$8, Y10&lt;=$W$10), 1, 0)</f>
        <v>0</v>
      </c>
      <c r="AA24" s="38">
        <f t="shared" ref="AA24:BV24" si="23">IF(AND(AA10&gt;$W$8, AA10&lt;=$W$10), 1, 0)</f>
        <v>1</v>
      </c>
      <c r="AB24" s="38">
        <f t="shared" si="23"/>
        <v>1</v>
      </c>
      <c r="AC24" s="38">
        <f t="shared" si="23"/>
        <v>1</v>
      </c>
      <c r="AD24" s="38">
        <f t="shared" si="23"/>
        <v>1</v>
      </c>
      <c r="AE24" s="38">
        <f t="shared" si="23"/>
        <v>1</v>
      </c>
      <c r="AF24" s="38">
        <f t="shared" si="23"/>
        <v>1</v>
      </c>
      <c r="AG24" s="38">
        <f t="shared" si="23"/>
        <v>1</v>
      </c>
      <c r="AH24" s="38">
        <f t="shared" si="23"/>
        <v>1</v>
      </c>
      <c r="AI24" s="38">
        <f t="shared" si="23"/>
        <v>1</v>
      </c>
      <c r="AJ24" s="38">
        <f t="shared" si="23"/>
        <v>1</v>
      </c>
      <c r="AK24" s="38">
        <f t="shared" si="23"/>
        <v>1</v>
      </c>
      <c r="AL24" s="38">
        <f t="shared" si="23"/>
        <v>1</v>
      </c>
      <c r="AM24" s="38">
        <f t="shared" si="23"/>
        <v>0</v>
      </c>
      <c r="AN24" s="38">
        <f t="shared" si="23"/>
        <v>0</v>
      </c>
      <c r="AO24" s="38">
        <f t="shared" si="23"/>
        <v>0</v>
      </c>
      <c r="AP24" s="38">
        <f t="shared" si="23"/>
        <v>0</v>
      </c>
      <c r="AQ24" s="38">
        <f t="shared" si="23"/>
        <v>0</v>
      </c>
      <c r="AR24" s="38">
        <f t="shared" si="23"/>
        <v>0</v>
      </c>
      <c r="AS24" s="38">
        <f t="shared" si="23"/>
        <v>0</v>
      </c>
      <c r="AT24" s="38">
        <f t="shared" si="23"/>
        <v>0</v>
      </c>
      <c r="AU24" s="38">
        <f t="shared" si="23"/>
        <v>0</v>
      </c>
      <c r="AV24" s="38">
        <f t="shared" si="23"/>
        <v>0</v>
      </c>
      <c r="AW24" s="38">
        <f t="shared" si="23"/>
        <v>0</v>
      </c>
      <c r="AX24" s="38">
        <f t="shared" si="23"/>
        <v>0</v>
      </c>
      <c r="AY24" s="38">
        <f t="shared" si="23"/>
        <v>0</v>
      </c>
      <c r="AZ24" s="38">
        <f t="shared" si="23"/>
        <v>0</v>
      </c>
      <c r="BA24" s="38">
        <f t="shared" si="23"/>
        <v>0</v>
      </c>
      <c r="BB24" s="38">
        <f t="shared" si="23"/>
        <v>0</v>
      </c>
      <c r="BC24" s="38">
        <f t="shared" si="23"/>
        <v>0</v>
      </c>
      <c r="BD24" s="38">
        <f t="shared" si="23"/>
        <v>0</v>
      </c>
      <c r="BE24" s="38">
        <f t="shared" si="23"/>
        <v>0</v>
      </c>
      <c r="BF24" s="38">
        <f t="shared" si="23"/>
        <v>0</v>
      </c>
      <c r="BG24" s="38">
        <f t="shared" si="23"/>
        <v>0</v>
      </c>
      <c r="BH24" s="38">
        <f t="shared" si="23"/>
        <v>0</v>
      </c>
      <c r="BI24" s="38">
        <f t="shared" si="23"/>
        <v>0</v>
      </c>
      <c r="BJ24" s="38">
        <f t="shared" si="23"/>
        <v>0</v>
      </c>
      <c r="BK24" s="38">
        <f t="shared" si="23"/>
        <v>0</v>
      </c>
      <c r="BL24" s="38">
        <f t="shared" si="23"/>
        <v>0</v>
      </c>
      <c r="BM24" s="38">
        <f t="shared" si="23"/>
        <v>0</v>
      </c>
      <c r="BN24" s="38">
        <f t="shared" si="23"/>
        <v>0</v>
      </c>
      <c r="BO24" s="38">
        <f t="shared" si="23"/>
        <v>0</v>
      </c>
      <c r="BP24" s="38">
        <f t="shared" si="23"/>
        <v>0</v>
      </c>
      <c r="BQ24" s="38">
        <f t="shared" si="23"/>
        <v>0</v>
      </c>
      <c r="BR24" s="38">
        <f t="shared" si="23"/>
        <v>0</v>
      </c>
      <c r="BS24" s="38">
        <f t="shared" si="23"/>
        <v>0</v>
      </c>
      <c r="BT24" s="38">
        <f t="shared" si="23"/>
        <v>0</v>
      </c>
      <c r="BU24" s="38">
        <f t="shared" si="23"/>
        <v>0</v>
      </c>
      <c r="BV24" s="38">
        <f t="shared" si="23"/>
        <v>0</v>
      </c>
      <c r="BX24" s="38">
        <f t="shared" ref="BX24:CI24" si="24">IF(AND(BX10&gt;$W$8, BX10&lt;=$W$10), 1, 0)</f>
        <v>0</v>
      </c>
      <c r="BY24" s="38">
        <f t="shared" si="24"/>
        <v>1</v>
      </c>
      <c r="BZ24" s="38">
        <f t="shared" si="24"/>
        <v>0</v>
      </c>
      <c r="CA24" s="38">
        <f t="shared" si="24"/>
        <v>0</v>
      </c>
      <c r="CB24" s="38">
        <f t="shared" si="24"/>
        <v>0</v>
      </c>
      <c r="CC24" s="38">
        <f t="shared" si="24"/>
        <v>0</v>
      </c>
      <c r="CD24" s="38">
        <f t="shared" si="24"/>
        <v>0</v>
      </c>
      <c r="CE24" s="38">
        <f t="shared" si="24"/>
        <v>0</v>
      </c>
      <c r="CF24" s="38">
        <f t="shared" si="24"/>
        <v>0</v>
      </c>
      <c r="CG24" s="38">
        <f t="shared" si="24"/>
        <v>0</v>
      </c>
      <c r="CH24" s="38">
        <f t="shared" si="24"/>
        <v>0</v>
      </c>
      <c r="CI24" s="38">
        <f t="shared" si="24"/>
        <v>0</v>
      </c>
      <c r="CK24" s="11"/>
      <c r="CM24" s="11"/>
      <c r="EX24" s="10" t="str">
        <f t="shared" si="8"/>
        <v/>
      </c>
    </row>
    <row r="25" spans="4:154" ht="6.75" customHeight="1" x14ac:dyDescent="0.35">
      <c r="D25" s="1"/>
      <c r="E25"/>
      <c r="BY25" s="6"/>
      <c r="CK25" s="35"/>
      <c r="CM25" s="35"/>
      <c r="EX25" s="10" t="str">
        <f t="shared" si="8"/>
        <v/>
      </c>
    </row>
    <row r="26" spans="4:154" x14ac:dyDescent="0.35">
      <c r="D26" s="1" t="s">
        <v>1919</v>
      </c>
      <c r="E26"/>
      <c r="V26" s="38">
        <f>V22*V24</f>
        <v>0</v>
      </c>
      <c r="W26" s="38">
        <f>W22*W24</f>
        <v>1</v>
      </c>
      <c r="X26" s="38">
        <f>X22*X24</f>
        <v>0</v>
      </c>
      <c r="Y26" s="38">
        <f>Y22*Y24</f>
        <v>0</v>
      </c>
      <c r="AA26" s="38">
        <f t="shared" ref="AA26:BV26" si="25">AA22*AA24</f>
        <v>0</v>
      </c>
      <c r="AB26" s="38">
        <f t="shared" si="25"/>
        <v>0</v>
      </c>
      <c r="AC26" s="38">
        <f t="shared" si="25"/>
        <v>0</v>
      </c>
      <c r="AD26" s="38">
        <f t="shared" si="25"/>
        <v>0</v>
      </c>
      <c r="AE26" s="38">
        <f t="shared" si="25"/>
        <v>0</v>
      </c>
      <c r="AF26" s="38">
        <f t="shared" si="25"/>
        <v>0</v>
      </c>
      <c r="AG26" s="38">
        <f t="shared" si="25"/>
        <v>0</v>
      </c>
      <c r="AH26" s="38">
        <f t="shared" si="25"/>
        <v>0</v>
      </c>
      <c r="AI26" s="38">
        <f t="shared" si="25"/>
        <v>1</v>
      </c>
      <c r="AJ26" s="38">
        <f t="shared" si="25"/>
        <v>1</v>
      </c>
      <c r="AK26" s="38">
        <f t="shared" si="25"/>
        <v>1</v>
      </c>
      <c r="AL26" s="38">
        <f t="shared" si="25"/>
        <v>1</v>
      </c>
      <c r="AM26" s="38">
        <f t="shared" si="25"/>
        <v>0</v>
      </c>
      <c r="AN26" s="38">
        <f t="shared" si="25"/>
        <v>0</v>
      </c>
      <c r="AO26" s="38">
        <f t="shared" si="25"/>
        <v>0</v>
      </c>
      <c r="AP26" s="38">
        <f t="shared" si="25"/>
        <v>0</v>
      </c>
      <c r="AQ26" s="38">
        <f t="shared" si="25"/>
        <v>0</v>
      </c>
      <c r="AR26" s="38">
        <f t="shared" si="25"/>
        <v>0</v>
      </c>
      <c r="AS26" s="38">
        <f t="shared" si="25"/>
        <v>0</v>
      </c>
      <c r="AT26" s="38">
        <f t="shared" si="25"/>
        <v>0</v>
      </c>
      <c r="AU26" s="38">
        <f t="shared" si="25"/>
        <v>0</v>
      </c>
      <c r="AV26" s="38">
        <f t="shared" si="25"/>
        <v>0</v>
      </c>
      <c r="AW26" s="38">
        <f t="shared" si="25"/>
        <v>0</v>
      </c>
      <c r="AX26" s="38">
        <f t="shared" si="25"/>
        <v>0</v>
      </c>
      <c r="AY26" s="38">
        <f t="shared" si="25"/>
        <v>0</v>
      </c>
      <c r="AZ26" s="38">
        <f t="shared" si="25"/>
        <v>0</v>
      </c>
      <c r="BA26" s="38">
        <f t="shared" si="25"/>
        <v>0</v>
      </c>
      <c r="BB26" s="38">
        <f t="shared" si="25"/>
        <v>0</v>
      </c>
      <c r="BC26" s="38">
        <f t="shared" si="25"/>
        <v>0</v>
      </c>
      <c r="BD26" s="38">
        <f t="shared" si="25"/>
        <v>0</v>
      </c>
      <c r="BE26" s="38">
        <f t="shared" si="25"/>
        <v>0</v>
      </c>
      <c r="BF26" s="38">
        <f t="shared" si="25"/>
        <v>0</v>
      </c>
      <c r="BG26" s="38">
        <f t="shared" si="25"/>
        <v>0</v>
      </c>
      <c r="BH26" s="38">
        <f t="shared" si="25"/>
        <v>0</v>
      </c>
      <c r="BI26" s="38">
        <f t="shared" si="25"/>
        <v>0</v>
      </c>
      <c r="BJ26" s="38">
        <f t="shared" si="25"/>
        <v>0</v>
      </c>
      <c r="BK26" s="38">
        <f t="shared" si="25"/>
        <v>0</v>
      </c>
      <c r="BL26" s="38">
        <f t="shared" si="25"/>
        <v>0</v>
      </c>
      <c r="BM26" s="38">
        <f t="shared" si="25"/>
        <v>0</v>
      </c>
      <c r="BN26" s="38">
        <f t="shared" si="25"/>
        <v>0</v>
      </c>
      <c r="BO26" s="38">
        <f t="shared" si="25"/>
        <v>0</v>
      </c>
      <c r="BP26" s="38">
        <f t="shared" si="25"/>
        <v>0</v>
      </c>
      <c r="BQ26" s="38">
        <f t="shared" si="25"/>
        <v>0</v>
      </c>
      <c r="BR26" s="38">
        <f t="shared" si="25"/>
        <v>0</v>
      </c>
      <c r="BS26" s="38">
        <f t="shared" si="25"/>
        <v>0</v>
      </c>
      <c r="BT26" s="38">
        <f t="shared" si="25"/>
        <v>0</v>
      </c>
      <c r="BU26" s="38">
        <f t="shared" si="25"/>
        <v>0</v>
      </c>
      <c r="BV26" s="38">
        <f t="shared" si="25"/>
        <v>0</v>
      </c>
      <c r="BX26" s="38">
        <f t="shared" ref="BX26:CI26" si="26">BX22*BX24</f>
        <v>0</v>
      </c>
      <c r="BY26" s="38">
        <f t="shared" si="26"/>
        <v>1</v>
      </c>
      <c r="BZ26" s="38">
        <f t="shared" si="26"/>
        <v>0</v>
      </c>
      <c r="CA26" s="38">
        <f t="shared" si="26"/>
        <v>0</v>
      </c>
      <c r="CB26" s="38">
        <f t="shared" si="26"/>
        <v>0</v>
      </c>
      <c r="CC26" s="38">
        <f t="shared" si="26"/>
        <v>0</v>
      </c>
      <c r="CD26" s="38">
        <f t="shared" si="26"/>
        <v>0</v>
      </c>
      <c r="CE26" s="38">
        <f t="shared" si="26"/>
        <v>0</v>
      </c>
      <c r="CF26" s="38">
        <f t="shared" si="26"/>
        <v>0</v>
      </c>
      <c r="CG26" s="38">
        <f t="shared" si="26"/>
        <v>0</v>
      </c>
      <c r="CH26" s="38">
        <f t="shared" si="26"/>
        <v>0</v>
      </c>
      <c r="CI26" s="38">
        <f t="shared" si="26"/>
        <v>0</v>
      </c>
      <c r="CK26" s="11"/>
      <c r="CM26" s="11"/>
      <c r="EX26" s="10" t="str">
        <f t="shared" si="8"/>
        <v/>
      </c>
    </row>
    <row r="27" spans="4:154" ht="6.75" customHeight="1" x14ac:dyDescent="0.35">
      <c r="D27" s="1"/>
      <c r="E27"/>
      <c r="BY27" s="6"/>
      <c r="CK27" s="35"/>
      <c r="CM27" s="35"/>
      <c r="EX27" s="10" t="str">
        <f t="shared" si="8"/>
        <v/>
      </c>
    </row>
    <row r="28" spans="4:154" x14ac:dyDescent="0.35">
      <c r="D28" s="1" t="s">
        <v>1920</v>
      </c>
      <c r="E28"/>
      <c r="V28" s="38">
        <f>(1-V22)*V24</f>
        <v>0</v>
      </c>
      <c r="W28" s="38">
        <f>(1-W22)*W24</f>
        <v>0</v>
      </c>
      <c r="X28" s="38">
        <f>(1-X22)*X24</f>
        <v>0</v>
      </c>
      <c r="Y28" s="38">
        <f>(1-Y22)*Y24</f>
        <v>0</v>
      </c>
      <c r="AA28" s="38">
        <f t="shared" ref="AA28:BV28" si="27">(1-AA22)*AA24</f>
        <v>1</v>
      </c>
      <c r="AB28" s="38">
        <f t="shared" si="27"/>
        <v>1</v>
      </c>
      <c r="AC28" s="38">
        <f t="shared" si="27"/>
        <v>1</v>
      </c>
      <c r="AD28" s="38">
        <f t="shared" si="27"/>
        <v>1</v>
      </c>
      <c r="AE28" s="38">
        <f t="shared" si="27"/>
        <v>1</v>
      </c>
      <c r="AF28" s="38">
        <f t="shared" si="27"/>
        <v>1</v>
      </c>
      <c r="AG28" s="38">
        <f t="shared" si="27"/>
        <v>1</v>
      </c>
      <c r="AH28" s="38">
        <f t="shared" si="27"/>
        <v>1</v>
      </c>
      <c r="AI28" s="38">
        <f t="shared" si="27"/>
        <v>0</v>
      </c>
      <c r="AJ28" s="38">
        <f t="shared" si="27"/>
        <v>0</v>
      </c>
      <c r="AK28" s="38">
        <f t="shared" si="27"/>
        <v>0</v>
      </c>
      <c r="AL28" s="38">
        <f t="shared" si="27"/>
        <v>0</v>
      </c>
      <c r="AM28" s="38">
        <f t="shared" si="27"/>
        <v>0</v>
      </c>
      <c r="AN28" s="38">
        <f t="shared" si="27"/>
        <v>0</v>
      </c>
      <c r="AO28" s="38">
        <f t="shared" si="27"/>
        <v>0</v>
      </c>
      <c r="AP28" s="38">
        <f t="shared" si="27"/>
        <v>0</v>
      </c>
      <c r="AQ28" s="38">
        <f t="shared" si="27"/>
        <v>0</v>
      </c>
      <c r="AR28" s="38">
        <f t="shared" si="27"/>
        <v>0</v>
      </c>
      <c r="AS28" s="38">
        <f t="shared" si="27"/>
        <v>0</v>
      </c>
      <c r="AT28" s="38">
        <f t="shared" si="27"/>
        <v>0</v>
      </c>
      <c r="AU28" s="38">
        <f t="shared" si="27"/>
        <v>0</v>
      </c>
      <c r="AV28" s="38">
        <f t="shared" si="27"/>
        <v>0</v>
      </c>
      <c r="AW28" s="38">
        <f t="shared" si="27"/>
        <v>0</v>
      </c>
      <c r="AX28" s="38">
        <f t="shared" si="27"/>
        <v>0</v>
      </c>
      <c r="AY28" s="38">
        <f t="shared" si="27"/>
        <v>0</v>
      </c>
      <c r="AZ28" s="38">
        <f t="shared" si="27"/>
        <v>0</v>
      </c>
      <c r="BA28" s="38">
        <f t="shared" si="27"/>
        <v>0</v>
      </c>
      <c r="BB28" s="38">
        <f t="shared" si="27"/>
        <v>0</v>
      </c>
      <c r="BC28" s="38">
        <f t="shared" si="27"/>
        <v>0</v>
      </c>
      <c r="BD28" s="38">
        <f t="shared" si="27"/>
        <v>0</v>
      </c>
      <c r="BE28" s="38">
        <f t="shared" si="27"/>
        <v>0</v>
      </c>
      <c r="BF28" s="38">
        <f t="shared" si="27"/>
        <v>0</v>
      </c>
      <c r="BG28" s="38">
        <f t="shared" si="27"/>
        <v>0</v>
      </c>
      <c r="BH28" s="38">
        <f t="shared" si="27"/>
        <v>0</v>
      </c>
      <c r="BI28" s="38">
        <f t="shared" si="27"/>
        <v>0</v>
      </c>
      <c r="BJ28" s="38">
        <f t="shared" si="27"/>
        <v>0</v>
      </c>
      <c r="BK28" s="38">
        <f t="shared" si="27"/>
        <v>0</v>
      </c>
      <c r="BL28" s="38">
        <f t="shared" si="27"/>
        <v>0</v>
      </c>
      <c r="BM28" s="38">
        <f t="shared" si="27"/>
        <v>0</v>
      </c>
      <c r="BN28" s="38">
        <f t="shared" si="27"/>
        <v>0</v>
      </c>
      <c r="BO28" s="38">
        <f t="shared" si="27"/>
        <v>0</v>
      </c>
      <c r="BP28" s="38">
        <f t="shared" si="27"/>
        <v>0</v>
      </c>
      <c r="BQ28" s="38">
        <f t="shared" si="27"/>
        <v>0</v>
      </c>
      <c r="BR28" s="38">
        <f t="shared" si="27"/>
        <v>0</v>
      </c>
      <c r="BS28" s="38">
        <f t="shared" si="27"/>
        <v>0</v>
      </c>
      <c r="BT28" s="38">
        <f t="shared" si="27"/>
        <v>0</v>
      </c>
      <c r="BU28" s="38">
        <f t="shared" si="27"/>
        <v>0</v>
      </c>
      <c r="BV28" s="38">
        <f t="shared" si="27"/>
        <v>0</v>
      </c>
      <c r="BX28" s="38">
        <f t="shared" ref="BX28:CI28" si="28">(1-BX22)*BX24</f>
        <v>0</v>
      </c>
      <c r="BY28" s="38">
        <f t="shared" si="28"/>
        <v>0</v>
      </c>
      <c r="BZ28" s="38">
        <f t="shared" si="28"/>
        <v>0</v>
      </c>
      <c r="CA28" s="38">
        <f t="shared" si="28"/>
        <v>0</v>
      </c>
      <c r="CB28" s="38">
        <f t="shared" si="28"/>
        <v>0</v>
      </c>
      <c r="CC28" s="38">
        <f t="shared" si="28"/>
        <v>0</v>
      </c>
      <c r="CD28" s="38">
        <f t="shared" si="28"/>
        <v>0</v>
      </c>
      <c r="CE28" s="38">
        <f t="shared" si="28"/>
        <v>0</v>
      </c>
      <c r="CF28" s="38">
        <f t="shared" si="28"/>
        <v>0</v>
      </c>
      <c r="CG28" s="38">
        <f t="shared" si="28"/>
        <v>0</v>
      </c>
      <c r="CH28" s="38">
        <f t="shared" si="28"/>
        <v>0</v>
      </c>
      <c r="CI28" s="38">
        <f t="shared" si="28"/>
        <v>0</v>
      </c>
      <c r="CK28" s="11"/>
      <c r="CM28" s="11"/>
      <c r="EX28" s="10" t="str">
        <f t="shared" si="8"/>
        <v/>
      </c>
    </row>
    <row r="29" spans="4:154" ht="6.75" customHeight="1" x14ac:dyDescent="0.35">
      <c r="D29" s="1"/>
      <c r="E29"/>
      <c r="BY29" s="6"/>
      <c r="CK29" s="35"/>
      <c r="CM29" s="35"/>
      <c r="EX29" s="10" t="str">
        <f t="shared" si="8"/>
        <v/>
      </c>
    </row>
    <row r="30" spans="4:154" x14ac:dyDescent="0.35">
      <c r="D30" s="1" t="s">
        <v>1921</v>
      </c>
      <c r="E30"/>
      <c r="V30" s="106"/>
      <c r="W30" s="38">
        <f>V30+1</f>
        <v>1</v>
      </c>
      <c r="X30" s="38">
        <f>W30+1</f>
        <v>2</v>
      </c>
      <c r="Y30" s="38">
        <f>X30+1</f>
        <v>3</v>
      </c>
      <c r="AA30" s="132">
        <f t="shared" ref="AA30:BJ30" si="29">IF(AA4=0,0,INDEX($W30:$Y30,MATCH(AA3,$W3:$Y3,0)))</f>
        <v>0</v>
      </c>
      <c r="AB30" s="132">
        <f t="shared" si="29"/>
        <v>0</v>
      </c>
      <c r="AC30" s="132">
        <f t="shared" si="29"/>
        <v>0</v>
      </c>
      <c r="AD30" s="132">
        <f t="shared" si="29"/>
        <v>0</v>
      </c>
      <c r="AE30" s="132">
        <f t="shared" si="29"/>
        <v>0</v>
      </c>
      <c r="AF30" s="132">
        <f t="shared" si="29"/>
        <v>0</v>
      </c>
      <c r="AG30" s="132">
        <f t="shared" si="29"/>
        <v>0</v>
      </c>
      <c r="AH30" s="132">
        <f t="shared" si="29"/>
        <v>0</v>
      </c>
      <c r="AI30" s="132">
        <f t="shared" si="29"/>
        <v>1</v>
      </c>
      <c r="AJ30" s="132">
        <f t="shared" si="29"/>
        <v>1</v>
      </c>
      <c r="AK30" s="132">
        <f t="shared" si="29"/>
        <v>1</v>
      </c>
      <c r="AL30" s="132">
        <f t="shared" si="29"/>
        <v>1</v>
      </c>
      <c r="AM30" s="132">
        <f t="shared" si="29"/>
        <v>2</v>
      </c>
      <c r="AN30" s="132">
        <f t="shared" si="29"/>
        <v>2</v>
      </c>
      <c r="AO30" s="132">
        <f t="shared" si="29"/>
        <v>2</v>
      </c>
      <c r="AP30" s="132">
        <f t="shared" si="29"/>
        <v>2</v>
      </c>
      <c r="AQ30" s="132">
        <f t="shared" si="29"/>
        <v>2</v>
      </c>
      <c r="AR30" s="132">
        <f t="shared" si="29"/>
        <v>2</v>
      </c>
      <c r="AS30" s="132">
        <f t="shared" si="29"/>
        <v>2</v>
      </c>
      <c r="AT30" s="132">
        <f t="shared" si="29"/>
        <v>2</v>
      </c>
      <c r="AU30" s="132">
        <f t="shared" si="29"/>
        <v>2</v>
      </c>
      <c r="AV30" s="132">
        <f t="shared" si="29"/>
        <v>2</v>
      </c>
      <c r="AW30" s="132">
        <f t="shared" si="29"/>
        <v>2</v>
      </c>
      <c r="AX30" s="132">
        <f t="shared" si="29"/>
        <v>2</v>
      </c>
      <c r="AY30" s="132">
        <f t="shared" si="29"/>
        <v>3</v>
      </c>
      <c r="AZ30" s="132">
        <f t="shared" si="29"/>
        <v>3</v>
      </c>
      <c r="BA30" s="132">
        <f t="shared" si="29"/>
        <v>3</v>
      </c>
      <c r="BB30" s="132">
        <f t="shared" si="29"/>
        <v>3</v>
      </c>
      <c r="BC30" s="132">
        <f t="shared" si="29"/>
        <v>3</v>
      </c>
      <c r="BD30" s="132">
        <f t="shared" si="29"/>
        <v>3</v>
      </c>
      <c r="BE30" s="132">
        <f t="shared" si="29"/>
        <v>3</v>
      </c>
      <c r="BF30" s="132">
        <f t="shared" si="29"/>
        <v>3</v>
      </c>
      <c r="BG30" s="132">
        <f t="shared" si="29"/>
        <v>3</v>
      </c>
      <c r="BH30" s="132">
        <f t="shared" si="29"/>
        <v>3</v>
      </c>
      <c r="BI30" s="132">
        <f t="shared" si="29"/>
        <v>3</v>
      </c>
      <c r="BJ30" s="132">
        <f t="shared" si="29"/>
        <v>3</v>
      </c>
      <c r="BK30" s="106"/>
      <c r="BL30" s="106"/>
      <c r="BM30" s="106"/>
      <c r="BN30" s="106"/>
      <c r="BO30" s="106"/>
      <c r="BP30" s="106"/>
      <c r="BQ30" s="106"/>
      <c r="BR30" s="106"/>
      <c r="BS30" s="106"/>
      <c r="BT30" s="106"/>
      <c r="BU30" s="106"/>
      <c r="BV30" s="106"/>
      <c r="BX30" s="106"/>
      <c r="BY30" s="106"/>
      <c r="BZ30" s="106"/>
      <c r="CA30" s="106"/>
      <c r="CB30" s="106"/>
      <c r="CC30" s="106"/>
      <c r="CD30" s="106"/>
      <c r="CE30" s="106"/>
      <c r="CF30" s="106"/>
      <c r="CG30" s="106"/>
      <c r="CH30" s="106"/>
      <c r="CI30" s="106"/>
      <c r="CK30" s="11"/>
      <c r="CM30" s="11"/>
      <c r="EX30" s="10" t="str">
        <f t="shared" si="8"/>
        <v/>
      </c>
    </row>
    <row r="31" spans="4:154" ht="6.75" customHeight="1" x14ac:dyDescent="0.35">
      <c r="D31" s="1"/>
      <c r="E31"/>
      <c r="BY31" s="6"/>
      <c r="CK31" s="35"/>
      <c r="CM31" s="35"/>
      <c r="EX31" s="10" t="str">
        <f t="shared" si="8"/>
        <v/>
      </c>
    </row>
    <row r="32" spans="4:154" x14ac:dyDescent="0.35">
      <c r="D32" s="1" t="s">
        <v>1922</v>
      </c>
      <c r="E32"/>
      <c r="V32" s="38" t="s">
        <v>1923</v>
      </c>
      <c r="W32" s="38" t="s">
        <v>1924</v>
      </c>
      <c r="X32" s="38" t="s">
        <v>1925</v>
      </c>
      <c r="Y32" s="38" t="s">
        <v>1926</v>
      </c>
      <c r="AA32" s="38" t="str">
        <f t="shared" ref="AA32:BV32" si="30">"M"&amp;COLUMN()-COLUMN($Z32)</f>
        <v>M1</v>
      </c>
      <c r="AB32" s="38" t="str">
        <f t="shared" si="30"/>
        <v>M2</v>
      </c>
      <c r="AC32" s="38" t="str">
        <f t="shared" si="30"/>
        <v>M3</v>
      </c>
      <c r="AD32" s="38" t="str">
        <f t="shared" si="30"/>
        <v>M4</v>
      </c>
      <c r="AE32" s="38" t="str">
        <f t="shared" si="30"/>
        <v>M5</v>
      </c>
      <c r="AF32" s="38" t="str">
        <f t="shared" si="30"/>
        <v>M6</v>
      </c>
      <c r="AG32" s="38" t="str">
        <f t="shared" si="30"/>
        <v>M7</v>
      </c>
      <c r="AH32" s="38" t="str">
        <f t="shared" si="30"/>
        <v>M8</v>
      </c>
      <c r="AI32" s="38" t="str">
        <f t="shared" si="30"/>
        <v>M9</v>
      </c>
      <c r="AJ32" s="38" t="str">
        <f t="shared" si="30"/>
        <v>M10</v>
      </c>
      <c r="AK32" s="38" t="str">
        <f t="shared" si="30"/>
        <v>M11</v>
      </c>
      <c r="AL32" s="38" t="str">
        <f t="shared" si="30"/>
        <v>M12</v>
      </c>
      <c r="AM32" s="38" t="str">
        <f t="shared" si="30"/>
        <v>M13</v>
      </c>
      <c r="AN32" s="38" t="str">
        <f t="shared" si="30"/>
        <v>M14</v>
      </c>
      <c r="AO32" s="38" t="str">
        <f t="shared" si="30"/>
        <v>M15</v>
      </c>
      <c r="AP32" s="38" t="str">
        <f t="shared" si="30"/>
        <v>M16</v>
      </c>
      <c r="AQ32" s="38" t="str">
        <f t="shared" si="30"/>
        <v>M17</v>
      </c>
      <c r="AR32" s="38" t="str">
        <f t="shared" si="30"/>
        <v>M18</v>
      </c>
      <c r="AS32" s="38" t="str">
        <f t="shared" si="30"/>
        <v>M19</v>
      </c>
      <c r="AT32" s="38" t="str">
        <f t="shared" si="30"/>
        <v>M20</v>
      </c>
      <c r="AU32" s="38" t="str">
        <f t="shared" si="30"/>
        <v>M21</v>
      </c>
      <c r="AV32" s="38" t="str">
        <f t="shared" si="30"/>
        <v>M22</v>
      </c>
      <c r="AW32" s="38" t="str">
        <f t="shared" si="30"/>
        <v>M23</v>
      </c>
      <c r="AX32" s="38" t="str">
        <f t="shared" si="30"/>
        <v>M24</v>
      </c>
      <c r="AY32" s="38" t="str">
        <f t="shared" si="30"/>
        <v>M25</v>
      </c>
      <c r="AZ32" s="38" t="str">
        <f t="shared" si="30"/>
        <v>M26</v>
      </c>
      <c r="BA32" s="38" t="str">
        <f t="shared" si="30"/>
        <v>M27</v>
      </c>
      <c r="BB32" s="38" t="str">
        <f t="shared" si="30"/>
        <v>M28</v>
      </c>
      <c r="BC32" s="38" t="str">
        <f t="shared" si="30"/>
        <v>M29</v>
      </c>
      <c r="BD32" s="38" t="str">
        <f t="shared" si="30"/>
        <v>M30</v>
      </c>
      <c r="BE32" s="38" t="str">
        <f t="shared" si="30"/>
        <v>M31</v>
      </c>
      <c r="BF32" s="38" t="str">
        <f t="shared" si="30"/>
        <v>M32</v>
      </c>
      <c r="BG32" s="38" t="str">
        <f t="shared" si="30"/>
        <v>M33</v>
      </c>
      <c r="BH32" s="38" t="str">
        <f t="shared" si="30"/>
        <v>M34</v>
      </c>
      <c r="BI32" s="38" t="str">
        <f t="shared" si="30"/>
        <v>M35</v>
      </c>
      <c r="BJ32" s="38" t="str">
        <f t="shared" si="30"/>
        <v>M36</v>
      </c>
      <c r="BK32" s="38" t="str">
        <f t="shared" si="30"/>
        <v>M37</v>
      </c>
      <c r="BL32" s="38" t="str">
        <f t="shared" si="30"/>
        <v>M38</v>
      </c>
      <c r="BM32" s="38" t="str">
        <f t="shared" si="30"/>
        <v>M39</v>
      </c>
      <c r="BN32" s="38" t="str">
        <f t="shared" si="30"/>
        <v>M40</v>
      </c>
      <c r="BO32" s="38" t="str">
        <f t="shared" si="30"/>
        <v>M41</v>
      </c>
      <c r="BP32" s="38" t="str">
        <f t="shared" si="30"/>
        <v>M42</v>
      </c>
      <c r="BQ32" s="38" t="str">
        <f t="shared" si="30"/>
        <v>M43</v>
      </c>
      <c r="BR32" s="38" t="str">
        <f t="shared" si="30"/>
        <v>M44</v>
      </c>
      <c r="BS32" s="38" t="str">
        <f t="shared" si="30"/>
        <v>M45</v>
      </c>
      <c r="BT32" s="38" t="str">
        <f t="shared" si="30"/>
        <v>M46</v>
      </c>
      <c r="BU32" s="38" t="str">
        <f t="shared" si="30"/>
        <v>M47</v>
      </c>
      <c r="BV32" s="38" t="str">
        <f t="shared" si="30"/>
        <v>M48</v>
      </c>
      <c r="BX32" s="38" t="str">
        <f t="shared" ref="BX32:CI32" si="31">"Y"&amp;COLUMN()-COLUMN($BW32)</f>
        <v>Y1</v>
      </c>
      <c r="BY32" s="38" t="str">
        <f t="shared" si="31"/>
        <v>Y2</v>
      </c>
      <c r="BZ32" s="38" t="str">
        <f t="shared" si="31"/>
        <v>Y3</v>
      </c>
      <c r="CA32" s="38" t="str">
        <f t="shared" si="31"/>
        <v>Y4</v>
      </c>
      <c r="CB32" s="38" t="str">
        <f t="shared" si="31"/>
        <v>Y5</v>
      </c>
      <c r="CC32" s="38" t="str">
        <f t="shared" si="31"/>
        <v>Y6</v>
      </c>
      <c r="CD32" s="38" t="str">
        <f t="shared" si="31"/>
        <v>Y7</v>
      </c>
      <c r="CE32" s="38" t="str">
        <f t="shared" si="31"/>
        <v>Y8</v>
      </c>
      <c r="CF32" s="38" t="str">
        <f t="shared" si="31"/>
        <v>Y9</v>
      </c>
      <c r="CG32" s="38" t="str">
        <f t="shared" si="31"/>
        <v>Y10</v>
      </c>
      <c r="CH32" s="38" t="str">
        <f t="shared" si="31"/>
        <v>Y11</v>
      </c>
      <c r="CI32" s="38" t="str">
        <f t="shared" si="31"/>
        <v>Y12</v>
      </c>
      <c r="CK32" s="128"/>
      <c r="CM32" s="128"/>
      <c r="EX32" s="10" t="str">
        <f t="shared" si="8"/>
        <v/>
      </c>
    </row>
    <row r="33" spans="1:154" ht="6.75" customHeight="1" x14ac:dyDescent="0.35">
      <c r="D33" s="1"/>
      <c r="E33"/>
      <c r="BY33" s="6"/>
      <c r="CK33" s="35"/>
      <c r="CM33" s="35"/>
      <c r="EX33" s="10" t="str">
        <f t="shared" si="8"/>
        <v/>
      </c>
    </row>
    <row r="34" spans="1:154" ht="13.5" customHeight="1" x14ac:dyDescent="0.35">
      <c r="D34" s="1" t="s">
        <v>1927</v>
      </c>
      <c r="E34"/>
      <c r="BY34" s="6"/>
      <c r="CK34" s="35"/>
      <c r="CM34" s="35"/>
      <c r="EX34" s="10" t="str">
        <f t="shared" si="8"/>
        <v/>
      </c>
    </row>
    <row r="35" spans="1:154" x14ac:dyDescent="0.35">
      <c r="D35" s="38" t="str">
        <f t="shared" ref="D35:Y35" si="32">SUBSTITUTE(ADDRESS(1,COLUMN(),4),"1","")</f>
        <v>D</v>
      </c>
      <c r="E35" s="38" t="str">
        <f t="shared" si="32"/>
        <v>E</v>
      </c>
      <c r="F35" s="38" t="str">
        <f t="shared" si="32"/>
        <v>F</v>
      </c>
      <c r="G35" s="38" t="str">
        <f t="shared" si="32"/>
        <v>G</v>
      </c>
      <c r="H35" s="38" t="str">
        <f t="shared" si="32"/>
        <v>H</v>
      </c>
      <c r="I35" s="38" t="str">
        <f t="shared" si="32"/>
        <v>I</v>
      </c>
      <c r="J35" s="38" t="str">
        <f t="shared" si="32"/>
        <v>J</v>
      </c>
      <c r="K35" s="38" t="str">
        <f t="shared" si="32"/>
        <v>K</v>
      </c>
      <c r="L35" s="38" t="str">
        <f t="shared" si="32"/>
        <v>L</v>
      </c>
      <c r="M35" s="38" t="str">
        <f t="shared" si="32"/>
        <v>M</v>
      </c>
      <c r="N35" s="38" t="str">
        <f t="shared" si="32"/>
        <v>N</v>
      </c>
      <c r="O35" s="38" t="str">
        <f t="shared" si="32"/>
        <v>O</v>
      </c>
      <c r="P35" s="38" t="str">
        <f t="shared" si="32"/>
        <v>P</v>
      </c>
      <c r="Q35" s="38" t="str">
        <f t="shared" si="32"/>
        <v>Q</v>
      </c>
      <c r="R35" s="257" t="str">
        <f t="shared" si="32"/>
        <v>R</v>
      </c>
      <c r="S35" s="257" t="str">
        <f t="shared" si="32"/>
        <v>S</v>
      </c>
      <c r="T35" s="38" t="str">
        <f t="shared" si="32"/>
        <v>T</v>
      </c>
      <c r="U35" s="38" t="str">
        <f t="shared" si="32"/>
        <v>U</v>
      </c>
      <c r="V35" s="38" t="str">
        <f t="shared" si="32"/>
        <v>V</v>
      </c>
      <c r="W35" s="38" t="str">
        <f t="shared" si="32"/>
        <v>W</v>
      </c>
      <c r="X35" s="38" t="str">
        <f t="shared" si="32"/>
        <v>X</v>
      </c>
      <c r="Y35" s="38" t="str">
        <f t="shared" si="32"/>
        <v>Y</v>
      </c>
      <c r="AA35" s="38" t="str">
        <f t="shared" ref="AA35:BV35" si="33">SUBSTITUTE(ADDRESS(1,COLUMN(),4),"1","")</f>
        <v>AA</v>
      </c>
      <c r="AB35" s="38" t="str">
        <f t="shared" si="33"/>
        <v>AB</v>
      </c>
      <c r="AC35" s="38" t="str">
        <f t="shared" si="33"/>
        <v>AC</v>
      </c>
      <c r="AD35" s="38" t="str">
        <f t="shared" si="33"/>
        <v>AD</v>
      </c>
      <c r="AE35" s="38" t="str">
        <f t="shared" si="33"/>
        <v>AE</v>
      </c>
      <c r="AF35" s="38" t="str">
        <f t="shared" si="33"/>
        <v>AF</v>
      </c>
      <c r="AG35" s="38" t="str">
        <f t="shared" si="33"/>
        <v>AG</v>
      </c>
      <c r="AH35" s="38" t="str">
        <f t="shared" si="33"/>
        <v>AH</v>
      </c>
      <c r="AI35" s="38" t="str">
        <f t="shared" si="33"/>
        <v>AI</v>
      </c>
      <c r="AJ35" s="38" t="str">
        <f t="shared" si="33"/>
        <v>AJ</v>
      </c>
      <c r="AK35" s="38" t="str">
        <f t="shared" si="33"/>
        <v>AK</v>
      </c>
      <c r="AL35" s="38" t="str">
        <f t="shared" si="33"/>
        <v>AL</v>
      </c>
      <c r="AM35" s="38" t="str">
        <f t="shared" si="33"/>
        <v>AM</v>
      </c>
      <c r="AN35" s="38" t="str">
        <f t="shared" si="33"/>
        <v>AN</v>
      </c>
      <c r="AO35" s="38" t="str">
        <f t="shared" si="33"/>
        <v>AO</v>
      </c>
      <c r="AP35" s="38" t="str">
        <f t="shared" si="33"/>
        <v>AP</v>
      </c>
      <c r="AQ35" s="38" t="str">
        <f t="shared" si="33"/>
        <v>AQ</v>
      </c>
      <c r="AR35" s="38" t="str">
        <f t="shared" si="33"/>
        <v>AR</v>
      </c>
      <c r="AS35" s="38" t="str">
        <f t="shared" si="33"/>
        <v>AS</v>
      </c>
      <c r="AT35" s="38" t="str">
        <f t="shared" si="33"/>
        <v>AT</v>
      </c>
      <c r="AU35" s="38" t="str">
        <f t="shared" si="33"/>
        <v>AU</v>
      </c>
      <c r="AV35" s="38" t="str">
        <f t="shared" si="33"/>
        <v>AV</v>
      </c>
      <c r="AW35" s="38" t="str">
        <f t="shared" si="33"/>
        <v>AW</v>
      </c>
      <c r="AX35" s="38" t="str">
        <f t="shared" si="33"/>
        <v>AX</v>
      </c>
      <c r="AY35" s="38" t="str">
        <f t="shared" si="33"/>
        <v>AY</v>
      </c>
      <c r="AZ35" s="38" t="str">
        <f t="shared" si="33"/>
        <v>AZ</v>
      </c>
      <c r="BA35" s="38" t="str">
        <f t="shared" si="33"/>
        <v>BA</v>
      </c>
      <c r="BB35" s="38" t="str">
        <f t="shared" si="33"/>
        <v>BB</v>
      </c>
      <c r="BC35" s="38" t="str">
        <f t="shared" si="33"/>
        <v>BC</v>
      </c>
      <c r="BD35" s="38" t="str">
        <f t="shared" si="33"/>
        <v>BD</v>
      </c>
      <c r="BE35" s="38" t="str">
        <f t="shared" si="33"/>
        <v>BE</v>
      </c>
      <c r="BF35" s="38" t="str">
        <f t="shared" si="33"/>
        <v>BF</v>
      </c>
      <c r="BG35" s="38" t="str">
        <f t="shared" si="33"/>
        <v>BG</v>
      </c>
      <c r="BH35" s="38" t="str">
        <f t="shared" si="33"/>
        <v>BH</v>
      </c>
      <c r="BI35" s="38" t="str">
        <f t="shared" si="33"/>
        <v>BI</v>
      </c>
      <c r="BJ35" s="38" t="str">
        <f t="shared" si="33"/>
        <v>BJ</v>
      </c>
      <c r="BK35" s="38" t="str">
        <f t="shared" si="33"/>
        <v>BK</v>
      </c>
      <c r="BL35" s="38" t="str">
        <f t="shared" si="33"/>
        <v>BL</v>
      </c>
      <c r="BM35" s="38" t="str">
        <f t="shared" si="33"/>
        <v>BM</v>
      </c>
      <c r="BN35" s="38" t="str">
        <f t="shared" si="33"/>
        <v>BN</v>
      </c>
      <c r="BO35" s="38" t="str">
        <f t="shared" si="33"/>
        <v>BO</v>
      </c>
      <c r="BP35" s="38" t="str">
        <f t="shared" si="33"/>
        <v>BP</v>
      </c>
      <c r="BQ35" s="38" t="str">
        <f t="shared" si="33"/>
        <v>BQ</v>
      </c>
      <c r="BR35" s="38" t="str">
        <f t="shared" si="33"/>
        <v>BR</v>
      </c>
      <c r="BS35" s="38" t="str">
        <f t="shared" si="33"/>
        <v>BS</v>
      </c>
      <c r="BT35" s="38" t="str">
        <f t="shared" si="33"/>
        <v>BT</v>
      </c>
      <c r="BU35" s="38" t="str">
        <f t="shared" si="33"/>
        <v>BU</v>
      </c>
      <c r="BV35" s="38" t="str">
        <f t="shared" si="33"/>
        <v>BV</v>
      </c>
      <c r="BX35" s="38" t="str">
        <f t="shared" ref="BX35:CI35" si="34">SUBSTITUTE(ADDRESS(1,COLUMN(),4),"1","")</f>
        <v>BX</v>
      </c>
      <c r="BY35" s="38" t="str">
        <f t="shared" si="34"/>
        <v>BY</v>
      </c>
      <c r="BZ35" s="38" t="str">
        <f t="shared" si="34"/>
        <v>BZ</v>
      </c>
      <c r="CA35" s="38" t="str">
        <f t="shared" si="34"/>
        <v>CA</v>
      </c>
      <c r="CB35" s="38" t="str">
        <f t="shared" si="34"/>
        <v>CB</v>
      </c>
      <c r="CC35" s="38" t="str">
        <f t="shared" si="34"/>
        <v>CC</v>
      </c>
      <c r="CD35" s="38" t="str">
        <f t="shared" si="34"/>
        <v>CD</v>
      </c>
      <c r="CE35" s="38" t="str">
        <f t="shared" si="34"/>
        <v>CE</v>
      </c>
      <c r="CF35" s="38" t="str">
        <f t="shared" si="34"/>
        <v>CF</v>
      </c>
      <c r="CG35" s="38" t="str">
        <f t="shared" si="34"/>
        <v>CG</v>
      </c>
      <c r="CH35" s="38" t="str">
        <f t="shared" si="34"/>
        <v>CH</v>
      </c>
      <c r="CI35" s="38" t="str">
        <f t="shared" si="34"/>
        <v>CI</v>
      </c>
      <c r="CK35" s="128"/>
      <c r="CM35" s="128"/>
      <c r="EX35" s="10" t="str">
        <f t="shared" si="8"/>
        <v/>
      </c>
    </row>
    <row r="36" spans="1:154" ht="6.75" customHeight="1" x14ac:dyDescent="0.35">
      <c r="D36" s="1"/>
      <c r="E36"/>
      <c r="BY36" s="6"/>
      <c r="CK36" s="35"/>
      <c r="CM36" s="35"/>
      <c r="EX36" s="10" t="str">
        <f t="shared" si="8"/>
        <v/>
      </c>
    </row>
    <row r="37" spans="1:154" x14ac:dyDescent="0.35">
      <c r="D37" s="51" t="s">
        <v>1928</v>
      </c>
      <c r="E37"/>
      <c r="V37" s="106"/>
      <c r="W37" s="106"/>
      <c r="X37" s="106"/>
      <c r="Y37" s="106"/>
      <c r="AA37" s="38">
        <f>MIN(12, COUNTA($AA3:AA3))</f>
        <v>1</v>
      </c>
      <c r="AB37" s="38">
        <f>MIN(12, COUNTA($AA3:AB3))</f>
        <v>2</v>
      </c>
      <c r="AC37" s="38">
        <f>MIN(12, COUNTA($AA3:AC3))</f>
        <v>3</v>
      </c>
      <c r="AD37" s="38">
        <f>MIN(12, COUNTA($AA3:AD3))</f>
        <v>4</v>
      </c>
      <c r="AE37" s="38">
        <f>MIN(12, COUNTA($AA3:AE3))</f>
        <v>5</v>
      </c>
      <c r="AF37" s="38">
        <f>MIN(12, COUNTA($AA3:AF3))</f>
        <v>6</v>
      </c>
      <c r="AG37" s="38">
        <f>MIN(12, COUNTA($AA3:AG3))</f>
        <v>7</v>
      </c>
      <c r="AH37" s="38">
        <f>MIN(12, COUNTA($AA3:AH3))</f>
        <v>8</v>
      </c>
      <c r="AI37" s="38">
        <f>MIN(12, COUNTA($AA3:AI3))</f>
        <v>9</v>
      </c>
      <c r="AJ37" s="38">
        <f>MIN(12, COUNTA($AA3:AJ3))</f>
        <v>10</v>
      </c>
      <c r="AK37" s="38">
        <f>MIN(12, COUNTA($AA3:AK3))</f>
        <v>11</v>
      </c>
      <c r="AL37" s="38">
        <f>MIN(12, COUNTA($AA3:AL3))</f>
        <v>12</v>
      </c>
      <c r="AM37" s="38">
        <f>MIN(12, COUNTA($AA3:AM3))</f>
        <v>12</v>
      </c>
      <c r="AN37" s="38">
        <f>MIN(12, COUNTA($AA3:AN3))</f>
        <v>12</v>
      </c>
      <c r="AO37" s="38">
        <f>MIN(12, COUNTA($AA3:AO3))</f>
        <v>12</v>
      </c>
      <c r="AP37" s="38">
        <f>MIN(12, COUNTA($AA3:AP3))</f>
        <v>12</v>
      </c>
      <c r="AQ37" s="38">
        <f>MIN(12, COUNTA($AA3:AQ3))</f>
        <v>12</v>
      </c>
      <c r="AR37" s="38">
        <f>MIN(12, COUNTA($AA3:AR3))</f>
        <v>12</v>
      </c>
      <c r="AS37" s="38">
        <f>MIN(12, COUNTA($AA3:AS3))</f>
        <v>12</v>
      </c>
      <c r="AT37" s="38">
        <f>MIN(12, COUNTA($AA3:AT3))</f>
        <v>12</v>
      </c>
      <c r="AU37" s="38">
        <f>MIN(12, COUNTA($AA3:AU3))</f>
        <v>12</v>
      </c>
      <c r="AV37" s="38">
        <f>MIN(12, COUNTA($AA3:AV3))</f>
        <v>12</v>
      </c>
      <c r="AW37" s="38">
        <f>MIN(12, COUNTA($AA3:AW3))</f>
        <v>12</v>
      </c>
      <c r="AX37" s="38">
        <f>MIN(12, COUNTA($AA3:AX3))</f>
        <v>12</v>
      </c>
      <c r="AY37" s="38">
        <f>MIN(12, COUNTA($AA3:AY3))</f>
        <v>12</v>
      </c>
      <c r="AZ37" s="38">
        <f>MIN(12, COUNTA($AA3:AZ3))</f>
        <v>12</v>
      </c>
      <c r="BA37" s="38">
        <f>MIN(12, COUNTA($AA3:BA3))</f>
        <v>12</v>
      </c>
      <c r="BB37" s="38">
        <f>MIN(12, COUNTA($AA3:BB3))</f>
        <v>12</v>
      </c>
      <c r="BC37" s="38">
        <f>MIN(12, COUNTA($AA3:BC3))</f>
        <v>12</v>
      </c>
      <c r="BD37" s="38">
        <f>MIN(12, COUNTA($AA3:BD3))</f>
        <v>12</v>
      </c>
      <c r="BE37" s="38">
        <f>MIN(12, COUNTA($AA3:BE3))</f>
        <v>12</v>
      </c>
      <c r="BF37" s="38">
        <f>MIN(12, COUNTA($AA3:BF3))</f>
        <v>12</v>
      </c>
      <c r="BG37" s="38">
        <f>MIN(12, COUNTA($AA3:BG3))</f>
        <v>12</v>
      </c>
      <c r="BH37" s="38">
        <f>MIN(12, COUNTA($AA3:BH3))</f>
        <v>12</v>
      </c>
      <c r="BI37" s="38">
        <f>MIN(12, COUNTA($AA3:BI3))</f>
        <v>12</v>
      </c>
      <c r="BJ37" s="38">
        <f>MIN(12, COUNTA($AA3:BJ3))</f>
        <v>12</v>
      </c>
      <c r="BK37" s="38">
        <f>MIN(12, COUNTA($AA3:BK3))</f>
        <v>12</v>
      </c>
      <c r="BL37" s="38">
        <f>MIN(12, COUNTA($AA3:BL3))</f>
        <v>12</v>
      </c>
      <c r="BM37" s="38">
        <f>MIN(12, COUNTA($AA3:BM3))</f>
        <v>12</v>
      </c>
      <c r="BN37" s="38">
        <f>MIN(12, COUNTA($AA3:BN3))</f>
        <v>12</v>
      </c>
      <c r="BO37" s="38">
        <f>MIN(12, COUNTA($AA3:BO3))</f>
        <v>12</v>
      </c>
      <c r="BP37" s="38">
        <f>MIN(12, COUNTA($AA3:BP3))</f>
        <v>12</v>
      </c>
      <c r="BQ37" s="38">
        <f>MIN(12, COUNTA($AA3:BQ3))</f>
        <v>12</v>
      </c>
      <c r="BR37" s="38">
        <f>MIN(12, COUNTA($AA3:BR3))</f>
        <v>12</v>
      </c>
      <c r="BS37" s="38">
        <f>MIN(12, COUNTA($AA3:BS3))</f>
        <v>12</v>
      </c>
      <c r="BT37" s="38">
        <f>MIN(12, COUNTA($AA3:BT3))</f>
        <v>12</v>
      </c>
      <c r="BU37" s="38">
        <f>MIN(12, COUNTA($AA3:BU3))</f>
        <v>12</v>
      </c>
      <c r="BV37" s="38">
        <f>MIN(12, COUNTA($AA3:BV3))</f>
        <v>12</v>
      </c>
      <c r="BX37" s="106"/>
      <c r="BY37" s="106"/>
      <c r="BZ37" s="106"/>
      <c r="CA37" s="106"/>
      <c r="CB37" s="106"/>
      <c r="CC37" s="106"/>
      <c r="CD37" s="106"/>
      <c r="CE37" s="106"/>
      <c r="CF37" s="106"/>
      <c r="CG37" s="106"/>
      <c r="CH37" s="106"/>
      <c r="CI37" s="106"/>
      <c r="CK37" s="11"/>
      <c r="CM37" s="11"/>
      <c r="EX37" s="10" t="str">
        <f t="shared" si="8"/>
        <v/>
      </c>
    </row>
    <row r="38" spans="1:154" ht="6.75" customHeight="1" x14ac:dyDescent="0.35">
      <c r="D38" s="1"/>
      <c r="E38"/>
      <c r="BY38" s="6"/>
      <c r="CK38" s="35"/>
      <c r="CM38" s="35"/>
      <c r="EX38" s="10" t="str">
        <f t="shared" si="8"/>
        <v/>
      </c>
    </row>
    <row r="39" spans="1:154" x14ac:dyDescent="0.35">
      <c r="A39" s="34"/>
      <c r="B39" s="34"/>
      <c r="C39" s="34"/>
      <c r="D39" s="34" t="s">
        <v>1929</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11"/>
      <c r="CM39" s="11"/>
      <c r="EX39" s="10" t="str">
        <f t="shared" si="8"/>
        <v/>
      </c>
    </row>
    <row r="40" spans="1:154" ht="6.75" customHeight="1" x14ac:dyDescent="0.35">
      <c r="D40" s="1"/>
      <c r="E40"/>
      <c r="BY40" s="6"/>
      <c r="CK40" s="35"/>
      <c r="CM40" s="35"/>
      <c r="EX40" s="10" t="str">
        <f t="shared" si="8"/>
        <v/>
      </c>
    </row>
    <row r="41" spans="1:154" x14ac:dyDescent="0.35">
      <c r="D41" s="1" t="s">
        <v>1930</v>
      </c>
      <c r="E41"/>
      <c r="V41" s="38">
        <f>V10-V8+1</f>
        <v>365</v>
      </c>
      <c r="W41" s="38">
        <f>W10-W8+1</f>
        <v>365</v>
      </c>
      <c r="X41" s="38">
        <f>X10-X8+1</f>
        <v>365</v>
      </c>
      <c r="Y41" s="38">
        <f>Y10-Y8+1</f>
        <v>366</v>
      </c>
      <c r="AA41" s="38">
        <f t="shared" ref="AA41:BV41" si="35">AA10-AA8+1</f>
        <v>31</v>
      </c>
      <c r="AB41" s="38">
        <f t="shared" si="35"/>
        <v>30</v>
      </c>
      <c r="AC41" s="38">
        <f t="shared" si="35"/>
        <v>31</v>
      </c>
      <c r="AD41" s="38">
        <f t="shared" si="35"/>
        <v>30</v>
      </c>
      <c r="AE41" s="38">
        <f t="shared" si="35"/>
        <v>31</v>
      </c>
      <c r="AF41" s="38">
        <f t="shared" si="35"/>
        <v>31</v>
      </c>
      <c r="AG41" s="38">
        <f t="shared" si="35"/>
        <v>28</v>
      </c>
      <c r="AH41" s="38">
        <f t="shared" si="35"/>
        <v>31</v>
      </c>
      <c r="AI41" s="38">
        <f t="shared" si="35"/>
        <v>30</v>
      </c>
      <c r="AJ41" s="38">
        <f t="shared" si="35"/>
        <v>31</v>
      </c>
      <c r="AK41" s="38">
        <f t="shared" si="35"/>
        <v>30</v>
      </c>
      <c r="AL41" s="38">
        <f t="shared" si="35"/>
        <v>31</v>
      </c>
      <c r="AM41" s="38">
        <f t="shared" si="35"/>
        <v>31</v>
      </c>
      <c r="AN41" s="38">
        <f t="shared" si="35"/>
        <v>30</v>
      </c>
      <c r="AO41" s="38">
        <f t="shared" si="35"/>
        <v>31</v>
      </c>
      <c r="AP41" s="38">
        <f t="shared" si="35"/>
        <v>30</v>
      </c>
      <c r="AQ41" s="38">
        <f t="shared" si="35"/>
        <v>31</v>
      </c>
      <c r="AR41" s="38">
        <f t="shared" si="35"/>
        <v>31</v>
      </c>
      <c r="AS41" s="38">
        <f t="shared" si="35"/>
        <v>28</v>
      </c>
      <c r="AT41" s="38">
        <f t="shared" si="35"/>
        <v>31</v>
      </c>
      <c r="AU41" s="38">
        <f t="shared" si="35"/>
        <v>30</v>
      </c>
      <c r="AV41" s="38">
        <f t="shared" si="35"/>
        <v>31</v>
      </c>
      <c r="AW41" s="38">
        <f t="shared" si="35"/>
        <v>30</v>
      </c>
      <c r="AX41" s="38">
        <f t="shared" si="35"/>
        <v>31</v>
      </c>
      <c r="AY41" s="38">
        <f t="shared" si="35"/>
        <v>31</v>
      </c>
      <c r="AZ41" s="38">
        <f t="shared" si="35"/>
        <v>30</v>
      </c>
      <c r="BA41" s="38">
        <f t="shared" si="35"/>
        <v>31</v>
      </c>
      <c r="BB41" s="38">
        <f t="shared" si="35"/>
        <v>30</v>
      </c>
      <c r="BC41" s="38">
        <f t="shared" si="35"/>
        <v>31</v>
      </c>
      <c r="BD41" s="38">
        <f t="shared" si="35"/>
        <v>31</v>
      </c>
      <c r="BE41" s="38">
        <f t="shared" si="35"/>
        <v>29</v>
      </c>
      <c r="BF41" s="38">
        <f t="shared" si="35"/>
        <v>31</v>
      </c>
      <c r="BG41" s="38">
        <f t="shared" si="35"/>
        <v>30</v>
      </c>
      <c r="BH41" s="38">
        <f t="shared" si="35"/>
        <v>31</v>
      </c>
      <c r="BI41" s="38">
        <f t="shared" si="35"/>
        <v>30</v>
      </c>
      <c r="BJ41" s="38">
        <f t="shared" si="35"/>
        <v>31</v>
      </c>
      <c r="BK41" s="38">
        <f t="shared" si="35"/>
        <v>31</v>
      </c>
      <c r="BL41" s="38">
        <f t="shared" si="35"/>
        <v>30</v>
      </c>
      <c r="BM41" s="38">
        <f t="shared" si="35"/>
        <v>31</v>
      </c>
      <c r="BN41" s="38">
        <f t="shared" si="35"/>
        <v>30</v>
      </c>
      <c r="BO41" s="38">
        <f t="shared" si="35"/>
        <v>31</v>
      </c>
      <c r="BP41" s="38">
        <f t="shared" si="35"/>
        <v>31</v>
      </c>
      <c r="BQ41" s="38">
        <f t="shared" si="35"/>
        <v>28</v>
      </c>
      <c r="BR41" s="38">
        <f t="shared" si="35"/>
        <v>31</v>
      </c>
      <c r="BS41" s="38">
        <f t="shared" si="35"/>
        <v>30</v>
      </c>
      <c r="BT41" s="38">
        <f t="shared" si="35"/>
        <v>31</v>
      </c>
      <c r="BU41" s="38">
        <f t="shared" si="35"/>
        <v>30</v>
      </c>
      <c r="BV41" s="38">
        <f t="shared" si="35"/>
        <v>31</v>
      </c>
      <c r="BX41" s="38">
        <f t="shared" ref="BX41:CI41" si="36">BX10-BX8+1</f>
        <v>365</v>
      </c>
      <c r="BY41" s="38">
        <f t="shared" si="36"/>
        <v>365</v>
      </c>
      <c r="BZ41" s="38">
        <f t="shared" si="36"/>
        <v>365</v>
      </c>
      <c r="CA41" s="38">
        <f t="shared" si="36"/>
        <v>366</v>
      </c>
      <c r="CB41" s="38">
        <f t="shared" si="36"/>
        <v>365</v>
      </c>
      <c r="CC41" s="38">
        <f t="shared" si="36"/>
        <v>365</v>
      </c>
      <c r="CD41" s="38">
        <f t="shared" si="36"/>
        <v>365</v>
      </c>
      <c r="CE41" s="38">
        <f t="shared" si="36"/>
        <v>366</v>
      </c>
      <c r="CF41" s="38">
        <f t="shared" si="36"/>
        <v>365</v>
      </c>
      <c r="CG41" s="38">
        <f t="shared" si="36"/>
        <v>365</v>
      </c>
      <c r="CH41" s="38">
        <f t="shared" si="36"/>
        <v>365</v>
      </c>
      <c r="CI41" s="38">
        <f t="shared" si="36"/>
        <v>366</v>
      </c>
      <c r="CK41" s="11"/>
      <c r="CM41" s="11"/>
      <c r="EX41" s="10" t="str">
        <f t="shared" si="8"/>
        <v/>
      </c>
    </row>
    <row r="42" spans="1:154" ht="6.75" customHeight="1" x14ac:dyDescent="0.35">
      <c r="D42" s="1"/>
      <c r="E42"/>
      <c r="BY42" s="6"/>
      <c r="CK42" s="35"/>
      <c r="CM42" s="35"/>
      <c r="EX42" s="10" t="str">
        <f t="shared" si="8"/>
        <v/>
      </c>
    </row>
    <row r="43" spans="1:154" x14ac:dyDescent="0.35">
      <c r="D43" s="5" t="s">
        <v>1931</v>
      </c>
      <c r="F43" s="5"/>
      <c r="CK43" s="11"/>
      <c r="CM43" s="11"/>
      <c r="EX43" s="10" t="str">
        <f t="shared" si="8"/>
        <v/>
      </c>
    </row>
    <row r="44" spans="1:154" x14ac:dyDescent="0.35">
      <c r="B44" s="5"/>
      <c r="D44" s="5" t="str">
        <f>Loans!D$11</f>
        <v>Lender</v>
      </c>
      <c r="E44" s="5" t="s">
        <v>1932</v>
      </c>
      <c r="F44" s="5" t="s">
        <v>1933</v>
      </c>
      <c r="CK44" s="11"/>
      <c r="CM44" s="11"/>
      <c r="EX44" s="10" t="str">
        <f t="shared" si="8"/>
        <v/>
      </c>
    </row>
    <row r="45" spans="1:154" x14ac:dyDescent="0.35">
      <c r="B45" t="str">
        <f ca="1">Loans!B$13</f>
        <v>Loan 1</v>
      </c>
      <c r="D45" s="51">
        <f>Loans!D$13</f>
        <v>0</v>
      </c>
      <c r="E45" s="117" t="str">
        <f>IF(Loans!J$13=0, "", Loans!J$13)</f>
        <v/>
      </c>
      <c r="F45" s="117" t="str">
        <f>IF(Loans!K$13=0, "", Loans!K$13)</f>
        <v/>
      </c>
      <c r="V45" s="38">
        <f t="shared" ref="V45:Y64" si="37">IF(AND(V$5&gt;=$E45,V$8&lt;=$F45),1,0)</f>
        <v>0</v>
      </c>
      <c r="W45" s="38">
        <f t="shared" si="37"/>
        <v>0</v>
      </c>
      <c r="X45" s="38">
        <f t="shared" si="37"/>
        <v>0</v>
      </c>
      <c r="Y45" s="38">
        <f t="shared" si="37"/>
        <v>0</v>
      </c>
      <c r="AA45" s="38">
        <f t="shared" ref="AA45:AJ54" si="38">IF(AND(AA$5&gt;=$E45,AA$8&lt;=$F45),1,0)</f>
        <v>0</v>
      </c>
      <c r="AB45" s="38">
        <f t="shared" si="38"/>
        <v>0</v>
      </c>
      <c r="AC45" s="38">
        <f t="shared" si="38"/>
        <v>0</v>
      </c>
      <c r="AD45" s="38">
        <f t="shared" si="38"/>
        <v>0</v>
      </c>
      <c r="AE45" s="38">
        <f t="shared" si="38"/>
        <v>0</v>
      </c>
      <c r="AF45" s="38">
        <f t="shared" si="38"/>
        <v>0</v>
      </c>
      <c r="AG45" s="38">
        <f t="shared" si="38"/>
        <v>0</v>
      </c>
      <c r="AH45" s="38">
        <f t="shared" si="38"/>
        <v>0</v>
      </c>
      <c r="AI45" s="38">
        <f t="shared" si="38"/>
        <v>0</v>
      </c>
      <c r="AJ45" s="38">
        <f t="shared" si="38"/>
        <v>0</v>
      </c>
      <c r="AK45" s="38">
        <f t="shared" ref="AK45:AT54" si="39">IF(AND(AK$5&gt;=$E45,AK$8&lt;=$F45),1,0)</f>
        <v>0</v>
      </c>
      <c r="AL45" s="38">
        <f t="shared" si="39"/>
        <v>0</v>
      </c>
      <c r="AM45" s="38">
        <f t="shared" si="39"/>
        <v>0</v>
      </c>
      <c r="AN45" s="38">
        <f t="shared" si="39"/>
        <v>0</v>
      </c>
      <c r="AO45" s="38">
        <f t="shared" si="39"/>
        <v>0</v>
      </c>
      <c r="AP45" s="38">
        <f t="shared" si="39"/>
        <v>0</v>
      </c>
      <c r="AQ45" s="38">
        <f t="shared" si="39"/>
        <v>0</v>
      </c>
      <c r="AR45" s="38">
        <f t="shared" si="39"/>
        <v>0</v>
      </c>
      <c r="AS45" s="38">
        <f t="shared" si="39"/>
        <v>0</v>
      </c>
      <c r="AT45" s="38">
        <f t="shared" si="39"/>
        <v>0</v>
      </c>
      <c r="AU45" s="38">
        <f t="shared" ref="AU45:BD54" si="40">IF(AND(AU$5&gt;=$E45,AU$8&lt;=$F45),1,0)</f>
        <v>0</v>
      </c>
      <c r="AV45" s="38">
        <f t="shared" si="40"/>
        <v>0</v>
      </c>
      <c r="AW45" s="38">
        <f t="shared" si="40"/>
        <v>0</v>
      </c>
      <c r="AX45" s="38">
        <f t="shared" si="40"/>
        <v>0</v>
      </c>
      <c r="AY45" s="38">
        <f t="shared" si="40"/>
        <v>0</v>
      </c>
      <c r="AZ45" s="38">
        <f t="shared" si="40"/>
        <v>0</v>
      </c>
      <c r="BA45" s="38">
        <f t="shared" si="40"/>
        <v>0</v>
      </c>
      <c r="BB45" s="38">
        <f t="shared" si="40"/>
        <v>0</v>
      </c>
      <c r="BC45" s="38">
        <f t="shared" si="40"/>
        <v>0</v>
      </c>
      <c r="BD45" s="38">
        <f t="shared" si="40"/>
        <v>0</v>
      </c>
      <c r="BE45" s="38">
        <f t="shared" ref="BE45:BN54" si="41">IF(AND(BE$5&gt;=$E45,BE$8&lt;=$F45),1,0)</f>
        <v>0</v>
      </c>
      <c r="BF45" s="38">
        <f t="shared" si="41"/>
        <v>0</v>
      </c>
      <c r="BG45" s="38">
        <f t="shared" si="41"/>
        <v>0</v>
      </c>
      <c r="BH45" s="38">
        <f t="shared" si="41"/>
        <v>0</v>
      </c>
      <c r="BI45" s="38">
        <f t="shared" si="41"/>
        <v>0</v>
      </c>
      <c r="BJ45" s="38">
        <f t="shared" si="41"/>
        <v>0</v>
      </c>
      <c r="BK45" s="38">
        <f t="shared" si="41"/>
        <v>0</v>
      </c>
      <c r="BL45" s="38">
        <f t="shared" si="41"/>
        <v>0</v>
      </c>
      <c r="BM45" s="38">
        <f t="shared" si="41"/>
        <v>0</v>
      </c>
      <c r="BN45" s="38">
        <f t="shared" si="41"/>
        <v>0</v>
      </c>
      <c r="BO45" s="38">
        <f t="shared" ref="BO45:BV54" si="42">IF(AND(BO$5&gt;=$E45,BO$8&lt;=$F45),1,0)</f>
        <v>0</v>
      </c>
      <c r="BP45" s="38">
        <f t="shared" si="42"/>
        <v>0</v>
      </c>
      <c r="BQ45" s="38">
        <f t="shared" si="42"/>
        <v>0</v>
      </c>
      <c r="BR45" s="38">
        <f t="shared" si="42"/>
        <v>0</v>
      </c>
      <c r="BS45" s="38">
        <f t="shared" si="42"/>
        <v>0</v>
      </c>
      <c r="BT45" s="38">
        <f t="shared" si="42"/>
        <v>0</v>
      </c>
      <c r="BU45" s="38">
        <f t="shared" si="42"/>
        <v>0</v>
      </c>
      <c r="BV45" s="38">
        <f t="shared" si="42"/>
        <v>0</v>
      </c>
      <c r="BX45" s="38">
        <f t="shared" ref="BX45:CI54" si="43">IF(AND(BX$5&gt;=$E45,BX$8&lt;=$F45),1,0)</f>
        <v>0</v>
      </c>
      <c r="BY45" s="38">
        <f t="shared" si="43"/>
        <v>0</v>
      </c>
      <c r="BZ45" s="38">
        <f t="shared" si="43"/>
        <v>0</v>
      </c>
      <c r="CA45" s="38">
        <f t="shared" si="43"/>
        <v>0</v>
      </c>
      <c r="CB45" s="38">
        <f t="shared" si="43"/>
        <v>0</v>
      </c>
      <c r="CC45" s="38">
        <f t="shared" si="43"/>
        <v>0</v>
      </c>
      <c r="CD45" s="38">
        <f t="shared" si="43"/>
        <v>0</v>
      </c>
      <c r="CE45" s="38">
        <f t="shared" si="43"/>
        <v>0</v>
      </c>
      <c r="CF45" s="38">
        <f t="shared" si="43"/>
        <v>0</v>
      </c>
      <c r="CG45" s="38">
        <f t="shared" si="43"/>
        <v>0</v>
      </c>
      <c r="CH45" s="38">
        <f t="shared" si="43"/>
        <v>0</v>
      </c>
      <c r="CI45" s="38">
        <f t="shared" si="43"/>
        <v>0</v>
      </c>
      <c r="CK45" s="11"/>
      <c r="CM45" s="11"/>
      <c r="EX45" s="10" t="str">
        <f t="shared" si="8"/>
        <v/>
      </c>
    </row>
    <row r="46" spans="1:154" x14ac:dyDescent="0.35">
      <c r="B46" t="str">
        <f ca="1">Loans!B$14</f>
        <v>Loan 2</v>
      </c>
      <c r="D46" s="51">
        <f>Loans!D$14</f>
        <v>0</v>
      </c>
      <c r="E46" s="117" t="str">
        <f>IF(Loans!J$14=0, "", Loans!J$14)</f>
        <v/>
      </c>
      <c r="F46" s="117" t="str">
        <f>IF(Loans!K$14=0, "", Loans!K$14)</f>
        <v/>
      </c>
      <c r="V46" s="38">
        <f t="shared" si="37"/>
        <v>0</v>
      </c>
      <c r="W46" s="38">
        <f t="shared" si="37"/>
        <v>0</v>
      </c>
      <c r="X46" s="38">
        <f t="shared" si="37"/>
        <v>0</v>
      </c>
      <c r="Y46" s="38">
        <f t="shared" si="37"/>
        <v>0</v>
      </c>
      <c r="AA46" s="38">
        <f t="shared" si="38"/>
        <v>0</v>
      </c>
      <c r="AB46" s="38">
        <f t="shared" si="38"/>
        <v>0</v>
      </c>
      <c r="AC46" s="38">
        <f t="shared" si="38"/>
        <v>0</v>
      </c>
      <c r="AD46" s="38">
        <f t="shared" si="38"/>
        <v>0</v>
      </c>
      <c r="AE46" s="38">
        <f t="shared" si="38"/>
        <v>0</v>
      </c>
      <c r="AF46" s="38">
        <f t="shared" si="38"/>
        <v>0</v>
      </c>
      <c r="AG46" s="38">
        <f t="shared" si="38"/>
        <v>0</v>
      </c>
      <c r="AH46" s="38">
        <f t="shared" si="38"/>
        <v>0</v>
      </c>
      <c r="AI46" s="38">
        <f t="shared" si="38"/>
        <v>0</v>
      </c>
      <c r="AJ46" s="38">
        <f t="shared" si="38"/>
        <v>0</v>
      </c>
      <c r="AK46" s="38">
        <f t="shared" si="39"/>
        <v>0</v>
      </c>
      <c r="AL46" s="38">
        <f t="shared" si="39"/>
        <v>0</v>
      </c>
      <c r="AM46" s="38">
        <f t="shared" si="39"/>
        <v>0</v>
      </c>
      <c r="AN46" s="38">
        <f t="shared" si="39"/>
        <v>0</v>
      </c>
      <c r="AO46" s="38">
        <f t="shared" si="39"/>
        <v>0</v>
      </c>
      <c r="AP46" s="38">
        <f t="shared" si="39"/>
        <v>0</v>
      </c>
      <c r="AQ46" s="38">
        <f t="shared" si="39"/>
        <v>0</v>
      </c>
      <c r="AR46" s="38">
        <f t="shared" si="39"/>
        <v>0</v>
      </c>
      <c r="AS46" s="38">
        <f t="shared" si="39"/>
        <v>0</v>
      </c>
      <c r="AT46" s="38">
        <f t="shared" si="39"/>
        <v>0</v>
      </c>
      <c r="AU46" s="38">
        <f t="shared" si="40"/>
        <v>0</v>
      </c>
      <c r="AV46" s="38">
        <f t="shared" si="40"/>
        <v>0</v>
      </c>
      <c r="AW46" s="38">
        <f t="shared" si="40"/>
        <v>0</v>
      </c>
      <c r="AX46" s="38">
        <f t="shared" si="40"/>
        <v>0</v>
      </c>
      <c r="AY46" s="38">
        <f t="shared" si="40"/>
        <v>0</v>
      </c>
      <c r="AZ46" s="38">
        <f t="shared" si="40"/>
        <v>0</v>
      </c>
      <c r="BA46" s="38">
        <f t="shared" si="40"/>
        <v>0</v>
      </c>
      <c r="BB46" s="38">
        <f t="shared" si="40"/>
        <v>0</v>
      </c>
      <c r="BC46" s="38">
        <f t="shared" si="40"/>
        <v>0</v>
      </c>
      <c r="BD46" s="38">
        <f t="shared" si="40"/>
        <v>0</v>
      </c>
      <c r="BE46" s="38">
        <f t="shared" si="41"/>
        <v>0</v>
      </c>
      <c r="BF46" s="38">
        <f t="shared" si="41"/>
        <v>0</v>
      </c>
      <c r="BG46" s="38">
        <f t="shared" si="41"/>
        <v>0</v>
      </c>
      <c r="BH46" s="38">
        <f t="shared" si="41"/>
        <v>0</v>
      </c>
      <c r="BI46" s="38">
        <f t="shared" si="41"/>
        <v>0</v>
      </c>
      <c r="BJ46" s="38">
        <f t="shared" si="41"/>
        <v>0</v>
      </c>
      <c r="BK46" s="38">
        <f t="shared" si="41"/>
        <v>0</v>
      </c>
      <c r="BL46" s="38">
        <f t="shared" si="41"/>
        <v>0</v>
      </c>
      <c r="BM46" s="38">
        <f t="shared" si="41"/>
        <v>0</v>
      </c>
      <c r="BN46" s="38">
        <f t="shared" si="41"/>
        <v>0</v>
      </c>
      <c r="BO46" s="38">
        <f t="shared" si="42"/>
        <v>0</v>
      </c>
      <c r="BP46" s="38">
        <f t="shared" si="42"/>
        <v>0</v>
      </c>
      <c r="BQ46" s="38">
        <f t="shared" si="42"/>
        <v>0</v>
      </c>
      <c r="BR46" s="38">
        <f t="shared" si="42"/>
        <v>0</v>
      </c>
      <c r="BS46" s="38">
        <f t="shared" si="42"/>
        <v>0</v>
      </c>
      <c r="BT46" s="38">
        <f t="shared" si="42"/>
        <v>0</v>
      </c>
      <c r="BU46" s="38">
        <f t="shared" si="42"/>
        <v>0</v>
      </c>
      <c r="BV46" s="38">
        <f t="shared" si="42"/>
        <v>0</v>
      </c>
      <c r="BX46" s="38">
        <f t="shared" si="43"/>
        <v>0</v>
      </c>
      <c r="BY46" s="38">
        <f t="shared" si="43"/>
        <v>0</v>
      </c>
      <c r="BZ46" s="38">
        <f t="shared" si="43"/>
        <v>0</v>
      </c>
      <c r="CA46" s="38">
        <f t="shared" si="43"/>
        <v>0</v>
      </c>
      <c r="CB46" s="38">
        <f t="shared" si="43"/>
        <v>0</v>
      </c>
      <c r="CC46" s="38">
        <f t="shared" si="43"/>
        <v>0</v>
      </c>
      <c r="CD46" s="38">
        <f t="shared" si="43"/>
        <v>0</v>
      </c>
      <c r="CE46" s="38">
        <f t="shared" si="43"/>
        <v>0</v>
      </c>
      <c r="CF46" s="38">
        <f t="shared" si="43"/>
        <v>0</v>
      </c>
      <c r="CG46" s="38">
        <f t="shared" si="43"/>
        <v>0</v>
      </c>
      <c r="CH46" s="38">
        <f t="shared" si="43"/>
        <v>0</v>
      </c>
      <c r="CI46" s="38">
        <f t="shared" si="43"/>
        <v>0</v>
      </c>
      <c r="CK46" s="11"/>
      <c r="CM46" s="11"/>
      <c r="EX46" s="10" t="str">
        <f t="shared" si="8"/>
        <v/>
      </c>
    </row>
    <row r="47" spans="1:154" x14ac:dyDescent="0.35">
      <c r="B47" t="str">
        <f ca="1">Loans!B$15</f>
        <v>Loan 3</v>
      </c>
      <c r="D47" s="51">
        <f>Loans!D$15</f>
        <v>0</v>
      </c>
      <c r="E47" s="117" t="str">
        <f>IF(Loans!J$15=0, "", Loans!J$15)</f>
        <v/>
      </c>
      <c r="F47" s="117" t="str">
        <f>IF(Loans!K$15=0, "", Loans!K$15)</f>
        <v/>
      </c>
      <c r="V47" s="38">
        <f t="shared" si="37"/>
        <v>0</v>
      </c>
      <c r="W47" s="38">
        <f t="shared" si="37"/>
        <v>0</v>
      </c>
      <c r="X47" s="38">
        <f t="shared" si="37"/>
        <v>0</v>
      </c>
      <c r="Y47" s="38">
        <f t="shared" si="37"/>
        <v>0</v>
      </c>
      <c r="AA47" s="38">
        <f t="shared" si="38"/>
        <v>0</v>
      </c>
      <c r="AB47" s="38">
        <f t="shared" si="38"/>
        <v>0</v>
      </c>
      <c r="AC47" s="38">
        <f t="shared" si="38"/>
        <v>0</v>
      </c>
      <c r="AD47" s="38">
        <f t="shared" si="38"/>
        <v>0</v>
      </c>
      <c r="AE47" s="38">
        <f t="shared" si="38"/>
        <v>0</v>
      </c>
      <c r="AF47" s="38">
        <f t="shared" si="38"/>
        <v>0</v>
      </c>
      <c r="AG47" s="38">
        <f t="shared" si="38"/>
        <v>0</v>
      </c>
      <c r="AH47" s="38">
        <f t="shared" si="38"/>
        <v>0</v>
      </c>
      <c r="AI47" s="38">
        <f t="shared" si="38"/>
        <v>0</v>
      </c>
      <c r="AJ47" s="38">
        <f t="shared" si="38"/>
        <v>0</v>
      </c>
      <c r="AK47" s="38">
        <f t="shared" si="39"/>
        <v>0</v>
      </c>
      <c r="AL47" s="38">
        <f t="shared" si="39"/>
        <v>0</v>
      </c>
      <c r="AM47" s="38">
        <f t="shared" si="39"/>
        <v>0</v>
      </c>
      <c r="AN47" s="38">
        <f t="shared" si="39"/>
        <v>0</v>
      </c>
      <c r="AO47" s="38">
        <f t="shared" si="39"/>
        <v>0</v>
      </c>
      <c r="AP47" s="38">
        <f t="shared" si="39"/>
        <v>0</v>
      </c>
      <c r="AQ47" s="38">
        <f t="shared" si="39"/>
        <v>0</v>
      </c>
      <c r="AR47" s="38">
        <f t="shared" si="39"/>
        <v>0</v>
      </c>
      <c r="AS47" s="38">
        <f t="shared" si="39"/>
        <v>0</v>
      </c>
      <c r="AT47" s="38">
        <f t="shared" si="39"/>
        <v>0</v>
      </c>
      <c r="AU47" s="38">
        <f t="shared" si="40"/>
        <v>0</v>
      </c>
      <c r="AV47" s="38">
        <f t="shared" si="40"/>
        <v>0</v>
      </c>
      <c r="AW47" s="38">
        <f t="shared" si="40"/>
        <v>0</v>
      </c>
      <c r="AX47" s="38">
        <f t="shared" si="40"/>
        <v>0</v>
      </c>
      <c r="AY47" s="38">
        <f t="shared" si="40"/>
        <v>0</v>
      </c>
      <c r="AZ47" s="38">
        <f t="shared" si="40"/>
        <v>0</v>
      </c>
      <c r="BA47" s="38">
        <f t="shared" si="40"/>
        <v>0</v>
      </c>
      <c r="BB47" s="38">
        <f t="shared" si="40"/>
        <v>0</v>
      </c>
      <c r="BC47" s="38">
        <f t="shared" si="40"/>
        <v>0</v>
      </c>
      <c r="BD47" s="38">
        <f t="shared" si="40"/>
        <v>0</v>
      </c>
      <c r="BE47" s="38">
        <f t="shared" si="41"/>
        <v>0</v>
      </c>
      <c r="BF47" s="38">
        <f t="shared" si="41"/>
        <v>0</v>
      </c>
      <c r="BG47" s="38">
        <f t="shared" si="41"/>
        <v>0</v>
      </c>
      <c r="BH47" s="38">
        <f t="shared" si="41"/>
        <v>0</v>
      </c>
      <c r="BI47" s="38">
        <f t="shared" si="41"/>
        <v>0</v>
      </c>
      <c r="BJ47" s="38">
        <f t="shared" si="41"/>
        <v>0</v>
      </c>
      <c r="BK47" s="38">
        <f t="shared" si="41"/>
        <v>0</v>
      </c>
      <c r="BL47" s="38">
        <f t="shared" si="41"/>
        <v>0</v>
      </c>
      <c r="BM47" s="38">
        <f t="shared" si="41"/>
        <v>0</v>
      </c>
      <c r="BN47" s="38">
        <f t="shared" si="41"/>
        <v>0</v>
      </c>
      <c r="BO47" s="38">
        <f t="shared" si="42"/>
        <v>0</v>
      </c>
      <c r="BP47" s="38">
        <f t="shared" si="42"/>
        <v>0</v>
      </c>
      <c r="BQ47" s="38">
        <f t="shared" si="42"/>
        <v>0</v>
      </c>
      <c r="BR47" s="38">
        <f t="shared" si="42"/>
        <v>0</v>
      </c>
      <c r="BS47" s="38">
        <f t="shared" si="42"/>
        <v>0</v>
      </c>
      <c r="BT47" s="38">
        <f t="shared" si="42"/>
        <v>0</v>
      </c>
      <c r="BU47" s="38">
        <f t="shared" si="42"/>
        <v>0</v>
      </c>
      <c r="BV47" s="38">
        <f t="shared" si="42"/>
        <v>0</v>
      </c>
      <c r="BX47" s="38">
        <f t="shared" si="43"/>
        <v>0</v>
      </c>
      <c r="BY47" s="38">
        <f t="shared" si="43"/>
        <v>0</v>
      </c>
      <c r="BZ47" s="38">
        <f t="shared" si="43"/>
        <v>0</v>
      </c>
      <c r="CA47" s="38">
        <f t="shared" si="43"/>
        <v>0</v>
      </c>
      <c r="CB47" s="38">
        <f t="shared" si="43"/>
        <v>0</v>
      </c>
      <c r="CC47" s="38">
        <f t="shared" si="43"/>
        <v>0</v>
      </c>
      <c r="CD47" s="38">
        <f t="shared" si="43"/>
        <v>0</v>
      </c>
      <c r="CE47" s="38">
        <f t="shared" si="43"/>
        <v>0</v>
      </c>
      <c r="CF47" s="38">
        <f t="shared" si="43"/>
        <v>0</v>
      </c>
      <c r="CG47" s="38">
        <f t="shared" si="43"/>
        <v>0</v>
      </c>
      <c r="CH47" s="38">
        <f t="shared" si="43"/>
        <v>0</v>
      </c>
      <c r="CI47" s="38">
        <f t="shared" si="43"/>
        <v>0</v>
      </c>
      <c r="CK47" s="11"/>
      <c r="CM47" s="11"/>
      <c r="EX47" s="10" t="str">
        <f t="shared" si="8"/>
        <v/>
      </c>
    </row>
    <row r="48" spans="1:154" x14ac:dyDescent="0.35">
      <c r="B48" t="str">
        <f ca="1">Loans!B$16</f>
        <v>Loan 4</v>
      </c>
      <c r="D48" s="51">
        <f>Loans!D$16</f>
        <v>0</v>
      </c>
      <c r="E48" s="117" t="str">
        <f>IF(Loans!J$16=0, "", Loans!J$16)</f>
        <v/>
      </c>
      <c r="F48" s="117" t="str">
        <f>IF(Loans!K$16=0, "", Loans!K$16)</f>
        <v/>
      </c>
      <c r="V48" s="38">
        <f t="shared" si="37"/>
        <v>0</v>
      </c>
      <c r="W48" s="38">
        <f t="shared" si="37"/>
        <v>0</v>
      </c>
      <c r="X48" s="38">
        <f t="shared" si="37"/>
        <v>0</v>
      </c>
      <c r="Y48" s="38">
        <f t="shared" si="37"/>
        <v>0</v>
      </c>
      <c r="AA48" s="38">
        <f t="shared" si="38"/>
        <v>0</v>
      </c>
      <c r="AB48" s="38">
        <f t="shared" si="38"/>
        <v>0</v>
      </c>
      <c r="AC48" s="38">
        <f t="shared" si="38"/>
        <v>0</v>
      </c>
      <c r="AD48" s="38">
        <f t="shared" si="38"/>
        <v>0</v>
      </c>
      <c r="AE48" s="38">
        <f t="shared" si="38"/>
        <v>0</v>
      </c>
      <c r="AF48" s="38">
        <f t="shared" si="38"/>
        <v>0</v>
      </c>
      <c r="AG48" s="38">
        <f t="shared" si="38"/>
        <v>0</v>
      </c>
      <c r="AH48" s="38">
        <f t="shared" si="38"/>
        <v>0</v>
      </c>
      <c r="AI48" s="38">
        <f t="shared" si="38"/>
        <v>0</v>
      </c>
      <c r="AJ48" s="38">
        <f t="shared" si="38"/>
        <v>0</v>
      </c>
      <c r="AK48" s="38">
        <f t="shared" si="39"/>
        <v>0</v>
      </c>
      <c r="AL48" s="38">
        <f t="shared" si="39"/>
        <v>0</v>
      </c>
      <c r="AM48" s="38">
        <f t="shared" si="39"/>
        <v>0</v>
      </c>
      <c r="AN48" s="38">
        <f t="shared" si="39"/>
        <v>0</v>
      </c>
      <c r="AO48" s="38">
        <f t="shared" si="39"/>
        <v>0</v>
      </c>
      <c r="AP48" s="38">
        <f t="shared" si="39"/>
        <v>0</v>
      </c>
      <c r="AQ48" s="38">
        <f t="shared" si="39"/>
        <v>0</v>
      </c>
      <c r="AR48" s="38">
        <f t="shared" si="39"/>
        <v>0</v>
      </c>
      <c r="AS48" s="38">
        <f t="shared" si="39"/>
        <v>0</v>
      </c>
      <c r="AT48" s="38">
        <f t="shared" si="39"/>
        <v>0</v>
      </c>
      <c r="AU48" s="38">
        <f t="shared" si="40"/>
        <v>0</v>
      </c>
      <c r="AV48" s="38">
        <f t="shared" si="40"/>
        <v>0</v>
      </c>
      <c r="AW48" s="38">
        <f t="shared" si="40"/>
        <v>0</v>
      </c>
      <c r="AX48" s="38">
        <f t="shared" si="40"/>
        <v>0</v>
      </c>
      <c r="AY48" s="38">
        <f t="shared" si="40"/>
        <v>0</v>
      </c>
      <c r="AZ48" s="38">
        <f t="shared" si="40"/>
        <v>0</v>
      </c>
      <c r="BA48" s="38">
        <f t="shared" si="40"/>
        <v>0</v>
      </c>
      <c r="BB48" s="38">
        <f t="shared" si="40"/>
        <v>0</v>
      </c>
      <c r="BC48" s="38">
        <f t="shared" si="40"/>
        <v>0</v>
      </c>
      <c r="BD48" s="38">
        <f t="shared" si="40"/>
        <v>0</v>
      </c>
      <c r="BE48" s="38">
        <f t="shared" si="41"/>
        <v>0</v>
      </c>
      <c r="BF48" s="38">
        <f t="shared" si="41"/>
        <v>0</v>
      </c>
      <c r="BG48" s="38">
        <f t="shared" si="41"/>
        <v>0</v>
      </c>
      <c r="BH48" s="38">
        <f t="shared" si="41"/>
        <v>0</v>
      </c>
      <c r="BI48" s="38">
        <f t="shared" si="41"/>
        <v>0</v>
      </c>
      <c r="BJ48" s="38">
        <f t="shared" si="41"/>
        <v>0</v>
      </c>
      <c r="BK48" s="38">
        <f t="shared" si="41"/>
        <v>0</v>
      </c>
      <c r="BL48" s="38">
        <f t="shared" si="41"/>
        <v>0</v>
      </c>
      <c r="BM48" s="38">
        <f t="shared" si="41"/>
        <v>0</v>
      </c>
      <c r="BN48" s="38">
        <f t="shared" si="41"/>
        <v>0</v>
      </c>
      <c r="BO48" s="38">
        <f t="shared" si="42"/>
        <v>0</v>
      </c>
      <c r="BP48" s="38">
        <f t="shared" si="42"/>
        <v>0</v>
      </c>
      <c r="BQ48" s="38">
        <f t="shared" si="42"/>
        <v>0</v>
      </c>
      <c r="BR48" s="38">
        <f t="shared" si="42"/>
        <v>0</v>
      </c>
      <c r="BS48" s="38">
        <f t="shared" si="42"/>
        <v>0</v>
      </c>
      <c r="BT48" s="38">
        <f t="shared" si="42"/>
        <v>0</v>
      </c>
      <c r="BU48" s="38">
        <f t="shared" si="42"/>
        <v>0</v>
      </c>
      <c r="BV48" s="38">
        <f t="shared" si="42"/>
        <v>0</v>
      </c>
      <c r="BX48" s="38">
        <f t="shared" si="43"/>
        <v>0</v>
      </c>
      <c r="BY48" s="38">
        <f t="shared" si="43"/>
        <v>0</v>
      </c>
      <c r="BZ48" s="38">
        <f t="shared" si="43"/>
        <v>0</v>
      </c>
      <c r="CA48" s="38">
        <f t="shared" si="43"/>
        <v>0</v>
      </c>
      <c r="CB48" s="38">
        <f t="shared" si="43"/>
        <v>0</v>
      </c>
      <c r="CC48" s="38">
        <f t="shared" si="43"/>
        <v>0</v>
      </c>
      <c r="CD48" s="38">
        <f t="shared" si="43"/>
        <v>0</v>
      </c>
      <c r="CE48" s="38">
        <f t="shared" si="43"/>
        <v>0</v>
      </c>
      <c r="CF48" s="38">
        <f t="shared" si="43"/>
        <v>0</v>
      </c>
      <c r="CG48" s="38">
        <f t="shared" si="43"/>
        <v>0</v>
      </c>
      <c r="CH48" s="38">
        <f t="shared" si="43"/>
        <v>0</v>
      </c>
      <c r="CI48" s="38">
        <f t="shared" si="43"/>
        <v>0</v>
      </c>
      <c r="CK48" s="11"/>
      <c r="CM48" s="11"/>
      <c r="EX48" s="10" t="str">
        <f t="shared" si="8"/>
        <v/>
      </c>
    </row>
    <row r="49" spans="1:154" x14ac:dyDescent="0.35">
      <c r="B49" t="str">
        <f ca="1">Loans!B$17</f>
        <v>Loan 5</v>
      </c>
      <c r="D49" s="51">
        <f>Loans!D$17</f>
        <v>0</v>
      </c>
      <c r="E49" s="117" t="str">
        <f>IF(Loans!J$17=0, "", Loans!J$17)</f>
        <v/>
      </c>
      <c r="F49" s="117" t="str">
        <f>IF(Loans!K$17=0, "", Loans!K$17)</f>
        <v/>
      </c>
      <c r="V49" s="38">
        <f t="shared" si="37"/>
        <v>0</v>
      </c>
      <c r="W49" s="38">
        <f t="shared" si="37"/>
        <v>0</v>
      </c>
      <c r="X49" s="38">
        <f t="shared" si="37"/>
        <v>0</v>
      </c>
      <c r="Y49" s="38">
        <f t="shared" si="37"/>
        <v>0</v>
      </c>
      <c r="AA49" s="38">
        <f t="shared" si="38"/>
        <v>0</v>
      </c>
      <c r="AB49" s="38">
        <f t="shared" si="38"/>
        <v>0</v>
      </c>
      <c r="AC49" s="38">
        <f t="shared" si="38"/>
        <v>0</v>
      </c>
      <c r="AD49" s="38">
        <f t="shared" si="38"/>
        <v>0</v>
      </c>
      <c r="AE49" s="38">
        <f t="shared" si="38"/>
        <v>0</v>
      </c>
      <c r="AF49" s="38">
        <f t="shared" si="38"/>
        <v>0</v>
      </c>
      <c r="AG49" s="38">
        <f t="shared" si="38"/>
        <v>0</v>
      </c>
      <c r="AH49" s="38">
        <f t="shared" si="38"/>
        <v>0</v>
      </c>
      <c r="AI49" s="38">
        <f t="shared" si="38"/>
        <v>0</v>
      </c>
      <c r="AJ49" s="38">
        <f t="shared" si="38"/>
        <v>0</v>
      </c>
      <c r="AK49" s="38">
        <f t="shared" si="39"/>
        <v>0</v>
      </c>
      <c r="AL49" s="38">
        <f t="shared" si="39"/>
        <v>0</v>
      </c>
      <c r="AM49" s="38">
        <f t="shared" si="39"/>
        <v>0</v>
      </c>
      <c r="AN49" s="38">
        <f t="shared" si="39"/>
        <v>0</v>
      </c>
      <c r="AO49" s="38">
        <f t="shared" si="39"/>
        <v>0</v>
      </c>
      <c r="AP49" s="38">
        <f t="shared" si="39"/>
        <v>0</v>
      </c>
      <c r="AQ49" s="38">
        <f t="shared" si="39"/>
        <v>0</v>
      </c>
      <c r="AR49" s="38">
        <f t="shared" si="39"/>
        <v>0</v>
      </c>
      <c r="AS49" s="38">
        <f t="shared" si="39"/>
        <v>0</v>
      </c>
      <c r="AT49" s="38">
        <f t="shared" si="39"/>
        <v>0</v>
      </c>
      <c r="AU49" s="38">
        <f t="shared" si="40"/>
        <v>0</v>
      </c>
      <c r="AV49" s="38">
        <f t="shared" si="40"/>
        <v>0</v>
      </c>
      <c r="AW49" s="38">
        <f t="shared" si="40"/>
        <v>0</v>
      </c>
      <c r="AX49" s="38">
        <f t="shared" si="40"/>
        <v>0</v>
      </c>
      <c r="AY49" s="38">
        <f t="shared" si="40"/>
        <v>0</v>
      </c>
      <c r="AZ49" s="38">
        <f t="shared" si="40"/>
        <v>0</v>
      </c>
      <c r="BA49" s="38">
        <f t="shared" si="40"/>
        <v>0</v>
      </c>
      <c r="BB49" s="38">
        <f t="shared" si="40"/>
        <v>0</v>
      </c>
      <c r="BC49" s="38">
        <f t="shared" si="40"/>
        <v>0</v>
      </c>
      <c r="BD49" s="38">
        <f t="shared" si="40"/>
        <v>0</v>
      </c>
      <c r="BE49" s="38">
        <f t="shared" si="41"/>
        <v>0</v>
      </c>
      <c r="BF49" s="38">
        <f t="shared" si="41"/>
        <v>0</v>
      </c>
      <c r="BG49" s="38">
        <f t="shared" si="41"/>
        <v>0</v>
      </c>
      <c r="BH49" s="38">
        <f t="shared" si="41"/>
        <v>0</v>
      </c>
      <c r="BI49" s="38">
        <f t="shared" si="41"/>
        <v>0</v>
      </c>
      <c r="BJ49" s="38">
        <f t="shared" si="41"/>
        <v>0</v>
      </c>
      <c r="BK49" s="38">
        <f t="shared" si="41"/>
        <v>0</v>
      </c>
      <c r="BL49" s="38">
        <f t="shared" si="41"/>
        <v>0</v>
      </c>
      <c r="BM49" s="38">
        <f t="shared" si="41"/>
        <v>0</v>
      </c>
      <c r="BN49" s="38">
        <f t="shared" si="41"/>
        <v>0</v>
      </c>
      <c r="BO49" s="38">
        <f t="shared" si="42"/>
        <v>0</v>
      </c>
      <c r="BP49" s="38">
        <f t="shared" si="42"/>
        <v>0</v>
      </c>
      <c r="BQ49" s="38">
        <f t="shared" si="42"/>
        <v>0</v>
      </c>
      <c r="BR49" s="38">
        <f t="shared" si="42"/>
        <v>0</v>
      </c>
      <c r="BS49" s="38">
        <f t="shared" si="42"/>
        <v>0</v>
      </c>
      <c r="BT49" s="38">
        <f t="shared" si="42"/>
        <v>0</v>
      </c>
      <c r="BU49" s="38">
        <f t="shared" si="42"/>
        <v>0</v>
      </c>
      <c r="BV49" s="38">
        <f t="shared" si="42"/>
        <v>0</v>
      </c>
      <c r="BX49" s="38">
        <f t="shared" si="43"/>
        <v>0</v>
      </c>
      <c r="BY49" s="38">
        <f t="shared" si="43"/>
        <v>0</v>
      </c>
      <c r="BZ49" s="38">
        <f t="shared" si="43"/>
        <v>0</v>
      </c>
      <c r="CA49" s="38">
        <f t="shared" si="43"/>
        <v>0</v>
      </c>
      <c r="CB49" s="38">
        <f t="shared" si="43"/>
        <v>0</v>
      </c>
      <c r="CC49" s="38">
        <f t="shared" si="43"/>
        <v>0</v>
      </c>
      <c r="CD49" s="38">
        <f t="shared" si="43"/>
        <v>0</v>
      </c>
      <c r="CE49" s="38">
        <f t="shared" si="43"/>
        <v>0</v>
      </c>
      <c r="CF49" s="38">
        <f t="shared" si="43"/>
        <v>0</v>
      </c>
      <c r="CG49" s="38">
        <f t="shared" si="43"/>
        <v>0</v>
      </c>
      <c r="CH49" s="38">
        <f t="shared" si="43"/>
        <v>0</v>
      </c>
      <c r="CI49" s="38">
        <f t="shared" si="43"/>
        <v>0</v>
      </c>
      <c r="CK49" s="11"/>
      <c r="CM49" s="11"/>
      <c r="EX49" s="10" t="str">
        <f t="shared" si="8"/>
        <v/>
      </c>
    </row>
    <row r="50" spans="1:154" x14ac:dyDescent="0.35">
      <c r="B50" t="str">
        <f ca="1">Loans!B$18</f>
        <v>Loan 6</v>
      </c>
      <c r="D50" s="51">
        <f>Loans!D$18</f>
        <v>0</v>
      </c>
      <c r="E50" s="117" t="str">
        <f>IF(Loans!J$18=0, "", Loans!J$18)</f>
        <v/>
      </c>
      <c r="F50" s="117" t="str">
        <f>IF(Loans!K$18=0, "", Loans!K$18)</f>
        <v/>
      </c>
      <c r="V50" s="38">
        <f t="shared" si="37"/>
        <v>0</v>
      </c>
      <c r="W50" s="38">
        <f t="shared" si="37"/>
        <v>0</v>
      </c>
      <c r="X50" s="38">
        <f t="shared" si="37"/>
        <v>0</v>
      </c>
      <c r="Y50" s="38">
        <f t="shared" si="37"/>
        <v>0</v>
      </c>
      <c r="AA50" s="38">
        <f t="shared" si="38"/>
        <v>0</v>
      </c>
      <c r="AB50" s="38">
        <f t="shared" si="38"/>
        <v>0</v>
      </c>
      <c r="AC50" s="38">
        <f t="shared" si="38"/>
        <v>0</v>
      </c>
      <c r="AD50" s="38">
        <f t="shared" si="38"/>
        <v>0</v>
      </c>
      <c r="AE50" s="38">
        <f t="shared" si="38"/>
        <v>0</v>
      </c>
      <c r="AF50" s="38">
        <f t="shared" si="38"/>
        <v>0</v>
      </c>
      <c r="AG50" s="38">
        <f t="shared" si="38"/>
        <v>0</v>
      </c>
      <c r="AH50" s="38">
        <f t="shared" si="38"/>
        <v>0</v>
      </c>
      <c r="AI50" s="38">
        <f t="shared" si="38"/>
        <v>0</v>
      </c>
      <c r="AJ50" s="38">
        <f t="shared" si="38"/>
        <v>0</v>
      </c>
      <c r="AK50" s="38">
        <f t="shared" si="39"/>
        <v>0</v>
      </c>
      <c r="AL50" s="38">
        <f t="shared" si="39"/>
        <v>0</v>
      </c>
      <c r="AM50" s="38">
        <f t="shared" si="39"/>
        <v>0</v>
      </c>
      <c r="AN50" s="38">
        <f t="shared" si="39"/>
        <v>0</v>
      </c>
      <c r="AO50" s="38">
        <f t="shared" si="39"/>
        <v>0</v>
      </c>
      <c r="AP50" s="38">
        <f t="shared" si="39"/>
        <v>0</v>
      </c>
      <c r="AQ50" s="38">
        <f t="shared" si="39"/>
        <v>0</v>
      </c>
      <c r="AR50" s="38">
        <f t="shared" si="39"/>
        <v>0</v>
      </c>
      <c r="AS50" s="38">
        <f t="shared" si="39"/>
        <v>0</v>
      </c>
      <c r="AT50" s="38">
        <f t="shared" si="39"/>
        <v>0</v>
      </c>
      <c r="AU50" s="38">
        <f t="shared" si="40"/>
        <v>0</v>
      </c>
      <c r="AV50" s="38">
        <f t="shared" si="40"/>
        <v>0</v>
      </c>
      <c r="AW50" s="38">
        <f t="shared" si="40"/>
        <v>0</v>
      </c>
      <c r="AX50" s="38">
        <f t="shared" si="40"/>
        <v>0</v>
      </c>
      <c r="AY50" s="38">
        <f t="shared" si="40"/>
        <v>0</v>
      </c>
      <c r="AZ50" s="38">
        <f t="shared" si="40"/>
        <v>0</v>
      </c>
      <c r="BA50" s="38">
        <f t="shared" si="40"/>
        <v>0</v>
      </c>
      <c r="BB50" s="38">
        <f t="shared" si="40"/>
        <v>0</v>
      </c>
      <c r="BC50" s="38">
        <f t="shared" si="40"/>
        <v>0</v>
      </c>
      <c r="BD50" s="38">
        <f t="shared" si="40"/>
        <v>0</v>
      </c>
      <c r="BE50" s="38">
        <f t="shared" si="41"/>
        <v>0</v>
      </c>
      <c r="BF50" s="38">
        <f t="shared" si="41"/>
        <v>0</v>
      </c>
      <c r="BG50" s="38">
        <f t="shared" si="41"/>
        <v>0</v>
      </c>
      <c r="BH50" s="38">
        <f t="shared" si="41"/>
        <v>0</v>
      </c>
      <c r="BI50" s="38">
        <f t="shared" si="41"/>
        <v>0</v>
      </c>
      <c r="BJ50" s="38">
        <f t="shared" si="41"/>
        <v>0</v>
      </c>
      <c r="BK50" s="38">
        <f t="shared" si="41"/>
        <v>0</v>
      </c>
      <c r="BL50" s="38">
        <f t="shared" si="41"/>
        <v>0</v>
      </c>
      <c r="BM50" s="38">
        <f t="shared" si="41"/>
        <v>0</v>
      </c>
      <c r="BN50" s="38">
        <f t="shared" si="41"/>
        <v>0</v>
      </c>
      <c r="BO50" s="38">
        <f t="shared" si="42"/>
        <v>0</v>
      </c>
      <c r="BP50" s="38">
        <f t="shared" si="42"/>
        <v>0</v>
      </c>
      <c r="BQ50" s="38">
        <f t="shared" si="42"/>
        <v>0</v>
      </c>
      <c r="BR50" s="38">
        <f t="shared" si="42"/>
        <v>0</v>
      </c>
      <c r="BS50" s="38">
        <f t="shared" si="42"/>
        <v>0</v>
      </c>
      <c r="BT50" s="38">
        <f t="shared" si="42"/>
        <v>0</v>
      </c>
      <c r="BU50" s="38">
        <f t="shared" si="42"/>
        <v>0</v>
      </c>
      <c r="BV50" s="38">
        <f t="shared" si="42"/>
        <v>0</v>
      </c>
      <c r="BX50" s="38">
        <f t="shared" si="43"/>
        <v>0</v>
      </c>
      <c r="BY50" s="38">
        <f t="shared" si="43"/>
        <v>0</v>
      </c>
      <c r="BZ50" s="38">
        <f t="shared" si="43"/>
        <v>0</v>
      </c>
      <c r="CA50" s="38">
        <f t="shared" si="43"/>
        <v>0</v>
      </c>
      <c r="CB50" s="38">
        <f t="shared" si="43"/>
        <v>0</v>
      </c>
      <c r="CC50" s="38">
        <f t="shared" si="43"/>
        <v>0</v>
      </c>
      <c r="CD50" s="38">
        <f t="shared" si="43"/>
        <v>0</v>
      </c>
      <c r="CE50" s="38">
        <f t="shared" si="43"/>
        <v>0</v>
      </c>
      <c r="CF50" s="38">
        <f t="shared" si="43"/>
        <v>0</v>
      </c>
      <c r="CG50" s="38">
        <f t="shared" si="43"/>
        <v>0</v>
      </c>
      <c r="CH50" s="38">
        <f t="shared" si="43"/>
        <v>0</v>
      </c>
      <c r="CI50" s="38">
        <f t="shared" si="43"/>
        <v>0</v>
      </c>
      <c r="CK50" s="11"/>
      <c r="CM50" s="11"/>
      <c r="EX50" s="10" t="str">
        <f t="shared" si="8"/>
        <v/>
      </c>
    </row>
    <row r="51" spans="1:154" s="5" customFormat="1" x14ac:dyDescent="0.35">
      <c r="A51"/>
      <c r="B51" t="str">
        <f ca="1">Loans!B$19</f>
        <v>Loan 7</v>
      </c>
      <c r="D51" s="51">
        <f>Loans!D$19</f>
        <v>0</v>
      </c>
      <c r="E51" s="117" t="str">
        <f>IF(Loans!J$19=0, "", Loans!J$19)</f>
        <v/>
      </c>
      <c r="F51" s="117" t="str">
        <f>IF(Loans!K$19=0, "", Loans!K$19)</f>
        <v/>
      </c>
      <c r="G51"/>
      <c r="H51"/>
      <c r="I51"/>
      <c r="J51"/>
      <c r="K51"/>
      <c r="N51"/>
      <c r="O51"/>
      <c r="P51"/>
      <c r="Q51"/>
      <c r="R51"/>
      <c r="S51"/>
      <c r="T51"/>
      <c r="U51"/>
      <c r="V51" s="38">
        <f t="shared" si="37"/>
        <v>0</v>
      </c>
      <c r="W51" s="38">
        <f t="shared" si="37"/>
        <v>0</v>
      </c>
      <c r="X51" s="38">
        <f t="shared" si="37"/>
        <v>0</v>
      </c>
      <c r="Y51" s="38">
        <f t="shared" si="37"/>
        <v>0</v>
      </c>
      <c r="Z51"/>
      <c r="AA51" s="38">
        <f t="shared" si="38"/>
        <v>0</v>
      </c>
      <c r="AB51" s="38">
        <f t="shared" si="38"/>
        <v>0</v>
      </c>
      <c r="AC51" s="38">
        <f t="shared" si="38"/>
        <v>0</v>
      </c>
      <c r="AD51" s="38">
        <f t="shared" si="38"/>
        <v>0</v>
      </c>
      <c r="AE51" s="38">
        <f t="shared" si="38"/>
        <v>0</v>
      </c>
      <c r="AF51" s="38">
        <f t="shared" si="38"/>
        <v>0</v>
      </c>
      <c r="AG51" s="38">
        <f t="shared" si="38"/>
        <v>0</v>
      </c>
      <c r="AH51" s="38">
        <f t="shared" si="38"/>
        <v>0</v>
      </c>
      <c r="AI51" s="38">
        <f t="shared" si="38"/>
        <v>0</v>
      </c>
      <c r="AJ51" s="38">
        <f t="shared" si="38"/>
        <v>0</v>
      </c>
      <c r="AK51" s="38">
        <f t="shared" si="39"/>
        <v>0</v>
      </c>
      <c r="AL51" s="38">
        <f t="shared" si="39"/>
        <v>0</v>
      </c>
      <c r="AM51" s="38">
        <f t="shared" si="39"/>
        <v>0</v>
      </c>
      <c r="AN51" s="38">
        <f t="shared" si="39"/>
        <v>0</v>
      </c>
      <c r="AO51" s="38">
        <f t="shared" si="39"/>
        <v>0</v>
      </c>
      <c r="AP51" s="38">
        <f t="shared" si="39"/>
        <v>0</v>
      </c>
      <c r="AQ51" s="38">
        <f t="shared" si="39"/>
        <v>0</v>
      </c>
      <c r="AR51" s="38">
        <f t="shared" si="39"/>
        <v>0</v>
      </c>
      <c r="AS51" s="38">
        <f t="shared" si="39"/>
        <v>0</v>
      </c>
      <c r="AT51" s="38">
        <f t="shared" si="39"/>
        <v>0</v>
      </c>
      <c r="AU51" s="38">
        <f t="shared" si="40"/>
        <v>0</v>
      </c>
      <c r="AV51" s="38">
        <f t="shared" si="40"/>
        <v>0</v>
      </c>
      <c r="AW51" s="38">
        <f t="shared" si="40"/>
        <v>0</v>
      </c>
      <c r="AX51" s="38">
        <f t="shared" si="40"/>
        <v>0</v>
      </c>
      <c r="AY51" s="38">
        <f t="shared" si="40"/>
        <v>0</v>
      </c>
      <c r="AZ51" s="38">
        <f t="shared" si="40"/>
        <v>0</v>
      </c>
      <c r="BA51" s="38">
        <f t="shared" si="40"/>
        <v>0</v>
      </c>
      <c r="BB51" s="38">
        <f t="shared" si="40"/>
        <v>0</v>
      </c>
      <c r="BC51" s="38">
        <f t="shared" si="40"/>
        <v>0</v>
      </c>
      <c r="BD51" s="38">
        <f t="shared" si="40"/>
        <v>0</v>
      </c>
      <c r="BE51" s="38">
        <f t="shared" si="41"/>
        <v>0</v>
      </c>
      <c r="BF51" s="38">
        <f t="shared" si="41"/>
        <v>0</v>
      </c>
      <c r="BG51" s="38">
        <f t="shared" si="41"/>
        <v>0</v>
      </c>
      <c r="BH51" s="38">
        <f t="shared" si="41"/>
        <v>0</v>
      </c>
      <c r="BI51" s="38">
        <f t="shared" si="41"/>
        <v>0</v>
      </c>
      <c r="BJ51" s="38">
        <f t="shared" si="41"/>
        <v>0</v>
      </c>
      <c r="BK51" s="38">
        <f t="shared" si="41"/>
        <v>0</v>
      </c>
      <c r="BL51" s="38">
        <f t="shared" si="41"/>
        <v>0</v>
      </c>
      <c r="BM51" s="38">
        <f t="shared" si="41"/>
        <v>0</v>
      </c>
      <c r="BN51" s="38">
        <f t="shared" si="41"/>
        <v>0</v>
      </c>
      <c r="BO51" s="38">
        <f t="shared" si="42"/>
        <v>0</v>
      </c>
      <c r="BP51" s="38">
        <f t="shared" si="42"/>
        <v>0</v>
      </c>
      <c r="BQ51" s="38">
        <f t="shared" si="42"/>
        <v>0</v>
      </c>
      <c r="BR51" s="38">
        <f t="shared" si="42"/>
        <v>0</v>
      </c>
      <c r="BS51" s="38">
        <f t="shared" si="42"/>
        <v>0</v>
      </c>
      <c r="BT51" s="38">
        <f t="shared" si="42"/>
        <v>0</v>
      </c>
      <c r="BU51" s="38">
        <f t="shared" si="42"/>
        <v>0</v>
      </c>
      <c r="BV51" s="38">
        <f t="shared" si="42"/>
        <v>0</v>
      </c>
      <c r="BW51"/>
      <c r="BX51" s="38">
        <f t="shared" si="43"/>
        <v>0</v>
      </c>
      <c r="BY51" s="38">
        <f t="shared" si="43"/>
        <v>0</v>
      </c>
      <c r="BZ51" s="38">
        <f t="shared" si="43"/>
        <v>0</v>
      </c>
      <c r="CA51" s="38">
        <f t="shared" si="43"/>
        <v>0</v>
      </c>
      <c r="CB51" s="38">
        <f t="shared" si="43"/>
        <v>0</v>
      </c>
      <c r="CC51" s="38">
        <f t="shared" si="43"/>
        <v>0</v>
      </c>
      <c r="CD51" s="38">
        <f t="shared" si="43"/>
        <v>0</v>
      </c>
      <c r="CE51" s="38">
        <f t="shared" si="43"/>
        <v>0</v>
      </c>
      <c r="CF51" s="38">
        <f t="shared" si="43"/>
        <v>0</v>
      </c>
      <c r="CG51" s="38">
        <f t="shared" si="43"/>
        <v>0</v>
      </c>
      <c r="CH51" s="38">
        <f t="shared" si="43"/>
        <v>0</v>
      </c>
      <c r="CI51" s="38">
        <f t="shared" si="43"/>
        <v>0</v>
      </c>
      <c r="CJ51"/>
      <c r="CK51" s="11"/>
      <c r="CL51"/>
      <c r="CM51" s="11"/>
      <c r="EX51" s="10" t="str">
        <f t="shared" si="8"/>
        <v/>
      </c>
    </row>
    <row r="52" spans="1:154" x14ac:dyDescent="0.35">
      <c r="B52" t="str">
        <f ca="1">Loans!B$20</f>
        <v>Loan 8</v>
      </c>
      <c r="D52" s="51">
        <f>Loans!D$20</f>
        <v>0</v>
      </c>
      <c r="E52" s="117" t="str">
        <f>IF(Loans!J$20=0, "", Loans!J$20)</f>
        <v/>
      </c>
      <c r="F52" s="117" t="str">
        <f>IF(Loans!K$20=0, "", Loans!K$20)</f>
        <v/>
      </c>
      <c r="V52" s="38">
        <f t="shared" si="37"/>
        <v>0</v>
      </c>
      <c r="W52" s="38">
        <f t="shared" si="37"/>
        <v>0</v>
      </c>
      <c r="X52" s="38">
        <f t="shared" si="37"/>
        <v>0</v>
      </c>
      <c r="Y52" s="38">
        <f t="shared" si="37"/>
        <v>0</v>
      </c>
      <c r="AA52" s="38">
        <f t="shared" si="38"/>
        <v>0</v>
      </c>
      <c r="AB52" s="38">
        <f t="shared" si="38"/>
        <v>0</v>
      </c>
      <c r="AC52" s="38">
        <f t="shared" si="38"/>
        <v>0</v>
      </c>
      <c r="AD52" s="38">
        <f t="shared" si="38"/>
        <v>0</v>
      </c>
      <c r="AE52" s="38">
        <f t="shared" si="38"/>
        <v>0</v>
      </c>
      <c r="AF52" s="38">
        <f t="shared" si="38"/>
        <v>0</v>
      </c>
      <c r="AG52" s="38">
        <f t="shared" si="38"/>
        <v>0</v>
      </c>
      <c r="AH52" s="38">
        <f t="shared" si="38"/>
        <v>0</v>
      </c>
      <c r="AI52" s="38">
        <f t="shared" si="38"/>
        <v>0</v>
      </c>
      <c r="AJ52" s="38">
        <f t="shared" si="38"/>
        <v>0</v>
      </c>
      <c r="AK52" s="38">
        <f t="shared" si="39"/>
        <v>0</v>
      </c>
      <c r="AL52" s="38">
        <f t="shared" si="39"/>
        <v>0</v>
      </c>
      <c r="AM52" s="38">
        <f t="shared" si="39"/>
        <v>0</v>
      </c>
      <c r="AN52" s="38">
        <f t="shared" si="39"/>
        <v>0</v>
      </c>
      <c r="AO52" s="38">
        <f t="shared" si="39"/>
        <v>0</v>
      </c>
      <c r="AP52" s="38">
        <f t="shared" si="39"/>
        <v>0</v>
      </c>
      <c r="AQ52" s="38">
        <f t="shared" si="39"/>
        <v>0</v>
      </c>
      <c r="AR52" s="38">
        <f t="shared" si="39"/>
        <v>0</v>
      </c>
      <c r="AS52" s="38">
        <f t="shared" si="39"/>
        <v>0</v>
      </c>
      <c r="AT52" s="38">
        <f t="shared" si="39"/>
        <v>0</v>
      </c>
      <c r="AU52" s="38">
        <f t="shared" si="40"/>
        <v>0</v>
      </c>
      <c r="AV52" s="38">
        <f t="shared" si="40"/>
        <v>0</v>
      </c>
      <c r="AW52" s="38">
        <f t="shared" si="40"/>
        <v>0</v>
      </c>
      <c r="AX52" s="38">
        <f t="shared" si="40"/>
        <v>0</v>
      </c>
      <c r="AY52" s="38">
        <f t="shared" si="40"/>
        <v>0</v>
      </c>
      <c r="AZ52" s="38">
        <f t="shared" si="40"/>
        <v>0</v>
      </c>
      <c r="BA52" s="38">
        <f t="shared" si="40"/>
        <v>0</v>
      </c>
      <c r="BB52" s="38">
        <f t="shared" si="40"/>
        <v>0</v>
      </c>
      <c r="BC52" s="38">
        <f t="shared" si="40"/>
        <v>0</v>
      </c>
      <c r="BD52" s="38">
        <f t="shared" si="40"/>
        <v>0</v>
      </c>
      <c r="BE52" s="38">
        <f t="shared" si="41"/>
        <v>0</v>
      </c>
      <c r="BF52" s="38">
        <f t="shared" si="41"/>
        <v>0</v>
      </c>
      <c r="BG52" s="38">
        <f t="shared" si="41"/>
        <v>0</v>
      </c>
      <c r="BH52" s="38">
        <f t="shared" si="41"/>
        <v>0</v>
      </c>
      <c r="BI52" s="38">
        <f t="shared" si="41"/>
        <v>0</v>
      </c>
      <c r="BJ52" s="38">
        <f t="shared" si="41"/>
        <v>0</v>
      </c>
      <c r="BK52" s="38">
        <f t="shared" si="41"/>
        <v>0</v>
      </c>
      <c r="BL52" s="38">
        <f t="shared" si="41"/>
        <v>0</v>
      </c>
      <c r="BM52" s="38">
        <f t="shared" si="41"/>
        <v>0</v>
      </c>
      <c r="BN52" s="38">
        <f t="shared" si="41"/>
        <v>0</v>
      </c>
      <c r="BO52" s="38">
        <f t="shared" si="42"/>
        <v>0</v>
      </c>
      <c r="BP52" s="38">
        <f t="shared" si="42"/>
        <v>0</v>
      </c>
      <c r="BQ52" s="38">
        <f t="shared" si="42"/>
        <v>0</v>
      </c>
      <c r="BR52" s="38">
        <f t="shared" si="42"/>
        <v>0</v>
      </c>
      <c r="BS52" s="38">
        <f t="shared" si="42"/>
        <v>0</v>
      </c>
      <c r="BT52" s="38">
        <f t="shared" si="42"/>
        <v>0</v>
      </c>
      <c r="BU52" s="38">
        <f t="shared" si="42"/>
        <v>0</v>
      </c>
      <c r="BV52" s="38">
        <f t="shared" si="42"/>
        <v>0</v>
      </c>
      <c r="BX52" s="38">
        <f t="shared" si="43"/>
        <v>0</v>
      </c>
      <c r="BY52" s="38">
        <f t="shared" si="43"/>
        <v>0</v>
      </c>
      <c r="BZ52" s="38">
        <f t="shared" si="43"/>
        <v>0</v>
      </c>
      <c r="CA52" s="38">
        <f t="shared" si="43"/>
        <v>0</v>
      </c>
      <c r="CB52" s="38">
        <f t="shared" si="43"/>
        <v>0</v>
      </c>
      <c r="CC52" s="38">
        <f t="shared" si="43"/>
        <v>0</v>
      </c>
      <c r="CD52" s="38">
        <f t="shared" si="43"/>
        <v>0</v>
      </c>
      <c r="CE52" s="38">
        <f t="shared" si="43"/>
        <v>0</v>
      </c>
      <c r="CF52" s="38">
        <f t="shared" si="43"/>
        <v>0</v>
      </c>
      <c r="CG52" s="38">
        <f t="shared" si="43"/>
        <v>0</v>
      </c>
      <c r="CH52" s="38">
        <f t="shared" si="43"/>
        <v>0</v>
      </c>
      <c r="CI52" s="38">
        <f t="shared" si="43"/>
        <v>0</v>
      </c>
      <c r="CK52" s="11"/>
      <c r="CM52" s="11"/>
      <c r="EX52" s="10" t="str">
        <f t="shared" si="8"/>
        <v/>
      </c>
    </row>
    <row r="53" spans="1:154" x14ac:dyDescent="0.35">
      <c r="B53" t="str">
        <f ca="1">Loans!B$21</f>
        <v>Loan 9</v>
      </c>
      <c r="D53" s="51">
        <f>Loans!D$21</f>
        <v>0</v>
      </c>
      <c r="E53" s="117" t="str">
        <f>IF(Loans!J$21=0, "", Loans!J$21)</f>
        <v/>
      </c>
      <c r="F53" s="117" t="str">
        <f>IF(Loans!K$21=0, "", Loans!K$21)</f>
        <v/>
      </c>
      <c r="V53" s="38">
        <f t="shared" si="37"/>
        <v>0</v>
      </c>
      <c r="W53" s="38">
        <f t="shared" si="37"/>
        <v>0</v>
      </c>
      <c r="X53" s="38">
        <f t="shared" si="37"/>
        <v>0</v>
      </c>
      <c r="Y53" s="38">
        <f t="shared" si="37"/>
        <v>0</v>
      </c>
      <c r="AA53" s="38">
        <f t="shared" si="38"/>
        <v>0</v>
      </c>
      <c r="AB53" s="38">
        <f t="shared" si="38"/>
        <v>0</v>
      </c>
      <c r="AC53" s="38">
        <f t="shared" si="38"/>
        <v>0</v>
      </c>
      <c r="AD53" s="38">
        <f t="shared" si="38"/>
        <v>0</v>
      </c>
      <c r="AE53" s="38">
        <f t="shared" si="38"/>
        <v>0</v>
      </c>
      <c r="AF53" s="38">
        <f t="shared" si="38"/>
        <v>0</v>
      </c>
      <c r="AG53" s="38">
        <f t="shared" si="38"/>
        <v>0</v>
      </c>
      <c r="AH53" s="38">
        <f t="shared" si="38"/>
        <v>0</v>
      </c>
      <c r="AI53" s="38">
        <f t="shared" si="38"/>
        <v>0</v>
      </c>
      <c r="AJ53" s="38">
        <f t="shared" si="38"/>
        <v>0</v>
      </c>
      <c r="AK53" s="38">
        <f t="shared" si="39"/>
        <v>0</v>
      </c>
      <c r="AL53" s="38">
        <f t="shared" si="39"/>
        <v>0</v>
      </c>
      <c r="AM53" s="38">
        <f t="shared" si="39"/>
        <v>0</v>
      </c>
      <c r="AN53" s="38">
        <f t="shared" si="39"/>
        <v>0</v>
      </c>
      <c r="AO53" s="38">
        <f t="shared" si="39"/>
        <v>0</v>
      </c>
      <c r="AP53" s="38">
        <f t="shared" si="39"/>
        <v>0</v>
      </c>
      <c r="AQ53" s="38">
        <f t="shared" si="39"/>
        <v>0</v>
      </c>
      <c r="AR53" s="38">
        <f t="shared" si="39"/>
        <v>0</v>
      </c>
      <c r="AS53" s="38">
        <f t="shared" si="39"/>
        <v>0</v>
      </c>
      <c r="AT53" s="38">
        <f t="shared" si="39"/>
        <v>0</v>
      </c>
      <c r="AU53" s="38">
        <f t="shared" si="40"/>
        <v>0</v>
      </c>
      <c r="AV53" s="38">
        <f t="shared" si="40"/>
        <v>0</v>
      </c>
      <c r="AW53" s="38">
        <f t="shared" si="40"/>
        <v>0</v>
      </c>
      <c r="AX53" s="38">
        <f t="shared" si="40"/>
        <v>0</v>
      </c>
      <c r="AY53" s="38">
        <f t="shared" si="40"/>
        <v>0</v>
      </c>
      <c r="AZ53" s="38">
        <f t="shared" si="40"/>
        <v>0</v>
      </c>
      <c r="BA53" s="38">
        <f t="shared" si="40"/>
        <v>0</v>
      </c>
      <c r="BB53" s="38">
        <f t="shared" si="40"/>
        <v>0</v>
      </c>
      <c r="BC53" s="38">
        <f t="shared" si="40"/>
        <v>0</v>
      </c>
      <c r="BD53" s="38">
        <f t="shared" si="40"/>
        <v>0</v>
      </c>
      <c r="BE53" s="38">
        <f t="shared" si="41"/>
        <v>0</v>
      </c>
      <c r="BF53" s="38">
        <f t="shared" si="41"/>
        <v>0</v>
      </c>
      <c r="BG53" s="38">
        <f t="shared" si="41"/>
        <v>0</v>
      </c>
      <c r="BH53" s="38">
        <f t="shared" si="41"/>
        <v>0</v>
      </c>
      <c r="BI53" s="38">
        <f t="shared" si="41"/>
        <v>0</v>
      </c>
      <c r="BJ53" s="38">
        <f t="shared" si="41"/>
        <v>0</v>
      </c>
      <c r="BK53" s="38">
        <f t="shared" si="41"/>
        <v>0</v>
      </c>
      <c r="BL53" s="38">
        <f t="shared" si="41"/>
        <v>0</v>
      </c>
      <c r="BM53" s="38">
        <f t="shared" si="41"/>
        <v>0</v>
      </c>
      <c r="BN53" s="38">
        <f t="shared" si="41"/>
        <v>0</v>
      </c>
      <c r="BO53" s="38">
        <f t="shared" si="42"/>
        <v>0</v>
      </c>
      <c r="BP53" s="38">
        <f t="shared" si="42"/>
        <v>0</v>
      </c>
      <c r="BQ53" s="38">
        <f t="shared" si="42"/>
        <v>0</v>
      </c>
      <c r="BR53" s="38">
        <f t="shared" si="42"/>
        <v>0</v>
      </c>
      <c r="BS53" s="38">
        <f t="shared" si="42"/>
        <v>0</v>
      </c>
      <c r="BT53" s="38">
        <f t="shared" si="42"/>
        <v>0</v>
      </c>
      <c r="BU53" s="38">
        <f t="shared" si="42"/>
        <v>0</v>
      </c>
      <c r="BV53" s="38">
        <f t="shared" si="42"/>
        <v>0</v>
      </c>
      <c r="BX53" s="38">
        <f t="shared" si="43"/>
        <v>0</v>
      </c>
      <c r="BY53" s="38">
        <f t="shared" si="43"/>
        <v>0</v>
      </c>
      <c r="BZ53" s="38">
        <f t="shared" si="43"/>
        <v>0</v>
      </c>
      <c r="CA53" s="38">
        <f t="shared" si="43"/>
        <v>0</v>
      </c>
      <c r="CB53" s="38">
        <f t="shared" si="43"/>
        <v>0</v>
      </c>
      <c r="CC53" s="38">
        <f t="shared" si="43"/>
        <v>0</v>
      </c>
      <c r="CD53" s="38">
        <f t="shared" si="43"/>
        <v>0</v>
      </c>
      <c r="CE53" s="38">
        <f t="shared" si="43"/>
        <v>0</v>
      </c>
      <c r="CF53" s="38">
        <f t="shared" si="43"/>
        <v>0</v>
      </c>
      <c r="CG53" s="38">
        <f t="shared" si="43"/>
        <v>0</v>
      </c>
      <c r="CH53" s="38">
        <f t="shared" si="43"/>
        <v>0</v>
      </c>
      <c r="CI53" s="38">
        <f t="shared" si="43"/>
        <v>0</v>
      </c>
      <c r="CK53" s="11"/>
      <c r="CM53" s="11"/>
      <c r="EX53" s="10" t="str">
        <f t="shared" si="8"/>
        <v/>
      </c>
    </row>
    <row r="54" spans="1:154" x14ac:dyDescent="0.35">
      <c r="B54" t="str">
        <f ca="1">Loans!B$22</f>
        <v>Loan 10</v>
      </c>
      <c r="D54" s="51">
        <f>Loans!D$22</f>
        <v>0</v>
      </c>
      <c r="E54" s="117" t="str">
        <f>IF(Loans!J$22=0, "", Loans!J$22)</f>
        <v/>
      </c>
      <c r="F54" s="117" t="str">
        <f>IF(Loans!K$22=0, "", Loans!K$22)</f>
        <v/>
      </c>
      <c r="V54" s="38">
        <f t="shared" si="37"/>
        <v>0</v>
      </c>
      <c r="W54" s="38">
        <f t="shared" si="37"/>
        <v>0</v>
      </c>
      <c r="X54" s="38">
        <f t="shared" si="37"/>
        <v>0</v>
      </c>
      <c r="Y54" s="38">
        <f t="shared" si="37"/>
        <v>0</v>
      </c>
      <c r="AA54" s="38">
        <f t="shared" si="38"/>
        <v>0</v>
      </c>
      <c r="AB54" s="38">
        <f t="shared" si="38"/>
        <v>0</v>
      </c>
      <c r="AC54" s="38">
        <f t="shared" si="38"/>
        <v>0</v>
      </c>
      <c r="AD54" s="38">
        <f t="shared" si="38"/>
        <v>0</v>
      </c>
      <c r="AE54" s="38">
        <f t="shared" si="38"/>
        <v>0</v>
      </c>
      <c r="AF54" s="38">
        <f t="shared" si="38"/>
        <v>0</v>
      </c>
      <c r="AG54" s="38">
        <f t="shared" si="38"/>
        <v>0</v>
      </c>
      <c r="AH54" s="38">
        <f t="shared" si="38"/>
        <v>0</v>
      </c>
      <c r="AI54" s="38">
        <f t="shared" si="38"/>
        <v>0</v>
      </c>
      <c r="AJ54" s="38">
        <f t="shared" si="38"/>
        <v>0</v>
      </c>
      <c r="AK54" s="38">
        <f t="shared" si="39"/>
        <v>0</v>
      </c>
      <c r="AL54" s="38">
        <f t="shared" si="39"/>
        <v>0</v>
      </c>
      <c r="AM54" s="38">
        <f t="shared" si="39"/>
        <v>0</v>
      </c>
      <c r="AN54" s="38">
        <f t="shared" si="39"/>
        <v>0</v>
      </c>
      <c r="AO54" s="38">
        <f t="shared" si="39"/>
        <v>0</v>
      </c>
      <c r="AP54" s="38">
        <f t="shared" si="39"/>
        <v>0</v>
      </c>
      <c r="AQ54" s="38">
        <f t="shared" si="39"/>
        <v>0</v>
      </c>
      <c r="AR54" s="38">
        <f t="shared" si="39"/>
        <v>0</v>
      </c>
      <c r="AS54" s="38">
        <f t="shared" si="39"/>
        <v>0</v>
      </c>
      <c r="AT54" s="38">
        <f t="shared" si="39"/>
        <v>0</v>
      </c>
      <c r="AU54" s="38">
        <f t="shared" si="40"/>
        <v>0</v>
      </c>
      <c r="AV54" s="38">
        <f t="shared" si="40"/>
        <v>0</v>
      </c>
      <c r="AW54" s="38">
        <f t="shared" si="40"/>
        <v>0</v>
      </c>
      <c r="AX54" s="38">
        <f t="shared" si="40"/>
        <v>0</v>
      </c>
      <c r="AY54" s="38">
        <f t="shared" si="40"/>
        <v>0</v>
      </c>
      <c r="AZ54" s="38">
        <f t="shared" si="40"/>
        <v>0</v>
      </c>
      <c r="BA54" s="38">
        <f t="shared" si="40"/>
        <v>0</v>
      </c>
      <c r="BB54" s="38">
        <f t="shared" si="40"/>
        <v>0</v>
      </c>
      <c r="BC54" s="38">
        <f t="shared" si="40"/>
        <v>0</v>
      </c>
      <c r="BD54" s="38">
        <f t="shared" si="40"/>
        <v>0</v>
      </c>
      <c r="BE54" s="38">
        <f t="shared" si="41"/>
        <v>0</v>
      </c>
      <c r="BF54" s="38">
        <f t="shared" si="41"/>
        <v>0</v>
      </c>
      <c r="BG54" s="38">
        <f t="shared" si="41"/>
        <v>0</v>
      </c>
      <c r="BH54" s="38">
        <f t="shared" si="41"/>
        <v>0</v>
      </c>
      <c r="BI54" s="38">
        <f t="shared" si="41"/>
        <v>0</v>
      </c>
      <c r="BJ54" s="38">
        <f t="shared" si="41"/>
        <v>0</v>
      </c>
      <c r="BK54" s="38">
        <f t="shared" si="41"/>
        <v>0</v>
      </c>
      <c r="BL54" s="38">
        <f t="shared" si="41"/>
        <v>0</v>
      </c>
      <c r="BM54" s="38">
        <f t="shared" si="41"/>
        <v>0</v>
      </c>
      <c r="BN54" s="38">
        <f t="shared" si="41"/>
        <v>0</v>
      </c>
      <c r="BO54" s="38">
        <f t="shared" si="42"/>
        <v>0</v>
      </c>
      <c r="BP54" s="38">
        <f t="shared" si="42"/>
        <v>0</v>
      </c>
      <c r="BQ54" s="38">
        <f t="shared" si="42"/>
        <v>0</v>
      </c>
      <c r="BR54" s="38">
        <f t="shared" si="42"/>
        <v>0</v>
      </c>
      <c r="BS54" s="38">
        <f t="shared" si="42"/>
        <v>0</v>
      </c>
      <c r="BT54" s="38">
        <f t="shared" si="42"/>
        <v>0</v>
      </c>
      <c r="BU54" s="38">
        <f t="shared" si="42"/>
        <v>0</v>
      </c>
      <c r="BV54" s="38">
        <f t="shared" si="42"/>
        <v>0</v>
      </c>
      <c r="BX54" s="38">
        <f t="shared" si="43"/>
        <v>0</v>
      </c>
      <c r="BY54" s="38">
        <f t="shared" si="43"/>
        <v>0</v>
      </c>
      <c r="BZ54" s="38">
        <f t="shared" si="43"/>
        <v>0</v>
      </c>
      <c r="CA54" s="38">
        <f t="shared" si="43"/>
        <v>0</v>
      </c>
      <c r="CB54" s="38">
        <f t="shared" si="43"/>
        <v>0</v>
      </c>
      <c r="CC54" s="38">
        <f t="shared" si="43"/>
        <v>0</v>
      </c>
      <c r="CD54" s="38">
        <f t="shared" si="43"/>
        <v>0</v>
      </c>
      <c r="CE54" s="38">
        <f t="shared" si="43"/>
        <v>0</v>
      </c>
      <c r="CF54" s="38">
        <f t="shared" si="43"/>
        <v>0</v>
      </c>
      <c r="CG54" s="38">
        <f t="shared" si="43"/>
        <v>0</v>
      </c>
      <c r="CH54" s="38">
        <f t="shared" si="43"/>
        <v>0</v>
      </c>
      <c r="CI54" s="38">
        <f t="shared" si="43"/>
        <v>0</v>
      </c>
      <c r="CK54" s="11"/>
      <c r="CM54" s="11"/>
      <c r="EX54" s="10" t="str">
        <f t="shared" si="8"/>
        <v/>
      </c>
    </row>
    <row r="55" spans="1:154" x14ac:dyDescent="0.35">
      <c r="B55" t="str">
        <f ca="1">Loans!B$23</f>
        <v>Loan 11</v>
      </c>
      <c r="D55" s="51">
        <f>Loans!D$23</f>
        <v>0</v>
      </c>
      <c r="E55" s="117" t="str">
        <f>IF(Loans!J$23=0, "", Loans!J$23)</f>
        <v/>
      </c>
      <c r="F55" s="117" t="str">
        <f>IF(Loans!K$23=0, "", Loans!K$23)</f>
        <v/>
      </c>
      <c r="V55" s="38">
        <f t="shared" si="37"/>
        <v>0</v>
      </c>
      <c r="W55" s="38">
        <f t="shared" si="37"/>
        <v>0</v>
      </c>
      <c r="X55" s="38">
        <f t="shared" si="37"/>
        <v>0</v>
      </c>
      <c r="Y55" s="38">
        <f t="shared" si="37"/>
        <v>0</v>
      </c>
      <c r="AA55" s="38">
        <f t="shared" ref="AA55:AJ64" si="44">IF(AND(AA$5&gt;=$E55,AA$8&lt;=$F55),1,0)</f>
        <v>0</v>
      </c>
      <c r="AB55" s="38">
        <f t="shared" si="44"/>
        <v>0</v>
      </c>
      <c r="AC55" s="38">
        <f t="shared" si="44"/>
        <v>0</v>
      </c>
      <c r="AD55" s="38">
        <f t="shared" si="44"/>
        <v>0</v>
      </c>
      <c r="AE55" s="38">
        <f t="shared" si="44"/>
        <v>0</v>
      </c>
      <c r="AF55" s="38">
        <f t="shared" si="44"/>
        <v>0</v>
      </c>
      <c r="AG55" s="38">
        <f t="shared" si="44"/>
        <v>0</v>
      </c>
      <c r="AH55" s="38">
        <f t="shared" si="44"/>
        <v>0</v>
      </c>
      <c r="AI55" s="38">
        <f t="shared" si="44"/>
        <v>0</v>
      </c>
      <c r="AJ55" s="38">
        <f t="shared" si="44"/>
        <v>0</v>
      </c>
      <c r="AK55" s="38">
        <f t="shared" ref="AK55:AT64" si="45">IF(AND(AK$5&gt;=$E55,AK$8&lt;=$F55),1,0)</f>
        <v>0</v>
      </c>
      <c r="AL55" s="38">
        <f t="shared" si="45"/>
        <v>0</v>
      </c>
      <c r="AM55" s="38">
        <f t="shared" si="45"/>
        <v>0</v>
      </c>
      <c r="AN55" s="38">
        <f t="shared" si="45"/>
        <v>0</v>
      </c>
      <c r="AO55" s="38">
        <f t="shared" si="45"/>
        <v>0</v>
      </c>
      <c r="AP55" s="38">
        <f t="shared" si="45"/>
        <v>0</v>
      </c>
      <c r="AQ55" s="38">
        <f t="shared" si="45"/>
        <v>0</v>
      </c>
      <c r="AR55" s="38">
        <f t="shared" si="45"/>
        <v>0</v>
      </c>
      <c r="AS55" s="38">
        <f t="shared" si="45"/>
        <v>0</v>
      </c>
      <c r="AT55" s="38">
        <f t="shared" si="45"/>
        <v>0</v>
      </c>
      <c r="AU55" s="38">
        <f t="shared" ref="AU55:BD64" si="46">IF(AND(AU$5&gt;=$E55,AU$8&lt;=$F55),1,0)</f>
        <v>0</v>
      </c>
      <c r="AV55" s="38">
        <f t="shared" si="46"/>
        <v>0</v>
      </c>
      <c r="AW55" s="38">
        <f t="shared" si="46"/>
        <v>0</v>
      </c>
      <c r="AX55" s="38">
        <f t="shared" si="46"/>
        <v>0</v>
      </c>
      <c r="AY55" s="38">
        <f t="shared" si="46"/>
        <v>0</v>
      </c>
      <c r="AZ55" s="38">
        <f t="shared" si="46"/>
        <v>0</v>
      </c>
      <c r="BA55" s="38">
        <f t="shared" si="46"/>
        <v>0</v>
      </c>
      <c r="BB55" s="38">
        <f t="shared" si="46"/>
        <v>0</v>
      </c>
      <c r="BC55" s="38">
        <f t="shared" si="46"/>
        <v>0</v>
      </c>
      <c r="BD55" s="38">
        <f t="shared" si="46"/>
        <v>0</v>
      </c>
      <c r="BE55" s="38">
        <f t="shared" ref="BE55:BN64" si="47">IF(AND(BE$5&gt;=$E55,BE$8&lt;=$F55),1,0)</f>
        <v>0</v>
      </c>
      <c r="BF55" s="38">
        <f t="shared" si="47"/>
        <v>0</v>
      </c>
      <c r="BG55" s="38">
        <f t="shared" si="47"/>
        <v>0</v>
      </c>
      <c r="BH55" s="38">
        <f t="shared" si="47"/>
        <v>0</v>
      </c>
      <c r="BI55" s="38">
        <f t="shared" si="47"/>
        <v>0</v>
      </c>
      <c r="BJ55" s="38">
        <f t="shared" si="47"/>
        <v>0</v>
      </c>
      <c r="BK55" s="38">
        <f t="shared" si="47"/>
        <v>0</v>
      </c>
      <c r="BL55" s="38">
        <f t="shared" si="47"/>
        <v>0</v>
      </c>
      <c r="BM55" s="38">
        <f t="shared" si="47"/>
        <v>0</v>
      </c>
      <c r="BN55" s="38">
        <f t="shared" si="47"/>
        <v>0</v>
      </c>
      <c r="BO55" s="38">
        <f t="shared" ref="BO55:BV64" si="48">IF(AND(BO$5&gt;=$E55,BO$8&lt;=$F55),1,0)</f>
        <v>0</v>
      </c>
      <c r="BP55" s="38">
        <f t="shared" si="48"/>
        <v>0</v>
      </c>
      <c r="BQ55" s="38">
        <f t="shared" si="48"/>
        <v>0</v>
      </c>
      <c r="BR55" s="38">
        <f t="shared" si="48"/>
        <v>0</v>
      </c>
      <c r="BS55" s="38">
        <f t="shared" si="48"/>
        <v>0</v>
      </c>
      <c r="BT55" s="38">
        <f t="shared" si="48"/>
        <v>0</v>
      </c>
      <c r="BU55" s="38">
        <f t="shared" si="48"/>
        <v>0</v>
      </c>
      <c r="BV55" s="38">
        <f t="shared" si="48"/>
        <v>0</v>
      </c>
      <c r="BX55" s="38">
        <f t="shared" ref="BX55:CI64" si="49">IF(AND(BX$5&gt;=$E55,BX$8&lt;=$F55),1,0)</f>
        <v>0</v>
      </c>
      <c r="BY55" s="38">
        <f t="shared" si="49"/>
        <v>0</v>
      </c>
      <c r="BZ55" s="38">
        <f t="shared" si="49"/>
        <v>0</v>
      </c>
      <c r="CA55" s="38">
        <f t="shared" si="49"/>
        <v>0</v>
      </c>
      <c r="CB55" s="38">
        <f t="shared" si="49"/>
        <v>0</v>
      </c>
      <c r="CC55" s="38">
        <f t="shared" si="49"/>
        <v>0</v>
      </c>
      <c r="CD55" s="38">
        <f t="shared" si="49"/>
        <v>0</v>
      </c>
      <c r="CE55" s="38">
        <f t="shared" si="49"/>
        <v>0</v>
      </c>
      <c r="CF55" s="38">
        <f t="shared" si="49"/>
        <v>0</v>
      </c>
      <c r="CG55" s="38">
        <f t="shared" si="49"/>
        <v>0</v>
      </c>
      <c r="CH55" s="38">
        <f t="shared" si="49"/>
        <v>0</v>
      </c>
      <c r="CI55" s="38">
        <f t="shared" si="49"/>
        <v>0</v>
      </c>
      <c r="CK55" s="11"/>
      <c r="CM55" s="11"/>
      <c r="EX55" s="10" t="str">
        <f t="shared" si="8"/>
        <v/>
      </c>
    </row>
    <row r="56" spans="1:154" x14ac:dyDescent="0.35">
      <c r="B56" t="str">
        <f ca="1">Loans!B$24</f>
        <v>Loan 12</v>
      </c>
      <c r="D56" s="51">
        <f>Loans!D$24</f>
        <v>0</v>
      </c>
      <c r="E56" s="117" t="str">
        <f>IF(Loans!J$24=0, "", Loans!J$24)</f>
        <v/>
      </c>
      <c r="F56" s="117" t="str">
        <f>IF(Loans!K$24=0, "", Loans!K$24)</f>
        <v/>
      </c>
      <c r="V56" s="38">
        <f t="shared" si="37"/>
        <v>0</v>
      </c>
      <c r="W56" s="38">
        <f t="shared" si="37"/>
        <v>0</v>
      </c>
      <c r="X56" s="38">
        <f t="shared" si="37"/>
        <v>0</v>
      </c>
      <c r="Y56" s="38">
        <f t="shared" si="37"/>
        <v>0</v>
      </c>
      <c r="AA56" s="38">
        <f t="shared" si="44"/>
        <v>0</v>
      </c>
      <c r="AB56" s="38">
        <f t="shared" si="44"/>
        <v>0</v>
      </c>
      <c r="AC56" s="38">
        <f t="shared" si="44"/>
        <v>0</v>
      </c>
      <c r="AD56" s="38">
        <f t="shared" si="44"/>
        <v>0</v>
      </c>
      <c r="AE56" s="38">
        <f t="shared" si="44"/>
        <v>0</v>
      </c>
      <c r="AF56" s="38">
        <f t="shared" si="44"/>
        <v>0</v>
      </c>
      <c r="AG56" s="38">
        <f t="shared" si="44"/>
        <v>0</v>
      </c>
      <c r="AH56" s="38">
        <f t="shared" si="44"/>
        <v>0</v>
      </c>
      <c r="AI56" s="38">
        <f t="shared" si="44"/>
        <v>0</v>
      </c>
      <c r="AJ56" s="38">
        <f t="shared" si="44"/>
        <v>0</v>
      </c>
      <c r="AK56" s="38">
        <f t="shared" si="45"/>
        <v>0</v>
      </c>
      <c r="AL56" s="38">
        <f t="shared" si="45"/>
        <v>0</v>
      </c>
      <c r="AM56" s="38">
        <f t="shared" si="45"/>
        <v>0</v>
      </c>
      <c r="AN56" s="38">
        <f t="shared" si="45"/>
        <v>0</v>
      </c>
      <c r="AO56" s="38">
        <f t="shared" si="45"/>
        <v>0</v>
      </c>
      <c r="AP56" s="38">
        <f t="shared" si="45"/>
        <v>0</v>
      </c>
      <c r="AQ56" s="38">
        <f t="shared" si="45"/>
        <v>0</v>
      </c>
      <c r="AR56" s="38">
        <f t="shared" si="45"/>
        <v>0</v>
      </c>
      <c r="AS56" s="38">
        <f t="shared" si="45"/>
        <v>0</v>
      </c>
      <c r="AT56" s="38">
        <f t="shared" si="45"/>
        <v>0</v>
      </c>
      <c r="AU56" s="38">
        <f t="shared" si="46"/>
        <v>0</v>
      </c>
      <c r="AV56" s="38">
        <f t="shared" si="46"/>
        <v>0</v>
      </c>
      <c r="AW56" s="38">
        <f t="shared" si="46"/>
        <v>0</v>
      </c>
      <c r="AX56" s="38">
        <f t="shared" si="46"/>
        <v>0</v>
      </c>
      <c r="AY56" s="38">
        <f t="shared" si="46"/>
        <v>0</v>
      </c>
      <c r="AZ56" s="38">
        <f t="shared" si="46"/>
        <v>0</v>
      </c>
      <c r="BA56" s="38">
        <f t="shared" si="46"/>
        <v>0</v>
      </c>
      <c r="BB56" s="38">
        <f t="shared" si="46"/>
        <v>0</v>
      </c>
      <c r="BC56" s="38">
        <f t="shared" si="46"/>
        <v>0</v>
      </c>
      <c r="BD56" s="38">
        <f t="shared" si="46"/>
        <v>0</v>
      </c>
      <c r="BE56" s="38">
        <f t="shared" si="47"/>
        <v>0</v>
      </c>
      <c r="BF56" s="38">
        <f t="shared" si="47"/>
        <v>0</v>
      </c>
      <c r="BG56" s="38">
        <f t="shared" si="47"/>
        <v>0</v>
      </c>
      <c r="BH56" s="38">
        <f t="shared" si="47"/>
        <v>0</v>
      </c>
      <c r="BI56" s="38">
        <f t="shared" si="47"/>
        <v>0</v>
      </c>
      <c r="BJ56" s="38">
        <f t="shared" si="47"/>
        <v>0</v>
      </c>
      <c r="BK56" s="38">
        <f t="shared" si="47"/>
        <v>0</v>
      </c>
      <c r="BL56" s="38">
        <f t="shared" si="47"/>
        <v>0</v>
      </c>
      <c r="BM56" s="38">
        <f t="shared" si="47"/>
        <v>0</v>
      </c>
      <c r="BN56" s="38">
        <f t="shared" si="47"/>
        <v>0</v>
      </c>
      <c r="BO56" s="38">
        <f t="shared" si="48"/>
        <v>0</v>
      </c>
      <c r="BP56" s="38">
        <f t="shared" si="48"/>
        <v>0</v>
      </c>
      <c r="BQ56" s="38">
        <f t="shared" si="48"/>
        <v>0</v>
      </c>
      <c r="BR56" s="38">
        <f t="shared" si="48"/>
        <v>0</v>
      </c>
      <c r="BS56" s="38">
        <f t="shared" si="48"/>
        <v>0</v>
      </c>
      <c r="BT56" s="38">
        <f t="shared" si="48"/>
        <v>0</v>
      </c>
      <c r="BU56" s="38">
        <f t="shared" si="48"/>
        <v>0</v>
      </c>
      <c r="BV56" s="38">
        <f t="shared" si="48"/>
        <v>0</v>
      </c>
      <c r="BX56" s="38">
        <f t="shared" si="49"/>
        <v>0</v>
      </c>
      <c r="BY56" s="38">
        <f t="shared" si="49"/>
        <v>0</v>
      </c>
      <c r="BZ56" s="38">
        <f t="shared" si="49"/>
        <v>0</v>
      </c>
      <c r="CA56" s="38">
        <f t="shared" si="49"/>
        <v>0</v>
      </c>
      <c r="CB56" s="38">
        <f t="shared" si="49"/>
        <v>0</v>
      </c>
      <c r="CC56" s="38">
        <f t="shared" si="49"/>
        <v>0</v>
      </c>
      <c r="CD56" s="38">
        <f t="shared" si="49"/>
        <v>0</v>
      </c>
      <c r="CE56" s="38">
        <f t="shared" si="49"/>
        <v>0</v>
      </c>
      <c r="CF56" s="38">
        <f t="shared" si="49"/>
        <v>0</v>
      </c>
      <c r="CG56" s="38">
        <f t="shared" si="49"/>
        <v>0</v>
      </c>
      <c r="CH56" s="38">
        <f t="shared" si="49"/>
        <v>0</v>
      </c>
      <c r="CI56" s="38">
        <f t="shared" si="49"/>
        <v>0</v>
      </c>
      <c r="CK56" s="11"/>
      <c r="CM56" s="11"/>
      <c r="EX56" s="10" t="str">
        <f t="shared" si="8"/>
        <v/>
      </c>
    </row>
    <row r="57" spans="1:154" x14ac:dyDescent="0.35">
      <c r="B57" t="str">
        <f ca="1">Loans!B$25</f>
        <v>Loan 13</v>
      </c>
      <c r="D57" s="51">
        <f>Loans!D$25</f>
        <v>0</v>
      </c>
      <c r="E57" s="117" t="str">
        <f>IF(Loans!J$25=0, "", Loans!J$25)</f>
        <v/>
      </c>
      <c r="F57" s="117" t="str">
        <f>IF(Loans!K$25=0, "", Loans!K$25)</f>
        <v/>
      </c>
      <c r="V57" s="38">
        <f t="shared" si="37"/>
        <v>0</v>
      </c>
      <c r="W57" s="38">
        <f t="shared" si="37"/>
        <v>0</v>
      </c>
      <c r="X57" s="38">
        <f t="shared" si="37"/>
        <v>0</v>
      </c>
      <c r="Y57" s="38">
        <f t="shared" si="37"/>
        <v>0</v>
      </c>
      <c r="AA57" s="38">
        <f t="shared" si="44"/>
        <v>0</v>
      </c>
      <c r="AB57" s="38">
        <f t="shared" si="44"/>
        <v>0</v>
      </c>
      <c r="AC57" s="38">
        <f t="shared" si="44"/>
        <v>0</v>
      </c>
      <c r="AD57" s="38">
        <f t="shared" si="44"/>
        <v>0</v>
      </c>
      <c r="AE57" s="38">
        <f t="shared" si="44"/>
        <v>0</v>
      </c>
      <c r="AF57" s="38">
        <f t="shared" si="44"/>
        <v>0</v>
      </c>
      <c r="AG57" s="38">
        <f t="shared" si="44"/>
        <v>0</v>
      </c>
      <c r="AH57" s="38">
        <f t="shared" si="44"/>
        <v>0</v>
      </c>
      <c r="AI57" s="38">
        <f t="shared" si="44"/>
        <v>0</v>
      </c>
      <c r="AJ57" s="38">
        <f t="shared" si="44"/>
        <v>0</v>
      </c>
      <c r="AK57" s="38">
        <f t="shared" si="45"/>
        <v>0</v>
      </c>
      <c r="AL57" s="38">
        <f t="shared" si="45"/>
        <v>0</v>
      </c>
      <c r="AM57" s="38">
        <f t="shared" si="45"/>
        <v>0</v>
      </c>
      <c r="AN57" s="38">
        <f t="shared" si="45"/>
        <v>0</v>
      </c>
      <c r="AO57" s="38">
        <f t="shared" si="45"/>
        <v>0</v>
      </c>
      <c r="AP57" s="38">
        <f t="shared" si="45"/>
        <v>0</v>
      </c>
      <c r="AQ57" s="38">
        <f t="shared" si="45"/>
        <v>0</v>
      </c>
      <c r="AR57" s="38">
        <f t="shared" si="45"/>
        <v>0</v>
      </c>
      <c r="AS57" s="38">
        <f t="shared" si="45"/>
        <v>0</v>
      </c>
      <c r="AT57" s="38">
        <f t="shared" si="45"/>
        <v>0</v>
      </c>
      <c r="AU57" s="38">
        <f t="shared" si="46"/>
        <v>0</v>
      </c>
      <c r="AV57" s="38">
        <f t="shared" si="46"/>
        <v>0</v>
      </c>
      <c r="AW57" s="38">
        <f t="shared" si="46"/>
        <v>0</v>
      </c>
      <c r="AX57" s="38">
        <f t="shared" si="46"/>
        <v>0</v>
      </c>
      <c r="AY57" s="38">
        <f t="shared" si="46"/>
        <v>0</v>
      </c>
      <c r="AZ57" s="38">
        <f t="shared" si="46"/>
        <v>0</v>
      </c>
      <c r="BA57" s="38">
        <f t="shared" si="46"/>
        <v>0</v>
      </c>
      <c r="BB57" s="38">
        <f t="shared" si="46"/>
        <v>0</v>
      </c>
      <c r="BC57" s="38">
        <f t="shared" si="46"/>
        <v>0</v>
      </c>
      <c r="BD57" s="38">
        <f t="shared" si="46"/>
        <v>0</v>
      </c>
      <c r="BE57" s="38">
        <f t="shared" si="47"/>
        <v>0</v>
      </c>
      <c r="BF57" s="38">
        <f t="shared" si="47"/>
        <v>0</v>
      </c>
      <c r="BG57" s="38">
        <f t="shared" si="47"/>
        <v>0</v>
      </c>
      <c r="BH57" s="38">
        <f t="shared" si="47"/>
        <v>0</v>
      </c>
      <c r="BI57" s="38">
        <f t="shared" si="47"/>
        <v>0</v>
      </c>
      <c r="BJ57" s="38">
        <f t="shared" si="47"/>
        <v>0</v>
      </c>
      <c r="BK57" s="38">
        <f t="shared" si="47"/>
        <v>0</v>
      </c>
      <c r="BL57" s="38">
        <f t="shared" si="47"/>
        <v>0</v>
      </c>
      <c r="BM57" s="38">
        <f t="shared" si="47"/>
        <v>0</v>
      </c>
      <c r="BN57" s="38">
        <f t="shared" si="47"/>
        <v>0</v>
      </c>
      <c r="BO57" s="38">
        <f t="shared" si="48"/>
        <v>0</v>
      </c>
      <c r="BP57" s="38">
        <f t="shared" si="48"/>
        <v>0</v>
      </c>
      <c r="BQ57" s="38">
        <f t="shared" si="48"/>
        <v>0</v>
      </c>
      <c r="BR57" s="38">
        <f t="shared" si="48"/>
        <v>0</v>
      </c>
      <c r="BS57" s="38">
        <f t="shared" si="48"/>
        <v>0</v>
      </c>
      <c r="BT57" s="38">
        <f t="shared" si="48"/>
        <v>0</v>
      </c>
      <c r="BU57" s="38">
        <f t="shared" si="48"/>
        <v>0</v>
      </c>
      <c r="BV57" s="38">
        <f t="shared" si="48"/>
        <v>0</v>
      </c>
      <c r="BX57" s="38">
        <f t="shared" si="49"/>
        <v>0</v>
      </c>
      <c r="BY57" s="38">
        <f t="shared" si="49"/>
        <v>0</v>
      </c>
      <c r="BZ57" s="38">
        <f t="shared" si="49"/>
        <v>0</v>
      </c>
      <c r="CA57" s="38">
        <f t="shared" si="49"/>
        <v>0</v>
      </c>
      <c r="CB57" s="38">
        <f t="shared" si="49"/>
        <v>0</v>
      </c>
      <c r="CC57" s="38">
        <f t="shared" si="49"/>
        <v>0</v>
      </c>
      <c r="CD57" s="38">
        <f t="shared" si="49"/>
        <v>0</v>
      </c>
      <c r="CE57" s="38">
        <f t="shared" si="49"/>
        <v>0</v>
      </c>
      <c r="CF57" s="38">
        <f t="shared" si="49"/>
        <v>0</v>
      </c>
      <c r="CG57" s="38">
        <f t="shared" si="49"/>
        <v>0</v>
      </c>
      <c r="CH57" s="38">
        <f t="shared" si="49"/>
        <v>0</v>
      </c>
      <c r="CI57" s="38">
        <f t="shared" si="49"/>
        <v>0</v>
      </c>
      <c r="CK57" s="11"/>
      <c r="CM57" s="11"/>
      <c r="EX57" s="10" t="str">
        <f t="shared" si="8"/>
        <v/>
      </c>
    </row>
    <row r="58" spans="1:154" x14ac:dyDescent="0.35">
      <c r="B58" t="str">
        <f ca="1">Loans!B$26</f>
        <v>Loan 14</v>
      </c>
      <c r="D58" s="51">
        <f>Loans!D$26</f>
        <v>0</v>
      </c>
      <c r="E58" s="117" t="str">
        <f>IF(Loans!J$26=0, "", Loans!J$26)</f>
        <v/>
      </c>
      <c r="F58" s="117" t="str">
        <f>IF(Loans!K$26=0, "", Loans!K$26)</f>
        <v/>
      </c>
      <c r="V58" s="38">
        <f t="shared" si="37"/>
        <v>0</v>
      </c>
      <c r="W58" s="38">
        <f t="shared" si="37"/>
        <v>0</v>
      </c>
      <c r="X58" s="38">
        <f t="shared" si="37"/>
        <v>0</v>
      </c>
      <c r="Y58" s="38">
        <f t="shared" si="37"/>
        <v>0</v>
      </c>
      <c r="AA58" s="38">
        <f t="shared" si="44"/>
        <v>0</v>
      </c>
      <c r="AB58" s="38">
        <f t="shared" si="44"/>
        <v>0</v>
      </c>
      <c r="AC58" s="38">
        <f t="shared" si="44"/>
        <v>0</v>
      </c>
      <c r="AD58" s="38">
        <f t="shared" si="44"/>
        <v>0</v>
      </c>
      <c r="AE58" s="38">
        <f t="shared" si="44"/>
        <v>0</v>
      </c>
      <c r="AF58" s="38">
        <f t="shared" si="44"/>
        <v>0</v>
      </c>
      <c r="AG58" s="38">
        <f t="shared" si="44"/>
        <v>0</v>
      </c>
      <c r="AH58" s="38">
        <f t="shared" si="44"/>
        <v>0</v>
      </c>
      <c r="AI58" s="38">
        <f t="shared" si="44"/>
        <v>0</v>
      </c>
      <c r="AJ58" s="38">
        <f t="shared" si="44"/>
        <v>0</v>
      </c>
      <c r="AK58" s="38">
        <f t="shared" si="45"/>
        <v>0</v>
      </c>
      <c r="AL58" s="38">
        <f t="shared" si="45"/>
        <v>0</v>
      </c>
      <c r="AM58" s="38">
        <f t="shared" si="45"/>
        <v>0</v>
      </c>
      <c r="AN58" s="38">
        <f t="shared" si="45"/>
        <v>0</v>
      </c>
      <c r="AO58" s="38">
        <f t="shared" si="45"/>
        <v>0</v>
      </c>
      <c r="AP58" s="38">
        <f t="shared" si="45"/>
        <v>0</v>
      </c>
      <c r="AQ58" s="38">
        <f t="shared" si="45"/>
        <v>0</v>
      </c>
      <c r="AR58" s="38">
        <f t="shared" si="45"/>
        <v>0</v>
      </c>
      <c r="AS58" s="38">
        <f t="shared" si="45"/>
        <v>0</v>
      </c>
      <c r="AT58" s="38">
        <f t="shared" si="45"/>
        <v>0</v>
      </c>
      <c r="AU58" s="38">
        <f t="shared" si="46"/>
        <v>0</v>
      </c>
      <c r="AV58" s="38">
        <f t="shared" si="46"/>
        <v>0</v>
      </c>
      <c r="AW58" s="38">
        <f t="shared" si="46"/>
        <v>0</v>
      </c>
      <c r="AX58" s="38">
        <f t="shared" si="46"/>
        <v>0</v>
      </c>
      <c r="AY58" s="38">
        <f t="shared" si="46"/>
        <v>0</v>
      </c>
      <c r="AZ58" s="38">
        <f t="shared" si="46"/>
        <v>0</v>
      </c>
      <c r="BA58" s="38">
        <f t="shared" si="46"/>
        <v>0</v>
      </c>
      <c r="BB58" s="38">
        <f t="shared" si="46"/>
        <v>0</v>
      </c>
      <c r="BC58" s="38">
        <f t="shared" si="46"/>
        <v>0</v>
      </c>
      <c r="BD58" s="38">
        <f t="shared" si="46"/>
        <v>0</v>
      </c>
      <c r="BE58" s="38">
        <f t="shared" si="47"/>
        <v>0</v>
      </c>
      <c r="BF58" s="38">
        <f t="shared" si="47"/>
        <v>0</v>
      </c>
      <c r="BG58" s="38">
        <f t="shared" si="47"/>
        <v>0</v>
      </c>
      <c r="BH58" s="38">
        <f t="shared" si="47"/>
        <v>0</v>
      </c>
      <c r="BI58" s="38">
        <f t="shared" si="47"/>
        <v>0</v>
      </c>
      <c r="BJ58" s="38">
        <f t="shared" si="47"/>
        <v>0</v>
      </c>
      <c r="BK58" s="38">
        <f t="shared" si="47"/>
        <v>0</v>
      </c>
      <c r="BL58" s="38">
        <f t="shared" si="47"/>
        <v>0</v>
      </c>
      <c r="BM58" s="38">
        <f t="shared" si="47"/>
        <v>0</v>
      </c>
      <c r="BN58" s="38">
        <f t="shared" si="47"/>
        <v>0</v>
      </c>
      <c r="BO58" s="38">
        <f t="shared" si="48"/>
        <v>0</v>
      </c>
      <c r="BP58" s="38">
        <f t="shared" si="48"/>
        <v>0</v>
      </c>
      <c r="BQ58" s="38">
        <f t="shared" si="48"/>
        <v>0</v>
      </c>
      <c r="BR58" s="38">
        <f t="shared" si="48"/>
        <v>0</v>
      </c>
      <c r="BS58" s="38">
        <f t="shared" si="48"/>
        <v>0</v>
      </c>
      <c r="BT58" s="38">
        <f t="shared" si="48"/>
        <v>0</v>
      </c>
      <c r="BU58" s="38">
        <f t="shared" si="48"/>
        <v>0</v>
      </c>
      <c r="BV58" s="38">
        <f t="shared" si="48"/>
        <v>0</v>
      </c>
      <c r="BX58" s="38">
        <f t="shared" si="49"/>
        <v>0</v>
      </c>
      <c r="BY58" s="38">
        <f t="shared" si="49"/>
        <v>0</v>
      </c>
      <c r="BZ58" s="38">
        <f t="shared" si="49"/>
        <v>0</v>
      </c>
      <c r="CA58" s="38">
        <f t="shared" si="49"/>
        <v>0</v>
      </c>
      <c r="CB58" s="38">
        <f t="shared" si="49"/>
        <v>0</v>
      </c>
      <c r="CC58" s="38">
        <f t="shared" si="49"/>
        <v>0</v>
      </c>
      <c r="CD58" s="38">
        <f t="shared" si="49"/>
        <v>0</v>
      </c>
      <c r="CE58" s="38">
        <f t="shared" si="49"/>
        <v>0</v>
      </c>
      <c r="CF58" s="38">
        <f t="shared" si="49"/>
        <v>0</v>
      </c>
      <c r="CG58" s="38">
        <f t="shared" si="49"/>
        <v>0</v>
      </c>
      <c r="CH58" s="38">
        <f t="shared" si="49"/>
        <v>0</v>
      </c>
      <c r="CI58" s="38">
        <f t="shared" si="49"/>
        <v>0</v>
      </c>
      <c r="CK58" s="11"/>
      <c r="CM58" s="11"/>
      <c r="EX58" s="10" t="str">
        <f t="shared" si="8"/>
        <v/>
      </c>
    </row>
    <row r="59" spans="1:154" x14ac:dyDescent="0.35">
      <c r="B59" t="str">
        <f ca="1">Loans!B$27</f>
        <v>Loan 15</v>
      </c>
      <c r="D59" s="51">
        <f>Loans!D$27</f>
        <v>0</v>
      </c>
      <c r="E59" s="117" t="str">
        <f>IF(Loans!J$27=0, "", Loans!J$27)</f>
        <v/>
      </c>
      <c r="F59" s="117" t="str">
        <f>IF(Loans!K$27=0, "", Loans!K$27)</f>
        <v/>
      </c>
      <c r="V59" s="38">
        <f t="shared" si="37"/>
        <v>0</v>
      </c>
      <c r="W59" s="38">
        <f t="shared" si="37"/>
        <v>0</v>
      </c>
      <c r="X59" s="38">
        <f t="shared" si="37"/>
        <v>0</v>
      </c>
      <c r="Y59" s="38">
        <f t="shared" si="37"/>
        <v>0</v>
      </c>
      <c r="AA59" s="38">
        <f t="shared" si="44"/>
        <v>0</v>
      </c>
      <c r="AB59" s="38">
        <f t="shared" si="44"/>
        <v>0</v>
      </c>
      <c r="AC59" s="38">
        <f t="shared" si="44"/>
        <v>0</v>
      </c>
      <c r="AD59" s="38">
        <f t="shared" si="44"/>
        <v>0</v>
      </c>
      <c r="AE59" s="38">
        <f t="shared" si="44"/>
        <v>0</v>
      </c>
      <c r="AF59" s="38">
        <f t="shared" si="44"/>
        <v>0</v>
      </c>
      <c r="AG59" s="38">
        <f t="shared" si="44"/>
        <v>0</v>
      </c>
      <c r="AH59" s="38">
        <f t="shared" si="44"/>
        <v>0</v>
      </c>
      <c r="AI59" s="38">
        <f t="shared" si="44"/>
        <v>0</v>
      </c>
      <c r="AJ59" s="38">
        <f t="shared" si="44"/>
        <v>0</v>
      </c>
      <c r="AK59" s="38">
        <f t="shared" si="45"/>
        <v>0</v>
      </c>
      <c r="AL59" s="38">
        <f t="shared" si="45"/>
        <v>0</v>
      </c>
      <c r="AM59" s="38">
        <f t="shared" si="45"/>
        <v>0</v>
      </c>
      <c r="AN59" s="38">
        <f t="shared" si="45"/>
        <v>0</v>
      </c>
      <c r="AO59" s="38">
        <f t="shared" si="45"/>
        <v>0</v>
      </c>
      <c r="AP59" s="38">
        <f t="shared" si="45"/>
        <v>0</v>
      </c>
      <c r="AQ59" s="38">
        <f t="shared" si="45"/>
        <v>0</v>
      </c>
      <c r="AR59" s="38">
        <f t="shared" si="45"/>
        <v>0</v>
      </c>
      <c r="AS59" s="38">
        <f t="shared" si="45"/>
        <v>0</v>
      </c>
      <c r="AT59" s="38">
        <f t="shared" si="45"/>
        <v>0</v>
      </c>
      <c r="AU59" s="38">
        <f t="shared" si="46"/>
        <v>0</v>
      </c>
      <c r="AV59" s="38">
        <f t="shared" si="46"/>
        <v>0</v>
      </c>
      <c r="AW59" s="38">
        <f t="shared" si="46"/>
        <v>0</v>
      </c>
      <c r="AX59" s="38">
        <f t="shared" si="46"/>
        <v>0</v>
      </c>
      <c r="AY59" s="38">
        <f t="shared" si="46"/>
        <v>0</v>
      </c>
      <c r="AZ59" s="38">
        <f t="shared" si="46"/>
        <v>0</v>
      </c>
      <c r="BA59" s="38">
        <f t="shared" si="46"/>
        <v>0</v>
      </c>
      <c r="BB59" s="38">
        <f t="shared" si="46"/>
        <v>0</v>
      </c>
      <c r="BC59" s="38">
        <f t="shared" si="46"/>
        <v>0</v>
      </c>
      <c r="BD59" s="38">
        <f t="shared" si="46"/>
        <v>0</v>
      </c>
      <c r="BE59" s="38">
        <f t="shared" si="47"/>
        <v>0</v>
      </c>
      <c r="BF59" s="38">
        <f t="shared" si="47"/>
        <v>0</v>
      </c>
      <c r="BG59" s="38">
        <f t="shared" si="47"/>
        <v>0</v>
      </c>
      <c r="BH59" s="38">
        <f t="shared" si="47"/>
        <v>0</v>
      </c>
      <c r="BI59" s="38">
        <f t="shared" si="47"/>
        <v>0</v>
      </c>
      <c r="BJ59" s="38">
        <f t="shared" si="47"/>
        <v>0</v>
      </c>
      <c r="BK59" s="38">
        <f t="shared" si="47"/>
        <v>0</v>
      </c>
      <c r="BL59" s="38">
        <f t="shared" si="47"/>
        <v>0</v>
      </c>
      <c r="BM59" s="38">
        <f t="shared" si="47"/>
        <v>0</v>
      </c>
      <c r="BN59" s="38">
        <f t="shared" si="47"/>
        <v>0</v>
      </c>
      <c r="BO59" s="38">
        <f t="shared" si="48"/>
        <v>0</v>
      </c>
      <c r="BP59" s="38">
        <f t="shared" si="48"/>
        <v>0</v>
      </c>
      <c r="BQ59" s="38">
        <f t="shared" si="48"/>
        <v>0</v>
      </c>
      <c r="BR59" s="38">
        <f t="shared" si="48"/>
        <v>0</v>
      </c>
      <c r="BS59" s="38">
        <f t="shared" si="48"/>
        <v>0</v>
      </c>
      <c r="BT59" s="38">
        <f t="shared" si="48"/>
        <v>0</v>
      </c>
      <c r="BU59" s="38">
        <f t="shared" si="48"/>
        <v>0</v>
      </c>
      <c r="BV59" s="38">
        <f t="shared" si="48"/>
        <v>0</v>
      </c>
      <c r="BX59" s="38">
        <f t="shared" si="49"/>
        <v>0</v>
      </c>
      <c r="BY59" s="38">
        <f t="shared" si="49"/>
        <v>0</v>
      </c>
      <c r="BZ59" s="38">
        <f t="shared" si="49"/>
        <v>0</v>
      </c>
      <c r="CA59" s="38">
        <f t="shared" si="49"/>
        <v>0</v>
      </c>
      <c r="CB59" s="38">
        <f t="shared" si="49"/>
        <v>0</v>
      </c>
      <c r="CC59" s="38">
        <f t="shared" si="49"/>
        <v>0</v>
      </c>
      <c r="CD59" s="38">
        <f t="shared" si="49"/>
        <v>0</v>
      </c>
      <c r="CE59" s="38">
        <f t="shared" si="49"/>
        <v>0</v>
      </c>
      <c r="CF59" s="38">
        <f t="shared" si="49"/>
        <v>0</v>
      </c>
      <c r="CG59" s="38">
        <f t="shared" si="49"/>
        <v>0</v>
      </c>
      <c r="CH59" s="38">
        <f t="shared" si="49"/>
        <v>0</v>
      </c>
      <c r="CI59" s="38">
        <f t="shared" si="49"/>
        <v>0</v>
      </c>
      <c r="CK59" s="11"/>
      <c r="CM59" s="11"/>
      <c r="EX59" s="10" t="str">
        <f t="shared" si="8"/>
        <v/>
      </c>
    </row>
    <row r="60" spans="1:154" x14ac:dyDescent="0.35">
      <c r="B60" t="str">
        <f ca="1">Loans!B$28</f>
        <v>Loan 16</v>
      </c>
      <c r="D60" s="51">
        <f>Loans!D$28</f>
        <v>0</v>
      </c>
      <c r="E60" s="117" t="str">
        <f>IF(Loans!J$28=0, "", Loans!J$28)</f>
        <v/>
      </c>
      <c r="F60" s="117" t="str">
        <f>IF(Loans!K$28=0, "", Loans!K$28)</f>
        <v/>
      </c>
      <c r="V60" s="38">
        <f t="shared" si="37"/>
        <v>0</v>
      </c>
      <c r="W60" s="38">
        <f t="shared" si="37"/>
        <v>0</v>
      </c>
      <c r="X60" s="38">
        <f t="shared" si="37"/>
        <v>0</v>
      </c>
      <c r="Y60" s="38">
        <f t="shared" si="37"/>
        <v>0</v>
      </c>
      <c r="AA60" s="38">
        <f t="shared" si="44"/>
        <v>0</v>
      </c>
      <c r="AB60" s="38">
        <f t="shared" si="44"/>
        <v>0</v>
      </c>
      <c r="AC60" s="38">
        <f t="shared" si="44"/>
        <v>0</v>
      </c>
      <c r="AD60" s="38">
        <f t="shared" si="44"/>
        <v>0</v>
      </c>
      <c r="AE60" s="38">
        <f t="shared" si="44"/>
        <v>0</v>
      </c>
      <c r="AF60" s="38">
        <f t="shared" si="44"/>
        <v>0</v>
      </c>
      <c r="AG60" s="38">
        <f t="shared" si="44"/>
        <v>0</v>
      </c>
      <c r="AH60" s="38">
        <f t="shared" si="44"/>
        <v>0</v>
      </c>
      <c r="AI60" s="38">
        <f t="shared" si="44"/>
        <v>0</v>
      </c>
      <c r="AJ60" s="38">
        <f t="shared" si="44"/>
        <v>0</v>
      </c>
      <c r="AK60" s="38">
        <f t="shared" si="45"/>
        <v>0</v>
      </c>
      <c r="AL60" s="38">
        <f t="shared" si="45"/>
        <v>0</v>
      </c>
      <c r="AM60" s="38">
        <f t="shared" si="45"/>
        <v>0</v>
      </c>
      <c r="AN60" s="38">
        <f t="shared" si="45"/>
        <v>0</v>
      </c>
      <c r="AO60" s="38">
        <f t="shared" si="45"/>
        <v>0</v>
      </c>
      <c r="AP60" s="38">
        <f t="shared" si="45"/>
        <v>0</v>
      </c>
      <c r="AQ60" s="38">
        <f t="shared" si="45"/>
        <v>0</v>
      </c>
      <c r="AR60" s="38">
        <f t="shared" si="45"/>
        <v>0</v>
      </c>
      <c r="AS60" s="38">
        <f t="shared" si="45"/>
        <v>0</v>
      </c>
      <c r="AT60" s="38">
        <f t="shared" si="45"/>
        <v>0</v>
      </c>
      <c r="AU60" s="38">
        <f t="shared" si="46"/>
        <v>0</v>
      </c>
      <c r="AV60" s="38">
        <f t="shared" si="46"/>
        <v>0</v>
      </c>
      <c r="AW60" s="38">
        <f t="shared" si="46"/>
        <v>0</v>
      </c>
      <c r="AX60" s="38">
        <f t="shared" si="46"/>
        <v>0</v>
      </c>
      <c r="AY60" s="38">
        <f t="shared" si="46"/>
        <v>0</v>
      </c>
      <c r="AZ60" s="38">
        <f t="shared" si="46"/>
        <v>0</v>
      </c>
      <c r="BA60" s="38">
        <f t="shared" si="46"/>
        <v>0</v>
      </c>
      <c r="BB60" s="38">
        <f t="shared" si="46"/>
        <v>0</v>
      </c>
      <c r="BC60" s="38">
        <f t="shared" si="46"/>
        <v>0</v>
      </c>
      <c r="BD60" s="38">
        <f t="shared" si="46"/>
        <v>0</v>
      </c>
      <c r="BE60" s="38">
        <f t="shared" si="47"/>
        <v>0</v>
      </c>
      <c r="BF60" s="38">
        <f t="shared" si="47"/>
        <v>0</v>
      </c>
      <c r="BG60" s="38">
        <f t="shared" si="47"/>
        <v>0</v>
      </c>
      <c r="BH60" s="38">
        <f t="shared" si="47"/>
        <v>0</v>
      </c>
      <c r="BI60" s="38">
        <f t="shared" si="47"/>
        <v>0</v>
      </c>
      <c r="BJ60" s="38">
        <f t="shared" si="47"/>
        <v>0</v>
      </c>
      <c r="BK60" s="38">
        <f t="shared" si="47"/>
        <v>0</v>
      </c>
      <c r="BL60" s="38">
        <f t="shared" si="47"/>
        <v>0</v>
      </c>
      <c r="BM60" s="38">
        <f t="shared" si="47"/>
        <v>0</v>
      </c>
      <c r="BN60" s="38">
        <f t="shared" si="47"/>
        <v>0</v>
      </c>
      <c r="BO60" s="38">
        <f t="shared" si="48"/>
        <v>0</v>
      </c>
      <c r="BP60" s="38">
        <f t="shared" si="48"/>
        <v>0</v>
      </c>
      <c r="BQ60" s="38">
        <f t="shared" si="48"/>
        <v>0</v>
      </c>
      <c r="BR60" s="38">
        <f t="shared" si="48"/>
        <v>0</v>
      </c>
      <c r="BS60" s="38">
        <f t="shared" si="48"/>
        <v>0</v>
      </c>
      <c r="BT60" s="38">
        <f t="shared" si="48"/>
        <v>0</v>
      </c>
      <c r="BU60" s="38">
        <f t="shared" si="48"/>
        <v>0</v>
      </c>
      <c r="BV60" s="38">
        <f t="shared" si="48"/>
        <v>0</v>
      </c>
      <c r="BX60" s="38">
        <f t="shared" si="49"/>
        <v>0</v>
      </c>
      <c r="BY60" s="38">
        <f t="shared" si="49"/>
        <v>0</v>
      </c>
      <c r="BZ60" s="38">
        <f t="shared" si="49"/>
        <v>0</v>
      </c>
      <c r="CA60" s="38">
        <f t="shared" si="49"/>
        <v>0</v>
      </c>
      <c r="CB60" s="38">
        <f t="shared" si="49"/>
        <v>0</v>
      </c>
      <c r="CC60" s="38">
        <f t="shared" si="49"/>
        <v>0</v>
      </c>
      <c r="CD60" s="38">
        <f t="shared" si="49"/>
        <v>0</v>
      </c>
      <c r="CE60" s="38">
        <f t="shared" si="49"/>
        <v>0</v>
      </c>
      <c r="CF60" s="38">
        <f t="shared" si="49"/>
        <v>0</v>
      </c>
      <c r="CG60" s="38">
        <f t="shared" si="49"/>
        <v>0</v>
      </c>
      <c r="CH60" s="38">
        <f t="shared" si="49"/>
        <v>0</v>
      </c>
      <c r="CI60" s="38">
        <f t="shared" si="49"/>
        <v>0</v>
      </c>
      <c r="CK60" s="11"/>
      <c r="CM60" s="11"/>
      <c r="EX60" s="10" t="str">
        <f t="shared" si="8"/>
        <v/>
      </c>
    </row>
    <row r="61" spans="1:154" x14ac:dyDescent="0.35">
      <c r="B61" t="str">
        <f ca="1">Loans!B$29</f>
        <v>Loan 17</v>
      </c>
      <c r="D61" s="51">
        <f>Loans!D$29</f>
        <v>0</v>
      </c>
      <c r="E61" s="117" t="str">
        <f>IF(Loans!J$29=0, "", Loans!J$29)</f>
        <v/>
      </c>
      <c r="F61" s="117" t="str">
        <f>IF(Loans!K$29=0, "", Loans!K$29)</f>
        <v/>
      </c>
      <c r="V61" s="38">
        <f t="shared" si="37"/>
        <v>0</v>
      </c>
      <c r="W61" s="38">
        <f t="shared" si="37"/>
        <v>0</v>
      </c>
      <c r="X61" s="38">
        <f t="shared" si="37"/>
        <v>0</v>
      </c>
      <c r="Y61" s="38">
        <f t="shared" si="37"/>
        <v>0</v>
      </c>
      <c r="AA61" s="38">
        <f t="shared" si="44"/>
        <v>0</v>
      </c>
      <c r="AB61" s="38">
        <f t="shared" si="44"/>
        <v>0</v>
      </c>
      <c r="AC61" s="38">
        <f t="shared" si="44"/>
        <v>0</v>
      </c>
      <c r="AD61" s="38">
        <f t="shared" si="44"/>
        <v>0</v>
      </c>
      <c r="AE61" s="38">
        <f t="shared" si="44"/>
        <v>0</v>
      </c>
      <c r="AF61" s="38">
        <f t="shared" si="44"/>
        <v>0</v>
      </c>
      <c r="AG61" s="38">
        <f t="shared" si="44"/>
        <v>0</v>
      </c>
      <c r="AH61" s="38">
        <f t="shared" si="44"/>
        <v>0</v>
      </c>
      <c r="AI61" s="38">
        <f t="shared" si="44"/>
        <v>0</v>
      </c>
      <c r="AJ61" s="38">
        <f t="shared" si="44"/>
        <v>0</v>
      </c>
      <c r="AK61" s="38">
        <f t="shared" si="45"/>
        <v>0</v>
      </c>
      <c r="AL61" s="38">
        <f t="shared" si="45"/>
        <v>0</v>
      </c>
      <c r="AM61" s="38">
        <f t="shared" si="45"/>
        <v>0</v>
      </c>
      <c r="AN61" s="38">
        <f t="shared" si="45"/>
        <v>0</v>
      </c>
      <c r="AO61" s="38">
        <f t="shared" si="45"/>
        <v>0</v>
      </c>
      <c r="AP61" s="38">
        <f t="shared" si="45"/>
        <v>0</v>
      </c>
      <c r="AQ61" s="38">
        <f t="shared" si="45"/>
        <v>0</v>
      </c>
      <c r="AR61" s="38">
        <f t="shared" si="45"/>
        <v>0</v>
      </c>
      <c r="AS61" s="38">
        <f t="shared" si="45"/>
        <v>0</v>
      </c>
      <c r="AT61" s="38">
        <f t="shared" si="45"/>
        <v>0</v>
      </c>
      <c r="AU61" s="38">
        <f t="shared" si="46"/>
        <v>0</v>
      </c>
      <c r="AV61" s="38">
        <f t="shared" si="46"/>
        <v>0</v>
      </c>
      <c r="AW61" s="38">
        <f t="shared" si="46"/>
        <v>0</v>
      </c>
      <c r="AX61" s="38">
        <f t="shared" si="46"/>
        <v>0</v>
      </c>
      <c r="AY61" s="38">
        <f t="shared" si="46"/>
        <v>0</v>
      </c>
      <c r="AZ61" s="38">
        <f t="shared" si="46"/>
        <v>0</v>
      </c>
      <c r="BA61" s="38">
        <f t="shared" si="46"/>
        <v>0</v>
      </c>
      <c r="BB61" s="38">
        <f t="shared" si="46"/>
        <v>0</v>
      </c>
      <c r="BC61" s="38">
        <f t="shared" si="46"/>
        <v>0</v>
      </c>
      <c r="BD61" s="38">
        <f t="shared" si="46"/>
        <v>0</v>
      </c>
      <c r="BE61" s="38">
        <f t="shared" si="47"/>
        <v>0</v>
      </c>
      <c r="BF61" s="38">
        <f t="shared" si="47"/>
        <v>0</v>
      </c>
      <c r="BG61" s="38">
        <f t="shared" si="47"/>
        <v>0</v>
      </c>
      <c r="BH61" s="38">
        <f t="shared" si="47"/>
        <v>0</v>
      </c>
      <c r="BI61" s="38">
        <f t="shared" si="47"/>
        <v>0</v>
      </c>
      <c r="BJ61" s="38">
        <f t="shared" si="47"/>
        <v>0</v>
      </c>
      <c r="BK61" s="38">
        <f t="shared" si="47"/>
        <v>0</v>
      </c>
      <c r="BL61" s="38">
        <f t="shared" si="47"/>
        <v>0</v>
      </c>
      <c r="BM61" s="38">
        <f t="shared" si="47"/>
        <v>0</v>
      </c>
      <c r="BN61" s="38">
        <f t="shared" si="47"/>
        <v>0</v>
      </c>
      <c r="BO61" s="38">
        <f t="shared" si="48"/>
        <v>0</v>
      </c>
      <c r="BP61" s="38">
        <f t="shared" si="48"/>
        <v>0</v>
      </c>
      <c r="BQ61" s="38">
        <f t="shared" si="48"/>
        <v>0</v>
      </c>
      <c r="BR61" s="38">
        <f t="shared" si="48"/>
        <v>0</v>
      </c>
      <c r="BS61" s="38">
        <f t="shared" si="48"/>
        <v>0</v>
      </c>
      <c r="BT61" s="38">
        <f t="shared" si="48"/>
        <v>0</v>
      </c>
      <c r="BU61" s="38">
        <f t="shared" si="48"/>
        <v>0</v>
      </c>
      <c r="BV61" s="38">
        <f t="shared" si="48"/>
        <v>0</v>
      </c>
      <c r="BX61" s="38">
        <f t="shared" si="49"/>
        <v>0</v>
      </c>
      <c r="BY61" s="38">
        <f t="shared" si="49"/>
        <v>0</v>
      </c>
      <c r="BZ61" s="38">
        <f t="shared" si="49"/>
        <v>0</v>
      </c>
      <c r="CA61" s="38">
        <f t="shared" si="49"/>
        <v>0</v>
      </c>
      <c r="CB61" s="38">
        <f t="shared" si="49"/>
        <v>0</v>
      </c>
      <c r="CC61" s="38">
        <f t="shared" si="49"/>
        <v>0</v>
      </c>
      <c r="CD61" s="38">
        <f t="shared" si="49"/>
        <v>0</v>
      </c>
      <c r="CE61" s="38">
        <f t="shared" si="49"/>
        <v>0</v>
      </c>
      <c r="CF61" s="38">
        <f t="shared" si="49"/>
        <v>0</v>
      </c>
      <c r="CG61" s="38">
        <f t="shared" si="49"/>
        <v>0</v>
      </c>
      <c r="CH61" s="38">
        <f t="shared" si="49"/>
        <v>0</v>
      </c>
      <c r="CI61" s="38">
        <f t="shared" si="49"/>
        <v>0</v>
      </c>
      <c r="CK61" s="11"/>
      <c r="CM61" s="11"/>
      <c r="EX61" s="10" t="str">
        <f t="shared" si="8"/>
        <v/>
      </c>
    </row>
    <row r="62" spans="1:154" x14ac:dyDescent="0.35">
      <c r="B62" t="str">
        <f ca="1">Loans!B$30</f>
        <v>Loan 18</v>
      </c>
      <c r="D62" s="51">
        <f>Loans!D$30</f>
        <v>0</v>
      </c>
      <c r="E62" s="117" t="str">
        <f>IF(Loans!J$30=0, "", Loans!J$30)</f>
        <v/>
      </c>
      <c r="F62" s="117" t="str">
        <f>IF(Loans!K$30=0, "", Loans!K$30)</f>
        <v/>
      </c>
      <c r="V62" s="38">
        <f t="shared" si="37"/>
        <v>0</v>
      </c>
      <c r="W62" s="38">
        <f t="shared" si="37"/>
        <v>0</v>
      </c>
      <c r="X62" s="38">
        <f t="shared" si="37"/>
        <v>0</v>
      </c>
      <c r="Y62" s="38">
        <f t="shared" si="37"/>
        <v>0</v>
      </c>
      <c r="AA62" s="38">
        <f t="shared" si="44"/>
        <v>0</v>
      </c>
      <c r="AB62" s="38">
        <f t="shared" si="44"/>
        <v>0</v>
      </c>
      <c r="AC62" s="38">
        <f t="shared" si="44"/>
        <v>0</v>
      </c>
      <c r="AD62" s="38">
        <f t="shared" si="44"/>
        <v>0</v>
      </c>
      <c r="AE62" s="38">
        <f t="shared" si="44"/>
        <v>0</v>
      </c>
      <c r="AF62" s="38">
        <f t="shared" si="44"/>
        <v>0</v>
      </c>
      <c r="AG62" s="38">
        <f t="shared" si="44"/>
        <v>0</v>
      </c>
      <c r="AH62" s="38">
        <f t="shared" si="44"/>
        <v>0</v>
      </c>
      <c r="AI62" s="38">
        <f t="shared" si="44"/>
        <v>0</v>
      </c>
      <c r="AJ62" s="38">
        <f t="shared" si="44"/>
        <v>0</v>
      </c>
      <c r="AK62" s="38">
        <f t="shared" si="45"/>
        <v>0</v>
      </c>
      <c r="AL62" s="38">
        <f t="shared" si="45"/>
        <v>0</v>
      </c>
      <c r="AM62" s="38">
        <f t="shared" si="45"/>
        <v>0</v>
      </c>
      <c r="AN62" s="38">
        <f t="shared" si="45"/>
        <v>0</v>
      </c>
      <c r="AO62" s="38">
        <f t="shared" si="45"/>
        <v>0</v>
      </c>
      <c r="AP62" s="38">
        <f t="shared" si="45"/>
        <v>0</v>
      </c>
      <c r="AQ62" s="38">
        <f t="shared" si="45"/>
        <v>0</v>
      </c>
      <c r="AR62" s="38">
        <f t="shared" si="45"/>
        <v>0</v>
      </c>
      <c r="AS62" s="38">
        <f t="shared" si="45"/>
        <v>0</v>
      </c>
      <c r="AT62" s="38">
        <f t="shared" si="45"/>
        <v>0</v>
      </c>
      <c r="AU62" s="38">
        <f t="shared" si="46"/>
        <v>0</v>
      </c>
      <c r="AV62" s="38">
        <f t="shared" si="46"/>
        <v>0</v>
      </c>
      <c r="AW62" s="38">
        <f t="shared" si="46"/>
        <v>0</v>
      </c>
      <c r="AX62" s="38">
        <f t="shared" si="46"/>
        <v>0</v>
      </c>
      <c r="AY62" s="38">
        <f t="shared" si="46"/>
        <v>0</v>
      </c>
      <c r="AZ62" s="38">
        <f t="shared" si="46"/>
        <v>0</v>
      </c>
      <c r="BA62" s="38">
        <f t="shared" si="46"/>
        <v>0</v>
      </c>
      <c r="BB62" s="38">
        <f t="shared" si="46"/>
        <v>0</v>
      </c>
      <c r="BC62" s="38">
        <f t="shared" si="46"/>
        <v>0</v>
      </c>
      <c r="BD62" s="38">
        <f t="shared" si="46"/>
        <v>0</v>
      </c>
      <c r="BE62" s="38">
        <f t="shared" si="47"/>
        <v>0</v>
      </c>
      <c r="BF62" s="38">
        <f t="shared" si="47"/>
        <v>0</v>
      </c>
      <c r="BG62" s="38">
        <f t="shared" si="47"/>
        <v>0</v>
      </c>
      <c r="BH62" s="38">
        <f t="shared" si="47"/>
        <v>0</v>
      </c>
      <c r="BI62" s="38">
        <f t="shared" si="47"/>
        <v>0</v>
      </c>
      <c r="BJ62" s="38">
        <f t="shared" si="47"/>
        <v>0</v>
      </c>
      <c r="BK62" s="38">
        <f t="shared" si="47"/>
        <v>0</v>
      </c>
      <c r="BL62" s="38">
        <f t="shared" si="47"/>
        <v>0</v>
      </c>
      <c r="BM62" s="38">
        <f t="shared" si="47"/>
        <v>0</v>
      </c>
      <c r="BN62" s="38">
        <f t="shared" si="47"/>
        <v>0</v>
      </c>
      <c r="BO62" s="38">
        <f t="shared" si="48"/>
        <v>0</v>
      </c>
      <c r="BP62" s="38">
        <f t="shared" si="48"/>
        <v>0</v>
      </c>
      <c r="BQ62" s="38">
        <f t="shared" si="48"/>
        <v>0</v>
      </c>
      <c r="BR62" s="38">
        <f t="shared" si="48"/>
        <v>0</v>
      </c>
      <c r="BS62" s="38">
        <f t="shared" si="48"/>
        <v>0</v>
      </c>
      <c r="BT62" s="38">
        <f t="shared" si="48"/>
        <v>0</v>
      </c>
      <c r="BU62" s="38">
        <f t="shared" si="48"/>
        <v>0</v>
      </c>
      <c r="BV62" s="38">
        <f t="shared" si="48"/>
        <v>0</v>
      </c>
      <c r="BX62" s="38">
        <f t="shared" si="49"/>
        <v>0</v>
      </c>
      <c r="BY62" s="38">
        <f t="shared" si="49"/>
        <v>0</v>
      </c>
      <c r="BZ62" s="38">
        <f t="shared" si="49"/>
        <v>0</v>
      </c>
      <c r="CA62" s="38">
        <f t="shared" si="49"/>
        <v>0</v>
      </c>
      <c r="CB62" s="38">
        <f t="shared" si="49"/>
        <v>0</v>
      </c>
      <c r="CC62" s="38">
        <f t="shared" si="49"/>
        <v>0</v>
      </c>
      <c r="CD62" s="38">
        <f t="shared" si="49"/>
        <v>0</v>
      </c>
      <c r="CE62" s="38">
        <f t="shared" si="49"/>
        <v>0</v>
      </c>
      <c r="CF62" s="38">
        <f t="shared" si="49"/>
        <v>0</v>
      </c>
      <c r="CG62" s="38">
        <f t="shared" si="49"/>
        <v>0</v>
      </c>
      <c r="CH62" s="38">
        <f t="shared" si="49"/>
        <v>0</v>
      </c>
      <c r="CI62" s="38">
        <f t="shared" si="49"/>
        <v>0</v>
      </c>
      <c r="CK62" s="11"/>
      <c r="CM62" s="11"/>
      <c r="EX62" s="10" t="str">
        <f t="shared" si="8"/>
        <v/>
      </c>
    </row>
    <row r="63" spans="1:154" x14ac:dyDescent="0.35">
      <c r="B63" t="str">
        <f ca="1">Loans!B$31</f>
        <v>Loan 19</v>
      </c>
      <c r="D63" s="51">
        <f>Loans!D$31</f>
        <v>0</v>
      </c>
      <c r="E63" s="117" t="str">
        <f>IF(Loans!J$31=0, "", Loans!J$31)</f>
        <v/>
      </c>
      <c r="F63" s="117" t="str">
        <f>IF(Loans!K$31=0, "", Loans!K$31)</f>
        <v/>
      </c>
      <c r="V63" s="38">
        <f t="shared" si="37"/>
        <v>0</v>
      </c>
      <c r="W63" s="38">
        <f t="shared" si="37"/>
        <v>0</v>
      </c>
      <c r="X63" s="38">
        <f t="shared" si="37"/>
        <v>0</v>
      </c>
      <c r="Y63" s="38">
        <f t="shared" si="37"/>
        <v>0</v>
      </c>
      <c r="AA63" s="38">
        <f t="shared" si="44"/>
        <v>0</v>
      </c>
      <c r="AB63" s="38">
        <f t="shared" si="44"/>
        <v>0</v>
      </c>
      <c r="AC63" s="38">
        <f t="shared" si="44"/>
        <v>0</v>
      </c>
      <c r="AD63" s="38">
        <f t="shared" si="44"/>
        <v>0</v>
      </c>
      <c r="AE63" s="38">
        <f t="shared" si="44"/>
        <v>0</v>
      </c>
      <c r="AF63" s="38">
        <f t="shared" si="44"/>
        <v>0</v>
      </c>
      <c r="AG63" s="38">
        <f t="shared" si="44"/>
        <v>0</v>
      </c>
      <c r="AH63" s="38">
        <f t="shared" si="44"/>
        <v>0</v>
      </c>
      <c r="AI63" s="38">
        <f t="shared" si="44"/>
        <v>0</v>
      </c>
      <c r="AJ63" s="38">
        <f t="shared" si="44"/>
        <v>0</v>
      </c>
      <c r="AK63" s="38">
        <f t="shared" si="45"/>
        <v>0</v>
      </c>
      <c r="AL63" s="38">
        <f t="shared" si="45"/>
        <v>0</v>
      </c>
      <c r="AM63" s="38">
        <f t="shared" si="45"/>
        <v>0</v>
      </c>
      <c r="AN63" s="38">
        <f t="shared" si="45"/>
        <v>0</v>
      </c>
      <c r="AO63" s="38">
        <f t="shared" si="45"/>
        <v>0</v>
      </c>
      <c r="AP63" s="38">
        <f t="shared" si="45"/>
        <v>0</v>
      </c>
      <c r="AQ63" s="38">
        <f t="shared" si="45"/>
        <v>0</v>
      </c>
      <c r="AR63" s="38">
        <f t="shared" si="45"/>
        <v>0</v>
      </c>
      <c r="AS63" s="38">
        <f t="shared" si="45"/>
        <v>0</v>
      </c>
      <c r="AT63" s="38">
        <f t="shared" si="45"/>
        <v>0</v>
      </c>
      <c r="AU63" s="38">
        <f t="shared" si="46"/>
        <v>0</v>
      </c>
      <c r="AV63" s="38">
        <f t="shared" si="46"/>
        <v>0</v>
      </c>
      <c r="AW63" s="38">
        <f t="shared" si="46"/>
        <v>0</v>
      </c>
      <c r="AX63" s="38">
        <f t="shared" si="46"/>
        <v>0</v>
      </c>
      <c r="AY63" s="38">
        <f t="shared" si="46"/>
        <v>0</v>
      </c>
      <c r="AZ63" s="38">
        <f t="shared" si="46"/>
        <v>0</v>
      </c>
      <c r="BA63" s="38">
        <f t="shared" si="46"/>
        <v>0</v>
      </c>
      <c r="BB63" s="38">
        <f t="shared" si="46"/>
        <v>0</v>
      </c>
      <c r="BC63" s="38">
        <f t="shared" si="46"/>
        <v>0</v>
      </c>
      <c r="BD63" s="38">
        <f t="shared" si="46"/>
        <v>0</v>
      </c>
      <c r="BE63" s="38">
        <f t="shared" si="47"/>
        <v>0</v>
      </c>
      <c r="BF63" s="38">
        <f t="shared" si="47"/>
        <v>0</v>
      </c>
      <c r="BG63" s="38">
        <f t="shared" si="47"/>
        <v>0</v>
      </c>
      <c r="BH63" s="38">
        <f t="shared" si="47"/>
        <v>0</v>
      </c>
      <c r="BI63" s="38">
        <f t="shared" si="47"/>
        <v>0</v>
      </c>
      <c r="BJ63" s="38">
        <f t="shared" si="47"/>
        <v>0</v>
      </c>
      <c r="BK63" s="38">
        <f t="shared" si="47"/>
        <v>0</v>
      </c>
      <c r="BL63" s="38">
        <f t="shared" si="47"/>
        <v>0</v>
      </c>
      <c r="BM63" s="38">
        <f t="shared" si="47"/>
        <v>0</v>
      </c>
      <c r="BN63" s="38">
        <f t="shared" si="47"/>
        <v>0</v>
      </c>
      <c r="BO63" s="38">
        <f t="shared" si="48"/>
        <v>0</v>
      </c>
      <c r="BP63" s="38">
        <f t="shared" si="48"/>
        <v>0</v>
      </c>
      <c r="BQ63" s="38">
        <f t="shared" si="48"/>
        <v>0</v>
      </c>
      <c r="BR63" s="38">
        <f t="shared" si="48"/>
        <v>0</v>
      </c>
      <c r="BS63" s="38">
        <f t="shared" si="48"/>
        <v>0</v>
      </c>
      <c r="BT63" s="38">
        <f t="shared" si="48"/>
        <v>0</v>
      </c>
      <c r="BU63" s="38">
        <f t="shared" si="48"/>
        <v>0</v>
      </c>
      <c r="BV63" s="38">
        <f t="shared" si="48"/>
        <v>0</v>
      </c>
      <c r="BX63" s="38">
        <f t="shared" si="49"/>
        <v>0</v>
      </c>
      <c r="BY63" s="38">
        <f t="shared" si="49"/>
        <v>0</v>
      </c>
      <c r="BZ63" s="38">
        <f t="shared" si="49"/>
        <v>0</v>
      </c>
      <c r="CA63" s="38">
        <f t="shared" si="49"/>
        <v>0</v>
      </c>
      <c r="CB63" s="38">
        <f t="shared" si="49"/>
        <v>0</v>
      </c>
      <c r="CC63" s="38">
        <f t="shared" si="49"/>
        <v>0</v>
      </c>
      <c r="CD63" s="38">
        <f t="shared" si="49"/>
        <v>0</v>
      </c>
      <c r="CE63" s="38">
        <f t="shared" si="49"/>
        <v>0</v>
      </c>
      <c r="CF63" s="38">
        <f t="shared" si="49"/>
        <v>0</v>
      </c>
      <c r="CG63" s="38">
        <f t="shared" si="49"/>
        <v>0</v>
      </c>
      <c r="CH63" s="38">
        <f t="shared" si="49"/>
        <v>0</v>
      </c>
      <c r="CI63" s="38">
        <f t="shared" si="49"/>
        <v>0</v>
      </c>
      <c r="CK63" s="11"/>
      <c r="CM63" s="11"/>
      <c r="EX63" s="10" t="str">
        <f t="shared" si="8"/>
        <v/>
      </c>
    </row>
    <row r="64" spans="1:154" x14ac:dyDescent="0.35">
      <c r="B64" t="str">
        <f ca="1">Loans!B$32</f>
        <v>Loan 20</v>
      </c>
      <c r="D64" s="51">
        <f>Loans!D$32</f>
        <v>0</v>
      </c>
      <c r="E64" s="117" t="str">
        <f>IF(Loans!J$32=0, "", Loans!J$32)</f>
        <v/>
      </c>
      <c r="F64" s="117" t="str">
        <f>IF(Loans!K$32=0, "", Loans!K$32)</f>
        <v/>
      </c>
      <c r="V64" s="38">
        <f t="shared" si="37"/>
        <v>0</v>
      </c>
      <c r="W64" s="38">
        <f t="shared" si="37"/>
        <v>0</v>
      </c>
      <c r="X64" s="38">
        <f t="shared" si="37"/>
        <v>0</v>
      </c>
      <c r="Y64" s="38">
        <f t="shared" si="37"/>
        <v>0</v>
      </c>
      <c r="AA64" s="38">
        <f t="shared" si="44"/>
        <v>0</v>
      </c>
      <c r="AB64" s="38">
        <f t="shared" si="44"/>
        <v>0</v>
      </c>
      <c r="AC64" s="38">
        <f t="shared" si="44"/>
        <v>0</v>
      </c>
      <c r="AD64" s="38">
        <f t="shared" si="44"/>
        <v>0</v>
      </c>
      <c r="AE64" s="38">
        <f t="shared" si="44"/>
        <v>0</v>
      </c>
      <c r="AF64" s="38">
        <f t="shared" si="44"/>
        <v>0</v>
      </c>
      <c r="AG64" s="38">
        <f t="shared" si="44"/>
        <v>0</v>
      </c>
      <c r="AH64" s="38">
        <f t="shared" si="44"/>
        <v>0</v>
      </c>
      <c r="AI64" s="38">
        <f t="shared" si="44"/>
        <v>0</v>
      </c>
      <c r="AJ64" s="38">
        <f t="shared" si="44"/>
        <v>0</v>
      </c>
      <c r="AK64" s="38">
        <f t="shared" si="45"/>
        <v>0</v>
      </c>
      <c r="AL64" s="38">
        <f t="shared" si="45"/>
        <v>0</v>
      </c>
      <c r="AM64" s="38">
        <f t="shared" si="45"/>
        <v>0</v>
      </c>
      <c r="AN64" s="38">
        <f t="shared" si="45"/>
        <v>0</v>
      </c>
      <c r="AO64" s="38">
        <f t="shared" si="45"/>
        <v>0</v>
      </c>
      <c r="AP64" s="38">
        <f t="shared" si="45"/>
        <v>0</v>
      </c>
      <c r="AQ64" s="38">
        <f t="shared" si="45"/>
        <v>0</v>
      </c>
      <c r="AR64" s="38">
        <f t="shared" si="45"/>
        <v>0</v>
      </c>
      <c r="AS64" s="38">
        <f t="shared" si="45"/>
        <v>0</v>
      </c>
      <c r="AT64" s="38">
        <f t="shared" si="45"/>
        <v>0</v>
      </c>
      <c r="AU64" s="38">
        <f t="shared" si="46"/>
        <v>0</v>
      </c>
      <c r="AV64" s="38">
        <f t="shared" si="46"/>
        <v>0</v>
      </c>
      <c r="AW64" s="38">
        <f t="shared" si="46"/>
        <v>0</v>
      </c>
      <c r="AX64" s="38">
        <f t="shared" si="46"/>
        <v>0</v>
      </c>
      <c r="AY64" s="38">
        <f t="shared" si="46"/>
        <v>0</v>
      </c>
      <c r="AZ64" s="38">
        <f t="shared" si="46"/>
        <v>0</v>
      </c>
      <c r="BA64" s="38">
        <f t="shared" si="46"/>
        <v>0</v>
      </c>
      <c r="BB64" s="38">
        <f t="shared" si="46"/>
        <v>0</v>
      </c>
      <c r="BC64" s="38">
        <f t="shared" si="46"/>
        <v>0</v>
      </c>
      <c r="BD64" s="38">
        <f t="shared" si="46"/>
        <v>0</v>
      </c>
      <c r="BE64" s="38">
        <f t="shared" si="47"/>
        <v>0</v>
      </c>
      <c r="BF64" s="38">
        <f t="shared" si="47"/>
        <v>0</v>
      </c>
      <c r="BG64" s="38">
        <f t="shared" si="47"/>
        <v>0</v>
      </c>
      <c r="BH64" s="38">
        <f t="shared" si="47"/>
        <v>0</v>
      </c>
      <c r="BI64" s="38">
        <f t="shared" si="47"/>
        <v>0</v>
      </c>
      <c r="BJ64" s="38">
        <f t="shared" si="47"/>
        <v>0</v>
      </c>
      <c r="BK64" s="38">
        <f t="shared" si="47"/>
        <v>0</v>
      </c>
      <c r="BL64" s="38">
        <f t="shared" si="47"/>
        <v>0</v>
      </c>
      <c r="BM64" s="38">
        <f t="shared" si="47"/>
        <v>0</v>
      </c>
      <c r="BN64" s="38">
        <f t="shared" si="47"/>
        <v>0</v>
      </c>
      <c r="BO64" s="38">
        <f t="shared" si="48"/>
        <v>0</v>
      </c>
      <c r="BP64" s="38">
        <f t="shared" si="48"/>
        <v>0</v>
      </c>
      <c r="BQ64" s="38">
        <f t="shared" si="48"/>
        <v>0</v>
      </c>
      <c r="BR64" s="38">
        <f t="shared" si="48"/>
        <v>0</v>
      </c>
      <c r="BS64" s="38">
        <f t="shared" si="48"/>
        <v>0</v>
      </c>
      <c r="BT64" s="38">
        <f t="shared" si="48"/>
        <v>0</v>
      </c>
      <c r="BU64" s="38">
        <f t="shared" si="48"/>
        <v>0</v>
      </c>
      <c r="BV64" s="38">
        <f t="shared" si="48"/>
        <v>0</v>
      </c>
      <c r="BX64" s="38">
        <f t="shared" si="49"/>
        <v>0</v>
      </c>
      <c r="BY64" s="38">
        <f t="shared" si="49"/>
        <v>0</v>
      </c>
      <c r="BZ64" s="38">
        <f t="shared" si="49"/>
        <v>0</v>
      </c>
      <c r="CA64" s="38">
        <f t="shared" si="49"/>
        <v>0</v>
      </c>
      <c r="CB64" s="38">
        <f t="shared" si="49"/>
        <v>0</v>
      </c>
      <c r="CC64" s="38">
        <f t="shared" si="49"/>
        <v>0</v>
      </c>
      <c r="CD64" s="38">
        <f t="shared" si="49"/>
        <v>0</v>
      </c>
      <c r="CE64" s="38">
        <f t="shared" si="49"/>
        <v>0</v>
      </c>
      <c r="CF64" s="38">
        <f t="shared" si="49"/>
        <v>0</v>
      </c>
      <c r="CG64" s="38">
        <f t="shared" si="49"/>
        <v>0</v>
      </c>
      <c r="CH64" s="38">
        <f t="shared" si="49"/>
        <v>0</v>
      </c>
      <c r="CI64" s="38">
        <f t="shared" si="49"/>
        <v>0</v>
      </c>
      <c r="CK64" s="11"/>
      <c r="CM64" s="11"/>
      <c r="EX64" s="10" t="str">
        <f t="shared" si="8"/>
        <v/>
      </c>
    </row>
    <row r="65" spans="1:154" ht="6.75" customHeight="1" x14ac:dyDescent="0.35">
      <c r="D65" s="1"/>
      <c r="E65"/>
      <c r="BY65" s="6"/>
      <c r="CK65" s="35"/>
      <c r="CM65" s="35"/>
      <c r="EX65" s="10" t="str">
        <f t="shared" si="8"/>
        <v/>
      </c>
    </row>
    <row r="66" spans="1:154" x14ac:dyDescent="0.35">
      <c r="D66" s="5" t="s">
        <v>1934</v>
      </c>
      <c r="F66" s="5"/>
      <c r="CK66" s="11"/>
      <c r="CM66" s="11"/>
      <c r="EX66" s="10" t="str">
        <f t="shared" si="8"/>
        <v/>
      </c>
    </row>
    <row r="67" spans="1:154" x14ac:dyDescent="0.35">
      <c r="B67" s="5"/>
      <c r="D67" s="5" t="str">
        <f>Loans!D$11</f>
        <v>Lender</v>
      </c>
      <c r="E67" s="5" t="s">
        <v>1932</v>
      </c>
      <c r="F67" s="5" t="s">
        <v>1933</v>
      </c>
      <c r="CK67" s="11"/>
      <c r="CM67" s="11"/>
      <c r="EX67" s="10" t="str">
        <f t="shared" si="8"/>
        <v/>
      </c>
    </row>
    <row r="68" spans="1:154" x14ac:dyDescent="0.35">
      <c r="B68" t="str">
        <f ca="1">Loans!B$13</f>
        <v>Loan 1</v>
      </c>
      <c r="D68" s="51">
        <f>Loans!D$13</f>
        <v>0</v>
      </c>
      <c r="E68" s="117" t="str">
        <f>IF(Loans!J$13=0, "", Loans!J$13)</f>
        <v/>
      </c>
      <c r="F68" s="117" t="str">
        <f>IF(Loans!K$13=0, "", Loans!K$13)</f>
        <v/>
      </c>
      <c r="AA68" s="38">
        <f t="shared" ref="AA68:BV68" si="50">(Z68+AA45)*AA45</f>
        <v>0</v>
      </c>
      <c r="AB68" s="38">
        <f t="shared" si="50"/>
        <v>0</v>
      </c>
      <c r="AC68" s="38">
        <f t="shared" si="50"/>
        <v>0</v>
      </c>
      <c r="AD68" s="38">
        <f t="shared" si="50"/>
        <v>0</v>
      </c>
      <c r="AE68" s="38">
        <f t="shared" si="50"/>
        <v>0</v>
      </c>
      <c r="AF68" s="38">
        <f t="shared" si="50"/>
        <v>0</v>
      </c>
      <c r="AG68" s="38">
        <f t="shared" si="50"/>
        <v>0</v>
      </c>
      <c r="AH68" s="38">
        <f t="shared" si="50"/>
        <v>0</v>
      </c>
      <c r="AI68" s="38">
        <f t="shared" si="50"/>
        <v>0</v>
      </c>
      <c r="AJ68" s="38">
        <f t="shared" si="50"/>
        <v>0</v>
      </c>
      <c r="AK68" s="38">
        <f t="shared" si="50"/>
        <v>0</v>
      </c>
      <c r="AL68" s="38">
        <f t="shared" si="50"/>
        <v>0</v>
      </c>
      <c r="AM68" s="38">
        <f t="shared" si="50"/>
        <v>0</v>
      </c>
      <c r="AN68" s="38">
        <f t="shared" si="50"/>
        <v>0</v>
      </c>
      <c r="AO68" s="38">
        <f t="shared" si="50"/>
        <v>0</v>
      </c>
      <c r="AP68" s="38">
        <f t="shared" si="50"/>
        <v>0</v>
      </c>
      <c r="AQ68" s="38">
        <f t="shared" si="50"/>
        <v>0</v>
      </c>
      <c r="AR68" s="38">
        <f t="shared" si="50"/>
        <v>0</v>
      </c>
      <c r="AS68" s="38">
        <f t="shared" si="50"/>
        <v>0</v>
      </c>
      <c r="AT68" s="38">
        <f t="shared" si="50"/>
        <v>0</v>
      </c>
      <c r="AU68" s="38">
        <f t="shared" si="50"/>
        <v>0</v>
      </c>
      <c r="AV68" s="38">
        <f t="shared" si="50"/>
        <v>0</v>
      </c>
      <c r="AW68" s="38">
        <f t="shared" si="50"/>
        <v>0</v>
      </c>
      <c r="AX68" s="38">
        <f t="shared" si="50"/>
        <v>0</v>
      </c>
      <c r="AY68" s="38">
        <f t="shared" si="50"/>
        <v>0</v>
      </c>
      <c r="AZ68" s="38">
        <f t="shared" si="50"/>
        <v>0</v>
      </c>
      <c r="BA68" s="38">
        <f t="shared" si="50"/>
        <v>0</v>
      </c>
      <c r="BB68" s="38">
        <f t="shared" si="50"/>
        <v>0</v>
      </c>
      <c r="BC68" s="38">
        <f t="shared" si="50"/>
        <v>0</v>
      </c>
      <c r="BD68" s="38">
        <f t="shared" si="50"/>
        <v>0</v>
      </c>
      <c r="BE68" s="38">
        <f t="shared" si="50"/>
        <v>0</v>
      </c>
      <c r="BF68" s="38">
        <f t="shared" si="50"/>
        <v>0</v>
      </c>
      <c r="BG68" s="38">
        <f t="shared" si="50"/>
        <v>0</v>
      </c>
      <c r="BH68" s="38">
        <f t="shared" si="50"/>
        <v>0</v>
      </c>
      <c r="BI68" s="38">
        <f t="shared" si="50"/>
        <v>0</v>
      </c>
      <c r="BJ68" s="38">
        <f t="shared" si="50"/>
        <v>0</v>
      </c>
      <c r="BK68" s="38">
        <f t="shared" si="50"/>
        <v>0</v>
      </c>
      <c r="BL68" s="38">
        <f t="shared" si="50"/>
        <v>0</v>
      </c>
      <c r="BM68" s="38">
        <f t="shared" si="50"/>
        <v>0</v>
      </c>
      <c r="BN68" s="38">
        <f t="shared" si="50"/>
        <v>0</v>
      </c>
      <c r="BO68" s="38">
        <f t="shared" si="50"/>
        <v>0</v>
      </c>
      <c r="BP68" s="38">
        <f t="shared" si="50"/>
        <v>0</v>
      </c>
      <c r="BQ68" s="38">
        <f t="shared" si="50"/>
        <v>0</v>
      </c>
      <c r="BR68" s="38">
        <f t="shared" si="50"/>
        <v>0</v>
      </c>
      <c r="BS68" s="38">
        <f t="shared" si="50"/>
        <v>0</v>
      </c>
      <c r="BT68" s="38">
        <f t="shared" si="50"/>
        <v>0</v>
      </c>
      <c r="BU68" s="38">
        <f t="shared" si="50"/>
        <v>0</v>
      </c>
      <c r="BV68" s="38">
        <f t="shared" si="50"/>
        <v>0</v>
      </c>
      <c r="CK68" s="11"/>
      <c r="CM68" s="11"/>
      <c r="EX68" s="10" t="str">
        <f t="shared" si="8"/>
        <v/>
      </c>
    </row>
    <row r="69" spans="1:154" x14ac:dyDescent="0.35">
      <c r="B69" t="str">
        <f ca="1">Loans!B$14</f>
        <v>Loan 2</v>
      </c>
      <c r="D69" s="51">
        <f>Loans!D$14</f>
        <v>0</v>
      </c>
      <c r="E69" s="117" t="str">
        <f>IF(Loans!J$14=0, "", Loans!J$14)</f>
        <v/>
      </c>
      <c r="F69" s="117" t="str">
        <f>IF(Loans!K$14=0, "", Loans!K$14)</f>
        <v/>
      </c>
      <c r="AA69" s="38">
        <f t="shared" ref="AA69:BV69" si="51">(Z69+AA46)*AA46</f>
        <v>0</v>
      </c>
      <c r="AB69" s="38">
        <f t="shared" si="51"/>
        <v>0</v>
      </c>
      <c r="AC69" s="38">
        <f t="shared" si="51"/>
        <v>0</v>
      </c>
      <c r="AD69" s="38">
        <f t="shared" si="51"/>
        <v>0</v>
      </c>
      <c r="AE69" s="38">
        <f t="shared" si="51"/>
        <v>0</v>
      </c>
      <c r="AF69" s="38">
        <f t="shared" si="51"/>
        <v>0</v>
      </c>
      <c r="AG69" s="38">
        <f t="shared" si="51"/>
        <v>0</v>
      </c>
      <c r="AH69" s="38">
        <f t="shared" si="51"/>
        <v>0</v>
      </c>
      <c r="AI69" s="38">
        <f t="shared" si="51"/>
        <v>0</v>
      </c>
      <c r="AJ69" s="38">
        <f t="shared" si="51"/>
        <v>0</v>
      </c>
      <c r="AK69" s="38">
        <f t="shared" si="51"/>
        <v>0</v>
      </c>
      <c r="AL69" s="38">
        <f t="shared" si="51"/>
        <v>0</v>
      </c>
      <c r="AM69" s="38">
        <f t="shared" si="51"/>
        <v>0</v>
      </c>
      <c r="AN69" s="38">
        <f t="shared" si="51"/>
        <v>0</v>
      </c>
      <c r="AO69" s="38">
        <f t="shared" si="51"/>
        <v>0</v>
      </c>
      <c r="AP69" s="38">
        <f t="shared" si="51"/>
        <v>0</v>
      </c>
      <c r="AQ69" s="38">
        <f t="shared" si="51"/>
        <v>0</v>
      </c>
      <c r="AR69" s="38">
        <f t="shared" si="51"/>
        <v>0</v>
      </c>
      <c r="AS69" s="38">
        <f t="shared" si="51"/>
        <v>0</v>
      </c>
      <c r="AT69" s="38">
        <f t="shared" si="51"/>
        <v>0</v>
      </c>
      <c r="AU69" s="38">
        <f t="shared" si="51"/>
        <v>0</v>
      </c>
      <c r="AV69" s="38">
        <f t="shared" si="51"/>
        <v>0</v>
      </c>
      <c r="AW69" s="38">
        <f t="shared" si="51"/>
        <v>0</v>
      </c>
      <c r="AX69" s="38">
        <f t="shared" si="51"/>
        <v>0</v>
      </c>
      <c r="AY69" s="38">
        <f t="shared" si="51"/>
        <v>0</v>
      </c>
      <c r="AZ69" s="38">
        <f t="shared" si="51"/>
        <v>0</v>
      </c>
      <c r="BA69" s="38">
        <f t="shared" si="51"/>
        <v>0</v>
      </c>
      <c r="BB69" s="38">
        <f t="shared" si="51"/>
        <v>0</v>
      </c>
      <c r="BC69" s="38">
        <f t="shared" si="51"/>
        <v>0</v>
      </c>
      <c r="BD69" s="38">
        <f t="shared" si="51"/>
        <v>0</v>
      </c>
      <c r="BE69" s="38">
        <f t="shared" si="51"/>
        <v>0</v>
      </c>
      <c r="BF69" s="38">
        <f t="shared" si="51"/>
        <v>0</v>
      </c>
      <c r="BG69" s="38">
        <f t="shared" si="51"/>
        <v>0</v>
      </c>
      <c r="BH69" s="38">
        <f t="shared" si="51"/>
        <v>0</v>
      </c>
      <c r="BI69" s="38">
        <f t="shared" si="51"/>
        <v>0</v>
      </c>
      <c r="BJ69" s="38">
        <f t="shared" si="51"/>
        <v>0</v>
      </c>
      <c r="BK69" s="38">
        <f t="shared" si="51"/>
        <v>0</v>
      </c>
      <c r="BL69" s="38">
        <f t="shared" si="51"/>
        <v>0</v>
      </c>
      <c r="BM69" s="38">
        <f t="shared" si="51"/>
        <v>0</v>
      </c>
      <c r="BN69" s="38">
        <f t="shared" si="51"/>
        <v>0</v>
      </c>
      <c r="BO69" s="38">
        <f t="shared" si="51"/>
        <v>0</v>
      </c>
      <c r="BP69" s="38">
        <f t="shared" si="51"/>
        <v>0</v>
      </c>
      <c r="BQ69" s="38">
        <f t="shared" si="51"/>
        <v>0</v>
      </c>
      <c r="BR69" s="38">
        <f t="shared" si="51"/>
        <v>0</v>
      </c>
      <c r="BS69" s="38">
        <f t="shared" si="51"/>
        <v>0</v>
      </c>
      <c r="BT69" s="38">
        <f t="shared" si="51"/>
        <v>0</v>
      </c>
      <c r="BU69" s="38">
        <f t="shared" si="51"/>
        <v>0</v>
      </c>
      <c r="BV69" s="38">
        <f t="shared" si="51"/>
        <v>0</v>
      </c>
      <c r="CK69" s="11"/>
      <c r="CM69" s="11"/>
      <c r="EX69" s="10" t="str">
        <f t="shared" si="8"/>
        <v/>
      </c>
    </row>
    <row r="70" spans="1:154" x14ac:dyDescent="0.35">
      <c r="B70" t="str">
        <f ca="1">Loans!B$15</f>
        <v>Loan 3</v>
      </c>
      <c r="D70" s="51">
        <f>Loans!D$15</f>
        <v>0</v>
      </c>
      <c r="E70" s="117" t="str">
        <f>IF(Loans!J$15=0, "", Loans!J$15)</f>
        <v/>
      </c>
      <c r="F70" s="117" t="str">
        <f>IF(Loans!K$15=0, "", Loans!K$15)</f>
        <v/>
      </c>
      <c r="AA70" s="38">
        <f t="shared" ref="AA70:BV70" si="52">(Z70+AA47)*AA47</f>
        <v>0</v>
      </c>
      <c r="AB70" s="38">
        <f t="shared" si="52"/>
        <v>0</v>
      </c>
      <c r="AC70" s="38">
        <f t="shared" si="52"/>
        <v>0</v>
      </c>
      <c r="AD70" s="38">
        <f t="shared" si="52"/>
        <v>0</v>
      </c>
      <c r="AE70" s="38">
        <f t="shared" si="52"/>
        <v>0</v>
      </c>
      <c r="AF70" s="38">
        <f t="shared" si="52"/>
        <v>0</v>
      </c>
      <c r="AG70" s="38">
        <f t="shared" si="52"/>
        <v>0</v>
      </c>
      <c r="AH70" s="38">
        <f t="shared" si="52"/>
        <v>0</v>
      </c>
      <c r="AI70" s="38">
        <f t="shared" si="52"/>
        <v>0</v>
      </c>
      <c r="AJ70" s="38">
        <f t="shared" si="52"/>
        <v>0</v>
      </c>
      <c r="AK70" s="38">
        <f t="shared" si="52"/>
        <v>0</v>
      </c>
      <c r="AL70" s="38">
        <f t="shared" si="52"/>
        <v>0</v>
      </c>
      <c r="AM70" s="38">
        <f t="shared" si="52"/>
        <v>0</v>
      </c>
      <c r="AN70" s="38">
        <f t="shared" si="52"/>
        <v>0</v>
      </c>
      <c r="AO70" s="38">
        <f t="shared" si="52"/>
        <v>0</v>
      </c>
      <c r="AP70" s="38">
        <f t="shared" si="52"/>
        <v>0</v>
      </c>
      <c r="AQ70" s="38">
        <f t="shared" si="52"/>
        <v>0</v>
      </c>
      <c r="AR70" s="38">
        <f t="shared" si="52"/>
        <v>0</v>
      </c>
      <c r="AS70" s="38">
        <f t="shared" si="52"/>
        <v>0</v>
      </c>
      <c r="AT70" s="38">
        <f t="shared" si="52"/>
        <v>0</v>
      </c>
      <c r="AU70" s="38">
        <f t="shared" si="52"/>
        <v>0</v>
      </c>
      <c r="AV70" s="38">
        <f t="shared" si="52"/>
        <v>0</v>
      </c>
      <c r="AW70" s="38">
        <f t="shared" si="52"/>
        <v>0</v>
      </c>
      <c r="AX70" s="38">
        <f t="shared" si="52"/>
        <v>0</v>
      </c>
      <c r="AY70" s="38">
        <f t="shared" si="52"/>
        <v>0</v>
      </c>
      <c r="AZ70" s="38">
        <f t="shared" si="52"/>
        <v>0</v>
      </c>
      <c r="BA70" s="38">
        <f t="shared" si="52"/>
        <v>0</v>
      </c>
      <c r="BB70" s="38">
        <f t="shared" si="52"/>
        <v>0</v>
      </c>
      <c r="BC70" s="38">
        <f t="shared" si="52"/>
        <v>0</v>
      </c>
      <c r="BD70" s="38">
        <f t="shared" si="52"/>
        <v>0</v>
      </c>
      <c r="BE70" s="38">
        <f t="shared" si="52"/>
        <v>0</v>
      </c>
      <c r="BF70" s="38">
        <f t="shared" si="52"/>
        <v>0</v>
      </c>
      <c r="BG70" s="38">
        <f t="shared" si="52"/>
        <v>0</v>
      </c>
      <c r="BH70" s="38">
        <f t="shared" si="52"/>
        <v>0</v>
      </c>
      <c r="BI70" s="38">
        <f t="shared" si="52"/>
        <v>0</v>
      </c>
      <c r="BJ70" s="38">
        <f t="shared" si="52"/>
        <v>0</v>
      </c>
      <c r="BK70" s="38">
        <f t="shared" si="52"/>
        <v>0</v>
      </c>
      <c r="BL70" s="38">
        <f t="shared" si="52"/>
        <v>0</v>
      </c>
      <c r="BM70" s="38">
        <f t="shared" si="52"/>
        <v>0</v>
      </c>
      <c r="BN70" s="38">
        <f t="shared" si="52"/>
        <v>0</v>
      </c>
      <c r="BO70" s="38">
        <f t="shared" si="52"/>
        <v>0</v>
      </c>
      <c r="BP70" s="38">
        <f t="shared" si="52"/>
        <v>0</v>
      </c>
      <c r="BQ70" s="38">
        <f t="shared" si="52"/>
        <v>0</v>
      </c>
      <c r="BR70" s="38">
        <f t="shared" si="52"/>
        <v>0</v>
      </c>
      <c r="BS70" s="38">
        <f t="shared" si="52"/>
        <v>0</v>
      </c>
      <c r="BT70" s="38">
        <f t="shared" si="52"/>
        <v>0</v>
      </c>
      <c r="BU70" s="38">
        <f t="shared" si="52"/>
        <v>0</v>
      </c>
      <c r="BV70" s="38">
        <f t="shared" si="52"/>
        <v>0</v>
      </c>
      <c r="CK70" s="11"/>
      <c r="CM70" s="11"/>
      <c r="EX70" s="10" t="str">
        <f t="shared" si="8"/>
        <v/>
      </c>
    </row>
    <row r="71" spans="1:154" x14ac:dyDescent="0.35">
      <c r="B71" t="str">
        <f ca="1">Loans!B$16</f>
        <v>Loan 4</v>
      </c>
      <c r="D71" s="51">
        <f>Loans!D$16</f>
        <v>0</v>
      </c>
      <c r="E71" s="117" t="str">
        <f>IF(Loans!J$16=0, "", Loans!J$16)</f>
        <v/>
      </c>
      <c r="F71" s="117" t="str">
        <f>IF(Loans!K$16=0, "", Loans!K$16)</f>
        <v/>
      </c>
      <c r="AA71" s="38">
        <f t="shared" ref="AA71:BV71" si="53">(Z71+AA48)*AA48</f>
        <v>0</v>
      </c>
      <c r="AB71" s="38">
        <f t="shared" si="53"/>
        <v>0</v>
      </c>
      <c r="AC71" s="38">
        <f t="shared" si="53"/>
        <v>0</v>
      </c>
      <c r="AD71" s="38">
        <f t="shared" si="53"/>
        <v>0</v>
      </c>
      <c r="AE71" s="38">
        <f t="shared" si="53"/>
        <v>0</v>
      </c>
      <c r="AF71" s="38">
        <f t="shared" si="53"/>
        <v>0</v>
      </c>
      <c r="AG71" s="38">
        <f t="shared" si="53"/>
        <v>0</v>
      </c>
      <c r="AH71" s="38">
        <f t="shared" si="53"/>
        <v>0</v>
      </c>
      <c r="AI71" s="38">
        <f t="shared" si="53"/>
        <v>0</v>
      </c>
      <c r="AJ71" s="38">
        <f t="shared" si="53"/>
        <v>0</v>
      </c>
      <c r="AK71" s="38">
        <f t="shared" si="53"/>
        <v>0</v>
      </c>
      <c r="AL71" s="38">
        <f t="shared" si="53"/>
        <v>0</v>
      </c>
      <c r="AM71" s="38">
        <f t="shared" si="53"/>
        <v>0</v>
      </c>
      <c r="AN71" s="38">
        <f t="shared" si="53"/>
        <v>0</v>
      </c>
      <c r="AO71" s="38">
        <f t="shared" si="53"/>
        <v>0</v>
      </c>
      <c r="AP71" s="38">
        <f t="shared" si="53"/>
        <v>0</v>
      </c>
      <c r="AQ71" s="38">
        <f t="shared" si="53"/>
        <v>0</v>
      </c>
      <c r="AR71" s="38">
        <f t="shared" si="53"/>
        <v>0</v>
      </c>
      <c r="AS71" s="38">
        <f t="shared" si="53"/>
        <v>0</v>
      </c>
      <c r="AT71" s="38">
        <f t="shared" si="53"/>
        <v>0</v>
      </c>
      <c r="AU71" s="38">
        <f t="shared" si="53"/>
        <v>0</v>
      </c>
      <c r="AV71" s="38">
        <f t="shared" si="53"/>
        <v>0</v>
      </c>
      <c r="AW71" s="38">
        <f t="shared" si="53"/>
        <v>0</v>
      </c>
      <c r="AX71" s="38">
        <f t="shared" si="53"/>
        <v>0</v>
      </c>
      <c r="AY71" s="38">
        <f t="shared" si="53"/>
        <v>0</v>
      </c>
      <c r="AZ71" s="38">
        <f t="shared" si="53"/>
        <v>0</v>
      </c>
      <c r="BA71" s="38">
        <f t="shared" si="53"/>
        <v>0</v>
      </c>
      <c r="BB71" s="38">
        <f t="shared" si="53"/>
        <v>0</v>
      </c>
      <c r="BC71" s="38">
        <f t="shared" si="53"/>
        <v>0</v>
      </c>
      <c r="BD71" s="38">
        <f t="shared" si="53"/>
        <v>0</v>
      </c>
      <c r="BE71" s="38">
        <f t="shared" si="53"/>
        <v>0</v>
      </c>
      <c r="BF71" s="38">
        <f t="shared" si="53"/>
        <v>0</v>
      </c>
      <c r="BG71" s="38">
        <f t="shared" si="53"/>
        <v>0</v>
      </c>
      <c r="BH71" s="38">
        <f t="shared" si="53"/>
        <v>0</v>
      </c>
      <c r="BI71" s="38">
        <f t="shared" si="53"/>
        <v>0</v>
      </c>
      <c r="BJ71" s="38">
        <f t="shared" si="53"/>
        <v>0</v>
      </c>
      <c r="BK71" s="38">
        <f t="shared" si="53"/>
        <v>0</v>
      </c>
      <c r="BL71" s="38">
        <f t="shared" si="53"/>
        <v>0</v>
      </c>
      <c r="BM71" s="38">
        <f t="shared" si="53"/>
        <v>0</v>
      </c>
      <c r="BN71" s="38">
        <f t="shared" si="53"/>
        <v>0</v>
      </c>
      <c r="BO71" s="38">
        <f t="shared" si="53"/>
        <v>0</v>
      </c>
      <c r="BP71" s="38">
        <f t="shared" si="53"/>
        <v>0</v>
      </c>
      <c r="BQ71" s="38">
        <f t="shared" si="53"/>
        <v>0</v>
      </c>
      <c r="BR71" s="38">
        <f t="shared" si="53"/>
        <v>0</v>
      </c>
      <c r="BS71" s="38">
        <f t="shared" si="53"/>
        <v>0</v>
      </c>
      <c r="BT71" s="38">
        <f t="shared" si="53"/>
        <v>0</v>
      </c>
      <c r="BU71" s="38">
        <f t="shared" si="53"/>
        <v>0</v>
      </c>
      <c r="BV71" s="38">
        <f t="shared" si="53"/>
        <v>0</v>
      </c>
      <c r="CK71" s="11"/>
      <c r="CM71" s="11"/>
      <c r="EX71" s="10" t="str">
        <f t="shared" si="8"/>
        <v/>
      </c>
    </row>
    <row r="72" spans="1:154" x14ac:dyDescent="0.35">
      <c r="B72" t="str">
        <f ca="1">Loans!B$17</f>
        <v>Loan 5</v>
      </c>
      <c r="D72" s="51">
        <f>Loans!D$17</f>
        <v>0</v>
      </c>
      <c r="E72" s="117" t="str">
        <f>IF(Loans!J$17=0, "", Loans!J$17)</f>
        <v/>
      </c>
      <c r="F72" s="117" t="str">
        <f>IF(Loans!K$17=0, "", Loans!K$17)</f>
        <v/>
      </c>
      <c r="AA72" s="38">
        <f t="shared" ref="AA72:BV72" si="54">(Z72+AA49)*AA49</f>
        <v>0</v>
      </c>
      <c r="AB72" s="38">
        <f t="shared" si="54"/>
        <v>0</v>
      </c>
      <c r="AC72" s="38">
        <f t="shared" si="54"/>
        <v>0</v>
      </c>
      <c r="AD72" s="38">
        <f t="shared" si="54"/>
        <v>0</v>
      </c>
      <c r="AE72" s="38">
        <f t="shared" si="54"/>
        <v>0</v>
      </c>
      <c r="AF72" s="38">
        <f t="shared" si="54"/>
        <v>0</v>
      </c>
      <c r="AG72" s="38">
        <f t="shared" si="54"/>
        <v>0</v>
      </c>
      <c r="AH72" s="38">
        <f t="shared" si="54"/>
        <v>0</v>
      </c>
      <c r="AI72" s="38">
        <f t="shared" si="54"/>
        <v>0</v>
      </c>
      <c r="AJ72" s="38">
        <f t="shared" si="54"/>
        <v>0</v>
      </c>
      <c r="AK72" s="38">
        <f t="shared" si="54"/>
        <v>0</v>
      </c>
      <c r="AL72" s="38">
        <f t="shared" si="54"/>
        <v>0</v>
      </c>
      <c r="AM72" s="38">
        <f t="shared" si="54"/>
        <v>0</v>
      </c>
      <c r="AN72" s="38">
        <f t="shared" si="54"/>
        <v>0</v>
      </c>
      <c r="AO72" s="38">
        <f t="shared" si="54"/>
        <v>0</v>
      </c>
      <c r="AP72" s="38">
        <f t="shared" si="54"/>
        <v>0</v>
      </c>
      <c r="AQ72" s="38">
        <f t="shared" si="54"/>
        <v>0</v>
      </c>
      <c r="AR72" s="38">
        <f t="shared" si="54"/>
        <v>0</v>
      </c>
      <c r="AS72" s="38">
        <f t="shared" si="54"/>
        <v>0</v>
      </c>
      <c r="AT72" s="38">
        <f t="shared" si="54"/>
        <v>0</v>
      </c>
      <c r="AU72" s="38">
        <f t="shared" si="54"/>
        <v>0</v>
      </c>
      <c r="AV72" s="38">
        <f t="shared" si="54"/>
        <v>0</v>
      </c>
      <c r="AW72" s="38">
        <f t="shared" si="54"/>
        <v>0</v>
      </c>
      <c r="AX72" s="38">
        <f t="shared" si="54"/>
        <v>0</v>
      </c>
      <c r="AY72" s="38">
        <f t="shared" si="54"/>
        <v>0</v>
      </c>
      <c r="AZ72" s="38">
        <f t="shared" si="54"/>
        <v>0</v>
      </c>
      <c r="BA72" s="38">
        <f t="shared" si="54"/>
        <v>0</v>
      </c>
      <c r="BB72" s="38">
        <f t="shared" si="54"/>
        <v>0</v>
      </c>
      <c r="BC72" s="38">
        <f t="shared" si="54"/>
        <v>0</v>
      </c>
      <c r="BD72" s="38">
        <f t="shared" si="54"/>
        <v>0</v>
      </c>
      <c r="BE72" s="38">
        <f t="shared" si="54"/>
        <v>0</v>
      </c>
      <c r="BF72" s="38">
        <f t="shared" si="54"/>
        <v>0</v>
      </c>
      <c r="BG72" s="38">
        <f t="shared" si="54"/>
        <v>0</v>
      </c>
      <c r="BH72" s="38">
        <f t="shared" si="54"/>
        <v>0</v>
      </c>
      <c r="BI72" s="38">
        <f t="shared" si="54"/>
        <v>0</v>
      </c>
      <c r="BJ72" s="38">
        <f t="shared" si="54"/>
        <v>0</v>
      </c>
      <c r="BK72" s="38">
        <f t="shared" si="54"/>
        <v>0</v>
      </c>
      <c r="BL72" s="38">
        <f t="shared" si="54"/>
        <v>0</v>
      </c>
      <c r="BM72" s="38">
        <f t="shared" si="54"/>
        <v>0</v>
      </c>
      <c r="BN72" s="38">
        <f t="shared" si="54"/>
        <v>0</v>
      </c>
      <c r="BO72" s="38">
        <f t="shared" si="54"/>
        <v>0</v>
      </c>
      <c r="BP72" s="38">
        <f t="shared" si="54"/>
        <v>0</v>
      </c>
      <c r="BQ72" s="38">
        <f t="shared" si="54"/>
        <v>0</v>
      </c>
      <c r="BR72" s="38">
        <f t="shared" si="54"/>
        <v>0</v>
      </c>
      <c r="BS72" s="38">
        <f t="shared" si="54"/>
        <v>0</v>
      </c>
      <c r="BT72" s="38">
        <f t="shared" si="54"/>
        <v>0</v>
      </c>
      <c r="BU72" s="38">
        <f t="shared" si="54"/>
        <v>0</v>
      </c>
      <c r="BV72" s="38">
        <f t="shared" si="54"/>
        <v>0</v>
      </c>
      <c r="CK72" s="11"/>
      <c r="CM72" s="11"/>
      <c r="EX72" s="10" t="str">
        <f t="shared" ref="EX72:EX135" si="55">IF($C72="","",$D72)</f>
        <v/>
      </c>
    </row>
    <row r="73" spans="1:154" x14ac:dyDescent="0.35">
      <c r="B73" t="str">
        <f ca="1">Loans!B$18</f>
        <v>Loan 6</v>
      </c>
      <c r="D73" s="51">
        <f>Loans!D$18</f>
        <v>0</v>
      </c>
      <c r="E73" s="117" t="str">
        <f>IF(Loans!J$18=0, "", Loans!J$18)</f>
        <v/>
      </c>
      <c r="F73" s="117" t="str">
        <f>IF(Loans!K$18=0, "", Loans!K$18)</f>
        <v/>
      </c>
      <c r="AA73" s="38">
        <f t="shared" ref="AA73:BV73" si="56">(Z73+AA50)*AA50</f>
        <v>0</v>
      </c>
      <c r="AB73" s="38">
        <f t="shared" si="56"/>
        <v>0</v>
      </c>
      <c r="AC73" s="38">
        <f t="shared" si="56"/>
        <v>0</v>
      </c>
      <c r="AD73" s="38">
        <f t="shared" si="56"/>
        <v>0</v>
      </c>
      <c r="AE73" s="38">
        <f t="shared" si="56"/>
        <v>0</v>
      </c>
      <c r="AF73" s="38">
        <f t="shared" si="56"/>
        <v>0</v>
      </c>
      <c r="AG73" s="38">
        <f t="shared" si="56"/>
        <v>0</v>
      </c>
      <c r="AH73" s="38">
        <f t="shared" si="56"/>
        <v>0</v>
      </c>
      <c r="AI73" s="38">
        <f t="shared" si="56"/>
        <v>0</v>
      </c>
      <c r="AJ73" s="38">
        <f t="shared" si="56"/>
        <v>0</v>
      </c>
      <c r="AK73" s="38">
        <f t="shared" si="56"/>
        <v>0</v>
      </c>
      <c r="AL73" s="38">
        <f t="shared" si="56"/>
        <v>0</v>
      </c>
      <c r="AM73" s="38">
        <f t="shared" si="56"/>
        <v>0</v>
      </c>
      <c r="AN73" s="38">
        <f t="shared" si="56"/>
        <v>0</v>
      </c>
      <c r="AO73" s="38">
        <f t="shared" si="56"/>
        <v>0</v>
      </c>
      <c r="AP73" s="38">
        <f t="shared" si="56"/>
        <v>0</v>
      </c>
      <c r="AQ73" s="38">
        <f t="shared" si="56"/>
        <v>0</v>
      </c>
      <c r="AR73" s="38">
        <f t="shared" si="56"/>
        <v>0</v>
      </c>
      <c r="AS73" s="38">
        <f t="shared" si="56"/>
        <v>0</v>
      </c>
      <c r="AT73" s="38">
        <f t="shared" si="56"/>
        <v>0</v>
      </c>
      <c r="AU73" s="38">
        <f t="shared" si="56"/>
        <v>0</v>
      </c>
      <c r="AV73" s="38">
        <f t="shared" si="56"/>
        <v>0</v>
      </c>
      <c r="AW73" s="38">
        <f t="shared" si="56"/>
        <v>0</v>
      </c>
      <c r="AX73" s="38">
        <f t="shared" si="56"/>
        <v>0</v>
      </c>
      <c r="AY73" s="38">
        <f t="shared" si="56"/>
        <v>0</v>
      </c>
      <c r="AZ73" s="38">
        <f t="shared" si="56"/>
        <v>0</v>
      </c>
      <c r="BA73" s="38">
        <f t="shared" si="56"/>
        <v>0</v>
      </c>
      <c r="BB73" s="38">
        <f t="shared" si="56"/>
        <v>0</v>
      </c>
      <c r="BC73" s="38">
        <f t="shared" si="56"/>
        <v>0</v>
      </c>
      <c r="BD73" s="38">
        <f t="shared" si="56"/>
        <v>0</v>
      </c>
      <c r="BE73" s="38">
        <f t="shared" si="56"/>
        <v>0</v>
      </c>
      <c r="BF73" s="38">
        <f t="shared" si="56"/>
        <v>0</v>
      </c>
      <c r="BG73" s="38">
        <f t="shared" si="56"/>
        <v>0</v>
      </c>
      <c r="BH73" s="38">
        <f t="shared" si="56"/>
        <v>0</v>
      </c>
      <c r="BI73" s="38">
        <f t="shared" si="56"/>
        <v>0</v>
      </c>
      <c r="BJ73" s="38">
        <f t="shared" si="56"/>
        <v>0</v>
      </c>
      <c r="BK73" s="38">
        <f t="shared" si="56"/>
        <v>0</v>
      </c>
      <c r="BL73" s="38">
        <f t="shared" si="56"/>
        <v>0</v>
      </c>
      <c r="BM73" s="38">
        <f t="shared" si="56"/>
        <v>0</v>
      </c>
      <c r="BN73" s="38">
        <f t="shared" si="56"/>
        <v>0</v>
      </c>
      <c r="BO73" s="38">
        <f t="shared" si="56"/>
        <v>0</v>
      </c>
      <c r="BP73" s="38">
        <f t="shared" si="56"/>
        <v>0</v>
      </c>
      <c r="BQ73" s="38">
        <f t="shared" si="56"/>
        <v>0</v>
      </c>
      <c r="BR73" s="38">
        <f t="shared" si="56"/>
        <v>0</v>
      </c>
      <c r="BS73" s="38">
        <f t="shared" si="56"/>
        <v>0</v>
      </c>
      <c r="BT73" s="38">
        <f t="shared" si="56"/>
        <v>0</v>
      </c>
      <c r="BU73" s="38">
        <f t="shared" si="56"/>
        <v>0</v>
      </c>
      <c r="BV73" s="38">
        <f t="shared" si="56"/>
        <v>0</v>
      </c>
      <c r="CK73" s="11"/>
      <c r="CM73" s="11"/>
      <c r="EX73" s="10" t="str">
        <f t="shared" si="55"/>
        <v/>
      </c>
    </row>
    <row r="74" spans="1:154" s="5" customFormat="1" x14ac:dyDescent="0.35">
      <c r="A74"/>
      <c r="B74" t="str">
        <f ca="1">Loans!B$19</f>
        <v>Loan 7</v>
      </c>
      <c r="D74" s="51">
        <f>Loans!D$19</f>
        <v>0</v>
      </c>
      <c r="E74" s="117" t="str">
        <f>IF(Loans!J$19=0, "", Loans!J$19)</f>
        <v/>
      </c>
      <c r="F74" s="117" t="str">
        <f>IF(Loans!K$19=0, "", Loans!K$19)</f>
        <v/>
      </c>
      <c r="G74"/>
      <c r="H74"/>
      <c r="I74"/>
      <c r="J74"/>
      <c r="K74"/>
      <c r="N74"/>
      <c r="O74"/>
      <c r="P74"/>
      <c r="Q74"/>
      <c r="R74"/>
      <c r="S74"/>
      <c r="T74"/>
      <c r="U74"/>
      <c r="V74"/>
      <c r="W74"/>
      <c r="X74"/>
      <c r="Y74"/>
      <c r="Z74"/>
      <c r="AA74" s="38">
        <f t="shared" ref="AA74:BV74" si="57">(Z74+AA51)*AA51</f>
        <v>0</v>
      </c>
      <c r="AB74" s="38">
        <f t="shared" si="57"/>
        <v>0</v>
      </c>
      <c r="AC74" s="38">
        <f t="shared" si="57"/>
        <v>0</v>
      </c>
      <c r="AD74" s="38">
        <f t="shared" si="57"/>
        <v>0</v>
      </c>
      <c r="AE74" s="38">
        <f t="shared" si="57"/>
        <v>0</v>
      </c>
      <c r="AF74" s="38">
        <f t="shared" si="57"/>
        <v>0</v>
      </c>
      <c r="AG74" s="38">
        <f t="shared" si="57"/>
        <v>0</v>
      </c>
      <c r="AH74" s="38">
        <f t="shared" si="57"/>
        <v>0</v>
      </c>
      <c r="AI74" s="38">
        <f t="shared" si="57"/>
        <v>0</v>
      </c>
      <c r="AJ74" s="38">
        <f t="shared" si="57"/>
        <v>0</v>
      </c>
      <c r="AK74" s="38">
        <f t="shared" si="57"/>
        <v>0</v>
      </c>
      <c r="AL74" s="38">
        <f t="shared" si="57"/>
        <v>0</v>
      </c>
      <c r="AM74" s="38">
        <f t="shared" si="57"/>
        <v>0</v>
      </c>
      <c r="AN74" s="38">
        <f t="shared" si="57"/>
        <v>0</v>
      </c>
      <c r="AO74" s="38">
        <f t="shared" si="57"/>
        <v>0</v>
      </c>
      <c r="AP74" s="38">
        <f t="shared" si="57"/>
        <v>0</v>
      </c>
      <c r="AQ74" s="38">
        <f t="shared" si="57"/>
        <v>0</v>
      </c>
      <c r="AR74" s="38">
        <f t="shared" si="57"/>
        <v>0</v>
      </c>
      <c r="AS74" s="38">
        <f t="shared" si="57"/>
        <v>0</v>
      </c>
      <c r="AT74" s="38">
        <f t="shared" si="57"/>
        <v>0</v>
      </c>
      <c r="AU74" s="38">
        <f t="shared" si="57"/>
        <v>0</v>
      </c>
      <c r="AV74" s="38">
        <f t="shared" si="57"/>
        <v>0</v>
      </c>
      <c r="AW74" s="38">
        <f t="shared" si="57"/>
        <v>0</v>
      </c>
      <c r="AX74" s="38">
        <f t="shared" si="57"/>
        <v>0</v>
      </c>
      <c r="AY74" s="38">
        <f t="shared" si="57"/>
        <v>0</v>
      </c>
      <c r="AZ74" s="38">
        <f t="shared" si="57"/>
        <v>0</v>
      </c>
      <c r="BA74" s="38">
        <f t="shared" si="57"/>
        <v>0</v>
      </c>
      <c r="BB74" s="38">
        <f t="shared" si="57"/>
        <v>0</v>
      </c>
      <c r="BC74" s="38">
        <f t="shared" si="57"/>
        <v>0</v>
      </c>
      <c r="BD74" s="38">
        <f t="shared" si="57"/>
        <v>0</v>
      </c>
      <c r="BE74" s="38">
        <f t="shared" si="57"/>
        <v>0</v>
      </c>
      <c r="BF74" s="38">
        <f t="shared" si="57"/>
        <v>0</v>
      </c>
      <c r="BG74" s="38">
        <f t="shared" si="57"/>
        <v>0</v>
      </c>
      <c r="BH74" s="38">
        <f t="shared" si="57"/>
        <v>0</v>
      </c>
      <c r="BI74" s="38">
        <f t="shared" si="57"/>
        <v>0</v>
      </c>
      <c r="BJ74" s="38">
        <f t="shared" si="57"/>
        <v>0</v>
      </c>
      <c r="BK74" s="38">
        <f t="shared" si="57"/>
        <v>0</v>
      </c>
      <c r="BL74" s="38">
        <f t="shared" si="57"/>
        <v>0</v>
      </c>
      <c r="BM74" s="38">
        <f t="shared" si="57"/>
        <v>0</v>
      </c>
      <c r="BN74" s="38">
        <f t="shared" si="57"/>
        <v>0</v>
      </c>
      <c r="BO74" s="38">
        <f t="shared" si="57"/>
        <v>0</v>
      </c>
      <c r="BP74" s="38">
        <f t="shared" si="57"/>
        <v>0</v>
      </c>
      <c r="BQ74" s="38">
        <f t="shared" si="57"/>
        <v>0</v>
      </c>
      <c r="BR74" s="38">
        <f t="shared" si="57"/>
        <v>0</v>
      </c>
      <c r="BS74" s="38">
        <f t="shared" si="57"/>
        <v>0</v>
      </c>
      <c r="BT74" s="38">
        <f t="shared" si="57"/>
        <v>0</v>
      </c>
      <c r="BU74" s="38">
        <f t="shared" si="57"/>
        <v>0</v>
      </c>
      <c r="BV74" s="38">
        <f t="shared" si="57"/>
        <v>0</v>
      </c>
      <c r="BW74"/>
      <c r="BX74"/>
      <c r="BY74"/>
      <c r="BZ74"/>
      <c r="CA74"/>
      <c r="CB74"/>
      <c r="CC74"/>
      <c r="CD74"/>
      <c r="CE74"/>
      <c r="CF74"/>
      <c r="CG74"/>
      <c r="CH74"/>
      <c r="CI74"/>
      <c r="CJ74"/>
      <c r="CK74" s="11"/>
      <c r="CL74"/>
      <c r="CM74" s="11"/>
      <c r="EX74" s="10" t="str">
        <f t="shared" si="55"/>
        <v/>
      </c>
    </row>
    <row r="75" spans="1:154" x14ac:dyDescent="0.35">
      <c r="B75" t="str">
        <f ca="1">Loans!B$20</f>
        <v>Loan 8</v>
      </c>
      <c r="D75" s="51">
        <f>Loans!D$20</f>
        <v>0</v>
      </c>
      <c r="E75" s="117" t="str">
        <f>IF(Loans!J$20=0, "", Loans!J$20)</f>
        <v/>
      </c>
      <c r="F75" s="117" t="str">
        <f>IF(Loans!K$20=0, "", Loans!K$20)</f>
        <v/>
      </c>
      <c r="AA75" s="38">
        <f t="shared" ref="AA75:BV75" si="58">(Z75+AA52)*AA52</f>
        <v>0</v>
      </c>
      <c r="AB75" s="38">
        <f t="shared" si="58"/>
        <v>0</v>
      </c>
      <c r="AC75" s="38">
        <f t="shared" si="58"/>
        <v>0</v>
      </c>
      <c r="AD75" s="38">
        <f t="shared" si="58"/>
        <v>0</v>
      </c>
      <c r="AE75" s="38">
        <f t="shared" si="58"/>
        <v>0</v>
      </c>
      <c r="AF75" s="38">
        <f t="shared" si="58"/>
        <v>0</v>
      </c>
      <c r="AG75" s="38">
        <f t="shared" si="58"/>
        <v>0</v>
      </c>
      <c r="AH75" s="38">
        <f t="shared" si="58"/>
        <v>0</v>
      </c>
      <c r="AI75" s="38">
        <f t="shared" si="58"/>
        <v>0</v>
      </c>
      <c r="AJ75" s="38">
        <f t="shared" si="58"/>
        <v>0</v>
      </c>
      <c r="AK75" s="38">
        <f t="shared" si="58"/>
        <v>0</v>
      </c>
      <c r="AL75" s="38">
        <f t="shared" si="58"/>
        <v>0</v>
      </c>
      <c r="AM75" s="38">
        <f t="shared" si="58"/>
        <v>0</v>
      </c>
      <c r="AN75" s="38">
        <f t="shared" si="58"/>
        <v>0</v>
      </c>
      <c r="AO75" s="38">
        <f t="shared" si="58"/>
        <v>0</v>
      </c>
      <c r="AP75" s="38">
        <f t="shared" si="58"/>
        <v>0</v>
      </c>
      <c r="AQ75" s="38">
        <f t="shared" si="58"/>
        <v>0</v>
      </c>
      <c r="AR75" s="38">
        <f t="shared" si="58"/>
        <v>0</v>
      </c>
      <c r="AS75" s="38">
        <f t="shared" si="58"/>
        <v>0</v>
      </c>
      <c r="AT75" s="38">
        <f t="shared" si="58"/>
        <v>0</v>
      </c>
      <c r="AU75" s="38">
        <f t="shared" si="58"/>
        <v>0</v>
      </c>
      <c r="AV75" s="38">
        <f t="shared" si="58"/>
        <v>0</v>
      </c>
      <c r="AW75" s="38">
        <f t="shared" si="58"/>
        <v>0</v>
      </c>
      <c r="AX75" s="38">
        <f t="shared" si="58"/>
        <v>0</v>
      </c>
      <c r="AY75" s="38">
        <f t="shared" si="58"/>
        <v>0</v>
      </c>
      <c r="AZ75" s="38">
        <f t="shared" si="58"/>
        <v>0</v>
      </c>
      <c r="BA75" s="38">
        <f t="shared" si="58"/>
        <v>0</v>
      </c>
      <c r="BB75" s="38">
        <f t="shared" si="58"/>
        <v>0</v>
      </c>
      <c r="BC75" s="38">
        <f t="shared" si="58"/>
        <v>0</v>
      </c>
      <c r="BD75" s="38">
        <f t="shared" si="58"/>
        <v>0</v>
      </c>
      <c r="BE75" s="38">
        <f t="shared" si="58"/>
        <v>0</v>
      </c>
      <c r="BF75" s="38">
        <f t="shared" si="58"/>
        <v>0</v>
      </c>
      <c r="BG75" s="38">
        <f t="shared" si="58"/>
        <v>0</v>
      </c>
      <c r="BH75" s="38">
        <f t="shared" si="58"/>
        <v>0</v>
      </c>
      <c r="BI75" s="38">
        <f t="shared" si="58"/>
        <v>0</v>
      </c>
      <c r="BJ75" s="38">
        <f t="shared" si="58"/>
        <v>0</v>
      </c>
      <c r="BK75" s="38">
        <f t="shared" si="58"/>
        <v>0</v>
      </c>
      <c r="BL75" s="38">
        <f t="shared" si="58"/>
        <v>0</v>
      </c>
      <c r="BM75" s="38">
        <f t="shared" si="58"/>
        <v>0</v>
      </c>
      <c r="BN75" s="38">
        <f t="shared" si="58"/>
        <v>0</v>
      </c>
      <c r="BO75" s="38">
        <f t="shared" si="58"/>
        <v>0</v>
      </c>
      <c r="BP75" s="38">
        <f t="shared" si="58"/>
        <v>0</v>
      </c>
      <c r="BQ75" s="38">
        <f t="shared" si="58"/>
        <v>0</v>
      </c>
      <c r="BR75" s="38">
        <f t="shared" si="58"/>
        <v>0</v>
      </c>
      <c r="BS75" s="38">
        <f t="shared" si="58"/>
        <v>0</v>
      </c>
      <c r="BT75" s="38">
        <f t="shared" si="58"/>
        <v>0</v>
      </c>
      <c r="BU75" s="38">
        <f t="shared" si="58"/>
        <v>0</v>
      </c>
      <c r="BV75" s="38">
        <f t="shared" si="58"/>
        <v>0</v>
      </c>
      <c r="CK75" s="11"/>
      <c r="CM75" s="11"/>
      <c r="EX75" s="10" t="str">
        <f t="shared" si="55"/>
        <v/>
      </c>
    </row>
    <row r="76" spans="1:154" x14ac:dyDescent="0.35">
      <c r="B76" t="str">
        <f ca="1">Loans!B$21</f>
        <v>Loan 9</v>
      </c>
      <c r="D76" s="51">
        <f>Loans!D$21</f>
        <v>0</v>
      </c>
      <c r="E76" s="117" t="str">
        <f>IF(Loans!J$21=0, "", Loans!J$21)</f>
        <v/>
      </c>
      <c r="F76" s="117" t="str">
        <f>IF(Loans!K$21=0, "", Loans!K$21)</f>
        <v/>
      </c>
      <c r="AA76" s="38">
        <f t="shared" ref="AA76:BV76" si="59">(Z76+AA53)*AA53</f>
        <v>0</v>
      </c>
      <c r="AB76" s="38">
        <f t="shared" si="59"/>
        <v>0</v>
      </c>
      <c r="AC76" s="38">
        <f t="shared" si="59"/>
        <v>0</v>
      </c>
      <c r="AD76" s="38">
        <f t="shared" si="59"/>
        <v>0</v>
      </c>
      <c r="AE76" s="38">
        <f t="shared" si="59"/>
        <v>0</v>
      </c>
      <c r="AF76" s="38">
        <f t="shared" si="59"/>
        <v>0</v>
      </c>
      <c r="AG76" s="38">
        <f t="shared" si="59"/>
        <v>0</v>
      </c>
      <c r="AH76" s="38">
        <f t="shared" si="59"/>
        <v>0</v>
      </c>
      <c r="AI76" s="38">
        <f t="shared" si="59"/>
        <v>0</v>
      </c>
      <c r="AJ76" s="38">
        <f t="shared" si="59"/>
        <v>0</v>
      </c>
      <c r="AK76" s="38">
        <f t="shared" si="59"/>
        <v>0</v>
      </c>
      <c r="AL76" s="38">
        <f t="shared" si="59"/>
        <v>0</v>
      </c>
      <c r="AM76" s="38">
        <f t="shared" si="59"/>
        <v>0</v>
      </c>
      <c r="AN76" s="38">
        <f t="shared" si="59"/>
        <v>0</v>
      </c>
      <c r="AO76" s="38">
        <f t="shared" si="59"/>
        <v>0</v>
      </c>
      <c r="AP76" s="38">
        <f t="shared" si="59"/>
        <v>0</v>
      </c>
      <c r="AQ76" s="38">
        <f t="shared" si="59"/>
        <v>0</v>
      </c>
      <c r="AR76" s="38">
        <f t="shared" si="59"/>
        <v>0</v>
      </c>
      <c r="AS76" s="38">
        <f t="shared" si="59"/>
        <v>0</v>
      </c>
      <c r="AT76" s="38">
        <f t="shared" si="59"/>
        <v>0</v>
      </c>
      <c r="AU76" s="38">
        <f t="shared" si="59"/>
        <v>0</v>
      </c>
      <c r="AV76" s="38">
        <f t="shared" si="59"/>
        <v>0</v>
      </c>
      <c r="AW76" s="38">
        <f t="shared" si="59"/>
        <v>0</v>
      </c>
      <c r="AX76" s="38">
        <f t="shared" si="59"/>
        <v>0</v>
      </c>
      <c r="AY76" s="38">
        <f t="shared" si="59"/>
        <v>0</v>
      </c>
      <c r="AZ76" s="38">
        <f t="shared" si="59"/>
        <v>0</v>
      </c>
      <c r="BA76" s="38">
        <f t="shared" si="59"/>
        <v>0</v>
      </c>
      <c r="BB76" s="38">
        <f t="shared" si="59"/>
        <v>0</v>
      </c>
      <c r="BC76" s="38">
        <f t="shared" si="59"/>
        <v>0</v>
      </c>
      <c r="BD76" s="38">
        <f t="shared" si="59"/>
        <v>0</v>
      </c>
      <c r="BE76" s="38">
        <f t="shared" si="59"/>
        <v>0</v>
      </c>
      <c r="BF76" s="38">
        <f t="shared" si="59"/>
        <v>0</v>
      </c>
      <c r="BG76" s="38">
        <f t="shared" si="59"/>
        <v>0</v>
      </c>
      <c r="BH76" s="38">
        <f t="shared" si="59"/>
        <v>0</v>
      </c>
      <c r="BI76" s="38">
        <f t="shared" si="59"/>
        <v>0</v>
      </c>
      <c r="BJ76" s="38">
        <f t="shared" si="59"/>
        <v>0</v>
      </c>
      <c r="BK76" s="38">
        <f t="shared" si="59"/>
        <v>0</v>
      </c>
      <c r="BL76" s="38">
        <f t="shared" si="59"/>
        <v>0</v>
      </c>
      <c r="BM76" s="38">
        <f t="shared" si="59"/>
        <v>0</v>
      </c>
      <c r="BN76" s="38">
        <f t="shared" si="59"/>
        <v>0</v>
      </c>
      <c r="BO76" s="38">
        <f t="shared" si="59"/>
        <v>0</v>
      </c>
      <c r="BP76" s="38">
        <f t="shared" si="59"/>
        <v>0</v>
      </c>
      <c r="BQ76" s="38">
        <f t="shared" si="59"/>
        <v>0</v>
      </c>
      <c r="BR76" s="38">
        <f t="shared" si="59"/>
        <v>0</v>
      </c>
      <c r="BS76" s="38">
        <f t="shared" si="59"/>
        <v>0</v>
      </c>
      <c r="BT76" s="38">
        <f t="shared" si="59"/>
        <v>0</v>
      </c>
      <c r="BU76" s="38">
        <f t="shared" si="59"/>
        <v>0</v>
      </c>
      <c r="BV76" s="38">
        <f t="shared" si="59"/>
        <v>0</v>
      </c>
      <c r="CK76" s="11"/>
      <c r="CM76" s="11"/>
      <c r="EX76" s="10" t="str">
        <f t="shared" si="55"/>
        <v/>
      </c>
    </row>
    <row r="77" spans="1:154" x14ac:dyDescent="0.35">
      <c r="B77" t="str">
        <f ca="1">Loans!B$22</f>
        <v>Loan 10</v>
      </c>
      <c r="D77" s="51">
        <f>Loans!D$22</f>
        <v>0</v>
      </c>
      <c r="E77" s="117" t="str">
        <f>IF(Loans!J$22=0, "", Loans!J$22)</f>
        <v/>
      </c>
      <c r="F77" s="117" t="str">
        <f>IF(Loans!K$22=0, "", Loans!K$22)</f>
        <v/>
      </c>
      <c r="AA77" s="38">
        <f t="shared" ref="AA77:BV77" si="60">(Z77+AA54)*AA54</f>
        <v>0</v>
      </c>
      <c r="AB77" s="38">
        <f t="shared" si="60"/>
        <v>0</v>
      </c>
      <c r="AC77" s="38">
        <f t="shared" si="60"/>
        <v>0</v>
      </c>
      <c r="AD77" s="38">
        <f t="shared" si="60"/>
        <v>0</v>
      </c>
      <c r="AE77" s="38">
        <f t="shared" si="60"/>
        <v>0</v>
      </c>
      <c r="AF77" s="38">
        <f t="shared" si="60"/>
        <v>0</v>
      </c>
      <c r="AG77" s="38">
        <f t="shared" si="60"/>
        <v>0</v>
      </c>
      <c r="AH77" s="38">
        <f t="shared" si="60"/>
        <v>0</v>
      </c>
      <c r="AI77" s="38">
        <f t="shared" si="60"/>
        <v>0</v>
      </c>
      <c r="AJ77" s="38">
        <f t="shared" si="60"/>
        <v>0</v>
      </c>
      <c r="AK77" s="38">
        <f t="shared" si="60"/>
        <v>0</v>
      </c>
      <c r="AL77" s="38">
        <f t="shared" si="60"/>
        <v>0</v>
      </c>
      <c r="AM77" s="38">
        <f t="shared" si="60"/>
        <v>0</v>
      </c>
      <c r="AN77" s="38">
        <f t="shared" si="60"/>
        <v>0</v>
      </c>
      <c r="AO77" s="38">
        <f t="shared" si="60"/>
        <v>0</v>
      </c>
      <c r="AP77" s="38">
        <f t="shared" si="60"/>
        <v>0</v>
      </c>
      <c r="AQ77" s="38">
        <f t="shared" si="60"/>
        <v>0</v>
      </c>
      <c r="AR77" s="38">
        <f t="shared" si="60"/>
        <v>0</v>
      </c>
      <c r="AS77" s="38">
        <f t="shared" si="60"/>
        <v>0</v>
      </c>
      <c r="AT77" s="38">
        <f t="shared" si="60"/>
        <v>0</v>
      </c>
      <c r="AU77" s="38">
        <f t="shared" si="60"/>
        <v>0</v>
      </c>
      <c r="AV77" s="38">
        <f t="shared" si="60"/>
        <v>0</v>
      </c>
      <c r="AW77" s="38">
        <f t="shared" si="60"/>
        <v>0</v>
      </c>
      <c r="AX77" s="38">
        <f t="shared" si="60"/>
        <v>0</v>
      </c>
      <c r="AY77" s="38">
        <f t="shared" si="60"/>
        <v>0</v>
      </c>
      <c r="AZ77" s="38">
        <f t="shared" si="60"/>
        <v>0</v>
      </c>
      <c r="BA77" s="38">
        <f t="shared" si="60"/>
        <v>0</v>
      </c>
      <c r="BB77" s="38">
        <f t="shared" si="60"/>
        <v>0</v>
      </c>
      <c r="BC77" s="38">
        <f t="shared" si="60"/>
        <v>0</v>
      </c>
      <c r="BD77" s="38">
        <f t="shared" si="60"/>
        <v>0</v>
      </c>
      <c r="BE77" s="38">
        <f t="shared" si="60"/>
        <v>0</v>
      </c>
      <c r="BF77" s="38">
        <f t="shared" si="60"/>
        <v>0</v>
      </c>
      <c r="BG77" s="38">
        <f t="shared" si="60"/>
        <v>0</v>
      </c>
      <c r="BH77" s="38">
        <f t="shared" si="60"/>
        <v>0</v>
      </c>
      <c r="BI77" s="38">
        <f t="shared" si="60"/>
        <v>0</v>
      </c>
      <c r="BJ77" s="38">
        <f t="shared" si="60"/>
        <v>0</v>
      </c>
      <c r="BK77" s="38">
        <f t="shared" si="60"/>
        <v>0</v>
      </c>
      <c r="BL77" s="38">
        <f t="shared" si="60"/>
        <v>0</v>
      </c>
      <c r="BM77" s="38">
        <f t="shared" si="60"/>
        <v>0</v>
      </c>
      <c r="BN77" s="38">
        <f t="shared" si="60"/>
        <v>0</v>
      </c>
      <c r="BO77" s="38">
        <f t="shared" si="60"/>
        <v>0</v>
      </c>
      <c r="BP77" s="38">
        <f t="shared" si="60"/>
        <v>0</v>
      </c>
      <c r="BQ77" s="38">
        <f t="shared" si="60"/>
        <v>0</v>
      </c>
      <c r="BR77" s="38">
        <f t="shared" si="60"/>
        <v>0</v>
      </c>
      <c r="BS77" s="38">
        <f t="shared" si="60"/>
        <v>0</v>
      </c>
      <c r="BT77" s="38">
        <f t="shared" si="60"/>
        <v>0</v>
      </c>
      <c r="BU77" s="38">
        <f t="shared" si="60"/>
        <v>0</v>
      </c>
      <c r="BV77" s="38">
        <f t="shared" si="60"/>
        <v>0</v>
      </c>
      <c r="CK77" s="11"/>
      <c r="CM77" s="11"/>
      <c r="EX77" s="10" t="str">
        <f t="shared" si="55"/>
        <v/>
      </c>
    </row>
    <row r="78" spans="1:154" x14ac:dyDescent="0.35">
      <c r="B78" t="str">
        <f ca="1">Loans!B$23</f>
        <v>Loan 11</v>
      </c>
      <c r="D78" s="51">
        <f>Loans!D$23</f>
        <v>0</v>
      </c>
      <c r="E78" s="117" t="str">
        <f>IF(Loans!J$23=0, "", Loans!J$23)</f>
        <v/>
      </c>
      <c r="F78" s="117" t="str">
        <f>IF(Loans!K$23=0, "", Loans!K$23)</f>
        <v/>
      </c>
      <c r="AA78" s="38">
        <f t="shared" ref="AA78:BV78" si="61">(Z78+AA55)*AA55</f>
        <v>0</v>
      </c>
      <c r="AB78" s="38">
        <f t="shared" si="61"/>
        <v>0</v>
      </c>
      <c r="AC78" s="38">
        <f t="shared" si="61"/>
        <v>0</v>
      </c>
      <c r="AD78" s="38">
        <f t="shared" si="61"/>
        <v>0</v>
      </c>
      <c r="AE78" s="38">
        <f t="shared" si="61"/>
        <v>0</v>
      </c>
      <c r="AF78" s="38">
        <f t="shared" si="61"/>
        <v>0</v>
      </c>
      <c r="AG78" s="38">
        <f t="shared" si="61"/>
        <v>0</v>
      </c>
      <c r="AH78" s="38">
        <f t="shared" si="61"/>
        <v>0</v>
      </c>
      <c r="AI78" s="38">
        <f t="shared" si="61"/>
        <v>0</v>
      </c>
      <c r="AJ78" s="38">
        <f t="shared" si="61"/>
        <v>0</v>
      </c>
      <c r="AK78" s="38">
        <f t="shared" si="61"/>
        <v>0</v>
      </c>
      <c r="AL78" s="38">
        <f t="shared" si="61"/>
        <v>0</v>
      </c>
      <c r="AM78" s="38">
        <f t="shared" si="61"/>
        <v>0</v>
      </c>
      <c r="AN78" s="38">
        <f t="shared" si="61"/>
        <v>0</v>
      </c>
      <c r="AO78" s="38">
        <f t="shared" si="61"/>
        <v>0</v>
      </c>
      <c r="AP78" s="38">
        <f t="shared" si="61"/>
        <v>0</v>
      </c>
      <c r="AQ78" s="38">
        <f t="shared" si="61"/>
        <v>0</v>
      </c>
      <c r="AR78" s="38">
        <f t="shared" si="61"/>
        <v>0</v>
      </c>
      <c r="AS78" s="38">
        <f t="shared" si="61"/>
        <v>0</v>
      </c>
      <c r="AT78" s="38">
        <f t="shared" si="61"/>
        <v>0</v>
      </c>
      <c r="AU78" s="38">
        <f t="shared" si="61"/>
        <v>0</v>
      </c>
      <c r="AV78" s="38">
        <f t="shared" si="61"/>
        <v>0</v>
      </c>
      <c r="AW78" s="38">
        <f t="shared" si="61"/>
        <v>0</v>
      </c>
      <c r="AX78" s="38">
        <f t="shared" si="61"/>
        <v>0</v>
      </c>
      <c r="AY78" s="38">
        <f t="shared" si="61"/>
        <v>0</v>
      </c>
      <c r="AZ78" s="38">
        <f t="shared" si="61"/>
        <v>0</v>
      </c>
      <c r="BA78" s="38">
        <f t="shared" si="61"/>
        <v>0</v>
      </c>
      <c r="BB78" s="38">
        <f t="shared" si="61"/>
        <v>0</v>
      </c>
      <c r="BC78" s="38">
        <f t="shared" si="61"/>
        <v>0</v>
      </c>
      <c r="BD78" s="38">
        <f t="shared" si="61"/>
        <v>0</v>
      </c>
      <c r="BE78" s="38">
        <f t="shared" si="61"/>
        <v>0</v>
      </c>
      <c r="BF78" s="38">
        <f t="shared" si="61"/>
        <v>0</v>
      </c>
      <c r="BG78" s="38">
        <f t="shared" si="61"/>
        <v>0</v>
      </c>
      <c r="BH78" s="38">
        <f t="shared" si="61"/>
        <v>0</v>
      </c>
      <c r="BI78" s="38">
        <f t="shared" si="61"/>
        <v>0</v>
      </c>
      <c r="BJ78" s="38">
        <f t="shared" si="61"/>
        <v>0</v>
      </c>
      <c r="BK78" s="38">
        <f t="shared" si="61"/>
        <v>0</v>
      </c>
      <c r="BL78" s="38">
        <f t="shared" si="61"/>
        <v>0</v>
      </c>
      <c r="BM78" s="38">
        <f t="shared" si="61"/>
        <v>0</v>
      </c>
      <c r="BN78" s="38">
        <f t="shared" si="61"/>
        <v>0</v>
      </c>
      <c r="BO78" s="38">
        <f t="shared" si="61"/>
        <v>0</v>
      </c>
      <c r="BP78" s="38">
        <f t="shared" si="61"/>
        <v>0</v>
      </c>
      <c r="BQ78" s="38">
        <f t="shared" si="61"/>
        <v>0</v>
      </c>
      <c r="BR78" s="38">
        <f t="shared" si="61"/>
        <v>0</v>
      </c>
      <c r="BS78" s="38">
        <f t="shared" si="61"/>
        <v>0</v>
      </c>
      <c r="BT78" s="38">
        <f t="shared" si="61"/>
        <v>0</v>
      </c>
      <c r="BU78" s="38">
        <f t="shared" si="61"/>
        <v>0</v>
      </c>
      <c r="BV78" s="38">
        <f t="shared" si="61"/>
        <v>0</v>
      </c>
      <c r="CK78" s="11"/>
      <c r="CM78" s="11"/>
      <c r="EX78" s="10" t="str">
        <f t="shared" si="55"/>
        <v/>
      </c>
    </row>
    <row r="79" spans="1:154" x14ac:dyDescent="0.35">
      <c r="B79" t="str">
        <f ca="1">Loans!B$24</f>
        <v>Loan 12</v>
      </c>
      <c r="D79" s="51">
        <f>Loans!D$24</f>
        <v>0</v>
      </c>
      <c r="E79" s="117" t="str">
        <f>IF(Loans!J$24=0, "", Loans!J$24)</f>
        <v/>
      </c>
      <c r="F79" s="117" t="str">
        <f>IF(Loans!K$24=0, "", Loans!K$24)</f>
        <v/>
      </c>
      <c r="AA79" s="38">
        <f t="shared" ref="AA79:BV79" si="62">(Z79+AA56)*AA56</f>
        <v>0</v>
      </c>
      <c r="AB79" s="38">
        <f t="shared" si="62"/>
        <v>0</v>
      </c>
      <c r="AC79" s="38">
        <f t="shared" si="62"/>
        <v>0</v>
      </c>
      <c r="AD79" s="38">
        <f t="shared" si="62"/>
        <v>0</v>
      </c>
      <c r="AE79" s="38">
        <f t="shared" si="62"/>
        <v>0</v>
      </c>
      <c r="AF79" s="38">
        <f t="shared" si="62"/>
        <v>0</v>
      </c>
      <c r="AG79" s="38">
        <f t="shared" si="62"/>
        <v>0</v>
      </c>
      <c r="AH79" s="38">
        <f t="shared" si="62"/>
        <v>0</v>
      </c>
      <c r="AI79" s="38">
        <f t="shared" si="62"/>
        <v>0</v>
      </c>
      <c r="AJ79" s="38">
        <f t="shared" si="62"/>
        <v>0</v>
      </c>
      <c r="AK79" s="38">
        <f t="shared" si="62"/>
        <v>0</v>
      </c>
      <c r="AL79" s="38">
        <f t="shared" si="62"/>
        <v>0</v>
      </c>
      <c r="AM79" s="38">
        <f t="shared" si="62"/>
        <v>0</v>
      </c>
      <c r="AN79" s="38">
        <f t="shared" si="62"/>
        <v>0</v>
      </c>
      <c r="AO79" s="38">
        <f t="shared" si="62"/>
        <v>0</v>
      </c>
      <c r="AP79" s="38">
        <f t="shared" si="62"/>
        <v>0</v>
      </c>
      <c r="AQ79" s="38">
        <f t="shared" si="62"/>
        <v>0</v>
      </c>
      <c r="AR79" s="38">
        <f t="shared" si="62"/>
        <v>0</v>
      </c>
      <c r="AS79" s="38">
        <f t="shared" si="62"/>
        <v>0</v>
      </c>
      <c r="AT79" s="38">
        <f t="shared" si="62"/>
        <v>0</v>
      </c>
      <c r="AU79" s="38">
        <f t="shared" si="62"/>
        <v>0</v>
      </c>
      <c r="AV79" s="38">
        <f t="shared" si="62"/>
        <v>0</v>
      </c>
      <c r="AW79" s="38">
        <f t="shared" si="62"/>
        <v>0</v>
      </c>
      <c r="AX79" s="38">
        <f t="shared" si="62"/>
        <v>0</v>
      </c>
      <c r="AY79" s="38">
        <f t="shared" si="62"/>
        <v>0</v>
      </c>
      <c r="AZ79" s="38">
        <f t="shared" si="62"/>
        <v>0</v>
      </c>
      <c r="BA79" s="38">
        <f t="shared" si="62"/>
        <v>0</v>
      </c>
      <c r="BB79" s="38">
        <f t="shared" si="62"/>
        <v>0</v>
      </c>
      <c r="BC79" s="38">
        <f t="shared" si="62"/>
        <v>0</v>
      </c>
      <c r="BD79" s="38">
        <f t="shared" si="62"/>
        <v>0</v>
      </c>
      <c r="BE79" s="38">
        <f t="shared" si="62"/>
        <v>0</v>
      </c>
      <c r="BF79" s="38">
        <f t="shared" si="62"/>
        <v>0</v>
      </c>
      <c r="BG79" s="38">
        <f t="shared" si="62"/>
        <v>0</v>
      </c>
      <c r="BH79" s="38">
        <f t="shared" si="62"/>
        <v>0</v>
      </c>
      <c r="BI79" s="38">
        <f t="shared" si="62"/>
        <v>0</v>
      </c>
      <c r="BJ79" s="38">
        <f t="shared" si="62"/>
        <v>0</v>
      </c>
      <c r="BK79" s="38">
        <f t="shared" si="62"/>
        <v>0</v>
      </c>
      <c r="BL79" s="38">
        <f t="shared" si="62"/>
        <v>0</v>
      </c>
      <c r="BM79" s="38">
        <f t="shared" si="62"/>
        <v>0</v>
      </c>
      <c r="BN79" s="38">
        <f t="shared" si="62"/>
        <v>0</v>
      </c>
      <c r="BO79" s="38">
        <f t="shared" si="62"/>
        <v>0</v>
      </c>
      <c r="BP79" s="38">
        <f t="shared" si="62"/>
        <v>0</v>
      </c>
      <c r="BQ79" s="38">
        <f t="shared" si="62"/>
        <v>0</v>
      </c>
      <c r="BR79" s="38">
        <f t="shared" si="62"/>
        <v>0</v>
      </c>
      <c r="BS79" s="38">
        <f t="shared" si="62"/>
        <v>0</v>
      </c>
      <c r="BT79" s="38">
        <f t="shared" si="62"/>
        <v>0</v>
      </c>
      <c r="BU79" s="38">
        <f t="shared" si="62"/>
        <v>0</v>
      </c>
      <c r="BV79" s="38">
        <f t="shared" si="62"/>
        <v>0</v>
      </c>
      <c r="CK79" s="11"/>
      <c r="CM79" s="11"/>
      <c r="EX79" s="10" t="str">
        <f t="shared" si="55"/>
        <v/>
      </c>
    </row>
    <row r="80" spans="1:154" x14ac:dyDescent="0.35">
      <c r="B80" t="str">
        <f ca="1">Loans!B$25</f>
        <v>Loan 13</v>
      </c>
      <c r="D80" s="51">
        <f>Loans!D$25</f>
        <v>0</v>
      </c>
      <c r="E80" s="117" t="str">
        <f>IF(Loans!J$25=0, "", Loans!J$25)</f>
        <v/>
      </c>
      <c r="F80" s="117" t="str">
        <f>IF(Loans!K$25=0, "", Loans!K$25)</f>
        <v/>
      </c>
      <c r="AA80" s="38">
        <f t="shared" ref="AA80:BV80" si="63">(Z80+AA57)*AA57</f>
        <v>0</v>
      </c>
      <c r="AB80" s="38">
        <f t="shared" si="63"/>
        <v>0</v>
      </c>
      <c r="AC80" s="38">
        <f t="shared" si="63"/>
        <v>0</v>
      </c>
      <c r="AD80" s="38">
        <f t="shared" si="63"/>
        <v>0</v>
      </c>
      <c r="AE80" s="38">
        <f t="shared" si="63"/>
        <v>0</v>
      </c>
      <c r="AF80" s="38">
        <f t="shared" si="63"/>
        <v>0</v>
      </c>
      <c r="AG80" s="38">
        <f t="shared" si="63"/>
        <v>0</v>
      </c>
      <c r="AH80" s="38">
        <f t="shared" si="63"/>
        <v>0</v>
      </c>
      <c r="AI80" s="38">
        <f t="shared" si="63"/>
        <v>0</v>
      </c>
      <c r="AJ80" s="38">
        <f t="shared" si="63"/>
        <v>0</v>
      </c>
      <c r="AK80" s="38">
        <f t="shared" si="63"/>
        <v>0</v>
      </c>
      <c r="AL80" s="38">
        <f t="shared" si="63"/>
        <v>0</v>
      </c>
      <c r="AM80" s="38">
        <f t="shared" si="63"/>
        <v>0</v>
      </c>
      <c r="AN80" s="38">
        <f t="shared" si="63"/>
        <v>0</v>
      </c>
      <c r="AO80" s="38">
        <f t="shared" si="63"/>
        <v>0</v>
      </c>
      <c r="AP80" s="38">
        <f t="shared" si="63"/>
        <v>0</v>
      </c>
      <c r="AQ80" s="38">
        <f t="shared" si="63"/>
        <v>0</v>
      </c>
      <c r="AR80" s="38">
        <f t="shared" si="63"/>
        <v>0</v>
      </c>
      <c r="AS80" s="38">
        <f t="shared" si="63"/>
        <v>0</v>
      </c>
      <c r="AT80" s="38">
        <f t="shared" si="63"/>
        <v>0</v>
      </c>
      <c r="AU80" s="38">
        <f t="shared" si="63"/>
        <v>0</v>
      </c>
      <c r="AV80" s="38">
        <f t="shared" si="63"/>
        <v>0</v>
      </c>
      <c r="AW80" s="38">
        <f t="shared" si="63"/>
        <v>0</v>
      </c>
      <c r="AX80" s="38">
        <f t="shared" si="63"/>
        <v>0</v>
      </c>
      <c r="AY80" s="38">
        <f t="shared" si="63"/>
        <v>0</v>
      </c>
      <c r="AZ80" s="38">
        <f t="shared" si="63"/>
        <v>0</v>
      </c>
      <c r="BA80" s="38">
        <f t="shared" si="63"/>
        <v>0</v>
      </c>
      <c r="BB80" s="38">
        <f t="shared" si="63"/>
        <v>0</v>
      </c>
      <c r="BC80" s="38">
        <f t="shared" si="63"/>
        <v>0</v>
      </c>
      <c r="BD80" s="38">
        <f t="shared" si="63"/>
        <v>0</v>
      </c>
      <c r="BE80" s="38">
        <f t="shared" si="63"/>
        <v>0</v>
      </c>
      <c r="BF80" s="38">
        <f t="shared" si="63"/>
        <v>0</v>
      </c>
      <c r="BG80" s="38">
        <f t="shared" si="63"/>
        <v>0</v>
      </c>
      <c r="BH80" s="38">
        <f t="shared" si="63"/>
        <v>0</v>
      </c>
      <c r="BI80" s="38">
        <f t="shared" si="63"/>
        <v>0</v>
      </c>
      <c r="BJ80" s="38">
        <f t="shared" si="63"/>
        <v>0</v>
      </c>
      <c r="BK80" s="38">
        <f t="shared" si="63"/>
        <v>0</v>
      </c>
      <c r="BL80" s="38">
        <f t="shared" si="63"/>
        <v>0</v>
      </c>
      <c r="BM80" s="38">
        <f t="shared" si="63"/>
        <v>0</v>
      </c>
      <c r="BN80" s="38">
        <f t="shared" si="63"/>
        <v>0</v>
      </c>
      <c r="BO80" s="38">
        <f t="shared" si="63"/>
        <v>0</v>
      </c>
      <c r="BP80" s="38">
        <f t="shared" si="63"/>
        <v>0</v>
      </c>
      <c r="BQ80" s="38">
        <f t="shared" si="63"/>
        <v>0</v>
      </c>
      <c r="BR80" s="38">
        <f t="shared" si="63"/>
        <v>0</v>
      </c>
      <c r="BS80" s="38">
        <f t="shared" si="63"/>
        <v>0</v>
      </c>
      <c r="BT80" s="38">
        <f t="shared" si="63"/>
        <v>0</v>
      </c>
      <c r="BU80" s="38">
        <f t="shared" si="63"/>
        <v>0</v>
      </c>
      <c r="BV80" s="38">
        <f t="shared" si="63"/>
        <v>0</v>
      </c>
      <c r="CK80" s="11"/>
      <c r="CM80" s="11"/>
      <c r="EX80" s="10" t="str">
        <f t="shared" si="55"/>
        <v/>
      </c>
    </row>
    <row r="81" spans="2:154" x14ac:dyDescent="0.35">
      <c r="B81" t="str">
        <f ca="1">Loans!B$26</f>
        <v>Loan 14</v>
      </c>
      <c r="D81" s="51">
        <f>Loans!D$26</f>
        <v>0</v>
      </c>
      <c r="E81" s="117" t="str">
        <f>IF(Loans!J$26=0, "", Loans!J$26)</f>
        <v/>
      </c>
      <c r="F81" s="117" t="str">
        <f>IF(Loans!K$26=0, "", Loans!K$26)</f>
        <v/>
      </c>
      <c r="AA81" s="38">
        <f t="shared" ref="AA81:BV81" si="64">(Z81+AA58)*AA58</f>
        <v>0</v>
      </c>
      <c r="AB81" s="38">
        <f t="shared" si="64"/>
        <v>0</v>
      </c>
      <c r="AC81" s="38">
        <f t="shared" si="64"/>
        <v>0</v>
      </c>
      <c r="AD81" s="38">
        <f t="shared" si="64"/>
        <v>0</v>
      </c>
      <c r="AE81" s="38">
        <f t="shared" si="64"/>
        <v>0</v>
      </c>
      <c r="AF81" s="38">
        <f t="shared" si="64"/>
        <v>0</v>
      </c>
      <c r="AG81" s="38">
        <f t="shared" si="64"/>
        <v>0</v>
      </c>
      <c r="AH81" s="38">
        <f t="shared" si="64"/>
        <v>0</v>
      </c>
      <c r="AI81" s="38">
        <f t="shared" si="64"/>
        <v>0</v>
      </c>
      <c r="AJ81" s="38">
        <f t="shared" si="64"/>
        <v>0</v>
      </c>
      <c r="AK81" s="38">
        <f t="shared" si="64"/>
        <v>0</v>
      </c>
      <c r="AL81" s="38">
        <f t="shared" si="64"/>
        <v>0</v>
      </c>
      <c r="AM81" s="38">
        <f t="shared" si="64"/>
        <v>0</v>
      </c>
      <c r="AN81" s="38">
        <f t="shared" si="64"/>
        <v>0</v>
      </c>
      <c r="AO81" s="38">
        <f t="shared" si="64"/>
        <v>0</v>
      </c>
      <c r="AP81" s="38">
        <f t="shared" si="64"/>
        <v>0</v>
      </c>
      <c r="AQ81" s="38">
        <f t="shared" si="64"/>
        <v>0</v>
      </c>
      <c r="AR81" s="38">
        <f t="shared" si="64"/>
        <v>0</v>
      </c>
      <c r="AS81" s="38">
        <f t="shared" si="64"/>
        <v>0</v>
      </c>
      <c r="AT81" s="38">
        <f t="shared" si="64"/>
        <v>0</v>
      </c>
      <c r="AU81" s="38">
        <f t="shared" si="64"/>
        <v>0</v>
      </c>
      <c r="AV81" s="38">
        <f t="shared" si="64"/>
        <v>0</v>
      </c>
      <c r="AW81" s="38">
        <f t="shared" si="64"/>
        <v>0</v>
      </c>
      <c r="AX81" s="38">
        <f t="shared" si="64"/>
        <v>0</v>
      </c>
      <c r="AY81" s="38">
        <f t="shared" si="64"/>
        <v>0</v>
      </c>
      <c r="AZ81" s="38">
        <f t="shared" si="64"/>
        <v>0</v>
      </c>
      <c r="BA81" s="38">
        <f t="shared" si="64"/>
        <v>0</v>
      </c>
      <c r="BB81" s="38">
        <f t="shared" si="64"/>
        <v>0</v>
      </c>
      <c r="BC81" s="38">
        <f t="shared" si="64"/>
        <v>0</v>
      </c>
      <c r="BD81" s="38">
        <f t="shared" si="64"/>
        <v>0</v>
      </c>
      <c r="BE81" s="38">
        <f t="shared" si="64"/>
        <v>0</v>
      </c>
      <c r="BF81" s="38">
        <f t="shared" si="64"/>
        <v>0</v>
      </c>
      <c r="BG81" s="38">
        <f t="shared" si="64"/>
        <v>0</v>
      </c>
      <c r="BH81" s="38">
        <f t="shared" si="64"/>
        <v>0</v>
      </c>
      <c r="BI81" s="38">
        <f t="shared" si="64"/>
        <v>0</v>
      </c>
      <c r="BJ81" s="38">
        <f t="shared" si="64"/>
        <v>0</v>
      </c>
      <c r="BK81" s="38">
        <f t="shared" si="64"/>
        <v>0</v>
      </c>
      <c r="BL81" s="38">
        <f t="shared" si="64"/>
        <v>0</v>
      </c>
      <c r="BM81" s="38">
        <f t="shared" si="64"/>
        <v>0</v>
      </c>
      <c r="BN81" s="38">
        <f t="shared" si="64"/>
        <v>0</v>
      </c>
      <c r="BO81" s="38">
        <f t="shared" si="64"/>
        <v>0</v>
      </c>
      <c r="BP81" s="38">
        <f t="shared" si="64"/>
        <v>0</v>
      </c>
      <c r="BQ81" s="38">
        <f t="shared" si="64"/>
        <v>0</v>
      </c>
      <c r="BR81" s="38">
        <f t="shared" si="64"/>
        <v>0</v>
      </c>
      <c r="BS81" s="38">
        <f t="shared" si="64"/>
        <v>0</v>
      </c>
      <c r="BT81" s="38">
        <f t="shared" si="64"/>
        <v>0</v>
      </c>
      <c r="BU81" s="38">
        <f t="shared" si="64"/>
        <v>0</v>
      </c>
      <c r="BV81" s="38">
        <f t="shared" si="64"/>
        <v>0</v>
      </c>
      <c r="CK81" s="11"/>
      <c r="CM81" s="11"/>
      <c r="EX81" s="10" t="str">
        <f t="shared" si="55"/>
        <v/>
      </c>
    </row>
    <row r="82" spans="2:154" x14ac:dyDescent="0.35">
      <c r="B82" t="str">
        <f ca="1">Loans!B$27</f>
        <v>Loan 15</v>
      </c>
      <c r="D82" s="51">
        <f>Loans!D$27</f>
        <v>0</v>
      </c>
      <c r="E82" s="117" t="str">
        <f>IF(Loans!J$27=0, "", Loans!J$27)</f>
        <v/>
      </c>
      <c r="F82" s="117" t="str">
        <f>IF(Loans!K$27=0, "", Loans!K$27)</f>
        <v/>
      </c>
      <c r="AA82" s="38">
        <f t="shared" ref="AA82:BV82" si="65">(Z82+AA59)*AA59</f>
        <v>0</v>
      </c>
      <c r="AB82" s="38">
        <f t="shared" si="65"/>
        <v>0</v>
      </c>
      <c r="AC82" s="38">
        <f t="shared" si="65"/>
        <v>0</v>
      </c>
      <c r="AD82" s="38">
        <f t="shared" si="65"/>
        <v>0</v>
      </c>
      <c r="AE82" s="38">
        <f t="shared" si="65"/>
        <v>0</v>
      </c>
      <c r="AF82" s="38">
        <f t="shared" si="65"/>
        <v>0</v>
      </c>
      <c r="AG82" s="38">
        <f t="shared" si="65"/>
        <v>0</v>
      </c>
      <c r="AH82" s="38">
        <f t="shared" si="65"/>
        <v>0</v>
      </c>
      <c r="AI82" s="38">
        <f t="shared" si="65"/>
        <v>0</v>
      </c>
      <c r="AJ82" s="38">
        <f t="shared" si="65"/>
        <v>0</v>
      </c>
      <c r="AK82" s="38">
        <f t="shared" si="65"/>
        <v>0</v>
      </c>
      <c r="AL82" s="38">
        <f t="shared" si="65"/>
        <v>0</v>
      </c>
      <c r="AM82" s="38">
        <f t="shared" si="65"/>
        <v>0</v>
      </c>
      <c r="AN82" s="38">
        <f t="shared" si="65"/>
        <v>0</v>
      </c>
      <c r="AO82" s="38">
        <f t="shared" si="65"/>
        <v>0</v>
      </c>
      <c r="AP82" s="38">
        <f t="shared" si="65"/>
        <v>0</v>
      </c>
      <c r="AQ82" s="38">
        <f t="shared" si="65"/>
        <v>0</v>
      </c>
      <c r="AR82" s="38">
        <f t="shared" si="65"/>
        <v>0</v>
      </c>
      <c r="AS82" s="38">
        <f t="shared" si="65"/>
        <v>0</v>
      </c>
      <c r="AT82" s="38">
        <f t="shared" si="65"/>
        <v>0</v>
      </c>
      <c r="AU82" s="38">
        <f t="shared" si="65"/>
        <v>0</v>
      </c>
      <c r="AV82" s="38">
        <f t="shared" si="65"/>
        <v>0</v>
      </c>
      <c r="AW82" s="38">
        <f t="shared" si="65"/>
        <v>0</v>
      </c>
      <c r="AX82" s="38">
        <f t="shared" si="65"/>
        <v>0</v>
      </c>
      <c r="AY82" s="38">
        <f t="shared" si="65"/>
        <v>0</v>
      </c>
      <c r="AZ82" s="38">
        <f t="shared" si="65"/>
        <v>0</v>
      </c>
      <c r="BA82" s="38">
        <f t="shared" si="65"/>
        <v>0</v>
      </c>
      <c r="BB82" s="38">
        <f t="shared" si="65"/>
        <v>0</v>
      </c>
      <c r="BC82" s="38">
        <f t="shared" si="65"/>
        <v>0</v>
      </c>
      <c r="BD82" s="38">
        <f t="shared" si="65"/>
        <v>0</v>
      </c>
      <c r="BE82" s="38">
        <f t="shared" si="65"/>
        <v>0</v>
      </c>
      <c r="BF82" s="38">
        <f t="shared" si="65"/>
        <v>0</v>
      </c>
      <c r="BG82" s="38">
        <f t="shared" si="65"/>
        <v>0</v>
      </c>
      <c r="BH82" s="38">
        <f t="shared" si="65"/>
        <v>0</v>
      </c>
      <c r="BI82" s="38">
        <f t="shared" si="65"/>
        <v>0</v>
      </c>
      <c r="BJ82" s="38">
        <f t="shared" si="65"/>
        <v>0</v>
      </c>
      <c r="BK82" s="38">
        <f t="shared" si="65"/>
        <v>0</v>
      </c>
      <c r="BL82" s="38">
        <f t="shared" si="65"/>
        <v>0</v>
      </c>
      <c r="BM82" s="38">
        <f t="shared" si="65"/>
        <v>0</v>
      </c>
      <c r="BN82" s="38">
        <f t="shared" si="65"/>
        <v>0</v>
      </c>
      <c r="BO82" s="38">
        <f t="shared" si="65"/>
        <v>0</v>
      </c>
      <c r="BP82" s="38">
        <f t="shared" si="65"/>
        <v>0</v>
      </c>
      <c r="BQ82" s="38">
        <f t="shared" si="65"/>
        <v>0</v>
      </c>
      <c r="BR82" s="38">
        <f t="shared" si="65"/>
        <v>0</v>
      </c>
      <c r="BS82" s="38">
        <f t="shared" si="65"/>
        <v>0</v>
      </c>
      <c r="BT82" s="38">
        <f t="shared" si="65"/>
        <v>0</v>
      </c>
      <c r="BU82" s="38">
        <f t="shared" si="65"/>
        <v>0</v>
      </c>
      <c r="BV82" s="38">
        <f t="shared" si="65"/>
        <v>0</v>
      </c>
      <c r="CK82" s="11"/>
      <c r="CM82" s="11"/>
      <c r="EX82" s="10" t="str">
        <f t="shared" si="55"/>
        <v/>
      </c>
    </row>
    <row r="83" spans="2:154" x14ac:dyDescent="0.35">
      <c r="B83" t="str">
        <f ca="1">Loans!B$28</f>
        <v>Loan 16</v>
      </c>
      <c r="D83" s="51">
        <f>Loans!D$28</f>
        <v>0</v>
      </c>
      <c r="E83" s="117" t="str">
        <f>IF(Loans!J$28=0, "", Loans!J$28)</f>
        <v/>
      </c>
      <c r="F83" s="117" t="str">
        <f>IF(Loans!K$28=0, "", Loans!K$28)</f>
        <v/>
      </c>
      <c r="AA83" s="38">
        <f t="shared" ref="AA83:BV83" si="66">(Z83+AA60)*AA60</f>
        <v>0</v>
      </c>
      <c r="AB83" s="38">
        <f t="shared" si="66"/>
        <v>0</v>
      </c>
      <c r="AC83" s="38">
        <f t="shared" si="66"/>
        <v>0</v>
      </c>
      <c r="AD83" s="38">
        <f t="shared" si="66"/>
        <v>0</v>
      </c>
      <c r="AE83" s="38">
        <f t="shared" si="66"/>
        <v>0</v>
      </c>
      <c r="AF83" s="38">
        <f t="shared" si="66"/>
        <v>0</v>
      </c>
      <c r="AG83" s="38">
        <f t="shared" si="66"/>
        <v>0</v>
      </c>
      <c r="AH83" s="38">
        <f t="shared" si="66"/>
        <v>0</v>
      </c>
      <c r="AI83" s="38">
        <f t="shared" si="66"/>
        <v>0</v>
      </c>
      <c r="AJ83" s="38">
        <f t="shared" si="66"/>
        <v>0</v>
      </c>
      <c r="AK83" s="38">
        <f t="shared" si="66"/>
        <v>0</v>
      </c>
      <c r="AL83" s="38">
        <f t="shared" si="66"/>
        <v>0</v>
      </c>
      <c r="AM83" s="38">
        <f t="shared" si="66"/>
        <v>0</v>
      </c>
      <c r="AN83" s="38">
        <f t="shared" si="66"/>
        <v>0</v>
      </c>
      <c r="AO83" s="38">
        <f t="shared" si="66"/>
        <v>0</v>
      </c>
      <c r="AP83" s="38">
        <f t="shared" si="66"/>
        <v>0</v>
      </c>
      <c r="AQ83" s="38">
        <f t="shared" si="66"/>
        <v>0</v>
      </c>
      <c r="AR83" s="38">
        <f t="shared" si="66"/>
        <v>0</v>
      </c>
      <c r="AS83" s="38">
        <f t="shared" si="66"/>
        <v>0</v>
      </c>
      <c r="AT83" s="38">
        <f t="shared" si="66"/>
        <v>0</v>
      </c>
      <c r="AU83" s="38">
        <f t="shared" si="66"/>
        <v>0</v>
      </c>
      <c r="AV83" s="38">
        <f t="shared" si="66"/>
        <v>0</v>
      </c>
      <c r="AW83" s="38">
        <f t="shared" si="66"/>
        <v>0</v>
      </c>
      <c r="AX83" s="38">
        <f t="shared" si="66"/>
        <v>0</v>
      </c>
      <c r="AY83" s="38">
        <f t="shared" si="66"/>
        <v>0</v>
      </c>
      <c r="AZ83" s="38">
        <f t="shared" si="66"/>
        <v>0</v>
      </c>
      <c r="BA83" s="38">
        <f t="shared" si="66"/>
        <v>0</v>
      </c>
      <c r="BB83" s="38">
        <f t="shared" si="66"/>
        <v>0</v>
      </c>
      <c r="BC83" s="38">
        <f t="shared" si="66"/>
        <v>0</v>
      </c>
      <c r="BD83" s="38">
        <f t="shared" si="66"/>
        <v>0</v>
      </c>
      <c r="BE83" s="38">
        <f t="shared" si="66"/>
        <v>0</v>
      </c>
      <c r="BF83" s="38">
        <f t="shared" si="66"/>
        <v>0</v>
      </c>
      <c r="BG83" s="38">
        <f t="shared" si="66"/>
        <v>0</v>
      </c>
      <c r="BH83" s="38">
        <f t="shared" si="66"/>
        <v>0</v>
      </c>
      <c r="BI83" s="38">
        <f t="shared" si="66"/>
        <v>0</v>
      </c>
      <c r="BJ83" s="38">
        <f t="shared" si="66"/>
        <v>0</v>
      </c>
      <c r="BK83" s="38">
        <f t="shared" si="66"/>
        <v>0</v>
      </c>
      <c r="BL83" s="38">
        <f t="shared" si="66"/>
        <v>0</v>
      </c>
      <c r="BM83" s="38">
        <f t="shared" si="66"/>
        <v>0</v>
      </c>
      <c r="BN83" s="38">
        <f t="shared" si="66"/>
        <v>0</v>
      </c>
      <c r="BO83" s="38">
        <f t="shared" si="66"/>
        <v>0</v>
      </c>
      <c r="BP83" s="38">
        <f t="shared" si="66"/>
        <v>0</v>
      </c>
      <c r="BQ83" s="38">
        <f t="shared" si="66"/>
        <v>0</v>
      </c>
      <c r="BR83" s="38">
        <f t="shared" si="66"/>
        <v>0</v>
      </c>
      <c r="BS83" s="38">
        <f t="shared" si="66"/>
        <v>0</v>
      </c>
      <c r="BT83" s="38">
        <f t="shared" si="66"/>
        <v>0</v>
      </c>
      <c r="BU83" s="38">
        <f t="shared" si="66"/>
        <v>0</v>
      </c>
      <c r="BV83" s="38">
        <f t="shared" si="66"/>
        <v>0</v>
      </c>
      <c r="CK83" s="11"/>
      <c r="CM83" s="11"/>
      <c r="EX83" s="10" t="str">
        <f t="shared" si="55"/>
        <v/>
      </c>
    </row>
    <row r="84" spans="2:154" x14ac:dyDescent="0.35">
      <c r="B84" t="str">
        <f ca="1">Loans!B$29</f>
        <v>Loan 17</v>
      </c>
      <c r="D84" s="51">
        <f>Loans!D$29</f>
        <v>0</v>
      </c>
      <c r="E84" s="117" t="str">
        <f>IF(Loans!J$29=0, "", Loans!J$29)</f>
        <v/>
      </c>
      <c r="F84" s="117" t="str">
        <f>IF(Loans!K$29=0, "", Loans!K$29)</f>
        <v/>
      </c>
      <c r="AA84" s="38">
        <f t="shared" ref="AA84:BV84" si="67">(Z84+AA61)*AA61</f>
        <v>0</v>
      </c>
      <c r="AB84" s="38">
        <f t="shared" si="67"/>
        <v>0</v>
      </c>
      <c r="AC84" s="38">
        <f t="shared" si="67"/>
        <v>0</v>
      </c>
      <c r="AD84" s="38">
        <f t="shared" si="67"/>
        <v>0</v>
      </c>
      <c r="AE84" s="38">
        <f t="shared" si="67"/>
        <v>0</v>
      </c>
      <c r="AF84" s="38">
        <f t="shared" si="67"/>
        <v>0</v>
      </c>
      <c r="AG84" s="38">
        <f t="shared" si="67"/>
        <v>0</v>
      </c>
      <c r="AH84" s="38">
        <f t="shared" si="67"/>
        <v>0</v>
      </c>
      <c r="AI84" s="38">
        <f t="shared" si="67"/>
        <v>0</v>
      </c>
      <c r="AJ84" s="38">
        <f t="shared" si="67"/>
        <v>0</v>
      </c>
      <c r="AK84" s="38">
        <f t="shared" si="67"/>
        <v>0</v>
      </c>
      <c r="AL84" s="38">
        <f t="shared" si="67"/>
        <v>0</v>
      </c>
      <c r="AM84" s="38">
        <f t="shared" si="67"/>
        <v>0</v>
      </c>
      <c r="AN84" s="38">
        <f t="shared" si="67"/>
        <v>0</v>
      </c>
      <c r="AO84" s="38">
        <f t="shared" si="67"/>
        <v>0</v>
      </c>
      <c r="AP84" s="38">
        <f t="shared" si="67"/>
        <v>0</v>
      </c>
      <c r="AQ84" s="38">
        <f t="shared" si="67"/>
        <v>0</v>
      </c>
      <c r="AR84" s="38">
        <f t="shared" si="67"/>
        <v>0</v>
      </c>
      <c r="AS84" s="38">
        <f t="shared" si="67"/>
        <v>0</v>
      </c>
      <c r="AT84" s="38">
        <f t="shared" si="67"/>
        <v>0</v>
      </c>
      <c r="AU84" s="38">
        <f t="shared" si="67"/>
        <v>0</v>
      </c>
      <c r="AV84" s="38">
        <f t="shared" si="67"/>
        <v>0</v>
      </c>
      <c r="AW84" s="38">
        <f t="shared" si="67"/>
        <v>0</v>
      </c>
      <c r="AX84" s="38">
        <f t="shared" si="67"/>
        <v>0</v>
      </c>
      <c r="AY84" s="38">
        <f t="shared" si="67"/>
        <v>0</v>
      </c>
      <c r="AZ84" s="38">
        <f t="shared" si="67"/>
        <v>0</v>
      </c>
      <c r="BA84" s="38">
        <f t="shared" si="67"/>
        <v>0</v>
      </c>
      <c r="BB84" s="38">
        <f t="shared" si="67"/>
        <v>0</v>
      </c>
      <c r="BC84" s="38">
        <f t="shared" si="67"/>
        <v>0</v>
      </c>
      <c r="BD84" s="38">
        <f t="shared" si="67"/>
        <v>0</v>
      </c>
      <c r="BE84" s="38">
        <f t="shared" si="67"/>
        <v>0</v>
      </c>
      <c r="BF84" s="38">
        <f t="shared" si="67"/>
        <v>0</v>
      </c>
      <c r="BG84" s="38">
        <f t="shared" si="67"/>
        <v>0</v>
      </c>
      <c r="BH84" s="38">
        <f t="shared" si="67"/>
        <v>0</v>
      </c>
      <c r="BI84" s="38">
        <f t="shared" si="67"/>
        <v>0</v>
      </c>
      <c r="BJ84" s="38">
        <f t="shared" si="67"/>
        <v>0</v>
      </c>
      <c r="BK84" s="38">
        <f t="shared" si="67"/>
        <v>0</v>
      </c>
      <c r="BL84" s="38">
        <f t="shared" si="67"/>
        <v>0</v>
      </c>
      <c r="BM84" s="38">
        <f t="shared" si="67"/>
        <v>0</v>
      </c>
      <c r="BN84" s="38">
        <f t="shared" si="67"/>
        <v>0</v>
      </c>
      <c r="BO84" s="38">
        <f t="shared" si="67"/>
        <v>0</v>
      </c>
      <c r="BP84" s="38">
        <f t="shared" si="67"/>
        <v>0</v>
      </c>
      <c r="BQ84" s="38">
        <f t="shared" si="67"/>
        <v>0</v>
      </c>
      <c r="BR84" s="38">
        <f t="shared" si="67"/>
        <v>0</v>
      </c>
      <c r="BS84" s="38">
        <f t="shared" si="67"/>
        <v>0</v>
      </c>
      <c r="BT84" s="38">
        <f t="shared" si="67"/>
        <v>0</v>
      </c>
      <c r="BU84" s="38">
        <f t="shared" si="67"/>
        <v>0</v>
      </c>
      <c r="BV84" s="38">
        <f t="shared" si="67"/>
        <v>0</v>
      </c>
      <c r="CK84" s="11"/>
      <c r="CM84" s="11"/>
      <c r="EX84" s="10" t="str">
        <f t="shared" si="55"/>
        <v/>
      </c>
    </row>
    <row r="85" spans="2:154" x14ac:dyDescent="0.35">
      <c r="B85" t="str">
        <f ca="1">Loans!B$30</f>
        <v>Loan 18</v>
      </c>
      <c r="D85" s="51">
        <f>Loans!D$30</f>
        <v>0</v>
      </c>
      <c r="E85" s="117" t="str">
        <f>IF(Loans!J$30=0, "", Loans!J$30)</f>
        <v/>
      </c>
      <c r="F85" s="117" t="str">
        <f>IF(Loans!K$30=0, "", Loans!K$30)</f>
        <v/>
      </c>
      <c r="AA85" s="38">
        <f t="shared" ref="AA85:BV85" si="68">(Z85+AA62)*AA62</f>
        <v>0</v>
      </c>
      <c r="AB85" s="38">
        <f t="shared" si="68"/>
        <v>0</v>
      </c>
      <c r="AC85" s="38">
        <f t="shared" si="68"/>
        <v>0</v>
      </c>
      <c r="AD85" s="38">
        <f t="shared" si="68"/>
        <v>0</v>
      </c>
      <c r="AE85" s="38">
        <f t="shared" si="68"/>
        <v>0</v>
      </c>
      <c r="AF85" s="38">
        <f t="shared" si="68"/>
        <v>0</v>
      </c>
      <c r="AG85" s="38">
        <f t="shared" si="68"/>
        <v>0</v>
      </c>
      <c r="AH85" s="38">
        <f t="shared" si="68"/>
        <v>0</v>
      </c>
      <c r="AI85" s="38">
        <f t="shared" si="68"/>
        <v>0</v>
      </c>
      <c r="AJ85" s="38">
        <f t="shared" si="68"/>
        <v>0</v>
      </c>
      <c r="AK85" s="38">
        <f t="shared" si="68"/>
        <v>0</v>
      </c>
      <c r="AL85" s="38">
        <f t="shared" si="68"/>
        <v>0</v>
      </c>
      <c r="AM85" s="38">
        <f t="shared" si="68"/>
        <v>0</v>
      </c>
      <c r="AN85" s="38">
        <f t="shared" si="68"/>
        <v>0</v>
      </c>
      <c r="AO85" s="38">
        <f t="shared" si="68"/>
        <v>0</v>
      </c>
      <c r="AP85" s="38">
        <f t="shared" si="68"/>
        <v>0</v>
      </c>
      <c r="AQ85" s="38">
        <f t="shared" si="68"/>
        <v>0</v>
      </c>
      <c r="AR85" s="38">
        <f t="shared" si="68"/>
        <v>0</v>
      </c>
      <c r="AS85" s="38">
        <f t="shared" si="68"/>
        <v>0</v>
      </c>
      <c r="AT85" s="38">
        <f t="shared" si="68"/>
        <v>0</v>
      </c>
      <c r="AU85" s="38">
        <f t="shared" si="68"/>
        <v>0</v>
      </c>
      <c r="AV85" s="38">
        <f t="shared" si="68"/>
        <v>0</v>
      </c>
      <c r="AW85" s="38">
        <f t="shared" si="68"/>
        <v>0</v>
      </c>
      <c r="AX85" s="38">
        <f t="shared" si="68"/>
        <v>0</v>
      </c>
      <c r="AY85" s="38">
        <f t="shared" si="68"/>
        <v>0</v>
      </c>
      <c r="AZ85" s="38">
        <f t="shared" si="68"/>
        <v>0</v>
      </c>
      <c r="BA85" s="38">
        <f t="shared" si="68"/>
        <v>0</v>
      </c>
      <c r="BB85" s="38">
        <f t="shared" si="68"/>
        <v>0</v>
      </c>
      <c r="BC85" s="38">
        <f t="shared" si="68"/>
        <v>0</v>
      </c>
      <c r="BD85" s="38">
        <f t="shared" si="68"/>
        <v>0</v>
      </c>
      <c r="BE85" s="38">
        <f t="shared" si="68"/>
        <v>0</v>
      </c>
      <c r="BF85" s="38">
        <f t="shared" si="68"/>
        <v>0</v>
      </c>
      <c r="BG85" s="38">
        <f t="shared" si="68"/>
        <v>0</v>
      </c>
      <c r="BH85" s="38">
        <f t="shared" si="68"/>
        <v>0</v>
      </c>
      <c r="BI85" s="38">
        <f t="shared" si="68"/>
        <v>0</v>
      </c>
      <c r="BJ85" s="38">
        <f t="shared" si="68"/>
        <v>0</v>
      </c>
      <c r="BK85" s="38">
        <f t="shared" si="68"/>
        <v>0</v>
      </c>
      <c r="BL85" s="38">
        <f t="shared" si="68"/>
        <v>0</v>
      </c>
      <c r="BM85" s="38">
        <f t="shared" si="68"/>
        <v>0</v>
      </c>
      <c r="BN85" s="38">
        <f t="shared" si="68"/>
        <v>0</v>
      </c>
      <c r="BO85" s="38">
        <f t="shared" si="68"/>
        <v>0</v>
      </c>
      <c r="BP85" s="38">
        <f t="shared" si="68"/>
        <v>0</v>
      </c>
      <c r="BQ85" s="38">
        <f t="shared" si="68"/>
        <v>0</v>
      </c>
      <c r="BR85" s="38">
        <f t="shared" si="68"/>
        <v>0</v>
      </c>
      <c r="BS85" s="38">
        <f t="shared" si="68"/>
        <v>0</v>
      </c>
      <c r="BT85" s="38">
        <f t="shared" si="68"/>
        <v>0</v>
      </c>
      <c r="BU85" s="38">
        <f t="shared" si="68"/>
        <v>0</v>
      </c>
      <c r="BV85" s="38">
        <f t="shared" si="68"/>
        <v>0</v>
      </c>
      <c r="CK85" s="11"/>
      <c r="CM85" s="11"/>
      <c r="EX85" s="10" t="str">
        <f t="shared" si="55"/>
        <v/>
      </c>
    </row>
    <row r="86" spans="2:154" x14ac:dyDescent="0.35">
      <c r="B86" t="str">
        <f ca="1">Loans!B$31</f>
        <v>Loan 19</v>
      </c>
      <c r="D86" s="51">
        <f>Loans!D$31</f>
        <v>0</v>
      </c>
      <c r="E86" s="117" t="str">
        <f>IF(Loans!J$31=0, "", Loans!J$31)</f>
        <v/>
      </c>
      <c r="F86" s="117" t="str">
        <f>IF(Loans!K$31=0, "", Loans!K$31)</f>
        <v/>
      </c>
      <c r="AA86" s="38">
        <f t="shared" ref="AA86:BV86" si="69">(Z86+AA63)*AA63</f>
        <v>0</v>
      </c>
      <c r="AB86" s="38">
        <f t="shared" si="69"/>
        <v>0</v>
      </c>
      <c r="AC86" s="38">
        <f t="shared" si="69"/>
        <v>0</v>
      </c>
      <c r="AD86" s="38">
        <f t="shared" si="69"/>
        <v>0</v>
      </c>
      <c r="AE86" s="38">
        <f t="shared" si="69"/>
        <v>0</v>
      </c>
      <c r="AF86" s="38">
        <f t="shared" si="69"/>
        <v>0</v>
      </c>
      <c r="AG86" s="38">
        <f t="shared" si="69"/>
        <v>0</v>
      </c>
      <c r="AH86" s="38">
        <f t="shared" si="69"/>
        <v>0</v>
      </c>
      <c r="AI86" s="38">
        <f t="shared" si="69"/>
        <v>0</v>
      </c>
      <c r="AJ86" s="38">
        <f t="shared" si="69"/>
        <v>0</v>
      </c>
      <c r="AK86" s="38">
        <f t="shared" si="69"/>
        <v>0</v>
      </c>
      <c r="AL86" s="38">
        <f t="shared" si="69"/>
        <v>0</v>
      </c>
      <c r="AM86" s="38">
        <f t="shared" si="69"/>
        <v>0</v>
      </c>
      <c r="AN86" s="38">
        <f t="shared" si="69"/>
        <v>0</v>
      </c>
      <c r="AO86" s="38">
        <f t="shared" si="69"/>
        <v>0</v>
      </c>
      <c r="AP86" s="38">
        <f t="shared" si="69"/>
        <v>0</v>
      </c>
      <c r="AQ86" s="38">
        <f t="shared" si="69"/>
        <v>0</v>
      </c>
      <c r="AR86" s="38">
        <f t="shared" si="69"/>
        <v>0</v>
      </c>
      <c r="AS86" s="38">
        <f t="shared" si="69"/>
        <v>0</v>
      </c>
      <c r="AT86" s="38">
        <f t="shared" si="69"/>
        <v>0</v>
      </c>
      <c r="AU86" s="38">
        <f t="shared" si="69"/>
        <v>0</v>
      </c>
      <c r="AV86" s="38">
        <f t="shared" si="69"/>
        <v>0</v>
      </c>
      <c r="AW86" s="38">
        <f t="shared" si="69"/>
        <v>0</v>
      </c>
      <c r="AX86" s="38">
        <f t="shared" si="69"/>
        <v>0</v>
      </c>
      <c r="AY86" s="38">
        <f t="shared" si="69"/>
        <v>0</v>
      </c>
      <c r="AZ86" s="38">
        <f t="shared" si="69"/>
        <v>0</v>
      </c>
      <c r="BA86" s="38">
        <f t="shared" si="69"/>
        <v>0</v>
      </c>
      <c r="BB86" s="38">
        <f t="shared" si="69"/>
        <v>0</v>
      </c>
      <c r="BC86" s="38">
        <f t="shared" si="69"/>
        <v>0</v>
      </c>
      <c r="BD86" s="38">
        <f t="shared" si="69"/>
        <v>0</v>
      </c>
      <c r="BE86" s="38">
        <f t="shared" si="69"/>
        <v>0</v>
      </c>
      <c r="BF86" s="38">
        <f t="shared" si="69"/>
        <v>0</v>
      </c>
      <c r="BG86" s="38">
        <f t="shared" si="69"/>
        <v>0</v>
      </c>
      <c r="BH86" s="38">
        <f t="shared" si="69"/>
        <v>0</v>
      </c>
      <c r="BI86" s="38">
        <f t="shared" si="69"/>
        <v>0</v>
      </c>
      <c r="BJ86" s="38">
        <f t="shared" si="69"/>
        <v>0</v>
      </c>
      <c r="BK86" s="38">
        <f t="shared" si="69"/>
        <v>0</v>
      </c>
      <c r="BL86" s="38">
        <f t="shared" si="69"/>
        <v>0</v>
      </c>
      <c r="BM86" s="38">
        <f t="shared" si="69"/>
        <v>0</v>
      </c>
      <c r="BN86" s="38">
        <f t="shared" si="69"/>
        <v>0</v>
      </c>
      <c r="BO86" s="38">
        <f t="shared" si="69"/>
        <v>0</v>
      </c>
      <c r="BP86" s="38">
        <f t="shared" si="69"/>
        <v>0</v>
      </c>
      <c r="BQ86" s="38">
        <f t="shared" si="69"/>
        <v>0</v>
      </c>
      <c r="BR86" s="38">
        <f t="shared" si="69"/>
        <v>0</v>
      </c>
      <c r="BS86" s="38">
        <f t="shared" si="69"/>
        <v>0</v>
      </c>
      <c r="BT86" s="38">
        <f t="shared" si="69"/>
        <v>0</v>
      </c>
      <c r="BU86" s="38">
        <f t="shared" si="69"/>
        <v>0</v>
      </c>
      <c r="BV86" s="38">
        <f t="shared" si="69"/>
        <v>0</v>
      </c>
      <c r="CK86" s="11"/>
      <c r="CM86" s="11"/>
      <c r="EX86" s="10" t="str">
        <f t="shared" si="55"/>
        <v/>
      </c>
    </row>
    <row r="87" spans="2:154" x14ac:dyDescent="0.35">
      <c r="B87" t="str">
        <f ca="1">Loans!B$32</f>
        <v>Loan 20</v>
      </c>
      <c r="D87" s="51">
        <f>Loans!D$32</f>
        <v>0</v>
      </c>
      <c r="E87" s="117" t="str">
        <f>IF(Loans!J$32=0, "", Loans!J$32)</f>
        <v/>
      </c>
      <c r="F87" s="117" t="str">
        <f>IF(Loans!K$32=0, "", Loans!K$32)</f>
        <v/>
      </c>
      <c r="AA87" s="38">
        <f t="shared" ref="AA87:BV87" si="70">(Z87+AA64)*AA64</f>
        <v>0</v>
      </c>
      <c r="AB87" s="38">
        <f t="shared" si="70"/>
        <v>0</v>
      </c>
      <c r="AC87" s="38">
        <f t="shared" si="70"/>
        <v>0</v>
      </c>
      <c r="AD87" s="38">
        <f t="shared" si="70"/>
        <v>0</v>
      </c>
      <c r="AE87" s="38">
        <f t="shared" si="70"/>
        <v>0</v>
      </c>
      <c r="AF87" s="38">
        <f t="shared" si="70"/>
        <v>0</v>
      </c>
      <c r="AG87" s="38">
        <f t="shared" si="70"/>
        <v>0</v>
      </c>
      <c r="AH87" s="38">
        <f t="shared" si="70"/>
        <v>0</v>
      </c>
      <c r="AI87" s="38">
        <f t="shared" si="70"/>
        <v>0</v>
      </c>
      <c r="AJ87" s="38">
        <f t="shared" si="70"/>
        <v>0</v>
      </c>
      <c r="AK87" s="38">
        <f t="shared" si="70"/>
        <v>0</v>
      </c>
      <c r="AL87" s="38">
        <f t="shared" si="70"/>
        <v>0</v>
      </c>
      <c r="AM87" s="38">
        <f t="shared" si="70"/>
        <v>0</v>
      </c>
      <c r="AN87" s="38">
        <f t="shared" si="70"/>
        <v>0</v>
      </c>
      <c r="AO87" s="38">
        <f t="shared" si="70"/>
        <v>0</v>
      </c>
      <c r="AP87" s="38">
        <f t="shared" si="70"/>
        <v>0</v>
      </c>
      <c r="AQ87" s="38">
        <f t="shared" si="70"/>
        <v>0</v>
      </c>
      <c r="AR87" s="38">
        <f t="shared" si="70"/>
        <v>0</v>
      </c>
      <c r="AS87" s="38">
        <f t="shared" si="70"/>
        <v>0</v>
      </c>
      <c r="AT87" s="38">
        <f t="shared" si="70"/>
        <v>0</v>
      </c>
      <c r="AU87" s="38">
        <f t="shared" si="70"/>
        <v>0</v>
      </c>
      <c r="AV87" s="38">
        <f t="shared" si="70"/>
        <v>0</v>
      </c>
      <c r="AW87" s="38">
        <f t="shared" si="70"/>
        <v>0</v>
      </c>
      <c r="AX87" s="38">
        <f t="shared" si="70"/>
        <v>0</v>
      </c>
      <c r="AY87" s="38">
        <f t="shared" si="70"/>
        <v>0</v>
      </c>
      <c r="AZ87" s="38">
        <f t="shared" si="70"/>
        <v>0</v>
      </c>
      <c r="BA87" s="38">
        <f t="shared" si="70"/>
        <v>0</v>
      </c>
      <c r="BB87" s="38">
        <f t="shared" si="70"/>
        <v>0</v>
      </c>
      <c r="BC87" s="38">
        <f t="shared" si="70"/>
        <v>0</v>
      </c>
      <c r="BD87" s="38">
        <f t="shared" si="70"/>
        <v>0</v>
      </c>
      <c r="BE87" s="38">
        <f t="shared" si="70"/>
        <v>0</v>
      </c>
      <c r="BF87" s="38">
        <f t="shared" si="70"/>
        <v>0</v>
      </c>
      <c r="BG87" s="38">
        <f t="shared" si="70"/>
        <v>0</v>
      </c>
      <c r="BH87" s="38">
        <f t="shared" si="70"/>
        <v>0</v>
      </c>
      <c r="BI87" s="38">
        <f t="shared" si="70"/>
        <v>0</v>
      </c>
      <c r="BJ87" s="38">
        <f t="shared" si="70"/>
        <v>0</v>
      </c>
      <c r="BK87" s="38">
        <f t="shared" si="70"/>
        <v>0</v>
      </c>
      <c r="BL87" s="38">
        <f t="shared" si="70"/>
        <v>0</v>
      </c>
      <c r="BM87" s="38">
        <f t="shared" si="70"/>
        <v>0</v>
      </c>
      <c r="BN87" s="38">
        <f t="shared" si="70"/>
        <v>0</v>
      </c>
      <c r="BO87" s="38">
        <f t="shared" si="70"/>
        <v>0</v>
      </c>
      <c r="BP87" s="38">
        <f t="shared" si="70"/>
        <v>0</v>
      </c>
      <c r="BQ87" s="38">
        <f t="shared" si="70"/>
        <v>0</v>
      </c>
      <c r="BR87" s="38">
        <f t="shared" si="70"/>
        <v>0</v>
      </c>
      <c r="BS87" s="38">
        <f t="shared" si="70"/>
        <v>0</v>
      </c>
      <c r="BT87" s="38">
        <f t="shared" si="70"/>
        <v>0</v>
      </c>
      <c r="BU87" s="38">
        <f t="shared" si="70"/>
        <v>0</v>
      </c>
      <c r="BV87" s="38">
        <f t="shared" si="70"/>
        <v>0</v>
      </c>
      <c r="CK87" s="11"/>
      <c r="CM87" s="11"/>
      <c r="EX87" s="10" t="str">
        <f t="shared" si="55"/>
        <v/>
      </c>
    </row>
    <row r="88" spans="2:154" ht="6.75" customHeight="1" x14ac:dyDescent="0.35">
      <c r="D88" s="1"/>
      <c r="E88"/>
      <c r="BY88" s="6"/>
      <c r="CK88" s="35"/>
      <c r="CM88" s="35"/>
      <c r="EX88" s="10" t="str">
        <f t="shared" si="55"/>
        <v/>
      </c>
    </row>
    <row r="89" spans="2:154" x14ac:dyDescent="0.35">
      <c r="D89" s="5" t="s">
        <v>1935</v>
      </c>
      <c r="F89" s="5"/>
      <c r="CK89" s="11"/>
      <c r="CM89" s="11"/>
      <c r="EX89" s="10" t="str">
        <f t="shared" si="55"/>
        <v/>
      </c>
    </row>
    <row r="90" spans="2:154" x14ac:dyDescent="0.35">
      <c r="B90" s="5"/>
      <c r="D90" s="5" t="str">
        <f>Loans!D$11</f>
        <v>Lender</v>
      </c>
      <c r="E90" s="5" t="s">
        <v>1932</v>
      </c>
      <c r="F90" s="5" t="s">
        <v>1933</v>
      </c>
      <c r="CK90" s="11"/>
      <c r="CM90" s="11"/>
      <c r="EX90" s="10" t="str">
        <f t="shared" si="55"/>
        <v/>
      </c>
    </row>
    <row r="91" spans="2:154" x14ac:dyDescent="0.35">
      <c r="B91" t="str">
        <f ca="1">Loans!B$13</f>
        <v>Loan 1</v>
      </c>
      <c r="D91" s="51">
        <f>Loans!D$13</f>
        <v>0</v>
      </c>
      <c r="E91" s="117" t="str">
        <f>IF(Loans!J$13=0, "", Loans!J$13)</f>
        <v/>
      </c>
      <c r="F91" s="117" t="str">
        <f>IF(Loans!K$13=0, "", Loans!K$13)</f>
        <v/>
      </c>
      <c r="V91" s="132">
        <f t="shared" ref="V91:V110" si="71">IF(AND(V45=1,R45=0), 1,0)</f>
        <v>0</v>
      </c>
      <c r="W91" s="38">
        <f t="shared" ref="W91:Y110" si="72">IF(AND(W45=1,V45=0), 1,0)</f>
        <v>0</v>
      </c>
      <c r="X91" s="38">
        <f t="shared" si="72"/>
        <v>0</v>
      </c>
      <c r="Y91" s="38">
        <f t="shared" si="72"/>
        <v>0</v>
      </c>
      <c r="AA91" s="38">
        <f t="shared" ref="AA91:BV91" si="73">IF(AND(AA45=1,Z45=0), 1,0)</f>
        <v>0</v>
      </c>
      <c r="AB91" s="38">
        <f t="shared" si="73"/>
        <v>0</v>
      </c>
      <c r="AC91" s="38">
        <f t="shared" si="73"/>
        <v>0</v>
      </c>
      <c r="AD91" s="38">
        <f t="shared" si="73"/>
        <v>0</v>
      </c>
      <c r="AE91" s="38">
        <f t="shared" si="73"/>
        <v>0</v>
      </c>
      <c r="AF91" s="38">
        <f t="shared" si="73"/>
        <v>0</v>
      </c>
      <c r="AG91" s="38">
        <f t="shared" si="73"/>
        <v>0</v>
      </c>
      <c r="AH91" s="38">
        <f t="shared" si="73"/>
        <v>0</v>
      </c>
      <c r="AI91" s="38">
        <f t="shared" si="73"/>
        <v>0</v>
      </c>
      <c r="AJ91" s="38">
        <f t="shared" si="73"/>
        <v>0</v>
      </c>
      <c r="AK91" s="38">
        <f t="shared" si="73"/>
        <v>0</v>
      </c>
      <c r="AL91" s="38">
        <f t="shared" si="73"/>
        <v>0</v>
      </c>
      <c r="AM91" s="38">
        <f t="shared" si="73"/>
        <v>0</v>
      </c>
      <c r="AN91" s="38">
        <f t="shared" si="73"/>
        <v>0</v>
      </c>
      <c r="AO91" s="38">
        <f t="shared" si="73"/>
        <v>0</v>
      </c>
      <c r="AP91" s="38">
        <f t="shared" si="73"/>
        <v>0</v>
      </c>
      <c r="AQ91" s="38">
        <f t="shared" si="73"/>
        <v>0</v>
      </c>
      <c r="AR91" s="38">
        <f t="shared" si="73"/>
        <v>0</v>
      </c>
      <c r="AS91" s="38">
        <f t="shared" si="73"/>
        <v>0</v>
      </c>
      <c r="AT91" s="38">
        <f t="shared" si="73"/>
        <v>0</v>
      </c>
      <c r="AU91" s="38">
        <f t="shared" si="73"/>
        <v>0</v>
      </c>
      <c r="AV91" s="38">
        <f t="shared" si="73"/>
        <v>0</v>
      </c>
      <c r="AW91" s="38">
        <f t="shared" si="73"/>
        <v>0</v>
      </c>
      <c r="AX91" s="38">
        <f t="shared" si="73"/>
        <v>0</v>
      </c>
      <c r="AY91" s="38">
        <f t="shared" si="73"/>
        <v>0</v>
      </c>
      <c r="AZ91" s="38">
        <f t="shared" si="73"/>
        <v>0</v>
      </c>
      <c r="BA91" s="38">
        <f t="shared" si="73"/>
        <v>0</v>
      </c>
      <c r="BB91" s="38">
        <f t="shared" si="73"/>
        <v>0</v>
      </c>
      <c r="BC91" s="38">
        <f t="shared" si="73"/>
        <v>0</v>
      </c>
      <c r="BD91" s="38">
        <f t="shared" si="73"/>
        <v>0</v>
      </c>
      <c r="BE91" s="38">
        <f t="shared" si="73"/>
        <v>0</v>
      </c>
      <c r="BF91" s="38">
        <f t="shared" si="73"/>
        <v>0</v>
      </c>
      <c r="BG91" s="38">
        <f t="shared" si="73"/>
        <v>0</v>
      </c>
      <c r="BH91" s="38">
        <f t="shared" si="73"/>
        <v>0</v>
      </c>
      <c r="BI91" s="38">
        <f t="shared" si="73"/>
        <v>0</v>
      </c>
      <c r="BJ91" s="38">
        <f t="shared" si="73"/>
        <v>0</v>
      </c>
      <c r="BK91" s="38">
        <f t="shared" si="73"/>
        <v>0</v>
      </c>
      <c r="BL91" s="38">
        <f t="shared" si="73"/>
        <v>0</v>
      </c>
      <c r="BM91" s="38">
        <f t="shared" si="73"/>
        <v>0</v>
      </c>
      <c r="BN91" s="38">
        <f t="shared" si="73"/>
        <v>0</v>
      </c>
      <c r="BO91" s="38">
        <f t="shared" si="73"/>
        <v>0</v>
      </c>
      <c r="BP91" s="38">
        <f t="shared" si="73"/>
        <v>0</v>
      </c>
      <c r="BQ91" s="38">
        <f t="shared" si="73"/>
        <v>0</v>
      </c>
      <c r="BR91" s="38">
        <f t="shared" si="73"/>
        <v>0</v>
      </c>
      <c r="BS91" s="38">
        <f t="shared" si="73"/>
        <v>0</v>
      </c>
      <c r="BT91" s="38">
        <f t="shared" si="73"/>
        <v>0</v>
      </c>
      <c r="BU91" s="38">
        <f t="shared" si="73"/>
        <v>0</v>
      </c>
      <c r="BV91" s="38">
        <f t="shared" si="73"/>
        <v>0</v>
      </c>
      <c r="BX91" s="38">
        <f t="shared" ref="BX91:CI91" si="74">IF(AND(BX45=1,BW45=0), 1,0)</f>
        <v>0</v>
      </c>
      <c r="BY91" s="38">
        <f t="shared" si="74"/>
        <v>0</v>
      </c>
      <c r="BZ91" s="38">
        <f t="shared" si="74"/>
        <v>0</v>
      </c>
      <c r="CA91" s="38">
        <f t="shared" si="74"/>
        <v>0</v>
      </c>
      <c r="CB91" s="38">
        <f t="shared" si="74"/>
        <v>0</v>
      </c>
      <c r="CC91" s="38">
        <f t="shared" si="74"/>
        <v>0</v>
      </c>
      <c r="CD91" s="38">
        <f t="shared" si="74"/>
        <v>0</v>
      </c>
      <c r="CE91" s="38">
        <f t="shared" si="74"/>
        <v>0</v>
      </c>
      <c r="CF91" s="38">
        <f t="shared" si="74"/>
        <v>0</v>
      </c>
      <c r="CG91" s="38">
        <f t="shared" si="74"/>
        <v>0</v>
      </c>
      <c r="CH91" s="38">
        <f t="shared" si="74"/>
        <v>0</v>
      </c>
      <c r="CI91" s="38">
        <f t="shared" si="74"/>
        <v>0</v>
      </c>
      <c r="CK91" s="11"/>
      <c r="CM91" s="11"/>
      <c r="EX91" s="10" t="str">
        <f t="shared" si="55"/>
        <v/>
      </c>
    </row>
    <row r="92" spans="2:154" x14ac:dyDescent="0.35">
      <c r="B92" t="str">
        <f ca="1">Loans!B$14</f>
        <v>Loan 2</v>
      </c>
      <c r="D92" s="51">
        <f>Loans!D$14</f>
        <v>0</v>
      </c>
      <c r="E92" s="117" t="str">
        <f>IF(Loans!J$14=0, "", Loans!J$14)</f>
        <v/>
      </c>
      <c r="F92" s="117" t="str">
        <f>IF(Loans!K$14=0, "", Loans!K$14)</f>
        <v/>
      </c>
      <c r="V92" s="38">
        <f t="shared" si="71"/>
        <v>0</v>
      </c>
      <c r="W92" s="38">
        <f t="shared" si="72"/>
        <v>0</v>
      </c>
      <c r="X92" s="38">
        <f t="shared" si="72"/>
        <v>0</v>
      </c>
      <c r="Y92" s="38">
        <f t="shared" si="72"/>
        <v>0</v>
      </c>
      <c r="AA92" s="38">
        <f t="shared" ref="AA92:BV92" si="75">IF(AND(AA46=1,Z46=0), 1,0)</f>
        <v>0</v>
      </c>
      <c r="AB92" s="38">
        <f t="shared" si="75"/>
        <v>0</v>
      </c>
      <c r="AC92" s="38">
        <f t="shared" si="75"/>
        <v>0</v>
      </c>
      <c r="AD92" s="38">
        <f t="shared" si="75"/>
        <v>0</v>
      </c>
      <c r="AE92" s="38">
        <f t="shared" si="75"/>
        <v>0</v>
      </c>
      <c r="AF92" s="38">
        <f t="shared" si="75"/>
        <v>0</v>
      </c>
      <c r="AG92" s="38">
        <f t="shared" si="75"/>
        <v>0</v>
      </c>
      <c r="AH92" s="38">
        <f t="shared" si="75"/>
        <v>0</v>
      </c>
      <c r="AI92" s="38">
        <f t="shared" si="75"/>
        <v>0</v>
      </c>
      <c r="AJ92" s="38">
        <f t="shared" si="75"/>
        <v>0</v>
      </c>
      <c r="AK92" s="38">
        <f t="shared" si="75"/>
        <v>0</v>
      </c>
      <c r="AL92" s="38">
        <f t="shared" si="75"/>
        <v>0</v>
      </c>
      <c r="AM92" s="38">
        <f t="shared" si="75"/>
        <v>0</v>
      </c>
      <c r="AN92" s="38">
        <f t="shared" si="75"/>
        <v>0</v>
      </c>
      <c r="AO92" s="38">
        <f t="shared" si="75"/>
        <v>0</v>
      </c>
      <c r="AP92" s="38">
        <f t="shared" si="75"/>
        <v>0</v>
      </c>
      <c r="AQ92" s="38">
        <f t="shared" si="75"/>
        <v>0</v>
      </c>
      <c r="AR92" s="38">
        <f t="shared" si="75"/>
        <v>0</v>
      </c>
      <c r="AS92" s="38">
        <f t="shared" si="75"/>
        <v>0</v>
      </c>
      <c r="AT92" s="38">
        <f t="shared" si="75"/>
        <v>0</v>
      </c>
      <c r="AU92" s="38">
        <f t="shared" si="75"/>
        <v>0</v>
      </c>
      <c r="AV92" s="38">
        <f t="shared" si="75"/>
        <v>0</v>
      </c>
      <c r="AW92" s="38">
        <f t="shared" si="75"/>
        <v>0</v>
      </c>
      <c r="AX92" s="38">
        <f t="shared" si="75"/>
        <v>0</v>
      </c>
      <c r="AY92" s="38">
        <f t="shared" si="75"/>
        <v>0</v>
      </c>
      <c r="AZ92" s="38">
        <f t="shared" si="75"/>
        <v>0</v>
      </c>
      <c r="BA92" s="38">
        <f t="shared" si="75"/>
        <v>0</v>
      </c>
      <c r="BB92" s="38">
        <f t="shared" si="75"/>
        <v>0</v>
      </c>
      <c r="BC92" s="38">
        <f t="shared" si="75"/>
        <v>0</v>
      </c>
      <c r="BD92" s="38">
        <f t="shared" si="75"/>
        <v>0</v>
      </c>
      <c r="BE92" s="38">
        <f t="shared" si="75"/>
        <v>0</v>
      </c>
      <c r="BF92" s="38">
        <f t="shared" si="75"/>
        <v>0</v>
      </c>
      <c r="BG92" s="38">
        <f t="shared" si="75"/>
        <v>0</v>
      </c>
      <c r="BH92" s="38">
        <f t="shared" si="75"/>
        <v>0</v>
      </c>
      <c r="BI92" s="38">
        <f t="shared" si="75"/>
        <v>0</v>
      </c>
      <c r="BJ92" s="38">
        <f t="shared" si="75"/>
        <v>0</v>
      </c>
      <c r="BK92" s="38">
        <f t="shared" si="75"/>
        <v>0</v>
      </c>
      <c r="BL92" s="38">
        <f t="shared" si="75"/>
        <v>0</v>
      </c>
      <c r="BM92" s="38">
        <f t="shared" si="75"/>
        <v>0</v>
      </c>
      <c r="BN92" s="38">
        <f t="shared" si="75"/>
        <v>0</v>
      </c>
      <c r="BO92" s="38">
        <f t="shared" si="75"/>
        <v>0</v>
      </c>
      <c r="BP92" s="38">
        <f t="shared" si="75"/>
        <v>0</v>
      </c>
      <c r="BQ92" s="38">
        <f t="shared" si="75"/>
        <v>0</v>
      </c>
      <c r="BR92" s="38">
        <f t="shared" si="75"/>
        <v>0</v>
      </c>
      <c r="BS92" s="38">
        <f t="shared" si="75"/>
        <v>0</v>
      </c>
      <c r="BT92" s="38">
        <f t="shared" si="75"/>
        <v>0</v>
      </c>
      <c r="BU92" s="38">
        <f t="shared" si="75"/>
        <v>0</v>
      </c>
      <c r="BV92" s="38">
        <f t="shared" si="75"/>
        <v>0</v>
      </c>
      <c r="BX92" s="38">
        <f t="shared" ref="BX92:CI92" si="76">IF(AND(BX46=1,BW46=0), 1,0)</f>
        <v>0</v>
      </c>
      <c r="BY92" s="38">
        <f t="shared" si="76"/>
        <v>0</v>
      </c>
      <c r="BZ92" s="38">
        <f t="shared" si="76"/>
        <v>0</v>
      </c>
      <c r="CA92" s="38">
        <f t="shared" si="76"/>
        <v>0</v>
      </c>
      <c r="CB92" s="38">
        <f t="shared" si="76"/>
        <v>0</v>
      </c>
      <c r="CC92" s="38">
        <f t="shared" si="76"/>
        <v>0</v>
      </c>
      <c r="CD92" s="38">
        <f t="shared" si="76"/>
        <v>0</v>
      </c>
      <c r="CE92" s="38">
        <f t="shared" si="76"/>
        <v>0</v>
      </c>
      <c r="CF92" s="38">
        <f t="shared" si="76"/>
        <v>0</v>
      </c>
      <c r="CG92" s="38">
        <f t="shared" si="76"/>
        <v>0</v>
      </c>
      <c r="CH92" s="38">
        <f t="shared" si="76"/>
        <v>0</v>
      </c>
      <c r="CI92" s="38">
        <f t="shared" si="76"/>
        <v>0</v>
      </c>
      <c r="CK92" s="11"/>
      <c r="CM92" s="11"/>
      <c r="EX92" s="10" t="str">
        <f t="shared" si="55"/>
        <v/>
      </c>
    </row>
    <row r="93" spans="2:154" x14ac:dyDescent="0.35">
      <c r="B93" t="str">
        <f ca="1">Loans!B$15</f>
        <v>Loan 3</v>
      </c>
      <c r="D93" s="51">
        <f>Loans!D$15</f>
        <v>0</v>
      </c>
      <c r="E93" s="117" t="str">
        <f>IF(Loans!J$15=0, "", Loans!J$15)</f>
        <v/>
      </c>
      <c r="F93" s="117" t="str">
        <f>IF(Loans!K$15=0, "", Loans!K$15)</f>
        <v/>
      </c>
      <c r="V93" s="38">
        <f t="shared" si="71"/>
        <v>0</v>
      </c>
      <c r="W93" s="38">
        <f t="shared" si="72"/>
        <v>0</v>
      </c>
      <c r="X93" s="38">
        <f t="shared" si="72"/>
        <v>0</v>
      </c>
      <c r="Y93" s="38">
        <f t="shared" si="72"/>
        <v>0</v>
      </c>
      <c r="AA93" s="38">
        <f t="shared" ref="AA93:BV93" si="77">IF(AND(AA47=1,Z47=0), 1,0)</f>
        <v>0</v>
      </c>
      <c r="AB93" s="38">
        <f t="shared" si="77"/>
        <v>0</v>
      </c>
      <c r="AC93" s="38">
        <f t="shared" si="77"/>
        <v>0</v>
      </c>
      <c r="AD93" s="38">
        <f t="shared" si="77"/>
        <v>0</v>
      </c>
      <c r="AE93" s="38">
        <f t="shared" si="77"/>
        <v>0</v>
      </c>
      <c r="AF93" s="38">
        <f t="shared" si="77"/>
        <v>0</v>
      </c>
      <c r="AG93" s="38">
        <f t="shared" si="77"/>
        <v>0</v>
      </c>
      <c r="AH93" s="38">
        <f t="shared" si="77"/>
        <v>0</v>
      </c>
      <c r="AI93" s="38">
        <f t="shared" si="77"/>
        <v>0</v>
      </c>
      <c r="AJ93" s="38">
        <f t="shared" si="77"/>
        <v>0</v>
      </c>
      <c r="AK93" s="38">
        <f t="shared" si="77"/>
        <v>0</v>
      </c>
      <c r="AL93" s="38">
        <f t="shared" si="77"/>
        <v>0</v>
      </c>
      <c r="AM93" s="38">
        <f t="shared" si="77"/>
        <v>0</v>
      </c>
      <c r="AN93" s="38">
        <f t="shared" si="77"/>
        <v>0</v>
      </c>
      <c r="AO93" s="38">
        <f t="shared" si="77"/>
        <v>0</v>
      </c>
      <c r="AP93" s="38">
        <f t="shared" si="77"/>
        <v>0</v>
      </c>
      <c r="AQ93" s="38">
        <f t="shared" si="77"/>
        <v>0</v>
      </c>
      <c r="AR93" s="38">
        <f t="shared" si="77"/>
        <v>0</v>
      </c>
      <c r="AS93" s="38">
        <f t="shared" si="77"/>
        <v>0</v>
      </c>
      <c r="AT93" s="38">
        <f t="shared" si="77"/>
        <v>0</v>
      </c>
      <c r="AU93" s="38">
        <f t="shared" si="77"/>
        <v>0</v>
      </c>
      <c r="AV93" s="38">
        <f t="shared" si="77"/>
        <v>0</v>
      </c>
      <c r="AW93" s="38">
        <f t="shared" si="77"/>
        <v>0</v>
      </c>
      <c r="AX93" s="38">
        <f t="shared" si="77"/>
        <v>0</v>
      </c>
      <c r="AY93" s="38">
        <f t="shared" si="77"/>
        <v>0</v>
      </c>
      <c r="AZ93" s="38">
        <f t="shared" si="77"/>
        <v>0</v>
      </c>
      <c r="BA93" s="38">
        <f t="shared" si="77"/>
        <v>0</v>
      </c>
      <c r="BB93" s="38">
        <f t="shared" si="77"/>
        <v>0</v>
      </c>
      <c r="BC93" s="38">
        <f t="shared" si="77"/>
        <v>0</v>
      </c>
      <c r="BD93" s="38">
        <f t="shared" si="77"/>
        <v>0</v>
      </c>
      <c r="BE93" s="38">
        <f t="shared" si="77"/>
        <v>0</v>
      </c>
      <c r="BF93" s="38">
        <f t="shared" si="77"/>
        <v>0</v>
      </c>
      <c r="BG93" s="38">
        <f t="shared" si="77"/>
        <v>0</v>
      </c>
      <c r="BH93" s="38">
        <f t="shared" si="77"/>
        <v>0</v>
      </c>
      <c r="BI93" s="38">
        <f t="shared" si="77"/>
        <v>0</v>
      </c>
      <c r="BJ93" s="38">
        <f t="shared" si="77"/>
        <v>0</v>
      </c>
      <c r="BK93" s="38">
        <f t="shared" si="77"/>
        <v>0</v>
      </c>
      <c r="BL93" s="38">
        <f t="shared" si="77"/>
        <v>0</v>
      </c>
      <c r="BM93" s="38">
        <f t="shared" si="77"/>
        <v>0</v>
      </c>
      <c r="BN93" s="38">
        <f t="shared" si="77"/>
        <v>0</v>
      </c>
      <c r="BO93" s="38">
        <f t="shared" si="77"/>
        <v>0</v>
      </c>
      <c r="BP93" s="38">
        <f t="shared" si="77"/>
        <v>0</v>
      </c>
      <c r="BQ93" s="38">
        <f t="shared" si="77"/>
        <v>0</v>
      </c>
      <c r="BR93" s="38">
        <f t="shared" si="77"/>
        <v>0</v>
      </c>
      <c r="BS93" s="38">
        <f t="shared" si="77"/>
        <v>0</v>
      </c>
      <c r="BT93" s="38">
        <f t="shared" si="77"/>
        <v>0</v>
      </c>
      <c r="BU93" s="38">
        <f t="shared" si="77"/>
        <v>0</v>
      </c>
      <c r="BV93" s="38">
        <f t="shared" si="77"/>
        <v>0</v>
      </c>
      <c r="BX93" s="38">
        <f t="shared" ref="BX93:CI93" si="78">IF(AND(BX47=1,BW47=0), 1,0)</f>
        <v>0</v>
      </c>
      <c r="BY93" s="38">
        <f t="shared" si="78"/>
        <v>0</v>
      </c>
      <c r="BZ93" s="38">
        <f t="shared" si="78"/>
        <v>0</v>
      </c>
      <c r="CA93" s="38">
        <f t="shared" si="78"/>
        <v>0</v>
      </c>
      <c r="CB93" s="38">
        <f t="shared" si="78"/>
        <v>0</v>
      </c>
      <c r="CC93" s="38">
        <f t="shared" si="78"/>
        <v>0</v>
      </c>
      <c r="CD93" s="38">
        <f t="shared" si="78"/>
        <v>0</v>
      </c>
      <c r="CE93" s="38">
        <f t="shared" si="78"/>
        <v>0</v>
      </c>
      <c r="CF93" s="38">
        <f t="shared" si="78"/>
        <v>0</v>
      </c>
      <c r="CG93" s="38">
        <f t="shared" si="78"/>
        <v>0</v>
      </c>
      <c r="CH93" s="38">
        <f t="shared" si="78"/>
        <v>0</v>
      </c>
      <c r="CI93" s="38">
        <f t="shared" si="78"/>
        <v>0</v>
      </c>
      <c r="CK93" s="11"/>
      <c r="CM93" s="11"/>
      <c r="EX93" s="10" t="str">
        <f t="shared" si="55"/>
        <v/>
      </c>
    </row>
    <row r="94" spans="2:154" x14ac:dyDescent="0.35">
      <c r="B94" t="str">
        <f ca="1">Loans!B$16</f>
        <v>Loan 4</v>
      </c>
      <c r="D94" s="51">
        <f>Loans!D$16</f>
        <v>0</v>
      </c>
      <c r="E94" s="117" t="str">
        <f>IF(Loans!J$16=0, "", Loans!J$16)</f>
        <v/>
      </c>
      <c r="F94" s="117" t="str">
        <f>IF(Loans!K$16=0, "", Loans!K$16)</f>
        <v/>
      </c>
      <c r="V94" s="38">
        <f t="shared" si="71"/>
        <v>0</v>
      </c>
      <c r="W94" s="38">
        <f t="shared" si="72"/>
        <v>0</v>
      </c>
      <c r="X94" s="38">
        <f t="shared" si="72"/>
        <v>0</v>
      </c>
      <c r="Y94" s="38">
        <f t="shared" si="72"/>
        <v>0</v>
      </c>
      <c r="AA94" s="38">
        <f t="shared" ref="AA94:BV94" si="79">IF(AND(AA48=1,Z48=0), 1,0)</f>
        <v>0</v>
      </c>
      <c r="AB94" s="38">
        <f t="shared" si="79"/>
        <v>0</v>
      </c>
      <c r="AC94" s="38">
        <f t="shared" si="79"/>
        <v>0</v>
      </c>
      <c r="AD94" s="38">
        <f t="shared" si="79"/>
        <v>0</v>
      </c>
      <c r="AE94" s="38">
        <f t="shared" si="79"/>
        <v>0</v>
      </c>
      <c r="AF94" s="38">
        <f t="shared" si="79"/>
        <v>0</v>
      </c>
      <c r="AG94" s="38">
        <f t="shared" si="79"/>
        <v>0</v>
      </c>
      <c r="AH94" s="38">
        <f t="shared" si="79"/>
        <v>0</v>
      </c>
      <c r="AI94" s="38">
        <f t="shared" si="79"/>
        <v>0</v>
      </c>
      <c r="AJ94" s="38">
        <f t="shared" si="79"/>
        <v>0</v>
      </c>
      <c r="AK94" s="38">
        <f t="shared" si="79"/>
        <v>0</v>
      </c>
      <c r="AL94" s="38">
        <f t="shared" si="79"/>
        <v>0</v>
      </c>
      <c r="AM94" s="38">
        <f t="shared" si="79"/>
        <v>0</v>
      </c>
      <c r="AN94" s="38">
        <f t="shared" si="79"/>
        <v>0</v>
      </c>
      <c r="AO94" s="38">
        <f t="shared" si="79"/>
        <v>0</v>
      </c>
      <c r="AP94" s="38">
        <f t="shared" si="79"/>
        <v>0</v>
      </c>
      <c r="AQ94" s="38">
        <f t="shared" si="79"/>
        <v>0</v>
      </c>
      <c r="AR94" s="38">
        <f t="shared" si="79"/>
        <v>0</v>
      </c>
      <c r="AS94" s="38">
        <f t="shared" si="79"/>
        <v>0</v>
      </c>
      <c r="AT94" s="38">
        <f t="shared" si="79"/>
        <v>0</v>
      </c>
      <c r="AU94" s="38">
        <f t="shared" si="79"/>
        <v>0</v>
      </c>
      <c r="AV94" s="38">
        <f t="shared" si="79"/>
        <v>0</v>
      </c>
      <c r="AW94" s="38">
        <f t="shared" si="79"/>
        <v>0</v>
      </c>
      <c r="AX94" s="38">
        <f t="shared" si="79"/>
        <v>0</v>
      </c>
      <c r="AY94" s="38">
        <f t="shared" si="79"/>
        <v>0</v>
      </c>
      <c r="AZ94" s="38">
        <f t="shared" si="79"/>
        <v>0</v>
      </c>
      <c r="BA94" s="38">
        <f t="shared" si="79"/>
        <v>0</v>
      </c>
      <c r="BB94" s="38">
        <f t="shared" si="79"/>
        <v>0</v>
      </c>
      <c r="BC94" s="38">
        <f t="shared" si="79"/>
        <v>0</v>
      </c>
      <c r="BD94" s="38">
        <f t="shared" si="79"/>
        <v>0</v>
      </c>
      <c r="BE94" s="38">
        <f t="shared" si="79"/>
        <v>0</v>
      </c>
      <c r="BF94" s="38">
        <f t="shared" si="79"/>
        <v>0</v>
      </c>
      <c r="BG94" s="38">
        <f t="shared" si="79"/>
        <v>0</v>
      </c>
      <c r="BH94" s="38">
        <f t="shared" si="79"/>
        <v>0</v>
      </c>
      <c r="BI94" s="38">
        <f t="shared" si="79"/>
        <v>0</v>
      </c>
      <c r="BJ94" s="38">
        <f t="shared" si="79"/>
        <v>0</v>
      </c>
      <c r="BK94" s="38">
        <f t="shared" si="79"/>
        <v>0</v>
      </c>
      <c r="BL94" s="38">
        <f t="shared" si="79"/>
        <v>0</v>
      </c>
      <c r="BM94" s="38">
        <f t="shared" si="79"/>
        <v>0</v>
      </c>
      <c r="BN94" s="38">
        <f t="shared" si="79"/>
        <v>0</v>
      </c>
      <c r="BO94" s="38">
        <f t="shared" si="79"/>
        <v>0</v>
      </c>
      <c r="BP94" s="38">
        <f t="shared" si="79"/>
        <v>0</v>
      </c>
      <c r="BQ94" s="38">
        <f t="shared" si="79"/>
        <v>0</v>
      </c>
      <c r="BR94" s="38">
        <f t="shared" si="79"/>
        <v>0</v>
      </c>
      <c r="BS94" s="38">
        <f t="shared" si="79"/>
        <v>0</v>
      </c>
      <c r="BT94" s="38">
        <f t="shared" si="79"/>
        <v>0</v>
      </c>
      <c r="BU94" s="38">
        <f t="shared" si="79"/>
        <v>0</v>
      </c>
      <c r="BV94" s="38">
        <f t="shared" si="79"/>
        <v>0</v>
      </c>
      <c r="BX94" s="38">
        <f t="shared" ref="BX94:CI94" si="80">IF(AND(BX48=1,BW48=0), 1,0)</f>
        <v>0</v>
      </c>
      <c r="BY94" s="38">
        <f t="shared" si="80"/>
        <v>0</v>
      </c>
      <c r="BZ94" s="38">
        <f t="shared" si="80"/>
        <v>0</v>
      </c>
      <c r="CA94" s="38">
        <f t="shared" si="80"/>
        <v>0</v>
      </c>
      <c r="CB94" s="38">
        <f t="shared" si="80"/>
        <v>0</v>
      </c>
      <c r="CC94" s="38">
        <f t="shared" si="80"/>
        <v>0</v>
      </c>
      <c r="CD94" s="38">
        <f t="shared" si="80"/>
        <v>0</v>
      </c>
      <c r="CE94" s="38">
        <f t="shared" si="80"/>
        <v>0</v>
      </c>
      <c r="CF94" s="38">
        <f t="shared" si="80"/>
        <v>0</v>
      </c>
      <c r="CG94" s="38">
        <f t="shared" si="80"/>
        <v>0</v>
      </c>
      <c r="CH94" s="38">
        <f t="shared" si="80"/>
        <v>0</v>
      </c>
      <c r="CI94" s="38">
        <f t="shared" si="80"/>
        <v>0</v>
      </c>
      <c r="CK94" s="11"/>
      <c r="CM94" s="11"/>
      <c r="EX94" s="10" t="str">
        <f t="shared" si="55"/>
        <v/>
      </c>
    </row>
    <row r="95" spans="2:154" x14ac:dyDescent="0.35">
      <c r="B95" t="str">
        <f ca="1">Loans!B$17</f>
        <v>Loan 5</v>
      </c>
      <c r="D95" s="51">
        <f>Loans!D$17</f>
        <v>0</v>
      </c>
      <c r="E95" s="117" t="str">
        <f>IF(Loans!J$17=0, "", Loans!J$17)</f>
        <v/>
      </c>
      <c r="F95" s="117" t="str">
        <f>IF(Loans!K$17=0, "", Loans!K$17)</f>
        <v/>
      </c>
      <c r="V95" s="38">
        <f t="shared" si="71"/>
        <v>0</v>
      </c>
      <c r="W95" s="38">
        <f t="shared" si="72"/>
        <v>0</v>
      </c>
      <c r="X95" s="38">
        <f t="shared" si="72"/>
        <v>0</v>
      </c>
      <c r="Y95" s="38">
        <f t="shared" si="72"/>
        <v>0</v>
      </c>
      <c r="AA95" s="38">
        <f t="shared" ref="AA95:BV95" si="81">IF(AND(AA49=1,Z49=0), 1,0)</f>
        <v>0</v>
      </c>
      <c r="AB95" s="38">
        <f t="shared" si="81"/>
        <v>0</v>
      </c>
      <c r="AC95" s="38">
        <f t="shared" si="81"/>
        <v>0</v>
      </c>
      <c r="AD95" s="38">
        <f t="shared" si="81"/>
        <v>0</v>
      </c>
      <c r="AE95" s="38">
        <f t="shared" si="81"/>
        <v>0</v>
      </c>
      <c r="AF95" s="38">
        <f t="shared" si="81"/>
        <v>0</v>
      </c>
      <c r="AG95" s="38">
        <f t="shared" si="81"/>
        <v>0</v>
      </c>
      <c r="AH95" s="38">
        <f t="shared" si="81"/>
        <v>0</v>
      </c>
      <c r="AI95" s="38">
        <f t="shared" si="81"/>
        <v>0</v>
      </c>
      <c r="AJ95" s="38">
        <f t="shared" si="81"/>
        <v>0</v>
      </c>
      <c r="AK95" s="38">
        <f t="shared" si="81"/>
        <v>0</v>
      </c>
      <c r="AL95" s="38">
        <f t="shared" si="81"/>
        <v>0</v>
      </c>
      <c r="AM95" s="38">
        <f t="shared" si="81"/>
        <v>0</v>
      </c>
      <c r="AN95" s="38">
        <f t="shared" si="81"/>
        <v>0</v>
      </c>
      <c r="AO95" s="38">
        <f t="shared" si="81"/>
        <v>0</v>
      </c>
      <c r="AP95" s="38">
        <f t="shared" si="81"/>
        <v>0</v>
      </c>
      <c r="AQ95" s="38">
        <f t="shared" si="81"/>
        <v>0</v>
      </c>
      <c r="AR95" s="38">
        <f t="shared" si="81"/>
        <v>0</v>
      </c>
      <c r="AS95" s="38">
        <f t="shared" si="81"/>
        <v>0</v>
      </c>
      <c r="AT95" s="38">
        <f t="shared" si="81"/>
        <v>0</v>
      </c>
      <c r="AU95" s="38">
        <f t="shared" si="81"/>
        <v>0</v>
      </c>
      <c r="AV95" s="38">
        <f t="shared" si="81"/>
        <v>0</v>
      </c>
      <c r="AW95" s="38">
        <f t="shared" si="81"/>
        <v>0</v>
      </c>
      <c r="AX95" s="38">
        <f t="shared" si="81"/>
        <v>0</v>
      </c>
      <c r="AY95" s="38">
        <f t="shared" si="81"/>
        <v>0</v>
      </c>
      <c r="AZ95" s="38">
        <f t="shared" si="81"/>
        <v>0</v>
      </c>
      <c r="BA95" s="38">
        <f t="shared" si="81"/>
        <v>0</v>
      </c>
      <c r="BB95" s="38">
        <f t="shared" si="81"/>
        <v>0</v>
      </c>
      <c r="BC95" s="38">
        <f t="shared" si="81"/>
        <v>0</v>
      </c>
      <c r="BD95" s="38">
        <f t="shared" si="81"/>
        <v>0</v>
      </c>
      <c r="BE95" s="38">
        <f t="shared" si="81"/>
        <v>0</v>
      </c>
      <c r="BF95" s="38">
        <f t="shared" si="81"/>
        <v>0</v>
      </c>
      <c r="BG95" s="38">
        <f t="shared" si="81"/>
        <v>0</v>
      </c>
      <c r="BH95" s="38">
        <f t="shared" si="81"/>
        <v>0</v>
      </c>
      <c r="BI95" s="38">
        <f t="shared" si="81"/>
        <v>0</v>
      </c>
      <c r="BJ95" s="38">
        <f t="shared" si="81"/>
        <v>0</v>
      </c>
      <c r="BK95" s="38">
        <f t="shared" si="81"/>
        <v>0</v>
      </c>
      <c r="BL95" s="38">
        <f t="shared" si="81"/>
        <v>0</v>
      </c>
      <c r="BM95" s="38">
        <f t="shared" si="81"/>
        <v>0</v>
      </c>
      <c r="BN95" s="38">
        <f t="shared" si="81"/>
        <v>0</v>
      </c>
      <c r="BO95" s="38">
        <f t="shared" si="81"/>
        <v>0</v>
      </c>
      <c r="BP95" s="38">
        <f t="shared" si="81"/>
        <v>0</v>
      </c>
      <c r="BQ95" s="38">
        <f t="shared" si="81"/>
        <v>0</v>
      </c>
      <c r="BR95" s="38">
        <f t="shared" si="81"/>
        <v>0</v>
      </c>
      <c r="BS95" s="38">
        <f t="shared" si="81"/>
        <v>0</v>
      </c>
      <c r="BT95" s="38">
        <f t="shared" si="81"/>
        <v>0</v>
      </c>
      <c r="BU95" s="38">
        <f t="shared" si="81"/>
        <v>0</v>
      </c>
      <c r="BV95" s="38">
        <f t="shared" si="81"/>
        <v>0</v>
      </c>
      <c r="BX95" s="38">
        <f t="shared" ref="BX95:CI95" si="82">IF(AND(BX49=1,BW49=0), 1,0)</f>
        <v>0</v>
      </c>
      <c r="BY95" s="38">
        <f t="shared" si="82"/>
        <v>0</v>
      </c>
      <c r="BZ95" s="38">
        <f t="shared" si="82"/>
        <v>0</v>
      </c>
      <c r="CA95" s="38">
        <f t="shared" si="82"/>
        <v>0</v>
      </c>
      <c r="CB95" s="38">
        <f t="shared" si="82"/>
        <v>0</v>
      </c>
      <c r="CC95" s="38">
        <f t="shared" si="82"/>
        <v>0</v>
      </c>
      <c r="CD95" s="38">
        <f t="shared" si="82"/>
        <v>0</v>
      </c>
      <c r="CE95" s="38">
        <f t="shared" si="82"/>
        <v>0</v>
      </c>
      <c r="CF95" s="38">
        <f t="shared" si="82"/>
        <v>0</v>
      </c>
      <c r="CG95" s="38">
        <f t="shared" si="82"/>
        <v>0</v>
      </c>
      <c r="CH95" s="38">
        <f t="shared" si="82"/>
        <v>0</v>
      </c>
      <c r="CI95" s="38">
        <f t="shared" si="82"/>
        <v>0</v>
      </c>
      <c r="CK95" s="11"/>
      <c r="CM95" s="11"/>
      <c r="EX95" s="10" t="str">
        <f t="shared" si="55"/>
        <v/>
      </c>
    </row>
    <row r="96" spans="2:154" x14ac:dyDescent="0.35">
      <c r="B96" t="str">
        <f ca="1">Loans!B$18</f>
        <v>Loan 6</v>
      </c>
      <c r="D96" s="51">
        <f>Loans!D$18</f>
        <v>0</v>
      </c>
      <c r="E96" s="117" t="str">
        <f>IF(Loans!J$18=0, "", Loans!J$18)</f>
        <v/>
      </c>
      <c r="F96" s="117" t="str">
        <f>IF(Loans!K$18=0, "", Loans!K$18)</f>
        <v/>
      </c>
      <c r="V96" s="38">
        <f t="shared" si="71"/>
        <v>0</v>
      </c>
      <c r="W96" s="38">
        <f t="shared" si="72"/>
        <v>0</v>
      </c>
      <c r="X96" s="38">
        <f t="shared" si="72"/>
        <v>0</v>
      </c>
      <c r="Y96" s="38">
        <f t="shared" si="72"/>
        <v>0</v>
      </c>
      <c r="AA96" s="38">
        <f t="shared" ref="AA96:BV96" si="83">IF(AND(AA50=1,Z50=0), 1,0)</f>
        <v>0</v>
      </c>
      <c r="AB96" s="38">
        <f t="shared" si="83"/>
        <v>0</v>
      </c>
      <c r="AC96" s="38">
        <f t="shared" si="83"/>
        <v>0</v>
      </c>
      <c r="AD96" s="38">
        <f t="shared" si="83"/>
        <v>0</v>
      </c>
      <c r="AE96" s="38">
        <f t="shared" si="83"/>
        <v>0</v>
      </c>
      <c r="AF96" s="38">
        <f t="shared" si="83"/>
        <v>0</v>
      </c>
      <c r="AG96" s="38">
        <f t="shared" si="83"/>
        <v>0</v>
      </c>
      <c r="AH96" s="38">
        <f t="shared" si="83"/>
        <v>0</v>
      </c>
      <c r="AI96" s="38">
        <f t="shared" si="83"/>
        <v>0</v>
      </c>
      <c r="AJ96" s="38">
        <f t="shared" si="83"/>
        <v>0</v>
      </c>
      <c r="AK96" s="38">
        <f t="shared" si="83"/>
        <v>0</v>
      </c>
      <c r="AL96" s="38">
        <f t="shared" si="83"/>
        <v>0</v>
      </c>
      <c r="AM96" s="38">
        <f t="shared" si="83"/>
        <v>0</v>
      </c>
      <c r="AN96" s="38">
        <f t="shared" si="83"/>
        <v>0</v>
      </c>
      <c r="AO96" s="38">
        <f t="shared" si="83"/>
        <v>0</v>
      </c>
      <c r="AP96" s="38">
        <f t="shared" si="83"/>
        <v>0</v>
      </c>
      <c r="AQ96" s="38">
        <f t="shared" si="83"/>
        <v>0</v>
      </c>
      <c r="AR96" s="38">
        <f t="shared" si="83"/>
        <v>0</v>
      </c>
      <c r="AS96" s="38">
        <f t="shared" si="83"/>
        <v>0</v>
      </c>
      <c r="AT96" s="38">
        <f t="shared" si="83"/>
        <v>0</v>
      </c>
      <c r="AU96" s="38">
        <f t="shared" si="83"/>
        <v>0</v>
      </c>
      <c r="AV96" s="38">
        <f t="shared" si="83"/>
        <v>0</v>
      </c>
      <c r="AW96" s="38">
        <f t="shared" si="83"/>
        <v>0</v>
      </c>
      <c r="AX96" s="38">
        <f t="shared" si="83"/>
        <v>0</v>
      </c>
      <c r="AY96" s="38">
        <f t="shared" si="83"/>
        <v>0</v>
      </c>
      <c r="AZ96" s="38">
        <f t="shared" si="83"/>
        <v>0</v>
      </c>
      <c r="BA96" s="38">
        <f t="shared" si="83"/>
        <v>0</v>
      </c>
      <c r="BB96" s="38">
        <f t="shared" si="83"/>
        <v>0</v>
      </c>
      <c r="BC96" s="38">
        <f t="shared" si="83"/>
        <v>0</v>
      </c>
      <c r="BD96" s="38">
        <f t="shared" si="83"/>
        <v>0</v>
      </c>
      <c r="BE96" s="38">
        <f t="shared" si="83"/>
        <v>0</v>
      </c>
      <c r="BF96" s="38">
        <f t="shared" si="83"/>
        <v>0</v>
      </c>
      <c r="BG96" s="38">
        <f t="shared" si="83"/>
        <v>0</v>
      </c>
      <c r="BH96" s="38">
        <f t="shared" si="83"/>
        <v>0</v>
      </c>
      <c r="BI96" s="38">
        <f t="shared" si="83"/>
        <v>0</v>
      </c>
      <c r="BJ96" s="38">
        <f t="shared" si="83"/>
        <v>0</v>
      </c>
      <c r="BK96" s="38">
        <f t="shared" si="83"/>
        <v>0</v>
      </c>
      <c r="BL96" s="38">
        <f t="shared" si="83"/>
        <v>0</v>
      </c>
      <c r="BM96" s="38">
        <f t="shared" si="83"/>
        <v>0</v>
      </c>
      <c r="BN96" s="38">
        <f t="shared" si="83"/>
        <v>0</v>
      </c>
      <c r="BO96" s="38">
        <f t="shared" si="83"/>
        <v>0</v>
      </c>
      <c r="BP96" s="38">
        <f t="shared" si="83"/>
        <v>0</v>
      </c>
      <c r="BQ96" s="38">
        <f t="shared" si="83"/>
        <v>0</v>
      </c>
      <c r="BR96" s="38">
        <f t="shared" si="83"/>
        <v>0</v>
      </c>
      <c r="BS96" s="38">
        <f t="shared" si="83"/>
        <v>0</v>
      </c>
      <c r="BT96" s="38">
        <f t="shared" si="83"/>
        <v>0</v>
      </c>
      <c r="BU96" s="38">
        <f t="shared" si="83"/>
        <v>0</v>
      </c>
      <c r="BV96" s="38">
        <f t="shared" si="83"/>
        <v>0</v>
      </c>
      <c r="BX96" s="38">
        <f t="shared" ref="BX96:CI96" si="84">IF(AND(BX50=1,BW50=0), 1,0)</f>
        <v>0</v>
      </c>
      <c r="BY96" s="38">
        <f t="shared" si="84"/>
        <v>0</v>
      </c>
      <c r="BZ96" s="38">
        <f t="shared" si="84"/>
        <v>0</v>
      </c>
      <c r="CA96" s="38">
        <f t="shared" si="84"/>
        <v>0</v>
      </c>
      <c r="CB96" s="38">
        <f t="shared" si="84"/>
        <v>0</v>
      </c>
      <c r="CC96" s="38">
        <f t="shared" si="84"/>
        <v>0</v>
      </c>
      <c r="CD96" s="38">
        <f t="shared" si="84"/>
        <v>0</v>
      </c>
      <c r="CE96" s="38">
        <f t="shared" si="84"/>
        <v>0</v>
      </c>
      <c r="CF96" s="38">
        <f t="shared" si="84"/>
        <v>0</v>
      </c>
      <c r="CG96" s="38">
        <f t="shared" si="84"/>
        <v>0</v>
      </c>
      <c r="CH96" s="38">
        <f t="shared" si="84"/>
        <v>0</v>
      </c>
      <c r="CI96" s="38">
        <f t="shared" si="84"/>
        <v>0</v>
      </c>
      <c r="CK96" s="11"/>
      <c r="CM96" s="11"/>
      <c r="EX96" s="10" t="str">
        <f t="shared" si="55"/>
        <v/>
      </c>
    </row>
    <row r="97" spans="1:154" s="5" customFormat="1" x14ac:dyDescent="0.35">
      <c r="A97"/>
      <c r="B97" t="str">
        <f ca="1">Loans!B$19</f>
        <v>Loan 7</v>
      </c>
      <c r="D97" s="51">
        <f>Loans!D$19</f>
        <v>0</v>
      </c>
      <c r="E97" s="117" t="str">
        <f>IF(Loans!J$19=0, "", Loans!J$19)</f>
        <v/>
      </c>
      <c r="F97" s="117" t="str">
        <f>IF(Loans!K$19=0, "", Loans!K$19)</f>
        <v/>
      </c>
      <c r="G97"/>
      <c r="H97"/>
      <c r="I97"/>
      <c r="J97"/>
      <c r="K97"/>
      <c r="N97"/>
      <c r="O97"/>
      <c r="P97"/>
      <c r="Q97"/>
      <c r="R97"/>
      <c r="S97"/>
      <c r="T97"/>
      <c r="U97"/>
      <c r="V97" s="38">
        <f t="shared" si="71"/>
        <v>0</v>
      </c>
      <c r="W97" s="38">
        <f t="shared" si="72"/>
        <v>0</v>
      </c>
      <c r="X97" s="38">
        <f t="shared" si="72"/>
        <v>0</v>
      </c>
      <c r="Y97" s="38">
        <f t="shared" si="72"/>
        <v>0</v>
      </c>
      <c r="Z97"/>
      <c r="AA97" s="38">
        <f t="shared" ref="AA97:BV97" si="85">IF(AND(AA51=1,Z51=0), 1,0)</f>
        <v>0</v>
      </c>
      <c r="AB97" s="38">
        <f t="shared" si="85"/>
        <v>0</v>
      </c>
      <c r="AC97" s="38">
        <f t="shared" si="85"/>
        <v>0</v>
      </c>
      <c r="AD97" s="38">
        <f t="shared" si="85"/>
        <v>0</v>
      </c>
      <c r="AE97" s="38">
        <f t="shared" si="85"/>
        <v>0</v>
      </c>
      <c r="AF97" s="38">
        <f t="shared" si="85"/>
        <v>0</v>
      </c>
      <c r="AG97" s="38">
        <f t="shared" si="85"/>
        <v>0</v>
      </c>
      <c r="AH97" s="38">
        <f t="shared" si="85"/>
        <v>0</v>
      </c>
      <c r="AI97" s="38">
        <f t="shared" si="85"/>
        <v>0</v>
      </c>
      <c r="AJ97" s="38">
        <f t="shared" si="85"/>
        <v>0</v>
      </c>
      <c r="AK97" s="38">
        <f t="shared" si="85"/>
        <v>0</v>
      </c>
      <c r="AL97" s="38">
        <f t="shared" si="85"/>
        <v>0</v>
      </c>
      <c r="AM97" s="38">
        <f t="shared" si="85"/>
        <v>0</v>
      </c>
      <c r="AN97" s="38">
        <f t="shared" si="85"/>
        <v>0</v>
      </c>
      <c r="AO97" s="38">
        <f t="shared" si="85"/>
        <v>0</v>
      </c>
      <c r="AP97" s="38">
        <f t="shared" si="85"/>
        <v>0</v>
      </c>
      <c r="AQ97" s="38">
        <f t="shared" si="85"/>
        <v>0</v>
      </c>
      <c r="AR97" s="38">
        <f t="shared" si="85"/>
        <v>0</v>
      </c>
      <c r="AS97" s="38">
        <f t="shared" si="85"/>
        <v>0</v>
      </c>
      <c r="AT97" s="38">
        <f t="shared" si="85"/>
        <v>0</v>
      </c>
      <c r="AU97" s="38">
        <f t="shared" si="85"/>
        <v>0</v>
      </c>
      <c r="AV97" s="38">
        <f t="shared" si="85"/>
        <v>0</v>
      </c>
      <c r="AW97" s="38">
        <f t="shared" si="85"/>
        <v>0</v>
      </c>
      <c r="AX97" s="38">
        <f t="shared" si="85"/>
        <v>0</v>
      </c>
      <c r="AY97" s="38">
        <f t="shared" si="85"/>
        <v>0</v>
      </c>
      <c r="AZ97" s="38">
        <f t="shared" si="85"/>
        <v>0</v>
      </c>
      <c r="BA97" s="38">
        <f t="shared" si="85"/>
        <v>0</v>
      </c>
      <c r="BB97" s="38">
        <f t="shared" si="85"/>
        <v>0</v>
      </c>
      <c r="BC97" s="38">
        <f t="shared" si="85"/>
        <v>0</v>
      </c>
      <c r="BD97" s="38">
        <f t="shared" si="85"/>
        <v>0</v>
      </c>
      <c r="BE97" s="38">
        <f t="shared" si="85"/>
        <v>0</v>
      </c>
      <c r="BF97" s="38">
        <f t="shared" si="85"/>
        <v>0</v>
      </c>
      <c r="BG97" s="38">
        <f t="shared" si="85"/>
        <v>0</v>
      </c>
      <c r="BH97" s="38">
        <f t="shared" si="85"/>
        <v>0</v>
      </c>
      <c r="BI97" s="38">
        <f t="shared" si="85"/>
        <v>0</v>
      </c>
      <c r="BJ97" s="38">
        <f t="shared" si="85"/>
        <v>0</v>
      </c>
      <c r="BK97" s="38">
        <f t="shared" si="85"/>
        <v>0</v>
      </c>
      <c r="BL97" s="38">
        <f t="shared" si="85"/>
        <v>0</v>
      </c>
      <c r="BM97" s="38">
        <f t="shared" si="85"/>
        <v>0</v>
      </c>
      <c r="BN97" s="38">
        <f t="shared" si="85"/>
        <v>0</v>
      </c>
      <c r="BO97" s="38">
        <f t="shared" si="85"/>
        <v>0</v>
      </c>
      <c r="BP97" s="38">
        <f t="shared" si="85"/>
        <v>0</v>
      </c>
      <c r="BQ97" s="38">
        <f t="shared" si="85"/>
        <v>0</v>
      </c>
      <c r="BR97" s="38">
        <f t="shared" si="85"/>
        <v>0</v>
      </c>
      <c r="BS97" s="38">
        <f t="shared" si="85"/>
        <v>0</v>
      </c>
      <c r="BT97" s="38">
        <f t="shared" si="85"/>
        <v>0</v>
      </c>
      <c r="BU97" s="38">
        <f t="shared" si="85"/>
        <v>0</v>
      </c>
      <c r="BV97" s="38">
        <f t="shared" si="85"/>
        <v>0</v>
      </c>
      <c r="BW97"/>
      <c r="BX97" s="38">
        <f t="shared" ref="BX97:CI97" si="86">IF(AND(BX51=1,BW51=0), 1,0)</f>
        <v>0</v>
      </c>
      <c r="BY97" s="38">
        <f t="shared" si="86"/>
        <v>0</v>
      </c>
      <c r="BZ97" s="38">
        <f t="shared" si="86"/>
        <v>0</v>
      </c>
      <c r="CA97" s="38">
        <f t="shared" si="86"/>
        <v>0</v>
      </c>
      <c r="CB97" s="38">
        <f t="shared" si="86"/>
        <v>0</v>
      </c>
      <c r="CC97" s="38">
        <f t="shared" si="86"/>
        <v>0</v>
      </c>
      <c r="CD97" s="38">
        <f t="shared" si="86"/>
        <v>0</v>
      </c>
      <c r="CE97" s="38">
        <f t="shared" si="86"/>
        <v>0</v>
      </c>
      <c r="CF97" s="38">
        <f t="shared" si="86"/>
        <v>0</v>
      </c>
      <c r="CG97" s="38">
        <f t="shared" si="86"/>
        <v>0</v>
      </c>
      <c r="CH97" s="38">
        <f t="shared" si="86"/>
        <v>0</v>
      </c>
      <c r="CI97" s="38">
        <f t="shared" si="86"/>
        <v>0</v>
      </c>
      <c r="CJ97"/>
      <c r="CK97" s="11"/>
      <c r="CL97"/>
      <c r="CM97" s="11"/>
      <c r="EX97" s="10" t="str">
        <f t="shared" si="55"/>
        <v/>
      </c>
    </row>
    <row r="98" spans="1:154" x14ac:dyDescent="0.35">
      <c r="B98" t="str">
        <f ca="1">Loans!B$20</f>
        <v>Loan 8</v>
      </c>
      <c r="D98" s="51">
        <f>Loans!D$20</f>
        <v>0</v>
      </c>
      <c r="E98" s="117" t="str">
        <f>IF(Loans!J$20=0, "", Loans!J$20)</f>
        <v/>
      </c>
      <c r="F98" s="117" t="str">
        <f>IF(Loans!K$20=0, "", Loans!K$20)</f>
        <v/>
      </c>
      <c r="V98" s="38">
        <f t="shared" si="71"/>
        <v>0</v>
      </c>
      <c r="W98" s="38">
        <f t="shared" si="72"/>
        <v>0</v>
      </c>
      <c r="X98" s="38">
        <f t="shared" si="72"/>
        <v>0</v>
      </c>
      <c r="Y98" s="38">
        <f t="shared" si="72"/>
        <v>0</v>
      </c>
      <c r="AA98" s="38">
        <f t="shared" ref="AA98:BV98" si="87">IF(AND(AA52=1,Z52=0), 1,0)</f>
        <v>0</v>
      </c>
      <c r="AB98" s="38">
        <f t="shared" si="87"/>
        <v>0</v>
      </c>
      <c r="AC98" s="38">
        <f t="shared" si="87"/>
        <v>0</v>
      </c>
      <c r="AD98" s="38">
        <f t="shared" si="87"/>
        <v>0</v>
      </c>
      <c r="AE98" s="38">
        <f t="shared" si="87"/>
        <v>0</v>
      </c>
      <c r="AF98" s="38">
        <f t="shared" si="87"/>
        <v>0</v>
      </c>
      <c r="AG98" s="38">
        <f t="shared" si="87"/>
        <v>0</v>
      </c>
      <c r="AH98" s="38">
        <f t="shared" si="87"/>
        <v>0</v>
      </c>
      <c r="AI98" s="38">
        <f t="shared" si="87"/>
        <v>0</v>
      </c>
      <c r="AJ98" s="38">
        <f t="shared" si="87"/>
        <v>0</v>
      </c>
      <c r="AK98" s="38">
        <f t="shared" si="87"/>
        <v>0</v>
      </c>
      <c r="AL98" s="38">
        <f t="shared" si="87"/>
        <v>0</v>
      </c>
      <c r="AM98" s="38">
        <f t="shared" si="87"/>
        <v>0</v>
      </c>
      <c r="AN98" s="38">
        <f t="shared" si="87"/>
        <v>0</v>
      </c>
      <c r="AO98" s="38">
        <f t="shared" si="87"/>
        <v>0</v>
      </c>
      <c r="AP98" s="38">
        <f t="shared" si="87"/>
        <v>0</v>
      </c>
      <c r="AQ98" s="38">
        <f t="shared" si="87"/>
        <v>0</v>
      </c>
      <c r="AR98" s="38">
        <f t="shared" si="87"/>
        <v>0</v>
      </c>
      <c r="AS98" s="38">
        <f t="shared" si="87"/>
        <v>0</v>
      </c>
      <c r="AT98" s="38">
        <f t="shared" si="87"/>
        <v>0</v>
      </c>
      <c r="AU98" s="38">
        <f t="shared" si="87"/>
        <v>0</v>
      </c>
      <c r="AV98" s="38">
        <f t="shared" si="87"/>
        <v>0</v>
      </c>
      <c r="AW98" s="38">
        <f t="shared" si="87"/>
        <v>0</v>
      </c>
      <c r="AX98" s="38">
        <f t="shared" si="87"/>
        <v>0</v>
      </c>
      <c r="AY98" s="38">
        <f t="shared" si="87"/>
        <v>0</v>
      </c>
      <c r="AZ98" s="38">
        <f t="shared" si="87"/>
        <v>0</v>
      </c>
      <c r="BA98" s="38">
        <f t="shared" si="87"/>
        <v>0</v>
      </c>
      <c r="BB98" s="38">
        <f t="shared" si="87"/>
        <v>0</v>
      </c>
      <c r="BC98" s="38">
        <f t="shared" si="87"/>
        <v>0</v>
      </c>
      <c r="BD98" s="38">
        <f t="shared" si="87"/>
        <v>0</v>
      </c>
      <c r="BE98" s="38">
        <f t="shared" si="87"/>
        <v>0</v>
      </c>
      <c r="BF98" s="38">
        <f t="shared" si="87"/>
        <v>0</v>
      </c>
      <c r="BG98" s="38">
        <f t="shared" si="87"/>
        <v>0</v>
      </c>
      <c r="BH98" s="38">
        <f t="shared" si="87"/>
        <v>0</v>
      </c>
      <c r="BI98" s="38">
        <f t="shared" si="87"/>
        <v>0</v>
      </c>
      <c r="BJ98" s="38">
        <f t="shared" si="87"/>
        <v>0</v>
      </c>
      <c r="BK98" s="38">
        <f t="shared" si="87"/>
        <v>0</v>
      </c>
      <c r="BL98" s="38">
        <f t="shared" si="87"/>
        <v>0</v>
      </c>
      <c r="BM98" s="38">
        <f t="shared" si="87"/>
        <v>0</v>
      </c>
      <c r="BN98" s="38">
        <f t="shared" si="87"/>
        <v>0</v>
      </c>
      <c r="BO98" s="38">
        <f t="shared" si="87"/>
        <v>0</v>
      </c>
      <c r="BP98" s="38">
        <f t="shared" si="87"/>
        <v>0</v>
      </c>
      <c r="BQ98" s="38">
        <f t="shared" si="87"/>
        <v>0</v>
      </c>
      <c r="BR98" s="38">
        <f t="shared" si="87"/>
        <v>0</v>
      </c>
      <c r="BS98" s="38">
        <f t="shared" si="87"/>
        <v>0</v>
      </c>
      <c r="BT98" s="38">
        <f t="shared" si="87"/>
        <v>0</v>
      </c>
      <c r="BU98" s="38">
        <f t="shared" si="87"/>
        <v>0</v>
      </c>
      <c r="BV98" s="38">
        <f t="shared" si="87"/>
        <v>0</v>
      </c>
      <c r="BX98" s="38">
        <f t="shared" ref="BX98:CI98" si="88">IF(AND(BX52=1,BW52=0), 1,0)</f>
        <v>0</v>
      </c>
      <c r="BY98" s="38">
        <f t="shared" si="88"/>
        <v>0</v>
      </c>
      <c r="BZ98" s="38">
        <f t="shared" si="88"/>
        <v>0</v>
      </c>
      <c r="CA98" s="38">
        <f t="shared" si="88"/>
        <v>0</v>
      </c>
      <c r="CB98" s="38">
        <f t="shared" si="88"/>
        <v>0</v>
      </c>
      <c r="CC98" s="38">
        <f t="shared" si="88"/>
        <v>0</v>
      </c>
      <c r="CD98" s="38">
        <f t="shared" si="88"/>
        <v>0</v>
      </c>
      <c r="CE98" s="38">
        <f t="shared" si="88"/>
        <v>0</v>
      </c>
      <c r="CF98" s="38">
        <f t="shared" si="88"/>
        <v>0</v>
      </c>
      <c r="CG98" s="38">
        <f t="shared" si="88"/>
        <v>0</v>
      </c>
      <c r="CH98" s="38">
        <f t="shared" si="88"/>
        <v>0</v>
      </c>
      <c r="CI98" s="38">
        <f t="shared" si="88"/>
        <v>0</v>
      </c>
      <c r="CK98" s="11"/>
      <c r="CM98" s="11"/>
      <c r="EX98" s="10" t="str">
        <f t="shared" si="55"/>
        <v/>
      </c>
    </row>
    <row r="99" spans="1:154" x14ac:dyDescent="0.35">
      <c r="B99" t="str">
        <f ca="1">Loans!B$21</f>
        <v>Loan 9</v>
      </c>
      <c r="D99" s="51">
        <f>Loans!D$21</f>
        <v>0</v>
      </c>
      <c r="E99" s="117" t="str">
        <f>IF(Loans!J$21=0, "", Loans!J$21)</f>
        <v/>
      </c>
      <c r="F99" s="117" t="str">
        <f>IF(Loans!K$21=0, "", Loans!K$21)</f>
        <v/>
      </c>
      <c r="V99" s="38">
        <f t="shared" si="71"/>
        <v>0</v>
      </c>
      <c r="W99" s="38">
        <f t="shared" si="72"/>
        <v>0</v>
      </c>
      <c r="X99" s="38">
        <f t="shared" si="72"/>
        <v>0</v>
      </c>
      <c r="Y99" s="38">
        <f t="shared" si="72"/>
        <v>0</v>
      </c>
      <c r="AA99" s="38">
        <f t="shared" ref="AA99:BV99" si="89">IF(AND(AA53=1,Z53=0), 1,0)</f>
        <v>0</v>
      </c>
      <c r="AB99" s="38">
        <f t="shared" si="89"/>
        <v>0</v>
      </c>
      <c r="AC99" s="38">
        <f t="shared" si="89"/>
        <v>0</v>
      </c>
      <c r="AD99" s="38">
        <f t="shared" si="89"/>
        <v>0</v>
      </c>
      <c r="AE99" s="38">
        <f t="shared" si="89"/>
        <v>0</v>
      </c>
      <c r="AF99" s="38">
        <f t="shared" si="89"/>
        <v>0</v>
      </c>
      <c r="AG99" s="38">
        <f t="shared" si="89"/>
        <v>0</v>
      </c>
      <c r="AH99" s="38">
        <f t="shared" si="89"/>
        <v>0</v>
      </c>
      <c r="AI99" s="38">
        <f t="shared" si="89"/>
        <v>0</v>
      </c>
      <c r="AJ99" s="38">
        <f t="shared" si="89"/>
        <v>0</v>
      </c>
      <c r="AK99" s="38">
        <f t="shared" si="89"/>
        <v>0</v>
      </c>
      <c r="AL99" s="38">
        <f t="shared" si="89"/>
        <v>0</v>
      </c>
      <c r="AM99" s="38">
        <f t="shared" si="89"/>
        <v>0</v>
      </c>
      <c r="AN99" s="38">
        <f t="shared" si="89"/>
        <v>0</v>
      </c>
      <c r="AO99" s="38">
        <f t="shared" si="89"/>
        <v>0</v>
      </c>
      <c r="AP99" s="38">
        <f t="shared" si="89"/>
        <v>0</v>
      </c>
      <c r="AQ99" s="38">
        <f t="shared" si="89"/>
        <v>0</v>
      </c>
      <c r="AR99" s="38">
        <f t="shared" si="89"/>
        <v>0</v>
      </c>
      <c r="AS99" s="38">
        <f t="shared" si="89"/>
        <v>0</v>
      </c>
      <c r="AT99" s="38">
        <f t="shared" si="89"/>
        <v>0</v>
      </c>
      <c r="AU99" s="38">
        <f t="shared" si="89"/>
        <v>0</v>
      </c>
      <c r="AV99" s="38">
        <f t="shared" si="89"/>
        <v>0</v>
      </c>
      <c r="AW99" s="38">
        <f t="shared" si="89"/>
        <v>0</v>
      </c>
      <c r="AX99" s="38">
        <f t="shared" si="89"/>
        <v>0</v>
      </c>
      <c r="AY99" s="38">
        <f t="shared" si="89"/>
        <v>0</v>
      </c>
      <c r="AZ99" s="38">
        <f t="shared" si="89"/>
        <v>0</v>
      </c>
      <c r="BA99" s="38">
        <f t="shared" si="89"/>
        <v>0</v>
      </c>
      <c r="BB99" s="38">
        <f t="shared" si="89"/>
        <v>0</v>
      </c>
      <c r="BC99" s="38">
        <f t="shared" si="89"/>
        <v>0</v>
      </c>
      <c r="BD99" s="38">
        <f t="shared" si="89"/>
        <v>0</v>
      </c>
      <c r="BE99" s="38">
        <f t="shared" si="89"/>
        <v>0</v>
      </c>
      <c r="BF99" s="38">
        <f t="shared" si="89"/>
        <v>0</v>
      </c>
      <c r="BG99" s="38">
        <f t="shared" si="89"/>
        <v>0</v>
      </c>
      <c r="BH99" s="38">
        <f t="shared" si="89"/>
        <v>0</v>
      </c>
      <c r="BI99" s="38">
        <f t="shared" si="89"/>
        <v>0</v>
      </c>
      <c r="BJ99" s="38">
        <f t="shared" si="89"/>
        <v>0</v>
      </c>
      <c r="BK99" s="38">
        <f t="shared" si="89"/>
        <v>0</v>
      </c>
      <c r="BL99" s="38">
        <f t="shared" si="89"/>
        <v>0</v>
      </c>
      <c r="BM99" s="38">
        <f t="shared" si="89"/>
        <v>0</v>
      </c>
      <c r="BN99" s="38">
        <f t="shared" si="89"/>
        <v>0</v>
      </c>
      <c r="BO99" s="38">
        <f t="shared" si="89"/>
        <v>0</v>
      </c>
      <c r="BP99" s="38">
        <f t="shared" si="89"/>
        <v>0</v>
      </c>
      <c r="BQ99" s="38">
        <f t="shared" si="89"/>
        <v>0</v>
      </c>
      <c r="BR99" s="38">
        <f t="shared" si="89"/>
        <v>0</v>
      </c>
      <c r="BS99" s="38">
        <f t="shared" si="89"/>
        <v>0</v>
      </c>
      <c r="BT99" s="38">
        <f t="shared" si="89"/>
        <v>0</v>
      </c>
      <c r="BU99" s="38">
        <f t="shared" si="89"/>
        <v>0</v>
      </c>
      <c r="BV99" s="38">
        <f t="shared" si="89"/>
        <v>0</v>
      </c>
      <c r="BX99" s="38">
        <f t="shared" ref="BX99:CI99" si="90">IF(AND(BX53=1,BW53=0), 1,0)</f>
        <v>0</v>
      </c>
      <c r="BY99" s="38">
        <f t="shared" si="90"/>
        <v>0</v>
      </c>
      <c r="BZ99" s="38">
        <f t="shared" si="90"/>
        <v>0</v>
      </c>
      <c r="CA99" s="38">
        <f t="shared" si="90"/>
        <v>0</v>
      </c>
      <c r="CB99" s="38">
        <f t="shared" si="90"/>
        <v>0</v>
      </c>
      <c r="CC99" s="38">
        <f t="shared" si="90"/>
        <v>0</v>
      </c>
      <c r="CD99" s="38">
        <f t="shared" si="90"/>
        <v>0</v>
      </c>
      <c r="CE99" s="38">
        <f t="shared" si="90"/>
        <v>0</v>
      </c>
      <c r="CF99" s="38">
        <f t="shared" si="90"/>
        <v>0</v>
      </c>
      <c r="CG99" s="38">
        <f t="shared" si="90"/>
        <v>0</v>
      </c>
      <c r="CH99" s="38">
        <f t="shared" si="90"/>
        <v>0</v>
      </c>
      <c r="CI99" s="38">
        <f t="shared" si="90"/>
        <v>0</v>
      </c>
      <c r="CK99" s="11"/>
      <c r="CM99" s="11"/>
      <c r="EX99" s="10" t="str">
        <f t="shared" si="55"/>
        <v/>
      </c>
    </row>
    <row r="100" spans="1:154" x14ac:dyDescent="0.35">
      <c r="B100" t="str">
        <f ca="1">Loans!B$22</f>
        <v>Loan 10</v>
      </c>
      <c r="D100" s="51">
        <f>Loans!D$22</f>
        <v>0</v>
      </c>
      <c r="E100" s="117" t="str">
        <f>IF(Loans!J$22=0, "", Loans!J$22)</f>
        <v/>
      </c>
      <c r="F100" s="117" t="str">
        <f>IF(Loans!K$22=0, "", Loans!K$22)</f>
        <v/>
      </c>
      <c r="V100" s="38">
        <f t="shared" si="71"/>
        <v>0</v>
      </c>
      <c r="W100" s="38">
        <f t="shared" si="72"/>
        <v>0</v>
      </c>
      <c r="X100" s="38">
        <f t="shared" si="72"/>
        <v>0</v>
      </c>
      <c r="Y100" s="38">
        <f t="shared" si="72"/>
        <v>0</v>
      </c>
      <c r="AA100" s="38">
        <f t="shared" ref="AA100:BV100" si="91">IF(AND(AA54=1,Z54=0), 1,0)</f>
        <v>0</v>
      </c>
      <c r="AB100" s="38">
        <f t="shared" si="91"/>
        <v>0</v>
      </c>
      <c r="AC100" s="38">
        <f t="shared" si="91"/>
        <v>0</v>
      </c>
      <c r="AD100" s="38">
        <f t="shared" si="91"/>
        <v>0</v>
      </c>
      <c r="AE100" s="38">
        <f t="shared" si="91"/>
        <v>0</v>
      </c>
      <c r="AF100" s="38">
        <f t="shared" si="91"/>
        <v>0</v>
      </c>
      <c r="AG100" s="38">
        <f t="shared" si="91"/>
        <v>0</v>
      </c>
      <c r="AH100" s="38">
        <f t="shared" si="91"/>
        <v>0</v>
      </c>
      <c r="AI100" s="38">
        <f t="shared" si="91"/>
        <v>0</v>
      </c>
      <c r="AJ100" s="38">
        <f t="shared" si="91"/>
        <v>0</v>
      </c>
      <c r="AK100" s="38">
        <f t="shared" si="91"/>
        <v>0</v>
      </c>
      <c r="AL100" s="38">
        <f t="shared" si="91"/>
        <v>0</v>
      </c>
      <c r="AM100" s="38">
        <f t="shared" si="91"/>
        <v>0</v>
      </c>
      <c r="AN100" s="38">
        <f t="shared" si="91"/>
        <v>0</v>
      </c>
      <c r="AO100" s="38">
        <f t="shared" si="91"/>
        <v>0</v>
      </c>
      <c r="AP100" s="38">
        <f t="shared" si="91"/>
        <v>0</v>
      </c>
      <c r="AQ100" s="38">
        <f t="shared" si="91"/>
        <v>0</v>
      </c>
      <c r="AR100" s="38">
        <f t="shared" si="91"/>
        <v>0</v>
      </c>
      <c r="AS100" s="38">
        <f t="shared" si="91"/>
        <v>0</v>
      </c>
      <c r="AT100" s="38">
        <f t="shared" si="91"/>
        <v>0</v>
      </c>
      <c r="AU100" s="38">
        <f t="shared" si="91"/>
        <v>0</v>
      </c>
      <c r="AV100" s="38">
        <f t="shared" si="91"/>
        <v>0</v>
      </c>
      <c r="AW100" s="38">
        <f t="shared" si="91"/>
        <v>0</v>
      </c>
      <c r="AX100" s="38">
        <f t="shared" si="91"/>
        <v>0</v>
      </c>
      <c r="AY100" s="38">
        <f t="shared" si="91"/>
        <v>0</v>
      </c>
      <c r="AZ100" s="38">
        <f t="shared" si="91"/>
        <v>0</v>
      </c>
      <c r="BA100" s="38">
        <f t="shared" si="91"/>
        <v>0</v>
      </c>
      <c r="BB100" s="38">
        <f t="shared" si="91"/>
        <v>0</v>
      </c>
      <c r="BC100" s="38">
        <f t="shared" si="91"/>
        <v>0</v>
      </c>
      <c r="BD100" s="38">
        <f t="shared" si="91"/>
        <v>0</v>
      </c>
      <c r="BE100" s="38">
        <f t="shared" si="91"/>
        <v>0</v>
      </c>
      <c r="BF100" s="38">
        <f t="shared" si="91"/>
        <v>0</v>
      </c>
      <c r="BG100" s="38">
        <f t="shared" si="91"/>
        <v>0</v>
      </c>
      <c r="BH100" s="38">
        <f t="shared" si="91"/>
        <v>0</v>
      </c>
      <c r="BI100" s="38">
        <f t="shared" si="91"/>
        <v>0</v>
      </c>
      <c r="BJ100" s="38">
        <f t="shared" si="91"/>
        <v>0</v>
      </c>
      <c r="BK100" s="38">
        <f t="shared" si="91"/>
        <v>0</v>
      </c>
      <c r="BL100" s="38">
        <f t="shared" si="91"/>
        <v>0</v>
      </c>
      <c r="BM100" s="38">
        <f t="shared" si="91"/>
        <v>0</v>
      </c>
      <c r="BN100" s="38">
        <f t="shared" si="91"/>
        <v>0</v>
      </c>
      <c r="BO100" s="38">
        <f t="shared" si="91"/>
        <v>0</v>
      </c>
      <c r="BP100" s="38">
        <f t="shared" si="91"/>
        <v>0</v>
      </c>
      <c r="BQ100" s="38">
        <f t="shared" si="91"/>
        <v>0</v>
      </c>
      <c r="BR100" s="38">
        <f t="shared" si="91"/>
        <v>0</v>
      </c>
      <c r="BS100" s="38">
        <f t="shared" si="91"/>
        <v>0</v>
      </c>
      <c r="BT100" s="38">
        <f t="shared" si="91"/>
        <v>0</v>
      </c>
      <c r="BU100" s="38">
        <f t="shared" si="91"/>
        <v>0</v>
      </c>
      <c r="BV100" s="38">
        <f t="shared" si="91"/>
        <v>0</v>
      </c>
      <c r="BX100" s="38">
        <f t="shared" ref="BX100:CI100" si="92">IF(AND(BX54=1,BW54=0), 1,0)</f>
        <v>0</v>
      </c>
      <c r="BY100" s="38">
        <f t="shared" si="92"/>
        <v>0</v>
      </c>
      <c r="BZ100" s="38">
        <f t="shared" si="92"/>
        <v>0</v>
      </c>
      <c r="CA100" s="38">
        <f t="shared" si="92"/>
        <v>0</v>
      </c>
      <c r="CB100" s="38">
        <f t="shared" si="92"/>
        <v>0</v>
      </c>
      <c r="CC100" s="38">
        <f t="shared" si="92"/>
        <v>0</v>
      </c>
      <c r="CD100" s="38">
        <f t="shared" si="92"/>
        <v>0</v>
      </c>
      <c r="CE100" s="38">
        <f t="shared" si="92"/>
        <v>0</v>
      </c>
      <c r="CF100" s="38">
        <f t="shared" si="92"/>
        <v>0</v>
      </c>
      <c r="CG100" s="38">
        <f t="shared" si="92"/>
        <v>0</v>
      </c>
      <c r="CH100" s="38">
        <f t="shared" si="92"/>
        <v>0</v>
      </c>
      <c r="CI100" s="38">
        <f t="shared" si="92"/>
        <v>0</v>
      </c>
      <c r="CK100" s="11"/>
      <c r="CM100" s="11"/>
      <c r="EX100" s="10" t="str">
        <f t="shared" si="55"/>
        <v/>
      </c>
    </row>
    <row r="101" spans="1:154" x14ac:dyDescent="0.35">
      <c r="B101" t="str">
        <f ca="1">Loans!B$23</f>
        <v>Loan 11</v>
      </c>
      <c r="D101" s="51">
        <f>Loans!D$23</f>
        <v>0</v>
      </c>
      <c r="E101" s="117" t="str">
        <f>IF(Loans!J$23=0, "", Loans!J$23)</f>
        <v/>
      </c>
      <c r="F101" s="117" t="str">
        <f>IF(Loans!K$23=0, "", Loans!K$23)</f>
        <v/>
      </c>
      <c r="V101" s="38">
        <f t="shared" si="71"/>
        <v>0</v>
      </c>
      <c r="W101" s="38">
        <f t="shared" si="72"/>
        <v>0</v>
      </c>
      <c r="X101" s="38">
        <f t="shared" si="72"/>
        <v>0</v>
      </c>
      <c r="Y101" s="38">
        <f t="shared" si="72"/>
        <v>0</v>
      </c>
      <c r="AA101" s="38">
        <f t="shared" ref="AA101:BV101" si="93">IF(AND(AA55=1,Z55=0), 1,0)</f>
        <v>0</v>
      </c>
      <c r="AB101" s="38">
        <f t="shared" si="93"/>
        <v>0</v>
      </c>
      <c r="AC101" s="38">
        <f t="shared" si="93"/>
        <v>0</v>
      </c>
      <c r="AD101" s="38">
        <f t="shared" si="93"/>
        <v>0</v>
      </c>
      <c r="AE101" s="38">
        <f t="shared" si="93"/>
        <v>0</v>
      </c>
      <c r="AF101" s="38">
        <f t="shared" si="93"/>
        <v>0</v>
      </c>
      <c r="AG101" s="38">
        <f t="shared" si="93"/>
        <v>0</v>
      </c>
      <c r="AH101" s="38">
        <f t="shared" si="93"/>
        <v>0</v>
      </c>
      <c r="AI101" s="38">
        <f t="shared" si="93"/>
        <v>0</v>
      </c>
      <c r="AJ101" s="38">
        <f t="shared" si="93"/>
        <v>0</v>
      </c>
      <c r="AK101" s="38">
        <f t="shared" si="93"/>
        <v>0</v>
      </c>
      <c r="AL101" s="38">
        <f t="shared" si="93"/>
        <v>0</v>
      </c>
      <c r="AM101" s="38">
        <f t="shared" si="93"/>
        <v>0</v>
      </c>
      <c r="AN101" s="38">
        <f t="shared" si="93"/>
        <v>0</v>
      </c>
      <c r="AO101" s="38">
        <f t="shared" si="93"/>
        <v>0</v>
      </c>
      <c r="AP101" s="38">
        <f t="shared" si="93"/>
        <v>0</v>
      </c>
      <c r="AQ101" s="38">
        <f t="shared" si="93"/>
        <v>0</v>
      </c>
      <c r="AR101" s="38">
        <f t="shared" si="93"/>
        <v>0</v>
      </c>
      <c r="AS101" s="38">
        <f t="shared" si="93"/>
        <v>0</v>
      </c>
      <c r="AT101" s="38">
        <f t="shared" si="93"/>
        <v>0</v>
      </c>
      <c r="AU101" s="38">
        <f t="shared" si="93"/>
        <v>0</v>
      </c>
      <c r="AV101" s="38">
        <f t="shared" si="93"/>
        <v>0</v>
      </c>
      <c r="AW101" s="38">
        <f t="shared" si="93"/>
        <v>0</v>
      </c>
      <c r="AX101" s="38">
        <f t="shared" si="93"/>
        <v>0</v>
      </c>
      <c r="AY101" s="38">
        <f t="shared" si="93"/>
        <v>0</v>
      </c>
      <c r="AZ101" s="38">
        <f t="shared" si="93"/>
        <v>0</v>
      </c>
      <c r="BA101" s="38">
        <f t="shared" si="93"/>
        <v>0</v>
      </c>
      <c r="BB101" s="38">
        <f t="shared" si="93"/>
        <v>0</v>
      </c>
      <c r="BC101" s="38">
        <f t="shared" si="93"/>
        <v>0</v>
      </c>
      <c r="BD101" s="38">
        <f t="shared" si="93"/>
        <v>0</v>
      </c>
      <c r="BE101" s="38">
        <f t="shared" si="93"/>
        <v>0</v>
      </c>
      <c r="BF101" s="38">
        <f t="shared" si="93"/>
        <v>0</v>
      </c>
      <c r="BG101" s="38">
        <f t="shared" si="93"/>
        <v>0</v>
      </c>
      <c r="BH101" s="38">
        <f t="shared" si="93"/>
        <v>0</v>
      </c>
      <c r="BI101" s="38">
        <f t="shared" si="93"/>
        <v>0</v>
      </c>
      <c r="BJ101" s="38">
        <f t="shared" si="93"/>
        <v>0</v>
      </c>
      <c r="BK101" s="38">
        <f t="shared" si="93"/>
        <v>0</v>
      </c>
      <c r="BL101" s="38">
        <f t="shared" si="93"/>
        <v>0</v>
      </c>
      <c r="BM101" s="38">
        <f t="shared" si="93"/>
        <v>0</v>
      </c>
      <c r="BN101" s="38">
        <f t="shared" si="93"/>
        <v>0</v>
      </c>
      <c r="BO101" s="38">
        <f t="shared" si="93"/>
        <v>0</v>
      </c>
      <c r="BP101" s="38">
        <f t="shared" si="93"/>
        <v>0</v>
      </c>
      <c r="BQ101" s="38">
        <f t="shared" si="93"/>
        <v>0</v>
      </c>
      <c r="BR101" s="38">
        <f t="shared" si="93"/>
        <v>0</v>
      </c>
      <c r="BS101" s="38">
        <f t="shared" si="93"/>
        <v>0</v>
      </c>
      <c r="BT101" s="38">
        <f t="shared" si="93"/>
        <v>0</v>
      </c>
      <c r="BU101" s="38">
        <f t="shared" si="93"/>
        <v>0</v>
      </c>
      <c r="BV101" s="38">
        <f t="shared" si="93"/>
        <v>0</v>
      </c>
      <c r="BX101" s="38">
        <f t="shared" ref="BX101:CI101" si="94">IF(AND(BX55=1,BW55=0), 1,0)</f>
        <v>0</v>
      </c>
      <c r="BY101" s="38">
        <f t="shared" si="94"/>
        <v>0</v>
      </c>
      <c r="BZ101" s="38">
        <f t="shared" si="94"/>
        <v>0</v>
      </c>
      <c r="CA101" s="38">
        <f t="shared" si="94"/>
        <v>0</v>
      </c>
      <c r="CB101" s="38">
        <f t="shared" si="94"/>
        <v>0</v>
      </c>
      <c r="CC101" s="38">
        <f t="shared" si="94"/>
        <v>0</v>
      </c>
      <c r="CD101" s="38">
        <f t="shared" si="94"/>
        <v>0</v>
      </c>
      <c r="CE101" s="38">
        <f t="shared" si="94"/>
        <v>0</v>
      </c>
      <c r="CF101" s="38">
        <f t="shared" si="94"/>
        <v>0</v>
      </c>
      <c r="CG101" s="38">
        <f t="shared" si="94"/>
        <v>0</v>
      </c>
      <c r="CH101" s="38">
        <f t="shared" si="94"/>
        <v>0</v>
      </c>
      <c r="CI101" s="38">
        <f t="shared" si="94"/>
        <v>0</v>
      </c>
      <c r="CK101" s="11"/>
      <c r="CM101" s="11"/>
      <c r="EX101" s="10" t="str">
        <f t="shared" si="55"/>
        <v/>
      </c>
    </row>
    <row r="102" spans="1:154" x14ac:dyDescent="0.35">
      <c r="B102" t="str">
        <f ca="1">Loans!B$24</f>
        <v>Loan 12</v>
      </c>
      <c r="D102" s="51">
        <f>Loans!D$24</f>
        <v>0</v>
      </c>
      <c r="E102" s="117" t="str">
        <f>IF(Loans!J$24=0, "", Loans!J$24)</f>
        <v/>
      </c>
      <c r="F102" s="117" t="str">
        <f>IF(Loans!K$24=0, "", Loans!K$24)</f>
        <v/>
      </c>
      <c r="V102" s="38">
        <f t="shared" si="71"/>
        <v>0</v>
      </c>
      <c r="W102" s="38">
        <f t="shared" si="72"/>
        <v>0</v>
      </c>
      <c r="X102" s="38">
        <f t="shared" si="72"/>
        <v>0</v>
      </c>
      <c r="Y102" s="38">
        <f t="shared" si="72"/>
        <v>0</v>
      </c>
      <c r="AA102" s="38">
        <f t="shared" ref="AA102:BV102" si="95">IF(AND(AA56=1,Z56=0), 1,0)</f>
        <v>0</v>
      </c>
      <c r="AB102" s="38">
        <f t="shared" si="95"/>
        <v>0</v>
      </c>
      <c r="AC102" s="38">
        <f t="shared" si="95"/>
        <v>0</v>
      </c>
      <c r="AD102" s="38">
        <f t="shared" si="95"/>
        <v>0</v>
      </c>
      <c r="AE102" s="38">
        <f t="shared" si="95"/>
        <v>0</v>
      </c>
      <c r="AF102" s="38">
        <f t="shared" si="95"/>
        <v>0</v>
      </c>
      <c r="AG102" s="38">
        <f t="shared" si="95"/>
        <v>0</v>
      </c>
      <c r="AH102" s="38">
        <f t="shared" si="95"/>
        <v>0</v>
      </c>
      <c r="AI102" s="38">
        <f t="shared" si="95"/>
        <v>0</v>
      </c>
      <c r="AJ102" s="38">
        <f t="shared" si="95"/>
        <v>0</v>
      </c>
      <c r="AK102" s="38">
        <f t="shared" si="95"/>
        <v>0</v>
      </c>
      <c r="AL102" s="38">
        <f t="shared" si="95"/>
        <v>0</v>
      </c>
      <c r="AM102" s="38">
        <f t="shared" si="95"/>
        <v>0</v>
      </c>
      <c r="AN102" s="38">
        <f t="shared" si="95"/>
        <v>0</v>
      </c>
      <c r="AO102" s="38">
        <f t="shared" si="95"/>
        <v>0</v>
      </c>
      <c r="AP102" s="38">
        <f t="shared" si="95"/>
        <v>0</v>
      </c>
      <c r="AQ102" s="38">
        <f t="shared" si="95"/>
        <v>0</v>
      </c>
      <c r="AR102" s="38">
        <f t="shared" si="95"/>
        <v>0</v>
      </c>
      <c r="AS102" s="38">
        <f t="shared" si="95"/>
        <v>0</v>
      </c>
      <c r="AT102" s="38">
        <f t="shared" si="95"/>
        <v>0</v>
      </c>
      <c r="AU102" s="38">
        <f t="shared" si="95"/>
        <v>0</v>
      </c>
      <c r="AV102" s="38">
        <f t="shared" si="95"/>
        <v>0</v>
      </c>
      <c r="AW102" s="38">
        <f t="shared" si="95"/>
        <v>0</v>
      </c>
      <c r="AX102" s="38">
        <f t="shared" si="95"/>
        <v>0</v>
      </c>
      <c r="AY102" s="38">
        <f t="shared" si="95"/>
        <v>0</v>
      </c>
      <c r="AZ102" s="38">
        <f t="shared" si="95"/>
        <v>0</v>
      </c>
      <c r="BA102" s="38">
        <f t="shared" si="95"/>
        <v>0</v>
      </c>
      <c r="BB102" s="38">
        <f t="shared" si="95"/>
        <v>0</v>
      </c>
      <c r="BC102" s="38">
        <f t="shared" si="95"/>
        <v>0</v>
      </c>
      <c r="BD102" s="38">
        <f t="shared" si="95"/>
        <v>0</v>
      </c>
      <c r="BE102" s="38">
        <f t="shared" si="95"/>
        <v>0</v>
      </c>
      <c r="BF102" s="38">
        <f t="shared" si="95"/>
        <v>0</v>
      </c>
      <c r="BG102" s="38">
        <f t="shared" si="95"/>
        <v>0</v>
      </c>
      <c r="BH102" s="38">
        <f t="shared" si="95"/>
        <v>0</v>
      </c>
      <c r="BI102" s="38">
        <f t="shared" si="95"/>
        <v>0</v>
      </c>
      <c r="BJ102" s="38">
        <f t="shared" si="95"/>
        <v>0</v>
      </c>
      <c r="BK102" s="38">
        <f t="shared" si="95"/>
        <v>0</v>
      </c>
      <c r="BL102" s="38">
        <f t="shared" si="95"/>
        <v>0</v>
      </c>
      <c r="BM102" s="38">
        <f t="shared" si="95"/>
        <v>0</v>
      </c>
      <c r="BN102" s="38">
        <f t="shared" si="95"/>
        <v>0</v>
      </c>
      <c r="BO102" s="38">
        <f t="shared" si="95"/>
        <v>0</v>
      </c>
      <c r="BP102" s="38">
        <f t="shared" si="95"/>
        <v>0</v>
      </c>
      <c r="BQ102" s="38">
        <f t="shared" si="95"/>
        <v>0</v>
      </c>
      <c r="BR102" s="38">
        <f t="shared" si="95"/>
        <v>0</v>
      </c>
      <c r="BS102" s="38">
        <f t="shared" si="95"/>
        <v>0</v>
      </c>
      <c r="BT102" s="38">
        <f t="shared" si="95"/>
        <v>0</v>
      </c>
      <c r="BU102" s="38">
        <f t="shared" si="95"/>
        <v>0</v>
      </c>
      <c r="BV102" s="38">
        <f t="shared" si="95"/>
        <v>0</v>
      </c>
      <c r="BX102" s="38">
        <f t="shared" ref="BX102:CI102" si="96">IF(AND(BX56=1,BW56=0), 1,0)</f>
        <v>0</v>
      </c>
      <c r="BY102" s="38">
        <f t="shared" si="96"/>
        <v>0</v>
      </c>
      <c r="BZ102" s="38">
        <f t="shared" si="96"/>
        <v>0</v>
      </c>
      <c r="CA102" s="38">
        <f t="shared" si="96"/>
        <v>0</v>
      </c>
      <c r="CB102" s="38">
        <f t="shared" si="96"/>
        <v>0</v>
      </c>
      <c r="CC102" s="38">
        <f t="shared" si="96"/>
        <v>0</v>
      </c>
      <c r="CD102" s="38">
        <f t="shared" si="96"/>
        <v>0</v>
      </c>
      <c r="CE102" s="38">
        <f t="shared" si="96"/>
        <v>0</v>
      </c>
      <c r="CF102" s="38">
        <f t="shared" si="96"/>
        <v>0</v>
      </c>
      <c r="CG102" s="38">
        <f t="shared" si="96"/>
        <v>0</v>
      </c>
      <c r="CH102" s="38">
        <f t="shared" si="96"/>
        <v>0</v>
      </c>
      <c r="CI102" s="38">
        <f t="shared" si="96"/>
        <v>0</v>
      </c>
      <c r="CK102" s="11"/>
      <c r="CM102" s="11"/>
      <c r="EX102" s="10" t="str">
        <f t="shared" si="55"/>
        <v/>
      </c>
    </row>
    <row r="103" spans="1:154" x14ac:dyDescent="0.35">
      <c r="B103" t="str">
        <f ca="1">Loans!B$25</f>
        <v>Loan 13</v>
      </c>
      <c r="D103" s="51">
        <f>Loans!D$25</f>
        <v>0</v>
      </c>
      <c r="E103" s="117" t="str">
        <f>IF(Loans!J$25=0, "", Loans!J$25)</f>
        <v/>
      </c>
      <c r="F103" s="117" t="str">
        <f>IF(Loans!K$25=0, "", Loans!K$25)</f>
        <v/>
      </c>
      <c r="V103" s="38">
        <f t="shared" si="71"/>
        <v>0</v>
      </c>
      <c r="W103" s="38">
        <f t="shared" si="72"/>
        <v>0</v>
      </c>
      <c r="X103" s="38">
        <f t="shared" si="72"/>
        <v>0</v>
      </c>
      <c r="Y103" s="38">
        <f t="shared" si="72"/>
        <v>0</v>
      </c>
      <c r="AA103" s="38">
        <f t="shared" ref="AA103:BV103" si="97">IF(AND(AA57=1,Z57=0), 1,0)</f>
        <v>0</v>
      </c>
      <c r="AB103" s="38">
        <f t="shared" si="97"/>
        <v>0</v>
      </c>
      <c r="AC103" s="38">
        <f t="shared" si="97"/>
        <v>0</v>
      </c>
      <c r="AD103" s="38">
        <f t="shared" si="97"/>
        <v>0</v>
      </c>
      <c r="AE103" s="38">
        <f t="shared" si="97"/>
        <v>0</v>
      </c>
      <c r="AF103" s="38">
        <f t="shared" si="97"/>
        <v>0</v>
      </c>
      <c r="AG103" s="38">
        <f t="shared" si="97"/>
        <v>0</v>
      </c>
      <c r="AH103" s="38">
        <f t="shared" si="97"/>
        <v>0</v>
      </c>
      <c r="AI103" s="38">
        <f t="shared" si="97"/>
        <v>0</v>
      </c>
      <c r="AJ103" s="38">
        <f t="shared" si="97"/>
        <v>0</v>
      </c>
      <c r="AK103" s="38">
        <f t="shared" si="97"/>
        <v>0</v>
      </c>
      <c r="AL103" s="38">
        <f t="shared" si="97"/>
        <v>0</v>
      </c>
      <c r="AM103" s="38">
        <f t="shared" si="97"/>
        <v>0</v>
      </c>
      <c r="AN103" s="38">
        <f t="shared" si="97"/>
        <v>0</v>
      </c>
      <c r="AO103" s="38">
        <f t="shared" si="97"/>
        <v>0</v>
      </c>
      <c r="AP103" s="38">
        <f t="shared" si="97"/>
        <v>0</v>
      </c>
      <c r="AQ103" s="38">
        <f t="shared" si="97"/>
        <v>0</v>
      </c>
      <c r="AR103" s="38">
        <f t="shared" si="97"/>
        <v>0</v>
      </c>
      <c r="AS103" s="38">
        <f t="shared" si="97"/>
        <v>0</v>
      </c>
      <c r="AT103" s="38">
        <f t="shared" si="97"/>
        <v>0</v>
      </c>
      <c r="AU103" s="38">
        <f t="shared" si="97"/>
        <v>0</v>
      </c>
      <c r="AV103" s="38">
        <f t="shared" si="97"/>
        <v>0</v>
      </c>
      <c r="AW103" s="38">
        <f t="shared" si="97"/>
        <v>0</v>
      </c>
      <c r="AX103" s="38">
        <f t="shared" si="97"/>
        <v>0</v>
      </c>
      <c r="AY103" s="38">
        <f t="shared" si="97"/>
        <v>0</v>
      </c>
      <c r="AZ103" s="38">
        <f t="shared" si="97"/>
        <v>0</v>
      </c>
      <c r="BA103" s="38">
        <f t="shared" si="97"/>
        <v>0</v>
      </c>
      <c r="BB103" s="38">
        <f t="shared" si="97"/>
        <v>0</v>
      </c>
      <c r="BC103" s="38">
        <f t="shared" si="97"/>
        <v>0</v>
      </c>
      <c r="BD103" s="38">
        <f t="shared" si="97"/>
        <v>0</v>
      </c>
      <c r="BE103" s="38">
        <f t="shared" si="97"/>
        <v>0</v>
      </c>
      <c r="BF103" s="38">
        <f t="shared" si="97"/>
        <v>0</v>
      </c>
      <c r="BG103" s="38">
        <f t="shared" si="97"/>
        <v>0</v>
      </c>
      <c r="BH103" s="38">
        <f t="shared" si="97"/>
        <v>0</v>
      </c>
      <c r="BI103" s="38">
        <f t="shared" si="97"/>
        <v>0</v>
      </c>
      <c r="BJ103" s="38">
        <f t="shared" si="97"/>
        <v>0</v>
      </c>
      <c r="BK103" s="38">
        <f t="shared" si="97"/>
        <v>0</v>
      </c>
      <c r="BL103" s="38">
        <f t="shared" si="97"/>
        <v>0</v>
      </c>
      <c r="BM103" s="38">
        <f t="shared" si="97"/>
        <v>0</v>
      </c>
      <c r="BN103" s="38">
        <f t="shared" si="97"/>
        <v>0</v>
      </c>
      <c r="BO103" s="38">
        <f t="shared" si="97"/>
        <v>0</v>
      </c>
      <c r="BP103" s="38">
        <f t="shared" si="97"/>
        <v>0</v>
      </c>
      <c r="BQ103" s="38">
        <f t="shared" si="97"/>
        <v>0</v>
      </c>
      <c r="BR103" s="38">
        <f t="shared" si="97"/>
        <v>0</v>
      </c>
      <c r="BS103" s="38">
        <f t="shared" si="97"/>
        <v>0</v>
      </c>
      <c r="BT103" s="38">
        <f t="shared" si="97"/>
        <v>0</v>
      </c>
      <c r="BU103" s="38">
        <f t="shared" si="97"/>
        <v>0</v>
      </c>
      <c r="BV103" s="38">
        <f t="shared" si="97"/>
        <v>0</v>
      </c>
      <c r="BX103" s="38">
        <f t="shared" ref="BX103:CI103" si="98">IF(AND(BX57=1,BW57=0), 1,0)</f>
        <v>0</v>
      </c>
      <c r="BY103" s="38">
        <f t="shared" si="98"/>
        <v>0</v>
      </c>
      <c r="BZ103" s="38">
        <f t="shared" si="98"/>
        <v>0</v>
      </c>
      <c r="CA103" s="38">
        <f t="shared" si="98"/>
        <v>0</v>
      </c>
      <c r="CB103" s="38">
        <f t="shared" si="98"/>
        <v>0</v>
      </c>
      <c r="CC103" s="38">
        <f t="shared" si="98"/>
        <v>0</v>
      </c>
      <c r="CD103" s="38">
        <f t="shared" si="98"/>
        <v>0</v>
      </c>
      <c r="CE103" s="38">
        <f t="shared" si="98"/>
        <v>0</v>
      </c>
      <c r="CF103" s="38">
        <f t="shared" si="98"/>
        <v>0</v>
      </c>
      <c r="CG103" s="38">
        <f t="shared" si="98"/>
        <v>0</v>
      </c>
      <c r="CH103" s="38">
        <f t="shared" si="98"/>
        <v>0</v>
      </c>
      <c r="CI103" s="38">
        <f t="shared" si="98"/>
        <v>0</v>
      </c>
      <c r="CK103" s="11"/>
      <c r="CM103" s="11"/>
      <c r="EX103" s="10" t="str">
        <f t="shared" si="55"/>
        <v/>
      </c>
    </row>
    <row r="104" spans="1:154" x14ac:dyDescent="0.35">
      <c r="B104" t="str">
        <f ca="1">Loans!B$26</f>
        <v>Loan 14</v>
      </c>
      <c r="D104" s="51">
        <f>Loans!D$26</f>
        <v>0</v>
      </c>
      <c r="E104" s="117" t="str">
        <f>IF(Loans!J$26=0, "", Loans!J$26)</f>
        <v/>
      </c>
      <c r="F104" s="117" t="str">
        <f>IF(Loans!K$26=0, "", Loans!K$26)</f>
        <v/>
      </c>
      <c r="V104" s="38">
        <f t="shared" si="71"/>
        <v>0</v>
      </c>
      <c r="W104" s="38">
        <f t="shared" si="72"/>
        <v>0</v>
      </c>
      <c r="X104" s="38">
        <f t="shared" si="72"/>
        <v>0</v>
      </c>
      <c r="Y104" s="38">
        <f t="shared" si="72"/>
        <v>0</v>
      </c>
      <c r="AA104" s="38">
        <f t="shared" ref="AA104:BV104" si="99">IF(AND(AA58=1,Z58=0), 1,0)</f>
        <v>0</v>
      </c>
      <c r="AB104" s="38">
        <f t="shared" si="99"/>
        <v>0</v>
      </c>
      <c r="AC104" s="38">
        <f t="shared" si="99"/>
        <v>0</v>
      </c>
      <c r="AD104" s="38">
        <f t="shared" si="99"/>
        <v>0</v>
      </c>
      <c r="AE104" s="38">
        <f t="shared" si="99"/>
        <v>0</v>
      </c>
      <c r="AF104" s="38">
        <f t="shared" si="99"/>
        <v>0</v>
      </c>
      <c r="AG104" s="38">
        <f t="shared" si="99"/>
        <v>0</v>
      </c>
      <c r="AH104" s="38">
        <f t="shared" si="99"/>
        <v>0</v>
      </c>
      <c r="AI104" s="38">
        <f t="shared" si="99"/>
        <v>0</v>
      </c>
      <c r="AJ104" s="38">
        <f t="shared" si="99"/>
        <v>0</v>
      </c>
      <c r="AK104" s="38">
        <f t="shared" si="99"/>
        <v>0</v>
      </c>
      <c r="AL104" s="38">
        <f t="shared" si="99"/>
        <v>0</v>
      </c>
      <c r="AM104" s="38">
        <f t="shared" si="99"/>
        <v>0</v>
      </c>
      <c r="AN104" s="38">
        <f t="shared" si="99"/>
        <v>0</v>
      </c>
      <c r="AO104" s="38">
        <f t="shared" si="99"/>
        <v>0</v>
      </c>
      <c r="AP104" s="38">
        <f t="shared" si="99"/>
        <v>0</v>
      </c>
      <c r="AQ104" s="38">
        <f t="shared" si="99"/>
        <v>0</v>
      </c>
      <c r="AR104" s="38">
        <f t="shared" si="99"/>
        <v>0</v>
      </c>
      <c r="AS104" s="38">
        <f t="shared" si="99"/>
        <v>0</v>
      </c>
      <c r="AT104" s="38">
        <f t="shared" si="99"/>
        <v>0</v>
      </c>
      <c r="AU104" s="38">
        <f t="shared" si="99"/>
        <v>0</v>
      </c>
      <c r="AV104" s="38">
        <f t="shared" si="99"/>
        <v>0</v>
      </c>
      <c r="AW104" s="38">
        <f t="shared" si="99"/>
        <v>0</v>
      </c>
      <c r="AX104" s="38">
        <f t="shared" si="99"/>
        <v>0</v>
      </c>
      <c r="AY104" s="38">
        <f t="shared" si="99"/>
        <v>0</v>
      </c>
      <c r="AZ104" s="38">
        <f t="shared" si="99"/>
        <v>0</v>
      </c>
      <c r="BA104" s="38">
        <f t="shared" si="99"/>
        <v>0</v>
      </c>
      <c r="BB104" s="38">
        <f t="shared" si="99"/>
        <v>0</v>
      </c>
      <c r="BC104" s="38">
        <f t="shared" si="99"/>
        <v>0</v>
      </c>
      <c r="BD104" s="38">
        <f t="shared" si="99"/>
        <v>0</v>
      </c>
      <c r="BE104" s="38">
        <f t="shared" si="99"/>
        <v>0</v>
      </c>
      <c r="BF104" s="38">
        <f t="shared" si="99"/>
        <v>0</v>
      </c>
      <c r="BG104" s="38">
        <f t="shared" si="99"/>
        <v>0</v>
      </c>
      <c r="BH104" s="38">
        <f t="shared" si="99"/>
        <v>0</v>
      </c>
      <c r="BI104" s="38">
        <f t="shared" si="99"/>
        <v>0</v>
      </c>
      <c r="BJ104" s="38">
        <f t="shared" si="99"/>
        <v>0</v>
      </c>
      <c r="BK104" s="38">
        <f t="shared" si="99"/>
        <v>0</v>
      </c>
      <c r="BL104" s="38">
        <f t="shared" si="99"/>
        <v>0</v>
      </c>
      <c r="BM104" s="38">
        <f t="shared" si="99"/>
        <v>0</v>
      </c>
      <c r="BN104" s="38">
        <f t="shared" si="99"/>
        <v>0</v>
      </c>
      <c r="BO104" s="38">
        <f t="shared" si="99"/>
        <v>0</v>
      </c>
      <c r="BP104" s="38">
        <f t="shared" si="99"/>
        <v>0</v>
      </c>
      <c r="BQ104" s="38">
        <f t="shared" si="99"/>
        <v>0</v>
      </c>
      <c r="BR104" s="38">
        <f t="shared" si="99"/>
        <v>0</v>
      </c>
      <c r="BS104" s="38">
        <f t="shared" si="99"/>
        <v>0</v>
      </c>
      <c r="BT104" s="38">
        <f t="shared" si="99"/>
        <v>0</v>
      </c>
      <c r="BU104" s="38">
        <f t="shared" si="99"/>
        <v>0</v>
      </c>
      <c r="BV104" s="38">
        <f t="shared" si="99"/>
        <v>0</v>
      </c>
      <c r="BX104" s="38">
        <f t="shared" ref="BX104:CI104" si="100">IF(AND(BX58=1,BW58=0), 1,0)</f>
        <v>0</v>
      </c>
      <c r="BY104" s="38">
        <f t="shared" si="100"/>
        <v>0</v>
      </c>
      <c r="BZ104" s="38">
        <f t="shared" si="100"/>
        <v>0</v>
      </c>
      <c r="CA104" s="38">
        <f t="shared" si="100"/>
        <v>0</v>
      </c>
      <c r="CB104" s="38">
        <f t="shared" si="100"/>
        <v>0</v>
      </c>
      <c r="CC104" s="38">
        <f t="shared" si="100"/>
        <v>0</v>
      </c>
      <c r="CD104" s="38">
        <f t="shared" si="100"/>
        <v>0</v>
      </c>
      <c r="CE104" s="38">
        <f t="shared" si="100"/>
        <v>0</v>
      </c>
      <c r="CF104" s="38">
        <f t="shared" si="100"/>
        <v>0</v>
      </c>
      <c r="CG104" s="38">
        <f t="shared" si="100"/>
        <v>0</v>
      </c>
      <c r="CH104" s="38">
        <f t="shared" si="100"/>
        <v>0</v>
      </c>
      <c r="CI104" s="38">
        <f t="shared" si="100"/>
        <v>0</v>
      </c>
      <c r="CK104" s="11"/>
      <c r="CM104" s="11"/>
      <c r="EX104" s="10" t="str">
        <f t="shared" si="55"/>
        <v/>
      </c>
    </row>
    <row r="105" spans="1:154" x14ac:dyDescent="0.35">
      <c r="B105" t="str">
        <f ca="1">Loans!B$27</f>
        <v>Loan 15</v>
      </c>
      <c r="D105" s="51">
        <f>Loans!D$27</f>
        <v>0</v>
      </c>
      <c r="E105" s="117" t="str">
        <f>IF(Loans!J$27=0, "", Loans!J$27)</f>
        <v/>
      </c>
      <c r="F105" s="117" t="str">
        <f>IF(Loans!K$27=0, "", Loans!K$27)</f>
        <v/>
      </c>
      <c r="V105" s="38">
        <f t="shared" si="71"/>
        <v>0</v>
      </c>
      <c r="W105" s="38">
        <f t="shared" si="72"/>
        <v>0</v>
      </c>
      <c r="X105" s="38">
        <f t="shared" si="72"/>
        <v>0</v>
      </c>
      <c r="Y105" s="38">
        <f t="shared" si="72"/>
        <v>0</v>
      </c>
      <c r="AA105" s="38">
        <f t="shared" ref="AA105:BV105" si="101">IF(AND(AA59=1,Z59=0), 1,0)</f>
        <v>0</v>
      </c>
      <c r="AB105" s="38">
        <f t="shared" si="101"/>
        <v>0</v>
      </c>
      <c r="AC105" s="38">
        <f t="shared" si="101"/>
        <v>0</v>
      </c>
      <c r="AD105" s="38">
        <f t="shared" si="101"/>
        <v>0</v>
      </c>
      <c r="AE105" s="38">
        <f t="shared" si="101"/>
        <v>0</v>
      </c>
      <c r="AF105" s="38">
        <f t="shared" si="101"/>
        <v>0</v>
      </c>
      <c r="AG105" s="38">
        <f t="shared" si="101"/>
        <v>0</v>
      </c>
      <c r="AH105" s="38">
        <f t="shared" si="101"/>
        <v>0</v>
      </c>
      <c r="AI105" s="38">
        <f t="shared" si="101"/>
        <v>0</v>
      </c>
      <c r="AJ105" s="38">
        <f t="shared" si="101"/>
        <v>0</v>
      </c>
      <c r="AK105" s="38">
        <f t="shared" si="101"/>
        <v>0</v>
      </c>
      <c r="AL105" s="38">
        <f t="shared" si="101"/>
        <v>0</v>
      </c>
      <c r="AM105" s="38">
        <f t="shared" si="101"/>
        <v>0</v>
      </c>
      <c r="AN105" s="38">
        <f t="shared" si="101"/>
        <v>0</v>
      </c>
      <c r="AO105" s="38">
        <f t="shared" si="101"/>
        <v>0</v>
      </c>
      <c r="AP105" s="38">
        <f t="shared" si="101"/>
        <v>0</v>
      </c>
      <c r="AQ105" s="38">
        <f t="shared" si="101"/>
        <v>0</v>
      </c>
      <c r="AR105" s="38">
        <f t="shared" si="101"/>
        <v>0</v>
      </c>
      <c r="AS105" s="38">
        <f t="shared" si="101"/>
        <v>0</v>
      </c>
      <c r="AT105" s="38">
        <f t="shared" si="101"/>
        <v>0</v>
      </c>
      <c r="AU105" s="38">
        <f t="shared" si="101"/>
        <v>0</v>
      </c>
      <c r="AV105" s="38">
        <f t="shared" si="101"/>
        <v>0</v>
      </c>
      <c r="AW105" s="38">
        <f t="shared" si="101"/>
        <v>0</v>
      </c>
      <c r="AX105" s="38">
        <f t="shared" si="101"/>
        <v>0</v>
      </c>
      <c r="AY105" s="38">
        <f t="shared" si="101"/>
        <v>0</v>
      </c>
      <c r="AZ105" s="38">
        <f t="shared" si="101"/>
        <v>0</v>
      </c>
      <c r="BA105" s="38">
        <f t="shared" si="101"/>
        <v>0</v>
      </c>
      <c r="BB105" s="38">
        <f t="shared" si="101"/>
        <v>0</v>
      </c>
      <c r="BC105" s="38">
        <f t="shared" si="101"/>
        <v>0</v>
      </c>
      <c r="BD105" s="38">
        <f t="shared" si="101"/>
        <v>0</v>
      </c>
      <c r="BE105" s="38">
        <f t="shared" si="101"/>
        <v>0</v>
      </c>
      <c r="BF105" s="38">
        <f t="shared" si="101"/>
        <v>0</v>
      </c>
      <c r="BG105" s="38">
        <f t="shared" si="101"/>
        <v>0</v>
      </c>
      <c r="BH105" s="38">
        <f t="shared" si="101"/>
        <v>0</v>
      </c>
      <c r="BI105" s="38">
        <f t="shared" si="101"/>
        <v>0</v>
      </c>
      <c r="BJ105" s="38">
        <f t="shared" si="101"/>
        <v>0</v>
      </c>
      <c r="BK105" s="38">
        <f t="shared" si="101"/>
        <v>0</v>
      </c>
      <c r="BL105" s="38">
        <f t="shared" si="101"/>
        <v>0</v>
      </c>
      <c r="BM105" s="38">
        <f t="shared" si="101"/>
        <v>0</v>
      </c>
      <c r="BN105" s="38">
        <f t="shared" si="101"/>
        <v>0</v>
      </c>
      <c r="BO105" s="38">
        <f t="shared" si="101"/>
        <v>0</v>
      </c>
      <c r="BP105" s="38">
        <f t="shared" si="101"/>
        <v>0</v>
      </c>
      <c r="BQ105" s="38">
        <f t="shared" si="101"/>
        <v>0</v>
      </c>
      <c r="BR105" s="38">
        <f t="shared" si="101"/>
        <v>0</v>
      </c>
      <c r="BS105" s="38">
        <f t="shared" si="101"/>
        <v>0</v>
      </c>
      <c r="BT105" s="38">
        <f t="shared" si="101"/>
        <v>0</v>
      </c>
      <c r="BU105" s="38">
        <f t="shared" si="101"/>
        <v>0</v>
      </c>
      <c r="BV105" s="38">
        <f t="shared" si="101"/>
        <v>0</v>
      </c>
      <c r="BX105" s="38">
        <f t="shared" ref="BX105:CI105" si="102">IF(AND(BX59=1,BW59=0), 1,0)</f>
        <v>0</v>
      </c>
      <c r="BY105" s="38">
        <f t="shared" si="102"/>
        <v>0</v>
      </c>
      <c r="BZ105" s="38">
        <f t="shared" si="102"/>
        <v>0</v>
      </c>
      <c r="CA105" s="38">
        <f t="shared" si="102"/>
        <v>0</v>
      </c>
      <c r="CB105" s="38">
        <f t="shared" si="102"/>
        <v>0</v>
      </c>
      <c r="CC105" s="38">
        <f t="shared" si="102"/>
        <v>0</v>
      </c>
      <c r="CD105" s="38">
        <f t="shared" si="102"/>
        <v>0</v>
      </c>
      <c r="CE105" s="38">
        <f t="shared" si="102"/>
        <v>0</v>
      </c>
      <c r="CF105" s="38">
        <f t="shared" si="102"/>
        <v>0</v>
      </c>
      <c r="CG105" s="38">
        <f t="shared" si="102"/>
        <v>0</v>
      </c>
      <c r="CH105" s="38">
        <f t="shared" si="102"/>
        <v>0</v>
      </c>
      <c r="CI105" s="38">
        <f t="shared" si="102"/>
        <v>0</v>
      </c>
      <c r="CK105" s="11"/>
      <c r="CM105" s="11"/>
      <c r="EX105" s="10" t="str">
        <f t="shared" si="55"/>
        <v/>
      </c>
    </row>
    <row r="106" spans="1:154" x14ac:dyDescent="0.35">
      <c r="B106" t="str">
        <f ca="1">Loans!B$28</f>
        <v>Loan 16</v>
      </c>
      <c r="D106" s="51">
        <f>Loans!D$28</f>
        <v>0</v>
      </c>
      <c r="E106" s="117" t="str">
        <f>IF(Loans!J$28=0, "", Loans!J$28)</f>
        <v/>
      </c>
      <c r="F106" s="117" t="str">
        <f>IF(Loans!K$28=0, "", Loans!K$28)</f>
        <v/>
      </c>
      <c r="V106" s="38">
        <f t="shared" si="71"/>
        <v>0</v>
      </c>
      <c r="W106" s="38">
        <f t="shared" si="72"/>
        <v>0</v>
      </c>
      <c r="X106" s="38">
        <f t="shared" si="72"/>
        <v>0</v>
      </c>
      <c r="Y106" s="38">
        <f t="shared" si="72"/>
        <v>0</v>
      </c>
      <c r="AA106" s="38">
        <f t="shared" ref="AA106:BV106" si="103">IF(AND(AA60=1,Z60=0), 1,0)</f>
        <v>0</v>
      </c>
      <c r="AB106" s="38">
        <f t="shared" si="103"/>
        <v>0</v>
      </c>
      <c r="AC106" s="38">
        <f t="shared" si="103"/>
        <v>0</v>
      </c>
      <c r="AD106" s="38">
        <f t="shared" si="103"/>
        <v>0</v>
      </c>
      <c r="AE106" s="38">
        <f t="shared" si="103"/>
        <v>0</v>
      </c>
      <c r="AF106" s="38">
        <f t="shared" si="103"/>
        <v>0</v>
      </c>
      <c r="AG106" s="38">
        <f t="shared" si="103"/>
        <v>0</v>
      </c>
      <c r="AH106" s="38">
        <f t="shared" si="103"/>
        <v>0</v>
      </c>
      <c r="AI106" s="38">
        <f t="shared" si="103"/>
        <v>0</v>
      </c>
      <c r="AJ106" s="38">
        <f t="shared" si="103"/>
        <v>0</v>
      </c>
      <c r="AK106" s="38">
        <f t="shared" si="103"/>
        <v>0</v>
      </c>
      <c r="AL106" s="38">
        <f t="shared" si="103"/>
        <v>0</v>
      </c>
      <c r="AM106" s="38">
        <f t="shared" si="103"/>
        <v>0</v>
      </c>
      <c r="AN106" s="38">
        <f t="shared" si="103"/>
        <v>0</v>
      </c>
      <c r="AO106" s="38">
        <f t="shared" si="103"/>
        <v>0</v>
      </c>
      <c r="AP106" s="38">
        <f t="shared" si="103"/>
        <v>0</v>
      </c>
      <c r="AQ106" s="38">
        <f t="shared" si="103"/>
        <v>0</v>
      </c>
      <c r="AR106" s="38">
        <f t="shared" si="103"/>
        <v>0</v>
      </c>
      <c r="AS106" s="38">
        <f t="shared" si="103"/>
        <v>0</v>
      </c>
      <c r="AT106" s="38">
        <f t="shared" si="103"/>
        <v>0</v>
      </c>
      <c r="AU106" s="38">
        <f t="shared" si="103"/>
        <v>0</v>
      </c>
      <c r="AV106" s="38">
        <f t="shared" si="103"/>
        <v>0</v>
      </c>
      <c r="AW106" s="38">
        <f t="shared" si="103"/>
        <v>0</v>
      </c>
      <c r="AX106" s="38">
        <f t="shared" si="103"/>
        <v>0</v>
      </c>
      <c r="AY106" s="38">
        <f t="shared" si="103"/>
        <v>0</v>
      </c>
      <c r="AZ106" s="38">
        <f t="shared" si="103"/>
        <v>0</v>
      </c>
      <c r="BA106" s="38">
        <f t="shared" si="103"/>
        <v>0</v>
      </c>
      <c r="BB106" s="38">
        <f t="shared" si="103"/>
        <v>0</v>
      </c>
      <c r="BC106" s="38">
        <f t="shared" si="103"/>
        <v>0</v>
      </c>
      <c r="BD106" s="38">
        <f t="shared" si="103"/>
        <v>0</v>
      </c>
      <c r="BE106" s="38">
        <f t="shared" si="103"/>
        <v>0</v>
      </c>
      <c r="BF106" s="38">
        <f t="shared" si="103"/>
        <v>0</v>
      </c>
      <c r="BG106" s="38">
        <f t="shared" si="103"/>
        <v>0</v>
      </c>
      <c r="BH106" s="38">
        <f t="shared" si="103"/>
        <v>0</v>
      </c>
      <c r="BI106" s="38">
        <f t="shared" si="103"/>
        <v>0</v>
      </c>
      <c r="BJ106" s="38">
        <f t="shared" si="103"/>
        <v>0</v>
      </c>
      <c r="BK106" s="38">
        <f t="shared" si="103"/>
        <v>0</v>
      </c>
      <c r="BL106" s="38">
        <f t="shared" si="103"/>
        <v>0</v>
      </c>
      <c r="BM106" s="38">
        <f t="shared" si="103"/>
        <v>0</v>
      </c>
      <c r="BN106" s="38">
        <f t="shared" si="103"/>
        <v>0</v>
      </c>
      <c r="BO106" s="38">
        <f t="shared" si="103"/>
        <v>0</v>
      </c>
      <c r="BP106" s="38">
        <f t="shared" si="103"/>
        <v>0</v>
      </c>
      <c r="BQ106" s="38">
        <f t="shared" si="103"/>
        <v>0</v>
      </c>
      <c r="BR106" s="38">
        <f t="shared" si="103"/>
        <v>0</v>
      </c>
      <c r="BS106" s="38">
        <f t="shared" si="103"/>
        <v>0</v>
      </c>
      <c r="BT106" s="38">
        <f t="shared" si="103"/>
        <v>0</v>
      </c>
      <c r="BU106" s="38">
        <f t="shared" si="103"/>
        <v>0</v>
      </c>
      <c r="BV106" s="38">
        <f t="shared" si="103"/>
        <v>0</v>
      </c>
      <c r="BX106" s="38">
        <f t="shared" ref="BX106:CI106" si="104">IF(AND(BX60=1,BW60=0), 1,0)</f>
        <v>0</v>
      </c>
      <c r="BY106" s="38">
        <f t="shared" si="104"/>
        <v>0</v>
      </c>
      <c r="BZ106" s="38">
        <f t="shared" si="104"/>
        <v>0</v>
      </c>
      <c r="CA106" s="38">
        <f t="shared" si="104"/>
        <v>0</v>
      </c>
      <c r="CB106" s="38">
        <f t="shared" si="104"/>
        <v>0</v>
      </c>
      <c r="CC106" s="38">
        <f t="shared" si="104"/>
        <v>0</v>
      </c>
      <c r="CD106" s="38">
        <f t="shared" si="104"/>
        <v>0</v>
      </c>
      <c r="CE106" s="38">
        <f t="shared" si="104"/>
        <v>0</v>
      </c>
      <c r="CF106" s="38">
        <f t="shared" si="104"/>
        <v>0</v>
      </c>
      <c r="CG106" s="38">
        <f t="shared" si="104"/>
        <v>0</v>
      </c>
      <c r="CH106" s="38">
        <f t="shared" si="104"/>
        <v>0</v>
      </c>
      <c r="CI106" s="38">
        <f t="shared" si="104"/>
        <v>0</v>
      </c>
      <c r="CK106" s="11"/>
      <c r="CM106" s="11"/>
      <c r="EX106" s="10" t="str">
        <f t="shared" si="55"/>
        <v/>
      </c>
    </row>
    <row r="107" spans="1:154" x14ac:dyDescent="0.35">
      <c r="B107" t="str">
        <f ca="1">Loans!B$29</f>
        <v>Loan 17</v>
      </c>
      <c r="D107" s="51">
        <f>Loans!D$29</f>
        <v>0</v>
      </c>
      <c r="E107" s="117" t="str">
        <f>IF(Loans!J$29=0, "", Loans!J$29)</f>
        <v/>
      </c>
      <c r="F107" s="117" t="str">
        <f>IF(Loans!K$29=0, "", Loans!K$29)</f>
        <v/>
      </c>
      <c r="V107" s="38">
        <f t="shared" si="71"/>
        <v>0</v>
      </c>
      <c r="W107" s="38">
        <f t="shared" si="72"/>
        <v>0</v>
      </c>
      <c r="X107" s="38">
        <f t="shared" si="72"/>
        <v>0</v>
      </c>
      <c r="Y107" s="38">
        <f t="shared" si="72"/>
        <v>0</v>
      </c>
      <c r="AA107" s="38">
        <f t="shared" ref="AA107:BV107" si="105">IF(AND(AA61=1,Z61=0), 1,0)</f>
        <v>0</v>
      </c>
      <c r="AB107" s="38">
        <f t="shared" si="105"/>
        <v>0</v>
      </c>
      <c r="AC107" s="38">
        <f t="shared" si="105"/>
        <v>0</v>
      </c>
      <c r="AD107" s="38">
        <f t="shared" si="105"/>
        <v>0</v>
      </c>
      <c r="AE107" s="38">
        <f t="shared" si="105"/>
        <v>0</v>
      </c>
      <c r="AF107" s="38">
        <f t="shared" si="105"/>
        <v>0</v>
      </c>
      <c r="AG107" s="38">
        <f t="shared" si="105"/>
        <v>0</v>
      </c>
      <c r="AH107" s="38">
        <f t="shared" si="105"/>
        <v>0</v>
      </c>
      <c r="AI107" s="38">
        <f t="shared" si="105"/>
        <v>0</v>
      </c>
      <c r="AJ107" s="38">
        <f t="shared" si="105"/>
        <v>0</v>
      </c>
      <c r="AK107" s="38">
        <f t="shared" si="105"/>
        <v>0</v>
      </c>
      <c r="AL107" s="38">
        <f t="shared" si="105"/>
        <v>0</v>
      </c>
      <c r="AM107" s="38">
        <f t="shared" si="105"/>
        <v>0</v>
      </c>
      <c r="AN107" s="38">
        <f t="shared" si="105"/>
        <v>0</v>
      </c>
      <c r="AO107" s="38">
        <f t="shared" si="105"/>
        <v>0</v>
      </c>
      <c r="AP107" s="38">
        <f t="shared" si="105"/>
        <v>0</v>
      </c>
      <c r="AQ107" s="38">
        <f t="shared" si="105"/>
        <v>0</v>
      </c>
      <c r="AR107" s="38">
        <f t="shared" si="105"/>
        <v>0</v>
      </c>
      <c r="AS107" s="38">
        <f t="shared" si="105"/>
        <v>0</v>
      </c>
      <c r="AT107" s="38">
        <f t="shared" si="105"/>
        <v>0</v>
      </c>
      <c r="AU107" s="38">
        <f t="shared" si="105"/>
        <v>0</v>
      </c>
      <c r="AV107" s="38">
        <f t="shared" si="105"/>
        <v>0</v>
      </c>
      <c r="AW107" s="38">
        <f t="shared" si="105"/>
        <v>0</v>
      </c>
      <c r="AX107" s="38">
        <f t="shared" si="105"/>
        <v>0</v>
      </c>
      <c r="AY107" s="38">
        <f t="shared" si="105"/>
        <v>0</v>
      </c>
      <c r="AZ107" s="38">
        <f t="shared" si="105"/>
        <v>0</v>
      </c>
      <c r="BA107" s="38">
        <f t="shared" si="105"/>
        <v>0</v>
      </c>
      <c r="BB107" s="38">
        <f t="shared" si="105"/>
        <v>0</v>
      </c>
      <c r="BC107" s="38">
        <f t="shared" si="105"/>
        <v>0</v>
      </c>
      <c r="BD107" s="38">
        <f t="shared" si="105"/>
        <v>0</v>
      </c>
      <c r="BE107" s="38">
        <f t="shared" si="105"/>
        <v>0</v>
      </c>
      <c r="BF107" s="38">
        <f t="shared" si="105"/>
        <v>0</v>
      </c>
      <c r="BG107" s="38">
        <f t="shared" si="105"/>
        <v>0</v>
      </c>
      <c r="BH107" s="38">
        <f t="shared" si="105"/>
        <v>0</v>
      </c>
      <c r="BI107" s="38">
        <f t="shared" si="105"/>
        <v>0</v>
      </c>
      <c r="BJ107" s="38">
        <f t="shared" si="105"/>
        <v>0</v>
      </c>
      <c r="BK107" s="38">
        <f t="shared" si="105"/>
        <v>0</v>
      </c>
      <c r="BL107" s="38">
        <f t="shared" si="105"/>
        <v>0</v>
      </c>
      <c r="BM107" s="38">
        <f t="shared" si="105"/>
        <v>0</v>
      </c>
      <c r="BN107" s="38">
        <f t="shared" si="105"/>
        <v>0</v>
      </c>
      <c r="BO107" s="38">
        <f t="shared" si="105"/>
        <v>0</v>
      </c>
      <c r="BP107" s="38">
        <f t="shared" si="105"/>
        <v>0</v>
      </c>
      <c r="BQ107" s="38">
        <f t="shared" si="105"/>
        <v>0</v>
      </c>
      <c r="BR107" s="38">
        <f t="shared" si="105"/>
        <v>0</v>
      </c>
      <c r="BS107" s="38">
        <f t="shared" si="105"/>
        <v>0</v>
      </c>
      <c r="BT107" s="38">
        <f t="shared" si="105"/>
        <v>0</v>
      </c>
      <c r="BU107" s="38">
        <f t="shared" si="105"/>
        <v>0</v>
      </c>
      <c r="BV107" s="38">
        <f t="shared" si="105"/>
        <v>0</v>
      </c>
      <c r="BX107" s="38">
        <f t="shared" ref="BX107:CI107" si="106">IF(AND(BX61=1,BW61=0), 1,0)</f>
        <v>0</v>
      </c>
      <c r="BY107" s="38">
        <f t="shared" si="106"/>
        <v>0</v>
      </c>
      <c r="BZ107" s="38">
        <f t="shared" si="106"/>
        <v>0</v>
      </c>
      <c r="CA107" s="38">
        <f t="shared" si="106"/>
        <v>0</v>
      </c>
      <c r="CB107" s="38">
        <f t="shared" si="106"/>
        <v>0</v>
      </c>
      <c r="CC107" s="38">
        <f t="shared" si="106"/>
        <v>0</v>
      </c>
      <c r="CD107" s="38">
        <f t="shared" si="106"/>
        <v>0</v>
      </c>
      <c r="CE107" s="38">
        <f t="shared" si="106"/>
        <v>0</v>
      </c>
      <c r="CF107" s="38">
        <f t="shared" si="106"/>
        <v>0</v>
      </c>
      <c r="CG107" s="38">
        <f t="shared" si="106"/>
        <v>0</v>
      </c>
      <c r="CH107" s="38">
        <f t="shared" si="106"/>
        <v>0</v>
      </c>
      <c r="CI107" s="38">
        <f t="shared" si="106"/>
        <v>0</v>
      </c>
      <c r="CK107" s="11"/>
      <c r="CM107" s="11"/>
      <c r="EX107" s="10" t="str">
        <f t="shared" si="55"/>
        <v/>
      </c>
    </row>
    <row r="108" spans="1:154" x14ac:dyDescent="0.35">
      <c r="B108" t="str">
        <f ca="1">Loans!B$30</f>
        <v>Loan 18</v>
      </c>
      <c r="D108" s="51">
        <f>Loans!D$30</f>
        <v>0</v>
      </c>
      <c r="E108" s="117" t="str">
        <f>IF(Loans!J$30=0, "", Loans!J$30)</f>
        <v/>
      </c>
      <c r="F108" s="117" t="str">
        <f>IF(Loans!K$30=0, "", Loans!K$30)</f>
        <v/>
      </c>
      <c r="V108" s="38">
        <f t="shared" si="71"/>
        <v>0</v>
      </c>
      <c r="W108" s="38">
        <f t="shared" si="72"/>
        <v>0</v>
      </c>
      <c r="X108" s="38">
        <f t="shared" si="72"/>
        <v>0</v>
      </c>
      <c r="Y108" s="38">
        <f t="shared" si="72"/>
        <v>0</v>
      </c>
      <c r="AA108" s="38">
        <f t="shared" ref="AA108:BV108" si="107">IF(AND(AA62=1,Z62=0), 1,0)</f>
        <v>0</v>
      </c>
      <c r="AB108" s="38">
        <f t="shared" si="107"/>
        <v>0</v>
      </c>
      <c r="AC108" s="38">
        <f t="shared" si="107"/>
        <v>0</v>
      </c>
      <c r="AD108" s="38">
        <f t="shared" si="107"/>
        <v>0</v>
      </c>
      <c r="AE108" s="38">
        <f t="shared" si="107"/>
        <v>0</v>
      </c>
      <c r="AF108" s="38">
        <f t="shared" si="107"/>
        <v>0</v>
      </c>
      <c r="AG108" s="38">
        <f t="shared" si="107"/>
        <v>0</v>
      </c>
      <c r="AH108" s="38">
        <f t="shared" si="107"/>
        <v>0</v>
      </c>
      <c r="AI108" s="38">
        <f t="shared" si="107"/>
        <v>0</v>
      </c>
      <c r="AJ108" s="38">
        <f t="shared" si="107"/>
        <v>0</v>
      </c>
      <c r="AK108" s="38">
        <f t="shared" si="107"/>
        <v>0</v>
      </c>
      <c r="AL108" s="38">
        <f t="shared" si="107"/>
        <v>0</v>
      </c>
      <c r="AM108" s="38">
        <f t="shared" si="107"/>
        <v>0</v>
      </c>
      <c r="AN108" s="38">
        <f t="shared" si="107"/>
        <v>0</v>
      </c>
      <c r="AO108" s="38">
        <f t="shared" si="107"/>
        <v>0</v>
      </c>
      <c r="AP108" s="38">
        <f t="shared" si="107"/>
        <v>0</v>
      </c>
      <c r="AQ108" s="38">
        <f t="shared" si="107"/>
        <v>0</v>
      </c>
      <c r="AR108" s="38">
        <f t="shared" si="107"/>
        <v>0</v>
      </c>
      <c r="AS108" s="38">
        <f t="shared" si="107"/>
        <v>0</v>
      </c>
      <c r="AT108" s="38">
        <f t="shared" si="107"/>
        <v>0</v>
      </c>
      <c r="AU108" s="38">
        <f t="shared" si="107"/>
        <v>0</v>
      </c>
      <c r="AV108" s="38">
        <f t="shared" si="107"/>
        <v>0</v>
      </c>
      <c r="AW108" s="38">
        <f t="shared" si="107"/>
        <v>0</v>
      </c>
      <c r="AX108" s="38">
        <f t="shared" si="107"/>
        <v>0</v>
      </c>
      <c r="AY108" s="38">
        <f t="shared" si="107"/>
        <v>0</v>
      </c>
      <c r="AZ108" s="38">
        <f t="shared" si="107"/>
        <v>0</v>
      </c>
      <c r="BA108" s="38">
        <f t="shared" si="107"/>
        <v>0</v>
      </c>
      <c r="BB108" s="38">
        <f t="shared" si="107"/>
        <v>0</v>
      </c>
      <c r="BC108" s="38">
        <f t="shared" si="107"/>
        <v>0</v>
      </c>
      <c r="BD108" s="38">
        <f t="shared" si="107"/>
        <v>0</v>
      </c>
      <c r="BE108" s="38">
        <f t="shared" si="107"/>
        <v>0</v>
      </c>
      <c r="BF108" s="38">
        <f t="shared" si="107"/>
        <v>0</v>
      </c>
      <c r="BG108" s="38">
        <f t="shared" si="107"/>
        <v>0</v>
      </c>
      <c r="BH108" s="38">
        <f t="shared" si="107"/>
        <v>0</v>
      </c>
      <c r="BI108" s="38">
        <f t="shared" si="107"/>
        <v>0</v>
      </c>
      <c r="BJ108" s="38">
        <f t="shared" si="107"/>
        <v>0</v>
      </c>
      <c r="BK108" s="38">
        <f t="shared" si="107"/>
        <v>0</v>
      </c>
      <c r="BL108" s="38">
        <f t="shared" si="107"/>
        <v>0</v>
      </c>
      <c r="BM108" s="38">
        <f t="shared" si="107"/>
        <v>0</v>
      </c>
      <c r="BN108" s="38">
        <f t="shared" si="107"/>
        <v>0</v>
      </c>
      <c r="BO108" s="38">
        <f t="shared" si="107"/>
        <v>0</v>
      </c>
      <c r="BP108" s="38">
        <f t="shared" si="107"/>
        <v>0</v>
      </c>
      <c r="BQ108" s="38">
        <f t="shared" si="107"/>
        <v>0</v>
      </c>
      <c r="BR108" s="38">
        <f t="shared" si="107"/>
        <v>0</v>
      </c>
      <c r="BS108" s="38">
        <f t="shared" si="107"/>
        <v>0</v>
      </c>
      <c r="BT108" s="38">
        <f t="shared" si="107"/>
        <v>0</v>
      </c>
      <c r="BU108" s="38">
        <f t="shared" si="107"/>
        <v>0</v>
      </c>
      <c r="BV108" s="38">
        <f t="shared" si="107"/>
        <v>0</v>
      </c>
      <c r="BX108" s="38">
        <f t="shared" ref="BX108:CI108" si="108">IF(AND(BX62=1,BW62=0), 1,0)</f>
        <v>0</v>
      </c>
      <c r="BY108" s="38">
        <f t="shared" si="108"/>
        <v>0</v>
      </c>
      <c r="BZ108" s="38">
        <f t="shared" si="108"/>
        <v>0</v>
      </c>
      <c r="CA108" s="38">
        <f t="shared" si="108"/>
        <v>0</v>
      </c>
      <c r="CB108" s="38">
        <f t="shared" si="108"/>
        <v>0</v>
      </c>
      <c r="CC108" s="38">
        <f t="shared" si="108"/>
        <v>0</v>
      </c>
      <c r="CD108" s="38">
        <f t="shared" si="108"/>
        <v>0</v>
      </c>
      <c r="CE108" s="38">
        <f t="shared" si="108"/>
        <v>0</v>
      </c>
      <c r="CF108" s="38">
        <f t="shared" si="108"/>
        <v>0</v>
      </c>
      <c r="CG108" s="38">
        <f t="shared" si="108"/>
        <v>0</v>
      </c>
      <c r="CH108" s="38">
        <f t="shared" si="108"/>
        <v>0</v>
      </c>
      <c r="CI108" s="38">
        <f t="shared" si="108"/>
        <v>0</v>
      </c>
      <c r="CK108" s="11"/>
      <c r="CM108" s="11"/>
      <c r="EX108" s="10" t="str">
        <f t="shared" si="55"/>
        <v/>
      </c>
    </row>
    <row r="109" spans="1:154" x14ac:dyDescent="0.35">
      <c r="B109" t="str">
        <f ca="1">Loans!B$31</f>
        <v>Loan 19</v>
      </c>
      <c r="D109" s="51">
        <f>Loans!D$31</f>
        <v>0</v>
      </c>
      <c r="E109" s="117" t="str">
        <f>IF(Loans!J$31=0, "", Loans!J$31)</f>
        <v/>
      </c>
      <c r="F109" s="117" t="str">
        <f>IF(Loans!K$31=0, "", Loans!K$31)</f>
        <v/>
      </c>
      <c r="V109" s="38">
        <f t="shared" si="71"/>
        <v>0</v>
      </c>
      <c r="W109" s="38">
        <f t="shared" si="72"/>
        <v>0</v>
      </c>
      <c r="X109" s="38">
        <f t="shared" si="72"/>
        <v>0</v>
      </c>
      <c r="Y109" s="38">
        <f t="shared" si="72"/>
        <v>0</v>
      </c>
      <c r="AA109" s="38">
        <f t="shared" ref="AA109:BV109" si="109">IF(AND(AA63=1,Z63=0), 1,0)</f>
        <v>0</v>
      </c>
      <c r="AB109" s="38">
        <f t="shared" si="109"/>
        <v>0</v>
      </c>
      <c r="AC109" s="38">
        <f t="shared" si="109"/>
        <v>0</v>
      </c>
      <c r="AD109" s="38">
        <f t="shared" si="109"/>
        <v>0</v>
      </c>
      <c r="AE109" s="38">
        <f t="shared" si="109"/>
        <v>0</v>
      </c>
      <c r="AF109" s="38">
        <f t="shared" si="109"/>
        <v>0</v>
      </c>
      <c r="AG109" s="38">
        <f t="shared" si="109"/>
        <v>0</v>
      </c>
      <c r="AH109" s="38">
        <f t="shared" si="109"/>
        <v>0</v>
      </c>
      <c r="AI109" s="38">
        <f t="shared" si="109"/>
        <v>0</v>
      </c>
      <c r="AJ109" s="38">
        <f t="shared" si="109"/>
        <v>0</v>
      </c>
      <c r="AK109" s="38">
        <f t="shared" si="109"/>
        <v>0</v>
      </c>
      <c r="AL109" s="38">
        <f t="shared" si="109"/>
        <v>0</v>
      </c>
      <c r="AM109" s="38">
        <f t="shared" si="109"/>
        <v>0</v>
      </c>
      <c r="AN109" s="38">
        <f t="shared" si="109"/>
        <v>0</v>
      </c>
      <c r="AO109" s="38">
        <f t="shared" si="109"/>
        <v>0</v>
      </c>
      <c r="AP109" s="38">
        <f t="shared" si="109"/>
        <v>0</v>
      </c>
      <c r="AQ109" s="38">
        <f t="shared" si="109"/>
        <v>0</v>
      </c>
      <c r="AR109" s="38">
        <f t="shared" si="109"/>
        <v>0</v>
      </c>
      <c r="AS109" s="38">
        <f t="shared" si="109"/>
        <v>0</v>
      </c>
      <c r="AT109" s="38">
        <f t="shared" si="109"/>
        <v>0</v>
      </c>
      <c r="AU109" s="38">
        <f t="shared" si="109"/>
        <v>0</v>
      </c>
      <c r="AV109" s="38">
        <f t="shared" si="109"/>
        <v>0</v>
      </c>
      <c r="AW109" s="38">
        <f t="shared" si="109"/>
        <v>0</v>
      </c>
      <c r="AX109" s="38">
        <f t="shared" si="109"/>
        <v>0</v>
      </c>
      <c r="AY109" s="38">
        <f t="shared" si="109"/>
        <v>0</v>
      </c>
      <c r="AZ109" s="38">
        <f t="shared" si="109"/>
        <v>0</v>
      </c>
      <c r="BA109" s="38">
        <f t="shared" si="109"/>
        <v>0</v>
      </c>
      <c r="BB109" s="38">
        <f t="shared" si="109"/>
        <v>0</v>
      </c>
      <c r="BC109" s="38">
        <f t="shared" si="109"/>
        <v>0</v>
      </c>
      <c r="BD109" s="38">
        <f t="shared" si="109"/>
        <v>0</v>
      </c>
      <c r="BE109" s="38">
        <f t="shared" si="109"/>
        <v>0</v>
      </c>
      <c r="BF109" s="38">
        <f t="shared" si="109"/>
        <v>0</v>
      </c>
      <c r="BG109" s="38">
        <f t="shared" si="109"/>
        <v>0</v>
      </c>
      <c r="BH109" s="38">
        <f t="shared" si="109"/>
        <v>0</v>
      </c>
      <c r="BI109" s="38">
        <f t="shared" si="109"/>
        <v>0</v>
      </c>
      <c r="BJ109" s="38">
        <f t="shared" si="109"/>
        <v>0</v>
      </c>
      <c r="BK109" s="38">
        <f t="shared" si="109"/>
        <v>0</v>
      </c>
      <c r="BL109" s="38">
        <f t="shared" si="109"/>
        <v>0</v>
      </c>
      <c r="BM109" s="38">
        <f t="shared" si="109"/>
        <v>0</v>
      </c>
      <c r="BN109" s="38">
        <f t="shared" si="109"/>
        <v>0</v>
      </c>
      <c r="BO109" s="38">
        <f t="shared" si="109"/>
        <v>0</v>
      </c>
      <c r="BP109" s="38">
        <f t="shared" si="109"/>
        <v>0</v>
      </c>
      <c r="BQ109" s="38">
        <f t="shared" si="109"/>
        <v>0</v>
      </c>
      <c r="BR109" s="38">
        <f t="shared" si="109"/>
        <v>0</v>
      </c>
      <c r="BS109" s="38">
        <f t="shared" si="109"/>
        <v>0</v>
      </c>
      <c r="BT109" s="38">
        <f t="shared" si="109"/>
        <v>0</v>
      </c>
      <c r="BU109" s="38">
        <f t="shared" si="109"/>
        <v>0</v>
      </c>
      <c r="BV109" s="38">
        <f t="shared" si="109"/>
        <v>0</v>
      </c>
      <c r="BX109" s="38">
        <f t="shared" ref="BX109:CI109" si="110">IF(AND(BX63=1,BW63=0), 1,0)</f>
        <v>0</v>
      </c>
      <c r="BY109" s="38">
        <f t="shared" si="110"/>
        <v>0</v>
      </c>
      <c r="BZ109" s="38">
        <f t="shared" si="110"/>
        <v>0</v>
      </c>
      <c r="CA109" s="38">
        <f t="shared" si="110"/>
        <v>0</v>
      </c>
      <c r="CB109" s="38">
        <f t="shared" si="110"/>
        <v>0</v>
      </c>
      <c r="CC109" s="38">
        <f t="shared" si="110"/>
        <v>0</v>
      </c>
      <c r="CD109" s="38">
        <f t="shared" si="110"/>
        <v>0</v>
      </c>
      <c r="CE109" s="38">
        <f t="shared" si="110"/>
        <v>0</v>
      </c>
      <c r="CF109" s="38">
        <f t="shared" si="110"/>
        <v>0</v>
      </c>
      <c r="CG109" s="38">
        <f t="shared" si="110"/>
        <v>0</v>
      </c>
      <c r="CH109" s="38">
        <f t="shared" si="110"/>
        <v>0</v>
      </c>
      <c r="CI109" s="38">
        <f t="shared" si="110"/>
        <v>0</v>
      </c>
      <c r="CK109" s="11"/>
      <c r="CM109" s="11"/>
      <c r="EX109" s="10" t="str">
        <f t="shared" si="55"/>
        <v/>
      </c>
    </row>
    <row r="110" spans="1:154" x14ac:dyDescent="0.35">
      <c r="B110" t="str">
        <f ca="1">Loans!B$32</f>
        <v>Loan 20</v>
      </c>
      <c r="D110" s="51">
        <f>Loans!D$32</f>
        <v>0</v>
      </c>
      <c r="E110" s="117" t="str">
        <f>IF(Loans!J$32=0, "", Loans!J$32)</f>
        <v/>
      </c>
      <c r="F110" s="117" t="str">
        <f>IF(Loans!K$32=0, "", Loans!K$32)</f>
        <v/>
      </c>
      <c r="V110" s="38">
        <f t="shared" si="71"/>
        <v>0</v>
      </c>
      <c r="W110" s="38">
        <f t="shared" si="72"/>
        <v>0</v>
      </c>
      <c r="X110" s="38">
        <f t="shared" si="72"/>
        <v>0</v>
      </c>
      <c r="Y110" s="38">
        <f t="shared" si="72"/>
        <v>0</v>
      </c>
      <c r="AA110" s="38">
        <f t="shared" ref="AA110:BV110" si="111">IF(AND(AA64=1,Z64=0), 1,0)</f>
        <v>0</v>
      </c>
      <c r="AB110" s="38">
        <f t="shared" si="111"/>
        <v>0</v>
      </c>
      <c r="AC110" s="38">
        <f t="shared" si="111"/>
        <v>0</v>
      </c>
      <c r="AD110" s="38">
        <f t="shared" si="111"/>
        <v>0</v>
      </c>
      <c r="AE110" s="38">
        <f t="shared" si="111"/>
        <v>0</v>
      </c>
      <c r="AF110" s="38">
        <f t="shared" si="111"/>
        <v>0</v>
      </c>
      <c r="AG110" s="38">
        <f t="shared" si="111"/>
        <v>0</v>
      </c>
      <c r="AH110" s="38">
        <f t="shared" si="111"/>
        <v>0</v>
      </c>
      <c r="AI110" s="38">
        <f t="shared" si="111"/>
        <v>0</v>
      </c>
      <c r="AJ110" s="38">
        <f t="shared" si="111"/>
        <v>0</v>
      </c>
      <c r="AK110" s="38">
        <f t="shared" si="111"/>
        <v>0</v>
      </c>
      <c r="AL110" s="38">
        <f t="shared" si="111"/>
        <v>0</v>
      </c>
      <c r="AM110" s="38">
        <f t="shared" si="111"/>
        <v>0</v>
      </c>
      <c r="AN110" s="38">
        <f t="shared" si="111"/>
        <v>0</v>
      </c>
      <c r="AO110" s="38">
        <f t="shared" si="111"/>
        <v>0</v>
      </c>
      <c r="AP110" s="38">
        <f t="shared" si="111"/>
        <v>0</v>
      </c>
      <c r="AQ110" s="38">
        <f t="shared" si="111"/>
        <v>0</v>
      </c>
      <c r="AR110" s="38">
        <f t="shared" si="111"/>
        <v>0</v>
      </c>
      <c r="AS110" s="38">
        <f t="shared" si="111"/>
        <v>0</v>
      </c>
      <c r="AT110" s="38">
        <f t="shared" si="111"/>
        <v>0</v>
      </c>
      <c r="AU110" s="38">
        <f t="shared" si="111"/>
        <v>0</v>
      </c>
      <c r="AV110" s="38">
        <f t="shared" si="111"/>
        <v>0</v>
      </c>
      <c r="AW110" s="38">
        <f t="shared" si="111"/>
        <v>0</v>
      </c>
      <c r="AX110" s="38">
        <f t="shared" si="111"/>
        <v>0</v>
      </c>
      <c r="AY110" s="38">
        <f t="shared" si="111"/>
        <v>0</v>
      </c>
      <c r="AZ110" s="38">
        <f t="shared" si="111"/>
        <v>0</v>
      </c>
      <c r="BA110" s="38">
        <f t="shared" si="111"/>
        <v>0</v>
      </c>
      <c r="BB110" s="38">
        <f t="shared" si="111"/>
        <v>0</v>
      </c>
      <c r="BC110" s="38">
        <f t="shared" si="111"/>
        <v>0</v>
      </c>
      <c r="BD110" s="38">
        <f t="shared" si="111"/>
        <v>0</v>
      </c>
      <c r="BE110" s="38">
        <f t="shared" si="111"/>
        <v>0</v>
      </c>
      <c r="BF110" s="38">
        <f t="shared" si="111"/>
        <v>0</v>
      </c>
      <c r="BG110" s="38">
        <f t="shared" si="111"/>
        <v>0</v>
      </c>
      <c r="BH110" s="38">
        <f t="shared" si="111"/>
        <v>0</v>
      </c>
      <c r="BI110" s="38">
        <f t="shared" si="111"/>
        <v>0</v>
      </c>
      <c r="BJ110" s="38">
        <f t="shared" si="111"/>
        <v>0</v>
      </c>
      <c r="BK110" s="38">
        <f t="shared" si="111"/>
        <v>0</v>
      </c>
      <c r="BL110" s="38">
        <f t="shared" si="111"/>
        <v>0</v>
      </c>
      <c r="BM110" s="38">
        <f t="shared" si="111"/>
        <v>0</v>
      </c>
      <c r="BN110" s="38">
        <f t="shared" si="111"/>
        <v>0</v>
      </c>
      <c r="BO110" s="38">
        <f t="shared" si="111"/>
        <v>0</v>
      </c>
      <c r="BP110" s="38">
        <f t="shared" si="111"/>
        <v>0</v>
      </c>
      <c r="BQ110" s="38">
        <f t="shared" si="111"/>
        <v>0</v>
      </c>
      <c r="BR110" s="38">
        <f t="shared" si="111"/>
        <v>0</v>
      </c>
      <c r="BS110" s="38">
        <f t="shared" si="111"/>
        <v>0</v>
      </c>
      <c r="BT110" s="38">
        <f t="shared" si="111"/>
        <v>0</v>
      </c>
      <c r="BU110" s="38">
        <f t="shared" si="111"/>
        <v>0</v>
      </c>
      <c r="BV110" s="38">
        <f t="shared" si="111"/>
        <v>0</v>
      </c>
      <c r="BX110" s="38">
        <f t="shared" ref="BX110:CI110" si="112">IF(AND(BX64=1,BW64=0), 1,0)</f>
        <v>0</v>
      </c>
      <c r="BY110" s="38">
        <f t="shared" si="112"/>
        <v>0</v>
      </c>
      <c r="BZ110" s="38">
        <f t="shared" si="112"/>
        <v>0</v>
      </c>
      <c r="CA110" s="38">
        <f t="shared" si="112"/>
        <v>0</v>
      </c>
      <c r="CB110" s="38">
        <f t="shared" si="112"/>
        <v>0</v>
      </c>
      <c r="CC110" s="38">
        <f t="shared" si="112"/>
        <v>0</v>
      </c>
      <c r="CD110" s="38">
        <f t="shared" si="112"/>
        <v>0</v>
      </c>
      <c r="CE110" s="38">
        <f t="shared" si="112"/>
        <v>0</v>
      </c>
      <c r="CF110" s="38">
        <f t="shared" si="112"/>
        <v>0</v>
      </c>
      <c r="CG110" s="38">
        <f t="shared" si="112"/>
        <v>0</v>
      </c>
      <c r="CH110" s="38">
        <f t="shared" si="112"/>
        <v>0</v>
      </c>
      <c r="CI110" s="38">
        <f t="shared" si="112"/>
        <v>0</v>
      </c>
      <c r="CK110" s="11"/>
      <c r="CM110" s="11"/>
      <c r="EX110" s="10" t="str">
        <f t="shared" si="55"/>
        <v/>
      </c>
    </row>
    <row r="111" spans="1:154" ht="6.75" customHeight="1" x14ac:dyDescent="0.35">
      <c r="D111" s="1"/>
      <c r="E111"/>
      <c r="BY111" s="6"/>
      <c r="CK111" s="35"/>
      <c r="CM111" s="35"/>
      <c r="EX111" s="10" t="str">
        <f t="shared" si="55"/>
        <v/>
      </c>
    </row>
    <row r="112" spans="1:154" x14ac:dyDescent="0.35">
      <c r="D112" s="5" t="s">
        <v>1936</v>
      </c>
      <c r="F112" s="5"/>
      <c r="CK112" s="11"/>
      <c r="CM112" s="11"/>
      <c r="EX112" s="10" t="str">
        <f t="shared" si="55"/>
        <v/>
      </c>
    </row>
    <row r="113" spans="1:154" x14ac:dyDescent="0.35">
      <c r="B113" s="5"/>
      <c r="D113" s="5" t="str">
        <f>Loans!D$11</f>
        <v>Lender</v>
      </c>
      <c r="E113" s="5" t="s">
        <v>1932</v>
      </c>
      <c r="F113" s="5" t="s">
        <v>1933</v>
      </c>
      <c r="CK113" s="11"/>
      <c r="CM113" s="11"/>
      <c r="EX113" s="10" t="str">
        <f t="shared" si="55"/>
        <v/>
      </c>
    </row>
    <row r="114" spans="1:154" x14ac:dyDescent="0.35">
      <c r="B114" t="str">
        <f ca="1">Loans!B$13</f>
        <v>Loan 1</v>
      </c>
      <c r="D114" s="51">
        <f>Loans!D$13</f>
        <v>0</v>
      </c>
      <c r="E114" s="117" t="str">
        <f>IF(Loans!J$13=0, "", Loans!J$13)</f>
        <v/>
      </c>
      <c r="F114" s="117" t="str">
        <f>IF(Loans!K$13=0, "", Loans!K$13)</f>
        <v/>
      </c>
      <c r="V114" s="38">
        <f t="shared" ref="V114:Y133" si="113">SUMIFS($AA114:$BV114, $AA$3:$BV$3, V$3)</f>
        <v>0</v>
      </c>
      <c r="W114" s="38">
        <f t="shared" si="113"/>
        <v>0</v>
      </c>
      <c r="X114" s="38">
        <f t="shared" si="113"/>
        <v>0</v>
      </c>
      <c r="Y114" s="38">
        <f t="shared" si="113"/>
        <v>0</v>
      </c>
      <c r="AA114" s="38">
        <f t="shared" ref="AA114:BV114" si="114">IF(AND(Z$5&lt;$F114,AA$5&gt;=$F114),1, 0)</f>
        <v>0</v>
      </c>
      <c r="AB114" s="38">
        <f t="shared" si="114"/>
        <v>0</v>
      </c>
      <c r="AC114" s="38">
        <f t="shared" si="114"/>
        <v>0</v>
      </c>
      <c r="AD114" s="38">
        <f t="shared" si="114"/>
        <v>0</v>
      </c>
      <c r="AE114" s="38">
        <f t="shared" si="114"/>
        <v>0</v>
      </c>
      <c r="AF114" s="38">
        <f t="shared" si="114"/>
        <v>0</v>
      </c>
      <c r="AG114" s="38">
        <f t="shared" si="114"/>
        <v>0</v>
      </c>
      <c r="AH114" s="38">
        <f t="shared" si="114"/>
        <v>0</v>
      </c>
      <c r="AI114" s="38">
        <f t="shared" si="114"/>
        <v>0</v>
      </c>
      <c r="AJ114" s="38">
        <f t="shared" si="114"/>
        <v>0</v>
      </c>
      <c r="AK114" s="38">
        <f t="shared" si="114"/>
        <v>0</v>
      </c>
      <c r="AL114" s="38">
        <f t="shared" si="114"/>
        <v>0</v>
      </c>
      <c r="AM114" s="38">
        <f t="shared" si="114"/>
        <v>0</v>
      </c>
      <c r="AN114" s="38">
        <f t="shared" si="114"/>
        <v>0</v>
      </c>
      <c r="AO114" s="38">
        <f t="shared" si="114"/>
        <v>0</v>
      </c>
      <c r="AP114" s="38">
        <f t="shared" si="114"/>
        <v>0</v>
      </c>
      <c r="AQ114" s="38">
        <f t="shared" si="114"/>
        <v>0</v>
      </c>
      <c r="AR114" s="38">
        <f t="shared" si="114"/>
        <v>0</v>
      </c>
      <c r="AS114" s="38">
        <f t="shared" si="114"/>
        <v>0</v>
      </c>
      <c r="AT114" s="38">
        <f t="shared" si="114"/>
        <v>0</v>
      </c>
      <c r="AU114" s="38">
        <f t="shared" si="114"/>
        <v>0</v>
      </c>
      <c r="AV114" s="38">
        <f t="shared" si="114"/>
        <v>0</v>
      </c>
      <c r="AW114" s="38">
        <f t="shared" si="114"/>
        <v>0</v>
      </c>
      <c r="AX114" s="38">
        <f t="shared" si="114"/>
        <v>0</v>
      </c>
      <c r="AY114" s="38">
        <f t="shared" si="114"/>
        <v>0</v>
      </c>
      <c r="AZ114" s="38">
        <f t="shared" si="114"/>
        <v>0</v>
      </c>
      <c r="BA114" s="38">
        <f t="shared" si="114"/>
        <v>0</v>
      </c>
      <c r="BB114" s="38">
        <f t="shared" si="114"/>
        <v>0</v>
      </c>
      <c r="BC114" s="38">
        <f t="shared" si="114"/>
        <v>0</v>
      </c>
      <c r="BD114" s="38">
        <f t="shared" si="114"/>
        <v>0</v>
      </c>
      <c r="BE114" s="38">
        <f t="shared" si="114"/>
        <v>0</v>
      </c>
      <c r="BF114" s="38">
        <f t="shared" si="114"/>
        <v>0</v>
      </c>
      <c r="BG114" s="38">
        <f t="shared" si="114"/>
        <v>0</v>
      </c>
      <c r="BH114" s="38">
        <f t="shared" si="114"/>
        <v>0</v>
      </c>
      <c r="BI114" s="38">
        <f t="shared" si="114"/>
        <v>0</v>
      </c>
      <c r="BJ114" s="38">
        <f t="shared" si="114"/>
        <v>0</v>
      </c>
      <c r="BK114" s="38">
        <f t="shared" si="114"/>
        <v>0</v>
      </c>
      <c r="BL114" s="38">
        <f t="shared" si="114"/>
        <v>0</v>
      </c>
      <c r="BM114" s="38">
        <f t="shared" si="114"/>
        <v>0</v>
      </c>
      <c r="BN114" s="38">
        <f t="shared" si="114"/>
        <v>0</v>
      </c>
      <c r="BO114" s="38">
        <f t="shared" si="114"/>
        <v>0</v>
      </c>
      <c r="BP114" s="38">
        <f t="shared" si="114"/>
        <v>0</v>
      </c>
      <c r="BQ114" s="38">
        <f t="shared" si="114"/>
        <v>0</v>
      </c>
      <c r="BR114" s="38">
        <f t="shared" si="114"/>
        <v>0</v>
      </c>
      <c r="BS114" s="38">
        <f t="shared" si="114"/>
        <v>0</v>
      </c>
      <c r="BT114" s="38">
        <f t="shared" si="114"/>
        <v>0</v>
      </c>
      <c r="BU114" s="38">
        <f t="shared" si="114"/>
        <v>0</v>
      </c>
      <c r="BV114" s="38">
        <f t="shared" si="114"/>
        <v>0</v>
      </c>
      <c r="BX114" s="38">
        <f t="shared" ref="BX114:CI114" si="115">IF(AND(BW$5&lt;$F114,BX$5&gt;=$F114),1, 0)</f>
        <v>0</v>
      </c>
      <c r="BY114" s="38">
        <f t="shared" si="115"/>
        <v>0</v>
      </c>
      <c r="BZ114" s="38">
        <f t="shared" si="115"/>
        <v>0</v>
      </c>
      <c r="CA114" s="38">
        <f t="shared" si="115"/>
        <v>0</v>
      </c>
      <c r="CB114" s="38">
        <f t="shared" si="115"/>
        <v>0</v>
      </c>
      <c r="CC114" s="38">
        <f t="shared" si="115"/>
        <v>0</v>
      </c>
      <c r="CD114" s="38">
        <f t="shared" si="115"/>
        <v>0</v>
      </c>
      <c r="CE114" s="38">
        <f t="shared" si="115"/>
        <v>0</v>
      </c>
      <c r="CF114" s="38">
        <f t="shared" si="115"/>
        <v>0</v>
      </c>
      <c r="CG114" s="38">
        <f t="shared" si="115"/>
        <v>0</v>
      </c>
      <c r="CH114" s="38">
        <f t="shared" si="115"/>
        <v>0</v>
      </c>
      <c r="CI114" s="38">
        <f t="shared" si="115"/>
        <v>0</v>
      </c>
      <c r="CK114" s="11"/>
      <c r="CM114" s="11"/>
      <c r="EX114" s="10" t="str">
        <f t="shared" si="55"/>
        <v/>
      </c>
    </row>
    <row r="115" spans="1:154" x14ac:dyDescent="0.35">
      <c r="B115" t="str">
        <f ca="1">Loans!B$14</f>
        <v>Loan 2</v>
      </c>
      <c r="D115" s="51">
        <f>Loans!D$14</f>
        <v>0</v>
      </c>
      <c r="E115" s="117" t="str">
        <f>IF(Loans!J$14=0, "", Loans!J$14)</f>
        <v/>
      </c>
      <c r="F115" s="117" t="str">
        <f>IF(Loans!K$14=0, "", Loans!K$14)</f>
        <v/>
      </c>
      <c r="V115" s="38">
        <f t="shared" si="113"/>
        <v>0</v>
      </c>
      <c r="W115" s="38">
        <f t="shared" si="113"/>
        <v>0</v>
      </c>
      <c r="X115" s="38">
        <f t="shared" si="113"/>
        <v>0</v>
      </c>
      <c r="Y115" s="38">
        <f t="shared" si="113"/>
        <v>0</v>
      </c>
      <c r="AA115" s="38">
        <f t="shared" ref="AA115:BV115" si="116">IF(AND(Z$5&lt;$F115,AA$5&gt;=$F115),1, 0)</f>
        <v>0</v>
      </c>
      <c r="AB115" s="38">
        <f t="shared" si="116"/>
        <v>0</v>
      </c>
      <c r="AC115" s="38">
        <f t="shared" si="116"/>
        <v>0</v>
      </c>
      <c r="AD115" s="38">
        <f t="shared" si="116"/>
        <v>0</v>
      </c>
      <c r="AE115" s="38">
        <f t="shared" si="116"/>
        <v>0</v>
      </c>
      <c r="AF115" s="38">
        <f t="shared" si="116"/>
        <v>0</v>
      </c>
      <c r="AG115" s="38">
        <f t="shared" si="116"/>
        <v>0</v>
      </c>
      <c r="AH115" s="38">
        <f t="shared" si="116"/>
        <v>0</v>
      </c>
      <c r="AI115" s="38">
        <f t="shared" si="116"/>
        <v>0</v>
      </c>
      <c r="AJ115" s="38">
        <f t="shared" si="116"/>
        <v>0</v>
      </c>
      <c r="AK115" s="38">
        <f t="shared" si="116"/>
        <v>0</v>
      </c>
      <c r="AL115" s="38">
        <f t="shared" si="116"/>
        <v>0</v>
      </c>
      <c r="AM115" s="38">
        <f t="shared" si="116"/>
        <v>0</v>
      </c>
      <c r="AN115" s="38">
        <f t="shared" si="116"/>
        <v>0</v>
      </c>
      <c r="AO115" s="38">
        <f t="shared" si="116"/>
        <v>0</v>
      </c>
      <c r="AP115" s="38">
        <f t="shared" si="116"/>
        <v>0</v>
      </c>
      <c r="AQ115" s="38">
        <f t="shared" si="116"/>
        <v>0</v>
      </c>
      <c r="AR115" s="38">
        <f t="shared" si="116"/>
        <v>0</v>
      </c>
      <c r="AS115" s="38">
        <f t="shared" si="116"/>
        <v>0</v>
      </c>
      <c r="AT115" s="38">
        <f t="shared" si="116"/>
        <v>0</v>
      </c>
      <c r="AU115" s="38">
        <f t="shared" si="116"/>
        <v>0</v>
      </c>
      <c r="AV115" s="38">
        <f t="shared" si="116"/>
        <v>0</v>
      </c>
      <c r="AW115" s="38">
        <f t="shared" si="116"/>
        <v>0</v>
      </c>
      <c r="AX115" s="38">
        <f t="shared" si="116"/>
        <v>0</v>
      </c>
      <c r="AY115" s="38">
        <f t="shared" si="116"/>
        <v>0</v>
      </c>
      <c r="AZ115" s="38">
        <f t="shared" si="116"/>
        <v>0</v>
      </c>
      <c r="BA115" s="38">
        <f t="shared" si="116"/>
        <v>0</v>
      </c>
      <c r="BB115" s="38">
        <f t="shared" si="116"/>
        <v>0</v>
      </c>
      <c r="BC115" s="38">
        <f t="shared" si="116"/>
        <v>0</v>
      </c>
      <c r="BD115" s="38">
        <f t="shared" si="116"/>
        <v>0</v>
      </c>
      <c r="BE115" s="38">
        <f t="shared" si="116"/>
        <v>0</v>
      </c>
      <c r="BF115" s="38">
        <f t="shared" si="116"/>
        <v>0</v>
      </c>
      <c r="BG115" s="38">
        <f t="shared" si="116"/>
        <v>0</v>
      </c>
      <c r="BH115" s="38">
        <f t="shared" si="116"/>
        <v>0</v>
      </c>
      <c r="BI115" s="38">
        <f t="shared" si="116"/>
        <v>0</v>
      </c>
      <c r="BJ115" s="38">
        <f t="shared" si="116"/>
        <v>0</v>
      </c>
      <c r="BK115" s="38">
        <f t="shared" si="116"/>
        <v>0</v>
      </c>
      <c r="BL115" s="38">
        <f t="shared" si="116"/>
        <v>0</v>
      </c>
      <c r="BM115" s="38">
        <f t="shared" si="116"/>
        <v>0</v>
      </c>
      <c r="BN115" s="38">
        <f t="shared" si="116"/>
        <v>0</v>
      </c>
      <c r="BO115" s="38">
        <f t="shared" si="116"/>
        <v>0</v>
      </c>
      <c r="BP115" s="38">
        <f t="shared" si="116"/>
        <v>0</v>
      </c>
      <c r="BQ115" s="38">
        <f t="shared" si="116"/>
        <v>0</v>
      </c>
      <c r="BR115" s="38">
        <f t="shared" si="116"/>
        <v>0</v>
      </c>
      <c r="BS115" s="38">
        <f t="shared" si="116"/>
        <v>0</v>
      </c>
      <c r="BT115" s="38">
        <f t="shared" si="116"/>
        <v>0</v>
      </c>
      <c r="BU115" s="38">
        <f t="shared" si="116"/>
        <v>0</v>
      </c>
      <c r="BV115" s="38">
        <f t="shared" si="116"/>
        <v>0</v>
      </c>
      <c r="BX115" s="38">
        <f t="shared" ref="BX115:CI115" si="117">IF(AND(BW$5&lt;$F115,BX$5&gt;=$F115),1, 0)</f>
        <v>0</v>
      </c>
      <c r="BY115" s="38">
        <f t="shared" si="117"/>
        <v>0</v>
      </c>
      <c r="BZ115" s="38">
        <f t="shared" si="117"/>
        <v>0</v>
      </c>
      <c r="CA115" s="38">
        <f t="shared" si="117"/>
        <v>0</v>
      </c>
      <c r="CB115" s="38">
        <f t="shared" si="117"/>
        <v>0</v>
      </c>
      <c r="CC115" s="38">
        <f t="shared" si="117"/>
        <v>0</v>
      </c>
      <c r="CD115" s="38">
        <f t="shared" si="117"/>
        <v>0</v>
      </c>
      <c r="CE115" s="38">
        <f t="shared" si="117"/>
        <v>0</v>
      </c>
      <c r="CF115" s="38">
        <f t="shared" si="117"/>
        <v>0</v>
      </c>
      <c r="CG115" s="38">
        <f t="shared" si="117"/>
        <v>0</v>
      </c>
      <c r="CH115" s="38">
        <f t="shared" si="117"/>
        <v>0</v>
      </c>
      <c r="CI115" s="38">
        <f t="shared" si="117"/>
        <v>0</v>
      </c>
      <c r="CK115" s="11"/>
      <c r="CM115" s="11"/>
      <c r="EX115" s="10" t="str">
        <f t="shared" si="55"/>
        <v/>
      </c>
    </row>
    <row r="116" spans="1:154" x14ac:dyDescent="0.35">
      <c r="B116" t="str">
        <f ca="1">Loans!B$15</f>
        <v>Loan 3</v>
      </c>
      <c r="D116" s="51">
        <f>Loans!D$15</f>
        <v>0</v>
      </c>
      <c r="E116" s="117" t="str">
        <f>IF(Loans!J$15=0, "", Loans!J$15)</f>
        <v/>
      </c>
      <c r="F116" s="117" t="str">
        <f>IF(Loans!K$15=0, "", Loans!K$15)</f>
        <v/>
      </c>
      <c r="V116" s="38">
        <f t="shared" si="113"/>
        <v>0</v>
      </c>
      <c r="W116" s="38">
        <f t="shared" si="113"/>
        <v>0</v>
      </c>
      <c r="X116" s="38">
        <f t="shared" si="113"/>
        <v>0</v>
      </c>
      <c r="Y116" s="38">
        <f t="shared" si="113"/>
        <v>0</v>
      </c>
      <c r="AA116" s="38">
        <f t="shared" ref="AA116:BV116" si="118">IF(AND(Z$5&lt;$F116,AA$5&gt;=$F116),1, 0)</f>
        <v>0</v>
      </c>
      <c r="AB116" s="38">
        <f t="shared" si="118"/>
        <v>0</v>
      </c>
      <c r="AC116" s="38">
        <f t="shared" si="118"/>
        <v>0</v>
      </c>
      <c r="AD116" s="38">
        <f t="shared" si="118"/>
        <v>0</v>
      </c>
      <c r="AE116" s="38">
        <f t="shared" si="118"/>
        <v>0</v>
      </c>
      <c r="AF116" s="38">
        <f t="shared" si="118"/>
        <v>0</v>
      </c>
      <c r="AG116" s="38">
        <f t="shared" si="118"/>
        <v>0</v>
      </c>
      <c r="AH116" s="38">
        <f t="shared" si="118"/>
        <v>0</v>
      </c>
      <c r="AI116" s="38">
        <f t="shared" si="118"/>
        <v>0</v>
      </c>
      <c r="AJ116" s="38">
        <f t="shared" si="118"/>
        <v>0</v>
      </c>
      <c r="AK116" s="38">
        <f t="shared" si="118"/>
        <v>0</v>
      </c>
      <c r="AL116" s="38">
        <f t="shared" si="118"/>
        <v>0</v>
      </c>
      <c r="AM116" s="38">
        <f t="shared" si="118"/>
        <v>0</v>
      </c>
      <c r="AN116" s="38">
        <f t="shared" si="118"/>
        <v>0</v>
      </c>
      <c r="AO116" s="38">
        <f t="shared" si="118"/>
        <v>0</v>
      </c>
      <c r="AP116" s="38">
        <f t="shared" si="118"/>
        <v>0</v>
      </c>
      <c r="AQ116" s="38">
        <f t="shared" si="118"/>
        <v>0</v>
      </c>
      <c r="AR116" s="38">
        <f t="shared" si="118"/>
        <v>0</v>
      </c>
      <c r="AS116" s="38">
        <f t="shared" si="118"/>
        <v>0</v>
      </c>
      <c r="AT116" s="38">
        <f t="shared" si="118"/>
        <v>0</v>
      </c>
      <c r="AU116" s="38">
        <f t="shared" si="118"/>
        <v>0</v>
      </c>
      <c r="AV116" s="38">
        <f t="shared" si="118"/>
        <v>0</v>
      </c>
      <c r="AW116" s="38">
        <f t="shared" si="118"/>
        <v>0</v>
      </c>
      <c r="AX116" s="38">
        <f t="shared" si="118"/>
        <v>0</v>
      </c>
      <c r="AY116" s="38">
        <f t="shared" si="118"/>
        <v>0</v>
      </c>
      <c r="AZ116" s="38">
        <f t="shared" si="118"/>
        <v>0</v>
      </c>
      <c r="BA116" s="38">
        <f t="shared" si="118"/>
        <v>0</v>
      </c>
      <c r="BB116" s="38">
        <f t="shared" si="118"/>
        <v>0</v>
      </c>
      <c r="BC116" s="38">
        <f t="shared" si="118"/>
        <v>0</v>
      </c>
      <c r="BD116" s="38">
        <f t="shared" si="118"/>
        <v>0</v>
      </c>
      <c r="BE116" s="38">
        <f t="shared" si="118"/>
        <v>0</v>
      </c>
      <c r="BF116" s="38">
        <f t="shared" si="118"/>
        <v>0</v>
      </c>
      <c r="BG116" s="38">
        <f t="shared" si="118"/>
        <v>0</v>
      </c>
      <c r="BH116" s="38">
        <f t="shared" si="118"/>
        <v>0</v>
      </c>
      <c r="BI116" s="38">
        <f t="shared" si="118"/>
        <v>0</v>
      </c>
      <c r="BJ116" s="38">
        <f t="shared" si="118"/>
        <v>0</v>
      </c>
      <c r="BK116" s="38">
        <f t="shared" si="118"/>
        <v>0</v>
      </c>
      <c r="BL116" s="38">
        <f t="shared" si="118"/>
        <v>0</v>
      </c>
      <c r="BM116" s="38">
        <f t="shared" si="118"/>
        <v>0</v>
      </c>
      <c r="BN116" s="38">
        <f t="shared" si="118"/>
        <v>0</v>
      </c>
      <c r="BO116" s="38">
        <f t="shared" si="118"/>
        <v>0</v>
      </c>
      <c r="BP116" s="38">
        <f t="shared" si="118"/>
        <v>0</v>
      </c>
      <c r="BQ116" s="38">
        <f t="shared" si="118"/>
        <v>0</v>
      </c>
      <c r="BR116" s="38">
        <f t="shared" si="118"/>
        <v>0</v>
      </c>
      <c r="BS116" s="38">
        <f t="shared" si="118"/>
        <v>0</v>
      </c>
      <c r="BT116" s="38">
        <f t="shared" si="118"/>
        <v>0</v>
      </c>
      <c r="BU116" s="38">
        <f t="shared" si="118"/>
        <v>0</v>
      </c>
      <c r="BV116" s="38">
        <f t="shared" si="118"/>
        <v>0</v>
      </c>
      <c r="BX116" s="38">
        <f t="shared" ref="BX116:CI116" si="119">IF(AND(BW$5&lt;$F116,BX$5&gt;=$F116),1, 0)</f>
        <v>0</v>
      </c>
      <c r="BY116" s="38">
        <f t="shared" si="119"/>
        <v>0</v>
      </c>
      <c r="BZ116" s="38">
        <f t="shared" si="119"/>
        <v>0</v>
      </c>
      <c r="CA116" s="38">
        <f t="shared" si="119"/>
        <v>0</v>
      </c>
      <c r="CB116" s="38">
        <f t="shared" si="119"/>
        <v>0</v>
      </c>
      <c r="CC116" s="38">
        <f t="shared" si="119"/>
        <v>0</v>
      </c>
      <c r="CD116" s="38">
        <f t="shared" si="119"/>
        <v>0</v>
      </c>
      <c r="CE116" s="38">
        <f t="shared" si="119"/>
        <v>0</v>
      </c>
      <c r="CF116" s="38">
        <f t="shared" si="119"/>
        <v>0</v>
      </c>
      <c r="CG116" s="38">
        <f t="shared" si="119"/>
        <v>0</v>
      </c>
      <c r="CH116" s="38">
        <f t="shared" si="119"/>
        <v>0</v>
      </c>
      <c r="CI116" s="38">
        <f t="shared" si="119"/>
        <v>0</v>
      </c>
      <c r="CK116" s="11"/>
      <c r="CM116" s="11"/>
      <c r="EX116" s="10" t="str">
        <f t="shared" si="55"/>
        <v/>
      </c>
    </row>
    <row r="117" spans="1:154" x14ac:dyDescent="0.35">
      <c r="B117" t="str">
        <f ca="1">Loans!B$16</f>
        <v>Loan 4</v>
      </c>
      <c r="D117" s="51">
        <f>Loans!D$16</f>
        <v>0</v>
      </c>
      <c r="E117" s="117" t="str">
        <f>IF(Loans!J$16=0, "", Loans!J$16)</f>
        <v/>
      </c>
      <c r="F117" s="117" t="str">
        <f>IF(Loans!K$16=0, "", Loans!K$16)</f>
        <v/>
      </c>
      <c r="V117" s="38">
        <f t="shared" si="113"/>
        <v>0</v>
      </c>
      <c r="W117" s="38">
        <f t="shared" si="113"/>
        <v>0</v>
      </c>
      <c r="X117" s="38">
        <f t="shared" si="113"/>
        <v>0</v>
      </c>
      <c r="Y117" s="38">
        <f t="shared" si="113"/>
        <v>0</v>
      </c>
      <c r="AA117" s="38">
        <f t="shared" ref="AA117:BV117" si="120">IF(AND(Z$5&lt;$F117,AA$5&gt;=$F117),1, 0)</f>
        <v>0</v>
      </c>
      <c r="AB117" s="38">
        <f t="shared" si="120"/>
        <v>0</v>
      </c>
      <c r="AC117" s="38">
        <f t="shared" si="120"/>
        <v>0</v>
      </c>
      <c r="AD117" s="38">
        <f t="shared" si="120"/>
        <v>0</v>
      </c>
      <c r="AE117" s="38">
        <f t="shared" si="120"/>
        <v>0</v>
      </c>
      <c r="AF117" s="38">
        <f t="shared" si="120"/>
        <v>0</v>
      </c>
      <c r="AG117" s="38">
        <f t="shared" si="120"/>
        <v>0</v>
      </c>
      <c r="AH117" s="38">
        <f t="shared" si="120"/>
        <v>0</v>
      </c>
      <c r="AI117" s="38">
        <f t="shared" si="120"/>
        <v>0</v>
      </c>
      <c r="AJ117" s="38">
        <f t="shared" si="120"/>
        <v>0</v>
      </c>
      <c r="AK117" s="38">
        <f t="shared" si="120"/>
        <v>0</v>
      </c>
      <c r="AL117" s="38">
        <f t="shared" si="120"/>
        <v>0</v>
      </c>
      <c r="AM117" s="38">
        <f t="shared" si="120"/>
        <v>0</v>
      </c>
      <c r="AN117" s="38">
        <f t="shared" si="120"/>
        <v>0</v>
      </c>
      <c r="AO117" s="38">
        <f t="shared" si="120"/>
        <v>0</v>
      </c>
      <c r="AP117" s="38">
        <f t="shared" si="120"/>
        <v>0</v>
      </c>
      <c r="AQ117" s="38">
        <f t="shared" si="120"/>
        <v>0</v>
      </c>
      <c r="AR117" s="38">
        <f t="shared" si="120"/>
        <v>0</v>
      </c>
      <c r="AS117" s="38">
        <f t="shared" si="120"/>
        <v>0</v>
      </c>
      <c r="AT117" s="38">
        <f t="shared" si="120"/>
        <v>0</v>
      </c>
      <c r="AU117" s="38">
        <f t="shared" si="120"/>
        <v>0</v>
      </c>
      <c r="AV117" s="38">
        <f t="shared" si="120"/>
        <v>0</v>
      </c>
      <c r="AW117" s="38">
        <f t="shared" si="120"/>
        <v>0</v>
      </c>
      <c r="AX117" s="38">
        <f t="shared" si="120"/>
        <v>0</v>
      </c>
      <c r="AY117" s="38">
        <f t="shared" si="120"/>
        <v>0</v>
      </c>
      <c r="AZ117" s="38">
        <f t="shared" si="120"/>
        <v>0</v>
      </c>
      <c r="BA117" s="38">
        <f t="shared" si="120"/>
        <v>0</v>
      </c>
      <c r="BB117" s="38">
        <f t="shared" si="120"/>
        <v>0</v>
      </c>
      <c r="BC117" s="38">
        <f t="shared" si="120"/>
        <v>0</v>
      </c>
      <c r="BD117" s="38">
        <f t="shared" si="120"/>
        <v>0</v>
      </c>
      <c r="BE117" s="38">
        <f t="shared" si="120"/>
        <v>0</v>
      </c>
      <c r="BF117" s="38">
        <f t="shared" si="120"/>
        <v>0</v>
      </c>
      <c r="BG117" s="38">
        <f t="shared" si="120"/>
        <v>0</v>
      </c>
      <c r="BH117" s="38">
        <f t="shared" si="120"/>
        <v>0</v>
      </c>
      <c r="BI117" s="38">
        <f t="shared" si="120"/>
        <v>0</v>
      </c>
      <c r="BJ117" s="38">
        <f t="shared" si="120"/>
        <v>0</v>
      </c>
      <c r="BK117" s="38">
        <f t="shared" si="120"/>
        <v>0</v>
      </c>
      <c r="BL117" s="38">
        <f t="shared" si="120"/>
        <v>0</v>
      </c>
      <c r="BM117" s="38">
        <f t="shared" si="120"/>
        <v>0</v>
      </c>
      <c r="BN117" s="38">
        <f t="shared" si="120"/>
        <v>0</v>
      </c>
      <c r="BO117" s="38">
        <f t="shared" si="120"/>
        <v>0</v>
      </c>
      <c r="BP117" s="38">
        <f t="shared" si="120"/>
        <v>0</v>
      </c>
      <c r="BQ117" s="38">
        <f t="shared" si="120"/>
        <v>0</v>
      </c>
      <c r="BR117" s="38">
        <f t="shared" si="120"/>
        <v>0</v>
      </c>
      <c r="BS117" s="38">
        <f t="shared" si="120"/>
        <v>0</v>
      </c>
      <c r="BT117" s="38">
        <f t="shared" si="120"/>
        <v>0</v>
      </c>
      <c r="BU117" s="38">
        <f t="shared" si="120"/>
        <v>0</v>
      </c>
      <c r="BV117" s="38">
        <f t="shared" si="120"/>
        <v>0</v>
      </c>
      <c r="BX117" s="38">
        <f t="shared" ref="BX117:CI117" si="121">IF(AND(BW$5&lt;$F117,BX$5&gt;=$F117),1, 0)</f>
        <v>0</v>
      </c>
      <c r="BY117" s="38">
        <f t="shared" si="121"/>
        <v>0</v>
      </c>
      <c r="BZ117" s="38">
        <f t="shared" si="121"/>
        <v>0</v>
      </c>
      <c r="CA117" s="38">
        <f t="shared" si="121"/>
        <v>0</v>
      </c>
      <c r="CB117" s="38">
        <f t="shared" si="121"/>
        <v>0</v>
      </c>
      <c r="CC117" s="38">
        <f t="shared" si="121"/>
        <v>0</v>
      </c>
      <c r="CD117" s="38">
        <f t="shared" si="121"/>
        <v>0</v>
      </c>
      <c r="CE117" s="38">
        <f t="shared" si="121"/>
        <v>0</v>
      </c>
      <c r="CF117" s="38">
        <f t="shared" si="121"/>
        <v>0</v>
      </c>
      <c r="CG117" s="38">
        <f t="shared" si="121"/>
        <v>0</v>
      </c>
      <c r="CH117" s="38">
        <f t="shared" si="121"/>
        <v>0</v>
      </c>
      <c r="CI117" s="38">
        <f t="shared" si="121"/>
        <v>0</v>
      </c>
      <c r="CK117" s="11"/>
      <c r="CM117" s="11"/>
      <c r="EX117" s="10" t="str">
        <f t="shared" si="55"/>
        <v/>
      </c>
    </row>
    <row r="118" spans="1:154" x14ac:dyDescent="0.35">
      <c r="B118" t="str">
        <f ca="1">Loans!B$17</f>
        <v>Loan 5</v>
      </c>
      <c r="D118" s="51">
        <f>Loans!D$17</f>
        <v>0</v>
      </c>
      <c r="E118" s="117" t="str">
        <f>IF(Loans!J$17=0, "", Loans!J$17)</f>
        <v/>
      </c>
      <c r="F118" s="117" t="str">
        <f>IF(Loans!K$17=0, "", Loans!K$17)</f>
        <v/>
      </c>
      <c r="V118" s="38">
        <f t="shared" si="113"/>
        <v>0</v>
      </c>
      <c r="W118" s="38">
        <f t="shared" si="113"/>
        <v>0</v>
      </c>
      <c r="X118" s="38">
        <f t="shared" si="113"/>
        <v>0</v>
      </c>
      <c r="Y118" s="38">
        <f t="shared" si="113"/>
        <v>0</v>
      </c>
      <c r="AA118" s="38">
        <f t="shared" ref="AA118:BV118" si="122">IF(AND(Z$5&lt;$F118,AA$5&gt;=$F118),1, 0)</f>
        <v>0</v>
      </c>
      <c r="AB118" s="38">
        <f t="shared" si="122"/>
        <v>0</v>
      </c>
      <c r="AC118" s="38">
        <f t="shared" si="122"/>
        <v>0</v>
      </c>
      <c r="AD118" s="38">
        <f t="shared" si="122"/>
        <v>0</v>
      </c>
      <c r="AE118" s="38">
        <f t="shared" si="122"/>
        <v>0</v>
      </c>
      <c r="AF118" s="38">
        <f t="shared" si="122"/>
        <v>0</v>
      </c>
      <c r="AG118" s="38">
        <f t="shared" si="122"/>
        <v>0</v>
      </c>
      <c r="AH118" s="38">
        <f t="shared" si="122"/>
        <v>0</v>
      </c>
      <c r="AI118" s="38">
        <f t="shared" si="122"/>
        <v>0</v>
      </c>
      <c r="AJ118" s="38">
        <f t="shared" si="122"/>
        <v>0</v>
      </c>
      <c r="AK118" s="38">
        <f t="shared" si="122"/>
        <v>0</v>
      </c>
      <c r="AL118" s="38">
        <f t="shared" si="122"/>
        <v>0</v>
      </c>
      <c r="AM118" s="38">
        <f t="shared" si="122"/>
        <v>0</v>
      </c>
      <c r="AN118" s="38">
        <f t="shared" si="122"/>
        <v>0</v>
      </c>
      <c r="AO118" s="38">
        <f t="shared" si="122"/>
        <v>0</v>
      </c>
      <c r="AP118" s="38">
        <f t="shared" si="122"/>
        <v>0</v>
      </c>
      <c r="AQ118" s="38">
        <f t="shared" si="122"/>
        <v>0</v>
      </c>
      <c r="AR118" s="38">
        <f t="shared" si="122"/>
        <v>0</v>
      </c>
      <c r="AS118" s="38">
        <f t="shared" si="122"/>
        <v>0</v>
      </c>
      <c r="AT118" s="38">
        <f t="shared" si="122"/>
        <v>0</v>
      </c>
      <c r="AU118" s="38">
        <f t="shared" si="122"/>
        <v>0</v>
      </c>
      <c r="AV118" s="38">
        <f t="shared" si="122"/>
        <v>0</v>
      </c>
      <c r="AW118" s="38">
        <f t="shared" si="122"/>
        <v>0</v>
      </c>
      <c r="AX118" s="38">
        <f t="shared" si="122"/>
        <v>0</v>
      </c>
      <c r="AY118" s="38">
        <f t="shared" si="122"/>
        <v>0</v>
      </c>
      <c r="AZ118" s="38">
        <f t="shared" si="122"/>
        <v>0</v>
      </c>
      <c r="BA118" s="38">
        <f t="shared" si="122"/>
        <v>0</v>
      </c>
      <c r="BB118" s="38">
        <f t="shared" si="122"/>
        <v>0</v>
      </c>
      <c r="BC118" s="38">
        <f t="shared" si="122"/>
        <v>0</v>
      </c>
      <c r="BD118" s="38">
        <f t="shared" si="122"/>
        <v>0</v>
      </c>
      <c r="BE118" s="38">
        <f t="shared" si="122"/>
        <v>0</v>
      </c>
      <c r="BF118" s="38">
        <f t="shared" si="122"/>
        <v>0</v>
      </c>
      <c r="BG118" s="38">
        <f t="shared" si="122"/>
        <v>0</v>
      </c>
      <c r="BH118" s="38">
        <f t="shared" si="122"/>
        <v>0</v>
      </c>
      <c r="BI118" s="38">
        <f t="shared" si="122"/>
        <v>0</v>
      </c>
      <c r="BJ118" s="38">
        <f t="shared" si="122"/>
        <v>0</v>
      </c>
      <c r="BK118" s="38">
        <f t="shared" si="122"/>
        <v>0</v>
      </c>
      <c r="BL118" s="38">
        <f t="shared" si="122"/>
        <v>0</v>
      </c>
      <c r="BM118" s="38">
        <f t="shared" si="122"/>
        <v>0</v>
      </c>
      <c r="BN118" s="38">
        <f t="shared" si="122"/>
        <v>0</v>
      </c>
      <c r="BO118" s="38">
        <f t="shared" si="122"/>
        <v>0</v>
      </c>
      <c r="BP118" s="38">
        <f t="shared" si="122"/>
        <v>0</v>
      </c>
      <c r="BQ118" s="38">
        <f t="shared" si="122"/>
        <v>0</v>
      </c>
      <c r="BR118" s="38">
        <f t="shared" si="122"/>
        <v>0</v>
      </c>
      <c r="BS118" s="38">
        <f t="shared" si="122"/>
        <v>0</v>
      </c>
      <c r="BT118" s="38">
        <f t="shared" si="122"/>
        <v>0</v>
      </c>
      <c r="BU118" s="38">
        <f t="shared" si="122"/>
        <v>0</v>
      </c>
      <c r="BV118" s="38">
        <f t="shared" si="122"/>
        <v>0</v>
      </c>
      <c r="BX118" s="38">
        <f t="shared" ref="BX118:CI118" si="123">IF(AND(BW$5&lt;$F118,BX$5&gt;=$F118),1, 0)</f>
        <v>0</v>
      </c>
      <c r="BY118" s="38">
        <f t="shared" si="123"/>
        <v>0</v>
      </c>
      <c r="BZ118" s="38">
        <f t="shared" si="123"/>
        <v>0</v>
      </c>
      <c r="CA118" s="38">
        <f t="shared" si="123"/>
        <v>0</v>
      </c>
      <c r="CB118" s="38">
        <f t="shared" si="123"/>
        <v>0</v>
      </c>
      <c r="CC118" s="38">
        <f t="shared" si="123"/>
        <v>0</v>
      </c>
      <c r="CD118" s="38">
        <f t="shared" si="123"/>
        <v>0</v>
      </c>
      <c r="CE118" s="38">
        <f t="shared" si="123"/>
        <v>0</v>
      </c>
      <c r="CF118" s="38">
        <f t="shared" si="123"/>
        <v>0</v>
      </c>
      <c r="CG118" s="38">
        <f t="shared" si="123"/>
        <v>0</v>
      </c>
      <c r="CH118" s="38">
        <f t="shared" si="123"/>
        <v>0</v>
      </c>
      <c r="CI118" s="38">
        <f t="shared" si="123"/>
        <v>0</v>
      </c>
      <c r="CK118" s="11"/>
      <c r="CM118" s="11"/>
      <c r="EX118" s="10" t="str">
        <f t="shared" si="55"/>
        <v/>
      </c>
    </row>
    <row r="119" spans="1:154" x14ac:dyDescent="0.35">
      <c r="B119" t="str">
        <f ca="1">Loans!B$18</f>
        <v>Loan 6</v>
      </c>
      <c r="D119" s="51">
        <f>Loans!D$18</f>
        <v>0</v>
      </c>
      <c r="E119" s="117" t="str">
        <f>IF(Loans!J$18=0, "", Loans!J$18)</f>
        <v/>
      </c>
      <c r="F119" s="117" t="str">
        <f>IF(Loans!K$18=0, "", Loans!K$18)</f>
        <v/>
      </c>
      <c r="V119" s="38">
        <f t="shared" si="113"/>
        <v>0</v>
      </c>
      <c r="W119" s="38">
        <f t="shared" si="113"/>
        <v>0</v>
      </c>
      <c r="X119" s="38">
        <f t="shared" si="113"/>
        <v>0</v>
      </c>
      <c r="Y119" s="38">
        <f t="shared" si="113"/>
        <v>0</v>
      </c>
      <c r="AA119" s="38">
        <f t="shared" ref="AA119:BV119" si="124">IF(AND(Z$5&lt;$F119,AA$5&gt;=$F119),1, 0)</f>
        <v>0</v>
      </c>
      <c r="AB119" s="38">
        <f t="shared" si="124"/>
        <v>0</v>
      </c>
      <c r="AC119" s="38">
        <f t="shared" si="124"/>
        <v>0</v>
      </c>
      <c r="AD119" s="38">
        <f t="shared" si="124"/>
        <v>0</v>
      </c>
      <c r="AE119" s="38">
        <f t="shared" si="124"/>
        <v>0</v>
      </c>
      <c r="AF119" s="38">
        <f t="shared" si="124"/>
        <v>0</v>
      </c>
      <c r="AG119" s="38">
        <f t="shared" si="124"/>
        <v>0</v>
      </c>
      <c r="AH119" s="38">
        <f t="shared" si="124"/>
        <v>0</v>
      </c>
      <c r="AI119" s="38">
        <f t="shared" si="124"/>
        <v>0</v>
      </c>
      <c r="AJ119" s="38">
        <f t="shared" si="124"/>
        <v>0</v>
      </c>
      <c r="AK119" s="38">
        <f t="shared" si="124"/>
        <v>0</v>
      </c>
      <c r="AL119" s="38">
        <f t="shared" si="124"/>
        <v>0</v>
      </c>
      <c r="AM119" s="38">
        <f t="shared" si="124"/>
        <v>0</v>
      </c>
      <c r="AN119" s="38">
        <f t="shared" si="124"/>
        <v>0</v>
      </c>
      <c r="AO119" s="38">
        <f t="shared" si="124"/>
        <v>0</v>
      </c>
      <c r="AP119" s="38">
        <f t="shared" si="124"/>
        <v>0</v>
      </c>
      <c r="AQ119" s="38">
        <f t="shared" si="124"/>
        <v>0</v>
      </c>
      <c r="AR119" s="38">
        <f t="shared" si="124"/>
        <v>0</v>
      </c>
      <c r="AS119" s="38">
        <f t="shared" si="124"/>
        <v>0</v>
      </c>
      <c r="AT119" s="38">
        <f t="shared" si="124"/>
        <v>0</v>
      </c>
      <c r="AU119" s="38">
        <f t="shared" si="124"/>
        <v>0</v>
      </c>
      <c r="AV119" s="38">
        <f t="shared" si="124"/>
        <v>0</v>
      </c>
      <c r="AW119" s="38">
        <f t="shared" si="124"/>
        <v>0</v>
      </c>
      <c r="AX119" s="38">
        <f t="shared" si="124"/>
        <v>0</v>
      </c>
      <c r="AY119" s="38">
        <f t="shared" si="124"/>
        <v>0</v>
      </c>
      <c r="AZ119" s="38">
        <f t="shared" si="124"/>
        <v>0</v>
      </c>
      <c r="BA119" s="38">
        <f t="shared" si="124"/>
        <v>0</v>
      </c>
      <c r="BB119" s="38">
        <f t="shared" si="124"/>
        <v>0</v>
      </c>
      <c r="BC119" s="38">
        <f t="shared" si="124"/>
        <v>0</v>
      </c>
      <c r="BD119" s="38">
        <f t="shared" si="124"/>
        <v>0</v>
      </c>
      <c r="BE119" s="38">
        <f t="shared" si="124"/>
        <v>0</v>
      </c>
      <c r="BF119" s="38">
        <f t="shared" si="124"/>
        <v>0</v>
      </c>
      <c r="BG119" s="38">
        <f t="shared" si="124"/>
        <v>0</v>
      </c>
      <c r="BH119" s="38">
        <f t="shared" si="124"/>
        <v>0</v>
      </c>
      <c r="BI119" s="38">
        <f t="shared" si="124"/>
        <v>0</v>
      </c>
      <c r="BJ119" s="38">
        <f t="shared" si="124"/>
        <v>0</v>
      </c>
      <c r="BK119" s="38">
        <f t="shared" si="124"/>
        <v>0</v>
      </c>
      <c r="BL119" s="38">
        <f t="shared" si="124"/>
        <v>0</v>
      </c>
      <c r="BM119" s="38">
        <f t="shared" si="124"/>
        <v>0</v>
      </c>
      <c r="BN119" s="38">
        <f t="shared" si="124"/>
        <v>0</v>
      </c>
      <c r="BO119" s="38">
        <f t="shared" si="124"/>
        <v>0</v>
      </c>
      <c r="BP119" s="38">
        <f t="shared" si="124"/>
        <v>0</v>
      </c>
      <c r="BQ119" s="38">
        <f t="shared" si="124"/>
        <v>0</v>
      </c>
      <c r="BR119" s="38">
        <f t="shared" si="124"/>
        <v>0</v>
      </c>
      <c r="BS119" s="38">
        <f t="shared" si="124"/>
        <v>0</v>
      </c>
      <c r="BT119" s="38">
        <f t="shared" si="124"/>
        <v>0</v>
      </c>
      <c r="BU119" s="38">
        <f t="shared" si="124"/>
        <v>0</v>
      </c>
      <c r="BV119" s="38">
        <f t="shared" si="124"/>
        <v>0</v>
      </c>
      <c r="BX119" s="38">
        <f t="shared" ref="BX119:CI119" si="125">IF(AND(BW$5&lt;$F119,BX$5&gt;=$F119),1, 0)</f>
        <v>0</v>
      </c>
      <c r="BY119" s="38">
        <f t="shared" si="125"/>
        <v>0</v>
      </c>
      <c r="BZ119" s="38">
        <f t="shared" si="125"/>
        <v>0</v>
      </c>
      <c r="CA119" s="38">
        <f t="shared" si="125"/>
        <v>0</v>
      </c>
      <c r="CB119" s="38">
        <f t="shared" si="125"/>
        <v>0</v>
      </c>
      <c r="CC119" s="38">
        <f t="shared" si="125"/>
        <v>0</v>
      </c>
      <c r="CD119" s="38">
        <f t="shared" si="125"/>
        <v>0</v>
      </c>
      <c r="CE119" s="38">
        <f t="shared" si="125"/>
        <v>0</v>
      </c>
      <c r="CF119" s="38">
        <f t="shared" si="125"/>
        <v>0</v>
      </c>
      <c r="CG119" s="38">
        <f t="shared" si="125"/>
        <v>0</v>
      </c>
      <c r="CH119" s="38">
        <f t="shared" si="125"/>
        <v>0</v>
      </c>
      <c r="CI119" s="38">
        <f t="shared" si="125"/>
        <v>0</v>
      </c>
      <c r="CK119" s="11"/>
      <c r="CM119" s="11"/>
      <c r="EX119" s="10" t="str">
        <f t="shared" si="55"/>
        <v/>
      </c>
    </row>
    <row r="120" spans="1:154" s="5" customFormat="1" x14ac:dyDescent="0.35">
      <c r="A120"/>
      <c r="B120" t="str">
        <f ca="1">Loans!B$19</f>
        <v>Loan 7</v>
      </c>
      <c r="D120" s="51">
        <f>Loans!D$19</f>
        <v>0</v>
      </c>
      <c r="E120" s="117" t="str">
        <f>IF(Loans!J$19=0, "", Loans!J$19)</f>
        <v/>
      </c>
      <c r="F120" s="117" t="str">
        <f>IF(Loans!K$19=0, "", Loans!K$19)</f>
        <v/>
      </c>
      <c r="G120"/>
      <c r="H120"/>
      <c r="I120"/>
      <c r="J120"/>
      <c r="K120"/>
      <c r="N120"/>
      <c r="O120"/>
      <c r="P120"/>
      <c r="Q120"/>
      <c r="S120"/>
      <c r="T120"/>
      <c r="U120"/>
      <c r="V120" s="38">
        <f t="shared" si="113"/>
        <v>0</v>
      </c>
      <c r="W120" s="38">
        <f t="shared" si="113"/>
        <v>0</v>
      </c>
      <c r="X120" s="38">
        <f t="shared" si="113"/>
        <v>0</v>
      </c>
      <c r="Y120" s="38">
        <f t="shared" si="113"/>
        <v>0</v>
      </c>
      <c r="Z120"/>
      <c r="AA120" s="38">
        <f t="shared" ref="AA120:BV120" si="126">IF(AND(Z$5&lt;$F120,AA$5&gt;=$F120),1, 0)</f>
        <v>0</v>
      </c>
      <c r="AB120" s="38">
        <f t="shared" si="126"/>
        <v>0</v>
      </c>
      <c r="AC120" s="38">
        <f t="shared" si="126"/>
        <v>0</v>
      </c>
      <c r="AD120" s="38">
        <f t="shared" si="126"/>
        <v>0</v>
      </c>
      <c r="AE120" s="38">
        <f t="shared" si="126"/>
        <v>0</v>
      </c>
      <c r="AF120" s="38">
        <f t="shared" si="126"/>
        <v>0</v>
      </c>
      <c r="AG120" s="38">
        <f t="shared" si="126"/>
        <v>0</v>
      </c>
      <c r="AH120" s="38">
        <f t="shared" si="126"/>
        <v>0</v>
      </c>
      <c r="AI120" s="38">
        <f t="shared" si="126"/>
        <v>0</v>
      </c>
      <c r="AJ120" s="38">
        <f t="shared" si="126"/>
        <v>0</v>
      </c>
      <c r="AK120" s="38">
        <f t="shared" si="126"/>
        <v>0</v>
      </c>
      <c r="AL120" s="38">
        <f t="shared" si="126"/>
        <v>0</v>
      </c>
      <c r="AM120" s="38">
        <f t="shared" si="126"/>
        <v>0</v>
      </c>
      <c r="AN120" s="38">
        <f t="shared" si="126"/>
        <v>0</v>
      </c>
      <c r="AO120" s="38">
        <f t="shared" si="126"/>
        <v>0</v>
      </c>
      <c r="AP120" s="38">
        <f t="shared" si="126"/>
        <v>0</v>
      </c>
      <c r="AQ120" s="38">
        <f t="shared" si="126"/>
        <v>0</v>
      </c>
      <c r="AR120" s="38">
        <f t="shared" si="126"/>
        <v>0</v>
      </c>
      <c r="AS120" s="38">
        <f t="shared" si="126"/>
        <v>0</v>
      </c>
      <c r="AT120" s="38">
        <f t="shared" si="126"/>
        <v>0</v>
      </c>
      <c r="AU120" s="38">
        <f t="shared" si="126"/>
        <v>0</v>
      </c>
      <c r="AV120" s="38">
        <f t="shared" si="126"/>
        <v>0</v>
      </c>
      <c r="AW120" s="38">
        <f t="shared" si="126"/>
        <v>0</v>
      </c>
      <c r="AX120" s="38">
        <f t="shared" si="126"/>
        <v>0</v>
      </c>
      <c r="AY120" s="38">
        <f t="shared" si="126"/>
        <v>0</v>
      </c>
      <c r="AZ120" s="38">
        <f t="shared" si="126"/>
        <v>0</v>
      </c>
      <c r="BA120" s="38">
        <f t="shared" si="126"/>
        <v>0</v>
      </c>
      <c r="BB120" s="38">
        <f t="shared" si="126"/>
        <v>0</v>
      </c>
      <c r="BC120" s="38">
        <f t="shared" si="126"/>
        <v>0</v>
      </c>
      <c r="BD120" s="38">
        <f t="shared" si="126"/>
        <v>0</v>
      </c>
      <c r="BE120" s="38">
        <f t="shared" si="126"/>
        <v>0</v>
      </c>
      <c r="BF120" s="38">
        <f t="shared" si="126"/>
        <v>0</v>
      </c>
      <c r="BG120" s="38">
        <f t="shared" si="126"/>
        <v>0</v>
      </c>
      <c r="BH120" s="38">
        <f t="shared" si="126"/>
        <v>0</v>
      </c>
      <c r="BI120" s="38">
        <f t="shared" si="126"/>
        <v>0</v>
      </c>
      <c r="BJ120" s="38">
        <f t="shared" si="126"/>
        <v>0</v>
      </c>
      <c r="BK120" s="38">
        <f t="shared" si="126"/>
        <v>0</v>
      </c>
      <c r="BL120" s="38">
        <f t="shared" si="126"/>
        <v>0</v>
      </c>
      <c r="BM120" s="38">
        <f t="shared" si="126"/>
        <v>0</v>
      </c>
      <c r="BN120" s="38">
        <f t="shared" si="126"/>
        <v>0</v>
      </c>
      <c r="BO120" s="38">
        <f t="shared" si="126"/>
        <v>0</v>
      </c>
      <c r="BP120" s="38">
        <f t="shared" si="126"/>
        <v>0</v>
      </c>
      <c r="BQ120" s="38">
        <f t="shared" si="126"/>
        <v>0</v>
      </c>
      <c r="BR120" s="38">
        <f t="shared" si="126"/>
        <v>0</v>
      </c>
      <c r="BS120" s="38">
        <f t="shared" si="126"/>
        <v>0</v>
      </c>
      <c r="BT120" s="38">
        <f t="shared" si="126"/>
        <v>0</v>
      </c>
      <c r="BU120" s="38">
        <f t="shared" si="126"/>
        <v>0</v>
      </c>
      <c r="BV120" s="38">
        <f t="shared" si="126"/>
        <v>0</v>
      </c>
      <c r="BW120"/>
      <c r="BX120" s="38">
        <f t="shared" ref="BX120:CI120" si="127">IF(AND(BW$5&lt;$F120,BX$5&gt;=$F120),1, 0)</f>
        <v>0</v>
      </c>
      <c r="BY120" s="38">
        <f t="shared" si="127"/>
        <v>0</v>
      </c>
      <c r="BZ120" s="38">
        <f t="shared" si="127"/>
        <v>0</v>
      </c>
      <c r="CA120" s="38">
        <f t="shared" si="127"/>
        <v>0</v>
      </c>
      <c r="CB120" s="38">
        <f t="shared" si="127"/>
        <v>0</v>
      </c>
      <c r="CC120" s="38">
        <f t="shared" si="127"/>
        <v>0</v>
      </c>
      <c r="CD120" s="38">
        <f t="shared" si="127"/>
        <v>0</v>
      </c>
      <c r="CE120" s="38">
        <f t="shared" si="127"/>
        <v>0</v>
      </c>
      <c r="CF120" s="38">
        <f t="shared" si="127"/>
        <v>0</v>
      </c>
      <c r="CG120" s="38">
        <f t="shared" si="127"/>
        <v>0</v>
      </c>
      <c r="CH120" s="38">
        <f t="shared" si="127"/>
        <v>0</v>
      </c>
      <c r="CI120" s="38">
        <f t="shared" si="127"/>
        <v>0</v>
      </c>
      <c r="CJ120"/>
      <c r="CK120" s="11"/>
      <c r="CL120"/>
      <c r="CM120" s="11"/>
      <c r="EX120" s="10" t="str">
        <f t="shared" si="55"/>
        <v/>
      </c>
    </row>
    <row r="121" spans="1:154" x14ac:dyDescent="0.35">
      <c r="B121" t="str">
        <f ca="1">Loans!B$20</f>
        <v>Loan 8</v>
      </c>
      <c r="D121" s="51">
        <f>Loans!D$20</f>
        <v>0</v>
      </c>
      <c r="E121" s="117" t="str">
        <f>IF(Loans!J$20=0, "", Loans!J$20)</f>
        <v/>
      </c>
      <c r="F121" s="117" t="str">
        <f>IF(Loans!K$20=0, "", Loans!K$20)</f>
        <v/>
      </c>
      <c r="V121" s="38">
        <f t="shared" si="113"/>
        <v>0</v>
      </c>
      <c r="W121" s="38">
        <f t="shared" si="113"/>
        <v>0</v>
      </c>
      <c r="X121" s="38">
        <f t="shared" si="113"/>
        <v>0</v>
      </c>
      <c r="Y121" s="38">
        <f t="shared" si="113"/>
        <v>0</v>
      </c>
      <c r="AA121" s="38">
        <f t="shared" ref="AA121:BV121" si="128">IF(AND(Z$5&lt;$F121,AA$5&gt;=$F121),1, 0)</f>
        <v>0</v>
      </c>
      <c r="AB121" s="38">
        <f t="shared" si="128"/>
        <v>0</v>
      </c>
      <c r="AC121" s="38">
        <f t="shared" si="128"/>
        <v>0</v>
      </c>
      <c r="AD121" s="38">
        <f t="shared" si="128"/>
        <v>0</v>
      </c>
      <c r="AE121" s="38">
        <f t="shared" si="128"/>
        <v>0</v>
      </c>
      <c r="AF121" s="38">
        <f t="shared" si="128"/>
        <v>0</v>
      </c>
      <c r="AG121" s="38">
        <f t="shared" si="128"/>
        <v>0</v>
      </c>
      <c r="AH121" s="38">
        <f t="shared" si="128"/>
        <v>0</v>
      </c>
      <c r="AI121" s="38">
        <f t="shared" si="128"/>
        <v>0</v>
      </c>
      <c r="AJ121" s="38">
        <f t="shared" si="128"/>
        <v>0</v>
      </c>
      <c r="AK121" s="38">
        <f t="shared" si="128"/>
        <v>0</v>
      </c>
      <c r="AL121" s="38">
        <f t="shared" si="128"/>
        <v>0</v>
      </c>
      <c r="AM121" s="38">
        <f t="shared" si="128"/>
        <v>0</v>
      </c>
      <c r="AN121" s="38">
        <f t="shared" si="128"/>
        <v>0</v>
      </c>
      <c r="AO121" s="38">
        <f t="shared" si="128"/>
        <v>0</v>
      </c>
      <c r="AP121" s="38">
        <f t="shared" si="128"/>
        <v>0</v>
      </c>
      <c r="AQ121" s="38">
        <f t="shared" si="128"/>
        <v>0</v>
      </c>
      <c r="AR121" s="38">
        <f t="shared" si="128"/>
        <v>0</v>
      </c>
      <c r="AS121" s="38">
        <f t="shared" si="128"/>
        <v>0</v>
      </c>
      <c r="AT121" s="38">
        <f t="shared" si="128"/>
        <v>0</v>
      </c>
      <c r="AU121" s="38">
        <f t="shared" si="128"/>
        <v>0</v>
      </c>
      <c r="AV121" s="38">
        <f t="shared" si="128"/>
        <v>0</v>
      </c>
      <c r="AW121" s="38">
        <f t="shared" si="128"/>
        <v>0</v>
      </c>
      <c r="AX121" s="38">
        <f t="shared" si="128"/>
        <v>0</v>
      </c>
      <c r="AY121" s="38">
        <f t="shared" si="128"/>
        <v>0</v>
      </c>
      <c r="AZ121" s="38">
        <f t="shared" si="128"/>
        <v>0</v>
      </c>
      <c r="BA121" s="38">
        <f t="shared" si="128"/>
        <v>0</v>
      </c>
      <c r="BB121" s="38">
        <f t="shared" si="128"/>
        <v>0</v>
      </c>
      <c r="BC121" s="38">
        <f t="shared" si="128"/>
        <v>0</v>
      </c>
      <c r="BD121" s="38">
        <f t="shared" si="128"/>
        <v>0</v>
      </c>
      <c r="BE121" s="38">
        <f t="shared" si="128"/>
        <v>0</v>
      </c>
      <c r="BF121" s="38">
        <f t="shared" si="128"/>
        <v>0</v>
      </c>
      <c r="BG121" s="38">
        <f t="shared" si="128"/>
        <v>0</v>
      </c>
      <c r="BH121" s="38">
        <f t="shared" si="128"/>
        <v>0</v>
      </c>
      <c r="BI121" s="38">
        <f t="shared" si="128"/>
        <v>0</v>
      </c>
      <c r="BJ121" s="38">
        <f t="shared" si="128"/>
        <v>0</v>
      </c>
      <c r="BK121" s="38">
        <f t="shared" si="128"/>
        <v>0</v>
      </c>
      <c r="BL121" s="38">
        <f t="shared" si="128"/>
        <v>0</v>
      </c>
      <c r="BM121" s="38">
        <f t="shared" si="128"/>
        <v>0</v>
      </c>
      <c r="BN121" s="38">
        <f t="shared" si="128"/>
        <v>0</v>
      </c>
      <c r="BO121" s="38">
        <f t="shared" si="128"/>
        <v>0</v>
      </c>
      <c r="BP121" s="38">
        <f t="shared" si="128"/>
        <v>0</v>
      </c>
      <c r="BQ121" s="38">
        <f t="shared" si="128"/>
        <v>0</v>
      </c>
      <c r="BR121" s="38">
        <f t="shared" si="128"/>
        <v>0</v>
      </c>
      <c r="BS121" s="38">
        <f t="shared" si="128"/>
        <v>0</v>
      </c>
      <c r="BT121" s="38">
        <f t="shared" si="128"/>
        <v>0</v>
      </c>
      <c r="BU121" s="38">
        <f t="shared" si="128"/>
        <v>0</v>
      </c>
      <c r="BV121" s="38">
        <f t="shared" si="128"/>
        <v>0</v>
      </c>
      <c r="BX121" s="38">
        <f t="shared" ref="BX121:CI121" si="129">IF(AND(BW$5&lt;$F121,BX$5&gt;=$F121),1, 0)</f>
        <v>0</v>
      </c>
      <c r="BY121" s="38">
        <f t="shared" si="129"/>
        <v>0</v>
      </c>
      <c r="BZ121" s="38">
        <f t="shared" si="129"/>
        <v>0</v>
      </c>
      <c r="CA121" s="38">
        <f t="shared" si="129"/>
        <v>0</v>
      </c>
      <c r="CB121" s="38">
        <f t="shared" si="129"/>
        <v>0</v>
      </c>
      <c r="CC121" s="38">
        <f t="shared" si="129"/>
        <v>0</v>
      </c>
      <c r="CD121" s="38">
        <f t="shared" si="129"/>
        <v>0</v>
      </c>
      <c r="CE121" s="38">
        <f t="shared" si="129"/>
        <v>0</v>
      </c>
      <c r="CF121" s="38">
        <f t="shared" si="129"/>
        <v>0</v>
      </c>
      <c r="CG121" s="38">
        <f t="shared" si="129"/>
        <v>0</v>
      </c>
      <c r="CH121" s="38">
        <f t="shared" si="129"/>
        <v>0</v>
      </c>
      <c r="CI121" s="38">
        <f t="shared" si="129"/>
        <v>0</v>
      </c>
      <c r="CK121" s="11"/>
      <c r="CM121" s="11"/>
      <c r="EX121" s="10" t="str">
        <f t="shared" si="55"/>
        <v/>
      </c>
    </row>
    <row r="122" spans="1:154" x14ac:dyDescent="0.35">
      <c r="B122" t="str">
        <f ca="1">Loans!B$21</f>
        <v>Loan 9</v>
      </c>
      <c r="D122" s="51">
        <f>Loans!D$21</f>
        <v>0</v>
      </c>
      <c r="E122" s="117" t="str">
        <f>IF(Loans!J$21=0, "", Loans!J$21)</f>
        <v/>
      </c>
      <c r="F122" s="117" t="str">
        <f>IF(Loans!K$21=0, "", Loans!K$21)</f>
        <v/>
      </c>
      <c r="V122" s="38">
        <f t="shared" si="113"/>
        <v>0</v>
      </c>
      <c r="W122" s="38">
        <f t="shared" si="113"/>
        <v>0</v>
      </c>
      <c r="X122" s="38">
        <f t="shared" si="113"/>
        <v>0</v>
      </c>
      <c r="Y122" s="38">
        <f t="shared" si="113"/>
        <v>0</v>
      </c>
      <c r="AA122" s="38">
        <f t="shared" ref="AA122:BV122" si="130">IF(AND(Z$5&lt;$F122,AA$5&gt;=$F122),1, 0)</f>
        <v>0</v>
      </c>
      <c r="AB122" s="38">
        <f t="shared" si="130"/>
        <v>0</v>
      </c>
      <c r="AC122" s="38">
        <f t="shared" si="130"/>
        <v>0</v>
      </c>
      <c r="AD122" s="38">
        <f t="shared" si="130"/>
        <v>0</v>
      </c>
      <c r="AE122" s="38">
        <f t="shared" si="130"/>
        <v>0</v>
      </c>
      <c r="AF122" s="38">
        <f t="shared" si="130"/>
        <v>0</v>
      </c>
      <c r="AG122" s="38">
        <f t="shared" si="130"/>
        <v>0</v>
      </c>
      <c r="AH122" s="38">
        <f t="shared" si="130"/>
        <v>0</v>
      </c>
      <c r="AI122" s="38">
        <f t="shared" si="130"/>
        <v>0</v>
      </c>
      <c r="AJ122" s="38">
        <f t="shared" si="130"/>
        <v>0</v>
      </c>
      <c r="AK122" s="38">
        <f t="shared" si="130"/>
        <v>0</v>
      </c>
      <c r="AL122" s="38">
        <f t="shared" si="130"/>
        <v>0</v>
      </c>
      <c r="AM122" s="38">
        <f t="shared" si="130"/>
        <v>0</v>
      </c>
      <c r="AN122" s="38">
        <f t="shared" si="130"/>
        <v>0</v>
      </c>
      <c r="AO122" s="38">
        <f t="shared" si="130"/>
        <v>0</v>
      </c>
      <c r="AP122" s="38">
        <f t="shared" si="130"/>
        <v>0</v>
      </c>
      <c r="AQ122" s="38">
        <f t="shared" si="130"/>
        <v>0</v>
      </c>
      <c r="AR122" s="38">
        <f t="shared" si="130"/>
        <v>0</v>
      </c>
      <c r="AS122" s="38">
        <f t="shared" si="130"/>
        <v>0</v>
      </c>
      <c r="AT122" s="38">
        <f t="shared" si="130"/>
        <v>0</v>
      </c>
      <c r="AU122" s="38">
        <f t="shared" si="130"/>
        <v>0</v>
      </c>
      <c r="AV122" s="38">
        <f t="shared" si="130"/>
        <v>0</v>
      </c>
      <c r="AW122" s="38">
        <f t="shared" si="130"/>
        <v>0</v>
      </c>
      <c r="AX122" s="38">
        <f t="shared" si="130"/>
        <v>0</v>
      </c>
      <c r="AY122" s="38">
        <f t="shared" si="130"/>
        <v>0</v>
      </c>
      <c r="AZ122" s="38">
        <f t="shared" si="130"/>
        <v>0</v>
      </c>
      <c r="BA122" s="38">
        <f t="shared" si="130"/>
        <v>0</v>
      </c>
      <c r="BB122" s="38">
        <f t="shared" si="130"/>
        <v>0</v>
      </c>
      <c r="BC122" s="38">
        <f t="shared" si="130"/>
        <v>0</v>
      </c>
      <c r="BD122" s="38">
        <f t="shared" si="130"/>
        <v>0</v>
      </c>
      <c r="BE122" s="38">
        <f t="shared" si="130"/>
        <v>0</v>
      </c>
      <c r="BF122" s="38">
        <f t="shared" si="130"/>
        <v>0</v>
      </c>
      <c r="BG122" s="38">
        <f t="shared" si="130"/>
        <v>0</v>
      </c>
      <c r="BH122" s="38">
        <f t="shared" si="130"/>
        <v>0</v>
      </c>
      <c r="BI122" s="38">
        <f t="shared" si="130"/>
        <v>0</v>
      </c>
      <c r="BJ122" s="38">
        <f t="shared" si="130"/>
        <v>0</v>
      </c>
      <c r="BK122" s="38">
        <f t="shared" si="130"/>
        <v>0</v>
      </c>
      <c r="BL122" s="38">
        <f t="shared" si="130"/>
        <v>0</v>
      </c>
      <c r="BM122" s="38">
        <f t="shared" si="130"/>
        <v>0</v>
      </c>
      <c r="BN122" s="38">
        <f t="shared" si="130"/>
        <v>0</v>
      </c>
      <c r="BO122" s="38">
        <f t="shared" si="130"/>
        <v>0</v>
      </c>
      <c r="BP122" s="38">
        <f t="shared" si="130"/>
        <v>0</v>
      </c>
      <c r="BQ122" s="38">
        <f t="shared" si="130"/>
        <v>0</v>
      </c>
      <c r="BR122" s="38">
        <f t="shared" si="130"/>
        <v>0</v>
      </c>
      <c r="BS122" s="38">
        <f t="shared" si="130"/>
        <v>0</v>
      </c>
      <c r="BT122" s="38">
        <f t="shared" si="130"/>
        <v>0</v>
      </c>
      <c r="BU122" s="38">
        <f t="shared" si="130"/>
        <v>0</v>
      </c>
      <c r="BV122" s="38">
        <f t="shared" si="130"/>
        <v>0</v>
      </c>
      <c r="BX122" s="38">
        <f t="shared" ref="BX122:CI122" si="131">IF(AND(BW$5&lt;$F122,BX$5&gt;=$F122),1, 0)</f>
        <v>0</v>
      </c>
      <c r="BY122" s="38">
        <f t="shared" si="131"/>
        <v>0</v>
      </c>
      <c r="BZ122" s="38">
        <f t="shared" si="131"/>
        <v>0</v>
      </c>
      <c r="CA122" s="38">
        <f t="shared" si="131"/>
        <v>0</v>
      </c>
      <c r="CB122" s="38">
        <f t="shared" si="131"/>
        <v>0</v>
      </c>
      <c r="CC122" s="38">
        <f t="shared" si="131"/>
        <v>0</v>
      </c>
      <c r="CD122" s="38">
        <f t="shared" si="131"/>
        <v>0</v>
      </c>
      <c r="CE122" s="38">
        <f t="shared" si="131"/>
        <v>0</v>
      </c>
      <c r="CF122" s="38">
        <f t="shared" si="131"/>
        <v>0</v>
      </c>
      <c r="CG122" s="38">
        <f t="shared" si="131"/>
        <v>0</v>
      </c>
      <c r="CH122" s="38">
        <f t="shared" si="131"/>
        <v>0</v>
      </c>
      <c r="CI122" s="38">
        <f t="shared" si="131"/>
        <v>0</v>
      </c>
      <c r="CK122" s="11"/>
      <c r="CM122" s="11"/>
      <c r="EX122" s="10" t="str">
        <f t="shared" si="55"/>
        <v/>
      </c>
    </row>
    <row r="123" spans="1:154" x14ac:dyDescent="0.35">
      <c r="B123" t="str">
        <f ca="1">Loans!B$22</f>
        <v>Loan 10</v>
      </c>
      <c r="D123" s="51">
        <f>Loans!D$22</f>
        <v>0</v>
      </c>
      <c r="E123" s="117" t="str">
        <f>IF(Loans!J$22=0, "", Loans!J$22)</f>
        <v/>
      </c>
      <c r="F123" s="117" t="str">
        <f>IF(Loans!K$22=0, "", Loans!K$22)</f>
        <v/>
      </c>
      <c r="V123" s="38">
        <f t="shared" si="113"/>
        <v>0</v>
      </c>
      <c r="W123" s="38">
        <f t="shared" si="113"/>
        <v>0</v>
      </c>
      <c r="X123" s="38">
        <f t="shared" si="113"/>
        <v>0</v>
      </c>
      <c r="Y123" s="38">
        <f t="shared" si="113"/>
        <v>0</v>
      </c>
      <c r="AA123" s="38">
        <f t="shared" ref="AA123:BV123" si="132">IF(AND(Z$5&lt;$F123,AA$5&gt;=$F123),1, 0)</f>
        <v>0</v>
      </c>
      <c r="AB123" s="38">
        <f t="shared" si="132"/>
        <v>0</v>
      </c>
      <c r="AC123" s="38">
        <f t="shared" si="132"/>
        <v>0</v>
      </c>
      <c r="AD123" s="38">
        <f t="shared" si="132"/>
        <v>0</v>
      </c>
      <c r="AE123" s="38">
        <f t="shared" si="132"/>
        <v>0</v>
      </c>
      <c r="AF123" s="38">
        <f t="shared" si="132"/>
        <v>0</v>
      </c>
      <c r="AG123" s="38">
        <f t="shared" si="132"/>
        <v>0</v>
      </c>
      <c r="AH123" s="38">
        <f t="shared" si="132"/>
        <v>0</v>
      </c>
      <c r="AI123" s="38">
        <f t="shared" si="132"/>
        <v>0</v>
      </c>
      <c r="AJ123" s="38">
        <f t="shared" si="132"/>
        <v>0</v>
      </c>
      <c r="AK123" s="38">
        <f t="shared" si="132"/>
        <v>0</v>
      </c>
      <c r="AL123" s="38">
        <f t="shared" si="132"/>
        <v>0</v>
      </c>
      <c r="AM123" s="38">
        <f t="shared" si="132"/>
        <v>0</v>
      </c>
      <c r="AN123" s="38">
        <f t="shared" si="132"/>
        <v>0</v>
      </c>
      <c r="AO123" s="38">
        <f t="shared" si="132"/>
        <v>0</v>
      </c>
      <c r="AP123" s="38">
        <f t="shared" si="132"/>
        <v>0</v>
      </c>
      <c r="AQ123" s="38">
        <f t="shared" si="132"/>
        <v>0</v>
      </c>
      <c r="AR123" s="38">
        <f t="shared" si="132"/>
        <v>0</v>
      </c>
      <c r="AS123" s="38">
        <f t="shared" si="132"/>
        <v>0</v>
      </c>
      <c r="AT123" s="38">
        <f t="shared" si="132"/>
        <v>0</v>
      </c>
      <c r="AU123" s="38">
        <f t="shared" si="132"/>
        <v>0</v>
      </c>
      <c r="AV123" s="38">
        <f t="shared" si="132"/>
        <v>0</v>
      </c>
      <c r="AW123" s="38">
        <f t="shared" si="132"/>
        <v>0</v>
      </c>
      <c r="AX123" s="38">
        <f t="shared" si="132"/>
        <v>0</v>
      </c>
      <c r="AY123" s="38">
        <f t="shared" si="132"/>
        <v>0</v>
      </c>
      <c r="AZ123" s="38">
        <f t="shared" si="132"/>
        <v>0</v>
      </c>
      <c r="BA123" s="38">
        <f t="shared" si="132"/>
        <v>0</v>
      </c>
      <c r="BB123" s="38">
        <f t="shared" si="132"/>
        <v>0</v>
      </c>
      <c r="BC123" s="38">
        <f t="shared" si="132"/>
        <v>0</v>
      </c>
      <c r="BD123" s="38">
        <f t="shared" si="132"/>
        <v>0</v>
      </c>
      <c r="BE123" s="38">
        <f t="shared" si="132"/>
        <v>0</v>
      </c>
      <c r="BF123" s="38">
        <f t="shared" si="132"/>
        <v>0</v>
      </c>
      <c r="BG123" s="38">
        <f t="shared" si="132"/>
        <v>0</v>
      </c>
      <c r="BH123" s="38">
        <f t="shared" si="132"/>
        <v>0</v>
      </c>
      <c r="BI123" s="38">
        <f t="shared" si="132"/>
        <v>0</v>
      </c>
      <c r="BJ123" s="38">
        <f t="shared" si="132"/>
        <v>0</v>
      </c>
      <c r="BK123" s="38">
        <f t="shared" si="132"/>
        <v>0</v>
      </c>
      <c r="BL123" s="38">
        <f t="shared" si="132"/>
        <v>0</v>
      </c>
      <c r="BM123" s="38">
        <f t="shared" si="132"/>
        <v>0</v>
      </c>
      <c r="BN123" s="38">
        <f t="shared" si="132"/>
        <v>0</v>
      </c>
      <c r="BO123" s="38">
        <f t="shared" si="132"/>
        <v>0</v>
      </c>
      <c r="BP123" s="38">
        <f t="shared" si="132"/>
        <v>0</v>
      </c>
      <c r="BQ123" s="38">
        <f t="shared" si="132"/>
        <v>0</v>
      </c>
      <c r="BR123" s="38">
        <f t="shared" si="132"/>
        <v>0</v>
      </c>
      <c r="BS123" s="38">
        <f t="shared" si="132"/>
        <v>0</v>
      </c>
      <c r="BT123" s="38">
        <f t="shared" si="132"/>
        <v>0</v>
      </c>
      <c r="BU123" s="38">
        <f t="shared" si="132"/>
        <v>0</v>
      </c>
      <c r="BV123" s="38">
        <f t="shared" si="132"/>
        <v>0</v>
      </c>
      <c r="BX123" s="38">
        <f t="shared" ref="BX123:CI123" si="133">IF(AND(BW$5&lt;$F123,BX$5&gt;=$F123),1, 0)</f>
        <v>0</v>
      </c>
      <c r="BY123" s="38">
        <f t="shared" si="133"/>
        <v>0</v>
      </c>
      <c r="BZ123" s="38">
        <f t="shared" si="133"/>
        <v>0</v>
      </c>
      <c r="CA123" s="38">
        <f t="shared" si="133"/>
        <v>0</v>
      </c>
      <c r="CB123" s="38">
        <f t="shared" si="133"/>
        <v>0</v>
      </c>
      <c r="CC123" s="38">
        <f t="shared" si="133"/>
        <v>0</v>
      </c>
      <c r="CD123" s="38">
        <f t="shared" si="133"/>
        <v>0</v>
      </c>
      <c r="CE123" s="38">
        <f t="shared" si="133"/>
        <v>0</v>
      </c>
      <c r="CF123" s="38">
        <f t="shared" si="133"/>
        <v>0</v>
      </c>
      <c r="CG123" s="38">
        <f t="shared" si="133"/>
        <v>0</v>
      </c>
      <c r="CH123" s="38">
        <f t="shared" si="133"/>
        <v>0</v>
      </c>
      <c r="CI123" s="38">
        <f t="shared" si="133"/>
        <v>0</v>
      </c>
      <c r="CK123" s="11"/>
      <c r="CM123" s="11"/>
      <c r="EX123" s="10" t="str">
        <f t="shared" si="55"/>
        <v/>
      </c>
    </row>
    <row r="124" spans="1:154" x14ac:dyDescent="0.35">
      <c r="B124" t="str">
        <f ca="1">Loans!B$23</f>
        <v>Loan 11</v>
      </c>
      <c r="D124" s="51">
        <f>Loans!D$23</f>
        <v>0</v>
      </c>
      <c r="E124" s="117" t="str">
        <f>IF(Loans!J$23=0, "", Loans!J$23)</f>
        <v/>
      </c>
      <c r="F124" s="117" t="str">
        <f>IF(Loans!K$23=0, "", Loans!K$23)</f>
        <v/>
      </c>
      <c r="V124" s="38">
        <f t="shared" si="113"/>
        <v>0</v>
      </c>
      <c r="W124" s="38">
        <f t="shared" si="113"/>
        <v>0</v>
      </c>
      <c r="X124" s="38">
        <f t="shared" si="113"/>
        <v>0</v>
      </c>
      <c r="Y124" s="38">
        <f t="shared" si="113"/>
        <v>0</v>
      </c>
      <c r="AA124" s="38">
        <f t="shared" ref="AA124:BV124" si="134">IF(AND(Z$5&lt;$F124,AA$5&gt;=$F124),1, 0)</f>
        <v>0</v>
      </c>
      <c r="AB124" s="38">
        <f t="shared" si="134"/>
        <v>0</v>
      </c>
      <c r="AC124" s="38">
        <f t="shared" si="134"/>
        <v>0</v>
      </c>
      <c r="AD124" s="38">
        <f t="shared" si="134"/>
        <v>0</v>
      </c>
      <c r="AE124" s="38">
        <f t="shared" si="134"/>
        <v>0</v>
      </c>
      <c r="AF124" s="38">
        <f t="shared" si="134"/>
        <v>0</v>
      </c>
      <c r="AG124" s="38">
        <f t="shared" si="134"/>
        <v>0</v>
      </c>
      <c r="AH124" s="38">
        <f t="shared" si="134"/>
        <v>0</v>
      </c>
      <c r="AI124" s="38">
        <f t="shared" si="134"/>
        <v>0</v>
      </c>
      <c r="AJ124" s="38">
        <f t="shared" si="134"/>
        <v>0</v>
      </c>
      <c r="AK124" s="38">
        <f t="shared" si="134"/>
        <v>0</v>
      </c>
      <c r="AL124" s="38">
        <f t="shared" si="134"/>
        <v>0</v>
      </c>
      <c r="AM124" s="38">
        <f t="shared" si="134"/>
        <v>0</v>
      </c>
      <c r="AN124" s="38">
        <f t="shared" si="134"/>
        <v>0</v>
      </c>
      <c r="AO124" s="38">
        <f t="shared" si="134"/>
        <v>0</v>
      </c>
      <c r="AP124" s="38">
        <f t="shared" si="134"/>
        <v>0</v>
      </c>
      <c r="AQ124" s="38">
        <f t="shared" si="134"/>
        <v>0</v>
      </c>
      <c r="AR124" s="38">
        <f t="shared" si="134"/>
        <v>0</v>
      </c>
      <c r="AS124" s="38">
        <f t="shared" si="134"/>
        <v>0</v>
      </c>
      <c r="AT124" s="38">
        <f t="shared" si="134"/>
        <v>0</v>
      </c>
      <c r="AU124" s="38">
        <f t="shared" si="134"/>
        <v>0</v>
      </c>
      <c r="AV124" s="38">
        <f t="shared" si="134"/>
        <v>0</v>
      </c>
      <c r="AW124" s="38">
        <f t="shared" si="134"/>
        <v>0</v>
      </c>
      <c r="AX124" s="38">
        <f t="shared" si="134"/>
        <v>0</v>
      </c>
      <c r="AY124" s="38">
        <f t="shared" si="134"/>
        <v>0</v>
      </c>
      <c r="AZ124" s="38">
        <f t="shared" si="134"/>
        <v>0</v>
      </c>
      <c r="BA124" s="38">
        <f t="shared" si="134"/>
        <v>0</v>
      </c>
      <c r="BB124" s="38">
        <f t="shared" si="134"/>
        <v>0</v>
      </c>
      <c r="BC124" s="38">
        <f t="shared" si="134"/>
        <v>0</v>
      </c>
      <c r="BD124" s="38">
        <f t="shared" si="134"/>
        <v>0</v>
      </c>
      <c r="BE124" s="38">
        <f t="shared" si="134"/>
        <v>0</v>
      </c>
      <c r="BF124" s="38">
        <f t="shared" si="134"/>
        <v>0</v>
      </c>
      <c r="BG124" s="38">
        <f t="shared" si="134"/>
        <v>0</v>
      </c>
      <c r="BH124" s="38">
        <f t="shared" si="134"/>
        <v>0</v>
      </c>
      <c r="BI124" s="38">
        <f t="shared" si="134"/>
        <v>0</v>
      </c>
      <c r="BJ124" s="38">
        <f t="shared" si="134"/>
        <v>0</v>
      </c>
      <c r="BK124" s="38">
        <f t="shared" si="134"/>
        <v>0</v>
      </c>
      <c r="BL124" s="38">
        <f t="shared" si="134"/>
        <v>0</v>
      </c>
      <c r="BM124" s="38">
        <f t="shared" si="134"/>
        <v>0</v>
      </c>
      <c r="BN124" s="38">
        <f t="shared" si="134"/>
        <v>0</v>
      </c>
      <c r="BO124" s="38">
        <f t="shared" si="134"/>
        <v>0</v>
      </c>
      <c r="BP124" s="38">
        <f t="shared" si="134"/>
        <v>0</v>
      </c>
      <c r="BQ124" s="38">
        <f t="shared" si="134"/>
        <v>0</v>
      </c>
      <c r="BR124" s="38">
        <f t="shared" si="134"/>
        <v>0</v>
      </c>
      <c r="BS124" s="38">
        <f t="shared" si="134"/>
        <v>0</v>
      </c>
      <c r="BT124" s="38">
        <f t="shared" si="134"/>
        <v>0</v>
      </c>
      <c r="BU124" s="38">
        <f t="shared" si="134"/>
        <v>0</v>
      </c>
      <c r="BV124" s="38">
        <f t="shared" si="134"/>
        <v>0</v>
      </c>
      <c r="BX124" s="38">
        <f t="shared" ref="BX124:CI124" si="135">IF(AND(BW$5&lt;$F124,BX$5&gt;=$F124),1, 0)</f>
        <v>0</v>
      </c>
      <c r="BY124" s="38">
        <f t="shared" si="135"/>
        <v>0</v>
      </c>
      <c r="BZ124" s="38">
        <f t="shared" si="135"/>
        <v>0</v>
      </c>
      <c r="CA124" s="38">
        <f t="shared" si="135"/>
        <v>0</v>
      </c>
      <c r="CB124" s="38">
        <f t="shared" si="135"/>
        <v>0</v>
      </c>
      <c r="CC124" s="38">
        <f t="shared" si="135"/>
        <v>0</v>
      </c>
      <c r="CD124" s="38">
        <f t="shared" si="135"/>
        <v>0</v>
      </c>
      <c r="CE124" s="38">
        <f t="shared" si="135"/>
        <v>0</v>
      </c>
      <c r="CF124" s="38">
        <f t="shared" si="135"/>
        <v>0</v>
      </c>
      <c r="CG124" s="38">
        <f t="shared" si="135"/>
        <v>0</v>
      </c>
      <c r="CH124" s="38">
        <f t="shared" si="135"/>
        <v>0</v>
      </c>
      <c r="CI124" s="38">
        <f t="shared" si="135"/>
        <v>0</v>
      </c>
      <c r="CK124" s="11"/>
      <c r="CM124" s="11"/>
      <c r="EX124" s="10" t="str">
        <f t="shared" si="55"/>
        <v/>
      </c>
    </row>
    <row r="125" spans="1:154" x14ac:dyDescent="0.35">
      <c r="B125" t="str">
        <f ca="1">Loans!B$24</f>
        <v>Loan 12</v>
      </c>
      <c r="D125" s="51">
        <f>Loans!D$24</f>
        <v>0</v>
      </c>
      <c r="E125" s="117" t="str">
        <f>IF(Loans!J$24=0, "", Loans!J$24)</f>
        <v/>
      </c>
      <c r="F125" s="117" t="str">
        <f>IF(Loans!K$24=0, "", Loans!K$24)</f>
        <v/>
      </c>
      <c r="V125" s="38">
        <f t="shared" si="113"/>
        <v>0</v>
      </c>
      <c r="W125" s="38">
        <f t="shared" si="113"/>
        <v>0</v>
      </c>
      <c r="X125" s="38">
        <f t="shared" si="113"/>
        <v>0</v>
      </c>
      <c r="Y125" s="38">
        <f t="shared" si="113"/>
        <v>0</v>
      </c>
      <c r="AA125" s="38">
        <f t="shared" ref="AA125:BV125" si="136">IF(AND(Z$5&lt;$F125,AA$5&gt;=$F125),1, 0)</f>
        <v>0</v>
      </c>
      <c r="AB125" s="38">
        <f t="shared" si="136"/>
        <v>0</v>
      </c>
      <c r="AC125" s="38">
        <f t="shared" si="136"/>
        <v>0</v>
      </c>
      <c r="AD125" s="38">
        <f t="shared" si="136"/>
        <v>0</v>
      </c>
      <c r="AE125" s="38">
        <f t="shared" si="136"/>
        <v>0</v>
      </c>
      <c r="AF125" s="38">
        <f t="shared" si="136"/>
        <v>0</v>
      </c>
      <c r="AG125" s="38">
        <f t="shared" si="136"/>
        <v>0</v>
      </c>
      <c r="AH125" s="38">
        <f t="shared" si="136"/>
        <v>0</v>
      </c>
      <c r="AI125" s="38">
        <f t="shared" si="136"/>
        <v>0</v>
      </c>
      <c r="AJ125" s="38">
        <f t="shared" si="136"/>
        <v>0</v>
      </c>
      <c r="AK125" s="38">
        <f t="shared" si="136"/>
        <v>0</v>
      </c>
      <c r="AL125" s="38">
        <f t="shared" si="136"/>
        <v>0</v>
      </c>
      <c r="AM125" s="38">
        <f t="shared" si="136"/>
        <v>0</v>
      </c>
      <c r="AN125" s="38">
        <f t="shared" si="136"/>
        <v>0</v>
      </c>
      <c r="AO125" s="38">
        <f t="shared" si="136"/>
        <v>0</v>
      </c>
      <c r="AP125" s="38">
        <f t="shared" si="136"/>
        <v>0</v>
      </c>
      <c r="AQ125" s="38">
        <f t="shared" si="136"/>
        <v>0</v>
      </c>
      <c r="AR125" s="38">
        <f t="shared" si="136"/>
        <v>0</v>
      </c>
      <c r="AS125" s="38">
        <f t="shared" si="136"/>
        <v>0</v>
      </c>
      <c r="AT125" s="38">
        <f t="shared" si="136"/>
        <v>0</v>
      </c>
      <c r="AU125" s="38">
        <f t="shared" si="136"/>
        <v>0</v>
      </c>
      <c r="AV125" s="38">
        <f t="shared" si="136"/>
        <v>0</v>
      </c>
      <c r="AW125" s="38">
        <f t="shared" si="136"/>
        <v>0</v>
      </c>
      <c r="AX125" s="38">
        <f t="shared" si="136"/>
        <v>0</v>
      </c>
      <c r="AY125" s="38">
        <f t="shared" si="136"/>
        <v>0</v>
      </c>
      <c r="AZ125" s="38">
        <f t="shared" si="136"/>
        <v>0</v>
      </c>
      <c r="BA125" s="38">
        <f t="shared" si="136"/>
        <v>0</v>
      </c>
      <c r="BB125" s="38">
        <f t="shared" si="136"/>
        <v>0</v>
      </c>
      <c r="BC125" s="38">
        <f t="shared" si="136"/>
        <v>0</v>
      </c>
      <c r="BD125" s="38">
        <f t="shared" si="136"/>
        <v>0</v>
      </c>
      <c r="BE125" s="38">
        <f t="shared" si="136"/>
        <v>0</v>
      </c>
      <c r="BF125" s="38">
        <f t="shared" si="136"/>
        <v>0</v>
      </c>
      <c r="BG125" s="38">
        <f t="shared" si="136"/>
        <v>0</v>
      </c>
      <c r="BH125" s="38">
        <f t="shared" si="136"/>
        <v>0</v>
      </c>
      <c r="BI125" s="38">
        <f t="shared" si="136"/>
        <v>0</v>
      </c>
      <c r="BJ125" s="38">
        <f t="shared" si="136"/>
        <v>0</v>
      </c>
      <c r="BK125" s="38">
        <f t="shared" si="136"/>
        <v>0</v>
      </c>
      <c r="BL125" s="38">
        <f t="shared" si="136"/>
        <v>0</v>
      </c>
      <c r="BM125" s="38">
        <f t="shared" si="136"/>
        <v>0</v>
      </c>
      <c r="BN125" s="38">
        <f t="shared" si="136"/>
        <v>0</v>
      </c>
      <c r="BO125" s="38">
        <f t="shared" si="136"/>
        <v>0</v>
      </c>
      <c r="BP125" s="38">
        <f t="shared" si="136"/>
        <v>0</v>
      </c>
      <c r="BQ125" s="38">
        <f t="shared" si="136"/>
        <v>0</v>
      </c>
      <c r="BR125" s="38">
        <f t="shared" si="136"/>
        <v>0</v>
      </c>
      <c r="BS125" s="38">
        <f t="shared" si="136"/>
        <v>0</v>
      </c>
      <c r="BT125" s="38">
        <f t="shared" si="136"/>
        <v>0</v>
      </c>
      <c r="BU125" s="38">
        <f t="shared" si="136"/>
        <v>0</v>
      </c>
      <c r="BV125" s="38">
        <f t="shared" si="136"/>
        <v>0</v>
      </c>
      <c r="BX125" s="38">
        <f t="shared" ref="BX125:CI125" si="137">IF(AND(BW$5&lt;$F125,BX$5&gt;=$F125),1, 0)</f>
        <v>0</v>
      </c>
      <c r="BY125" s="38">
        <f t="shared" si="137"/>
        <v>0</v>
      </c>
      <c r="BZ125" s="38">
        <f t="shared" si="137"/>
        <v>0</v>
      </c>
      <c r="CA125" s="38">
        <f t="shared" si="137"/>
        <v>0</v>
      </c>
      <c r="CB125" s="38">
        <f t="shared" si="137"/>
        <v>0</v>
      </c>
      <c r="CC125" s="38">
        <f t="shared" si="137"/>
        <v>0</v>
      </c>
      <c r="CD125" s="38">
        <f t="shared" si="137"/>
        <v>0</v>
      </c>
      <c r="CE125" s="38">
        <f t="shared" si="137"/>
        <v>0</v>
      </c>
      <c r="CF125" s="38">
        <f t="shared" si="137"/>
        <v>0</v>
      </c>
      <c r="CG125" s="38">
        <f t="shared" si="137"/>
        <v>0</v>
      </c>
      <c r="CH125" s="38">
        <f t="shared" si="137"/>
        <v>0</v>
      </c>
      <c r="CI125" s="38">
        <f t="shared" si="137"/>
        <v>0</v>
      </c>
      <c r="CK125" s="11"/>
      <c r="CM125" s="11"/>
      <c r="EX125" s="10" t="str">
        <f t="shared" si="55"/>
        <v/>
      </c>
    </row>
    <row r="126" spans="1:154" x14ac:dyDescent="0.35">
      <c r="B126" t="str">
        <f ca="1">Loans!B$25</f>
        <v>Loan 13</v>
      </c>
      <c r="D126" s="51">
        <f>Loans!D$25</f>
        <v>0</v>
      </c>
      <c r="E126" s="117" t="str">
        <f>IF(Loans!J$25=0, "", Loans!J$25)</f>
        <v/>
      </c>
      <c r="F126" s="117" t="str">
        <f>IF(Loans!K$25=0, "", Loans!K$25)</f>
        <v/>
      </c>
      <c r="V126" s="38">
        <f t="shared" si="113"/>
        <v>0</v>
      </c>
      <c r="W126" s="38">
        <f t="shared" si="113"/>
        <v>0</v>
      </c>
      <c r="X126" s="38">
        <f t="shared" si="113"/>
        <v>0</v>
      </c>
      <c r="Y126" s="38">
        <f t="shared" si="113"/>
        <v>0</v>
      </c>
      <c r="AA126" s="38">
        <f t="shared" ref="AA126:BV126" si="138">IF(AND(Z$5&lt;$F126,AA$5&gt;=$F126),1, 0)</f>
        <v>0</v>
      </c>
      <c r="AB126" s="38">
        <f t="shared" si="138"/>
        <v>0</v>
      </c>
      <c r="AC126" s="38">
        <f t="shared" si="138"/>
        <v>0</v>
      </c>
      <c r="AD126" s="38">
        <f t="shared" si="138"/>
        <v>0</v>
      </c>
      <c r="AE126" s="38">
        <f t="shared" si="138"/>
        <v>0</v>
      </c>
      <c r="AF126" s="38">
        <f t="shared" si="138"/>
        <v>0</v>
      </c>
      <c r="AG126" s="38">
        <f t="shared" si="138"/>
        <v>0</v>
      </c>
      <c r="AH126" s="38">
        <f t="shared" si="138"/>
        <v>0</v>
      </c>
      <c r="AI126" s="38">
        <f t="shared" si="138"/>
        <v>0</v>
      </c>
      <c r="AJ126" s="38">
        <f t="shared" si="138"/>
        <v>0</v>
      </c>
      <c r="AK126" s="38">
        <f t="shared" si="138"/>
        <v>0</v>
      </c>
      <c r="AL126" s="38">
        <f t="shared" si="138"/>
        <v>0</v>
      </c>
      <c r="AM126" s="38">
        <f t="shared" si="138"/>
        <v>0</v>
      </c>
      <c r="AN126" s="38">
        <f t="shared" si="138"/>
        <v>0</v>
      </c>
      <c r="AO126" s="38">
        <f t="shared" si="138"/>
        <v>0</v>
      </c>
      <c r="AP126" s="38">
        <f t="shared" si="138"/>
        <v>0</v>
      </c>
      <c r="AQ126" s="38">
        <f t="shared" si="138"/>
        <v>0</v>
      </c>
      <c r="AR126" s="38">
        <f t="shared" si="138"/>
        <v>0</v>
      </c>
      <c r="AS126" s="38">
        <f t="shared" si="138"/>
        <v>0</v>
      </c>
      <c r="AT126" s="38">
        <f t="shared" si="138"/>
        <v>0</v>
      </c>
      <c r="AU126" s="38">
        <f t="shared" si="138"/>
        <v>0</v>
      </c>
      <c r="AV126" s="38">
        <f t="shared" si="138"/>
        <v>0</v>
      </c>
      <c r="AW126" s="38">
        <f t="shared" si="138"/>
        <v>0</v>
      </c>
      <c r="AX126" s="38">
        <f t="shared" si="138"/>
        <v>0</v>
      </c>
      <c r="AY126" s="38">
        <f t="shared" si="138"/>
        <v>0</v>
      </c>
      <c r="AZ126" s="38">
        <f t="shared" si="138"/>
        <v>0</v>
      </c>
      <c r="BA126" s="38">
        <f t="shared" si="138"/>
        <v>0</v>
      </c>
      <c r="BB126" s="38">
        <f t="shared" si="138"/>
        <v>0</v>
      </c>
      <c r="BC126" s="38">
        <f t="shared" si="138"/>
        <v>0</v>
      </c>
      <c r="BD126" s="38">
        <f t="shared" si="138"/>
        <v>0</v>
      </c>
      <c r="BE126" s="38">
        <f t="shared" si="138"/>
        <v>0</v>
      </c>
      <c r="BF126" s="38">
        <f t="shared" si="138"/>
        <v>0</v>
      </c>
      <c r="BG126" s="38">
        <f t="shared" si="138"/>
        <v>0</v>
      </c>
      <c r="BH126" s="38">
        <f t="shared" si="138"/>
        <v>0</v>
      </c>
      <c r="BI126" s="38">
        <f t="shared" si="138"/>
        <v>0</v>
      </c>
      <c r="BJ126" s="38">
        <f t="shared" si="138"/>
        <v>0</v>
      </c>
      <c r="BK126" s="38">
        <f t="shared" si="138"/>
        <v>0</v>
      </c>
      <c r="BL126" s="38">
        <f t="shared" si="138"/>
        <v>0</v>
      </c>
      <c r="BM126" s="38">
        <f t="shared" si="138"/>
        <v>0</v>
      </c>
      <c r="BN126" s="38">
        <f t="shared" si="138"/>
        <v>0</v>
      </c>
      <c r="BO126" s="38">
        <f t="shared" si="138"/>
        <v>0</v>
      </c>
      <c r="BP126" s="38">
        <f t="shared" si="138"/>
        <v>0</v>
      </c>
      <c r="BQ126" s="38">
        <f t="shared" si="138"/>
        <v>0</v>
      </c>
      <c r="BR126" s="38">
        <f t="shared" si="138"/>
        <v>0</v>
      </c>
      <c r="BS126" s="38">
        <f t="shared" si="138"/>
        <v>0</v>
      </c>
      <c r="BT126" s="38">
        <f t="shared" si="138"/>
        <v>0</v>
      </c>
      <c r="BU126" s="38">
        <f t="shared" si="138"/>
        <v>0</v>
      </c>
      <c r="BV126" s="38">
        <f t="shared" si="138"/>
        <v>0</v>
      </c>
      <c r="BX126" s="38">
        <f t="shared" ref="BX126:CI126" si="139">IF(AND(BW$5&lt;$F126,BX$5&gt;=$F126),1, 0)</f>
        <v>0</v>
      </c>
      <c r="BY126" s="38">
        <f t="shared" si="139"/>
        <v>0</v>
      </c>
      <c r="BZ126" s="38">
        <f t="shared" si="139"/>
        <v>0</v>
      </c>
      <c r="CA126" s="38">
        <f t="shared" si="139"/>
        <v>0</v>
      </c>
      <c r="CB126" s="38">
        <f t="shared" si="139"/>
        <v>0</v>
      </c>
      <c r="CC126" s="38">
        <f t="shared" si="139"/>
        <v>0</v>
      </c>
      <c r="CD126" s="38">
        <f t="shared" si="139"/>
        <v>0</v>
      </c>
      <c r="CE126" s="38">
        <f t="shared" si="139"/>
        <v>0</v>
      </c>
      <c r="CF126" s="38">
        <f t="shared" si="139"/>
        <v>0</v>
      </c>
      <c r="CG126" s="38">
        <f t="shared" si="139"/>
        <v>0</v>
      </c>
      <c r="CH126" s="38">
        <f t="shared" si="139"/>
        <v>0</v>
      </c>
      <c r="CI126" s="38">
        <f t="shared" si="139"/>
        <v>0</v>
      </c>
      <c r="CK126" s="11"/>
      <c r="CM126" s="11"/>
      <c r="EX126" s="10" t="str">
        <f t="shared" si="55"/>
        <v/>
      </c>
    </row>
    <row r="127" spans="1:154" x14ac:dyDescent="0.35">
      <c r="B127" t="str">
        <f ca="1">Loans!B$26</f>
        <v>Loan 14</v>
      </c>
      <c r="D127" s="51">
        <f>Loans!D$26</f>
        <v>0</v>
      </c>
      <c r="E127" s="117" t="str">
        <f>IF(Loans!J$26=0, "", Loans!J$26)</f>
        <v/>
      </c>
      <c r="F127" s="117" t="str">
        <f>IF(Loans!K$26=0, "", Loans!K$26)</f>
        <v/>
      </c>
      <c r="V127" s="38">
        <f t="shared" si="113"/>
        <v>0</v>
      </c>
      <c r="W127" s="38">
        <f t="shared" si="113"/>
        <v>0</v>
      </c>
      <c r="X127" s="38">
        <f t="shared" si="113"/>
        <v>0</v>
      </c>
      <c r="Y127" s="38">
        <f t="shared" si="113"/>
        <v>0</v>
      </c>
      <c r="AA127" s="38">
        <f t="shared" ref="AA127:BV127" si="140">IF(AND(Z$5&lt;$F127,AA$5&gt;=$F127),1, 0)</f>
        <v>0</v>
      </c>
      <c r="AB127" s="38">
        <f t="shared" si="140"/>
        <v>0</v>
      </c>
      <c r="AC127" s="38">
        <f t="shared" si="140"/>
        <v>0</v>
      </c>
      <c r="AD127" s="38">
        <f t="shared" si="140"/>
        <v>0</v>
      </c>
      <c r="AE127" s="38">
        <f t="shared" si="140"/>
        <v>0</v>
      </c>
      <c r="AF127" s="38">
        <f t="shared" si="140"/>
        <v>0</v>
      </c>
      <c r="AG127" s="38">
        <f t="shared" si="140"/>
        <v>0</v>
      </c>
      <c r="AH127" s="38">
        <f t="shared" si="140"/>
        <v>0</v>
      </c>
      <c r="AI127" s="38">
        <f t="shared" si="140"/>
        <v>0</v>
      </c>
      <c r="AJ127" s="38">
        <f t="shared" si="140"/>
        <v>0</v>
      </c>
      <c r="AK127" s="38">
        <f t="shared" si="140"/>
        <v>0</v>
      </c>
      <c r="AL127" s="38">
        <f t="shared" si="140"/>
        <v>0</v>
      </c>
      <c r="AM127" s="38">
        <f t="shared" si="140"/>
        <v>0</v>
      </c>
      <c r="AN127" s="38">
        <f t="shared" si="140"/>
        <v>0</v>
      </c>
      <c r="AO127" s="38">
        <f t="shared" si="140"/>
        <v>0</v>
      </c>
      <c r="AP127" s="38">
        <f t="shared" si="140"/>
        <v>0</v>
      </c>
      <c r="AQ127" s="38">
        <f t="shared" si="140"/>
        <v>0</v>
      </c>
      <c r="AR127" s="38">
        <f t="shared" si="140"/>
        <v>0</v>
      </c>
      <c r="AS127" s="38">
        <f t="shared" si="140"/>
        <v>0</v>
      </c>
      <c r="AT127" s="38">
        <f t="shared" si="140"/>
        <v>0</v>
      </c>
      <c r="AU127" s="38">
        <f t="shared" si="140"/>
        <v>0</v>
      </c>
      <c r="AV127" s="38">
        <f t="shared" si="140"/>
        <v>0</v>
      </c>
      <c r="AW127" s="38">
        <f t="shared" si="140"/>
        <v>0</v>
      </c>
      <c r="AX127" s="38">
        <f t="shared" si="140"/>
        <v>0</v>
      </c>
      <c r="AY127" s="38">
        <f t="shared" si="140"/>
        <v>0</v>
      </c>
      <c r="AZ127" s="38">
        <f t="shared" si="140"/>
        <v>0</v>
      </c>
      <c r="BA127" s="38">
        <f t="shared" si="140"/>
        <v>0</v>
      </c>
      <c r="BB127" s="38">
        <f t="shared" si="140"/>
        <v>0</v>
      </c>
      <c r="BC127" s="38">
        <f t="shared" si="140"/>
        <v>0</v>
      </c>
      <c r="BD127" s="38">
        <f t="shared" si="140"/>
        <v>0</v>
      </c>
      <c r="BE127" s="38">
        <f t="shared" si="140"/>
        <v>0</v>
      </c>
      <c r="BF127" s="38">
        <f t="shared" si="140"/>
        <v>0</v>
      </c>
      <c r="BG127" s="38">
        <f t="shared" si="140"/>
        <v>0</v>
      </c>
      <c r="BH127" s="38">
        <f t="shared" si="140"/>
        <v>0</v>
      </c>
      <c r="BI127" s="38">
        <f t="shared" si="140"/>
        <v>0</v>
      </c>
      <c r="BJ127" s="38">
        <f t="shared" si="140"/>
        <v>0</v>
      </c>
      <c r="BK127" s="38">
        <f t="shared" si="140"/>
        <v>0</v>
      </c>
      <c r="BL127" s="38">
        <f t="shared" si="140"/>
        <v>0</v>
      </c>
      <c r="BM127" s="38">
        <f t="shared" si="140"/>
        <v>0</v>
      </c>
      <c r="BN127" s="38">
        <f t="shared" si="140"/>
        <v>0</v>
      </c>
      <c r="BO127" s="38">
        <f t="shared" si="140"/>
        <v>0</v>
      </c>
      <c r="BP127" s="38">
        <f t="shared" si="140"/>
        <v>0</v>
      </c>
      <c r="BQ127" s="38">
        <f t="shared" si="140"/>
        <v>0</v>
      </c>
      <c r="BR127" s="38">
        <f t="shared" si="140"/>
        <v>0</v>
      </c>
      <c r="BS127" s="38">
        <f t="shared" si="140"/>
        <v>0</v>
      </c>
      <c r="BT127" s="38">
        <f t="shared" si="140"/>
        <v>0</v>
      </c>
      <c r="BU127" s="38">
        <f t="shared" si="140"/>
        <v>0</v>
      </c>
      <c r="BV127" s="38">
        <f t="shared" si="140"/>
        <v>0</v>
      </c>
      <c r="BX127" s="38">
        <f t="shared" ref="BX127:CI127" si="141">IF(AND(BW$5&lt;$F127,BX$5&gt;=$F127),1, 0)</f>
        <v>0</v>
      </c>
      <c r="BY127" s="38">
        <f t="shared" si="141"/>
        <v>0</v>
      </c>
      <c r="BZ127" s="38">
        <f t="shared" si="141"/>
        <v>0</v>
      </c>
      <c r="CA127" s="38">
        <f t="shared" si="141"/>
        <v>0</v>
      </c>
      <c r="CB127" s="38">
        <f t="shared" si="141"/>
        <v>0</v>
      </c>
      <c r="CC127" s="38">
        <f t="shared" si="141"/>
        <v>0</v>
      </c>
      <c r="CD127" s="38">
        <f t="shared" si="141"/>
        <v>0</v>
      </c>
      <c r="CE127" s="38">
        <f t="shared" si="141"/>
        <v>0</v>
      </c>
      <c r="CF127" s="38">
        <f t="shared" si="141"/>
        <v>0</v>
      </c>
      <c r="CG127" s="38">
        <f t="shared" si="141"/>
        <v>0</v>
      </c>
      <c r="CH127" s="38">
        <f t="shared" si="141"/>
        <v>0</v>
      </c>
      <c r="CI127" s="38">
        <f t="shared" si="141"/>
        <v>0</v>
      </c>
      <c r="CK127" s="11"/>
      <c r="CM127" s="11"/>
      <c r="EX127" s="10" t="str">
        <f t="shared" si="55"/>
        <v/>
      </c>
    </row>
    <row r="128" spans="1:154" x14ac:dyDescent="0.35">
      <c r="B128" t="str">
        <f ca="1">Loans!B$27</f>
        <v>Loan 15</v>
      </c>
      <c r="D128" s="51">
        <f>Loans!D$27</f>
        <v>0</v>
      </c>
      <c r="E128" s="117" t="str">
        <f>IF(Loans!J$27=0, "", Loans!J$27)</f>
        <v/>
      </c>
      <c r="F128" s="117" t="str">
        <f>IF(Loans!K$27=0, "", Loans!K$27)</f>
        <v/>
      </c>
      <c r="V128" s="38">
        <f t="shared" si="113"/>
        <v>0</v>
      </c>
      <c r="W128" s="38">
        <f t="shared" si="113"/>
        <v>0</v>
      </c>
      <c r="X128" s="38">
        <f t="shared" si="113"/>
        <v>0</v>
      </c>
      <c r="Y128" s="38">
        <f t="shared" si="113"/>
        <v>0</v>
      </c>
      <c r="AA128" s="38">
        <f t="shared" ref="AA128:BV128" si="142">IF(AND(Z$5&lt;$F128,AA$5&gt;=$F128),1, 0)</f>
        <v>0</v>
      </c>
      <c r="AB128" s="38">
        <f t="shared" si="142"/>
        <v>0</v>
      </c>
      <c r="AC128" s="38">
        <f t="shared" si="142"/>
        <v>0</v>
      </c>
      <c r="AD128" s="38">
        <f t="shared" si="142"/>
        <v>0</v>
      </c>
      <c r="AE128" s="38">
        <f t="shared" si="142"/>
        <v>0</v>
      </c>
      <c r="AF128" s="38">
        <f t="shared" si="142"/>
        <v>0</v>
      </c>
      <c r="AG128" s="38">
        <f t="shared" si="142"/>
        <v>0</v>
      </c>
      <c r="AH128" s="38">
        <f t="shared" si="142"/>
        <v>0</v>
      </c>
      <c r="AI128" s="38">
        <f t="shared" si="142"/>
        <v>0</v>
      </c>
      <c r="AJ128" s="38">
        <f t="shared" si="142"/>
        <v>0</v>
      </c>
      <c r="AK128" s="38">
        <f t="shared" si="142"/>
        <v>0</v>
      </c>
      <c r="AL128" s="38">
        <f t="shared" si="142"/>
        <v>0</v>
      </c>
      <c r="AM128" s="38">
        <f t="shared" si="142"/>
        <v>0</v>
      </c>
      <c r="AN128" s="38">
        <f t="shared" si="142"/>
        <v>0</v>
      </c>
      <c r="AO128" s="38">
        <f t="shared" si="142"/>
        <v>0</v>
      </c>
      <c r="AP128" s="38">
        <f t="shared" si="142"/>
        <v>0</v>
      </c>
      <c r="AQ128" s="38">
        <f t="shared" si="142"/>
        <v>0</v>
      </c>
      <c r="AR128" s="38">
        <f t="shared" si="142"/>
        <v>0</v>
      </c>
      <c r="AS128" s="38">
        <f t="shared" si="142"/>
        <v>0</v>
      </c>
      <c r="AT128" s="38">
        <f t="shared" si="142"/>
        <v>0</v>
      </c>
      <c r="AU128" s="38">
        <f t="shared" si="142"/>
        <v>0</v>
      </c>
      <c r="AV128" s="38">
        <f t="shared" si="142"/>
        <v>0</v>
      </c>
      <c r="AW128" s="38">
        <f t="shared" si="142"/>
        <v>0</v>
      </c>
      <c r="AX128" s="38">
        <f t="shared" si="142"/>
        <v>0</v>
      </c>
      <c r="AY128" s="38">
        <f t="shared" si="142"/>
        <v>0</v>
      </c>
      <c r="AZ128" s="38">
        <f t="shared" si="142"/>
        <v>0</v>
      </c>
      <c r="BA128" s="38">
        <f t="shared" si="142"/>
        <v>0</v>
      </c>
      <c r="BB128" s="38">
        <f t="shared" si="142"/>
        <v>0</v>
      </c>
      <c r="BC128" s="38">
        <f t="shared" si="142"/>
        <v>0</v>
      </c>
      <c r="BD128" s="38">
        <f t="shared" si="142"/>
        <v>0</v>
      </c>
      <c r="BE128" s="38">
        <f t="shared" si="142"/>
        <v>0</v>
      </c>
      <c r="BF128" s="38">
        <f t="shared" si="142"/>
        <v>0</v>
      </c>
      <c r="BG128" s="38">
        <f t="shared" si="142"/>
        <v>0</v>
      </c>
      <c r="BH128" s="38">
        <f t="shared" si="142"/>
        <v>0</v>
      </c>
      <c r="BI128" s="38">
        <f t="shared" si="142"/>
        <v>0</v>
      </c>
      <c r="BJ128" s="38">
        <f t="shared" si="142"/>
        <v>0</v>
      </c>
      <c r="BK128" s="38">
        <f t="shared" si="142"/>
        <v>0</v>
      </c>
      <c r="BL128" s="38">
        <f t="shared" si="142"/>
        <v>0</v>
      </c>
      <c r="BM128" s="38">
        <f t="shared" si="142"/>
        <v>0</v>
      </c>
      <c r="BN128" s="38">
        <f t="shared" si="142"/>
        <v>0</v>
      </c>
      <c r="BO128" s="38">
        <f t="shared" si="142"/>
        <v>0</v>
      </c>
      <c r="BP128" s="38">
        <f t="shared" si="142"/>
        <v>0</v>
      </c>
      <c r="BQ128" s="38">
        <f t="shared" si="142"/>
        <v>0</v>
      </c>
      <c r="BR128" s="38">
        <f t="shared" si="142"/>
        <v>0</v>
      </c>
      <c r="BS128" s="38">
        <f t="shared" si="142"/>
        <v>0</v>
      </c>
      <c r="BT128" s="38">
        <f t="shared" si="142"/>
        <v>0</v>
      </c>
      <c r="BU128" s="38">
        <f t="shared" si="142"/>
        <v>0</v>
      </c>
      <c r="BV128" s="38">
        <f t="shared" si="142"/>
        <v>0</v>
      </c>
      <c r="BX128" s="38">
        <f t="shared" ref="BX128:CI128" si="143">IF(AND(BW$5&lt;$F128,BX$5&gt;=$F128),1, 0)</f>
        <v>0</v>
      </c>
      <c r="BY128" s="38">
        <f t="shared" si="143"/>
        <v>0</v>
      </c>
      <c r="BZ128" s="38">
        <f t="shared" si="143"/>
        <v>0</v>
      </c>
      <c r="CA128" s="38">
        <f t="shared" si="143"/>
        <v>0</v>
      </c>
      <c r="CB128" s="38">
        <f t="shared" si="143"/>
        <v>0</v>
      </c>
      <c r="CC128" s="38">
        <f t="shared" si="143"/>
        <v>0</v>
      </c>
      <c r="CD128" s="38">
        <f t="shared" si="143"/>
        <v>0</v>
      </c>
      <c r="CE128" s="38">
        <f t="shared" si="143"/>
        <v>0</v>
      </c>
      <c r="CF128" s="38">
        <f t="shared" si="143"/>
        <v>0</v>
      </c>
      <c r="CG128" s="38">
        <f t="shared" si="143"/>
        <v>0</v>
      </c>
      <c r="CH128" s="38">
        <f t="shared" si="143"/>
        <v>0</v>
      </c>
      <c r="CI128" s="38">
        <f t="shared" si="143"/>
        <v>0</v>
      </c>
      <c r="CK128" s="11"/>
      <c r="CM128" s="11"/>
      <c r="EX128" s="10" t="str">
        <f t="shared" si="55"/>
        <v/>
      </c>
    </row>
    <row r="129" spans="1:154" x14ac:dyDescent="0.35">
      <c r="B129" t="str">
        <f ca="1">Loans!B$28</f>
        <v>Loan 16</v>
      </c>
      <c r="D129" s="51">
        <f>Loans!D$28</f>
        <v>0</v>
      </c>
      <c r="E129" s="117" t="str">
        <f>IF(Loans!J$28=0, "", Loans!J$28)</f>
        <v/>
      </c>
      <c r="F129" s="117" t="str">
        <f>IF(Loans!K$28=0, "", Loans!K$28)</f>
        <v/>
      </c>
      <c r="V129" s="38">
        <f t="shared" si="113"/>
        <v>0</v>
      </c>
      <c r="W129" s="38">
        <f t="shared" si="113"/>
        <v>0</v>
      </c>
      <c r="X129" s="38">
        <f t="shared" si="113"/>
        <v>0</v>
      </c>
      <c r="Y129" s="38">
        <f t="shared" si="113"/>
        <v>0</v>
      </c>
      <c r="AA129" s="38">
        <f t="shared" ref="AA129:BV129" si="144">IF(AND(Z$5&lt;$F129,AA$5&gt;=$F129),1, 0)</f>
        <v>0</v>
      </c>
      <c r="AB129" s="38">
        <f t="shared" si="144"/>
        <v>0</v>
      </c>
      <c r="AC129" s="38">
        <f t="shared" si="144"/>
        <v>0</v>
      </c>
      <c r="AD129" s="38">
        <f t="shared" si="144"/>
        <v>0</v>
      </c>
      <c r="AE129" s="38">
        <f t="shared" si="144"/>
        <v>0</v>
      </c>
      <c r="AF129" s="38">
        <f t="shared" si="144"/>
        <v>0</v>
      </c>
      <c r="AG129" s="38">
        <f t="shared" si="144"/>
        <v>0</v>
      </c>
      <c r="AH129" s="38">
        <f t="shared" si="144"/>
        <v>0</v>
      </c>
      <c r="AI129" s="38">
        <f t="shared" si="144"/>
        <v>0</v>
      </c>
      <c r="AJ129" s="38">
        <f t="shared" si="144"/>
        <v>0</v>
      </c>
      <c r="AK129" s="38">
        <f t="shared" si="144"/>
        <v>0</v>
      </c>
      <c r="AL129" s="38">
        <f t="shared" si="144"/>
        <v>0</v>
      </c>
      <c r="AM129" s="38">
        <f t="shared" si="144"/>
        <v>0</v>
      </c>
      <c r="AN129" s="38">
        <f t="shared" si="144"/>
        <v>0</v>
      </c>
      <c r="AO129" s="38">
        <f t="shared" si="144"/>
        <v>0</v>
      </c>
      <c r="AP129" s="38">
        <f t="shared" si="144"/>
        <v>0</v>
      </c>
      <c r="AQ129" s="38">
        <f t="shared" si="144"/>
        <v>0</v>
      </c>
      <c r="AR129" s="38">
        <f t="shared" si="144"/>
        <v>0</v>
      </c>
      <c r="AS129" s="38">
        <f t="shared" si="144"/>
        <v>0</v>
      </c>
      <c r="AT129" s="38">
        <f t="shared" si="144"/>
        <v>0</v>
      </c>
      <c r="AU129" s="38">
        <f t="shared" si="144"/>
        <v>0</v>
      </c>
      <c r="AV129" s="38">
        <f t="shared" si="144"/>
        <v>0</v>
      </c>
      <c r="AW129" s="38">
        <f t="shared" si="144"/>
        <v>0</v>
      </c>
      <c r="AX129" s="38">
        <f t="shared" si="144"/>
        <v>0</v>
      </c>
      <c r="AY129" s="38">
        <f t="shared" si="144"/>
        <v>0</v>
      </c>
      <c r="AZ129" s="38">
        <f t="shared" si="144"/>
        <v>0</v>
      </c>
      <c r="BA129" s="38">
        <f t="shared" si="144"/>
        <v>0</v>
      </c>
      <c r="BB129" s="38">
        <f t="shared" si="144"/>
        <v>0</v>
      </c>
      <c r="BC129" s="38">
        <f t="shared" si="144"/>
        <v>0</v>
      </c>
      <c r="BD129" s="38">
        <f t="shared" si="144"/>
        <v>0</v>
      </c>
      <c r="BE129" s="38">
        <f t="shared" si="144"/>
        <v>0</v>
      </c>
      <c r="BF129" s="38">
        <f t="shared" si="144"/>
        <v>0</v>
      </c>
      <c r="BG129" s="38">
        <f t="shared" si="144"/>
        <v>0</v>
      </c>
      <c r="BH129" s="38">
        <f t="shared" si="144"/>
        <v>0</v>
      </c>
      <c r="BI129" s="38">
        <f t="shared" si="144"/>
        <v>0</v>
      </c>
      <c r="BJ129" s="38">
        <f t="shared" si="144"/>
        <v>0</v>
      </c>
      <c r="BK129" s="38">
        <f t="shared" si="144"/>
        <v>0</v>
      </c>
      <c r="BL129" s="38">
        <f t="shared" si="144"/>
        <v>0</v>
      </c>
      <c r="BM129" s="38">
        <f t="shared" si="144"/>
        <v>0</v>
      </c>
      <c r="BN129" s="38">
        <f t="shared" si="144"/>
        <v>0</v>
      </c>
      <c r="BO129" s="38">
        <f t="shared" si="144"/>
        <v>0</v>
      </c>
      <c r="BP129" s="38">
        <f t="shared" si="144"/>
        <v>0</v>
      </c>
      <c r="BQ129" s="38">
        <f t="shared" si="144"/>
        <v>0</v>
      </c>
      <c r="BR129" s="38">
        <f t="shared" si="144"/>
        <v>0</v>
      </c>
      <c r="BS129" s="38">
        <f t="shared" si="144"/>
        <v>0</v>
      </c>
      <c r="BT129" s="38">
        <f t="shared" si="144"/>
        <v>0</v>
      </c>
      <c r="BU129" s="38">
        <f t="shared" si="144"/>
        <v>0</v>
      </c>
      <c r="BV129" s="38">
        <f t="shared" si="144"/>
        <v>0</v>
      </c>
      <c r="BX129" s="38">
        <f t="shared" ref="BX129:CI129" si="145">IF(AND(BW$5&lt;$F129,BX$5&gt;=$F129),1, 0)</f>
        <v>0</v>
      </c>
      <c r="BY129" s="38">
        <f t="shared" si="145"/>
        <v>0</v>
      </c>
      <c r="BZ129" s="38">
        <f t="shared" si="145"/>
        <v>0</v>
      </c>
      <c r="CA129" s="38">
        <f t="shared" si="145"/>
        <v>0</v>
      </c>
      <c r="CB129" s="38">
        <f t="shared" si="145"/>
        <v>0</v>
      </c>
      <c r="CC129" s="38">
        <f t="shared" si="145"/>
        <v>0</v>
      </c>
      <c r="CD129" s="38">
        <f t="shared" si="145"/>
        <v>0</v>
      </c>
      <c r="CE129" s="38">
        <f t="shared" si="145"/>
        <v>0</v>
      </c>
      <c r="CF129" s="38">
        <f t="shared" si="145"/>
        <v>0</v>
      </c>
      <c r="CG129" s="38">
        <f t="shared" si="145"/>
        <v>0</v>
      </c>
      <c r="CH129" s="38">
        <f t="shared" si="145"/>
        <v>0</v>
      </c>
      <c r="CI129" s="38">
        <f t="shared" si="145"/>
        <v>0</v>
      </c>
      <c r="CK129" s="11"/>
      <c r="CM129" s="11"/>
      <c r="EX129" s="10" t="str">
        <f t="shared" si="55"/>
        <v/>
      </c>
    </row>
    <row r="130" spans="1:154" x14ac:dyDescent="0.35">
      <c r="B130" t="str">
        <f ca="1">Loans!B$29</f>
        <v>Loan 17</v>
      </c>
      <c r="D130" s="51">
        <f>Loans!D$29</f>
        <v>0</v>
      </c>
      <c r="E130" s="117" t="str">
        <f>IF(Loans!J$29=0, "", Loans!J$29)</f>
        <v/>
      </c>
      <c r="F130" s="117" t="str">
        <f>IF(Loans!K$29=0, "", Loans!K$29)</f>
        <v/>
      </c>
      <c r="V130" s="38">
        <f t="shared" si="113"/>
        <v>0</v>
      </c>
      <c r="W130" s="38">
        <f t="shared" si="113"/>
        <v>0</v>
      </c>
      <c r="X130" s="38">
        <f t="shared" si="113"/>
        <v>0</v>
      </c>
      <c r="Y130" s="38">
        <f t="shared" si="113"/>
        <v>0</v>
      </c>
      <c r="AA130" s="38">
        <f t="shared" ref="AA130:BV130" si="146">IF(AND(Z$5&lt;$F130,AA$5&gt;=$F130),1, 0)</f>
        <v>0</v>
      </c>
      <c r="AB130" s="38">
        <f t="shared" si="146"/>
        <v>0</v>
      </c>
      <c r="AC130" s="38">
        <f t="shared" si="146"/>
        <v>0</v>
      </c>
      <c r="AD130" s="38">
        <f t="shared" si="146"/>
        <v>0</v>
      </c>
      <c r="AE130" s="38">
        <f t="shared" si="146"/>
        <v>0</v>
      </c>
      <c r="AF130" s="38">
        <f t="shared" si="146"/>
        <v>0</v>
      </c>
      <c r="AG130" s="38">
        <f t="shared" si="146"/>
        <v>0</v>
      </c>
      <c r="AH130" s="38">
        <f t="shared" si="146"/>
        <v>0</v>
      </c>
      <c r="AI130" s="38">
        <f t="shared" si="146"/>
        <v>0</v>
      </c>
      <c r="AJ130" s="38">
        <f t="shared" si="146"/>
        <v>0</v>
      </c>
      <c r="AK130" s="38">
        <f t="shared" si="146"/>
        <v>0</v>
      </c>
      <c r="AL130" s="38">
        <f t="shared" si="146"/>
        <v>0</v>
      </c>
      <c r="AM130" s="38">
        <f t="shared" si="146"/>
        <v>0</v>
      </c>
      <c r="AN130" s="38">
        <f t="shared" si="146"/>
        <v>0</v>
      </c>
      <c r="AO130" s="38">
        <f t="shared" si="146"/>
        <v>0</v>
      </c>
      <c r="AP130" s="38">
        <f t="shared" si="146"/>
        <v>0</v>
      </c>
      <c r="AQ130" s="38">
        <f t="shared" si="146"/>
        <v>0</v>
      </c>
      <c r="AR130" s="38">
        <f t="shared" si="146"/>
        <v>0</v>
      </c>
      <c r="AS130" s="38">
        <f t="shared" si="146"/>
        <v>0</v>
      </c>
      <c r="AT130" s="38">
        <f t="shared" si="146"/>
        <v>0</v>
      </c>
      <c r="AU130" s="38">
        <f t="shared" si="146"/>
        <v>0</v>
      </c>
      <c r="AV130" s="38">
        <f t="shared" si="146"/>
        <v>0</v>
      </c>
      <c r="AW130" s="38">
        <f t="shared" si="146"/>
        <v>0</v>
      </c>
      <c r="AX130" s="38">
        <f t="shared" si="146"/>
        <v>0</v>
      </c>
      <c r="AY130" s="38">
        <f t="shared" si="146"/>
        <v>0</v>
      </c>
      <c r="AZ130" s="38">
        <f t="shared" si="146"/>
        <v>0</v>
      </c>
      <c r="BA130" s="38">
        <f t="shared" si="146"/>
        <v>0</v>
      </c>
      <c r="BB130" s="38">
        <f t="shared" si="146"/>
        <v>0</v>
      </c>
      <c r="BC130" s="38">
        <f t="shared" si="146"/>
        <v>0</v>
      </c>
      <c r="BD130" s="38">
        <f t="shared" si="146"/>
        <v>0</v>
      </c>
      <c r="BE130" s="38">
        <f t="shared" si="146"/>
        <v>0</v>
      </c>
      <c r="BF130" s="38">
        <f t="shared" si="146"/>
        <v>0</v>
      </c>
      <c r="BG130" s="38">
        <f t="shared" si="146"/>
        <v>0</v>
      </c>
      <c r="BH130" s="38">
        <f t="shared" si="146"/>
        <v>0</v>
      </c>
      <c r="BI130" s="38">
        <f t="shared" si="146"/>
        <v>0</v>
      </c>
      <c r="BJ130" s="38">
        <f t="shared" si="146"/>
        <v>0</v>
      </c>
      <c r="BK130" s="38">
        <f t="shared" si="146"/>
        <v>0</v>
      </c>
      <c r="BL130" s="38">
        <f t="shared" si="146"/>
        <v>0</v>
      </c>
      <c r="BM130" s="38">
        <f t="shared" si="146"/>
        <v>0</v>
      </c>
      <c r="BN130" s="38">
        <f t="shared" si="146"/>
        <v>0</v>
      </c>
      <c r="BO130" s="38">
        <f t="shared" si="146"/>
        <v>0</v>
      </c>
      <c r="BP130" s="38">
        <f t="shared" si="146"/>
        <v>0</v>
      </c>
      <c r="BQ130" s="38">
        <f t="shared" si="146"/>
        <v>0</v>
      </c>
      <c r="BR130" s="38">
        <f t="shared" si="146"/>
        <v>0</v>
      </c>
      <c r="BS130" s="38">
        <f t="shared" si="146"/>
        <v>0</v>
      </c>
      <c r="BT130" s="38">
        <f t="shared" si="146"/>
        <v>0</v>
      </c>
      <c r="BU130" s="38">
        <f t="shared" si="146"/>
        <v>0</v>
      </c>
      <c r="BV130" s="38">
        <f t="shared" si="146"/>
        <v>0</v>
      </c>
      <c r="BX130" s="38">
        <f t="shared" ref="BX130:CI130" si="147">IF(AND(BW$5&lt;$F130,BX$5&gt;=$F130),1, 0)</f>
        <v>0</v>
      </c>
      <c r="BY130" s="38">
        <f t="shared" si="147"/>
        <v>0</v>
      </c>
      <c r="BZ130" s="38">
        <f t="shared" si="147"/>
        <v>0</v>
      </c>
      <c r="CA130" s="38">
        <f t="shared" si="147"/>
        <v>0</v>
      </c>
      <c r="CB130" s="38">
        <f t="shared" si="147"/>
        <v>0</v>
      </c>
      <c r="CC130" s="38">
        <f t="shared" si="147"/>
        <v>0</v>
      </c>
      <c r="CD130" s="38">
        <f t="shared" si="147"/>
        <v>0</v>
      </c>
      <c r="CE130" s="38">
        <f t="shared" si="147"/>
        <v>0</v>
      </c>
      <c r="CF130" s="38">
        <f t="shared" si="147"/>
        <v>0</v>
      </c>
      <c r="CG130" s="38">
        <f t="shared" si="147"/>
        <v>0</v>
      </c>
      <c r="CH130" s="38">
        <f t="shared" si="147"/>
        <v>0</v>
      </c>
      <c r="CI130" s="38">
        <f t="shared" si="147"/>
        <v>0</v>
      </c>
      <c r="CK130" s="11"/>
      <c r="CM130" s="11"/>
      <c r="EX130" s="10" t="str">
        <f t="shared" si="55"/>
        <v/>
      </c>
    </row>
    <row r="131" spans="1:154" x14ac:dyDescent="0.35">
      <c r="B131" t="str">
        <f ca="1">Loans!B$30</f>
        <v>Loan 18</v>
      </c>
      <c r="D131" s="51">
        <f>Loans!D$30</f>
        <v>0</v>
      </c>
      <c r="E131" s="117" t="str">
        <f>IF(Loans!J$30=0, "", Loans!J$30)</f>
        <v/>
      </c>
      <c r="F131" s="117" t="str">
        <f>IF(Loans!K$30=0, "", Loans!K$30)</f>
        <v/>
      </c>
      <c r="V131" s="38">
        <f t="shared" si="113"/>
        <v>0</v>
      </c>
      <c r="W131" s="38">
        <f t="shared" si="113"/>
        <v>0</v>
      </c>
      <c r="X131" s="38">
        <f t="shared" si="113"/>
        <v>0</v>
      </c>
      <c r="Y131" s="38">
        <f t="shared" si="113"/>
        <v>0</v>
      </c>
      <c r="AA131" s="38">
        <f t="shared" ref="AA131:BV131" si="148">IF(AND(Z$5&lt;$F131,AA$5&gt;=$F131),1, 0)</f>
        <v>0</v>
      </c>
      <c r="AB131" s="38">
        <f t="shared" si="148"/>
        <v>0</v>
      </c>
      <c r="AC131" s="38">
        <f t="shared" si="148"/>
        <v>0</v>
      </c>
      <c r="AD131" s="38">
        <f t="shared" si="148"/>
        <v>0</v>
      </c>
      <c r="AE131" s="38">
        <f t="shared" si="148"/>
        <v>0</v>
      </c>
      <c r="AF131" s="38">
        <f t="shared" si="148"/>
        <v>0</v>
      </c>
      <c r="AG131" s="38">
        <f t="shared" si="148"/>
        <v>0</v>
      </c>
      <c r="AH131" s="38">
        <f t="shared" si="148"/>
        <v>0</v>
      </c>
      <c r="AI131" s="38">
        <f t="shared" si="148"/>
        <v>0</v>
      </c>
      <c r="AJ131" s="38">
        <f t="shared" si="148"/>
        <v>0</v>
      </c>
      <c r="AK131" s="38">
        <f t="shared" si="148"/>
        <v>0</v>
      </c>
      <c r="AL131" s="38">
        <f t="shared" si="148"/>
        <v>0</v>
      </c>
      <c r="AM131" s="38">
        <f t="shared" si="148"/>
        <v>0</v>
      </c>
      <c r="AN131" s="38">
        <f t="shared" si="148"/>
        <v>0</v>
      </c>
      <c r="AO131" s="38">
        <f t="shared" si="148"/>
        <v>0</v>
      </c>
      <c r="AP131" s="38">
        <f t="shared" si="148"/>
        <v>0</v>
      </c>
      <c r="AQ131" s="38">
        <f t="shared" si="148"/>
        <v>0</v>
      </c>
      <c r="AR131" s="38">
        <f t="shared" si="148"/>
        <v>0</v>
      </c>
      <c r="AS131" s="38">
        <f t="shared" si="148"/>
        <v>0</v>
      </c>
      <c r="AT131" s="38">
        <f t="shared" si="148"/>
        <v>0</v>
      </c>
      <c r="AU131" s="38">
        <f t="shared" si="148"/>
        <v>0</v>
      </c>
      <c r="AV131" s="38">
        <f t="shared" si="148"/>
        <v>0</v>
      </c>
      <c r="AW131" s="38">
        <f t="shared" si="148"/>
        <v>0</v>
      </c>
      <c r="AX131" s="38">
        <f t="shared" si="148"/>
        <v>0</v>
      </c>
      <c r="AY131" s="38">
        <f t="shared" si="148"/>
        <v>0</v>
      </c>
      <c r="AZ131" s="38">
        <f t="shared" si="148"/>
        <v>0</v>
      </c>
      <c r="BA131" s="38">
        <f t="shared" si="148"/>
        <v>0</v>
      </c>
      <c r="BB131" s="38">
        <f t="shared" si="148"/>
        <v>0</v>
      </c>
      <c r="BC131" s="38">
        <f t="shared" si="148"/>
        <v>0</v>
      </c>
      <c r="BD131" s="38">
        <f t="shared" si="148"/>
        <v>0</v>
      </c>
      <c r="BE131" s="38">
        <f t="shared" si="148"/>
        <v>0</v>
      </c>
      <c r="BF131" s="38">
        <f t="shared" si="148"/>
        <v>0</v>
      </c>
      <c r="BG131" s="38">
        <f t="shared" si="148"/>
        <v>0</v>
      </c>
      <c r="BH131" s="38">
        <f t="shared" si="148"/>
        <v>0</v>
      </c>
      <c r="BI131" s="38">
        <f t="shared" si="148"/>
        <v>0</v>
      </c>
      <c r="BJ131" s="38">
        <f t="shared" si="148"/>
        <v>0</v>
      </c>
      <c r="BK131" s="38">
        <f t="shared" si="148"/>
        <v>0</v>
      </c>
      <c r="BL131" s="38">
        <f t="shared" si="148"/>
        <v>0</v>
      </c>
      <c r="BM131" s="38">
        <f t="shared" si="148"/>
        <v>0</v>
      </c>
      <c r="BN131" s="38">
        <f t="shared" si="148"/>
        <v>0</v>
      </c>
      <c r="BO131" s="38">
        <f t="shared" si="148"/>
        <v>0</v>
      </c>
      <c r="BP131" s="38">
        <f t="shared" si="148"/>
        <v>0</v>
      </c>
      <c r="BQ131" s="38">
        <f t="shared" si="148"/>
        <v>0</v>
      </c>
      <c r="BR131" s="38">
        <f t="shared" si="148"/>
        <v>0</v>
      </c>
      <c r="BS131" s="38">
        <f t="shared" si="148"/>
        <v>0</v>
      </c>
      <c r="BT131" s="38">
        <f t="shared" si="148"/>
        <v>0</v>
      </c>
      <c r="BU131" s="38">
        <f t="shared" si="148"/>
        <v>0</v>
      </c>
      <c r="BV131" s="38">
        <f t="shared" si="148"/>
        <v>0</v>
      </c>
      <c r="BX131" s="38">
        <f t="shared" ref="BX131:CI131" si="149">IF(AND(BW$5&lt;$F131,BX$5&gt;=$F131),1, 0)</f>
        <v>0</v>
      </c>
      <c r="BY131" s="38">
        <f t="shared" si="149"/>
        <v>0</v>
      </c>
      <c r="BZ131" s="38">
        <f t="shared" si="149"/>
        <v>0</v>
      </c>
      <c r="CA131" s="38">
        <f t="shared" si="149"/>
        <v>0</v>
      </c>
      <c r="CB131" s="38">
        <f t="shared" si="149"/>
        <v>0</v>
      </c>
      <c r="CC131" s="38">
        <f t="shared" si="149"/>
        <v>0</v>
      </c>
      <c r="CD131" s="38">
        <f t="shared" si="149"/>
        <v>0</v>
      </c>
      <c r="CE131" s="38">
        <f t="shared" si="149"/>
        <v>0</v>
      </c>
      <c r="CF131" s="38">
        <f t="shared" si="149"/>
        <v>0</v>
      </c>
      <c r="CG131" s="38">
        <f t="shared" si="149"/>
        <v>0</v>
      </c>
      <c r="CH131" s="38">
        <f t="shared" si="149"/>
        <v>0</v>
      </c>
      <c r="CI131" s="38">
        <f t="shared" si="149"/>
        <v>0</v>
      </c>
      <c r="CK131" s="11"/>
      <c r="CM131" s="11"/>
      <c r="EX131" s="10" t="str">
        <f t="shared" si="55"/>
        <v/>
      </c>
    </row>
    <row r="132" spans="1:154" x14ac:dyDescent="0.35">
      <c r="B132" t="str">
        <f ca="1">Loans!B$31</f>
        <v>Loan 19</v>
      </c>
      <c r="D132" s="51">
        <f>Loans!D$31</f>
        <v>0</v>
      </c>
      <c r="E132" s="117" t="str">
        <f>IF(Loans!J$31=0, "", Loans!J$31)</f>
        <v/>
      </c>
      <c r="F132" s="117" t="str">
        <f>IF(Loans!K$31=0, "", Loans!K$31)</f>
        <v/>
      </c>
      <c r="V132" s="38">
        <f t="shared" si="113"/>
        <v>0</v>
      </c>
      <c r="W132" s="38">
        <f t="shared" si="113"/>
        <v>0</v>
      </c>
      <c r="X132" s="38">
        <f t="shared" si="113"/>
        <v>0</v>
      </c>
      <c r="Y132" s="38">
        <f t="shared" si="113"/>
        <v>0</v>
      </c>
      <c r="AA132" s="38">
        <f t="shared" ref="AA132:BV132" si="150">IF(AND(Z$5&lt;$F132,AA$5&gt;=$F132),1, 0)</f>
        <v>0</v>
      </c>
      <c r="AB132" s="38">
        <f t="shared" si="150"/>
        <v>0</v>
      </c>
      <c r="AC132" s="38">
        <f t="shared" si="150"/>
        <v>0</v>
      </c>
      <c r="AD132" s="38">
        <f t="shared" si="150"/>
        <v>0</v>
      </c>
      <c r="AE132" s="38">
        <f t="shared" si="150"/>
        <v>0</v>
      </c>
      <c r="AF132" s="38">
        <f t="shared" si="150"/>
        <v>0</v>
      </c>
      <c r="AG132" s="38">
        <f t="shared" si="150"/>
        <v>0</v>
      </c>
      <c r="AH132" s="38">
        <f t="shared" si="150"/>
        <v>0</v>
      </c>
      <c r="AI132" s="38">
        <f t="shared" si="150"/>
        <v>0</v>
      </c>
      <c r="AJ132" s="38">
        <f t="shared" si="150"/>
        <v>0</v>
      </c>
      <c r="AK132" s="38">
        <f t="shared" si="150"/>
        <v>0</v>
      </c>
      <c r="AL132" s="38">
        <f t="shared" si="150"/>
        <v>0</v>
      </c>
      <c r="AM132" s="38">
        <f t="shared" si="150"/>
        <v>0</v>
      </c>
      <c r="AN132" s="38">
        <f t="shared" si="150"/>
        <v>0</v>
      </c>
      <c r="AO132" s="38">
        <f t="shared" si="150"/>
        <v>0</v>
      </c>
      <c r="AP132" s="38">
        <f t="shared" si="150"/>
        <v>0</v>
      </c>
      <c r="AQ132" s="38">
        <f t="shared" si="150"/>
        <v>0</v>
      </c>
      <c r="AR132" s="38">
        <f t="shared" si="150"/>
        <v>0</v>
      </c>
      <c r="AS132" s="38">
        <f t="shared" si="150"/>
        <v>0</v>
      </c>
      <c r="AT132" s="38">
        <f t="shared" si="150"/>
        <v>0</v>
      </c>
      <c r="AU132" s="38">
        <f t="shared" si="150"/>
        <v>0</v>
      </c>
      <c r="AV132" s="38">
        <f t="shared" si="150"/>
        <v>0</v>
      </c>
      <c r="AW132" s="38">
        <f t="shared" si="150"/>
        <v>0</v>
      </c>
      <c r="AX132" s="38">
        <f t="shared" si="150"/>
        <v>0</v>
      </c>
      <c r="AY132" s="38">
        <f t="shared" si="150"/>
        <v>0</v>
      </c>
      <c r="AZ132" s="38">
        <f t="shared" si="150"/>
        <v>0</v>
      </c>
      <c r="BA132" s="38">
        <f t="shared" si="150"/>
        <v>0</v>
      </c>
      <c r="BB132" s="38">
        <f t="shared" si="150"/>
        <v>0</v>
      </c>
      <c r="BC132" s="38">
        <f t="shared" si="150"/>
        <v>0</v>
      </c>
      <c r="BD132" s="38">
        <f t="shared" si="150"/>
        <v>0</v>
      </c>
      <c r="BE132" s="38">
        <f t="shared" si="150"/>
        <v>0</v>
      </c>
      <c r="BF132" s="38">
        <f t="shared" si="150"/>
        <v>0</v>
      </c>
      <c r="BG132" s="38">
        <f t="shared" si="150"/>
        <v>0</v>
      </c>
      <c r="BH132" s="38">
        <f t="shared" si="150"/>
        <v>0</v>
      </c>
      <c r="BI132" s="38">
        <f t="shared" si="150"/>
        <v>0</v>
      </c>
      <c r="BJ132" s="38">
        <f t="shared" si="150"/>
        <v>0</v>
      </c>
      <c r="BK132" s="38">
        <f t="shared" si="150"/>
        <v>0</v>
      </c>
      <c r="BL132" s="38">
        <f t="shared" si="150"/>
        <v>0</v>
      </c>
      <c r="BM132" s="38">
        <f t="shared" si="150"/>
        <v>0</v>
      </c>
      <c r="BN132" s="38">
        <f t="shared" si="150"/>
        <v>0</v>
      </c>
      <c r="BO132" s="38">
        <f t="shared" si="150"/>
        <v>0</v>
      </c>
      <c r="BP132" s="38">
        <f t="shared" si="150"/>
        <v>0</v>
      </c>
      <c r="BQ132" s="38">
        <f t="shared" si="150"/>
        <v>0</v>
      </c>
      <c r="BR132" s="38">
        <f t="shared" si="150"/>
        <v>0</v>
      </c>
      <c r="BS132" s="38">
        <f t="shared" si="150"/>
        <v>0</v>
      </c>
      <c r="BT132" s="38">
        <f t="shared" si="150"/>
        <v>0</v>
      </c>
      <c r="BU132" s="38">
        <f t="shared" si="150"/>
        <v>0</v>
      </c>
      <c r="BV132" s="38">
        <f t="shared" si="150"/>
        <v>0</v>
      </c>
      <c r="BX132" s="38">
        <f t="shared" ref="BX132:CI132" si="151">IF(AND(BW$5&lt;$F132,BX$5&gt;=$F132),1, 0)</f>
        <v>0</v>
      </c>
      <c r="BY132" s="38">
        <f t="shared" si="151"/>
        <v>0</v>
      </c>
      <c r="BZ132" s="38">
        <f t="shared" si="151"/>
        <v>0</v>
      </c>
      <c r="CA132" s="38">
        <f t="shared" si="151"/>
        <v>0</v>
      </c>
      <c r="CB132" s="38">
        <f t="shared" si="151"/>
        <v>0</v>
      </c>
      <c r="CC132" s="38">
        <f t="shared" si="151"/>
        <v>0</v>
      </c>
      <c r="CD132" s="38">
        <f t="shared" si="151"/>
        <v>0</v>
      </c>
      <c r="CE132" s="38">
        <f t="shared" si="151"/>
        <v>0</v>
      </c>
      <c r="CF132" s="38">
        <f t="shared" si="151"/>
        <v>0</v>
      </c>
      <c r="CG132" s="38">
        <f t="shared" si="151"/>
        <v>0</v>
      </c>
      <c r="CH132" s="38">
        <f t="shared" si="151"/>
        <v>0</v>
      </c>
      <c r="CI132" s="38">
        <f t="shared" si="151"/>
        <v>0</v>
      </c>
      <c r="CK132" s="11"/>
      <c r="CM132" s="11"/>
      <c r="EX132" s="10" t="str">
        <f t="shared" si="55"/>
        <v/>
      </c>
    </row>
    <row r="133" spans="1:154" x14ac:dyDescent="0.35">
      <c r="B133" t="str">
        <f ca="1">Loans!B$32</f>
        <v>Loan 20</v>
      </c>
      <c r="D133" s="51">
        <f>Loans!D$32</f>
        <v>0</v>
      </c>
      <c r="E133" s="117" t="str">
        <f>IF(Loans!J$32=0, "", Loans!J$32)</f>
        <v/>
      </c>
      <c r="F133" s="117" t="str">
        <f>IF(Loans!K$32=0, "", Loans!K$32)</f>
        <v/>
      </c>
      <c r="V133" s="38">
        <f t="shared" si="113"/>
        <v>0</v>
      </c>
      <c r="W133" s="38">
        <f t="shared" si="113"/>
        <v>0</v>
      </c>
      <c r="X133" s="38">
        <f t="shared" si="113"/>
        <v>0</v>
      </c>
      <c r="Y133" s="38">
        <f t="shared" si="113"/>
        <v>0</v>
      </c>
      <c r="AA133" s="38">
        <f t="shared" ref="AA133:BV133" si="152">IF(AND(Z$5&lt;$F133,AA$5&gt;=$F133),1, 0)</f>
        <v>0</v>
      </c>
      <c r="AB133" s="38">
        <f t="shared" si="152"/>
        <v>0</v>
      </c>
      <c r="AC133" s="38">
        <f t="shared" si="152"/>
        <v>0</v>
      </c>
      <c r="AD133" s="38">
        <f t="shared" si="152"/>
        <v>0</v>
      </c>
      <c r="AE133" s="38">
        <f t="shared" si="152"/>
        <v>0</v>
      </c>
      <c r="AF133" s="38">
        <f t="shared" si="152"/>
        <v>0</v>
      </c>
      <c r="AG133" s="38">
        <f t="shared" si="152"/>
        <v>0</v>
      </c>
      <c r="AH133" s="38">
        <f t="shared" si="152"/>
        <v>0</v>
      </c>
      <c r="AI133" s="38">
        <f t="shared" si="152"/>
        <v>0</v>
      </c>
      <c r="AJ133" s="38">
        <f t="shared" si="152"/>
        <v>0</v>
      </c>
      <c r="AK133" s="38">
        <f t="shared" si="152"/>
        <v>0</v>
      </c>
      <c r="AL133" s="38">
        <f t="shared" si="152"/>
        <v>0</v>
      </c>
      <c r="AM133" s="38">
        <f t="shared" si="152"/>
        <v>0</v>
      </c>
      <c r="AN133" s="38">
        <f t="shared" si="152"/>
        <v>0</v>
      </c>
      <c r="AO133" s="38">
        <f t="shared" si="152"/>
        <v>0</v>
      </c>
      <c r="AP133" s="38">
        <f t="shared" si="152"/>
        <v>0</v>
      </c>
      <c r="AQ133" s="38">
        <f t="shared" si="152"/>
        <v>0</v>
      </c>
      <c r="AR133" s="38">
        <f t="shared" si="152"/>
        <v>0</v>
      </c>
      <c r="AS133" s="38">
        <f t="shared" si="152"/>
        <v>0</v>
      </c>
      <c r="AT133" s="38">
        <f t="shared" si="152"/>
        <v>0</v>
      </c>
      <c r="AU133" s="38">
        <f t="shared" si="152"/>
        <v>0</v>
      </c>
      <c r="AV133" s="38">
        <f t="shared" si="152"/>
        <v>0</v>
      </c>
      <c r="AW133" s="38">
        <f t="shared" si="152"/>
        <v>0</v>
      </c>
      <c r="AX133" s="38">
        <f t="shared" si="152"/>
        <v>0</v>
      </c>
      <c r="AY133" s="38">
        <f t="shared" si="152"/>
        <v>0</v>
      </c>
      <c r="AZ133" s="38">
        <f t="shared" si="152"/>
        <v>0</v>
      </c>
      <c r="BA133" s="38">
        <f t="shared" si="152"/>
        <v>0</v>
      </c>
      <c r="BB133" s="38">
        <f t="shared" si="152"/>
        <v>0</v>
      </c>
      <c r="BC133" s="38">
        <f t="shared" si="152"/>
        <v>0</v>
      </c>
      <c r="BD133" s="38">
        <f t="shared" si="152"/>
        <v>0</v>
      </c>
      <c r="BE133" s="38">
        <f t="shared" si="152"/>
        <v>0</v>
      </c>
      <c r="BF133" s="38">
        <f t="shared" si="152"/>
        <v>0</v>
      </c>
      <c r="BG133" s="38">
        <f t="shared" si="152"/>
        <v>0</v>
      </c>
      <c r="BH133" s="38">
        <f t="shared" si="152"/>
        <v>0</v>
      </c>
      <c r="BI133" s="38">
        <f t="shared" si="152"/>
        <v>0</v>
      </c>
      <c r="BJ133" s="38">
        <f t="shared" si="152"/>
        <v>0</v>
      </c>
      <c r="BK133" s="38">
        <f t="shared" si="152"/>
        <v>0</v>
      </c>
      <c r="BL133" s="38">
        <f t="shared" si="152"/>
        <v>0</v>
      </c>
      <c r="BM133" s="38">
        <f t="shared" si="152"/>
        <v>0</v>
      </c>
      <c r="BN133" s="38">
        <f t="shared" si="152"/>
        <v>0</v>
      </c>
      <c r="BO133" s="38">
        <f t="shared" si="152"/>
        <v>0</v>
      </c>
      <c r="BP133" s="38">
        <f t="shared" si="152"/>
        <v>0</v>
      </c>
      <c r="BQ133" s="38">
        <f t="shared" si="152"/>
        <v>0</v>
      </c>
      <c r="BR133" s="38">
        <f t="shared" si="152"/>
        <v>0</v>
      </c>
      <c r="BS133" s="38">
        <f t="shared" si="152"/>
        <v>0</v>
      </c>
      <c r="BT133" s="38">
        <f t="shared" si="152"/>
        <v>0</v>
      </c>
      <c r="BU133" s="38">
        <f t="shared" si="152"/>
        <v>0</v>
      </c>
      <c r="BV133" s="38">
        <f t="shared" si="152"/>
        <v>0</v>
      </c>
      <c r="BX133" s="38">
        <f t="shared" ref="BX133:CI133" si="153">IF(AND(BW$5&lt;$F133,BX$5&gt;=$F133),1, 0)</f>
        <v>0</v>
      </c>
      <c r="BY133" s="38">
        <f t="shared" si="153"/>
        <v>0</v>
      </c>
      <c r="BZ133" s="38">
        <f t="shared" si="153"/>
        <v>0</v>
      </c>
      <c r="CA133" s="38">
        <f t="shared" si="153"/>
        <v>0</v>
      </c>
      <c r="CB133" s="38">
        <f t="shared" si="153"/>
        <v>0</v>
      </c>
      <c r="CC133" s="38">
        <f t="shared" si="153"/>
        <v>0</v>
      </c>
      <c r="CD133" s="38">
        <f t="shared" si="153"/>
        <v>0</v>
      </c>
      <c r="CE133" s="38">
        <f t="shared" si="153"/>
        <v>0</v>
      </c>
      <c r="CF133" s="38">
        <f t="shared" si="153"/>
        <v>0</v>
      </c>
      <c r="CG133" s="38">
        <f t="shared" si="153"/>
        <v>0</v>
      </c>
      <c r="CH133" s="38">
        <f t="shared" si="153"/>
        <v>0</v>
      </c>
      <c r="CI133" s="38">
        <f t="shared" si="153"/>
        <v>0</v>
      </c>
      <c r="CK133" s="11"/>
      <c r="CM133" s="11"/>
      <c r="EX133" s="10" t="str">
        <f t="shared" si="55"/>
        <v/>
      </c>
    </row>
    <row r="134" spans="1:154" ht="6.75" customHeight="1" x14ac:dyDescent="0.35">
      <c r="D134" s="1"/>
      <c r="E134"/>
      <c r="BY134" s="6"/>
      <c r="CK134" s="35"/>
      <c r="CM134" s="35"/>
      <c r="EX134" s="10" t="str">
        <f t="shared" si="55"/>
        <v/>
      </c>
    </row>
    <row r="135" spans="1:154" x14ac:dyDescent="0.35">
      <c r="D135" s="5" t="s">
        <v>1937</v>
      </c>
      <c r="E135"/>
      <c r="CK135" s="11"/>
      <c r="CM135" s="11"/>
      <c r="EX135" s="10" t="str">
        <f t="shared" si="55"/>
        <v/>
      </c>
    </row>
    <row r="136" spans="1:154" x14ac:dyDescent="0.35">
      <c r="B136" s="5"/>
      <c r="D136" s="5" t="str">
        <f>Loans!D$11</f>
        <v>Lender</v>
      </c>
      <c r="E136" s="5" t="s">
        <v>1938</v>
      </c>
      <c r="F136" s="5" t="s">
        <v>1236</v>
      </c>
      <c r="CK136" s="11"/>
      <c r="CM136" s="11"/>
      <c r="EX136" s="10" t="str">
        <f t="shared" ref="EX136:EX199" si="154">IF($C136="","",$D136)</f>
        <v/>
      </c>
    </row>
    <row r="137" spans="1:154" x14ac:dyDescent="0.35">
      <c r="B137" t="str">
        <f ca="1">Loans!B$13</f>
        <v>Loan 1</v>
      </c>
      <c r="D137" s="51">
        <f>Loans!D$13</f>
        <v>0</v>
      </c>
      <c r="E137" s="140" t="str">
        <f>IF(Loans!R$13=0, "", Loans!R$13)</f>
        <v/>
      </c>
      <c r="F137" s="10">
        <f>Loans!H$695</f>
        <v>0</v>
      </c>
      <c r="V137" s="38">
        <f t="shared" ref="V137:Y156" si="155">IF(AND($E137&gt;=V$8, $E137&lt;=V$10), 1,0)</f>
        <v>0</v>
      </c>
      <c r="W137" s="38">
        <f t="shared" si="155"/>
        <v>0</v>
      </c>
      <c r="X137" s="38">
        <f t="shared" si="155"/>
        <v>0</v>
      </c>
      <c r="Y137" s="38">
        <f t="shared" si="155"/>
        <v>0</v>
      </c>
      <c r="AA137" s="132">
        <f t="shared" ref="AA137:AJ146" si="156">IF(AND($E137&gt;=AA$8, $E137&lt;=AA$10), 1,0)</f>
        <v>0</v>
      </c>
      <c r="AB137" s="38">
        <f t="shared" si="156"/>
        <v>0</v>
      </c>
      <c r="AC137" s="38">
        <f t="shared" si="156"/>
        <v>0</v>
      </c>
      <c r="AD137" s="38">
        <f t="shared" si="156"/>
        <v>0</v>
      </c>
      <c r="AE137" s="38">
        <f t="shared" si="156"/>
        <v>0</v>
      </c>
      <c r="AF137" s="38">
        <f t="shared" si="156"/>
        <v>0</v>
      </c>
      <c r="AG137" s="38">
        <f t="shared" si="156"/>
        <v>0</v>
      </c>
      <c r="AH137" s="38">
        <f t="shared" si="156"/>
        <v>0</v>
      </c>
      <c r="AI137" s="38">
        <f t="shared" si="156"/>
        <v>0</v>
      </c>
      <c r="AJ137" s="38">
        <f t="shared" si="156"/>
        <v>0</v>
      </c>
      <c r="AK137" s="38">
        <f t="shared" ref="AK137:AT146" si="157">IF(AND($E137&gt;=AK$8, $E137&lt;=AK$10), 1,0)</f>
        <v>0</v>
      </c>
      <c r="AL137" s="38">
        <f t="shared" si="157"/>
        <v>0</v>
      </c>
      <c r="AM137" s="38">
        <f t="shared" si="157"/>
        <v>0</v>
      </c>
      <c r="AN137" s="38">
        <f t="shared" si="157"/>
        <v>0</v>
      </c>
      <c r="AO137" s="38">
        <f t="shared" si="157"/>
        <v>0</v>
      </c>
      <c r="AP137" s="38">
        <f t="shared" si="157"/>
        <v>0</v>
      </c>
      <c r="AQ137" s="38">
        <f t="shared" si="157"/>
        <v>0</v>
      </c>
      <c r="AR137" s="38">
        <f t="shared" si="157"/>
        <v>0</v>
      </c>
      <c r="AS137" s="38">
        <f t="shared" si="157"/>
        <v>0</v>
      </c>
      <c r="AT137" s="38">
        <f t="shared" si="157"/>
        <v>0</v>
      </c>
      <c r="AU137" s="38">
        <f t="shared" ref="AU137:BD146" si="158">IF(AND($E137&gt;=AU$8, $E137&lt;=AU$10), 1,0)</f>
        <v>0</v>
      </c>
      <c r="AV137" s="38">
        <f t="shared" si="158"/>
        <v>0</v>
      </c>
      <c r="AW137" s="38">
        <f t="shared" si="158"/>
        <v>0</v>
      </c>
      <c r="AX137" s="38">
        <f t="shared" si="158"/>
        <v>0</v>
      </c>
      <c r="AY137" s="38">
        <f t="shared" si="158"/>
        <v>0</v>
      </c>
      <c r="AZ137" s="38">
        <f t="shared" si="158"/>
        <v>0</v>
      </c>
      <c r="BA137" s="38">
        <f t="shared" si="158"/>
        <v>0</v>
      </c>
      <c r="BB137" s="38">
        <f t="shared" si="158"/>
        <v>0</v>
      </c>
      <c r="BC137" s="38">
        <f t="shared" si="158"/>
        <v>0</v>
      </c>
      <c r="BD137" s="38">
        <f t="shared" si="158"/>
        <v>0</v>
      </c>
      <c r="BE137" s="38">
        <f t="shared" ref="BE137:BN146" si="159">IF(AND($E137&gt;=BE$8, $E137&lt;=BE$10), 1,0)</f>
        <v>0</v>
      </c>
      <c r="BF137" s="38">
        <f t="shared" si="159"/>
        <v>0</v>
      </c>
      <c r="BG137" s="38">
        <f t="shared" si="159"/>
        <v>0</v>
      </c>
      <c r="BH137" s="38">
        <f t="shared" si="159"/>
        <v>0</v>
      </c>
      <c r="BI137" s="38">
        <f t="shared" si="159"/>
        <v>0</v>
      </c>
      <c r="BJ137" s="38">
        <f t="shared" si="159"/>
        <v>0</v>
      </c>
      <c r="BK137" s="38">
        <f t="shared" si="159"/>
        <v>0</v>
      </c>
      <c r="BL137" s="38">
        <f t="shared" si="159"/>
        <v>0</v>
      </c>
      <c r="BM137" s="38">
        <f t="shared" si="159"/>
        <v>0</v>
      </c>
      <c r="BN137" s="38">
        <f t="shared" si="159"/>
        <v>0</v>
      </c>
      <c r="BO137" s="38">
        <f t="shared" ref="BO137:BV146" si="160">IF(AND($E137&gt;=BO$8, $E137&lt;=BO$10), 1,0)</f>
        <v>0</v>
      </c>
      <c r="BP137" s="38">
        <f t="shared" si="160"/>
        <v>0</v>
      </c>
      <c r="BQ137" s="38">
        <f t="shared" si="160"/>
        <v>0</v>
      </c>
      <c r="BR137" s="38">
        <f t="shared" si="160"/>
        <v>0</v>
      </c>
      <c r="BS137" s="38">
        <f t="shared" si="160"/>
        <v>0</v>
      </c>
      <c r="BT137" s="38">
        <f t="shared" si="160"/>
        <v>0</v>
      </c>
      <c r="BU137" s="38">
        <f t="shared" si="160"/>
        <v>0</v>
      </c>
      <c r="BV137" s="38">
        <f t="shared" si="160"/>
        <v>0</v>
      </c>
      <c r="BX137" s="38">
        <f t="shared" ref="BX137:CI146" si="161">IF(AND($E137&gt;=BX$8, $E137&lt;=BX$10), 1,0)</f>
        <v>0</v>
      </c>
      <c r="BY137" s="38">
        <f t="shared" si="161"/>
        <v>0</v>
      </c>
      <c r="BZ137" s="38">
        <f t="shared" si="161"/>
        <v>0</v>
      </c>
      <c r="CA137" s="38">
        <f t="shared" si="161"/>
        <v>0</v>
      </c>
      <c r="CB137" s="38">
        <f t="shared" si="161"/>
        <v>0</v>
      </c>
      <c r="CC137" s="38">
        <f t="shared" si="161"/>
        <v>0</v>
      </c>
      <c r="CD137" s="38">
        <f t="shared" si="161"/>
        <v>0</v>
      </c>
      <c r="CE137" s="38">
        <f t="shared" si="161"/>
        <v>0</v>
      </c>
      <c r="CF137" s="38">
        <f t="shared" si="161"/>
        <v>0</v>
      </c>
      <c r="CG137" s="38">
        <f t="shared" si="161"/>
        <v>0</v>
      </c>
      <c r="CH137" s="38">
        <f t="shared" si="161"/>
        <v>0</v>
      </c>
      <c r="CI137" s="38">
        <f t="shared" si="161"/>
        <v>0</v>
      </c>
      <c r="CK137" s="11"/>
      <c r="CM137" s="11"/>
      <c r="EX137" s="10" t="str">
        <f t="shared" si="154"/>
        <v/>
      </c>
    </row>
    <row r="138" spans="1:154" x14ac:dyDescent="0.35">
      <c r="B138" t="str">
        <f ca="1">Loans!B$14</f>
        <v>Loan 2</v>
      </c>
      <c r="D138" s="51">
        <f>Loans!D$14</f>
        <v>0</v>
      </c>
      <c r="E138" s="140" t="str">
        <f>IF(Loans!R$14=0, "", Loans!R$14)</f>
        <v/>
      </c>
      <c r="F138" s="10">
        <f>Loans!H$696</f>
        <v>0</v>
      </c>
      <c r="V138" s="38">
        <f t="shared" si="155"/>
        <v>0</v>
      </c>
      <c r="W138" s="38">
        <f t="shared" si="155"/>
        <v>0</v>
      </c>
      <c r="X138" s="38">
        <f t="shared" si="155"/>
        <v>0</v>
      </c>
      <c r="Y138" s="38">
        <f t="shared" si="155"/>
        <v>0</v>
      </c>
      <c r="AA138" s="38">
        <f t="shared" si="156"/>
        <v>0</v>
      </c>
      <c r="AB138" s="38">
        <f t="shared" si="156"/>
        <v>0</v>
      </c>
      <c r="AC138" s="38">
        <f t="shared" si="156"/>
        <v>0</v>
      </c>
      <c r="AD138" s="38">
        <f t="shared" si="156"/>
        <v>0</v>
      </c>
      <c r="AE138" s="38">
        <f t="shared" si="156"/>
        <v>0</v>
      </c>
      <c r="AF138" s="38">
        <f t="shared" si="156"/>
        <v>0</v>
      </c>
      <c r="AG138" s="38">
        <f t="shared" si="156"/>
        <v>0</v>
      </c>
      <c r="AH138" s="38">
        <f t="shared" si="156"/>
        <v>0</v>
      </c>
      <c r="AI138" s="38">
        <f t="shared" si="156"/>
        <v>0</v>
      </c>
      <c r="AJ138" s="38">
        <f t="shared" si="156"/>
        <v>0</v>
      </c>
      <c r="AK138" s="38">
        <f t="shared" si="157"/>
        <v>0</v>
      </c>
      <c r="AL138" s="38">
        <f t="shared" si="157"/>
        <v>0</v>
      </c>
      <c r="AM138" s="38">
        <f t="shared" si="157"/>
        <v>0</v>
      </c>
      <c r="AN138" s="38">
        <f t="shared" si="157"/>
        <v>0</v>
      </c>
      <c r="AO138" s="38">
        <f t="shared" si="157"/>
        <v>0</v>
      </c>
      <c r="AP138" s="38">
        <f t="shared" si="157"/>
        <v>0</v>
      </c>
      <c r="AQ138" s="38">
        <f t="shared" si="157"/>
        <v>0</v>
      </c>
      <c r="AR138" s="38">
        <f t="shared" si="157"/>
        <v>0</v>
      </c>
      <c r="AS138" s="38">
        <f t="shared" si="157"/>
        <v>0</v>
      </c>
      <c r="AT138" s="38">
        <f t="shared" si="157"/>
        <v>0</v>
      </c>
      <c r="AU138" s="38">
        <f t="shared" si="158"/>
        <v>0</v>
      </c>
      <c r="AV138" s="38">
        <f t="shared" si="158"/>
        <v>0</v>
      </c>
      <c r="AW138" s="38">
        <f t="shared" si="158"/>
        <v>0</v>
      </c>
      <c r="AX138" s="38">
        <f t="shared" si="158"/>
        <v>0</v>
      </c>
      <c r="AY138" s="38">
        <f t="shared" si="158"/>
        <v>0</v>
      </c>
      <c r="AZ138" s="38">
        <f t="shared" si="158"/>
        <v>0</v>
      </c>
      <c r="BA138" s="38">
        <f t="shared" si="158"/>
        <v>0</v>
      </c>
      <c r="BB138" s="38">
        <f t="shared" si="158"/>
        <v>0</v>
      </c>
      <c r="BC138" s="38">
        <f t="shared" si="158"/>
        <v>0</v>
      </c>
      <c r="BD138" s="38">
        <f t="shared" si="158"/>
        <v>0</v>
      </c>
      <c r="BE138" s="38">
        <f t="shared" si="159"/>
        <v>0</v>
      </c>
      <c r="BF138" s="38">
        <f t="shared" si="159"/>
        <v>0</v>
      </c>
      <c r="BG138" s="38">
        <f t="shared" si="159"/>
        <v>0</v>
      </c>
      <c r="BH138" s="38">
        <f t="shared" si="159"/>
        <v>0</v>
      </c>
      <c r="BI138" s="38">
        <f t="shared" si="159"/>
        <v>0</v>
      </c>
      <c r="BJ138" s="38">
        <f t="shared" si="159"/>
        <v>0</v>
      </c>
      <c r="BK138" s="38">
        <f t="shared" si="159"/>
        <v>0</v>
      </c>
      <c r="BL138" s="38">
        <f t="shared" si="159"/>
        <v>0</v>
      </c>
      <c r="BM138" s="38">
        <f t="shared" si="159"/>
        <v>0</v>
      </c>
      <c r="BN138" s="38">
        <f t="shared" si="159"/>
        <v>0</v>
      </c>
      <c r="BO138" s="38">
        <f t="shared" si="160"/>
        <v>0</v>
      </c>
      <c r="BP138" s="38">
        <f t="shared" si="160"/>
        <v>0</v>
      </c>
      <c r="BQ138" s="38">
        <f t="shared" si="160"/>
        <v>0</v>
      </c>
      <c r="BR138" s="38">
        <f t="shared" si="160"/>
        <v>0</v>
      </c>
      <c r="BS138" s="38">
        <f t="shared" si="160"/>
        <v>0</v>
      </c>
      <c r="BT138" s="38">
        <f t="shared" si="160"/>
        <v>0</v>
      </c>
      <c r="BU138" s="38">
        <f t="shared" si="160"/>
        <v>0</v>
      </c>
      <c r="BV138" s="38">
        <f t="shared" si="160"/>
        <v>0</v>
      </c>
      <c r="BX138" s="38">
        <f t="shared" si="161"/>
        <v>0</v>
      </c>
      <c r="BY138" s="38">
        <f t="shared" si="161"/>
        <v>0</v>
      </c>
      <c r="BZ138" s="38">
        <f t="shared" si="161"/>
        <v>0</v>
      </c>
      <c r="CA138" s="38">
        <f t="shared" si="161"/>
        <v>0</v>
      </c>
      <c r="CB138" s="38">
        <f t="shared" si="161"/>
        <v>0</v>
      </c>
      <c r="CC138" s="38">
        <f t="shared" si="161"/>
        <v>0</v>
      </c>
      <c r="CD138" s="38">
        <f t="shared" si="161"/>
        <v>0</v>
      </c>
      <c r="CE138" s="38">
        <f t="shared" si="161"/>
        <v>0</v>
      </c>
      <c r="CF138" s="38">
        <f t="shared" si="161"/>
        <v>0</v>
      </c>
      <c r="CG138" s="38">
        <f t="shared" si="161"/>
        <v>0</v>
      </c>
      <c r="CH138" s="38">
        <f t="shared" si="161"/>
        <v>0</v>
      </c>
      <c r="CI138" s="38">
        <f t="shared" si="161"/>
        <v>0</v>
      </c>
      <c r="CK138" s="11"/>
      <c r="CM138" s="11"/>
      <c r="EX138" s="10" t="str">
        <f t="shared" si="154"/>
        <v/>
      </c>
    </row>
    <row r="139" spans="1:154" x14ac:dyDescent="0.35">
      <c r="B139" t="str">
        <f ca="1">Loans!B$15</f>
        <v>Loan 3</v>
      </c>
      <c r="D139" s="51">
        <f>Loans!D$15</f>
        <v>0</v>
      </c>
      <c r="E139" s="117" t="str">
        <f>IF(Loans!R$15=0, "", Loans!R$15)</f>
        <v/>
      </c>
      <c r="F139" s="10">
        <f>Loans!H$697</f>
        <v>0</v>
      </c>
      <c r="V139" s="38">
        <f t="shared" si="155"/>
        <v>0</v>
      </c>
      <c r="W139" s="38">
        <f t="shared" si="155"/>
        <v>0</v>
      </c>
      <c r="X139" s="38">
        <f t="shared" si="155"/>
        <v>0</v>
      </c>
      <c r="Y139" s="38">
        <f t="shared" si="155"/>
        <v>0</v>
      </c>
      <c r="AA139" s="38">
        <f t="shared" si="156"/>
        <v>0</v>
      </c>
      <c r="AB139" s="38">
        <f t="shared" si="156"/>
        <v>0</v>
      </c>
      <c r="AC139" s="38">
        <f t="shared" si="156"/>
        <v>0</v>
      </c>
      <c r="AD139" s="38">
        <f t="shared" si="156"/>
        <v>0</v>
      </c>
      <c r="AE139" s="38">
        <f t="shared" si="156"/>
        <v>0</v>
      </c>
      <c r="AF139" s="38">
        <f t="shared" si="156"/>
        <v>0</v>
      </c>
      <c r="AG139" s="38">
        <f t="shared" si="156"/>
        <v>0</v>
      </c>
      <c r="AH139" s="38">
        <f t="shared" si="156"/>
        <v>0</v>
      </c>
      <c r="AI139" s="38">
        <f t="shared" si="156"/>
        <v>0</v>
      </c>
      <c r="AJ139" s="38">
        <f t="shared" si="156"/>
        <v>0</v>
      </c>
      <c r="AK139" s="38">
        <f t="shared" si="157"/>
        <v>0</v>
      </c>
      <c r="AL139" s="38">
        <f t="shared" si="157"/>
        <v>0</v>
      </c>
      <c r="AM139" s="38">
        <f t="shared" si="157"/>
        <v>0</v>
      </c>
      <c r="AN139" s="38">
        <f t="shared" si="157"/>
        <v>0</v>
      </c>
      <c r="AO139" s="38">
        <f t="shared" si="157"/>
        <v>0</v>
      </c>
      <c r="AP139" s="38">
        <f t="shared" si="157"/>
        <v>0</v>
      </c>
      <c r="AQ139" s="38">
        <f t="shared" si="157"/>
        <v>0</v>
      </c>
      <c r="AR139" s="38">
        <f t="shared" si="157"/>
        <v>0</v>
      </c>
      <c r="AS139" s="38">
        <f t="shared" si="157"/>
        <v>0</v>
      </c>
      <c r="AT139" s="38">
        <f t="shared" si="157"/>
        <v>0</v>
      </c>
      <c r="AU139" s="38">
        <f t="shared" si="158"/>
        <v>0</v>
      </c>
      <c r="AV139" s="38">
        <f t="shared" si="158"/>
        <v>0</v>
      </c>
      <c r="AW139" s="38">
        <f t="shared" si="158"/>
        <v>0</v>
      </c>
      <c r="AX139" s="38">
        <f t="shared" si="158"/>
        <v>0</v>
      </c>
      <c r="AY139" s="38">
        <f t="shared" si="158"/>
        <v>0</v>
      </c>
      <c r="AZ139" s="38">
        <f t="shared" si="158"/>
        <v>0</v>
      </c>
      <c r="BA139" s="38">
        <f t="shared" si="158"/>
        <v>0</v>
      </c>
      <c r="BB139" s="38">
        <f t="shared" si="158"/>
        <v>0</v>
      </c>
      <c r="BC139" s="38">
        <f t="shared" si="158"/>
        <v>0</v>
      </c>
      <c r="BD139" s="38">
        <f t="shared" si="158"/>
        <v>0</v>
      </c>
      <c r="BE139" s="38">
        <f t="shared" si="159"/>
        <v>0</v>
      </c>
      <c r="BF139" s="38">
        <f t="shared" si="159"/>
        <v>0</v>
      </c>
      <c r="BG139" s="38">
        <f t="shared" si="159"/>
        <v>0</v>
      </c>
      <c r="BH139" s="38">
        <f t="shared" si="159"/>
        <v>0</v>
      </c>
      <c r="BI139" s="38">
        <f t="shared" si="159"/>
        <v>0</v>
      </c>
      <c r="BJ139" s="38">
        <f t="shared" si="159"/>
        <v>0</v>
      </c>
      <c r="BK139" s="38">
        <f t="shared" si="159"/>
        <v>0</v>
      </c>
      <c r="BL139" s="38">
        <f t="shared" si="159"/>
        <v>0</v>
      </c>
      <c r="BM139" s="38">
        <f t="shared" si="159"/>
        <v>0</v>
      </c>
      <c r="BN139" s="38">
        <f t="shared" si="159"/>
        <v>0</v>
      </c>
      <c r="BO139" s="38">
        <f t="shared" si="160"/>
        <v>0</v>
      </c>
      <c r="BP139" s="38">
        <f t="shared" si="160"/>
        <v>0</v>
      </c>
      <c r="BQ139" s="38">
        <f t="shared" si="160"/>
        <v>0</v>
      </c>
      <c r="BR139" s="38">
        <f t="shared" si="160"/>
        <v>0</v>
      </c>
      <c r="BS139" s="38">
        <f t="shared" si="160"/>
        <v>0</v>
      </c>
      <c r="BT139" s="38">
        <f t="shared" si="160"/>
        <v>0</v>
      </c>
      <c r="BU139" s="38">
        <f t="shared" si="160"/>
        <v>0</v>
      </c>
      <c r="BV139" s="38">
        <f t="shared" si="160"/>
        <v>0</v>
      </c>
      <c r="BX139" s="38">
        <f t="shared" si="161"/>
        <v>0</v>
      </c>
      <c r="BY139" s="38">
        <f t="shared" si="161"/>
        <v>0</v>
      </c>
      <c r="BZ139" s="38">
        <f t="shared" si="161"/>
        <v>0</v>
      </c>
      <c r="CA139" s="38">
        <f t="shared" si="161"/>
        <v>0</v>
      </c>
      <c r="CB139" s="38">
        <f t="shared" si="161"/>
        <v>0</v>
      </c>
      <c r="CC139" s="38">
        <f t="shared" si="161"/>
        <v>0</v>
      </c>
      <c r="CD139" s="38">
        <f t="shared" si="161"/>
        <v>0</v>
      </c>
      <c r="CE139" s="38">
        <f t="shared" si="161"/>
        <v>0</v>
      </c>
      <c r="CF139" s="38">
        <f t="shared" si="161"/>
        <v>0</v>
      </c>
      <c r="CG139" s="38">
        <f t="shared" si="161"/>
        <v>0</v>
      </c>
      <c r="CH139" s="38">
        <f t="shared" si="161"/>
        <v>0</v>
      </c>
      <c r="CI139" s="38">
        <f t="shared" si="161"/>
        <v>0</v>
      </c>
      <c r="CK139" s="11"/>
      <c r="CM139" s="11"/>
      <c r="EX139" s="10" t="str">
        <f t="shared" si="154"/>
        <v/>
      </c>
    </row>
    <row r="140" spans="1:154" x14ac:dyDescent="0.35">
      <c r="B140" t="str">
        <f ca="1">Loans!B$16</f>
        <v>Loan 4</v>
      </c>
      <c r="D140" s="51">
        <f>Loans!D$16</f>
        <v>0</v>
      </c>
      <c r="E140" s="117" t="str">
        <f>IF(Loans!R$16=0, "", Loans!R$16)</f>
        <v/>
      </c>
      <c r="F140" s="10">
        <f>Loans!H$698</f>
        <v>0</v>
      </c>
      <c r="V140" s="38">
        <f t="shared" si="155"/>
        <v>0</v>
      </c>
      <c r="W140" s="38">
        <f t="shared" si="155"/>
        <v>0</v>
      </c>
      <c r="X140" s="38">
        <f t="shared" si="155"/>
        <v>0</v>
      </c>
      <c r="Y140" s="38">
        <f t="shared" si="155"/>
        <v>0</v>
      </c>
      <c r="AA140" s="38">
        <f t="shared" si="156"/>
        <v>0</v>
      </c>
      <c r="AB140" s="38">
        <f t="shared" si="156"/>
        <v>0</v>
      </c>
      <c r="AC140" s="38">
        <f t="shared" si="156"/>
        <v>0</v>
      </c>
      <c r="AD140" s="38">
        <f t="shared" si="156"/>
        <v>0</v>
      </c>
      <c r="AE140" s="38">
        <f t="shared" si="156"/>
        <v>0</v>
      </c>
      <c r="AF140" s="38">
        <f t="shared" si="156"/>
        <v>0</v>
      </c>
      <c r="AG140" s="38">
        <f t="shared" si="156"/>
        <v>0</v>
      </c>
      <c r="AH140" s="38">
        <f t="shared" si="156"/>
        <v>0</v>
      </c>
      <c r="AI140" s="38">
        <f t="shared" si="156"/>
        <v>0</v>
      </c>
      <c r="AJ140" s="38">
        <f t="shared" si="156"/>
        <v>0</v>
      </c>
      <c r="AK140" s="38">
        <f t="shared" si="157"/>
        <v>0</v>
      </c>
      <c r="AL140" s="38">
        <f t="shared" si="157"/>
        <v>0</v>
      </c>
      <c r="AM140" s="38">
        <f t="shared" si="157"/>
        <v>0</v>
      </c>
      <c r="AN140" s="38">
        <f t="shared" si="157"/>
        <v>0</v>
      </c>
      <c r="AO140" s="38">
        <f t="shared" si="157"/>
        <v>0</v>
      </c>
      <c r="AP140" s="38">
        <f t="shared" si="157"/>
        <v>0</v>
      </c>
      <c r="AQ140" s="38">
        <f t="shared" si="157"/>
        <v>0</v>
      </c>
      <c r="AR140" s="38">
        <f t="shared" si="157"/>
        <v>0</v>
      </c>
      <c r="AS140" s="38">
        <f t="shared" si="157"/>
        <v>0</v>
      </c>
      <c r="AT140" s="38">
        <f t="shared" si="157"/>
        <v>0</v>
      </c>
      <c r="AU140" s="38">
        <f t="shared" si="158"/>
        <v>0</v>
      </c>
      <c r="AV140" s="38">
        <f t="shared" si="158"/>
        <v>0</v>
      </c>
      <c r="AW140" s="38">
        <f t="shared" si="158"/>
        <v>0</v>
      </c>
      <c r="AX140" s="38">
        <f t="shared" si="158"/>
        <v>0</v>
      </c>
      <c r="AY140" s="38">
        <f t="shared" si="158"/>
        <v>0</v>
      </c>
      <c r="AZ140" s="38">
        <f t="shared" si="158"/>
        <v>0</v>
      </c>
      <c r="BA140" s="38">
        <f t="shared" si="158"/>
        <v>0</v>
      </c>
      <c r="BB140" s="38">
        <f t="shared" si="158"/>
        <v>0</v>
      </c>
      <c r="BC140" s="38">
        <f t="shared" si="158"/>
        <v>0</v>
      </c>
      <c r="BD140" s="38">
        <f t="shared" si="158"/>
        <v>0</v>
      </c>
      <c r="BE140" s="38">
        <f t="shared" si="159"/>
        <v>0</v>
      </c>
      <c r="BF140" s="38">
        <f t="shared" si="159"/>
        <v>0</v>
      </c>
      <c r="BG140" s="38">
        <f t="shared" si="159"/>
        <v>0</v>
      </c>
      <c r="BH140" s="38">
        <f t="shared" si="159"/>
        <v>0</v>
      </c>
      <c r="BI140" s="38">
        <f t="shared" si="159"/>
        <v>0</v>
      </c>
      <c r="BJ140" s="38">
        <f t="shared" si="159"/>
        <v>0</v>
      </c>
      <c r="BK140" s="38">
        <f t="shared" si="159"/>
        <v>0</v>
      </c>
      <c r="BL140" s="38">
        <f t="shared" si="159"/>
        <v>0</v>
      </c>
      <c r="BM140" s="38">
        <f t="shared" si="159"/>
        <v>0</v>
      </c>
      <c r="BN140" s="38">
        <f t="shared" si="159"/>
        <v>0</v>
      </c>
      <c r="BO140" s="38">
        <f t="shared" si="160"/>
        <v>0</v>
      </c>
      <c r="BP140" s="38">
        <f t="shared" si="160"/>
        <v>0</v>
      </c>
      <c r="BQ140" s="38">
        <f t="shared" si="160"/>
        <v>0</v>
      </c>
      <c r="BR140" s="38">
        <f t="shared" si="160"/>
        <v>0</v>
      </c>
      <c r="BS140" s="38">
        <f t="shared" si="160"/>
        <v>0</v>
      </c>
      <c r="BT140" s="38">
        <f t="shared" si="160"/>
        <v>0</v>
      </c>
      <c r="BU140" s="38">
        <f t="shared" si="160"/>
        <v>0</v>
      </c>
      <c r="BV140" s="38">
        <f t="shared" si="160"/>
        <v>0</v>
      </c>
      <c r="BX140" s="38">
        <f t="shared" si="161"/>
        <v>0</v>
      </c>
      <c r="BY140" s="38">
        <f t="shared" si="161"/>
        <v>0</v>
      </c>
      <c r="BZ140" s="38">
        <f t="shared" si="161"/>
        <v>0</v>
      </c>
      <c r="CA140" s="38">
        <f t="shared" si="161"/>
        <v>0</v>
      </c>
      <c r="CB140" s="38">
        <f t="shared" si="161"/>
        <v>0</v>
      </c>
      <c r="CC140" s="38">
        <f t="shared" si="161"/>
        <v>0</v>
      </c>
      <c r="CD140" s="38">
        <f t="shared" si="161"/>
        <v>0</v>
      </c>
      <c r="CE140" s="38">
        <f t="shared" si="161"/>
        <v>0</v>
      </c>
      <c r="CF140" s="38">
        <f t="shared" si="161"/>
        <v>0</v>
      </c>
      <c r="CG140" s="38">
        <f t="shared" si="161"/>
        <v>0</v>
      </c>
      <c r="CH140" s="38">
        <f t="shared" si="161"/>
        <v>0</v>
      </c>
      <c r="CI140" s="38">
        <f t="shared" si="161"/>
        <v>0</v>
      </c>
      <c r="CK140" s="11"/>
      <c r="CM140" s="11"/>
      <c r="EX140" s="10" t="str">
        <f t="shared" si="154"/>
        <v/>
      </c>
    </row>
    <row r="141" spans="1:154" x14ac:dyDescent="0.35">
      <c r="B141" t="str">
        <f ca="1">Loans!B$17</f>
        <v>Loan 5</v>
      </c>
      <c r="D141" s="51">
        <f>Loans!D$17</f>
        <v>0</v>
      </c>
      <c r="E141" s="117" t="str">
        <f>IF(Loans!R$17=0, "", Loans!R$17)</f>
        <v/>
      </c>
      <c r="F141" s="10">
        <f>Loans!H$699</f>
        <v>0</v>
      </c>
      <c r="V141" s="38">
        <f t="shared" si="155"/>
        <v>0</v>
      </c>
      <c r="W141" s="38">
        <f t="shared" si="155"/>
        <v>0</v>
      </c>
      <c r="X141" s="38">
        <f t="shared" si="155"/>
        <v>0</v>
      </c>
      <c r="Y141" s="38">
        <f t="shared" si="155"/>
        <v>0</v>
      </c>
      <c r="AA141" s="38">
        <f t="shared" si="156"/>
        <v>0</v>
      </c>
      <c r="AB141" s="38">
        <f t="shared" si="156"/>
        <v>0</v>
      </c>
      <c r="AC141" s="38">
        <f t="shared" si="156"/>
        <v>0</v>
      </c>
      <c r="AD141" s="38">
        <f t="shared" si="156"/>
        <v>0</v>
      </c>
      <c r="AE141" s="38">
        <f t="shared" si="156"/>
        <v>0</v>
      </c>
      <c r="AF141" s="38">
        <f t="shared" si="156"/>
        <v>0</v>
      </c>
      <c r="AG141" s="38">
        <f t="shared" si="156"/>
        <v>0</v>
      </c>
      <c r="AH141" s="38">
        <f t="shared" si="156"/>
        <v>0</v>
      </c>
      <c r="AI141" s="38">
        <f t="shared" si="156"/>
        <v>0</v>
      </c>
      <c r="AJ141" s="38">
        <f t="shared" si="156"/>
        <v>0</v>
      </c>
      <c r="AK141" s="38">
        <f t="shared" si="157"/>
        <v>0</v>
      </c>
      <c r="AL141" s="38">
        <f t="shared" si="157"/>
        <v>0</v>
      </c>
      <c r="AM141" s="38">
        <f t="shared" si="157"/>
        <v>0</v>
      </c>
      <c r="AN141" s="38">
        <f t="shared" si="157"/>
        <v>0</v>
      </c>
      <c r="AO141" s="38">
        <f t="shared" si="157"/>
        <v>0</v>
      </c>
      <c r="AP141" s="38">
        <f t="shared" si="157"/>
        <v>0</v>
      </c>
      <c r="AQ141" s="38">
        <f t="shared" si="157"/>
        <v>0</v>
      </c>
      <c r="AR141" s="38">
        <f t="shared" si="157"/>
        <v>0</v>
      </c>
      <c r="AS141" s="38">
        <f t="shared" si="157"/>
        <v>0</v>
      </c>
      <c r="AT141" s="38">
        <f t="shared" si="157"/>
        <v>0</v>
      </c>
      <c r="AU141" s="38">
        <f t="shared" si="158"/>
        <v>0</v>
      </c>
      <c r="AV141" s="38">
        <f t="shared" si="158"/>
        <v>0</v>
      </c>
      <c r="AW141" s="38">
        <f t="shared" si="158"/>
        <v>0</v>
      </c>
      <c r="AX141" s="38">
        <f t="shared" si="158"/>
        <v>0</v>
      </c>
      <c r="AY141" s="38">
        <f t="shared" si="158"/>
        <v>0</v>
      </c>
      <c r="AZ141" s="38">
        <f t="shared" si="158"/>
        <v>0</v>
      </c>
      <c r="BA141" s="38">
        <f t="shared" si="158"/>
        <v>0</v>
      </c>
      <c r="BB141" s="38">
        <f t="shared" si="158"/>
        <v>0</v>
      </c>
      <c r="BC141" s="38">
        <f t="shared" si="158"/>
        <v>0</v>
      </c>
      <c r="BD141" s="38">
        <f t="shared" si="158"/>
        <v>0</v>
      </c>
      <c r="BE141" s="38">
        <f t="shared" si="159"/>
        <v>0</v>
      </c>
      <c r="BF141" s="38">
        <f t="shared" si="159"/>
        <v>0</v>
      </c>
      <c r="BG141" s="38">
        <f t="shared" si="159"/>
        <v>0</v>
      </c>
      <c r="BH141" s="38">
        <f t="shared" si="159"/>
        <v>0</v>
      </c>
      <c r="BI141" s="38">
        <f t="shared" si="159"/>
        <v>0</v>
      </c>
      <c r="BJ141" s="38">
        <f t="shared" si="159"/>
        <v>0</v>
      </c>
      <c r="BK141" s="38">
        <f t="shared" si="159"/>
        <v>0</v>
      </c>
      <c r="BL141" s="38">
        <f t="shared" si="159"/>
        <v>0</v>
      </c>
      <c r="BM141" s="38">
        <f t="shared" si="159"/>
        <v>0</v>
      </c>
      <c r="BN141" s="38">
        <f t="shared" si="159"/>
        <v>0</v>
      </c>
      <c r="BO141" s="38">
        <f t="shared" si="160"/>
        <v>0</v>
      </c>
      <c r="BP141" s="38">
        <f t="shared" si="160"/>
        <v>0</v>
      </c>
      <c r="BQ141" s="38">
        <f t="shared" si="160"/>
        <v>0</v>
      </c>
      <c r="BR141" s="38">
        <f t="shared" si="160"/>
        <v>0</v>
      </c>
      <c r="BS141" s="38">
        <f t="shared" si="160"/>
        <v>0</v>
      </c>
      <c r="BT141" s="38">
        <f t="shared" si="160"/>
        <v>0</v>
      </c>
      <c r="BU141" s="38">
        <f t="shared" si="160"/>
        <v>0</v>
      </c>
      <c r="BV141" s="38">
        <f t="shared" si="160"/>
        <v>0</v>
      </c>
      <c r="BX141" s="38">
        <f t="shared" si="161"/>
        <v>0</v>
      </c>
      <c r="BY141" s="38">
        <f t="shared" si="161"/>
        <v>0</v>
      </c>
      <c r="BZ141" s="38">
        <f t="shared" si="161"/>
        <v>0</v>
      </c>
      <c r="CA141" s="38">
        <f t="shared" si="161"/>
        <v>0</v>
      </c>
      <c r="CB141" s="38">
        <f t="shared" si="161"/>
        <v>0</v>
      </c>
      <c r="CC141" s="38">
        <f t="shared" si="161"/>
        <v>0</v>
      </c>
      <c r="CD141" s="38">
        <f t="shared" si="161"/>
        <v>0</v>
      </c>
      <c r="CE141" s="38">
        <f t="shared" si="161"/>
        <v>0</v>
      </c>
      <c r="CF141" s="38">
        <f t="shared" si="161"/>
        <v>0</v>
      </c>
      <c r="CG141" s="38">
        <f t="shared" si="161"/>
        <v>0</v>
      </c>
      <c r="CH141" s="38">
        <f t="shared" si="161"/>
        <v>0</v>
      </c>
      <c r="CI141" s="38">
        <f t="shared" si="161"/>
        <v>0</v>
      </c>
      <c r="CK141" s="11"/>
      <c r="CM141" s="11"/>
      <c r="EX141" s="10" t="str">
        <f t="shared" si="154"/>
        <v/>
      </c>
    </row>
    <row r="142" spans="1:154" x14ac:dyDescent="0.35">
      <c r="B142" t="str">
        <f ca="1">Loans!B$18</f>
        <v>Loan 6</v>
      </c>
      <c r="D142" s="51">
        <f>Loans!D$18</f>
        <v>0</v>
      </c>
      <c r="E142" s="117" t="str">
        <f>IF(Loans!R$18=0, "", Loans!R$18)</f>
        <v/>
      </c>
      <c r="F142" s="10">
        <f>Loans!H$700</f>
        <v>0</v>
      </c>
      <c r="V142" s="38">
        <f t="shared" si="155"/>
        <v>0</v>
      </c>
      <c r="W142" s="38">
        <f t="shared" si="155"/>
        <v>0</v>
      </c>
      <c r="X142" s="38">
        <f t="shared" si="155"/>
        <v>0</v>
      </c>
      <c r="Y142" s="38">
        <f t="shared" si="155"/>
        <v>0</v>
      </c>
      <c r="AA142" s="38">
        <f t="shared" si="156"/>
        <v>0</v>
      </c>
      <c r="AB142" s="38">
        <f t="shared" si="156"/>
        <v>0</v>
      </c>
      <c r="AC142" s="38">
        <f t="shared" si="156"/>
        <v>0</v>
      </c>
      <c r="AD142" s="38">
        <f t="shared" si="156"/>
        <v>0</v>
      </c>
      <c r="AE142" s="38">
        <f t="shared" si="156"/>
        <v>0</v>
      </c>
      <c r="AF142" s="38">
        <f t="shared" si="156"/>
        <v>0</v>
      </c>
      <c r="AG142" s="38">
        <f t="shared" si="156"/>
        <v>0</v>
      </c>
      <c r="AH142" s="38">
        <f t="shared" si="156"/>
        <v>0</v>
      </c>
      <c r="AI142" s="38">
        <f t="shared" si="156"/>
        <v>0</v>
      </c>
      <c r="AJ142" s="38">
        <f t="shared" si="156"/>
        <v>0</v>
      </c>
      <c r="AK142" s="38">
        <f t="shared" si="157"/>
        <v>0</v>
      </c>
      <c r="AL142" s="38">
        <f t="shared" si="157"/>
        <v>0</v>
      </c>
      <c r="AM142" s="38">
        <f t="shared" si="157"/>
        <v>0</v>
      </c>
      <c r="AN142" s="38">
        <f t="shared" si="157"/>
        <v>0</v>
      </c>
      <c r="AO142" s="38">
        <f t="shared" si="157"/>
        <v>0</v>
      </c>
      <c r="AP142" s="38">
        <f t="shared" si="157"/>
        <v>0</v>
      </c>
      <c r="AQ142" s="38">
        <f t="shared" si="157"/>
        <v>0</v>
      </c>
      <c r="AR142" s="38">
        <f t="shared" si="157"/>
        <v>0</v>
      </c>
      <c r="AS142" s="38">
        <f t="shared" si="157"/>
        <v>0</v>
      </c>
      <c r="AT142" s="38">
        <f t="shared" si="157"/>
        <v>0</v>
      </c>
      <c r="AU142" s="38">
        <f t="shared" si="158"/>
        <v>0</v>
      </c>
      <c r="AV142" s="38">
        <f t="shared" si="158"/>
        <v>0</v>
      </c>
      <c r="AW142" s="38">
        <f t="shared" si="158"/>
        <v>0</v>
      </c>
      <c r="AX142" s="38">
        <f t="shared" si="158"/>
        <v>0</v>
      </c>
      <c r="AY142" s="38">
        <f t="shared" si="158"/>
        <v>0</v>
      </c>
      <c r="AZ142" s="38">
        <f t="shared" si="158"/>
        <v>0</v>
      </c>
      <c r="BA142" s="38">
        <f t="shared" si="158"/>
        <v>0</v>
      </c>
      <c r="BB142" s="38">
        <f t="shared" si="158"/>
        <v>0</v>
      </c>
      <c r="BC142" s="38">
        <f t="shared" si="158"/>
        <v>0</v>
      </c>
      <c r="BD142" s="38">
        <f t="shared" si="158"/>
        <v>0</v>
      </c>
      <c r="BE142" s="38">
        <f t="shared" si="159"/>
        <v>0</v>
      </c>
      <c r="BF142" s="38">
        <f t="shared" si="159"/>
        <v>0</v>
      </c>
      <c r="BG142" s="38">
        <f t="shared" si="159"/>
        <v>0</v>
      </c>
      <c r="BH142" s="38">
        <f t="shared" si="159"/>
        <v>0</v>
      </c>
      <c r="BI142" s="38">
        <f t="shared" si="159"/>
        <v>0</v>
      </c>
      <c r="BJ142" s="38">
        <f t="shared" si="159"/>
        <v>0</v>
      </c>
      <c r="BK142" s="38">
        <f t="shared" si="159"/>
        <v>0</v>
      </c>
      <c r="BL142" s="38">
        <f t="shared" si="159"/>
        <v>0</v>
      </c>
      <c r="BM142" s="38">
        <f t="shared" si="159"/>
        <v>0</v>
      </c>
      <c r="BN142" s="38">
        <f t="shared" si="159"/>
        <v>0</v>
      </c>
      <c r="BO142" s="38">
        <f t="shared" si="160"/>
        <v>0</v>
      </c>
      <c r="BP142" s="38">
        <f t="shared" si="160"/>
        <v>0</v>
      </c>
      <c r="BQ142" s="38">
        <f t="shared" si="160"/>
        <v>0</v>
      </c>
      <c r="BR142" s="38">
        <f t="shared" si="160"/>
        <v>0</v>
      </c>
      <c r="BS142" s="38">
        <f t="shared" si="160"/>
        <v>0</v>
      </c>
      <c r="BT142" s="38">
        <f t="shared" si="160"/>
        <v>0</v>
      </c>
      <c r="BU142" s="38">
        <f t="shared" si="160"/>
        <v>0</v>
      </c>
      <c r="BV142" s="38">
        <f t="shared" si="160"/>
        <v>0</v>
      </c>
      <c r="BX142" s="38">
        <f t="shared" si="161"/>
        <v>0</v>
      </c>
      <c r="BY142" s="38">
        <f t="shared" si="161"/>
        <v>0</v>
      </c>
      <c r="BZ142" s="38">
        <f t="shared" si="161"/>
        <v>0</v>
      </c>
      <c r="CA142" s="38">
        <f t="shared" si="161"/>
        <v>0</v>
      </c>
      <c r="CB142" s="38">
        <f t="shared" si="161"/>
        <v>0</v>
      </c>
      <c r="CC142" s="38">
        <f t="shared" si="161"/>
        <v>0</v>
      </c>
      <c r="CD142" s="38">
        <f t="shared" si="161"/>
        <v>0</v>
      </c>
      <c r="CE142" s="38">
        <f t="shared" si="161"/>
        <v>0</v>
      </c>
      <c r="CF142" s="38">
        <f t="shared" si="161"/>
        <v>0</v>
      </c>
      <c r="CG142" s="38">
        <f t="shared" si="161"/>
        <v>0</v>
      </c>
      <c r="CH142" s="38">
        <f t="shared" si="161"/>
        <v>0</v>
      </c>
      <c r="CI142" s="38">
        <f t="shared" si="161"/>
        <v>0</v>
      </c>
      <c r="CK142" s="11"/>
      <c r="CM142" s="11"/>
      <c r="EX142" s="10" t="str">
        <f t="shared" si="154"/>
        <v/>
      </c>
    </row>
    <row r="143" spans="1:154" s="5" customFormat="1" x14ac:dyDescent="0.35">
      <c r="A143"/>
      <c r="B143" t="str">
        <f ca="1">Loans!B$19</f>
        <v>Loan 7</v>
      </c>
      <c r="D143" s="51">
        <f>Loans!D$19</f>
        <v>0</v>
      </c>
      <c r="E143" s="117" t="str">
        <f>IF(Loans!R$19=0, "", Loans!R$19)</f>
        <v/>
      </c>
      <c r="F143" s="10">
        <f>Loans!H$701</f>
        <v>0</v>
      </c>
      <c r="G143"/>
      <c r="H143"/>
      <c r="I143"/>
      <c r="J143"/>
      <c r="K143"/>
      <c r="M143"/>
      <c r="N143"/>
      <c r="O143"/>
      <c r="P143"/>
      <c r="Q143"/>
      <c r="S143"/>
      <c r="T143"/>
      <c r="U143"/>
      <c r="V143" s="38">
        <f t="shared" si="155"/>
        <v>0</v>
      </c>
      <c r="W143" s="38">
        <f t="shared" si="155"/>
        <v>0</v>
      </c>
      <c r="X143" s="38">
        <f t="shared" si="155"/>
        <v>0</v>
      </c>
      <c r="Y143" s="38">
        <f t="shared" si="155"/>
        <v>0</v>
      </c>
      <c r="Z143"/>
      <c r="AA143" s="38">
        <f t="shared" si="156"/>
        <v>0</v>
      </c>
      <c r="AB143" s="38">
        <f t="shared" si="156"/>
        <v>0</v>
      </c>
      <c r="AC143" s="38">
        <f t="shared" si="156"/>
        <v>0</v>
      </c>
      <c r="AD143" s="38">
        <f t="shared" si="156"/>
        <v>0</v>
      </c>
      <c r="AE143" s="38">
        <f t="shared" si="156"/>
        <v>0</v>
      </c>
      <c r="AF143" s="38">
        <f t="shared" si="156"/>
        <v>0</v>
      </c>
      <c r="AG143" s="38">
        <f t="shared" si="156"/>
        <v>0</v>
      </c>
      <c r="AH143" s="38">
        <f t="shared" si="156"/>
        <v>0</v>
      </c>
      <c r="AI143" s="38">
        <f t="shared" si="156"/>
        <v>0</v>
      </c>
      <c r="AJ143" s="38">
        <f t="shared" si="156"/>
        <v>0</v>
      </c>
      <c r="AK143" s="38">
        <f t="shared" si="157"/>
        <v>0</v>
      </c>
      <c r="AL143" s="38">
        <f t="shared" si="157"/>
        <v>0</v>
      </c>
      <c r="AM143" s="38">
        <f t="shared" si="157"/>
        <v>0</v>
      </c>
      <c r="AN143" s="38">
        <f t="shared" si="157"/>
        <v>0</v>
      </c>
      <c r="AO143" s="38">
        <f t="shared" si="157"/>
        <v>0</v>
      </c>
      <c r="AP143" s="38">
        <f t="shared" si="157"/>
        <v>0</v>
      </c>
      <c r="AQ143" s="38">
        <f t="shared" si="157"/>
        <v>0</v>
      </c>
      <c r="AR143" s="38">
        <f t="shared" si="157"/>
        <v>0</v>
      </c>
      <c r="AS143" s="38">
        <f t="shared" si="157"/>
        <v>0</v>
      </c>
      <c r="AT143" s="38">
        <f t="shared" si="157"/>
        <v>0</v>
      </c>
      <c r="AU143" s="38">
        <f t="shared" si="158"/>
        <v>0</v>
      </c>
      <c r="AV143" s="38">
        <f t="shared" si="158"/>
        <v>0</v>
      </c>
      <c r="AW143" s="38">
        <f t="shared" si="158"/>
        <v>0</v>
      </c>
      <c r="AX143" s="38">
        <f t="shared" si="158"/>
        <v>0</v>
      </c>
      <c r="AY143" s="38">
        <f t="shared" si="158"/>
        <v>0</v>
      </c>
      <c r="AZ143" s="38">
        <f t="shared" si="158"/>
        <v>0</v>
      </c>
      <c r="BA143" s="38">
        <f t="shared" si="158"/>
        <v>0</v>
      </c>
      <c r="BB143" s="38">
        <f t="shared" si="158"/>
        <v>0</v>
      </c>
      <c r="BC143" s="38">
        <f t="shared" si="158"/>
        <v>0</v>
      </c>
      <c r="BD143" s="38">
        <f t="shared" si="158"/>
        <v>0</v>
      </c>
      <c r="BE143" s="38">
        <f t="shared" si="159"/>
        <v>0</v>
      </c>
      <c r="BF143" s="38">
        <f t="shared" si="159"/>
        <v>0</v>
      </c>
      <c r="BG143" s="38">
        <f t="shared" si="159"/>
        <v>0</v>
      </c>
      <c r="BH143" s="38">
        <f t="shared" si="159"/>
        <v>0</v>
      </c>
      <c r="BI143" s="38">
        <f t="shared" si="159"/>
        <v>0</v>
      </c>
      <c r="BJ143" s="38">
        <f t="shared" si="159"/>
        <v>0</v>
      </c>
      <c r="BK143" s="38">
        <f t="shared" si="159"/>
        <v>0</v>
      </c>
      <c r="BL143" s="38">
        <f t="shared" si="159"/>
        <v>0</v>
      </c>
      <c r="BM143" s="38">
        <f t="shared" si="159"/>
        <v>0</v>
      </c>
      <c r="BN143" s="38">
        <f t="shared" si="159"/>
        <v>0</v>
      </c>
      <c r="BO143" s="38">
        <f t="shared" si="160"/>
        <v>0</v>
      </c>
      <c r="BP143" s="38">
        <f t="shared" si="160"/>
        <v>0</v>
      </c>
      <c r="BQ143" s="38">
        <f t="shared" si="160"/>
        <v>0</v>
      </c>
      <c r="BR143" s="38">
        <f t="shared" si="160"/>
        <v>0</v>
      </c>
      <c r="BS143" s="38">
        <f t="shared" si="160"/>
        <v>0</v>
      </c>
      <c r="BT143" s="38">
        <f t="shared" si="160"/>
        <v>0</v>
      </c>
      <c r="BU143" s="38">
        <f t="shared" si="160"/>
        <v>0</v>
      </c>
      <c r="BV143" s="38">
        <f t="shared" si="160"/>
        <v>0</v>
      </c>
      <c r="BW143"/>
      <c r="BX143" s="38">
        <f t="shared" si="161"/>
        <v>0</v>
      </c>
      <c r="BY143" s="38">
        <f t="shared" si="161"/>
        <v>0</v>
      </c>
      <c r="BZ143" s="38">
        <f t="shared" si="161"/>
        <v>0</v>
      </c>
      <c r="CA143" s="38">
        <f t="shared" si="161"/>
        <v>0</v>
      </c>
      <c r="CB143" s="38">
        <f t="shared" si="161"/>
        <v>0</v>
      </c>
      <c r="CC143" s="38">
        <f t="shared" si="161"/>
        <v>0</v>
      </c>
      <c r="CD143" s="38">
        <f t="shared" si="161"/>
        <v>0</v>
      </c>
      <c r="CE143" s="38">
        <f t="shared" si="161"/>
        <v>0</v>
      </c>
      <c r="CF143" s="38">
        <f t="shared" si="161"/>
        <v>0</v>
      </c>
      <c r="CG143" s="38">
        <f t="shared" si="161"/>
        <v>0</v>
      </c>
      <c r="CH143" s="38">
        <f t="shared" si="161"/>
        <v>0</v>
      </c>
      <c r="CI143" s="38">
        <f t="shared" si="161"/>
        <v>0</v>
      </c>
      <c r="CJ143"/>
      <c r="CK143" s="11"/>
      <c r="CL143"/>
      <c r="CM143" s="11"/>
      <c r="EX143" s="10" t="str">
        <f t="shared" si="154"/>
        <v/>
      </c>
    </row>
    <row r="144" spans="1:154" x14ac:dyDescent="0.35">
      <c r="B144" t="str">
        <f ca="1">Loans!B$20</f>
        <v>Loan 8</v>
      </c>
      <c r="D144" s="51">
        <f>Loans!D$20</f>
        <v>0</v>
      </c>
      <c r="E144" s="117" t="str">
        <f>IF(Loans!R$20=0, "", Loans!R$20)</f>
        <v/>
      </c>
      <c r="F144" s="10">
        <f>Loans!H$702</f>
        <v>0</v>
      </c>
      <c r="V144" s="38">
        <f t="shared" si="155"/>
        <v>0</v>
      </c>
      <c r="W144" s="38">
        <f t="shared" si="155"/>
        <v>0</v>
      </c>
      <c r="X144" s="38">
        <f t="shared" si="155"/>
        <v>0</v>
      </c>
      <c r="Y144" s="38">
        <f t="shared" si="155"/>
        <v>0</v>
      </c>
      <c r="AA144" s="38">
        <f t="shared" si="156"/>
        <v>0</v>
      </c>
      <c r="AB144" s="38">
        <f t="shared" si="156"/>
        <v>0</v>
      </c>
      <c r="AC144" s="38">
        <f t="shared" si="156"/>
        <v>0</v>
      </c>
      <c r="AD144" s="38">
        <f t="shared" si="156"/>
        <v>0</v>
      </c>
      <c r="AE144" s="38">
        <f t="shared" si="156"/>
        <v>0</v>
      </c>
      <c r="AF144" s="38">
        <f t="shared" si="156"/>
        <v>0</v>
      </c>
      <c r="AG144" s="38">
        <f t="shared" si="156"/>
        <v>0</v>
      </c>
      <c r="AH144" s="38">
        <f t="shared" si="156"/>
        <v>0</v>
      </c>
      <c r="AI144" s="38">
        <f t="shared" si="156"/>
        <v>0</v>
      </c>
      <c r="AJ144" s="38">
        <f t="shared" si="156"/>
        <v>0</v>
      </c>
      <c r="AK144" s="38">
        <f t="shared" si="157"/>
        <v>0</v>
      </c>
      <c r="AL144" s="38">
        <f t="shared" si="157"/>
        <v>0</v>
      </c>
      <c r="AM144" s="38">
        <f t="shared" si="157"/>
        <v>0</v>
      </c>
      <c r="AN144" s="38">
        <f t="shared" si="157"/>
        <v>0</v>
      </c>
      <c r="AO144" s="38">
        <f t="shared" si="157"/>
        <v>0</v>
      </c>
      <c r="AP144" s="38">
        <f t="shared" si="157"/>
        <v>0</v>
      </c>
      <c r="AQ144" s="38">
        <f t="shared" si="157"/>
        <v>0</v>
      </c>
      <c r="AR144" s="38">
        <f t="shared" si="157"/>
        <v>0</v>
      </c>
      <c r="AS144" s="38">
        <f t="shared" si="157"/>
        <v>0</v>
      </c>
      <c r="AT144" s="38">
        <f t="shared" si="157"/>
        <v>0</v>
      </c>
      <c r="AU144" s="38">
        <f t="shared" si="158"/>
        <v>0</v>
      </c>
      <c r="AV144" s="38">
        <f t="shared" si="158"/>
        <v>0</v>
      </c>
      <c r="AW144" s="38">
        <f t="shared" si="158"/>
        <v>0</v>
      </c>
      <c r="AX144" s="38">
        <f t="shared" si="158"/>
        <v>0</v>
      </c>
      <c r="AY144" s="38">
        <f t="shared" si="158"/>
        <v>0</v>
      </c>
      <c r="AZ144" s="38">
        <f t="shared" si="158"/>
        <v>0</v>
      </c>
      <c r="BA144" s="38">
        <f t="shared" si="158"/>
        <v>0</v>
      </c>
      <c r="BB144" s="38">
        <f t="shared" si="158"/>
        <v>0</v>
      </c>
      <c r="BC144" s="38">
        <f t="shared" si="158"/>
        <v>0</v>
      </c>
      <c r="BD144" s="38">
        <f t="shared" si="158"/>
        <v>0</v>
      </c>
      <c r="BE144" s="38">
        <f t="shared" si="159"/>
        <v>0</v>
      </c>
      <c r="BF144" s="38">
        <f t="shared" si="159"/>
        <v>0</v>
      </c>
      <c r="BG144" s="38">
        <f t="shared" si="159"/>
        <v>0</v>
      </c>
      <c r="BH144" s="38">
        <f t="shared" si="159"/>
        <v>0</v>
      </c>
      <c r="BI144" s="38">
        <f t="shared" si="159"/>
        <v>0</v>
      </c>
      <c r="BJ144" s="38">
        <f t="shared" si="159"/>
        <v>0</v>
      </c>
      <c r="BK144" s="38">
        <f t="shared" si="159"/>
        <v>0</v>
      </c>
      <c r="BL144" s="38">
        <f t="shared" si="159"/>
        <v>0</v>
      </c>
      <c r="BM144" s="38">
        <f t="shared" si="159"/>
        <v>0</v>
      </c>
      <c r="BN144" s="38">
        <f t="shared" si="159"/>
        <v>0</v>
      </c>
      <c r="BO144" s="38">
        <f t="shared" si="160"/>
        <v>0</v>
      </c>
      <c r="BP144" s="38">
        <f t="shared" si="160"/>
        <v>0</v>
      </c>
      <c r="BQ144" s="38">
        <f t="shared" si="160"/>
        <v>0</v>
      </c>
      <c r="BR144" s="38">
        <f t="shared" si="160"/>
        <v>0</v>
      </c>
      <c r="BS144" s="38">
        <f t="shared" si="160"/>
        <v>0</v>
      </c>
      <c r="BT144" s="38">
        <f t="shared" si="160"/>
        <v>0</v>
      </c>
      <c r="BU144" s="38">
        <f t="shared" si="160"/>
        <v>0</v>
      </c>
      <c r="BV144" s="38">
        <f t="shared" si="160"/>
        <v>0</v>
      </c>
      <c r="BX144" s="38">
        <f t="shared" si="161"/>
        <v>0</v>
      </c>
      <c r="BY144" s="38">
        <f t="shared" si="161"/>
        <v>0</v>
      </c>
      <c r="BZ144" s="38">
        <f t="shared" si="161"/>
        <v>0</v>
      </c>
      <c r="CA144" s="38">
        <f t="shared" si="161"/>
        <v>0</v>
      </c>
      <c r="CB144" s="38">
        <f t="shared" si="161"/>
        <v>0</v>
      </c>
      <c r="CC144" s="38">
        <f t="shared" si="161"/>
        <v>0</v>
      </c>
      <c r="CD144" s="38">
        <f t="shared" si="161"/>
        <v>0</v>
      </c>
      <c r="CE144" s="38">
        <f t="shared" si="161"/>
        <v>0</v>
      </c>
      <c r="CF144" s="38">
        <f t="shared" si="161"/>
        <v>0</v>
      </c>
      <c r="CG144" s="38">
        <f t="shared" si="161"/>
        <v>0</v>
      </c>
      <c r="CH144" s="38">
        <f t="shared" si="161"/>
        <v>0</v>
      </c>
      <c r="CI144" s="38">
        <f t="shared" si="161"/>
        <v>0</v>
      </c>
      <c r="CK144" s="11"/>
      <c r="CM144" s="11"/>
      <c r="EX144" s="10" t="str">
        <f t="shared" si="154"/>
        <v/>
      </c>
    </row>
    <row r="145" spans="2:154" x14ac:dyDescent="0.35">
      <c r="B145" t="str">
        <f ca="1">Loans!B$21</f>
        <v>Loan 9</v>
      </c>
      <c r="D145" s="51">
        <f>Loans!D$21</f>
        <v>0</v>
      </c>
      <c r="E145" s="117" t="str">
        <f>IF(Loans!R$21=0, "", Loans!R$21)</f>
        <v/>
      </c>
      <c r="F145" s="10">
        <f>Loans!H$703</f>
        <v>0</v>
      </c>
      <c r="V145" s="38">
        <f t="shared" si="155"/>
        <v>0</v>
      </c>
      <c r="W145" s="38">
        <f t="shared" si="155"/>
        <v>0</v>
      </c>
      <c r="X145" s="38">
        <f t="shared" si="155"/>
        <v>0</v>
      </c>
      <c r="Y145" s="38">
        <f t="shared" si="155"/>
        <v>0</v>
      </c>
      <c r="AA145" s="38">
        <f t="shared" si="156"/>
        <v>0</v>
      </c>
      <c r="AB145" s="38">
        <f t="shared" si="156"/>
        <v>0</v>
      </c>
      <c r="AC145" s="38">
        <f t="shared" si="156"/>
        <v>0</v>
      </c>
      <c r="AD145" s="38">
        <f t="shared" si="156"/>
        <v>0</v>
      </c>
      <c r="AE145" s="38">
        <f t="shared" si="156"/>
        <v>0</v>
      </c>
      <c r="AF145" s="38">
        <f t="shared" si="156"/>
        <v>0</v>
      </c>
      <c r="AG145" s="38">
        <f t="shared" si="156"/>
        <v>0</v>
      </c>
      <c r="AH145" s="38">
        <f t="shared" si="156"/>
        <v>0</v>
      </c>
      <c r="AI145" s="38">
        <f t="shared" si="156"/>
        <v>0</v>
      </c>
      <c r="AJ145" s="38">
        <f t="shared" si="156"/>
        <v>0</v>
      </c>
      <c r="AK145" s="38">
        <f t="shared" si="157"/>
        <v>0</v>
      </c>
      <c r="AL145" s="38">
        <f t="shared" si="157"/>
        <v>0</v>
      </c>
      <c r="AM145" s="38">
        <f t="shared" si="157"/>
        <v>0</v>
      </c>
      <c r="AN145" s="38">
        <f t="shared" si="157"/>
        <v>0</v>
      </c>
      <c r="AO145" s="38">
        <f t="shared" si="157"/>
        <v>0</v>
      </c>
      <c r="AP145" s="38">
        <f t="shared" si="157"/>
        <v>0</v>
      </c>
      <c r="AQ145" s="38">
        <f t="shared" si="157"/>
        <v>0</v>
      </c>
      <c r="AR145" s="38">
        <f t="shared" si="157"/>
        <v>0</v>
      </c>
      <c r="AS145" s="38">
        <f t="shared" si="157"/>
        <v>0</v>
      </c>
      <c r="AT145" s="38">
        <f t="shared" si="157"/>
        <v>0</v>
      </c>
      <c r="AU145" s="38">
        <f t="shared" si="158"/>
        <v>0</v>
      </c>
      <c r="AV145" s="38">
        <f t="shared" si="158"/>
        <v>0</v>
      </c>
      <c r="AW145" s="38">
        <f t="shared" si="158"/>
        <v>0</v>
      </c>
      <c r="AX145" s="38">
        <f t="shared" si="158"/>
        <v>0</v>
      </c>
      <c r="AY145" s="38">
        <f t="shared" si="158"/>
        <v>0</v>
      </c>
      <c r="AZ145" s="38">
        <f t="shared" si="158"/>
        <v>0</v>
      </c>
      <c r="BA145" s="38">
        <f t="shared" si="158"/>
        <v>0</v>
      </c>
      <c r="BB145" s="38">
        <f t="shared" si="158"/>
        <v>0</v>
      </c>
      <c r="BC145" s="38">
        <f t="shared" si="158"/>
        <v>0</v>
      </c>
      <c r="BD145" s="38">
        <f t="shared" si="158"/>
        <v>0</v>
      </c>
      <c r="BE145" s="38">
        <f t="shared" si="159"/>
        <v>0</v>
      </c>
      <c r="BF145" s="38">
        <f t="shared" si="159"/>
        <v>0</v>
      </c>
      <c r="BG145" s="38">
        <f t="shared" si="159"/>
        <v>0</v>
      </c>
      <c r="BH145" s="38">
        <f t="shared" si="159"/>
        <v>0</v>
      </c>
      <c r="BI145" s="38">
        <f t="shared" si="159"/>
        <v>0</v>
      </c>
      <c r="BJ145" s="38">
        <f t="shared" si="159"/>
        <v>0</v>
      </c>
      <c r="BK145" s="38">
        <f t="shared" si="159"/>
        <v>0</v>
      </c>
      <c r="BL145" s="38">
        <f t="shared" si="159"/>
        <v>0</v>
      </c>
      <c r="BM145" s="38">
        <f t="shared" si="159"/>
        <v>0</v>
      </c>
      <c r="BN145" s="38">
        <f t="shared" si="159"/>
        <v>0</v>
      </c>
      <c r="BO145" s="38">
        <f t="shared" si="160"/>
        <v>0</v>
      </c>
      <c r="BP145" s="38">
        <f t="shared" si="160"/>
        <v>0</v>
      </c>
      <c r="BQ145" s="38">
        <f t="shared" si="160"/>
        <v>0</v>
      </c>
      <c r="BR145" s="38">
        <f t="shared" si="160"/>
        <v>0</v>
      </c>
      <c r="BS145" s="38">
        <f t="shared" si="160"/>
        <v>0</v>
      </c>
      <c r="BT145" s="38">
        <f t="shared" si="160"/>
        <v>0</v>
      </c>
      <c r="BU145" s="38">
        <f t="shared" si="160"/>
        <v>0</v>
      </c>
      <c r="BV145" s="38">
        <f t="shared" si="160"/>
        <v>0</v>
      </c>
      <c r="BX145" s="38">
        <f t="shared" si="161"/>
        <v>0</v>
      </c>
      <c r="BY145" s="38">
        <f t="shared" si="161"/>
        <v>0</v>
      </c>
      <c r="BZ145" s="38">
        <f t="shared" si="161"/>
        <v>0</v>
      </c>
      <c r="CA145" s="38">
        <f t="shared" si="161"/>
        <v>0</v>
      </c>
      <c r="CB145" s="38">
        <f t="shared" si="161"/>
        <v>0</v>
      </c>
      <c r="CC145" s="38">
        <f t="shared" si="161"/>
        <v>0</v>
      </c>
      <c r="CD145" s="38">
        <f t="shared" si="161"/>
        <v>0</v>
      </c>
      <c r="CE145" s="38">
        <f t="shared" si="161"/>
        <v>0</v>
      </c>
      <c r="CF145" s="38">
        <f t="shared" si="161"/>
        <v>0</v>
      </c>
      <c r="CG145" s="38">
        <f t="shared" si="161"/>
        <v>0</v>
      </c>
      <c r="CH145" s="38">
        <f t="shared" si="161"/>
        <v>0</v>
      </c>
      <c r="CI145" s="38">
        <f t="shared" si="161"/>
        <v>0</v>
      </c>
      <c r="CK145" s="11"/>
      <c r="CM145" s="11"/>
      <c r="EX145" s="10" t="str">
        <f t="shared" si="154"/>
        <v/>
      </c>
    </row>
    <row r="146" spans="2:154" x14ac:dyDescent="0.35">
      <c r="B146" t="str">
        <f ca="1">Loans!B$22</f>
        <v>Loan 10</v>
      </c>
      <c r="D146" s="51">
        <f>Loans!D$22</f>
        <v>0</v>
      </c>
      <c r="E146" s="117" t="str">
        <f>IF(Loans!R$22=0, "", Loans!R$22)</f>
        <v/>
      </c>
      <c r="F146" s="10">
        <f>Loans!H$704</f>
        <v>0</v>
      </c>
      <c r="V146" s="38">
        <f t="shared" si="155"/>
        <v>0</v>
      </c>
      <c r="W146" s="38">
        <f t="shared" si="155"/>
        <v>0</v>
      </c>
      <c r="X146" s="38">
        <f t="shared" si="155"/>
        <v>0</v>
      </c>
      <c r="Y146" s="38">
        <f t="shared" si="155"/>
        <v>0</v>
      </c>
      <c r="AA146" s="38">
        <f t="shared" si="156"/>
        <v>0</v>
      </c>
      <c r="AB146" s="38">
        <f t="shared" si="156"/>
        <v>0</v>
      </c>
      <c r="AC146" s="38">
        <f t="shared" si="156"/>
        <v>0</v>
      </c>
      <c r="AD146" s="38">
        <f t="shared" si="156"/>
        <v>0</v>
      </c>
      <c r="AE146" s="38">
        <f t="shared" si="156"/>
        <v>0</v>
      </c>
      <c r="AF146" s="38">
        <f t="shared" si="156"/>
        <v>0</v>
      </c>
      <c r="AG146" s="38">
        <f t="shared" si="156"/>
        <v>0</v>
      </c>
      <c r="AH146" s="38">
        <f t="shared" si="156"/>
        <v>0</v>
      </c>
      <c r="AI146" s="38">
        <f t="shared" si="156"/>
        <v>0</v>
      </c>
      <c r="AJ146" s="38">
        <f t="shared" si="156"/>
        <v>0</v>
      </c>
      <c r="AK146" s="38">
        <f t="shared" si="157"/>
        <v>0</v>
      </c>
      <c r="AL146" s="38">
        <f t="shared" si="157"/>
        <v>0</v>
      </c>
      <c r="AM146" s="38">
        <f t="shared" si="157"/>
        <v>0</v>
      </c>
      <c r="AN146" s="38">
        <f t="shared" si="157"/>
        <v>0</v>
      </c>
      <c r="AO146" s="38">
        <f t="shared" si="157"/>
        <v>0</v>
      </c>
      <c r="AP146" s="38">
        <f t="shared" si="157"/>
        <v>0</v>
      </c>
      <c r="AQ146" s="38">
        <f t="shared" si="157"/>
        <v>0</v>
      </c>
      <c r="AR146" s="38">
        <f t="shared" si="157"/>
        <v>0</v>
      </c>
      <c r="AS146" s="38">
        <f t="shared" si="157"/>
        <v>0</v>
      </c>
      <c r="AT146" s="38">
        <f t="shared" si="157"/>
        <v>0</v>
      </c>
      <c r="AU146" s="38">
        <f t="shared" si="158"/>
        <v>0</v>
      </c>
      <c r="AV146" s="38">
        <f t="shared" si="158"/>
        <v>0</v>
      </c>
      <c r="AW146" s="38">
        <f t="shared" si="158"/>
        <v>0</v>
      </c>
      <c r="AX146" s="38">
        <f t="shared" si="158"/>
        <v>0</v>
      </c>
      <c r="AY146" s="38">
        <f t="shared" si="158"/>
        <v>0</v>
      </c>
      <c r="AZ146" s="38">
        <f t="shared" si="158"/>
        <v>0</v>
      </c>
      <c r="BA146" s="38">
        <f t="shared" si="158"/>
        <v>0</v>
      </c>
      <c r="BB146" s="38">
        <f t="shared" si="158"/>
        <v>0</v>
      </c>
      <c r="BC146" s="38">
        <f t="shared" si="158"/>
        <v>0</v>
      </c>
      <c r="BD146" s="38">
        <f t="shared" si="158"/>
        <v>0</v>
      </c>
      <c r="BE146" s="38">
        <f t="shared" si="159"/>
        <v>0</v>
      </c>
      <c r="BF146" s="38">
        <f t="shared" si="159"/>
        <v>0</v>
      </c>
      <c r="BG146" s="38">
        <f t="shared" si="159"/>
        <v>0</v>
      </c>
      <c r="BH146" s="38">
        <f t="shared" si="159"/>
        <v>0</v>
      </c>
      <c r="BI146" s="38">
        <f t="shared" si="159"/>
        <v>0</v>
      </c>
      <c r="BJ146" s="38">
        <f t="shared" si="159"/>
        <v>0</v>
      </c>
      <c r="BK146" s="38">
        <f t="shared" si="159"/>
        <v>0</v>
      </c>
      <c r="BL146" s="38">
        <f t="shared" si="159"/>
        <v>0</v>
      </c>
      <c r="BM146" s="38">
        <f t="shared" si="159"/>
        <v>0</v>
      </c>
      <c r="BN146" s="38">
        <f t="shared" si="159"/>
        <v>0</v>
      </c>
      <c r="BO146" s="38">
        <f t="shared" si="160"/>
        <v>0</v>
      </c>
      <c r="BP146" s="38">
        <f t="shared" si="160"/>
        <v>0</v>
      </c>
      <c r="BQ146" s="38">
        <f t="shared" si="160"/>
        <v>0</v>
      </c>
      <c r="BR146" s="38">
        <f t="shared" si="160"/>
        <v>0</v>
      </c>
      <c r="BS146" s="38">
        <f t="shared" si="160"/>
        <v>0</v>
      </c>
      <c r="BT146" s="38">
        <f t="shared" si="160"/>
        <v>0</v>
      </c>
      <c r="BU146" s="38">
        <f t="shared" si="160"/>
        <v>0</v>
      </c>
      <c r="BV146" s="38">
        <f t="shared" si="160"/>
        <v>0</v>
      </c>
      <c r="BX146" s="38">
        <f t="shared" si="161"/>
        <v>0</v>
      </c>
      <c r="BY146" s="38">
        <f t="shared" si="161"/>
        <v>0</v>
      </c>
      <c r="BZ146" s="38">
        <f t="shared" si="161"/>
        <v>0</v>
      </c>
      <c r="CA146" s="38">
        <f t="shared" si="161"/>
        <v>0</v>
      </c>
      <c r="CB146" s="38">
        <f t="shared" si="161"/>
        <v>0</v>
      </c>
      <c r="CC146" s="38">
        <f t="shared" si="161"/>
        <v>0</v>
      </c>
      <c r="CD146" s="38">
        <f t="shared" si="161"/>
        <v>0</v>
      </c>
      <c r="CE146" s="38">
        <f t="shared" si="161"/>
        <v>0</v>
      </c>
      <c r="CF146" s="38">
        <f t="shared" si="161"/>
        <v>0</v>
      </c>
      <c r="CG146" s="38">
        <f t="shared" si="161"/>
        <v>0</v>
      </c>
      <c r="CH146" s="38">
        <f t="shared" si="161"/>
        <v>0</v>
      </c>
      <c r="CI146" s="38">
        <f t="shared" si="161"/>
        <v>0</v>
      </c>
      <c r="CK146" s="11"/>
      <c r="CM146" s="11"/>
      <c r="EX146" s="10" t="str">
        <f t="shared" si="154"/>
        <v/>
      </c>
    </row>
    <row r="147" spans="2:154" x14ac:dyDescent="0.35">
      <c r="B147" t="str">
        <f ca="1">Loans!B$23</f>
        <v>Loan 11</v>
      </c>
      <c r="D147" s="51">
        <f>Loans!D$23</f>
        <v>0</v>
      </c>
      <c r="E147" s="117" t="str">
        <f>IF(Loans!R$23=0, "", Loans!R$23)</f>
        <v/>
      </c>
      <c r="F147" s="10">
        <f>Loans!H$705</f>
        <v>0</v>
      </c>
      <c r="V147" s="38">
        <f t="shared" si="155"/>
        <v>0</v>
      </c>
      <c r="W147" s="38">
        <f t="shared" si="155"/>
        <v>0</v>
      </c>
      <c r="X147" s="38">
        <f t="shared" si="155"/>
        <v>0</v>
      </c>
      <c r="Y147" s="38">
        <f t="shared" si="155"/>
        <v>0</v>
      </c>
      <c r="AA147" s="38">
        <f t="shared" ref="AA147:AJ156" si="162">IF(AND($E147&gt;=AA$8, $E147&lt;=AA$10), 1,0)</f>
        <v>0</v>
      </c>
      <c r="AB147" s="38">
        <f t="shared" si="162"/>
        <v>0</v>
      </c>
      <c r="AC147" s="38">
        <f t="shared" si="162"/>
        <v>0</v>
      </c>
      <c r="AD147" s="38">
        <f t="shared" si="162"/>
        <v>0</v>
      </c>
      <c r="AE147" s="38">
        <f t="shared" si="162"/>
        <v>0</v>
      </c>
      <c r="AF147" s="38">
        <f t="shared" si="162"/>
        <v>0</v>
      </c>
      <c r="AG147" s="38">
        <f t="shared" si="162"/>
        <v>0</v>
      </c>
      <c r="AH147" s="38">
        <f t="shared" si="162"/>
        <v>0</v>
      </c>
      <c r="AI147" s="38">
        <f t="shared" si="162"/>
        <v>0</v>
      </c>
      <c r="AJ147" s="38">
        <f t="shared" si="162"/>
        <v>0</v>
      </c>
      <c r="AK147" s="38">
        <f t="shared" ref="AK147:AT156" si="163">IF(AND($E147&gt;=AK$8, $E147&lt;=AK$10), 1,0)</f>
        <v>0</v>
      </c>
      <c r="AL147" s="38">
        <f t="shared" si="163"/>
        <v>0</v>
      </c>
      <c r="AM147" s="38">
        <f t="shared" si="163"/>
        <v>0</v>
      </c>
      <c r="AN147" s="38">
        <f t="shared" si="163"/>
        <v>0</v>
      </c>
      <c r="AO147" s="38">
        <f t="shared" si="163"/>
        <v>0</v>
      </c>
      <c r="AP147" s="38">
        <f t="shared" si="163"/>
        <v>0</v>
      </c>
      <c r="AQ147" s="38">
        <f t="shared" si="163"/>
        <v>0</v>
      </c>
      <c r="AR147" s="38">
        <f t="shared" si="163"/>
        <v>0</v>
      </c>
      <c r="AS147" s="38">
        <f t="shared" si="163"/>
        <v>0</v>
      </c>
      <c r="AT147" s="38">
        <f t="shared" si="163"/>
        <v>0</v>
      </c>
      <c r="AU147" s="38">
        <f t="shared" ref="AU147:BD156" si="164">IF(AND($E147&gt;=AU$8, $E147&lt;=AU$10), 1,0)</f>
        <v>0</v>
      </c>
      <c r="AV147" s="38">
        <f t="shared" si="164"/>
        <v>0</v>
      </c>
      <c r="AW147" s="38">
        <f t="shared" si="164"/>
        <v>0</v>
      </c>
      <c r="AX147" s="38">
        <f t="shared" si="164"/>
        <v>0</v>
      </c>
      <c r="AY147" s="38">
        <f t="shared" si="164"/>
        <v>0</v>
      </c>
      <c r="AZ147" s="38">
        <f t="shared" si="164"/>
        <v>0</v>
      </c>
      <c r="BA147" s="38">
        <f t="shared" si="164"/>
        <v>0</v>
      </c>
      <c r="BB147" s="38">
        <f t="shared" si="164"/>
        <v>0</v>
      </c>
      <c r="BC147" s="38">
        <f t="shared" si="164"/>
        <v>0</v>
      </c>
      <c r="BD147" s="38">
        <f t="shared" si="164"/>
        <v>0</v>
      </c>
      <c r="BE147" s="38">
        <f t="shared" ref="BE147:BN156" si="165">IF(AND($E147&gt;=BE$8, $E147&lt;=BE$10), 1,0)</f>
        <v>0</v>
      </c>
      <c r="BF147" s="38">
        <f t="shared" si="165"/>
        <v>0</v>
      </c>
      <c r="BG147" s="38">
        <f t="shared" si="165"/>
        <v>0</v>
      </c>
      <c r="BH147" s="38">
        <f t="shared" si="165"/>
        <v>0</v>
      </c>
      <c r="BI147" s="38">
        <f t="shared" si="165"/>
        <v>0</v>
      </c>
      <c r="BJ147" s="38">
        <f t="shared" si="165"/>
        <v>0</v>
      </c>
      <c r="BK147" s="38">
        <f t="shared" si="165"/>
        <v>0</v>
      </c>
      <c r="BL147" s="38">
        <f t="shared" si="165"/>
        <v>0</v>
      </c>
      <c r="BM147" s="38">
        <f t="shared" si="165"/>
        <v>0</v>
      </c>
      <c r="BN147" s="38">
        <f t="shared" si="165"/>
        <v>0</v>
      </c>
      <c r="BO147" s="38">
        <f t="shared" ref="BO147:BV156" si="166">IF(AND($E147&gt;=BO$8, $E147&lt;=BO$10), 1,0)</f>
        <v>0</v>
      </c>
      <c r="BP147" s="38">
        <f t="shared" si="166"/>
        <v>0</v>
      </c>
      <c r="BQ147" s="38">
        <f t="shared" si="166"/>
        <v>0</v>
      </c>
      <c r="BR147" s="38">
        <f t="shared" si="166"/>
        <v>0</v>
      </c>
      <c r="BS147" s="38">
        <f t="shared" si="166"/>
        <v>0</v>
      </c>
      <c r="BT147" s="38">
        <f t="shared" si="166"/>
        <v>0</v>
      </c>
      <c r="BU147" s="38">
        <f t="shared" si="166"/>
        <v>0</v>
      </c>
      <c r="BV147" s="38">
        <f t="shared" si="166"/>
        <v>0</v>
      </c>
      <c r="BX147" s="38">
        <f t="shared" ref="BX147:CI156" si="167">IF(AND($E147&gt;=BX$8, $E147&lt;=BX$10), 1,0)</f>
        <v>0</v>
      </c>
      <c r="BY147" s="38">
        <f t="shared" si="167"/>
        <v>0</v>
      </c>
      <c r="BZ147" s="38">
        <f t="shared" si="167"/>
        <v>0</v>
      </c>
      <c r="CA147" s="38">
        <f t="shared" si="167"/>
        <v>0</v>
      </c>
      <c r="CB147" s="38">
        <f t="shared" si="167"/>
        <v>0</v>
      </c>
      <c r="CC147" s="38">
        <f t="shared" si="167"/>
        <v>0</v>
      </c>
      <c r="CD147" s="38">
        <f t="shared" si="167"/>
        <v>0</v>
      </c>
      <c r="CE147" s="38">
        <f t="shared" si="167"/>
        <v>0</v>
      </c>
      <c r="CF147" s="38">
        <f t="shared" si="167"/>
        <v>0</v>
      </c>
      <c r="CG147" s="38">
        <f t="shared" si="167"/>
        <v>0</v>
      </c>
      <c r="CH147" s="38">
        <f t="shared" si="167"/>
        <v>0</v>
      </c>
      <c r="CI147" s="38">
        <f t="shared" si="167"/>
        <v>0</v>
      </c>
      <c r="CK147" s="11"/>
      <c r="CM147" s="11"/>
      <c r="EX147" s="10" t="str">
        <f t="shared" si="154"/>
        <v/>
      </c>
    </row>
    <row r="148" spans="2:154" x14ac:dyDescent="0.35">
      <c r="B148" t="str">
        <f ca="1">Loans!B$24</f>
        <v>Loan 12</v>
      </c>
      <c r="D148" s="51">
        <f>Loans!D$24</f>
        <v>0</v>
      </c>
      <c r="E148" s="117" t="str">
        <f>IF(Loans!R$24=0, "", Loans!R$24)</f>
        <v/>
      </c>
      <c r="F148" s="10">
        <f>Loans!H$706</f>
        <v>0</v>
      </c>
      <c r="V148" s="38">
        <f t="shared" si="155"/>
        <v>0</v>
      </c>
      <c r="W148" s="38">
        <f t="shared" si="155"/>
        <v>0</v>
      </c>
      <c r="X148" s="38">
        <f t="shared" si="155"/>
        <v>0</v>
      </c>
      <c r="Y148" s="38">
        <f t="shared" si="155"/>
        <v>0</v>
      </c>
      <c r="AA148" s="38">
        <f t="shared" si="162"/>
        <v>0</v>
      </c>
      <c r="AB148" s="38">
        <f t="shared" si="162"/>
        <v>0</v>
      </c>
      <c r="AC148" s="38">
        <f t="shared" si="162"/>
        <v>0</v>
      </c>
      <c r="AD148" s="38">
        <f t="shared" si="162"/>
        <v>0</v>
      </c>
      <c r="AE148" s="38">
        <f t="shared" si="162"/>
        <v>0</v>
      </c>
      <c r="AF148" s="38">
        <f t="shared" si="162"/>
        <v>0</v>
      </c>
      <c r="AG148" s="38">
        <f t="shared" si="162"/>
        <v>0</v>
      </c>
      <c r="AH148" s="38">
        <f t="shared" si="162"/>
        <v>0</v>
      </c>
      <c r="AI148" s="38">
        <f t="shared" si="162"/>
        <v>0</v>
      </c>
      <c r="AJ148" s="38">
        <f t="shared" si="162"/>
        <v>0</v>
      </c>
      <c r="AK148" s="38">
        <f t="shared" si="163"/>
        <v>0</v>
      </c>
      <c r="AL148" s="38">
        <f t="shared" si="163"/>
        <v>0</v>
      </c>
      <c r="AM148" s="38">
        <f t="shared" si="163"/>
        <v>0</v>
      </c>
      <c r="AN148" s="38">
        <f t="shared" si="163"/>
        <v>0</v>
      </c>
      <c r="AO148" s="38">
        <f t="shared" si="163"/>
        <v>0</v>
      </c>
      <c r="AP148" s="38">
        <f t="shared" si="163"/>
        <v>0</v>
      </c>
      <c r="AQ148" s="38">
        <f t="shared" si="163"/>
        <v>0</v>
      </c>
      <c r="AR148" s="38">
        <f t="shared" si="163"/>
        <v>0</v>
      </c>
      <c r="AS148" s="38">
        <f t="shared" si="163"/>
        <v>0</v>
      </c>
      <c r="AT148" s="38">
        <f t="shared" si="163"/>
        <v>0</v>
      </c>
      <c r="AU148" s="38">
        <f t="shared" si="164"/>
        <v>0</v>
      </c>
      <c r="AV148" s="38">
        <f t="shared" si="164"/>
        <v>0</v>
      </c>
      <c r="AW148" s="38">
        <f t="shared" si="164"/>
        <v>0</v>
      </c>
      <c r="AX148" s="38">
        <f t="shared" si="164"/>
        <v>0</v>
      </c>
      <c r="AY148" s="38">
        <f t="shared" si="164"/>
        <v>0</v>
      </c>
      <c r="AZ148" s="38">
        <f t="shared" si="164"/>
        <v>0</v>
      </c>
      <c r="BA148" s="38">
        <f t="shared" si="164"/>
        <v>0</v>
      </c>
      <c r="BB148" s="38">
        <f t="shared" si="164"/>
        <v>0</v>
      </c>
      <c r="BC148" s="38">
        <f t="shared" si="164"/>
        <v>0</v>
      </c>
      <c r="BD148" s="38">
        <f t="shared" si="164"/>
        <v>0</v>
      </c>
      <c r="BE148" s="38">
        <f t="shared" si="165"/>
        <v>0</v>
      </c>
      <c r="BF148" s="38">
        <f t="shared" si="165"/>
        <v>0</v>
      </c>
      <c r="BG148" s="38">
        <f t="shared" si="165"/>
        <v>0</v>
      </c>
      <c r="BH148" s="38">
        <f t="shared" si="165"/>
        <v>0</v>
      </c>
      <c r="BI148" s="38">
        <f t="shared" si="165"/>
        <v>0</v>
      </c>
      <c r="BJ148" s="38">
        <f t="shared" si="165"/>
        <v>0</v>
      </c>
      <c r="BK148" s="38">
        <f t="shared" si="165"/>
        <v>0</v>
      </c>
      <c r="BL148" s="38">
        <f t="shared" si="165"/>
        <v>0</v>
      </c>
      <c r="BM148" s="38">
        <f t="shared" si="165"/>
        <v>0</v>
      </c>
      <c r="BN148" s="38">
        <f t="shared" si="165"/>
        <v>0</v>
      </c>
      <c r="BO148" s="38">
        <f t="shared" si="166"/>
        <v>0</v>
      </c>
      <c r="BP148" s="38">
        <f t="shared" si="166"/>
        <v>0</v>
      </c>
      <c r="BQ148" s="38">
        <f t="shared" si="166"/>
        <v>0</v>
      </c>
      <c r="BR148" s="38">
        <f t="shared" si="166"/>
        <v>0</v>
      </c>
      <c r="BS148" s="38">
        <f t="shared" si="166"/>
        <v>0</v>
      </c>
      <c r="BT148" s="38">
        <f t="shared" si="166"/>
        <v>0</v>
      </c>
      <c r="BU148" s="38">
        <f t="shared" si="166"/>
        <v>0</v>
      </c>
      <c r="BV148" s="38">
        <f t="shared" si="166"/>
        <v>0</v>
      </c>
      <c r="BX148" s="38">
        <f t="shared" si="167"/>
        <v>0</v>
      </c>
      <c r="BY148" s="38">
        <f t="shared" si="167"/>
        <v>0</v>
      </c>
      <c r="BZ148" s="38">
        <f t="shared" si="167"/>
        <v>0</v>
      </c>
      <c r="CA148" s="38">
        <f t="shared" si="167"/>
        <v>0</v>
      </c>
      <c r="CB148" s="38">
        <f t="shared" si="167"/>
        <v>0</v>
      </c>
      <c r="CC148" s="38">
        <f t="shared" si="167"/>
        <v>0</v>
      </c>
      <c r="CD148" s="38">
        <f t="shared" si="167"/>
        <v>0</v>
      </c>
      <c r="CE148" s="38">
        <f t="shared" si="167"/>
        <v>0</v>
      </c>
      <c r="CF148" s="38">
        <f t="shared" si="167"/>
        <v>0</v>
      </c>
      <c r="CG148" s="38">
        <f t="shared" si="167"/>
        <v>0</v>
      </c>
      <c r="CH148" s="38">
        <f t="shared" si="167"/>
        <v>0</v>
      </c>
      <c r="CI148" s="38">
        <f t="shared" si="167"/>
        <v>0</v>
      </c>
      <c r="CK148" s="11"/>
      <c r="CM148" s="11"/>
      <c r="EX148" s="10" t="str">
        <f t="shared" si="154"/>
        <v/>
      </c>
    </row>
    <row r="149" spans="2:154" x14ac:dyDescent="0.35">
      <c r="B149" t="str">
        <f ca="1">Loans!B$25</f>
        <v>Loan 13</v>
      </c>
      <c r="D149" s="51">
        <f>Loans!D$25</f>
        <v>0</v>
      </c>
      <c r="E149" s="117" t="str">
        <f>IF(Loans!R$25=0, "", Loans!R$25)</f>
        <v/>
      </c>
      <c r="F149" s="10">
        <f>Loans!H$707</f>
        <v>0</v>
      </c>
      <c r="V149" s="38">
        <f t="shared" si="155"/>
        <v>0</v>
      </c>
      <c r="W149" s="38">
        <f t="shared" si="155"/>
        <v>0</v>
      </c>
      <c r="X149" s="38">
        <f t="shared" si="155"/>
        <v>0</v>
      </c>
      <c r="Y149" s="38">
        <f t="shared" si="155"/>
        <v>0</v>
      </c>
      <c r="AA149" s="38">
        <f t="shared" si="162"/>
        <v>0</v>
      </c>
      <c r="AB149" s="38">
        <f t="shared" si="162"/>
        <v>0</v>
      </c>
      <c r="AC149" s="38">
        <f t="shared" si="162"/>
        <v>0</v>
      </c>
      <c r="AD149" s="38">
        <f t="shared" si="162"/>
        <v>0</v>
      </c>
      <c r="AE149" s="38">
        <f t="shared" si="162"/>
        <v>0</v>
      </c>
      <c r="AF149" s="38">
        <f t="shared" si="162"/>
        <v>0</v>
      </c>
      <c r="AG149" s="38">
        <f t="shared" si="162"/>
        <v>0</v>
      </c>
      <c r="AH149" s="38">
        <f t="shared" si="162"/>
        <v>0</v>
      </c>
      <c r="AI149" s="38">
        <f t="shared" si="162"/>
        <v>0</v>
      </c>
      <c r="AJ149" s="38">
        <f t="shared" si="162"/>
        <v>0</v>
      </c>
      <c r="AK149" s="38">
        <f t="shared" si="163"/>
        <v>0</v>
      </c>
      <c r="AL149" s="38">
        <f t="shared" si="163"/>
        <v>0</v>
      </c>
      <c r="AM149" s="38">
        <f t="shared" si="163"/>
        <v>0</v>
      </c>
      <c r="AN149" s="38">
        <f t="shared" si="163"/>
        <v>0</v>
      </c>
      <c r="AO149" s="38">
        <f t="shared" si="163"/>
        <v>0</v>
      </c>
      <c r="AP149" s="38">
        <f t="shared" si="163"/>
        <v>0</v>
      </c>
      <c r="AQ149" s="38">
        <f t="shared" si="163"/>
        <v>0</v>
      </c>
      <c r="AR149" s="38">
        <f t="shared" si="163"/>
        <v>0</v>
      </c>
      <c r="AS149" s="38">
        <f t="shared" si="163"/>
        <v>0</v>
      </c>
      <c r="AT149" s="38">
        <f t="shared" si="163"/>
        <v>0</v>
      </c>
      <c r="AU149" s="38">
        <f t="shared" si="164"/>
        <v>0</v>
      </c>
      <c r="AV149" s="38">
        <f t="shared" si="164"/>
        <v>0</v>
      </c>
      <c r="AW149" s="38">
        <f t="shared" si="164"/>
        <v>0</v>
      </c>
      <c r="AX149" s="38">
        <f t="shared" si="164"/>
        <v>0</v>
      </c>
      <c r="AY149" s="38">
        <f t="shared" si="164"/>
        <v>0</v>
      </c>
      <c r="AZ149" s="38">
        <f t="shared" si="164"/>
        <v>0</v>
      </c>
      <c r="BA149" s="38">
        <f t="shared" si="164"/>
        <v>0</v>
      </c>
      <c r="BB149" s="38">
        <f t="shared" si="164"/>
        <v>0</v>
      </c>
      <c r="BC149" s="38">
        <f t="shared" si="164"/>
        <v>0</v>
      </c>
      <c r="BD149" s="38">
        <f t="shared" si="164"/>
        <v>0</v>
      </c>
      <c r="BE149" s="38">
        <f t="shared" si="165"/>
        <v>0</v>
      </c>
      <c r="BF149" s="38">
        <f t="shared" si="165"/>
        <v>0</v>
      </c>
      <c r="BG149" s="38">
        <f t="shared" si="165"/>
        <v>0</v>
      </c>
      <c r="BH149" s="38">
        <f t="shared" si="165"/>
        <v>0</v>
      </c>
      <c r="BI149" s="38">
        <f t="shared" si="165"/>
        <v>0</v>
      </c>
      <c r="BJ149" s="38">
        <f t="shared" si="165"/>
        <v>0</v>
      </c>
      <c r="BK149" s="38">
        <f t="shared" si="165"/>
        <v>0</v>
      </c>
      <c r="BL149" s="38">
        <f t="shared" si="165"/>
        <v>0</v>
      </c>
      <c r="BM149" s="38">
        <f t="shared" si="165"/>
        <v>0</v>
      </c>
      <c r="BN149" s="38">
        <f t="shared" si="165"/>
        <v>0</v>
      </c>
      <c r="BO149" s="38">
        <f t="shared" si="166"/>
        <v>0</v>
      </c>
      <c r="BP149" s="38">
        <f t="shared" si="166"/>
        <v>0</v>
      </c>
      <c r="BQ149" s="38">
        <f t="shared" si="166"/>
        <v>0</v>
      </c>
      <c r="BR149" s="38">
        <f t="shared" si="166"/>
        <v>0</v>
      </c>
      <c r="BS149" s="38">
        <f t="shared" si="166"/>
        <v>0</v>
      </c>
      <c r="BT149" s="38">
        <f t="shared" si="166"/>
        <v>0</v>
      </c>
      <c r="BU149" s="38">
        <f t="shared" si="166"/>
        <v>0</v>
      </c>
      <c r="BV149" s="38">
        <f t="shared" si="166"/>
        <v>0</v>
      </c>
      <c r="BX149" s="38">
        <f t="shared" si="167"/>
        <v>0</v>
      </c>
      <c r="BY149" s="38">
        <f t="shared" si="167"/>
        <v>0</v>
      </c>
      <c r="BZ149" s="38">
        <f t="shared" si="167"/>
        <v>0</v>
      </c>
      <c r="CA149" s="38">
        <f t="shared" si="167"/>
        <v>0</v>
      </c>
      <c r="CB149" s="38">
        <f t="shared" si="167"/>
        <v>0</v>
      </c>
      <c r="CC149" s="38">
        <f t="shared" si="167"/>
        <v>0</v>
      </c>
      <c r="CD149" s="38">
        <f t="shared" si="167"/>
        <v>0</v>
      </c>
      <c r="CE149" s="38">
        <f t="shared" si="167"/>
        <v>0</v>
      </c>
      <c r="CF149" s="38">
        <f t="shared" si="167"/>
        <v>0</v>
      </c>
      <c r="CG149" s="38">
        <f t="shared" si="167"/>
        <v>0</v>
      </c>
      <c r="CH149" s="38">
        <f t="shared" si="167"/>
        <v>0</v>
      </c>
      <c r="CI149" s="38">
        <f t="shared" si="167"/>
        <v>0</v>
      </c>
      <c r="CK149" s="11"/>
      <c r="CM149" s="11"/>
      <c r="EX149" s="10" t="str">
        <f t="shared" si="154"/>
        <v/>
      </c>
    </row>
    <row r="150" spans="2:154" x14ac:dyDescent="0.35">
      <c r="B150" t="str">
        <f ca="1">Loans!B$26</f>
        <v>Loan 14</v>
      </c>
      <c r="D150" s="51">
        <f>Loans!D$26</f>
        <v>0</v>
      </c>
      <c r="E150" s="117" t="str">
        <f>IF(Loans!R$26=0, "", Loans!R$26)</f>
        <v/>
      </c>
      <c r="F150" s="10">
        <f>Loans!H$708</f>
        <v>0</v>
      </c>
      <c r="V150" s="38">
        <f t="shared" si="155"/>
        <v>0</v>
      </c>
      <c r="W150" s="38">
        <f t="shared" si="155"/>
        <v>0</v>
      </c>
      <c r="X150" s="38">
        <f t="shared" si="155"/>
        <v>0</v>
      </c>
      <c r="Y150" s="38">
        <f t="shared" si="155"/>
        <v>0</v>
      </c>
      <c r="AA150" s="38">
        <f t="shared" si="162"/>
        <v>0</v>
      </c>
      <c r="AB150" s="38">
        <f t="shared" si="162"/>
        <v>0</v>
      </c>
      <c r="AC150" s="38">
        <f t="shared" si="162"/>
        <v>0</v>
      </c>
      <c r="AD150" s="38">
        <f t="shared" si="162"/>
        <v>0</v>
      </c>
      <c r="AE150" s="38">
        <f t="shared" si="162"/>
        <v>0</v>
      </c>
      <c r="AF150" s="38">
        <f t="shared" si="162"/>
        <v>0</v>
      </c>
      <c r="AG150" s="38">
        <f t="shared" si="162"/>
        <v>0</v>
      </c>
      <c r="AH150" s="38">
        <f t="shared" si="162"/>
        <v>0</v>
      </c>
      <c r="AI150" s="38">
        <f t="shared" si="162"/>
        <v>0</v>
      </c>
      <c r="AJ150" s="38">
        <f t="shared" si="162"/>
        <v>0</v>
      </c>
      <c r="AK150" s="38">
        <f t="shared" si="163"/>
        <v>0</v>
      </c>
      <c r="AL150" s="38">
        <f t="shared" si="163"/>
        <v>0</v>
      </c>
      <c r="AM150" s="38">
        <f t="shared" si="163"/>
        <v>0</v>
      </c>
      <c r="AN150" s="38">
        <f t="shared" si="163"/>
        <v>0</v>
      </c>
      <c r="AO150" s="38">
        <f t="shared" si="163"/>
        <v>0</v>
      </c>
      <c r="AP150" s="38">
        <f t="shared" si="163"/>
        <v>0</v>
      </c>
      <c r="AQ150" s="38">
        <f t="shared" si="163"/>
        <v>0</v>
      </c>
      <c r="AR150" s="38">
        <f t="shared" si="163"/>
        <v>0</v>
      </c>
      <c r="AS150" s="38">
        <f t="shared" si="163"/>
        <v>0</v>
      </c>
      <c r="AT150" s="38">
        <f t="shared" si="163"/>
        <v>0</v>
      </c>
      <c r="AU150" s="38">
        <f t="shared" si="164"/>
        <v>0</v>
      </c>
      <c r="AV150" s="38">
        <f t="shared" si="164"/>
        <v>0</v>
      </c>
      <c r="AW150" s="38">
        <f t="shared" si="164"/>
        <v>0</v>
      </c>
      <c r="AX150" s="38">
        <f t="shared" si="164"/>
        <v>0</v>
      </c>
      <c r="AY150" s="38">
        <f t="shared" si="164"/>
        <v>0</v>
      </c>
      <c r="AZ150" s="38">
        <f t="shared" si="164"/>
        <v>0</v>
      </c>
      <c r="BA150" s="38">
        <f t="shared" si="164"/>
        <v>0</v>
      </c>
      <c r="BB150" s="38">
        <f t="shared" si="164"/>
        <v>0</v>
      </c>
      <c r="BC150" s="38">
        <f t="shared" si="164"/>
        <v>0</v>
      </c>
      <c r="BD150" s="38">
        <f t="shared" si="164"/>
        <v>0</v>
      </c>
      <c r="BE150" s="38">
        <f t="shared" si="165"/>
        <v>0</v>
      </c>
      <c r="BF150" s="38">
        <f t="shared" si="165"/>
        <v>0</v>
      </c>
      <c r="BG150" s="38">
        <f t="shared" si="165"/>
        <v>0</v>
      </c>
      <c r="BH150" s="38">
        <f t="shared" si="165"/>
        <v>0</v>
      </c>
      <c r="BI150" s="38">
        <f t="shared" si="165"/>
        <v>0</v>
      </c>
      <c r="BJ150" s="38">
        <f t="shared" si="165"/>
        <v>0</v>
      </c>
      <c r="BK150" s="38">
        <f t="shared" si="165"/>
        <v>0</v>
      </c>
      <c r="BL150" s="38">
        <f t="shared" si="165"/>
        <v>0</v>
      </c>
      <c r="BM150" s="38">
        <f t="shared" si="165"/>
        <v>0</v>
      </c>
      <c r="BN150" s="38">
        <f t="shared" si="165"/>
        <v>0</v>
      </c>
      <c r="BO150" s="38">
        <f t="shared" si="166"/>
        <v>0</v>
      </c>
      <c r="BP150" s="38">
        <f t="shared" si="166"/>
        <v>0</v>
      </c>
      <c r="BQ150" s="38">
        <f t="shared" si="166"/>
        <v>0</v>
      </c>
      <c r="BR150" s="38">
        <f t="shared" si="166"/>
        <v>0</v>
      </c>
      <c r="BS150" s="38">
        <f t="shared" si="166"/>
        <v>0</v>
      </c>
      <c r="BT150" s="38">
        <f t="shared" si="166"/>
        <v>0</v>
      </c>
      <c r="BU150" s="38">
        <f t="shared" si="166"/>
        <v>0</v>
      </c>
      <c r="BV150" s="38">
        <f t="shared" si="166"/>
        <v>0</v>
      </c>
      <c r="BX150" s="38">
        <f t="shared" si="167"/>
        <v>0</v>
      </c>
      <c r="BY150" s="38">
        <f t="shared" si="167"/>
        <v>0</v>
      </c>
      <c r="BZ150" s="38">
        <f t="shared" si="167"/>
        <v>0</v>
      </c>
      <c r="CA150" s="38">
        <f t="shared" si="167"/>
        <v>0</v>
      </c>
      <c r="CB150" s="38">
        <f t="shared" si="167"/>
        <v>0</v>
      </c>
      <c r="CC150" s="38">
        <f t="shared" si="167"/>
        <v>0</v>
      </c>
      <c r="CD150" s="38">
        <f t="shared" si="167"/>
        <v>0</v>
      </c>
      <c r="CE150" s="38">
        <f t="shared" si="167"/>
        <v>0</v>
      </c>
      <c r="CF150" s="38">
        <f t="shared" si="167"/>
        <v>0</v>
      </c>
      <c r="CG150" s="38">
        <f t="shared" si="167"/>
        <v>0</v>
      </c>
      <c r="CH150" s="38">
        <f t="shared" si="167"/>
        <v>0</v>
      </c>
      <c r="CI150" s="38">
        <f t="shared" si="167"/>
        <v>0</v>
      </c>
      <c r="CK150" s="11"/>
      <c r="CM150" s="11"/>
      <c r="EX150" s="10" t="str">
        <f t="shared" si="154"/>
        <v/>
      </c>
    </row>
    <row r="151" spans="2:154" x14ac:dyDescent="0.35">
      <c r="B151" t="str">
        <f ca="1">Loans!B$27</f>
        <v>Loan 15</v>
      </c>
      <c r="D151" s="51">
        <f>Loans!D$27</f>
        <v>0</v>
      </c>
      <c r="E151" s="117" t="str">
        <f>IF(Loans!R$27=0, "", Loans!R$27)</f>
        <v/>
      </c>
      <c r="F151" s="10">
        <f>Loans!H$709</f>
        <v>0</v>
      </c>
      <c r="V151" s="38">
        <f t="shared" si="155"/>
        <v>0</v>
      </c>
      <c r="W151" s="38">
        <f t="shared" si="155"/>
        <v>0</v>
      </c>
      <c r="X151" s="38">
        <f t="shared" si="155"/>
        <v>0</v>
      </c>
      <c r="Y151" s="38">
        <f t="shared" si="155"/>
        <v>0</v>
      </c>
      <c r="AA151" s="38">
        <f t="shared" si="162"/>
        <v>0</v>
      </c>
      <c r="AB151" s="38">
        <f t="shared" si="162"/>
        <v>0</v>
      </c>
      <c r="AC151" s="38">
        <f t="shared" si="162"/>
        <v>0</v>
      </c>
      <c r="AD151" s="38">
        <f t="shared" si="162"/>
        <v>0</v>
      </c>
      <c r="AE151" s="38">
        <f t="shared" si="162"/>
        <v>0</v>
      </c>
      <c r="AF151" s="38">
        <f t="shared" si="162"/>
        <v>0</v>
      </c>
      <c r="AG151" s="38">
        <f t="shared" si="162"/>
        <v>0</v>
      </c>
      <c r="AH151" s="38">
        <f t="shared" si="162"/>
        <v>0</v>
      </c>
      <c r="AI151" s="38">
        <f t="shared" si="162"/>
        <v>0</v>
      </c>
      <c r="AJ151" s="38">
        <f t="shared" si="162"/>
        <v>0</v>
      </c>
      <c r="AK151" s="38">
        <f t="shared" si="163"/>
        <v>0</v>
      </c>
      <c r="AL151" s="38">
        <f t="shared" si="163"/>
        <v>0</v>
      </c>
      <c r="AM151" s="38">
        <f t="shared" si="163"/>
        <v>0</v>
      </c>
      <c r="AN151" s="38">
        <f t="shared" si="163"/>
        <v>0</v>
      </c>
      <c r="AO151" s="38">
        <f t="shared" si="163"/>
        <v>0</v>
      </c>
      <c r="AP151" s="38">
        <f t="shared" si="163"/>
        <v>0</v>
      </c>
      <c r="AQ151" s="38">
        <f t="shared" si="163"/>
        <v>0</v>
      </c>
      <c r="AR151" s="38">
        <f t="shared" si="163"/>
        <v>0</v>
      </c>
      <c r="AS151" s="38">
        <f t="shared" si="163"/>
        <v>0</v>
      </c>
      <c r="AT151" s="38">
        <f t="shared" si="163"/>
        <v>0</v>
      </c>
      <c r="AU151" s="38">
        <f t="shared" si="164"/>
        <v>0</v>
      </c>
      <c r="AV151" s="38">
        <f t="shared" si="164"/>
        <v>0</v>
      </c>
      <c r="AW151" s="38">
        <f t="shared" si="164"/>
        <v>0</v>
      </c>
      <c r="AX151" s="38">
        <f t="shared" si="164"/>
        <v>0</v>
      </c>
      <c r="AY151" s="38">
        <f t="shared" si="164"/>
        <v>0</v>
      </c>
      <c r="AZ151" s="38">
        <f t="shared" si="164"/>
        <v>0</v>
      </c>
      <c r="BA151" s="38">
        <f t="shared" si="164"/>
        <v>0</v>
      </c>
      <c r="BB151" s="38">
        <f t="shared" si="164"/>
        <v>0</v>
      </c>
      <c r="BC151" s="38">
        <f t="shared" si="164"/>
        <v>0</v>
      </c>
      <c r="BD151" s="38">
        <f t="shared" si="164"/>
        <v>0</v>
      </c>
      <c r="BE151" s="38">
        <f t="shared" si="165"/>
        <v>0</v>
      </c>
      <c r="BF151" s="38">
        <f t="shared" si="165"/>
        <v>0</v>
      </c>
      <c r="BG151" s="38">
        <f t="shared" si="165"/>
        <v>0</v>
      </c>
      <c r="BH151" s="38">
        <f t="shared" si="165"/>
        <v>0</v>
      </c>
      <c r="BI151" s="38">
        <f t="shared" si="165"/>
        <v>0</v>
      </c>
      <c r="BJ151" s="38">
        <f t="shared" si="165"/>
        <v>0</v>
      </c>
      <c r="BK151" s="38">
        <f t="shared" si="165"/>
        <v>0</v>
      </c>
      <c r="BL151" s="38">
        <f t="shared" si="165"/>
        <v>0</v>
      </c>
      <c r="BM151" s="38">
        <f t="shared" si="165"/>
        <v>0</v>
      </c>
      <c r="BN151" s="38">
        <f t="shared" si="165"/>
        <v>0</v>
      </c>
      <c r="BO151" s="38">
        <f t="shared" si="166"/>
        <v>0</v>
      </c>
      <c r="BP151" s="38">
        <f t="shared" si="166"/>
        <v>0</v>
      </c>
      <c r="BQ151" s="38">
        <f t="shared" si="166"/>
        <v>0</v>
      </c>
      <c r="BR151" s="38">
        <f t="shared" si="166"/>
        <v>0</v>
      </c>
      <c r="BS151" s="38">
        <f t="shared" si="166"/>
        <v>0</v>
      </c>
      <c r="BT151" s="38">
        <f t="shared" si="166"/>
        <v>0</v>
      </c>
      <c r="BU151" s="38">
        <f t="shared" si="166"/>
        <v>0</v>
      </c>
      <c r="BV151" s="38">
        <f t="shared" si="166"/>
        <v>0</v>
      </c>
      <c r="BX151" s="38">
        <f t="shared" si="167"/>
        <v>0</v>
      </c>
      <c r="BY151" s="38">
        <f t="shared" si="167"/>
        <v>0</v>
      </c>
      <c r="BZ151" s="38">
        <f t="shared" si="167"/>
        <v>0</v>
      </c>
      <c r="CA151" s="38">
        <f t="shared" si="167"/>
        <v>0</v>
      </c>
      <c r="CB151" s="38">
        <f t="shared" si="167"/>
        <v>0</v>
      </c>
      <c r="CC151" s="38">
        <f t="shared" si="167"/>
        <v>0</v>
      </c>
      <c r="CD151" s="38">
        <f t="shared" si="167"/>
        <v>0</v>
      </c>
      <c r="CE151" s="38">
        <f t="shared" si="167"/>
        <v>0</v>
      </c>
      <c r="CF151" s="38">
        <f t="shared" si="167"/>
        <v>0</v>
      </c>
      <c r="CG151" s="38">
        <f t="shared" si="167"/>
        <v>0</v>
      </c>
      <c r="CH151" s="38">
        <f t="shared" si="167"/>
        <v>0</v>
      </c>
      <c r="CI151" s="38">
        <f t="shared" si="167"/>
        <v>0</v>
      </c>
      <c r="CK151" s="11"/>
      <c r="CM151" s="11"/>
      <c r="EX151" s="10" t="str">
        <f t="shared" si="154"/>
        <v/>
      </c>
    </row>
    <row r="152" spans="2:154" x14ac:dyDescent="0.35">
      <c r="B152" t="str">
        <f ca="1">Loans!B$28</f>
        <v>Loan 16</v>
      </c>
      <c r="D152" s="51">
        <f>Loans!D$28</f>
        <v>0</v>
      </c>
      <c r="E152" s="117" t="str">
        <f>IF(Loans!R$28=0, "", Loans!R$28)</f>
        <v/>
      </c>
      <c r="F152" s="10">
        <f>Loans!H$710</f>
        <v>0</v>
      </c>
      <c r="V152" s="38">
        <f t="shared" si="155"/>
        <v>0</v>
      </c>
      <c r="W152" s="38">
        <f t="shared" si="155"/>
        <v>0</v>
      </c>
      <c r="X152" s="38">
        <f t="shared" si="155"/>
        <v>0</v>
      </c>
      <c r="Y152" s="38">
        <f t="shared" si="155"/>
        <v>0</v>
      </c>
      <c r="AA152" s="38">
        <f t="shared" si="162"/>
        <v>0</v>
      </c>
      <c r="AB152" s="38">
        <f t="shared" si="162"/>
        <v>0</v>
      </c>
      <c r="AC152" s="38">
        <f t="shared" si="162"/>
        <v>0</v>
      </c>
      <c r="AD152" s="38">
        <f t="shared" si="162"/>
        <v>0</v>
      </c>
      <c r="AE152" s="38">
        <f t="shared" si="162"/>
        <v>0</v>
      </c>
      <c r="AF152" s="38">
        <f t="shared" si="162"/>
        <v>0</v>
      </c>
      <c r="AG152" s="38">
        <f t="shared" si="162"/>
        <v>0</v>
      </c>
      <c r="AH152" s="38">
        <f t="shared" si="162"/>
        <v>0</v>
      </c>
      <c r="AI152" s="38">
        <f t="shared" si="162"/>
        <v>0</v>
      </c>
      <c r="AJ152" s="38">
        <f t="shared" si="162"/>
        <v>0</v>
      </c>
      <c r="AK152" s="38">
        <f t="shared" si="163"/>
        <v>0</v>
      </c>
      <c r="AL152" s="38">
        <f t="shared" si="163"/>
        <v>0</v>
      </c>
      <c r="AM152" s="38">
        <f t="shared" si="163"/>
        <v>0</v>
      </c>
      <c r="AN152" s="38">
        <f t="shared" si="163"/>
        <v>0</v>
      </c>
      <c r="AO152" s="38">
        <f t="shared" si="163"/>
        <v>0</v>
      </c>
      <c r="AP152" s="38">
        <f t="shared" si="163"/>
        <v>0</v>
      </c>
      <c r="AQ152" s="38">
        <f t="shared" si="163"/>
        <v>0</v>
      </c>
      <c r="AR152" s="38">
        <f t="shared" si="163"/>
        <v>0</v>
      </c>
      <c r="AS152" s="38">
        <f t="shared" si="163"/>
        <v>0</v>
      </c>
      <c r="AT152" s="38">
        <f t="shared" si="163"/>
        <v>0</v>
      </c>
      <c r="AU152" s="38">
        <f t="shared" si="164"/>
        <v>0</v>
      </c>
      <c r="AV152" s="38">
        <f t="shared" si="164"/>
        <v>0</v>
      </c>
      <c r="AW152" s="38">
        <f t="shared" si="164"/>
        <v>0</v>
      </c>
      <c r="AX152" s="38">
        <f t="shared" si="164"/>
        <v>0</v>
      </c>
      <c r="AY152" s="38">
        <f t="shared" si="164"/>
        <v>0</v>
      </c>
      <c r="AZ152" s="38">
        <f t="shared" si="164"/>
        <v>0</v>
      </c>
      <c r="BA152" s="38">
        <f t="shared" si="164"/>
        <v>0</v>
      </c>
      <c r="BB152" s="38">
        <f t="shared" si="164"/>
        <v>0</v>
      </c>
      <c r="BC152" s="38">
        <f t="shared" si="164"/>
        <v>0</v>
      </c>
      <c r="BD152" s="38">
        <f t="shared" si="164"/>
        <v>0</v>
      </c>
      <c r="BE152" s="38">
        <f t="shared" si="165"/>
        <v>0</v>
      </c>
      <c r="BF152" s="38">
        <f t="shared" si="165"/>
        <v>0</v>
      </c>
      <c r="BG152" s="38">
        <f t="shared" si="165"/>
        <v>0</v>
      </c>
      <c r="BH152" s="38">
        <f t="shared" si="165"/>
        <v>0</v>
      </c>
      <c r="BI152" s="38">
        <f t="shared" si="165"/>
        <v>0</v>
      </c>
      <c r="BJ152" s="38">
        <f t="shared" si="165"/>
        <v>0</v>
      </c>
      <c r="BK152" s="38">
        <f t="shared" si="165"/>
        <v>0</v>
      </c>
      <c r="BL152" s="38">
        <f t="shared" si="165"/>
        <v>0</v>
      </c>
      <c r="BM152" s="38">
        <f t="shared" si="165"/>
        <v>0</v>
      </c>
      <c r="BN152" s="38">
        <f t="shared" si="165"/>
        <v>0</v>
      </c>
      <c r="BO152" s="38">
        <f t="shared" si="166"/>
        <v>0</v>
      </c>
      <c r="BP152" s="38">
        <f t="shared" si="166"/>
        <v>0</v>
      </c>
      <c r="BQ152" s="38">
        <f t="shared" si="166"/>
        <v>0</v>
      </c>
      <c r="BR152" s="38">
        <f t="shared" si="166"/>
        <v>0</v>
      </c>
      <c r="BS152" s="38">
        <f t="shared" si="166"/>
        <v>0</v>
      </c>
      <c r="BT152" s="38">
        <f t="shared" si="166"/>
        <v>0</v>
      </c>
      <c r="BU152" s="38">
        <f t="shared" si="166"/>
        <v>0</v>
      </c>
      <c r="BV152" s="38">
        <f t="shared" si="166"/>
        <v>0</v>
      </c>
      <c r="BX152" s="38">
        <f t="shared" si="167"/>
        <v>0</v>
      </c>
      <c r="BY152" s="38">
        <f t="shared" si="167"/>
        <v>0</v>
      </c>
      <c r="BZ152" s="38">
        <f t="shared" si="167"/>
        <v>0</v>
      </c>
      <c r="CA152" s="38">
        <f t="shared" si="167"/>
        <v>0</v>
      </c>
      <c r="CB152" s="38">
        <f t="shared" si="167"/>
        <v>0</v>
      </c>
      <c r="CC152" s="38">
        <f t="shared" si="167"/>
        <v>0</v>
      </c>
      <c r="CD152" s="38">
        <f t="shared" si="167"/>
        <v>0</v>
      </c>
      <c r="CE152" s="38">
        <f t="shared" si="167"/>
        <v>0</v>
      </c>
      <c r="CF152" s="38">
        <f t="shared" si="167"/>
        <v>0</v>
      </c>
      <c r="CG152" s="38">
        <f t="shared" si="167"/>
        <v>0</v>
      </c>
      <c r="CH152" s="38">
        <f t="shared" si="167"/>
        <v>0</v>
      </c>
      <c r="CI152" s="38">
        <f t="shared" si="167"/>
        <v>0</v>
      </c>
      <c r="CK152" s="11"/>
      <c r="CM152" s="11"/>
      <c r="EX152" s="10" t="str">
        <f t="shared" si="154"/>
        <v/>
      </c>
    </row>
    <row r="153" spans="2:154" x14ac:dyDescent="0.35">
      <c r="B153" t="str">
        <f ca="1">Loans!B$29</f>
        <v>Loan 17</v>
      </c>
      <c r="D153" s="51">
        <f>Loans!D$29</f>
        <v>0</v>
      </c>
      <c r="E153" s="117" t="str">
        <f>IF(Loans!R$29=0, "", Loans!R$29)</f>
        <v/>
      </c>
      <c r="F153" s="10">
        <f>Loans!H$711</f>
        <v>0</v>
      </c>
      <c r="V153" s="38">
        <f t="shared" si="155"/>
        <v>0</v>
      </c>
      <c r="W153" s="38">
        <f t="shared" si="155"/>
        <v>0</v>
      </c>
      <c r="X153" s="38">
        <f t="shared" si="155"/>
        <v>0</v>
      </c>
      <c r="Y153" s="38">
        <f t="shared" si="155"/>
        <v>0</v>
      </c>
      <c r="AA153" s="38">
        <f t="shared" si="162"/>
        <v>0</v>
      </c>
      <c r="AB153" s="38">
        <f t="shared" si="162"/>
        <v>0</v>
      </c>
      <c r="AC153" s="38">
        <f t="shared" si="162"/>
        <v>0</v>
      </c>
      <c r="AD153" s="38">
        <f t="shared" si="162"/>
        <v>0</v>
      </c>
      <c r="AE153" s="38">
        <f t="shared" si="162"/>
        <v>0</v>
      </c>
      <c r="AF153" s="38">
        <f t="shared" si="162"/>
        <v>0</v>
      </c>
      <c r="AG153" s="38">
        <f t="shared" si="162"/>
        <v>0</v>
      </c>
      <c r="AH153" s="38">
        <f t="shared" si="162"/>
        <v>0</v>
      </c>
      <c r="AI153" s="38">
        <f t="shared" si="162"/>
        <v>0</v>
      </c>
      <c r="AJ153" s="38">
        <f t="shared" si="162"/>
        <v>0</v>
      </c>
      <c r="AK153" s="38">
        <f t="shared" si="163"/>
        <v>0</v>
      </c>
      <c r="AL153" s="38">
        <f t="shared" si="163"/>
        <v>0</v>
      </c>
      <c r="AM153" s="38">
        <f t="shared" si="163"/>
        <v>0</v>
      </c>
      <c r="AN153" s="38">
        <f t="shared" si="163"/>
        <v>0</v>
      </c>
      <c r="AO153" s="38">
        <f t="shared" si="163"/>
        <v>0</v>
      </c>
      <c r="AP153" s="38">
        <f t="shared" si="163"/>
        <v>0</v>
      </c>
      <c r="AQ153" s="38">
        <f t="shared" si="163"/>
        <v>0</v>
      </c>
      <c r="AR153" s="38">
        <f t="shared" si="163"/>
        <v>0</v>
      </c>
      <c r="AS153" s="38">
        <f t="shared" si="163"/>
        <v>0</v>
      </c>
      <c r="AT153" s="38">
        <f t="shared" si="163"/>
        <v>0</v>
      </c>
      <c r="AU153" s="38">
        <f t="shared" si="164"/>
        <v>0</v>
      </c>
      <c r="AV153" s="38">
        <f t="shared" si="164"/>
        <v>0</v>
      </c>
      <c r="AW153" s="38">
        <f t="shared" si="164"/>
        <v>0</v>
      </c>
      <c r="AX153" s="38">
        <f t="shared" si="164"/>
        <v>0</v>
      </c>
      <c r="AY153" s="38">
        <f t="shared" si="164"/>
        <v>0</v>
      </c>
      <c r="AZ153" s="38">
        <f t="shared" si="164"/>
        <v>0</v>
      </c>
      <c r="BA153" s="38">
        <f t="shared" si="164"/>
        <v>0</v>
      </c>
      <c r="BB153" s="38">
        <f t="shared" si="164"/>
        <v>0</v>
      </c>
      <c r="BC153" s="38">
        <f t="shared" si="164"/>
        <v>0</v>
      </c>
      <c r="BD153" s="38">
        <f t="shared" si="164"/>
        <v>0</v>
      </c>
      <c r="BE153" s="38">
        <f t="shared" si="165"/>
        <v>0</v>
      </c>
      <c r="BF153" s="38">
        <f t="shared" si="165"/>
        <v>0</v>
      </c>
      <c r="BG153" s="38">
        <f t="shared" si="165"/>
        <v>0</v>
      </c>
      <c r="BH153" s="38">
        <f t="shared" si="165"/>
        <v>0</v>
      </c>
      <c r="BI153" s="38">
        <f t="shared" si="165"/>
        <v>0</v>
      </c>
      <c r="BJ153" s="38">
        <f t="shared" si="165"/>
        <v>0</v>
      </c>
      <c r="BK153" s="38">
        <f t="shared" si="165"/>
        <v>0</v>
      </c>
      <c r="BL153" s="38">
        <f t="shared" si="165"/>
        <v>0</v>
      </c>
      <c r="BM153" s="38">
        <f t="shared" si="165"/>
        <v>0</v>
      </c>
      <c r="BN153" s="38">
        <f t="shared" si="165"/>
        <v>0</v>
      </c>
      <c r="BO153" s="38">
        <f t="shared" si="166"/>
        <v>0</v>
      </c>
      <c r="BP153" s="38">
        <f t="shared" si="166"/>
        <v>0</v>
      </c>
      <c r="BQ153" s="38">
        <f t="shared" si="166"/>
        <v>0</v>
      </c>
      <c r="BR153" s="38">
        <f t="shared" si="166"/>
        <v>0</v>
      </c>
      <c r="BS153" s="38">
        <f t="shared" si="166"/>
        <v>0</v>
      </c>
      <c r="BT153" s="38">
        <f t="shared" si="166"/>
        <v>0</v>
      </c>
      <c r="BU153" s="38">
        <f t="shared" si="166"/>
        <v>0</v>
      </c>
      <c r="BV153" s="38">
        <f t="shared" si="166"/>
        <v>0</v>
      </c>
      <c r="BX153" s="38">
        <f t="shared" si="167"/>
        <v>0</v>
      </c>
      <c r="BY153" s="38">
        <f t="shared" si="167"/>
        <v>0</v>
      </c>
      <c r="BZ153" s="38">
        <f t="shared" si="167"/>
        <v>0</v>
      </c>
      <c r="CA153" s="38">
        <f t="shared" si="167"/>
        <v>0</v>
      </c>
      <c r="CB153" s="38">
        <f t="shared" si="167"/>
        <v>0</v>
      </c>
      <c r="CC153" s="38">
        <f t="shared" si="167"/>
        <v>0</v>
      </c>
      <c r="CD153" s="38">
        <f t="shared" si="167"/>
        <v>0</v>
      </c>
      <c r="CE153" s="38">
        <f t="shared" si="167"/>
        <v>0</v>
      </c>
      <c r="CF153" s="38">
        <f t="shared" si="167"/>
        <v>0</v>
      </c>
      <c r="CG153" s="38">
        <f t="shared" si="167"/>
        <v>0</v>
      </c>
      <c r="CH153" s="38">
        <f t="shared" si="167"/>
        <v>0</v>
      </c>
      <c r="CI153" s="38">
        <f t="shared" si="167"/>
        <v>0</v>
      </c>
      <c r="CK153" s="11"/>
      <c r="CM153" s="11"/>
      <c r="EX153" s="10" t="str">
        <f t="shared" si="154"/>
        <v/>
      </c>
    </row>
    <row r="154" spans="2:154" x14ac:dyDescent="0.35">
      <c r="B154" t="str">
        <f ca="1">Loans!B$30</f>
        <v>Loan 18</v>
      </c>
      <c r="D154" s="51">
        <f>Loans!D$30</f>
        <v>0</v>
      </c>
      <c r="E154" s="117" t="str">
        <f>IF(Loans!R$30=0, "", Loans!R$30)</f>
        <v/>
      </c>
      <c r="F154" s="10">
        <f>Loans!H$712</f>
        <v>0</v>
      </c>
      <c r="V154" s="38">
        <f t="shared" si="155"/>
        <v>0</v>
      </c>
      <c r="W154" s="38">
        <f t="shared" si="155"/>
        <v>0</v>
      </c>
      <c r="X154" s="38">
        <f t="shared" si="155"/>
        <v>0</v>
      </c>
      <c r="Y154" s="38">
        <f t="shared" si="155"/>
        <v>0</v>
      </c>
      <c r="AA154" s="38">
        <f t="shared" si="162"/>
        <v>0</v>
      </c>
      <c r="AB154" s="38">
        <f t="shared" si="162"/>
        <v>0</v>
      </c>
      <c r="AC154" s="38">
        <f t="shared" si="162"/>
        <v>0</v>
      </c>
      <c r="AD154" s="38">
        <f t="shared" si="162"/>
        <v>0</v>
      </c>
      <c r="AE154" s="38">
        <f t="shared" si="162"/>
        <v>0</v>
      </c>
      <c r="AF154" s="38">
        <f t="shared" si="162"/>
        <v>0</v>
      </c>
      <c r="AG154" s="38">
        <f t="shared" si="162"/>
        <v>0</v>
      </c>
      <c r="AH154" s="38">
        <f t="shared" si="162"/>
        <v>0</v>
      </c>
      <c r="AI154" s="38">
        <f t="shared" si="162"/>
        <v>0</v>
      </c>
      <c r="AJ154" s="38">
        <f t="shared" si="162"/>
        <v>0</v>
      </c>
      <c r="AK154" s="38">
        <f t="shared" si="163"/>
        <v>0</v>
      </c>
      <c r="AL154" s="38">
        <f t="shared" si="163"/>
        <v>0</v>
      </c>
      <c r="AM154" s="38">
        <f t="shared" si="163"/>
        <v>0</v>
      </c>
      <c r="AN154" s="38">
        <f t="shared" si="163"/>
        <v>0</v>
      </c>
      <c r="AO154" s="38">
        <f t="shared" si="163"/>
        <v>0</v>
      </c>
      <c r="AP154" s="38">
        <f t="shared" si="163"/>
        <v>0</v>
      </c>
      <c r="AQ154" s="38">
        <f t="shared" si="163"/>
        <v>0</v>
      </c>
      <c r="AR154" s="38">
        <f t="shared" si="163"/>
        <v>0</v>
      </c>
      <c r="AS154" s="38">
        <f t="shared" si="163"/>
        <v>0</v>
      </c>
      <c r="AT154" s="38">
        <f t="shared" si="163"/>
        <v>0</v>
      </c>
      <c r="AU154" s="38">
        <f t="shared" si="164"/>
        <v>0</v>
      </c>
      <c r="AV154" s="38">
        <f t="shared" si="164"/>
        <v>0</v>
      </c>
      <c r="AW154" s="38">
        <f t="shared" si="164"/>
        <v>0</v>
      </c>
      <c r="AX154" s="38">
        <f t="shared" si="164"/>
        <v>0</v>
      </c>
      <c r="AY154" s="38">
        <f t="shared" si="164"/>
        <v>0</v>
      </c>
      <c r="AZ154" s="38">
        <f t="shared" si="164"/>
        <v>0</v>
      </c>
      <c r="BA154" s="38">
        <f t="shared" si="164"/>
        <v>0</v>
      </c>
      <c r="BB154" s="38">
        <f t="shared" si="164"/>
        <v>0</v>
      </c>
      <c r="BC154" s="38">
        <f t="shared" si="164"/>
        <v>0</v>
      </c>
      <c r="BD154" s="38">
        <f t="shared" si="164"/>
        <v>0</v>
      </c>
      <c r="BE154" s="38">
        <f t="shared" si="165"/>
        <v>0</v>
      </c>
      <c r="BF154" s="38">
        <f t="shared" si="165"/>
        <v>0</v>
      </c>
      <c r="BG154" s="38">
        <f t="shared" si="165"/>
        <v>0</v>
      </c>
      <c r="BH154" s="38">
        <f t="shared" si="165"/>
        <v>0</v>
      </c>
      <c r="BI154" s="38">
        <f t="shared" si="165"/>
        <v>0</v>
      </c>
      <c r="BJ154" s="38">
        <f t="shared" si="165"/>
        <v>0</v>
      </c>
      <c r="BK154" s="38">
        <f t="shared" si="165"/>
        <v>0</v>
      </c>
      <c r="BL154" s="38">
        <f t="shared" si="165"/>
        <v>0</v>
      </c>
      <c r="BM154" s="38">
        <f t="shared" si="165"/>
        <v>0</v>
      </c>
      <c r="BN154" s="38">
        <f t="shared" si="165"/>
        <v>0</v>
      </c>
      <c r="BO154" s="38">
        <f t="shared" si="166"/>
        <v>0</v>
      </c>
      <c r="BP154" s="38">
        <f t="shared" si="166"/>
        <v>0</v>
      </c>
      <c r="BQ154" s="38">
        <f t="shared" si="166"/>
        <v>0</v>
      </c>
      <c r="BR154" s="38">
        <f t="shared" si="166"/>
        <v>0</v>
      </c>
      <c r="BS154" s="38">
        <f t="shared" si="166"/>
        <v>0</v>
      </c>
      <c r="BT154" s="38">
        <f t="shared" si="166"/>
        <v>0</v>
      </c>
      <c r="BU154" s="38">
        <f t="shared" si="166"/>
        <v>0</v>
      </c>
      <c r="BV154" s="38">
        <f t="shared" si="166"/>
        <v>0</v>
      </c>
      <c r="BX154" s="38">
        <f t="shared" si="167"/>
        <v>0</v>
      </c>
      <c r="BY154" s="38">
        <f t="shared" si="167"/>
        <v>0</v>
      </c>
      <c r="BZ154" s="38">
        <f t="shared" si="167"/>
        <v>0</v>
      </c>
      <c r="CA154" s="38">
        <f t="shared" si="167"/>
        <v>0</v>
      </c>
      <c r="CB154" s="38">
        <f t="shared" si="167"/>
        <v>0</v>
      </c>
      <c r="CC154" s="38">
        <f t="shared" si="167"/>
        <v>0</v>
      </c>
      <c r="CD154" s="38">
        <f t="shared" si="167"/>
        <v>0</v>
      </c>
      <c r="CE154" s="38">
        <f t="shared" si="167"/>
        <v>0</v>
      </c>
      <c r="CF154" s="38">
        <f t="shared" si="167"/>
        <v>0</v>
      </c>
      <c r="CG154" s="38">
        <f t="shared" si="167"/>
        <v>0</v>
      </c>
      <c r="CH154" s="38">
        <f t="shared" si="167"/>
        <v>0</v>
      </c>
      <c r="CI154" s="38">
        <f t="shared" si="167"/>
        <v>0</v>
      </c>
      <c r="CK154" s="11"/>
      <c r="CM154" s="11"/>
      <c r="EX154" s="10" t="str">
        <f t="shared" si="154"/>
        <v/>
      </c>
    </row>
    <row r="155" spans="2:154" x14ac:dyDescent="0.35">
      <c r="B155" t="str">
        <f ca="1">Loans!B$31</f>
        <v>Loan 19</v>
      </c>
      <c r="D155" s="51">
        <f>Loans!D$31</f>
        <v>0</v>
      </c>
      <c r="E155" s="117" t="str">
        <f>IF(Loans!R$31=0, "", Loans!R$31)</f>
        <v/>
      </c>
      <c r="F155" s="10">
        <f>Loans!H$713</f>
        <v>0</v>
      </c>
      <c r="V155" s="38">
        <f t="shared" si="155"/>
        <v>0</v>
      </c>
      <c r="W155" s="38">
        <f t="shared" si="155"/>
        <v>0</v>
      </c>
      <c r="X155" s="38">
        <f t="shared" si="155"/>
        <v>0</v>
      </c>
      <c r="Y155" s="38">
        <f t="shared" si="155"/>
        <v>0</v>
      </c>
      <c r="AA155" s="38">
        <f t="shared" si="162"/>
        <v>0</v>
      </c>
      <c r="AB155" s="38">
        <f t="shared" si="162"/>
        <v>0</v>
      </c>
      <c r="AC155" s="38">
        <f t="shared" si="162"/>
        <v>0</v>
      </c>
      <c r="AD155" s="38">
        <f t="shared" si="162"/>
        <v>0</v>
      </c>
      <c r="AE155" s="38">
        <f t="shared" si="162"/>
        <v>0</v>
      </c>
      <c r="AF155" s="38">
        <f t="shared" si="162"/>
        <v>0</v>
      </c>
      <c r="AG155" s="38">
        <f t="shared" si="162"/>
        <v>0</v>
      </c>
      <c r="AH155" s="38">
        <f t="shared" si="162"/>
        <v>0</v>
      </c>
      <c r="AI155" s="38">
        <f t="shared" si="162"/>
        <v>0</v>
      </c>
      <c r="AJ155" s="38">
        <f t="shared" si="162"/>
        <v>0</v>
      </c>
      <c r="AK155" s="38">
        <f t="shared" si="163"/>
        <v>0</v>
      </c>
      <c r="AL155" s="38">
        <f t="shared" si="163"/>
        <v>0</v>
      </c>
      <c r="AM155" s="38">
        <f t="shared" si="163"/>
        <v>0</v>
      </c>
      <c r="AN155" s="38">
        <f t="shared" si="163"/>
        <v>0</v>
      </c>
      <c r="AO155" s="38">
        <f t="shared" si="163"/>
        <v>0</v>
      </c>
      <c r="AP155" s="38">
        <f t="shared" si="163"/>
        <v>0</v>
      </c>
      <c r="AQ155" s="38">
        <f t="shared" si="163"/>
        <v>0</v>
      </c>
      <c r="AR155" s="38">
        <f t="shared" si="163"/>
        <v>0</v>
      </c>
      <c r="AS155" s="38">
        <f t="shared" si="163"/>
        <v>0</v>
      </c>
      <c r="AT155" s="38">
        <f t="shared" si="163"/>
        <v>0</v>
      </c>
      <c r="AU155" s="38">
        <f t="shared" si="164"/>
        <v>0</v>
      </c>
      <c r="AV155" s="38">
        <f t="shared" si="164"/>
        <v>0</v>
      </c>
      <c r="AW155" s="38">
        <f t="shared" si="164"/>
        <v>0</v>
      </c>
      <c r="AX155" s="38">
        <f t="shared" si="164"/>
        <v>0</v>
      </c>
      <c r="AY155" s="38">
        <f t="shared" si="164"/>
        <v>0</v>
      </c>
      <c r="AZ155" s="38">
        <f t="shared" si="164"/>
        <v>0</v>
      </c>
      <c r="BA155" s="38">
        <f t="shared" si="164"/>
        <v>0</v>
      </c>
      <c r="BB155" s="38">
        <f t="shared" si="164"/>
        <v>0</v>
      </c>
      <c r="BC155" s="38">
        <f t="shared" si="164"/>
        <v>0</v>
      </c>
      <c r="BD155" s="38">
        <f t="shared" si="164"/>
        <v>0</v>
      </c>
      <c r="BE155" s="38">
        <f t="shared" si="165"/>
        <v>0</v>
      </c>
      <c r="BF155" s="38">
        <f t="shared" si="165"/>
        <v>0</v>
      </c>
      <c r="BG155" s="38">
        <f t="shared" si="165"/>
        <v>0</v>
      </c>
      <c r="BH155" s="38">
        <f t="shared" si="165"/>
        <v>0</v>
      </c>
      <c r="BI155" s="38">
        <f t="shared" si="165"/>
        <v>0</v>
      </c>
      <c r="BJ155" s="38">
        <f t="shared" si="165"/>
        <v>0</v>
      </c>
      <c r="BK155" s="38">
        <f t="shared" si="165"/>
        <v>0</v>
      </c>
      <c r="BL155" s="38">
        <f t="shared" si="165"/>
        <v>0</v>
      </c>
      <c r="BM155" s="38">
        <f t="shared" si="165"/>
        <v>0</v>
      </c>
      <c r="BN155" s="38">
        <f t="shared" si="165"/>
        <v>0</v>
      </c>
      <c r="BO155" s="38">
        <f t="shared" si="166"/>
        <v>0</v>
      </c>
      <c r="BP155" s="38">
        <f t="shared" si="166"/>
        <v>0</v>
      </c>
      <c r="BQ155" s="38">
        <f t="shared" si="166"/>
        <v>0</v>
      </c>
      <c r="BR155" s="38">
        <f t="shared" si="166"/>
        <v>0</v>
      </c>
      <c r="BS155" s="38">
        <f t="shared" si="166"/>
        <v>0</v>
      </c>
      <c r="BT155" s="38">
        <f t="shared" si="166"/>
        <v>0</v>
      </c>
      <c r="BU155" s="38">
        <f t="shared" si="166"/>
        <v>0</v>
      </c>
      <c r="BV155" s="38">
        <f t="shared" si="166"/>
        <v>0</v>
      </c>
      <c r="BX155" s="38">
        <f t="shared" si="167"/>
        <v>0</v>
      </c>
      <c r="BY155" s="38">
        <f t="shared" si="167"/>
        <v>0</v>
      </c>
      <c r="BZ155" s="38">
        <f t="shared" si="167"/>
        <v>0</v>
      </c>
      <c r="CA155" s="38">
        <f t="shared" si="167"/>
        <v>0</v>
      </c>
      <c r="CB155" s="38">
        <f t="shared" si="167"/>
        <v>0</v>
      </c>
      <c r="CC155" s="38">
        <f t="shared" si="167"/>
        <v>0</v>
      </c>
      <c r="CD155" s="38">
        <f t="shared" si="167"/>
        <v>0</v>
      </c>
      <c r="CE155" s="38">
        <f t="shared" si="167"/>
        <v>0</v>
      </c>
      <c r="CF155" s="38">
        <f t="shared" si="167"/>
        <v>0</v>
      </c>
      <c r="CG155" s="38">
        <f t="shared" si="167"/>
        <v>0</v>
      </c>
      <c r="CH155" s="38">
        <f t="shared" si="167"/>
        <v>0</v>
      </c>
      <c r="CI155" s="38">
        <f t="shared" si="167"/>
        <v>0</v>
      </c>
      <c r="CK155" s="11"/>
      <c r="CM155" s="11"/>
      <c r="EX155" s="10" t="str">
        <f t="shared" si="154"/>
        <v/>
      </c>
    </row>
    <row r="156" spans="2:154" x14ac:dyDescent="0.35">
      <c r="B156" t="str">
        <f ca="1">Loans!B$32</f>
        <v>Loan 20</v>
      </c>
      <c r="D156" s="51">
        <f>Loans!D$32</f>
        <v>0</v>
      </c>
      <c r="E156" s="117" t="str">
        <f>IF(Loans!R$32=0, "", Loans!R$32)</f>
        <v/>
      </c>
      <c r="F156" s="10">
        <f>Loans!H$714</f>
        <v>0</v>
      </c>
      <c r="V156" s="38">
        <f t="shared" si="155"/>
        <v>0</v>
      </c>
      <c r="W156" s="38">
        <f t="shared" si="155"/>
        <v>0</v>
      </c>
      <c r="X156" s="38">
        <f t="shared" si="155"/>
        <v>0</v>
      </c>
      <c r="Y156" s="38">
        <f t="shared" si="155"/>
        <v>0</v>
      </c>
      <c r="AA156" s="38">
        <f t="shared" si="162"/>
        <v>0</v>
      </c>
      <c r="AB156" s="38">
        <f t="shared" si="162"/>
        <v>0</v>
      </c>
      <c r="AC156" s="38">
        <f t="shared" si="162"/>
        <v>0</v>
      </c>
      <c r="AD156" s="38">
        <f t="shared" si="162"/>
        <v>0</v>
      </c>
      <c r="AE156" s="38">
        <f t="shared" si="162"/>
        <v>0</v>
      </c>
      <c r="AF156" s="38">
        <f t="shared" si="162"/>
        <v>0</v>
      </c>
      <c r="AG156" s="38">
        <f t="shared" si="162"/>
        <v>0</v>
      </c>
      <c r="AH156" s="38">
        <f t="shared" si="162"/>
        <v>0</v>
      </c>
      <c r="AI156" s="38">
        <f t="shared" si="162"/>
        <v>0</v>
      </c>
      <c r="AJ156" s="38">
        <f t="shared" si="162"/>
        <v>0</v>
      </c>
      <c r="AK156" s="38">
        <f t="shared" si="163"/>
        <v>0</v>
      </c>
      <c r="AL156" s="38">
        <f t="shared" si="163"/>
        <v>0</v>
      </c>
      <c r="AM156" s="38">
        <f t="shared" si="163"/>
        <v>0</v>
      </c>
      <c r="AN156" s="38">
        <f t="shared" si="163"/>
        <v>0</v>
      </c>
      <c r="AO156" s="38">
        <f t="shared" si="163"/>
        <v>0</v>
      </c>
      <c r="AP156" s="38">
        <f t="shared" si="163"/>
        <v>0</v>
      </c>
      <c r="AQ156" s="38">
        <f t="shared" si="163"/>
        <v>0</v>
      </c>
      <c r="AR156" s="38">
        <f t="shared" si="163"/>
        <v>0</v>
      </c>
      <c r="AS156" s="38">
        <f t="shared" si="163"/>
        <v>0</v>
      </c>
      <c r="AT156" s="38">
        <f t="shared" si="163"/>
        <v>0</v>
      </c>
      <c r="AU156" s="38">
        <f t="shared" si="164"/>
        <v>0</v>
      </c>
      <c r="AV156" s="38">
        <f t="shared" si="164"/>
        <v>0</v>
      </c>
      <c r="AW156" s="38">
        <f t="shared" si="164"/>
        <v>0</v>
      </c>
      <c r="AX156" s="38">
        <f t="shared" si="164"/>
        <v>0</v>
      </c>
      <c r="AY156" s="38">
        <f t="shared" si="164"/>
        <v>0</v>
      </c>
      <c r="AZ156" s="38">
        <f t="shared" si="164"/>
        <v>0</v>
      </c>
      <c r="BA156" s="38">
        <f t="shared" si="164"/>
        <v>0</v>
      </c>
      <c r="BB156" s="38">
        <f t="shared" si="164"/>
        <v>0</v>
      </c>
      <c r="BC156" s="38">
        <f t="shared" si="164"/>
        <v>0</v>
      </c>
      <c r="BD156" s="38">
        <f t="shared" si="164"/>
        <v>0</v>
      </c>
      <c r="BE156" s="38">
        <f t="shared" si="165"/>
        <v>0</v>
      </c>
      <c r="BF156" s="38">
        <f t="shared" si="165"/>
        <v>0</v>
      </c>
      <c r="BG156" s="38">
        <f t="shared" si="165"/>
        <v>0</v>
      </c>
      <c r="BH156" s="38">
        <f t="shared" si="165"/>
        <v>0</v>
      </c>
      <c r="BI156" s="38">
        <f t="shared" si="165"/>
        <v>0</v>
      </c>
      <c r="BJ156" s="38">
        <f t="shared" si="165"/>
        <v>0</v>
      </c>
      <c r="BK156" s="38">
        <f t="shared" si="165"/>
        <v>0</v>
      </c>
      <c r="BL156" s="38">
        <f t="shared" si="165"/>
        <v>0</v>
      </c>
      <c r="BM156" s="38">
        <f t="shared" si="165"/>
        <v>0</v>
      </c>
      <c r="BN156" s="38">
        <f t="shared" si="165"/>
        <v>0</v>
      </c>
      <c r="BO156" s="38">
        <f t="shared" si="166"/>
        <v>0</v>
      </c>
      <c r="BP156" s="38">
        <f t="shared" si="166"/>
        <v>0</v>
      </c>
      <c r="BQ156" s="38">
        <f t="shared" si="166"/>
        <v>0</v>
      </c>
      <c r="BR156" s="38">
        <f t="shared" si="166"/>
        <v>0</v>
      </c>
      <c r="BS156" s="38">
        <f t="shared" si="166"/>
        <v>0</v>
      </c>
      <c r="BT156" s="38">
        <f t="shared" si="166"/>
        <v>0</v>
      </c>
      <c r="BU156" s="38">
        <f t="shared" si="166"/>
        <v>0</v>
      </c>
      <c r="BV156" s="38">
        <f t="shared" si="166"/>
        <v>0</v>
      </c>
      <c r="BX156" s="38">
        <f t="shared" si="167"/>
        <v>0</v>
      </c>
      <c r="BY156" s="38">
        <f t="shared" si="167"/>
        <v>0</v>
      </c>
      <c r="BZ156" s="38">
        <f t="shared" si="167"/>
        <v>0</v>
      </c>
      <c r="CA156" s="38">
        <f t="shared" si="167"/>
        <v>0</v>
      </c>
      <c r="CB156" s="38">
        <f t="shared" si="167"/>
        <v>0</v>
      </c>
      <c r="CC156" s="38">
        <f t="shared" si="167"/>
        <v>0</v>
      </c>
      <c r="CD156" s="38">
        <f t="shared" si="167"/>
        <v>0</v>
      </c>
      <c r="CE156" s="38">
        <f t="shared" si="167"/>
        <v>0</v>
      </c>
      <c r="CF156" s="38">
        <f t="shared" si="167"/>
        <v>0</v>
      </c>
      <c r="CG156" s="38">
        <f t="shared" si="167"/>
        <v>0</v>
      </c>
      <c r="CH156" s="38">
        <f t="shared" si="167"/>
        <v>0</v>
      </c>
      <c r="CI156" s="38">
        <f t="shared" si="167"/>
        <v>0</v>
      </c>
      <c r="CK156" s="11"/>
      <c r="CM156" s="11"/>
      <c r="EX156" s="10" t="str">
        <f t="shared" si="154"/>
        <v/>
      </c>
    </row>
    <row r="157" spans="2:154" ht="6.75" customHeight="1" x14ac:dyDescent="0.35">
      <c r="D157" s="1"/>
      <c r="E157"/>
      <c r="BY157" s="6"/>
      <c r="CK157" s="35"/>
      <c r="CM157" s="35"/>
      <c r="EX157" s="10" t="str">
        <f t="shared" si="154"/>
        <v/>
      </c>
    </row>
    <row r="158" spans="2:154" x14ac:dyDescent="0.35">
      <c r="D158" s="5" t="s">
        <v>1939</v>
      </c>
      <c r="E158"/>
      <c r="CK158" s="11"/>
      <c r="CM158" s="11"/>
      <c r="EX158" s="10" t="str">
        <f t="shared" si="154"/>
        <v/>
      </c>
    </row>
    <row r="159" spans="2:154" x14ac:dyDescent="0.35">
      <c r="B159" s="5"/>
      <c r="D159" s="5" t="str">
        <f>Loans!D$11</f>
        <v>Lender</v>
      </c>
      <c r="E159" s="5" t="s">
        <v>1938</v>
      </c>
      <c r="F159" s="5" t="s">
        <v>1236</v>
      </c>
      <c r="CK159" s="11"/>
      <c r="CM159" s="11"/>
      <c r="EX159" s="10" t="str">
        <f t="shared" si="154"/>
        <v/>
      </c>
    </row>
    <row r="160" spans="2:154" x14ac:dyDescent="0.35">
      <c r="B160" t="str">
        <f ca="1">Loans!B$13</f>
        <v>Loan 1</v>
      </c>
      <c r="D160" s="51">
        <f>Loans!D$13</f>
        <v>0</v>
      </c>
      <c r="E160" s="117" t="str">
        <f>IF(Loans!R$13=0, "", Loans!R$13)</f>
        <v/>
      </c>
      <c r="F160" s="133">
        <f>Loans!H$695</f>
        <v>0</v>
      </c>
      <c r="V160" s="106"/>
      <c r="W160" s="106"/>
      <c r="X160" s="106"/>
      <c r="Y160" s="106"/>
      <c r="AA160" s="132">
        <f>IF(SUM($AA137:AA137)=0, 0, AA45)</f>
        <v>0</v>
      </c>
      <c r="AB160" s="38">
        <f>IF(SUM($AA137:AB137)=0, 0, AB45)</f>
        <v>0</v>
      </c>
      <c r="AC160" s="38">
        <f>IF(SUM($AA137:AC137)=0, 0, AC45)</f>
        <v>0</v>
      </c>
      <c r="AD160" s="38">
        <f>IF(SUM($AA137:AD137)=0, 0, AD45)</f>
        <v>0</v>
      </c>
      <c r="AE160" s="38">
        <f>IF(SUM($AA137:AE137)=0, 0, AE45)</f>
        <v>0</v>
      </c>
      <c r="AF160" s="38">
        <f>IF(SUM($AA137:AF137)=0, 0, AF45)</f>
        <v>0</v>
      </c>
      <c r="AG160" s="38">
        <f>IF(SUM($AA137:AG137)=0, 0, AG45)</f>
        <v>0</v>
      </c>
      <c r="AH160" s="38">
        <f>IF(SUM($AA137:AH137)=0, 0, AH45)</f>
        <v>0</v>
      </c>
      <c r="AI160" s="38">
        <f>IF(SUM($AA137:AI137)=0, 0, AI45)</f>
        <v>0</v>
      </c>
      <c r="AJ160" s="38">
        <f>IF(SUM($AA137:AJ137)=0, 0, AJ45)</f>
        <v>0</v>
      </c>
      <c r="AK160" s="38">
        <f>IF(SUM($AA137:AK137)=0, 0, AK45)</f>
        <v>0</v>
      </c>
      <c r="AL160" s="38">
        <f>IF(SUM($AA137:AL137)=0, 0, AL45)</f>
        <v>0</v>
      </c>
      <c r="AM160" s="38">
        <f>IF(SUM($AA137:AM137)=0, 0, AM45)</f>
        <v>0</v>
      </c>
      <c r="AN160" s="38">
        <f>IF(SUM($AA137:AN137)=0, 0, AN45)</f>
        <v>0</v>
      </c>
      <c r="AO160" s="38">
        <f>IF(SUM($AA137:AO137)=0, 0, AO45)</f>
        <v>0</v>
      </c>
      <c r="AP160" s="38">
        <f>IF(SUM($AA137:AP137)=0, 0, AP45)</f>
        <v>0</v>
      </c>
      <c r="AQ160" s="38">
        <f>IF(SUM($AA137:AQ137)=0, 0, AQ45)</f>
        <v>0</v>
      </c>
      <c r="AR160" s="38">
        <f>IF(SUM($AA137:AR137)=0, 0, AR45)</f>
        <v>0</v>
      </c>
      <c r="AS160" s="38">
        <f>IF(SUM($AA137:AS137)=0, 0, AS45)</f>
        <v>0</v>
      </c>
      <c r="AT160" s="38">
        <f>IF(SUM($AA137:AT137)=0, 0, AT45)</f>
        <v>0</v>
      </c>
      <c r="AU160" s="38">
        <f>IF(SUM($AA137:AU137)=0, 0, AU45)</f>
        <v>0</v>
      </c>
      <c r="AV160" s="38">
        <f>IF(SUM($AA137:AV137)=0, 0, AV45)</f>
        <v>0</v>
      </c>
      <c r="AW160" s="38">
        <f>IF(SUM($AA137:AW137)=0, 0, AW45)</f>
        <v>0</v>
      </c>
      <c r="AX160" s="38">
        <f>IF(SUM($AA137:AX137)=0, 0, AX45)</f>
        <v>0</v>
      </c>
      <c r="AY160" s="38">
        <f>IF(SUM($AA137:AY137)=0, 0, AY45)</f>
        <v>0</v>
      </c>
      <c r="AZ160" s="38">
        <f>IF(SUM($AA137:AZ137)=0, 0, AZ45)</f>
        <v>0</v>
      </c>
      <c r="BA160" s="38">
        <f>IF(SUM($AA137:BA137)=0, 0, BA45)</f>
        <v>0</v>
      </c>
      <c r="BB160" s="38">
        <f>IF(SUM($AA137:BB137)=0, 0, BB45)</f>
        <v>0</v>
      </c>
      <c r="BC160" s="38">
        <f>IF(SUM($AA137:BC137)=0, 0, BC45)</f>
        <v>0</v>
      </c>
      <c r="BD160" s="38">
        <f>IF(SUM($AA137:BD137)=0, 0, BD45)</f>
        <v>0</v>
      </c>
      <c r="BE160" s="38">
        <f>IF(SUM($AA137:BE137)=0, 0, BE45)</f>
        <v>0</v>
      </c>
      <c r="BF160" s="38">
        <f>IF(SUM($AA137:BF137)=0, 0, BF45)</f>
        <v>0</v>
      </c>
      <c r="BG160" s="38">
        <f>IF(SUM($AA137:BG137)=0, 0, BG45)</f>
        <v>0</v>
      </c>
      <c r="BH160" s="38">
        <f>IF(SUM($AA137:BH137)=0, 0, BH45)</f>
        <v>0</v>
      </c>
      <c r="BI160" s="38">
        <f>IF(SUM($AA137:BI137)=0, 0, BI45)</f>
        <v>0</v>
      </c>
      <c r="BJ160" s="38">
        <f>IF(SUM($AA137:BJ137)=0, 0, BJ45)</f>
        <v>0</v>
      </c>
      <c r="BK160" s="38">
        <f>IF(SUM($AA137:BK137)=0, 0, BK45)</f>
        <v>0</v>
      </c>
      <c r="BL160" s="38">
        <f>IF(SUM($AA137:BL137)=0, 0, BL45)</f>
        <v>0</v>
      </c>
      <c r="BM160" s="38">
        <f>IF(SUM($AA137:BM137)=0, 0, BM45)</f>
        <v>0</v>
      </c>
      <c r="BN160" s="38">
        <f>IF(SUM($AA137:BN137)=0, 0, BN45)</f>
        <v>0</v>
      </c>
      <c r="BO160" s="38">
        <f>IF(SUM($AA137:BO137)=0, 0, BO45)</f>
        <v>0</v>
      </c>
      <c r="BP160" s="38">
        <f>IF(SUM($AA137:BP137)=0, 0, BP45)</f>
        <v>0</v>
      </c>
      <c r="BQ160" s="38">
        <f>IF(SUM($AA137:BQ137)=0, 0, BQ45)</f>
        <v>0</v>
      </c>
      <c r="BR160" s="38">
        <f>IF(SUM($AA137:BR137)=0, 0, BR45)</f>
        <v>0</v>
      </c>
      <c r="BS160" s="38">
        <f>IF(SUM($AA137:BS137)=0, 0, BS45)</f>
        <v>0</v>
      </c>
      <c r="BT160" s="38">
        <f>IF(SUM($AA137:BT137)=0, 0, BT45)</f>
        <v>0</v>
      </c>
      <c r="BU160" s="38">
        <f>IF(SUM($AA137:BU137)=0, 0, BU45)</f>
        <v>0</v>
      </c>
      <c r="BV160" s="38">
        <f>IF(SUM($AA137:BV137)=0, 0, BV45)</f>
        <v>0</v>
      </c>
      <c r="BX160" s="106"/>
      <c r="BY160" s="106"/>
      <c r="BZ160" s="106"/>
      <c r="CA160" s="106"/>
      <c r="CB160" s="38">
        <f>IF(SUM($CB137:CB137)=0, 0, CB45)</f>
        <v>0</v>
      </c>
      <c r="CC160" s="38">
        <f>IF(SUM($CB137:CC137)=0, 0, CC45)</f>
        <v>0</v>
      </c>
      <c r="CD160" s="38">
        <f>IF(SUM($CB137:CD137)=0, 0, CD45)</f>
        <v>0</v>
      </c>
      <c r="CE160" s="38">
        <f>IF(SUM($CB137:CE137)=0, 0, CE45)</f>
        <v>0</v>
      </c>
      <c r="CF160" s="38">
        <f>IF(SUM($CB137:CF137)=0, 0, CF45)</f>
        <v>0</v>
      </c>
      <c r="CG160" s="38">
        <f>IF(SUM($CB137:CG137)=0, 0, CG45)</f>
        <v>0</v>
      </c>
      <c r="CH160" s="38">
        <f>IF(SUM($CB137:CH137)=0, 0, CH45)</f>
        <v>0</v>
      </c>
      <c r="CI160" s="38">
        <f>IF(SUM($CB137:CI137)=0, 0, CI45)</f>
        <v>0</v>
      </c>
      <c r="CK160" s="11"/>
      <c r="CM160" s="11"/>
      <c r="EX160" s="10" t="str">
        <f t="shared" si="154"/>
        <v/>
      </c>
    </row>
    <row r="161" spans="1:154" x14ac:dyDescent="0.35">
      <c r="B161" t="str">
        <f ca="1">Loans!B$14</f>
        <v>Loan 2</v>
      </c>
      <c r="D161" s="51">
        <f>Loans!D$14</f>
        <v>0</v>
      </c>
      <c r="E161" s="117" t="str">
        <f>IF(Loans!R$14=0, "", Loans!R$14)</f>
        <v/>
      </c>
      <c r="F161" s="10">
        <f>Loans!H$696</f>
        <v>0</v>
      </c>
      <c r="V161" s="106"/>
      <c r="W161" s="106"/>
      <c r="X161" s="106"/>
      <c r="Y161" s="106"/>
      <c r="AA161" s="38">
        <f>IF(SUM($AA138:AA138)=0, 0, AA46)</f>
        <v>0</v>
      </c>
      <c r="AB161" s="38">
        <f>IF(SUM($AA138:AB138)=0, 0, AB46)</f>
        <v>0</v>
      </c>
      <c r="AC161" s="38">
        <f>IF(SUM($AA138:AC138)=0, 0, AC46)</f>
        <v>0</v>
      </c>
      <c r="AD161" s="38">
        <f>IF(SUM($AA138:AD138)=0, 0, AD46)</f>
        <v>0</v>
      </c>
      <c r="AE161" s="38">
        <f>IF(SUM($AA138:AE138)=0, 0, AE46)</f>
        <v>0</v>
      </c>
      <c r="AF161" s="38">
        <f>IF(SUM($AA138:AF138)=0, 0, AF46)</f>
        <v>0</v>
      </c>
      <c r="AG161" s="38">
        <f>IF(SUM($AA138:AG138)=0, 0, AG46)</f>
        <v>0</v>
      </c>
      <c r="AH161" s="38">
        <f>IF(SUM($AA138:AH138)=0, 0, AH46)</f>
        <v>0</v>
      </c>
      <c r="AI161" s="38">
        <f>IF(SUM($AA138:AI138)=0, 0, AI46)</f>
        <v>0</v>
      </c>
      <c r="AJ161" s="38">
        <f>IF(SUM($AA138:AJ138)=0, 0, AJ46)</f>
        <v>0</v>
      </c>
      <c r="AK161" s="38">
        <f>IF(SUM($AA138:AK138)=0, 0, AK46)</f>
        <v>0</v>
      </c>
      <c r="AL161" s="38">
        <f>IF(SUM($AA138:AL138)=0, 0, AL46)</f>
        <v>0</v>
      </c>
      <c r="AM161" s="38">
        <f>IF(SUM($AA138:AM138)=0, 0, AM46)</f>
        <v>0</v>
      </c>
      <c r="AN161" s="38">
        <f>IF(SUM($AA138:AN138)=0, 0, AN46)</f>
        <v>0</v>
      </c>
      <c r="AO161" s="38">
        <f>IF(SUM($AA138:AO138)=0, 0, AO46)</f>
        <v>0</v>
      </c>
      <c r="AP161" s="38">
        <f>IF(SUM($AA138:AP138)=0, 0, AP46)</f>
        <v>0</v>
      </c>
      <c r="AQ161" s="38">
        <f>IF(SUM($AA138:AQ138)=0, 0, AQ46)</f>
        <v>0</v>
      </c>
      <c r="AR161" s="38">
        <f>IF(SUM($AA138:AR138)=0, 0, AR46)</f>
        <v>0</v>
      </c>
      <c r="AS161" s="38">
        <f>IF(SUM($AA138:AS138)=0, 0, AS46)</f>
        <v>0</v>
      </c>
      <c r="AT161" s="38">
        <f>IF(SUM($AA138:AT138)=0, 0, AT46)</f>
        <v>0</v>
      </c>
      <c r="AU161" s="38">
        <f>IF(SUM($AA138:AU138)=0, 0, AU46)</f>
        <v>0</v>
      </c>
      <c r="AV161" s="38">
        <f>IF(SUM($AA138:AV138)=0, 0, AV46)</f>
        <v>0</v>
      </c>
      <c r="AW161" s="38">
        <f>IF(SUM($AA138:AW138)=0, 0, AW46)</f>
        <v>0</v>
      </c>
      <c r="AX161" s="38">
        <f>IF(SUM($AA138:AX138)=0, 0, AX46)</f>
        <v>0</v>
      </c>
      <c r="AY161" s="38">
        <f>IF(SUM($AA138:AY138)=0, 0, AY46)</f>
        <v>0</v>
      </c>
      <c r="AZ161" s="38">
        <f>IF(SUM($AA138:AZ138)=0, 0, AZ46)</f>
        <v>0</v>
      </c>
      <c r="BA161" s="38">
        <f>IF(SUM($AA138:BA138)=0, 0, BA46)</f>
        <v>0</v>
      </c>
      <c r="BB161" s="38">
        <f>IF(SUM($AA138:BB138)=0, 0, BB46)</f>
        <v>0</v>
      </c>
      <c r="BC161" s="38">
        <f>IF(SUM($AA138:BC138)=0, 0, BC46)</f>
        <v>0</v>
      </c>
      <c r="BD161" s="38">
        <f>IF(SUM($AA138:BD138)=0, 0, BD46)</f>
        <v>0</v>
      </c>
      <c r="BE161" s="38">
        <f>IF(SUM($AA138:BE138)=0, 0, BE46)</f>
        <v>0</v>
      </c>
      <c r="BF161" s="38">
        <f>IF(SUM($AA138:BF138)=0, 0, BF46)</f>
        <v>0</v>
      </c>
      <c r="BG161" s="38">
        <f>IF(SUM($AA138:BG138)=0, 0, BG46)</f>
        <v>0</v>
      </c>
      <c r="BH161" s="38">
        <f>IF(SUM($AA138:BH138)=0, 0, BH46)</f>
        <v>0</v>
      </c>
      <c r="BI161" s="38">
        <f>IF(SUM($AA138:BI138)=0, 0, BI46)</f>
        <v>0</v>
      </c>
      <c r="BJ161" s="38">
        <f>IF(SUM($AA138:BJ138)=0, 0, BJ46)</f>
        <v>0</v>
      </c>
      <c r="BK161" s="38">
        <f>IF(SUM($AA138:BK138)=0, 0, BK46)</f>
        <v>0</v>
      </c>
      <c r="BL161" s="38">
        <f>IF(SUM($AA138:BL138)=0, 0, BL46)</f>
        <v>0</v>
      </c>
      <c r="BM161" s="38">
        <f>IF(SUM($AA138:BM138)=0, 0, BM46)</f>
        <v>0</v>
      </c>
      <c r="BN161" s="38">
        <f>IF(SUM($AA138:BN138)=0, 0, BN46)</f>
        <v>0</v>
      </c>
      <c r="BO161" s="38">
        <f>IF(SUM($AA138:BO138)=0, 0, BO46)</f>
        <v>0</v>
      </c>
      <c r="BP161" s="38">
        <f>IF(SUM($AA138:BP138)=0, 0, BP46)</f>
        <v>0</v>
      </c>
      <c r="BQ161" s="38">
        <f>IF(SUM($AA138:BQ138)=0, 0, BQ46)</f>
        <v>0</v>
      </c>
      <c r="BR161" s="38">
        <f>IF(SUM($AA138:BR138)=0, 0, BR46)</f>
        <v>0</v>
      </c>
      <c r="BS161" s="38">
        <f>IF(SUM($AA138:BS138)=0, 0, BS46)</f>
        <v>0</v>
      </c>
      <c r="BT161" s="38">
        <f>IF(SUM($AA138:BT138)=0, 0, BT46)</f>
        <v>0</v>
      </c>
      <c r="BU161" s="38">
        <f>IF(SUM($AA138:BU138)=0, 0, BU46)</f>
        <v>0</v>
      </c>
      <c r="BV161" s="38">
        <f>IF(SUM($AA138:BV138)=0, 0, BV46)</f>
        <v>0</v>
      </c>
      <c r="BX161" s="106"/>
      <c r="BY161" s="106"/>
      <c r="BZ161" s="106"/>
      <c r="CA161" s="106"/>
      <c r="CB161" s="38">
        <f>IF(SUM($CB138:CB138)=0, 0, CB46)</f>
        <v>0</v>
      </c>
      <c r="CC161" s="38">
        <f>IF(SUM($CB138:CC138)=0, 0, CC46)</f>
        <v>0</v>
      </c>
      <c r="CD161" s="38">
        <f>IF(SUM($CB138:CD138)=0, 0, CD46)</f>
        <v>0</v>
      </c>
      <c r="CE161" s="38">
        <f>IF(SUM($CB138:CE138)=0, 0, CE46)</f>
        <v>0</v>
      </c>
      <c r="CF161" s="38">
        <f>IF(SUM($CB138:CF138)=0, 0, CF46)</f>
        <v>0</v>
      </c>
      <c r="CG161" s="38">
        <f>IF(SUM($CB138:CG138)=0, 0, CG46)</f>
        <v>0</v>
      </c>
      <c r="CH161" s="38">
        <f>IF(SUM($CB138:CH138)=0, 0, CH46)</f>
        <v>0</v>
      </c>
      <c r="CI161" s="38">
        <f>IF(SUM($CB138:CI138)=0, 0, CI46)</f>
        <v>0</v>
      </c>
      <c r="CK161" s="11"/>
      <c r="CM161" s="11"/>
      <c r="EX161" s="10" t="str">
        <f t="shared" si="154"/>
        <v/>
      </c>
    </row>
    <row r="162" spans="1:154" x14ac:dyDescent="0.35">
      <c r="B162" t="str">
        <f ca="1">Loans!B$15</f>
        <v>Loan 3</v>
      </c>
      <c r="D162" s="51">
        <f>Loans!D$15</f>
        <v>0</v>
      </c>
      <c r="E162" s="117" t="str">
        <f>IF(Loans!R$15=0, "", Loans!R$15)</f>
        <v/>
      </c>
      <c r="F162" s="10">
        <f>Loans!H$697</f>
        <v>0</v>
      </c>
      <c r="V162" s="106"/>
      <c r="W162" s="106"/>
      <c r="X162" s="106"/>
      <c r="Y162" s="106"/>
      <c r="AA162" s="38">
        <f>IF(SUM($AA139:AA139)=0, 0, AA47)</f>
        <v>0</v>
      </c>
      <c r="AB162" s="38">
        <f>IF(SUM($AA139:AB139)=0, 0, AB47)</f>
        <v>0</v>
      </c>
      <c r="AC162" s="38">
        <f>IF(SUM($AA139:AC139)=0, 0, AC47)</f>
        <v>0</v>
      </c>
      <c r="AD162" s="38">
        <f>IF(SUM($AA139:AD139)=0, 0, AD47)</f>
        <v>0</v>
      </c>
      <c r="AE162" s="38">
        <f>IF(SUM($AA139:AE139)=0, 0, AE47)</f>
        <v>0</v>
      </c>
      <c r="AF162" s="38">
        <f>IF(SUM($AA139:AF139)=0, 0, AF47)</f>
        <v>0</v>
      </c>
      <c r="AG162" s="38">
        <f>IF(SUM($AA139:AG139)=0, 0, AG47)</f>
        <v>0</v>
      </c>
      <c r="AH162" s="38">
        <f>IF(SUM($AA139:AH139)=0, 0, AH47)</f>
        <v>0</v>
      </c>
      <c r="AI162" s="38">
        <f>IF(SUM($AA139:AI139)=0, 0, AI47)</f>
        <v>0</v>
      </c>
      <c r="AJ162" s="38">
        <f>IF(SUM($AA139:AJ139)=0, 0, AJ47)</f>
        <v>0</v>
      </c>
      <c r="AK162" s="38">
        <f>IF(SUM($AA139:AK139)=0, 0, AK47)</f>
        <v>0</v>
      </c>
      <c r="AL162" s="38">
        <f>IF(SUM($AA139:AL139)=0, 0, AL47)</f>
        <v>0</v>
      </c>
      <c r="AM162" s="38">
        <f>IF(SUM($AA139:AM139)=0, 0, AM47)</f>
        <v>0</v>
      </c>
      <c r="AN162" s="38">
        <f>IF(SUM($AA139:AN139)=0, 0, AN47)</f>
        <v>0</v>
      </c>
      <c r="AO162" s="38">
        <f>IF(SUM($AA139:AO139)=0, 0, AO47)</f>
        <v>0</v>
      </c>
      <c r="AP162" s="38">
        <f>IF(SUM($AA139:AP139)=0, 0, AP47)</f>
        <v>0</v>
      </c>
      <c r="AQ162" s="38">
        <f>IF(SUM($AA139:AQ139)=0, 0, AQ47)</f>
        <v>0</v>
      </c>
      <c r="AR162" s="38">
        <f>IF(SUM($AA139:AR139)=0, 0, AR47)</f>
        <v>0</v>
      </c>
      <c r="AS162" s="38">
        <f>IF(SUM($AA139:AS139)=0, 0, AS47)</f>
        <v>0</v>
      </c>
      <c r="AT162" s="38">
        <f>IF(SUM($AA139:AT139)=0, 0, AT47)</f>
        <v>0</v>
      </c>
      <c r="AU162" s="38">
        <f>IF(SUM($AA139:AU139)=0, 0, AU47)</f>
        <v>0</v>
      </c>
      <c r="AV162" s="38">
        <f>IF(SUM($AA139:AV139)=0, 0, AV47)</f>
        <v>0</v>
      </c>
      <c r="AW162" s="38">
        <f>IF(SUM($AA139:AW139)=0, 0, AW47)</f>
        <v>0</v>
      </c>
      <c r="AX162" s="38">
        <f>IF(SUM($AA139:AX139)=0, 0, AX47)</f>
        <v>0</v>
      </c>
      <c r="AY162" s="38">
        <f>IF(SUM($AA139:AY139)=0, 0, AY47)</f>
        <v>0</v>
      </c>
      <c r="AZ162" s="38">
        <f>IF(SUM($AA139:AZ139)=0, 0, AZ47)</f>
        <v>0</v>
      </c>
      <c r="BA162" s="38">
        <f>IF(SUM($AA139:BA139)=0, 0, BA47)</f>
        <v>0</v>
      </c>
      <c r="BB162" s="38">
        <f>IF(SUM($AA139:BB139)=0, 0, BB47)</f>
        <v>0</v>
      </c>
      <c r="BC162" s="38">
        <f>IF(SUM($AA139:BC139)=0, 0, BC47)</f>
        <v>0</v>
      </c>
      <c r="BD162" s="38">
        <f>IF(SUM($AA139:BD139)=0, 0, BD47)</f>
        <v>0</v>
      </c>
      <c r="BE162" s="38">
        <f>IF(SUM($AA139:BE139)=0, 0, BE47)</f>
        <v>0</v>
      </c>
      <c r="BF162" s="38">
        <f>IF(SUM($AA139:BF139)=0, 0, BF47)</f>
        <v>0</v>
      </c>
      <c r="BG162" s="38">
        <f>IF(SUM($AA139:BG139)=0, 0, BG47)</f>
        <v>0</v>
      </c>
      <c r="BH162" s="38">
        <f>IF(SUM($AA139:BH139)=0, 0, BH47)</f>
        <v>0</v>
      </c>
      <c r="BI162" s="38">
        <f>IF(SUM($AA139:BI139)=0, 0, BI47)</f>
        <v>0</v>
      </c>
      <c r="BJ162" s="38">
        <f>IF(SUM($AA139:BJ139)=0, 0, BJ47)</f>
        <v>0</v>
      </c>
      <c r="BK162" s="38">
        <f>IF(SUM($AA139:BK139)=0, 0, BK47)</f>
        <v>0</v>
      </c>
      <c r="BL162" s="38">
        <f>IF(SUM($AA139:BL139)=0, 0, BL47)</f>
        <v>0</v>
      </c>
      <c r="BM162" s="38">
        <f>IF(SUM($AA139:BM139)=0, 0, BM47)</f>
        <v>0</v>
      </c>
      <c r="BN162" s="38">
        <f>IF(SUM($AA139:BN139)=0, 0, BN47)</f>
        <v>0</v>
      </c>
      <c r="BO162" s="38">
        <f>IF(SUM($AA139:BO139)=0, 0, BO47)</f>
        <v>0</v>
      </c>
      <c r="BP162" s="38">
        <f>IF(SUM($AA139:BP139)=0, 0, BP47)</f>
        <v>0</v>
      </c>
      <c r="BQ162" s="38">
        <f>IF(SUM($AA139:BQ139)=0, 0, BQ47)</f>
        <v>0</v>
      </c>
      <c r="BR162" s="38">
        <f>IF(SUM($AA139:BR139)=0, 0, BR47)</f>
        <v>0</v>
      </c>
      <c r="BS162" s="38">
        <f>IF(SUM($AA139:BS139)=0, 0, BS47)</f>
        <v>0</v>
      </c>
      <c r="BT162" s="38">
        <f>IF(SUM($AA139:BT139)=0, 0, BT47)</f>
        <v>0</v>
      </c>
      <c r="BU162" s="38">
        <f>IF(SUM($AA139:BU139)=0, 0, BU47)</f>
        <v>0</v>
      </c>
      <c r="BV162" s="38">
        <f>IF(SUM($AA139:BV139)=0, 0, BV47)</f>
        <v>0</v>
      </c>
      <c r="BX162" s="106"/>
      <c r="BY162" s="106"/>
      <c r="BZ162" s="106"/>
      <c r="CA162" s="106"/>
      <c r="CB162" s="38">
        <f>IF(SUM($CB139:CB139)=0, 0, CB47)</f>
        <v>0</v>
      </c>
      <c r="CC162" s="38">
        <f>IF(SUM($CB139:CC139)=0, 0, CC47)</f>
        <v>0</v>
      </c>
      <c r="CD162" s="38">
        <f>IF(SUM($CB139:CD139)=0, 0, CD47)</f>
        <v>0</v>
      </c>
      <c r="CE162" s="38">
        <f>IF(SUM($CB139:CE139)=0, 0, CE47)</f>
        <v>0</v>
      </c>
      <c r="CF162" s="38">
        <f>IF(SUM($CB139:CF139)=0, 0, CF47)</f>
        <v>0</v>
      </c>
      <c r="CG162" s="38">
        <f>IF(SUM($CB139:CG139)=0, 0, CG47)</f>
        <v>0</v>
      </c>
      <c r="CH162" s="38">
        <f>IF(SUM($CB139:CH139)=0, 0, CH47)</f>
        <v>0</v>
      </c>
      <c r="CI162" s="38">
        <f>IF(SUM($CB139:CI139)=0, 0, CI47)</f>
        <v>0</v>
      </c>
      <c r="CK162" s="11"/>
      <c r="CM162" s="11"/>
      <c r="EX162" s="10" t="str">
        <f t="shared" si="154"/>
        <v/>
      </c>
    </row>
    <row r="163" spans="1:154" x14ac:dyDescent="0.35">
      <c r="B163" t="str">
        <f ca="1">Loans!B$16</f>
        <v>Loan 4</v>
      </c>
      <c r="D163" s="51">
        <f>Loans!D$16</f>
        <v>0</v>
      </c>
      <c r="E163" s="117" t="str">
        <f>IF(Loans!R$16=0, "", Loans!R$16)</f>
        <v/>
      </c>
      <c r="F163" s="10">
        <f>Loans!H$698</f>
        <v>0</v>
      </c>
      <c r="V163" s="106"/>
      <c r="W163" s="106"/>
      <c r="X163" s="106"/>
      <c r="Y163" s="106"/>
      <c r="AA163" s="38">
        <f>IF(SUM($AA140:AA140)=0, 0, AA48)</f>
        <v>0</v>
      </c>
      <c r="AB163" s="38">
        <f>IF(SUM($AA140:AB140)=0, 0, AB48)</f>
        <v>0</v>
      </c>
      <c r="AC163" s="38">
        <f>IF(SUM($AA140:AC140)=0, 0, AC48)</f>
        <v>0</v>
      </c>
      <c r="AD163" s="38">
        <f>IF(SUM($AA140:AD140)=0, 0, AD48)</f>
        <v>0</v>
      </c>
      <c r="AE163" s="38">
        <f>IF(SUM($AA140:AE140)=0, 0, AE48)</f>
        <v>0</v>
      </c>
      <c r="AF163" s="38">
        <f>IF(SUM($AA140:AF140)=0, 0, AF48)</f>
        <v>0</v>
      </c>
      <c r="AG163" s="38">
        <f>IF(SUM($AA140:AG140)=0, 0, AG48)</f>
        <v>0</v>
      </c>
      <c r="AH163" s="38">
        <f>IF(SUM($AA140:AH140)=0, 0, AH48)</f>
        <v>0</v>
      </c>
      <c r="AI163" s="38">
        <f>IF(SUM($AA140:AI140)=0, 0, AI48)</f>
        <v>0</v>
      </c>
      <c r="AJ163" s="38">
        <f>IF(SUM($AA140:AJ140)=0, 0, AJ48)</f>
        <v>0</v>
      </c>
      <c r="AK163" s="38">
        <f>IF(SUM($AA140:AK140)=0, 0, AK48)</f>
        <v>0</v>
      </c>
      <c r="AL163" s="38">
        <f>IF(SUM($AA140:AL140)=0, 0, AL48)</f>
        <v>0</v>
      </c>
      <c r="AM163" s="38">
        <f>IF(SUM($AA140:AM140)=0, 0, AM48)</f>
        <v>0</v>
      </c>
      <c r="AN163" s="38">
        <f>IF(SUM($AA140:AN140)=0, 0, AN48)</f>
        <v>0</v>
      </c>
      <c r="AO163" s="38">
        <f>IF(SUM($AA140:AO140)=0, 0, AO48)</f>
        <v>0</v>
      </c>
      <c r="AP163" s="38">
        <f>IF(SUM($AA140:AP140)=0, 0, AP48)</f>
        <v>0</v>
      </c>
      <c r="AQ163" s="38">
        <f>IF(SUM($AA140:AQ140)=0, 0, AQ48)</f>
        <v>0</v>
      </c>
      <c r="AR163" s="38">
        <f>IF(SUM($AA140:AR140)=0, 0, AR48)</f>
        <v>0</v>
      </c>
      <c r="AS163" s="38">
        <f>IF(SUM($AA140:AS140)=0, 0, AS48)</f>
        <v>0</v>
      </c>
      <c r="AT163" s="38">
        <f>IF(SUM($AA140:AT140)=0, 0, AT48)</f>
        <v>0</v>
      </c>
      <c r="AU163" s="38">
        <f>IF(SUM($AA140:AU140)=0, 0, AU48)</f>
        <v>0</v>
      </c>
      <c r="AV163" s="38">
        <f>IF(SUM($AA140:AV140)=0, 0, AV48)</f>
        <v>0</v>
      </c>
      <c r="AW163" s="38">
        <f>IF(SUM($AA140:AW140)=0, 0, AW48)</f>
        <v>0</v>
      </c>
      <c r="AX163" s="38">
        <f>IF(SUM($AA140:AX140)=0, 0, AX48)</f>
        <v>0</v>
      </c>
      <c r="AY163" s="38">
        <f>IF(SUM($AA140:AY140)=0, 0, AY48)</f>
        <v>0</v>
      </c>
      <c r="AZ163" s="38">
        <f>IF(SUM($AA140:AZ140)=0, 0, AZ48)</f>
        <v>0</v>
      </c>
      <c r="BA163" s="38">
        <f>IF(SUM($AA140:BA140)=0, 0, BA48)</f>
        <v>0</v>
      </c>
      <c r="BB163" s="38">
        <f>IF(SUM($AA140:BB140)=0, 0, BB48)</f>
        <v>0</v>
      </c>
      <c r="BC163" s="38">
        <f>IF(SUM($AA140:BC140)=0, 0, BC48)</f>
        <v>0</v>
      </c>
      <c r="BD163" s="38">
        <f>IF(SUM($AA140:BD140)=0, 0, BD48)</f>
        <v>0</v>
      </c>
      <c r="BE163" s="38">
        <f>IF(SUM($AA140:BE140)=0, 0, BE48)</f>
        <v>0</v>
      </c>
      <c r="BF163" s="38">
        <f>IF(SUM($AA140:BF140)=0, 0, BF48)</f>
        <v>0</v>
      </c>
      <c r="BG163" s="38">
        <f>IF(SUM($AA140:BG140)=0, 0, BG48)</f>
        <v>0</v>
      </c>
      <c r="BH163" s="38">
        <f>IF(SUM($AA140:BH140)=0, 0, BH48)</f>
        <v>0</v>
      </c>
      <c r="BI163" s="38">
        <f>IF(SUM($AA140:BI140)=0, 0, BI48)</f>
        <v>0</v>
      </c>
      <c r="BJ163" s="38">
        <f>IF(SUM($AA140:BJ140)=0, 0, BJ48)</f>
        <v>0</v>
      </c>
      <c r="BK163" s="38">
        <f>IF(SUM($AA140:BK140)=0, 0, BK48)</f>
        <v>0</v>
      </c>
      <c r="BL163" s="38">
        <f>IF(SUM($AA140:BL140)=0, 0, BL48)</f>
        <v>0</v>
      </c>
      <c r="BM163" s="38">
        <f>IF(SUM($AA140:BM140)=0, 0, BM48)</f>
        <v>0</v>
      </c>
      <c r="BN163" s="38">
        <f>IF(SUM($AA140:BN140)=0, 0, BN48)</f>
        <v>0</v>
      </c>
      <c r="BO163" s="38">
        <f>IF(SUM($AA140:BO140)=0, 0, BO48)</f>
        <v>0</v>
      </c>
      <c r="BP163" s="38">
        <f>IF(SUM($AA140:BP140)=0, 0, BP48)</f>
        <v>0</v>
      </c>
      <c r="BQ163" s="38">
        <f>IF(SUM($AA140:BQ140)=0, 0, BQ48)</f>
        <v>0</v>
      </c>
      <c r="BR163" s="38">
        <f>IF(SUM($AA140:BR140)=0, 0, BR48)</f>
        <v>0</v>
      </c>
      <c r="BS163" s="38">
        <f>IF(SUM($AA140:BS140)=0, 0, BS48)</f>
        <v>0</v>
      </c>
      <c r="BT163" s="38">
        <f>IF(SUM($AA140:BT140)=0, 0, BT48)</f>
        <v>0</v>
      </c>
      <c r="BU163" s="38">
        <f>IF(SUM($AA140:BU140)=0, 0, BU48)</f>
        <v>0</v>
      </c>
      <c r="BV163" s="38">
        <f>IF(SUM($AA140:BV140)=0, 0, BV48)</f>
        <v>0</v>
      </c>
      <c r="BX163" s="106"/>
      <c r="BY163" s="106"/>
      <c r="BZ163" s="106"/>
      <c r="CA163" s="106"/>
      <c r="CB163" s="38">
        <f>IF(SUM($CB140:CB140)=0, 0, CB48)</f>
        <v>0</v>
      </c>
      <c r="CC163" s="38">
        <f>IF(SUM($CB140:CC140)=0, 0, CC48)</f>
        <v>0</v>
      </c>
      <c r="CD163" s="38">
        <f>IF(SUM($CB140:CD140)=0, 0, CD48)</f>
        <v>0</v>
      </c>
      <c r="CE163" s="38">
        <f>IF(SUM($CB140:CE140)=0, 0, CE48)</f>
        <v>0</v>
      </c>
      <c r="CF163" s="38">
        <f>IF(SUM($CB140:CF140)=0, 0, CF48)</f>
        <v>0</v>
      </c>
      <c r="CG163" s="38">
        <f>IF(SUM($CB140:CG140)=0, 0, CG48)</f>
        <v>0</v>
      </c>
      <c r="CH163" s="38">
        <f>IF(SUM($CB140:CH140)=0, 0, CH48)</f>
        <v>0</v>
      </c>
      <c r="CI163" s="38">
        <f>IF(SUM($CB140:CI140)=0, 0, CI48)</f>
        <v>0</v>
      </c>
      <c r="CK163" s="11"/>
      <c r="CM163" s="11"/>
      <c r="EX163" s="10" t="str">
        <f t="shared" si="154"/>
        <v/>
      </c>
    </row>
    <row r="164" spans="1:154" x14ac:dyDescent="0.35">
      <c r="B164" t="str">
        <f ca="1">Loans!B$17</f>
        <v>Loan 5</v>
      </c>
      <c r="D164" s="51">
        <f>Loans!D$17</f>
        <v>0</v>
      </c>
      <c r="E164" s="117" t="str">
        <f>IF(Loans!R$17=0, "", Loans!R$17)</f>
        <v/>
      </c>
      <c r="F164" s="10">
        <f>Loans!H$699</f>
        <v>0</v>
      </c>
      <c r="V164" s="106"/>
      <c r="W164" s="106"/>
      <c r="X164" s="106"/>
      <c r="Y164" s="106"/>
      <c r="AA164" s="38">
        <f>IF(SUM($AA141:AA141)=0, 0, AA49)</f>
        <v>0</v>
      </c>
      <c r="AB164" s="38">
        <f>IF(SUM($AA141:AB141)=0, 0, AB49)</f>
        <v>0</v>
      </c>
      <c r="AC164" s="38">
        <f>IF(SUM($AA141:AC141)=0, 0, AC49)</f>
        <v>0</v>
      </c>
      <c r="AD164" s="38">
        <f>IF(SUM($AA141:AD141)=0, 0, AD49)</f>
        <v>0</v>
      </c>
      <c r="AE164" s="38">
        <f>IF(SUM($AA141:AE141)=0, 0, AE49)</f>
        <v>0</v>
      </c>
      <c r="AF164" s="38">
        <f>IF(SUM($AA141:AF141)=0, 0, AF49)</f>
        <v>0</v>
      </c>
      <c r="AG164" s="38">
        <f>IF(SUM($AA141:AG141)=0, 0, AG49)</f>
        <v>0</v>
      </c>
      <c r="AH164" s="38">
        <f>IF(SUM($AA141:AH141)=0, 0, AH49)</f>
        <v>0</v>
      </c>
      <c r="AI164" s="38">
        <f>IF(SUM($AA141:AI141)=0, 0, AI49)</f>
        <v>0</v>
      </c>
      <c r="AJ164" s="38">
        <f>IF(SUM($AA141:AJ141)=0, 0, AJ49)</f>
        <v>0</v>
      </c>
      <c r="AK164" s="38">
        <f>IF(SUM($AA141:AK141)=0, 0, AK49)</f>
        <v>0</v>
      </c>
      <c r="AL164" s="38">
        <f>IF(SUM($AA141:AL141)=0, 0, AL49)</f>
        <v>0</v>
      </c>
      <c r="AM164" s="38">
        <f>IF(SUM($AA141:AM141)=0, 0, AM49)</f>
        <v>0</v>
      </c>
      <c r="AN164" s="38">
        <f>IF(SUM($AA141:AN141)=0, 0, AN49)</f>
        <v>0</v>
      </c>
      <c r="AO164" s="38">
        <f>IF(SUM($AA141:AO141)=0, 0, AO49)</f>
        <v>0</v>
      </c>
      <c r="AP164" s="38">
        <f>IF(SUM($AA141:AP141)=0, 0, AP49)</f>
        <v>0</v>
      </c>
      <c r="AQ164" s="38">
        <f>IF(SUM($AA141:AQ141)=0, 0, AQ49)</f>
        <v>0</v>
      </c>
      <c r="AR164" s="38">
        <f>IF(SUM($AA141:AR141)=0, 0, AR49)</f>
        <v>0</v>
      </c>
      <c r="AS164" s="38">
        <f>IF(SUM($AA141:AS141)=0, 0, AS49)</f>
        <v>0</v>
      </c>
      <c r="AT164" s="38">
        <f>IF(SUM($AA141:AT141)=0, 0, AT49)</f>
        <v>0</v>
      </c>
      <c r="AU164" s="38">
        <f>IF(SUM($AA141:AU141)=0, 0, AU49)</f>
        <v>0</v>
      </c>
      <c r="AV164" s="38">
        <f>IF(SUM($AA141:AV141)=0, 0, AV49)</f>
        <v>0</v>
      </c>
      <c r="AW164" s="38">
        <f>IF(SUM($AA141:AW141)=0, 0, AW49)</f>
        <v>0</v>
      </c>
      <c r="AX164" s="38">
        <f>IF(SUM($AA141:AX141)=0, 0, AX49)</f>
        <v>0</v>
      </c>
      <c r="AY164" s="38">
        <f>IF(SUM($AA141:AY141)=0, 0, AY49)</f>
        <v>0</v>
      </c>
      <c r="AZ164" s="38">
        <f>IF(SUM($AA141:AZ141)=0, 0, AZ49)</f>
        <v>0</v>
      </c>
      <c r="BA164" s="38">
        <f>IF(SUM($AA141:BA141)=0, 0, BA49)</f>
        <v>0</v>
      </c>
      <c r="BB164" s="38">
        <f>IF(SUM($AA141:BB141)=0, 0, BB49)</f>
        <v>0</v>
      </c>
      <c r="BC164" s="38">
        <f>IF(SUM($AA141:BC141)=0, 0, BC49)</f>
        <v>0</v>
      </c>
      <c r="BD164" s="38">
        <f>IF(SUM($AA141:BD141)=0, 0, BD49)</f>
        <v>0</v>
      </c>
      <c r="BE164" s="38">
        <f>IF(SUM($AA141:BE141)=0, 0, BE49)</f>
        <v>0</v>
      </c>
      <c r="BF164" s="38">
        <f>IF(SUM($AA141:BF141)=0, 0, BF49)</f>
        <v>0</v>
      </c>
      <c r="BG164" s="38">
        <f>IF(SUM($AA141:BG141)=0, 0, BG49)</f>
        <v>0</v>
      </c>
      <c r="BH164" s="38">
        <f>IF(SUM($AA141:BH141)=0, 0, BH49)</f>
        <v>0</v>
      </c>
      <c r="BI164" s="38">
        <f>IF(SUM($AA141:BI141)=0, 0, BI49)</f>
        <v>0</v>
      </c>
      <c r="BJ164" s="38">
        <f>IF(SUM($AA141:BJ141)=0, 0, BJ49)</f>
        <v>0</v>
      </c>
      <c r="BK164" s="38">
        <f>IF(SUM($AA141:BK141)=0, 0, BK49)</f>
        <v>0</v>
      </c>
      <c r="BL164" s="38">
        <f>IF(SUM($AA141:BL141)=0, 0, BL49)</f>
        <v>0</v>
      </c>
      <c r="BM164" s="38">
        <f>IF(SUM($AA141:BM141)=0, 0, BM49)</f>
        <v>0</v>
      </c>
      <c r="BN164" s="38">
        <f>IF(SUM($AA141:BN141)=0, 0, BN49)</f>
        <v>0</v>
      </c>
      <c r="BO164" s="38">
        <f>IF(SUM($AA141:BO141)=0, 0, BO49)</f>
        <v>0</v>
      </c>
      <c r="BP164" s="38">
        <f>IF(SUM($AA141:BP141)=0, 0, BP49)</f>
        <v>0</v>
      </c>
      <c r="BQ164" s="38">
        <f>IF(SUM($AA141:BQ141)=0, 0, BQ49)</f>
        <v>0</v>
      </c>
      <c r="BR164" s="38">
        <f>IF(SUM($AA141:BR141)=0, 0, BR49)</f>
        <v>0</v>
      </c>
      <c r="BS164" s="38">
        <f>IF(SUM($AA141:BS141)=0, 0, BS49)</f>
        <v>0</v>
      </c>
      <c r="BT164" s="38">
        <f>IF(SUM($AA141:BT141)=0, 0, BT49)</f>
        <v>0</v>
      </c>
      <c r="BU164" s="38">
        <f>IF(SUM($AA141:BU141)=0, 0, BU49)</f>
        <v>0</v>
      </c>
      <c r="BV164" s="38">
        <f>IF(SUM($AA141:BV141)=0, 0, BV49)</f>
        <v>0</v>
      </c>
      <c r="BX164" s="106"/>
      <c r="BY164" s="106"/>
      <c r="BZ164" s="106"/>
      <c r="CA164" s="106"/>
      <c r="CB164" s="38">
        <f>IF(SUM($CB141:CB141)=0, 0, CB49)</f>
        <v>0</v>
      </c>
      <c r="CC164" s="38">
        <f>IF(SUM($CB141:CC141)=0, 0, CC49)</f>
        <v>0</v>
      </c>
      <c r="CD164" s="38">
        <f>IF(SUM($CB141:CD141)=0, 0, CD49)</f>
        <v>0</v>
      </c>
      <c r="CE164" s="38">
        <f>IF(SUM($CB141:CE141)=0, 0, CE49)</f>
        <v>0</v>
      </c>
      <c r="CF164" s="38">
        <f>IF(SUM($CB141:CF141)=0, 0, CF49)</f>
        <v>0</v>
      </c>
      <c r="CG164" s="38">
        <f>IF(SUM($CB141:CG141)=0, 0, CG49)</f>
        <v>0</v>
      </c>
      <c r="CH164" s="38">
        <f>IF(SUM($CB141:CH141)=0, 0, CH49)</f>
        <v>0</v>
      </c>
      <c r="CI164" s="38">
        <f>IF(SUM($CB141:CI141)=0, 0, CI49)</f>
        <v>0</v>
      </c>
      <c r="CK164" s="11"/>
      <c r="CM164" s="11"/>
      <c r="EX164" s="10" t="str">
        <f t="shared" si="154"/>
        <v/>
      </c>
    </row>
    <row r="165" spans="1:154" x14ac:dyDescent="0.35">
      <c r="B165" t="str">
        <f ca="1">Loans!B$18</f>
        <v>Loan 6</v>
      </c>
      <c r="D165" s="51">
        <f>Loans!D$18</f>
        <v>0</v>
      </c>
      <c r="E165" s="117" t="str">
        <f>IF(Loans!R$18=0, "", Loans!R$18)</f>
        <v/>
      </c>
      <c r="F165" s="10">
        <f>Loans!H$700</f>
        <v>0</v>
      </c>
      <c r="V165" s="106"/>
      <c r="W165" s="106"/>
      <c r="X165" s="106"/>
      <c r="Y165" s="106"/>
      <c r="AA165" s="38">
        <f>IF(SUM($AA142:AA142)=0, 0, AA50)</f>
        <v>0</v>
      </c>
      <c r="AB165" s="38">
        <f>IF(SUM($AA142:AB142)=0, 0, AB50)</f>
        <v>0</v>
      </c>
      <c r="AC165" s="38">
        <f>IF(SUM($AA142:AC142)=0, 0, AC50)</f>
        <v>0</v>
      </c>
      <c r="AD165" s="38">
        <f>IF(SUM($AA142:AD142)=0, 0, AD50)</f>
        <v>0</v>
      </c>
      <c r="AE165" s="38">
        <f>IF(SUM($AA142:AE142)=0, 0, AE50)</f>
        <v>0</v>
      </c>
      <c r="AF165" s="38">
        <f>IF(SUM($AA142:AF142)=0, 0, AF50)</f>
        <v>0</v>
      </c>
      <c r="AG165" s="38">
        <f>IF(SUM($AA142:AG142)=0, 0, AG50)</f>
        <v>0</v>
      </c>
      <c r="AH165" s="38">
        <f>IF(SUM($AA142:AH142)=0, 0, AH50)</f>
        <v>0</v>
      </c>
      <c r="AI165" s="38">
        <f>IF(SUM($AA142:AI142)=0, 0, AI50)</f>
        <v>0</v>
      </c>
      <c r="AJ165" s="38">
        <f>IF(SUM($AA142:AJ142)=0, 0, AJ50)</f>
        <v>0</v>
      </c>
      <c r="AK165" s="38">
        <f>IF(SUM($AA142:AK142)=0, 0, AK50)</f>
        <v>0</v>
      </c>
      <c r="AL165" s="38">
        <f>IF(SUM($AA142:AL142)=0, 0, AL50)</f>
        <v>0</v>
      </c>
      <c r="AM165" s="38">
        <f>IF(SUM($AA142:AM142)=0, 0, AM50)</f>
        <v>0</v>
      </c>
      <c r="AN165" s="38">
        <f>IF(SUM($AA142:AN142)=0, 0, AN50)</f>
        <v>0</v>
      </c>
      <c r="AO165" s="38">
        <f>IF(SUM($AA142:AO142)=0, 0, AO50)</f>
        <v>0</v>
      </c>
      <c r="AP165" s="38">
        <f>IF(SUM($AA142:AP142)=0, 0, AP50)</f>
        <v>0</v>
      </c>
      <c r="AQ165" s="38">
        <f>IF(SUM($AA142:AQ142)=0, 0, AQ50)</f>
        <v>0</v>
      </c>
      <c r="AR165" s="38">
        <f>IF(SUM($AA142:AR142)=0, 0, AR50)</f>
        <v>0</v>
      </c>
      <c r="AS165" s="38">
        <f>IF(SUM($AA142:AS142)=0, 0, AS50)</f>
        <v>0</v>
      </c>
      <c r="AT165" s="38">
        <f>IF(SUM($AA142:AT142)=0, 0, AT50)</f>
        <v>0</v>
      </c>
      <c r="AU165" s="38">
        <f>IF(SUM($AA142:AU142)=0, 0, AU50)</f>
        <v>0</v>
      </c>
      <c r="AV165" s="38">
        <f>IF(SUM($AA142:AV142)=0, 0, AV50)</f>
        <v>0</v>
      </c>
      <c r="AW165" s="38">
        <f>IF(SUM($AA142:AW142)=0, 0, AW50)</f>
        <v>0</v>
      </c>
      <c r="AX165" s="38">
        <f>IF(SUM($AA142:AX142)=0, 0, AX50)</f>
        <v>0</v>
      </c>
      <c r="AY165" s="38">
        <f>IF(SUM($AA142:AY142)=0, 0, AY50)</f>
        <v>0</v>
      </c>
      <c r="AZ165" s="38">
        <f>IF(SUM($AA142:AZ142)=0, 0, AZ50)</f>
        <v>0</v>
      </c>
      <c r="BA165" s="38">
        <f>IF(SUM($AA142:BA142)=0, 0, BA50)</f>
        <v>0</v>
      </c>
      <c r="BB165" s="38">
        <f>IF(SUM($AA142:BB142)=0, 0, BB50)</f>
        <v>0</v>
      </c>
      <c r="BC165" s="38">
        <f>IF(SUM($AA142:BC142)=0, 0, BC50)</f>
        <v>0</v>
      </c>
      <c r="BD165" s="38">
        <f>IF(SUM($AA142:BD142)=0, 0, BD50)</f>
        <v>0</v>
      </c>
      <c r="BE165" s="38">
        <f>IF(SUM($AA142:BE142)=0, 0, BE50)</f>
        <v>0</v>
      </c>
      <c r="BF165" s="38">
        <f>IF(SUM($AA142:BF142)=0, 0, BF50)</f>
        <v>0</v>
      </c>
      <c r="BG165" s="38">
        <f>IF(SUM($AA142:BG142)=0, 0, BG50)</f>
        <v>0</v>
      </c>
      <c r="BH165" s="38">
        <f>IF(SUM($AA142:BH142)=0, 0, BH50)</f>
        <v>0</v>
      </c>
      <c r="BI165" s="38">
        <f>IF(SUM($AA142:BI142)=0, 0, BI50)</f>
        <v>0</v>
      </c>
      <c r="BJ165" s="38">
        <f>IF(SUM($AA142:BJ142)=0, 0, BJ50)</f>
        <v>0</v>
      </c>
      <c r="BK165" s="38">
        <f>IF(SUM($AA142:BK142)=0, 0, BK50)</f>
        <v>0</v>
      </c>
      <c r="BL165" s="38">
        <f>IF(SUM($AA142:BL142)=0, 0, BL50)</f>
        <v>0</v>
      </c>
      <c r="BM165" s="38">
        <f>IF(SUM($AA142:BM142)=0, 0, BM50)</f>
        <v>0</v>
      </c>
      <c r="BN165" s="38">
        <f>IF(SUM($AA142:BN142)=0, 0, BN50)</f>
        <v>0</v>
      </c>
      <c r="BO165" s="38">
        <f>IF(SUM($AA142:BO142)=0, 0, BO50)</f>
        <v>0</v>
      </c>
      <c r="BP165" s="38">
        <f>IF(SUM($AA142:BP142)=0, 0, BP50)</f>
        <v>0</v>
      </c>
      <c r="BQ165" s="38">
        <f>IF(SUM($AA142:BQ142)=0, 0, BQ50)</f>
        <v>0</v>
      </c>
      <c r="BR165" s="38">
        <f>IF(SUM($AA142:BR142)=0, 0, BR50)</f>
        <v>0</v>
      </c>
      <c r="BS165" s="38">
        <f>IF(SUM($AA142:BS142)=0, 0, BS50)</f>
        <v>0</v>
      </c>
      <c r="BT165" s="38">
        <f>IF(SUM($AA142:BT142)=0, 0, BT50)</f>
        <v>0</v>
      </c>
      <c r="BU165" s="38">
        <f>IF(SUM($AA142:BU142)=0, 0, BU50)</f>
        <v>0</v>
      </c>
      <c r="BV165" s="38">
        <f>IF(SUM($AA142:BV142)=0, 0, BV50)</f>
        <v>0</v>
      </c>
      <c r="BX165" s="106"/>
      <c r="BY165" s="106"/>
      <c r="BZ165" s="106"/>
      <c r="CA165" s="106"/>
      <c r="CB165" s="38">
        <f>IF(SUM($CB142:CB142)=0, 0, CB50)</f>
        <v>0</v>
      </c>
      <c r="CC165" s="38">
        <f>IF(SUM($CB142:CC142)=0, 0, CC50)</f>
        <v>0</v>
      </c>
      <c r="CD165" s="38">
        <f>IF(SUM($CB142:CD142)=0, 0, CD50)</f>
        <v>0</v>
      </c>
      <c r="CE165" s="38">
        <f>IF(SUM($CB142:CE142)=0, 0, CE50)</f>
        <v>0</v>
      </c>
      <c r="CF165" s="38">
        <f>IF(SUM($CB142:CF142)=0, 0, CF50)</f>
        <v>0</v>
      </c>
      <c r="CG165" s="38">
        <f>IF(SUM($CB142:CG142)=0, 0, CG50)</f>
        <v>0</v>
      </c>
      <c r="CH165" s="38">
        <f>IF(SUM($CB142:CH142)=0, 0, CH50)</f>
        <v>0</v>
      </c>
      <c r="CI165" s="38">
        <f>IF(SUM($CB142:CI142)=0, 0, CI50)</f>
        <v>0</v>
      </c>
      <c r="CK165" s="11"/>
      <c r="CM165" s="11"/>
      <c r="EX165" s="10" t="str">
        <f t="shared" si="154"/>
        <v/>
      </c>
    </row>
    <row r="166" spans="1:154" s="5" customFormat="1" x14ac:dyDescent="0.35">
      <c r="A166"/>
      <c r="B166" t="str">
        <f ca="1">Loans!B$19</f>
        <v>Loan 7</v>
      </c>
      <c r="D166" s="51">
        <f>Loans!D$19</f>
        <v>0</v>
      </c>
      <c r="E166" s="117" t="str">
        <f>IF(Loans!R$19=0, "", Loans!R$19)</f>
        <v/>
      </c>
      <c r="F166" s="10">
        <f>Loans!H$701</f>
        <v>0</v>
      </c>
      <c r="G166"/>
      <c r="H166"/>
      <c r="I166"/>
      <c r="J166"/>
      <c r="K166"/>
      <c r="M166"/>
      <c r="N166"/>
      <c r="O166"/>
      <c r="P166"/>
      <c r="Q166"/>
      <c r="S166"/>
      <c r="T166"/>
      <c r="U166"/>
      <c r="V166" s="106"/>
      <c r="W166" s="106"/>
      <c r="X166" s="106"/>
      <c r="Y166" s="106"/>
      <c r="Z166"/>
      <c r="AA166" s="38">
        <f>IF(SUM($AA143:AA143)=0, 0, AA51)</f>
        <v>0</v>
      </c>
      <c r="AB166" s="38">
        <f>IF(SUM($AA143:AB143)=0, 0, AB51)</f>
        <v>0</v>
      </c>
      <c r="AC166" s="38">
        <f>IF(SUM($AA143:AC143)=0, 0, AC51)</f>
        <v>0</v>
      </c>
      <c r="AD166" s="38">
        <f>IF(SUM($AA143:AD143)=0, 0, AD51)</f>
        <v>0</v>
      </c>
      <c r="AE166" s="38">
        <f>IF(SUM($AA143:AE143)=0, 0, AE51)</f>
        <v>0</v>
      </c>
      <c r="AF166" s="38">
        <f>IF(SUM($AA143:AF143)=0, 0, AF51)</f>
        <v>0</v>
      </c>
      <c r="AG166" s="38">
        <f>IF(SUM($AA143:AG143)=0, 0, AG51)</f>
        <v>0</v>
      </c>
      <c r="AH166" s="38">
        <f>IF(SUM($AA143:AH143)=0, 0, AH51)</f>
        <v>0</v>
      </c>
      <c r="AI166" s="38">
        <f>IF(SUM($AA143:AI143)=0, 0, AI51)</f>
        <v>0</v>
      </c>
      <c r="AJ166" s="38">
        <f>IF(SUM($AA143:AJ143)=0, 0, AJ51)</f>
        <v>0</v>
      </c>
      <c r="AK166" s="38">
        <f>IF(SUM($AA143:AK143)=0, 0, AK51)</f>
        <v>0</v>
      </c>
      <c r="AL166" s="38">
        <f>IF(SUM($AA143:AL143)=0, 0, AL51)</f>
        <v>0</v>
      </c>
      <c r="AM166" s="38">
        <f>IF(SUM($AA143:AM143)=0, 0, AM51)</f>
        <v>0</v>
      </c>
      <c r="AN166" s="38">
        <f>IF(SUM($AA143:AN143)=0, 0, AN51)</f>
        <v>0</v>
      </c>
      <c r="AO166" s="38">
        <f>IF(SUM($AA143:AO143)=0, 0, AO51)</f>
        <v>0</v>
      </c>
      <c r="AP166" s="38">
        <f>IF(SUM($AA143:AP143)=0, 0, AP51)</f>
        <v>0</v>
      </c>
      <c r="AQ166" s="38">
        <f>IF(SUM($AA143:AQ143)=0, 0, AQ51)</f>
        <v>0</v>
      </c>
      <c r="AR166" s="38">
        <f>IF(SUM($AA143:AR143)=0, 0, AR51)</f>
        <v>0</v>
      </c>
      <c r="AS166" s="38">
        <f>IF(SUM($AA143:AS143)=0, 0, AS51)</f>
        <v>0</v>
      </c>
      <c r="AT166" s="38">
        <f>IF(SUM($AA143:AT143)=0, 0, AT51)</f>
        <v>0</v>
      </c>
      <c r="AU166" s="38">
        <f>IF(SUM($AA143:AU143)=0, 0, AU51)</f>
        <v>0</v>
      </c>
      <c r="AV166" s="38">
        <f>IF(SUM($AA143:AV143)=0, 0, AV51)</f>
        <v>0</v>
      </c>
      <c r="AW166" s="38">
        <f>IF(SUM($AA143:AW143)=0, 0, AW51)</f>
        <v>0</v>
      </c>
      <c r="AX166" s="38">
        <f>IF(SUM($AA143:AX143)=0, 0, AX51)</f>
        <v>0</v>
      </c>
      <c r="AY166" s="38">
        <f>IF(SUM($AA143:AY143)=0, 0, AY51)</f>
        <v>0</v>
      </c>
      <c r="AZ166" s="38">
        <f>IF(SUM($AA143:AZ143)=0, 0, AZ51)</f>
        <v>0</v>
      </c>
      <c r="BA166" s="38">
        <f>IF(SUM($AA143:BA143)=0, 0, BA51)</f>
        <v>0</v>
      </c>
      <c r="BB166" s="38">
        <f>IF(SUM($AA143:BB143)=0, 0, BB51)</f>
        <v>0</v>
      </c>
      <c r="BC166" s="38">
        <f>IF(SUM($AA143:BC143)=0, 0, BC51)</f>
        <v>0</v>
      </c>
      <c r="BD166" s="38">
        <f>IF(SUM($AA143:BD143)=0, 0, BD51)</f>
        <v>0</v>
      </c>
      <c r="BE166" s="38">
        <f>IF(SUM($AA143:BE143)=0, 0, BE51)</f>
        <v>0</v>
      </c>
      <c r="BF166" s="38">
        <f>IF(SUM($AA143:BF143)=0, 0, BF51)</f>
        <v>0</v>
      </c>
      <c r="BG166" s="38">
        <f>IF(SUM($AA143:BG143)=0, 0, BG51)</f>
        <v>0</v>
      </c>
      <c r="BH166" s="38">
        <f>IF(SUM($AA143:BH143)=0, 0, BH51)</f>
        <v>0</v>
      </c>
      <c r="BI166" s="38">
        <f>IF(SUM($AA143:BI143)=0, 0, BI51)</f>
        <v>0</v>
      </c>
      <c r="BJ166" s="38">
        <f>IF(SUM($AA143:BJ143)=0, 0, BJ51)</f>
        <v>0</v>
      </c>
      <c r="BK166" s="38">
        <f>IF(SUM($AA143:BK143)=0, 0, BK51)</f>
        <v>0</v>
      </c>
      <c r="BL166" s="38">
        <f>IF(SUM($AA143:BL143)=0, 0, BL51)</f>
        <v>0</v>
      </c>
      <c r="BM166" s="38">
        <f>IF(SUM($AA143:BM143)=0, 0, BM51)</f>
        <v>0</v>
      </c>
      <c r="BN166" s="38">
        <f>IF(SUM($AA143:BN143)=0, 0, BN51)</f>
        <v>0</v>
      </c>
      <c r="BO166" s="38">
        <f>IF(SUM($AA143:BO143)=0, 0, BO51)</f>
        <v>0</v>
      </c>
      <c r="BP166" s="38">
        <f>IF(SUM($AA143:BP143)=0, 0, BP51)</f>
        <v>0</v>
      </c>
      <c r="BQ166" s="38">
        <f>IF(SUM($AA143:BQ143)=0, 0, BQ51)</f>
        <v>0</v>
      </c>
      <c r="BR166" s="38">
        <f>IF(SUM($AA143:BR143)=0, 0, BR51)</f>
        <v>0</v>
      </c>
      <c r="BS166" s="38">
        <f>IF(SUM($AA143:BS143)=0, 0, BS51)</f>
        <v>0</v>
      </c>
      <c r="BT166" s="38">
        <f>IF(SUM($AA143:BT143)=0, 0, BT51)</f>
        <v>0</v>
      </c>
      <c r="BU166" s="38">
        <f>IF(SUM($AA143:BU143)=0, 0, BU51)</f>
        <v>0</v>
      </c>
      <c r="BV166" s="38">
        <f>IF(SUM($AA143:BV143)=0, 0, BV51)</f>
        <v>0</v>
      </c>
      <c r="BW166"/>
      <c r="BX166" s="106"/>
      <c r="BY166" s="106"/>
      <c r="BZ166" s="106"/>
      <c r="CA166" s="106"/>
      <c r="CB166" s="38">
        <f>IF(SUM($CB143:CB143)=0, 0, CB51)</f>
        <v>0</v>
      </c>
      <c r="CC166" s="38">
        <f>IF(SUM($CB143:CC143)=0, 0, CC51)</f>
        <v>0</v>
      </c>
      <c r="CD166" s="38">
        <f>IF(SUM($CB143:CD143)=0, 0, CD51)</f>
        <v>0</v>
      </c>
      <c r="CE166" s="38">
        <f>IF(SUM($CB143:CE143)=0, 0, CE51)</f>
        <v>0</v>
      </c>
      <c r="CF166" s="38">
        <f>IF(SUM($CB143:CF143)=0, 0, CF51)</f>
        <v>0</v>
      </c>
      <c r="CG166" s="38">
        <f>IF(SUM($CB143:CG143)=0, 0, CG51)</f>
        <v>0</v>
      </c>
      <c r="CH166" s="38">
        <f>IF(SUM($CB143:CH143)=0, 0, CH51)</f>
        <v>0</v>
      </c>
      <c r="CI166" s="38">
        <f>IF(SUM($CB143:CI143)=0, 0, CI51)</f>
        <v>0</v>
      </c>
      <c r="CJ166"/>
      <c r="CK166" s="11"/>
      <c r="CL166"/>
      <c r="CM166" s="11"/>
      <c r="EX166" s="10" t="str">
        <f t="shared" si="154"/>
        <v/>
      </c>
    </row>
    <row r="167" spans="1:154" x14ac:dyDescent="0.35">
      <c r="B167" t="str">
        <f ca="1">Loans!B$20</f>
        <v>Loan 8</v>
      </c>
      <c r="D167" s="51">
        <f>Loans!D$20</f>
        <v>0</v>
      </c>
      <c r="E167" s="117" t="str">
        <f>IF(Loans!R$20=0, "", Loans!R$20)</f>
        <v/>
      </c>
      <c r="F167" s="10">
        <f>Loans!H$702</f>
        <v>0</v>
      </c>
      <c r="V167" s="106"/>
      <c r="W167" s="106"/>
      <c r="X167" s="106"/>
      <c r="Y167" s="106"/>
      <c r="AA167" s="38">
        <f>IF(SUM($AA144:AA144)=0, 0, AA52)</f>
        <v>0</v>
      </c>
      <c r="AB167" s="38">
        <f>IF(SUM($AA144:AB144)=0, 0, AB52)</f>
        <v>0</v>
      </c>
      <c r="AC167" s="38">
        <f>IF(SUM($AA144:AC144)=0, 0, AC52)</f>
        <v>0</v>
      </c>
      <c r="AD167" s="38">
        <f>IF(SUM($AA144:AD144)=0, 0, AD52)</f>
        <v>0</v>
      </c>
      <c r="AE167" s="38">
        <f>IF(SUM($AA144:AE144)=0, 0, AE52)</f>
        <v>0</v>
      </c>
      <c r="AF167" s="38">
        <f>IF(SUM($AA144:AF144)=0, 0, AF52)</f>
        <v>0</v>
      </c>
      <c r="AG167" s="38">
        <f>IF(SUM($AA144:AG144)=0, 0, AG52)</f>
        <v>0</v>
      </c>
      <c r="AH167" s="38">
        <f>IF(SUM($AA144:AH144)=0, 0, AH52)</f>
        <v>0</v>
      </c>
      <c r="AI167" s="38">
        <f>IF(SUM($AA144:AI144)=0, 0, AI52)</f>
        <v>0</v>
      </c>
      <c r="AJ167" s="38">
        <f>IF(SUM($AA144:AJ144)=0, 0, AJ52)</f>
        <v>0</v>
      </c>
      <c r="AK167" s="38">
        <f>IF(SUM($AA144:AK144)=0, 0, AK52)</f>
        <v>0</v>
      </c>
      <c r="AL167" s="38">
        <f>IF(SUM($AA144:AL144)=0, 0, AL52)</f>
        <v>0</v>
      </c>
      <c r="AM167" s="38">
        <f>IF(SUM($AA144:AM144)=0, 0, AM52)</f>
        <v>0</v>
      </c>
      <c r="AN167" s="38">
        <f>IF(SUM($AA144:AN144)=0, 0, AN52)</f>
        <v>0</v>
      </c>
      <c r="AO167" s="38">
        <f>IF(SUM($AA144:AO144)=0, 0, AO52)</f>
        <v>0</v>
      </c>
      <c r="AP167" s="38">
        <f>IF(SUM($AA144:AP144)=0, 0, AP52)</f>
        <v>0</v>
      </c>
      <c r="AQ167" s="38">
        <f>IF(SUM($AA144:AQ144)=0, 0, AQ52)</f>
        <v>0</v>
      </c>
      <c r="AR167" s="38">
        <f>IF(SUM($AA144:AR144)=0, 0, AR52)</f>
        <v>0</v>
      </c>
      <c r="AS167" s="38">
        <f>IF(SUM($AA144:AS144)=0, 0, AS52)</f>
        <v>0</v>
      </c>
      <c r="AT167" s="38">
        <f>IF(SUM($AA144:AT144)=0, 0, AT52)</f>
        <v>0</v>
      </c>
      <c r="AU167" s="38">
        <f>IF(SUM($AA144:AU144)=0, 0, AU52)</f>
        <v>0</v>
      </c>
      <c r="AV167" s="38">
        <f>IF(SUM($AA144:AV144)=0, 0, AV52)</f>
        <v>0</v>
      </c>
      <c r="AW167" s="38">
        <f>IF(SUM($AA144:AW144)=0, 0, AW52)</f>
        <v>0</v>
      </c>
      <c r="AX167" s="38">
        <f>IF(SUM($AA144:AX144)=0, 0, AX52)</f>
        <v>0</v>
      </c>
      <c r="AY167" s="38">
        <f>IF(SUM($AA144:AY144)=0, 0, AY52)</f>
        <v>0</v>
      </c>
      <c r="AZ167" s="38">
        <f>IF(SUM($AA144:AZ144)=0, 0, AZ52)</f>
        <v>0</v>
      </c>
      <c r="BA167" s="38">
        <f>IF(SUM($AA144:BA144)=0, 0, BA52)</f>
        <v>0</v>
      </c>
      <c r="BB167" s="38">
        <f>IF(SUM($AA144:BB144)=0, 0, BB52)</f>
        <v>0</v>
      </c>
      <c r="BC167" s="38">
        <f>IF(SUM($AA144:BC144)=0, 0, BC52)</f>
        <v>0</v>
      </c>
      <c r="BD167" s="38">
        <f>IF(SUM($AA144:BD144)=0, 0, BD52)</f>
        <v>0</v>
      </c>
      <c r="BE167" s="38">
        <f>IF(SUM($AA144:BE144)=0, 0, BE52)</f>
        <v>0</v>
      </c>
      <c r="BF167" s="38">
        <f>IF(SUM($AA144:BF144)=0, 0, BF52)</f>
        <v>0</v>
      </c>
      <c r="BG167" s="38">
        <f>IF(SUM($AA144:BG144)=0, 0, BG52)</f>
        <v>0</v>
      </c>
      <c r="BH167" s="38">
        <f>IF(SUM($AA144:BH144)=0, 0, BH52)</f>
        <v>0</v>
      </c>
      <c r="BI167" s="38">
        <f>IF(SUM($AA144:BI144)=0, 0, BI52)</f>
        <v>0</v>
      </c>
      <c r="BJ167" s="38">
        <f>IF(SUM($AA144:BJ144)=0, 0, BJ52)</f>
        <v>0</v>
      </c>
      <c r="BK167" s="38">
        <f>IF(SUM($AA144:BK144)=0, 0, BK52)</f>
        <v>0</v>
      </c>
      <c r="BL167" s="38">
        <f>IF(SUM($AA144:BL144)=0, 0, BL52)</f>
        <v>0</v>
      </c>
      <c r="BM167" s="38">
        <f>IF(SUM($AA144:BM144)=0, 0, BM52)</f>
        <v>0</v>
      </c>
      <c r="BN167" s="38">
        <f>IF(SUM($AA144:BN144)=0, 0, BN52)</f>
        <v>0</v>
      </c>
      <c r="BO167" s="38">
        <f>IF(SUM($AA144:BO144)=0, 0, BO52)</f>
        <v>0</v>
      </c>
      <c r="BP167" s="38">
        <f>IF(SUM($AA144:BP144)=0, 0, BP52)</f>
        <v>0</v>
      </c>
      <c r="BQ167" s="38">
        <f>IF(SUM($AA144:BQ144)=0, 0, BQ52)</f>
        <v>0</v>
      </c>
      <c r="BR167" s="38">
        <f>IF(SUM($AA144:BR144)=0, 0, BR52)</f>
        <v>0</v>
      </c>
      <c r="BS167" s="38">
        <f>IF(SUM($AA144:BS144)=0, 0, BS52)</f>
        <v>0</v>
      </c>
      <c r="BT167" s="38">
        <f>IF(SUM($AA144:BT144)=0, 0, BT52)</f>
        <v>0</v>
      </c>
      <c r="BU167" s="38">
        <f>IF(SUM($AA144:BU144)=0, 0, BU52)</f>
        <v>0</v>
      </c>
      <c r="BV167" s="38">
        <f>IF(SUM($AA144:BV144)=0, 0, BV52)</f>
        <v>0</v>
      </c>
      <c r="BX167" s="106"/>
      <c r="BY167" s="106"/>
      <c r="BZ167" s="106"/>
      <c r="CA167" s="106"/>
      <c r="CB167" s="38">
        <f>IF(SUM($CB144:CB144)=0, 0, CB52)</f>
        <v>0</v>
      </c>
      <c r="CC167" s="38">
        <f>IF(SUM($CB144:CC144)=0, 0, CC52)</f>
        <v>0</v>
      </c>
      <c r="CD167" s="38">
        <f>IF(SUM($CB144:CD144)=0, 0, CD52)</f>
        <v>0</v>
      </c>
      <c r="CE167" s="38">
        <f>IF(SUM($CB144:CE144)=0, 0, CE52)</f>
        <v>0</v>
      </c>
      <c r="CF167" s="38">
        <f>IF(SUM($CB144:CF144)=0, 0, CF52)</f>
        <v>0</v>
      </c>
      <c r="CG167" s="38">
        <f>IF(SUM($CB144:CG144)=0, 0, CG52)</f>
        <v>0</v>
      </c>
      <c r="CH167" s="38">
        <f>IF(SUM($CB144:CH144)=0, 0, CH52)</f>
        <v>0</v>
      </c>
      <c r="CI167" s="38">
        <f>IF(SUM($CB144:CI144)=0, 0, CI52)</f>
        <v>0</v>
      </c>
      <c r="CK167" s="11"/>
      <c r="CM167" s="11"/>
      <c r="EX167" s="10" t="str">
        <f t="shared" si="154"/>
        <v/>
      </c>
    </row>
    <row r="168" spans="1:154" x14ac:dyDescent="0.35">
      <c r="B168" t="str">
        <f ca="1">Loans!B$21</f>
        <v>Loan 9</v>
      </c>
      <c r="D168" s="51">
        <f>Loans!D$21</f>
        <v>0</v>
      </c>
      <c r="E168" s="117" t="str">
        <f>IF(Loans!R$21=0, "", Loans!R$21)</f>
        <v/>
      </c>
      <c r="F168" s="10">
        <f>Loans!H$703</f>
        <v>0</v>
      </c>
      <c r="V168" s="106"/>
      <c r="W168" s="106"/>
      <c r="X168" s="106"/>
      <c r="Y168" s="106"/>
      <c r="AA168" s="38">
        <f>IF(SUM($AA145:AA145)=0, 0, AA53)</f>
        <v>0</v>
      </c>
      <c r="AB168" s="38">
        <f>IF(SUM($AA145:AB145)=0, 0, AB53)</f>
        <v>0</v>
      </c>
      <c r="AC168" s="38">
        <f>IF(SUM($AA145:AC145)=0, 0, AC53)</f>
        <v>0</v>
      </c>
      <c r="AD168" s="38">
        <f>IF(SUM($AA145:AD145)=0, 0, AD53)</f>
        <v>0</v>
      </c>
      <c r="AE168" s="38">
        <f>IF(SUM($AA145:AE145)=0, 0, AE53)</f>
        <v>0</v>
      </c>
      <c r="AF168" s="38">
        <f>IF(SUM($AA145:AF145)=0, 0, AF53)</f>
        <v>0</v>
      </c>
      <c r="AG168" s="38">
        <f>IF(SUM($AA145:AG145)=0, 0, AG53)</f>
        <v>0</v>
      </c>
      <c r="AH168" s="38">
        <f>IF(SUM($AA145:AH145)=0, 0, AH53)</f>
        <v>0</v>
      </c>
      <c r="AI168" s="38">
        <f>IF(SUM($AA145:AI145)=0, 0, AI53)</f>
        <v>0</v>
      </c>
      <c r="AJ168" s="38">
        <f>IF(SUM($AA145:AJ145)=0, 0, AJ53)</f>
        <v>0</v>
      </c>
      <c r="AK168" s="38">
        <f>IF(SUM($AA145:AK145)=0, 0, AK53)</f>
        <v>0</v>
      </c>
      <c r="AL168" s="38">
        <f>IF(SUM($AA145:AL145)=0, 0, AL53)</f>
        <v>0</v>
      </c>
      <c r="AM168" s="38">
        <f>IF(SUM($AA145:AM145)=0, 0, AM53)</f>
        <v>0</v>
      </c>
      <c r="AN168" s="38">
        <f>IF(SUM($AA145:AN145)=0, 0, AN53)</f>
        <v>0</v>
      </c>
      <c r="AO168" s="38">
        <f>IF(SUM($AA145:AO145)=0, 0, AO53)</f>
        <v>0</v>
      </c>
      <c r="AP168" s="38">
        <f>IF(SUM($AA145:AP145)=0, 0, AP53)</f>
        <v>0</v>
      </c>
      <c r="AQ168" s="38">
        <f>IF(SUM($AA145:AQ145)=0, 0, AQ53)</f>
        <v>0</v>
      </c>
      <c r="AR168" s="38">
        <f>IF(SUM($AA145:AR145)=0, 0, AR53)</f>
        <v>0</v>
      </c>
      <c r="AS168" s="38">
        <f>IF(SUM($AA145:AS145)=0, 0, AS53)</f>
        <v>0</v>
      </c>
      <c r="AT168" s="38">
        <f>IF(SUM($AA145:AT145)=0, 0, AT53)</f>
        <v>0</v>
      </c>
      <c r="AU168" s="38">
        <f>IF(SUM($AA145:AU145)=0, 0, AU53)</f>
        <v>0</v>
      </c>
      <c r="AV168" s="38">
        <f>IF(SUM($AA145:AV145)=0, 0, AV53)</f>
        <v>0</v>
      </c>
      <c r="AW168" s="38">
        <f>IF(SUM($AA145:AW145)=0, 0, AW53)</f>
        <v>0</v>
      </c>
      <c r="AX168" s="38">
        <f>IF(SUM($AA145:AX145)=0, 0, AX53)</f>
        <v>0</v>
      </c>
      <c r="AY168" s="38">
        <f>IF(SUM($AA145:AY145)=0, 0, AY53)</f>
        <v>0</v>
      </c>
      <c r="AZ168" s="38">
        <f>IF(SUM($AA145:AZ145)=0, 0, AZ53)</f>
        <v>0</v>
      </c>
      <c r="BA168" s="38">
        <f>IF(SUM($AA145:BA145)=0, 0, BA53)</f>
        <v>0</v>
      </c>
      <c r="BB168" s="38">
        <f>IF(SUM($AA145:BB145)=0, 0, BB53)</f>
        <v>0</v>
      </c>
      <c r="BC168" s="38">
        <f>IF(SUM($AA145:BC145)=0, 0, BC53)</f>
        <v>0</v>
      </c>
      <c r="BD168" s="38">
        <f>IF(SUM($AA145:BD145)=0, 0, BD53)</f>
        <v>0</v>
      </c>
      <c r="BE168" s="38">
        <f>IF(SUM($AA145:BE145)=0, 0, BE53)</f>
        <v>0</v>
      </c>
      <c r="BF168" s="38">
        <f>IF(SUM($AA145:BF145)=0, 0, BF53)</f>
        <v>0</v>
      </c>
      <c r="BG168" s="38">
        <f>IF(SUM($AA145:BG145)=0, 0, BG53)</f>
        <v>0</v>
      </c>
      <c r="BH168" s="38">
        <f>IF(SUM($AA145:BH145)=0, 0, BH53)</f>
        <v>0</v>
      </c>
      <c r="BI168" s="38">
        <f>IF(SUM($AA145:BI145)=0, 0, BI53)</f>
        <v>0</v>
      </c>
      <c r="BJ168" s="38">
        <f>IF(SUM($AA145:BJ145)=0, 0, BJ53)</f>
        <v>0</v>
      </c>
      <c r="BK168" s="38">
        <f>IF(SUM($AA145:BK145)=0, 0, BK53)</f>
        <v>0</v>
      </c>
      <c r="BL168" s="38">
        <f>IF(SUM($AA145:BL145)=0, 0, BL53)</f>
        <v>0</v>
      </c>
      <c r="BM168" s="38">
        <f>IF(SUM($AA145:BM145)=0, 0, BM53)</f>
        <v>0</v>
      </c>
      <c r="BN168" s="38">
        <f>IF(SUM($AA145:BN145)=0, 0, BN53)</f>
        <v>0</v>
      </c>
      <c r="BO168" s="38">
        <f>IF(SUM($AA145:BO145)=0, 0, BO53)</f>
        <v>0</v>
      </c>
      <c r="BP168" s="38">
        <f>IF(SUM($AA145:BP145)=0, 0, BP53)</f>
        <v>0</v>
      </c>
      <c r="BQ168" s="38">
        <f>IF(SUM($AA145:BQ145)=0, 0, BQ53)</f>
        <v>0</v>
      </c>
      <c r="BR168" s="38">
        <f>IF(SUM($AA145:BR145)=0, 0, BR53)</f>
        <v>0</v>
      </c>
      <c r="BS168" s="38">
        <f>IF(SUM($AA145:BS145)=0, 0, BS53)</f>
        <v>0</v>
      </c>
      <c r="BT168" s="38">
        <f>IF(SUM($AA145:BT145)=0, 0, BT53)</f>
        <v>0</v>
      </c>
      <c r="BU168" s="38">
        <f>IF(SUM($AA145:BU145)=0, 0, BU53)</f>
        <v>0</v>
      </c>
      <c r="BV168" s="38">
        <f>IF(SUM($AA145:BV145)=0, 0, BV53)</f>
        <v>0</v>
      </c>
      <c r="BX168" s="106"/>
      <c r="BY168" s="106"/>
      <c r="BZ168" s="106"/>
      <c r="CA168" s="106"/>
      <c r="CB168" s="38">
        <f>IF(SUM($CB145:CB145)=0, 0, CB53)</f>
        <v>0</v>
      </c>
      <c r="CC168" s="38">
        <f>IF(SUM($CB145:CC145)=0, 0, CC53)</f>
        <v>0</v>
      </c>
      <c r="CD168" s="38">
        <f>IF(SUM($CB145:CD145)=0, 0, CD53)</f>
        <v>0</v>
      </c>
      <c r="CE168" s="38">
        <f>IF(SUM($CB145:CE145)=0, 0, CE53)</f>
        <v>0</v>
      </c>
      <c r="CF168" s="38">
        <f>IF(SUM($CB145:CF145)=0, 0, CF53)</f>
        <v>0</v>
      </c>
      <c r="CG168" s="38">
        <f>IF(SUM($CB145:CG145)=0, 0, CG53)</f>
        <v>0</v>
      </c>
      <c r="CH168" s="38">
        <f>IF(SUM($CB145:CH145)=0, 0, CH53)</f>
        <v>0</v>
      </c>
      <c r="CI168" s="38">
        <f>IF(SUM($CB145:CI145)=0, 0, CI53)</f>
        <v>0</v>
      </c>
      <c r="CK168" s="11"/>
      <c r="CM168" s="11"/>
      <c r="EX168" s="10" t="str">
        <f t="shared" si="154"/>
        <v/>
      </c>
    </row>
    <row r="169" spans="1:154" x14ac:dyDescent="0.35">
      <c r="B169" t="str">
        <f ca="1">Loans!B$22</f>
        <v>Loan 10</v>
      </c>
      <c r="D169" s="51">
        <f>Loans!D$22</f>
        <v>0</v>
      </c>
      <c r="E169" s="117" t="str">
        <f>IF(Loans!R$22=0, "", Loans!R$22)</f>
        <v/>
      </c>
      <c r="F169" s="10">
        <f>Loans!H$704</f>
        <v>0</v>
      </c>
      <c r="V169" s="106"/>
      <c r="W169" s="106"/>
      <c r="X169" s="106"/>
      <c r="Y169" s="106"/>
      <c r="AA169" s="38">
        <f>IF(SUM($AA146:AA146)=0, 0, AA54)</f>
        <v>0</v>
      </c>
      <c r="AB169" s="38">
        <f>IF(SUM($AA146:AB146)=0, 0, AB54)</f>
        <v>0</v>
      </c>
      <c r="AC169" s="38">
        <f>IF(SUM($AA146:AC146)=0, 0, AC54)</f>
        <v>0</v>
      </c>
      <c r="AD169" s="38">
        <f>IF(SUM($AA146:AD146)=0, 0, AD54)</f>
        <v>0</v>
      </c>
      <c r="AE169" s="38">
        <f>IF(SUM($AA146:AE146)=0, 0, AE54)</f>
        <v>0</v>
      </c>
      <c r="AF169" s="38">
        <f>IF(SUM($AA146:AF146)=0, 0, AF54)</f>
        <v>0</v>
      </c>
      <c r="AG169" s="38">
        <f>IF(SUM($AA146:AG146)=0, 0, AG54)</f>
        <v>0</v>
      </c>
      <c r="AH169" s="38">
        <f>IF(SUM($AA146:AH146)=0, 0, AH54)</f>
        <v>0</v>
      </c>
      <c r="AI169" s="38">
        <f>IF(SUM($AA146:AI146)=0, 0, AI54)</f>
        <v>0</v>
      </c>
      <c r="AJ169" s="38">
        <f>IF(SUM($AA146:AJ146)=0, 0, AJ54)</f>
        <v>0</v>
      </c>
      <c r="AK169" s="38">
        <f>IF(SUM($AA146:AK146)=0, 0, AK54)</f>
        <v>0</v>
      </c>
      <c r="AL169" s="38">
        <f>IF(SUM($AA146:AL146)=0, 0, AL54)</f>
        <v>0</v>
      </c>
      <c r="AM169" s="38">
        <f>IF(SUM($AA146:AM146)=0, 0, AM54)</f>
        <v>0</v>
      </c>
      <c r="AN169" s="38">
        <f>IF(SUM($AA146:AN146)=0, 0, AN54)</f>
        <v>0</v>
      </c>
      <c r="AO169" s="38">
        <f>IF(SUM($AA146:AO146)=0, 0, AO54)</f>
        <v>0</v>
      </c>
      <c r="AP169" s="38">
        <f>IF(SUM($AA146:AP146)=0, 0, AP54)</f>
        <v>0</v>
      </c>
      <c r="AQ169" s="38">
        <f>IF(SUM($AA146:AQ146)=0, 0, AQ54)</f>
        <v>0</v>
      </c>
      <c r="AR169" s="38">
        <f>IF(SUM($AA146:AR146)=0, 0, AR54)</f>
        <v>0</v>
      </c>
      <c r="AS169" s="38">
        <f>IF(SUM($AA146:AS146)=0, 0, AS54)</f>
        <v>0</v>
      </c>
      <c r="AT169" s="38">
        <f>IF(SUM($AA146:AT146)=0, 0, AT54)</f>
        <v>0</v>
      </c>
      <c r="AU169" s="38">
        <f>IF(SUM($AA146:AU146)=0, 0, AU54)</f>
        <v>0</v>
      </c>
      <c r="AV169" s="38">
        <f>IF(SUM($AA146:AV146)=0, 0, AV54)</f>
        <v>0</v>
      </c>
      <c r="AW169" s="38">
        <f>IF(SUM($AA146:AW146)=0, 0, AW54)</f>
        <v>0</v>
      </c>
      <c r="AX169" s="38">
        <f>IF(SUM($AA146:AX146)=0, 0, AX54)</f>
        <v>0</v>
      </c>
      <c r="AY169" s="38">
        <f>IF(SUM($AA146:AY146)=0, 0, AY54)</f>
        <v>0</v>
      </c>
      <c r="AZ169" s="38">
        <f>IF(SUM($AA146:AZ146)=0, 0, AZ54)</f>
        <v>0</v>
      </c>
      <c r="BA169" s="38">
        <f>IF(SUM($AA146:BA146)=0, 0, BA54)</f>
        <v>0</v>
      </c>
      <c r="BB169" s="38">
        <f>IF(SUM($AA146:BB146)=0, 0, BB54)</f>
        <v>0</v>
      </c>
      <c r="BC169" s="38">
        <f>IF(SUM($AA146:BC146)=0, 0, BC54)</f>
        <v>0</v>
      </c>
      <c r="BD169" s="38">
        <f>IF(SUM($AA146:BD146)=0, 0, BD54)</f>
        <v>0</v>
      </c>
      <c r="BE169" s="38">
        <f>IF(SUM($AA146:BE146)=0, 0, BE54)</f>
        <v>0</v>
      </c>
      <c r="BF169" s="38">
        <f>IF(SUM($AA146:BF146)=0, 0, BF54)</f>
        <v>0</v>
      </c>
      <c r="BG169" s="38">
        <f>IF(SUM($AA146:BG146)=0, 0, BG54)</f>
        <v>0</v>
      </c>
      <c r="BH169" s="38">
        <f>IF(SUM($AA146:BH146)=0, 0, BH54)</f>
        <v>0</v>
      </c>
      <c r="BI169" s="38">
        <f>IF(SUM($AA146:BI146)=0, 0, BI54)</f>
        <v>0</v>
      </c>
      <c r="BJ169" s="38">
        <f>IF(SUM($AA146:BJ146)=0, 0, BJ54)</f>
        <v>0</v>
      </c>
      <c r="BK169" s="38">
        <f>IF(SUM($AA146:BK146)=0, 0, BK54)</f>
        <v>0</v>
      </c>
      <c r="BL169" s="38">
        <f>IF(SUM($AA146:BL146)=0, 0, BL54)</f>
        <v>0</v>
      </c>
      <c r="BM169" s="38">
        <f>IF(SUM($AA146:BM146)=0, 0, BM54)</f>
        <v>0</v>
      </c>
      <c r="BN169" s="38">
        <f>IF(SUM($AA146:BN146)=0, 0, BN54)</f>
        <v>0</v>
      </c>
      <c r="BO169" s="38">
        <f>IF(SUM($AA146:BO146)=0, 0, BO54)</f>
        <v>0</v>
      </c>
      <c r="BP169" s="38">
        <f>IF(SUM($AA146:BP146)=0, 0, BP54)</f>
        <v>0</v>
      </c>
      <c r="BQ169" s="38">
        <f>IF(SUM($AA146:BQ146)=0, 0, BQ54)</f>
        <v>0</v>
      </c>
      <c r="BR169" s="38">
        <f>IF(SUM($AA146:BR146)=0, 0, BR54)</f>
        <v>0</v>
      </c>
      <c r="BS169" s="38">
        <f>IF(SUM($AA146:BS146)=0, 0, BS54)</f>
        <v>0</v>
      </c>
      <c r="BT169" s="38">
        <f>IF(SUM($AA146:BT146)=0, 0, BT54)</f>
        <v>0</v>
      </c>
      <c r="BU169" s="38">
        <f>IF(SUM($AA146:BU146)=0, 0, BU54)</f>
        <v>0</v>
      </c>
      <c r="BV169" s="38">
        <f>IF(SUM($AA146:BV146)=0, 0, BV54)</f>
        <v>0</v>
      </c>
      <c r="BX169" s="106"/>
      <c r="BY169" s="106"/>
      <c r="BZ169" s="106"/>
      <c r="CA169" s="106"/>
      <c r="CB169" s="38">
        <f>IF(SUM($CB146:CB146)=0, 0, CB54)</f>
        <v>0</v>
      </c>
      <c r="CC169" s="38">
        <f>IF(SUM($CB146:CC146)=0, 0, CC54)</f>
        <v>0</v>
      </c>
      <c r="CD169" s="38">
        <f>IF(SUM($CB146:CD146)=0, 0, CD54)</f>
        <v>0</v>
      </c>
      <c r="CE169" s="38">
        <f>IF(SUM($CB146:CE146)=0, 0, CE54)</f>
        <v>0</v>
      </c>
      <c r="CF169" s="38">
        <f>IF(SUM($CB146:CF146)=0, 0, CF54)</f>
        <v>0</v>
      </c>
      <c r="CG169" s="38">
        <f>IF(SUM($CB146:CG146)=0, 0, CG54)</f>
        <v>0</v>
      </c>
      <c r="CH169" s="38">
        <f>IF(SUM($CB146:CH146)=0, 0, CH54)</f>
        <v>0</v>
      </c>
      <c r="CI169" s="38">
        <f>IF(SUM($CB146:CI146)=0, 0, CI54)</f>
        <v>0</v>
      </c>
      <c r="CK169" s="11"/>
      <c r="CM169" s="11"/>
      <c r="EX169" s="10" t="str">
        <f t="shared" si="154"/>
        <v/>
      </c>
    </row>
    <row r="170" spans="1:154" x14ac:dyDescent="0.35">
      <c r="B170" t="str">
        <f ca="1">Loans!B$23</f>
        <v>Loan 11</v>
      </c>
      <c r="D170" s="51">
        <f>Loans!D$23</f>
        <v>0</v>
      </c>
      <c r="E170" s="117" t="str">
        <f>IF(Loans!R$23=0, "", Loans!R$23)</f>
        <v/>
      </c>
      <c r="F170" s="10">
        <f>Loans!H$705</f>
        <v>0</v>
      </c>
      <c r="V170" s="106"/>
      <c r="W170" s="106"/>
      <c r="X170" s="106"/>
      <c r="Y170" s="106"/>
      <c r="AA170" s="38">
        <f>IF(SUM($AA147:AA147)=0, 0, AA55)</f>
        <v>0</v>
      </c>
      <c r="AB170" s="38">
        <f>IF(SUM($AA147:AB147)=0, 0, AB55)</f>
        <v>0</v>
      </c>
      <c r="AC170" s="38">
        <f>IF(SUM($AA147:AC147)=0, 0, AC55)</f>
        <v>0</v>
      </c>
      <c r="AD170" s="38">
        <f>IF(SUM($AA147:AD147)=0, 0, AD55)</f>
        <v>0</v>
      </c>
      <c r="AE170" s="38">
        <f>IF(SUM($AA147:AE147)=0, 0, AE55)</f>
        <v>0</v>
      </c>
      <c r="AF170" s="38">
        <f>IF(SUM($AA147:AF147)=0, 0, AF55)</f>
        <v>0</v>
      </c>
      <c r="AG170" s="38">
        <f>IF(SUM($AA147:AG147)=0, 0, AG55)</f>
        <v>0</v>
      </c>
      <c r="AH170" s="38">
        <f>IF(SUM($AA147:AH147)=0, 0, AH55)</f>
        <v>0</v>
      </c>
      <c r="AI170" s="38">
        <f>IF(SUM($AA147:AI147)=0, 0, AI55)</f>
        <v>0</v>
      </c>
      <c r="AJ170" s="38">
        <f>IF(SUM($AA147:AJ147)=0, 0, AJ55)</f>
        <v>0</v>
      </c>
      <c r="AK170" s="38">
        <f>IF(SUM($AA147:AK147)=0, 0, AK55)</f>
        <v>0</v>
      </c>
      <c r="AL170" s="38">
        <f>IF(SUM($AA147:AL147)=0, 0, AL55)</f>
        <v>0</v>
      </c>
      <c r="AM170" s="38">
        <f>IF(SUM($AA147:AM147)=0, 0, AM55)</f>
        <v>0</v>
      </c>
      <c r="AN170" s="38">
        <f>IF(SUM($AA147:AN147)=0, 0, AN55)</f>
        <v>0</v>
      </c>
      <c r="AO170" s="38">
        <f>IF(SUM($AA147:AO147)=0, 0, AO55)</f>
        <v>0</v>
      </c>
      <c r="AP170" s="38">
        <f>IF(SUM($AA147:AP147)=0, 0, AP55)</f>
        <v>0</v>
      </c>
      <c r="AQ170" s="38">
        <f>IF(SUM($AA147:AQ147)=0, 0, AQ55)</f>
        <v>0</v>
      </c>
      <c r="AR170" s="38">
        <f>IF(SUM($AA147:AR147)=0, 0, AR55)</f>
        <v>0</v>
      </c>
      <c r="AS170" s="38">
        <f>IF(SUM($AA147:AS147)=0, 0, AS55)</f>
        <v>0</v>
      </c>
      <c r="AT170" s="38">
        <f>IF(SUM($AA147:AT147)=0, 0, AT55)</f>
        <v>0</v>
      </c>
      <c r="AU170" s="38">
        <f>IF(SUM($AA147:AU147)=0, 0, AU55)</f>
        <v>0</v>
      </c>
      <c r="AV170" s="38">
        <f>IF(SUM($AA147:AV147)=0, 0, AV55)</f>
        <v>0</v>
      </c>
      <c r="AW170" s="38">
        <f>IF(SUM($AA147:AW147)=0, 0, AW55)</f>
        <v>0</v>
      </c>
      <c r="AX170" s="38">
        <f>IF(SUM($AA147:AX147)=0, 0, AX55)</f>
        <v>0</v>
      </c>
      <c r="AY170" s="38">
        <f>IF(SUM($AA147:AY147)=0, 0, AY55)</f>
        <v>0</v>
      </c>
      <c r="AZ170" s="38">
        <f>IF(SUM($AA147:AZ147)=0, 0, AZ55)</f>
        <v>0</v>
      </c>
      <c r="BA170" s="38">
        <f>IF(SUM($AA147:BA147)=0, 0, BA55)</f>
        <v>0</v>
      </c>
      <c r="BB170" s="38">
        <f>IF(SUM($AA147:BB147)=0, 0, BB55)</f>
        <v>0</v>
      </c>
      <c r="BC170" s="38">
        <f>IF(SUM($AA147:BC147)=0, 0, BC55)</f>
        <v>0</v>
      </c>
      <c r="BD170" s="38">
        <f>IF(SUM($AA147:BD147)=0, 0, BD55)</f>
        <v>0</v>
      </c>
      <c r="BE170" s="38">
        <f>IF(SUM($AA147:BE147)=0, 0, BE55)</f>
        <v>0</v>
      </c>
      <c r="BF170" s="38">
        <f>IF(SUM($AA147:BF147)=0, 0, BF55)</f>
        <v>0</v>
      </c>
      <c r="BG170" s="38">
        <f>IF(SUM($AA147:BG147)=0, 0, BG55)</f>
        <v>0</v>
      </c>
      <c r="BH170" s="38">
        <f>IF(SUM($AA147:BH147)=0, 0, BH55)</f>
        <v>0</v>
      </c>
      <c r="BI170" s="38">
        <f>IF(SUM($AA147:BI147)=0, 0, BI55)</f>
        <v>0</v>
      </c>
      <c r="BJ170" s="38">
        <f>IF(SUM($AA147:BJ147)=0, 0, BJ55)</f>
        <v>0</v>
      </c>
      <c r="BK170" s="38">
        <f>IF(SUM($AA147:BK147)=0, 0, BK55)</f>
        <v>0</v>
      </c>
      <c r="BL170" s="38">
        <f>IF(SUM($AA147:BL147)=0, 0, BL55)</f>
        <v>0</v>
      </c>
      <c r="BM170" s="38">
        <f>IF(SUM($AA147:BM147)=0, 0, BM55)</f>
        <v>0</v>
      </c>
      <c r="BN170" s="38">
        <f>IF(SUM($AA147:BN147)=0, 0, BN55)</f>
        <v>0</v>
      </c>
      <c r="BO170" s="38">
        <f>IF(SUM($AA147:BO147)=0, 0, BO55)</f>
        <v>0</v>
      </c>
      <c r="BP170" s="38">
        <f>IF(SUM($AA147:BP147)=0, 0, BP55)</f>
        <v>0</v>
      </c>
      <c r="BQ170" s="38">
        <f>IF(SUM($AA147:BQ147)=0, 0, BQ55)</f>
        <v>0</v>
      </c>
      <c r="BR170" s="38">
        <f>IF(SUM($AA147:BR147)=0, 0, BR55)</f>
        <v>0</v>
      </c>
      <c r="BS170" s="38">
        <f>IF(SUM($AA147:BS147)=0, 0, BS55)</f>
        <v>0</v>
      </c>
      <c r="BT170" s="38">
        <f>IF(SUM($AA147:BT147)=0, 0, BT55)</f>
        <v>0</v>
      </c>
      <c r="BU170" s="38">
        <f>IF(SUM($AA147:BU147)=0, 0, BU55)</f>
        <v>0</v>
      </c>
      <c r="BV170" s="38">
        <f>IF(SUM($AA147:BV147)=0, 0, BV55)</f>
        <v>0</v>
      </c>
      <c r="BX170" s="106"/>
      <c r="BY170" s="106"/>
      <c r="BZ170" s="106"/>
      <c r="CA170" s="106"/>
      <c r="CB170" s="38">
        <f>IF(SUM($CB147:CB147)=0, 0, CB55)</f>
        <v>0</v>
      </c>
      <c r="CC170" s="38">
        <f>IF(SUM($CB147:CC147)=0, 0, CC55)</f>
        <v>0</v>
      </c>
      <c r="CD170" s="38">
        <f>IF(SUM($CB147:CD147)=0, 0, CD55)</f>
        <v>0</v>
      </c>
      <c r="CE170" s="38">
        <f>IF(SUM($CB147:CE147)=0, 0, CE55)</f>
        <v>0</v>
      </c>
      <c r="CF170" s="38">
        <f>IF(SUM($CB147:CF147)=0, 0, CF55)</f>
        <v>0</v>
      </c>
      <c r="CG170" s="38">
        <f>IF(SUM($CB147:CG147)=0, 0, CG55)</f>
        <v>0</v>
      </c>
      <c r="CH170" s="38">
        <f>IF(SUM($CB147:CH147)=0, 0, CH55)</f>
        <v>0</v>
      </c>
      <c r="CI170" s="38">
        <f>IF(SUM($CB147:CI147)=0, 0, CI55)</f>
        <v>0</v>
      </c>
      <c r="CK170" s="11"/>
      <c r="CM170" s="11"/>
      <c r="EX170" s="10" t="str">
        <f t="shared" si="154"/>
        <v/>
      </c>
    </row>
    <row r="171" spans="1:154" x14ac:dyDescent="0.35">
      <c r="B171" t="str">
        <f ca="1">Loans!B$24</f>
        <v>Loan 12</v>
      </c>
      <c r="D171" s="51">
        <f>Loans!D$24</f>
        <v>0</v>
      </c>
      <c r="E171" s="117" t="str">
        <f>IF(Loans!R$24=0, "", Loans!R$24)</f>
        <v/>
      </c>
      <c r="F171" s="10">
        <f>Loans!H$706</f>
        <v>0</v>
      </c>
      <c r="V171" s="106"/>
      <c r="W171" s="106"/>
      <c r="X171" s="106"/>
      <c r="Y171" s="106"/>
      <c r="AA171" s="38">
        <f>IF(SUM($AA148:AA148)=0, 0, AA56)</f>
        <v>0</v>
      </c>
      <c r="AB171" s="38">
        <f>IF(SUM($AA148:AB148)=0, 0, AB56)</f>
        <v>0</v>
      </c>
      <c r="AC171" s="38">
        <f>IF(SUM($AA148:AC148)=0, 0, AC56)</f>
        <v>0</v>
      </c>
      <c r="AD171" s="38">
        <f>IF(SUM($AA148:AD148)=0, 0, AD56)</f>
        <v>0</v>
      </c>
      <c r="AE171" s="38">
        <f>IF(SUM($AA148:AE148)=0, 0, AE56)</f>
        <v>0</v>
      </c>
      <c r="AF171" s="38">
        <f>IF(SUM($AA148:AF148)=0, 0, AF56)</f>
        <v>0</v>
      </c>
      <c r="AG171" s="38">
        <f>IF(SUM($AA148:AG148)=0, 0, AG56)</f>
        <v>0</v>
      </c>
      <c r="AH171" s="38">
        <f>IF(SUM($AA148:AH148)=0, 0, AH56)</f>
        <v>0</v>
      </c>
      <c r="AI171" s="38">
        <f>IF(SUM($AA148:AI148)=0, 0, AI56)</f>
        <v>0</v>
      </c>
      <c r="AJ171" s="38">
        <f>IF(SUM($AA148:AJ148)=0, 0, AJ56)</f>
        <v>0</v>
      </c>
      <c r="AK171" s="38">
        <f>IF(SUM($AA148:AK148)=0, 0, AK56)</f>
        <v>0</v>
      </c>
      <c r="AL171" s="38">
        <f>IF(SUM($AA148:AL148)=0, 0, AL56)</f>
        <v>0</v>
      </c>
      <c r="AM171" s="38">
        <f>IF(SUM($AA148:AM148)=0, 0, AM56)</f>
        <v>0</v>
      </c>
      <c r="AN171" s="38">
        <f>IF(SUM($AA148:AN148)=0, 0, AN56)</f>
        <v>0</v>
      </c>
      <c r="AO171" s="38">
        <f>IF(SUM($AA148:AO148)=0, 0, AO56)</f>
        <v>0</v>
      </c>
      <c r="AP171" s="38">
        <f>IF(SUM($AA148:AP148)=0, 0, AP56)</f>
        <v>0</v>
      </c>
      <c r="AQ171" s="38">
        <f>IF(SUM($AA148:AQ148)=0, 0, AQ56)</f>
        <v>0</v>
      </c>
      <c r="AR171" s="38">
        <f>IF(SUM($AA148:AR148)=0, 0, AR56)</f>
        <v>0</v>
      </c>
      <c r="AS171" s="38">
        <f>IF(SUM($AA148:AS148)=0, 0, AS56)</f>
        <v>0</v>
      </c>
      <c r="AT171" s="38">
        <f>IF(SUM($AA148:AT148)=0, 0, AT56)</f>
        <v>0</v>
      </c>
      <c r="AU171" s="38">
        <f>IF(SUM($AA148:AU148)=0, 0, AU56)</f>
        <v>0</v>
      </c>
      <c r="AV171" s="38">
        <f>IF(SUM($AA148:AV148)=0, 0, AV56)</f>
        <v>0</v>
      </c>
      <c r="AW171" s="38">
        <f>IF(SUM($AA148:AW148)=0, 0, AW56)</f>
        <v>0</v>
      </c>
      <c r="AX171" s="38">
        <f>IF(SUM($AA148:AX148)=0, 0, AX56)</f>
        <v>0</v>
      </c>
      <c r="AY171" s="38">
        <f>IF(SUM($AA148:AY148)=0, 0, AY56)</f>
        <v>0</v>
      </c>
      <c r="AZ171" s="38">
        <f>IF(SUM($AA148:AZ148)=0, 0, AZ56)</f>
        <v>0</v>
      </c>
      <c r="BA171" s="38">
        <f>IF(SUM($AA148:BA148)=0, 0, BA56)</f>
        <v>0</v>
      </c>
      <c r="BB171" s="38">
        <f>IF(SUM($AA148:BB148)=0, 0, BB56)</f>
        <v>0</v>
      </c>
      <c r="BC171" s="38">
        <f>IF(SUM($AA148:BC148)=0, 0, BC56)</f>
        <v>0</v>
      </c>
      <c r="BD171" s="38">
        <f>IF(SUM($AA148:BD148)=0, 0, BD56)</f>
        <v>0</v>
      </c>
      <c r="BE171" s="38">
        <f>IF(SUM($AA148:BE148)=0, 0, BE56)</f>
        <v>0</v>
      </c>
      <c r="BF171" s="38">
        <f>IF(SUM($AA148:BF148)=0, 0, BF56)</f>
        <v>0</v>
      </c>
      <c r="BG171" s="38">
        <f>IF(SUM($AA148:BG148)=0, 0, BG56)</f>
        <v>0</v>
      </c>
      <c r="BH171" s="38">
        <f>IF(SUM($AA148:BH148)=0, 0, BH56)</f>
        <v>0</v>
      </c>
      <c r="BI171" s="38">
        <f>IF(SUM($AA148:BI148)=0, 0, BI56)</f>
        <v>0</v>
      </c>
      <c r="BJ171" s="38">
        <f>IF(SUM($AA148:BJ148)=0, 0, BJ56)</f>
        <v>0</v>
      </c>
      <c r="BK171" s="38">
        <f>IF(SUM($AA148:BK148)=0, 0, BK56)</f>
        <v>0</v>
      </c>
      <c r="BL171" s="38">
        <f>IF(SUM($AA148:BL148)=0, 0, BL56)</f>
        <v>0</v>
      </c>
      <c r="BM171" s="38">
        <f>IF(SUM($AA148:BM148)=0, 0, BM56)</f>
        <v>0</v>
      </c>
      <c r="BN171" s="38">
        <f>IF(SUM($AA148:BN148)=0, 0, BN56)</f>
        <v>0</v>
      </c>
      <c r="BO171" s="38">
        <f>IF(SUM($AA148:BO148)=0, 0, BO56)</f>
        <v>0</v>
      </c>
      <c r="BP171" s="38">
        <f>IF(SUM($AA148:BP148)=0, 0, BP56)</f>
        <v>0</v>
      </c>
      <c r="BQ171" s="38">
        <f>IF(SUM($AA148:BQ148)=0, 0, BQ56)</f>
        <v>0</v>
      </c>
      <c r="BR171" s="38">
        <f>IF(SUM($AA148:BR148)=0, 0, BR56)</f>
        <v>0</v>
      </c>
      <c r="BS171" s="38">
        <f>IF(SUM($AA148:BS148)=0, 0, BS56)</f>
        <v>0</v>
      </c>
      <c r="BT171" s="38">
        <f>IF(SUM($AA148:BT148)=0, 0, BT56)</f>
        <v>0</v>
      </c>
      <c r="BU171" s="38">
        <f>IF(SUM($AA148:BU148)=0, 0, BU56)</f>
        <v>0</v>
      </c>
      <c r="BV171" s="38">
        <f>IF(SUM($AA148:BV148)=0, 0, BV56)</f>
        <v>0</v>
      </c>
      <c r="BX171" s="106"/>
      <c r="BY171" s="106"/>
      <c r="BZ171" s="106"/>
      <c r="CA171" s="106"/>
      <c r="CB171" s="38">
        <f>IF(SUM($CB148:CB148)=0, 0, CB56)</f>
        <v>0</v>
      </c>
      <c r="CC171" s="38">
        <f>IF(SUM($CB148:CC148)=0, 0, CC56)</f>
        <v>0</v>
      </c>
      <c r="CD171" s="38">
        <f>IF(SUM($CB148:CD148)=0, 0, CD56)</f>
        <v>0</v>
      </c>
      <c r="CE171" s="38">
        <f>IF(SUM($CB148:CE148)=0, 0, CE56)</f>
        <v>0</v>
      </c>
      <c r="CF171" s="38">
        <f>IF(SUM($CB148:CF148)=0, 0, CF56)</f>
        <v>0</v>
      </c>
      <c r="CG171" s="38">
        <f>IF(SUM($CB148:CG148)=0, 0, CG56)</f>
        <v>0</v>
      </c>
      <c r="CH171" s="38">
        <f>IF(SUM($CB148:CH148)=0, 0, CH56)</f>
        <v>0</v>
      </c>
      <c r="CI171" s="38">
        <f>IF(SUM($CB148:CI148)=0, 0, CI56)</f>
        <v>0</v>
      </c>
      <c r="CK171" s="11"/>
      <c r="CM171" s="11"/>
      <c r="EX171" s="10" t="str">
        <f t="shared" si="154"/>
        <v/>
      </c>
    </row>
    <row r="172" spans="1:154" x14ac:dyDescent="0.35">
      <c r="B172" t="str">
        <f ca="1">Loans!B$25</f>
        <v>Loan 13</v>
      </c>
      <c r="D172" s="51">
        <f>Loans!D$25</f>
        <v>0</v>
      </c>
      <c r="E172" s="117" t="str">
        <f>IF(Loans!R$25=0, "", Loans!R$25)</f>
        <v/>
      </c>
      <c r="F172" s="10">
        <f>Loans!H$707</f>
        <v>0</v>
      </c>
      <c r="V172" s="106"/>
      <c r="W172" s="106"/>
      <c r="X172" s="106"/>
      <c r="Y172" s="106"/>
      <c r="AA172" s="38">
        <f>IF(SUM($AA149:AA149)=0, 0, AA57)</f>
        <v>0</v>
      </c>
      <c r="AB172" s="38">
        <f>IF(SUM($AA149:AB149)=0, 0, AB57)</f>
        <v>0</v>
      </c>
      <c r="AC172" s="38">
        <f>IF(SUM($AA149:AC149)=0, 0, AC57)</f>
        <v>0</v>
      </c>
      <c r="AD172" s="38">
        <f>IF(SUM($AA149:AD149)=0, 0, AD57)</f>
        <v>0</v>
      </c>
      <c r="AE172" s="38">
        <f>IF(SUM($AA149:AE149)=0, 0, AE57)</f>
        <v>0</v>
      </c>
      <c r="AF172" s="38">
        <f>IF(SUM($AA149:AF149)=0, 0, AF57)</f>
        <v>0</v>
      </c>
      <c r="AG172" s="38">
        <f>IF(SUM($AA149:AG149)=0, 0, AG57)</f>
        <v>0</v>
      </c>
      <c r="AH172" s="38">
        <f>IF(SUM($AA149:AH149)=0, 0, AH57)</f>
        <v>0</v>
      </c>
      <c r="AI172" s="38">
        <f>IF(SUM($AA149:AI149)=0, 0, AI57)</f>
        <v>0</v>
      </c>
      <c r="AJ172" s="38">
        <f>IF(SUM($AA149:AJ149)=0, 0, AJ57)</f>
        <v>0</v>
      </c>
      <c r="AK172" s="38">
        <f>IF(SUM($AA149:AK149)=0, 0, AK57)</f>
        <v>0</v>
      </c>
      <c r="AL172" s="38">
        <f>IF(SUM($AA149:AL149)=0, 0, AL57)</f>
        <v>0</v>
      </c>
      <c r="AM172" s="38">
        <f>IF(SUM($AA149:AM149)=0, 0, AM57)</f>
        <v>0</v>
      </c>
      <c r="AN172" s="38">
        <f>IF(SUM($AA149:AN149)=0, 0, AN57)</f>
        <v>0</v>
      </c>
      <c r="AO172" s="38">
        <f>IF(SUM($AA149:AO149)=0, 0, AO57)</f>
        <v>0</v>
      </c>
      <c r="AP172" s="38">
        <f>IF(SUM($AA149:AP149)=0, 0, AP57)</f>
        <v>0</v>
      </c>
      <c r="AQ172" s="38">
        <f>IF(SUM($AA149:AQ149)=0, 0, AQ57)</f>
        <v>0</v>
      </c>
      <c r="AR172" s="38">
        <f>IF(SUM($AA149:AR149)=0, 0, AR57)</f>
        <v>0</v>
      </c>
      <c r="AS172" s="38">
        <f>IF(SUM($AA149:AS149)=0, 0, AS57)</f>
        <v>0</v>
      </c>
      <c r="AT172" s="38">
        <f>IF(SUM($AA149:AT149)=0, 0, AT57)</f>
        <v>0</v>
      </c>
      <c r="AU172" s="38">
        <f>IF(SUM($AA149:AU149)=0, 0, AU57)</f>
        <v>0</v>
      </c>
      <c r="AV172" s="38">
        <f>IF(SUM($AA149:AV149)=0, 0, AV57)</f>
        <v>0</v>
      </c>
      <c r="AW172" s="38">
        <f>IF(SUM($AA149:AW149)=0, 0, AW57)</f>
        <v>0</v>
      </c>
      <c r="AX172" s="38">
        <f>IF(SUM($AA149:AX149)=0, 0, AX57)</f>
        <v>0</v>
      </c>
      <c r="AY172" s="38">
        <f>IF(SUM($AA149:AY149)=0, 0, AY57)</f>
        <v>0</v>
      </c>
      <c r="AZ172" s="38">
        <f>IF(SUM($AA149:AZ149)=0, 0, AZ57)</f>
        <v>0</v>
      </c>
      <c r="BA172" s="38">
        <f>IF(SUM($AA149:BA149)=0, 0, BA57)</f>
        <v>0</v>
      </c>
      <c r="BB172" s="38">
        <f>IF(SUM($AA149:BB149)=0, 0, BB57)</f>
        <v>0</v>
      </c>
      <c r="BC172" s="38">
        <f>IF(SUM($AA149:BC149)=0, 0, BC57)</f>
        <v>0</v>
      </c>
      <c r="BD172" s="38">
        <f>IF(SUM($AA149:BD149)=0, 0, BD57)</f>
        <v>0</v>
      </c>
      <c r="BE172" s="38">
        <f>IF(SUM($AA149:BE149)=0, 0, BE57)</f>
        <v>0</v>
      </c>
      <c r="BF172" s="38">
        <f>IF(SUM($AA149:BF149)=0, 0, BF57)</f>
        <v>0</v>
      </c>
      <c r="BG172" s="38">
        <f>IF(SUM($AA149:BG149)=0, 0, BG57)</f>
        <v>0</v>
      </c>
      <c r="BH172" s="38">
        <f>IF(SUM($AA149:BH149)=0, 0, BH57)</f>
        <v>0</v>
      </c>
      <c r="BI172" s="38">
        <f>IF(SUM($AA149:BI149)=0, 0, BI57)</f>
        <v>0</v>
      </c>
      <c r="BJ172" s="38">
        <f>IF(SUM($AA149:BJ149)=0, 0, BJ57)</f>
        <v>0</v>
      </c>
      <c r="BK172" s="38">
        <f>IF(SUM($AA149:BK149)=0, 0, BK57)</f>
        <v>0</v>
      </c>
      <c r="BL172" s="38">
        <f>IF(SUM($AA149:BL149)=0, 0, BL57)</f>
        <v>0</v>
      </c>
      <c r="BM172" s="38">
        <f>IF(SUM($AA149:BM149)=0, 0, BM57)</f>
        <v>0</v>
      </c>
      <c r="BN172" s="38">
        <f>IF(SUM($AA149:BN149)=0, 0, BN57)</f>
        <v>0</v>
      </c>
      <c r="BO172" s="38">
        <f>IF(SUM($AA149:BO149)=0, 0, BO57)</f>
        <v>0</v>
      </c>
      <c r="BP172" s="38">
        <f>IF(SUM($AA149:BP149)=0, 0, BP57)</f>
        <v>0</v>
      </c>
      <c r="BQ172" s="38">
        <f>IF(SUM($AA149:BQ149)=0, 0, BQ57)</f>
        <v>0</v>
      </c>
      <c r="BR172" s="38">
        <f>IF(SUM($AA149:BR149)=0, 0, BR57)</f>
        <v>0</v>
      </c>
      <c r="BS172" s="38">
        <f>IF(SUM($AA149:BS149)=0, 0, BS57)</f>
        <v>0</v>
      </c>
      <c r="BT172" s="38">
        <f>IF(SUM($AA149:BT149)=0, 0, BT57)</f>
        <v>0</v>
      </c>
      <c r="BU172" s="38">
        <f>IF(SUM($AA149:BU149)=0, 0, BU57)</f>
        <v>0</v>
      </c>
      <c r="BV172" s="38">
        <f>IF(SUM($AA149:BV149)=0, 0, BV57)</f>
        <v>0</v>
      </c>
      <c r="BX172" s="106"/>
      <c r="BY172" s="106"/>
      <c r="BZ172" s="106"/>
      <c r="CA172" s="106"/>
      <c r="CB172" s="38">
        <f>IF(SUM($CB149:CB149)=0, 0, CB57)</f>
        <v>0</v>
      </c>
      <c r="CC172" s="38">
        <f>IF(SUM($CB149:CC149)=0, 0, CC57)</f>
        <v>0</v>
      </c>
      <c r="CD172" s="38">
        <f>IF(SUM($CB149:CD149)=0, 0, CD57)</f>
        <v>0</v>
      </c>
      <c r="CE172" s="38">
        <f>IF(SUM($CB149:CE149)=0, 0, CE57)</f>
        <v>0</v>
      </c>
      <c r="CF172" s="38">
        <f>IF(SUM($CB149:CF149)=0, 0, CF57)</f>
        <v>0</v>
      </c>
      <c r="CG172" s="38">
        <f>IF(SUM($CB149:CG149)=0, 0, CG57)</f>
        <v>0</v>
      </c>
      <c r="CH172" s="38">
        <f>IF(SUM($CB149:CH149)=0, 0, CH57)</f>
        <v>0</v>
      </c>
      <c r="CI172" s="38">
        <f>IF(SUM($CB149:CI149)=0, 0, CI57)</f>
        <v>0</v>
      </c>
      <c r="CK172" s="11"/>
      <c r="CM172" s="11"/>
      <c r="EX172" s="10" t="str">
        <f t="shared" si="154"/>
        <v/>
      </c>
    </row>
    <row r="173" spans="1:154" x14ac:dyDescent="0.35">
      <c r="B173" t="str">
        <f ca="1">Loans!B$26</f>
        <v>Loan 14</v>
      </c>
      <c r="D173" s="51">
        <f>Loans!D$26</f>
        <v>0</v>
      </c>
      <c r="E173" s="117" t="str">
        <f>IF(Loans!R$26=0, "", Loans!R$26)</f>
        <v/>
      </c>
      <c r="F173" s="10">
        <f>Loans!H$708</f>
        <v>0</v>
      </c>
      <c r="V173" s="106"/>
      <c r="W173" s="106"/>
      <c r="X173" s="106"/>
      <c r="Y173" s="106"/>
      <c r="AA173" s="38">
        <f>IF(SUM($AA150:AA150)=0, 0, AA58)</f>
        <v>0</v>
      </c>
      <c r="AB173" s="38">
        <f>IF(SUM($AA150:AB150)=0, 0, AB58)</f>
        <v>0</v>
      </c>
      <c r="AC173" s="38">
        <f>IF(SUM($AA150:AC150)=0, 0, AC58)</f>
        <v>0</v>
      </c>
      <c r="AD173" s="38">
        <f>IF(SUM($AA150:AD150)=0, 0, AD58)</f>
        <v>0</v>
      </c>
      <c r="AE173" s="38">
        <f>IF(SUM($AA150:AE150)=0, 0, AE58)</f>
        <v>0</v>
      </c>
      <c r="AF173" s="38">
        <f>IF(SUM($AA150:AF150)=0, 0, AF58)</f>
        <v>0</v>
      </c>
      <c r="AG173" s="38">
        <f>IF(SUM($AA150:AG150)=0, 0, AG58)</f>
        <v>0</v>
      </c>
      <c r="AH173" s="38">
        <f>IF(SUM($AA150:AH150)=0, 0, AH58)</f>
        <v>0</v>
      </c>
      <c r="AI173" s="38">
        <f>IF(SUM($AA150:AI150)=0, 0, AI58)</f>
        <v>0</v>
      </c>
      <c r="AJ173" s="38">
        <f>IF(SUM($AA150:AJ150)=0, 0, AJ58)</f>
        <v>0</v>
      </c>
      <c r="AK173" s="38">
        <f>IF(SUM($AA150:AK150)=0, 0, AK58)</f>
        <v>0</v>
      </c>
      <c r="AL173" s="38">
        <f>IF(SUM($AA150:AL150)=0, 0, AL58)</f>
        <v>0</v>
      </c>
      <c r="AM173" s="38">
        <f>IF(SUM($AA150:AM150)=0, 0, AM58)</f>
        <v>0</v>
      </c>
      <c r="AN173" s="38">
        <f>IF(SUM($AA150:AN150)=0, 0, AN58)</f>
        <v>0</v>
      </c>
      <c r="AO173" s="38">
        <f>IF(SUM($AA150:AO150)=0, 0, AO58)</f>
        <v>0</v>
      </c>
      <c r="AP173" s="38">
        <f>IF(SUM($AA150:AP150)=0, 0, AP58)</f>
        <v>0</v>
      </c>
      <c r="AQ173" s="38">
        <f>IF(SUM($AA150:AQ150)=0, 0, AQ58)</f>
        <v>0</v>
      </c>
      <c r="AR173" s="38">
        <f>IF(SUM($AA150:AR150)=0, 0, AR58)</f>
        <v>0</v>
      </c>
      <c r="AS173" s="38">
        <f>IF(SUM($AA150:AS150)=0, 0, AS58)</f>
        <v>0</v>
      </c>
      <c r="AT173" s="38">
        <f>IF(SUM($AA150:AT150)=0, 0, AT58)</f>
        <v>0</v>
      </c>
      <c r="AU173" s="38">
        <f>IF(SUM($AA150:AU150)=0, 0, AU58)</f>
        <v>0</v>
      </c>
      <c r="AV173" s="38">
        <f>IF(SUM($AA150:AV150)=0, 0, AV58)</f>
        <v>0</v>
      </c>
      <c r="AW173" s="38">
        <f>IF(SUM($AA150:AW150)=0, 0, AW58)</f>
        <v>0</v>
      </c>
      <c r="AX173" s="38">
        <f>IF(SUM($AA150:AX150)=0, 0, AX58)</f>
        <v>0</v>
      </c>
      <c r="AY173" s="38">
        <f>IF(SUM($AA150:AY150)=0, 0, AY58)</f>
        <v>0</v>
      </c>
      <c r="AZ173" s="38">
        <f>IF(SUM($AA150:AZ150)=0, 0, AZ58)</f>
        <v>0</v>
      </c>
      <c r="BA173" s="38">
        <f>IF(SUM($AA150:BA150)=0, 0, BA58)</f>
        <v>0</v>
      </c>
      <c r="BB173" s="38">
        <f>IF(SUM($AA150:BB150)=0, 0, BB58)</f>
        <v>0</v>
      </c>
      <c r="BC173" s="38">
        <f>IF(SUM($AA150:BC150)=0, 0, BC58)</f>
        <v>0</v>
      </c>
      <c r="BD173" s="38">
        <f>IF(SUM($AA150:BD150)=0, 0, BD58)</f>
        <v>0</v>
      </c>
      <c r="BE173" s="38">
        <f>IF(SUM($AA150:BE150)=0, 0, BE58)</f>
        <v>0</v>
      </c>
      <c r="BF173" s="38">
        <f>IF(SUM($AA150:BF150)=0, 0, BF58)</f>
        <v>0</v>
      </c>
      <c r="BG173" s="38">
        <f>IF(SUM($AA150:BG150)=0, 0, BG58)</f>
        <v>0</v>
      </c>
      <c r="BH173" s="38">
        <f>IF(SUM($AA150:BH150)=0, 0, BH58)</f>
        <v>0</v>
      </c>
      <c r="BI173" s="38">
        <f>IF(SUM($AA150:BI150)=0, 0, BI58)</f>
        <v>0</v>
      </c>
      <c r="BJ173" s="38">
        <f>IF(SUM($AA150:BJ150)=0, 0, BJ58)</f>
        <v>0</v>
      </c>
      <c r="BK173" s="38">
        <f>IF(SUM($AA150:BK150)=0, 0, BK58)</f>
        <v>0</v>
      </c>
      <c r="BL173" s="38">
        <f>IF(SUM($AA150:BL150)=0, 0, BL58)</f>
        <v>0</v>
      </c>
      <c r="BM173" s="38">
        <f>IF(SUM($AA150:BM150)=0, 0, BM58)</f>
        <v>0</v>
      </c>
      <c r="BN173" s="38">
        <f>IF(SUM($AA150:BN150)=0, 0, BN58)</f>
        <v>0</v>
      </c>
      <c r="BO173" s="38">
        <f>IF(SUM($AA150:BO150)=0, 0, BO58)</f>
        <v>0</v>
      </c>
      <c r="BP173" s="38">
        <f>IF(SUM($AA150:BP150)=0, 0, BP58)</f>
        <v>0</v>
      </c>
      <c r="BQ173" s="38">
        <f>IF(SUM($AA150:BQ150)=0, 0, BQ58)</f>
        <v>0</v>
      </c>
      <c r="BR173" s="38">
        <f>IF(SUM($AA150:BR150)=0, 0, BR58)</f>
        <v>0</v>
      </c>
      <c r="BS173" s="38">
        <f>IF(SUM($AA150:BS150)=0, 0, BS58)</f>
        <v>0</v>
      </c>
      <c r="BT173" s="38">
        <f>IF(SUM($AA150:BT150)=0, 0, BT58)</f>
        <v>0</v>
      </c>
      <c r="BU173" s="38">
        <f>IF(SUM($AA150:BU150)=0, 0, BU58)</f>
        <v>0</v>
      </c>
      <c r="BV173" s="38">
        <f>IF(SUM($AA150:BV150)=0, 0, BV58)</f>
        <v>0</v>
      </c>
      <c r="BX173" s="106"/>
      <c r="BY173" s="106"/>
      <c r="BZ173" s="106"/>
      <c r="CA173" s="106"/>
      <c r="CB173" s="38">
        <f>IF(SUM($CB150:CB150)=0, 0, CB58)</f>
        <v>0</v>
      </c>
      <c r="CC173" s="38">
        <f>IF(SUM($CB150:CC150)=0, 0, CC58)</f>
        <v>0</v>
      </c>
      <c r="CD173" s="38">
        <f>IF(SUM($CB150:CD150)=0, 0, CD58)</f>
        <v>0</v>
      </c>
      <c r="CE173" s="38">
        <f>IF(SUM($CB150:CE150)=0, 0, CE58)</f>
        <v>0</v>
      </c>
      <c r="CF173" s="38">
        <f>IF(SUM($CB150:CF150)=0, 0, CF58)</f>
        <v>0</v>
      </c>
      <c r="CG173" s="38">
        <f>IF(SUM($CB150:CG150)=0, 0, CG58)</f>
        <v>0</v>
      </c>
      <c r="CH173" s="38">
        <f>IF(SUM($CB150:CH150)=0, 0, CH58)</f>
        <v>0</v>
      </c>
      <c r="CI173" s="38">
        <f>IF(SUM($CB150:CI150)=0, 0, CI58)</f>
        <v>0</v>
      </c>
      <c r="CK173" s="11"/>
      <c r="CM173" s="11"/>
      <c r="EX173" s="10" t="str">
        <f t="shared" si="154"/>
        <v/>
      </c>
    </row>
    <row r="174" spans="1:154" x14ac:dyDescent="0.35">
      <c r="B174" t="str">
        <f ca="1">Loans!B$27</f>
        <v>Loan 15</v>
      </c>
      <c r="D174" s="51">
        <f>Loans!D$27</f>
        <v>0</v>
      </c>
      <c r="E174" s="117" t="str">
        <f>IF(Loans!R$27=0, "", Loans!R$27)</f>
        <v/>
      </c>
      <c r="F174" s="10">
        <f>Loans!H$709</f>
        <v>0</v>
      </c>
      <c r="V174" s="106"/>
      <c r="W174" s="106"/>
      <c r="X174" s="106"/>
      <c r="Y174" s="106"/>
      <c r="AA174" s="38">
        <f>IF(SUM($AA151:AA151)=0, 0, AA59)</f>
        <v>0</v>
      </c>
      <c r="AB174" s="38">
        <f>IF(SUM($AA151:AB151)=0, 0, AB59)</f>
        <v>0</v>
      </c>
      <c r="AC174" s="38">
        <f>IF(SUM($AA151:AC151)=0, 0, AC59)</f>
        <v>0</v>
      </c>
      <c r="AD174" s="38">
        <f>IF(SUM($AA151:AD151)=0, 0, AD59)</f>
        <v>0</v>
      </c>
      <c r="AE174" s="38">
        <f>IF(SUM($AA151:AE151)=0, 0, AE59)</f>
        <v>0</v>
      </c>
      <c r="AF174" s="38">
        <f>IF(SUM($AA151:AF151)=0, 0, AF59)</f>
        <v>0</v>
      </c>
      <c r="AG174" s="38">
        <f>IF(SUM($AA151:AG151)=0, 0, AG59)</f>
        <v>0</v>
      </c>
      <c r="AH174" s="38">
        <f>IF(SUM($AA151:AH151)=0, 0, AH59)</f>
        <v>0</v>
      </c>
      <c r="AI174" s="38">
        <f>IF(SUM($AA151:AI151)=0, 0, AI59)</f>
        <v>0</v>
      </c>
      <c r="AJ174" s="38">
        <f>IF(SUM($AA151:AJ151)=0, 0, AJ59)</f>
        <v>0</v>
      </c>
      <c r="AK174" s="38">
        <f>IF(SUM($AA151:AK151)=0, 0, AK59)</f>
        <v>0</v>
      </c>
      <c r="AL174" s="38">
        <f>IF(SUM($AA151:AL151)=0, 0, AL59)</f>
        <v>0</v>
      </c>
      <c r="AM174" s="38">
        <f>IF(SUM($AA151:AM151)=0, 0, AM59)</f>
        <v>0</v>
      </c>
      <c r="AN174" s="38">
        <f>IF(SUM($AA151:AN151)=0, 0, AN59)</f>
        <v>0</v>
      </c>
      <c r="AO174" s="38">
        <f>IF(SUM($AA151:AO151)=0, 0, AO59)</f>
        <v>0</v>
      </c>
      <c r="AP174" s="38">
        <f>IF(SUM($AA151:AP151)=0, 0, AP59)</f>
        <v>0</v>
      </c>
      <c r="AQ174" s="38">
        <f>IF(SUM($AA151:AQ151)=0, 0, AQ59)</f>
        <v>0</v>
      </c>
      <c r="AR174" s="38">
        <f>IF(SUM($AA151:AR151)=0, 0, AR59)</f>
        <v>0</v>
      </c>
      <c r="AS174" s="38">
        <f>IF(SUM($AA151:AS151)=0, 0, AS59)</f>
        <v>0</v>
      </c>
      <c r="AT174" s="38">
        <f>IF(SUM($AA151:AT151)=0, 0, AT59)</f>
        <v>0</v>
      </c>
      <c r="AU174" s="38">
        <f>IF(SUM($AA151:AU151)=0, 0, AU59)</f>
        <v>0</v>
      </c>
      <c r="AV174" s="38">
        <f>IF(SUM($AA151:AV151)=0, 0, AV59)</f>
        <v>0</v>
      </c>
      <c r="AW174" s="38">
        <f>IF(SUM($AA151:AW151)=0, 0, AW59)</f>
        <v>0</v>
      </c>
      <c r="AX174" s="38">
        <f>IF(SUM($AA151:AX151)=0, 0, AX59)</f>
        <v>0</v>
      </c>
      <c r="AY174" s="38">
        <f>IF(SUM($AA151:AY151)=0, 0, AY59)</f>
        <v>0</v>
      </c>
      <c r="AZ174" s="38">
        <f>IF(SUM($AA151:AZ151)=0, 0, AZ59)</f>
        <v>0</v>
      </c>
      <c r="BA174" s="38">
        <f>IF(SUM($AA151:BA151)=0, 0, BA59)</f>
        <v>0</v>
      </c>
      <c r="BB174" s="38">
        <f>IF(SUM($AA151:BB151)=0, 0, BB59)</f>
        <v>0</v>
      </c>
      <c r="BC174" s="38">
        <f>IF(SUM($AA151:BC151)=0, 0, BC59)</f>
        <v>0</v>
      </c>
      <c r="BD174" s="38">
        <f>IF(SUM($AA151:BD151)=0, 0, BD59)</f>
        <v>0</v>
      </c>
      <c r="BE174" s="38">
        <f>IF(SUM($AA151:BE151)=0, 0, BE59)</f>
        <v>0</v>
      </c>
      <c r="BF174" s="38">
        <f>IF(SUM($AA151:BF151)=0, 0, BF59)</f>
        <v>0</v>
      </c>
      <c r="BG174" s="38">
        <f>IF(SUM($AA151:BG151)=0, 0, BG59)</f>
        <v>0</v>
      </c>
      <c r="BH174" s="38">
        <f>IF(SUM($AA151:BH151)=0, 0, BH59)</f>
        <v>0</v>
      </c>
      <c r="BI174" s="38">
        <f>IF(SUM($AA151:BI151)=0, 0, BI59)</f>
        <v>0</v>
      </c>
      <c r="BJ174" s="38">
        <f>IF(SUM($AA151:BJ151)=0, 0, BJ59)</f>
        <v>0</v>
      </c>
      <c r="BK174" s="38">
        <f>IF(SUM($AA151:BK151)=0, 0, BK59)</f>
        <v>0</v>
      </c>
      <c r="BL174" s="38">
        <f>IF(SUM($AA151:BL151)=0, 0, BL59)</f>
        <v>0</v>
      </c>
      <c r="BM174" s="38">
        <f>IF(SUM($AA151:BM151)=0, 0, BM59)</f>
        <v>0</v>
      </c>
      <c r="BN174" s="38">
        <f>IF(SUM($AA151:BN151)=0, 0, BN59)</f>
        <v>0</v>
      </c>
      <c r="BO174" s="38">
        <f>IF(SUM($AA151:BO151)=0, 0, BO59)</f>
        <v>0</v>
      </c>
      <c r="BP174" s="38">
        <f>IF(SUM($AA151:BP151)=0, 0, BP59)</f>
        <v>0</v>
      </c>
      <c r="BQ174" s="38">
        <f>IF(SUM($AA151:BQ151)=0, 0, BQ59)</f>
        <v>0</v>
      </c>
      <c r="BR174" s="38">
        <f>IF(SUM($AA151:BR151)=0, 0, BR59)</f>
        <v>0</v>
      </c>
      <c r="BS174" s="38">
        <f>IF(SUM($AA151:BS151)=0, 0, BS59)</f>
        <v>0</v>
      </c>
      <c r="BT174" s="38">
        <f>IF(SUM($AA151:BT151)=0, 0, BT59)</f>
        <v>0</v>
      </c>
      <c r="BU174" s="38">
        <f>IF(SUM($AA151:BU151)=0, 0, BU59)</f>
        <v>0</v>
      </c>
      <c r="BV174" s="38">
        <f>IF(SUM($AA151:BV151)=0, 0, BV59)</f>
        <v>0</v>
      </c>
      <c r="BX174" s="106"/>
      <c r="BY174" s="106"/>
      <c r="BZ174" s="106"/>
      <c r="CA174" s="106"/>
      <c r="CB174" s="38">
        <f>IF(SUM($CB151:CB151)=0, 0, CB59)</f>
        <v>0</v>
      </c>
      <c r="CC174" s="38">
        <f>IF(SUM($CB151:CC151)=0, 0, CC59)</f>
        <v>0</v>
      </c>
      <c r="CD174" s="38">
        <f>IF(SUM($CB151:CD151)=0, 0, CD59)</f>
        <v>0</v>
      </c>
      <c r="CE174" s="38">
        <f>IF(SUM($CB151:CE151)=0, 0, CE59)</f>
        <v>0</v>
      </c>
      <c r="CF174" s="38">
        <f>IF(SUM($CB151:CF151)=0, 0, CF59)</f>
        <v>0</v>
      </c>
      <c r="CG174" s="38">
        <f>IF(SUM($CB151:CG151)=0, 0, CG59)</f>
        <v>0</v>
      </c>
      <c r="CH174" s="38">
        <f>IF(SUM($CB151:CH151)=0, 0, CH59)</f>
        <v>0</v>
      </c>
      <c r="CI174" s="38">
        <f>IF(SUM($CB151:CI151)=0, 0, CI59)</f>
        <v>0</v>
      </c>
      <c r="CK174" s="11"/>
      <c r="CM174" s="11"/>
      <c r="EX174" s="10" t="str">
        <f t="shared" si="154"/>
        <v/>
      </c>
    </row>
    <row r="175" spans="1:154" x14ac:dyDescent="0.35">
      <c r="B175" t="str">
        <f ca="1">Loans!B$28</f>
        <v>Loan 16</v>
      </c>
      <c r="D175" s="51">
        <f>Loans!D$28</f>
        <v>0</v>
      </c>
      <c r="E175" s="117" t="str">
        <f>IF(Loans!R$28=0, "", Loans!R$28)</f>
        <v/>
      </c>
      <c r="F175" s="10">
        <f>Loans!H$710</f>
        <v>0</v>
      </c>
      <c r="V175" s="106"/>
      <c r="W175" s="106"/>
      <c r="X175" s="106"/>
      <c r="Y175" s="106"/>
      <c r="AA175" s="38">
        <f>IF(SUM($AA152:AA152)=0, 0, AA60)</f>
        <v>0</v>
      </c>
      <c r="AB175" s="38">
        <f>IF(SUM($AA152:AB152)=0, 0, AB60)</f>
        <v>0</v>
      </c>
      <c r="AC175" s="38">
        <f>IF(SUM($AA152:AC152)=0, 0, AC60)</f>
        <v>0</v>
      </c>
      <c r="AD175" s="38">
        <f>IF(SUM($AA152:AD152)=0, 0, AD60)</f>
        <v>0</v>
      </c>
      <c r="AE175" s="38">
        <f>IF(SUM($AA152:AE152)=0, 0, AE60)</f>
        <v>0</v>
      </c>
      <c r="AF175" s="38">
        <f>IF(SUM($AA152:AF152)=0, 0, AF60)</f>
        <v>0</v>
      </c>
      <c r="AG175" s="38">
        <f>IF(SUM($AA152:AG152)=0, 0, AG60)</f>
        <v>0</v>
      </c>
      <c r="AH175" s="38">
        <f>IF(SUM($AA152:AH152)=0, 0, AH60)</f>
        <v>0</v>
      </c>
      <c r="AI175" s="38">
        <f>IF(SUM($AA152:AI152)=0, 0, AI60)</f>
        <v>0</v>
      </c>
      <c r="AJ175" s="38">
        <f>IF(SUM($AA152:AJ152)=0, 0, AJ60)</f>
        <v>0</v>
      </c>
      <c r="AK175" s="38">
        <f>IF(SUM($AA152:AK152)=0, 0, AK60)</f>
        <v>0</v>
      </c>
      <c r="AL175" s="38">
        <f>IF(SUM($AA152:AL152)=0, 0, AL60)</f>
        <v>0</v>
      </c>
      <c r="AM175" s="38">
        <f>IF(SUM($AA152:AM152)=0, 0, AM60)</f>
        <v>0</v>
      </c>
      <c r="AN175" s="38">
        <f>IF(SUM($AA152:AN152)=0, 0, AN60)</f>
        <v>0</v>
      </c>
      <c r="AO175" s="38">
        <f>IF(SUM($AA152:AO152)=0, 0, AO60)</f>
        <v>0</v>
      </c>
      <c r="AP175" s="38">
        <f>IF(SUM($AA152:AP152)=0, 0, AP60)</f>
        <v>0</v>
      </c>
      <c r="AQ175" s="38">
        <f>IF(SUM($AA152:AQ152)=0, 0, AQ60)</f>
        <v>0</v>
      </c>
      <c r="AR175" s="38">
        <f>IF(SUM($AA152:AR152)=0, 0, AR60)</f>
        <v>0</v>
      </c>
      <c r="AS175" s="38">
        <f>IF(SUM($AA152:AS152)=0, 0, AS60)</f>
        <v>0</v>
      </c>
      <c r="AT175" s="38">
        <f>IF(SUM($AA152:AT152)=0, 0, AT60)</f>
        <v>0</v>
      </c>
      <c r="AU175" s="38">
        <f>IF(SUM($AA152:AU152)=0, 0, AU60)</f>
        <v>0</v>
      </c>
      <c r="AV175" s="38">
        <f>IF(SUM($AA152:AV152)=0, 0, AV60)</f>
        <v>0</v>
      </c>
      <c r="AW175" s="38">
        <f>IF(SUM($AA152:AW152)=0, 0, AW60)</f>
        <v>0</v>
      </c>
      <c r="AX175" s="38">
        <f>IF(SUM($AA152:AX152)=0, 0, AX60)</f>
        <v>0</v>
      </c>
      <c r="AY175" s="38">
        <f>IF(SUM($AA152:AY152)=0, 0, AY60)</f>
        <v>0</v>
      </c>
      <c r="AZ175" s="38">
        <f>IF(SUM($AA152:AZ152)=0, 0, AZ60)</f>
        <v>0</v>
      </c>
      <c r="BA175" s="38">
        <f>IF(SUM($AA152:BA152)=0, 0, BA60)</f>
        <v>0</v>
      </c>
      <c r="BB175" s="38">
        <f>IF(SUM($AA152:BB152)=0, 0, BB60)</f>
        <v>0</v>
      </c>
      <c r="BC175" s="38">
        <f>IF(SUM($AA152:BC152)=0, 0, BC60)</f>
        <v>0</v>
      </c>
      <c r="BD175" s="38">
        <f>IF(SUM($AA152:BD152)=0, 0, BD60)</f>
        <v>0</v>
      </c>
      <c r="BE175" s="38">
        <f>IF(SUM($AA152:BE152)=0, 0, BE60)</f>
        <v>0</v>
      </c>
      <c r="BF175" s="38">
        <f>IF(SUM($AA152:BF152)=0, 0, BF60)</f>
        <v>0</v>
      </c>
      <c r="BG175" s="38">
        <f>IF(SUM($AA152:BG152)=0, 0, BG60)</f>
        <v>0</v>
      </c>
      <c r="BH175" s="38">
        <f>IF(SUM($AA152:BH152)=0, 0, BH60)</f>
        <v>0</v>
      </c>
      <c r="BI175" s="38">
        <f>IF(SUM($AA152:BI152)=0, 0, BI60)</f>
        <v>0</v>
      </c>
      <c r="BJ175" s="38">
        <f>IF(SUM($AA152:BJ152)=0, 0, BJ60)</f>
        <v>0</v>
      </c>
      <c r="BK175" s="38">
        <f>IF(SUM($AA152:BK152)=0, 0, BK60)</f>
        <v>0</v>
      </c>
      <c r="BL175" s="38">
        <f>IF(SUM($AA152:BL152)=0, 0, BL60)</f>
        <v>0</v>
      </c>
      <c r="BM175" s="38">
        <f>IF(SUM($AA152:BM152)=0, 0, BM60)</f>
        <v>0</v>
      </c>
      <c r="BN175" s="38">
        <f>IF(SUM($AA152:BN152)=0, 0, BN60)</f>
        <v>0</v>
      </c>
      <c r="BO175" s="38">
        <f>IF(SUM($AA152:BO152)=0, 0, BO60)</f>
        <v>0</v>
      </c>
      <c r="BP175" s="38">
        <f>IF(SUM($AA152:BP152)=0, 0, BP60)</f>
        <v>0</v>
      </c>
      <c r="BQ175" s="38">
        <f>IF(SUM($AA152:BQ152)=0, 0, BQ60)</f>
        <v>0</v>
      </c>
      <c r="BR175" s="38">
        <f>IF(SUM($AA152:BR152)=0, 0, BR60)</f>
        <v>0</v>
      </c>
      <c r="BS175" s="38">
        <f>IF(SUM($AA152:BS152)=0, 0, BS60)</f>
        <v>0</v>
      </c>
      <c r="BT175" s="38">
        <f>IF(SUM($AA152:BT152)=0, 0, BT60)</f>
        <v>0</v>
      </c>
      <c r="BU175" s="38">
        <f>IF(SUM($AA152:BU152)=0, 0, BU60)</f>
        <v>0</v>
      </c>
      <c r="BV175" s="38">
        <f>IF(SUM($AA152:BV152)=0, 0, BV60)</f>
        <v>0</v>
      </c>
      <c r="BX175" s="106"/>
      <c r="BY175" s="106"/>
      <c r="BZ175" s="106"/>
      <c r="CA175" s="106"/>
      <c r="CB175" s="38">
        <f>IF(SUM($CB152:CB152)=0, 0, CB60)</f>
        <v>0</v>
      </c>
      <c r="CC175" s="38">
        <f>IF(SUM($CB152:CC152)=0, 0, CC60)</f>
        <v>0</v>
      </c>
      <c r="CD175" s="38">
        <f>IF(SUM($CB152:CD152)=0, 0, CD60)</f>
        <v>0</v>
      </c>
      <c r="CE175" s="38">
        <f>IF(SUM($CB152:CE152)=0, 0, CE60)</f>
        <v>0</v>
      </c>
      <c r="CF175" s="38">
        <f>IF(SUM($CB152:CF152)=0, 0, CF60)</f>
        <v>0</v>
      </c>
      <c r="CG175" s="38">
        <f>IF(SUM($CB152:CG152)=0, 0, CG60)</f>
        <v>0</v>
      </c>
      <c r="CH175" s="38">
        <f>IF(SUM($CB152:CH152)=0, 0, CH60)</f>
        <v>0</v>
      </c>
      <c r="CI175" s="38">
        <f>IF(SUM($CB152:CI152)=0, 0, CI60)</f>
        <v>0</v>
      </c>
      <c r="CK175" s="11"/>
      <c r="CM175" s="11"/>
      <c r="EX175" s="10" t="str">
        <f t="shared" si="154"/>
        <v/>
      </c>
    </row>
    <row r="176" spans="1:154" x14ac:dyDescent="0.35">
      <c r="B176" t="str">
        <f ca="1">Loans!B$29</f>
        <v>Loan 17</v>
      </c>
      <c r="D176" s="51">
        <f>Loans!D$29</f>
        <v>0</v>
      </c>
      <c r="E176" s="117" t="str">
        <f>IF(Loans!R$29=0, "", Loans!R$29)</f>
        <v/>
      </c>
      <c r="F176" s="10">
        <f>Loans!H$711</f>
        <v>0</v>
      </c>
      <c r="V176" s="106"/>
      <c r="W176" s="106"/>
      <c r="X176" s="106"/>
      <c r="Y176" s="106"/>
      <c r="AA176" s="38">
        <f>IF(SUM($AA153:AA153)=0, 0, AA61)</f>
        <v>0</v>
      </c>
      <c r="AB176" s="38">
        <f>IF(SUM($AA153:AB153)=0, 0, AB61)</f>
        <v>0</v>
      </c>
      <c r="AC176" s="38">
        <f>IF(SUM($AA153:AC153)=0, 0, AC61)</f>
        <v>0</v>
      </c>
      <c r="AD176" s="38">
        <f>IF(SUM($AA153:AD153)=0, 0, AD61)</f>
        <v>0</v>
      </c>
      <c r="AE176" s="38">
        <f>IF(SUM($AA153:AE153)=0, 0, AE61)</f>
        <v>0</v>
      </c>
      <c r="AF176" s="38">
        <f>IF(SUM($AA153:AF153)=0, 0, AF61)</f>
        <v>0</v>
      </c>
      <c r="AG176" s="38">
        <f>IF(SUM($AA153:AG153)=0, 0, AG61)</f>
        <v>0</v>
      </c>
      <c r="AH176" s="38">
        <f>IF(SUM($AA153:AH153)=0, 0, AH61)</f>
        <v>0</v>
      </c>
      <c r="AI176" s="38">
        <f>IF(SUM($AA153:AI153)=0, 0, AI61)</f>
        <v>0</v>
      </c>
      <c r="AJ176" s="38">
        <f>IF(SUM($AA153:AJ153)=0, 0, AJ61)</f>
        <v>0</v>
      </c>
      <c r="AK176" s="38">
        <f>IF(SUM($AA153:AK153)=0, 0, AK61)</f>
        <v>0</v>
      </c>
      <c r="AL176" s="38">
        <f>IF(SUM($AA153:AL153)=0, 0, AL61)</f>
        <v>0</v>
      </c>
      <c r="AM176" s="38">
        <f>IF(SUM($AA153:AM153)=0, 0, AM61)</f>
        <v>0</v>
      </c>
      <c r="AN176" s="38">
        <f>IF(SUM($AA153:AN153)=0, 0, AN61)</f>
        <v>0</v>
      </c>
      <c r="AO176" s="38">
        <f>IF(SUM($AA153:AO153)=0, 0, AO61)</f>
        <v>0</v>
      </c>
      <c r="AP176" s="38">
        <f>IF(SUM($AA153:AP153)=0, 0, AP61)</f>
        <v>0</v>
      </c>
      <c r="AQ176" s="38">
        <f>IF(SUM($AA153:AQ153)=0, 0, AQ61)</f>
        <v>0</v>
      </c>
      <c r="AR176" s="38">
        <f>IF(SUM($AA153:AR153)=0, 0, AR61)</f>
        <v>0</v>
      </c>
      <c r="AS176" s="38">
        <f>IF(SUM($AA153:AS153)=0, 0, AS61)</f>
        <v>0</v>
      </c>
      <c r="AT176" s="38">
        <f>IF(SUM($AA153:AT153)=0, 0, AT61)</f>
        <v>0</v>
      </c>
      <c r="AU176" s="38">
        <f>IF(SUM($AA153:AU153)=0, 0, AU61)</f>
        <v>0</v>
      </c>
      <c r="AV176" s="38">
        <f>IF(SUM($AA153:AV153)=0, 0, AV61)</f>
        <v>0</v>
      </c>
      <c r="AW176" s="38">
        <f>IF(SUM($AA153:AW153)=0, 0, AW61)</f>
        <v>0</v>
      </c>
      <c r="AX176" s="38">
        <f>IF(SUM($AA153:AX153)=0, 0, AX61)</f>
        <v>0</v>
      </c>
      <c r="AY176" s="38">
        <f>IF(SUM($AA153:AY153)=0, 0, AY61)</f>
        <v>0</v>
      </c>
      <c r="AZ176" s="38">
        <f>IF(SUM($AA153:AZ153)=0, 0, AZ61)</f>
        <v>0</v>
      </c>
      <c r="BA176" s="38">
        <f>IF(SUM($AA153:BA153)=0, 0, BA61)</f>
        <v>0</v>
      </c>
      <c r="BB176" s="38">
        <f>IF(SUM($AA153:BB153)=0, 0, BB61)</f>
        <v>0</v>
      </c>
      <c r="BC176" s="38">
        <f>IF(SUM($AA153:BC153)=0, 0, BC61)</f>
        <v>0</v>
      </c>
      <c r="BD176" s="38">
        <f>IF(SUM($AA153:BD153)=0, 0, BD61)</f>
        <v>0</v>
      </c>
      <c r="BE176" s="38">
        <f>IF(SUM($AA153:BE153)=0, 0, BE61)</f>
        <v>0</v>
      </c>
      <c r="BF176" s="38">
        <f>IF(SUM($AA153:BF153)=0, 0, BF61)</f>
        <v>0</v>
      </c>
      <c r="BG176" s="38">
        <f>IF(SUM($AA153:BG153)=0, 0, BG61)</f>
        <v>0</v>
      </c>
      <c r="BH176" s="38">
        <f>IF(SUM($AA153:BH153)=0, 0, BH61)</f>
        <v>0</v>
      </c>
      <c r="BI176" s="38">
        <f>IF(SUM($AA153:BI153)=0, 0, BI61)</f>
        <v>0</v>
      </c>
      <c r="BJ176" s="38">
        <f>IF(SUM($AA153:BJ153)=0, 0, BJ61)</f>
        <v>0</v>
      </c>
      <c r="BK176" s="38">
        <f>IF(SUM($AA153:BK153)=0, 0, BK61)</f>
        <v>0</v>
      </c>
      <c r="BL176" s="38">
        <f>IF(SUM($AA153:BL153)=0, 0, BL61)</f>
        <v>0</v>
      </c>
      <c r="BM176" s="38">
        <f>IF(SUM($AA153:BM153)=0, 0, BM61)</f>
        <v>0</v>
      </c>
      <c r="BN176" s="38">
        <f>IF(SUM($AA153:BN153)=0, 0, BN61)</f>
        <v>0</v>
      </c>
      <c r="BO176" s="38">
        <f>IF(SUM($AA153:BO153)=0, 0, BO61)</f>
        <v>0</v>
      </c>
      <c r="BP176" s="38">
        <f>IF(SUM($AA153:BP153)=0, 0, BP61)</f>
        <v>0</v>
      </c>
      <c r="BQ176" s="38">
        <f>IF(SUM($AA153:BQ153)=0, 0, BQ61)</f>
        <v>0</v>
      </c>
      <c r="BR176" s="38">
        <f>IF(SUM($AA153:BR153)=0, 0, BR61)</f>
        <v>0</v>
      </c>
      <c r="BS176" s="38">
        <f>IF(SUM($AA153:BS153)=0, 0, BS61)</f>
        <v>0</v>
      </c>
      <c r="BT176" s="38">
        <f>IF(SUM($AA153:BT153)=0, 0, BT61)</f>
        <v>0</v>
      </c>
      <c r="BU176" s="38">
        <f>IF(SUM($AA153:BU153)=0, 0, BU61)</f>
        <v>0</v>
      </c>
      <c r="BV176" s="38">
        <f>IF(SUM($AA153:BV153)=0, 0, BV61)</f>
        <v>0</v>
      </c>
      <c r="BX176" s="106"/>
      <c r="BY176" s="106"/>
      <c r="BZ176" s="106"/>
      <c r="CA176" s="106"/>
      <c r="CB176" s="38">
        <f>IF(SUM($CB153:CB153)=0, 0, CB61)</f>
        <v>0</v>
      </c>
      <c r="CC176" s="38">
        <f>IF(SUM($CB153:CC153)=0, 0, CC61)</f>
        <v>0</v>
      </c>
      <c r="CD176" s="38">
        <f>IF(SUM($CB153:CD153)=0, 0, CD61)</f>
        <v>0</v>
      </c>
      <c r="CE176" s="38">
        <f>IF(SUM($CB153:CE153)=0, 0, CE61)</f>
        <v>0</v>
      </c>
      <c r="CF176" s="38">
        <f>IF(SUM($CB153:CF153)=0, 0, CF61)</f>
        <v>0</v>
      </c>
      <c r="CG176" s="38">
        <f>IF(SUM($CB153:CG153)=0, 0, CG61)</f>
        <v>0</v>
      </c>
      <c r="CH176" s="38">
        <f>IF(SUM($CB153:CH153)=0, 0, CH61)</f>
        <v>0</v>
      </c>
      <c r="CI176" s="38">
        <f>IF(SUM($CB153:CI153)=0, 0, CI61)</f>
        <v>0</v>
      </c>
      <c r="CK176" s="11"/>
      <c r="CM176" s="11"/>
      <c r="EX176" s="10" t="str">
        <f t="shared" si="154"/>
        <v/>
      </c>
    </row>
    <row r="177" spans="1:154" x14ac:dyDescent="0.35">
      <c r="B177" t="str">
        <f ca="1">Loans!B$30</f>
        <v>Loan 18</v>
      </c>
      <c r="D177" s="51">
        <f>Loans!D$30</f>
        <v>0</v>
      </c>
      <c r="E177" s="117" t="str">
        <f>IF(Loans!R$30=0, "", Loans!R$30)</f>
        <v/>
      </c>
      <c r="F177" s="10">
        <f>Loans!H$712</f>
        <v>0</v>
      </c>
      <c r="V177" s="106"/>
      <c r="W177" s="106"/>
      <c r="X177" s="106"/>
      <c r="Y177" s="106"/>
      <c r="AA177" s="38">
        <f>IF(SUM($AA154:AA154)=0, 0, AA62)</f>
        <v>0</v>
      </c>
      <c r="AB177" s="38">
        <f>IF(SUM($AA154:AB154)=0, 0, AB62)</f>
        <v>0</v>
      </c>
      <c r="AC177" s="38">
        <f>IF(SUM($AA154:AC154)=0, 0, AC62)</f>
        <v>0</v>
      </c>
      <c r="AD177" s="38">
        <f>IF(SUM($AA154:AD154)=0, 0, AD62)</f>
        <v>0</v>
      </c>
      <c r="AE177" s="38">
        <f>IF(SUM($AA154:AE154)=0, 0, AE62)</f>
        <v>0</v>
      </c>
      <c r="AF177" s="38">
        <f>IF(SUM($AA154:AF154)=0, 0, AF62)</f>
        <v>0</v>
      </c>
      <c r="AG177" s="38">
        <f>IF(SUM($AA154:AG154)=0, 0, AG62)</f>
        <v>0</v>
      </c>
      <c r="AH177" s="38">
        <f>IF(SUM($AA154:AH154)=0, 0, AH62)</f>
        <v>0</v>
      </c>
      <c r="AI177" s="38">
        <f>IF(SUM($AA154:AI154)=0, 0, AI62)</f>
        <v>0</v>
      </c>
      <c r="AJ177" s="38">
        <f>IF(SUM($AA154:AJ154)=0, 0, AJ62)</f>
        <v>0</v>
      </c>
      <c r="AK177" s="38">
        <f>IF(SUM($AA154:AK154)=0, 0, AK62)</f>
        <v>0</v>
      </c>
      <c r="AL177" s="38">
        <f>IF(SUM($AA154:AL154)=0, 0, AL62)</f>
        <v>0</v>
      </c>
      <c r="AM177" s="38">
        <f>IF(SUM($AA154:AM154)=0, 0, AM62)</f>
        <v>0</v>
      </c>
      <c r="AN177" s="38">
        <f>IF(SUM($AA154:AN154)=0, 0, AN62)</f>
        <v>0</v>
      </c>
      <c r="AO177" s="38">
        <f>IF(SUM($AA154:AO154)=0, 0, AO62)</f>
        <v>0</v>
      </c>
      <c r="AP177" s="38">
        <f>IF(SUM($AA154:AP154)=0, 0, AP62)</f>
        <v>0</v>
      </c>
      <c r="AQ177" s="38">
        <f>IF(SUM($AA154:AQ154)=0, 0, AQ62)</f>
        <v>0</v>
      </c>
      <c r="AR177" s="38">
        <f>IF(SUM($AA154:AR154)=0, 0, AR62)</f>
        <v>0</v>
      </c>
      <c r="AS177" s="38">
        <f>IF(SUM($AA154:AS154)=0, 0, AS62)</f>
        <v>0</v>
      </c>
      <c r="AT177" s="38">
        <f>IF(SUM($AA154:AT154)=0, 0, AT62)</f>
        <v>0</v>
      </c>
      <c r="AU177" s="38">
        <f>IF(SUM($AA154:AU154)=0, 0, AU62)</f>
        <v>0</v>
      </c>
      <c r="AV177" s="38">
        <f>IF(SUM($AA154:AV154)=0, 0, AV62)</f>
        <v>0</v>
      </c>
      <c r="AW177" s="38">
        <f>IF(SUM($AA154:AW154)=0, 0, AW62)</f>
        <v>0</v>
      </c>
      <c r="AX177" s="38">
        <f>IF(SUM($AA154:AX154)=0, 0, AX62)</f>
        <v>0</v>
      </c>
      <c r="AY177" s="38">
        <f>IF(SUM($AA154:AY154)=0, 0, AY62)</f>
        <v>0</v>
      </c>
      <c r="AZ177" s="38">
        <f>IF(SUM($AA154:AZ154)=0, 0, AZ62)</f>
        <v>0</v>
      </c>
      <c r="BA177" s="38">
        <f>IF(SUM($AA154:BA154)=0, 0, BA62)</f>
        <v>0</v>
      </c>
      <c r="BB177" s="38">
        <f>IF(SUM($AA154:BB154)=0, 0, BB62)</f>
        <v>0</v>
      </c>
      <c r="BC177" s="38">
        <f>IF(SUM($AA154:BC154)=0, 0, BC62)</f>
        <v>0</v>
      </c>
      <c r="BD177" s="38">
        <f>IF(SUM($AA154:BD154)=0, 0, BD62)</f>
        <v>0</v>
      </c>
      <c r="BE177" s="38">
        <f>IF(SUM($AA154:BE154)=0, 0, BE62)</f>
        <v>0</v>
      </c>
      <c r="BF177" s="38">
        <f>IF(SUM($AA154:BF154)=0, 0, BF62)</f>
        <v>0</v>
      </c>
      <c r="BG177" s="38">
        <f>IF(SUM($AA154:BG154)=0, 0, BG62)</f>
        <v>0</v>
      </c>
      <c r="BH177" s="38">
        <f>IF(SUM($AA154:BH154)=0, 0, BH62)</f>
        <v>0</v>
      </c>
      <c r="BI177" s="38">
        <f>IF(SUM($AA154:BI154)=0, 0, BI62)</f>
        <v>0</v>
      </c>
      <c r="BJ177" s="38">
        <f>IF(SUM($AA154:BJ154)=0, 0, BJ62)</f>
        <v>0</v>
      </c>
      <c r="BK177" s="38">
        <f>IF(SUM($AA154:BK154)=0, 0, BK62)</f>
        <v>0</v>
      </c>
      <c r="BL177" s="38">
        <f>IF(SUM($AA154:BL154)=0, 0, BL62)</f>
        <v>0</v>
      </c>
      <c r="BM177" s="38">
        <f>IF(SUM($AA154:BM154)=0, 0, BM62)</f>
        <v>0</v>
      </c>
      <c r="BN177" s="38">
        <f>IF(SUM($AA154:BN154)=0, 0, BN62)</f>
        <v>0</v>
      </c>
      <c r="BO177" s="38">
        <f>IF(SUM($AA154:BO154)=0, 0, BO62)</f>
        <v>0</v>
      </c>
      <c r="BP177" s="38">
        <f>IF(SUM($AA154:BP154)=0, 0, BP62)</f>
        <v>0</v>
      </c>
      <c r="BQ177" s="38">
        <f>IF(SUM($AA154:BQ154)=0, 0, BQ62)</f>
        <v>0</v>
      </c>
      <c r="BR177" s="38">
        <f>IF(SUM($AA154:BR154)=0, 0, BR62)</f>
        <v>0</v>
      </c>
      <c r="BS177" s="38">
        <f>IF(SUM($AA154:BS154)=0, 0, BS62)</f>
        <v>0</v>
      </c>
      <c r="BT177" s="38">
        <f>IF(SUM($AA154:BT154)=0, 0, BT62)</f>
        <v>0</v>
      </c>
      <c r="BU177" s="38">
        <f>IF(SUM($AA154:BU154)=0, 0, BU62)</f>
        <v>0</v>
      </c>
      <c r="BV177" s="38">
        <f>IF(SUM($AA154:BV154)=0, 0, BV62)</f>
        <v>0</v>
      </c>
      <c r="BX177" s="106"/>
      <c r="BY177" s="106"/>
      <c r="BZ177" s="106"/>
      <c r="CA177" s="106"/>
      <c r="CB177" s="38">
        <f>IF(SUM($CB154:CB154)=0, 0, CB62)</f>
        <v>0</v>
      </c>
      <c r="CC177" s="38">
        <f>IF(SUM($CB154:CC154)=0, 0, CC62)</f>
        <v>0</v>
      </c>
      <c r="CD177" s="38">
        <f>IF(SUM($CB154:CD154)=0, 0, CD62)</f>
        <v>0</v>
      </c>
      <c r="CE177" s="38">
        <f>IF(SUM($CB154:CE154)=0, 0, CE62)</f>
        <v>0</v>
      </c>
      <c r="CF177" s="38">
        <f>IF(SUM($CB154:CF154)=0, 0, CF62)</f>
        <v>0</v>
      </c>
      <c r="CG177" s="38">
        <f>IF(SUM($CB154:CG154)=0, 0, CG62)</f>
        <v>0</v>
      </c>
      <c r="CH177" s="38">
        <f>IF(SUM($CB154:CH154)=0, 0, CH62)</f>
        <v>0</v>
      </c>
      <c r="CI177" s="38">
        <f>IF(SUM($CB154:CI154)=0, 0, CI62)</f>
        <v>0</v>
      </c>
      <c r="CK177" s="11"/>
      <c r="CM177" s="11"/>
      <c r="EX177" s="10" t="str">
        <f t="shared" si="154"/>
        <v/>
      </c>
    </row>
    <row r="178" spans="1:154" x14ac:dyDescent="0.35">
      <c r="B178" t="str">
        <f ca="1">Loans!B$31</f>
        <v>Loan 19</v>
      </c>
      <c r="D178" s="51">
        <f>Loans!D$31</f>
        <v>0</v>
      </c>
      <c r="E178" s="117" t="str">
        <f>IF(Loans!R$31=0, "", Loans!R$31)</f>
        <v/>
      </c>
      <c r="F178" s="10">
        <f>Loans!H$713</f>
        <v>0</v>
      </c>
      <c r="V178" s="106"/>
      <c r="W178" s="106"/>
      <c r="X178" s="106"/>
      <c r="Y178" s="106"/>
      <c r="AA178" s="38">
        <f>IF(SUM($AA155:AA155)=0, 0, AA63)</f>
        <v>0</v>
      </c>
      <c r="AB178" s="38">
        <f>IF(SUM($AA155:AB155)=0, 0, AB63)</f>
        <v>0</v>
      </c>
      <c r="AC178" s="38">
        <f>IF(SUM($AA155:AC155)=0, 0, AC63)</f>
        <v>0</v>
      </c>
      <c r="AD178" s="38">
        <f>IF(SUM($AA155:AD155)=0, 0, AD63)</f>
        <v>0</v>
      </c>
      <c r="AE178" s="38">
        <f>IF(SUM($AA155:AE155)=0, 0, AE63)</f>
        <v>0</v>
      </c>
      <c r="AF178" s="38">
        <f>IF(SUM($AA155:AF155)=0, 0, AF63)</f>
        <v>0</v>
      </c>
      <c r="AG178" s="38">
        <f>IF(SUM($AA155:AG155)=0, 0, AG63)</f>
        <v>0</v>
      </c>
      <c r="AH178" s="38">
        <f>IF(SUM($AA155:AH155)=0, 0, AH63)</f>
        <v>0</v>
      </c>
      <c r="AI178" s="38">
        <f>IF(SUM($AA155:AI155)=0, 0, AI63)</f>
        <v>0</v>
      </c>
      <c r="AJ178" s="38">
        <f>IF(SUM($AA155:AJ155)=0, 0, AJ63)</f>
        <v>0</v>
      </c>
      <c r="AK178" s="38">
        <f>IF(SUM($AA155:AK155)=0, 0, AK63)</f>
        <v>0</v>
      </c>
      <c r="AL178" s="38">
        <f>IF(SUM($AA155:AL155)=0, 0, AL63)</f>
        <v>0</v>
      </c>
      <c r="AM178" s="38">
        <f>IF(SUM($AA155:AM155)=0, 0, AM63)</f>
        <v>0</v>
      </c>
      <c r="AN178" s="38">
        <f>IF(SUM($AA155:AN155)=0, 0, AN63)</f>
        <v>0</v>
      </c>
      <c r="AO178" s="38">
        <f>IF(SUM($AA155:AO155)=0, 0, AO63)</f>
        <v>0</v>
      </c>
      <c r="AP178" s="38">
        <f>IF(SUM($AA155:AP155)=0, 0, AP63)</f>
        <v>0</v>
      </c>
      <c r="AQ178" s="38">
        <f>IF(SUM($AA155:AQ155)=0, 0, AQ63)</f>
        <v>0</v>
      </c>
      <c r="AR178" s="38">
        <f>IF(SUM($AA155:AR155)=0, 0, AR63)</f>
        <v>0</v>
      </c>
      <c r="AS178" s="38">
        <f>IF(SUM($AA155:AS155)=0, 0, AS63)</f>
        <v>0</v>
      </c>
      <c r="AT178" s="38">
        <f>IF(SUM($AA155:AT155)=0, 0, AT63)</f>
        <v>0</v>
      </c>
      <c r="AU178" s="38">
        <f>IF(SUM($AA155:AU155)=0, 0, AU63)</f>
        <v>0</v>
      </c>
      <c r="AV178" s="38">
        <f>IF(SUM($AA155:AV155)=0, 0, AV63)</f>
        <v>0</v>
      </c>
      <c r="AW178" s="38">
        <f>IF(SUM($AA155:AW155)=0, 0, AW63)</f>
        <v>0</v>
      </c>
      <c r="AX178" s="38">
        <f>IF(SUM($AA155:AX155)=0, 0, AX63)</f>
        <v>0</v>
      </c>
      <c r="AY178" s="38">
        <f>IF(SUM($AA155:AY155)=0, 0, AY63)</f>
        <v>0</v>
      </c>
      <c r="AZ178" s="38">
        <f>IF(SUM($AA155:AZ155)=0, 0, AZ63)</f>
        <v>0</v>
      </c>
      <c r="BA178" s="38">
        <f>IF(SUM($AA155:BA155)=0, 0, BA63)</f>
        <v>0</v>
      </c>
      <c r="BB178" s="38">
        <f>IF(SUM($AA155:BB155)=0, 0, BB63)</f>
        <v>0</v>
      </c>
      <c r="BC178" s="38">
        <f>IF(SUM($AA155:BC155)=0, 0, BC63)</f>
        <v>0</v>
      </c>
      <c r="BD178" s="38">
        <f>IF(SUM($AA155:BD155)=0, 0, BD63)</f>
        <v>0</v>
      </c>
      <c r="BE178" s="38">
        <f>IF(SUM($AA155:BE155)=0, 0, BE63)</f>
        <v>0</v>
      </c>
      <c r="BF178" s="38">
        <f>IF(SUM($AA155:BF155)=0, 0, BF63)</f>
        <v>0</v>
      </c>
      <c r="BG178" s="38">
        <f>IF(SUM($AA155:BG155)=0, 0, BG63)</f>
        <v>0</v>
      </c>
      <c r="BH178" s="38">
        <f>IF(SUM($AA155:BH155)=0, 0, BH63)</f>
        <v>0</v>
      </c>
      <c r="BI178" s="38">
        <f>IF(SUM($AA155:BI155)=0, 0, BI63)</f>
        <v>0</v>
      </c>
      <c r="BJ178" s="38">
        <f>IF(SUM($AA155:BJ155)=0, 0, BJ63)</f>
        <v>0</v>
      </c>
      <c r="BK178" s="38">
        <f>IF(SUM($AA155:BK155)=0, 0, BK63)</f>
        <v>0</v>
      </c>
      <c r="BL178" s="38">
        <f>IF(SUM($AA155:BL155)=0, 0, BL63)</f>
        <v>0</v>
      </c>
      <c r="BM178" s="38">
        <f>IF(SUM($AA155:BM155)=0, 0, BM63)</f>
        <v>0</v>
      </c>
      <c r="BN178" s="38">
        <f>IF(SUM($AA155:BN155)=0, 0, BN63)</f>
        <v>0</v>
      </c>
      <c r="BO178" s="38">
        <f>IF(SUM($AA155:BO155)=0, 0, BO63)</f>
        <v>0</v>
      </c>
      <c r="BP178" s="38">
        <f>IF(SUM($AA155:BP155)=0, 0, BP63)</f>
        <v>0</v>
      </c>
      <c r="BQ178" s="38">
        <f>IF(SUM($AA155:BQ155)=0, 0, BQ63)</f>
        <v>0</v>
      </c>
      <c r="BR178" s="38">
        <f>IF(SUM($AA155:BR155)=0, 0, BR63)</f>
        <v>0</v>
      </c>
      <c r="BS178" s="38">
        <f>IF(SUM($AA155:BS155)=0, 0, BS63)</f>
        <v>0</v>
      </c>
      <c r="BT178" s="38">
        <f>IF(SUM($AA155:BT155)=0, 0, BT63)</f>
        <v>0</v>
      </c>
      <c r="BU178" s="38">
        <f>IF(SUM($AA155:BU155)=0, 0, BU63)</f>
        <v>0</v>
      </c>
      <c r="BV178" s="38">
        <f>IF(SUM($AA155:BV155)=0, 0, BV63)</f>
        <v>0</v>
      </c>
      <c r="BX178" s="106"/>
      <c r="BY178" s="106"/>
      <c r="BZ178" s="106"/>
      <c r="CA178" s="106"/>
      <c r="CB178" s="38">
        <f>IF(SUM($CB155:CB155)=0, 0, CB63)</f>
        <v>0</v>
      </c>
      <c r="CC178" s="38">
        <f>IF(SUM($CB155:CC155)=0, 0, CC63)</f>
        <v>0</v>
      </c>
      <c r="CD178" s="38">
        <f>IF(SUM($CB155:CD155)=0, 0, CD63)</f>
        <v>0</v>
      </c>
      <c r="CE178" s="38">
        <f>IF(SUM($CB155:CE155)=0, 0, CE63)</f>
        <v>0</v>
      </c>
      <c r="CF178" s="38">
        <f>IF(SUM($CB155:CF155)=0, 0, CF63)</f>
        <v>0</v>
      </c>
      <c r="CG178" s="38">
        <f>IF(SUM($CB155:CG155)=0, 0, CG63)</f>
        <v>0</v>
      </c>
      <c r="CH178" s="38">
        <f>IF(SUM($CB155:CH155)=0, 0, CH63)</f>
        <v>0</v>
      </c>
      <c r="CI178" s="38">
        <f>IF(SUM($CB155:CI155)=0, 0, CI63)</f>
        <v>0</v>
      </c>
      <c r="CK178" s="11"/>
      <c r="CM178" s="11"/>
      <c r="EX178" s="10" t="str">
        <f t="shared" si="154"/>
        <v/>
      </c>
    </row>
    <row r="179" spans="1:154" x14ac:dyDescent="0.35">
      <c r="B179" t="str">
        <f ca="1">Loans!B$32</f>
        <v>Loan 20</v>
      </c>
      <c r="D179" s="51">
        <f>Loans!D$32</f>
        <v>0</v>
      </c>
      <c r="E179" s="117" t="str">
        <f>IF(Loans!R$32=0, "", Loans!R$32)</f>
        <v/>
      </c>
      <c r="F179" s="10">
        <f>Loans!H$714</f>
        <v>0</v>
      </c>
      <c r="V179" s="106"/>
      <c r="W179" s="106"/>
      <c r="X179" s="106"/>
      <c r="Y179" s="106"/>
      <c r="AA179" s="38">
        <f>IF(SUM($AA156:AA156)=0, 0, AA64)</f>
        <v>0</v>
      </c>
      <c r="AB179" s="38">
        <f>IF(SUM($AA156:AB156)=0, 0, AB64)</f>
        <v>0</v>
      </c>
      <c r="AC179" s="38">
        <f>IF(SUM($AA156:AC156)=0, 0, AC64)</f>
        <v>0</v>
      </c>
      <c r="AD179" s="38">
        <f>IF(SUM($AA156:AD156)=0, 0, AD64)</f>
        <v>0</v>
      </c>
      <c r="AE179" s="38">
        <f>IF(SUM($AA156:AE156)=0, 0, AE64)</f>
        <v>0</v>
      </c>
      <c r="AF179" s="38">
        <f>IF(SUM($AA156:AF156)=0, 0, AF64)</f>
        <v>0</v>
      </c>
      <c r="AG179" s="38">
        <f>IF(SUM($AA156:AG156)=0, 0, AG64)</f>
        <v>0</v>
      </c>
      <c r="AH179" s="38">
        <f>IF(SUM($AA156:AH156)=0, 0, AH64)</f>
        <v>0</v>
      </c>
      <c r="AI179" s="38">
        <f>IF(SUM($AA156:AI156)=0, 0, AI64)</f>
        <v>0</v>
      </c>
      <c r="AJ179" s="38">
        <f>IF(SUM($AA156:AJ156)=0, 0, AJ64)</f>
        <v>0</v>
      </c>
      <c r="AK179" s="38">
        <f>IF(SUM($AA156:AK156)=0, 0, AK64)</f>
        <v>0</v>
      </c>
      <c r="AL179" s="38">
        <f>IF(SUM($AA156:AL156)=0, 0, AL64)</f>
        <v>0</v>
      </c>
      <c r="AM179" s="38">
        <f>IF(SUM($AA156:AM156)=0, 0, AM64)</f>
        <v>0</v>
      </c>
      <c r="AN179" s="38">
        <f>IF(SUM($AA156:AN156)=0, 0, AN64)</f>
        <v>0</v>
      </c>
      <c r="AO179" s="38">
        <f>IF(SUM($AA156:AO156)=0, 0, AO64)</f>
        <v>0</v>
      </c>
      <c r="AP179" s="38">
        <f>IF(SUM($AA156:AP156)=0, 0, AP64)</f>
        <v>0</v>
      </c>
      <c r="AQ179" s="38">
        <f>IF(SUM($AA156:AQ156)=0, 0, AQ64)</f>
        <v>0</v>
      </c>
      <c r="AR179" s="38">
        <f>IF(SUM($AA156:AR156)=0, 0, AR64)</f>
        <v>0</v>
      </c>
      <c r="AS179" s="38">
        <f>IF(SUM($AA156:AS156)=0, 0, AS64)</f>
        <v>0</v>
      </c>
      <c r="AT179" s="38">
        <f>IF(SUM($AA156:AT156)=0, 0, AT64)</f>
        <v>0</v>
      </c>
      <c r="AU179" s="38">
        <f>IF(SUM($AA156:AU156)=0, 0, AU64)</f>
        <v>0</v>
      </c>
      <c r="AV179" s="38">
        <f>IF(SUM($AA156:AV156)=0, 0, AV64)</f>
        <v>0</v>
      </c>
      <c r="AW179" s="38">
        <f>IF(SUM($AA156:AW156)=0, 0, AW64)</f>
        <v>0</v>
      </c>
      <c r="AX179" s="38">
        <f>IF(SUM($AA156:AX156)=0, 0, AX64)</f>
        <v>0</v>
      </c>
      <c r="AY179" s="38">
        <f>IF(SUM($AA156:AY156)=0, 0, AY64)</f>
        <v>0</v>
      </c>
      <c r="AZ179" s="38">
        <f>IF(SUM($AA156:AZ156)=0, 0, AZ64)</f>
        <v>0</v>
      </c>
      <c r="BA179" s="38">
        <f>IF(SUM($AA156:BA156)=0, 0, BA64)</f>
        <v>0</v>
      </c>
      <c r="BB179" s="38">
        <f>IF(SUM($AA156:BB156)=0, 0, BB64)</f>
        <v>0</v>
      </c>
      <c r="BC179" s="38">
        <f>IF(SUM($AA156:BC156)=0, 0, BC64)</f>
        <v>0</v>
      </c>
      <c r="BD179" s="38">
        <f>IF(SUM($AA156:BD156)=0, 0, BD64)</f>
        <v>0</v>
      </c>
      <c r="BE179" s="38">
        <f>IF(SUM($AA156:BE156)=0, 0, BE64)</f>
        <v>0</v>
      </c>
      <c r="BF179" s="38">
        <f>IF(SUM($AA156:BF156)=0, 0, BF64)</f>
        <v>0</v>
      </c>
      <c r="BG179" s="38">
        <f>IF(SUM($AA156:BG156)=0, 0, BG64)</f>
        <v>0</v>
      </c>
      <c r="BH179" s="38">
        <f>IF(SUM($AA156:BH156)=0, 0, BH64)</f>
        <v>0</v>
      </c>
      <c r="BI179" s="38">
        <f>IF(SUM($AA156:BI156)=0, 0, BI64)</f>
        <v>0</v>
      </c>
      <c r="BJ179" s="38">
        <f>IF(SUM($AA156:BJ156)=0, 0, BJ64)</f>
        <v>0</v>
      </c>
      <c r="BK179" s="38">
        <f>IF(SUM($AA156:BK156)=0, 0, BK64)</f>
        <v>0</v>
      </c>
      <c r="BL179" s="38">
        <f>IF(SUM($AA156:BL156)=0, 0, BL64)</f>
        <v>0</v>
      </c>
      <c r="BM179" s="38">
        <f>IF(SUM($AA156:BM156)=0, 0, BM64)</f>
        <v>0</v>
      </c>
      <c r="BN179" s="38">
        <f>IF(SUM($AA156:BN156)=0, 0, BN64)</f>
        <v>0</v>
      </c>
      <c r="BO179" s="38">
        <f>IF(SUM($AA156:BO156)=0, 0, BO64)</f>
        <v>0</v>
      </c>
      <c r="BP179" s="38">
        <f>IF(SUM($AA156:BP156)=0, 0, BP64)</f>
        <v>0</v>
      </c>
      <c r="BQ179" s="38">
        <f>IF(SUM($AA156:BQ156)=0, 0, BQ64)</f>
        <v>0</v>
      </c>
      <c r="BR179" s="38">
        <f>IF(SUM($AA156:BR156)=0, 0, BR64)</f>
        <v>0</v>
      </c>
      <c r="BS179" s="38">
        <f>IF(SUM($AA156:BS156)=0, 0, BS64)</f>
        <v>0</v>
      </c>
      <c r="BT179" s="38">
        <f>IF(SUM($AA156:BT156)=0, 0, BT64)</f>
        <v>0</v>
      </c>
      <c r="BU179" s="38">
        <f>IF(SUM($AA156:BU156)=0, 0, BU64)</f>
        <v>0</v>
      </c>
      <c r="BV179" s="38">
        <f>IF(SUM($AA156:BV156)=0, 0, BV64)</f>
        <v>0</v>
      </c>
      <c r="BX179" s="106"/>
      <c r="BY179" s="106"/>
      <c r="BZ179" s="106"/>
      <c r="CA179" s="106"/>
      <c r="CB179" s="38">
        <f>IF(SUM($CB156:CB156)=0, 0, CB64)</f>
        <v>0</v>
      </c>
      <c r="CC179" s="38">
        <f>IF(SUM($CB156:CC156)=0, 0, CC64)</f>
        <v>0</v>
      </c>
      <c r="CD179" s="38">
        <f>IF(SUM($CB156:CD156)=0, 0, CD64)</f>
        <v>0</v>
      </c>
      <c r="CE179" s="38">
        <f>IF(SUM($CB156:CE156)=0, 0, CE64)</f>
        <v>0</v>
      </c>
      <c r="CF179" s="38">
        <f>IF(SUM($CB156:CF156)=0, 0, CF64)</f>
        <v>0</v>
      </c>
      <c r="CG179" s="38">
        <f>IF(SUM($CB156:CG156)=0, 0, CG64)</f>
        <v>0</v>
      </c>
      <c r="CH179" s="38">
        <f>IF(SUM($CB156:CH156)=0, 0, CH64)</f>
        <v>0</v>
      </c>
      <c r="CI179" s="38">
        <f>IF(SUM($CB156:CI156)=0, 0, CI64)</f>
        <v>0</v>
      </c>
      <c r="CK179" s="11"/>
      <c r="CM179" s="11"/>
      <c r="EX179" s="10" t="str">
        <f t="shared" si="154"/>
        <v/>
      </c>
    </row>
    <row r="180" spans="1:154" ht="6.75" customHeight="1" x14ac:dyDescent="0.35">
      <c r="D180" s="1"/>
      <c r="E180"/>
      <c r="BY180" s="6"/>
      <c r="CK180" s="35"/>
      <c r="CM180" s="35"/>
      <c r="EX180" s="10" t="str">
        <f t="shared" si="154"/>
        <v/>
      </c>
    </row>
    <row r="181" spans="1:154" x14ac:dyDescent="0.35">
      <c r="D181" s="5" t="s">
        <v>1940</v>
      </c>
      <c r="E181"/>
      <c r="CK181" s="11"/>
      <c r="CM181" s="11"/>
      <c r="EX181" s="10" t="str">
        <f t="shared" si="154"/>
        <v/>
      </c>
    </row>
    <row r="182" spans="1:154" x14ac:dyDescent="0.35">
      <c r="B182" s="5"/>
      <c r="D182" s="5" t="str">
        <f>Loans!D$11</f>
        <v>Lender</v>
      </c>
      <c r="E182" s="5" t="s">
        <v>1938</v>
      </c>
      <c r="F182" s="5" t="s">
        <v>1236</v>
      </c>
      <c r="CK182" s="11"/>
      <c r="CM182" s="11"/>
      <c r="EX182" s="10" t="str">
        <f t="shared" si="154"/>
        <v/>
      </c>
    </row>
    <row r="183" spans="1:154" x14ac:dyDescent="0.35">
      <c r="B183" t="str">
        <f ca="1">Loans!B$13</f>
        <v>Loan 1</v>
      </c>
      <c r="D183" s="51">
        <f>Loans!D$13</f>
        <v>0</v>
      </c>
      <c r="E183" s="117" t="str">
        <f>IF(Loans!R$13=0, "", Loans!R$13)</f>
        <v/>
      </c>
      <c r="F183" s="10">
        <f>Loans!H$695</f>
        <v>0</v>
      </c>
      <c r="V183" s="106"/>
      <c r="W183" s="106"/>
      <c r="X183" s="106"/>
      <c r="Y183" s="106"/>
      <c r="AA183" s="132">
        <f t="shared" ref="AA183:BV183" si="168">IF(AA137=1, 1, Z183+AA160)*AA160</f>
        <v>0</v>
      </c>
      <c r="AB183" s="38">
        <f t="shared" si="168"/>
        <v>0</v>
      </c>
      <c r="AC183" s="38">
        <f t="shared" si="168"/>
        <v>0</v>
      </c>
      <c r="AD183" s="38">
        <f t="shared" si="168"/>
        <v>0</v>
      </c>
      <c r="AE183" s="38">
        <f t="shared" si="168"/>
        <v>0</v>
      </c>
      <c r="AF183" s="38">
        <f t="shared" si="168"/>
        <v>0</v>
      </c>
      <c r="AG183" s="38">
        <f t="shared" si="168"/>
        <v>0</v>
      </c>
      <c r="AH183" s="38">
        <f t="shared" si="168"/>
        <v>0</v>
      </c>
      <c r="AI183" s="38">
        <f t="shared" si="168"/>
        <v>0</v>
      </c>
      <c r="AJ183" s="38">
        <f t="shared" si="168"/>
        <v>0</v>
      </c>
      <c r="AK183" s="38">
        <f t="shared" si="168"/>
        <v>0</v>
      </c>
      <c r="AL183" s="38">
        <f t="shared" si="168"/>
        <v>0</v>
      </c>
      <c r="AM183" s="38">
        <f t="shared" si="168"/>
        <v>0</v>
      </c>
      <c r="AN183" s="38">
        <f t="shared" si="168"/>
        <v>0</v>
      </c>
      <c r="AO183" s="38">
        <f t="shared" si="168"/>
        <v>0</v>
      </c>
      <c r="AP183" s="38">
        <f t="shared" si="168"/>
        <v>0</v>
      </c>
      <c r="AQ183" s="38">
        <f t="shared" si="168"/>
        <v>0</v>
      </c>
      <c r="AR183" s="38">
        <f t="shared" si="168"/>
        <v>0</v>
      </c>
      <c r="AS183" s="38">
        <f t="shared" si="168"/>
        <v>0</v>
      </c>
      <c r="AT183" s="38">
        <f t="shared" si="168"/>
        <v>0</v>
      </c>
      <c r="AU183" s="38">
        <f t="shared" si="168"/>
        <v>0</v>
      </c>
      <c r="AV183" s="38">
        <f t="shared" si="168"/>
        <v>0</v>
      </c>
      <c r="AW183" s="38">
        <f t="shared" si="168"/>
        <v>0</v>
      </c>
      <c r="AX183" s="38">
        <f t="shared" si="168"/>
        <v>0</v>
      </c>
      <c r="AY183" s="38">
        <f t="shared" si="168"/>
        <v>0</v>
      </c>
      <c r="AZ183" s="38">
        <f t="shared" si="168"/>
        <v>0</v>
      </c>
      <c r="BA183" s="38">
        <f t="shared" si="168"/>
        <v>0</v>
      </c>
      <c r="BB183" s="38">
        <f t="shared" si="168"/>
        <v>0</v>
      </c>
      <c r="BC183" s="38">
        <f t="shared" si="168"/>
        <v>0</v>
      </c>
      <c r="BD183" s="38">
        <f t="shared" si="168"/>
        <v>0</v>
      </c>
      <c r="BE183" s="38">
        <f t="shared" si="168"/>
        <v>0</v>
      </c>
      <c r="BF183" s="38">
        <f t="shared" si="168"/>
        <v>0</v>
      </c>
      <c r="BG183" s="38">
        <f t="shared" si="168"/>
        <v>0</v>
      </c>
      <c r="BH183" s="38">
        <f t="shared" si="168"/>
        <v>0</v>
      </c>
      <c r="BI183" s="38">
        <f t="shared" si="168"/>
        <v>0</v>
      </c>
      <c r="BJ183" s="38">
        <f t="shared" si="168"/>
        <v>0</v>
      </c>
      <c r="BK183" s="38">
        <f t="shared" si="168"/>
        <v>0</v>
      </c>
      <c r="BL183" s="38">
        <f t="shared" si="168"/>
        <v>0</v>
      </c>
      <c r="BM183" s="38">
        <f t="shared" si="168"/>
        <v>0</v>
      </c>
      <c r="BN183" s="38">
        <f t="shared" si="168"/>
        <v>0</v>
      </c>
      <c r="BO183" s="38">
        <f t="shared" si="168"/>
        <v>0</v>
      </c>
      <c r="BP183" s="38">
        <f t="shared" si="168"/>
        <v>0</v>
      </c>
      <c r="BQ183" s="38">
        <f t="shared" si="168"/>
        <v>0</v>
      </c>
      <c r="BR183" s="38">
        <f t="shared" si="168"/>
        <v>0</v>
      </c>
      <c r="BS183" s="38">
        <f t="shared" si="168"/>
        <v>0</v>
      </c>
      <c r="BT183" s="38">
        <f t="shared" si="168"/>
        <v>0</v>
      </c>
      <c r="BU183" s="38">
        <f t="shared" si="168"/>
        <v>0</v>
      </c>
      <c r="BV183" s="38">
        <f t="shared" si="168"/>
        <v>0</v>
      </c>
      <c r="BX183" s="106"/>
      <c r="BY183" s="106"/>
      <c r="BZ183" s="106"/>
      <c r="CA183" s="106"/>
      <c r="CB183" s="106"/>
      <c r="CC183" s="106"/>
      <c r="CD183" s="106"/>
      <c r="CE183" s="106"/>
      <c r="CF183" s="106"/>
      <c r="CG183" s="106"/>
      <c r="CH183" s="106"/>
      <c r="CI183" s="106"/>
      <c r="CK183" s="11"/>
      <c r="CM183" s="11"/>
      <c r="EX183" s="10" t="str">
        <f t="shared" si="154"/>
        <v/>
      </c>
    </row>
    <row r="184" spans="1:154" x14ac:dyDescent="0.35">
      <c r="B184" t="str">
        <f ca="1">Loans!B$14</f>
        <v>Loan 2</v>
      </c>
      <c r="D184" s="51">
        <f>Loans!D$14</f>
        <v>0</v>
      </c>
      <c r="E184" s="117" t="str">
        <f>IF(Loans!R$14=0, "", Loans!R$14)</f>
        <v/>
      </c>
      <c r="F184" s="10">
        <f>Loans!H$696</f>
        <v>0</v>
      </c>
      <c r="V184" s="106"/>
      <c r="W184" s="106"/>
      <c r="X184" s="106"/>
      <c r="Y184" s="106"/>
      <c r="AA184" s="38">
        <f t="shared" ref="AA184:BV184" si="169">IF(AA138=1, 1, Z184+AA161)*AA161</f>
        <v>0</v>
      </c>
      <c r="AB184" s="38">
        <f t="shared" si="169"/>
        <v>0</v>
      </c>
      <c r="AC184" s="38">
        <f t="shared" si="169"/>
        <v>0</v>
      </c>
      <c r="AD184" s="38">
        <f t="shared" si="169"/>
        <v>0</v>
      </c>
      <c r="AE184" s="38">
        <f t="shared" si="169"/>
        <v>0</v>
      </c>
      <c r="AF184" s="38">
        <f t="shared" si="169"/>
        <v>0</v>
      </c>
      <c r="AG184" s="38">
        <f t="shared" si="169"/>
        <v>0</v>
      </c>
      <c r="AH184" s="38">
        <f t="shared" si="169"/>
        <v>0</v>
      </c>
      <c r="AI184" s="38">
        <f t="shared" si="169"/>
        <v>0</v>
      </c>
      <c r="AJ184" s="38">
        <f t="shared" si="169"/>
        <v>0</v>
      </c>
      <c r="AK184" s="38">
        <f t="shared" si="169"/>
        <v>0</v>
      </c>
      <c r="AL184" s="38">
        <f t="shared" si="169"/>
        <v>0</v>
      </c>
      <c r="AM184" s="38">
        <f t="shared" si="169"/>
        <v>0</v>
      </c>
      <c r="AN184" s="38">
        <f t="shared" si="169"/>
        <v>0</v>
      </c>
      <c r="AO184" s="38">
        <f t="shared" si="169"/>
        <v>0</v>
      </c>
      <c r="AP184" s="38">
        <f t="shared" si="169"/>
        <v>0</v>
      </c>
      <c r="AQ184" s="38">
        <f t="shared" si="169"/>
        <v>0</v>
      </c>
      <c r="AR184" s="38">
        <f t="shared" si="169"/>
        <v>0</v>
      </c>
      <c r="AS184" s="38">
        <f t="shared" si="169"/>
        <v>0</v>
      </c>
      <c r="AT184" s="38">
        <f t="shared" si="169"/>
        <v>0</v>
      </c>
      <c r="AU184" s="38">
        <f t="shared" si="169"/>
        <v>0</v>
      </c>
      <c r="AV184" s="38">
        <f t="shared" si="169"/>
        <v>0</v>
      </c>
      <c r="AW184" s="38">
        <f t="shared" si="169"/>
        <v>0</v>
      </c>
      <c r="AX184" s="38">
        <f t="shared" si="169"/>
        <v>0</v>
      </c>
      <c r="AY184" s="38">
        <f t="shared" si="169"/>
        <v>0</v>
      </c>
      <c r="AZ184" s="38">
        <f t="shared" si="169"/>
        <v>0</v>
      </c>
      <c r="BA184" s="38">
        <f t="shared" si="169"/>
        <v>0</v>
      </c>
      <c r="BB184" s="38">
        <f t="shared" si="169"/>
        <v>0</v>
      </c>
      <c r="BC184" s="38">
        <f t="shared" si="169"/>
        <v>0</v>
      </c>
      <c r="BD184" s="38">
        <f t="shared" si="169"/>
        <v>0</v>
      </c>
      <c r="BE184" s="38">
        <f t="shared" si="169"/>
        <v>0</v>
      </c>
      <c r="BF184" s="38">
        <f t="shared" si="169"/>
        <v>0</v>
      </c>
      <c r="BG184" s="38">
        <f t="shared" si="169"/>
        <v>0</v>
      </c>
      <c r="BH184" s="38">
        <f t="shared" si="169"/>
        <v>0</v>
      </c>
      <c r="BI184" s="38">
        <f t="shared" si="169"/>
        <v>0</v>
      </c>
      <c r="BJ184" s="38">
        <f t="shared" si="169"/>
        <v>0</v>
      </c>
      <c r="BK184" s="38">
        <f t="shared" si="169"/>
        <v>0</v>
      </c>
      <c r="BL184" s="38">
        <f t="shared" si="169"/>
        <v>0</v>
      </c>
      <c r="BM184" s="38">
        <f t="shared" si="169"/>
        <v>0</v>
      </c>
      <c r="BN184" s="38">
        <f t="shared" si="169"/>
        <v>0</v>
      </c>
      <c r="BO184" s="38">
        <f t="shared" si="169"/>
        <v>0</v>
      </c>
      <c r="BP184" s="38">
        <f t="shared" si="169"/>
        <v>0</v>
      </c>
      <c r="BQ184" s="38">
        <f t="shared" si="169"/>
        <v>0</v>
      </c>
      <c r="BR184" s="38">
        <f t="shared" si="169"/>
        <v>0</v>
      </c>
      <c r="BS184" s="38">
        <f t="shared" si="169"/>
        <v>0</v>
      </c>
      <c r="BT184" s="38">
        <f t="shared" si="169"/>
        <v>0</v>
      </c>
      <c r="BU184" s="38">
        <f t="shared" si="169"/>
        <v>0</v>
      </c>
      <c r="BV184" s="38">
        <f t="shared" si="169"/>
        <v>0</v>
      </c>
      <c r="BX184" s="106"/>
      <c r="BY184" s="106"/>
      <c r="BZ184" s="106"/>
      <c r="CA184" s="106"/>
      <c r="CB184" s="106"/>
      <c r="CC184" s="106"/>
      <c r="CD184" s="106"/>
      <c r="CE184" s="106"/>
      <c r="CF184" s="106"/>
      <c r="CG184" s="106"/>
      <c r="CH184" s="106"/>
      <c r="CI184" s="106"/>
      <c r="CK184" s="11"/>
      <c r="CM184" s="11"/>
      <c r="EX184" s="10" t="str">
        <f t="shared" si="154"/>
        <v/>
      </c>
    </row>
    <row r="185" spans="1:154" x14ac:dyDescent="0.35">
      <c r="B185" t="str">
        <f ca="1">Loans!B$15</f>
        <v>Loan 3</v>
      </c>
      <c r="D185" s="51">
        <f>Loans!D$15</f>
        <v>0</v>
      </c>
      <c r="E185" s="117" t="str">
        <f>IF(Loans!R$15=0, "", Loans!R$15)</f>
        <v/>
      </c>
      <c r="F185" s="10">
        <f>Loans!H$697</f>
        <v>0</v>
      </c>
      <c r="V185" s="106"/>
      <c r="W185" s="106"/>
      <c r="X185" s="106"/>
      <c r="Y185" s="106"/>
      <c r="AA185" s="38">
        <f t="shared" ref="AA185:BV185" si="170">IF(AA139=1, 1, Z185+AA162)*AA162</f>
        <v>0</v>
      </c>
      <c r="AB185" s="38">
        <f t="shared" si="170"/>
        <v>0</v>
      </c>
      <c r="AC185" s="38">
        <f t="shared" si="170"/>
        <v>0</v>
      </c>
      <c r="AD185" s="38">
        <f t="shared" si="170"/>
        <v>0</v>
      </c>
      <c r="AE185" s="38">
        <f t="shared" si="170"/>
        <v>0</v>
      </c>
      <c r="AF185" s="38">
        <f t="shared" si="170"/>
        <v>0</v>
      </c>
      <c r="AG185" s="38">
        <f t="shared" si="170"/>
        <v>0</v>
      </c>
      <c r="AH185" s="38">
        <f t="shared" si="170"/>
        <v>0</v>
      </c>
      <c r="AI185" s="38">
        <f t="shared" si="170"/>
        <v>0</v>
      </c>
      <c r="AJ185" s="38">
        <f t="shared" si="170"/>
        <v>0</v>
      </c>
      <c r="AK185" s="38">
        <f t="shared" si="170"/>
        <v>0</v>
      </c>
      <c r="AL185" s="38">
        <f t="shared" si="170"/>
        <v>0</v>
      </c>
      <c r="AM185" s="38">
        <f t="shared" si="170"/>
        <v>0</v>
      </c>
      <c r="AN185" s="38">
        <f t="shared" si="170"/>
        <v>0</v>
      </c>
      <c r="AO185" s="38">
        <f t="shared" si="170"/>
        <v>0</v>
      </c>
      <c r="AP185" s="38">
        <f t="shared" si="170"/>
        <v>0</v>
      </c>
      <c r="AQ185" s="38">
        <f t="shared" si="170"/>
        <v>0</v>
      </c>
      <c r="AR185" s="38">
        <f t="shared" si="170"/>
        <v>0</v>
      </c>
      <c r="AS185" s="38">
        <f t="shared" si="170"/>
        <v>0</v>
      </c>
      <c r="AT185" s="38">
        <f t="shared" si="170"/>
        <v>0</v>
      </c>
      <c r="AU185" s="38">
        <f t="shared" si="170"/>
        <v>0</v>
      </c>
      <c r="AV185" s="38">
        <f t="shared" si="170"/>
        <v>0</v>
      </c>
      <c r="AW185" s="38">
        <f t="shared" si="170"/>
        <v>0</v>
      </c>
      <c r="AX185" s="38">
        <f t="shared" si="170"/>
        <v>0</v>
      </c>
      <c r="AY185" s="38">
        <f t="shared" si="170"/>
        <v>0</v>
      </c>
      <c r="AZ185" s="38">
        <f t="shared" si="170"/>
        <v>0</v>
      </c>
      <c r="BA185" s="38">
        <f t="shared" si="170"/>
        <v>0</v>
      </c>
      <c r="BB185" s="38">
        <f t="shared" si="170"/>
        <v>0</v>
      </c>
      <c r="BC185" s="38">
        <f t="shared" si="170"/>
        <v>0</v>
      </c>
      <c r="BD185" s="38">
        <f t="shared" si="170"/>
        <v>0</v>
      </c>
      <c r="BE185" s="38">
        <f t="shared" si="170"/>
        <v>0</v>
      </c>
      <c r="BF185" s="38">
        <f t="shared" si="170"/>
        <v>0</v>
      </c>
      <c r="BG185" s="38">
        <f t="shared" si="170"/>
        <v>0</v>
      </c>
      <c r="BH185" s="38">
        <f t="shared" si="170"/>
        <v>0</v>
      </c>
      <c r="BI185" s="38">
        <f t="shared" si="170"/>
        <v>0</v>
      </c>
      <c r="BJ185" s="38">
        <f t="shared" si="170"/>
        <v>0</v>
      </c>
      <c r="BK185" s="38">
        <f t="shared" si="170"/>
        <v>0</v>
      </c>
      <c r="BL185" s="38">
        <f t="shared" si="170"/>
        <v>0</v>
      </c>
      <c r="BM185" s="38">
        <f t="shared" si="170"/>
        <v>0</v>
      </c>
      <c r="BN185" s="38">
        <f t="shared" si="170"/>
        <v>0</v>
      </c>
      <c r="BO185" s="38">
        <f t="shared" si="170"/>
        <v>0</v>
      </c>
      <c r="BP185" s="38">
        <f t="shared" si="170"/>
        <v>0</v>
      </c>
      <c r="BQ185" s="38">
        <f t="shared" si="170"/>
        <v>0</v>
      </c>
      <c r="BR185" s="38">
        <f t="shared" si="170"/>
        <v>0</v>
      </c>
      <c r="BS185" s="38">
        <f t="shared" si="170"/>
        <v>0</v>
      </c>
      <c r="BT185" s="38">
        <f t="shared" si="170"/>
        <v>0</v>
      </c>
      <c r="BU185" s="38">
        <f t="shared" si="170"/>
        <v>0</v>
      </c>
      <c r="BV185" s="38">
        <f t="shared" si="170"/>
        <v>0</v>
      </c>
      <c r="BX185" s="106"/>
      <c r="BY185" s="106"/>
      <c r="BZ185" s="106"/>
      <c r="CA185" s="106"/>
      <c r="CB185" s="106"/>
      <c r="CC185" s="106"/>
      <c r="CD185" s="106"/>
      <c r="CE185" s="106"/>
      <c r="CF185" s="106"/>
      <c r="CG185" s="106"/>
      <c r="CH185" s="106"/>
      <c r="CI185" s="106"/>
      <c r="CK185" s="11"/>
      <c r="CM185" s="11"/>
      <c r="EX185" s="10" t="str">
        <f t="shared" si="154"/>
        <v/>
      </c>
    </row>
    <row r="186" spans="1:154" x14ac:dyDescent="0.35">
      <c r="B186" t="str">
        <f ca="1">Loans!B$16</f>
        <v>Loan 4</v>
      </c>
      <c r="D186" s="51">
        <f>Loans!D$16</f>
        <v>0</v>
      </c>
      <c r="E186" s="117" t="str">
        <f>IF(Loans!R$16=0, "", Loans!R$16)</f>
        <v/>
      </c>
      <c r="F186" s="10">
        <f>Loans!H$698</f>
        <v>0</v>
      </c>
      <c r="V186" s="106"/>
      <c r="W186" s="106"/>
      <c r="X186" s="106"/>
      <c r="Y186" s="106"/>
      <c r="AA186" s="38">
        <f t="shared" ref="AA186:BV186" si="171">IF(AA140=1, 1, Z186+AA163)*AA163</f>
        <v>0</v>
      </c>
      <c r="AB186" s="38">
        <f t="shared" si="171"/>
        <v>0</v>
      </c>
      <c r="AC186" s="38">
        <f t="shared" si="171"/>
        <v>0</v>
      </c>
      <c r="AD186" s="38">
        <f t="shared" si="171"/>
        <v>0</v>
      </c>
      <c r="AE186" s="38">
        <f t="shared" si="171"/>
        <v>0</v>
      </c>
      <c r="AF186" s="38">
        <f t="shared" si="171"/>
        <v>0</v>
      </c>
      <c r="AG186" s="38">
        <f t="shared" si="171"/>
        <v>0</v>
      </c>
      <c r="AH186" s="38">
        <f t="shared" si="171"/>
        <v>0</v>
      </c>
      <c r="AI186" s="38">
        <f t="shared" si="171"/>
        <v>0</v>
      </c>
      <c r="AJ186" s="38">
        <f t="shared" si="171"/>
        <v>0</v>
      </c>
      <c r="AK186" s="38">
        <f t="shared" si="171"/>
        <v>0</v>
      </c>
      <c r="AL186" s="38">
        <f t="shared" si="171"/>
        <v>0</v>
      </c>
      <c r="AM186" s="38">
        <f t="shared" si="171"/>
        <v>0</v>
      </c>
      <c r="AN186" s="38">
        <f t="shared" si="171"/>
        <v>0</v>
      </c>
      <c r="AO186" s="38">
        <f t="shared" si="171"/>
        <v>0</v>
      </c>
      <c r="AP186" s="38">
        <f t="shared" si="171"/>
        <v>0</v>
      </c>
      <c r="AQ186" s="38">
        <f t="shared" si="171"/>
        <v>0</v>
      </c>
      <c r="AR186" s="38">
        <f t="shared" si="171"/>
        <v>0</v>
      </c>
      <c r="AS186" s="38">
        <f t="shared" si="171"/>
        <v>0</v>
      </c>
      <c r="AT186" s="38">
        <f t="shared" si="171"/>
        <v>0</v>
      </c>
      <c r="AU186" s="38">
        <f t="shared" si="171"/>
        <v>0</v>
      </c>
      <c r="AV186" s="38">
        <f t="shared" si="171"/>
        <v>0</v>
      </c>
      <c r="AW186" s="38">
        <f t="shared" si="171"/>
        <v>0</v>
      </c>
      <c r="AX186" s="38">
        <f t="shared" si="171"/>
        <v>0</v>
      </c>
      <c r="AY186" s="38">
        <f t="shared" si="171"/>
        <v>0</v>
      </c>
      <c r="AZ186" s="38">
        <f t="shared" si="171"/>
        <v>0</v>
      </c>
      <c r="BA186" s="38">
        <f t="shared" si="171"/>
        <v>0</v>
      </c>
      <c r="BB186" s="38">
        <f t="shared" si="171"/>
        <v>0</v>
      </c>
      <c r="BC186" s="38">
        <f t="shared" si="171"/>
        <v>0</v>
      </c>
      <c r="BD186" s="38">
        <f t="shared" si="171"/>
        <v>0</v>
      </c>
      <c r="BE186" s="38">
        <f t="shared" si="171"/>
        <v>0</v>
      </c>
      <c r="BF186" s="38">
        <f t="shared" si="171"/>
        <v>0</v>
      </c>
      <c r="BG186" s="38">
        <f t="shared" si="171"/>
        <v>0</v>
      </c>
      <c r="BH186" s="38">
        <f t="shared" si="171"/>
        <v>0</v>
      </c>
      <c r="BI186" s="38">
        <f t="shared" si="171"/>
        <v>0</v>
      </c>
      <c r="BJ186" s="38">
        <f t="shared" si="171"/>
        <v>0</v>
      </c>
      <c r="BK186" s="38">
        <f t="shared" si="171"/>
        <v>0</v>
      </c>
      <c r="BL186" s="38">
        <f t="shared" si="171"/>
        <v>0</v>
      </c>
      <c r="BM186" s="38">
        <f t="shared" si="171"/>
        <v>0</v>
      </c>
      <c r="BN186" s="38">
        <f t="shared" si="171"/>
        <v>0</v>
      </c>
      <c r="BO186" s="38">
        <f t="shared" si="171"/>
        <v>0</v>
      </c>
      <c r="BP186" s="38">
        <f t="shared" si="171"/>
        <v>0</v>
      </c>
      <c r="BQ186" s="38">
        <f t="shared" si="171"/>
        <v>0</v>
      </c>
      <c r="BR186" s="38">
        <f t="shared" si="171"/>
        <v>0</v>
      </c>
      <c r="BS186" s="38">
        <f t="shared" si="171"/>
        <v>0</v>
      </c>
      <c r="BT186" s="38">
        <f t="shared" si="171"/>
        <v>0</v>
      </c>
      <c r="BU186" s="38">
        <f t="shared" si="171"/>
        <v>0</v>
      </c>
      <c r="BV186" s="38">
        <f t="shared" si="171"/>
        <v>0</v>
      </c>
      <c r="BX186" s="106"/>
      <c r="BY186" s="106"/>
      <c r="BZ186" s="106"/>
      <c r="CA186" s="106"/>
      <c r="CB186" s="106"/>
      <c r="CC186" s="106"/>
      <c r="CD186" s="106"/>
      <c r="CE186" s="106"/>
      <c r="CF186" s="106"/>
      <c r="CG186" s="106"/>
      <c r="CH186" s="106"/>
      <c r="CI186" s="106"/>
      <c r="CK186" s="11"/>
      <c r="CM186" s="11"/>
      <c r="EX186" s="10" t="str">
        <f t="shared" si="154"/>
        <v/>
      </c>
    </row>
    <row r="187" spans="1:154" x14ac:dyDescent="0.35">
      <c r="B187" t="str">
        <f ca="1">Loans!B$17</f>
        <v>Loan 5</v>
      </c>
      <c r="D187" s="51">
        <f>Loans!D$17</f>
        <v>0</v>
      </c>
      <c r="E187" s="117" t="str">
        <f>IF(Loans!R$17=0, "", Loans!R$17)</f>
        <v/>
      </c>
      <c r="F187" s="10">
        <f>Loans!H$699</f>
        <v>0</v>
      </c>
      <c r="V187" s="106"/>
      <c r="W187" s="106"/>
      <c r="X187" s="106"/>
      <c r="Y187" s="106"/>
      <c r="AA187" s="38">
        <f t="shared" ref="AA187:BV187" si="172">IF(AA141=1, 1, Z187+AA164)*AA164</f>
        <v>0</v>
      </c>
      <c r="AB187" s="38">
        <f t="shared" si="172"/>
        <v>0</v>
      </c>
      <c r="AC187" s="38">
        <f t="shared" si="172"/>
        <v>0</v>
      </c>
      <c r="AD187" s="38">
        <f t="shared" si="172"/>
        <v>0</v>
      </c>
      <c r="AE187" s="38">
        <f t="shared" si="172"/>
        <v>0</v>
      </c>
      <c r="AF187" s="38">
        <f t="shared" si="172"/>
        <v>0</v>
      </c>
      <c r="AG187" s="38">
        <f t="shared" si="172"/>
        <v>0</v>
      </c>
      <c r="AH187" s="38">
        <f t="shared" si="172"/>
        <v>0</v>
      </c>
      <c r="AI187" s="38">
        <f t="shared" si="172"/>
        <v>0</v>
      </c>
      <c r="AJ187" s="38">
        <f t="shared" si="172"/>
        <v>0</v>
      </c>
      <c r="AK187" s="38">
        <f t="shared" si="172"/>
        <v>0</v>
      </c>
      <c r="AL187" s="38">
        <f t="shared" si="172"/>
        <v>0</v>
      </c>
      <c r="AM187" s="38">
        <f t="shared" si="172"/>
        <v>0</v>
      </c>
      <c r="AN187" s="38">
        <f t="shared" si="172"/>
        <v>0</v>
      </c>
      <c r="AO187" s="38">
        <f t="shared" si="172"/>
        <v>0</v>
      </c>
      <c r="AP187" s="38">
        <f t="shared" si="172"/>
        <v>0</v>
      </c>
      <c r="AQ187" s="38">
        <f t="shared" si="172"/>
        <v>0</v>
      </c>
      <c r="AR187" s="38">
        <f t="shared" si="172"/>
        <v>0</v>
      </c>
      <c r="AS187" s="38">
        <f t="shared" si="172"/>
        <v>0</v>
      </c>
      <c r="AT187" s="38">
        <f t="shared" si="172"/>
        <v>0</v>
      </c>
      <c r="AU187" s="38">
        <f t="shared" si="172"/>
        <v>0</v>
      </c>
      <c r="AV187" s="38">
        <f t="shared" si="172"/>
        <v>0</v>
      </c>
      <c r="AW187" s="38">
        <f t="shared" si="172"/>
        <v>0</v>
      </c>
      <c r="AX187" s="38">
        <f t="shared" si="172"/>
        <v>0</v>
      </c>
      <c r="AY187" s="38">
        <f t="shared" si="172"/>
        <v>0</v>
      </c>
      <c r="AZ187" s="38">
        <f t="shared" si="172"/>
        <v>0</v>
      </c>
      <c r="BA187" s="38">
        <f t="shared" si="172"/>
        <v>0</v>
      </c>
      <c r="BB187" s="38">
        <f t="shared" si="172"/>
        <v>0</v>
      </c>
      <c r="BC187" s="38">
        <f t="shared" si="172"/>
        <v>0</v>
      </c>
      <c r="BD187" s="38">
        <f t="shared" si="172"/>
        <v>0</v>
      </c>
      <c r="BE187" s="38">
        <f t="shared" si="172"/>
        <v>0</v>
      </c>
      <c r="BF187" s="38">
        <f t="shared" si="172"/>
        <v>0</v>
      </c>
      <c r="BG187" s="38">
        <f t="shared" si="172"/>
        <v>0</v>
      </c>
      <c r="BH187" s="38">
        <f t="shared" si="172"/>
        <v>0</v>
      </c>
      <c r="BI187" s="38">
        <f t="shared" si="172"/>
        <v>0</v>
      </c>
      <c r="BJ187" s="38">
        <f t="shared" si="172"/>
        <v>0</v>
      </c>
      <c r="BK187" s="38">
        <f t="shared" si="172"/>
        <v>0</v>
      </c>
      <c r="BL187" s="38">
        <f t="shared" si="172"/>
        <v>0</v>
      </c>
      <c r="BM187" s="38">
        <f t="shared" si="172"/>
        <v>0</v>
      </c>
      <c r="BN187" s="38">
        <f t="shared" si="172"/>
        <v>0</v>
      </c>
      <c r="BO187" s="38">
        <f t="shared" si="172"/>
        <v>0</v>
      </c>
      <c r="BP187" s="38">
        <f t="shared" si="172"/>
        <v>0</v>
      </c>
      <c r="BQ187" s="38">
        <f t="shared" si="172"/>
        <v>0</v>
      </c>
      <c r="BR187" s="38">
        <f t="shared" si="172"/>
        <v>0</v>
      </c>
      <c r="BS187" s="38">
        <f t="shared" si="172"/>
        <v>0</v>
      </c>
      <c r="BT187" s="38">
        <f t="shared" si="172"/>
        <v>0</v>
      </c>
      <c r="BU187" s="38">
        <f t="shared" si="172"/>
        <v>0</v>
      </c>
      <c r="BV187" s="38">
        <f t="shared" si="172"/>
        <v>0</v>
      </c>
      <c r="BX187" s="106"/>
      <c r="BY187" s="106"/>
      <c r="BZ187" s="106"/>
      <c r="CA187" s="106"/>
      <c r="CB187" s="106"/>
      <c r="CC187" s="106"/>
      <c r="CD187" s="106"/>
      <c r="CE187" s="106"/>
      <c r="CF187" s="106"/>
      <c r="CG187" s="106"/>
      <c r="CH187" s="106"/>
      <c r="CI187" s="106"/>
      <c r="CK187" s="11"/>
      <c r="CM187" s="11"/>
      <c r="EX187" s="10" t="str">
        <f t="shared" si="154"/>
        <v/>
      </c>
    </row>
    <row r="188" spans="1:154" x14ac:dyDescent="0.35">
      <c r="B188" t="str">
        <f ca="1">Loans!B$18</f>
        <v>Loan 6</v>
      </c>
      <c r="D188" s="51">
        <f>Loans!D$18</f>
        <v>0</v>
      </c>
      <c r="E188" s="117" t="str">
        <f>IF(Loans!R$18=0, "", Loans!R$18)</f>
        <v/>
      </c>
      <c r="F188" s="10">
        <f>Loans!H$700</f>
        <v>0</v>
      </c>
      <c r="V188" s="106"/>
      <c r="W188" s="106"/>
      <c r="X188" s="106"/>
      <c r="Y188" s="106"/>
      <c r="AA188" s="38">
        <f t="shared" ref="AA188:BV188" si="173">IF(AA142=1, 1, Z188+AA165)*AA165</f>
        <v>0</v>
      </c>
      <c r="AB188" s="38">
        <f t="shared" si="173"/>
        <v>0</v>
      </c>
      <c r="AC188" s="38">
        <f t="shared" si="173"/>
        <v>0</v>
      </c>
      <c r="AD188" s="38">
        <f t="shared" si="173"/>
        <v>0</v>
      </c>
      <c r="AE188" s="38">
        <f t="shared" si="173"/>
        <v>0</v>
      </c>
      <c r="AF188" s="38">
        <f t="shared" si="173"/>
        <v>0</v>
      </c>
      <c r="AG188" s="38">
        <f t="shared" si="173"/>
        <v>0</v>
      </c>
      <c r="AH188" s="38">
        <f t="shared" si="173"/>
        <v>0</v>
      </c>
      <c r="AI188" s="38">
        <f t="shared" si="173"/>
        <v>0</v>
      </c>
      <c r="AJ188" s="38">
        <f t="shared" si="173"/>
        <v>0</v>
      </c>
      <c r="AK188" s="38">
        <f t="shared" si="173"/>
        <v>0</v>
      </c>
      <c r="AL188" s="38">
        <f t="shared" si="173"/>
        <v>0</v>
      </c>
      <c r="AM188" s="38">
        <f t="shared" si="173"/>
        <v>0</v>
      </c>
      <c r="AN188" s="38">
        <f t="shared" si="173"/>
        <v>0</v>
      </c>
      <c r="AO188" s="38">
        <f t="shared" si="173"/>
        <v>0</v>
      </c>
      <c r="AP188" s="38">
        <f t="shared" si="173"/>
        <v>0</v>
      </c>
      <c r="AQ188" s="38">
        <f t="shared" si="173"/>
        <v>0</v>
      </c>
      <c r="AR188" s="38">
        <f t="shared" si="173"/>
        <v>0</v>
      </c>
      <c r="AS188" s="38">
        <f t="shared" si="173"/>
        <v>0</v>
      </c>
      <c r="AT188" s="38">
        <f t="shared" si="173"/>
        <v>0</v>
      </c>
      <c r="AU188" s="38">
        <f t="shared" si="173"/>
        <v>0</v>
      </c>
      <c r="AV188" s="38">
        <f t="shared" si="173"/>
        <v>0</v>
      </c>
      <c r="AW188" s="38">
        <f t="shared" si="173"/>
        <v>0</v>
      </c>
      <c r="AX188" s="38">
        <f t="shared" si="173"/>
        <v>0</v>
      </c>
      <c r="AY188" s="38">
        <f t="shared" si="173"/>
        <v>0</v>
      </c>
      <c r="AZ188" s="38">
        <f t="shared" si="173"/>
        <v>0</v>
      </c>
      <c r="BA188" s="38">
        <f t="shared" si="173"/>
        <v>0</v>
      </c>
      <c r="BB188" s="38">
        <f t="shared" si="173"/>
        <v>0</v>
      </c>
      <c r="BC188" s="38">
        <f t="shared" si="173"/>
        <v>0</v>
      </c>
      <c r="BD188" s="38">
        <f t="shared" si="173"/>
        <v>0</v>
      </c>
      <c r="BE188" s="38">
        <f t="shared" si="173"/>
        <v>0</v>
      </c>
      <c r="BF188" s="38">
        <f t="shared" si="173"/>
        <v>0</v>
      </c>
      <c r="BG188" s="38">
        <f t="shared" si="173"/>
        <v>0</v>
      </c>
      <c r="BH188" s="38">
        <f t="shared" si="173"/>
        <v>0</v>
      </c>
      <c r="BI188" s="38">
        <f t="shared" si="173"/>
        <v>0</v>
      </c>
      <c r="BJ188" s="38">
        <f t="shared" si="173"/>
        <v>0</v>
      </c>
      <c r="BK188" s="38">
        <f t="shared" si="173"/>
        <v>0</v>
      </c>
      <c r="BL188" s="38">
        <f t="shared" si="173"/>
        <v>0</v>
      </c>
      <c r="BM188" s="38">
        <f t="shared" si="173"/>
        <v>0</v>
      </c>
      <c r="BN188" s="38">
        <f t="shared" si="173"/>
        <v>0</v>
      </c>
      <c r="BO188" s="38">
        <f t="shared" si="173"/>
        <v>0</v>
      </c>
      <c r="BP188" s="38">
        <f t="shared" si="173"/>
        <v>0</v>
      </c>
      <c r="BQ188" s="38">
        <f t="shared" si="173"/>
        <v>0</v>
      </c>
      <c r="BR188" s="38">
        <f t="shared" si="173"/>
        <v>0</v>
      </c>
      <c r="BS188" s="38">
        <f t="shared" si="173"/>
        <v>0</v>
      </c>
      <c r="BT188" s="38">
        <f t="shared" si="173"/>
        <v>0</v>
      </c>
      <c r="BU188" s="38">
        <f t="shared" si="173"/>
        <v>0</v>
      </c>
      <c r="BV188" s="38">
        <f t="shared" si="173"/>
        <v>0</v>
      </c>
      <c r="BX188" s="106"/>
      <c r="BY188" s="106"/>
      <c r="BZ188" s="106"/>
      <c r="CA188" s="106"/>
      <c r="CB188" s="106"/>
      <c r="CC188" s="106"/>
      <c r="CD188" s="106"/>
      <c r="CE188" s="106"/>
      <c r="CF188" s="106"/>
      <c r="CG188" s="106"/>
      <c r="CH188" s="106"/>
      <c r="CI188" s="106"/>
      <c r="CK188" s="11"/>
      <c r="CM188" s="11"/>
      <c r="EX188" s="10" t="str">
        <f t="shared" si="154"/>
        <v/>
      </c>
    </row>
    <row r="189" spans="1:154" s="5" customFormat="1" x14ac:dyDescent="0.35">
      <c r="A189"/>
      <c r="B189" t="str">
        <f ca="1">Loans!B$19</f>
        <v>Loan 7</v>
      </c>
      <c r="D189" s="51">
        <f>Loans!D$19</f>
        <v>0</v>
      </c>
      <c r="E189" s="117" t="str">
        <f>IF(Loans!R$19=0, "", Loans!R$19)</f>
        <v/>
      </c>
      <c r="F189" s="10">
        <f>Loans!H$701</f>
        <v>0</v>
      </c>
      <c r="G189"/>
      <c r="H189"/>
      <c r="I189"/>
      <c r="J189"/>
      <c r="K189"/>
      <c r="M189"/>
      <c r="N189"/>
      <c r="O189"/>
      <c r="P189"/>
      <c r="Q189"/>
      <c r="S189"/>
      <c r="T189"/>
      <c r="U189"/>
      <c r="V189" s="106"/>
      <c r="W189" s="106"/>
      <c r="X189" s="106"/>
      <c r="Y189" s="106"/>
      <c r="Z189"/>
      <c r="AA189" s="38">
        <f t="shared" ref="AA189:BV189" si="174">IF(AA143=1, 1, Z189+AA166)*AA166</f>
        <v>0</v>
      </c>
      <c r="AB189" s="38">
        <f t="shared" si="174"/>
        <v>0</v>
      </c>
      <c r="AC189" s="38">
        <f t="shared" si="174"/>
        <v>0</v>
      </c>
      <c r="AD189" s="38">
        <f t="shared" si="174"/>
        <v>0</v>
      </c>
      <c r="AE189" s="38">
        <f t="shared" si="174"/>
        <v>0</v>
      </c>
      <c r="AF189" s="38">
        <f t="shared" si="174"/>
        <v>0</v>
      </c>
      <c r="AG189" s="38">
        <f t="shared" si="174"/>
        <v>0</v>
      </c>
      <c r="AH189" s="38">
        <f t="shared" si="174"/>
        <v>0</v>
      </c>
      <c r="AI189" s="38">
        <f t="shared" si="174"/>
        <v>0</v>
      </c>
      <c r="AJ189" s="38">
        <f t="shared" si="174"/>
        <v>0</v>
      </c>
      <c r="AK189" s="38">
        <f t="shared" si="174"/>
        <v>0</v>
      </c>
      <c r="AL189" s="38">
        <f t="shared" si="174"/>
        <v>0</v>
      </c>
      <c r="AM189" s="38">
        <f t="shared" si="174"/>
        <v>0</v>
      </c>
      <c r="AN189" s="38">
        <f t="shared" si="174"/>
        <v>0</v>
      </c>
      <c r="AO189" s="38">
        <f t="shared" si="174"/>
        <v>0</v>
      </c>
      <c r="AP189" s="38">
        <f t="shared" si="174"/>
        <v>0</v>
      </c>
      <c r="AQ189" s="38">
        <f t="shared" si="174"/>
        <v>0</v>
      </c>
      <c r="AR189" s="38">
        <f t="shared" si="174"/>
        <v>0</v>
      </c>
      <c r="AS189" s="38">
        <f t="shared" si="174"/>
        <v>0</v>
      </c>
      <c r="AT189" s="38">
        <f t="shared" si="174"/>
        <v>0</v>
      </c>
      <c r="AU189" s="38">
        <f t="shared" si="174"/>
        <v>0</v>
      </c>
      <c r="AV189" s="38">
        <f t="shared" si="174"/>
        <v>0</v>
      </c>
      <c r="AW189" s="38">
        <f t="shared" si="174"/>
        <v>0</v>
      </c>
      <c r="AX189" s="38">
        <f t="shared" si="174"/>
        <v>0</v>
      </c>
      <c r="AY189" s="38">
        <f t="shared" si="174"/>
        <v>0</v>
      </c>
      <c r="AZ189" s="38">
        <f t="shared" si="174"/>
        <v>0</v>
      </c>
      <c r="BA189" s="38">
        <f t="shared" si="174"/>
        <v>0</v>
      </c>
      <c r="BB189" s="38">
        <f t="shared" si="174"/>
        <v>0</v>
      </c>
      <c r="BC189" s="38">
        <f t="shared" si="174"/>
        <v>0</v>
      </c>
      <c r="BD189" s="38">
        <f t="shared" si="174"/>
        <v>0</v>
      </c>
      <c r="BE189" s="38">
        <f t="shared" si="174"/>
        <v>0</v>
      </c>
      <c r="BF189" s="38">
        <f t="shared" si="174"/>
        <v>0</v>
      </c>
      <c r="BG189" s="38">
        <f t="shared" si="174"/>
        <v>0</v>
      </c>
      <c r="BH189" s="38">
        <f t="shared" si="174"/>
        <v>0</v>
      </c>
      <c r="BI189" s="38">
        <f t="shared" si="174"/>
        <v>0</v>
      </c>
      <c r="BJ189" s="38">
        <f t="shared" si="174"/>
        <v>0</v>
      </c>
      <c r="BK189" s="38">
        <f t="shared" si="174"/>
        <v>0</v>
      </c>
      <c r="BL189" s="38">
        <f t="shared" si="174"/>
        <v>0</v>
      </c>
      <c r="BM189" s="38">
        <f t="shared" si="174"/>
        <v>0</v>
      </c>
      <c r="BN189" s="38">
        <f t="shared" si="174"/>
        <v>0</v>
      </c>
      <c r="BO189" s="38">
        <f t="shared" si="174"/>
        <v>0</v>
      </c>
      <c r="BP189" s="38">
        <f t="shared" si="174"/>
        <v>0</v>
      </c>
      <c r="BQ189" s="38">
        <f t="shared" si="174"/>
        <v>0</v>
      </c>
      <c r="BR189" s="38">
        <f t="shared" si="174"/>
        <v>0</v>
      </c>
      <c r="BS189" s="38">
        <f t="shared" si="174"/>
        <v>0</v>
      </c>
      <c r="BT189" s="38">
        <f t="shared" si="174"/>
        <v>0</v>
      </c>
      <c r="BU189" s="38">
        <f t="shared" si="174"/>
        <v>0</v>
      </c>
      <c r="BV189" s="38">
        <f t="shared" si="174"/>
        <v>0</v>
      </c>
      <c r="BW189"/>
      <c r="BX189" s="106"/>
      <c r="BY189" s="106"/>
      <c r="BZ189" s="106"/>
      <c r="CA189" s="106"/>
      <c r="CB189" s="106"/>
      <c r="CC189" s="106"/>
      <c r="CD189" s="106"/>
      <c r="CE189" s="106"/>
      <c r="CF189" s="106"/>
      <c r="CG189" s="106"/>
      <c r="CH189" s="106"/>
      <c r="CI189" s="106"/>
      <c r="CJ189"/>
      <c r="CK189" s="11"/>
      <c r="CL189"/>
      <c r="CM189" s="11"/>
      <c r="EX189" s="10" t="str">
        <f t="shared" si="154"/>
        <v/>
      </c>
    </row>
    <row r="190" spans="1:154" x14ac:dyDescent="0.35">
      <c r="B190" t="str">
        <f ca="1">Loans!B$20</f>
        <v>Loan 8</v>
      </c>
      <c r="D190" s="51">
        <f>Loans!D$20</f>
        <v>0</v>
      </c>
      <c r="E190" s="117" t="str">
        <f>IF(Loans!R$20=0, "", Loans!R$20)</f>
        <v/>
      </c>
      <c r="F190" s="10">
        <f>Loans!H$702</f>
        <v>0</v>
      </c>
      <c r="V190" s="106"/>
      <c r="W190" s="106"/>
      <c r="X190" s="106"/>
      <c r="Y190" s="106"/>
      <c r="AA190" s="38">
        <f t="shared" ref="AA190:BV190" si="175">IF(AA144=1, 1, Z190+AA167)*AA167</f>
        <v>0</v>
      </c>
      <c r="AB190" s="38">
        <f t="shared" si="175"/>
        <v>0</v>
      </c>
      <c r="AC190" s="38">
        <f t="shared" si="175"/>
        <v>0</v>
      </c>
      <c r="AD190" s="38">
        <f t="shared" si="175"/>
        <v>0</v>
      </c>
      <c r="AE190" s="38">
        <f t="shared" si="175"/>
        <v>0</v>
      </c>
      <c r="AF190" s="38">
        <f t="shared" si="175"/>
        <v>0</v>
      </c>
      <c r="AG190" s="38">
        <f t="shared" si="175"/>
        <v>0</v>
      </c>
      <c r="AH190" s="38">
        <f t="shared" si="175"/>
        <v>0</v>
      </c>
      <c r="AI190" s="38">
        <f t="shared" si="175"/>
        <v>0</v>
      </c>
      <c r="AJ190" s="38">
        <f t="shared" si="175"/>
        <v>0</v>
      </c>
      <c r="AK190" s="38">
        <f t="shared" si="175"/>
        <v>0</v>
      </c>
      <c r="AL190" s="38">
        <f t="shared" si="175"/>
        <v>0</v>
      </c>
      <c r="AM190" s="38">
        <f t="shared" si="175"/>
        <v>0</v>
      </c>
      <c r="AN190" s="38">
        <f t="shared" si="175"/>
        <v>0</v>
      </c>
      <c r="AO190" s="38">
        <f t="shared" si="175"/>
        <v>0</v>
      </c>
      <c r="AP190" s="38">
        <f t="shared" si="175"/>
        <v>0</v>
      </c>
      <c r="AQ190" s="38">
        <f t="shared" si="175"/>
        <v>0</v>
      </c>
      <c r="AR190" s="38">
        <f t="shared" si="175"/>
        <v>0</v>
      </c>
      <c r="AS190" s="38">
        <f t="shared" si="175"/>
        <v>0</v>
      </c>
      <c r="AT190" s="38">
        <f t="shared" si="175"/>
        <v>0</v>
      </c>
      <c r="AU190" s="38">
        <f t="shared" si="175"/>
        <v>0</v>
      </c>
      <c r="AV190" s="38">
        <f t="shared" si="175"/>
        <v>0</v>
      </c>
      <c r="AW190" s="38">
        <f t="shared" si="175"/>
        <v>0</v>
      </c>
      <c r="AX190" s="38">
        <f t="shared" si="175"/>
        <v>0</v>
      </c>
      <c r="AY190" s="38">
        <f t="shared" si="175"/>
        <v>0</v>
      </c>
      <c r="AZ190" s="38">
        <f t="shared" si="175"/>
        <v>0</v>
      </c>
      <c r="BA190" s="38">
        <f t="shared" si="175"/>
        <v>0</v>
      </c>
      <c r="BB190" s="38">
        <f t="shared" si="175"/>
        <v>0</v>
      </c>
      <c r="BC190" s="38">
        <f t="shared" si="175"/>
        <v>0</v>
      </c>
      <c r="BD190" s="38">
        <f t="shared" si="175"/>
        <v>0</v>
      </c>
      <c r="BE190" s="38">
        <f t="shared" si="175"/>
        <v>0</v>
      </c>
      <c r="BF190" s="38">
        <f t="shared" si="175"/>
        <v>0</v>
      </c>
      <c r="BG190" s="38">
        <f t="shared" si="175"/>
        <v>0</v>
      </c>
      <c r="BH190" s="38">
        <f t="shared" si="175"/>
        <v>0</v>
      </c>
      <c r="BI190" s="38">
        <f t="shared" si="175"/>
        <v>0</v>
      </c>
      <c r="BJ190" s="38">
        <f t="shared" si="175"/>
        <v>0</v>
      </c>
      <c r="BK190" s="38">
        <f t="shared" si="175"/>
        <v>0</v>
      </c>
      <c r="BL190" s="38">
        <f t="shared" si="175"/>
        <v>0</v>
      </c>
      <c r="BM190" s="38">
        <f t="shared" si="175"/>
        <v>0</v>
      </c>
      <c r="BN190" s="38">
        <f t="shared" si="175"/>
        <v>0</v>
      </c>
      <c r="BO190" s="38">
        <f t="shared" si="175"/>
        <v>0</v>
      </c>
      <c r="BP190" s="38">
        <f t="shared" si="175"/>
        <v>0</v>
      </c>
      <c r="BQ190" s="38">
        <f t="shared" si="175"/>
        <v>0</v>
      </c>
      <c r="BR190" s="38">
        <f t="shared" si="175"/>
        <v>0</v>
      </c>
      <c r="BS190" s="38">
        <f t="shared" si="175"/>
        <v>0</v>
      </c>
      <c r="BT190" s="38">
        <f t="shared" si="175"/>
        <v>0</v>
      </c>
      <c r="BU190" s="38">
        <f t="shared" si="175"/>
        <v>0</v>
      </c>
      <c r="BV190" s="38">
        <f t="shared" si="175"/>
        <v>0</v>
      </c>
      <c r="BX190" s="106"/>
      <c r="BY190" s="106"/>
      <c r="BZ190" s="106"/>
      <c r="CA190" s="106"/>
      <c r="CB190" s="106"/>
      <c r="CC190" s="106"/>
      <c r="CD190" s="106"/>
      <c r="CE190" s="106"/>
      <c r="CF190" s="106"/>
      <c r="CG190" s="106"/>
      <c r="CH190" s="106"/>
      <c r="CI190" s="106"/>
      <c r="CK190" s="11"/>
      <c r="CM190" s="11"/>
      <c r="EX190" s="10" t="str">
        <f t="shared" si="154"/>
        <v/>
      </c>
    </row>
    <row r="191" spans="1:154" x14ac:dyDescent="0.35">
      <c r="B191" t="str">
        <f ca="1">Loans!B$21</f>
        <v>Loan 9</v>
      </c>
      <c r="D191" s="51">
        <f>Loans!D$21</f>
        <v>0</v>
      </c>
      <c r="E191" s="117" t="str">
        <f>IF(Loans!R$21=0, "", Loans!R$21)</f>
        <v/>
      </c>
      <c r="F191" s="10">
        <f>Loans!H$703</f>
        <v>0</v>
      </c>
      <c r="V191" s="106"/>
      <c r="W191" s="106"/>
      <c r="X191" s="106"/>
      <c r="Y191" s="106"/>
      <c r="AA191" s="38">
        <f t="shared" ref="AA191:BV191" si="176">IF(AA145=1, 1, Z191+AA168)*AA168</f>
        <v>0</v>
      </c>
      <c r="AB191" s="38">
        <f t="shared" si="176"/>
        <v>0</v>
      </c>
      <c r="AC191" s="38">
        <f t="shared" si="176"/>
        <v>0</v>
      </c>
      <c r="AD191" s="38">
        <f t="shared" si="176"/>
        <v>0</v>
      </c>
      <c r="AE191" s="38">
        <f t="shared" si="176"/>
        <v>0</v>
      </c>
      <c r="AF191" s="38">
        <f t="shared" si="176"/>
        <v>0</v>
      </c>
      <c r="AG191" s="38">
        <f t="shared" si="176"/>
        <v>0</v>
      </c>
      <c r="AH191" s="38">
        <f t="shared" si="176"/>
        <v>0</v>
      </c>
      <c r="AI191" s="38">
        <f t="shared" si="176"/>
        <v>0</v>
      </c>
      <c r="AJ191" s="38">
        <f t="shared" si="176"/>
        <v>0</v>
      </c>
      <c r="AK191" s="38">
        <f t="shared" si="176"/>
        <v>0</v>
      </c>
      <c r="AL191" s="38">
        <f t="shared" si="176"/>
        <v>0</v>
      </c>
      <c r="AM191" s="38">
        <f t="shared" si="176"/>
        <v>0</v>
      </c>
      <c r="AN191" s="38">
        <f t="shared" si="176"/>
        <v>0</v>
      </c>
      <c r="AO191" s="38">
        <f t="shared" si="176"/>
        <v>0</v>
      </c>
      <c r="AP191" s="38">
        <f t="shared" si="176"/>
        <v>0</v>
      </c>
      <c r="AQ191" s="38">
        <f t="shared" si="176"/>
        <v>0</v>
      </c>
      <c r="AR191" s="38">
        <f t="shared" si="176"/>
        <v>0</v>
      </c>
      <c r="AS191" s="38">
        <f t="shared" si="176"/>
        <v>0</v>
      </c>
      <c r="AT191" s="38">
        <f t="shared" si="176"/>
        <v>0</v>
      </c>
      <c r="AU191" s="38">
        <f t="shared" si="176"/>
        <v>0</v>
      </c>
      <c r="AV191" s="38">
        <f t="shared" si="176"/>
        <v>0</v>
      </c>
      <c r="AW191" s="38">
        <f t="shared" si="176"/>
        <v>0</v>
      </c>
      <c r="AX191" s="38">
        <f t="shared" si="176"/>
        <v>0</v>
      </c>
      <c r="AY191" s="38">
        <f t="shared" si="176"/>
        <v>0</v>
      </c>
      <c r="AZ191" s="38">
        <f t="shared" si="176"/>
        <v>0</v>
      </c>
      <c r="BA191" s="38">
        <f t="shared" si="176"/>
        <v>0</v>
      </c>
      <c r="BB191" s="38">
        <f t="shared" si="176"/>
        <v>0</v>
      </c>
      <c r="BC191" s="38">
        <f t="shared" si="176"/>
        <v>0</v>
      </c>
      <c r="BD191" s="38">
        <f t="shared" si="176"/>
        <v>0</v>
      </c>
      <c r="BE191" s="38">
        <f t="shared" si="176"/>
        <v>0</v>
      </c>
      <c r="BF191" s="38">
        <f t="shared" si="176"/>
        <v>0</v>
      </c>
      <c r="BG191" s="38">
        <f t="shared" si="176"/>
        <v>0</v>
      </c>
      <c r="BH191" s="38">
        <f t="shared" si="176"/>
        <v>0</v>
      </c>
      <c r="BI191" s="38">
        <f t="shared" si="176"/>
        <v>0</v>
      </c>
      <c r="BJ191" s="38">
        <f t="shared" si="176"/>
        <v>0</v>
      </c>
      <c r="BK191" s="38">
        <f t="shared" si="176"/>
        <v>0</v>
      </c>
      <c r="BL191" s="38">
        <f t="shared" si="176"/>
        <v>0</v>
      </c>
      <c r="BM191" s="38">
        <f t="shared" si="176"/>
        <v>0</v>
      </c>
      <c r="BN191" s="38">
        <f t="shared" si="176"/>
        <v>0</v>
      </c>
      <c r="BO191" s="38">
        <f t="shared" si="176"/>
        <v>0</v>
      </c>
      <c r="BP191" s="38">
        <f t="shared" si="176"/>
        <v>0</v>
      </c>
      <c r="BQ191" s="38">
        <f t="shared" si="176"/>
        <v>0</v>
      </c>
      <c r="BR191" s="38">
        <f t="shared" si="176"/>
        <v>0</v>
      </c>
      <c r="BS191" s="38">
        <f t="shared" si="176"/>
        <v>0</v>
      </c>
      <c r="BT191" s="38">
        <f t="shared" si="176"/>
        <v>0</v>
      </c>
      <c r="BU191" s="38">
        <f t="shared" si="176"/>
        <v>0</v>
      </c>
      <c r="BV191" s="38">
        <f t="shared" si="176"/>
        <v>0</v>
      </c>
      <c r="BX191" s="106"/>
      <c r="BY191" s="106"/>
      <c r="BZ191" s="106"/>
      <c r="CA191" s="106"/>
      <c r="CB191" s="106"/>
      <c r="CC191" s="106"/>
      <c r="CD191" s="106"/>
      <c r="CE191" s="106"/>
      <c r="CF191" s="106"/>
      <c r="CG191" s="106"/>
      <c r="CH191" s="106"/>
      <c r="CI191" s="106"/>
      <c r="CK191" s="11"/>
      <c r="CM191" s="11"/>
      <c r="EX191" s="10" t="str">
        <f t="shared" si="154"/>
        <v/>
      </c>
    </row>
    <row r="192" spans="1:154" x14ac:dyDescent="0.35">
      <c r="B192" t="str">
        <f ca="1">Loans!B$22</f>
        <v>Loan 10</v>
      </c>
      <c r="D192" s="51">
        <f>Loans!D$22</f>
        <v>0</v>
      </c>
      <c r="E192" s="117" t="str">
        <f>IF(Loans!R$22=0, "", Loans!R$22)</f>
        <v/>
      </c>
      <c r="F192" s="10">
        <f>Loans!H$704</f>
        <v>0</v>
      </c>
      <c r="V192" s="106"/>
      <c r="W192" s="106"/>
      <c r="X192" s="106"/>
      <c r="Y192" s="106"/>
      <c r="AA192" s="38">
        <f t="shared" ref="AA192:BV192" si="177">IF(AA146=1, 1, Z192+AA169)*AA169</f>
        <v>0</v>
      </c>
      <c r="AB192" s="38">
        <f t="shared" si="177"/>
        <v>0</v>
      </c>
      <c r="AC192" s="38">
        <f t="shared" si="177"/>
        <v>0</v>
      </c>
      <c r="AD192" s="38">
        <f t="shared" si="177"/>
        <v>0</v>
      </c>
      <c r="AE192" s="38">
        <f t="shared" si="177"/>
        <v>0</v>
      </c>
      <c r="AF192" s="38">
        <f t="shared" si="177"/>
        <v>0</v>
      </c>
      <c r="AG192" s="38">
        <f t="shared" si="177"/>
        <v>0</v>
      </c>
      <c r="AH192" s="38">
        <f t="shared" si="177"/>
        <v>0</v>
      </c>
      <c r="AI192" s="38">
        <f t="shared" si="177"/>
        <v>0</v>
      </c>
      <c r="AJ192" s="38">
        <f t="shared" si="177"/>
        <v>0</v>
      </c>
      <c r="AK192" s="38">
        <f t="shared" si="177"/>
        <v>0</v>
      </c>
      <c r="AL192" s="38">
        <f t="shared" si="177"/>
        <v>0</v>
      </c>
      <c r="AM192" s="38">
        <f t="shared" si="177"/>
        <v>0</v>
      </c>
      <c r="AN192" s="38">
        <f t="shared" si="177"/>
        <v>0</v>
      </c>
      <c r="AO192" s="38">
        <f t="shared" si="177"/>
        <v>0</v>
      </c>
      <c r="AP192" s="38">
        <f t="shared" si="177"/>
        <v>0</v>
      </c>
      <c r="AQ192" s="38">
        <f t="shared" si="177"/>
        <v>0</v>
      </c>
      <c r="AR192" s="38">
        <f t="shared" si="177"/>
        <v>0</v>
      </c>
      <c r="AS192" s="38">
        <f t="shared" si="177"/>
        <v>0</v>
      </c>
      <c r="AT192" s="38">
        <f t="shared" si="177"/>
        <v>0</v>
      </c>
      <c r="AU192" s="38">
        <f t="shared" si="177"/>
        <v>0</v>
      </c>
      <c r="AV192" s="38">
        <f t="shared" si="177"/>
        <v>0</v>
      </c>
      <c r="AW192" s="38">
        <f t="shared" si="177"/>
        <v>0</v>
      </c>
      <c r="AX192" s="38">
        <f t="shared" si="177"/>
        <v>0</v>
      </c>
      <c r="AY192" s="38">
        <f t="shared" si="177"/>
        <v>0</v>
      </c>
      <c r="AZ192" s="38">
        <f t="shared" si="177"/>
        <v>0</v>
      </c>
      <c r="BA192" s="38">
        <f t="shared" si="177"/>
        <v>0</v>
      </c>
      <c r="BB192" s="38">
        <f t="shared" si="177"/>
        <v>0</v>
      </c>
      <c r="BC192" s="38">
        <f t="shared" si="177"/>
        <v>0</v>
      </c>
      <c r="BD192" s="38">
        <f t="shared" si="177"/>
        <v>0</v>
      </c>
      <c r="BE192" s="38">
        <f t="shared" si="177"/>
        <v>0</v>
      </c>
      <c r="BF192" s="38">
        <f t="shared" si="177"/>
        <v>0</v>
      </c>
      <c r="BG192" s="38">
        <f t="shared" si="177"/>
        <v>0</v>
      </c>
      <c r="BH192" s="38">
        <f t="shared" si="177"/>
        <v>0</v>
      </c>
      <c r="BI192" s="38">
        <f t="shared" si="177"/>
        <v>0</v>
      </c>
      <c r="BJ192" s="38">
        <f t="shared" si="177"/>
        <v>0</v>
      </c>
      <c r="BK192" s="38">
        <f t="shared" si="177"/>
        <v>0</v>
      </c>
      <c r="BL192" s="38">
        <f t="shared" si="177"/>
        <v>0</v>
      </c>
      <c r="BM192" s="38">
        <f t="shared" si="177"/>
        <v>0</v>
      </c>
      <c r="BN192" s="38">
        <f t="shared" si="177"/>
        <v>0</v>
      </c>
      <c r="BO192" s="38">
        <f t="shared" si="177"/>
        <v>0</v>
      </c>
      <c r="BP192" s="38">
        <f t="shared" si="177"/>
        <v>0</v>
      </c>
      <c r="BQ192" s="38">
        <f t="shared" si="177"/>
        <v>0</v>
      </c>
      <c r="BR192" s="38">
        <f t="shared" si="177"/>
        <v>0</v>
      </c>
      <c r="BS192" s="38">
        <f t="shared" si="177"/>
        <v>0</v>
      </c>
      <c r="BT192" s="38">
        <f t="shared" si="177"/>
        <v>0</v>
      </c>
      <c r="BU192" s="38">
        <f t="shared" si="177"/>
        <v>0</v>
      </c>
      <c r="BV192" s="38">
        <f t="shared" si="177"/>
        <v>0</v>
      </c>
      <c r="BX192" s="106"/>
      <c r="BY192" s="106"/>
      <c r="BZ192" s="106"/>
      <c r="CA192" s="106"/>
      <c r="CB192" s="106"/>
      <c r="CC192" s="106"/>
      <c r="CD192" s="106"/>
      <c r="CE192" s="106"/>
      <c r="CF192" s="106"/>
      <c r="CG192" s="106"/>
      <c r="CH192" s="106"/>
      <c r="CI192" s="106"/>
      <c r="CK192" s="11"/>
      <c r="CM192" s="11"/>
      <c r="EX192" s="10" t="str">
        <f t="shared" si="154"/>
        <v/>
      </c>
    </row>
    <row r="193" spans="2:154" x14ac:dyDescent="0.35">
      <c r="B193" t="str">
        <f ca="1">Loans!B$23</f>
        <v>Loan 11</v>
      </c>
      <c r="D193" s="51">
        <f>Loans!D$23</f>
        <v>0</v>
      </c>
      <c r="E193" s="117" t="str">
        <f>IF(Loans!R$23=0, "", Loans!R$23)</f>
        <v/>
      </c>
      <c r="F193" s="10">
        <f>Loans!H$705</f>
        <v>0</v>
      </c>
      <c r="V193" s="106"/>
      <c r="W193" s="106"/>
      <c r="X193" s="106"/>
      <c r="Y193" s="106"/>
      <c r="AA193" s="38">
        <f t="shared" ref="AA193:BV193" si="178">IF(AA147=1, 1, Z193+AA170)*AA170</f>
        <v>0</v>
      </c>
      <c r="AB193" s="38">
        <f t="shared" si="178"/>
        <v>0</v>
      </c>
      <c r="AC193" s="38">
        <f t="shared" si="178"/>
        <v>0</v>
      </c>
      <c r="AD193" s="38">
        <f t="shared" si="178"/>
        <v>0</v>
      </c>
      <c r="AE193" s="38">
        <f t="shared" si="178"/>
        <v>0</v>
      </c>
      <c r="AF193" s="38">
        <f t="shared" si="178"/>
        <v>0</v>
      </c>
      <c r="AG193" s="38">
        <f t="shared" si="178"/>
        <v>0</v>
      </c>
      <c r="AH193" s="38">
        <f t="shared" si="178"/>
        <v>0</v>
      </c>
      <c r="AI193" s="38">
        <f t="shared" si="178"/>
        <v>0</v>
      </c>
      <c r="AJ193" s="38">
        <f t="shared" si="178"/>
        <v>0</v>
      </c>
      <c r="AK193" s="38">
        <f t="shared" si="178"/>
        <v>0</v>
      </c>
      <c r="AL193" s="38">
        <f t="shared" si="178"/>
        <v>0</v>
      </c>
      <c r="AM193" s="38">
        <f t="shared" si="178"/>
        <v>0</v>
      </c>
      <c r="AN193" s="38">
        <f t="shared" si="178"/>
        <v>0</v>
      </c>
      <c r="AO193" s="38">
        <f t="shared" si="178"/>
        <v>0</v>
      </c>
      <c r="AP193" s="38">
        <f t="shared" si="178"/>
        <v>0</v>
      </c>
      <c r="AQ193" s="38">
        <f t="shared" si="178"/>
        <v>0</v>
      </c>
      <c r="AR193" s="38">
        <f t="shared" si="178"/>
        <v>0</v>
      </c>
      <c r="AS193" s="38">
        <f t="shared" si="178"/>
        <v>0</v>
      </c>
      <c r="AT193" s="38">
        <f t="shared" si="178"/>
        <v>0</v>
      </c>
      <c r="AU193" s="38">
        <f t="shared" si="178"/>
        <v>0</v>
      </c>
      <c r="AV193" s="38">
        <f t="shared" si="178"/>
        <v>0</v>
      </c>
      <c r="AW193" s="38">
        <f t="shared" si="178"/>
        <v>0</v>
      </c>
      <c r="AX193" s="38">
        <f t="shared" si="178"/>
        <v>0</v>
      </c>
      <c r="AY193" s="38">
        <f t="shared" si="178"/>
        <v>0</v>
      </c>
      <c r="AZ193" s="38">
        <f t="shared" si="178"/>
        <v>0</v>
      </c>
      <c r="BA193" s="38">
        <f t="shared" si="178"/>
        <v>0</v>
      </c>
      <c r="BB193" s="38">
        <f t="shared" si="178"/>
        <v>0</v>
      </c>
      <c r="BC193" s="38">
        <f t="shared" si="178"/>
        <v>0</v>
      </c>
      <c r="BD193" s="38">
        <f t="shared" si="178"/>
        <v>0</v>
      </c>
      <c r="BE193" s="38">
        <f t="shared" si="178"/>
        <v>0</v>
      </c>
      <c r="BF193" s="38">
        <f t="shared" si="178"/>
        <v>0</v>
      </c>
      <c r="BG193" s="38">
        <f t="shared" si="178"/>
        <v>0</v>
      </c>
      <c r="BH193" s="38">
        <f t="shared" si="178"/>
        <v>0</v>
      </c>
      <c r="BI193" s="38">
        <f t="shared" si="178"/>
        <v>0</v>
      </c>
      <c r="BJ193" s="38">
        <f t="shared" si="178"/>
        <v>0</v>
      </c>
      <c r="BK193" s="38">
        <f t="shared" si="178"/>
        <v>0</v>
      </c>
      <c r="BL193" s="38">
        <f t="shared" si="178"/>
        <v>0</v>
      </c>
      <c r="BM193" s="38">
        <f t="shared" si="178"/>
        <v>0</v>
      </c>
      <c r="BN193" s="38">
        <f t="shared" si="178"/>
        <v>0</v>
      </c>
      <c r="BO193" s="38">
        <f t="shared" si="178"/>
        <v>0</v>
      </c>
      <c r="BP193" s="38">
        <f t="shared" si="178"/>
        <v>0</v>
      </c>
      <c r="BQ193" s="38">
        <f t="shared" si="178"/>
        <v>0</v>
      </c>
      <c r="BR193" s="38">
        <f t="shared" si="178"/>
        <v>0</v>
      </c>
      <c r="BS193" s="38">
        <f t="shared" si="178"/>
        <v>0</v>
      </c>
      <c r="BT193" s="38">
        <f t="shared" si="178"/>
        <v>0</v>
      </c>
      <c r="BU193" s="38">
        <f t="shared" si="178"/>
        <v>0</v>
      </c>
      <c r="BV193" s="38">
        <f t="shared" si="178"/>
        <v>0</v>
      </c>
      <c r="BX193" s="106"/>
      <c r="BY193" s="106"/>
      <c r="BZ193" s="106"/>
      <c r="CA193" s="106"/>
      <c r="CB193" s="106"/>
      <c r="CC193" s="106"/>
      <c r="CD193" s="106"/>
      <c r="CE193" s="106"/>
      <c r="CF193" s="106"/>
      <c r="CG193" s="106"/>
      <c r="CH193" s="106"/>
      <c r="CI193" s="106"/>
      <c r="CK193" s="11"/>
      <c r="CM193" s="11"/>
      <c r="EX193" s="10" t="str">
        <f t="shared" si="154"/>
        <v/>
      </c>
    </row>
    <row r="194" spans="2:154" x14ac:dyDescent="0.35">
      <c r="B194" t="str">
        <f ca="1">Loans!B$24</f>
        <v>Loan 12</v>
      </c>
      <c r="D194" s="51">
        <f>Loans!D$24</f>
        <v>0</v>
      </c>
      <c r="E194" s="117" t="str">
        <f>IF(Loans!R$24=0, "", Loans!R$24)</f>
        <v/>
      </c>
      <c r="F194" s="10">
        <f>Loans!H$706</f>
        <v>0</v>
      </c>
      <c r="V194" s="106"/>
      <c r="W194" s="106"/>
      <c r="X194" s="106"/>
      <c r="Y194" s="106"/>
      <c r="AA194" s="38">
        <f t="shared" ref="AA194:BV194" si="179">IF(AA148=1, 1, Z194+AA171)*AA171</f>
        <v>0</v>
      </c>
      <c r="AB194" s="38">
        <f t="shared" si="179"/>
        <v>0</v>
      </c>
      <c r="AC194" s="38">
        <f t="shared" si="179"/>
        <v>0</v>
      </c>
      <c r="AD194" s="38">
        <f t="shared" si="179"/>
        <v>0</v>
      </c>
      <c r="AE194" s="38">
        <f t="shared" si="179"/>
        <v>0</v>
      </c>
      <c r="AF194" s="38">
        <f t="shared" si="179"/>
        <v>0</v>
      </c>
      <c r="AG194" s="38">
        <f t="shared" si="179"/>
        <v>0</v>
      </c>
      <c r="AH194" s="38">
        <f t="shared" si="179"/>
        <v>0</v>
      </c>
      <c r="AI194" s="38">
        <f t="shared" si="179"/>
        <v>0</v>
      </c>
      <c r="AJ194" s="38">
        <f t="shared" si="179"/>
        <v>0</v>
      </c>
      <c r="AK194" s="38">
        <f t="shared" si="179"/>
        <v>0</v>
      </c>
      <c r="AL194" s="38">
        <f t="shared" si="179"/>
        <v>0</v>
      </c>
      <c r="AM194" s="38">
        <f t="shared" si="179"/>
        <v>0</v>
      </c>
      <c r="AN194" s="38">
        <f t="shared" si="179"/>
        <v>0</v>
      </c>
      <c r="AO194" s="38">
        <f t="shared" si="179"/>
        <v>0</v>
      </c>
      <c r="AP194" s="38">
        <f t="shared" si="179"/>
        <v>0</v>
      </c>
      <c r="AQ194" s="38">
        <f t="shared" si="179"/>
        <v>0</v>
      </c>
      <c r="AR194" s="38">
        <f t="shared" si="179"/>
        <v>0</v>
      </c>
      <c r="AS194" s="38">
        <f t="shared" si="179"/>
        <v>0</v>
      </c>
      <c r="AT194" s="38">
        <f t="shared" si="179"/>
        <v>0</v>
      </c>
      <c r="AU194" s="38">
        <f t="shared" si="179"/>
        <v>0</v>
      </c>
      <c r="AV194" s="38">
        <f t="shared" si="179"/>
        <v>0</v>
      </c>
      <c r="AW194" s="38">
        <f t="shared" si="179"/>
        <v>0</v>
      </c>
      <c r="AX194" s="38">
        <f t="shared" si="179"/>
        <v>0</v>
      </c>
      <c r="AY194" s="38">
        <f t="shared" si="179"/>
        <v>0</v>
      </c>
      <c r="AZ194" s="38">
        <f t="shared" si="179"/>
        <v>0</v>
      </c>
      <c r="BA194" s="38">
        <f t="shared" si="179"/>
        <v>0</v>
      </c>
      <c r="BB194" s="38">
        <f t="shared" si="179"/>
        <v>0</v>
      </c>
      <c r="BC194" s="38">
        <f t="shared" si="179"/>
        <v>0</v>
      </c>
      <c r="BD194" s="38">
        <f t="shared" si="179"/>
        <v>0</v>
      </c>
      <c r="BE194" s="38">
        <f t="shared" si="179"/>
        <v>0</v>
      </c>
      <c r="BF194" s="38">
        <f t="shared" si="179"/>
        <v>0</v>
      </c>
      <c r="BG194" s="38">
        <f t="shared" si="179"/>
        <v>0</v>
      </c>
      <c r="BH194" s="38">
        <f t="shared" si="179"/>
        <v>0</v>
      </c>
      <c r="BI194" s="38">
        <f t="shared" si="179"/>
        <v>0</v>
      </c>
      <c r="BJ194" s="38">
        <f t="shared" si="179"/>
        <v>0</v>
      </c>
      <c r="BK194" s="38">
        <f t="shared" si="179"/>
        <v>0</v>
      </c>
      <c r="BL194" s="38">
        <f t="shared" si="179"/>
        <v>0</v>
      </c>
      <c r="BM194" s="38">
        <f t="shared" si="179"/>
        <v>0</v>
      </c>
      <c r="BN194" s="38">
        <f t="shared" si="179"/>
        <v>0</v>
      </c>
      <c r="BO194" s="38">
        <f t="shared" si="179"/>
        <v>0</v>
      </c>
      <c r="BP194" s="38">
        <f t="shared" si="179"/>
        <v>0</v>
      </c>
      <c r="BQ194" s="38">
        <f t="shared" si="179"/>
        <v>0</v>
      </c>
      <c r="BR194" s="38">
        <f t="shared" si="179"/>
        <v>0</v>
      </c>
      <c r="BS194" s="38">
        <f t="shared" si="179"/>
        <v>0</v>
      </c>
      <c r="BT194" s="38">
        <f t="shared" si="179"/>
        <v>0</v>
      </c>
      <c r="BU194" s="38">
        <f t="shared" si="179"/>
        <v>0</v>
      </c>
      <c r="BV194" s="38">
        <f t="shared" si="179"/>
        <v>0</v>
      </c>
      <c r="BX194" s="106"/>
      <c r="BY194" s="106"/>
      <c r="BZ194" s="106"/>
      <c r="CA194" s="106"/>
      <c r="CB194" s="106"/>
      <c r="CC194" s="106"/>
      <c r="CD194" s="106"/>
      <c r="CE194" s="106"/>
      <c r="CF194" s="106"/>
      <c r="CG194" s="106"/>
      <c r="CH194" s="106"/>
      <c r="CI194" s="106"/>
      <c r="CK194" s="11"/>
      <c r="CM194" s="11"/>
      <c r="EX194" s="10" t="str">
        <f t="shared" si="154"/>
        <v/>
      </c>
    </row>
    <row r="195" spans="2:154" x14ac:dyDescent="0.35">
      <c r="B195" t="str">
        <f ca="1">Loans!B$25</f>
        <v>Loan 13</v>
      </c>
      <c r="D195" s="51">
        <f>Loans!D$25</f>
        <v>0</v>
      </c>
      <c r="E195" s="117" t="str">
        <f>IF(Loans!R$25=0, "", Loans!R$25)</f>
        <v/>
      </c>
      <c r="F195" s="10">
        <f>Loans!H$707</f>
        <v>0</v>
      </c>
      <c r="V195" s="106"/>
      <c r="W195" s="106"/>
      <c r="X195" s="106"/>
      <c r="Y195" s="106"/>
      <c r="AA195" s="38">
        <f t="shared" ref="AA195:BV195" si="180">IF(AA149=1, 1, Z195+AA172)*AA172</f>
        <v>0</v>
      </c>
      <c r="AB195" s="38">
        <f t="shared" si="180"/>
        <v>0</v>
      </c>
      <c r="AC195" s="38">
        <f t="shared" si="180"/>
        <v>0</v>
      </c>
      <c r="AD195" s="38">
        <f t="shared" si="180"/>
        <v>0</v>
      </c>
      <c r="AE195" s="38">
        <f t="shared" si="180"/>
        <v>0</v>
      </c>
      <c r="AF195" s="38">
        <f t="shared" si="180"/>
        <v>0</v>
      </c>
      <c r="AG195" s="38">
        <f t="shared" si="180"/>
        <v>0</v>
      </c>
      <c r="AH195" s="38">
        <f t="shared" si="180"/>
        <v>0</v>
      </c>
      <c r="AI195" s="38">
        <f t="shared" si="180"/>
        <v>0</v>
      </c>
      <c r="AJ195" s="38">
        <f t="shared" si="180"/>
        <v>0</v>
      </c>
      <c r="AK195" s="38">
        <f t="shared" si="180"/>
        <v>0</v>
      </c>
      <c r="AL195" s="38">
        <f t="shared" si="180"/>
        <v>0</v>
      </c>
      <c r="AM195" s="38">
        <f t="shared" si="180"/>
        <v>0</v>
      </c>
      <c r="AN195" s="38">
        <f t="shared" si="180"/>
        <v>0</v>
      </c>
      <c r="AO195" s="38">
        <f t="shared" si="180"/>
        <v>0</v>
      </c>
      <c r="AP195" s="38">
        <f t="shared" si="180"/>
        <v>0</v>
      </c>
      <c r="AQ195" s="38">
        <f t="shared" si="180"/>
        <v>0</v>
      </c>
      <c r="AR195" s="38">
        <f t="shared" si="180"/>
        <v>0</v>
      </c>
      <c r="AS195" s="38">
        <f t="shared" si="180"/>
        <v>0</v>
      </c>
      <c r="AT195" s="38">
        <f t="shared" si="180"/>
        <v>0</v>
      </c>
      <c r="AU195" s="38">
        <f t="shared" si="180"/>
        <v>0</v>
      </c>
      <c r="AV195" s="38">
        <f t="shared" si="180"/>
        <v>0</v>
      </c>
      <c r="AW195" s="38">
        <f t="shared" si="180"/>
        <v>0</v>
      </c>
      <c r="AX195" s="38">
        <f t="shared" si="180"/>
        <v>0</v>
      </c>
      <c r="AY195" s="38">
        <f t="shared" si="180"/>
        <v>0</v>
      </c>
      <c r="AZ195" s="38">
        <f t="shared" si="180"/>
        <v>0</v>
      </c>
      <c r="BA195" s="38">
        <f t="shared" si="180"/>
        <v>0</v>
      </c>
      <c r="BB195" s="38">
        <f t="shared" si="180"/>
        <v>0</v>
      </c>
      <c r="BC195" s="38">
        <f t="shared" si="180"/>
        <v>0</v>
      </c>
      <c r="BD195" s="38">
        <f t="shared" si="180"/>
        <v>0</v>
      </c>
      <c r="BE195" s="38">
        <f t="shared" si="180"/>
        <v>0</v>
      </c>
      <c r="BF195" s="38">
        <f t="shared" si="180"/>
        <v>0</v>
      </c>
      <c r="BG195" s="38">
        <f t="shared" si="180"/>
        <v>0</v>
      </c>
      <c r="BH195" s="38">
        <f t="shared" si="180"/>
        <v>0</v>
      </c>
      <c r="BI195" s="38">
        <f t="shared" si="180"/>
        <v>0</v>
      </c>
      <c r="BJ195" s="38">
        <f t="shared" si="180"/>
        <v>0</v>
      </c>
      <c r="BK195" s="38">
        <f t="shared" si="180"/>
        <v>0</v>
      </c>
      <c r="BL195" s="38">
        <f t="shared" si="180"/>
        <v>0</v>
      </c>
      <c r="BM195" s="38">
        <f t="shared" si="180"/>
        <v>0</v>
      </c>
      <c r="BN195" s="38">
        <f t="shared" si="180"/>
        <v>0</v>
      </c>
      <c r="BO195" s="38">
        <f t="shared" si="180"/>
        <v>0</v>
      </c>
      <c r="BP195" s="38">
        <f t="shared" si="180"/>
        <v>0</v>
      </c>
      <c r="BQ195" s="38">
        <f t="shared" si="180"/>
        <v>0</v>
      </c>
      <c r="BR195" s="38">
        <f t="shared" si="180"/>
        <v>0</v>
      </c>
      <c r="BS195" s="38">
        <f t="shared" si="180"/>
        <v>0</v>
      </c>
      <c r="BT195" s="38">
        <f t="shared" si="180"/>
        <v>0</v>
      </c>
      <c r="BU195" s="38">
        <f t="shared" si="180"/>
        <v>0</v>
      </c>
      <c r="BV195" s="38">
        <f t="shared" si="180"/>
        <v>0</v>
      </c>
      <c r="BX195" s="106"/>
      <c r="BY195" s="106"/>
      <c r="BZ195" s="106"/>
      <c r="CA195" s="106"/>
      <c r="CB195" s="106"/>
      <c r="CC195" s="106"/>
      <c r="CD195" s="106"/>
      <c r="CE195" s="106"/>
      <c r="CF195" s="106"/>
      <c r="CG195" s="106"/>
      <c r="CH195" s="106"/>
      <c r="CI195" s="106"/>
      <c r="CK195" s="11"/>
      <c r="CM195" s="11"/>
      <c r="EX195" s="10" t="str">
        <f t="shared" si="154"/>
        <v/>
      </c>
    </row>
    <row r="196" spans="2:154" x14ac:dyDescent="0.35">
      <c r="B196" t="str">
        <f ca="1">Loans!B$26</f>
        <v>Loan 14</v>
      </c>
      <c r="D196" s="51">
        <f>Loans!D$26</f>
        <v>0</v>
      </c>
      <c r="E196" s="117" t="str">
        <f>IF(Loans!R$26=0, "", Loans!R$26)</f>
        <v/>
      </c>
      <c r="F196" s="10">
        <f>Loans!H$708</f>
        <v>0</v>
      </c>
      <c r="V196" s="106"/>
      <c r="W196" s="106"/>
      <c r="X196" s="106"/>
      <c r="Y196" s="106"/>
      <c r="AA196" s="38">
        <f t="shared" ref="AA196:BV196" si="181">IF(AA150=1, 1, Z196+AA173)*AA173</f>
        <v>0</v>
      </c>
      <c r="AB196" s="38">
        <f t="shared" si="181"/>
        <v>0</v>
      </c>
      <c r="AC196" s="38">
        <f t="shared" si="181"/>
        <v>0</v>
      </c>
      <c r="AD196" s="38">
        <f t="shared" si="181"/>
        <v>0</v>
      </c>
      <c r="AE196" s="38">
        <f t="shared" si="181"/>
        <v>0</v>
      </c>
      <c r="AF196" s="38">
        <f t="shared" si="181"/>
        <v>0</v>
      </c>
      <c r="AG196" s="38">
        <f t="shared" si="181"/>
        <v>0</v>
      </c>
      <c r="AH196" s="38">
        <f t="shared" si="181"/>
        <v>0</v>
      </c>
      <c r="AI196" s="38">
        <f t="shared" si="181"/>
        <v>0</v>
      </c>
      <c r="AJ196" s="38">
        <f t="shared" si="181"/>
        <v>0</v>
      </c>
      <c r="AK196" s="38">
        <f t="shared" si="181"/>
        <v>0</v>
      </c>
      <c r="AL196" s="38">
        <f t="shared" si="181"/>
        <v>0</v>
      </c>
      <c r="AM196" s="38">
        <f t="shared" si="181"/>
        <v>0</v>
      </c>
      <c r="AN196" s="38">
        <f t="shared" si="181"/>
        <v>0</v>
      </c>
      <c r="AO196" s="38">
        <f t="shared" si="181"/>
        <v>0</v>
      </c>
      <c r="AP196" s="38">
        <f t="shared" si="181"/>
        <v>0</v>
      </c>
      <c r="AQ196" s="38">
        <f t="shared" si="181"/>
        <v>0</v>
      </c>
      <c r="AR196" s="38">
        <f t="shared" si="181"/>
        <v>0</v>
      </c>
      <c r="AS196" s="38">
        <f t="shared" si="181"/>
        <v>0</v>
      </c>
      <c r="AT196" s="38">
        <f t="shared" si="181"/>
        <v>0</v>
      </c>
      <c r="AU196" s="38">
        <f t="shared" si="181"/>
        <v>0</v>
      </c>
      <c r="AV196" s="38">
        <f t="shared" si="181"/>
        <v>0</v>
      </c>
      <c r="AW196" s="38">
        <f t="shared" si="181"/>
        <v>0</v>
      </c>
      <c r="AX196" s="38">
        <f t="shared" si="181"/>
        <v>0</v>
      </c>
      <c r="AY196" s="38">
        <f t="shared" si="181"/>
        <v>0</v>
      </c>
      <c r="AZ196" s="38">
        <f t="shared" si="181"/>
        <v>0</v>
      </c>
      <c r="BA196" s="38">
        <f t="shared" si="181"/>
        <v>0</v>
      </c>
      <c r="BB196" s="38">
        <f t="shared" si="181"/>
        <v>0</v>
      </c>
      <c r="BC196" s="38">
        <f t="shared" si="181"/>
        <v>0</v>
      </c>
      <c r="BD196" s="38">
        <f t="shared" si="181"/>
        <v>0</v>
      </c>
      <c r="BE196" s="38">
        <f t="shared" si="181"/>
        <v>0</v>
      </c>
      <c r="BF196" s="38">
        <f t="shared" si="181"/>
        <v>0</v>
      </c>
      <c r="BG196" s="38">
        <f t="shared" si="181"/>
        <v>0</v>
      </c>
      <c r="BH196" s="38">
        <f t="shared" si="181"/>
        <v>0</v>
      </c>
      <c r="BI196" s="38">
        <f t="shared" si="181"/>
        <v>0</v>
      </c>
      <c r="BJ196" s="38">
        <f t="shared" si="181"/>
        <v>0</v>
      </c>
      <c r="BK196" s="38">
        <f t="shared" si="181"/>
        <v>0</v>
      </c>
      <c r="BL196" s="38">
        <f t="shared" si="181"/>
        <v>0</v>
      </c>
      <c r="BM196" s="38">
        <f t="shared" si="181"/>
        <v>0</v>
      </c>
      <c r="BN196" s="38">
        <f t="shared" si="181"/>
        <v>0</v>
      </c>
      <c r="BO196" s="38">
        <f t="shared" si="181"/>
        <v>0</v>
      </c>
      <c r="BP196" s="38">
        <f t="shared" si="181"/>
        <v>0</v>
      </c>
      <c r="BQ196" s="38">
        <f t="shared" si="181"/>
        <v>0</v>
      </c>
      <c r="BR196" s="38">
        <f t="shared" si="181"/>
        <v>0</v>
      </c>
      <c r="BS196" s="38">
        <f t="shared" si="181"/>
        <v>0</v>
      </c>
      <c r="BT196" s="38">
        <f t="shared" si="181"/>
        <v>0</v>
      </c>
      <c r="BU196" s="38">
        <f t="shared" si="181"/>
        <v>0</v>
      </c>
      <c r="BV196" s="38">
        <f t="shared" si="181"/>
        <v>0</v>
      </c>
      <c r="BX196" s="106"/>
      <c r="BY196" s="106"/>
      <c r="BZ196" s="106"/>
      <c r="CA196" s="106"/>
      <c r="CB196" s="106"/>
      <c r="CC196" s="106"/>
      <c r="CD196" s="106"/>
      <c r="CE196" s="106"/>
      <c r="CF196" s="106"/>
      <c r="CG196" s="106"/>
      <c r="CH196" s="106"/>
      <c r="CI196" s="106"/>
      <c r="CK196" s="11"/>
      <c r="CM196" s="11"/>
      <c r="EX196" s="10" t="str">
        <f t="shared" si="154"/>
        <v/>
      </c>
    </row>
    <row r="197" spans="2:154" x14ac:dyDescent="0.35">
      <c r="B197" t="str">
        <f ca="1">Loans!B$27</f>
        <v>Loan 15</v>
      </c>
      <c r="D197" s="51">
        <f>Loans!D$27</f>
        <v>0</v>
      </c>
      <c r="E197" s="117" t="str">
        <f>IF(Loans!R$27=0, "", Loans!R$27)</f>
        <v/>
      </c>
      <c r="F197" s="10">
        <f>Loans!H$709</f>
        <v>0</v>
      </c>
      <c r="V197" s="106"/>
      <c r="W197" s="106"/>
      <c r="X197" s="106"/>
      <c r="Y197" s="106"/>
      <c r="AA197" s="38">
        <f t="shared" ref="AA197:BV197" si="182">IF(AA151=1, 1, Z197+AA174)*AA174</f>
        <v>0</v>
      </c>
      <c r="AB197" s="38">
        <f t="shared" si="182"/>
        <v>0</v>
      </c>
      <c r="AC197" s="38">
        <f t="shared" si="182"/>
        <v>0</v>
      </c>
      <c r="AD197" s="38">
        <f t="shared" si="182"/>
        <v>0</v>
      </c>
      <c r="AE197" s="38">
        <f t="shared" si="182"/>
        <v>0</v>
      </c>
      <c r="AF197" s="38">
        <f t="shared" si="182"/>
        <v>0</v>
      </c>
      <c r="AG197" s="38">
        <f t="shared" si="182"/>
        <v>0</v>
      </c>
      <c r="AH197" s="38">
        <f t="shared" si="182"/>
        <v>0</v>
      </c>
      <c r="AI197" s="38">
        <f t="shared" si="182"/>
        <v>0</v>
      </c>
      <c r="AJ197" s="38">
        <f t="shared" si="182"/>
        <v>0</v>
      </c>
      <c r="AK197" s="38">
        <f t="shared" si="182"/>
        <v>0</v>
      </c>
      <c r="AL197" s="38">
        <f t="shared" si="182"/>
        <v>0</v>
      </c>
      <c r="AM197" s="38">
        <f t="shared" si="182"/>
        <v>0</v>
      </c>
      <c r="AN197" s="38">
        <f t="shared" si="182"/>
        <v>0</v>
      </c>
      <c r="AO197" s="38">
        <f t="shared" si="182"/>
        <v>0</v>
      </c>
      <c r="AP197" s="38">
        <f t="shared" si="182"/>
        <v>0</v>
      </c>
      <c r="AQ197" s="38">
        <f t="shared" si="182"/>
        <v>0</v>
      </c>
      <c r="AR197" s="38">
        <f t="shared" si="182"/>
        <v>0</v>
      </c>
      <c r="AS197" s="38">
        <f t="shared" si="182"/>
        <v>0</v>
      </c>
      <c r="AT197" s="38">
        <f t="shared" si="182"/>
        <v>0</v>
      </c>
      <c r="AU197" s="38">
        <f t="shared" si="182"/>
        <v>0</v>
      </c>
      <c r="AV197" s="38">
        <f t="shared" si="182"/>
        <v>0</v>
      </c>
      <c r="AW197" s="38">
        <f t="shared" si="182"/>
        <v>0</v>
      </c>
      <c r="AX197" s="38">
        <f t="shared" si="182"/>
        <v>0</v>
      </c>
      <c r="AY197" s="38">
        <f t="shared" si="182"/>
        <v>0</v>
      </c>
      <c r="AZ197" s="38">
        <f t="shared" si="182"/>
        <v>0</v>
      </c>
      <c r="BA197" s="38">
        <f t="shared" si="182"/>
        <v>0</v>
      </c>
      <c r="BB197" s="38">
        <f t="shared" si="182"/>
        <v>0</v>
      </c>
      <c r="BC197" s="38">
        <f t="shared" si="182"/>
        <v>0</v>
      </c>
      <c r="BD197" s="38">
        <f t="shared" si="182"/>
        <v>0</v>
      </c>
      <c r="BE197" s="38">
        <f t="shared" si="182"/>
        <v>0</v>
      </c>
      <c r="BF197" s="38">
        <f t="shared" si="182"/>
        <v>0</v>
      </c>
      <c r="BG197" s="38">
        <f t="shared" si="182"/>
        <v>0</v>
      </c>
      <c r="BH197" s="38">
        <f t="shared" si="182"/>
        <v>0</v>
      </c>
      <c r="BI197" s="38">
        <f t="shared" si="182"/>
        <v>0</v>
      </c>
      <c r="BJ197" s="38">
        <f t="shared" si="182"/>
        <v>0</v>
      </c>
      <c r="BK197" s="38">
        <f t="shared" si="182"/>
        <v>0</v>
      </c>
      <c r="BL197" s="38">
        <f t="shared" si="182"/>
        <v>0</v>
      </c>
      <c r="BM197" s="38">
        <f t="shared" si="182"/>
        <v>0</v>
      </c>
      <c r="BN197" s="38">
        <f t="shared" si="182"/>
        <v>0</v>
      </c>
      <c r="BO197" s="38">
        <f t="shared" si="182"/>
        <v>0</v>
      </c>
      <c r="BP197" s="38">
        <f t="shared" si="182"/>
        <v>0</v>
      </c>
      <c r="BQ197" s="38">
        <f t="shared" si="182"/>
        <v>0</v>
      </c>
      <c r="BR197" s="38">
        <f t="shared" si="182"/>
        <v>0</v>
      </c>
      <c r="BS197" s="38">
        <f t="shared" si="182"/>
        <v>0</v>
      </c>
      <c r="BT197" s="38">
        <f t="shared" si="182"/>
        <v>0</v>
      </c>
      <c r="BU197" s="38">
        <f t="shared" si="182"/>
        <v>0</v>
      </c>
      <c r="BV197" s="38">
        <f t="shared" si="182"/>
        <v>0</v>
      </c>
      <c r="BX197" s="106"/>
      <c r="BY197" s="106"/>
      <c r="BZ197" s="106"/>
      <c r="CA197" s="106"/>
      <c r="CB197" s="106"/>
      <c r="CC197" s="106"/>
      <c r="CD197" s="106"/>
      <c r="CE197" s="106"/>
      <c r="CF197" s="106"/>
      <c r="CG197" s="106"/>
      <c r="CH197" s="106"/>
      <c r="CI197" s="106"/>
      <c r="CK197" s="11"/>
      <c r="CM197" s="11"/>
      <c r="EX197" s="10" t="str">
        <f t="shared" si="154"/>
        <v/>
      </c>
    </row>
    <row r="198" spans="2:154" x14ac:dyDescent="0.35">
      <c r="B198" t="str">
        <f ca="1">Loans!B$28</f>
        <v>Loan 16</v>
      </c>
      <c r="D198" s="51">
        <f>Loans!D$28</f>
        <v>0</v>
      </c>
      <c r="E198" s="117" t="str">
        <f>IF(Loans!R$28=0, "", Loans!R$28)</f>
        <v/>
      </c>
      <c r="F198" s="10">
        <f>Loans!H$710</f>
        <v>0</v>
      </c>
      <c r="V198" s="106"/>
      <c r="W198" s="106"/>
      <c r="X198" s="106"/>
      <c r="Y198" s="106"/>
      <c r="AA198" s="38">
        <f t="shared" ref="AA198:BV198" si="183">IF(AA152=1, 1, Z198+AA175)*AA175</f>
        <v>0</v>
      </c>
      <c r="AB198" s="38">
        <f t="shared" si="183"/>
        <v>0</v>
      </c>
      <c r="AC198" s="38">
        <f t="shared" si="183"/>
        <v>0</v>
      </c>
      <c r="AD198" s="38">
        <f t="shared" si="183"/>
        <v>0</v>
      </c>
      <c r="AE198" s="38">
        <f t="shared" si="183"/>
        <v>0</v>
      </c>
      <c r="AF198" s="38">
        <f t="shared" si="183"/>
        <v>0</v>
      </c>
      <c r="AG198" s="38">
        <f t="shared" si="183"/>
        <v>0</v>
      </c>
      <c r="AH198" s="38">
        <f t="shared" si="183"/>
        <v>0</v>
      </c>
      <c r="AI198" s="38">
        <f t="shared" si="183"/>
        <v>0</v>
      </c>
      <c r="AJ198" s="38">
        <f t="shared" si="183"/>
        <v>0</v>
      </c>
      <c r="AK198" s="38">
        <f t="shared" si="183"/>
        <v>0</v>
      </c>
      <c r="AL198" s="38">
        <f t="shared" si="183"/>
        <v>0</v>
      </c>
      <c r="AM198" s="38">
        <f t="shared" si="183"/>
        <v>0</v>
      </c>
      <c r="AN198" s="38">
        <f t="shared" si="183"/>
        <v>0</v>
      </c>
      <c r="AO198" s="38">
        <f t="shared" si="183"/>
        <v>0</v>
      </c>
      <c r="AP198" s="38">
        <f t="shared" si="183"/>
        <v>0</v>
      </c>
      <c r="AQ198" s="38">
        <f t="shared" si="183"/>
        <v>0</v>
      </c>
      <c r="AR198" s="38">
        <f t="shared" si="183"/>
        <v>0</v>
      </c>
      <c r="AS198" s="38">
        <f t="shared" si="183"/>
        <v>0</v>
      </c>
      <c r="AT198" s="38">
        <f t="shared" si="183"/>
        <v>0</v>
      </c>
      <c r="AU198" s="38">
        <f t="shared" si="183"/>
        <v>0</v>
      </c>
      <c r="AV198" s="38">
        <f t="shared" si="183"/>
        <v>0</v>
      </c>
      <c r="AW198" s="38">
        <f t="shared" si="183"/>
        <v>0</v>
      </c>
      <c r="AX198" s="38">
        <f t="shared" si="183"/>
        <v>0</v>
      </c>
      <c r="AY198" s="38">
        <f t="shared" si="183"/>
        <v>0</v>
      </c>
      <c r="AZ198" s="38">
        <f t="shared" si="183"/>
        <v>0</v>
      </c>
      <c r="BA198" s="38">
        <f t="shared" si="183"/>
        <v>0</v>
      </c>
      <c r="BB198" s="38">
        <f t="shared" si="183"/>
        <v>0</v>
      </c>
      <c r="BC198" s="38">
        <f t="shared" si="183"/>
        <v>0</v>
      </c>
      <c r="BD198" s="38">
        <f t="shared" si="183"/>
        <v>0</v>
      </c>
      <c r="BE198" s="38">
        <f t="shared" si="183"/>
        <v>0</v>
      </c>
      <c r="BF198" s="38">
        <f t="shared" si="183"/>
        <v>0</v>
      </c>
      <c r="BG198" s="38">
        <f t="shared" si="183"/>
        <v>0</v>
      </c>
      <c r="BH198" s="38">
        <f t="shared" si="183"/>
        <v>0</v>
      </c>
      <c r="BI198" s="38">
        <f t="shared" si="183"/>
        <v>0</v>
      </c>
      <c r="BJ198" s="38">
        <f t="shared" si="183"/>
        <v>0</v>
      </c>
      <c r="BK198" s="38">
        <f t="shared" si="183"/>
        <v>0</v>
      </c>
      <c r="BL198" s="38">
        <f t="shared" si="183"/>
        <v>0</v>
      </c>
      <c r="BM198" s="38">
        <f t="shared" si="183"/>
        <v>0</v>
      </c>
      <c r="BN198" s="38">
        <f t="shared" si="183"/>
        <v>0</v>
      </c>
      <c r="BO198" s="38">
        <f t="shared" si="183"/>
        <v>0</v>
      </c>
      <c r="BP198" s="38">
        <f t="shared" si="183"/>
        <v>0</v>
      </c>
      <c r="BQ198" s="38">
        <f t="shared" si="183"/>
        <v>0</v>
      </c>
      <c r="BR198" s="38">
        <f t="shared" si="183"/>
        <v>0</v>
      </c>
      <c r="BS198" s="38">
        <f t="shared" si="183"/>
        <v>0</v>
      </c>
      <c r="BT198" s="38">
        <f t="shared" si="183"/>
        <v>0</v>
      </c>
      <c r="BU198" s="38">
        <f t="shared" si="183"/>
        <v>0</v>
      </c>
      <c r="BV198" s="38">
        <f t="shared" si="183"/>
        <v>0</v>
      </c>
      <c r="BX198" s="106"/>
      <c r="BY198" s="106"/>
      <c r="BZ198" s="106"/>
      <c r="CA198" s="106"/>
      <c r="CB198" s="106"/>
      <c r="CC198" s="106"/>
      <c r="CD198" s="106"/>
      <c r="CE198" s="106"/>
      <c r="CF198" s="106"/>
      <c r="CG198" s="106"/>
      <c r="CH198" s="106"/>
      <c r="CI198" s="106"/>
      <c r="CK198" s="11"/>
      <c r="CM198" s="11"/>
      <c r="EX198" s="10" t="str">
        <f t="shared" si="154"/>
        <v/>
      </c>
    </row>
    <row r="199" spans="2:154" x14ac:dyDescent="0.35">
      <c r="B199" t="str">
        <f ca="1">Loans!B$29</f>
        <v>Loan 17</v>
      </c>
      <c r="D199" s="51">
        <f>Loans!D$29</f>
        <v>0</v>
      </c>
      <c r="E199" s="117" t="str">
        <f>IF(Loans!R$29=0, "", Loans!R$29)</f>
        <v/>
      </c>
      <c r="F199" s="10">
        <f>Loans!H$711</f>
        <v>0</v>
      </c>
      <c r="V199" s="106"/>
      <c r="W199" s="106"/>
      <c r="X199" s="106"/>
      <c r="Y199" s="106"/>
      <c r="AA199" s="38">
        <f t="shared" ref="AA199:BV199" si="184">IF(AA153=1, 1, Z199+AA176)*AA176</f>
        <v>0</v>
      </c>
      <c r="AB199" s="38">
        <f t="shared" si="184"/>
        <v>0</v>
      </c>
      <c r="AC199" s="38">
        <f t="shared" si="184"/>
        <v>0</v>
      </c>
      <c r="AD199" s="38">
        <f t="shared" si="184"/>
        <v>0</v>
      </c>
      <c r="AE199" s="38">
        <f t="shared" si="184"/>
        <v>0</v>
      </c>
      <c r="AF199" s="38">
        <f t="shared" si="184"/>
        <v>0</v>
      </c>
      <c r="AG199" s="38">
        <f t="shared" si="184"/>
        <v>0</v>
      </c>
      <c r="AH199" s="38">
        <f t="shared" si="184"/>
        <v>0</v>
      </c>
      <c r="AI199" s="38">
        <f t="shared" si="184"/>
        <v>0</v>
      </c>
      <c r="AJ199" s="38">
        <f t="shared" si="184"/>
        <v>0</v>
      </c>
      <c r="AK199" s="38">
        <f t="shared" si="184"/>
        <v>0</v>
      </c>
      <c r="AL199" s="38">
        <f t="shared" si="184"/>
        <v>0</v>
      </c>
      <c r="AM199" s="38">
        <f t="shared" si="184"/>
        <v>0</v>
      </c>
      <c r="AN199" s="38">
        <f t="shared" si="184"/>
        <v>0</v>
      </c>
      <c r="AO199" s="38">
        <f t="shared" si="184"/>
        <v>0</v>
      </c>
      <c r="AP199" s="38">
        <f t="shared" si="184"/>
        <v>0</v>
      </c>
      <c r="AQ199" s="38">
        <f t="shared" si="184"/>
        <v>0</v>
      </c>
      <c r="AR199" s="38">
        <f t="shared" si="184"/>
        <v>0</v>
      </c>
      <c r="AS199" s="38">
        <f t="shared" si="184"/>
        <v>0</v>
      </c>
      <c r="AT199" s="38">
        <f t="shared" si="184"/>
        <v>0</v>
      </c>
      <c r="AU199" s="38">
        <f t="shared" si="184"/>
        <v>0</v>
      </c>
      <c r="AV199" s="38">
        <f t="shared" si="184"/>
        <v>0</v>
      </c>
      <c r="AW199" s="38">
        <f t="shared" si="184"/>
        <v>0</v>
      </c>
      <c r="AX199" s="38">
        <f t="shared" si="184"/>
        <v>0</v>
      </c>
      <c r="AY199" s="38">
        <f t="shared" si="184"/>
        <v>0</v>
      </c>
      <c r="AZ199" s="38">
        <f t="shared" si="184"/>
        <v>0</v>
      </c>
      <c r="BA199" s="38">
        <f t="shared" si="184"/>
        <v>0</v>
      </c>
      <c r="BB199" s="38">
        <f t="shared" si="184"/>
        <v>0</v>
      </c>
      <c r="BC199" s="38">
        <f t="shared" si="184"/>
        <v>0</v>
      </c>
      <c r="BD199" s="38">
        <f t="shared" si="184"/>
        <v>0</v>
      </c>
      <c r="BE199" s="38">
        <f t="shared" si="184"/>
        <v>0</v>
      </c>
      <c r="BF199" s="38">
        <f t="shared" si="184"/>
        <v>0</v>
      </c>
      <c r="BG199" s="38">
        <f t="shared" si="184"/>
        <v>0</v>
      </c>
      <c r="BH199" s="38">
        <f t="shared" si="184"/>
        <v>0</v>
      </c>
      <c r="BI199" s="38">
        <f t="shared" si="184"/>
        <v>0</v>
      </c>
      <c r="BJ199" s="38">
        <f t="shared" si="184"/>
        <v>0</v>
      </c>
      <c r="BK199" s="38">
        <f t="shared" si="184"/>
        <v>0</v>
      </c>
      <c r="BL199" s="38">
        <f t="shared" si="184"/>
        <v>0</v>
      </c>
      <c r="BM199" s="38">
        <f t="shared" si="184"/>
        <v>0</v>
      </c>
      <c r="BN199" s="38">
        <f t="shared" si="184"/>
        <v>0</v>
      </c>
      <c r="BO199" s="38">
        <f t="shared" si="184"/>
        <v>0</v>
      </c>
      <c r="BP199" s="38">
        <f t="shared" si="184"/>
        <v>0</v>
      </c>
      <c r="BQ199" s="38">
        <f t="shared" si="184"/>
        <v>0</v>
      </c>
      <c r="BR199" s="38">
        <f t="shared" si="184"/>
        <v>0</v>
      </c>
      <c r="BS199" s="38">
        <f t="shared" si="184"/>
        <v>0</v>
      </c>
      <c r="BT199" s="38">
        <f t="shared" si="184"/>
        <v>0</v>
      </c>
      <c r="BU199" s="38">
        <f t="shared" si="184"/>
        <v>0</v>
      </c>
      <c r="BV199" s="38">
        <f t="shared" si="184"/>
        <v>0</v>
      </c>
      <c r="BX199" s="106"/>
      <c r="BY199" s="106"/>
      <c r="BZ199" s="106"/>
      <c r="CA199" s="106"/>
      <c r="CB199" s="106"/>
      <c r="CC199" s="106"/>
      <c r="CD199" s="106"/>
      <c r="CE199" s="106"/>
      <c r="CF199" s="106"/>
      <c r="CG199" s="106"/>
      <c r="CH199" s="106"/>
      <c r="CI199" s="106"/>
      <c r="CK199" s="11"/>
      <c r="CM199" s="11"/>
      <c r="EX199" s="10" t="str">
        <f t="shared" si="154"/>
        <v/>
      </c>
    </row>
    <row r="200" spans="2:154" x14ac:dyDescent="0.35">
      <c r="B200" t="str">
        <f ca="1">Loans!B$30</f>
        <v>Loan 18</v>
      </c>
      <c r="D200" s="51">
        <f>Loans!D$30</f>
        <v>0</v>
      </c>
      <c r="E200" s="117" t="str">
        <f>IF(Loans!R$30=0, "", Loans!R$30)</f>
        <v/>
      </c>
      <c r="F200" s="10">
        <f>Loans!H$712</f>
        <v>0</v>
      </c>
      <c r="V200" s="106"/>
      <c r="W200" s="106"/>
      <c r="X200" s="106"/>
      <c r="Y200" s="106"/>
      <c r="AA200" s="38">
        <f t="shared" ref="AA200:BV200" si="185">IF(AA154=1, 1, Z200+AA177)*AA177</f>
        <v>0</v>
      </c>
      <c r="AB200" s="38">
        <f t="shared" si="185"/>
        <v>0</v>
      </c>
      <c r="AC200" s="38">
        <f t="shared" si="185"/>
        <v>0</v>
      </c>
      <c r="AD200" s="38">
        <f t="shared" si="185"/>
        <v>0</v>
      </c>
      <c r="AE200" s="38">
        <f t="shared" si="185"/>
        <v>0</v>
      </c>
      <c r="AF200" s="38">
        <f t="shared" si="185"/>
        <v>0</v>
      </c>
      <c r="AG200" s="38">
        <f t="shared" si="185"/>
        <v>0</v>
      </c>
      <c r="AH200" s="38">
        <f t="shared" si="185"/>
        <v>0</v>
      </c>
      <c r="AI200" s="38">
        <f t="shared" si="185"/>
        <v>0</v>
      </c>
      <c r="AJ200" s="38">
        <f t="shared" si="185"/>
        <v>0</v>
      </c>
      <c r="AK200" s="38">
        <f t="shared" si="185"/>
        <v>0</v>
      </c>
      <c r="AL200" s="38">
        <f t="shared" si="185"/>
        <v>0</v>
      </c>
      <c r="AM200" s="38">
        <f t="shared" si="185"/>
        <v>0</v>
      </c>
      <c r="AN200" s="38">
        <f t="shared" si="185"/>
        <v>0</v>
      </c>
      <c r="AO200" s="38">
        <f t="shared" si="185"/>
        <v>0</v>
      </c>
      <c r="AP200" s="38">
        <f t="shared" si="185"/>
        <v>0</v>
      </c>
      <c r="AQ200" s="38">
        <f t="shared" si="185"/>
        <v>0</v>
      </c>
      <c r="AR200" s="38">
        <f t="shared" si="185"/>
        <v>0</v>
      </c>
      <c r="AS200" s="38">
        <f t="shared" si="185"/>
        <v>0</v>
      </c>
      <c r="AT200" s="38">
        <f t="shared" si="185"/>
        <v>0</v>
      </c>
      <c r="AU200" s="38">
        <f t="shared" si="185"/>
        <v>0</v>
      </c>
      <c r="AV200" s="38">
        <f t="shared" si="185"/>
        <v>0</v>
      </c>
      <c r="AW200" s="38">
        <f t="shared" si="185"/>
        <v>0</v>
      </c>
      <c r="AX200" s="38">
        <f t="shared" si="185"/>
        <v>0</v>
      </c>
      <c r="AY200" s="38">
        <f t="shared" si="185"/>
        <v>0</v>
      </c>
      <c r="AZ200" s="38">
        <f t="shared" si="185"/>
        <v>0</v>
      </c>
      <c r="BA200" s="38">
        <f t="shared" si="185"/>
        <v>0</v>
      </c>
      <c r="BB200" s="38">
        <f t="shared" si="185"/>
        <v>0</v>
      </c>
      <c r="BC200" s="38">
        <f t="shared" si="185"/>
        <v>0</v>
      </c>
      <c r="BD200" s="38">
        <f t="shared" si="185"/>
        <v>0</v>
      </c>
      <c r="BE200" s="38">
        <f t="shared" si="185"/>
        <v>0</v>
      </c>
      <c r="BF200" s="38">
        <f t="shared" si="185"/>
        <v>0</v>
      </c>
      <c r="BG200" s="38">
        <f t="shared" si="185"/>
        <v>0</v>
      </c>
      <c r="BH200" s="38">
        <f t="shared" si="185"/>
        <v>0</v>
      </c>
      <c r="BI200" s="38">
        <f t="shared" si="185"/>
        <v>0</v>
      </c>
      <c r="BJ200" s="38">
        <f t="shared" si="185"/>
        <v>0</v>
      </c>
      <c r="BK200" s="38">
        <f t="shared" si="185"/>
        <v>0</v>
      </c>
      <c r="BL200" s="38">
        <f t="shared" si="185"/>
        <v>0</v>
      </c>
      <c r="BM200" s="38">
        <f t="shared" si="185"/>
        <v>0</v>
      </c>
      <c r="BN200" s="38">
        <f t="shared" si="185"/>
        <v>0</v>
      </c>
      <c r="BO200" s="38">
        <f t="shared" si="185"/>
        <v>0</v>
      </c>
      <c r="BP200" s="38">
        <f t="shared" si="185"/>
        <v>0</v>
      </c>
      <c r="BQ200" s="38">
        <f t="shared" si="185"/>
        <v>0</v>
      </c>
      <c r="BR200" s="38">
        <f t="shared" si="185"/>
        <v>0</v>
      </c>
      <c r="BS200" s="38">
        <f t="shared" si="185"/>
        <v>0</v>
      </c>
      <c r="BT200" s="38">
        <f t="shared" si="185"/>
        <v>0</v>
      </c>
      <c r="BU200" s="38">
        <f t="shared" si="185"/>
        <v>0</v>
      </c>
      <c r="BV200" s="38">
        <f t="shared" si="185"/>
        <v>0</v>
      </c>
      <c r="BX200" s="106"/>
      <c r="BY200" s="106"/>
      <c r="BZ200" s="106"/>
      <c r="CA200" s="106"/>
      <c r="CB200" s="106"/>
      <c r="CC200" s="106"/>
      <c r="CD200" s="106"/>
      <c r="CE200" s="106"/>
      <c r="CF200" s="106"/>
      <c r="CG200" s="106"/>
      <c r="CH200" s="106"/>
      <c r="CI200" s="106"/>
      <c r="CK200" s="11"/>
      <c r="CM200" s="11"/>
      <c r="EX200" s="10" t="str">
        <f t="shared" ref="EX200:EX263" si="186">IF($C200="","",$D200)</f>
        <v/>
      </c>
    </row>
    <row r="201" spans="2:154" x14ac:dyDescent="0.35">
      <c r="B201" t="str">
        <f ca="1">Loans!B$31</f>
        <v>Loan 19</v>
      </c>
      <c r="D201" s="51">
        <f>Loans!D$31</f>
        <v>0</v>
      </c>
      <c r="E201" s="117" t="str">
        <f>IF(Loans!R$31=0, "", Loans!R$31)</f>
        <v/>
      </c>
      <c r="F201" s="10">
        <f>Loans!H$713</f>
        <v>0</v>
      </c>
      <c r="V201" s="106"/>
      <c r="W201" s="106"/>
      <c r="X201" s="106"/>
      <c r="Y201" s="106"/>
      <c r="AA201" s="38">
        <f t="shared" ref="AA201:BV201" si="187">IF(AA155=1, 1, Z201+AA178)*AA178</f>
        <v>0</v>
      </c>
      <c r="AB201" s="38">
        <f t="shared" si="187"/>
        <v>0</v>
      </c>
      <c r="AC201" s="38">
        <f t="shared" si="187"/>
        <v>0</v>
      </c>
      <c r="AD201" s="38">
        <f t="shared" si="187"/>
        <v>0</v>
      </c>
      <c r="AE201" s="38">
        <f t="shared" si="187"/>
        <v>0</v>
      </c>
      <c r="AF201" s="38">
        <f t="shared" si="187"/>
        <v>0</v>
      </c>
      <c r="AG201" s="38">
        <f t="shared" si="187"/>
        <v>0</v>
      </c>
      <c r="AH201" s="38">
        <f t="shared" si="187"/>
        <v>0</v>
      </c>
      <c r="AI201" s="38">
        <f t="shared" si="187"/>
        <v>0</v>
      </c>
      <c r="AJ201" s="38">
        <f t="shared" si="187"/>
        <v>0</v>
      </c>
      <c r="AK201" s="38">
        <f t="shared" si="187"/>
        <v>0</v>
      </c>
      <c r="AL201" s="38">
        <f t="shared" si="187"/>
        <v>0</v>
      </c>
      <c r="AM201" s="38">
        <f t="shared" si="187"/>
        <v>0</v>
      </c>
      <c r="AN201" s="38">
        <f t="shared" si="187"/>
        <v>0</v>
      </c>
      <c r="AO201" s="38">
        <f t="shared" si="187"/>
        <v>0</v>
      </c>
      <c r="AP201" s="38">
        <f t="shared" si="187"/>
        <v>0</v>
      </c>
      <c r="AQ201" s="38">
        <f t="shared" si="187"/>
        <v>0</v>
      </c>
      <c r="AR201" s="38">
        <f t="shared" si="187"/>
        <v>0</v>
      </c>
      <c r="AS201" s="38">
        <f t="shared" si="187"/>
        <v>0</v>
      </c>
      <c r="AT201" s="38">
        <f t="shared" si="187"/>
        <v>0</v>
      </c>
      <c r="AU201" s="38">
        <f t="shared" si="187"/>
        <v>0</v>
      </c>
      <c r="AV201" s="38">
        <f t="shared" si="187"/>
        <v>0</v>
      </c>
      <c r="AW201" s="38">
        <f t="shared" si="187"/>
        <v>0</v>
      </c>
      <c r="AX201" s="38">
        <f t="shared" si="187"/>
        <v>0</v>
      </c>
      <c r="AY201" s="38">
        <f t="shared" si="187"/>
        <v>0</v>
      </c>
      <c r="AZ201" s="38">
        <f t="shared" si="187"/>
        <v>0</v>
      </c>
      <c r="BA201" s="38">
        <f t="shared" si="187"/>
        <v>0</v>
      </c>
      <c r="BB201" s="38">
        <f t="shared" si="187"/>
        <v>0</v>
      </c>
      <c r="BC201" s="38">
        <f t="shared" si="187"/>
        <v>0</v>
      </c>
      <c r="BD201" s="38">
        <f t="shared" si="187"/>
        <v>0</v>
      </c>
      <c r="BE201" s="38">
        <f t="shared" si="187"/>
        <v>0</v>
      </c>
      <c r="BF201" s="38">
        <f t="shared" si="187"/>
        <v>0</v>
      </c>
      <c r="BG201" s="38">
        <f t="shared" si="187"/>
        <v>0</v>
      </c>
      <c r="BH201" s="38">
        <f t="shared" si="187"/>
        <v>0</v>
      </c>
      <c r="BI201" s="38">
        <f t="shared" si="187"/>
        <v>0</v>
      </c>
      <c r="BJ201" s="38">
        <f t="shared" si="187"/>
        <v>0</v>
      </c>
      <c r="BK201" s="38">
        <f t="shared" si="187"/>
        <v>0</v>
      </c>
      <c r="BL201" s="38">
        <f t="shared" si="187"/>
        <v>0</v>
      </c>
      <c r="BM201" s="38">
        <f t="shared" si="187"/>
        <v>0</v>
      </c>
      <c r="BN201" s="38">
        <f t="shared" si="187"/>
        <v>0</v>
      </c>
      <c r="BO201" s="38">
        <f t="shared" si="187"/>
        <v>0</v>
      </c>
      <c r="BP201" s="38">
        <f t="shared" si="187"/>
        <v>0</v>
      </c>
      <c r="BQ201" s="38">
        <f t="shared" si="187"/>
        <v>0</v>
      </c>
      <c r="BR201" s="38">
        <f t="shared" si="187"/>
        <v>0</v>
      </c>
      <c r="BS201" s="38">
        <f t="shared" si="187"/>
        <v>0</v>
      </c>
      <c r="BT201" s="38">
        <f t="shared" si="187"/>
        <v>0</v>
      </c>
      <c r="BU201" s="38">
        <f t="shared" si="187"/>
        <v>0</v>
      </c>
      <c r="BV201" s="38">
        <f t="shared" si="187"/>
        <v>0</v>
      </c>
      <c r="BX201" s="106"/>
      <c r="BY201" s="106"/>
      <c r="BZ201" s="106"/>
      <c r="CA201" s="106"/>
      <c r="CB201" s="106"/>
      <c r="CC201" s="106"/>
      <c r="CD201" s="106"/>
      <c r="CE201" s="106"/>
      <c r="CF201" s="106"/>
      <c r="CG201" s="106"/>
      <c r="CH201" s="106"/>
      <c r="CI201" s="106"/>
      <c r="CK201" s="11"/>
      <c r="CM201" s="11"/>
      <c r="EX201" s="10" t="str">
        <f t="shared" si="186"/>
        <v/>
      </c>
    </row>
    <row r="202" spans="2:154" x14ac:dyDescent="0.35">
      <c r="B202" t="str">
        <f ca="1">Loans!B$32</f>
        <v>Loan 20</v>
      </c>
      <c r="D202" s="51">
        <f>Loans!D$32</f>
        <v>0</v>
      </c>
      <c r="E202" s="117" t="str">
        <f>IF(Loans!R$32=0, "", Loans!R$32)</f>
        <v/>
      </c>
      <c r="F202" s="10">
        <f>Loans!H$714</f>
        <v>0</v>
      </c>
      <c r="V202" s="106"/>
      <c r="W202" s="106"/>
      <c r="X202" s="106"/>
      <c r="Y202" s="106"/>
      <c r="AA202" s="38">
        <f t="shared" ref="AA202:BV202" si="188">IF(AA156=1, 1, Z202+AA179)*AA179</f>
        <v>0</v>
      </c>
      <c r="AB202" s="38">
        <f t="shared" si="188"/>
        <v>0</v>
      </c>
      <c r="AC202" s="38">
        <f t="shared" si="188"/>
        <v>0</v>
      </c>
      <c r="AD202" s="38">
        <f t="shared" si="188"/>
        <v>0</v>
      </c>
      <c r="AE202" s="38">
        <f t="shared" si="188"/>
        <v>0</v>
      </c>
      <c r="AF202" s="38">
        <f t="shared" si="188"/>
        <v>0</v>
      </c>
      <c r="AG202" s="38">
        <f t="shared" si="188"/>
        <v>0</v>
      </c>
      <c r="AH202" s="38">
        <f t="shared" si="188"/>
        <v>0</v>
      </c>
      <c r="AI202" s="38">
        <f t="shared" si="188"/>
        <v>0</v>
      </c>
      <c r="AJ202" s="38">
        <f t="shared" si="188"/>
        <v>0</v>
      </c>
      <c r="AK202" s="38">
        <f t="shared" si="188"/>
        <v>0</v>
      </c>
      <c r="AL202" s="38">
        <f t="shared" si="188"/>
        <v>0</v>
      </c>
      <c r="AM202" s="38">
        <f t="shared" si="188"/>
        <v>0</v>
      </c>
      <c r="AN202" s="38">
        <f t="shared" si="188"/>
        <v>0</v>
      </c>
      <c r="AO202" s="38">
        <f t="shared" si="188"/>
        <v>0</v>
      </c>
      <c r="AP202" s="38">
        <f t="shared" si="188"/>
        <v>0</v>
      </c>
      <c r="AQ202" s="38">
        <f t="shared" si="188"/>
        <v>0</v>
      </c>
      <c r="AR202" s="38">
        <f t="shared" si="188"/>
        <v>0</v>
      </c>
      <c r="AS202" s="38">
        <f t="shared" si="188"/>
        <v>0</v>
      </c>
      <c r="AT202" s="38">
        <f t="shared" si="188"/>
        <v>0</v>
      </c>
      <c r="AU202" s="38">
        <f t="shared" si="188"/>
        <v>0</v>
      </c>
      <c r="AV202" s="38">
        <f t="shared" si="188"/>
        <v>0</v>
      </c>
      <c r="AW202" s="38">
        <f t="shared" si="188"/>
        <v>0</v>
      </c>
      <c r="AX202" s="38">
        <f t="shared" si="188"/>
        <v>0</v>
      </c>
      <c r="AY202" s="38">
        <f t="shared" si="188"/>
        <v>0</v>
      </c>
      <c r="AZ202" s="38">
        <f t="shared" si="188"/>
        <v>0</v>
      </c>
      <c r="BA202" s="38">
        <f t="shared" si="188"/>
        <v>0</v>
      </c>
      <c r="BB202" s="38">
        <f t="shared" si="188"/>
        <v>0</v>
      </c>
      <c r="BC202" s="38">
        <f t="shared" si="188"/>
        <v>0</v>
      </c>
      <c r="BD202" s="38">
        <f t="shared" si="188"/>
        <v>0</v>
      </c>
      <c r="BE202" s="38">
        <f t="shared" si="188"/>
        <v>0</v>
      </c>
      <c r="BF202" s="38">
        <f t="shared" si="188"/>
        <v>0</v>
      </c>
      <c r="BG202" s="38">
        <f t="shared" si="188"/>
        <v>0</v>
      </c>
      <c r="BH202" s="38">
        <f t="shared" si="188"/>
        <v>0</v>
      </c>
      <c r="BI202" s="38">
        <f t="shared" si="188"/>
        <v>0</v>
      </c>
      <c r="BJ202" s="38">
        <f t="shared" si="188"/>
        <v>0</v>
      </c>
      <c r="BK202" s="38">
        <f t="shared" si="188"/>
        <v>0</v>
      </c>
      <c r="BL202" s="38">
        <f t="shared" si="188"/>
        <v>0</v>
      </c>
      <c r="BM202" s="38">
        <f t="shared" si="188"/>
        <v>0</v>
      </c>
      <c r="BN202" s="38">
        <f t="shared" si="188"/>
        <v>0</v>
      </c>
      <c r="BO202" s="38">
        <f t="shared" si="188"/>
        <v>0</v>
      </c>
      <c r="BP202" s="38">
        <f t="shared" si="188"/>
        <v>0</v>
      </c>
      <c r="BQ202" s="38">
        <f t="shared" si="188"/>
        <v>0</v>
      </c>
      <c r="BR202" s="38">
        <f t="shared" si="188"/>
        <v>0</v>
      </c>
      <c r="BS202" s="38">
        <f t="shared" si="188"/>
        <v>0</v>
      </c>
      <c r="BT202" s="38">
        <f t="shared" si="188"/>
        <v>0</v>
      </c>
      <c r="BU202" s="38">
        <f t="shared" si="188"/>
        <v>0</v>
      </c>
      <c r="BV202" s="38">
        <f t="shared" si="188"/>
        <v>0</v>
      </c>
      <c r="BX202" s="106"/>
      <c r="BY202" s="106"/>
      <c r="BZ202" s="106"/>
      <c r="CA202" s="106"/>
      <c r="CB202" s="106"/>
      <c r="CC202" s="106"/>
      <c r="CD202" s="106"/>
      <c r="CE202" s="106"/>
      <c r="CF202" s="106"/>
      <c r="CG202" s="106"/>
      <c r="CH202" s="106"/>
      <c r="CI202" s="106"/>
      <c r="CK202" s="11"/>
      <c r="CM202" s="11"/>
      <c r="EX202" s="10" t="str">
        <f t="shared" si="186"/>
        <v/>
      </c>
    </row>
    <row r="203" spans="2:154" ht="6.75" customHeight="1" x14ac:dyDescent="0.35">
      <c r="D203" s="1"/>
      <c r="E203"/>
      <c r="CK203" s="35"/>
      <c r="CM203" s="35"/>
      <c r="EX203" s="10" t="str">
        <f t="shared" si="186"/>
        <v/>
      </c>
    </row>
    <row r="204" spans="2:154" x14ac:dyDescent="0.35">
      <c r="D204" s="5" t="s">
        <v>1941</v>
      </c>
      <c r="E204"/>
      <c r="CK204" s="11"/>
      <c r="CM204" s="11"/>
      <c r="EX204" s="10" t="str">
        <f t="shared" si="186"/>
        <v/>
      </c>
    </row>
    <row r="205" spans="2:154" x14ac:dyDescent="0.35">
      <c r="B205" s="5"/>
      <c r="D205" s="5" t="str">
        <f>Loans!D$11</f>
        <v>Lender</v>
      </c>
      <c r="E205" s="5" t="s">
        <v>1938</v>
      </c>
      <c r="F205" s="5" t="s">
        <v>1942</v>
      </c>
      <c r="CK205" s="11"/>
      <c r="CM205" s="11"/>
      <c r="EX205" s="10" t="str">
        <f t="shared" si="186"/>
        <v/>
      </c>
    </row>
    <row r="206" spans="2:154" x14ac:dyDescent="0.35">
      <c r="B206" t="str">
        <f ca="1">Loans!B$13</f>
        <v>Loan 1</v>
      </c>
      <c r="D206" s="51">
        <f>Loans!D$13</f>
        <v>0</v>
      </c>
      <c r="E206" s="117" t="str">
        <f>IF(Loans!R$13=0, "", Loans!R$13)</f>
        <v/>
      </c>
      <c r="F206" s="133">
        <f>IFERROR(INDEX(Parameters!$F$80:$F$84, MATCH(Loans!S13, Parameters!$D$80:$D$84,0)), 0)</f>
        <v>0</v>
      </c>
      <c r="V206" s="106"/>
      <c r="W206" s="106"/>
      <c r="X206" s="106"/>
      <c r="Y206" s="106"/>
      <c r="AA206" s="38">
        <f>IF(OR($F206=0,AA183=0), 0, IF(OR(AA183=1, $F206= Parameters!$F$80, MOD(AA183,$F206)=0, AA114=1), 1, 0))</f>
        <v>0</v>
      </c>
      <c r="AB206" s="38">
        <f>IF(OR($F206=0,AB183=0), 0, IF(OR(AB183=1, $F206= Parameters!$F$80, MOD(AB183,$F206)=0, AB114=1), 1, 0))</f>
        <v>0</v>
      </c>
      <c r="AC206" s="38">
        <f>IF(OR($F206=0,AC183=0), 0, IF(OR(AC183=1, $F206= Parameters!$F$80, MOD(AC183,$F206)=0, AC114=1), 1, 0))</f>
        <v>0</v>
      </c>
      <c r="AD206" s="38">
        <f>IF(OR($F206=0,AD183=0), 0, IF(OR(AD183=1, $F206= Parameters!$F$80, MOD(AD183,$F206)=0, AD114=1), 1, 0))</f>
        <v>0</v>
      </c>
      <c r="AE206" s="38">
        <f>IF(OR($F206=0,AE183=0), 0, IF(OR(AE183=1, $F206= Parameters!$F$80, MOD(AE183,$F206)=0, AE114=1), 1, 0))</f>
        <v>0</v>
      </c>
      <c r="AF206" s="38">
        <f>IF(OR($F206=0,AF183=0), 0, IF(OR(AF183=1, $F206= Parameters!$F$80, MOD(AF183,$F206)=0, AF114=1), 1, 0))</f>
        <v>0</v>
      </c>
      <c r="AG206" s="38">
        <f>IF(OR($F206=0,AG183=0), 0, IF(OR(AG183=1, $F206= Parameters!$F$80, MOD(AG183,$F206)=0, AG114=1), 1, 0))</f>
        <v>0</v>
      </c>
      <c r="AH206" s="38">
        <f>IF(OR($F206=0,AH183=0), 0, IF(OR(AH183=1, $F206= Parameters!$F$80, MOD(AH183,$F206)=0, AH114=1), 1, 0))</f>
        <v>0</v>
      </c>
      <c r="AI206" s="38">
        <f>IF(OR($F206=0,AI183=0), 0, IF(OR(AI183=1, $F206= Parameters!$F$80, MOD(AI183,$F206)=0, AI114=1), 1, 0))</f>
        <v>0</v>
      </c>
      <c r="AJ206" s="38">
        <f>IF(OR($F206=0,AJ183=0), 0, IF(OR(AJ183=1, $F206= Parameters!$F$80, MOD(AJ183,$F206)=0, AJ114=1), 1, 0))</f>
        <v>0</v>
      </c>
      <c r="AK206" s="38">
        <f>IF(OR($F206=0,AK183=0), 0, IF(OR(AK183=1, $F206= Parameters!$F$80, MOD(AK183,$F206)=0, AK114=1), 1, 0))</f>
        <v>0</v>
      </c>
      <c r="AL206" s="38">
        <f>IF(OR($F206=0,AL183=0), 0, IF(OR(AL183=1, $F206= Parameters!$F$80, MOD(AL183,$F206)=0, AL114=1), 1, 0))</f>
        <v>0</v>
      </c>
      <c r="AM206" s="38">
        <f>IF(OR($F206=0,AM183=0), 0, IF(OR(AM183=1, $F206= Parameters!$F$80, MOD(AM183,$F206)=0, AM114=1), 1, 0))</f>
        <v>0</v>
      </c>
      <c r="AN206" s="38">
        <f>IF(OR($F206=0,AN183=0), 0, IF(OR(AN183=1, $F206= Parameters!$F$80, MOD(AN183,$F206)=0, AN114=1), 1, 0))</f>
        <v>0</v>
      </c>
      <c r="AO206" s="38">
        <f>IF(OR($F206=0,AO183=0), 0, IF(OR(AO183=1, $F206= Parameters!$F$80, MOD(AO183,$F206)=0, AO114=1), 1, 0))</f>
        <v>0</v>
      </c>
      <c r="AP206" s="38">
        <f>IF(OR($F206=0,AP183=0), 0, IF(OR(AP183=1, $F206= Parameters!$F$80, MOD(AP183,$F206)=0, AP114=1), 1, 0))</f>
        <v>0</v>
      </c>
      <c r="AQ206" s="38">
        <f>IF(OR($F206=0,AQ183=0), 0, IF(OR(AQ183=1, $F206= Parameters!$F$80, MOD(AQ183,$F206)=0, AQ114=1), 1, 0))</f>
        <v>0</v>
      </c>
      <c r="AR206" s="38">
        <f>IF(OR($F206=0,AR183=0), 0, IF(OR(AR183=1, $F206= Parameters!$F$80, MOD(AR183,$F206)=0, AR114=1), 1, 0))</f>
        <v>0</v>
      </c>
      <c r="AS206" s="38">
        <f>IF(OR($F206=0,AS183=0), 0, IF(OR(AS183=1, $F206= Parameters!$F$80, MOD(AS183,$F206)=0, AS114=1), 1, 0))</f>
        <v>0</v>
      </c>
      <c r="AT206" s="38">
        <f>IF(OR($F206=0,AT183=0), 0, IF(OR(AT183=1, $F206= Parameters!$F$80, MOD(AT183,$F206)=0, AT114=1), 1, 0))</f>
        <v>0</v>
      </c>
      <c r="AU206" s="38">
        <f>IF(OR($F206=0,AU183=0), 0, IF(OR(AU183=1, $F206= Parameters!$F$80, MOD(AU183,$F206)=0, AU114=1), 1, 0))</f>
        <v>0</v>
      </c>
      <c r="AV206" s="38">
        <f>IF(OR($F206=0,AV183=0), 0, IF(OR(AV183=1, $F206= Parameters!$F$80, MOD(AV183,$F206)=0, AV114=1), 1, 0))</f>
        <v>0</v>
      </c>
      <c r="AW206" s="38">
        <f>IF(OR($F206=0,AW183=0), 0, IF(OR(AW183=1, $F206= Parameters!$F$80, MOD(AW183,$F206)=0, AW114=1), 1, 0))</f>
        <v>0</v>
      </c>
      <c r="AX206" s="38">
        <f>IF(OR($F206=0,AX183=0), 0, IF(OR(AX183=1, $F206= Parameters!$F$80, MOD(AX183,$F206)=0, AX114=1), 1, 0))</f>
        <v>0</v>
      </c>
      <c r="AY206" s="38">
        <f>IF(OR($F206=0,AY183=0), 0, IF(OR(AY183=1, $F206= Parameters!$F$80, MOD(AY183,$F206)=0, AY114=1), 1, 0))</f>
        <v>0</v>
      </c>
      <c r="AZ206" s="38">
        <f>IF(OR($F206=0,AZ183=0), 0, IF(OR(AZ183=1, $F206= Parameters!$F$80, MOD(AZ183,$F206)=0, AZ114=1), 1, 0))</f>
        <v>0</v>
      </c>
      <c r="BA206" s="38">
        <f>IF(OR($F206=0,BA183=0), 0, IF(OR(BA183=1, $F206= Parameters!$F$80, MOD(BA183,$F206)=0, BA114=1), 1, 0))</f>
        <v>0</v>
      </c>
      <c r="BB206" s="38">
        <f>IF(OR($F206=0,BB183=0), 0, IF(OR(BB183=1, $F206= Parameters!$F$80, MOD(BB183,$F206)=0, BB114=1), 1, 0))</f>
        <v>0</v>
      </c>
      <c r="BC206" s="38">
        <f>IF(OR($F206=0,BC183=0), 0, IF(OR(BC183=1, $F206= Parameters!$F$80, MOD(BC183,$F206)=0, BC114=1), 1, 0))</f>
        <v>0</v>
      </c>
      <c r="BD206" s="38">
        <f>IF(OR($F206=0,BD183=0), 0, IF(OR(BD183=1, $F206= Parameters!$F$80, MOD(BD183,$F206)=0, BD114=1), 1, 0))</f>
        <v>0</v>
      </c>
      <c r="BE206" s="38">
        <f>IF(OR($F206=0,BE183=0), 0, IF(OR(BE183=1, $F206= Parameters!$F$80, MOD(BE183,$F206)=0, BE114=1), 1, 0))</f>
        <v>0</v>
      </c>
      <c r="BF206" s="38">
        <f>IF(OR($F206=0,BF183=0), 0, IF(OR(BF183=1, $F206= Parameters!$F$80, MOD(BF183,$F206)=0, BF114=1), 1, 0))</f>
        <v>0</v>
      </c>
      <c r="BG206" s="38">
        <f>IF(OR($F206=0,BG183=0), 0, IF(OR(BG183=1, $F206= Parameters!$F$80, MOD(BG183,$F206)=0, BG114=1), 1, 0))</f>
        <v>0</v>
      </c>
      <c r="BH206" s="38">
        <f>IF(OR($F206=0,BH183=0), 0, IF(OR(BH183=1, $F206= Parameters!$F$80, MOD(BH183,$F206)=0, BH114=1), 1, 0))</f>
        <v>0</v>
      </c>
      <c r="BI206" s="38">
        <f>IF(OR($F206=0,BI183=0), 0, IF(OR(BI183=1, $F206= Parameters!$F$80, MOD(BI183,$F206)=0, BI114=1), 1, 0))</f>
        <v>0</v>
      </c>
      <c r="BJ206" s="38">
        <f>IF(OR($F206=0,BJ183=0), 0, IF(OR(BJ183=1, $F206= Parameters!$F$80, MOD(BJ183,$F206)=0, BJ114=1), 1, 0))</f>
        <v>0</v>
      </c>
      <c r="BK206" s="38">
        <f>IF(OR($F206=0,BK183=0), 0, IF(OR(BK183=1, $F206= Parameters!$F$80, MOD(BK183,$F206)=0, BK114=1), 1, 0))</f>
        <v>0</v>
      </c>
      <c r="BL206" s="38">
        <f>IF(OR($F206=0,BL183=0), 0, IF(OR(BL183=1, $F206= Parameters!$F$80, MOD(BL183,$F206)=0, BL114=1), 1, 0))</f>
        <v>0</v>
      </c>
      <c r="BM206" s="38">
        <f>IF(OR($F206=0,BM183=0), 0, IF(OR(BM183=1, $F206= Parameters!$F$80, MOD(BM183,$F206)=0, BM114=1), 1, 0))</f>
        <v>0</v>
      </c>
      <c r="BN206" s="38">
        <f>IF(OR($F206=0,BN183=0), 0, IF(OR(BN183=1, $F206= Parameters!$F$80, MOD(BN183,$F206)=0, BN114=1), 1, 0))</f>
        <v>0</v>
      </c>
      <c r="BO206" s="38">
        <f>IF(OR($F206=0,BO183=0), 0, IF(OR(BO183=1, $F206= Parameters!$F$80, MOD(BO183,$F206)=0, BO114=1), 1, 0))</f>
        <v>0</v>
      </c>
      <c r="BP206" s="38">
        <f>IF(OR($F206=0,BP183=0), 0, IF(OR(BP183=1, $F206= Parameters!$F$80, MOD(BP183,$F206)=0, BP114=1), 1, 0))</f>
        <v>0</v>
      </c>
      <c r="BQ206" s="38">
        <f>IF(OR($F206=0,BQ183=0), 0, IF(OR(BQ183=1, $F206= Parameters!$F$80, MOD(BQ183,$F206)=0, BQ114=1), 1, 0))</f>
        <v>0</v>
      </c>
      <c r="BR206" s="38">
        <f>IF(OR($F206=0,BR183=0), 0, IF(OR(BR183=1, $F206= Parameters!$F$80, MOD(BR183,$F206)=0, BR114=1), 1, 0))</f>
        <v>0</v>
      </c>
      <c r="BS206" s="38">
        <f>IF(OR($F206=0,BS183=0), 0, IF(OR(BS183=1, $F206= Parameters!$F$80, MOD(BS183,$F206)=0, BS114=1), 1, 0))</f>
        <v>0</v>
      </c>
      <c r="BT206" s="38">
        <f>IF(OR($F206=0,BT183=0), 0, IF(OR(BT183=1, $F206= Parameters!$F$80, MOD(BT183,$F206)=0, BT114=1), 1, 0))</f>
        <v>0</v>
      </c>
      <c r="BU206" s="38">
        <f>IF(OR($F206=0,BU183=0), 0, IF(OR(BU183=1, $F206= Parameters!$F$80, MOD(BU183,$F206)=0, BU114=1), 1, 0))</f>
        <v>0</v>
      </c>
      <c r="BV206" s="38">
        <f>IF(OR($F206=0,BV183=0), 0, IF(OR(BV183=1, $F206= Parameters!$F$80, MOD(BV183,$F206)=0, BV114=1), 1, 0))</f>
        <v>0</v>
      </c>
      <c r="BX206" s="106"/>
      <c r="BY206" s="106"/>
      <c r="BZ206" s="106"/>
      <c r="CA206" s="106"/>
      <c r="CB206" s="106"/>
      <c r="CC206" s="106"/>
      <c r="CD206" s="106"/>
      <c r="CE206" s="106"/>
      <c r="CF206" s="106"/>
      <c r="CG206" s="106"/>
      <c r="CH206" s="106"/>
      <c r="CI206" s="106"/>
      <c r="CK206" s="11"/>
      <c r="CM206" s="11"/>
      <c r="EX206" s="10" t="str">
        <f t="shared" si="186"/>
        <v/>
      </c>
    </row>
    <row r="207" spans="2:154" x14ac:dyDescent="0.35">
      <c r="B207" t="str">
        <f ca="1">Loans!B$14</f>
        <v>Loan 2</v>
      </c>
      <c r="D207" s="51">
        <f>Loans!D$14</f>
        <v>0</v>
      </c>
      <c r="E207" s="117" t="str">
        <f>IF(Loans!R$14=0, "", Loans!R$14)</f>
        <v/>
      </c>
      <c r="F207" s="10">
        <f>IFERROR(INDEX(Parameters!$F$80:$F$84, MATCH(Loans!S14, Parameters!$D$80:$D$84,0)), 0)</f>
        <v>0</v>
      </c>
      <c r="V207" s="106"/>
      <c r="W207" s="106"/>
      <c r="X207" s="106"/>
      <c r="Y207" s="106"/>
      <c r="AA207" s="38">
        <f>IF(OR($F207=0,AA184=0), 0, IF(OR(AA184=1, $F207= Parameters!$F$80, MOD(AA184,$F207)=0, AA115=1), 1, 0))</f>
        <v>0</v>
      </c>
      <c r="AB207" s="38">
        <f>IF(OR($F207=0,AB184=0), 0, IF(OR(AB184=1, $F207= Parameters!$F$80, MOD(AB184,$F207)=0, AB115=1), 1, 0))</f>
        <v>0</v>
      </c>
      <c r="AC207" s="38">
        <f>IF(OR($F207=0,AC184=0), 0, IF(OR(AC184=1, $F207= Parameters!$F$80, MOD(AC184,$F207)=0, AC115=1), 1, 0))</f>
        <v>0</v>
      </c>
      <c r="AD207" s="38">
        <f>IF(OR($F207=0,AD184=0), 0, IF(OR(AD184=1, $F207= Parameters!$F$80, MOD(AD184,$F207)=0, AD115=1), 1, 0))</f>
        <v>0</v>
      </c>
      <c r="AE207" s="38">
        <f>IF(OR($F207=0,AE184=0), 0, IF(OR(AE184=1, $F207= Parameters!$F$80, MOD(AE184,$F207)=0, AE115=1), 1, 0))</f>
        <v>0</v>
      </c>
      <c r="AF207" s="38">
        <f>IF(OR($F207=0,AF184=0), 0, IF(OR(AF184=1, $F207= Parameters!$F$80, MOD(AF184,$F207)=0, AF115=1), 1, 0))</f>
        <v>0</v>
      </c>
      <c r="AG207" s="38">
        <f>IF(OR($F207=0,AG184=0), 0, IF(OR(AG184=1, $F207= Parameters!$F$80, MOD(AG184,$F207)=0, AG115=1), 1, 0))</f>
        <v>0</v>
      </c>
      <c r="AH207" s="38">
        <f>IF(OR($F207=0,AH184=0), 0, IF(OR(AH184=1, $F207= Parameters!$F$80, MOD(AH184,$F207)=0, AH115=1), 1, 0))</f>
        <v>0</v>
      </c>
      <c r="AI207" s="38">
        <f>IF(OR($F207=0,AI184=0), 0, IF(OR(AI184=1, $F207= Parameters!$F$80, MOD(AI184,$F207)=0, AI115=1), 1, 0))</f>
        <v>0</v>
      </c>
      <c r="AJ207" s="38">
        <f>IF(OR($F207=0,AJ184=0), 0, IF(OR(AJ184=1, $F207= Parameters!$F$80, MOD(AJ184,$F207)=0, AJ115=1), 1, 0))</f>
        <v>0</v>
      </c>
      <c r="AK207" s="38">
        <f>IF(OR($F207=0,AK184=0), 0, IF(OR(AK184=1, $F207= Parameters!$F$80, MOD(AK184,$F207)=0, AK115=1), 1, 0))</f>
        <v>0</v>
      </c>
      <c r="AL207" s="38">
        <f>IF(OR($F207=0,AL184=0), 0, IF(OR(AL184=1, $F207= Parameters!$F$80, MOD(AL184,$F207)=0, AL115=1), 1, 0))</f>
        <v>0</v>
      </c>
      <c r="AM207" s="38">
        <f>IF(OR($F207=0,AM184=0), 0, IF(OR(AM184=1, $F207= Parameters!$F$80, MOD(AM184,$F207)=0, AM115=1), 1, 0))</f>
        <v>0</v>
      </c>
      <c r="AN207" s="38">
        <f>IF(OR($F207=0,AN184=0), 0, IF(OR(AN184=1, $F207= Parameters!$F$80, MOD(AN184,$F207)=0, AN115=1), 1, 0))</f>
        <v>0</v>
      </c>
      <c r="AO207" s="38">
        <f>IF(OR($F207=0,AO184=0), 0, IF(OR(AO184=1, $F207= Parameters!$F$80, MOD(AO184,$F207)=0, AO115=1), 1, 0))</f>
        <v>0</v>
      </c>
      <c r="AP207" s="38">
        <f>IF(OR($F207=0,AP184=0), 0, IF(OR(AP184=1, $F207= Parameters!$F$80, MOD(AP184,$F207)=0, AP115=1), 1, 0))</f>
        <v>0</v>
      </c>
      <c r="AQ207" s="38">
        <f>IF(OR($F207=0,AQ184=0), 0, IF(OR(AQ184=1, $F207= Parameters!$F$80, MOD(AQ184,$F207)=0, AQ115=1), 1, 0))</f>
        <v>0</v>
      </c>
      <c r="AR207" s="38">
        <f>IF(OR($F207=0,AR184=0), 0, IF(OR(AR184=1, $F207= Parameters!$F$80, MOD(AR184,$F207)=0, AR115=1), 1, 0))</f>
        <v>0</v>
      </c>
      <c r="AS207" s="38">
        <f>IF(OR($F207=0,AS184=0), 0, IF(OR(AS184=1, $F207= Parameters!$F$80, MOD(AS184,$F207)=0, AS115=1), 1, 0))</f>
        <v>0</v>
      </c>
      <c r="AT207" s="38">
        <f>IF(OR($F207=0,AT184=0), 0, IF(OR(AT184=1, $F207= Parameters!$F$80, MOD(AT184,$F207)=0, AT115=1), 1, 0))</f>
        <v>0</v>
      </c>
      <c r="AU207" s="38">
        <f>IF(OR($F207=0,AU184=0), 0, IF(OR(AU184=1, $F207= Parameters!$F$80, MOD(AU184,$F207)=0, AU115=1), 1, 0))</f>
        <v>0</v>
      </c>
      <c r="AV207" s="38">
        <f>IF(OR($F207=0,AV184=0), 0, IF(OR(AV184=1, $F207= Parameters!$F$80, MOD(AV184,$F207)=0, AV115=1), 1, 0))</f>
        <v>0</v>
      </c>
      <c r="AW207" s="38">
        <f>IF(OR($F207=0,AW184=0), 0, IF(OR(AW184=1, $F207= Parameters!$F$80, MOD(AW184,$F207)=0, AW115=1), 1, 0))</f>
        <v>0</v>
      </c>
      <c r="AX207" s="38">
        <f>IF(OR($F207=0,AX184=0), 0, IF(OR(AX184=1, $F207= Parameters!$F$80, MOD(AX184,$F207)=0, AX115=1), 1, 0))</f>
        <v>0</v>
      </c>
      <c r="AY207" s="38">
        <f>IF(OR($F207=0,AY184=0), 0, IF(OR(AY184=1, $F207= Parameters!$F$80, MOD(AY184,$F207)=0, AY115=1), 1, 0))</f>
        <v>0</v>
      </c>
      <c r="AZ207" s="38">
        <f>IF(OR($F207=0,AZ184=0), 0, IF(OR(AZ184=1, $F207= Parameters!$F$80, MOD(AZ184,$F207)=0, AZ115=1), 1, 0))</f>
        <v>0</v>
      </c>
      <c r="BA207" s="38">
        <f>IF(OR($F207=0,BA184=0), 0, IF(OR(BA184=1, $F207= Parameters!$F$80, MOD(BA184,$F207)=0, BA115=1), 1, 0))</f>
        <v>0</v>
      </c>
      <c r="BB207" s="38">
        <f>IF(OR($F207=0,BB184=0), 0, IF(OR(BB184=1, $F207= Parameters!$F$80, MOD(BB184,$F207)=0, BB115=1), 1, 0))</f>
        <v>0</v>
      </c>
      <c r="BC207" s="38">
        <f>IF(OR($F207=0,BC184=0), 0, IF(OR(BC184=1, $F207= Parameters!$F$80, MOD(BC184,$F207)=0, BC115=1), 1, 0))</f>
        <v>0</v>
      </c>
      <c r="BD207" s="38">
        <f>IF(OR($F207=0,BD184=0), 0, IF(OR(BD184=1, $F207= Parameters!$F$80, MOD(BD184,$F207)=0, BD115=1), 1, 0))</f>
        <v>0</v>
      </c>
      <c r="BE207" s="38">
        <f>IF(OR($F207=0,BE184=0), 0, IF(OR(BE184=1, $F207= Parameters!$F$80, MOD(BE184,$F207)=0, BE115=1), 1, 0))</f>
        <v>0</v>
      </c>
      <c r="BF207" s="38">
        <f>IF(OR($F207=0,BF184=0), 0, IF(OR(BF184=1, $F207= Parameters!$F$80, MOD(BF184,$F207)=0, BF115=1), 1, 0))</f>
        <v>0</v>
      </c>
      <c r="BG207" s="38">
        <f>IF(OR($F207=0,BG184=0), 0, IF(OR(BG184=1, $F207= Parameters!$F$80, MOD(BG184,$F207)=0, BG115=1), 1, 0))</f>
        <v>0</v>
      </c>
      <c r="BH207" s="38">
        <f>IF(OR($F207=0,BH184=0), 0, IF(OR(BH184=1, $F207= Parameters!$F$80, MOD(BH184,$F207)=0, BH115=1), 1, 0))</f>
        <v>0</v>
      </c>
      <c r="BI207" s="38">
        <f>IF(OR($F207=0,BI184=0), 0, IF(OR(BI184=1, $F207= Parameters!$F$80, MOD(BI184,$F207)=0, BI115=1), 1, 0))</f>
        <v>0</v>
      </c>
      <c r="BJ207" s="38">
        <f>IF(OR($F207=0,BJ184=0), 0, IF(OR(BJ184=1, $F207= Parameters!$F$80, MOD(BJ184,$F207)=0, BJ115=1), 1, 0))</f>
        <v>0</v>
      </c>
      <c r="BK207" s="38">
        <f>IF(OR($F207=0,BK184=0), 0, IF(OR(BK184=1, $F207= Parameters!$F$80, MOD(BK184,$F207)=0, BK115=1), 1, 0))</f>
        <v>0</v>
      </c>
      <c r="BL207" s="38">
        <f>IF(OR($F207=0,BL184=0), 0, IF(OR(BL184=1, $F207= Parameters!$F$80, MOD(BL184,$F207)=0, BL115=1), 1, 0))</f>
        <v>0</v>
      </c>
      <c r="BM207" s="38">
        <f>IF(OR($F207=0,BM184=0), 0, IF(OR(BM184=1, $F207= Parameters!$F$80, MOD(BM184,$F207)=0, BM115=1), 1, 0))</f>
        <v>0</v>
      </c>
      <c r="BN207" s="38">
        <f>IF(OR($F207=0,BN184=0), 0, IF(OR(BN184=1, $F207= Parameters!$F$80, MOD(BN184,$F207)=0, BN115=1), 1, 0))</f>
        <v>0</v>
      </c>
      <c r="BO207" s="38">
        <f>IF(OR($F207=0,BO184=0), 0, IF(OR(BO184=1, $F207= Parameters!$F$80, MOD(BO184,$F207)=0, BO115=1), 1, 0))</f>
        <v>0</v>
      </c>
      <c r="BP207" s="38">
        <f>IF(OR($F207=0,BP184=0), 0, IF(OR(BP184=1, $F207= Parameters!$F$80, MOD(BP184,$F207)=0, BP115=1), 1, 0))</f>
        <v>0</v>
      </c>
      <c r="BQ207" s="38">
        <f>IF(OR($F207=0,BQ184=0), 0, IF(OR(BQ184=1, $F207= Parameters!$F$80, MOD(BQ184,$F207)=0, BQ115=1), 1, 0))</f>
        <v>0</v>
      </c>
      <c r="BR207" s="38">
        <f>IF(OR($F207=0,BR184=0), 0, IF(OR(BR184=1, $F207= Parameters!$F$80, MOD(BR184,$F207)=0, BR115=1), 1, 0))</f>
        <v>0</v>
      </c>
      <c r="BS207" s="38">
        <f>IF(OR($F207=0,BS184=0), 0, IF(OR(BS184=1, $F207= Parameters!$F$80, MOD(BS184,$F207)=0, BS115=1), 1, 0))</f>
        <v>0</v>
      </c>
      <c r="BT207" s="38">
        <f>IF(OR($F207=0,BT184=0), 0, IF(OR(BT184=1, $F207= Parameters!$F$80, MOD(BT184,$F207)=0, BT115=1), 1, 0))</f>
        <v>0</v>
      </c>
      <c r="BU207" s="38">
        <f>IF(OR($F207=0,BU184=0), 0, IF(OR(BU184=1, $F207= Parameters!$F$80, MOD(BU184,$F207)=0, BU115=1), 1, 0))</f>
        <v>0</v>
      </c>
      <c r="BV207" s="38">
        <f>IF(OR($F207=0,BV184=0), 0, IF(OR(BV184=1, $F207= Parameters!$F$80, MOD(BV184,$F207)=0, BV115=1), 1, 0))</f>
        <v>0</v>
      </c>
      <c r="BX207" s="106"/>
      <c r="BY207" s="106"/>
      <c r="BZ207" s="106"/>
      <c r="CA207" s="106"/>
      <c r="CB207" s="106"/>
      <c r="CC207" s="106"/>
      <c r="CD207" s="106"/>
      <c r="CE207" s="106"/>
      <c r="CF207" s="106"/>
      <c r="CG207" s="106"/>
      <c r="CH207" s="106"/>
      <c r="CI207" s="106"/>
      <c r="CK207" s="11"/>
      <c r="CM207" s="11"/>
      <c r="EX207" s="10" t="str">
        <f t="shared" si="186"/>
        <v/>
      </c>
    </row>
    <row r="208" spans="2:154" x14ac:dyDescent="0.35">
      <c r="B208" t="str">
        <f ca="1">Loans!B$15</f>
        <v>Loan 3</v>
      </c>
      <c r="D208" s="51">
        <f>Loans!D$15</f>
        <v>0</v>
      </c>
      <c r="E208" s="117" t="str">
        <f>IF(Loans!R$15=0, "", Loans!R$15)</f>
        <v/>
      </c>
      <c r="F208" s="10">
        <f>IFERROR(INDEX(Parameters!$F$80:$F$84, MATCH(Loans!S15, Parameters!$D$80:$D$84,0)), 0)</f>
        <v>0</v>
      </c>
      <c r="V208" s="106"/>
      <c r="W208" s="106"/>
      <c r="X208" s="106"/>
      <c r="Y208" s="106"/>
      <c r="AA208" s="38">
        <f>IF(OR($F208=0,AA185=0), 0, IF(OR(AA185=1, $F208= Parameters!$F$80, MOD(AA185,$F208)=0, AA116=1), 1, 0))</f>
        <v>0</v>
      </c>
      <c r="AB208" s="38">
        <f>IF(OR($F208=0,AB185=0), 0, IF(OR(AB185=1, $F208= Parameters!$F$80, MOD(AB185,$F208)=0, AB116=1), 1, 0))</f>
        <v>0</v>
      </c>
      <c r="AC208" s="38">
        <f>IF(OR($F208=0,AC185=0), 0, IF(OR(AC185=1, $F208= Parameters!$F$80, MOD(AC185,$F208)=0, AC116=1), 1, 0))</f>
        <v>0</v>
      </c>
      <c r="AD208" s="38">
        <f>IF(OR($F208=0,AD185=0), 0, IF(OR(AD185=1, $F208= Parameters!$F$80, MOD(AD185,$F208)=0, AD116=1), 1, 0))</f>
        <v>0</v>
      </c>
      <c r="AE208" s="38">
        <f>IF(OR($F208=0,AE185=0), 0, IF(OR(AE185=1, $F208= Parameters!$F$80, MOD(AE185,$F208)=0, AE116=1), 1, 0))</f>
        <v>0</v>
      </c>
      <c r="AF208" s="38">
        <f>IF(OR($F208=0,AF185=0), 0, IF(OR(AF185=1, $F208= Parameters!$F$80, MOD(AF185,$F208)=0, AF116=1), 1, 0))</f>
        <v>0</v>
      </c>
      <c r="AG208" s="38">
        <f>IF(OR($F208=0,AG185=0), 0, IF(OR(AG185=1, $F208= Parameters!$F$80, MOD(AG185,$F208)=0, AG116=1), 1, 0))</f>
        <v>0</v>
      </c>
      <c r="AH208" s="38">
        <f>IF(OR($F208=0,AH185=0), 0, IF(OR(AH185=1, $F208= Parameters!$F$80, MOD(AH185,$F208)=0, AH116=1), 1, 0))</f>
        <v>0</v>
      </c>
      <c r="AI208" s="38">
        <f>IF(OR($F208=0,AI185=0), 0, IF(OR(AI185=1, $F208= Parameters!$F$80, MOD(AI185,$F208)=0, AI116=1), 1, 0))</f>
        <v>0</v>
      </c>
      <c r="AJ208" s="38">
        <f>IF(OR($F208=0,AJ185=0), 0, IF(OR(AJ185=1, $F208= Parameters!$F$80, MOD(AJ185,$F208)=0, AJ116=1), 1, 0))</f>
        <v>0</v>
      </c>
      <c r="AK208" s="38">
        <f>IF(OR($F208=0,AK185=0), 0, IF(OR(AK185=1, $F208= Parameters!$F$80, MOD(AK185,$F208)=0, AK116=1), 1, 0))</f>
        <v>0</v>
      </c>
      <c r="AL208" s="38">
        <f>IF(OR($F208=0,AL185=0), 0, IF(OR(AL185=1, $F208= Parameters!$F$80, MOD(AL185,$F208)=0, AL116=1), 1, 0))</f>
        <v>0</v>
      </c>
      <c r="AM208" s="38">
        <f>IF(OR($F208=0,AM185=0), 0, IF(OR(AM185=1, $F208= Parameters!$F$80, MOD(AM185,$F208)=0, AM116=1), 1, 0))</f>
        <v>0</v>
      </c>
      <c r="AN208" s="38">
        <f>IF(OR($F208=0,AN185=0), 0, IF(OR(AN185=1, $F208= Parameters!$F$80, MOD(AN185,$F208)=0, AN116=1), 1, 0))</f>
        <v>0</v>
      </c>
      <c r="AO208" s="38">
        <f>IF(OR($F208=0,AO185=0), 0, IF(OR(AO185=1, $F208= Parameters!$F$80, MOD(AO185,$F208)=0, AO116=1), 1, 0))</f>
        <v>0</v>
      </c>
      <c r="AP208" s="38">
        <f>IF(OR($F208=0,AP185=0), 0, IF(OR(AP185=1, $F208= Parameters!$F$80, MOD(AP185,$F208)=0, AP116=1), 1, 0))</f>
        <v>0</v>
      </c>
      <c r="AQ208" s="38">
        <f>IF(OR($F208=0,AQ185=0), 0, IF(OR(AQ185=1, $F208= Parameters!$F$80, MOD(AQ185,$F208)=0, AQ116=1), 1, 0))</f>
        <v>0</v>
      </c>
      <c r="AR208" s="38">
        <f>IF(OR($F208=0,AR185=0), 0, IF(OR(AR185=1, $F208= Parameters!$F$80, MOD(AR185,$F208)=0, AR116=1), 1, 0))</f>
        <v>0</v>
      </c>
      <c r="AS208" s="38">
        <f>IF(OR($F208=0,AS185=0), 0, IF(OR(AS185=1, $F208= Parameters!$F$80, MOD(AS185,$F208)=0, AS116=1), 1, 0))</f>
        <v>0</v>
      </c>
      <c r="AT208" s="38">
        <f>IF(OR($F208=0,AT185=0), 0, IF(OR(AT185=1, $F208= Parameters!$F$80, MOD(AT185,$F208)=0, AT116=1), 1, 0))</f>
        <v>0</v>
      </c>
      <c r="AU208" s="38">
        <f>IF(OR($F208=0,AU185=0), 0, IF(OR(AU185=1, $F208= Parameters!$F$80, MOD(AU185,$F208)=0, AU116=1), 1, 0))</f>
        <v>0</v>
      </c>
      <c r="AV208" s="38">
        <f>IF(OR($F208=0,AV185=0), 0, IF(OR(AV185=1, $F208= Parameters!$F$80, MOD(AV185,$F208)=0, AV116=1), 1, 0))</f>
        <v>0</v>
      </c>
      <c r="AW208" s="38">
        <f>IF(OR($F208=0,AW185=0), 0, IF(OR(AW185=1, $F208= Parameters!$F$80, MOD(AW185,$F208)=0, AW116=1), 1, 0))</f>
        <v>0</v>
      </c>
      <c r="AX208" s="38">
        <f>IF(OR($F208=0,AX185=0), 0, IF(OR(AX185=1, $F208= Parameters!$F$80, MOD(AX185,$F208)=0, AX116=1), 1, 0))</f>
        <v>0</v>
      </c>
      <c r="AY208" s="38">
        <f>IF(OR($F208=0,AY185=0), 0, IF(OR(AY185=1, $F208= Parameters!$F$80, MOD(AY185,$F208)=0, AY116=1), 1, 0))</f>
        <v>0</v>
      </c>
      <c r="AZ208" s="38">
        <f>IF(OR($F208=0,AZ185=0), 0, IF(OR(AZ185=1, $F208= Parameters!$F$80, MOD(AZ185,$F208)=0, AZ116=1), 1, 0))</f>
        <v>0</v>
      </c>
      <c r="BA208" s="38">
        <f>IF(OR($F208=0,BA185=0), 0, IF(OR(BA185=1, $F208= Parameters!$F$80, MOD(BA185,$F208)=0, BA116=1), 1, 0))</f>
        <v>0</v>
      </c>
      <c r="BB208" s="38">
        <f>IF(OR($F208=0,BB185=0), 0, IF(OR(BB185=1, $F208= Parameters!$F$80, MOD(BB185,$F208)=0, BB116=1), 1, 0))</f>
        <v>0</v>
      </c>
      <c r="BC208" s="38">
        <f>IF(OR($F208=0,BC185=0), 0, IF(OR(BC185=1, $F208= Parameters!$F$80, MOD(BC185,$F208)=0, BC116=1), 1, 0))</f>
        <v>0</v>
      </c>
      <c r="BD208" s="38">
        <f>IF(OR($F208=0,BD185=0), 0, IF(OR(BD185=1, $F208= Parameters!$F$80, MOD(BD185,$F208)=0, BD116=1), 1, 0))</f>
        <v>0</v>
      </c>
      <c r="BE208" s="38">
        <f>IF(OR($F208=0,BE185=0), 0, IF(OR(BE185=1, $F208= Parameters!$F$80, MOD(BE185,$F208)=0, BE116=1), 1, 0))</f>
        <v>0</v>
      </c>
      <c r="BF208" s="38">
        <f>IF(OR($F208=0,BF185=0), 0, IF(OR(BF185=1, $F208= Parameters!$F$80, MOD(BF185,$F208)=0, BF116=1), 1, 0))</f>
        <v>0</v>
      </c>
      <c r="BG208" s="38">
        <f>IF(OR($F208=0,BG185=0), 0, IF(OR(BG185=1, $F208= Parameters!$F$80, MOD(BG185,$F208)=0, BG116=1), 1, 0))</f>
        <v>0</v>
      </c>
      <c r="BH208" s="38">
        <f>IF(OR($F208=0,BH185=0), 0, IF(OR(BH185=1, $F208= Parameters!$F$80, MOD(BH185,$F208)=0, BH116=1), 1, 0))</f>
        <v>0</v>
      </c>
      <c r="BI208" s="38">
        <f>IF(OR($F208=0,BI185=0), 0, IF(OR(BI185=1, $F208= Parameters!$F$80, MOD(BI185,$F208)=0, BI116=1), 1, 0))</f>
        <v>0</v>
      </c>
      <c r="BJ208" s="38">
        <f>IF(OR($F208=0,BJ185=0), 0, IF(OR(BJ185=1, $F208= Parameters!$F$80, MOD(BJ185,$F208)=0, BJ116=1), 1, 0))</f>
        <v>0</v>
      </c>
      <c r="BK208" s="38">
        <f>IF(OR($F208=0,BK185=0), 0, IF(OR(BK185=1, $F208= Parameters!$F$80, MOD(BK185,$F208)=0, BK116=1), 1, 0))</f>
        <v>0</v>
      </c>
      <c r="BL208" s="38">
        <f>IF(OR($F208=0,BL185=0), 0, IF(OR(BL185=1, $F208= Parameters!$F$80, MOD(BL185,$F208)=0, BL116=1), 1, 0))</f>
        <v>0</v>
      </c>
      <c r="BM208" s="38">
        <f>IF(OR($F208=0,BM185=0), 0, IF(OR(BM185=1, $F208= Parameters!$F$80, MOD(BM185,$F208)=0, BM116=1), 1, 0))</f>
        <v>0</v>
      </c>
      <c r="BN208" s="38">
        <f>IF(OR($F208=0,BN185=0), 0, IF(OR(BN185=1, $F208= Parameters!$F$80, MOD(BN185,$F208)=0, BN116=1), 1, 0))</f>
        <v>0</v>
      </c>
      <c r="BO208" s="38">
        <f>IF(OR($F208=0,BO185=0), 0, IF(OR(BO185=1, $F208= Parameters!$F$80, MOD(BO185,$F208)=0, BO116=1), 1, 0))</f>
        <v>0</v>
      </c>
      <c r="BP208" s="38">
        <f>IF(OR($F208=0,BP185=0), 0, IF(OR(BP185=1, $F208= Parameters!$F$80, MOD(BP185,$F208)=0, BP116=1), 1, 0))</f>
        <v>0</v>
      </c>
      <c r="BQ208" s="38">
        <f>IF(OR($F208=0,BQ185=0), 0, IF(OR(BQ185=1, $F208= Parameters!$F$80, MOD(BQ185,$F208)=0, BQ116=1), 1, 0))</f>
        <v>0</v>
      </c>
      <c r="BR208" s="38">
        <f>IF(OR($F208=0,BR185=0), 0, IF(OR(BR185=1, $F208= Parameters!$F$80, MOD(BR185,$F208)=0, BR116=1), 1, 0))</f>
        <v>0</v>
      </c>
      <c r="BS208" s="38">
        <f>IF(OR($F208=0,BS185=0), 0, IF(OR(BS185=1, $F208= Parameters!$F$80, MOD(BS185,$F208)=0, BS116=1), 1, 0))</f>
        <v>0</v>
      </c>
      <c r="BT208" s="38">
        <f>IF(OR($F208=0,BT185=0), 0, IF(OR(BT185=1, $F208= Parameters!$F$80, MOD(BT185,$F208)=0, BT116=1), 1, 0))</f>
        <v>0</v>
      </c>
      <c r="BU208" s="38">
        <f>IF(OR($F208=0,BU185=0), 0, IF(OR(BU185=1, $F208= Parameters!$F$80, MOD(BU185,$F208)=0, BU116=1), 1, 0))</f>
        <v>0</v>
      </c>
      <c r="BV208" s="38">
        <f>IF(OR($F208=0,BV185=0), 0, IF(OR(BV185=1, $F208= Parameters!$F$80, MOD(BV185,$F208)=0, BV116=1), 1, 0))</f>
        <v>0</v>
      </c>
      <c r="BX208" s="106"/>
      <c r="BY208" s="106"/>
      <c r="BZ208" s="106"/>
      <c r="CA208" s="106"/>
      <c r="CB208" s="106"/>
      <c r="CC208" s="106"/>
      <c r="CD208" s="106"/>
      <c r="CE208" s="106"/>
      <c r="CF208" s="106"/>
      <c r="CG208" s="106"/>
      <c r="CH208" s="106"/>
      <c r="CI208" s="106"/>
      <c r="CK208" s="11"/>
      <c r="CM208" s="11"/>
      <c r="EX208" s="10" t="str">
        <f t="shared" si="186"/>
        <v/>
      </c>
    </row>
    <row r="209" spans="1:154" x14ac:dyDescent="0.35">
      <c r="B209" t="str">
        <f ca="1">Loans!B$16</f>
        <v>Loan 4</v>
      </c>
      <c r="D209" s="51">
        <f>Loans!D$16</f>
        <v>0</v>
      </c>
      <c r="E209" s="117" t="str">
        <f>IF(Loans!R$16=0, "", Loans!R$16)</f>
        <v/>
      </c>
      <c r="F209" s="10">
        <f>IFERROR(INDEX(Parameters!$F$80:$F$84, MATCH(Loans!S16, Parameters!$D$80:$D$84,0)), 0)</f>
        <v>0</v>
      </c>
      <c r="V209" s="106"/>
      <c r="W209" s="106"/>
      <c r="X209" s="106"/>
      <c r="Y209" s="106"/>
      <c r="AA209" s="38">
        <f>IF(OR($F209=0,AA186=0), 0, IF(OR(AA186=1, $F209= Parameters!$F$80, MOD(AA186,$F209)=0, AA117=1), 1, 0))</f>
        <v>0</v>
      </c>
      <c r="AB209" s="38">
        <f>IF(OR($F209=0,AB186=0), 0, IF(OR(AB186=1, $F209= Parameters!$F$80, MOD(AB186,$F209)=0, AB117=1), 1, 0))</f>
        <v>0</v>
      </c>
      <c r="AC209" s="38">
        <f>IF(OR($F209=0,AC186=0), 0, IF(OR(AC186=1, $F209= Parameters!$F$80, MOD(AC186,$F209)=0, AC117=1), 1, 0))</f>
        <v>0</v>
      </c>
      <c r="AD209" s="38">
        <f>IF(OR($F209=0,AD186=0), 0, IF(OR(AD186=1, $F209= Parameters!$F$80, MOD(AD186,$F209)=0, AD117=1), 1, 0))</f>
        <v>0</v>
      </c>
      <c r="AE209" s="38">
        <f>IF(OR($F209=0,AE186=0), 0, IF(OR(AE186=1, $F209= Parameters!$F$80, MOD(AE186,$F209)=0, AE117=1), 1, 0))</f>
        <v>0</v>
      </c>
      <c r="AF209" s="38">
        <f>IF(OR($F209=0,AF186=0), 0, IF(OR(AF186=1, $F209= Parameters!$F$80, MOD(AF186,$F209)=0, AF117=1), 1, 0))</f>
        <v>0</v>
      </c>
      <c r="AG209" s="38">
        <f>IF(OR($F209=0,AG186=0), 0, IF(OR(AG186=1, $F209= Parameters!$F$80, MOD(AG186,$F209)=0, AG117=1), 1, 0))</f>
        <v>0</v>
      </c>
      <c r="AH209" s="38">
        <f>IF(OR($F209=0,AH186=0), 0, IF(OR(AH186=1, $F209= Parameters!$F$80, MOD(AH186,$F209)=0, AH117=1), 1, 0))</f>
        <v>0</v>
      </c>
      <c r="AI209" s="38">
        <f>IF(OR($F209=0,AI186=0), 0, IF(OR(AI186=1, $F209= Parameters!$F$80, MOD(AI186,$F209)=0, AI117=1), 1, 0))</f>
        <v>0</v>
      </c>
      <c r="AJ209" s="38">
        <f>IF(OR($F209=0,AJ186=0), 0, IF(OR(AJ186=1, $F209= Parameters!$F$80, MOD(AJ186,$F209)=0, AJ117=1), 1, 0))</f>
        <v>0</v>
      </c>
      <c r="AK209" s="38">
        <f>IF(OR($F209=0,AK186=0), 0, IF(OR(AK186=1, $F209= Parameters!$F$80, MOD(AK186,$F209)=0, AK117=1), 1, 0))</f>
        <v>0</v>
      </c>
      <c r="AL209" s="38">
        <f>IF(OR($F209=0,AL186=0), 0, IF(OR(AL186=1, $F209= Parameters!$F$80, MOD(AL186,$F209)=0, AL117=1), 1, 0))</f>
        <v>0</v>
      </c>
      <c r="AM209" s="38">
        <f>IF(OR($F209=0,AM186=0), 0, IF(OR(AM186=1, $F209= Parameters!$F$80, MOD(AM186,$F209)=0, AM117=1), 1, 0))</f>
        <v>0</v>
      </c>
      <c r="AN209" s="38">
        <f>IF(OR($F209=0,AN186=0), 0, IF(OR(AN186=1, $F209= Parameters!$F$80, MOD(AN186,$F209)=0, AN117=1), 1, 0))</f>
        <v>0</v>
      </c>
      <c r="AO209" s="38">
        <f>IF(OR($F209=0,AO186=0), 0, IF(OR(AO186=1, $F209= Parameters!$F$80, MOD(AO186,$F209)=0, AO117=1), 1, 0))</f>
        <v>0</v>
      </c>
      <c r="AP209" s="38">
        <f>IF(OR($F209=0,AP186=0), 0, IF(OR(AP186=1, $F209= Parameters!$F$80, MOD(AP186,$F209)=0, AP117=1), 1, 0))</f>
        <v>0</v>
      </c>
      <c r="AQ209" s="38">
        <f>IF(OR($F209=0,AQ186=0), 0, IF(OR(AQ186=1, $F209= Parameters!$F$80, MOD(AQ186,$F209)=0, AQ117=1), 1, 0))</f>
        <v>0</v>
      </c>
      <c r="AR209" s="38">
        <f>IF(OR($F209=0,AR186=0), 0, IF(OR(AR186=1, $F209= Parameters!$F$80, MOD(AR186,$F209)=0, AR117=1), 1, 0))</f>
        <v>0</v>
      </c>
      <c r="AS209" s="38">
        <f>IF(OR($F209=0,AS186=0), 0, IF(OR(AS186=1, $F209= Parameters!$F$80, MOD(AS186,$F209)=0, AS117=1), 1, 0))</f>
        <v>0</v>
      </c>
      <c r="AT209" s="38">
        <f>IF(OR($F209=0,AT186=0), 0, IF(OR(AT186=1, $F209= Parameters!$F$80, MOD(AT186,$F209)=0, AT117=1), 1, 0))</f>
        <v>0</v>
      </c>
      <c r="AU209" s="38">
        <f>IF(OR($F209=0,AU186=0), 0, IF(OR(AU186=1, $F209= Parameters!$F$80, MOD(AU186,$F209)=0, AU117=1), 1, 0))</f>
        <v>0</v>
      </c>
      <c r="AV209" s="38">
        <f>IF(OR($F209=0,AV186=0), 0, IF(OR(AV186=1, $F209= Parameters!$F$80, MOD(AV186,$F209)=0, AV117=1), 1, 0))</f>
        <v>0</v>
      </c>
      <c r="AW209" s="38">
        <f>IF(OR($F209=0,AW186=0), 0, IF(OR(AW186=1, $F209= Parameters!$F$80, MOD(AW186,$F209)=0, AW117=1), 1, 0))</f>
        <v>0</v>
      </c>
      <c r="AX209" s="38">
        <f>IF(OR($F209=0,AX186=0), 0, IF(OR(AX186=1, $F209= Parameters!$F$80, MOD(AX186,$F209)=0, AX117=1), 1, 0))</f>
        <v>0</v>
      </c>
      <c r="AY209" s="38">
        <f>IF(OR($F209=0,AY186=0), 0, IF(OR(AY186=1, $F209= Parameters!$F$80, MOD(AY186,$F209)=0, AY117=1), 1, 0))</f>
        <v>0</v>
      </c>
      <c r="AZ209" s="38">
        <f>IF(OR($F209=0,AZ186=0), 0, IF(OR(AZ186=1, $F209= Parameters!$F$80, MOD(AZ186,$F209)=0, AZ117=1), 1, 0))</f>
        <v>0</v>
      </c>
      <c r="BA209" s="38">
        <f>IF(OR($F209=0,BA186=0), 0, IF(OR(BA186=1, $F209= Parameters!$F$80, MOD(BA186,$F209)=0, BA117=1), 1, 0))</f>
        <v>0</v>
      </c>
      <c r="BB209" s="38">
        <f>IF(OR($F209=0,BB186=0), 0, IF(OR(BB186=1, $F209= Parameters!$F$80, MOD(BB186,$F209)=0, BB117=1), 1, 0))</f>
        <v>0</v>
      </c>
      <c r="BC209" s="38">
        <f>IF(OR($F209=0,BC186=0), 0, IF(OR(BC186=1, $F209= Parameters!$F$80, MOD(BC186,$F209)=0, BC117=1), 1, 0))</f>
        <v>0</v>
      </c>
      <c r="BD209" s="38">
        <f>IF(OR($F209=0,BD186=0), 0, IF(OR(BD186=1, $F209= Parameters!$F$80, MOD(BD186,$F209)=0, BD117=1), 1, 0))</f>
        <v>0</v>
      </c>
      <c r="BE209" s="38">
        <f>IF(OR($F209=0,BE186=0), 0, IF(OR(BE186=1, $F209= Parameters!$F$80, MOD(BE186,$F209)=0, BE117=1), 1, 0))</f>
        <v>0</v>
      </c>
      <c r="BF209" s="38">
        <f>IF(OR($F209=0,BF186=0), 0, IF(OR(BF186=1, $F209= Parameters!$F$80, MOD(BF186,$F209)=0, BF117=1), 1, 0))</f>
        <v>0</v>
      </c>
      <c r="BG209" s="38">
        <f>IF(OR($F209=0,BG186=0), 0, IF(OR(BG186=1, $F209= Parameters!$F$80, MOD(BG186,$F209)=0, BG117=1), 1, 0))</f>
        <v>0</v>
      </c>
      <c r="BH209" s="38">
        <f>IF(OR($F209=0,BH186=0), 0, IF(OR(BH186=1, $F209= Parameters!$F$80, MOD(BH186,$F209)=0, BH117=1), 1, 0))</f>
        <v>0</v>
      </c>
      <c r="BI209" s="38">
        <f>IF(OR($F209=0,BI186=0), 0, IF(OR(BI186=1, $F209= Parameters!$F$80, MOD(BI186,$F209)=0, BI117=1), 1, 0))</f>
        <v>0</v>
      </c>
      <c r="BJ209" s="38">
        <f>IF(OR($F209=0,BJ186=0), 0, IF(OR(BJ186=1, $F209= Parameters!$F$80, MOD(BJ186,$F209)=0, BJ117=1), 1, 0))</f>
        <v>0</v>
      </c>
      <c r="BK209" s="38">
        <f>IF(OR($F209=0,BK186=0), 0, IF(OR(BK186=1, $F209= Parameters!$F$80, MOD(BK186,$F209)=0, BK117=1), 1, 0))</f>
        <v>0</v>
      </c>
      <c r="BL209" s="38">
        <f>IF(OR($F209=0,BL186=0), 0, IF(OR(BL186=1, $F209= Parameters!$F$80, MOD(BL186,$F209)=0, BL117=1), 1, 0))</f>
        <v>0</v>
      </c>
      <c r="BM209" s="38">
        <f>IF(OR($F209=0,BM186=0), 0, IF(OR(BM186=1, $F209= Parameters!$F$80, MOD(BM186,$F209)=0, BM117=1), 1, 0))</f>
        <v>0</v>
      </c>
      <c r="BN209" s="38">
        <f>IF(OR($F209=0,BN186=0), 0, IF(OR(BN186=1, $F209= Parameters!$F$80, MOD(BN186,$F209)=0, BN117=1), 1, 0))</f>
        <v>0</v>
      </c>
      <c r="BO209" s="38">
        <f>IF(OR($F209=0,BO186=0), 0, IF(OR(BO186=1, $F209= Parameters!$F$80, MOD(BO186,$F209)=0, BO117=1), 1, 0))</f>
        <v>0</v>
      </c>
      <c r="BP209" s="38">
        <f>IF(OR($F209=0,BP186=0), 0, IF(OR(BP186=1, $F209= Parameters!$F$80, MOD(BP186,$F209)=0, BP117=1), 1, 0))</f>
        <v>0</v>
      </c>
      <c r="BQ209" s="38">
        <f>IF(OR($F209=0,BQ186=0), 0, IF(OR(BQ186=1, $F209= Parameters!$F$80, MOD(BQ186,$F209)=0, BQ117=1), 1, 0))</f>
        <v>0</v>
      </c>
      <c r="BR209" s="38">
        <f>IF(OR($F209=0,BR186=0), 0, IF(OR(BR186=1, $F209= Parameters!$F$80, MOD(BR186,$F209)=0, BR117=1), 1, 0))</f>
        <v>0</v>
      </c>
      <c r="BS209" s="38">
        <f>IF(OR($F209=0,BS186=0), 0, IF(OR(BS186=1, $F209= Parameters!$F$80, MOD(BS186,$F209)=0, BS117=1), 1, 0))</f>
        <v>0</v>
      </c>
      <c r="BT209" s="38">
        <f>IF(OR($F209=0,BT186=0), 0, IF(OR(BT186=1, $F209= Parameters!$F$80, MOD(BT186,$F209)=0, BT117=1), 1, 0))</f>
        <v>0</v>
      </c>
      <c r="BU209" s="38">
        <f>IF(OR($F209=0,BU186=0), 0, IF(OR(BU186=1, $F209= Parameters!$F$80, MOD(BU186,$F209)=0, BU117=1), 1, 0))</f>
        <v>0</v>
      </c>
      <c r="BV209" s="38">
        <f>IF(OR($F209=0,BV186=0), 0, IF(OR(BV186=1, $F209= Parameters!$F$80, MOD(BV186,$F209)=0, BV117=1), 1, 0))</f>
        <v>0</v>
      </c>
      <c r="BX209" s="106"/>
      <c r="BY209" s="106"/>
      <c r="BZ209" s="106"/>
      <c r="CA209" s="106"/>
      <c r="CB209" s="106"/>
      <c r="CC209" s="106"/>
      <c r="CD209" s="106"/>
      <c r="CE209" s="106"/>
      <c r="CF209" s="106"/>
      <c r="CG209" s="106"/>
      <c r="CH209" s="106"/>
      <c r="CI209" s="106"/>
      <c r="CK209" s="11"/>
      <c r="CM209" s="11"/>
      <c r="EX209" s="10" t="str">
        <f t="shared" si="186"/>
        <v/>
      </c>
    </row>
    <row r="210" spans="1:154" x14ac:dyDescent="0.35">
      <c r="B210" t="str">
        <f ca="1">Loans!B$17</f>
        <v>Loan 5</v>
      </c>
      <c r="D210" s="51">
        <f>Loans!D$17</f>
        <v>0</v>
      </c>
      <c r="E210" s="117" t="str">
        <f>IF(Loans!R$17=0, "", Loans!R$17)</f>
        <v/>
      </c>
      <c r="F210" s="10">
        <f>IFERROR(INDEX(Parameters!$F$80:$F$84, MATCH(Loans!S17, Parameters!$D$80:$D$84,0)), 0)</f>
        <v>0</v>
      </c>
      <c r="V210" s="106"/>
      <c r="W210" s="106"/>
      <c r="X210" s="106"/>
      <c r="Y210" s="106"/>
      <c r="AA210" s="38">
        <f>IF(OR($F210=0,AA187=0), 0, IF(OR(AA187=1, $F210= Parameters!$F$80, MOD(AA187,$F210)=0, AA118=1), 1, 0))</f>
        <v>0</v>
      </c>
      <c r="AB210" s="38">
        <f>IF(OR($F210=0,AB187=0), 0, IF(OR(AB187=1, $F210= Parameters!$F$80, MOD(AB187,$F210)=0, AB118=1), 1, 0))</f>
        <v>0</v>
      </c>
      <c r="AC210" s="38">
        <f>IF(OR($F210=0,AC187=0), 0, IF(OR(AC187=1, $F210= Parameters!$F$80, MOD(AC187,$F210)=0, AC118=1), 1, 0))</f>
        <v>0</v>
      </c>
      <c r="AD210" s="38">
        <f>IF(OR($F210=0,AD187=0), 0, IF(OR(AD187=1, $F210= Parameters!$F$80, MOD(AD187,$F210)=0, AD118=1), 1, 0))</f>
        <v>0</v>
      </c>
      <c r="AE210" s="38">
        <f>IF(OR($F210=0,AE187=0), 0, IF(OR(AE187=1, $F210= Parameters!$F$80, MOD(AE187,$F210)=0, AE118=1), 1, 0))</f>
        <v>0</v>
      </c>
      <c r="AF210" s="38">
        <f>IF(OR($F210=0,AF187=0), 0, IF(OR(AF187=1, $F210= Parameters!$F$80, MOD(AF187,$F210)=0, AF118=1), 1, 0))</f>
        <v>0</v>
      </c>
      <c r="AG210" s="38">
        <f>IF(OR($F210=0,AG187=0), 0, IF(OR(AG187=1, $F210= Parameters!$F$80, MOD(AG187,$F210)=0, AG118=1), 1, 0))</f>
        <v>0</v>
      </c>
      <c r="AH210" s="38">
        <f>IF(OR($F210=0,AH187=0), 0, IF(OR(AH187=1, $F210= Parameters!$F$80, MOD(AH187,$F210)=0, AH118=1), 1, 0))</f>
        <v>0</v>
      </c>
      <c r="AI210" s="38">
        <f>IF(OR($F210=0,AI187=0), 0, IF(OR(AI187=1, $F210= Parameters!$F$80, MOD(AI187,$F210)=0, AI118=1), 1, 0))</f>
        <v>0</v>
      </c>
      <c r="AJ210" s="38">
        <f>IF(OR($F210=0,AJ187=0), 0, IF(OR(AJ187=1, $F210= Parameters!$F$80, MOD(AJ187,$F210)=0, AJ118=1), 1, 0))</f>
        <v>0</v>
      </c>
      <c r="AK210" s="38">
        <f>IF(OR($F210=0,AK187=0), 0, IF(OR(AK187=1, $F210= Parameters!$F$80, MOD(AK187,$F210)=0, AK118=1), 1, 0))</f>
        <v>0</v>
      </c>
      <c r="AL210" s="38">
        <f>IF(OR($F210=0,AL187=0), 0, IF(OR(AL187=1, $F210= Parameters!$F$80, MOD(AL187,$F210)=0, AL118=1), 1, 0))</f>
        <v>0</v>
      </c>
      <c r="AM210" s="38">
        <f>IF(OR($F210=0,AM187=0), 0, IF(OR(AM187=1, $F210= Parameters!$F$80, MOD(AM187,$F210)=0, AM118=1), 1, 0))</f>
        <v>0</v>
      </c>
      <c r="AN210" s="38">
        <f>IF(OR($F210=0,AN187=0), 0, IF(OR(AN187=1, $F210= Parameters!$F$80, MOD(AN187,$F210)=0, AN118=1), 1, 0))</f>
        <v>0</v>
      </c>
      <c r="AO210" s="38">
        <f>IF(OR($F210=0,AO187=0), 0, IF(OR(AO187=1, $F210= Parameters!$F$80, MOD(AO187,$F210)=0, AO118=1), 1, 0))</f>
        <v>0</v>
      </c>
      <c r="AP210" s="38">
        <f>IF(OR($F210=0,AP187=0), 0, IF(OR(AP187=1, $F210= Parameters!$F$80, MOD(AP187,$F210)=0, AP118=1), 1, 0))</f>
        <v>0</v>
      </c>
      <c r="AQ210" s="38">
        <f>IF(OR($F210=0,AQ187=0), 0, IF(OR(AQ187=1, $F210= Parameters!$F$80, MOD(AQ187,$F210)=0, AQ118=1), 1, 0))</f>
        <v>0</v>
      </c>
      <c r="AR210" s="38">
        <f>IF(OR($F210=0,AR187=0), 0, IF(OR(AR187=1, $F210= Parameters!$F$80, MOD(AR187,$F210)=0, AR118=1), 1, 0))</f>
        <v>0</v>
      </c>
      <c r="AS210" s="38">
        <f>IF(OR($F210=0,AS187=0), 0, IF(OR(AS187=1, $F210= Parameters!$F$80, MOD(AS187,$F210)=0, AS118=1), 1, 0))</f>
        <v>0</v>
      </c>
      <c r="AT210" s="38">
        <f>IF(OR($F210=0,AT187=0), 0, IF(OR(AT187=1, $F210= Parameters!$F$80, MOD(AT187,$F210)=0, AT118=1), 1, 0))</f>
        <v>0</v>
      </c>
      <c r="AU210" s="38">
        <f>IF(OR($F210=0,AU187=0), 0, IF(OR(AU187=1, $F210= Parameters!$F$80, MOD(AU187,$F210)=0, AU118=1), 1, 0))</f>
        <v>0</v>
      </c>
      <c r="AV210" s="38">
        <f>IF(OR($F210=0,AV187=0), 0, IF(OR(AV187=1, $F210= Parameters!$F$80, MOD(AV187,$F210)=0, AV118=1), 1, 0))</f>
        <v>0</v>
      </c>
      <c r="AW210" s="38">
        <f>IF(OR($F210=0,AW187=0), 0, IF(OR(AW187=1, $F210= Parameters!$F$80, MOD(AW187,$F210)=0, AW118=1), 1, 0))</f>
        <v>0</v>
      </c>
      <c r="AX210" s="38">
        <f>IF(OR($F210=0,AX187=0), 0, IF(OR(AX187=1, $F210= Parameters!$F$80, MOD(AX187,$F210)=0, AX118=1), 1, 0))</f>
        <v>0</v>
      </c>
      <c r="AY210" s="38">
        <f>IF(OR($F210=0,AY187=0), 0, IF(OR(AY187=1, $F210= Parameters!$F$80, MOD(AY187,$F210)=0, AY118=1), 1, 0))</f>
        <v>0</v>
      </c>
      <c r="AZ210" s="38">
        <f>IF(OR($F210=0,AZ187=0), 0, IF(OR(AZ187=1, $F210= Parameters!$F$80, MOD(AZ187,$F210)=0, AZ118=1), 1, 0))</f>
        <v>0</v>
      </c>
      <c r="BA210" s="38">
        <f>IF(OR($F210=0,BA187=0), 0, IF(OR(BA187=1, $F210= Parameters!$F$80, MOD(BA187,$F210)=0, BA118=1), 1, 0))</f>
        <v>0</v>
      </c>
      <c r="BB210" s="38">
        <f>IF(OR($F210=0,BB187=0), 0, IF(OR(BB187=1, $F210= Parameters!$F$80, MOD(BB187,$F210)=0, BB118=1), 1, 0))</f>
        <v>0</v>
      </c>
      <c r="BC210" s="38">
        <f>IF(OR($F210=0,BC187=0), 0, IF(OR(BC187=1, $F210= Parameters!$F$80, MOD(BC187,$F210)=0, BC118=1), 1, 0))</f>
        <v>0</v>
      </c>
      <c r="BD210" s="38">
        <f>IF(OR($F210=0,BD187=0), 0, IF(OR(BD187=1, $F210= Parameters!$F$80, MOD(BD187,$F210)=0, BD118=1), 1, 0))</f>
        <v>0</v>
      </c>
      <c r="BE210" s="38">
        <f>IF(OR($F210=0,BE187=0), 0, IF(OR(BE187=1, $F210= Parameters!$F$80, MOD(BE187,$F210)=0, BE118=1), 1, 0))</f>
        <v>0</v>
      </c>
      <c r="BF210" s="38">
        <f>IF(OR($F210=0,BF187=0), 0, IF(OR(BF187=1, $F210= Parameters!$F$80, MOD(BF187,$F210)=0, BF118=1), 1, 0))</f>
        <v>0</v>
      </c>
      <c r="BG210" s="38">
        <f>IF(OR($F210=0,BG187=0), 0, IF(OR(BG187=1, $F210= Parameters!$F$80, MOD(BG187,$F210)=0, BG118=1), 1, 0))</f>
        <v>0</v>
      </c>
      <c r="BH210" s="38">
        <f>IF(OR($F210=0,BH187=0), 0, IF(OR(BH187=1, $F210= Parameters!$F$80, MOD(BH187,$F210)=0, BH118=1), 1, 0))</f>
        <v>0</v>
      </c>
      <c r="BI210" s="38">
        <f>IF(OR($F210=0,BI187=0), 0, IF(OR(BI187=1, $F210= Parameters!$F$80, MOD(BI187,$F210)=0, BI118=1), 1, 0))</f>
        <v>0</v>
      </c>
      <c r="BJ210" s="38">
        <f>IF(OR($F210=0,BJ187=0), 0, IF(OR(BJ187=1, $F210= Parameters!$F$80, MOD(BJ187,$F210)=0, BJ118=1), 1, 0))</f>
        <v>0</v>
      </c>
      <c r="BK210" s="38">
        <f>IF(OR($F210=0,BK187=0), 0, IF(OR(BK187=1, $F210= Parameters!$F$80, MOD(BK187,$F210)=0, BK118=1), 1, 0))</f>
        <v>0</v>
      </c>
      <c r="BL210" s="38">
        <f>IF(OR($F210=0,BL187=0), 0, IF(OR(BL187=1, $F210= Parameters!$F$80, MOD(BL187,$F210)=0, BL118=1), 1, 0))</f>
        <v>0</v>
      </c>
      <c r="BM210" s="38">
        <f>IF(OR($F210=0,BM187=0), 0, IF(OR(BM187=1, $F210= Parameters!$F$80, MOD(BM187,$F210)=0, BM118=1), 1, 0))</f>
        <v>0</v>
      </c>
      <c r="BN210" s="38">
        <f>IF(OR($F210=0,BN187=0), 0, IF(OR(BN187=1, $F210= Parameters!$F$80, MOD(BN187,$F210)=0, BN118=1), 1, 0))</f>
        <v>0</v>
      </c>
      <c r="BO210" s="38">
        <f>IF(OR($F210=0,BO187=0), 0, IF(OR(BO187=1, $F210= Parameters!$F$80, MOD(BO187,$F210)=0, BO118=1), 1, 0))</f>
        <v>0</v>
      </c>
      <c r="BP210" s="38">
        <f>IF(OR($F210=0,BP187=0), 0, IF(OR(BP187=1, $F210= Parameters!$F$80, MOD(BP187,$F210)=0, BP118=1), 1, 0))</f>
        <v>0</v>
      </c>
      <c r="BQ210" s="38">
        <f>IF(OR($F210=0,BQ187=0), 0, IF(OR(BQ187=1, $F210= Parameters!$F$80, MOD(BQ187,$F210)=0, BQ118=1), 1, 0))</f>
        <v>0</v>
      </c>
      <c r="BR210" s="38">
        <f>IF(OR($F210=0,BR187=0), 0, IF(OR(BR187=1, $F210= Parameters!$F$80, MOD(BR187,$F210)=0, BR118=1), 1, 0))</f>
        <v>0</v>
      </c>
      <c r="BS210" s="38">
        <f>IF(OR($F210=0,BS187=0), 0, IF(OR(BS187=1, $F210= Parameters!$F$80, MOD(BS187,$F210)=0, BS118=1), 1, 0))</f>
        <v>0</v>
      </c>
      <c r="BT210" s="38">
        <f>IF(OR($F210=0,BT187=0), 0, IF(OR(BT187=1, $F210= Parameters!$F$80, MOD(BT187,$F210)=0, BT118=1), 1, 0))</f>
        <v>0</v>
      </c>
      <c r="BU210" s="38">
        <f>IF(OR($F210=0,BU187=0), 0, IF(OR(BU187=1, $F210= Parameters!$F$80, MOD(BU187,$F210)=0, BU118=1), 1, 0))</f>
        <v>0</v>
      </c>
      <c r="BV210" s="38">
        <f>IF(OR($F210=0,BV187=0), 0, IF(OR(BV187=1, $F210= Parameters!$F$80, MOD(BV187,$F210)=0, BV118=1), 1, 0))</f>
        <v>0</v>
      </c>
      <c r="BX210" s="106"/>
      <c r="BY210" s="106"/>
      <c r="BZ210" s="106"/>
      <c r="CA210" s="106"/>
      <c r="CB210" s="106"/>
      <c r="CC210" s="106"/>
      <c r="CD210" s="106"/>
      <c r="CE210" s="106"/>
      <c r="CF210" s="106"/>
      <c r="CG210" s="106"/>
      <c r="CH210" s="106"/>
      <c r="CI210" s="106"/>
      <c r="CK210" s="11"/>
      <c r="CM210" s="11"/>
      <c r="EX210" s="10" t="str">
        <f t="shared" si="186"/>
        <v/>
      </c>
    </row>
    <row r="211" spans="1:154" x14ac:dyDescent="0.35">
      <c r="B211" t="str">
        <f ca="1">Loans!B$18</f>
        <v>Loan 6</v>
      </c>
      <c r="D211" s="51">
        <f>Loans!D$18</f>
        <v>0</v>
      </c>
      <c r="E211" s="117" t="str">
        <f>IF(Loans!R$18=0, "", Loans!R$18)</f>
        <v/>
      </c>
      <c r="F211" s="10">
        <f>IFERROR(INDEX(Parameters!$F$80:$F$84, MATCH(Loans!S18, Parameters!$D$80:$D$84,0)), 0)</f>
        <v>0</v>
      </c>
      <c r="V211" s="106"/>
      <c r="W211" s="106"/>
      <c r="X211" s="106"/>
      <c r="Y211" s="106"/>
      <c r="AA211" s="38">
        <f>IF(OR($F211=0,AA188=0), 0, IF(OR(AA188=1, $F211= Parameters!$F$80, MOD(AA188,$F211)=0, AA119=1), 1, 0))</f>
        <v>0</v>
      </c>
      <c r="AB211" s="38">
        <f>IF(OR($F211=0,AB188=0), 0, IF(OR(AB188=1, $F211= Parameters!$F$80, MOD(AB188,$F211)=0, AB119=1), 1, 0))</f>
        <v>0</v>
      </c>
      <c r="AC211" s="38">
        <f>IF(OR($F211=0,AC188=0), 0, IF(OR(AC188=1, $F211= Parameters!$F$80, MOD(AC188,$F211)=0, AC119=1), 1, 0))</f>
        <v>0</v>
      </c>
      <c r="AD211" s="38">
        <f>IF(OR($F211=0,AD188=0), 0, IF(OR(AD188=1, $F211= Parameters!$F$80, MOD(AD188,$F211)=0, AD119=1), 1, 0))</f>
        <v>0</v>
      </c>
      <c r="AE211" s="38">
        <f>IF(OR($F211=0,AE188=0), 0, IF(OR(AE188=1, $F211= Parameters!$F$80, MOD(AE188,$F211)=0, AE119=1), 1, 0))</f>
        <v>0</v>
      </c>
      <c r="AF211" s="38">
        <f>IF(OR($F211=0,AF188=0), 0, IF(OR(AF188=1, $F211= Parameters!$F$80, MOD(AF188,$F211)=0, AF119=1), 1, 0))</f>
        <v>0</v>
      </c>
      <c r="AG211" s="38">
        <f>IF(OR($F211=0,AG188=0), 0, IF(OR(AG188=1, $F211= Parameters!$F$80, MOD(AG188,$F211)=0, AG119=1), 1, 0))</f>
        <v>0</v>
      </c>
      <c r="AH211" s="38">
        <f>IF(OR($F211=0,AH188=0), 0, IF(OR(AH188=1, $F211= Parameters!$F$80, MOD(AH188,$F211)=0, AH119=1), 1, 0))</f>
        <v>0</v>
      </c>
      <c r="AI211" s="38">
        <f>IF(OR($F211=0,AI188=0), 0, IF(OR(AI188=1, $F211= Parameters!$F$80, MOD(AI188,$F211)=0, AI119=1), 1, 0))</f>
        <v>0</v>
      </c>
      <c r="AJ211" s="38">
        <f>IF(OR($F211=0,AJ188=0), 0, IF(OR(AJ188=1, $F211= Parameters!$F$80, MOD(AJ188,$F211)=0, AJ119=1), 1, 0))</f>
        <v>0</v>
      </c>
      <c r="AK211" s="38">
        <f>IF(OR($F211=0,AK188=0), 0, IF(OR(AK188=1, $F211= Parameters!$F$80, MOD(AK188,$F211)=0, AK119=1), 1, 0))</f>
        <v>0</v>
      </c>
      <c r="AL211" s="38">
        <f>IF(OR($F211=0,AL188=0), 0, IF(OR(AL188=1, $F211= Parameters!$F$80, MOD(AL188,$F211)=0, AL119=1), 1, 0))</f>
        <v>0</v>
      </c>
      <c r="AM211" s="38">
        <f>IF(OR($F211=0,AM188=0), 0, IF(OR(AM188=1, $F211= Parameters!$F$80, MOD(AM188,$F211)=0, AM119=1), 1, 0))</f>
        <v>0</v>
      </c>
      <c r="AN211" s="38">
        <f>IF(OR($F211=0,AN188=0), 0, IF(OR(AN188=1, $F211= Parameters!$F$80, MOD(AN188,$F211)=0, AN119=1), 1, 0))</f>
        <v>0</v>
      </c>
      <c r="AO211" s="38">
        <f>IF(OR($F211=0,AO188=0), 0, IF(OR(AO188=1, $F211= Parameters!$F$80, MOD(AO188,$F211)=0, AO119=1), 1, 0))</f>
        <v>0</v>
      </c>
      <c r="AP211" s="38">
        <f>IF(OR($F211=0,AP188=0), 0, IF(OR(AP188=1, $F211= Parameters!$F$80, MOD(AP188,$F211)=0, AP119=1), 1, 0))</f>
        <v>0</v>
      </c>
      <c r="AQ211" s="38">
        <f>IF(OR($F211=0,AQ188=0), 0, IF(OR(AQ188=1, $F211= Parameters!$F$80, MOD(AQ188,$F211)=0, AQ119=1), 1, 0))</f>
        <v>0</v>
      </c>
      <c r="AR211" s="38">
        <f>IF(OR($F211=0,AR188=0), 0, IF(OR(AR188=1, $F211= Parameters!$F$80, MOD(AR188,$F211)=0, AR119=1), 1, 0))</f>
        <v>0</v>
      </c>
      <c r="AS211" s="38">
        <f>IF(OR($F211=0,AS188=0), 0, IF(OR(AS188=1, $F211= Parameters!$F$80, MOD(AS188,$F211)=0, AS119=1), 1, 0))</f>
        <v>0</v>
      </c>
      <c r="AT211" s="38">
        <f>IF(OR($F211=0,AT188=0), 0, IF(OR(AT188=1, $F211= Parameters!$F$80, MOD(AT188,$F211)=0, AT119=1), 1, 0))</f>
        <v>0</v>
      </c>
      <c r="AU211" s="38">
        <f>IF(OR($F211=0,AU188=0), 0, IF(OR(AU188=1, $F211= Parameters!$F$80, MOD(AU188,$F211)=0, AU119=1), 1, 0))</f>
        <v>0</v>
      </c>
      <c r="AV211" s="38">
        <f>IF(OR($F211=0,AV188=0), 0, IF(OR(AV188=1, $F211= Parameters!$F$80, MOD(AV188,$F211)=0, AV119=1), 1, 0))</f>
        <v>0</v>
      </c>
      <c r="AW211" s="38">
        <f>IF(OR($F211=0,AW188=0), 0, IF(OR(AW188=1, $F211= Parameters!$F$80, MOD(AW188,$F211)=0, AW119=1), 1, 0))</f>
        <v>0</v>
      </c>
      <c r="AX211" s="38">
        <f>IF(OR($F211=0,AX188=0), 0, IF(OR(AX188=1, $F211= Parameters!$F$80, MOD(AX188,$F211)=0, AX119=1), 1, 0))</f>
        <v>0</v>
      </c>
      <c r="AY211" s="38">
        <f>IF(OR($F211=0,AY188=0), 0, IF(OR(AY188=1, $F211= Parameters!$F$80, MOD(AY188,$F211)=0, AY119=1), 1, 0))</f>
        <v>0</v>
      </c>
      <c r="AZ211" s="38">
        <f>IF(OR($F211=0,AZ188=0), 0, IF(OR(AZ188=1, $F211= Parameters!$F$80, MOD(AZ188,$F211)=0, AZ119=1), 1, 0))</f>
        <v>0</v>
      </c>
      <c r="BA211" s="38">
        <f>IF(OR($F211=0,BA188=0), 0, IF(OR(BA188=1, $F211= Parameters!$F$80, MOD(BA188,$F211)=0, BA119=1), 1, 0))</f>
        <v>0</v>
      </c>
      <c r="BB211" s="38">
        <f>IF(OR($F211=0,BB188=0), 0, IF(OR(BB188=1, $F211= Parameters!$F$80, MOD(BB188,$F211)=0, BB119=1), 1, 0))</f>
        <v>0</v>
      </c>
      <c r="BC211" s="38">
        <f>IF(OR($F211=0,BC188=0), 0, IF(OR(BC188=1, $F211= Parameters!$F$80, MOD(BC188,$F211)=0, BC119=1), 1, 0))</f>
        <v>0</v>
      </c>
      <c r="BD211" s="38">
        <f>IF(OR($F211=0,BD188=0), 0, IF(OR(BD188=1, $F211= Parameters!$F$80, MOD(BD188,$F211)=0, BD119=1), 1, 0))</f>
        <v>0</v>
      </c>
      <c r="BE211" s="38">
        <f>IF(OR($F211=0,BE188=0), 0, IF(OR(BE188=1, $F211= Parameters!$F$80, MOD(BE188,$F211)=0, BE119=1), 1, 0))</f>
        <v>0</v>
      </c>
      <c r="BF211" s="38">
        <f>IF(OR($F211=0,BF188=0), 0, IF(OR(BF188=1, $F211= Parameters!$F$80, MOD(BF188,$F211)=0, BF119=1), 1, 0))</f>
        <v>0</v>
      </c>
      <c r="BG211" s="38">
        <f>IF(OR($F211=0,BG188=0), 0, IF(OR(BG188=1, $F211= Parameters!$F$80, MOD(BG188,$F211)=0, BG119=1), 1, 0))</f>
        <v>0</v>
      </c>
      <c r="BH211" s="38">
        <f>IF(OR($F211=0,BH188=0), 0, IF(OR(BH188=1, $F211= Parameters!$F$80, MOD(BH188,$F211)=0, BH119=1), 1, 0))</f>
        <v>0</v>
      </c>
      <c r="BI211" s="38">
        <f>IF(OR($F211=0,BI188=0), 0, IF(OR(BI188=1, $F211= Parameters!$F$80, MOD(BI188,$F211)=0, BI119=1), 1, 0))</f>
        <v>0</v>
      </c>
      <c r="BJ211" s="38">
        <f>IF(OR($F211=0,BJ188=0), 0, IF(OR(BJ188=1, $F211= Parameters!$F$80, MOD(BJ188,$F211)=0, BJ119=1), 1, 0))</f>
        <v>0</v>
      </c>
      <c r="BK211" s="38">
        <f>IF(OR($F211=0,BK188=0), 0, IF(OR(BK188=1, $F211= Parameters!$F$80, MOD(BK188,$F211)=0, BK119=1), 1, 0))</f>
        <v>0</v>
      </c>
      <c r="BL211" s="38">
        <f>IF(OR($F211=0,BL188=0), 0, IF(OR(BL188=1, $F211= Parameters!$F$80, MOD(BL188,$F211)=0, BL119=1), 1, 0))</f>
        <v>0</v>
      </c>
      <c r="BM211" s="38">
        <f>IF(OR($F211=0,BM188=0), 0, IF(OR(BM188=1, $F211= Parameters!$F$80, MOD(BM188,$F211)=0, BM119=1), 1, 0))</f>
        <v>0</v>
      </c>
      <c r="BN211" s="38">
        <f>IF(OR($F211=0,BN188=0), 0, IF(OR(BN188=1, $F211= Parameters!$F$80, MOD(BN188,$F211)=0, BN119=1), 1, 0))</f>
        <v>0</v>
      </c>
      <c r="BO211" s="38">
        <f>IF(OR($F211=0,BO188=0), 0, IF(OR(BO188=1, $F211= Parameters!$F$80, MOD(BO188,$F211)=0, BO119=1), 1, 0))</f>
        <v>0</v>
      </c>
      <c r="BP211" s="38">
        <f>IF(OR($F211=0,BP188=0), 0, IF(OR(BP188=1, $F211= Parameters!$F$80, MOD(BP188,$F211)=0, BP119=1), 1, 0))</f>
        <v>0</v>
      </c>
      <c r="BQ211" s="38">
        <f>IF(OR($F211=0,BQ188=0), 0, IF(OR(BQ188=1, $F211= Parameters!$F$80, MOD(BQ188,$F211)=0, BQ119=1), 1, 0))</f>
        <v>0</v>
      </c>
      <c r="BR211" s="38">
        <f>IF(OR($F211=0,BR188=0), 0, IF(OR(BR188=1, $F211= Parameters!$F$80, MOD(BR188,$F211)=0, BR119=1), 1, 0))</f>
        <v>0</v>
      </c>
      <c r="BS211" s="38">
        <f>IF(OR($F211=0,BS188=0), 0, IF(OR(BS188=1, $F211= Parameters!$F$80, MOD(BS188,$F211)=0, BS119=1), 1, 0))</f>
        <v>0</v>
      </c>
      <c r="BT211" s="38">
        <f>IF(OR($F211=0,BT188=0), 0, IF(OR(BT188=1, $F211= Parameters!$F$80, MOD(BT188,$F211)=0, BT119=1), 1, 0))</f>
        <v>0</v>
      </c>
      <c r="BU211" s="38">
        <f>IF(OR($F211=0,BU188=0), 0, IF(OR(BU188=1, $F211= Parameters!$F$80, MOD(BU188,$F211)=0, BU119=1), 1, 0))</f>
        <v>0</v>
      </c>
      <c r="BV211" s="38">
        <f>IF(OR($F211=0,BV188=0), 0, IF(OR(BV188=1, $F211= Parameters!$F$80, MOD(BV188,$F211)=0, BV119=1), 1, 0))</f>
        <v>0</v>
      </c>
      <c r="BX211" s="106"/>
      <c r="BY211" s="106"/>
      <c r="BZ211" s="106"/>
      <c r="CA211" s="106"/>
      <c r="CB211" s="106"/>
      <c r="CC211" s="106"/>
      <c r="CD211" s="106"/>
      <c r="CE211" s="106"/>
      <c r="CF211" s="106"/>
      <c r="CG211" s="106"/>
      <c r="CH211" s="106"/>
      <c r="CI211" s="106"/>
      <c r="CK211" s="11"/>
      <c r="CM211" s="11"/>
      <c r="EX211" s="10" t="str">
        <f t="shared" si="186"/>
        <v/>
      </c>
    </row>
    <row r="212" spans="1:154" s="5" customFormat="1" x14ac:dyDescent="0.35">
      <c r="A212"/>
      <c r="B212" t="str">
        <f ca="1">Loans!B$19</f>
        <v>Loan 7</v>
      </c>
      <c r="D212" s="51">
        <f>Loans!D$19</f>
        <v>0</v>
      </c>
      <c r="E212" s="117" t="str">
        <f>IF(Loans!R$19=0, "", Loans!R$19)</f>
        <v/>
      </c>
      <c r="F212" s="10">
        <f>IFERROR(INDEX(Parameters!$F$80:$F$84, MATCH(Loans!S19, Parameters!$D$80:$D$84,0)), 0)</f>
        <v>0</v>
      </c>
      <c r="G212"/>
      <c r="H212"/>
      <c r="I212"/>
      <c r="J212"/>
      <c r="K212"/>
      <c r="M212"/>
      <c r="N212"/>
      <c r="O212"/>
      <c r="P212"/>
      <c r="Q212"/>
      <c r="S212"/>
      <c r="T212"/>
      <c r="U212"/>
      <c r="V212" s="106"/>
      <c r="W212" s="106"/>
      <c r="X212" s="106"/>
      <c r="Y212" s="106"/>
      <c r="Z212"/>
      <c r="AA212" s="38">
        <f>IF(OR($F212=0,AA189=0), 0, IF(OR(AA189=1, $F212= Parameters!$F$80, MOD(AA189,$F212)=0, AA120=1), 1, 0))</f>
        <v>0</v>
      </c>
      <c r="AB212" s="38">
        <f>IF(OR($F212=0,AB189=0), 0, IF(OR(AB189=1, $F212= Parameters!$F$80, MOD(AB189,$F212)=0, AB120=1), 1, 0))</f>
        <v>0</v>
      </c>
      <c r="AC212" s="38">
        <f>IF(OR($F212=0,AC189=0), 0, IF(OR(AC189=1, $F212= Parameters!$F$80, MOD(AC189,$F212)=0, AC120=1), 1, 0))</f>
        <v>0</v>
      </c>
      <c r="AD212" s="38">
        <f>IF(OR($F212=0,AD189=0), 0, IF(OR(AD189=1, $F212= Parameters!$F$80, MOD(AD189,$F212)=0, AD120=1), 1, 0))</f>
        <v>0</v>
      </c>
      <c r="AE212" s="38">
        <f>IF(OR($F212=0,AE189=0), 0, IF(OR(AE189=1, $F212= Parameters!$F$80, MOD(AE189,$F212)=0, AE120=1), 1, 0))</f>
        <v>0</v>
      </c>
      <c r="AF212" s="38">
        <f>IF(OR($F212=0,AF189=0), 0, IF(OR(AF189=1, $F212= Parameters!$F$80, MOD(AF189,$F212)=0, AF120=1), 1, 0))</f>
        <v>0</v>
      </c>
      <c r="AG212" s="38">
        <f>IF(OR($F212=0,AG189=0), 0, IF(OR(AG189=1, $F212= Parameters!$F$80, MOD(AG189,$F212)=0, AG120=1), 1, 0))</f>
        <v>0</v>
      </c>
      <c r="AH212" s="38">
        <f>IF(OR($F212=0,AH189=0), 0, IF(OR(AH189=1, $F212= Parameters!$F$80, MOD(AH189,$F212)=0, AH120=1), 1, 0))</f>
        <v>0</v>
      </c>
      <c r="AI212" s="38">
        <f>IF(OR($F212=0,AI189=0), 0, IF(OR(AI189=1, $F212= Parameters!$F$80, MOD(AI189,$F212)=0, AI120=1), 1, 0))</f>
        <v>0</v>
      </c>
      <c r="AJ212" s="38">
        <f>IF(OR($F212=0,AJ189=0), 0, IF(OR(AJ189=1, $F212= Parameters!$F$80, MOD(AJ189,$F212)=0, AJ120=1), 1, 0))</f>
        <v>0</v>
      </c>
      <c r="AK212" s="38">
        <f>IF(OR($F212=0,AK189=0), 0, IF(OR(AK189=1, $F212= Parameters!$F$80, MOD(AK189,$F212)=0, AK120=1), 1, 0))</f>
        <v>0</v>
      </c>
      <c r="AL212" s="38">
        <f>IF(OR($F212=0,AL189=0), 0, IF(OR(AL189=1, $F212= Parameters!$F$80, MOD(AL189,$F212)=0, AL120=1), 1, 0))</f>
        <v>0</v>
      </c>
      <c r="AM212" s="38">
        <f>IF(OR($F212=0,AM189=0), 0, IF(OR(AM189=1, $F212= Parameters!$F$80, MOD(AM189,$F212)=0, AM120=1), 1, 0))</f>
        <v>0</v>
      </c>
      <c r="AN212" s="38">
        <f>IF(OR($F212=0,AN189=0), 0, IF(OR(AN189=1, $F212= Parameters!$F$80, MOD(AN189,$F212)=0, AN120=1), 1, 0))</f>
        <v>0</v>
      </c>
      <c r="AO212" s="38">
        <f>IF(OR($F212=0,AO189=0), 0, IF(OR(AO189=1, $F212= Parameters!$F$80, MOD(AO189,$F212)=0, AO120=1), 1, 0))</f>
        <v>0</v>
      </c>
      <c r="AP212" s="38">
        <f>IF(OR($F212=0,AP189=0), 0, IF(OR(AP189=1, $F212= Parameters!$F$80, MOD(AP189,$F212)=0, AP120=1), 1, 0))</f>
        <v>0</v>
      </c>
      <c r="AQ212" s="38">
        <f>IF(OR($F212=0,AQ189=0), 0, IF(OR(AQ189=1, $F212= Parameters!$F$80, MOD(AQ189,$F212)=0, AQ120=1), 1, 0))</f>
        <v>0</v>
      </c>
      <c r="AR212" s="38">
        <f>IF(OR($F212=0,AR189=0), 0, IF(OR(AR189=1, $F212= Parameters!$F$80, MOD(AR189,$F212)=0, AR120=1), 1, 0))</f>
        <v>0</v>
      </c>
      <c r="AS212" s="38">
        <f>IF(OR($F212=0,AS189=0), 0, IF(OR(AS189=1, $F212= Parameters!$F$80, MOD(AS189,$F212)=0, AS120=1), 1, 0))</f>
        <v>0</v>
      </c>
      <c r="AT212" s="38">
        <f>IF(OR($F212=0,AT189=0), 0, IF(OR(AT189=1, $F212= Parameters!$F$80, MOD(AT189,$F212)=0, AT120=1), 1, 0))</f>
        <v>0</v>
      </c>
      <c r="AU212" s="38">
        <f>IF(OR($F212=0,AU189=0), 0, IF(OR(AU189=1, $F212= Parameters!$F$80, MOD(AU189,$F212)=0, AU120=1), 1, 0))</f>
        <v>0</v>
      </c>
      <c r="AV212" s="38">
        <f>IF(OR($F212=0,AV189=0), 0, IF(OR(AV189=1, $F212= Parameters!$F$80, MOD(AV189,$F212)=0, AV120=1), 1, 0))</f>
        <v>0</v>
      </c>
      <c r="AW212" s="38">
        <f>IF(OR($F212=0,AW189=0), 0, IF(OR(AW189=1, $F212= Parameters!$F$80, MOD(AW189,$F212)=0, AW120=1), 1, 0))</f>
        <v>0</v>
      </c>
      <c r="AX212" s="38">
        <f>IF(OR($F212=0,AX189=0), 0, IF(OR(AX189=1, $F212= Parameters!$F$80, MOD(AX189,$F212)=0, AX120=1), 1, 0))</f>
        <v>0</v>
      </c>
      <c r="AY212" s="38">
        <f>IF(OR($F212=0,AY189=0), 0, IF(OR(AY189=1, $F212= Parameters!$F$80, MOD(AY189,$F212)=0, AY120=1), 1, 0))</f>
        <v>0</v>
      </c>
      <c r="AZ212" s="38">
        <f>IF(OR($F212=0,AZ189=0), 0, IF(OR(AZ189=1, $F212= Parameters!$F$80, MOD(AZ189,$F212)=0, AZ120=1), 1, 0))</f>
        <v>0</v>
      </c>
      <c r="BA212" s="38">
        <f>IF(OR($F212=0,BA189=0), 0, IF(OR(BA189=1, $F212= Parameters!$F$80, MOD(BA189,$F212)=0, BA120=1), 1, 0))</f>
        <v>0</v>
      </c>
      <c r="BB212" s="38">
        <f>IF(OR($F212=0,BB189=0), 0, IF(OR(BB189=1, $F212= Parameters!$F$80, MOD(BB189,$F212)=0, BB120=1), 1, 0))</f>
        <v>0</v>
      </c>
      <c r="BC212" s="38">
        <f>IF(OR($F212=0,BC189=0), 0, IF(OR(BC189=1, $F212= Parameters!$F$80, MOD(BC189,$F212)=0, BC120=1), 1, 0))</f>
        <v>0</v>
      </c>
      <c r="BD212" s="38">
        <f>IF(OR($F212=0,BD189=0), 0, IF(OR(BD189=1, $F212= Parameters!$F$80, MOD(BD189,$F212)=0, BD120=1), 1, 0))</f>
        <v>0</v>
      </c>
      <c r="BE212" s="38">
        <f>IF(OR($F212=0,BE189=0), 0, IF(OR(BE189=1, $F212= Parameters!$F$80, MOD(BE189,$F212)=0, BE120=1), 1, 0))</f>
        <v>0</v>
      </c>
      <c r="BF212" s="38">
        <f>IF(OR($F212=0,BF189=0), 0, IF(OR(BF189=1, $F212= Parameters!$F$80, MOD(BF189,$F212)=0, BF120=1), 1, 0))</f>
        <v>0</v>
      </c>
      <c r="BG212" s="38">
        <f>IF(OR($F212=0,BG189=0), 0, IF(OR(BG189=1, $F212= Parameters!$F$80, MOD(BG189,$F212)=0, BG120=1), 1, 0))</f>
        <v>0</v>
      </c>
      <c r="BH212" s="38">
        <f>IF(OR($F212=0,BH189=0), 0, IF(OR(BH189=1, $F212= Parameters!$F$80, MOD(BH189,$F212)=0, BH120=1), 1, 0))</f>
        <v>0</v>
      </c>
      <c r="BI212" s="38">
        <f>IF(OR($F212=0,BI189=0), 0, IF(OR(BI189=1, $F212= Parameters!$F$80, MOD(BI189,$F212)=0, BI120=1), 1, 0))</f>
        <v>0</v>
      </c>
      <c r="BJ212" s="38">
        <f>IF(OR($F212=0,BJ189=0), 0, IF(OR(BJ189=1, $F212= Parameters!$F$80, MOD(BJ189,$F212)=0, BJ120=1), 1, 0))</f>
        <v>0</v>
      </c>
      <c r="BK212" s="38">
        <f>IF(OR($F212=0,BK189=0), 0, IF(OR(BK189=1, $F212= Parameters!$F$80, MOD(BK189,$F212)=0, BK120=1), 1, 0))</f>
        <v>0</v>
      </c>
      <c r="BL212" s="38">
        <f>IF(OR($F212=0,BL189=0), 0, IF(OR(BL189=1, $F212= Parameters!$F$80, MOD(BL189,$F212)=0, BL120=1), 1, 0))</f>
        <v>0</v>
      </c>
      <c r="BM212" s="38">
        <f>IF(OR($F212=0,BM189=0), 0, IF(OR(BM189=1, $F212= Parameters!$F$80, MOD(BM189,$F212)=0, BM120=1), 1, 0))</f>
        <v>0</v>
      </c>
      <c r="BN212" s="38">
        <f>IF(OR($F212=0,BN189=0), 0, IF(OR(BN189=1, $F212= Parameters!$F$80, MOD(BN189,$F212)=0, BN120=1), 1, 0))</f>
        <v>0</v>
      </c>
      <c r="BO212" s="38">
        <f>IF(OR($F212=0,BO189=0), 0, IF(OR(BO189=1, $F212= Parameters!$F$80, MOD(BO189,$F212)=0, BO120=1), 1, 0))</f>
        <v>0</v>
      </c>
      <c r="BP212" s="38">
        <f>IF(OR($F212=0,BP189=0), 0, IF(OR(BP189=1, $F212= Parameters!$F$80, MOD(BP189,$F212)=0, BP120=1), 1, 0))</f>
        <v>0</v>
      </c>
      <c r="BQ212" s="38">
        <f>IF(OR($F212=0,BQ189=0), 0, IF(OR(BQ189=1, $F212= Parameters!$F$80, MOD(BQ189,$F212)=0, BQ120=1), 1, 0))</f>
        <v>0</v>
      </c>
      <c r="BR212" s="38">
        <f>IF(OR($F212=0,BR189=0), 0, IF(OR(BR189=1, $F212= Parameters!$F$80, MOD(BR189,$F212)=0, BR120=1), 1, 0))</f>
        <v>0</v>
      </c>
      <c r="BS212" s="38">
        <f>IF(OR($F212=0,BS189=0), 0, IF(OR(BS189=1, $F212= Parameters!$F$80, MOD(BS189,$F212)=0, BS120=1), 1, 0))</f>
        <v>0</v>
      </c>
      <c r="BT212" s="38">
        <f>IF(OR($F212=0,BT189=0), 0, IF(OR(BT189=1, $F212= Parameters!$F$80, MOD(BT189,$F212)=0, BT120=1), 1, 0))</f>
        <v>0</v>
      </c>
      <c r="BU212" s="38">
        <f>IF(OR($F212=0,BU189=0), 0, IF(OR(BU189=1, $F212= Parameters!$F$80, MOD(BU189,$F212)=0, BU120=1), 1, 0))</f>
        <v>0</v>
      </c>
      <c r="BV212" s="38">
        <f>IF(OR($F212=0,BV189=0), 0, IF(OR(BV189=1, $F212= Parameters!$F$80, MOD(BV189,$F212)=0, BV120=1), 1, 0))</f>
        <v>0</v>
      </c>
      <c r="BW212"/>
      <c r="BX212" s="106"/>
      <c r="BY212" s="106"/>
      <c r="BZ212" s="106"/>
      <c r="CA212" s="106"/>
      <c r="CB212" s="106"/>
      <c r="CC212" s="106"/>
      <c r="CD212" s="106"/>
      <c r="CE212" s="106"/>
      <c r="CF212" s="106"/>
      <c r="CG212" s="106"/>
      <c r="CH212" s="106"/>
      <c r="CI212" s="106"/>
      <c r="CJ212"/>
      <c r="CK212" s="11"/>
      <c r="CL212"/>
      <c r="CM212" s="11"/>
      <c r="EX212" s="10" t="str">
        <f t="shared" si="186"/>
        <v/>
      </c>
    </row>
    <row r="213" spans="1:154" x14ac:dyDescent="0.35">
      <c r="B213" t="str">
        <f ca="1">Loans!B$20</f>
        <v>Loan 8</v>
      </c>
      <c r="D213" s="51">
        <f>Loans!D$20</f>
        <v>0</v>
      </c>
      <c r="E213" s="117" t="str">
        <f>IF(Loans!R$20=0, "", Loans!R$20)</f>
        <v/>
      </c>
      <c r="F213" s="10">
        <f>IFERROR(INDEX(Parameters!$F$80:$F$84, MATCH(Loans!S20, Parameters!$D$80:$D$84,0)), 0)</f>
        <v>0</v>
      </c>
      <c r="V213" s="106"/>
      <c r="W213" s="106"/>
      <c r="X213" s="106"/>
      <c r="Y213" s="106"/>
      <c r="AA213" s="38">
        <f>IF(OR($F213=0,AA190=0), 0, IF(OR(AA190=1, $F213= Parameters!$F$80, MOD(AA190,$F213)=0, AA121=1), 1, 0))</f>
        <v>0</v>
      </c>
      <c r="AB213" s="38">
        <f>IF(OR($F213=0,AB190=0), 0, IF(OR(AB190=1, $F213= Parameters!$F$80, MOD(AB190,$F213)=0, AB121=1), 1, 0))</f>
        <v>0</v>
      </c>
      <c r="AC213" s="38">
        <f>IF(OR($F213=0,AC190=0), 0, IF(OR(AC190=1, $F213= Parameters!$F$80, MOD(AC190,$F213)=0, AC121=1), 1, 0))</f>
        <v>0</v>
      </c>
      <c r="AD213" s="38">
        <f>IF(OR($F213=0,AD190=0), 0, IF(OR(AD190=1, $F213= Parameters!$F$80, MOD(AD190,$F213)=0, AD121=1), 1, 0))</f>
        <v>0</v>
      </c>
      <c r="AE213" s="38">
        <f>IF(OR($F213=0,AE190=0), 0, IF(OR(AE190=1, $F213= Parameters!$F$80, MOD(AE190,$F213)=0, AE121=1), 1, 0))</f>
        <v>0</v>
      </c>
      <c r="AF213" s="38">
        <f>IF(OR($F213=0,AF190=0), 0, IF(OR(AF190=1, $F213= Parameters!$F$80, MOD(AF190,$F213)=0, AF121=1), 1, 0))</f>
        <v>0</v>
      </c>
      <c r="AG213" s="38">
        <f>IF(OR($F213=0,AG190=0), 0, IF(OR(AG190=1, $F213= Parameters!$F$80, MOD(AG190,$F213)=0, AG121=1), 1, 0))</f>
        <v>0</v>
      </c>
      <c r="AH213" s="38">
        <f>IF(OR($F213=0,AH190=0), 0, IF(OR(AH190=1, $F213= Parameters!$F$80, MOD(AH190,$F213)=0, AH121=1), 1, 0))</f>
        <v>0</v>
      </c>
      <c r="AI213" s="38">
        <f>IF(OR($F213=0,AI190=0), 0, IF(OR(AI190=1, $F213= Parameters!$F$80, MOD(AI190,$F213)=0, AI121=1), 1, 0))</f>
        <v>0</v>
      </c>
      <c r="AJ213" s="38">
        <f>IF(OR($F213=0,AJ190=0), 0, IF(OR(AJ190=1, $F213= Parameters!$F$80, MOD(AJ190,$F213)=0, AJ121=1), 1, 0))</f>
        <v>0</v>
      </c>
      <c r="AK213" s="38">
        <f>IF(OR($F213=0,AK190=0), 0, IF(OR(AK190=1, $F213= Parameters!$F$80, MOD(AK190,$F213)=0, AK121=1), 1, 0))</f>
        <v>0</v>
      </c>
      <c r="AL213" s="38">
        <f>IF(OR($F213=0,AL190=0), 0, IF(OR(AL190=1, $F213= Parameters!$F$80, MOD(AL190,$F213)=0, AL121=1), 1, 0))</f>
        <v>0</v>
      </c>
      <c r="AM213" s="38">
        <f>IF(OR($F213=0,AM190=0), 0, IF(OR(AM190=1, $F213= Parameters!$F$80, MOD(AM190,$F213)=0, AM121=1), 1, 0))</f>
        <v>0</v>
      </c>
      <c r="AN213" s="38">
        <f>IF(OR($F213=0,AN190=0), 0, IF(OR(AN190=1, $F213= Parameters!$F$80, MOD(AN190,$F213)=0, AN121=1), 1, 0))</f>
        <v>0</v>
      </c>
      <c r="AO213" s="38">
        <f>IF(OR($F213=0,AO190=0), 0, IF(OR(AO190=1, $F213= Parameters!$F$80, MOD(AO190,$F213)=0, AO121=1), 1, 0))</f>
        <v>0</v>
      </c>
      <c r="AP213" s="38">
        <f>IF(OR($F213=0,AP190=0), 0, IF(OR(AP190=1, $F213= Parameters!$F$80, MOD(AP190,$F213)=0, AP121=1), 1, 0))</f>
        <v>0</v>
      </c>
      <c r="AQ213" s="38">
        <f>IF(OR($F213=0,AQ190=0), 0, IF(OR(AQ190=1, $F213= Parameters!$F$80, MOD(AQ190,$F213)=0, AQ121=1), 1, 0))</f>
        <v>0</v>
      </c>
      <c r="AR213" s="38">
        <f>IF(OR($F213=0,AR190=0), 0, IF(OR(AR190=1, $F213= Parameters!$F$80, MOD(AR190,$F213)=0, AR121=1), 1, 0))</f>
        <v>0</v>
      </c>
      <c r="AS213" s="38">
        <f>IF(OR($F213=0,AS190=0), 0, IF(OR(AS190=1, $F213= Parameters!$F$80, MOD(AS190,$F213)=0, AS121=1), 1, 0))</f>
        <v>0</v>
      </c>
      <c r="AT213" s="38">
        <f>IF(OR($F213=0,AT190=0), 0, IF(OR(AT190=1, $F213= Parameters!$F$80, MOD(AT190,$F213)=0, AT121=1), 1, 0))</f>
        <v>0</v>
      </c>
      <c r="AU213" s="38">
        <f>IF(OR($F213=0,AU190=0), 0, IF(OR(AU190=1, $F213= Parameters!$F$80, MOD(AU190,$F213)=0, AU121=1), 1, 0))</f>
        <v>0</v>
      </c>
      <c r="AV213" s="38">
        <f>IF(OR($F213=0,AV190=0), 0, IF(OR(AV190=1, $F213= Parameters!$F$80, MOD(AV190,$F213)=0, AV121=1), 1, 0))</f>
        <v>0</v>
      </c>
      <c r="AW213" s="38">
        <f>IF(OR($F213=0,AW190=0), 0, IF(OR(AW190=1, $F213= Parameters!$F$80, MOD(AW190,$F213)=0, AW121=1), 1, 0))</f>
        <v>0</v>
      </c>
      <c r="AX213" s="38">
        <f>IF(OR($F213=0,AX190=0), 0, IF(OR(AX190=1, $F213= Parameters!$F$80, MOD(AX190,$F213)=0, AX121=1), 1, 0))</f>
        <v>0</v>
      </c>
      <c r="AY213" s="38">
        <f>IF(OR($F213=0,AY190=0), 0, IF(OR(AY190=1, $F213= Parameters!$F$80, MOD(AY190,$F213)=0, AY121=1), 1, 0))</f>
        <v>0</v>
      </c>
      <c r="AZ213" s="38">
        <f>IF(OR($F213=0,AZ190=0), 0, IF(OR(AZ190=1, $F213= Parameters!$F$80, MOD(AZ190,$F213)=0, AZ121=1), 1, 0))</f>
        <v>0</v>
      </c>
      <c r="BA213" s="38">
        <f>IF(OR($F213=0,BA190=0), 0, IF(OR(BA190=1, $F213= Parameters!$F$80, MOD(BA190,$F213)=0, BA121=1), 1, 0))</f>
        <v>0</v>
      </c>
      <c r="BB213" s="38">
        <f>IF(OR($F213=0,BB190=0), 0, IF(OR(BB190=1, $F213= Parameters!$F$80, MOD(BB190,$F213)=0, BB121=1), 1, 0))</f>
        <v>0</v>
      </c>
      <c r="BC213" s="38">
        <f>IF(OR($F213=0,BC190=0), 0, IF(OR(BC190=1, $F213= Parameters!$F$80, MOD(BC190,$F213)=0, BC121=1), 1, 0))</f>
        <v>0</v>
      </c>
      <c r="BD213" s="38">
        <f>IF(OR($F213=0,BD190=0), 0, IF(OR(BD190=1, $F213= Parameters!$F$80, MOD(BD190,$F213)=0, BD121=1), 1, 0))</f>
        <v>0</v>
      </c>
      <c r="BE213" s="38">
        <f>IF(OR($F213=0,BE190=0), 0, IF(OR(BE190=1, $F213= Parameters!$F$80, MOD(BE190,$F213)=0, BE121=1), 1, 0))</f>
        <v>0</v>
      </c>
      <c r="BF213" s="38">
        <f>IF(OR($F213=0,BF190=0), 0, IF(OR(BF190=1, $F213= Parameters!$F$80, MOD(BF190,$F213)=0, BF121=1), 1, 0))</f>
        <v>0</v>
      </c>
      <c r="BG213" s="38">
        <f>IF(OR($F213=0,BG190=0), 0, IF(OR(BG190=1, $F213= Parameters!$F$80, MOD(BG190,$F213)=0, BG121=1), 1, 0))</f>
        <v>0</v>
      </c>
      <c r="BH213" s="38">
        <f>IF(OR($F213=0,BH190=0), 0, IF(OR(BH190=1, $F213= Parameters!$F$80, MOD(BH190,$F213)=0, BH121=1), 1, 0))</f>
        <v>0</v>
      </c>
      <c r="BI213" s="38">
        <f>IF(OR($F213=0,BI190=0), 0, IF(OR(BI190=1, $F213= Parameters!$F$80, MOD(BI190,$F213)=0, BI121=1), 1, 0))</f>
        <v>0</v>
      </c>
      <c r="BJ213" s="38">
        <f>IF(OR($F213=0,BJ190=0), 0, IF(OR(BJ190=1, $F213= Parameters!$F$80, MOD(BJ190,$F213)=0, BJ121=1), 1, 0))</f>
        <v>0</v>
      </c>
      <c r="BK213" s="38">
        <f>IF(OR($F213=0,BK190=0), 0, IF(OR(BK190=1, $F213= Parameters!$F$80, MOD(BK190,$F213)=0, BK121=1), 1, 0))</f>
        <v>0</v>
      </c>
      <c r="BL213" s="38">
        <f>IF(OR($F213=0,BL190=0), 0, IF(OR(BL190=1, $F213= Parameters!$F$80, MOD(BL190,$F213)=0, BL121=1), 1, 0))</f>
        <v>0</v>
      </c>
      <c r="BM213" s="38">
        <f>IF(OR($F213=0,BM190=0), 0, IF(OR(BM190=1, $F213= Parameters!$F$80, MOD(BM190,$F213)=0, BM121=1), 1, 0))</f>
        <v>0</v>
      </c>
      <c r="BN213" s="38">
        <f>IF(OR($F213=0,BN190=0), 0, IF(OR(BN190=1, $F213= Parameters!$F$80, MOD(BN190,$F213)=0, BN121=1), 1, 0))</f>
        <v>0</v>
      </c>
      <c r="BO213" s="38">
        <f>IF(OR($F213=0,BO190=0), 0, IF(OR(BO190=1, $F213= Parameters!$F$80, MOD(BO190,$F213)=0, BO121=1), 1, 0))</f>
        <v>0</v>
      </c>
      <c r="BP213" s="38">
        <f>IF(OR($F213=0,BP190=0), 0, IF(OR(BP190=1, $F213= Parameters!$F$80, MOD(BP190,$F213)=0, BP121=1), 1, 0))</f>
        <v>0</v>
      </c>
      <c r="BQ213" s="38">
        <f>IF(OR($F213=0,BQ190=0), 0, IF(OR(BQ190=1, $F213= Parameters!$F$80, MOD(BQ190,$F213)=0, BQ121=1), 1, 0))</f>
        <v>0</v>
      </c>
      <c r="BR213" s="38">
        <f>IF(OR($F213=0,BR190=0), 0, IF(OR(BR190=1, $F213= Parameters!$F$80, MOD(BR190,$F213)=0, BR121=1), 1, 0))</f>
        <v>0</v>
      </c>
      <c r="BS213" s="38">
        <f>IF(OR($F213=0,BS190=0), 0, IF(OR(BS190=1, $F213= Parameters!$F$80, MOD(BS190,$F213)=0, BS121=1), 1, 0))</f>
        <v>0</v>
      </c>
      <c r="BT213" s="38">
        <f>IF(OR($F213=0,BT190=0), 0, IF(OR(BT190=1, $F213= Parameters!$F$80, MOD(BT190,$F213)=0, BT121=1), 1, 0))</f>
        <v>0</v>
      </c>
      <c r="BU213" s="38">
        <f>IF(OR($F213=0,BU190=0), 0, IF(OR(BU190=1, $F213= Parameters!$F$80, MOD(BU190,$F213)=0, BU121=1), 1, 0))</f>
        <v>0</v>
      </c>
      <c r="BV213" s="38">
        <f>IF(OR($F213=0,BV190=0), 0, IF(OR(BV190=1, $F213= Parameters!$F$80, MOD(BV190,$F213)=0, BV121=1), 1, 0))</f>
        <v>0</v>
      </c>
      <c r="BX213" s="106"/>
      <c r="BY213" s="106"/>
      <c r="BZ213" s="106"/>
      <c r="CA213" s="106"/>
      <c r="CB213" s="106"/>
      <c r="CC213" s="106"/>
      <c r="CD213" s="106"/>
      <c r="CE213" s="106"/>
      <c r="CF213" s="106"/>
      <c r="CG213" s="106"/>
      <c r="CH213" s="106"/>
      <c r="CI213" s="106"/>
      <c r="CK213" s="11"/>
      <c r="CM213" s="11"/>
      <c r="EX213" s="10" t="str">
        <f t="shared" si="186"/>
        <v/>
      </c>
    </row>
    <row r="214" spans="1:154" x14ac:dyDescent="0.35">
      <c r="B214" t="str">
        <f ca="1">Loans!B$21</f>
        <v>Loan 9</v>
      </c>
      <c r="D214" s="51">
        <f>Loans!D$21</f>
        <v>0</v>
      </c>
      <c r="E214" s="117" t="str">
        <f>IF(Loans!R$21=0, "", Loans!R$21)</f>
        <v/>
      </c>
      <c r="F214" s="10">
        <f>IFERROR(INDEX(Parameters!$F$80:$F$84, MATCH(Loans!S21, Parameters!$D$80:$D$84,0)), 0)</f>
        <v>0</v>
      </c>
      <c r="V214" s="106"/>
      <c r="W214" s="106"/>
      <c r="X214" s="106"/>
      <c r="Y214" s="106"/>
      <c r="AA214" s="38">
        <f>IF(OR($F214=0,AA191=0), 0, IF(OR(AA191=1, $F214= Parameters!$F$80, MOD(AA191,$F214)=0, AA122=1), 1, 0))</f>
        <v>0</v>
      </c>
      <c r="AB214" s="38">
        <f>IF(OR($F214=0,AB191=0), 0, IF(OR(AB191=1, $F214= Parameters!$F$80, MOD(AB191,$F214)=0, AB122=1), 1, 0))</f>
        <v>0</v>
      </c>
      <c r="AC214" s="38">
        <f>IF(OR($F214=0,AC191=0), 0, IF(OR(AC191=1, $F214= Parameters!$F$80, MOD(AC191,$F214)=0, AC122=1), 1, 0))</f>
        <v>0</v>
      </c>
      <c r="AD214" s="38">
        <f>IF(OR($F214=0,AD191=0), 0, IF(OR(AD191=1, $F214= Parameters!$F$80, MOD(AD191,$F214)=0, AD122=1), 1, 0))</f>
        <v>0</v>
      </c>
      <c r="AE214" s="38">
        <f>IF(OR($F214=0,AE191=0), 0, IF(OR(AE191=1, $F214= Parameters!$F$80, MOD(AE191,$F214)=0, AE122=1), 1, 0))</f>
        <v>0</v>
      </c>
      <c r="AF214" s="38">
        <f>IF(OR($F214=0,AF191=0), 0, IF(OR(AF191=1, $F214= Parameters!$F$80, MOD(AF191,$F214)=0, AF122=1), 1, 0))</f>
        <v>0</v>
      </c>
      <c r="AG214" s="38">
        <f>IF(OR($F214=0,AG191=0), 0, IF(OR(AG191=1, $F214= Parameters!$F$80, MOD(AG191,$F214)=0, AG122=1), 1, 0))</f>
        <v>0</v>
      </c>
      <c r="AH214" s="38">
        <f>IF(OR($F214=0,AH191=0), 0, IF(OR(AH191=1, $F214= Parameters!$F$80, MOD(AH191,$F214)=0, AH122=1), 1, 0))</f>
        <v>0</v>
      </c>
      <c r="AI214" s="38">
        <f>IF(OR($F214=0,AI191=0), 0, IF(OR(AI191=1, $F214= Parameters!$F$80, MOD(AI191,$F214)=0, AI122=1), 1, 0))</f>
        <v>0</v>
      </c>
      <c r="AJ214" s="38">
        <f>IF(OR($F214=0,AJ191=0), 0, IF(OR(AJ191=1, $F214= Parameters!$F$80, MOD(AJ191,$F214)=0, AJ122=1), 1, 0))</f>
        <v>0</v>
      </c>
      <c r="AK214" s="38">
        <f>IF(OR($F214=0,AK191=0), 0, IF(OR(AK191=1, $F214= Parameters!$F$80, MOD(AK191,$F214)=0, AK122=1), 1, 0))</f>
        <v>0</v>
      </c>
      <c r="AL214" s="38">
        <f>IF(OR($F214=0,AL191=0), 0, IF(OR(AL191=1, $F214= Parameters!$F$80, MOD(AL191,$F214)=0, AL122=1), 1, 0))</f>
        <v>0</v>
      </c>
      <c r="AM214" s="38">
        <f>IF(OR($F214=0,AM191=0), 0, IF(OR(AM191=1, $F214= Parameters!$F$80, MOD(AM191,$F214)=0, AM122=1), 1, 0))</f>
        <v>0</v>
      </c>
      <c r="AN214" s="38">
        <f>IF(OR($F214=0,AN191=0), 0, IF(OR(AN191=1, $F214= Parameters!$F$80, MOD(AN191,$F214)=0, AN122=1), 1, 0))</f>
        <v>0</v>
      </c>
      <c r="AO214" s="38">
        <f>IF(OR($F214=0,AO191=0), 0, IF(OR(AO191=1, $F214= Parameters!$F$80, MOD(AO191,$F214)=0, AO122=1), 1, 0))</f>
        <v>0</v>
      </c>
      <c r="AP214" s="38">
        <f>IF(OR($F214=0,AP191=0), 0, IF(OR(AP191=1, $F214= Parameters!$F$80, MOD(AP191,$F214)=0, AP122=1), 1, 0))</f>
        <v>0</v>
      </c>
      <c r="AQ214" s="38">
        <f>IF(OR($F214=0,AQ191=0), 0, IF(OR(AQ191=1, $F214= Parameters!$F$80, MOD(AQ191,$F214)=0, AQ122=1), 1, 0))</f>
        <v>0</v>
      </c>
      <c r="AR214" s="38">
        <f>IF(OR($F214=0,AR191=0), 0, IF(OR(AR191=1, $F214= Parameters!$F$80, MOD(AR191,$F214)=0, AR122=1), 1, 0))</f>
        <v>0</v>
      </c>
      <c r="AS214" s="38">
        <f>IF(OR($F214=0,AS191=0), 0, IF(OR(AS191=1, $F214= Parameters!$F$80, MOD(AS191,$F214)=0, AS122=1), 1, 0))</f>
        <v>0</v>
      </c>
      <c r="AT214" s="38">
        <f>IF(OR($F214=0,AT191=0), 0, IF(OR(AT191=1, $F214= Parameters!$F$80, MOD(AT191,$F214)=0, AT122=1), 1, 0))</f>
        <v>0</v>
      </c>
      <c r="AU214" s="38">
        <f>IF(OR($F214=0,AU191=0), 0, IF(OR(AU191=1, $F214= Parameters!$F$80, MOD(AU191,$F214)=0, AU122=1), 1, 0))</f>
        <v>0</v>
      </c>
      <c r="AV214" s="38">
        <f>IF(OR($F214=0,AV191=0), 0, IF(OR(AV191=1, $F214= Parameters!$F$80, MOD(AV191,$F214)=0, AV122=1), 1, 0))</f>
        <v>0</v>
      </c>
      <c r="AW214" s="38">
        <f>IF(OR($F214=0,AW191=0), 0, IF(OR(AW191=1, $F214= Parameters!$F$80, MOD(AW191,$F214)=0, AW122=1), 1, 0))</f>
        <v>0</v>
      </c>
      <c r="AX214" s="38">
        <f>IF(OR($F214=0,AX191=0), 0, IF(OR(AX191=1, $F214= Parameters!$F$80, MOD(AX191,$F214)=0, AX122=1), 1, 0))</f>
        <v>0</v>
      </c>
      <c r="AY214" s="38">
        <f>IF(OR($F214=0,AY191=0), 0, IF(OR(AY191=1, $F214= Parameters!$F$80, MOD(AY191,$F214)=0, AY122=1), 1, 0))</f>
        <v>0</v>
      </c>
      <c r="AZ214" s="38">
        <f>IF(OR($F214=0,AZ191=0), 0, IF(OR(AZ191=1, $F214= Parameters!$F$80, MOD(AZ191,$F214)=0, AZ122=1), 1, 0))</f>
        <v>0</v>
      </c>
      <c r="BA214" s="38">
        <f>IF(OR($F214=0,BA191=0), 0, IF(OR(BA191=1, $F214= Parameters!$F$80, MOD(BA191,$F214)=0, BA122=1), 1, 0))</f>
        <v>0</v>
      </c>
      <c r="BB214" s="38">
        <f>IF(OR($F214=0,BB191=0), 0, IF(OR(BB191=1, $F214= Parameters!$F$80, MOD(BB191,$F214)=0, BB122=1), 1, 0))</f>
        <v>0</v>
      </c>
      <c r="BC214" s="38">
        <f>IF(OR($F214=0,BC191=0), 0, IF(OR(BC191=1, $F214= Parameters!$F$80, MOD(BC191,$F214)=0, BC122=1), 1, 0))</f>
        <v>0</v>
      </c>
      <c r="BD214" s="38">
        <f>IF(OR($F214=0,BD191=0), 0, IF(OR(BD191=1, $F214= Parameters!$F$80, MOD(BD191,$F214)=0, BD122=1), 1, 0))</f>
        <v>0</v>
      </c>
      <c r="BE214" s="38">
        <f>IF(OR($F214=0,BE191=0), 0, IF(OR(BE191=1, $F214= Parameters!$F$80, MOD(BE191,$F214)=0, BE122=1), 1, 0))</f>
        <v>0</v>
      </c>
      <c r="BF214" s="38">
        <f>IF(OR($F214=0,BF191=0), 0, IF(OR(BF191=1, $F214= Parameters!$F$80, MOD(BF191,$F214)=0, BF122=1), 1, 0))</f>
        <v>0</v>
      </c>
      <c r="BG214" s="38">
        <f>IF(OR($F214=0,BG191=0), 0, IF(OR(BG191=1, $F214= Parameters!$F$80, MOD(BG191,$F214)=0, BG122=1), 1, 0))</f>
        <v>0</v>
      </c>
      <c r="BH214" s="38">
        <f>IF(OR($F214=0,BH191=0), 0, IF(OR(BH191=1, $F214= Parameters!$F$80, MOD(BH191,$F214)=0, BH122=1), 1, 0))</f>
        <v>0</v>
      </c>
      <c r="BI214" s="38">
        <f>IF(OR($F214=0,BI191=0), 0, IF(OR(BI191=1, $F214= Parameters!$F$80, MOD(BI191,$F214)=0, BI122=1), 1, 0))</f>
        <v>0</v>
      </c>
      <c r="BJ214" s="38">
        <f>IF(OR($F214=0,BJ191=0), 0, IF(OR(BJ191=1, $F214= Parameters!$F$80, MOD(BJ191,$F214)=0, BJ122=1), 1, 0))</f>
        <v>0</v>
      </c>
      <c r="BK214" s="38">
        <f>IF(OR($F214=0,BK191=0), 0, IF(OR(BK191=1, $F214= Parameters!$F$80, MOD(BK191,$F214)=0, BK122=1), 1, 0))</f>
        <v>0</v>
      </c>
      <c r="BL214" s="38">
        <f>IF(OR($F214=0,BL191=0), 0, IF(OR(BL191=1, $F214= Parameters!$F$80, MOD(BL191,$F214)=0, BL122=1), 1, 0))</f>
        <v>0</v>
      </c>
      <c r="BM214" s="38">
        <f>IF(OR($F214=0,BM191=0), 0, IF(OR(BM191=1, $F214= Parameters!$F$80, MOD(BM191,$F214)=0, BM122=1), 1, 0))</f>
        <v>0</v>
      </c>
      <c r="BN214" s="38">
        <f>IF(OR($F214=0,BN191=0), 0, IF(OR(BN191=1, $F214= Parameters!$F$80, MOD(BN191,$F214)=0, BN122=1), 1, 0))</f>
        <v>0</v>
      </c>
      <c r="BO214" s="38">
        <f>IF(OR($F214=0,BO191=0), 0, IF(OR(BO191=1, $F214= Parameters!$F$80, MOD(BO191,$F214)=0, BO122=1), 1, 0))</f>
        <v>0</v>
      </c>
      <c r="BP214" s="38">
        <f>IF(OR($F214=0,BP191=0), 0, IF(OR(BP191=1, $F214= Parameters!$F$80, MOD(BP191,$F214)=0, BP122=1), 1, 0))</f>
        <v>0</v>
      </c>
      <c r="BQ214" s="38">
        <f>IF(OR($F214=0,BQ191=0), 0, IF(OR(BQ191=1, $F214= Parameters!$F$80, MOD(BQ191,$F214)=0, BQ122=1), 1, 0))</f>
        <v>0</v>
      </c>
      <c r="BR214" s="38">
        <f>IF(OR($F214=0,BR191=0), 0, IF(OR(BR191=1, $F214= Parameters!$F$80, MOD(BR191,$F214)=0, BR122=1), 1, 0))</f>
        <v>0</v>
      </c>
      <c r="BS214" s="38">
        <f>IF(OR($F214=0,BS191=0), 0, IF(OR(BS191=1, $F214= Parameters!$F$80, MOD(BS191,$F214)=0, BS122=1), 1, 0))</f>
        <v>0</v>
      </c>
      <c r="BT214" s="38">
        <f>IF(OR($F214=0,BT191=0), 0, IF(OR(BT191=1, $F214= Parameters!$F$80, MOD(BT191,$F214)=0, BT122=1), 1, 0))</f>
        <v>0</v>
      </c>
      <c r="BU214" s="38">
        <f>IF(OR($F214=0,BU191=0), 0, IF(OR(BU191=1, $F214= Parameters!$F$80, MOD(BU191,$F214)=0, BU122=1), 1, 0))</f>
        <v>0</v>
      </c>
      <c r="BV214" s="38">
        <f>IF(OR($F214=0,BV191=0), 0, IF(OR(BV191=1, $F214= Parameters!$F$80, MOD(BV191,$F214)=0, BV122=1), 1, 0))</f>
        <v>0</v>
      </c>
      <c r="BX214" s="106"/>
      <c r="BY214" s="106"/>
      <c r="BZ214" s="106"/>
      <c r="CA214" s="106"/>
      <c r="CB214" s="106"/>
      <c r="CC214" s="106"/>
      <c r="CD214" s="106"/>
      <c r="CE214" s="106"/>
      <c r="CF214" s="106"/>
      <c r="CG214" s="106"/>
      <c r="CH214" s="106"/>
      <c r="CI214" s="106"/>
      <c r="CK214" s="11"/>
      <c r="CM214" s="11"/>
      <c r="EX214" s="10" t="str">
        <f t="shared" si="186"/>
        <v/>
      </c>
    </row>
    <row r="215" spans="1:154" x14ac:dyDescent="0.35">
      <c r="B215" t="str">
        <f ca="1">Loans!B$22</f>
        <v>Loan 10</v>
      </c>
      <c r="D215" s="51">
        <f>Loans!D$22</f>
        <v>0</v>
      </c>
      <c r="E215" s="117" t="str">
        <f>IF(Loans!R$22=0, "", Loans!R$22)</f>
        <v/>
      </c>
      <c r="F215" s="10">
        <f>IFERROR(INDEX(Parameters!$F$80:$F$84, MATCH(Loans!S22, Parameters!$D$80:$D$84,0)), 0)</f>
        <v>0</v>
      </c>
      <c r="V215" s="106"/>
      <c r="W215" s="106"/>
      <c r="X215" s="106"/>
      <c r="Y215" s="106"/>
      <c r="AA215" s="38">
        <f>IF(OR($F215=0,AA192=0), 0, IF(OR(AA192=1, $F215= Parameters!$F$80, MOD(AA192,$F215)=0, AA123=1), 1, 0))</f>
        <v>0</v>
      </c>
      <c r="AB215" s="38">
        <f>IF(OR($F215=0,AB192=0), 0, IF(OR(AB192=1, $F215= Parameters!$F$80, MOD(AB192,$F215)=0, AB123=1), 1, 0))</f>
        <v>0</v>
      </c>
      <c r="AC215" s="38">
        <f>IF(OR($F215=0,AC192=0), 0, IF(OR(AC192=1, $F215= Parameters!$F$80, MOD(AC192,$F215)=0, AC123=1), 1, 0))</f>
        <v>0</v>
      </c>
      <c r="AD215" s="38">
        <f>IF(OR($F215=0,AD192=0), 0, IF(OR(AD192=1, $F215= Parameters!$F$80, MOD(AD192,$F215)=0, AD123=1), 1, 0))</f>
        <v>0</v>
      </c>
      <c r="AE215" s="38">
        <f>IF(OR($F215=0,AE192=0), 0, IF(OR(AE192=1, $F215= Parameters!$F$80, MOD(AE192,$F215)=0, AE123=1), 1, 0))</f>
        <v>0</v>
      </c>
      <c r="AF215" s="38">
        <f>IF(OR($F215=0,AF192=0), 0, IF(OR(AF192=1, $F215= Parameters!$F$80, MOD(AF192,$F215)=0, AF123=1), 1, 0))</f>
        <v>0</v>
      </c>
      <c r="AG215" s="38">
        <f>IF(OR($F215=0,AG192=0), 0, IF(OR(AG192=1, $F215= Parameters!$F$80, MOD(AG192,$F215)=0, AG123=1), 1, 0))</f>
        <v>0</v>
      </c>
      <c r="AH215" s="38">
        <f>IF(OR($F215=0,AH192=0), 0, IF(OR(AH192=1, $F215= Parameters!$F$80, MOD(AH192,$F215)=0, AH123=1), 1, 0))</f>
        <v>0</v>
      </c>
      <c r="AI215" s="38">
        <f>IF(OR($F215=0,AI192=0), 0, IF(OR(AI192=1, $F215= Parameters!$F$80, MOD(AI192,$F215)=0, AI123=1), 1, 0))</f>
        <v>0</v>
      </c>
      <c r="AJ215" s="38">
        <f>IF(OR($F215=0,AJ192=0), 0, IF(OR(AJ192=1, $F215= Parameters!$F$80, MOD(AJ192,$F215)=0, AJ123=1), 1, 0))</f>
        <v>0</v>
      </c>
      <c r="AK215" s="38">
        <f>IF(OR($F215=0,AK192=0), 0, IF(OR(AK192=1, $F215= Parameters!$F$80, MOD(AK192,$F215)=0, AK123=1), 1, 0))</f>
        <v>0</v>
      </c>
      <c r="AL215" s="38">
        <f>IF(OR($F215=0,AL192=0), 0, IF(OR(AL192=1, $F215= Parameters!$F$80, MOD(AL192,$F215)=0, AL123=1), 1, 0))</f>
        <v>0</v>
      </c>
      <c r="AM215" s="38">
        <f>IF(OR($F215=0,AM192=0), 0, IF(OR(AM192=1, $F215= Parameters!$F$80, MOD(AM192,$F215)=0, AM123=1), 1, 0))</f>
        <v>0</v>
      </c>
      <c r="AN215" s="38">
        <f>IF(OR($F215=0,AN192=0), 0, IF(OR(AN192=1, $F215= Parameters!$F$80, MOD(AN192,$F215)=0, AN123=1), 1, 0))</f>
        <v>0</v>
      </c>
      <c r="AO215" s="38">
        <f>IF(OR($F215=0,AO192=0), 0, IF(OR(AO192=1, $F215= Parameters!$F$80, MOD(AO192,$F215)=0, AO123=1), 1, 0))</f>
        <v>0</v>
      </c>
      <c r="AP215" s="38">
        <f>IF(OR($F215=0,AP192=0), 0, IF(OR(AP192=1, $F215= Parameters!$F$80, MOD(AP192,$F215)=0, AP123=1), 1, 0))</f>
        <v>0</v>
      </c>
      <c r="AQ215" s="38">
        <f>IF(OR($F215=0,AQ192=0), 0, IF(OR(AQ192=1, $F215= Parameters!$F$80, MOD(AQ192,$F215)=0, AQ123=1), 1, 0))</f>
        <v>0</v>
      </c>
      <c r="AR215" s="38">
        <f>IF(OR($F215=0,AR192=0), 0, IF(OR(AR192=1, $F215= Parameters!$F$80, MOD(AR192,$F215)=0, AR123=1), 1, 0))</f>
        <v>0</v>
      </c>
      <c r="AS215" s="38">
        <f>IF(OR($F215=0,AS192=0), 0, IF(OR(AS192=1, $F215= Parameters!$F$80, MOD(AS192,$F215)=0, AS123=1), 1, 0))</f>
        <v>0</v>
      </c>
      <c r="AT215" s="38">
        <f>IF(OR($F215=0,AT192=0), 0, IF(OR(AT192=1, $F215= Parameters!$F$80, MOD(AT192,$F215)=0, AT123=1), 1, 0))</f>
        <v>0</v>
      </c>
      <c r="AU215" s="38">
        <f>IF(OR($F215=0,AU192=0), 0, IF(OR(AU192=1, $F215= Parameters!$F$80, MOD(AU192,$F215)=0, AU123=1), 1, 0))</f>
        <v>0</v>
      </c>
      <c r="AV215" s="38">
        <f>IF(OR($F215=0,AV192=0), 0, IF(OR(AV192=1, $F215= Parameters!$F$80, MOD(AV192,$F215)=0, AV123=1), 1, 0))</f>
        <v>0</v>
      </c>
      <c r="AW215" s="38">
        <f>IF(OR($F215=0,AW192=0), 0, IF(OR(AW192=1, $F215= Parameters!$F$80, MOD(AW192,$F215)=0, AW123=1), 1, 0))</f>
        <v>0</v>
      </c>
      <c r="AX215" s="38">
        <f>IF(OR($F215=0,AX192=0), 0, IF(OR(AX192=1, $F215= Parameters!$F$80, MOD(AX192,$F215)=0, AX123=1), 1, 0))</f>
        <v>0</v>
      </c>
      <c r="AY215" s="38">
        <f>IF(OR($F215=0,AY192=0), 0, IF(OR(AY192=1, $F215= Parameters!$F$80, MOD(AY192,$F215)=0, AY123=1), 1, 0))</f>
        <v>0</v>
      </c>
      <c r="AZ215" s="38">
        <f>IF(OR($F215=0,AZ192=0), 0, IF(OR(AZ192=1, $F215= Parameters!$F$80, MOD(AZ192,$F215)=0, AZ123=1), 1, 0))</f>
        <v>0</v>
      </c>
      <c r="BA215" s="38">
        <f>IF(OR($F215=0,BA192=0), 0, IF(OR(BA192=1, $F215= Parameters!$F$80, MOD(BA192,$F215)=0, BA123=1), 1, 0))</f>
        <v>0</v>
      </c>
      <c r="BB215" s="38">
        <f>IF(OR($F215=0,BB192=0), 0, IF(OR(BB192=1, $F215= Parameters!$F$80, MOD(BB192,$F215)=0, BB123=1), 1, 0))</f>
        <v>0</v>
      </c>
      <c r="BC215" s="38">
        <f>IF(OR($F215=0,BC192=0), 0, IF(OR(BC192=1, $F215= Parameters!$F$80, MOD(BC192,$F215)=0, BC123=1), 1, 0))</f>
        <v>0</v>
      </c>
      <c r="BD215" s="38">
        <f>IF(OR($F215=0,BD192=0), 0, IF(OR(BD192=1, $F215= Parameters!$F$80, MOD(BD192,$F215)=0, BD123=1), 1, 0))</f>
        <v>0</v>
      </c>
      <c r="BE215" s="38">
        <f>IF(OR($F215=0,BE192=0), 0, IF(OR(BE192=1, $F215= Parameters!$F$80, MOD(BE192,$F215)=0, BE123=1), 1, 0))</f>
        <v>0</v>
      </c>
      <c r="BF215" s="38">
        <f>IF(OR($F215=0,BF192=0), 0, IF(OR(BF192=1, $F215= Parameters!$F$80, MOD(BF192,$F215)=0, BF123=1), 1, 0))</f>
        <v>0</v>
      </c>
      <c r="BG215" s="38">
        <f>IF(OR($F215=0,BG192=0), 0, IF(OR(BG192=1, $F215= Parameters!$F$80, MOD(BG192,$F215)=0, BG123=1), 1, 0))</f>
        <v>0</v>
      </c>
      <c r="BH215" s="38">
        <f>IF(OR($F215=0,BH192=0), 0, IF(OR(BH192=1, $F215= Parameters!$F$80, MOD(BH192,$F215)=0, BH123=1), 1, 0))</f>
        <v>0</v>
      </c>
      <c r="BI215" s="38">
        <f>IF(OR($F215=0,BI192=0), 0, IF(OR(BI192=1, $F215= Parameters!$F$80, MOD(BI192,$F215)=0, BI123=1), 1, 0))</f>
        <v>0</v>
      </c>
      <c r="BJ215" s="38">
        <f>IF(OR($F215=0,BJ192=0), 0, IF(OR(BJ192=1, $F215= Parameters!$F$80, MOD(BJ192,$F215)=0, BJ123=1), 1, 0))</f>
        <v>0</v>
      </c>
      <c r="BK215" s="38">
        <f>IF(OR($F215=0,BK192=0), 0, IF(OR(BK192=1, $F215= Parameters!$F$80, MOD(BK192,$F215)=0, BK123=1), 1, 0))</f>
        <v>0</v>
      </c>
      <c r="BL215" s="38">
        <f>IF(OR($F215=0,BL192=0), 0, IF(OR(BL192=1, $F215= Parameters!$F$80, MOD(BL192,$F215)=0, BL123=1), 1, 0))</f>
        <v>0</v>
      </c>
      <c r="BM215" s="38">
        <f>IF(OR($F215=0,BM192=0), 0, IF(OR(BM192=1, $F215= Parameters!$F$80, MOD(BM192,$F215)=0, BM123=1), 1, 0))</f>
        <v>0</v>
      </c>
      <c r="BN215" s="38">
        <f>IF(OR($F215=0,BN192=0), 0, IF(OR(BN192=1, $F215= Parameters!$F$80, MOD(BN192,$F215)=0, BN123=1), 1, 0))</f>
        <v>0</v>
      </c>
      <c r="BO215" s="38">
        <f>IF(OR($F215=0,BO192=0), 0, IF(OR(BO192=1, $F215= Parameters!$F$80, MOD(BO192,$F215)=0, BO123=1), 1, 0))</f>
        <v>0</v>
      </c>
      <c r="BP215" s="38">
        <f>IF(OR($F215=0,BP192=0), 0, IF(OR(BP192=1, $F215= Parameters!$F$80, MOD(BP192,$F215)=0, BP123=1), 1, 0))</f>
        <v>0</v>
      </c>
      <c r="BQ215" s="38">
        <f>IF(OR($F215=0,BQ192=0), 0, IF(OR(BQ192=1, $F215= Parameters!$F$80, MOD(BQ192,$F215)=0, BQ123=1), 1, 0))</f>
        <v>0</v>
      </c>
      <c r="BR215" s="38">
        <f>IF(OR($F215=0,BR192=0), 0, IF(OR(BR192=1, $F215= Parameters!$F$80, MOD(BR192,$F215)=0, BR123=1), 1, 0))</f>
        <v>0</v>
      </c>
      <c r="BS215" s="38">
        <f>IF(OR($F215=0,BS192=0), 0, IF(OR(BS192=1, $F215= Parameters!$F$80, MOD(BS192,$F215)=0, BS123=1), 1, 0))</f>
        <v>0</v>
      </c>
      <c r="BT215" s="38">
        <f>IF(OR($F215=0,BT192=0), 0, IF(OR(BT192=1, $F215= Parameters!$F$80, MOD(BT192,$F215)=0, BT123=1), 1, 0))</f>
        <v>0</v>
      </c>
      <c r="BU215" s="38">
        <f>IF(OR($F215=0,BU192=0), 0, IF(OR(BU192=1, $F215= Parameters!$F$80, MOD(BU192,$F215)=0, BU123=1), 1, 0))</f>
        <v>0</v>
      </c>
      <c r="BV215" s="38">
        <f>IF(OR($F215=0,BV192=0), 0, IF(OR(BV192=1, $F215= Parameters!$F$80, MOD(BV192,$F215)=0, BV123=1), 1, 0))</f>
        <v>0</v>
      </c>
      <c r="BX215" s="106"/>
      <c r="BY215" s="106"/>
      <c r="BZ215" s="106"/>
      <c r="CA215" s="106"/>
      <c r="CB215" s="106"/>
      <c r="CC215" s="106"/>
      <c r="CD215" s="106"/>
      <c r="CE215" s="106"/>
      <c r="CF215" s="106"/>
      <c r="CG215" s="106"/>
      <c r="CH215" s="106"/>
      <c r="CI215" s="106"/>
      <c r="CK215" s="11"/>
      <c r="CM215" s="11"/>
      <c r="EX215" s="10" t="str">
        <f t="shared" si="186"/>
        <v/>
      </c>
    </row>
    <row r="216" spans="1:154" x14ac:dyDescent="0.35">
      <c r="B216" t="str">
        <f ca="1">Loans!B$23</f>
        <v>Loan 11</v>
      </c>
      <c r="D216" s="51">
        <f>Loans!D$23</f>
        <v>0</v>
      </c>
      <c r="E216" s="117" t="str">
        <f>IF(Loans!R$23=0, "", Loans!R$23)</f>
        <v/>
      </c>
      <c r="F216" s="10">
        <f>IFERROR(INDEX(Parameters!$F$80:$F$84, MATCH(Loans!S23, Parameters!$D$80:$D$84,0)), 0)</f>
        <v>0</v>
      </c>
      <c r="V216" s="106"/>
      <c r="W216" s="106"/>
      <c r="X216" s="106"/>
      <c r="Y216" s="106"/>
      <c r="AA216" s="38">
        <f>IF(OR($F216=0,AA193=0), 0, IF(OR(AA193=1, $F216= Parameters!$F$80, MOD(AA193,$F216)=0, AA124=1), 1, 0))</f>
        <v>0</v>
      </c>
      <c r="AB216" s="38">
        <f>IF(OR($F216=0,AB193=0), 0, IF(OR(AB193=1, $F216= Parameters!$F$80, MOD(AB193,$F216)=0, AB124=1), 1, 0))</f>
        <v>0</v>
      </c>
      <c r="AC216" s="38">
        <f>IF(OR($F216=0,AC193=0), 0, IF(OR(AC193=1, $F216= Parameters!$F$80, MOD(AC193,$F216)=0, AC124=1), 1, 0))</f>
        <v>0</v>
      </c>
      <c r="AD216" s="38">
        <f>IF(OR($F216=0,AD193=0), 0, IF(OR(AD193=1, $F216= Parameters!$F$80, MOD(AD193,$F216)=0, AD124=1), 1, 0))</f>
        <v>0</v>
      </c>
      <c r="AE216" s="38">
        <f>IF(OR($F216=0,AE193=0), 0, IF(OR(AE193=1, $F216= Parameters!$F$80, MOD(AE193,$F216)=0, AE124=1), 1, 0))</f>
        <v>0</v>
      </c>
      <c r="AF216" s="38">
        <f>IF(OR($F216=0,AF193=0), 0, IF(OR(AF193=1, $F216= Parameters!$F$80, MOD(AF193,$F216)=0, AF124=1), 1, 0))</f>
        <v>0</v>
      </c>
      <c r="AG216" s="38">
        <f>IF(OR($F216=0,AG193=0), 0, IF(OR(AG193=1, $F216= Parameters!$F$80, MOD(AG193,$F216)=0, AG124=1), 1, 0))</f>
        <v>0</v>
      </c>
      <c r="AH216" s="38">
        <f>IF(OR($F216=0,AH193=0), 0, IF(OR(AH193=1, $F216= Parameters!$F$80, MOD(AH193,$F216)=0, AH124=1), 1, 0))</f>
        <v>0</v>
      </c>
      <c r="AI216" s="38">
        <f>IF(OR($F216=0,AI193=0), 0, IF(OR(AI193=1, $F216= Parameters!$F$80, MOD(AI193,$F216)=0, AI124=1), 1, 0))</f>
        <v>0</v>
      </c>
      <c r="AJ216" s="38">
        <f>IF(OR($F216=0,AJ193=0), 0, IF(OR(AJ193=1, $F216= Parameters!$F$80, MOD(AJ193,$F216)=0, AJ124=1), 1, 0))</f>
        <v>0</v>
      </c>
      <c r="AK216" s="38">
        <f>IF(OR($F216=0,AK193=0), 0, IF(OR(AK193=1, $F216= Parameters!$F$80, MOD(AK193,$F216)=0, AK124=1), 1, 0))</f>
        <v>0</v>
      </c>
      <c r="AL216" s="38">
        <f>IF(OR($F216=0,AL193=0), 0, IF(OR(AL193=1, $F216= Parameters!$F$80, MOD(AL193,$F216)=0, AL124=1), 1, 0))</f>
        <v>0</v>
      </c>
      <c r="AM216" s="38">
        <f>IF(OR($F216=0,AM193=0), 0, IF(OR(AM193=1, $F216= Parameters!$F$80, MOD(AM193,$F216)=0, AM124=1), 1, 0))</f>
        <v>0</v>
      </c>
      <c r="AN216" s="38">
        <f>IF(OR($F216=0,AN193=0), 0, IF(OR(AN193=1, $F216= Parameters!$F$80, MOD(AN193,$F216)=0, AN124=1), 1, 0))</f>
        <v>0</v>
      </c>
      <c r="AO216" s="38">
        <f>IF(OR($F216=0,AO193=0), 0, IF(OR(AO193=1, $F216= Parameters!$F$80, MOD(AO193,$F216)=0, AO124=1), 1, 0))</f>
        <v>0</v>
      </c>
      <c r="AP216" s="38">
        <f>IF(OR($F216=0,AP193=0), 0, IF(OR(AP193=1, $F216= Parameters!$F$80, MOD(AP193,$F216)=0, AP124=1), 1, 0))</f>
        <v>0</v>
      </c>
      <c r="AQ216" s="38">
        <f>IF(OR($F216=0,AQ193=0), 0, IF(OR(AQ193=1, $F216= Parameters!$F$80, MOD(AQ193,$F216)=0, AQ124=1), 1, 0))</f>
        <v>0</v>
      </c>
      <c r="AR216" s="38">
        <f>IF(OR($F216=0,AR193=0), 0, IF(OR(AR193=1, $F216= Parameters!$F$80, MOD(AR193,$F216)=0, AR124=1), 1, 0))</f>
        <v>0</v>
      </c>
      <c r="AS216" s="38">
        <f>IF(OR($F216=0,AS193=0), 0, IF(OR(AS193=1, $F216= Parameters!$F$80, MOD(AS193,$F216)=0, AS124=1), 1, 0))</f>
        <v>0</v>
      </c>
      <c r="AT216" s="38">
        <f>IF(OR($F216=0,AT193=0), 0, IF(OR(AT193=1, $F216= Parameters!$F$80, MOD(AT193,$F216)=0, AT124=1), 1, 0))</f>
        <v>0</v>
      </c>
      <c r="AU216" s="38">
        <f>IF(OR($F216=0,AU193=0), 0, IF(OR(AU193=1, $F216= Parameters!$F$80, MOD(AU193,$F216)=0, AU124=1), 1, 0))</f>
        <v>0</v>
      </c>
      <c r="AV216" s="38">
        <f>IF(OR($F216=0,AV193=0), 0, IF(OR(AV193=1, $F216= Parameters!$F$80, MOD(AV193,$F216)=0, AV124=1), 1, 0))</f>
        <v>0</v>
      </c>
      <c r="AW216" s="38">
        <f>IF(OR($F216=0,AW193=0), 0, IF(OR(AW193=1, $F216= Parameters!$F$80, MOD(AW193,$F216)=0, AW124=1), 1, 0))</f>
        <v>0</v>
      </c>
      <c r="AX216" s="38">
        <f>IF(OR($F216=0,AX193=0), 0, IF(OR(AX193=1, $F216= Parameters!$F$80, MOD(AX193,$F216)=0, AX124=1), 1, 0))</f>
        <v>0</v>
      </c>
      <c r="AY216" s="38">
        <f>IF(OR($F216=0,AY193=0), 0, IF(OR(AY193=1, $F216= Parameters!$F$80, MOD(AY193,$F216)=0, AY124=1), 1, 0))</f>
        <v>0</v>
      </c>
      <c r="AZ216" s="38">
        <f>IF(OR($F216=0,AZ193=0), 0, IF(OR(AZ193=1, $F216= Parameters!$F$80, MOD(AZ193,$F216)=0, AZ124=1), 1, 0))</f>
        <v>0</v>
      </c>
      <c r="BA216" s="38">
        <f>IF(OR($F216=0,BA193=0), 0, IF(OR(BA193=1, $F216= Parameters!$F$80, MOD(BA193,$F216)=0, BA124=1), 1, 0))</f>
        <v>0</v>
      </c>
      <c r="BB216" s="38">
        <f>IF(OR($F216=0,BB193=0), 0, IF(OR(BB193=1, $F216= Parameters!$F$80, MOD(BB193,$F216)=0, BB124=1), 1, 0))</f>
        <v>0</v>
      </c>
      <c r="BC216" s="38">
        <f>IF(OR($F216=0,BC193=0), 0, IF(OR(BC193=1, $F216= Parameters!$F$80, MOD(BC193,$F216)=0, BC124=1), 1, 0))</f>
        <v>0</v>
      </c>
      <c r="BD216" s="38">
        <f>IF(OR($F216=0,BD193=0), 0, IF(OR(BD193=1, $F216= Parameters!$F$80, MOD(BD193,$F216)=0, BD124=1), 1, 0))</f>
        <v>0</v>
      </c>
      <c r="BE216" s="38">
        <f>IF(OR($F216=0,BE193=0), 0, IF(OR(BE193=1, $F216= Parameters!$F$80, MOD(BE193,$F216)=0, BE124=1), 1, 0))</f>
        <v>0</v>
      </c>
      <c r="BF216" s="38">
        <f>IF(OR($F216=0,BF193=0), 0, IF(OR(BF193=1, $F216= Parameters!$F$80, MOD(BF193,$F216)=0, BF124=1), 1, 0))</f>
        <v>0</v>
      </c>
      <c r="BG216" s="38">
        <f>IF(OR($F216=0,BG193=0), 0, IF(OR(BG193=1, $F216= Parameters!$F$80, MOD(BG193,$F216)=0, BG124=1), 1, 0))</f>
        <v>0</v>
      </c>
      <c r="BH216" s="38">
        <f>IF(OR($F216=0,BH193=0), 0, IF(OR(BH193=1, $F216= Parameters!$F$80, MOD(BH193,$F216)=0, BH124=1), 1, 0))</f>
        <v>0</v>
      </c>
      <c r="BI216" s="38">
        <f>IF(OR($F216=0,BI193=0), 0, IF(OR(BI193=1, $F216= Parameters!$F$80, MOD(BI193,$F216)=0, BI124=1), 1, 0))</f>
        <v>0</v>
      </c>
      <c r="BJ216" s="38">
        <f>IF(OR($F216=0,BJ193=0), 0, IF(OR(BJ193=1, $F216= Parameters!$F$80, MOD(BJ193,$F216)=0, BJ124=1), 1, 0))</f>
        <v>0</v>
      </c>
      <c r="BK216" s="38">
        <f>IF(OR($F216=0,BK193=0), 0, IF(OR(BK193=1, $F216= Parameters!$F$80, MOD(BK193,$F216)=0, BK124=1), 1, 0))</f>
        <v>0</v>
      </c>
      <c r="BL216" s="38">
        <f>IF(OR($F216=0,BL193=0), 0, IF(OR(BL193=1, $F216= Parameters!$F$80, MOD(BL193,$F216)=0, BL124=1), 1, 0))</f>
        <v>0</v>
      </c>
      <c r="BM216" s="38">
        <f>IF(OR($F216=0,BM193=0), 0, IF(OR(BM193=1, $F216= Parameters!$F$80, MOD(BM193,$F216)=0, BM124=1), 1, 0))</f>
        <v>0</v>
      </c>
      <c r="BN216" s="38">
        <f>IF(OR($F216=0,BN193=0), 0, IF(OR(BN193=1, $F216= Parameters!$F$80, MOD(BN193,$F216)=0, BN124=1), 1, 0))</f>
        <v>0</v>
      </c>
      <c r="BO216" s="38">
        <f>IF(OR($F216=0,BO193=0), 0, IF(OR(BO193=1, $F216= Parameters!$F$80, MOD(BO193,$F216)=0, BO124=1), 1, 0))</f>
        <v>0</v>
      </c>
      <c r="BP216" s="38">
        <f>IF(OR($F216=0,BP193=0), 0, IF(OR(BP193=1, $F216= Parameters!$F$80, MOD(BP193,$F216)=0, BP124=1), 1, 0))</f>
        <v>0</v>
      </c>
      <c r="BQ216" s="38">
        <f>IF(OR($F216=0,BQ193=0), 0, IF(OR(BQ193=1, $F216= Parameters!$F$80, MOD(BQ193,$F216)=0, BQ124=1), 1, 0))</f>
        <v>0</v>
      </c>
      <c r="BR216" s="38">
        <f>IF(OR($F216=0,BR193=0), 0, IF(OR(BR193=1, $F216= Parameters!$F$80, MOD(BR193,$F216)=0, BR124=1), 1, 0))</f>
        <v>0</v>
      </c>
      <c r="BS216" s="38">
        <f>IF(OR($F216=0,BS193=0), 0, IF(OR(BS193=1, $F216= Parameters!$F$80, MOD(BS193,$F216)=0, BS124=1), 1, 0))</f>
        <v>0</v>
      </c>
      <c r="BT216" s="38">
        <f>IF(OR($F216=0,BT193=0), 0, IF(OR(BT193=1, $F216= Parameters!$F$80, MOD(BT193,$F216)=0, BT124=1), 1, 0))</f>
        <v>0</v>
      </c>
      <c r="BU216" s="38">
        <f>IF(OR($F216=0,BU193=0), 0, IF(OR(BU193=1, $F216= Parameters!$F$80, MOD(BU193,$F216)=0, BU124=1), 1, 0))</f>
        <v>0</v>
      </c>
      <c r="BV216" s="38">
        <f>IF(OR($F216=0,BV193=0), 0, IF(OR(BV193=1, $F216= Parameters!$F$80, MOD(BV193,$F216)=0, BV124=1), 1, 0))</f>
        <v>0</v>
      </c>
      <c r="BX216" s="106"/>
      <c r="BY216" s="106"/>
      <c r="BZ216" s="106"/>
      <c r="CA216" s="106"/>
      <c r="CB216" s="106"/>
      <c r="CC216" s="106"/>
      <c r="CD216" s="106"/>
      <c r="CE216" s="106"/>
      <c r="CF216" s="106"/>
      <c r="CG216" s="106"/>
      <c r="CH216" s="106"/>
      <c r="CI216" s="106"/>
      <c r="CK216" s="11"/>
      <c r="CM216" s="11"/>
      <c r="EX216" s="10" t="str">
        <f t="shared" si="186"/>
        <v/>
      </c>
    </row>
    <row r="217" spans="1:154" x14ac:dyDescent="0.35">
      <c r="B217" t="str">
        <f ca="1">Loans!B$24</f>
        <v>Loan 12</v>
      </c>
      <c r="D217" s="51">
        <f>Loans!D$24</f>
        <v>0</v>
      </c>
      <c r="E217" s="117" t="str">
        <f>IF(Loans!R$24=0, "", Loans!R$24)</f>
        <v/>
      </c>
      <c r="F217" s="10">
        <f>IFERROR(INDEX(Parameters!$F$80:$F$84, MATCH(Loans!S24, Parameters!$D$80:$D$84,0)), 0)</f>
        <v>0</v>
      </c>
      <c r="V217" s="106"/>
      <c r="W217" s="106"/>
      <c r="X217" s="106"/>
      <c r="Y217" s="106"/>
      <c r="AA217" s="38">
        <f>IF(OR($F217=0,AA194=0), 0, IF(OR(AA194=1, $F217= Parameters!$F$80, MOD(AA194,$F217)=0, AA125=1), 1, 0))</f>
        <v>0</v>
      </c>
      <c r="AB217" s="38">
        <f>IF(OR($F217=0,AB194=0), 0, IF(OR(AB194=1, $F217= Parameters!$F$80, MOD(AB194,$F217)=0, AB125=1), 1, 0))</f>
        <v>0</v>
      </c>
      <c r="AC217" s="38">
        <f>IF(OR($F217=0,AC194=0), 0, IF(OR(AC194=1, $F217= Parameters!$F$80, MOD(AC194,$F217)=0, AC125=1), 1, 0))</f>
        <v>0</v>
      </c>
      <c r="AD217" s="38">
        <f>IF(OR($F217=0,AD194=0), 0, IF(OR(AD194=1, $F217= Parameters!$F$80, MOD(AD194,$F217)=0, AD125=1), 1, 0))</f>
        <v>0</v>
      </c>
      <c r="AE217" s="38">
        <f>IF(OR($F217=0,AE194=0), 0, IF(OR(AE194=1, $F217= Parameters!$F$80, MOD(AE194,$F217)=0, AE125=1), 1, 0))</f>
        <v>0</v>
      </c>
      <c r="AF217" s="38">
        <f>IF(OR($F217=0,AF194=0), 0, IF(OR(AF194=1, $F217= Parameters!$F$80, MOD(AF194,$F217)=0, AF125=1), 1, 0))</f>
        <v>0</v>
      </c>
      <c r="AG217" s="38">
        <f>IF(OR($F217=0,AG194=0), 0, IF(OR(AG194=1, $F217= Parameters!$F$80, MOD(AG194,$F217)=0, AG125=1), 1, 0))</f>
        <v>0</v>
      </c>
      <c r="AH217" s="38">
        <f>IF(OR($F217=0,AH194=0), 0, IF(OR(AH194=1, $F217= Parameters!$F$80, MOD(AH194,$F217)=0, AH125=1), 1, 0))</f>
        <v>0</v>
      </c>
      <c r="AI217" s="38">
        <f>IF(OR($F217=0,AI194=0), 0, IF(OR(AI194=1, $F217= Parameters!$F$80, MOD(AI194,$F217)=0, AI125=1), 1, 0))</f>
        <v>0</v>
      </c>
      <c r="AJ217" s="38">
        <f>IF(OR($F217=0,AJ194=0), 0, IF(OR(AJ194=1, $F217= Parameters!$F$80, MOD(AJ194,$F217)=0, AJ125=1), 1, 0))</f>
        <v>0</v>
      </c>
      <c r="AK217" s="38">
        <f>IF(OR($F217=0,AK194=0), 0, IF(OR(AK194=1, $F217= Parameters!$F$80, MOD(AK194,$F217)=0, AK125=1), 1, 0))</f>
        <v>0</v>
      </c>
      <c r="AL217" s="38">
        <f>IF(OR($F217=0,AL194=0), 0, IF(OR(AL194=1, $F217= Parameters!$F$80, MOD(AL194,$F217)=0, AL125=1), 1, 0))</f>
        <v>0</v>
      </c>
      <c r="AM217" s="38">
        <f>IF(OR($F217=0,AM194=0), 0, IF(OR(AM194=1, $F217= Parameters!$F$80, MOD(AM194,$F217)=0, AM125=1), 1, 0))</f>
        <v>0</v>
      </c>
      <c r="AN217" s="38">
        <f>IF(OR($F217=0,AN194=0), 0, IF(OR(AN194=1, $F217= Parameters!$F$80, MOD(AN194,$F217)=0, AN125=1), 1, 0))</f>
        <v>0</v>
      </c>
      <c r="AO217" s="38">
        <f>IF(OR($F217=0,AO194=0), 0, IF(OR(AO194=1, $F217= Parameters!$F$80, MOD(AO194,$F217)=0, AO125=1), 1, 0))</f>
        <v>0</v>
      </c>
      <c r="AP217" s="38">
        <f>IF(OR($F217=0,AP194=0), 0, IF(OR(AP194=1, $F217= Parameters!$F$80, MOD(AP194,$F217)=0, AP125=1), 1, 0))</f>
        <v>0</v>
      </c>
      <c r="AQ217" s="38">
        <f>IF(OR($F217=0,AQ194=0), 0, IF(OR(AQ194=1, $F217= Parameters!$F$80, MOD(AQ194,$F217)=0, AQ125=1), 1, 0))</f>
        <v>0</v>
      </c>
      <c r="AR217" s="38">
        <f>IF(OR($F217=0,AR194=0), 0, IF(OR(AR194=1, $F217= Parameters!$F$80, MOD(AR194,$F217)=0, AR125=1), 1, 0))</f>
        <v>0</v>
      </c>
      <c r="AS217" s="38">
        <f>IF(OR($F217=0,AS194=0), 0, IF(OR(AS194=1, $F217= Parameters!$F$80, MOD(AS194,$F217)=0, AS125=1), 1, 0))</f>
        <v>0</v>
      </c>
      <c r="AT217" s="38">
        <f>IF(OR($F217=0,AT194=0), 0, IF(OR(AT194=1, $F217= Parameters!$F$80, MOD(AT194,$F217)=0, AT125=1), 1, 0))</f>
        <v>0</v>
      </c>
      <c r="AU217" s="38">
        <f>IF(OR($F217=0,AU194=0), 0, IF(OR(AU194=1, $F217= Parameters!$F$80, MOD(AU194,$F217)=0, AU125=1), 1, 0))</f>
        <v>0</v>
      </c>
      <c r="AV217" s="38">
        <f>IF(OR($F217=0,AV194=0), 0, IF(OR(AV194=1, $F217= Parameters!$F$80, MOD(AV194,$F217)=0, AV125=1), 1, 0))</f>
        <v>0</v>
      </c>
      <c r="AW217" s="38">
        <f>IF(OR($F217=0,AW194=0), 0, IF(OR(AW194=1, $F217= Parameters!$F$80, MOD(AW194,$F217)=0, AW125=1), 1, 0))</f>
        <v>0</v>
      </c>
      <c r="AX217" s="38">
        <f>IF(OR($F217=0,AX194=0), 0, IF(OR(AX194=1, $F217= Parameters!$F$80, MOD(AX194,$F217)=0, AX125=1), 1, 0))</f>
        <v>0</v>
      </c>
      <c r="AY217" s="38">
        <f>IF(OR($F217=0,AY194=0), 0, IF(OR(AY194=1, $F217= Parameters!$F$80, MOD(AY194,$F217)=0, AY125=1), 1, 0))</f>
        <v>0</v>
      </c>
      <c r="AZ217" s="38">
        <f>IF(OR($F217=0,AZ194=0), 0, IF(OR(AZ194=1, $F217= Parameters!$F$80, MOD(AZ194,$F217)=0, AZ125=1), 1, 0))</f>
        <v>0</v>
      </c>
      <c r="BA217" s="38">
        <f>IF(OR($F217=0,BA194=0), 0, IF(OR(BA194=1, $F217= Parameters!$F$80, MOD(BA194,$F217)=0, BA125=1), 1, 0))</f>
        <v>0</v>
      </c>
      <c r="BB217" s="38">
        <f>IF(OR($F217=0,BB194=0), 0, IF(OR(BB194=1, $F217= Parameters!$F$80, MOD(BB194,$F217)=0, BB125=1), 1, 0))</f>
        <v>0</v>
      </c>
      <c r="BC217" s="38">
        <f>IF(OR($F217=0,BC194=0), 0, IF(OR(BC194=1, $F217= Parameters!$F$80, MOD(BC194,$F217)=0, BC125=1), 1, 0))</f>
        <v>0</v>
      </c>
      <c r="BD217" s="38">
        <f>IF(OR($F217=0,BD194=0), 0, IF(OR(BD194=1, $F217= Parameters!$F$80, MOD(BD194,$F217)=0, BD125=1), 1, 0))</f>
        <v>0</v>
      </c>
      <c r="BE217" s="38">
        <f>IF(OR($F217=0,BE194=0), 0, IF(OR(BE194=1, $F217= Parameters!$F$80, MOD(BE194,$F217)=0, BE125=1), 1, 0))</f>
        <v>0</v>
      </c>
      <c r="BF217" s="38">
        <f>IF(OR($F217=0,BF194=0), 0, IF(OR(BF194=1, $F217= Parameters!$F$80, MOD(BF194,$F217)=0, BF125=1), 1, 0))</f>
        <v>0</v>
      </c>
      <c r="BG217" s="38">
        <f>IF(OR($F217=0,BG194=0), 0, IF(OR(BG194=1, $F217= Parameters!$F$80, MOD(BG194,$F217)=0, BG125=1), 1, 0))</f>
        <v>0</v>
      </c>
      <c r="BH217" s="38">
        <f>IF(OR($F217=0,BH194=0), 0, IF(OR(BH194=1, $F217= Parameters!$F$80, MOD(BH194,$F217)=0, BH125=1), 1, 0))</f>
        <v>0</v>
      </c>
      <c r="BI217" s="38">
        <f>IF(OR($F217=0,BI194=0), 0, IF(OR(BI194=1, $F217= Parameters!$F$80, MOD(BI194,$F217)=0, BI125=1), 1, 0))</f>
        <v>0</v>
      </c>
      <c r="BJ217" s="38">
        <f>IF(OR($F217=0,BJ194=0), 0, IF(OR(BJ194=1, $F217= Parameters!$F$80, MOD(BJ194,$F217)=0, BJ125=1), 1, 0))</f>
        <v>0</v>
      </c>
      <c r="BK217" s="38">
        <f>IF(OR($F217=0,BK194=0), 0, IF(OR(BK194=1, $F217= Parameters!$F$80, MOD(BK194,$F217)=0, BK125=1), 1, 0))</f>
        <v>0</v>
      </c>
      <c r="BL217" s="38">
        <f>IF(OR($F217=0,BL194=0), 0, IF(OR(BL194=1, $F217= Parameters!$F$80, MOD(BL194,$F217)=0, BL125=1), 1, 0))</f>
        <v>0</v>
      </c>
      <c r="BM217" s="38">
        <f>IF(OR($F217=0,BM194=0), 0, IF(OR(BM194=1, $F217= Parameters!$F$80, MOD(BM194,$F217)=0, BM125=1), 1, 0))</f>
        <v>0</v>
      </c>
      <c r="BN217" s="38">
        <f>IF(OR($F217=0,BN194=0), 0, IF(OR(BN194=1, $F217= Parameters!$F$80, MOD(BN194,$F217)=0, BN125=1), 1, 0))</f>
        <v>0</v>
      </c>
      <c r="BO217" s="38">
        <f>IF(OR($F217=0,BO194=0), 0, IF(OR(BO194=1, $F217= Parameters!$F$80, MOD(BO194,$F217)=0, BO125=1), 1, 0))</f>
        <v>0</v>
      </c>
      <c r="BP217" s="38">
        <f>IF(OR($F217=0,BP194=0), 0, IF(OR(BP194=1, $F217= Parameters!$F$80, MOD(BP194,$F217)=0, BP125=1), 1, 0))</f>
        <v>0</v>
      </c>
      <c r="BQ217" s="38">
        <f>IF(OR($F217=0,BQ194=0), 0, IF(OR(BQ194=1, $F217= Parameters!$F$80, MOD(BQ194,$F217)=0, BQ125=1), 1, 0))</f>
        <v>0</v>
      </c>
      <c r="BR217" s="38">
        <f>IF(OR($F217=0,BR194=0), 0, IF(OR(BR194=1, $F217= Parameters!$F$80, MOD(BR194,$F217)=0, BR125=1), 1, 0))</f>
        <v>0</v>
      </c>
      <c r="BS217" s="38">
        <f>IF(OR($F217=0,BS194=0), 0, IF(OR(BS194=1, $F217= Parameters!$F$80, MOD(BS194,$F217)=0, BS125=1), 1, 0))</f>
        <v>0</v>
      </c>
      <c r="BT217" s="38">
        <f>IF(OR($F217=0,BT194=0), 0, IF(OR(BT194=1, $F217= Parameters!$F$80, MOD(BT194,$F217)=0, BT125=1), 1, 0))</f>
        <v>0</v>
      </c>
      <c r="BU217" s="38">
        <f>IF(OR($F217=0,BU194=0), 0, IF(OR(BU194=1, $F217= Parameters!$F$80, MOD(BU194,$F217)=0, BU125=1), 1, 0))</f>
        <v>0</v>
      </c>
      <c r="BV217" s="38">
        <f>IF(OR($F217=0,BV194=0), 0, IF(OR(BV194=1, $F217= Parameters!$F$80, MOD(BV194,$F217)=0, BV125=1), 1, 0))</f>
        <v>0</v>
      </c>
      <c r="BX217" s="106"/>
      <c r="BY217" s="106"/>
      <c r="BZ217" s="106"/>
      <c r="CA217" s="106"/>
      <c r="CB217" s="106"/>
      <c r="CC217" s="106"/>
      <c r="CD217" s="106"/>
      <c r="CE217" s="106"/>
      <c r="CF217" s="106"/>
      <c r="CG217" s="106"/>
      <c r="CH217" s="106"/>
      <c r="CI217" s="106"/>
      <c r="CK217" s="11"/>
      <c r="CM217" s="11"/>
      <c r="EX217" s="10" t="str">
        <f t="shared" si="186"/>
        <v/>
      </c>
    </row>
    <row r="218" spans="1:154" x14ac:dyDescent="0.35">
      <c r="B218" t="str">
        <f ca="1">Loans!B$25</f>
        <v>Loan 13</v>
      </c>
      <c r="D218" s="51">
        <f>Loans!D$25</f>
        <v>0</v>
      </c>
      <c r="E218" s="117" t="str">
        <f>IF(Loans!R$25=0, "", Loans!R$25)</f>
        <v/>
      </c>
      <c r="F218" s="10">
        <f>IFERROR(INDEX(Parameters!$F$80:$F$84, MATCH(Loans!S25, Parameters!$D$80:$D$84,0)), 0)</f>
        <v>0</v>
      </c>
      <c r="V218" s="106"/>
      <c r="W218" s="106"/>
      <c r="X218" s="106"/>
      <c r="Y218" s="106"/>
      <c r="AA218" s="38">
        <f>IF(OR($F218=0,AA195=0), 0, IF(OR(AA195=1, $F218= Parameters!$F$80, MOD(AA195,$F218)=0, AA126=1), 1, 0))</f>
        <v>0</v>
      </c>
      <c r="AB218" s="38">
        <f>IF(OR($F218=0,AB195=0), 0, IF(OR(AB195=1, $F218= Parameters!$F$80, MOD(AB195,$F218)=0, AB126=1), 1, 0))</f>
        <v>0</v>
      </c>
      <c r="AC218" s="38">
        <f>IF(OR($F218=0,AC195=0), 0, IF(OR(AC195=1, $F218= Parameters!$F$80, MOD(AC195,$F218)=0, AC126=1), 1, 0))</f>
        <v>0</v>
      </c>
      <c r="AD218" s="38">
        <f>IF(OR($F218=0,AD195=0), 0, IF(OR(AD195=1, $F218= Parameters!$F$80, MOD(AD195,$F218)=0, AD126=1), 1, 0))</f>
        <v>0</v>
      </c>
      <c r="AE218" s="38">
        <f>IF(OR($F218=0,AE195=0), 0, IF(OR(AE195=1, $F218= Parameters!$F$80, MOD(AE195,$F218)=0, AE126=1), 1, 0))</f>
        <v>0</v>
      </c>
      <c r="AF218" s="38">
        <f>IF(OR($F218=0,AF195=0), 0, IF(OR(AF195=1, $F218= Parameters!$F$80, MOD(AF195,$F218)=0, AF126=1), 1, 0))</f>
        <v>0</v>
      </c>
      <c r="AG218" s="38">
        <f>IF(OR($F218=0,AG195=0), 0, IF(OR(AG195=1, $F218= Parameters!$F$80, MOD(AG195,$F218)=0, AG126=1), 1, 0))</f>
        <v>0</v>
      </c>
      <c r="AH218" s="38">
        <f>IF(OR($F218=0,AH195=0), 0, IF(OR(AH195=1, $F218= Parameters!$F$80, MOD(AH195,$F218)=0, AH126=1), 1, 0))</f>
        <v>0</v>
      </c>
      <c r="AI218" s="38">
        <f>IF(OR($F218=0,AI195=0), 0, IF(OR(AI195=1, $F218= Parameters!$F$80, MOD(AI195,$F218)=0, AI126=1), 1, 0))</f>
        <v>0</v>
      </c>
      <c r="AJ218" s="38">
        <f>IF(OR($F218=0,AJ195=0), 0, IF(OR(AJ195=1, $F218= Parameters!$F$80, MOD(AJ195,$F218)=0, AJ126=1), 1, 0))</f>
        <v>0</v>
      </c>
      <c r="AK218" s="38">
        <f>IF(OR($F218=0,AK195=0), 0, IF(OR(AK195=1, $F218= Parameters!$F$80, MOD(AK195,$F218)=0, AK126=1), 1, 0))</f>
        <v>0</v>
      </c>
      <c r="AL218" s="38">
        <f>IF(OR($F218=0,AL195=0), 0, IF(OR(AL195=1, $F218= Parameters!$F$80, MOD(AL195,$F218)=0, AL126=1), 1, 0))</f>
        <v>0</v>
      </c>
      <c r="AM218" s="38">
        <f>IF(OR($F218=0,AM195=0), 0, IF(OR(AM195=1, $F218= Parameters!$F$80, MOD(AM195,$F218)=0, AM126=1), 1, 0))</f>
        <v>0</v>
      </c>
      <c r="AN218" s="38">
        <f>IF(OR($F218=0,AN195=0), 0, IF(OR(AN195=1, $F218= Parameters!$F$80, MOD(AN195,$F218)=0, AN126=1), 1, 0))</f>
        <v>0</v>
      </c>
      <c r="AO218" s="38">
        <f>IF(OR($F218=0,AO195=0), 0, IF(OR(AO195=1, $F218= Parameters!$F$80, MOD(AO195,$F218)=0, AO126=1), 1, 0))</f>
        <v>0</v>
      </c>
      <c r="AP218" s="38">
        <f>IF(OR($F218=0,AP195=0), 0, IF(OR(AP195=1, $F218= Parameters!$F$80, MOD(AP195,$F218)=0, AP126=1), 1, 0))</f>
        <v>0</v>
      </c>
      <c r="AQ218" s="38">
        <f>IF(OR($F218=0,AQ195=0), 0, IF(OR(AQ195=1, $F218= Parameters!$F$80, MOD(AQ195,$F218)=0, AQ126=1), 1, 0))</f>
        <v>0</v>
      </c>
      <c r="AR218" s="38">
        <f>IF(OR($F218=0,AR195=0), 0, IF(OR(AR195=1, $F218= Parameters!$F$80, MOD(AR195,$F218)=0, AR126=1), 1, 0))</f>
        <v>0</v>
      </c>
      <c r="AS218" s="38">
        <f>IF(OR($F218=0,AS195=0), 0, IF(OR(AS195=1, $F218= Parameters!$F$80, MOD(AS195,$F218)=0, AS126=1), 1, 0))</f>
        <v>0</v>
      </c>
      <c r="AT218" s="38">
        <f>IF(OR($F218=0,AT195=0), 0, IF(OR(AT195=1, $F218= Parameters!$F$80, MOD(AT195,$F218)=0, AT126=1), 1, 0))</f>
        <v>0</v>
      </c>
      <c r="AU218" s="38">
        <f>IF(OR($F218=0,AU195=0), 0, IF(OR(AU195=1, $F218= Parameters!$F$80, MOD(AU195,$F218)=0, AU126=1), 1, 0))</f>
        <v>0</v>
      </c>
      <c r="AV218" s="38">
        <f>IF(OR($F218=0,AV195=0), 0, IF(OR(AV195=1, $F218= Parameters!$F$80, MOD(AV195,$F218)=0, AV126=1), 1, 0))</f>
        <v>0</v>
      </c>
      <c r="AW218" s="38">
        <f>IF(OR($F218=0,AW195=0), 0, IF(OR(AW195=1, $F218= Parameters!$F$80, MOD(AW195,$F218)=0, AW126=1), 1, 0))</f>
        <v>0</v>
      </c>
      <c r="AX218" s="38">
        <f>IF(OR($F218=0,AX195=0), 0, IF(OR(AX195=1, $F218= Parameters!$F$80, MOD(AX195,$F218)=0, AX126=1), 1, 0))</f>
        <v>0</v>
      </c>
      <c r="AY218" s="38">
        <f>IF(OR($F218=0,AY195=0), 0, IF(OR(AY195=1, $F218= Parameters!$F$80, MOD(AY195,$F218)=0, AY126=1), 1, 0))</f>
        <v>0</v>
      </c>
      <c r="AZ218" s="38">
        <f>IF(OR($F218=0,AZ195=0), 0, IF(OR(AZ195=1, $F218= Parameters!$F$80, MOD(AZ195,$F218)=0, AZ126=1), 1, 0))</f>
        <v>0</v>
      </c>
      <c r="BA218" s="38">
        <f>IF(OR($F218=0,BA195=0), 0, IF(OR(BA195=1, $F218= Parameters!$F$80, MOD(BA195,$F218)=0, BA126=1), 1, 0))</f>
        <v>0</v>
      </c>
      <c r="BB218" s="38">
        <f>IF(OR($F218=0,BB195=0), 0, IF(OR(BB195=1, $F218= Parameters!$F$80, MOD(BB195,$F218)=0, BB126=1), 1, 0))</f>
        <v>0</v>
      </c>
      <c r="BC218" s="38">
        <f>IF(OR($F218=0,BC195=0), 0, IF(OR(BC195=1, $F218= Parameters!$F$80, MOD(BC195,$F218)=0, BC126=1), 1, 0))</f>
        <v>0</v>
      </c>
      <c r="BD218" s="38">
        <f>IF(OR($F218=0,BD195=0), 0, IF(OR(BD195=1, $F218= Parameters!$F$80, MOD(BD195,$F218)=0, BD126=1), 1, 0))</f>
        <v>0</v>
      </c>
      <c r="BE218" s="38">
        <f>IF(OR($F218=0,BE195=0), 0, IF(OR(BE195=1, $F218= Parameters!$F$80, MOD(BE195,$F218)=0, BE126=1), 1, 0))</f>
        <v>0</v>
      </c>
      <c r="BF218" s="38">
        <f>IF(OR($F218=0,BF195=0), 0, IF(OR(BF195=1, $F218= Parameters!$F$80, MOD(BF195,$F218)=0, BF126=1), 1, 0))</f>
        <v>0</v>
      </c>
      <c r="BG218" s="38">
        <f>IF(OR($F218=0,BG195=0), 0, IF(OR(BG195=1, $F218= Parameters!$F$80, MOD(BG195,$F218)=0, BG126=1), 1, 0))</f>
        <v>0</v>
      </c>
      <c r="BH218" s="38">
        <f>IF(OR($F218=0,BH195=0), 0, IF(OR(BH195=1, $F218= Parameters!$F$80, MOD(BH195,$F218)=0, BH126=1), 1, 0))</f>
        <v>0</v>
      </c>
      <c r="BI218" s="38">
        <f>IF(OR($F218=0,BI195=0), 0, IF(OR(BI195=1, $F218= Parameters!$F$80, MOD(BI195,$F218)=0, BI126=1), 1, 0))</f>
        <v>0</v>
      </c>
      <c r="BJ218" s="38">
        <f>IF(OR($F218=0,BJ195=0), 0, IF(OR(BJ195=1, $F218= Parameters!$F$80, MOD(BJ195,$F218)=0, BJ126=1), 1, 0))</f>
        <v>0</v>
      </c>
      <c r="BK218" s="38">
        <f>IF(OR($F218=0,BK195=0), 0, IF(OR(BK195=1, $F218= Parameters!$F$80, MOD(BK195,$F218)=0, BK126=1), 1, 0))</f>
        <v>0</v>
      </c>
      <c r="BL218" s="38">
        <f>IF(OR($F218=0,BL195=0), 0, IF(OR(BL195=1, $F218= Parameters!$F$80, MOD(BL195,$F218)=0, BL126=1), 1, 0))</f>
        <v>0</v>
      </c>
      <c r="BM218" s="38">
        <f>IF(OR($F218=0,BM195=0), 0, IF(OR(BM195=1, $F218= Parameters!$F$80, MOD(BM195,$F218)=0, BM126=1), 1, 0))</f>
        <v>0</v>
      </c>
      <c r="BN218" s="38">
        <f>IF(OR($F218=0,BN195=0), 0, IF(OR(BN195=1, $F218= Parameters!$F$80, MOD(BN195,$F218)=0, BN126=1), 1, 0))</f>
        <v>0</v>
      </c>
      <c r="BO218" s="38">
        <f>IF(OR($F218=0,BO195=0), 0, IF(OR(BO195=1, $F218= Parameters!$F$80, MOD(BO195,$F218)=0, BO126=1), 1, 0))</f>
        <v>0</v>
      </c>
      <c r="BP218" s="38">
        <f>IF(OR($F218=0,BP195=0), 0, IF(OR(BP195=1, $F218= Parameters!$F$80, MOD(BP195,$F218)=0, BP126=1), 1, 0))</f>
        <v>0</v>
      </c>
      <c r="BQ218" s="38">
        <f>IF(OR($F218=0,BQ195=0), 0, IF(OR(BQ195=1, $F218= Parameters!$F$80, MOD(BQ195,$F218)=0, BQ126=1), 1, 0))</f>
        <v>0</v>
      </c>
      <c r="BR218" s="38">
        <f>IF(OR($F218=0,BR195=0), 0, IF(OR(BR195=1, $F218= Parameters!$F$80, MOD(BR195,$F218)=0, BR126=1), 1, 0))</f>
        <v>0</v>
      </c>
      <c r="BS218" s="38">
        <f>IF(OR($F218=0,BS195=0), 0, IF(OR(BS195=1, $F218= Parameters!$F$80, MOD(BS195,$F218)=0, BS126=1), 1, 0))</f>
        <v>0</v>
      </c>
      <c r="BT218" s="38">
        <f>IF(OR($F218=0,BT195=0), 0, IF(OR(BT195=1, $F218= Parameters!$F$80, MOD(BT195,$F218)=0, BT126=1), 1, 0))</f>
        <v>0</v>
      </c>
      <c r="BU218" s="38">
        <f>IF(OR($F218=0,BU195=0), 0, IF(OR(BU195=1, $F218= Parameters!$F$80, MOD(BU195,$F218)=0, BU126=1), 1, 0))</f>
        <v>0</v>
      </c>
      <c r="BV218" s="38">
        <f>IF(OR($F218=0,BV195=0), 0, IF(OR(BV195=1, $F218= Parameters!$F$80, MOD(BV195,$F218)=0, BV126=1), 1, 0))</f>
        <v>0</v>
      </c>
      <c r="BX218" s="106"/>
      <c r="BY218" s="106"/>
      <c r="BZ218" s="106"/>
      <c r="CA218" s="106"/>
      <c r="CB218" s="106"/>
      <c r="CC218" s="106"/>
      <c r="CD218" s="106"/>
      <c r="CE218" s="106"/>
      <c r="CF218" s="106"/>
      <c r="CG218" s="106"/>
      <c r="CH218" s="106"/>
      <c r="CI218" s="106"/>
      <c r="CK218" s="11"/>
      <c r="CM218" s="11"/>
      <c r="EX218" s="10" t="str">
        <f t="shared" si="186"/>
        <v/>
      </c>
    </row>
    <row r="219" spans="1:154" x14ac:dyDescent="0.35">
      <c r="B219" t="str">
        <f ca="1">Loans!B$26</f>
        <v>Loan 14</v>
      </c>
      <c r="D219" s="51">
        <f>Loans!D$26</f>
        <v>0</v>
      </c>
      <c r="E219" s="117" t="str">
        <f>IF(Loans!R$26=0, "", Loans!R$26)</f>
        <v/>
      </c>
      <c r="F219" s="10">
        <f>IFERROR(INDEX(Parameters!$F$80:$F$84, MATCH(Loans!S26, Parameters!$D$80:$D$84,0)), 0)</f>
        <v>0</v>
      </c>
      <c r="V219" s="106"/>
      <c r="W219" s="106"/>
      <c r="X219" s="106"/>
      <c r="Y219" s="106"/>
      <c r="AA219" s="38">
        <f>IF(OR($F219=0,AA196=0), 0, IF(OR(AA196=1, $F219= Parameters!$F$80, MOD(AA196,$F219)=0, AA127=1), 1, 0))</f>
        <v>0</v>
      </c>
      <c r="AB219" s="38">
        <f>IF(OR($F219=0,AB196=0), 0, IF(OR(AB196=1, $F219= Parameters!$F$80, MOD(AB196,$F219)=0, AB127=1), 1, 0))</f>
        <v>0</v>
      </c>
      <c r="AC219" s="38">
        <f>IF(OR($F219=0,AC196=0), 0, IF(OR(AC196=1, $F219= Parameters!$F$80, MOD(AC196,$F219)=0, AC127=1), 1, 0))</f>
        <v>0</v>
      </c>
      <c r="AD219" s="38">
        <f>IF(OR($F219=0,AD196=0), 0, IF(OR(AD196=1, $F219= Parameters!$F$80, MOD(AD196,$F219)=0, AD127=1), 1, 0))</f>
        <v>0</v>
      </c>
      <c r="AE219" s="38">
        <f>IF(OR($F219=0,AE196=0), 0, IF(OR(AE196=1, $F219= Parameters!$F$80, MOD(AE196,$F219)=0, AE127=1), 1, 0))</f>
        <v>0</v>
      </c>
      <c r="AF219" s="38">
        <f>IF(OR($F219=0,AF196=0), 0, IF(OR(AF196=1, $F219= Parameters!$F$80, MOD(AF196,$F219)=0, AF127=1), 1, 0))</f>
        <v>0</v>
      </c>
      <c r="AG219" s="38">
        <f>IF(OR($F219=0,AG196=0), 0, IF(OR(AG196=1, $F219= Parameters!$F$80, MOD(AG196,$F219)=0, AG127=1), 1, 0))</f>
        <v>0</v>
      </c>
      <c r="AH219" s="38">
        <f>IF(OR($F219=0,AH196=0), 0, IF(OR(AH196=1, $F219= Parameters!$F$80, MOD(AH196,$F219)=0, AH127=1), 1, 0))</f>
        <v>0</v>
      </c>
      <c r="AI219" s="38">
        <f>IF(OR($F219=0,AI196=0), 0, IF(OR(AI196=1, $F219= Parameters!$F$80, MOD(AI196,$F219)=0, AI127=1), 1, 0))</f>
        <v>0</v>
      </c>
      <c r="AJ219" s="38">
        <f>IF(OR($F219=0,AJ196=0), 0, IF(OR(AJ196=1, $F219= Parameters!$F$80, MOD(AJ196,$F219)=0, AJ127=1), 1, 0))</f>
        <v>0</v>
      </c>
      <c r="AK219" s="38">
        <f>IF(OR($F219=0,AK196=0), 0, IF(OR(AK196=1, $F219= Parameters!$F$80, MOD(AK196,$F219)=0, AK127=1), 1, 0))</f>
        <v>0</v>
      </c>
      <c r="AL219" s="38">
        <f>IF(OR($F219=0,AL196=0), 0, IF(OR(AL196=1, $F219= Parameters!$F$80, MOD(AL196,$F219)=0, AL127=1), 1, 0))</f>
        <v>0</v>
      </c>
      <c r="AM219" s="38">
        <f>IF(OR($F219=0,AM196=0), 0, IF(OR(AM196=1, $F219= Parameters!$F$80, MOD(AM196,$F219)=0, AM127=1), 1, 0))</f>
        <v>0</v>
      </c>
      <c r="AN219" s="38">
        <f>IF(OR($F219=0,AN196=0), 0, IF(OR(AN196=1, $F219= Parameters!$F$80, MOD(AN196,$F219)=0, AN127=1), 1, 0))</f>
        <v>0</v>
      </c>
      <c r="AO219" s="38">
        <f>IF(OR($F219=0,AO196=0), 0, IF(OR(AO196=1, $F219= Parameters!$F$80, MOD(AO196,$F219)=0, AO127=1), 1, 0))</f>
        <v>0</v>
      </c>
      <c r="AP219" s="38">
        <f>IF(OR($F219=0,AP196=0), 0, IF(OR(AP196=1, $F219= Parameters!$F$80, MOD(AP196,$F219)=0, AP127=1), 1, 0))</f>
        <v>0</v>
      </c>
      <c r="AQ219" s="38">
        <f>IF(OR($F219=0,AQ196=0), 0, IF(OR(AQ196=1, $F219= Parameters!$F$80, MOD(AQ196,$F219)=0, AQ127=1), 1, 0))</f>
        <v>0</v>
      </c>
      <c r="AR219" s="38">
        <f>IF(OR($F219=0,AR196=0), 0, IF(OR(AR196=1, $F219= Parameters!$F$80, MOD(AR196,$F219)=0, AR127=1), 1, 0))</f>
        <v>0</v>
      </c>
      <c r="AS219" s="38">
        <f>IF(OR($F219=0,AS196=0), 0, IF(OR(AS196=1, $F219= Parameters!$F$80, MOD(AS196,$F219)=0, AS127=1), 1, 0))</f>
        <v>0</v>
      </c>
      <c r="AT219" s="38">
        <f>IF(OR($F219=0,AT196=0), 0, IF(OR(AT196=1, $F219= Parameters!$F$80, MOD(AT196,$F219)=0, AT127=1), 1, 0))</f>
        <v>0</v>
      </c>
      <c r="AU219" s="38">
        <f>IF(OR($F219=0,AU196=0), 0, IF(OR(AU196=1, $F219= Parameters!$F$80, MOD(AU196,$F219)=0, AU127=1), 1, 0))</f>
        <v>0</v>
      </c>
      <c r="AV219" s="38">
        <f>IF(OR($F219=0,AV196=0), 0, IF(OR(AV196=1, $F219= Parameters!$F$80, MOD(AV196,$F219)=0, AV127=1), 1, 0))</f>
        <v>0</v>
      </c>
      <c r="AW219" s="38">
        <f>IF(OR($F219=0,AW196=0), 0, IF(OR(AW196=1, $F219= Parameters!$F$80, MOD(AW196,$F219)=0, AW127=1), 1, 0))</f>
        <v>0</v>
      </c>
      <c r="AX219" s="38">
        <f>IF(OR($F219=0,AX196=0), 0, IF(OR(AX196=1, $F219= Parameters!$F$80, MOD(AX196,$F219)=0, AX127=1), 1, 0))</f>
        <v>0</v>
      </c>
      <c r="AY219" s="38">
        <f>IF(OR($F219=0,AY196=0), 0, IF(OR(AY196=1, $F219= Parameters!$F$80, MOD(AY196,$F219)=0, AY127=1), 1, 0))</f>
        <v>0</v>
      </c>
      <c r="AZ219" s="38">
        <f>IF(OR($F219=0,AZ196=0), 0, IF(OR(AZ196=1, $F219= Parameters!$F$80, MOD(AZ196,$F219)=0, AZ127=1), 1, 0))</f>
        <v>0</v>
      </c>
      <c r="BA219" s="38">
        <f>IF(OR($F219=0,BA196=0), 0, IF(OR(BA196=1, $F219= Parameters!$F$80, MOD(BA196,$F219)=0, BA127=1), 1, 0))</f>
        <v>0</v>
      </c>
      <c r="BB219" s="38">
        <f>IF(OR($F219=0,BB196=0), 0, IF(OR(BB196=1, $F219= Parameters!$F$80, MOD(BB196,$F219)=0, BB127=1), 1, 0))</f>
        <v>0</v>
      </c>
      <c r="BC219" s="38">
        <f>IF(OR($F219=0,BC196=0), 0, IF(OR(BC196=1, $F219= Parameters!$F$80, MOD(BC196,$F219)=0, BC127=1), 1, 0))</f>
        <v>0</v>
      </c>
      <c r="BD219" s="38">
        <f>IF(OR($F219=0,BD196=0), 0, IF(OR(BD196=1, $F219= Parameters!$F$80, MOD(BD196,$F219)=0, BD127=1), 1, 0))</f>
        <v>0</v>
      </c>
      <c r="BE219" s="38">
        <f>IF(OR($F219=0,BE196=0), 0, IF(OR(BE196=1, $F219= Parameters!$F$80, MOD(BE196,$F219)=0, BE127=1), 1, 0))</f>
        <v>0</v>
      </c>
      <c r="BF219" s="38">
        <f>IF(OR($F219=0,BF196=0), 0, IF(OR(BF196=1, $F219= Parameters!$F$80, MOD(BF196,$F219)=0, BF127=1), 1, 0))</f>
        <v>0</v>
      </c>
      <c r="BG219" s="38">
        <f>IF(OR($F219=0,BG196=0), 0, IF(OR(BG196=1, $F219= Parameters!$F$80, MOD(BG196,$F219)=0, BG127=1), 1, 0))</f>
        <v>0</v>
      </c>
      <c r="BH219" s="38">
        <f>IF(OR($F219=0,BH196=0), 0, IF(OR(BH196=1, $F219= Parameters!$F$80, MOD(BH196,$F219)=0, BH127=1), 1, 0))</f>
        <v>0</v>
      </c>
      <c r="BI219" s="38">
        <f>IF(OR($F219=0,BI196=0), 0, IF(OR(BI196=1, $F219= Parameters!$F$80, MOD(BI196,$F219)=0, BI127=1), 1, 0))</f>
        <v>0</v>
      </c>
      <c r="BJ219" s="38">
        <f>IF(OR($F219=0,BJ196=0), 0, IF(OR(BJ196=1, $F219= Parameters!$F$80, MOD(BJ196,$F219)=0, BJ127=1), 1, 0))</f>
        <v>0</v>
      </c>
      <c r="BK219" s="38">
        <f>IF(OR($F219=0,BK196=0), 0, IF(OR(BK196=1, $F219= Parameters!$F$80, MOD(BK196,$F219)=0, BK127=1), 1, 0))</f>
        <v>0</v>
      </c>
      <c r="BL219" s="38">
        <f>IF(OR($F219=0,BL196=0), 0, IF(OR(BL196=1, $F219= Parameters!$F$80, MOD(BL196,$F219)=0, BL127=1), 1, 0))</f>
        <v>0</v>
      </c>
      <c r="BM219" s="38">
        <f>IF(OR($F219=0,BM196=0), 0, IF(OR(BM196=1, $F219= Parameters!$F$80, MOD(BM196,$F219)=0, BM127=1), 1, 0))</f>
        <v>0</v>
      </c>
      <c r="BN219" s="38">
        <f>IF(OR($F219=0,BN196=0), 0, IF(OR(BN196=1, $F219= Parameters!$F$80, MOD(BN196,$F219)=0, BN127=1), 1, 0))</f>
        <v>0</v>
      </c>
      <c r="BO219" s="38">
        <f>IF(OR($F219=0,BO196=0), 0, IF(OR(BO196=1, $F219= Parameters!$F$80, MOD(BO196,$F219)=0, BO127=1), 1, 0))</f>
        <v>0</v>
      </c>
      <c r="BP219" s="38">
        <f>IF(OR($F219=0,BP196=0), 0, IF(OR(BP196=1, $F219= Parameters!$F$80, MOD(BP196,$F219)=0, BP127=1), 1, 0))</f>
        <v>0</v>
      </c>
      <c r="BQ219" s="38">
        <f>IF(OR($F219=0,BQ196=0), 0, IF(OR(BQ196=1, $F219= Parameters!$F$80, MOD(BQ196,$F219)=0, BQ127=1), 1, 0))</f>
        <v>0</v>
      </c>
      <c r="BR219" s="38">
        <f>IF(OR($F219=0,BR196=0), 0, IF(OR(BR196=1, $F219= Parameters!$F$80, MOD(BR196,$F219)=0, BR127=1), 1, 0))</f>
        <v>0</v>
      </c>
      <c r="BS219" s="38">
        <f>IF(OR($F219=0,BS196=0), 0, IF(OR(BS196=1, $F219= Parameters!$F$80, MOD(BS196,$F219)=0, BS127=1), 1, 0))</f>
        <v>0</v>
      </c>
      <c r="BT219" s="38">
        <f>IF(OR($F219=0,BT196=0), 0, IF(OR(BT196=1, $F219= Parameters!$F$80, MOD(BT196,$F219)=0, BT127=1), 1, 0))</f>
        <v>0</v>
      </c>
      <c r="BU219" s="38">
        <f>IF(OR($F219=0,BU196=0), 0, IF(OR(BU196=1, $F219= Parameters!$F$80, MOD(BU196,$F219)=0, BU127=1), 1, 0))</f>
        <v>0</v>
      </c>
      <c r="BV219" s="38">
        <f>IF(OR($F219=0,BV196=0), 0, IF(OR(BV196=1, $F219= Parameters!$F$80, MOD(BV196,$F219)=0, BV127=1), 1, 0))</f>
        <v>0</v>
      </c>
      <c r="BX219" s="106"/>
      <c r="BY219" s="106"/>
      <c r="BZ219" s="106"/>
      <c r="CA219" s="106"/>
      <c r="CB219" s="106"/>
      <c r="CC219" s="106"/>
      <c r="CD219" s="106"/>
      <c r="CE219" s="106"/>
      <c r="CF219" s="106"/>
      <c r="CG219" s="106"/>
      <c r="CH219" s="106"/>
      <c r="CI219" s="106"/>
      <c r="CK219" s="11"/>
      <c r="CM219" s="11"/>
      <c r="EX219" s="10" t="str">
        <f t="shared" si="186"/>
        <v/>
      </c>
    </row>
    <row r="220" spans="1:154" x14ac:dyDescent="0.35">
      <c r="B220" t="str">
        <f ca="1">Loans!B$27</f>
        <v>Loan 15</v>
      </c>
      <c r="D220" s="51">
        <f>Loans!D$27</f>
        <v>0</v>
      </c>
      <c r="E220" s="117" t="str">
        <f>IF(Loans!R$27=0, "", Loans!R$27)</f>
        <v/>
      </c>
      <c r="F220" s="10">
        <f>IFERROR(INDEX(Parameters!$F$80:$F$84, MATCH(Loans!S27, Parameters!$D$80:$D$84,0)), 0)</f>
        <v>0</v>
      </c>
      <c r="V220" s="106"/>
      <c r="W220" s="106"/>
      <c r="X220" s="106"/>
      <c r="Y220" s="106"/>
      <c r="AA220" s="38">
        <f>IF(OR($F220=0,AA197=0), 0, IF(OR(AA197=1, $F220= Parameters!$F$80, MOD(AA197,$F220)=0, AA128=1), 1, 0))</f>
        <v>0</v>
      </c>
      <c r="AB220" s="38">
        <f>IF(OR($F220=0,AB197=0), 0, IF(OR(AB197=1, $F220= Parameters!$F$80, MOD(AB197,$F220)=0, AB128=1), 1, 0))</f>
        <v>0</v>
      </c>
      <c r="AC220" s="38">
        <f>IF(OR($F220=0,AC197=0), 0, IF(OR(AC197=1, $F220= Parameters!$F$80, MOD(AC197,$F220)=0, AC128=1), 1, 0))</f>
        <v>0</v>
      </c>
      <c r="AD220" s="38">
        <f>IF(OR($F220=0,AD197=0), 0, IF(OR(AD197=1, $F220= Parameters!$F$80, MOD(AD197,$F220)=0, AD128=1), 1, 0))</f>
        <v>0</v>
      </c>
      <c r="AE220" s="38">
        <f>IF(OR($F220=0,AE197=0), 0, IF(OR(AE197=1, $F220= Parameters!$F$80, MOD(AE197,$F220)=0, AE128=1), 1, 0))</f>
        <v>0</v>
      </c>
      <c r="AF220" s="38">
        <f>IF(OR($F220=0,AF197=0), 0, IF(OR(AF197=1, $F220= Parameters!$F$80, MOD(AF197,$F220)=0, AF128=1), 1, 0))</f>
        <v>0</v>
      </c>
      <c r="AG220" s="38">
        <f>IF(OR($F220=0,AG197=0), 0, IF(OR(AG197=1, $F220= Parameters!$F$80, MOD(AG197,$F220)=0, AG128=1), 1, 0))</f>
        <v>0</v>
      </c>
      <c r="AH220" s="38">
        <f>IF(OR($F220=0,AH197=0), 0, IF(OR(AH197=1, $F220= Parameters!$F$80, MOD(AH197,$F220)=0, AH128=1), 1, 0))</f>
        <v>0</v>
      </c>
      <c r="AI220" s="38">
        <f>IF(OR($F220=0,AI197=0), 0, IF(OR(AI197=1, $F220= Parameters!$F$80, MOD(AI197,$F220)=0, AI128=1), 1, 0))</f>
        <v>0</v>
      </c>
      <c r="AJ220" s="38">
        <f>IF(OR($F220=0,AJ197=0), 0, IF(OR(AJ197=1, $F220= Parameters!$F$80, MOD(AJ197,$F220)=0, AJ128=1), 1, 0))</f>
        <v>0</v>
      </c>
      <c r="AK220" s="38">
        <f>IF(OR($F220=0,AK197=0), 0, IF(OR(AK197=1, $F220= Parameters!$F$80, MOD(AK197,$F220)=0, AK128=1), 1, 0))</f>
        <v>0</v>
      </c>
      <c r="AL220" s="38">
        <f>IF(OR($F220=0,AL197=0), 0, IF(OR(AL197=1, $F220= Parameters!$F$80, MOD(AL197,$F220)=0, AL128=1), 1, 0))</f>
        <v>0</v>
      </c>
      <c r="AM220" s="38">
        <f>IF(OR($F220=0,AM197=0), 0, IF(OR(AM197=1, $F220= Parameters!$F$80, MOD(AM197,$F220)=0, AM128=1), 1, 0))</f>
        <v>0</v>
      </c>
      <c r="AN220" s="38">
        <f>IF(OR($F220=0,AN197=0), 0, IF(OR(AN197=1, $F220= Parameters!$F$80, MOD(AN197,$F220)=0, AN128=1), 1, 0))</f>
        <v>0</v>
      </c>
      <c r="AO220" s="38">
        <f>IF(OR($F220=0,AO197=0), 0, IF(OR(AO197=1, $F220= Parameters!$F$80, MOD(AO197,$F220)=0, AO128=1), 1, 0))</f>
        <v>0</v>
      </c>
      <c r="AP220" s="38">
        <f>IF(OR($F220=0,AP197=0), 0, IF(OR(AP197=1, $F220= Parameters!$F$80, MOD(AP197,$F220)=0, AP128=1), 1, 0))</f>
        <v>0</v>
      </c>
      <c r="AQ220" s="38">
        <f>IF(OR($F220=0,AQ197=0), 0, IF(OR(AQ197=1, $F220= Parameters!$F$80, MOD(AQ197,$F220)=0, AQ128=1), 1, 0))</f>
        <v>0</v>
      </c>
      <c r="AR220" s="38">
        <f>IF(OR($F220=0,AR197=0), 0, IF(OR(AR197=1, $F220= Parameters!$F$80, MOD(AR197,$F220)=0, AR128=1), 1, 0))</f>
        <v>0</v>
      </c>
      <c r="AS220" s="38">
        <f>IF(OR($F220=0,AS197=0), 0, IF(OR(AS197=1, $F220= Parameters!$F$80, MOD(AS197,$F220)=0, AS128=1), 1, 0))</f>
        <v>0</v>
      </c>
      <c r="AT220" s="38">
        <f>IF(OR($F220=0,AT197=0), 0, IF(OR(AT197=1, $F220= Parameters!$F$80, MOD(AT197,$F220)=0, AT128=1), 1, 0))</f>
        <v>0</v>
      </c>
      <c r="AU220" s="38">
        <f>IF(OR($F220=0,AU197=0), 0, IF(OR(AU197=1, $F220= Parameters!$F$80, MOD(AU197,$F220)=0, AU128=1), 1, 0))</f>
        <v>0</v>
      </c>
      <c r="AV220" s="38">
        <f>IF(OR($F220=0,AV197=0), 0, IF(OR(AV197=1, $F220= Parameters!$F$80, MOD(AV197,$F220)=0, AV128=1), 1, 0))</f>
        <v>0</v>
      </c>
      <c r="AW220" s="38">
        <f>IF(OR($F220=0,AW197=0), 0, IF(OR(AW197=1, $F220= Parameters!$F$80, MOD(AW197,$F220)=0, AW128=1), 1, 0))</f>
        <v>0</v>
      </c>
      <c r="AX220" s="38">
        <f>IF(OR($F220=0,AX197=0), 0, IF(OR(AX197=1, $F220= Parameters!$F$80, MOD(AX197,$F220)=0, AX128=1), 1, 0))</f>
        <v>0</v>
      </c>
      <c r="AY220" s="38">
        <f>IF(OR($F220=0,AY197=0), 0, IF(OR(AY197=1, $F220= Parameters!$F$80, MOD(AY197,$F220)=0, AY128=1), 1, 0))</f>
        <v>0</v>
      </c>
      <c r="AZ220" s="38">
        <f>IF(OR($F220=0,AZ197=0), 0, IF(OR(AZ197=1, $F220= Parameters!$F$80, MOD(AZ197,$F220)=0, AZ128=1), 1, 0))</f>
        <v>0</v>
      </c>
      <c r="BA220" s="38">
        <f>IF(OR($F220=0,BA197=0), 0, IF(OR(BA197=1, $F220= Parameters!$F$80, MOD(BA197,$F220)=0, BA128=1), 1, 0))</f>
        <v>0</v>
      </c>
      <c r="BB220" s="38">
        <f>IF(OR($F220=0,BB197=0), 0, IF(OR(BB197=1, $F220= Parameters!$F$80, MOD(BB197,$F220)=0, BB128=1), 1, 0))</f>
        <v>0</v>
      </c>
      <c r="BC220" s="38">
        <f>IF(OR($F220=0,BC197=0), 0, IF(OR(BC197=1, $F220= Parameters!$F$80, MOD(BC197,$F220)=0, BC128=1), 1, 0))</f>
        <v>0</v>
      </c>
      <c r="BD220" s="38">
        <f>IF(OR($F220=0,BD197=0), 0, IF(OR(BD197=1, $F220= Parameters!$F$80, MOD(BD197,$F220)=0, BD128=1), 1, 0))</f>
        <v>0</v>
      </c>
      <c r="BE220" s="38">
        <f>IF(OR($F220=0,BE197=0), 0, IF(OR(BE197=1, $F220= Parameters!$F$80, MOD(BE197,$F220)=0, BE128=1), 1, 0))</f>
        <v>0</v>
      </c>
      <c r="BF220" s="38">
        <f>IF(OR($F220=0,BF197=0), 0, IF(OR(BF197=1, $F220= Parameters!$F$80, MOD(BF197,$F220)=0, BF128=1), 1, 0))</f>
        <v>0</v>
      </c>
      <c r="BG220" s="38">
        <f>IF(OR($F220=0,BG197=0), 0, IF(OR(BG197=1, $F220= Parameters!$F$80, MOD(BG197,$F220)=0, BG128=1), 1, 0))</f>
        <v>0</v>
      </c>
      <c r="BH220" s="38">
        <f>IF(OR($F220=0,BH197=0), 0, IF(OR(BH197=1, $F220= Parameters!$F$80, MOD(BH197,$F220)=0, BH128=1), 1, 0))</f>
        <v>0</v>
      </c>
      <c r="BI220" s="38">
        <f>IF(OR($F220=0,BI197=0), 0, IF(OR(BI197=1, $F220= Parameters!$F$80, MOD(BI197,$F220)=0, BI128=1), 1, 0))</f>
        <v>0</v>
      </c>
      <c r="BJ220" s="38">
        <f>IF(OR($F220=0,BJ197=0), 0, IF(OR(BJ197=1, $F220= Parameters!$F$80, MOD(BJ197,$F220)=0, BJ128=1), 1, 0))</f>
        <v>0</v>
      </c>
      <c r="BK220" s="38">
        <f>IF(OR($F220=0,BK197=0), 0, IF(OR(BK197=1, $F220= Parameters!$F$80, MOD(BK197,$F220)=0, BK128=1), 1, 0))</f>
        <v>0</v>
      </c>
      <c r="BL220" s="38">
        <f>IF(OR($F220=0,BL197=0), 0, IF(OR(BL197=1, $F220= Parameters!$F$80, MOD(BL197,$F220)=0, BL128=1), 1, 0))</f>
        <v>0</v>
      </c>
      <c r="BM220" s="38">
        <f>IF(OR($F220=0,BM197=0), 0, IF(OR(BM197=1, $F220= Parameters!$F$80, MOD(BM197,$F220)=0, BM128=1), 1, 0))</f>
        <v>0</v>
      </c>
      <c r="BN220" s="38">
        <f>IF(OR($F220=0,BN197=0), 0, IF(OR(BN197=1, $F220= Parameters!$F$80, MOD(BN197,$F220)=0, BN128=1), 1, 0))</f>
        <v>0</v>
      </c>
      <c r="BO220" s="38">
        <f>IF(OR($F220=0,BO197=0), 0, IF(OR(BO197=1, $F220= Parameters!$F$80, MOD(BO197,$F220)=0, BO128=1), 1, 0))</f>
        <v>0</v>
      </c>
      <c r="BP220" s="38">
        <f>IF(OR($F220=0,BP197=0), 0, IF(OR(BP197=1, $F220= Parameters!$F$80, MOD(BP197,$F220)=0, BP128=1), 1, 0))</f>
        <v>0</v>
      </c>
      <c r="BQ220" s="38">
        <f>IF(OR($F220=0,BQ197=0), 0, IF(OR(BQ197=1, $F220= Parameters!$F$80, MOD(BQ197,$F220)=0, BQ128=1), 1, 0))</f>
        <v>0</v>
      </c>
      <c r="BR220" s="38">
        <f>IF(OR($F220=0,BR197=0), 0, IF(OR(BR197=1, $F220= Parameters!$F$80, MOD(BR197,$F220)=0, BR128=1), 1, 0))</f>
        <v>0</v>
      </c>
      <c r="BS220" s="38">
        <f>IF(OR($F220=0,BS197=0), 0, IF(OR(BS197=1, $F220= Parameters!$F$80, MOD(BS197,$F220)=0, BS128=1), 1, 0))</f>
        <v>0</v>
      </c>
      <c r="BT220" s="38">
        <f>IF(OR($F220=0,BT197=0), 0, IF(OR(BT197=1, $F220= Parameters!$F$80, MOD(BT197,$F220)=0, BT128=1), 1, 0))</f>
        <v>0</v>
      </c>
      <c r="BU220" s="38">
        <f>IF(OR($F220=0,BU197=0), 0, IF(OR(BU197=1, $F220= Parameters!$F$80, MOD(BU197,$F220)=0, BU128=1), 1, 0))</f>
        <v>0</v>
      </c>
      <c r="BV220" s="38">
        <f>IF(OR($F220=0,BV197=0), 0, IF(OR(BV197=1, $F220= Parameters!$F$80, MOD(BV197,$F220)=0, BV128=1), 1, 0))</f>
        <v>0</v>
      </c>
      <c r="BX220" s="106"/>
      <c r="BY220" s="106"/>
      <c r="BZ220" s="106"/>
      <c r="CA220" s="106"/>
      <c r="CB220" s="106"/>
      <c r="CC220" s="106"/>
      <c r="CD220" s="106"/>
      <c r="CE220" s="106"/>
      <c r="CF220" s="106"/>
      <c r="CG220" s="106"/>
      <c r="CH220" s="106"/>
      <c r="CI220" s="106"/>
      <c r="CK220" s="11"/>
      <c r="CM220" s="11"/>
      <c r="EX220" s="10" t="str">
        <f t="shared" si="186"/>
        <v/>
      </c>
    </row>
    <row r="221" spans="1:154" x14ac:dyDescent="0.35">
      <c r="B221" t="str">
        <f ca="1">Loans!B$28</f>
        <v>Loan 16</v>
      </c>
      <c r="D221" s="51">
        <f>Loans!D$28</f>
        <v>0</v>
      </c>
      <c r="E221" s="117" t="str">
        <f>IF(Loans!R$28=0, "", Loans!R$28)</f>
        <v/>
      </c>
      <c r="F221" s="10">
        <f>IFERROR(INDEX(Parameters!$F$80:$F$84, MATCH(Loans!S28, Parameters!$D$80:$D$84,0)), 0)</f>
        <v>0</v>
      </c>
      <c r="V221" s="106"/>
      <c r="W221" s="106"/>
      <c r="X221" s="106"/>
      <c r="Y221" s="106"/>
      <c r="AA221" s="38">
        <f>IF(OR($F221=0,AA198=0), 0, IF(OR(AA198=1, $F221= Parameters!$F$80, MOD(AA198,$F221)=0, AA129=1), 1, 0))</f>
        <v>0</v>
      </c>
      <c r="AB221" s="38">
        <f>IF(OR($F221=0,AB198=0), 0, IF(OR(AB198=1, $F221= Parameters!$F$80, MOD(AB198,$F221)=0, AB129=1), 1, 0))</f>
        <v>0</v>
      </c>
      <c r="AC221" s="38">
        <f>IF(OR($F221=0,AC198=0), 0, IF(OR(AC198=1, $F221= Parameters!$F$80, MOD(AC198,$F221)=0, AC129=1), 1, 0))</f>
        <v>0</v>
      </c>
      <c r="AD221" s="38">
        <f>IF(OR($F221=0,AD198=0), 0, IF(OR(AD198=1, $F221= Parameters!$F$80, MOD(AD198,$F221)=0, AD129=1), 1, 0))</f>
        <v>0</v>
      </c>
      <c r="AE221" s="38">
        <f>IF(OR($F221=0,AE198=0), 0, IF(OR(AE198=1, $F221= Parameters!$F$80, MOD(AE198,$F221)=0, AE129=1), 1, 0))</f>
        <v>0</v>
      </c>
      <c r="AF221" s="38">
        <f>IF(OR($F221=0,AF198=0), 0, IF(OR(AF198=1, $F221= Parameters!$F$80, MOD(AF198,$F221)=0, AF129=1), 1, 0))</f>
        <v>0</v>
      </c>
      <c r="AG221" s="38">
        <f>IF(OR($F221=0,AG198=0), 0, IF(OR(AG198=1, $F221= Parameters!$F$80, MOD(AG198,$F221)=0, AG129=1), 1, 0))</f>
        <v>0</v>
      </c>
      <c r="AH221" s="38">
        <f>IF(OR($F221=0,AH198=0), 0, IF(OR(AH198=1, $F221= Parameters!$F$80, MOD(AH198,$F221)=0, AH129=1), 1, 0))</f>
        <v>0</v>
      </c>
      <c r="AI221" s="38">
        <f>IF(OR($F221=0,AI198=0), 0, IF(OR(AI198=1, $F221= Parameters!$F$80, MOD(AI198,$F221)=0, AI129=1), 1, 0))</f>
        <v>0</v>
      </c>
      <c r="AJ221" s="38">
        <f>IF(OR($F221=0,AJ198=0), 0, IF(OR(AJ198=1, $F221= Parameters!$F$80, MOD(AJ198,$F221)=0, AJ129=1), 1, 0))</f>
        <v>0</v>
      </c>
      <c r="AK221" s="38">
        <f>IF(OR($F221=0,AK198=0), 0, IF(OR(AK198=1, $F221= Parameters!$F$80, MOD(AK198,$F221)=0, AK129=1), 1, 0))</f>
        <v>0</v>
      </c>
      <c r="AL221" s="38">
        <f>IF(OR($F221=0,AL198=0), 0, IF(OR(AL198=1, $F221= Parameters!$F$80, MOD(AL198,$F221)=0, AL129=1), 1, 0))</f>
        <v>0</v>
      </c>
      <c r="AM221" s="38">
        <f>IF(OR($F221=0,AM198=0), 0, IF(OR(AM198=1, $F221= Parameters!$F$80, MOD(AM198,$F221)=0, AM129=1), 1, 0))</f>
        <v>0</v>
      </c>
      <c r="AN221" s="38">
        <f>IF(OR($F221=0,AN198=0), 0, IF(OR(AN198=1, $F221= Parameters!$F$80, MOD(AN198,$F221)=0, AN129=1), 1, 0))</f>
        <v>0</v>
      </c>
      <c r="AO221" s="38">
        <f>IF(OR($F221=0,AO198=0), 0, IF(OR(AO198=1, $F221= Parameters!$F$80, MOD(AO198,$F221)=0, AO129=1), 1, 0))</f>
        <v>0</v>
      </c>
      <c r="AP221" s="38">
        <f>IF(OR($F221=0,AP198=0), 0, IF(OR(AP198=1, $F221= Parameters!$F$80, MOD(AP198,$F221)=0, AP129=1), 1, 0))</f>
        <v>0</v>
      </c>
      <c r="AQ221" s="38">
        <f>IF(OR($F221=0,AQ198=0), 0, IF(OR(AQ198=1, $F221= Parameters!$F$80, MOD(AQ198,$F221)=0, AQ129=1), 1, 0))</f>
        <v>0</v>
      </c>
      <c r="AR221" s="38">
        <f>IF(OR($F221=0,AR198=0), 0, IF(OR(AR198=1, $F221= Parameters!$F$80, MOD(AR198,$F221)=0, AR129=1), 1, 0))</f>
        <v>0</v>
      </c>
      <c r="AS221" s="38">
        <f>IF(OR($F221=0,AS198=0), 0, IF(OR(AS198=1, $F221= Parameters!$F$80, MOD(AS198,$F221)=0, AS129=1), 1, 0))</f>
        <v>0</v>
      </c>
      <c r="AT221" s="38">
        <f>IF(OR($F221=0,AT198=0), 0, IF(OR(AT198=1, $F221= Parameters!$F$80, MOD(AT198,$F221)=0, AT129=1), 1, 0))</f>
        <v>0</v>
      </c>
      <c r="AU221" s="38">
        <f>IF(OR($F221=0,AU198=0), 0, IF(OR(AU198=1, $F221= Parameters!$F$80, MOD(AU198,$F221)=0, AU129=1), 1, 0))</f>
        <v>0</v>
      </c>
      <c r="AV221" s="38">
        <f>IF(OR($F221=0,AV198=0), 0, IF(OR(AV198=1, $F221= Parameters!$F$80, MOD(AV198,$F221)=0, AV129=1), 1, 0))</f>
        <v>0</v>
      </c>
      <c r="AW221" s="38">
        <f>IF(OR($F221=0,AW198=0), 0, IF(OR(AW198=1, $F221= Parameters!$F$80, MOD(AW198,$F221)=0, AW129=1), 1, 0))</f>
        <v>0</v>
      </c>
      <c r="AX221" s="38">
        <f>IF(OR($F221=0,AX198=0), 0, IF(OR(AX198=1, $F221= Parameters!$F$80, MOD(AX198,$F221)=0, AX129=1), 1, 0))</f>
        <v>0</v>
      </c>
      <c r="AY221" s="38">
        <f>IF(OR($F221=0,AY198=0), 0, IF(OR(AY198=1, $F221= Parameters!$F$80, MOD(AY198,$F221)=0, AY129=1), 1, 0))</f>
        <v>0</v>
      </c>
      <c r="AZ221" s="38">
        <f>IF(OR($F221=0,AZ198=0), 0, IF(OR(AZ198=1, $F221= Parameters!$F$80, MOD(AZ198,$F221)=0, AZ129=1), 1, 0))</f>
        <v>0</v>
      </c>
      <c r="BA221" s="38">
        <f>IF(OR($F221=0,BA198=0), 0, IF(OR(BA198=1, $F221= Parameters!$F$80, MOD(BA198,$F221)=0, BA129=1), 1, 0))</f>
        <v>0</v>
      </c>
      <c r="BB221" s="38">
        <f>IF(OR($F221=0,BB198=0), 0, IF(OR(BB198=1, $F221= Parameters!$F$80, MOD(BB198,$F221)=0, BB129=1), 1, 0))</f>
        <v>0</v>
      </c>
      <c r="BC221" s="38">
        <f>IF(OR($F221=0,BC198=0), 0, IF(OR(BC198=1, $F221= Parameters!$F$80, MOD(BC198,$F221)=0, BC129=1), 1, 0))</f>
        <v>0</v>
      </c>
      <c r="BD221" s="38">
        <f>IF(OR($F221=0,BD198=0), 0, IF(OR(BD198=1, $F221= Parameters!$F$80, MOD(BD198,$F221)=0, BD129=1), 1, 0))</f>
        <v>0</v>
      </c>
      <c r="BE221" s="38">
        <f>IF(OR($F221=0,BE198=0), 0, IF(OR(BE198=1, $F221= Parameters!$F$80, MOD(BE198,$F221)=0, BE129=1), 1, 0))</f>
        <v>0</v>
      </c>
      <c r="BF221" s="38">
        <f>IF(OR($F221=0,BF198=0), 0, IF(OR(BF198=1, $F221= Parameters!$F$80, MOD(BF198,$F221)=0, BF129=1), 1, 0))</f>
        <v>0</v>
      </c>
      <c r="BG221" s="38">
        <f>IF(OR($F221=0,BG198=0), 0, IF(OR(BG198=1, $F221= Parameters!$F$80, MOD(BG198,$F221)=0, BG129=1), 1, 0))</f>
        <v>0</v>
      </c>
      <c r="BH221" s="38">
        <f>IF(OR($F221=0,BH198=0), 0, IF(OR(BH198=1, $F221= Parameters!$F$80, MOD(BH198,$F221)=0, BH129=1), 1, 0))</f>
        <v>0</v>
      </c>
      <c r="BI221" s="38">
        <f>IF(OR($F221=0,BI198=0), 0, IF(OR(BI198=1, $F221= Parameters!$F$80, MOD(BI198,$F221)=0, BI129=1), 1, 0))</f>
        <v>0</v>
      </c>
      <c r="BJ221" s="38">
        <f>IF(OR($F221=0,BJ198=0), 0, IF(OR(BJ198=1, $F221= Parameters!$F$80, MOD(BJ198,$F221)=0, BJ129=1), 1, 0))</f>
        <v>0</v>
      </c>
      <c r="BK221" s="38">
        <f>IF(OR($F221=0,BK198=0), 0, IF(OR(BK198=1, $F221= Parameters!$F$80, MOD(BK198,$F221)=0, BK129=1), 1, 0))</f>
        <v>0</v>
      </c>
      <c r="BL221" s="38">
        <f>IF(OR($F221=0,BL198=0), 0, IF(OR(BL198=1, $F221= Parameters!$F$80, MOD(BL198,$F221)=0, BL129=1), 1, 0))</f>
        <v>0</v>
      </c>
      <c r="BM221" s="38">
        <f>IF(OR($F221=0,BM198=0), 0, IF(OR(BM198=1, $F221= Parameters!$F$80, MOD(BM198,$F221)=0, BM129=1), 1, 0))</f>
        <v>0</v>
      </c>
      <c r="BN221" s="38">
        <f>IF(OR($F221=0,BN198=0), 0, IF(OR(BN198=1, $F221= Parameters!$F$80, MOD(BN198,$F221)=0, BN129=1), 1, 0))</f>
        <v>0</v>
      </c>
      <c r="BO221" s="38">
        <f>IF(OR($F221=0,BO198=0), 0, IF(OR(BO198=1, $F221= Parameters!$F$80, MOD(BO198,$F221)=0, BO129=1), 1, 0))</f>
        <v>0</v>
      </c>
      <c r="BP221" s="38">
        <f>IF(OR($F221=0,BP198=0), 0, IF(OR(BP198=1, $F221= Parameters!$F$80, MOD(BP198,$F221)=0, BP129=1), 1, 0))</f>
        <v>0</v>
      </c>
      <c r="BQ221" s="38">
        <f>IF(OR($F221=0,BQ198=0), 0, IF(OR(BQ198=1, $F221= Parameters!$F$80, MOD(BQ198,$F221)=0, BQ129=1), 1, 0))</f>
        <v>0</v>
      </c>
      <c r="BR221" s="38">
        <f>IF(OR($F221=0,BR198=0), 0, IF(OR(BR198=1, $F221= Parameters!$F$80, MOD(BR198,$F221)=0, BR129=1), 1, 0))</f>
        <v>0</v>
      </c>
      <c r="BS221" s="38">
        <f>IF(OR($F221=0,BS198=0), 0, IF(OR(BS198=1, $F221= Parameters!$F$80, MOD(BS198,$F221)=0, BS129=1), 1, 0))</f>
        <v>0</v>
      </c>
      <c r="BT221" s="38">
        <f>IF(OR($F221=0,BT198=0), 0, IF(OR(BT198=1, $F221= Parameters!$F$80, MOD(BT198,$F221)=0, BT129=1), 1, 0))</f>
        <v>0</v>
      </c>
      <c r="BU221" s="38">
        <f>IF(OR($F221=0,BU198=0), 0, IF(OR(BU198=1, $F221= Parameters!$F$80, MOD(BU198,$F221)=0, BU129=1), 1, 0))</f>
        <v>0</v>
      </c>
      <c r="BV221" s="38">
        <f>IF(OR($F221=0,BV198=0), 0, IF(OR(BV198=1, $F221= Parameters!$F$80, MOD(BV198,$F221)=0, BV129=1), 1, 0))</f>
        <v>0</v>
      </c>
      <c r="BX221" s="106"/>
      <c r="BY221" s="106"/>
      <c r="BZ221" s="106"/>
      <c r="CA221" s="106"/>
      <c r="CB221" s="106"/>
      <c r="CC221" s="106"/>
      <c r="CD221" s="106"/>
      <c r="CE221" s="106"/>
      <c r="CF221" s="106"/>
      <c r="CG221" s="106"/>
      <c r="CH221" s="106"/>
      <c r="CI221" s="106"/>
      <c r="CK221" s="11"/>
      <c r="CM221" s="11"/>
      <c r="EX221" s="10" t="str">
        <f t="shared" si="186"/>
        <v/>
      </c>
    </row>
    <row r="222" spans="1:154" x14ac:dyDescent="0.35">
      <c r="B222" t="str">
        <f ca="1">Loans!B$29</f>
        <v>Loan 17</v>
      </c>
      <c r="D222" s="51">
        <f>Loans!D$29</f>
        <v>0</v>
      </c>
      <c r="E222" s="117" t="str">
        <f>IF(Loans!R$29=0, "", Loans!R$29)</f>
        <v/>
      </c>
      <c r="F222" s="10">
        <f>IFERROR(INDEX(Parameters!$F$80:$F$84, MATCH(Loans!S29, Parameters!$D$80:$D$84,0)), 0)</f>
        <v>0</v>
      </c>
      <c r="V222" s="106"/>
      <c r="W222" s="106"/>
      <c r="X222" s="106"/>
      <c r="Y222" s="106"/>
      <c r="AA222" s="38">
        <f>IF(OR($F222=0,AA199=0), 0, IF(OR(AA199=1, $F222= Parameters!$F$80, MOD(AA199,$F222)=0, AA130=1), 1, 0))</f>
        <v>0</v>
      </c>
      <c r="AB222" s="38">
        <f>IF(OR($F222=0,AB199=0), 0, IF(OR(AB199=1, $F222= Parameters!$F$80, MOD(AB199,$F222)=0, AB130=1), 1, 0))</f>
        <v>0</v>
      </c>
      <c r="AC222" s="38">
        <f>IF(OR($F222=0,AC199=0), 0, IF(OR(AC199=1, $F222= Parameters!$F$80, MOD(AC199,$F222)=0, AC130=1), 1, 0))</f>
        <v>0</v>
      </c>
      <c r="AD222" s="38">
        <f>IF(OR($F222=0,AD199=0), 0, IF(OR(AD199=1, $F222= Parameters!$F$80, MOD(AD199,$F222)=0, AD130=1), 1, 0))</f>
        <v>0</v>
      </c>
      <c r="AE222" s="38">
        <f>IF(OR($F222=0,AE199=0), 0, IF(OR(AE199=1, $F222= Parameters!$F$80, MOD(AE199,$F222)=0, AE130=1), 1, 0))</f>
        <v>0</v>
      </c>
      <c r="AF222" s="38">
        <f>IF(OR($F222=0,AF199=0), 0, IF(OR(AF199=1, $F222= Parameters!$F$80, MOD(AF199,$F222)=0, AF130=1), 1, 0))</f>
        <v>0</v>
      </c>
      <c r="AG222" s="38">
        <f>IF(OR($F222=0,AG199=0), 0, IF(OR(AG199=1, $F222= Parameters!$F$80, MOD(AG199,$F222)=0, AG130=1), 1, 0))</f>
        <v>0</v>
      </c>
      <c r="AH222" s="38">
        <f>IF(OR($F222=0,AH199=0), 0, IF(OR(AH199=1, $F222= Parameters!$F$80, MOD(AH199,$F222)=0, AH130=1), 1, 0))</f>
        <v>0</v>
      </c>
      <c r="AI222" s="38">
        <f>IF(OR($F222=0,AI199=0), 0, IF(OR(AI199=1, $F222= Parameters!$F$80, MOD(AI199,$F222)=0, AI130=1), 1, 0))</f>
        <v>0</v>
      </c>
      <c r="AJ222" s="38">
        <f>IF(OR($F222=0,AJ199=0), 0, IF(OR(AJ199=1, $F222= Parameters!$F$80, MOD(AJ199,$F222)=0, AJ130=1), 1, 0))</f>
        <v>0</v>
      </c>
      <c r="AK222" s="38">
        <f>IF(OR($F222=0,AK199=0), 0, IF(OR(AK199=1, $F222= Parameters!$F$80, MOD(AK199,$F222)=0, AK130=1), 1, 0))</f>
        <v>0</v>
      </c>
      <c r="AL222" s="38">
        <f>IF(OR($F222=0,AL199=0), 0, IF(OR(AL199=1, $F222= Parameters!$F$80, MOD(AL199,$F222)=0, AL130=1), 1, 0))</f>
        <v>0</v>
      </c>
      <c r="AM222" s="38">
        <f>IF(OR($F222=0,AM199=0), 0, IF(OR(AM199=1, $F222= Parameters!$F$80, MOD(AM199,$F222)=0, AM130=1), 1, 0))</f>
        <v>0</v>
      </c>
      <c r="AN222" s="38">
        <f>IF(OR($F222=0,AN199=0), 0, IF(OR(AN199=1, $F222= Parameters!$F$80, MOD(AN199,$F222)=0, AN130=1), 1, 0))</f>
        <v>0</v>
      </c>
      <c r="AO222" s="38">
        <f>IF(OR($F222=0,AO199=0), 0, IF(OR(AO199=1, $F222= Parameters!$F$80, MOD(AO199,$F222)=0, AO130=1), 1, 0))</f>
        <v>0</v>
      </c>
      <c r="AP222" s="38">
        <f>IF(OR($F222=0,AP199=0), 0, IF(OR(AP199=1, $F222= Parameters!$F$80, MOD(AP199,$F222)=0, AP130=1), 1, 0))</f>
        <v>0</v>
      </c>
      <c r="AQ222" s="38">
        <f>IF(OR($F222=0,AQ199=0), 0, IF(OR(AQ199=1, $F222= Parameters!$F$80, MOD(AQ199,$F222)=0, AQ130=1), 1, 0))</f>
        <v>0</v>
      </c>
      <c r="AR222" s="38">
        <f>IF(OR($F222=0,AR199=0), 0, IF(OR(AR199=1, $F222= Parameters!$F$80, MOD(AR199,$F222)=0, AR130=1), 1, 0))</f>
        <v>0</v>
      </c>
      <c r="AS222" s="38">
        <f>IF(OR($F222=0,AS199=0), 0, IF(OR(AS199=1, $F222= Parameters!$F$80, MOD(AS199,$F222)=0, AS130=1), 1, 0))</f>
        <v>0</v>
      </c>
      <c r="AT222" s="38">
        <f>IF(OR($F222=0,AT199=0), 0, IF(OR(AT199=1, $F222= Parameters!$F$80, MOD(AT199,$F222)=0, AT130=1), 1, 0))</f>
        <v>0</v>
      </c>
      <c r="AU222" s="38">
        <f>IF(OR($F222=0,AU199=0), 0, IF(OR(AU199=1, $F222= Parameters!$F$80, MOD(AU199,$F222)=0, AU130=1), 1, 0))</f>
        <v>0</v>
      </c>
      <c r="AV222" s="38">
        <f>IF(OR($F222=0,AV199=0), 0, IF(OR(AV199=1, $F222= Parameters!$F$80, MOD(AV199,$F222)=0, AV130=1), 1, 0))</f>
        <v>0</v>
      </c>
      <c r="AW222" s="38">
        <f>IF(OR($F222=0,AW199=0), 0, IF(OR(AW199=1, $F222= Parameters!$F$80, MOD(AW199,$F222)=0, AW130=1), 1, 0))</f>
        <v>0</v>
      </c>
      <c r="AX222" s="38">
        <f>IF(OR($F222=0,AX199=0), 0, IF(OR(AX199=1, $F222= Parameters!$F$80, MOD(AX199,$F222)=0, AX130=1), 1, 0))</f>
        <v>0</v>
      </c>
      <c r="AY222" s="38">
        <f>IF(OR($F222=0,AY199=0), 0, IF(OR(AY199=1, $F222= Parameters!$F$80, MOD(AY199,$F222)=0, AY130=1), 1, 0))</f>
        <v>0</v>
      </c>
      <c r="AZ222" s="38">
        <f>IF(OR($F222=0,AZ199=0), 0, IF(OR(AZ199=1, $F222= Parameters!$F$80, MOD(AZ199,$F222)=0, AZ130=1), 1, 0))</f>
        <v>0</v>
      </c>
      <c r="BA222" s="38">
        <f>IF(OR($F222=0,BA199=0), 0, IF(OR(BA199=1, $F222= Parameters!$F$80, MOD(BA199,$F222)=0, BA130=1), 1, 0))</f>
        <v>0</v>
      </c>
      <c r="BB222" s="38">
        <f>IF(OR($F222=0,BB199=0), 0, IF(OR(BB199=1, $F222= Parameters!$F$80, MOD(BB199,$F222)=0, BB130=1), 1, 0))</f>
        <v>0</v>
      </c>
      <c r="BC222" s="38">
        <f>IF(OR($F222=0,BC199=0), 0, IF(OR(BC199=1, $F222= Parameters!$F$80, MOD(BC199,$F222)=0, BC130=1), 1, 0))</f>
        <v>0</v>
      </c>
      <c r="BD222" s="38">
        <f>IF(OR($F222=0,BD199=0), 0, IF(OR(BD199=1, $F222= Parameters!$F$80, MOD(BD199,$F222)=0, BD130=1), 1, 0))</f>
        <v>0</v>
      </c>
      <c r="BE222" s="38">
        <f>IF(OR($F222=0,BE199=0), 0, IF(OR(BE199=1, $F222= Parameters!$F$80, MOD(BE199,$F222)=0, BE130=1), 1, 0))</f>
        <v>0</v>
      </c>
      <c r="BF222" s="38">
        <f>IF(OR($F222=0,BF199=0), 0, IF(OR(BF199=1, $F222= Parameters!$F$80, MOD(BF199,$F222)=0, BF130=1), 1, 0))</f>
        <v>0</v>
      </c>
      <c r="BG222" s="38">
        <f>IF(OR($F222=0,BG199=0), 0, IF(OR(BG199=1, $F222= Parameters!$F$80, MOD(BG199,$F222)=0, BG130=1), 1, 0))</f>
        <v>0</v>
      </c>
      <c r="BH222" s="38">
        <f>IF(OR($F222=0,BH199=0), 0, IF(OR(BH199=1, $F222= Parameters!$F$80, MOD(BH199,$F222)=0, BH130=1), 1, 0))</f>
        <v>0</v>
      </c>
      <c r="BI222" s="38">
        <f>IF(OR($F222=0,BI199=0), 0, IF(OR(BI199=1, $F222= Parameters!$F$80, MOD(BI199,$F222)=0, BI130=1), 1, 0))</f>
        <v>0</v>
      </c>
      <c r="BJ222" s="38">
        <f>IF(OR($F222=0,BJ199=0), 0, IF(OR(BJ199=1, $F222= Parameters!$F$80, MOD(BJ199,$F222)=0, BJ130=1), 1, 0))</f>
        <v>0</v>
      </c>
      <c r="BK222" s="38">
        <f>IF(OR($F222=0,BK199=0), 0, IF(OR(BK199=1, $F222= Parameters!$F$80, MOD(BK199,$F222)=0, BK130=1), 1, 0))</f>
        <v>0</v>
      </c>
      <c r="BL222" s="38">
        <f>IF(OR($F222=0,BL199=0), 0, IF(OR(BL199=1, $F222= Parameters!$F$80, MOD(BL199,$F222)=0, BL130=1), 1, 0))</f>
        <v>0</v>
      </c>
      <c r="BM222" s="38">
        <f>IF(OR($F222=0,BM199=0), 0, IF(OR(BM199=1, $F222= Parameters!$F$80, MOD(BM199,$F222)=0, BM130=1), 1, 0))</f>
        <v>0</v>
      </c>
      <c r="BN222" s="38">
        <f>IF(OR($F222=0,BN199=0), 0, IF(OR(BN199=1, $F222= Parameters!$F$80, MOD(BN199,$F222)=0, BN130=1), 1, 0))</f>
        <v>0</v>
      </c>
      <c r="BO222" s="38">
        <f>IF(OR($F222=0,BO199=0), 0, IF(OR(BO199=1, $F222= Parameters!$F$80, MOD(BO199,$F222)=0, BO130=1), 1, 0))</f>
        <v>0</v>
      </c>
      <c r="BP222" s="38">
        <f>IF(OR($F222=0,BP199=0), 0, IF(OR(BP199=1, $F222= Parameters!$F$80, MOD(BP199,$F222)=0, BP130=1), 1, 0))</f>
        <v>0</v>
      </c>
      <c r="BQ222" s="38">
        <f>IF(OR($F222=0,BQ199=0), 0, IF(OR(BQ199=1, $F222= Parameters!$F$80, MOD(BQ199,$F222)=0, BQ130=1), 1, 0))</f>
        <v>0</v>
      </c>
      <c r="BR222" s="38">
        <f>IF(OR($F222=0,BR199=0), 0, IF(OR(BR199=1, $F222= Parameters!$F$80, MOD(BR199,$F222)=0, BR130=1), 1, 0))</f>
        <v>0</v>
      </c>
      <c r="BS222" s="38">
        <f>IF(OR($F222=0,BS199=0), 0, IF(OR(BS199=1, $F222= Parameters!$F$80, MOD(BS199,$F222)=0, BS130=1), 1, 0))</f>
        <v>0</v>
      </c>
      <c r="BT222" s="38">
        <f>IF(OR($F222=0,BT199=0), 0, IF(OR(BT199=1, $F222= Parameters!$F$80, MOD(BT199,$F222)=0, BT130=1), 1, 0))</f>
        <v>0</v>
      </c>
      <c r="BU222" s="38">
        <f>IF(OR($F222=0,BU199=0), 0, IF(OR(BU199=1, $F222= Parameters!$F$80, MOD(BU199,$F222)=0, BU130=1), 1, 0))</f>
        <v>0</v>
      </c>
      <c r="BV222" s="38">
        <f>IF(OR($F222=0,BV199=0), 0, IF(OR(BV199=1, $F222= Parameters!$F$80, MOD(BV199,$F222)=0, BV130=1), 1, 0))</f>
        <v>0</v>
      </c>
      <c r="BX222" s="106"/>
      <c r="BY222" s="106"/>
      <c r="BZ222" s="106"/>
      <c r="CA222" s="106"/>
      <c r="CB222" s="106"/>
      <c r="CC222" s="106"/>
      <c r="CD222" s="106"/>
      <c r="CE222" s="106"/>
      <c r="CF222" s="106"/>
      <c r="CG222" s="106"/>
      <c r="CH222" s="106"/>
      <c r="CI222" s="106"/>
      <c r="CK222" s="11"/>
      <c r="CM222" s="11"/>
      <c r="EX222" s="10" t="str">
        <f t="shared" si="186"/>
        <v/>
      </c>
    </row>
    <row r="223" spans="1:154" x14ac:dyDescent="0.35">
      <c r="B223" t="str">
        <f ca="1">Loans!B$30</f>
        <v>Loan 18</v>
      </c>
      <c r="D223" s="51">
        <f>Loans!D$30</f>
        <v>0</v>
      </c>
      <c r="E223" s="117" t="str">
        <f>IF(Loans!R$30=0, "", Loans!R$30)</f>
        <v/>
      </c>
      <c r="F223" s="10">
        <f>IFERROR(INDEX(Parameters!$F$80:$F$84, MATCH(Loans!S30, Parameters!$D$80:$D$84,0)), 0)</f>
        <v>0</v>
      </c>
      <c r="V223" s="106"/>
      <c r="W223" s="106"/>
      <c r="X223" s="106"/>
      <c r="Y223" s="106"/>
      <c r="AA223" s="38">
        <f>IF(OR($F223=0,AA200=0), 0, IF(OR(AA200=1, $F223= Parameters!$F$80, MOD(AA200,$F223)=0, AA131=1), 1, 0))</f>
        <v>0</v>
      </c>
      <c r="AB223" s="38">
        <f>IF(OR($F223=0,AB200=0), 0, IF(OR(AB200=1, $F223= Parameters!$F$80, MOD(AB200,$F223)=0, AB131=1), 1, 0))</f>
        <v>0</v>
      </c>
      <c r="AC223" s="38">
        <f>IF(OR($F223=0,AC200=0), 0, IF(OR(AC200=1, $F223= Parameters!$F$80, MOD(AC200,$F223)=0, AC131=1), 1, 0))</f>
        <v>0</v>
      </c>
      <c r="AD223" s="38">
        <f>IF(OR($F223=0,AD200=0), 0, IF(OR(AD200=1, $F223= Parameters!$F$80, MOD(AD200,$F223)=0, AD131=1), 1, 0))</f>
        <v>0</v>
      </c>
      <c r="AE223" s="38">
        <f>IF(OR($F223=0,AE200=0), 0, IF(OR(AE200=1, $F223= Parameters!$F$80, MOD(AE200,$F223)=0, AE131=1), 1, 0))</f>
        <v>0</v>
      </c>
      <c r="AF223" s="38">
        <f>IF(OR($F223=0,AF200=0), 0, IF(OR(AF200=1, $F223= Parameters!$F$80, MOD(AF200,$F223)=0, AF131=1), 1, 0))</f>
        <v>0</v>
      </c>
      <c r="AG223" s="38">
        <f>IF(OR($F223=0,AG200=0), 0, IF(OR(AG200=1, $F223= Parameters!$F$80, MOD(AG200,$F223)=0, AG131=1), 1, 0))</f>
        <v>0</v>
      </c>
      <c r="AH223" s="38">
        <f>IF(OR($F223=0,AH200=0), 0, IF(OR(AH200=1, $F223= Parameters!$F$80, MOD(AH200,$F223)=0, AH131=1), 1, 0))</f>
        <v>0</v>
      </c>
      <c r="AI223" s="38">
        <f>IF(OR($F223=0,AI200=0), 0, IF(OR(AI200=1, $F223= Parameters!$F$80, MOD(AI200,$F223)=0, AI131=1), 1, 0))</f>
        <v>0</v>
      </c>
      <c r="AJ223" s="38">
        <f>IF(OR($F223=0,AJ200=0), 0, IF(OR(AJ200=1, $F223= Parameters!$F$80, MOD(AJ200,$F223)=0, AJ131=1), 1, 0))</f>
        <v>0</v>
      </c>
      <c r="AK223" s="38">
        <f>IF(OR($F223=0,AK200=0), 0, IF(OR(AK200=1, $F223= Parameters!$F$80, MOD(AK200,$F223)=0, AK131=1), 1, 0))</f>
        <v>0</v>
      </c>
      <c r="AL223" s="38">
        <f>IF(OR($F223=0,AL200=0), 0, IF(OR(AL200=1, $F223= Parameters!$F$80, MOD(AL200,$F223)=0, AL131=1), 1, 0))</f>
        <v>0</v>
      </c>
      <c r="AM223" s="38">
        <f>IF(OR($F223=0,AM200=0), 0, IF(OR(AM200=1, $F223= Parameters!$F$80, MOD(AM200,$F223)=0, AM131=1), 1, 0))</f>
        <v>0</v>
      </c>
      <c r="AN223" s="38">
        <f>IF(OR($F223=0,AN200=0), 0, IF(OR(AN200=1, $F223= Parameters!$F$80, MOD(AN200,$F223)=0, AN131=1), 1, 0))</f>
        <v>0</v>
      </c>
      <c r="AO223" s="38">
        <f>IF(OR($F223=0,AO200=0), 0, IF(OR(AO200=1, $F223= Parameters!$F$80, MOD(AO200,$F223)=0, AO131=1), 1, 0))</f>
        <v>0</v>
      </c>
      <c r="AP223" s="38">
        <f>IF(OR($F223=0,AP200=0), 0, IF(OR(AP200=1, $F223= Parameters!$F$80, MOD(AP200,$F223)=0, AP131=1), 1, 0))</f>
        <v>0</v>
      </c>
      <c r="AQ223" s="38">
        <f>IF(OR($F223=0,AQ200=0), 0, IF(OR(AQ200=1, $F223= Parameters!$F$80, MOD(AQ200,$F223)=0, AQ131=1), 1, 0))</f>
        <v>0</v>
      </c>
      <c r="AR223" s="38">
        <f>IF(OR($F223=0,AR200=0), 0, IF(OR(AR200=1, $F223= Parameters!$F$80, MOD(AR200,$F223)=0, AR131=1), 1, 0))</f>
        <v>0</v>
      </c>
      <c r="AS223" s="38">
        <f>IF(OR($F223=0,AS200=0), 0, IF(OR(AS200=1, $F223= Parameters!$F$80, MOD(AS200,$F223)=0, AS131=1), 1, 0))</f>
        <v>0</v>
      </c>
      <c r="AT223" s="38">
        <f>IF(OR($F223=0,AT200=0), 0, IF(OR(AT200=1, $F223= Parameters!$F$80, MOD(AT200,$F223)=0, AT131=1), 1, 0))</f>
        <v>0</v>
      </c>
      <c r="AU223" s="38">
        <f>IF(OR($F223=0,AU200=0), 0, IF(OR(AU200=1, $F223= Parameters!$F$80, MOD(AU200,$F223)=0, AU131=1), 1, 0))</f>
        <v>0</v>
      </c>
      <c r="AV223" s="38">
        <f>IF(OR($F223=0,AV200=0), 0, IF(OR(AV200=1, $F223= Parameters!$F$80, MOD(AV200,$F223)=0, AV131=1), 1, 0))</f>
        <v>0</v>
      </c>
      <c r="AW223" s="38">
        <f>IF(OR($F223=0,AW200=0), 0, IF(OR(AW200=1, $F223= Parameters!$F$80, MOD(AW200,$F223)=0, AW131=1), 1, 0))</f>
        <v>0</v>
      </c>
      <c r="AX223" s="38">
        <f>IF(OR($F223=0,AX200=0), 0, IF(OR(AX200=1, $F223= Parameters!$F$80, MOD(AX200,$F223)=0, AX131=1), 1, 0))</f>
        <v>0</v>
      </c>
      <c r="AY223" s="38">
        <f>IF(OR($F223=0,AY200=0), 0, IF(OR(AY200=1, $F223= Parameters!$F$80, MOD(AY200,$F223)=0, AY131=1), 1, 0))</f>
        <v>0</v>
      </c>
      <c r="AZ223" s="38">
        <f>IF(OR($F223=0,AZ200=0), 0, IF(OR(AZ200=1, $F223= Parameters!$F$80, MOD(AZ200,$F223)=0, AZ131=1), 1, 0))</f>
        <v>0</v>
      </c>
      <c r="BA223" s="38">
        <f>IF(OR($F223=0,BA200=0), 0, IF(OR(BA200=1, $F223= Parameters!$F$80, MOD(BA200,$F223)=0, BA131=1), 1, 0))</f>
        <v>0</v>
      </c>
      <c r="BB223" s="38">
        <f>IF(OR($F223=0,BB200=0), 0, IF(OR(BB200=1, $F223= Parameters!$F$80, MOD(BB200,$F223)=0, BB131=1), 1, 0))</f>
        <v>0</v>
      </c>
      <c r="BC223" s="38">
        <f>IF(OR($F223=0,BC200=0), 0, IF(OR(BC200=1, $F223= Parameters!$F$80, MOD(BC200,$F223)=0, BC131=1), 1, 0))</f>
        <v>0</v>
      </c>
      <c r="BD223" s="38">
        <f>IF(OR($F223=0,BD200=0), 0, IF(OR(BD200=1, $F223= Parameters!$F$80, MOD(BD200,$F223)=0, BD131=1), 1, 0))</f>
        <v>0</v>
      </c>
      <c r="BE223" s="38">
        <f>IF(OR($F223=0,BE200=0), 0, IF(OR(BE200=1, $F223= Parameters!$F$80, MOD(BE200,$F223)=0, BE131=1), 1, 0))</f>
        <v>0</v>
      </c>
      <c r="BF223" s="38">
        <f>IF(OR($F223=0,BF200=0), 0, IF(OR(BF200=1, $F223= Parameters!$F$80, MOD(BF200,$F223)=0, BF131=1), 1, 0))</f>
        <v>0</v>
      </c>
      <c r="BG223" s="38">
        <f>IF(OR($F223=0,BG200=0), 0, IF(OR(BG200=1, $F223= Parameters!$F$80, MOD(BG200,$F223)=0, BG131=1), 1, 0))</f>
        <v>0</v>
      </c>
      <c r="BH223" s="38">
        <f>IF(OR($F223=0,BH200=0), 0, IF(OR(BH200=1, $F223= Parameters!$F$80, MOD(BH200,$F223)=0, BH131=1), 1, 0))</f>
        <v>0</v>
      </c>
      <c r="BI223" s="38">
        <f>IF(OR($F223=0,BI200=0), 0, IF(OR(BI200=1, $F223= Parameters!$F$80, MOD(BI200,$F223)=0, BI131=1), 1, 0))</f>
        <v>0</v>
      </c>
      <c r="BJ223" s="38">
        <f>IF(OR($F223=0,BJ200=0), 0, IF(OR(BJ200=1, $F223= Parameters!$F$80, MOD(BJ200,$F223)=0, BJ131=1), 1, 0))</f>
        <v>0</v>
      </c>
      <c r="BK223" s="38">
        <f>IF(OR($F223=0,BK200=0), 0, IF(OR(BK200=1, $F223= Parameters!$F$80, MOD(BK200,$F223)=0, BK131=1), 1, 0))</f>
        <v>0</v>
      </c>
      <c r="BL223" s="38">
        <f>IF(OR($F223=0,BL200=0), 0, IF(OR(BL200=1, $F223= Parameters!$F$80, MOD(BL200,$F223)=0, BL131=1), 1, 0))</f>
        <v>0</v>
      </c>
      <c r="BM223" s="38">
        <f>IF(OR($F223=0,BM200=0), 0, IF(OR(BM200=1, $F223= Parameters!$F$80, MOD(BM200,$F223)=0, BM131=1), 1, 0))</f>
        <v>0</v>
      </c>
      <c r="BN223" s="38">
        <f>IF(OR($F223=0,BN200=0), 0, IF(OR(BN200=1, $F223= Parameters!$F$80, MOD(BN200,$F223)=0, BN131=1), 1, 0))</f>
        <v>0</v>
      </c>
      <c r="BO223" s="38">
        <f>IF(OR($F223=0,BO200=0), 0, IF(OR(BO200=1, $F223= Parameters!$F$80, MOD(BO200,$F223)=0, BO131=1), 1, 0))</f>
        <v>0</v>
      </c>
      <c r="BP223" s="38">
        <f>IF(OR($F223=0,BP200=0), 0, IF(OR(BP200=1, $F223= Parameters!$F$80, MOD(BP200,$F223)=0, BP131=1), 1, 0))</f>
        <v>0</v>
      </c>
      <c r="BQ223" s="38">
        <f>IF(OR($F223=0,BQ200=0), 0, IF(OR(BQ200=1, $F223= Parameters!$F$80, MOD(BQ200,$F223)=0, BQ131=1), 1, 0))</f>
        <v>0</v>
      </c>
      <c r="BR223" s="38">
        <f>IF(OR($F223=0,BR200=0), 0, IF(OR(BR200=1, $F223= Parameters!$F$80, MOD(BR200,$F223)=0, BR131=1), 1, 0))</f>
        <v>0</v>
      </c>
      <c r="BS223" s="38">
        <f>IF(OR($F223=0,BS200=0), 0, IF(OR(BS200=1, $F223= Parameters!$F$80, MOD(BS200,$F223)=0, BS131=1), 1, 0))</f>
        <v>0</v>
      </c>
      <c r="BT223" s="38">
        <f>IF(OR($F223=0,BT200=0), 0, IF(OR(BT200=1, $F223= Parameters!$F$80, MOD(BT200,$F223)=0, BT131=1), 1, 0))</f>
        <v>0</v>
      </c>
      <c r="BU223" s="38">
        <f>IF(OR($F223=0,BU200=0), 0, IF(OR(BU200=1, $F223= Parameters!$F$80, MOD(BU200,$F223)=0, BU131=1), 1, 0))</f>
        <v>0</v>
      </c>
      <c r="BV223" s="38">
        <f>IF(OR($F223=0,BV200=0), 0, IF(OR(BV200=1, $F223= Parameters!$F$80, MOD(BV200,$F223)=0, BV131=1), 1, 0))</f>
        <v>0</v>
      </c>
      <c r="BX223" s="106"/>
      <c r="BY223" s="106"/>
      <c r="BZ223" s="106"/>
      <c r="CA223" s="106"/>
      <c r="CB223" s="106"/>
      <c r="CC223" s="106"/>
      <c r="CD223" s="106"/>
      <c r="CE223" s="106"/>
      <c r="CF223" s="106"/>
      <c r="CG223" s="106"/>
      <c r="CH223" s="106"/>
      <c r="CI223" s="106"/>
      <c r="CK223" s="11"/>
      <c r="CM223" s="11"/>
      <c r="EX223" s="10" t="str">
        <f t="shared" si="186"/>
        <v/>
      </c>
    </row>
    <row r="224" spans="1:154" x14ac:dyDescent="0.35">
      <c r="B224" t="str">
        <f ca="1">Loans!B$31</f>
        <v>Loan 19</v>
      </c>
      <c r="D224" s="51">
        <f>Loans!D$31</f>
        <v>0</v>
      </c>
      <c r="E224" s="117" t="str">
        <f>IF(Loans!R$31=0, "", Loans!R$31)</f>
        <v/>
      </c>
      <c r="F224" s="10">
        <f>IFERROR(INDEX(Parameters!$F$80:$F$84, MATCH(Loans!S31, Parameters!$D$80:$D$84,0)), 0)</f>
        <v>0</v>
      </c>
      <c r="V224" s="106"/>
      <c r="W224" s="106"/>
      <c r="X224" s="106"/>
      <c r="Y224" s="106"/>
      <c r="AA224" s="38">
        <f>IF(OR($F224=0,AA201=0), 0, IF(OR(AA201=1, $F224= Parameters!$F$80, MOD(AA201,$F224)=0, AA132=1), 1, 0))</f>
        <v>0</v>
      </c>
      <c r="AB224" s="38">
        <f>IF(OR($F224=0,AB201=0), 0, IF(OR(AB201=1, $F224= Parameters!$F$80, MOD(AB201,$F224)=0, AB132=1), 1, 0))</f>
        <v>0</v>
      </c>
      <c r="AC224" s="38">
        <f>IF(OR($F224=0,AC201=0), 0, IF(OR(AC201=1, $F224= Parameters!$F$80, MOD(AC201,$F224)=0, AC132=1), 1, 0))</f>
        <v>0</v>
      </c>
      <c r="AD224" s="38">
        <f>IF(OR($F224=0,AD201=0), 0, IF(OR(AD201=1, $F224= Parameters!$F$80, MOD(AD201,$F224)=0, AD132=1), 1, 0))</f>
        <v>0</v>
      </c>
      <c r="AE224" s="38">
        <f>IF(OR($F224=0,AE201=0), 0, IF(OR(AE201=1, $F224= Parameters!$F$80, MOD(AE201,$F224)=0, AE132=1), 1, 0))</f>
        <v>0</v>
      </c>
      <c r="AF224" s="38">
        <f>IF(OR($F224=0,AF201=0), 0, IF(OR(AF201=1, $F224= Parameters!$F$80, MOD(AF201,$F224)=0, AF132=1), 1, 0))</f>
        <v>0</v>
      </c>
      <c r="AG224" s="38">
        <f>IF(OR($F224=0,AG201=0), 0, IF(OR(AG201=1, $F224= Parameters!$F$80, MOD(AG201,$F224)=0, AG132=1), 1, 0))</f>
        <v>0</v>
      </c>
      <c r="AH224" s="38">
        <f>IF(OR($F224=0,AH201=0), 0, IF(OR(AH201=1, $F224= Parameters!$F$80, MOD(AH201,$F224)=0, AH132=1), 1, 0))</f>
        <v>0</v>
      </c>
      <c r="AI224" s="38">
        <f>IF(OR($F224=0,AI201=0), 0, IF(OR(AI201=1, $F224= Parameters!$F$80, MOD(AI201,$F224)=0, AI132=1), 1, 0))</f>
        <v>0</v>
      </c>
      <c r="AJ224" s="38">
        <f>IF(OR($F224=0,AJ201=0), 0, IF(OR(AJ201=1, $F224= Parameters!$F$80, MOD(AJ201,$F224)=0, AJ132=1), 1, 0))</f>
        <v>0</v>
      </c>
      <c r="AK224" s="38">
        <f>IF(OR($F224=0,AK201=0), 0, IF(OR(AK201=1, $F224= Parameters!$F$80, MOD(AK201,$F224)=0, AK132=1), 1, 0))</f>
        <v>0</v>
      </c>
      <c r="AL224" s="38">
        <f>IF(OR($F224=0,AL201=0), 0, IF(OR(AL201=1, $F224= Parameters!$F$80, MOD(AL201,$F224)=0, AL132=1), 1, 0))</f>
        <v>0</v>
      </c>
      <c r="AM224" s="38">
        <f>IF(OR($F224=0,AM201=0), 0, IF(OR(AM201=1, $F224= Parameters!$F$80, MOD(AM201,$F224)=0, AM132=1), 1, 0))</f>
        <v>0</v>
      </c>
      <c r="AN224" s="38">
        <f>IF(OR($F224=0,AN201=0), 0, IF(OR(AN201=1, $F224= Parameters!$F$80, MOD(AN201,$F224)=0, AN132=1), 1, 0))</f>
        <v>0</v>
      </c>
      <c r="AO224" s="38">
        <f>IF(OR($F224=0,AO201=0), 0, IF(OR(AO201=1, $F224= Parameters!$F$80, MOD(AO201,$F224)=0, AO132=1), 1, 0))</f>
        <v>0</v>
      </c>
      <c r="AP224" s="38">
        <f>IF(OR($F224=0,AP201=0), 0, IF(OR(AP201=1, $F224= Parameters!$F$80, MOD(AP201,$F224)=0, AP132=1), 1, 0))</f>
        <v>0</v>
      </c>
      <c r="AQ224" s="38">
        <f>IF(OR($F224=0,AQ201=0), 0, IF(OR(AQ201=1, $F224= Parameters!$F$80, MOD(AQ201,$F224)=0, AQ132=1), 1, 0))</f>
        <v>0</v>
      </c>
      <c r="AR224" s="38">
        <f>IF(OR($F224=0,AR201=0), 0, IF(OR(AR201=1, $F224= Parameters!$F$80, MOD(AR201,$F224)=0, AR132=1), 1, 0))</f>
        <v>0</v>
      </c>
      <c r="AS224" s="38">
        <f>IF(OR($F224=0,AS201=0), 0, IF(OR(AS201=1, $F224= Parameters!$F$80, MOD(AS201,$F224)=0, AS132=1), 1, 0))</f>
        <v>0</v>
      </c>
      <c r="AT224" s="38">
        <f>IF(OR($F224=0,AT201=0), 0, IF(OR(AT201=1, $F224= Parameters!$F$80, MOD(AT201,$F224)=0, AT132=1), 1, 0))</f>
        <v>0</v>
      </c>
      <c r="AU224" s="38">
        <f>IF(OR($F224=0,AU201=0), 0, IF(OR(AU201=1, $F224= Parameters!$F$80, MOD(AU201,$F224)=0, AU132=1), 1, 0))</f>
        <v>0</v>
      </c>
      <c r="AV224" s="38">
        <f>IF(OR($F224=0,AV201=0), 0, IF(OR(AV201=1, $F224= Parameters!$F$80, MOD(AV201,$F224)=0, AV132=1), 1, 0))</f>
        <v>0</v>
      </c>
      <c r="AW224" s="38">
        <f>IF(OR($F224=0,AW201=0), 0, IF(OR(AW201=1, $F224= Parameters!$F$80, MOD(AW201,$F224)=0, AW132=1), 1, 0))</f>
        <v>0</v>
      </c>
      <c r="AX224" s="38">
        <f>IF(OR($F224=0,AX201=0), 0, IF(OR(AX201=1, $F224= Parameters!$F$80, MOD(AX201,$F224)=0, AX132=1), 1, 0))</f>
        <v>0</v>
      </c>
      <c r="AY224" s="38">
        <f>IF(OR($F224=0,AY201=0), 0, IF(OR(AY201=1, $F224= Parameters!$F$80, MOD(AY201,$F224)=0, AY132=1), 1, 0))</f>
        <v>0</v>
      </c>
      <c r="AZ224" s="38">
        <f>IF(OR($F224=0,AZ201=0), 0, IF(OR(AZ201=1, $F224= Parameters!$F$80, MOD(AZ201,$F224)=0, AZ132=1), 1, 0))</f>
        <v>0</v>
      </c>
      <c r="BA224" s="38">
        <f>IF(OR($F224=0,BA201=0), 0, IF(OR(BA201=1, $F224= Parameters!$F$80, MOD(BA201,$F224)=0, BA132=1), 1, 0))</f>
        <v>0</v>
      </c>
      <c r="BB224" s="38">
        <f>IF(OR($F224=0,BB201=0), 0, IF(OR(BB201=1, $F224= Parameters!$F$80, MOD(BB201,$F224)=0, BB132=1), 1, 0))</f>
        <v>0</v>
      </c>
      <c r="BC224" s="38">
        <f>IF(OR($F224=0,BC201=0), 0, IF(OR(BC201=1, $F224= Parameters!$F$80, MOD(BC201,$F224)=0, BC132=1), 1, 0))</f>
        <v>0</v>
      </c>
      <c r="BD224" s="38">
        <f>IF(OR($F224=0,BD201=0), 0, IF(OR(BD201=1, $F224= Parameters!$F$80, MOD(BD201,$F224)=0, BD132=1), 1, 0))</f>
        <v>0</v>
      </c>
      <c r="BE224" s="38">
        <f>IF(OR($F224=0,BE201=0), 0, IF(OR(BE201=1, $F224= Parameters!$F$80, MOD(BE201,$F224)=0, BE132=1), 1, 0))</f>
        <v>0</v>
      </c>
      <c r="BF224" s="38">
        <f>IF(OR($F224=0,BF201=0), 0, IF(OR(BF201=1, $F224= Parameters!$F$80, MOD(BF201,$F224)=0, BF132=1), 1, 0))</f>
        <v>0</v>
      </c>
      <c r="BG224" s="38">
        <f>IF(OR($F224=0,BG201=0), 0, IF(OR(BG201=1, $F224= Parameters!$F$80, MOD(BG201,$F224)=0, BG132=1), 1, 0))</f>
        <v>0</v>
      </c>
      <c r="BH224" s="38">
        <f>IF(OR($F224=0,BH201=0), 0, IF(OR(BH201=1, $F224= Parameters!$F$80, MOD(BH201,$F224)=0, BH132=1), 1, 0))</f>
        <v>0</v>
      </c>
      <c r="BI224" s="38">
        <f>IF(OR($F224=0,BI201=0), 0, IF(OR(BI201=1, $F224= Parameters!$F$80, MOD(BI201,$F224)=0, BI132=1), 1, 0))</f>
        <v>0</v>
      </c>
      <c r="BJ224" s="38">
        <f>IF(OR($F224=0,BJ201=0), 0, IF(OR(BJ201=1, $F224= Parameters!$F$80, MOD(BJ201,$F224)=0, BJ132=1), 1, 0))</f>
        <v>0</v>
      </c>
      <c r="BK224" s="38">
        <f>IF(OR($F224=0,BK201=0), 0, IF(OR(BK201=1, $F224= Parameters!$F$80, MOD(BK201,$F224)=0, BK132=1), 1, 0))</f>
        <v>0</v>
      </c>
      <c r="BL224" s="38">
        <f>IF(OR($F224=0,BL201=0), 0, IF(OR(BL201=1, $F224= Parameters!$F$80, MOD(BL201,$F224)=0, BL132=1), 1, 0))</f>
        <v>0</v>
      </c>
      <c r="BM224" s="38">
        <f>IF(OR($F224=0,BM201=0), 0, IF(OR(BM201=1, $F224= Parameters!$F$80, MOD(BM201,$F224)=0, BM132=1), 1, 0))</f>
        <v>0</v>
      </c>
      <c r="BN224" s="38">
        <f>IF(OR($F224=0,BN201=0), 0, IF(OR(BN201=1, $F224= Parameters!$F$80, MOD(BN201,$F224)=0, BN132=1), 1, 0))</f>
        <v>0</v>
      </c>
      <c r="BO224" s="38">
        <f>IF(OR($F224=0,BO201=0), 0, IF(OR(BO201=1, $F224= Parameters!$F$80, MOD(BO201,$F224)=0, BO132=1), 1, 0))</f>
        <v>0</v>
      </c>
      <c r="BP224" s="38">
        <f>IF(OR($F224=0,BP201=0), 0, IF(OR(BP201=1, $F224= Parameters!$F$80, MOD(BP201,$F224)=0, BP132=1), 1, 0))</f>
        <v>0</v>
      </c>
      <c r="BQ224" s="38">
        <f>IF(OR($F224=0,BQ201=0), 0, IF(OR(BQ201=1, $F224= Parameters!$F$80, MOD(BQ201,$F224)=0, BQ132=1), 1, 0))</f>
        <v>0</v>
      </c>
      <c r="BR224" s="38">
        <f>IF(OR($F224=0,BR201=0), 0, IF(OR(BR201=1, $F224= Parameters!$F$80, MOD(BR201,$F224)=0, BR132=1), 1, 0))</f>
        <v>0</v>
      </c>
      <c r="BS224" s="38">
        <f>IF(OR($F224=0,BS201=0), 0, IF(OR(BS201=1, $F224= Parameters!$F$80, MOD(BS201,$F224)=0, BS132=1), 1, 0))</f>
        <v>0</v>
      </c>
      <c r="BT224" s="38">
        <f>IF(OR($F224=0,BT201=0), 0, IF(OR(BT201=1, $F224= Parameters!$F$80, MOD(BT201,$F224)=0, BT132=1), 1, 0))</f>
        <v>0</v>
      </c>
      <c r="BU224" s="38">
        <f>IF(OR($F224=0,BU201=0), 0, IF(OR(BU201=1, $F224= Parameters!$F$80, MOD(BU201,$F224)=0, BU132=1), 1, 0))</f>
        <v>0</v>
      </c>
      <c r="BV224" s="38">
        <f>IF(OR($F224=0,BV201=0), 0, IF(OR(BV201=1, $F224= Parameters!$F$80, MOD(BV201,$F224)=0, BV132=1), 1, 0))</f>
        <v>0</v>
      </c>
      <c r="BX224" s="106"/>
      <c r="BY224" s="106"/>
      <c r="BZ224" s="106"/>
      <c r="CA224" s="106"/>
      <c r="CB224" s="106"/>
      <c r="CC224" s="106"/>
      <c r="CD224" s="106"/>
      <c r="CE224" s="106"/>
      <c r="CF224" s="106"/>
      <c r="CG224" s="106"/>
      <c r="CH224" s="106"/>
      <c r="CI224" s="106"/>
      <c r="CK224" s="11"/>
      <c r="CM224" s="11"/>
      <c r="EX224" s="10" t="str">
        <f t="shared" si="186"/>
        <v/>
      </c>
    </row>
    <row r="225" spans="1:154" x14ac:dyDescent="0.35">
      <c r="B225" t="str">
        <f ca="1">Loans!B$32</f>
        <v>Loan 20</v>
      </c>
      <c r="D225" s="51">
        <f>Loans!D$32</f>
        <v>0</v>
      </c>
      <c r="E225" s="117" t="str">
        <f>IF(Loans!R$32=0, "", Loans!R$32)</f>
        <v/>
      </c>
      <c r="F225" s="10">
        <f>IFERROR(INDEX(Parameters!$F$80:$F$84, MATCH(Loans!S32, Parameters!$D$80:$D$84,0)), 0)</f>
        <v>0</v>
      </c>
      <c r="V225" s="106"/>
      <c r="W225" s="106"/>
      <c r="X225" s="106"/>
      <c r="Y225" s="106"/>
      <c r="AA225" s="38">
        <f>IF(OR($F225=0,AA202=0), 0, IF(OR(AA202=1, $F225= Parameters!$F$80, MOD(AA202,$F225)=0, AA133=1), 1, 0))</f>
        <v>0</v>
      </c>
      <c r="AB225" s="38">
        <f>IF(OR($F225=0,AB202=0), 0, IF(OR(AB202=1, $F225= Parameters!$F$80, MOD(AB202,$F225)=0, AB133=1), 1, 0))</f>
        <v>0</v>
      </c>
      <c r="AC225" s="38">
        <f>IF(OR($F225=0,AC202=0), 0, IF(OR(AC202=1, $F225= Parameters!$F$80, MOD(AC202,$F225)=0, AC133=1), 1, 0))</f>
        <v>0</v>
      </c>
      <c r="AD225" s="38">
        <f>IF(OR($F225=0,AD202=0), 0, IF(OR(AD202=1, $F225= Parameters!$F$80, MOD(AD202,$F225)=0, AD133=1), 1, 0))</f>
        <v>0</v>
      </c>
      <c r="AE225" s="38">
        <f>IF(OR($F225=0,AE202=0), 0, IF(OR(AE202=1, $F225= Parameters!$F$80, MOD(AE202,$F225)=0, AE133=1), 1, 0))</f>
        <v>0</v>
      </c>
      <c r="AF225" s="38">
        <f>IF(OR($F225=0,AF202=0), 0, IF(OR(AF202=1, $F225= Parameters!$F$80, MOD(AF202,$F225)=0, AF133=1), 1, 0))</f>
        <v>0</v>
      </c>
      <c r="AG225" s="38">
        <f>IF(OR($F225=0,AG202=0), 0, IF(OR(AG202=1, $F225= Parameters!$F$80, MOD(AG202,$F225)=0, AG133=1), 1, 0))</f>
        <v>0</v>
      </c>
      <c r="AH225" s="38">
        <f>IF(OR($F225=0,AH202=0), 0, IF(OR(AH202=1, $F225= Parameters!$F$80, MOD(AH202,$F225)=0, AH133=1), 1, 0))</f>
        <v>0</v>
      </c>
      <c r="AI225" s="38">
        <f>IF(OR($F225=0,AI202=0), 0, IF(OR(AI202=1, $F225= Parameters!$F$80, MOD(AI202,$F225)=0, AI133=1), 1, 0))</f>
        <v>0</v>
      </c>
      <c r="AJ225" s="38">
        <f>IF(OR($F225=0,AJ202=0), 0, IF(OR(AJ202=1, $F225= Parameters!$F$80, MOD(AJ202,$F225)=0, AJ133=1), 1, 0))</f>
        <v>0</v>
      </c>
      <c r="AK225" s="38">
        <f>IF(OR($F225=0,AK202=0), 0, IF(OR(AK202=1, $F225= Parameters!$F$80, MOD(AK202,$F225)=0, AK133=1), 1, 0))</f>
        <v>0</v>
      </c>
      <c r="AL225" s="38">
        <f>IF(OR($F225=0,AL202=0), 0, IF(OR(AL202=1, $F225= Parameters!$F$80, MOD(AL202,$F225)=0, AL133=1), 1, 0))</f>
        <v>0</v>
      </c>
      <c r="AM225" s="38">
        <f>IF(OR($F225=0,AM202=0), 0, IF(OR(AM202=1, $F225= Parameters!$F$80, MOD(AM202,$F225)=0, AM133=1), 1, 0))</f>
        <v>0</v>
      </c>
      <c r="AN225" s="38">
        <f>IF(OR($F225=0,AN202=0), 0, IF(OR(AN202=1, $F225= Parameters!$F$80, MOD(AN202,$F225)=0, AN133=1), 1, 0))</f>
        <v>0</v>
      </c>
      <c r="AO225" s="38">
        <f>IF(OR($F225=0,AO202=0), 0, IF(OR(AO202=1, $F225= Parameters!$F$80, MOD(AO202,$F225)=0, AO133=1), 1, 0))</f>
        <v>0</v>
      </c>
      <c r="AP225" s="38">
        <f>IF(OR($F225=0,AP202=0), 0, IF(OR(AP202=1, $F225= Parameters!$F$80, MOD(AP202,$F225)=0, AP133=1), 1, 0))</f>
        <v>0</v>
      </c>
      <c r="AQ225" s="38">
        <f>IF(OR($F225=0,AQ202=0), 0, IF(OR(AQ202=1, $F225= Parameters!$F$80, MOD(AQ202,$F225)=0, AQ133=1), 1, 0))</f>
        <v>0</v>
      </c>
      <c r="AR225" s="38">
        <f>IF(OR($F225=0,AR202=0), 0, IF(OR(AR202=1, $F225= Parameters!$F$80, MOD(AR202,$F225)=0, AR133=1), 1, 0))</f>
        <v>0</v>
      </c>
      <c r="AS225" s="38">
        <f>IF(OR($F225=0,AS202=0), 0, IF(OR(AS202=1, $F225= Parameters!$F$80, MOD(AS202,$F225)=0, AS133=1), 1, 0))</f>
        <v>0</v>
      </c>
      <c r="AT225" s="38">
        <f>IF(OR($F225=0,AT202=0), 0, IF(OR(AT202=1, $F225= Parameters!$F$80, MOD(AT202,$F225)=0, AT133=1), 1, 0))</f>
        <v>0</v>
      </c>
      <c r="AU225" s="38">
        <f>IF(OR($F225=0,AU202=0), 0, IF(OR(AU202=1, $F225= Parameters!$F$80, MOD(AU202,$F225)=0, AU133=1), 1, 0))</f>
        <v>0</v>
      </c>
      <c r="AV225" s="38">
        <f>IF(OR($F225=0,AV202=0), 0, IF(OR(AV202=1, $F225= Parameters!$F$80, MOD(AV202,$F225)=0, AV133=1), 1, 0))</f>
        <v>0</v>
      </c>
      <c r="AW225" s="38">
        <f>IF(OR($F225=0,AW202=0), 0, IF(OR(AW202=1, $F225= Parameters!$F$80, MOD(AW202,$F225)=0, AW133=1), 1, 0))</f>
        <v>0</v>
      </c>
      <c r="AX225" s="38">
        <f>IF(OR($F225=0,AX202=0), 0, IF(OR(AX202=1, $F225= Parameters!$F$80, MOD(AX202,$F225)=0, AX133=1), 1, 0))</f>
        <v>0</v>
      </c>
      <c r="AY225" s="38">
        <f>IF(OR($F225=0,AY202=0), 0, IF(OR(AY202=1, $F225= Parameters!$F$80, MOD(AY202,$F225)=0, AY133=1), 1, 0))</f>
        <v>0</v>
      </c>
      <c r="AZ225" s="38">
        <f>IF(OR($F225=0,AZ202=0), 0, IF(OR(AZ202=1, $F225= Parameters!$F$80, MOD(AZ202,$F225)=0, AZ133=1), 1, 0))</f>
        <v>0</v>
      </c>
      <c r="BA225" s="38">
        <f>IF(OR($F225=0,BA202=0), 0, IF(OR(BA202=1, $F225= Parameters!$F$80, MOD(BA202,$F225)=0, BA133=1), 1, 0))</f>
        <v>0</v>
      </c>
      <c r="BB225" s="38">
        <f>IF(OR($F225=0,BB202=0), 0, IF(OR(BB202=1, $F225= Parameters!$F$80, MOD(BB202,$F225)=0, BB133=1), 1, 0))</f>
        <v>0</v>
      </c>
      <c r="BC225" s="38">
        <f>IF(OR($F225=0,BC202=0), 0, IF(OR(BC202=1, $F225= Parameters!$F$80, MOD(BC202,$F225)=0, BC133=1), 1, 0))</f>
        <v>0</v>
      </c>
      <c r="BD225" s="38">
        <f>IF(OR($F225=0,BD202=0), 0, IF(OR(BD202=1, $F225= Parameters!$F$80, MOD(BD202,$F225)=0, BD133=1), 1, 0))</f>
        <v>0</v>
      </c>
      <c r="BE225" s="38">
        <f>IF(OR($F225=0,BE202=0), 0, IF(OR(BE202=1, $F225= Parameters!$F$80, MOD(BE202,$F225)=0, BE133=1), 1, 0))</f>
        <v>0</v>
      </c>
      <c r="BF225" s="38">
        <f>IF(OR($F225=0,BF202=0), 0, IF(OR(BF202=1, $F225= Parameters!$F$80, MOD(BF202,$F225)=0, BF133=1), 1, 0))</f>
        <v>0</v>
      </c>
      <c r="BG225" s="38">
        <f>IF(OR($F225=0,BG202=0), 0, IF(OR(BG202=1, $F225= Parameters!$F$80, MOD(BG202,$F225)=0, BG133=1), 1, 0))</f>
        <v>0</v>
      </c>
      <c r="BH225" s="38">
        <f>IF(OR($F225=0,BH202=0), 0, IF(OR(BH202=1, $F225= Parameters!$F$80, MOD(BH202,$F225)=0, BH133=1), 1, 0))</f>
        <v>0</v>
      </c>
      <c r="BI225" s="38">
        <f>IF(OR($F225=0,BI202=0), 0, IF(OR(BI202=1, $F225= Parameters!$F$80, MOD(BI202,$F225)=0, BI133=1), 1, 0))</f>
        <v>0</v>
      </c>
      <c r="BJ225" s="38">
        <f>IF(OR($F225=0,BJ202=0), 0, IF(OR(BJ202=1, $F225= Parameters!$F$80, MOD(BJ202,$F225)=0, BJ133=1), 1, 0))</f>
        <v>0</v>
      </c>
      <c r="BK225" s="38">
        <f>IF(OR($F225=0,BK202=0), 0, IF(OR(BK202=1, $F225= Parameters!$F$80, MOD(BK202,$F225)=0, BK133=1), 1, 0))</f>
        <v>0</v>
      </c>
      <c r="BL225" s="38">
        <f>IF(OR($F225=0,BL202=0), 0, IF(OR(BL202=1, $F225= Parameters!$F$80, MOD(BL202,$F225)=0, BL133=1), 1, 0))</f>
        <v>0</v>
      </c>
      <c r="BM225" s="38">
        <f>IF(OR($F225=0,BM202=0), 0, IF(OR(BM202=1, $F225= Parameters!$F$80, MOD(BM202,$F225)=0, BM133=1), 1, 0))</f>
        <v>0</v>
      </c>
      <c r="BN225" s="38">
        <f>IF(OR($F225=0,BN202=0), 0, IF(OR(BN202=1, $F225= Parameters!$F$80, MOD(BN202,$F225)=0, BN133=1), 1, 0))</f>
        <v>0</v>
      </c>
      <c r="BO225" s="38">
        <f>IF(OR($F225=0,BO202=0), 0, IF(OR(BO202=1, $F225= Parameters!$F$80, MOD(BO202,$F225)=0, BO133=1), 1, 0))</f>
        <v>0</v>
      </c>
      <c r="BP225" s="38">
        <f>IF(OR($F225=0,BP202=0), 0, IF(OR(BP202=1, $F225= Parameters!$F$80, MOD(BP202,$F225)=0, BP133=1), 1, 0))</f>
        <v>0</v>
      </c>
      <c r="BQ225" s="38">
        <f>IF(OR($F225=0,BQ202=0), 0, IF(OR(BQ202=1, $F225= Parameters!$F$80, MOD(BQ202,$F225)=0, BQ133=1), 1, 0))</f>
        <v>0</v>
      </c>
      <c r="BR225" s="38">
        <f>IF(OR($F225=0,BR202=0), 0, IF(OR(BR202=1, $F225= Parameters!$F$80, MOD(BR202,$F225)=0, BR133=1), 1, 0))</f>
        <v>0</v>
      </c>
      <c r="BS225" s="38">
        <f>IF(OR($F225=0,BS202=0), 0, IF(OR(BS202=1, $F225= Parameters!$F$80, MOD(BS202,$F225)=0, BS133=1), 1, 0))</f>
        <v>0</v>
      </c>
      <c r="BT225" s="38">
        <f>IF(OR($F225=0,BT202=0), 0, IF(OR(BT202=1, $F225= Parameters!$F$80, MOD(BT202,$F225)=0, BT133=1), 1, 0))</f>
        <v>0</v>
      </c>
      <c r="BU225" s="38">
        <f>IF(OR($F225=0,BU202=0), 0, IF(OR(BU202=1, $F225= Parameters!$F$80, MOD(BU202,$F225)=0, BU133=1), 1, 0))</f>
        <v>0</v>
      </c>
      <c r="BV225" s="38">
        <f>IF(OR($F225=0,BV202=0), 0, IF(OR(BV202=1, $F225= Parameters!$F$80, MOD(BV202,$F225)=0, BV133=1), 1, 0))</f>
        <v>0</v>
      </c>
      <c r="BX225" s="106"/>
      <c r="BY225" s="106"/>
      <c r="BZ225" s="106"/>
      <c r="CA225" s="106"/>
      <c r="CB225" s="106"/>
      <c r="CC225" s="106"/>
      <c r="CD225" s="106"/>
      <c r="CE225" s="106"/>
      <c r="CF225" s="106"/>
      <c r="CG225" s="106"/>
      <c r="CH225" s="106"/>
      <c r="CI225" s="106"/>
      <c r="CK225" s="11"/>
      <c r="CM225" s="11"/>
      <c r="EX225" s="10" t="str">
        <f t="shared" si="186"/>
        <v/>
      </c>
    </row>
    <row r="226" spans="1:154" ht="6.75" customHeight="1" x14ac:dyDescent="0.35">
      <c r="D226" s="1"/>
      <c r="E226"/>
      <c r="BY226" s="6"/>
      <c r="CK226" s="35"/>
      <c r="CM226" s="35"/>
      <c r="EX226" s="10" t="str">
        <f t="shared" si="186"/>
        <v/>
      </c>
    </row>
    <row r="227" spans="1:154" x14ac:dyDescent="0.35">
      <c r="D227" s="5" t="s">
        <v>1943</v>
      </c>
      <c r="E227"/>
      <c r="CK227" s="11"/>
      <c r="CM227" s="11"/>
      <c r="EX227" s="10" t="str">
        <f t="shared" si="186"/>
        <v/>
      </c>
    </row>
    <row r="228" spans="1:154" x14ac:dyDescent="0.35">
      <c r="B228" s="5"/>
      <c r="D228" s="5" t="str">
        <f>Loans!D$11</f>
        <v>Lender</v>
      </c>
      <c r="E228"/>
      <c r="CK228" s="11"/>
      <c r="CM228" s="11"/>
      <c r="EX228" s="10" t="str">
        <f t="shared" si="186"/>
        <v/>
      </c>
    </row>
    <row r="229" spans="1:154" x14ac:dyDescent="0.35">
      <c r="B229" t="str">
        <f ca="1">Loans!B$13</f>
        <v>Loan 1</v>
      </c>
      <c r="D229" s="51">
        <f>Loans!D$13</f>
        <v>0</v>
      </c>
      <c r="E229"/>
      <c r="V229" s="106"/>
      <c r="W229" s="106"/>
      <c r="X229" s="106"/>
      <c r="Y229" s="106"/>
      <c r="AA229" s="132">
        <f>SUM($AA206:AA206)*AA206</f>
        <v>0</v>
      </c>
      <c r="AB229" s="38">
        <f>SUM($AA206:AB206)*AB206</f>
        <v>0</v>
      </c>
      <c r="AC229" s="38">
        <f>SUM($AA206:AC206)*AC206</f>
        <v>0</v>
      </c>
      <c r="AD229" s="38">
        <f>SUM($AA206:AD206)*AD206</f>
        <v>0</v>
      </c>
      <c r="AE229" s="38">
        <f>SUM($AA206:AE206)*AE206</f>
        <v>0</v>
      </c>
      <c r="AF229" s="38">
        <f>SUM($AA206:AF206)*AF206</f>
        <v>0</v>
      </c>
      <c r="AG229" s="38">
        <f>SUM($AA206:AG206)*AG206</f>
        <v>0</v>
      </c>
      <c r="AH229" s="38">
        <f>SUM($AA206:AH206)*AH206</f>
        <v>0</v>
      </c>
      <c r="AI229" s="38">
        <f>SUM($AA206:AI206)*AI206</f>
        <v>0</v>
      </c>
      <c r="AJ229" s="38">
        <f>SUM($AA206:AJ206)*AJ206</f>
        <v>0</v>
      </c>
      <c r="AK229" s="38">
        <f>SUM($AA206:AK206)*AK206</f>
        <v>0</v>
      </c>
      <c r="AL229" s="38">
        <f>SUM($AA206:AL206)*AL206</f>
        <v>0</v>
      </c>
      <c r="AM229" s="38">
        <f>SUM($AA206:AM206)*AM206</f>
        <v>0</v>
      </c>
      <c r="AN229" s="38">
        <f>SUM($AA206:AN206)*AN206</f>
        <v>0</v>
      </c>
      <c r="AO229" s="38">
        <f>SUM($AA206:AO206)*AO206</f>
        <v>0</v>
      </c>
      <c r="AP229" s="38">
        <f>SUM($AA206:AP206)*AP206</f>
        <v>0</v>
      </c>
      <c r="AQ229" s="38">
        <f>SUM($AA206:AQ206)*AQ206</f>
        <v>0</v>
      </c>
      <c r="AR229" s="38">
        <f>SUM($AA206:AR206)*AR206</f>
        <v>0</v>
      </c>
      <c r="AS229" s="38">
        <f>SUM($AA206:AS206)*AS206</f>
        <v>0</v>
      </c>
      <c r="AT229" s="38">
        <f>SUM($AA206:AT206)*AT206</f>
        <v>0</v>
      </c>
      <c r="AU229" s="38">
        <f>SUM($AA206:AU206)*AU206</f>
        <v>0</v>
      </c>
      <c r="AV229" s="38">
        <f>SUM($AA206:AV206)*AV206</f>
        <v>0</v>
      </c>
      <c r="AW229" s="38">
        <f>SUM($AA206:AW206)*AW206</f>
        <v>0</v>
      </c>
      <c r="AX229" s="38">
        <f>SUM($AA206:AX206)*AX206</f>
        <v>0</v>
      </c>
      <c r="AY229" s="38">
        <f>SUM($AA206:AY206)*AY206</f>
        <v>0</v>
      </c>
      <c r="AZ229" s="38">
        <f>SUM($AA206:AZ206)*AZ206</f>
        <v>0</v>
      </c>
      <c r="BA229" s="38">
        <f>SUM($AA206:BA206)*BA206</f>
        <v>0</v>
      </c>
      <c r="BB229" s="38">
        <f>SUM($AA206:BB206)*BB206</f>
        <v>0</v>
      </c>
      <c r="BC229" s="38">
        <f>SUM($AA206:BC206)*BC206</f>
        <v>0</v>
      </c>
      <c r="BD229" s="38">
        <f>SUM($AA206:BD206)*BD206</f>
        <v>0</v>
      </c>
      <c r="BE229" s="38">
        <f>SUM($AA206:BE206)*BE206</f>
        <v>0</v>
      </c>
      <c r="BF229" s="38">
        <f>SUM($AA206:BF206)*BF206</f>
        <v>0</v>
      </c>
      <c r="BG229" s="38">
        <f>SUM($AA206:BG206)*BG206</f>
        <v>0</v>
      </c>
      <c r="BH229" s="38">
        <f>SUM($AA206:BH206)*BH206</f>
        <v>0</v>
      </c>
      <c r="BI229" s="38">
        <f>SUM($AA206:BI206)*BI206</f>
        <v>0</v>
      </c>
      <c r="BJ229" s="38">
        <f>SUM($AA206:BJ206)*BJ206</f>
        <v>0</v>
      </c>
      <c r="BK229" s="38">
        <f>SUM($AA206:BK206)*BK206</f>
        <v>0</v>
      </c>
      <c r="BL229" s="38">
        <f>SUM($AA206:BL206)*BL206</f>
        <v>0</v>
      </c>
      <c r="BM229" s="38">
        <f>SUM($AA206:BM206)*BM206</f>
        <v>0</v>
      </c>
      <c r="BN229" s="38">
        <f>SUM($AA206:BN206)*BN206</f>
        <v>0</v>
      </c>
      <c r="BO229" s="38">
        <f>SUM($AA206:BO206)*BO206</f>
        <v>0</v>
      </c>
      <c r="BP229" s="38">
        <f>SUM($AA206:BP206)*BP206</f>
        <v>0</v>
      </c>
      <c r="BQ229" s="38">
        <f>SUM($AA206:BQ206)*BQ206</f>
        <v>0</v>
      </c>
      <c r="BR229" s="38">
        <f>SUM($AA206:BR206)*BR206</f>
        <v>0</v>
      </c>
      <c r="BS229" s="38">
        <f>SUM($AA206:BS206)*BS206</f>
        <v>0</v>
      </c>
      <c r="BT229" s="38">
        <f>SUM($AA206:BT206)*BT206</f>
        <v>0</v>
      </c>
      <c r="BU229" s="38">
        <f>SUM($AA206:BU206)*BU206</f>
        <v>0</v>
      </c>
      <c r="BV229" s="38">
        <f>SUM($AA206:BV206)*BV206</f>
        <v>0</v>
      </c>
      <c r="BX229" s="106"/>
      <c r="BY229" s="106"/>
      <c r="BZ229" s="106"/>
      <c r="CA229" s="106"/>
      <c r="CB229" s="106"/>
      <c r="CC229" s="106"/>
      <c r="CD229" s="106"/>
      <c r="CE229" s="106"/>
      <c r="CF229" s="106"/>
      <c r="CG229" s="106"/>
      <c r="CH229" s="106"/>
      <c r="CI229" s="106"/>
      <c r="CK229" s="11"/>
      <c r="CM229" s="11"/>
      <c r="EX229" s="10" t="str">
        <f t="shared" si="186"/>
        <v/>
      </c>
    </row>
    <row r="230" spans="1:154" x14ac:dyDescent="0.35">
      <c r="B230" t="str">
        <f ca="1">Loans!B$14</f>
        <v>Loan 2</v>
      </c>
      <c r="D230" s="51">
        <f>Loans!D$14</f>
        <v>0</v>
      </c>
      <c r="E230"/>
      <c r="V230" s="106"/>
      <c r="W230" s="106"/>
      <c r="X230" s="106"/>
      <c r="Y230" s="106"/>
      <c r="AA230" s="38">
        <f>SUM($AA207:AA207)*AA207</f>
        <v>0</v>
      </c>
      <c r="AB230" s="38">
        <f>SUM($AA207:AB207)*AB207</f>
        <v>0</v>
      </c>
      <c r="AC230" s="38">
        <f>SUM($AA207:AC207)*AC207</f>
        <v>0</v>
      </c>
      <c r="AD230" s="38">
        <f>SUM($AA207:AD207)*AD207</f>
        <v>0</v>
      </c>
      <c r="AE230" s="38">
        <f>SUM($AA207:AE207)*AE207</f>
        <v>0</v>
      </c>
      <c r="AF230" s="38">
        <f>SUM($AA207:AF207)*AF207</f>
        <v>0</v>
      </c>
      <c r="AG230" s="38">
        <f>SUM($AA207:AG207)*AG207</f>
        <v>0</v>
      </c>
      <c r="AH230" s="38">
        <f>SUM($AA207:AH207)*AH207</f>
        <v>0</v>
      </c>
      <c r="AI230" s="38">
        <f>SUM($AA207:AI207)*AI207</f>
        <v>0</v>
      </c>
      <c r="AJ230" s="38">
        <f>SUM($AA207:AJ207)*AJ207</f>
        <v>0</v>
      </c>
      <c r="AK230" s="38">
        <f>SUM($AA207:AK207)*AK207</f>
        <v>0</v>
      </c>
      <c r="AL230" s="38">
        <f>SUM($AA207:AL207)*AL207</f>
        <v>0</v>
      </c>
      <c r="AM230" s="38">
        <f>SUM($AA207:AM207)*AM207</f>
        <v>0</v>
      </c>
      <c r="AN230" s="38">
        <f>SUM($AA207:AN207)*AN207</f>
        <v>0</v>
      </c>
      <c r="AO230" s="38">
        <f>SUM($AA207:AO207)*AO207</f>
        <v>0</v>
      </c>
      <c r="AP230" s="38">
        <f>SUM($AA207:AP207)*AP207</f>
        <v>0</v>
      </c>
      <c r="AQ230" s="38">
        <f>SUM($AA207:AQ207)*AQ207</f>
        <v>0</v>
      </c>
      <c r="AR230" s="38">
        <f>SUM($AA207:AR207)*AR207</f>
        <v>0</v>
      </c>
      <c r="AS230" s="38">
        <f>SUM($AA207:AS207)*AS207</f>
        <v>0</v>
      </c>
      <c r="AT230" s="38">
        <f>SUM($AA207:AT207)*AT207</f>
        <v>0</v>
      </c>
      <c r="AU230" s="38">
        <f>SUM($AA207:AU207)*AU207</f>
        <v>0</v>
      </c>
      <c r="AV230" s="38">
        <f>SUM($AA207:AV207)*AV207</f>
        <v>0</v>
      </c>
      <c r="AW230" s="38">
        <f>SUM($AA207:AW207)*AW207</f>
        <v>0</v>
      </c>
      <c r="AX230" s="38">
        <f>SUM($AA207:AX207)*AX207</f>
        <v>0</v>
      </c>
      <c r="AY230" s="38">
        <f>SUM($AA207:AY207)*AY207</f>
        <v>0</v>
      </c>
      <c r="AZ230" s="38">
        <f>SUM($AA207:AZ207)*AZ207</f>
        <v>0</v>
      </c>
      <c r="BA230" s="38">
        <f>SUM($AA207:BA207)*BA207</f>
        <v>0</v>
      </c>
      <c r="BB230" s="38">
        <f>SUM($AA207:BB207)*BB207</f>
        <v>0</v>
      </c>
      <c r="BC230" s="38">
        <f>SUM($AA207:BC207)*BC207</f>
        <v>0</v>
      </c>
      <c r="BD230" s="38">
        <f>SUM($AA207:BD207)*BD207</f>
        <v>0</v>
      </c>
      <c r="BE230" s="38">
        <f>SUM($AA207:BE207)*BE207</f>
        <v>0</v>
      </c>
      <c r="BF230" s="38">
        <f>SUM($AA207:BF207)*BF207</f>
        <v>0</v>
      </c>
      <c r="BG230" s="38">
        <f>SUM($AA207:BG207)*BG207</f>
        <v>0</v>
      </c>
      <c r="BH230" s="38">
        <f>SUM($AA207:BH207)*BH207</f>
        <v>0</v>
      </c>
      <c r="BI230" s="38">
        <f>SUM($AA207:BI207)*BI207</f>
        <v>0</v>
      </c>
      <c r="BJ230" s="38">
        <f>SUM($AA207:BJ207)*BJ207</f>
        <v>0</v>
      </c>
      <c r="BK230" s="38">
        <f>SUM($AA207:BK207)*BK207</f>
        <v>0</v>
      </c>
      <c r="BL230" s="38">
        <f>SUM($AA207:BL207)*BL207</f>
        <v>0</v>
      </c>
      <c r="BM230" s="38">
        <f>SUM($AA207:BM207)*BM207</f>
        <v>0</v>
      </c>
      <c r="BN230" s="38">
        <f>SUM($AA207:BN207)*BN207</f>
        <v>0</v>
      </c>
      <c r="BO230" s="38">
        <f>SUM($AA207:BO207)*BO207</f>
        <v>0</v>
      </c>
      <c r="BP230" s="38">
        <f>SUM($AA207:BP207)*BP207</f>
        <v>0</v>
      </c>
      <c r="BQ230" s="38">
        <f>SUM($AA207:BQ207)*BQ207</f>
        <v>0</v>
      </c>
      <c r="BR230" s="38">
        <f>SUM($AA207:BR207)*BR207</f>
        <v>0</v>
      </c>
      <c r="BS230" s="38">
        <f>SUM($AA207:BS207)*BS207</f>
        <v>0</v>
      </c>
      <c r="BT230" s="38">
        <f>SUM($AA207:BT207)*BT207</f>
        <v>0</v>
      </c>
      <c r="BU230" s="38">
        <f>SUM($AA207:BU207)*BU207</f>
        <v>0</v>
      </c>
      <c r="BV230" s="38">
        <f>SUM($AA207:BV207)*BV207</f>
        <v>0</v>
      </c>
      <c r="BX230" s="106"/>
      <c r="BY230" s="106"/>
      <c r="BZ230" s="106"/>
      <c r="CA230" s="106"/>
      <c r="CB230" s="106"/>
      <c r="CC230" s="106"/>
      <c r="CD230" s="106"/>
      <c r="CE230" s="106"/>
      <c r="CF230" s="106"/>
      <c r="CG230" s="106"/>
      <c r="CH230" s="106"/>
      <c r="CI230" s="106"/>
      <c r="CK230" s="11"/>
      <c r="CM230" s="11"/>
      <c r="EX230" s="10" t="str">
        <f t="shared" si="186"/>
        <v/>
      </c>
    </row>
    <row r="231" spans="1:154" x14ac:dyDescent="0.35">
      <c r="B231" t="str">
        <f ca="1">Loans!B$15</f>
        <v>Loan 3</v>
      </c>
      <c r="D231" s="51">
        <f>Loans!D$15</f>
        <v>0</v>
      </c>
      <c r="E231"/>
      <c r="V231" s="106"/>
      <c r="W231" s="106"/>
      <c r="X231" s="106"/>
      <c r="Y231" s="106"/>
      <c r="AA231" s="38">
        <f>SUM($AA208:AA208)*AA208</f>
        <v>0</v>
      </c>
      <c r="AB231" s="38">
        <f>SUM($AA208:AB208)*AB208</f>
        <v>0</v>
      </c>
      <c r="AC231" s="38">
        <f>SUM($AA208:AC208)*AC208</f>
        <v>0</v>
      </c>
      <c r="AD231" s="38">
        <f>SUM($AA208:AD208)*AD208</f>
        <v>0</v>
      </c>
      <c r="AE231" s="38">
        <f>SUM($AA208:AE208)*AE208</f>
        <v>0</v>
      </c>
      <c r="AF231" s="38">
        <f>SUM($AA208:AF208)*AF208</f>
        <v>0</v>
      </c>
      <c r="AG231" s="38">
        <f>SUM($AA208:AG208)*AG208</f>
        <v>0</v>
      </c>
      <c r="AH231" s="38">
        <f>SUM($AA208:AH208)*AH208</f>
        <v>0</v>
      </c>
      <c r="AI231" s="38">
        <f>SUM($AA208:AI208)*AI208</f>
        <v>0</v>
      </c>
      <c r="AJ231" s="38">
        <f>SUM($AA208:AJ208)*AJ208</f>
        <v>0</v>
      </c>
      <c r="AK231" s="38">
        <f>SUM($AA208:AK208)*AK208</f>
        <v>0</v>
      </c>
      <c r="AL231" s="38">
        <f>SUM($AA208:AL208)*AL208</f>
        <v>0</v>
      </c>
      <c r="AM231" s="38">
        <f>SUM($AA208:AM208)*AM208</f>
        <v>0</v>
      </c>
      <c r="AN231" s="38">
        <f>SUM($AA208:AN208)*AN208</f>
        <v>0</v>
      </c>
      <c r="AO231" s="38">
        <f>SUM($AA208:AO208)*AO208</f>
        <v>0</v>
      </c>
      <c r="AP231" s="38">
        <f>SUM($AA208:AP208)*AP208</f>
        <v>0</v>
      </c>
      <c r="AQ231" s="38">
        <f>SUM($AA208:AQ208)*AQ208</f>
        <v>0</v>
      </c>
      <c r="AR231" s="38">
        <f>SUM($AA208:AR208)*AR208</f>
        <v>0</v>
      </c>
      <c r="AS231" s="38">
        <f>SUM($AA208:AS208)*AS208</f>
        <v>0</v>
      </c>
      <c r="AT231" s="38">
        <f>SUM($AA208:AT208)*AT208</f>
        <v>0</v>
      </c>
      <c r="AU231" s="38">
        <f>SUM($AA208:AU208)*AU208</f>
        <v>0</v>
      </c>
      <c r="AV231" s="38">
        <f>SUM($AA208:AV208)*AV208</f>
        <v>0</v>
      </c>
      <c r="AW231" s="38">
        <f>SUM($AA208:AW208)*AW208</f>
        <v>0</v>
      </c>
      <c r="AX231" s="38">
        <f>SUM($AA208:AX208)*AX208</f>
        <v>0</v>
      </c>
      <c r="AY231" s="38">
        <f>SUM($AA208:AY208)*AY208</f>
        <v>0</v>
      </c>
      <c r="AZ231" s="38">
        <f>SUM($AA208:AZ208)*AZ208</f>
        <v>0</v>
      </c>
      <c r="BA231" s="38">
        <f>SUM($AA208:BA208)*BA208</f>
        <v>0</v>
      </c>
      <c r="BB231" s="38">
        <f>SUM($AA208:BB208)*BB208</f>
        <v>0</v>
      </c>
      <c r="BC231" s="38">
        <f>SUM($AA208:BC208)*BC208</f>
        <v>0</v>
      </c>
      <c r="BD231" s="38">
        <f>SUM($AA208:BD208)*BD208</f>
        <v>0</v>
      </c>
      <c r="BE231" s="38">
        <f>SUM($AA208:BE208)*BE208</f>
        <v>0</v>
      </c>
      <c r="BF231" s="38">
        <f>SUM($AA208:BF208)*BF208</f>
        <v>0</v>
      </c>
      <c r="BG231" s="38">
        <f>SUM($AA208:BG208)*BG208</f>
        <v>0</v>
      </c>
      <c r="BH231" s="38">
        <f>SUM($AA208:BH208)*BH208</f>
        <v>0</v>
      </c>
      <c r="BI231" s="38">
        <f>SUM($AA208:BI208)*BI208</f>
        <v>0</v>
      </c>
      <c r="BJ231" s="38">
        <f>SUM($AA208:BJ208)*BJ208</f>
        <v>0</v>
      </c>
      <c r="BK231" s="38">
        <f>SUM($AA208:BK208)*BK208</f>
        <v>0</v>
      </c>
      <c r="BL231" s="38">
        <f>SUM($AA208:BL208)*BL208</f>
        <v>0</v>
      </c>
      <c r="BM231" s="38">
        <f>SUM($AA208:BM208)*BM208</f>
        <v>0</v>
      </c>
      <c r="BN231" s="38">
        <f>SUM($AA208:BN208)*BN208</f>
        <v>0</v>
      </c>
      <c r="BO231" s="38">
        <f>SUM($AA208:BO208)*BO208</f>
        <v>0</v>
      </c>
      <c r="BP231" s="38">
        <f>SUM($AA208:BP208)*BP208</f>
        <v>0</v>
      </c>
      <c r="BQ231" s="38">
        <f>SUM($AA208:BQ208)*BQ208</f>
        <v>0</v>
      </c>
      <c r="BR231" s="38">
        <f>SUM($AA208:BR208)*BR208</f>
        <v>0</v>
      </c>
      <c r="BS231" s="38">
        <f>SUM($AA208:BS208)*BS208</f>
        <v>0</v>
      </c>
      <c r="BT231" s="38">
        <f>SUM($AA208:BT208)*BT208</f>
        <v>0</v>
      </c>
      <c r="BU231" s="38">
        <f>SUM($AA208:BU208)*BU208</f>
        <v>0</v>
      </c>
      <c r="BV231" s="38">
        <f>SUM($AA208:BV208)*BV208</f>
        <v>0</v>
      </c>
      <c r="BX231" s="106"/>
      <c r="BY231" s="106"/>
      <c r="BZ231" s="106"/>
      <c r="CA231" s="106"/>
      <c r="CB231" s="106"/>
      <c r="CC231" s="106"/>
      <c r="CD231" s="106"/>
      <c r="CE231" s="106"/>
      <c r="CF231" s="106"/>
      <c r="CG231" s="106"/>
      <c r="CH231" s="106"/>
      <c r="CI231" s="106"/>
      <c r="CK231" s="11"/>
      <c r="CM231" s="11"/>
      <c r="EX231" s="10" t="str">
        <f t="shared" si="186"/>
        <v/>
      </c>
    </row>
    <row r="232" spans="1:154" x14ac:dyDescent="0.35">
      <c r="B232" t="str">
        <f ca="1">Loans!B$16</f>
        <v>Loan 4</v>
      </c>
      <c r="D232" s="51">
        <f>Loans!D$16</f>
        <v>0</v>
      </c>
      <c r="E232"/>
      <c r="V232" s="106"/>
      <c r="W232" s="106"/>
      <c r="X232" s="106"/>
      <c r="Y232" s="106"/>
      <c r="AA232" s="38">
        <f>SUM($AA209:AA209)*AA209</f>
        <v>0</v>
      </c>
      <c r="AB232" s="38">
        <f>SUM($AA209:AB209)*AB209</f>
        <v>0</v>
      </c>
      <c r="AC232" s="38">
        <f>SUM($AA209:AC209)*AC209</f>
        <v>0</v>
      </c>
      <c r="AD232" s="38">
        <f>SUM($AA209:AD209)*AD209</f>
        <v>0</v>
      </c>
      <c r="AE232" s="38">
        <f>SUM($AA209:AE209)*AE209</f>
        <v>0</v>
      </c>
      <c r="AF232" s="38">
        <f>SUM($AA209:AF209)*AF209</f>
        <v>0</v>
      </c>
      <c r="AG232" s="38">
        <f>SUM($AA209:AG209)*AG209</f>
        <v>0</v>
      </c>
      <c r="AH232" s="38">
        <f>SUM($AA209:AH209)*AH209</f>
        <v>0</v>
      </c>
      <c r="AI232" s="38">
        <f>SUM($AA209:AI209)*AI209</f>
        <v>0</v>
      </c>
      <c r="AJ232" s="38">
        <f>SUM($AA209:AJ209)*AJ209</f>
        <v>0</v>
      </c>
      <c r="AK232" s="38">
        <f>SUM($AA209:AK209)*AK209</f>
        <v>0</v>
      </c>
      <c r="AL232" s="38">
        <f>SUM($AA209:AL209)*AL209</f>
        <v>0</v>
      </c>
      <c r="AM232" s="38">
        <f>SUM($AA209:AM209)*AM209</f>
        <v>0</v>
      </c>
      <c r="AN232" s="38">
        <f>SUM($AA209:AN209)*AN209</f>
        <v>0</v>
      </c>
      <c r="AO232" s="38">
        <f>SUM($AA209:AO209)*AO209</f>
        <v>0</v>
      </c>
      <c r="AP232" s="38">
        <f>SUM($AA209:AP209)*AP209</f>
        <v>0</v>
      </c>
      <c r="AQ232" s="38">
        <f>SUM($AA209:AQ209)*AQ209</f>
        <v>0</v>
      </c>
      <c r="AR232" s="38">
        <f>SUM($AA209:AR209)*AR209</f>
        <v>0</v>
      </c>
      <c r="AS232" s="38">
        <f>SUM($AA209:AS209)*AS209</f>
        <v>0</v>
      </c>
      <c r="AT232" s="38">
        <f>SUM($AA209:AT209)*AT209</f>
        <v>0</v>
      </c>
      <c r="AU232" s="38">
        <f>SUM($AA209:AU209)*AU209</f>
        <v>0</v>
      </c>
      <c r="AV232" s="38">
        <f>SUM($AA209:AV209)*AV209</f>
        <v>0</v>
      </c>
      <c r="AW232" s="38">
        <f>SUM($AA209:AW209)*AW209</f>
        <v>0</v>
      </c>
      <c r="AX232" s="38">
        <f>SUM($AA209:AX209)*AX209</f>
        <v>0</v>
      </c>
      <c r="AY232" s="38">
        <f>SUM($AA209:AY209)*AY209</f>
        <v>0</v>
      </c>
      <c r="AZ232" s="38">
        <f>SUM($AA209:AZ209)*AZ209</f>
        <v>0</v>
      </c>
      <c r="BA232" s="38">
        <f>SUM($AA209:BA209)*BA209</f>
        <v>0</v>
      </c>
      <c r="BB232" s="38">
        <f>SUM($AA209:BB209)*BB209</f>
        <v>0</v>
      </c>
      <c r="BC232" s="38">
        <f>SUM($AA209:BC209)*BC209</f>
        <v>0</v>
      </c>
      <c r="BD232" s="38">
        <f>SUM($AA209:BD209)*BD209</f>
        <v>0</v>
      </c>
      <c r="BE232" s="38">
        <f>SUM($AA209:BE209)*BE209</f>
        <v>0</v>
      </c>
      <c r="BF232" s="38">
        <f>SUM($AA209:BF209)*BF209</f>
        <v>0</v>
      </c>
      <c r="BG232" s="38">
        <f>SUM($AA209:BG209)*BG209</f>
        <v>0</v>
      </c>
      <c r="BH232" s="38">
        <f>SUM($AA209:BH209)*BH209</f>
        <v>0</v>
      </c>
      <c r="BI232" s="38">
        <f>SUM($AA209:BI209)*BI209</f>
        <v>0</v>
      </c>
      <c r="BJ232" s="38">
        <f>SUM($AA209:BJ209)*BJ209</f>
        <v>0</v>
      </c>
      <c r="BK232" s="38">
        <f>SUM($AA209:BK209)*BK209</f>
        <v>0</v>
      </c>
      <c r="BL232" s="38">
        <f>SUM($AA209:BL209)*BL209</f>
        <v>0</v>
      </c>
      <c r="BM232" s="38">
        <f>SUM($AA209:BM209)*BM209</f>
        <v>0</v>
      </c>
      <c r="BN232" s="38">
        <f>SUM($AA209:BN209)*BN209</f>
        <v>0</v>
      </c>
      <c r="BO232" s="38">
        <f>SUM($AA209:BO209)*BO209</f>
        <v>0</v>
      </c>
      <c r="BP232" s="38">
        <f>SUM($AA209:BP209)*BP209</f>
        <v>0</v>
      </c>
      <c r="BQ232" s="38">
        <f>SUM($AA209:BQ209)*BQ209</f>
        <v>0</v>
      </c>
      <c r="BR232" s="38">
        <f>SUM($AA209:BR209)*BR209</f>
        <v>0</v>
      </c>
      <c r="BS232" s="38">
        <f>SUM($AA209:BS209)*BS209</f>
        <v>0</v>
      </c>
      <c r="BT232" s="38">
        <f>SUM($AA209:BT209)*BT209</f>
        <v>0</v>
      </c>
      <c r="BU232" s="38">
        <f>SUM($AA209:BU209)*BU209</f>
        <v>0</v>
      </c>
      <c r="BV232" s="38">
        <f>SUM($AA209:BV209)*BV209</f>
        <v>0</v>
      </c>
      <c r="BX232" s="106"/>
      <c r="BY232" s="106"/>
      <c r="BZ232" s="106"/>
      <c r="CA232" s="106"/>
      <c r="CB232" s="106"/>
      <c r="CC232" s="106"/>
      <c r="CD232" s="106"/>
      <c r="CE232" s="106"/>
      <c r="CF232" s="106"/>
      <c r="CG232" s="106"/>
      <c r="CH232" s="106"/>
      <c r="CI232" s="106"/>
      <c r="CK232" s="11"/>
      <c r="CM232" s="11"/>
      <c r="EX232" s="10" t="str">
        <f t="shared" si="186"/>
        <v/>
      </c>
    </row>
    <row r="233" spans="1:154" x14ac:dyDescent="0.35">
      <c r="B233" t="str">
        <f ca="1">Loans!B$17</f>
        <v>Loan 5</v>
      </c>
      <c r="D233" s="51">
        <f>Loans!D$17</f>
        <v>0</v>
      </c>
      <c r="E233"/>
      <c r="V233" s="106"/>
      <c r="W233" s="106"/>
      <c r="X233" s="106"/>
      <c r="Y233" s="106"/>
      <c r="AA233" s="38">
        <f>SUM($AA210:AA210)*AA210</f>
        <v>0</v>
      </c>
      <c r="AB233" s="38">
        <f>SUM($AA210:AB210)*AB210</f>
        <v>0</v>
      </c>
      <c r="AC233" s="38">
        <f>SUM($AA210:AC210)*AC210</f>
        <v>0</v>
      </c>
      <c r="AD233" s="38">
        <f>SUM($AA210:AD210)*AD210</f>
        <v>0</v>
      </c>
      <c r="AE233" s="38">
        <f>SUM($AA210:AE210)*AE210</f>
        <v>0</v>
      </c>
      <c r="AF233" s="38">
        <f>SUM($AA210:AF210)*AF210</f>
        <v>0</v>
      </c>
      <c r="AG233" s="38">
        <f>SUM($AA210:AG210)*AG210</f>
        <v>0</v>
      </c>
      <c r="AH233" s="38">
        <f>SUM($AA210:AH210)*AH210</f>
        <v>0</v>
      </c>
      <c r="AI233" s="38">
        <f>SUM($AA210:AI210)*AI210</f>
        <v>0</v>
      </c>
      <c r="AJ233" s="38">
        <f>SUM($AA210:AJ210)*AJ210</f>
        <v>0</v>
      </c>
      <c r="AK233" s="38">
        <f>SUM($AA210:AK210)*AK210</f>
        <v>0</v>
      </c>
      <c r="AL233" s="38">
        <f>SUM($AA210:AL210)*AL210</f>
        <v>0</v>
      </c>
      <c r="AM233" s="38">
        <f>SUM($AA210:AM210)*AM210</f>
        <v>0</v>
      </c>
      <c r="AN233" s="38">
        <f>SUM($AA210:AN210)*AN210</f>
        <v>0</v>
      </c>
      <c r="AO233" s="38">
        <f>SUM($AA210:AO210)*AO210</f>
        <v>0</v>
      </c>
      <c r="AP233" s="38">
        <f>SUM($AA210:AP210)*AP210</f>
        <v>0</v>
      </c>
      <c r="AQ233" s="38">
        <f>SUM($AA210:AQ210)*AQ210</f>
        <v>0</v>
      </c>
      <c r="AR233" s="38">
        <f>SUM($AA210:AR210)*AR210</f>
        <v>0</v>
      </c>
      <c r="AS233" s="38">
        <f>SUM($AA210:AS210)*AS210</f>
        <v>0</v>
      </c>
      <c r="AT233" s="38">
        <f>SUM($AA210:AT210)*AT210</f>
        <v>0</v>
      </c>
      <c r="AU233" s="38">
        <f>SUM($AA210:AU210)*AU210</f>
        <v>0</v>
      </c>
      <c r="AV233" s="38">
        <f>SUM($AA210:AV210)*AV210</f>
        <v>0</v>
      </c>
      <c r="AW233" s="38">
        <f>SUM($AA210:AW210)*AW210</f>
        <v>0</v>
      </c>
      <c r="AX233" s="38">
        <f>SUM($AA210:AX210)*AX210</f>
        <v>0</v>
      </c>
      <c r="AY233" s="38">
        <f>SUM($AA210:AY210)*AY210</f>
        <v>0</v>
      </c>
      <c r="AZ233" s="38">
        <f>SUM($AA210:AZ210)*AZ210</f>
        <v>0</v>
      </c>
      <c r="BA233" s="38">
        <f>SUM($AA210:BA210)*BA210</f>
        <v>0</v>
      </c>
      <c r="BB233" s="38">
        <f>SUM($AA210:BB210)*BB210</f>
        <v>0</v>
      </c>
      <c r="BC233" s="38">
        <f>SUM($AA210:BC210)*BC210</f>
        <v>0</v>
      </c>
      <c r="BD233" s="38">
        <f>SUM($AA210:BD210)*BD210</f>
        <v>0</v>
      </c>
      <c r="BE233" s="38">
        <f>SUM($AA210:BE210)*BE210</f>
        <v>0</v>
      </c>
      <c r="BF233" s="38">
        <f>SUM($AA210:BF210)*BF210</f>
        <v>0</v>
      </c>
      <c r="BG233" s="38">
        <f>SUM($AA210:BG210)*BG210</f>
        <v>0</v>
      </c>
      <c r="BH233" s="38">
        <f>SUM($AA210:BH210)*BH210</f>
        <v>0</v>
      </c>
      <c r="BI233" s="38">
        <f>SUM($AA210:BI210)*BI210</f>
        <v>0</v>
      </c>
      <c r="BJ233" s="38">
        <f>SUM($AA210:BJ210)*BJ210</f>
        <v>0</v>
      </c>
      <c r="BK233" s="38">
        <f>SUM($AA210:BK210)*BK210</f>
        <v>0</v>
      </c>
      <c r="BL233" s="38">
        <f>SUM($AA210:BL210)*BL210</f>
        <v>0</v>
      </c>
      <c r="BM233" s="38">
        <f>SUM($AA210:BM210)*BM210</f>
        <v>0</v>
      </c>
      <c r="BN233" s="38">
        <f>SUM($AA210:BN210)*BN210</f>
        <v>0</v>
      </c>
      <c r="BO233" s="38">
        <f>SUM($AA210:BO210)*BO210</f>
        <v>0</v>
      </c>
      <c r="BP233" s="38">
        <f>SUM($AA210:BP210)*BP210</f>
        <v>0</v>
      </c>
      <c r="BQ233" s="38">
        <f>SUM($AA210:BQ210)*BQ210</f>
        <v>0</v>
      </c>
      <c r="BR233" s="38">
        <f>SUM($AA210:BR210)*BR210</f>
        <v>0</v>
      </c>
      <c r="BS233" s="38">
        <f>SUM($AA210:BS210)*BS210</f>
        <v>0</v>
      </c>
      <c r="BT233" s="38">
        <f>SUM($AA210:BT210)*BT210</f>
        <v>0</v>
      </c>
      <c r="BU233" s="38">
        <f>SUM($AA210:BU210)*BU210</f>
        <v>0</v>
      </c>
      <c r="BV233" s="38">
        <f>SUM($AA210:BV210)*BV210</f>
        <v>0</v>
      </c>
      <c r="BX233" s="106"/>
      <c r="BY233" s="106"/>
      <c r="BZ233" s="106"/>
      <c r="CA233" s="106"/>
      <c r="CB233" s="106"/>
      <c r="CC233" s="106"/>
      <c r="CD233" s="106"/>
      <c r="CE233" s="106"/>
      <c r="CF233" s="106"/>
      <c r="CG233" s="106"/>
      <c r="CH233" s="106"/>
      <c r="CI233" s="106"/>
      <c r="CK233" s="11"/>
      <c r="CM233" s="11"/>
      <c r="EX233" s="10" t="str">
        <f t="shared" si="186"/>
        <v/>
      </c>
    </row>
    <row r="234" spans="1:154" x14ac:dyDescent="0.35">
      <c r="B234" t="str">
        <f ca="1">Loans!B$18</f>
        <v>Loan 6</v>
      </c>
      <c r="D234" s="51">
        <f>Loans!D$18</f>
        <v>0</v>
      </c>
      <c r="E234"/>
      <c r="V234" s="106"/>
      <c r="W234" s="106"/>
      <c r="X234" s="106"/>
      <c r="Y234" s="106"/>
      <c r="AA234" s="38">
        <f>SUM($AA211:AA211)*AA211</f>
        <v>0</v>
      </c>
      <c r="AB234" s="38">
        <f>SUM($AA211:AB211)*AB211</f>
        <v>0</v>
      </c>
      <c r="AC234" s="38">
        <f>SUM($AA211:AC211)*AC211</f>
        <v>0</v>
      </c>
      <c r="AD234" s="38">
        <f>SUM($AA211:AD211)*AD211</f>
        <v>0</v>
      </c>
      <c r="AE234" s="38">
        <f>SUM($AA211:AE211)*AE211</f>
        <v>0</v>
      </c>
      <c r="AF234" s="38">
        <f>SUM($AA211:AF211)*AF211</f>
        <v>0</v>
      </c>
      <c r="AG234" s="38">
        <f>SUM($AA211:AG211)*AG211</f>
        <v>0</v>
      </c>
      <c r="AH234" s="38">
        <f>SUM($AA211:AH211)*AH211</f>
        <v>0</v>
      </c>
      <c r="AI234" s="38">
        <f>SUM($AA211:AI211)*AI211</f>
        <v>0</v>
      </c>
      <c r="AJ234" s="38">
        <f>SUM($AA211:AJ211)*AJ211</f>
        <v>0</v>
      </c>
      <c r="AK234" s="38">
        <f>SUM($AA211:AK211)*AK211</f>
        <v>0</v>
      </c>
      <c r="AL234" s="38">
        <f>SUM($AA211:AL211)*AL211</f>
        <v>0</v>
      </c>
      <c r="AM234" s="38">
        <f>SUM($AA211:AM211)*AM211</f>
        <v>0</v>
      </c>
      <c r="AN234" s="38">
        <f>SUM($AA211:AN211)*AN211</f>
        <v>0</v>
      </c>
      <c r="AO234" s="38">
        <f>SUM($AA211:AO211)*AO211</f>
        <v>0</v>
      </c>
      <c r="AP234" s="38">
        <f>SUM($AA211:AP211)*AP211</f>
        <v>0</v>
      </c>
      <c r="AQ234" s="38">
        <f>SUM($AA211:AQ211)*AQ211</f>
        <v>0</v>
      </c>
      <c r="AR234" s="38">
        <f>SUM($AA211:AR211)*AR211</f>
        <v>0</v>
      </c>
      <c r="AS234" s="38">
        <f>SUM($AA211:AS211)*AS211</f>
        <v>0</v>
      </c>
      <c r="AT234" s="38">
        <f>SUM($AA211:AT211)*AT211</f>
        <v>0</v>
      </c>
      <c r="AU234" s="38">
        <f>SUM($AA211:AU211)*AU211</f>
        <v>0</v>
      </c>
      <c r="AV234" s="38">
        <f>SUM($AA211:AV211)*AV211</f>
        <v>0</v>
      </c>
      <c r="AW234" s="38">
        <f>SUM($AA211:AW211)*AW211</f>
        <v>0</v>
      </c>
      <c r="AX234" s="38">
        <f>SUM($AA211:AX211)*AX211</f>
        <v>0</v>
      </c>
      <c r="AY234" s="38">
        <f>SUM($AA211:AY211)*AY211</f>
        <v>0</v>
      </c>
      <c r="AZ234" s="38">
        <f>SUM($AA211:AZ211)*AZ211</f>
        <v>0</v>
      </c>
      <c r="BA234" s="38">
        <f>SUM($AA211:BA211)*BA211</f>
        <v>0</v>
      </c>
      <c r="BB234" s="38">
        <f>SUM($AA211:BB211)*BB211</f>
        <v>0</v>
      </c>
      <c r="BC234" s="38">
        <f>SUM($AA211:BC211)*BC211</f>
        <v>0</v>
      </c>
      <c r="BD234" s="38">
        <f>SUM($AA211:BD211)*BD211</f>
        <v>0</v>
      </c>
      <c r="BE234" s="38">
        <f>SUM($AA211:BE211)*BE211</f>
        <v>0</v>
      </c>
      <c r="BF234" s="38">
        <f>SUM($AA211:BF211)*BF211</f>
        <v>0</v>
      </c>
      <c r="BG234" s="38">
        <f>SUM($AA211:BG211)*BG211</f>
        <v>0</v>
      </c>
      <c r="BH234" s="38">
        <f>SUM($AA211:BH211)*BH211</f>
        <v>0</v>
      </c>
      <c r="BI234" s="38">
        <f>SUM($AA211:BI211)*BI211</f>
        <v>0</v>
      </c>
      <c r="BJ234" s="38">
        <f>SUM($AA211:BJ211)*BJ211</f>
        <v>0</v>
      </c>
      <c r="BK234" s="38">
        <f>SUM($AA211:BK211)*BK211</f>
        <v>0</v>
      </c>
      <c r="BL234" s="38">
        <f>SUM($AA211:BL211)*BL211</f>
        <v>0</v>
      </c>
      <c r="BM234" s="38">
        <f>SUM($AA211:BM211)*BM211</f>
        <v>0</v>
      </c>
      <c r="BN234" s="38">
        <f>SUM($AA211:BN211)*BN211</f>
        <v>0</v>
      </c>
      <c r="BO234" s="38">
        <f>SUM($AA211:BO211)*BO211</f>
        <v>0</v>
      </c>
      <c r="BP234" s="38">
        <f>SUM($AA211:BP211)*BP211</f>
        <v>0</v>
      </c>
      <c r="BQ234" s="38">
        <f>SUM($AA211:BQ211)*BQ211</f>
        <v>0</v>
      </c>
      <c r="BR234" s="38">
        <f>SUM($AA211:BR211)*BR211</f>
        <v>0</v>
      </c>
      <c r="BS234" s="38">
        <f>SUM($AA211:BS211)*BS211</f>
        <v>0</v>
      </c>
      <c r="BT234" s="38">
        <f>SUM($AA211:BT211)*BT211</f>
        <v>0</v>
      </c>
      <c r="BU234" s="38">
        <f>SUM($AA211:BU211)*BU211</f>
        <v>0</v>
      </c>
      <c r="BV234" s="38">
        <f>SUM($AA211:BV211)*BV211</f>
        <v>0</v>
      </c>
      <c r="BX234" s="106"/>
      <c r="BY234" s="106"/>
      <c r="BZ234" s="106"/>
      <c r="CA234" s="106"/>
      <c r="CB234" s="106"/>
      <c r="CC234" s="106"/>
      <c r="CD234" s="106"/>
      <c r="CE234" s="106"/>
      <c r="CF234" s="106"/>
      <c r="CG234" s="106"/>
      <c r="CH234" s="106"/>
      <c r="CI234" s="106"/>
      <c r="CK234" s="11"/>
      <c r="CM234" s="11"/>
      <c r="EX234" s="10" t="str">
        <f t="shared" si="186"/>
        <v/>
      </c>
    </row>
    <row r="235" spans="1:154" s="5" customFormat="1" x14ac:dyDescent="0.35">
      <c r="A235"/>
      <c r="B235" t="str">
        <f ca="1">Loans!B$19</f>
        <v>Loan 7</v>
      </c>
      <c r="D235" s="51">
        <f>Loans!D$19</f>
        <v>0</v>
      </c>
      <c r="E235"/>
      <c r="F235"/>
      <c r="G235"/>
      <c r="H235"/>
      <c r="I235"/>
      <c r="J235"/>
      <c r="K235"/>
      <c r="M235"/>
      <c r="N235"/>
      <c r="O235"/>
      <c r="P235"/>
      <c r="Q235"/>
      <c r="S235"/>
      <c r="T235"/>
      <c r="U235"/>
      <c r="V235" s="106"/>
      <c r="W235" s="106"/>
      <c r="X235" s="106"/>
      <c r="Y235" s="106"/>
      <c r="Z235"/>
      <c r="AA235" s="38">
        <f>SUM($AA212:AA212)*AA212</f>
        <v>0</v>
      </c>
      <c r="AB235" s="38">
        <f>SUM($AA212:AB212)*AB212</f>
        <v>0</v>
      </c>
      <c r="AC235" s="38">
        <f>SUM($AA212:AC212)*AC212</f>
        <v>0</v>
      </c>
      <c r="AD235" s="38">
        <f>SUM($AA212:AD212)*AD212</f>
        <v>0</v>
      </c>
      <c r="AE235" s="38">
        <f>SUM($AA212:AE212)*AE212</f>
        <v>0</v>
      </c>
      <c r="AF235" s="38">
        <f>SUM($AA212:AF212)*AF212</f>
        <v>0</v>
      </c>
      <c r="AG235" s="38">
        <f>SUM($AA212:AG212)*AG212</f>
        <v>0</v>
      </c>
      <c r="AH235" s="38">
        <f>SUM($AA212:AH212)*AH212</f>
        <v>0</v>
      </c>
      <c r="AI235" s="38">
        <f>SUM($AA212:AI212)*AI212</f>
        <v>0</v>
      </c>
      <c r="AJ235" s="38">
        <f>SUM($AA212:AJ212)*AJ212</f>
        <v>0</v>
      </c>
      <c r="AK235" s="38">
        <f>SUM($AA212:AK212)*AK212</f>
        <v>0</v>
      </c>
      <c r="AL235" s="38">
        <f>SUM($AA212:AL212)*AL212</f>
        <v>0</v>
      </c>
      <c r="AM235" s="38">
        <f>SUM($AA212:AM212)*AM212</f>
        <v>0</v>
      </c>
      <c r="AN235" s="38">
        <f>SUM($AA212:AN212)*AN212</f>
        <v>0</v>
      </c>
      <c r="AO235" s="38">
        <f>SUM($AA212:AO212)*AO212</f>
        <v>0</v>
      </c>
      <c r="AP235" s="38">
        <f>SUM($AA212:AP212)*AP212</f>
        <v>0</v>
      </c>
      <c r="AQ235" s="38">
        <f>SUM($AA212:AQ212)*AQ212</f>
        <v>0</v>
      </c>
      <c r="AR235" s="38">
        <f>SUM($AA212:AR212)*AR212</f>
        <v>0</v>
      </c>
      <c r="AS235" s="38">
        <f>SUM($AA212:AS212)*AS212</f>
        <v>0</v>
      </c>
      <c r="AT235" s="38">
        <f>SUM($AA212:AT212)*AT212</f>
        <v>0</v>
      </c>
      <c r="AU235" s="38">
        <f>SUM($AA212:AU212)*AU212</f>
        <v>0</v>
      </c>
      <c r="AV235" s="38">
        <f>SUM($AA212:AV212)*AV212</f>
        <v>0</v>
      </c>
      <c r="AW235" s="38">
        <f>SUM($AA212:AW212)*AW212</f>
        <v>0</v>
      </c>
      <c r="AX235" s="38">
        <f>SUM($AA212:AX212)*AX212</f>
        <v>0</v>
      </c>
      <c r="AY235" s="38">
        <f>SUM($AA212:AY212)*AY212</f>
        <v>0</v>
      </c>
      <c r="AZ235" s="38">
        <f>SUM($AA212:AZ212)*AZ212</f>
        <v>0</v>
      </c>
      <c r="BA235" s="38">
        <f>SUM($AA212:BA212)*BA212</f>
        <v>0</v>
      </c>
      <c r="BB235" s="38">
        <f>SUM($AA212:BB212)*BB212</f>
        <v>0</v>
      </c>
      <c r="BC235" s="38">
        <f>SUM($AA212:BC212)*BC212</f>
        <v>0</v>
      </c>
      <c r="BD235" s="38">
        <f>SUM($AA212:BD212)*BD212</f>
        <v>0</v>
      </c>
      <c r="BE235" s="38">
        <f>SUM($AA212:BE212)*BE212</f>
        <v>0</v>
      </c>
      <c r="BF235" s="38">
        <f>SUM($AA212:BF212)*BF212</f>
        <v>0</v>
      </c>
      <c r="BG235" s="38">
        <f>SUM($AA212:BG212)*BG212</f>
        <v>0</v>
      </c>
      <c r="BH235" s="38">
        <f>SUM($AA212:BH212)*BH212</f>
        <v>0</v>
      </c>
      <c r="BI235" s="38">
        <f>SUM($AA212:BI212)*BI212</f>
        <v>0</v>
      </c>
      <c r="BJ235" s="38">
        <f>SUM($AA212:BJ212)*BJ212</f>
        <v>0</v>
      </c>
      <c r="BK235" s="38">
        <f>SUM($AA212:BK212)*BK212</f>
        <v>0</v>
      </c>
      <c r="BL235" s="38">
        <f>SUM($AA212:BL212)*BL212</f>
        <v>0</v>
      </c>
      <c r="BM235" s="38">
        <f>SUM($AA212:BM212)*BM212</f>
        <v>0</v>
      </c>
      <c r="BN235" s="38">
        <f>SUM($AA212:BN212)*BN212</f>
        <v>0</v>
      </c>
      <c r="BO235" s="38">
        <f>SUM($AA212:BO212)*BO212</f>
        <v>0</v>
      </c>
      <c r="BP235" s="38">
        <f>SUM($AA212:BP212)*BP212</f>
        <v>0</v>
      </c>
      <c r="BQ235" s="38">
        <f>SUM($AA212:BQ212)*BQ212</f>
        <v>0</v>
      </c>
      <c r="BR235" s="38">
        <f>SUM($AA212:BR212)*BR212</f>
        <v>0</v>
      </c>
      <c r="BS235" s="38">
        <f>SUM($AA212:BS212)*BS212</f>
        <v>0</v>
      </c>
      <c r="BT235" s="38">
        <f>SUM($AA212:BT212)*BT212</f>
        <v>0</v>
      </c>
      <c r="BU235" s="38">
        <f>SUM($AA212:BU212)*BU212</f>
        <v>0</v>
      </c>
      <c r="BV235" s="38">
        <f>SUM($AA212:BV212)*BV212</f>
        <v>0</v>
      </c>
      <c r="BW235"/>
      <c r="BX235" s="106"/>
      <c r="BY235" s="106"/>
      <c r="BZ235" s="106"/>
      <c r="CA235" s="106"/>
      <c r="CB235" s="106"/>
      <c r="CC235" s="106"/>
      <c r="CD235" s="106"/>
      <c r="CE235" s="106"/>
      <c r="CF235" s="106"/>
      <c r="CG235" s="106"/>
      <c r="CH235" s="106"/>
      <c r="CI235" s="106"/>
      <c r="CJ235"/>
      <c r="CK235" s="11"/>
      <c r="CL235"/>
      <c r="CM235" s="11"/>
      <c r="EX235" s="10" t="str">
        <f t="shared" si="186"/>
        <v/>
      </c>
    </row>
    <row r="236" spans="1:154" x14ac:dyDescent="0.35">
      <c r="B236" t="str">
        <f ca="1">Loans!B$20</f>
        <v>Loan 8</v>
      </c>
      <c r="D236" s="51">
        <f>Loans!D$20</f>
        <v>0</v>
      </c>
      <c r="E236"/>
      <c r="V236" s="106"/>
      <c r="W236" s="106"/>
      <c r="X236" s="106"/>
      <c r="Y236" s="106"/>
      <c r="AA236" s="38">
        <f>SUM($AA213:AA213)*AA213</f>
        <v>0</v>
      </c>
      <c r="AB236" s="38">
        <f>SUM($AA213:AB213)*AB213</f>
        <v>0</v>
      </c>
      <c r="AC236" s="38">
        <f>SUM($AA213:AC213)*AC213</f>
        <v>0</v>
      </c>
      <c r="AD236" s="38">
        <f>SUM($AA213:AD213)*AD213</f>
        <v>0</v>
      </c>
      <c r="AE236" s="38">
        <f>SUM($AA213:AE213)*AE213</f>
        <v>0</v>
      </c>
      <c r="AF236" s="38">
        <f>SUM($AA213:AF213)*AF213</f>
        <v>0</v>
      </c>
      <c r="AG236" s="38">
        <f>SUM($AA213:AG213)*AG213</f>
        <v>0</v>
      </c>
      <c r="AH236" s="38">
        <f>SUM($AA213:AH213)*AH213</f>
        <v>0</v>
      </c>
      <c r="AI236" s="38">
        <f>SUM($AA213:AI213)*AI213</f>
        <v>0</v>
      </c>
      <c r="AJ236" s="38">
        <f>SUM($AA213:AJ213)*AJ213</f>
        <v>0</v>
      </c>
      <c r="AK236" s="38">
        <f>SUM($AA213:AK213)*AK213</f>
        <v>0</v>
      </c>
      <c r="AL236" s="38">
        <f>SUM($AA213:AL213)*AL213</f>
        <v>0</v>
      </c>
      <c r="AM236" s="38">
        <f>SUM($AA213:AM213)*AM213</f>
        <v>0</v>
      </c>
      <c r="AN236" s="38">
        <f>SUM($AA213:AN213)*AN213</f>
        <v>0</v>
      </c>
      <c r="AO236" s="38">
        <f>SUM($AA213:AO213)*AO213</f>
        <v>0</v>
      </c>
      <c r="AP236" s="38">
        <f>SUM($AA213:AP213)*AP213</f>
        <v>0</v>
      </c>
      <c r="AQ236" s="38">
        <f>SUM($AA213:AQ213)*AQ213</f>
        <v>0</v>
      </c>
      <c r="AR236" s="38">
        <f>SUM($AA213:AR213)*AR213</f>
        <v>0</v>
      </c>
      <c r="AS236" s="38">
        <f>SUM($AA213:AS213)*AS213</f>
        <v>0</v>
      </c>
      <c r="AT236" s="38">
        <f>SUM($AA213:AT213)*AT213</f>
        <v>0</v>
      </c>
      <c r="AU236" s="38">
        <f>SUM($AA213:AU213)*AU213</f>
        <v>0</v>
      </c>
      <c r="AV236" s="38">
        <f>SUM($AA213:AV213)*AV213</f>
        <v>0</v>
      </c>
      <c r="AW236" s="38">
        <f>SUM($AA213:AW213)*AW213</f>
        <v>0</v>
      </c>
      <c r="AX236" s="38">
        <f>SUM($AA213:AX213)*AX213</f>
        <v>0</v>
      </c>
      <c r="AY236" s="38">
        <f>SUM($AA213:AY213)*AY213</f>
        <v>0</v>
      </c>
      <c r="AZ236" s="38">
        <f>SUM($AA213:AZ213)*AZ213</f>
        <v>0</v>
      </c>
      <c r="BA236" s="38">
        <f>SUM($AA213:BA213)*BA213</f>
        <v>0</v>
      </c>
      <c r="BB236" s="38">
        <f>SUM($AA213:BB213)*BB213</f>
        <v>0</v>
      </c>
      <c r="BC236" s="38">
        <f>SUM($AA213:BC213)*BC213</f>
        <v>0</v>
      </c>
      <c r="BD236" s="38">
        <f>SUM($AA213:BD213)*BD213</f>
        <v>0</v>
      </c>
      <c r="BE236" s="38">
        <f>SUM($AA213:BE213)*BE213</f>
        <v>0</v>
      </c>
      <c r="BF236" s="38">
        <f>SUM($AA213:BF213)*BF213</f>
        <v>0</v>
      </c>
      <c r="BG236" s="38">
        <f>SUM($AA213:BG213)*BG213</f>
        <v>0</v>
      </c>
      <c r="BH236" s="38">
        <f>SUM($AA213:BH213)*BH213</f>
        <v>0</v>
      </c>
      <c r="BI236" s="38">
        <f>SUM($AA213:BI213)*BI213</f>
        <v>0</v>
      </c>
      <c r="BJ236" s="38">
        <f>SUM($AA213:BJ213)*BJ213</f>
        <v>0</v>
      </c>
      <c r="BK236" s="38">
        <f>SUM($AA213:BK213)*BK213</f>
        <v>0</v>
      </c>
      <c r="BL236" s="38">
        <f>SUM($AA213:BL213)*BL213</f>
        <v>0</v>
      </c>
      <c r="BM236" s="38">
        <f>SUM($AA213:BM213)*BM213</f>
        <v>0</v>
      </c>
      <c r="BN236" s="38">
        <f>SUM($AA213:BN213)*BN213</f>
        <v>0</v>
      </c>
      <c r="BO236" s="38">
        <f>SUM($AA213:BO213)*BO213</f>
        <v>0</v>
      </c>
      <c r="BP236" s="38">
        <f>SUM($AA213:BP213)*BP213</f>
        <v>0</v>
      </c>
      <c r="BQ236" s="38">
        <f>SUM($AA213:BQ213)*BQ213</f>
        <v>0</v>
      </c>
      <c r="BR236" s="38">
        <f>SUM($AA213:BR213)*BR213</f>
        <v>0</v>
      </c>
      <c r="BS236" s="38">
        <f>SUM($AA213:BS213)*BS213</f>
        <v>0</v>
      </c>
      <c r="BT236" s="38">
        <f>SUM($AA213:BT213)*BT213</f>
        <v>0</v>
      </c>
      <c r="BU236" s="38">
        <f>SUM($AA213:BU213)*BU213</f>
        <v>0</v>
      </c>
      <c r="BV236" s="38">
        <f>SUM($AA213:BV213)*BV213</f>
        <v>0</v>
      </c>
      <c r="BX236" s="106"/>
      <c r="BY236" s="106"/>
      <c r="BZ236" s="106"/>
      <c r="CA236" s="106"/>
      <c r="CB236" s="106"/>
      <c r="CC236" s="106"/>
      <c r="CD236" s="106"/>
      <c r="CE236" s="106"/>
      <c r="CF236" s="106"/>
      <c r="CG236" s="106"/>
      <c r="CH236" s="106"/>
      <c r="CI236" s="106"/>
      <c r="CK236" s="11"/>
      <c r="CM236" s="11"/>
      <c r="EX236" s="10" t="str">
        <f t="shared" si="186"/>
        <v/>
      </c>
    </row>
    <row r="237" spans="1:154" x14ac:dyDescent="0.35">
      <c r="B237" t="str">
        <f ca="1">Loans!B$21</f>
        <v>Loan 9</v>
      </c>
      <c r="D237" s="51">
        <f>Loans!D$21</f>
        <v>0</v>
      </c>
      <c r="E237"/>
      <c r="V237" s="106"/>
      <c r="W237" s="106"/>
      <c r="X237" s="106"/>
      <c r="Y237" s="106"/>
      <c r="AA237" s="38">
        <f>SUM($AA214:AA214)*AA214</f>
        <v>0</v>
      </c>
      <c r="AB237" s="38">
        <f>SUM($AA214:AB214)*AB214</f>
        <v>0</v>
      </c>
      <c r="AC237" s="38">
        <f>SUM($AA214:AC214)*AC214</f>
        <v>0</v>
      </c>
      <c r="AD237" s="38">
        <f>SUM($AA214:AD214)*AD214</f>
        <v>0</v>
      </c>
      <c r="AE237" s="38">
        <f>SUM($AA214:AE214)*AE214</f>
        <v>0</v>
      </c>
      <c r="AF237" s="38">
        <f>SUM($AA214:AF214)*AF214</f>
        <v>0</v>
      </c>
      <c r="AG237" s="38">
        <f>SUM($AA214:AG214)*AG214</f>
        <v>0</v>
      </c>
      <c r="AH237" s="38">
        <f>SUM($AA214:AH214)*AH214</f>
        <v>0</v>
      </c>
      <c r="AI237" s="38">
        <f>SUM($AA214:AI214)*AI214</f>
        <v>0</v>
      </c>
      <c r="AJ237" s="38">
        <f>SUM($AA214:AJ214)*AJ214</f>
        <v>0</v>
      </c>
      <c r="AK237" s="38">
        <f>SUM($AA214:AK214)*AK214</f>
        <v>0</v>
      </c>
      <c r="AL237" s="38">
        <f>SUM($AA214:AL214)*AL214</f>
        <v>0</v>
      </c>
      <c r="AM237" s="38">
        <f>SUM($AA214:AM214)*AM214</f>
        <v>0</v>
      </c>
      <c r="AN237" s="38">
        <f>SUM($AA214:AN214)*AN214</f>
        <v>0</v>
      </c>
      <c r="AO237" s="38">
        <f>SUM($AA214:AO214)*AO214</f>
        <v>0</v>
      </c>
      <c r="AP237" s="38">
        <f>SUM($AA214:AP214)*AP214</f>
        <v>0</v>
      </c>
      <c r="AQ237" s="38">
        <f>SUM($AA214:AQ214)*AQ214</f>
        <v>0</v>
      </c>
      <c r="AR237" s="38">
        <f>SUM($AA214:AR214)*AR214</f>
        <v>0</v>
      </c>
      <c r="AS237" s="38">
        <f>SUM($AA214:AS214)*AS214</f>
        <v>0</v>
      </c>
      <c r="AT237" s="38">
        <f>SUM($AA214:AT214)*AT214</f>
        <v>0</v>
      </c>
      <c r="AU237" s="38">
        <f>SUM($AA214:AU214)*AU214</f>
        <v>0</v>
      </c>
      <c r="AV237" s="38">
        <f>SUM($AA214:AV214)*AV214</f>
        <v>0</v>
      </c>
      <c r="AW237" s="38">
        <f>SUM($AA214:AW214)*AW214</f>
        <v>0</v>
      </c>
      <c r="AX237" s="38">
        <f>SUM($AA214:AX214)*AX214</f>
        <v>0</v>
      </c>
      <c r="AY237" s="38">
        <f>SUM($AA214:AY214)*AY214</f>
        <v>0</v>
      </c>
      <c r="AZ237" s="38">
        <f>SUM($AA214:AZ214)*AZ214</f>
        <v>0</v>
      </c>
      <c r="BA237" s="38">
        <f>SUM($AA214:BA214)*BA214</f>
        <v>0</v>
      </c>
      <c r="BB237" s="38">
        <f>SUM($AA214:BB214)*BB214</f>
        <v>0</v>
      </c>
      <c r="BC237" s="38">
        <f>SUM($AA214:BC214)*BC214</f>
        <v>0</v>
      </c>
      <c r="BD237" s="38">
        <f>SUM($AA214:BD214)*BD214</f>
        <v>0</v>
      </c>
      <c r="BE237" s="38">
        <f>SUM($AA214:BE214)*BE214</f>
        <v>0</v>
      </c>
      <c r="BF237" s="38">
        <f>SUM($AA214:BF214)*BF214</f>
        <v>0</v>
      </c>
      <c r="BG237" s="38">
        <f>SUM($AA214:BG214)*BG214</f>
        <v>0</v>
      </c>
      <c r="BH237" s="38">
        <f>SUM($AA214:BH214)*BH214</f>
        <v>0</v>
      </c>
      <c r="BI237" s="38">
        <f>SUM($AA214:BI214)*BI214</f>
        <v>0</v>
      </c>
      <c r="BJ237" s="38">
        <f>SUM($AA214:BJ214)*BJ214</f>
        <v>0</v>
      </c>
      <c r="BK237" s="38">
        <f>SUM($AA214:BK214)*BK214</f>
        <v>0</v>
      </c>
      <c r="BL237" s="38">
        <f>SUM($AA214:BL214)*BL214</f>
        <v>0</v>
      </c>
      <c r="BM237" s="38">
        <f>SUM($AA214:BM214)*BM214</f>
        <v>0</v>
      </c>
      <c r="BN237" s="38">
        <f>SUM($AA214:BN214)*BN214</f>
        <v>0</v>
      </c>
      <c r="BO237" s="38">
        <f>SUM($AA214:BO214)*BO214</f>
        <v>0</v>
      </c>
      <c r="BP237" s="38">
        <f>SUM($AA214:BP214)*BP214</f>
        <v>0</v>
      </c>
      <c r="BQ237" s="38">
        <f>SUM($AA214:BQ214)*BQ214</f>
        <v>0</v>
      </c>
      <c r="BR237" s="38">
        <f>SUM($AA214:BR214)*BR214</f>
        <v>0</v>
      </c>
      <c r="BS237" s="38">
        <f>SUM($AA214:BS214)*BS214</f>
        <v>0</v>
      </c>
      <c r="BT237" s="38">
        <f>SUM($AA214:BT214)*BT214</f>
        <v>0</v>
      </c>
      <c r="BU237" s="38">
        <f>SUM($AA214:BU214)*BU214</f>
        <v>0</v>
      </c>
      <c r="BV237" s="38">
        <f>SUM($AA214:BV214)*BV214</f>
        <v>0</v>
      </c>
      <c r="BX237" s="106"/>
      <c r="BY237" s="106"/>
      <c r="BZ237" s="106"/>
      <c r="CA237" s="106"/>
      <c r="CB237" s="106"/>
      <c r="CC237" s="106"/>
      <c r="CD237" s="106"/>
      <c r="CE237" s="106"/>
      <c r="CF237" s="106"/>
      <c r="CG237" s="106"/>
      <c r="CH237" s="106"/>
      <c r="CI237" s="106"/>
      <c r="CK237" s="11"/>
      <c r="CM237" s="11"/>
      <c r="EX237" s="10" t="str">
        <f t="shared" si="186"/>
        <v/>
      </c>
    </row>
    <row r="238" spans="1:154" x14ac:dyDescent="0.35">
      <c r="B238" t="str">
        <f ca="1">Loans!B$22</f>
        <v>Loan 10</v>
      </c>
      <c r="D238" s="51">
        <f>Loans!D$22</f>
        <v>0</v>
      </c>
      <c r="E238"/>
      <c r="V238" s="106"/>
      <c r="W238" s="106"/>
      <c r="X238" s="106"/>
      <c r="Y238" s="106"/>
      <c r="AA238" s="38">
        <f>SUM($AA215:AA215)*AA215</f>
        <v>0</v>
      </c>
      <c r="AB238" s="38">
        <f>SUM($AA215:AB215)*AB215</f>
        <v>0</v>
      </c>
      <c r="AC238" s="38">
        <f>SUM($AA215:AC215)*AC215</f>
        <v>0</v>
      </c>
      <c r="AD238" s="38">
        <f>SUM($AA215:AD215)*AD215</f>
        <v>0</v>
      </c>
      <c r="AE238" s="38">
        <f>SUM($AA215:AE215)*AE215</f>
        <v>0</v>
      </c>
      <c r="AF238" s="38">
        <f>SUM($AA215:AF215)*AF215</f>
        <v>0</v>
      </c>
      <c r="AG238" s="38">
        <f>SUM($AA215:AG215)*AG215</f>
        <v>0</v>
      </c>
      <c r="AH238" s="38">
        <f>SUM($AA215:AH215)*AH215</f>
        <v>0</v>
      </c>
      <c r="AI238" s="38">
        <f>SUM($AA215:AI215)*AI215</f>
        <v>0</v>
      </c>
      <c r="AJ238" s="38">
        <f>SUM($AA215:AJ215)*AJ215</f>
        <v>0</v>
      </c>
      <c r="AK238" s="38">
        <f>SUM($AA215:AK215)*AK215</f>
        <v>0</v>
      </c>
      <c r="AL238" s="38">
        <f>SUM($AA215:AL215)*AL215</f>
        <v>0</v>
      </c>
      <c r="AM238" s="38">
        <f>SUM($AA215:AM215)*AM215</f>
        <v>0</v>
      </c>
      <c r="AN238" s="38">
        <f>SUM($AA215:AN215)*AN215</f>
        <v>0</v>
      </c>
      <c r="AO238" s="38">
        <f>SUM($AA215:AO215)*AO215</f>
        <v>0</v>
      </c>
      <c r="AP238" s="38">
        <f>SUM($AA215:AP215)*AP215</f>
        <v>0</v>
      </c>
      <c r="AQ238" s="38">
        <f>SUM($AA215:AQ215)*AQ215</f>
        <v>0</v>
      </c>
      <c r="AR238" s="38">
        <f>SUM($AA215:AR215)*AR215</f>
        <v>0</v>
      </c>
      <c r="AS238" s="38">
        <f>SUM($AA215:AS215)*AS215</f>
        <v>0</v>
      </c>
      <c r="AT238" s="38">
        <f>SUM($AA215:AT215)*AT215</f>
        <v>0</v>
      </c>
      <c r="AU238" s="38">
        <f>SUM($AA215:AU215)*AU215</f>
        <v>0</v>
      </c>
      <c r="AV238" s="38">
        <f>SUM($AA215:AV215)*AV215</f>
        <v>0</v>
      </c>
      <c r="AW238" s="38">
        <f>SUM($AA215:AW215)*AW215</f>
        <v>0</v>
      </c>
      <c r="AX238" s="38">
        <f>SUM($AA215:AX215)*AX215</f>
        <v>0</v>
      </c>
      <c r="AY238" s="38">
        <f>SUM($AA215:AY215)*AY215</f>
        <v>0</v>
      </c>
      <c r="AZ238" s="38">
        <f>SUM($AA215:AZ215)*AZ215</f>
        <v>0</v>
      </c>
      <c r="BA238" s="38">
        <f>SUM($AA215:BA215)*BA215</f>
        <v>0</v>
      </c>
      <c r="BB238" s="38">
        <f>SUM($AA215:BB215)*BB215</f>
        <v>0</v>
      </c>
      <c r="BC238" s="38">
        <f>SUM($AA215:BC215)*BC215</f>
        <v>0</v>
      </c>
      <c r="BD238" s="38">
        <f>SUM($AA215:BD215)*BD215</f>
        <v>0</v>
      </c>
      <c r="BE238" s="38">
        <f>SUM($AA215:BE215)*BE215</f>
        <v>0</v>
      </c>
      <c r="BF238" s="38">
        <f>SUM($AA215:BF215)*BF215</f>
        <v>0</v>
      </c>
      <c r="BG238" s="38">
        <f>SUM($AA215:BG215)*BG215</f>
        <v>0</v>
      </c>
      <c r="BH238" s="38">
        <f>SUM($AA215:BH215)*BH215</f>
        <v>0</v>
      </c>
      <c r="BI238" s="38">
        <f>SUM($AA215:BI215)*BI215</f>
        <v>0</v>
      </c>
      <c r="BJ238" s="38">
        <f>SUM($AA215:BJ215)*BJ215</f>
        <v>0</v>
      </c>
      <c r="BK238" s="38">
        <f>SUM($AA215:BK215)*BK215</f>
        <v>0</v>
      </c>
      <c r="BL238" s="38">
        <f>SUM($AA215:BL215)*BL215</f>
        <v>0</v>
      </c>
      <c r="BM238" s="38">
        <f>SUM($AA215:BM215)*BM215</f>
        <v>0</v>
      </c>
      <c r="BN238" s="38">
        <f>SUM($AA215:BN215)*BN215</f>
        <v>0</v>
      </c>
      <c r="BO238" s="38">
        <f>SUM($AA215:BO215)*BO215</f>
        <v>0</v>
      </c>
      <c r="BP238" s="38">
        <f>SUM($AA215:BP215)*BP215</f>
        <v>0</v>
      </c>
      <c r="BQ238" s="38">
        <f>SUM($AA215:BQ215)*BQ215</f>
        <v>0</v>
      </c>
      <c r="BR238" s="38">
        <f>SUM($AA215:BR215)*BR215</f>
        <v>0</v>
      </c>
      <c r="BS238" s="38">
        <f>SUM($AA215:BS215)*BS215</f>
        <v>0</v>
      </c>
      <c r="BT238" s="38">
        <f>SUM($AA215:BT215)*BT215</f>
        <v>0</v>
      </c>
      <c r="BU238" s="38">
        <f>SUM($AA215:BU215)*BU215</f>
        <v>0</v>
      </c>
      <c r="BV238" s="38">
        <f>SUM($AA215:BV215)*BV215</f>
        <v>0</v>
      </c>
      <c r="BX238" s="106"/>
      <c r="BY238" s="106"/>
      <c r="BZ238" s="106"/>
      <c r="CA238" s="106"/>
      <c r="CB238" s="106"/>
      <c r="CC238" s="106"/>
      <c r="CD238" s="106"/>
      <c r="CE238" s="106"/>
      <c r="CF238" s="106"/>
      <c r="CG238" s="106"/>
      <c r="CH238" s="106"/>
      <c r="CI238" s="106"/>
      <c r="CK238" s="11"/>
      <c r="CM238" s="11"/>
      <c r="EX238" s="10" t="str">
        <f t="shared" si="186"/>
        <v/>
      </c>
    </row>
    <row r="239" spans="1:154" x14ac:dyDescent="0.35">
      <c r="B239" t="str">
        <f ca="1">Loans!B$23</f>
        <v>Loan 11</v>
      </c>
      <c r="D239" s="51">
        <f>Loans!D$23</f>
        <v>0</v>
      </c>
      <c r="E239"/>
      <c r="V239" s="106"/>
      <c r="W239" s="106"/>
      <c r="X239" s="106"/>
      <c r="Y239" s="106"/>
      <c r="AA239" s="38">
        <f>SUM($AA216:AA216)*AA216</f>
        <v>0</v>
      </c>
      <c r="AB239" s="38">
        <f>SUM($AA216:AB216)*AB216</f>
        <v>0</v>
      </c>
      <c r="AC239" s="38">
        <f>SUM($AA216:AC216)*AC216</f>
        <v>0</v>
      </c>
      <c r="AD239" s="38">
        <f>SUM($AA216:AD216)*AD216</f>
        <v>0</v>
      </c>
      <c r="AE239" s="38">
        <f>SUM($AA216:AE216)*AE216</f>
        <v>0</v>
      </c>
      <c r="AF239" s="38">
        <f>SUM($AA216:AF216)*AF216</f>
        <v>0</v>
      </c>
      <c r="AG239" s="38">
        <f>SUM($AA216:AG216)*AG216</f>
        <v>0</v>
      </c>
      <c r="AH239" s="38">
        <f>SUM($AA216:AH216)*AH216</f>
        <v>0</v>
      </c>
      <c r="AI239" s="38">
        <f>SUM($AA216:AI216)*AI216</f>
        <v>0</v>
      </c>
      <c r="AJ239" s="38">
        <f>SUM($AA216:AJ216)*AJ216</f>
        <v>0</v>
      </c>
      <c r="AK239" s="38">
        <f>SUM($AA216:AK216)*AK216</f>
        <v>0</v>
      </c>
      <c r="AL239" s="38">
        <f>SUM($AA216:AL216)*AL216</f>
        <v>0</v>
      </c>
      <c r="AM239" s="38">
        <f>SUM($AA216:AM216)*AM216</f>
        <v>0</v>
      </c>
      <c r="AN239" s="38">
        <f>SUM($AA216:AN216)*AN216</f>
        <v>0</v>
      </c>
      <c r="AO239" s="38">
        <f>SUM($AA216:AO216)*AO216</f>
        <v>0</v>
      </c>
      <c r="AP239" s="38">
        <f>SUM($AA216:AP216)*AP216</f>
        <v>0</v>
      </c>
      <c r="AQ239" s="38">
        <f>SUM($AA216:AQ216)*AQ216</f>
        <v>0</v>
      </c>
      <c r="AR239" s="38">
        <f>SUM($AA216:AR216)*AR216</f>
        <v>0</v>
      </c>
      <c r="AS239" s="38">
        <f>SUM($AA216:AS216)*AS216</f>
        <v>0</v>
      </c>
      <c r="AT239" s="38">
        <f>SUM($AA216:AT216)*AT216</f>
        <v>0</v>
      </c>
      <c r="AU239" s="38">
        <f>SUM($AA216:AU216)*AU216</f>
        <v>0</v>
      </c>
      <c r="AV239" s="38">
        <f>SUM($AA216:AV216)*AV216</f>
        <v>0</v>
      </c>
      <c r="AW239" s="38">
        <f>SUM($AA216:AW216)*AW216</f>
        <v>0</v>
      </c>
      <c r="AX239" s="38">
        <f>SUM($AA216:AX216)*AX216</f>
        <v>0</v>
      </c>
      <c r="AY239" s="38">
        <f>SUM($AA216:AY216)*AY216</f>
        <v>0</v>
      </c>
      <c r="AZ239" s="38">
        <f>SUM($AA216:AZ216)*AZ216</f>
        <v>0</v>
      </c>
      <c r="BA239" s="38">
        <f>SUM($AA216:BA216)*BA216</f>
        <v>0</v>
      </c>
      <c r="BB239" s="38">
        <f>SUM($AA216:BB216)*BB216</f>
        <v>0</v>
      </c>
      <c r="BC239" s="38">
        <f>SUM($AA216:BC216)*BC216</f>
        <v>0</v>
      </c>
      <c r="BD239" s="38">
        <f>SUM($AA216:BD216)*BD216</f>
        <v>0</v>
      </c>
      <c r="BE239" s="38">
        <f>SUM($AA216:BE216)*BE216</f>
        <v>0</v>
      </c>
      <c r="BF239" s="38">
        <f>SUM($AA216:BF216)*BF216</f>
        <v>0</v>
      </c>
      <c r="BG239" s="38">
        <f>SUM($AA216:BG216)*BG216</f>
        <v>0</v>
      </c>
      <c r="BH239" s="38">
        <f>SUM($AA216:BH216)*BH216</f>
        <v>0</v>
      </c>
      <c r="BI239" s="38">
        <f>SUM($AA216:BI216)*BI216</f>
        <v>0</v>
      </c>
      <c r="BJ239" s="38">
        <f>SUM($AA216:BJ216)*BJ216</f>
        <v>0</v>
      </c>
      <c r="BK239" s="38">
        <f>SUM($AA216:BK216)*BK216</f>
        <v>0</v>
      </c>
      <c r="BL239" s="38">
        <f>SUM($AA216:BL216)*BL216</f>
        <v>0</v>
      </c>
      <c r="BM239" s="38">
        <f>SUM($AA216:BM216)*BM216</f>
        <v>0</v>
      </c>
      <c r="BN239" s="38">
        <f>SUM($AA216:BN216)*BN216</f>
        <v>0</v>
      </c>
      <c r="BO239" s="38">
        <f>SUM($AA216:BO216)*BO216</f>
        <v>0</v>
      </c>
      <c r="BP239" s="38">
        <f>SUM($AA216:BP216)*BP216</f>
        <v>0</v>
      </c>
      <c r="BQ239" s="38">
        <f>SUM($AA216:BQ216)*BQ216</f>
        <v>0</v>
      </c>
      <c r="BR239" s="38">
        <f>SUM($AA216:BR216)*BR216</f>
        <v>0</v>
      </c>
      <c r="BS239" s="38">
        <f>SUM($AA216:BS216)*BS216</f>
        <v>0</v>
      </c>
      <c r="BT239" s="38">
        <f>SUM($AA216:BT216)*BT216</f>
        <v>0</v>
      </c>
      <c r="BU239" s="38">
        <f>SUM($AA216:BU216)*BU216</f>
        <v>0</v>
      </c>
      <c r="BV239" s="38">
        <f>SUM($AA216:BV216)*BV216</f>
        <v>0</v>
      </c>
      <c r="BX239" s="106"/>
      <c r="BY239" s="106"/>
      <c r="BZ239" s="106"/>
      <c r="CA239" s="106"/>
      <c r="CB239" s="106"/>
      <c r="CC239" s="106"/>
      <c r="CD239" s="106"/>
      <c r="CE239" s="106"/>
      <c r="CF239" s="106"/>
      <c r="CG239" s="106"/>
      <c r="CH239" s="106"/>
      <c r="CI239" s="106"/>
      <c r="CK239" s="11"/>
      <c r="CM239" s="11"/>
      <c r="EX239" s="10" t="str">
        <f t="shared" si="186"/>
        <v/>
      </c>
    </row>
    <row r="240" spans="1:154" x14ac:dyDescent="0.35">
      <c r="B240" t="str">
        <f ca="1">Loans!B$24</f>
        <v>Loan 12</v>
      </c>
      <c r="D240" s="51">
        <f>Loans!D$24</f>
        <v>0</v>
      </c>
      <c r="E240"/>
      <c r="V240" s="106"/>
      <c r="W240" s="106"/>
      <c r="X240" s="106"/>
      <c r="Y240" s="106"/>
      <c r="AA240" s="38">
        <f>SUM($AA217:AA217)*AA217</f>
        <v>0</v>
      </c>
      <c r="AB240" s="38">
        <f>SUM($AA217:AB217)*AB217</f>
        <v>0</v>
      </c>
      <c r="AC240" s="38">
        <f>SUM($AA217:AC217)*AC217</f>
        <v>0</v>
      </c>
      <c r="AD240" s="38">
        <f>SUM($AA217:AD217)*AD217</f>
        <v>0</v>
      </c>
      <c r="AE240" s="38">
        <f>SUM($AA217:AE217)*AE217</f>
        <v>0</v>
      </c>
      <c r="AF240" s="38">
        <f>SUM($AA217:AF217)*AF217</f>
        <v>0</v>
      </c>
      <c r="AG240" s="38">
        <f>SUM($AA217:AG217)*AG217</f>
        <v>0</v>
      </c>
      <c r="AH240" s="38">
        <f>SUM($AA217:AH217)*AH217</f>
        <v>0</v>
      </c>
      <c r="AI240" s="38">
        <f>SUM($AA217:AI217)*AI217</f>
        <v>0</v>
      </c>
      <c r="AJ240" s="38">
        <f>SUM($AA217:AJ217)*AJ217</f>
        <v>0</v>
      </c>
      <c r="AK240" s="38">
        <f>SUM($AA217:AK217)*AK217</f>
        <v>0</v>
      </c>
      <c r="AL240" s="38">
        <f>SUM($AA217:AL217)*AL217</f>
        <v>0</v>
      </c>
      <c r="AM240" s="38">
        <f>SUM($AA217:AM217)*AM217</f>
        <v>0</v>
      </c>
      <c r="AN240" s="38">
        <f>SUM($AA217:AN217)*AN217</f>
        <v>0</v>
      </c>
      <c r="AO240" s="38">
        <f>SUM($AA217:AO217)*AO217</f>
        <v>0</v>
      </c>
      <c r="AP240" s="38">
        <f>SUM($AA217:AP217)*AP217</f>
        <v>0</v>
      </c>
      <c r="AQ240" s="38">
        <f>SUM($AA217:AQ217)*AQ217</f>
        <v>0</v>
      </c>
      <c r="AR240" s="38">
        <f>SUM($AA217:AR217)*AR217</f>
        <v>0</v>
      </c>
      <c r="AS240" s="38">
        <f>SUM($AA217:AS217)*AS217</f>
        <v>0</v>
      </c>
      <c r="AT240" s="38">
        <f>SUM($AA217:AT217)*AT217</f>
        <v>0</v>
      </c>
      <c r="AU240" s="38">
        <f>SUM($AA217:AU217)*AU217</f>
        <v>0</v>
      </c>
      <c r="AV240" s="38">
        <f>SUM($AA217:AV217)*AV217</f>
        <v>0</v>
      </c>
      <c r="AW240" s="38">
        <f>SUM($AA217:AW217)*AW217</f>
        <v>0</v>
      </c>
      <c r="AX240" s="38">
        <f>SUM($AA217:AX217)*AX217</f>
        <v>0</v>
      </c>
      <c r="AY240" s="38">
        <f>SUM($AA217:AY217)*AY217</f>
        <v>0</v>
      </c>
      <c r="AZ240" s="38">
        <f>SUM($AA217:AZ217)*AZ217</f>
        <v>0</v>
      </c>
      <c r="BA240" s="38">
        <f>SUM($AA217:BA217)*BA217</f>
        <v>0</v>
      </c>
      <c r="BB240" s="38">
        <f>SUM($AA217:BB217)*BB217</f>
        <v>0</v>
      </c>
      <c r="BC240" s="38">
        <f>SUM($AA217:BC217)*BC217</f>
        <v>0</v>
      </c>
      <c r="BD240" s="38">
        <f>SUM($AA217:BD217)*BD217</f>
        <v>0</v>
      </c>
      <c r="BE240" s="38">
        <f>SUM($AA217:BE217)*BE217</f>
        <v>0</v>
      </c>
      <c r="BF240" s="38">
        <f>SUM($AA217:BF217)*BF217</f>
        <v>0</v>
      </c>
      <c r="BG240" s="38">
        <f>SUM($AA217:BG217)*BG217</f>
        <v>0</v>
      </c>
      <c r="BH240" s="38">
        <f>SUM($AA217:BH217)*BH217</f>
        <v>0</v>
      </c>
      <c r="BI240" s="38">
        <f>SUM($AA217:BI217)*BI217</f>
        <v>0</v>
      </c>
      <c r="BJ240" s="38">
        <f>SUM($AA217:BJ217)*BJ217</f>
        <v>0</v>
      </c>
      <c r="BK240" s="38">
        <f>SUM($AA217:BK217)*BK217</f>
        <v>0</v>
      </c>
      <c r="BL240" s="38">
        <f>SUM($AA217:BL217)*BL217</f>
        <v>0</v>
      </c>
      <c r="BM240" s="38">
        <f>SUM($AA217:BM217)*BM217</f>
        <v>0</v>
      </c>
      <c r="BN240" s="38">
        <f>SUM($AA217:BN217)*BN217</f>
        <v>0</v>
      </c>
      <c r="BO240" s="38">
        <f>SUM($AA217:BO217)*BO217</f>
        <v>0</v>
      </c>
      <c r="BP240" s="38">
        <f>SUM($AA217:BP217)*BP217</f>
        <v>0</v>
      </c>
      <c r="BQ240" s="38">
        <f>SUM($AA217:BQ217)*BQ217</f>
        <v>0</v>
      </c>
      <c r="BR240" s="38">
        <f>SUM($AA217:BR217)*BR217</f>
        <v>0</v>
      </c>
      <c r="BS240" s="38">
        <f>SUM($AA217:BS217)*BS217</f>
        <v>0</v>
      </c>
      <c r="BT240" s="38">
        <f>SUM($AA217:BT217)*BT217</f>
        <v>0</v>
      </c>
      <c r="BU240" s="38">
        <f>SUM($AA217:BU217)*BU217</f>
        <v>0</v>
      </c>
      <c r="BV240" s="38">
        <f>SUM($AA217:BV217)*BV217</f>
        <v>0</v>
      </c>
      <c r="BX240" s="106"/>
      <c r="BY240" s="106"/>
      <c r="BZ240" s="106"/>
      <c r="CA240" s="106"/>
      <c r="CB240" s="106"/>
      <c r="CC240" s="106"/>
      <c r="CD240" s="106"/>
      <c r="CE240" s="106"/>
      <c r="CF240" s="106"/>
      <c r="CG240" s="106"/>
      <c r="CH240" s="106"/>
      <c r="CI240" s="106"/>
      <c r="CK240" s="11"/>
      <c r="CM240" s="11"/>
      <c r="EX240" s="10" t="str">
        <f t="shared" si="186"/>
        <v/>
      </c>
    </row>
    <row r="241" spans="2:154" x14ac:dyDescent="0.35">
      <c r="B241" t="str">
        <f ca="1">Loans!B$25</f>
        <v>Loan 13</v>
      </c>
      <c r="D241" s="51">
        <f>Loans!D$25</f>
        <v>0</v>
      </c>
      <c r="E241"/>
      <c r="V241" s="106"/>
      <c r="W241" s="106"/>
      <c r="X241" s="106"/>
      <c r="Y241" s="106"/>
      <c r="AA241" s="38">
        <f>SUM($AA218:AA218)*AA218</f>
        <v>0</v>
      </c>
      <c r="AB241" s="38">
        <f>SUM($AA218:AB218)*AB218</f>
        <v>0</v>
      </c>
      <c r="AC241" s="38">
        <f>SUM($AA218:AC218)*AC218</f>
        <v>0</v>
      </c>
      <c r="AD241" s="38">
        <f>SUM($AA218:AD218)*AD218</f>
        <v>0</v>
      </c>
      <c r="AE241" s="38">
        <f>SUM($AA218:AE218)*AE218</f>
        <v>0</v>
      </c>
      <c r="AF241" s="38">
        <f>SUM($AA218:AF218)*AF218</f>
        <v>0</v>
      </c>
      <c r="AG241" s="38">
        <f>SUM($AA218:AG218)*AG218</f>
        <v>0</v>
      </c>
      <c r="AH241" s="38">
        <f>SUM($AA218:AH218)*AH218</f>
        <v>0</v>
      </c>
      <c r="AI241" s="38">
        <f>SUM($AA218:AI218)*AI218</f>
        <v>0</v>
      </c>
      <c r="AJ241" s="38">
        <f>SUM($AA218:AJ218)*AJ218</f>
        <v>0</v>
      </c>
      <c r="AK241" s="38">
        <f>SUM($AA218:AK218)*AK218</f>
        <v>0</v>
      </c>
      <c r="AL241" s="38">
        <f>SUM($AA218:AL218)*AL218</f>
        <v>0</v>
      </c>
      <c r="AM241" s="38">
        <f>SUM($AA218:AM218)*AM218</f>
        <v>0</v>
      </c>
      <c r="AN241" s="38">
        <f>SUM($AA218:AN218)*AN218</f>
        <v>0</v>
      </c>
      <c r="AO241" s="38">
        <f>SUM($AA218:AO218)*AO218</f>
        <v>0</v>
      </c>
      <c r="AP241" s="38">
        <f>SUM($AA218:AP218)*AP218</f>
        <v>0</v>
      </c>
      <c r="AQ241" s="38">
        <f>SUM($AA218:AQ218)*AQ218</f>
        <v>0</v>
      </c>
      <c r="AR241" s="38">
        <f>SUM($AA218:AR218)*AR218</f>
        <v>0</v>
      </c>
      <c r="AS241" s="38">
        <f>SUM($AA218:AS218)*AS218</f>
        <v>0</v>
      </c>
      <c r="AT241" s="38">
        <f>SUM($AA218:AT218)*AT218</f>
        <v>0</v>
      </c>
      <c r="AU241" s="38">
        <f>SUM($AA218:AU218)*AU218</f>
        <v>0</v>
      </c>
      <c r="AV241" s="38">
        <f>SUM($AA218:AV218)*AV218</f>
        <v>0</v>
      </c>
      <c r="AW241" s="38">
        <f>SUM($AA218:AW218)*AW218</f>
        <v>0</v>
      </c>
      <c r="AX241" s="38">
        <f>SUM($AA218:AX218)*AX218</f>
        <v>0</v>
      </c>
      <c r="AY241" s="38">
        <f>SUM($AA218:AY218)*AY218</f>
        <v>0</v>
      </c>
      <c r="AZ241" s="38">
        <f>SUM($AA218:AZ218)*AZ218</f>
        <v>0</v>
      </c>
      <c r="BA241" s="38">
        <f>SUM($AA218:BA218)*BA218</f>
        <v>0</v>
      </c>
      <c r="BB241" s="38">
        <f>SUM($AA218:BB218)*BB218</f>
        <v>0</v>
      </c>
      <c r="BC241" s="38">
        <f>SUM($AA218:BC218)*BC218</f>
        <v>0</v>
      </c>
      <c r="BD241" s="38">
        <f>SUM($AA218:BD218)*BD218</f>
        <v>0</v>
      </c>
      <c r="BE241" s="38">
        <f>SUM($AA218:BE218)*BE218</f>
        <v>0</v>
      </c>
      <c r="BF241" s="38">
        <f>SUM($AA218:BF218)*BF218</f>
        <v>0</v>
      </c>
      <c r="BG241" s="38">
        <f>SUM($AA218:BG218)*BG218</f>
        <v>0</v>
      </c>
      <c r="BH241" s="38">
        <f>SUM($AA218:BH218)*BH218</f>
        <v>0</v>
      </c>
      <c r="BI241" s="38">
        <f>SUM($AA218:BI218)*BI218</f>
        <v>0</v>
      </c>
      <c r="BJ241" s="38">
        <f>SUM($AA218:BJ218)*BJ218</f>
        <v>0</v>
      </c>
      <c r="BK241" s="38">
        <f>SUM($AA218:BK218)*BK218</f>
        <v>0</v>
      </c>
      <c r="BL241" s="38">
        <f>SUM($AA218:BL218)*BL218</f>
        <v>0</v>
      </c>
      <c r="BM241" s="38">
        <f>SUM($AA218:BM218)*BM218</f>
        <v>0</v>
      </c>
      <c r="BN241" s="38">
        <f>SUM($AA218:BN218)*BN218</f>
        <v>0</v>
      </c>
      <c r="BO241" s="38">
        <f>SUM($AA218:BO218)*BO218</f>
        <v>0</v>
      </c>
      <c r="BP241" s="38">
        <f>SUM($AA218:BP218)*BP218</f>
        <v>0</v>
      </c>
      <c r="BQ241" s="38">
        <f>SUM($AA218:BQ218)*BQ218</f>
        <v>0</v>
      </c>
      <c r="BR241" s="38">
        <f>SUM($AA218:BR218)*BR218</f>
        <v>0</v>
      </c>
      <c r="BS241" s="38">
        <f>SUM($AA218:BS218)*BS218</f>
        <v>0</v>
      </c>
      <c r="BT241" s="38">
        <f>SUM($AA218:BT218)*BT218</f>
        <v>0</v>
      </c>
      <c r="BU241" s="38">
        <f>SUM($AA218:BU218)*BU218</f>
        <v>0</v>
      </c>
      <c r="BV241" s="38">
        <f>SUM($AA218:BV218)*BV218</f>
        <v>0</v>
      </c>
      <c r="BX241" s="106"/>
      <c r="BY241" s="106"/>
      <c r="BZ241" s="106"/>
      <c r="CA241" s="106"/>
      <c r="CB241" s="106"/>
      <c r="CC241" s="106"/>
      <c r="CD241" s="106"/>
      <c r="CE241" s="106"/>
      <c r="CF241" s="106"/>
      <c r="CG241" s="106"/>
      <c r="CH241" s="106"/>
      <c r="CI241" s="106"/>
      <c r="CK241" s="11"/>
      <c r="CM241" s="11"/>
      <c r="EX241" s="10" t="str">
        <f t="shared" si="186"/>
        <v/>
      </c>
    </row>
    <row r="242" spans="2:154" x14ac:dyDescent="0.35">
      <c r="B242" t="str">
        <f ca="1">Loans!B$26</f>
        <v>Loan 14</v>
      </c>
      <c r="D242" s="51">
        <f>Loans!D$26</f>
        <v>0</v>
      </c>
      <c r="E242"/>
      <c r="V242" s="106"/>
      <c r="W242" s="106"/>
      <c r="X242" s="106"/>
      <c r="Y242" s="106"/>
      <c r="AA242" s="38">
        <f>SUM($AA219:AA219)*AA219</f>
        <v>0</v>
      </c>
      <c r="AB242" s="38">
        <f>SUM($AA219:AB219)*AB219</f>
        <v>0</v>
      </c>
      <c r="AC242" s="38">
        <f>SUM($AA219:AC219)*AC219</f>
        <v>0</v>
      </c>
      <c r="AD242" s="38">
        <f>SUM($AA219:AD219)*AD219</f>
        <v>0</v>
      </c>
      <c r="AE242" s="38">
        <f>SUM($AA219:AE219)*AE219</f>
        <v>0</v>
      </c>
      <c r="AF242" s="38">
        <f>SUM($AA219:AF219)*AF219</f>
        <v>0</v>
      </c>
      <c r="AG242" s="38">
        <f>SUM($AA219:AG219)*AG219</f>
        <v>0</v>
      </c>
      <c r="AH242" s="38">
        <f>SUM($AA219:AH219)*AH219</f>
        <v>0</v>
      </c>
      <c r="AI242" s="38">
        <f>SUM($AA219:AI219)*AI219</f>
        <v>0</v>
      </c>
      <c r="AJ242" s="38">
        <f>SUM($AA219:AJ219)*AJ219</f>
        <v>0</v>
      </c>
      <c r="AK242" s="38">
        <f>SUM($AA219:AK219)*AK219</f>
        <v>0</v>
      </c>
      <c r="AL242" s="38">
        <f>SUM($AA219:AL219)*AL219</f>
        <v>0</v>
      </c>
      <c r="AM242" s="38">
        <f>SUM($AA219:AM219)*AM219</f>
        <v>0</v>
      </c>
      <c r="AN242" s="38">
        <f>SUM($AA219:AN219)*AN219</f>
        <v>0</v>
      </c>
      <c r="AO242" s="38">
        <f>SUM($AA219:AO219)*AO219</f>
        <v>0</v>
      </c>
      <c r="AP242" s="38">
        <f>SUM($AA219:AP219)*AP219</f>
        <v>0</v>
      </c>
      <c r="AQ242" s="38">
        <f>SUM($AA219:AQ219)*AQ219</f>
        <v>0</v>
      </c>
      <c r="AR242" s="38">
        <f>SUM($AA219:AR219)*AR219</f>
        <v>0</v>
      </c>
      <c r="AS242" s="38">
        <f>SUM($AA219:AS219)*AS219</f>
        <v>0</v>
      </c>
      <c r="AT242" s="38">
        <f>SUM($AA219:AT219)*AT219</f>
        <v>0</v>
      </c>
      <c r="AU242" s="38">
        <f>SUM($AA219:AU219)*AU219</f>
        <v>0</v>
      </c>
      <c r="AV242" s="38">
        <f>SUM($AA219:AV219)*AV219</f>
        <v>0</v>
      </c>
      <c r="AW242" s="38">
        <f>SUM($AA219:AW219)*AW219</f>
        <v>0</v>
      </c>
      <c r="AX242" s="38">
        <f>SUM($AA219:AX219)*AX219</f>
        <v>0</v>
      </c>
      <c r="AY242" s="38">
        <f>SUM($AA219:AY219)*AY219</f>
        <v>0</v>
      </c>
      <c r="AZ242" s="38">
        <f>SUM($AA219:AZ219)*AZ219</f>
        <v>0</v>
      </c>
      <c r="BA242" s="38">
        <f>SUM($AA219:BA219)*BA219</f>
        <v>0</v>
      </c>
      <c r="BB242" s="38">
        <f>SUM($AA219:BB219)*BB219</f>
        <v>0</v>
      </c>
      <c r="BC242" s="38">
        <f>SUM($AA219:BC219)*BC219</f>
        <v>0</v>
      </c>
      <c r="BD242" s="38">
        <f>SUM($AA219:BD219)*BD219</f>
        <v>0</v>
      </c>
      <c r="BE242" s="38">
        <f>SUM($AA219:BE219)*BE219</f>
        <v>0</v>
      </c>
      <c r="BF242" s="38">
        <f>SUM($AA219:BF219)*BF219</f>
        <v>0</v>
      </c>
      <c r="BG242" s="38">
        <f>SUM($AA219:BG219)*BG219</f>
        <v>0</v>
      </c>
      <c r="BH242" s="38">
        <f>SUM($AA219:BH219)*BH219</f>
        <v>0</v>
      </c>
      <c r="BI242" s="38">
        <f>SUM($AA219:BI219)*BI219</f>
        <v>0</v>
      </c>
      <c r="BJ242" s="38">
        <f>SUM($AA219:BJ219)*BJ219</f>
        <v>0</v>
      </c>
      <c r="BK242" s="38">
        <f>SUM($AA219:BK219)*BK219</f>
        <v>0</v>
      </c>
      <c r="BL242" s="38">
        <f>SUM($AA219:BL219)*BL219</f>
        <v>0</v>
      </c>
      <c r="BM242" s="38">
        <f>SUM($AA219:BM219)*BM219</f>
        <v>0</v>
      </c>
      <c r="BN242" s="38">
        <f>SUM($AA219:BN219)*BN219</f>
        <v>0</v>
      </c>
      <c r="BO242" s="38">
        <f>SUM($AA219:BO219)*BO219</f>
        <v>0</v>
      </c>
      <c r="BP242" s="38">
        <f>SUM($AA219:BP219)*BP219</f>
        <v>0</v>
      </c>
      <c r="BQ242" s="38">
        <f>SUM($AA219:BQ219)*BQ219</f>
        <v>0</v>
      </c>
      <c r="BR242" s="38">
        <f>SUM($AA219:BR219)*BR219</f>
        <v>0</v>
      </c>
      <c r="BS242" s="38">
        <f>SUM($AA219:BS219)*BS219</f>
        <v>0</v>
      </c>
      <c r="BT242" s="38">
        <f>SUM($AA219:BT219)*BT219</f>
        <v>0</v>
      </c>
      <c r="BU242" s="38">
        <f>SUM($AA219:BU219)*BU219</f>
        <v>0</v>
      </c>
      <c r="BV242" s="38">
        <f>SUM($AA219:BV219)*BV219</f>
        <v>0</v>
      </c>
      <c r="BX242" s="106"/>
      <c r="BY242" s="106"/>
      <c r="BZ242" s="106"/>
      <c r="CA242" s="106"/>
      <c r="CB242" s="106"/>
      <c r="CC242" s="106"/>
      <c r="CD242" s="106"/>
      <c r="CE242" s="106"/>
      <c r="CF242" s="106"/>
      <c r="CG242" s="106"/>
      <c r="CH242" s="106"/>
      <c r="CI242" s="106"/>
      <c r="CK242" s="11"/>
      <c r="CM242" s="11"/>
      <c r="EX242" s="10" t="str">
        <f t="shared" si="186"/>
        <v/>
      </c>
    </row>
    <row r="243" spans="2:154" x14ac:dyDescent="0.35">
      <c r="B243" t="str">
        <f ca="1">Loans!B$27</f>
        <v>Loan 15</v>
      </c>
      <c r="D243" s="51">
        <f>Loans!D$27</f>
        <v>0</v>
      </c>
      <c r="E243"/>
      <c r="V243" s="106"/>
      <c r="W243" s="106"/>
      <c r="X243" s="106"/>
      <c r="Y243" s="106"/>
      <c r="AA243" s="38">
        <f>SUM($AA220:AA220)*AA220</f>
        <v>0</v>
      </c>
      <c r="AB243" s="38">
        <f>SUM($AA220:AB220)*AB220</f>
        <v>0</v>
      </c>
      <c r="AC243" s="38">
        <f>SUM($AA220:AC220)*AC220</f>
        <v>0</v>
      </c>
      <c r="AD243" s="38">
        <f>SUM($AA220:AD220)*AD220</f>
        <v>0</v>
      </c>
      <c r="AE243" s="38">
        <f>SUM($AA220:AE220)*AE220</f>
        <v>0</v>
      </c>
      <c r="AF243" s="38">
        <f>SUM($AA220:AF220)*AF220</f>
        <v>0</v>
      </c>
      <c r="AG243" s="38">
        <f>SUM($AA220:AG220)*AG220</f>
        <v>0</v>
      </c>
      <c r="AH243" s="38">
        <f>SUM($AA220:AH220)*AH220</f>
        <v>0</v>
      </c>
      <c r="AI243" s="38">
        <f>SUM($AA220:AI220)*AI220</f>
        <v>0</v>
      </c>
      <c r="AJ243" s="38">
        <f>SUM($AA220:AJ220)*AJ220</f>
        <v>0</v>
      </c>
      <c r="AK243" s="38">
        <f>SUM($AA220:AK220)*AK220</f>
        <v>0</v>
      </c>
      <c r="AL243" s="38">
        <f>SUM($AA220:AL220)*AL220</f>
        <v>0</v>
      </c>
      <c r="AM243" s="38">
        <f>SUM($AA220:AM220)*AM220</f>
        <v>0</v>
      </c>
      <c r="AN243" s="38">
        <f>SUM($AA220:AN220)*AN220</f>
        <v>0</v>
      </c>
      <c r="AO243" s="38">
        <f>SUM($AA220:AO220)*AO220</f>
        <v>0</v>
      </c>
      <c r="AP243" s="38">
        <f>SUM($AA220:AP220)*AP220</f>
        <v>0</v>
      </c>
      <c r="AQ243" s="38">
        <f>SUM($AA220:AQ220)*AQ220</f>
        <v>0</v>
      </c>
      <c r="AR243" s="38">
        <f>SUM($AA220:AR220)*AR220</f>
        <v>0</v>
      </c>
      <c r="AS243" s="38">
        <f>SUM($AA220:AS220)*AS220</f>
        <v>0</v>
      </c>
      <c r="AT243" s="38">
        <f>SUM($AA220:AT220)*AT220</f>
        <v>0</v>
      </c>
      <c r="AU243" s="38">
        <f>SUM($AA220:AU220)*AU220</f>
        <v>0</v>
      </c>
      <c r="AV243" s="38">
        <f>SUM($AA220:AV220)*AV220</f>
        <v>0</v>
      </c>
      <c r="AW243" s="38">
        <f>SUM($AA220:AW220)*AW220</f>
        <v>0</v>
      </c>
      <c r="AX243" s="38">
        <f>SUM($AA220:AX220)*AX220</f>
        <v>0</v>
      </c>
      <c r="AY243" s="38">
        <f>SUM($AA220:AY220)*AY220</f>
        <v>0</v>
      </c>
      <c r="AZ243" s="38">
        <f>SUM($AA220:AZ220)*AZ220</f>
        <v>0</v>
      </c>
      <c r="BA243" s="38">
        <f>SUM($AA220:BA220)*BA220</f>
        <v>0</v>
      </c>
      <c r="BB243" s="38">
        <f>SUM($AA220:BB220)*BB220</f>
        <v>0</v>
      </c>
      <c r="BC243" s="38">
        <f>SUM($AA220:BC220)*BC220</f>
        <v>0</v>
      </c>
      <c r="BD243" s="38">
        <f>SUM($AA220:BD220)*BD220</f>
        <v>0</v>
      </c>
      <c r="BE243" s="38">
        <f>SUM($AA220:BE220)*BE220</f>
        <v>0</v>
      </c>
      <c r="BF243" s="38">
        <f>SUM($AA220:BF220)*BF220</f>
        <v>0</v>
      </c>
      <c r="BG243" s="38">
        <f>SUM($AA220:BG220)*BG220</f>
        <v>0</v>
      </c>
      <c r="BH243" s="38">
        <f>SUM($AA220:BH220)*BH220</f>
        <v>0</v>
      </c>
      <c r="BI243" s="38">
        <f>SUM($AA220:BI220)*BI220</f>
        <v>0</v>
      </c>
      <c r="BJ243" s="38">
        <f>SUM($AA220:BJ220)*BJ220</f>
        <v>0</v>
      </c>
      <c r="BK243" s="38">
        <f>SUM($AA220:BK220)*BK220</f>
        <v>0</v>
      </c>
      <c r="BL243" s="38">
        <f>SUM($AA220:BL220)*BL220</f>
        <v>0</v>
      </c>
      <c r="BM243" s="38">
        <f>SUM($AA220:BM220)*BM220</f>
        <v>0</v>
      </c>
      <c r="BN243" s="38">
        <f>SUM($AA220:BN220)*BN220</f>
        <v>0</v>
      </c>
      <c r="BO243" s="38">
        <f>SUM($AA220:BO220)*BO220</f>
        <v>0</v>
      </c>
      <c r="BP243" s="38">
        <f>SUM($AA220:BP220)*BP220</f>
        <v>0</v>
      </c>
      <c r="BQ243" s="38">
        <f>SUM($AA220:BQ220)*BQ220</f>
        <v>0</v>
      </c>
      <c r="BR243" s="38">
        <f>SUM($AA220:BR220)*BR220</f>
        <v>0</v>
      </c>
      <c r="BS243" s="38">
        <f>SUM($AA220:BS220)*BS220</f>
        <v>0</v>
      </c>
      <c r="BT243" s="38">
        <f>SUM($AA220:BT220)*BT220</f>
        <v>0</v>
      </c>
      <c r="BU243" s="38">
        <f>SUM($AA220:BU220)*BU220</f>
        <v>0</v>
      </c>
      <c r="BV243" s="38">
        <f>SUM($AA220:BV220)*BV220</f>
        <v>0</v>
      </c>
      <c r="BX243" s="106"/>
      <c r="BY243" s="106"/>
      <c r="BZ243" s="106"/>
      <c r="CA243" s="106"/>
      <c r="CB243" s="106"/>
      <c r="CC243" s="106"/>
      <c r="CD243" s="106"/>
      <c r="CE243" s="106"/>
      <c r="CF243" s="106"/>
      <c r="CG243" s="106"/>
      <c r="CH243" s="106"/>
      <c r="CI243" s="106"/>
      <c r="CK243" s="11"/>
      <c r="CM243" s="11"/>
      <c r="EX243" s="10" t="str">
        <f t="shared" si="186"/>
        <v/>
      </c>
    </row>
    <row r="244" spans="2:154" x14ac:dyDescent="0.35">
      <c r="B244" t="str">
        <f ca="1">Loans!B$28</f>
        <v>Loan 16</v>
      </c>
      <c r="D244" s="51">
        <f>Loans!D$28</f>
        <v>0</v>
      </c>
      <c r="E244"/>
      <c r="V244" s="106"/>
      <c r="W244" s="106"/>
      <c r="X244" s="106"/>
      <c r="Y244" s="106"/>
      <c r="AA244" s="38">
        <f>SUM($AA221:AA221)*AA221</f>
        <v>0</v>
      </c>
      <c r="AB244" s="38">
        <f>SUM($AA221:AB221)*AB221</f>
        <v>0</v>
      </c>
      <c r="AC244" s="38">
        <f>SUM($AA221:AC221)*AC221</f>
        <v>0</v>
      </c>
      <c r="AD244" s="38">
        <f>SUM($AA221:AD221)*AD221</f>
        <v>0</v>
      </c>
      <c r="AE244" s="38">
        <f>SUM($AA221:AE221)*AE221</f>
        <v>0</v>
      </c>
      <c r="AF244" s="38">
        <f>SUM($AA221:AF221)*AF221</f>
        <v>0</v>
      </c>
      <c r="AG244" s="38">
        <f>SUM($AA221:AG221)*AG221</f>
        <v>0</v>
      </c>
      <c r="AH244" s="38">
        <f>SUM($AA221:AH221)*AH221</f>
        <v>0</v>
      </c>
      <c r="AI244" s="38">
        <f>SUM($AA221:AI221)*AI221</f>
        <v>0</v>
      </c>
      <c r="AJ244" s="38">
        <f>SUM($AA221:AJ221)*AJ221</f>
        <v>0</v>
      </c>
      <c r="AK244" s="38">
        <f>SUM($AA221:AK221)*AK221</f>
        <v>0</v>
      </c>
      <c r="AL244" s="38">
        <f>SUM($AA221:AL221)*AL221</f>
        <v>0</v>
      </c>
      <c r="AM244" s="38">
        <f>SUM($AA221:AM221)*AM221</f>
        <v>0</v>
      </c>
      <c r="AN244" s="38">
        <f>SUM($AA221:AN221)*AN221</f>
        <v>0</v>
      </c>
      <c r="AO244" s="38">
        <f>SUM($AA221:AO221)*AO221</f>
        <v>0</v>
      </c>
      <c r="AP244" s="38">
        <f>SUM($AA221:AP221)*AP221</f>
        <v>0</v>
      </c>
      <c r="AQ244" s="38">
        <f>SUM($AA221:AQ221)*AQ221</f>
        <v>0</v>
      </c>
      <c r="AR244" s="38">
        <f>SUM($AA221:AR221)*AR221</f>
        <v>0</v>
      </c>
      <c r="AS244" s="38">
        <f>SUM($AA221:AS221)*AS221</f>
        <v>0</v>
      </c>
      <c r="AT244" s="38">
        <f>SUM($AA221:AT221)*AT221</f>
        <v>0</v>
      </c>
      <c r="AU244" s="38">
        <f>SUM($AA221:AU221)*AU221</f>
        <v>0</v>
      </c>
      <c r="AV244" s="38">
        <f>SUM($AA221:AV221)*AV221</f>
        <v>0</v>
      </c>
      <c r="AW244" s="38">
        <f>SUM($AA221:AW221)*AW221</f>
        <v>0</v>
      </c>
      <c r="AX244" s="38">
        <f>SUM($AA221:AX221)*AX221</f>
        <v>0</v>
      </c>
      <c r="AY244" s="38">
        <f>SUM($AA221:AY221)*AY221</f>
        <v>0</v>
      </c>
      <c r="AZ244" s="38">
        <f>SUM($AA221:AZ221)*AZ221</f>
        <v>0</v>
      </c>
      <c r="BA244" s="38">
        <f>SUM($AA221:BA221)*BA221</f>
        <v>0</v>
      </c>
      <c r="BB244" s="38">
        <f>SUM($AA221:BB221)*BB221</f>
        <v>0</v>
      </c>
      <c r="BC244" s="38">
        <f>SUM($AA221:BC221)*BC221</f>
        <v>0</v>
      </c>
      <c r="BD244" s="38">
        <f>SUM($AA221:BD221)*BD221</f>
        <v>0</v>
      </c>
      <c r="BE244" s="38">
        <f>SUM($AA221:BE221)*BE221</f>
        <v>0</v>
      </c>
      <c r="BF244" s="38">
        <f>SUM($AA221:BF221)*BF221</f>
        <v>0</v>
      </c>
      <c r="BG244" s="38">
        <f>SUM($AA221:BG221)*BG221</f>
        <v>0</v>
      </c>
      <c r="BH244" s="38">
        <f>SUM($AA221:BH221)*BH221</f>
        <v>0</v>
      </c>
      <c r="BI244" s="38">
        <f>SUM($AA221:BI221)*BI221</f>
        <v>0</v>
      </c>
      <c r="BJ244" s="38">
        <f>SUM($AA221:BJ221)*BJ221</f>
        <v>0</v>
      </c>
      <c r="BK244" s="38">
        <f>SUM($AA221:BK221)*BK221</f>
        <v>0</v>
      </c>
      <c r="BL244" s="38">
        <f>SUM($AA221:BL221)*BL221</f>
        <v>0</v>
      </c>
      <c r="BM244" s="38">
        <f>SUM($AA221:BM221)*BM221</f>
        <v>0</v>
      </c>
      <c r="BN244" s="38">
        <f>SUM($AA221:BN221)*BN221</f>
        <v>0</v>
      </c>
      <c r="BO244" s="38">
        <f>SUM($AA221:BO221)*BO221</f>
        <v>0</v>
      </c>
      <c r="BP244" s="38">
        <f>SUM($AA221:BP221)*BP221</f>
        <v>0</v>
      </c>
      <c r="BQ244" s="38">
        <f>SUM($AA221:BQ221)*BQ221</f>
        <v>0</v>
      </c>
      <c r="BR244" s="38">
        <f>SUM($AA221:BR221)*BR221</f>
        <v>0</v>
      </c>
      <c r="BS244" s="38">
        <f>SUM($AA221:BS221)*BS221</f>
        <v>0</v>
      </c>
      <c r="BT244" s="38">
        <f>SUM($AA221:BT221)*BT221</f>
        <v>0</v>
      </c>
      <c r="BU244" s="38">
        <f>SUM($AA221:BU221)*BU221</f>
        <v>0</v>
      </c>
      <c r="BV244" s="38">
        <f>SUM($AA221:BV221)*BV221</f>
        <v>0</v>
      </c>
      <c r="BX244" s="106"/>
      <c r="BY244" s="106"/>
      <c r="BZ244" s="106"/>
      <c r="CA244" s="106"/>
      <c r="CB244" s="106"/>
      <c r="CC244" s="106"/>
      <c r="CD244" s="106"/>
      <c r="CE244" s="106"/>
      <c r="CF244" s="106"/>
      <c r="CG244" s="106"/>
      <c r="CH244" s="106"/>
      <c r="CI244" s="106"/>
      <c r="CK244" s="11"/>
      <c r="CM244" s="11"/>
      <c r="EX244" s="10" t="str">
        <f t="shared" si="186"/>
        <v/>
      </c>
    </row>
    <row r="245" spans="2:154" x14ac:dyDescent="0.35">
      <c r="B245" t="str">
        <f ca="1">Loans!B$29</f>
        <v>Loan 17</v>
      </c>
      <c r="D245" s="51">
        <f>Loans!D$29</f>
        <v>0</v>
      </c>
      <c r="E245"/>
      <c r="V245" s="106"/>
      <c r="W245" s="106"/>
      <c r="X245" s="106"/>
      <c r="Y245" s="106"/>
      <c r="AA245" s="38">
        <f>SUM($AA222:AA222)*AA222</f>
        <v>0</v>
      </c>
      <c r="AB245" s="38">
        <f>SUM($AA222:AB222)*AB222</f>
        <v>0</v>
      </c>
      <c r="AC245" s="38">
        <f>SUM($AA222:AC222)*AC222</f>
        <v>0</v>
      </c>
      <c r="AD245" s="38">
        <f>SUM($AA222:AD222)*AD222</f>
        <v>0</v>
      </c>
      <c r="AE245" s="38">
        <f>SUM($AA222:AE222)*AE222</f>
        <v>0</v>
      </c>
      <c r="AF245" s="38">
        <f>SUM($AA222:AF222)*AF222</f>
        <v>0</v>
      </c>
      <c r="AG245" s="38">
        <f>SUM($AA222:AG222)*AG222</f>
        <v>0</v>
      </c>
      <c r="AH245" s="38">
        <f>SUM($AA222:AH222)*AH222</f>
        <v>0</v>
      </c>
      <c r="AI245" s="38">
        <f>SUM($AA222:AI222)*AI222</f>
        <v>0</v>
      </c>
      <c r="AJ245" s="38">
        <f>SUM($AA222:AJ222)*AJ222</f>
        <v>0</v>
      </c>
      <c r="AK245" s="38">
        <f>SUM($AA222:AK222)*AK222</f>
        <v>0</v>
      </c>
      <c r="AL245" s="38">
        <f>SUM($AA222:AL222)*AL222</f>
        <v>0</v>
      </c>
      <c r="AM245" s="38">
        <f>SUM($AA222:AM222)*AM222</f>
        <v>0</v>
      </c>
      <c r="AN245" s="38">
        <f>SUM($AA222:AN222)*AN222</f>
        <v>0</v>
      </c>
      <c r="AO245" s="38">
        <f>SUM($AA222:AO222)*AO222</f>
        <v>0</v>
      </c>
      <c r="AP245" s="38">
        <f>SUM($AA222:AP222)*AP222</f>
        <v>0</v>
      </c>
      <c r="AQ245" s="38">
        <f>SUM($AA222:AQ222)*AQ222</f>
        <v>0</v>
      </c>
      <c r="AR245" s="38">
        <f>SUM($AA222:AR222)*AR222</f>
        <v>0</v>
      </c>
      <c r="AS245" s="38">
        <f>SUM($AA222:AS222)*AS222</f>
        <v>0</v>
      </c>
      <c r="AT245" s="38">
        <f>SUM($AA222:AT222)*AT222</f>
        <v>0</v>
      </c>
      <c r="AU245" s="38">
        <f>SUM($AA222:AU222)*AU222</f>
        <v>0</v>
      </c>
      <c r="AV245" s="38">
        <f>SUM($AA222:AV222)*AV222</f>
        <v>0</v>
      </c>
      <c r="AW245" s="38">
        <f>SUM($AA222:AW222)*AW222</f>
        <v>0</v>
      </c>
      <c r="AX245" s="38">
        <f>SUM($AA222:AX222)*AX222</f>
        <v>0</v>
      </c>
      <c r="AY245" s="38">
        <f>SUM($AA222:AY222)*AY222</f>
        <v>0</v>
      </c>
      <c r="AZ245" s="38">
        <f>SUM($AA222:AZ222)*AZ222</f>
        <v>0</v>
      </c>
      <c r="BA245" s="38">
        <f>SUM($AA222:BA222)*BA222</f>
        <v>0</v>
      </c>
      <c r="BB245" s="38">
        <f>SUM($AA222:BB222)*BB222</f>
        <v>0</v>
      </c>
      <c r="BC245" s="38">
        <f>SUM($AA222:BC222)*BC222</f>
        <v>0</v>
      </c>
      <c r="BD245" s="38">
        <f>SUM($AA222:BD222)*BD222</f>
        <v>0</v>
      </c>
      <c r="BE245" s="38">
        <f>SUM($AA222:BE222)*BE222</f>
        <v>0</v>
      </c>
      <c r="BF245" s="38">
        <f>SUM($AA222:BF222)*BF222</f>
        <v>0</v>
      </c>
      <c r="BG245" s="38">
        <f>SUM($AA222:BG222)*BG222</f>
        <v>0</v>
      </c>
      <c r="BH245" s="38">
        <f>SUM($AA222:BH222)*BH222</f>
        <v>0</v>
      </c>
      <c r="BI245" s="38">
        <f>SUM($AA222:BI222)*BI222</f>
        <v>0</v>
      </c>
      <c r="BJ245" s="38">
        <f>SUM($AA222:BJ222)*BJ222</f>
        <v>0</v>
      </c>
      <c r="BK245" s="38">
        <f>SUM($AA222:BK222)*BK222</f>
        <v>0</v>
      </c>
      <c r="BL245" s="38">
        <f>SUM($AA222:BL222)*BL222</f>
        <v>0</v>
      </c>
      <c r="BM245" s="38">
        <f>SUM($AA222:BM222)*BM222</f>
        <v>0</v>
      </c>
      <c r="BN245" s="38">
        <f>SUM($AA222:BN222)*BN222</f>
        <v>0</v>
      </c>
      <c r="BO245" s="38">
        <f>SUM($AA222:BO222)*BO222</f>
        <v>0</v>
      </c>
      <c r="BP245" s="38">
        <f>SUM($AA222:BP222)*BP222</f>
        <v>0</v>
      </c>
      <c r="BQ245" s="38">
        <f>SUM($AA222:BQ222)*BQ222</f>
        <v>0</v>
      </c>
      <c r="BR245" s="38">
        <f>SUM($AA222:BR222)*BR222</f>
        <v>0</v>
      </c>
      <c r="BS245" s="38">
        <f>SUM($AA222:BS222)*BS222</f>
        <v>0</v>
      </c>
      <c r="BT245" s="38">
        <f>SUM($AA222:BT222)*BT222</f>
        <v>0</v>
      </c>
      <c r="BU245" s="38">
        <f>SUM($AA222:BU222)*BU222</f>
        <v>0</v>
      </c>
      <c r="BV245" s="38">
        <f>SUM($AA222:BV222)*BV222</f>
        <v>0</v>
      </c>
      <c r="BX245" s="106"/>
      <c r="BY245" s="106"/>
      <c r="BZ245" s="106"/>
      <c r="CA245" s="106"/>
      <c r="CB245" s="106"/>
      <c r="CC245" s="106"/>
      <c r="CD245" s="106"/>
      <c r="CE245" s="106"/>
      <c r="CF245" s="106"/>
      <c r="CG245" s="106"/>
      <c r="CH245" s="106"/>
      <c r="CI245" s="106"/>
      <c r="CK245" s="11"/>
      <c r="CM245" s="11"/>
      <c r="EX245" s="10" t="str">
        <f t="shared" si="186"/>
        <v/>
      </c>
    </row>
    <row r="246" spans="2:154" x14ac:dyDescent="0.35">
      <c r="B246" t="str">
        <f ca="1">Loans!B$30</f>
        <v>Loan 18</v>
      </c>
      <c r="D246" s="51">
        <f>Loans!D$30</f>
        <v>0</v>
      </c>
      <c r="E246"/>
      <c r="V246" s="106"/>
      <c r="W246" s="106"/>
      <c r="X246" s="106"/>
      <c r="Y246" s="106"/>
      <c r="AA246" s="38">
        <f>SUM($AA223:AA223)*AA223</f>
        <v>0</v>
      </c>
      <c r="AB246" s="38">
        <f>SUM($AA223:AB223)*AB223</f>
        <v>0</v>
      </c>
      <c r="AC246" s="38">
        <f>SUM($AA223:AC223)*AC223</f>
        <v>0</v>
      </c>
      <c r="AD246" s="38">
        <f>SUM($AA223:AD223)*AD223</f>
        <v>0</v>
      </c>
      <c r="AE246" s="38">
        <f>SUM($AA223:AE223)*AE223</f>
        <v>0</v>
      </c>
      <c r="AF246" s="38">
        <f>SUM($AA223:AF223)*AF223</f>
        <v>0</v>
      </c>
      <c r="AG246" s="38">
        <f>SUM($AA223:AG223)*AG223</f>
        <v>0</v>
      </c>
      <c r="AH246" s="38">
        <f>SUM($AA223:AH223)*AH223</f>
        <v>0</v>
      </c>
      <c r="AI246" s="38">
        <f>SUM($AA223:AI223)*AI223</f>
        <v>0</v>
      </c>
      <c r="AJ246" s="38">
        <f>SUM($AA223:AJ223)*AJ223</f>
        <v>0</v>
      </c>
      <c r="AK246" s="38">
        <f>SUM($AA223:AK223)*AK223</f>
        <v>0</v>
      </c>
      <c r="AL246" s="38">
        <f>SUM($AA223:AL223)*AL223</f>
        <v>0</v>
      </c>
      <c r="AM246" s="38">
        <f>SUM($AA223:AM223)*AM223</f>
        <v>0</v>
      </c>
      <c r="AN246" s="38">
        <f>SUM($AA223:AN223)*AN223</f>
        <v>0</v>
      </c>
      <c r="AO246" s="38">
        <f>SUM($AA223:AO223)*AO223</f>
        <v>0</v>
      </c>
      <c r="AP246" s="38">
        <f>SUM($AA223:AP223)*AP223</f>
        <v>0</v>
      </c>
      <c r="AQ246" s="38">
        <f>SUM($AA223:AQ223)*AQ223</f>
        <v>0</v>
      </c>
      <c r="AR246" s="38">
        <f>SUM($AA223:AR223)*AR223</f>
        <v>0</v>
      </c>
      <c r="AS246" s="38">
        <f>SUM($AA223:AS223)*AS223</f>
        <v>0</v>
      </c>
      <c r="AT246" s="38">
        <f>SUM($AA223:AT223)*AT223</f>
        <v>0</v>
      </c>
      <c r="AU246" s="38">
        <f>SUM($AA223:AU223)*AU223</f>
        <v>0</v>
      </c>
      <c r="AV246" s="38">
        <f>SUM($AA223:AV223)*AV223</f>
        <v>0</v>
      </c>
      <c r="AW246" s="38">
        <f>SUM($AA223:AW223)*AW223</f>
        <v>0</v>
      </c>
      <c r="AX246" s="38">
        <f>SUM($AA223:AX223)*AX223</f>
        <v>0</v>
      </c>
      <c r="AY246" s="38">
        <f>SUM($AA223:AY223)*AY223</f>
        <v>0</v>
      </c>
      <c r="AZ246" s="38">
        <f>SUM($AA223:AZ223)*AZ223</f>
        <v>0</v>
      </c>
      <c r="BA246" s="38">
        <f>SUM($AA223:BA223)*BA223</f>
        <v>0</v>
      </c>
      <c r="BB246" s="38">
        <f>SUM($AA223:BB223)*BB223</f>
        <v>0</v>
      </c>
      <c r="BC246" s="38">
        <f>SUM($AA223:BC223)*BC223</f>
        <v>0</v>
      </c>
      <c r="BD246" s="38">
        <f>SUM($AA223:BD223)*BD223</f>
        <v>0</v>
      </c>
      <c r="BE246" s="38">
        <f>SUM($AA223:BE223)*BE223</f>
        <v>0</v>
      </c>
      <c r="BF246" s="38">
        <f>SUM($AA223:BF223)*BF223</f>
        <v>0</v>
      </c>
      <c r="BG246" s="38">
        <f>SUM($AA223:BG223)*BG223</f>
        <v>0</v>
      </c>
      <c r="BH246" s="38">
        <f>SUM($AA223:BH223)*BH223</f>
        <v>0</v>
      </c>
      <c r="BI246" s="38">
        <f>SUM($AA223:BI223)*BI223</f>
        <v>0</v>
      </c>
      <c r="BJ246" s="38">
        <f>SUM($AA223:BJ223)*BJ223</f>
        <v>0</v>
      </c>
      <c r="BK246" s="38">
        <f>SUM($AA223:BK223)*BK223</f>
        <v>0</v>
      </c>
      <c r="BL246" s="38">
        <f>SUM($AA223:BL223)*BL223</f>
        <v>0</v>
      </c>
      <c r="BM246" s="38">
        <f>SUM($AA223:BM223)*BM223</f>
        <v>0</v>
      </c>
      <c r="BN246" s="38">
        <f>SUM($AA223:BN223)*BN223</f>
        <v>0</v>
      </c>
      <c r="BO246" s="38">
        <f>SUM($AA223:BO223)*BO223</f>
        <v>0</v>
      </c>
      <c r="BP246" s="38">
        <f>SUM($AA223:BP223)*BP223</f>
        <v>0</v>
      </c>
      <c r="BQ246" s="38">
        <f>SUM($AA223:BQ223)*BQ223</f>
        <v>0</v>
      </c>
      <c r="BR246" s="38">
        <f>SUM($AA223:BR223)*BR223</f>
        <v>0</v>
      </c>
      <c r="BS246" s="38">
        <f>SUM($AA223:BS223)*BS223</f>
        <v>0</v>
      </c>
      <c r="BT246" s="38">
        <f>SUM($AA223:BT223)*BT223</f>
        <v>0</v>
      </c>
      <c r="BU246" s="38">
        <f>SUM($AA223:BU223)*BU223</f>
        <v>0</v>
      </c>
      <c r="BV246" s="38">
        <f>SUM($AA223:BV223)*BV223</f>
        <v>0</v>
      </c>
      <c r="BX246" s="106"/>
      <c r="BY246" s="106"/>
      <c r="BZ246" s="106"/>
      <c r="CA246" s="106"/>
      <c r="CB246" s="106"/>
      <c r="CC246" s="106"/>
      <c r="CD246" s="106"/>
      <c r="CE246" s="106"/>
      <c r="CF246" s="106"/>
      <c r="CG246" s="106"/>
      <c r="CH246" s="106"/>
      <c r="CI246" s="106"/>
      <c r="CK246" s="11"/>
      <c r="CM246" s="11"/>
      <c r="EX246" s="10" t="str">
        <f t="shared" si="186"/>
        <v/>
      </c>
    </row>
    <row r="247" spans="2:154" x14ac:dyDescent="0.35">
      <c r="B247" t="str">
        <f ca="1">Loans!B$31</f>
        <v>Loan 19</v>
      </c>
      <c r="D247" s="51">
        <f>Loans!D$31</f>
        <v>0</v>
      </c>
      <c r="E247"/>
      <c r="V247" s="106"/>
      <c r="W247" s="106"/>
      <c r="X247" s="106"/>
      <c r="Y247" s="106"/>
      <c r="AA247" s="38">
        <f>SUM($AA224:AA224)*AA224</f>
        <v>0</v>
      </c>
      <c r="AB247" s="38">
        <f>SUM($AA224:AB224)*AB224</f>
        <v>0</v>
      </c>
      <c r="AC247" s="38">
        <f>SUM($AA224:AC224)*AC224</f>
        <v>0</v>
      </c>
      <c r="AD247" s="38">
        <f>SUM($AA224:AD224)*AD224</f>
        <v>0</v>
      </c>
      <c r="AE247" s="38">
        <f>SUM($AA224:AE224)*AE224</f>
        <v>0</v>
      </c>
      <c r="AF247" s="38">
        <f>SUM($AA224:AF224)*AF224</f>
        <v>0</v>
      </c>
      <c r="AG247" s="38">
        <f>SUM($AA224:AG224)*AG224</f>
        <v>0</v>
      </c>
      <c r="AH247" s="38">
        <f>SUM($AA224:AH224)*AH224</f>
        <v>0</v>
      </c>
      <c r="AI247" s="38">
        <f>SUM($AA224:AI224)*AI224</f>
        <v>0</v>
      </c>
      <c r="AJ247" s="38">
        <f>SUM($AA224:AJ224)*AJ224</f>
        <v>0</v>
      </c>
      <c r="AK247" s="38">
        <f>SUM($AA224:AK224)*AK224</f>
        <v>0</v>
      </c>
      <c r="AL247" s="38">
        <f>SUM($AA224:AL224)*AL224</f>
        <v>0</v>
      </c>
      <c r="AM247" s="38">
        <f>SUM($AA224:AM224)*AM224</f>
        <v>0</v>
      </c>
      <c r="AN247" s="38">
        <f>SUM($AA224:AN224)*AN224</f>
        <v>0</v>
      </c>
      <c r="AO247" s="38">
        <f>SUM($AA224:AO224)*AO224</f>
        <v>0</v>
      </c>
      <c r="AP247" s="38">
        <f>SUM($AA224:AP224)*AP224</f>
        <v>0</v>
      </c>
      <c r="AQ247" s="38">
        <f>SUM($AA224:AQ224)*AQ224</f>
        <v>0</v>
      </c>
      <c r="AR247" s="38">
        <f>SUM($AA224:AR224)*AR224</f>
        <v>0</v>
      </c>
      <c r="AS247" s="38">
        <f>SUM($AA224:AS224)*AS224</f>
        <v>0</v>
      </c>
      <c r="AT247" s="38">
        <f>SUM($AA224:AT224)*AT224</f>
        <v>0</v>
      </c>
      <c r="AU247" s="38">
        <f>SUM($AA224:AU224)*AU224</f>
        <v>0</v>
      </c>
      <c r="AV247" s="38">
        <f>SUM($AA224:AV224)*AV224</f>
        <v>0</v>
      </c>
      <c r="AW247" s="38">
        <f>SUM($AA224:AW224)*AW224</f>
        <v>0</v>
      </c>
      <c r="AX247" s="38">
        <f>SUM($AA224:AX224)*AX224</f>
        <v>0</v>
      </c>
      <c r="AY247" s="38">
        <f>SUM($AA224:AY224)*AY224</f>
        <v>0</v>
      </c>
      <c r="AZ247" s="38">
        <f>SUM($AA224:AZ224)*AZ224</f>
        <v>0</v>
      </c>
      <c r="BA247" s="38">
        <f>SUM($AA224:BA224)*BA224</f>
        <v>0</v>
      </c>
      <c r="BB247" s="38">
        <f>SUM($AA224:BB224)*BB224</f>
        <v>0</v>
      </c>
      <c r="BC247" s="38">
        <f>SUM($AA224:BC224)*BC224</f>
        <v>0</v>
      </c>
      <c r="BD247" s="38">
        <f>SUM($AA224:BD224)*BD224</f>
        <v>0</v>
      </c>
      <c r="BE247" s="38">
        <f>SUM($AA224:BE224)*BE224</f>
        <v>0</v>
      </c>
      <c r="BF247" s="38">
        <f>SUM($AA224:BF224)*BF224</f>
        <v>0</v>
      </c>
      <c r="BG247" s="38">
        <f>SUM($AA224:BG224)*BG224</f>
        <v>0</v>
      </c>
      <c r="BH247" s="38">
        <f>SUM($AA224:BH224)*BH224</f>
        <v>0</v>
      </c>
      <c r="BI247" s="38">
        <f>SUM($AA224:BI224)*BI224</f>
        <v>0</v>
      </c>
      <c r="BJ247" s="38">
        <f>SUM($AA224:BJ224)*BJ224</f>
        <v>0</v>
      </c>
      <c r="BK247" s="38">
        <f>SUM($AA224:BK224)*BK224</f>
        <v>0</v>
      </c>
      <c r="BL247" s="38">
        <f>SUM($AA224:BL224)*BL224</f>
        <v>0</v>
      </c>
      <c r="BM247" s="38">
        <f>SUM($AA224:BM224)*BM224</f>
        <v>0</v>
      </c>
      <c r="BN247" s="38">
        <f>SUM($AA224:BN224)*BN224</f>
        <v>0</v>
      </c>
      <c r="BO247" s="38">
        <f>SUM($AA224:BO224)*BO224</f>
        <v>0</v>
      </c>
      <c r="BP247" s="38">
        <f>SUM($AA224:BP224)*BP224</f>
        <v>0</v>
      </c>
      <c r="BQ247" s="38">
        <f>SUM($AA224:BQ224)*BQ224</f>
        <v>0</v>
      </c>
      <c r="BR247" s="38">
        <f>SUM($AA224:BR224)*BR224</f>
        <v>0</v>
      </c>
      <c r="BS247" s="38">
        <f>SUM($AA224:BS224)*BS224</f>
        <v>0</v>
      </c>
      <c r="BT247" s="38">
        <f>SUM($AA224:BT224)*BT224</f>
        <v>0</v>
      </c>
      <c r="BU247" s="38">
        <f>SUM($AA224:BU224)*BU224</f>
        <v>0</v>
      </c>
      <c r="BV247" s="38">
        <f>SUM($AA224:BV224)*BV224</f>
        <v>0</v>
      </c>
      <c r="BX247" s="106"/>
      <c r="BY247" s="106"/>
      <c r="BZ247" s="106"/>
      <c r="CA247" s="106"/>
      <c r="CB247" s="106"/>
      <c r="CC247" s="106"/>
      <c r="CD247" s="106"/>
      <c r="CE247" s="106"/>
      <c r="CF247" s="106"/>
      <c r="CG247" s="106"/>
      <c r="CH247" s="106"/>
      <c r="CI247" s="106"/>
      <c r="CK247" s="11"/>
      <c r="CM247" s="11"/>
      <c r="EX247" s="10" t="str">
        <f t="shared" si="186"/>
        <v/>
      </c>
    </row>
    <row r="248" spans="2:154" x14ac:dyDescent="0.35">
      <c r="B248" t="str">
        <f ca="1">Loans!B$32</f>
        <v>Loan 20</v>
      </c>
      <c r="D248" s="51">
        <f>Loans!D$32</f>
        <v>0</v>
      </c>
      <c r="E248"/>
      <c r="V248" s="106"/>
      <c r="W248" s="106"/>
      <c r="X248" s="106"/>
      <c r="Y248" s="106"/>
      <c r="AA248" s="38">
        <f>SUM($AA225:AA225)*AA225</f>
        <v>0</v>
      </c>
      <c r="AB248" s="38">
        <f>SUM($AA225:AB225)*AB225</f>
        <v>0</v>
      </c>
      <c r="AC248" s="38">
        <f>SUM($AA225:AC225)*AC225</f>
        <v>0</v>
      </c>
      <c r="AD248" s="38">
        <f>SUM($AA225:AD225)*AD225</f>
        <v>0</v>
      </c>
      <c r="AE248" s="38">
        <f>SUM($AA225:AE225)*AE225</f>
        <v>0</v>
      </c>
      <c r="AF248" s="38">
        <f>SUM($AA225:AF225)*AF225</f>
        <v>0</v>
      </c>
      <c r="AG248" s="38">
        <f>SUM($AA225:AG225)*AG225</f>
        <v>0</v>
      </c>
      <c r="AH248" s="38">
        <f>SUM($AA225:AH225)*AH225</f>
        <v>0</v>
      </c>
      <c r="AI248" s="38">
        <f>SUM($AA225:AI225)*AI225</f>
        <v>0</v>
      </c>
      <c r="AJ248" s="38">
        <f>SUM($AA225:AJ225)*AJ225</f>
        <v>0</v>
      </c>
      <c r="AK248" s="38">
        <f>SUM($AA225:AK225)*AK225</f>
        <v>0</v>
      </c>
      <c r="AL248" s="38">
        <f>SUM($AA225:AL225)*AL225</f>
        <v>0</v>
      </c>
      <c r="AM248" s="38">
        <f>SUM($AA225:AM225)*AM225</f>
        <v>0</v>
      </c>
      <c r="AN248" s="38">
        <f>SUM($AA225:AN225)*AN225</f>
        <v>0</v>
      </c>
      <c r="AO248" s="38">
        <f>SUM($AA225:AO225)*AO225</f>
        <v>0</v>
      </c>
      <c r="AP248" s="38">
        <f>SUM($AA225:AP225)*AP225</f>
        <v>0</v>
      </c>
      <c r="AQ248" s="38">
        <f>SUM($AA225:AQ225)*AQ225</f>
        <v>0</v>
      </c>
      <c r="AR248" s="38">
        <f>SUM($AA225:AR225)*AR225</f>
        <v>0</v>
      </c>
      <c r="AS248" s="38">
        <f>SUM($AA225:AS225)*AS225</f>
        <v>0</v>
      </c>
      <c r="AT248" s="38">
        <f>SUM($AA225:AT225)*AT225</f>
        <v>0</v>
      </c>
      <c r="AU248" s="38">
        <f>SUM($AA225:AU225)*AU225</f>
        <v>0</v>
      </c>
      <c r="AV248" s="38">
        <f>SUM($AA225:AV225)*AV225</f>
        <v>0</v>
      </c>
      <c r="AW248" s="38">
        <f>SUM($AA225:AW225)*AW225</f>
        <v>0</v>
      </c>
      <c r="AX248" s="38">
        <f>SUM($AA225:AX225)*AX225</f>
        <v>0</v>
      </c>
      <c r="AY248" s="38">
        <f>SUM($AA225:AY225)*AY225</f>
        <v>0</v>
      </c>
      <c r="AZ248" s="38">
        <f>SUM($AA225:AZ225)*AZ225</f>
        <v>0</v>
      </c>
      <c r="BA248" s="38">
        <f>SUM($AA225:BA225)*BA225</f>
        <v>0</v>
      </c>
      <c r="BB248" s="38">
        <f>SUM($AA225:BB225)*BB225</f>
        <v>0</v>
      </c>
      <c r="BC248" s="38">
        <f>SUM($AA225:BC225)*BC225</f>
        <v>0</v>
      </c>
      <c r="BD248" s="38">
        <f>SUM($AA225:BD225)*BD225</f>
        <v>0</v>
      </c>
      <c r="BE248" s="38">
        <f>SUM($AA225:BE225)*BE225</f>
        <v>0</v>
      </c>
      <c r="BF248" s="38">
        <f>SUM($AA225:BF225)*BF225</f>
        <v>0</v>
      </c>
      <c r="BG248" s="38">
        <f>SUM($AA225:BG225)*BG225</f>
        <v>0</v>
      </c>
      <c r="BH248" s="38">
        <f>SUM($AA225:BH225)*BH225</f>
        <v>0</v>
      </c>
      <c r="BI248" s="38">
        <f>SUM($AA225:BI225)*BI225</f>
        <v>0</v>
      </c>
      <c r="BJ248" s="38">
        <f>SUM($AA225:BJ225)*BJ225</f>
        <v>0</v>
      </c>
      <c r="BK248" s="38">
        <f>SUM($AA225:BK225)*BK225</f>
        <v>0</v>
      </c>
      <c r="BL248" s="38">
        <f>SUM($AA225:BL225)*BL225</f>
        <v>0</v>
      </c>
      <c r="BM248" s="38">
        <f>SUM($AA225:BM225)*BM225</f>
        <v>0</v>
      </c>
      <c r="BN248" s="38">
        <f>SUM($AA225:BN225)*BN225</f>
        <v>0</v>
      </c>
      <c r="BO248" s="38">
        <f>SUM($AA225:BO225)*BO225</f>
        <v>0</v>
      </c>
      <c r="BP248" s="38">
        <f>SUM($AA225:BP225)*BP225</f>
        <v>0</v>
      </c>
      <c r="BQ248" s="38">
        <f>SUM($AA225:BQ225)*BQ225</f>
        <v>0</v>
      </c>
      <c r="BR248" s="38">
        <f>SUM($AA225:BR225)*BR225</f>
        <v>0</v>
      </c>
      <c r="BS248" s="38">
        <f>SUM($AA225:BS225)*BS225</f>
        <v>0</v>
      </c>
      <c r="BT248" s="38">
        <f>SUM($AA225:BT225)*BT225</f>
        <v>0</v>
      </c>
      <c r="BU248" s="38">
        <f>SUM($AA225:BU225)*BU225</f>
        <v>0</v>
      </c>
      <c r="BV248" s="38">
        <f>SUM($AA225:BV225)*BV225</f>
        <v>0</v>
      </c>
      <c r="BX248" s="106"/>
      <c r="BY248" s="106"/>
      <c r="BZ248" s="106"/>
      <c r="CA248" s="106"/>
      <c r="CB248" s="106"/>
      <c r="CC248" s="106"/>
      <c r="CD248" s="106"/>
      <c r="CE248" s="106"/>
      <c r="CF248" s="106"/>
      <c r="CG248" s="106"/>
      <c r="CH248" s="106"/>
      <c r="CI248" s="106"/>
      <c r="CK248" s="11"/>
      <c r="CM248" s="11"/>
      <c r="EX248" s="10" t="str">
        <f t="shared" si="186"/>
        <v/>
      </c>
    </row>
    <row r="249" spans="2:154" ht="6.75" customHeight="1" x14ac:dyDescent="0.35">
      <c r="D249" s="1"/>
      <c r="E249"/>
      <c r="BY249" s="6"/>
      <c r="CK249" s="35"/>
      <c r="CM249" s="35"/>
      <c r="EX249" s="10" t="str">
        <f t="shared" si="186"/>
        <v/>
      </c>
    </row>
    <row r="250" spans="2:154" x14ac:dyDescent="0.35">
      <c r="D250" s="5" t="s">
        <v>1944</v>
      </c>
      <c r="E250"/>
      <c r="CK250" s="11"/>
      <c r="CM250" s="11"/>
      <c r="EX250" s="10" t="str">
        <f t="shared" si="186"/>
        <v/>
      </c>
    </row>
    <row r="251" spans="2:154" x14ac:dyDescent="0.35">
      <c r="B251" s="5"/>
      <c r="D251" s="5" t="str">
        <f>Loans!D$11</f>
        <v>Lender</v>
      </c>
      <c r="E251" s="5" t="s">
        <v>1938</v>
      </c>
      <c r="F251" s="5" t="s">
        <v>1942</v>
      </c>
      <c r="CK251" s="11"/>
      <c r="CM251" s="11"/>
      <c r="EX251" s="10" t="str">
        <f t="shared" si="186"/>
        <v/>
      </c>
    </row>
    <row r="252" spans="2:154" x14ac:dyDescent="0.35">
      <c r="B252" t="str">
        <f ca="1">Loans!B$13</f>
        <v>Loan 1</v>
      </c>
      <c r="D252" s="51">
        <f>Loans!D$13</f>
        <v>0</v>
      </c>
      <c r="E252" s="117" t="str">
        <f>IF(Loans!R$13=0, "", Loans!R$13)</f>
        <v/>
      </c>
      <c r="F252" s="10">
        <f>IFERROR(INDEX(Parameters!$F$87:$F$90, MATCH(Loans!T13, Parameters!$D$87:$D$90,0)), 0)</f>
        <v>0</v>
      </c>
      <c r="V252" s="106"/>
      <c r="W252" s="106"/>
      <c r="X252" s="106"/>
      <c r="Y252" s="106"/>
      <c r="AA252" s="132">
        <f t="shared" ref="AA252:BV252" si="189">IF(OR($F252=0,AA183=0), 0, IF(OR(AA183=1,  MOD(AA183,$F252)=0, AA114=1), 1, 0))</f>
        <v>0</v>
      </c>
      <c r="AB252" s="132">
        <f t="shared" si="189"/>
        <v>0</v>
      </c>
      <c r="AC252" s="132">
        <f t="shared" si="189"/>
        <v>0</v>
      </c>
      <c r="AD252" s="132">
        <f t="shared" si="189"/>
        <v>0</v>
      </c>
      <c r="AE252" s="132">
        <f t="shared" si="189"/>
        <v>0</v>
      </c>
      <c r="AF252" s="132">
        <f t="shared" si="189"/>
        <v>0</v>
      </c>
      <c r="AG252" s="132">
        <f t="shared" si="189"/>
        <v>0</v>
      </c>
      <c r="AH252" s="132">
        <f t="shared" si="189"/>
        <v>0</v>
      </c>
      <c r="AI252" s="132">
        <f t="shared" si="189"/>
        <v>0</v>
      </c>
      <c r="AJ252" s="132">
        <f t="shared" si="189"/>
        <v>0</v>
      </c>
      <c r="AK252" s="132">
        <f t="shared" si="189"/>
        <v>0</v>
      </c>
      <c r="AL252" s="132">
        <f t="shared" si="189"/>
        <v>0</v>
      </c>
      <c r="AM252" s="132">
        <f t="shared" si="189"/>
        <v>0</v>
      </c>
      <c r="AN252" s="132">
        <f t="shared" si="189"/>
        <v>0</v>
      </c>
      <c r="AO252" s="132">
        <f t="shared" si="189"/>
        <v>0</v>
      </c>
      <c r="AP252" s="132">
        <f t="shared" si="189"/>
        <v>0</v>
      </c>
      <c r="AQ252" s="132">
        <f t="shared" si="189"/>
        <v>0</v>
      </c>
      <c r="AR252" s="132">
        <f t="shared" si="189"/>
        <v>0</v>
      </c>
      <c r="AS252" s="132">
        <f t="shared" si="189"/>
        <v>0</v>
      </c>
      <c r="AT252" s="132">
        <f t="shared" si="189"/>
        <v>0</v>
      </c>
      <c r="AU252" s="132">
        <f t="shared" si="189"/>
        <v>0</v>
      </c>
      <c r="AV252" s="132">
        <f t="shared" si="189"/>
        <v>0</v>
      </c>
      <c r="AW252" s="132">
        <f t="shared" si="189"/>
        <v>0</v>
      </c>
      <c r="AX252" s="132">
        <f t="shared" si="189"/>
        <v>0</v>
      </c>
      <c r="AY252" s="132">
        <f t="shared" si="189"/>
        <v>0</v>
      </c>
      <c r="AZ252" s="132">
        <f t="shared" si="189"/>
        <v>0</v>
      </c>
      <c r="BA252" s="132">
        <f t="shared" si="189"/>
        <v>0</v>
      </c>
      <c r="BB252" s="132">
        <f t="shared" si="189"/>
        <v>0</v>
      </c>
      <c r="BC252" s="132">
        <f t="shared" si="189"/>
        <v>0</v>
      </c>
      <c r="BD252" s="132">
        <f t="shared" si="189"/>
        <v>0</v>
      </c>
      <c r="BE252" s="132">
        <f t="shared" si="189"/>
        <v>0</v>
      </c>
      <c r="BF252" s="132">
        <f t="shared" si="189"/>
        <v>0</v>
      </c>
      <c r="BG252" s="132">
        <f t="shared" si="189"/>
        <v>0</v>
      </c>
      <c r="BH252" s="132">
        <f t="shared" si="189"/>
        <v>0</v>
      </c>
      <c r="BI252" s="132">
        <f t="shared" si="189"/>
        <v>0</v>
      </c>
      <c r="BJ252" s="132">
        <f t="shared" si="189"/>
        <v>0</v>
      </c>
      <c r="BK252" s="132">
        <f t="shared" si="189"/>
        <v>0</v>
      </c>
      <c r="BL252" s="132">
        <f t="shared" si="189"/>
        <v>0</v>
      </c>
      <c r="BM252" s="132">
        <f t="shared" si="189"/>
        <v>0</v>
      </c>
      <c r="BN252" s="132">
        <f t="shared" si="189"/>
        <v>0</v>
      </c>
      <c r="BO252" s="132">
        <f t="shared" si="189"/>
        <v>0</v>
      </c>
      <c r="BP252" s="132">
        <f t="shared" si="189"/>
        <v>0</v>
      </c>
      <c r="BQ252" s="132">
        <f t="shared" si="189"/>
        <v>0</v>
      </c>
      <c r="BR252" s="132">
        <f t="shared" si="189"/>
        <v>0</v>
      </c>
      <c r="BS252" s="132">
        <f t="shared" si="189"/>
        <v>0</v>
      </c>
      <c r="BT252" s="132">
        <f t="shared" si="189"/>
        <v>0</v>
      </c>
      <c r="BU252" s="132">
        <f t="shared" si="189"/>
        <v>0</v>
      </c>
      <c r="BV252" s="132">
        <f t="shared" si="189"/>
        <v>0</v>
      </c>
      <c r="BX252" s="106"/>
      <c r="BY252" s="106"/>
      <c r="BZ252" s="106"/>
      <c r="CA252" s="106"/>
      <c r="CB252" s="106"/>
      <c r="CC252" s="106"/>
      <c r="CD252" s="106"/>
      <c r="CE252" s="106"/>
      <c r="CF252" s="106"/>
      <c r="CG252" s="106"/>
      <c r="CH252" s="106"/>
      <c r="CI252" s="106"/>
      <c r="CK252" s="11"/>
      <c r="CM252" s="11"/>
      <c r="EX252" s="10" t="str">
        <f t="shared" si="186"/>
        <v/>
      </c>
    </row>
    <row r="253" spans="2:154" x14ac:dyDescent="0.35">
      <c r="B253" t="str">
        <f ca="1">Loans!B$14</f>
        <v>Loan 2</v>
      </c>
      <c r="D253" s="51">
        <f>Loans!D$14</f>
        <v>0</v>
      </c>
      <c r="E253" s="117" t="str">
        <f>IF(Loans!R$14=0, "", Loans!R$14)</f>
        <v/>
      </c>
      <c r="F253" s="10">
        <f>IFERROR(INDEX(Parameters!$F$87:$F$90, MATCH(Loans!T14, Parameters!$D$87:$D$90,0)), 0)</f>
        <v>0</v>
      </c>
      <c r="V253" s="106"/>
      <c r="W253" s="106"/>
      <c r="X253" s="106"/>
      <c r="Y253" s="106"/>
      <c r="AA253" s="132">
        <f t="shared" ref="AA253:BV253" si="190">IF(OR($F253=0,AA184=0), 0, IF(OR(AA184=1,  MOD(AA184,$F253)=0, AA115=1), 1, 0))</f>
        <v>0</v>
      </c>
      <c r="AB253" s="132">
        <f t="shared" si="190"/>
        <v>0</v>
      </c>
      <c r="AC253" s="132">
        <f t="shared" si="190"/>
        <v>0</v>
      </c>
      <c r="AD253" s="132">
        <f t="shared" si="190"/>
        <v>0</v>
      </c>
      <c r="AE253" s="132">
        <f t="shared" si="190"/>
        <v>0</v>
      </c>
      <c r="AF253" s="132">
        <f t="shared" si="190"/>
        <v>0</v>
      </c>
      <c r="AG253" s="132">
        <f t="shared" si="190"/>
        <v>0</v>
      </c>
      <c r="AH253" s="132">
        <f t="shared" si="190"/>
        <v>0</v>
      </c>
      <c r="AI253" s="132">
        <f t="shared" si="190"/>
        <v>0</v>
      </c>
      <c r="AJ253" s="132">
        <f t="shared" si="190"/>
        <v>0</v>
      </c>
      <c r="AK253" s="132">
        <f t="shared" si="190"/>
        <v>0</v>
      </c>
      <c r="AL253" s="132">
        <f t="shared" si="190"/>
        <v>0</v>
      </c>
      <c r="AM253" s="132">
        <f t="shared" si="190"/>
        <v>0</v>
      </c>
      <c r="AN253" s="132">
        <f t="shared" si="190"/>
        <v>0</v>
      </c>
      <c r="AO253" s="132">
        <f t="shared" si="190"/>
        <v>0</v>
      </c>
      <c r="AP253" s="132">
        <f t="shared" si="190"/>
        <v>0</v>
      </c>
      <c r="AQ253" s="132">
        <f t="shared" si="190"/>
        <v>0</v>
      </c>
      <c r="AR253" s="132">
        <f t="shared" si="190"/>
        <v>0</v>
      </c>
      <c r="AS253" s="132">
        <f t="shared" si="190"/>
        <v>0</v>
      </c>
      <c r="AT253" s="132">
        <f t="shared" si="190"/>
        <v>0</v>
      </c>
      <c r="AU253" s="132">
        <f t="shared" si="190"/>
        <v>0</v>
      </c>
      <c r="AV253" s="132">
        <f t="shared" si="190"/>
        <v>0</v>
      </c>
      <c r="AW253" s="132">
        <f t="shared" si="190"/>
        <v>0</v>
      </c>
      <c r="AX253" s="132">
        <f t="shared" si="190"/>
        <v>0</v>
      </c>
      <c r="AY253" s="132">
        <f t="shared" si="190"/>
        <v>0</v>
      </c>
      <c r="AZ253" s="132">
        <f t="shared" si="190"/>
        <v>0</v>
      </c>
      <c r="BA253" s="132">
        <f t="shared" si="190"/>
        <v>0</v>
      </c>
      <c r="BB253" s="132">
        <f t="shared" si="190"/>
        <v>0</v>
      </c>
      <c r="BC253" s="132">
        <f t="shared" si="190"/>
        <v>0</v>
      </c>
      <c r="BD253" s="132">
        <f t="shared" si="190"/>
        <v>0</v>
      </c>
      <c r="BE253" s="132">
        <f t="shared" si="190"/>
        <v>0</v>
      </c>
      <c r="BF253" s="132">
        <f t="shared" si="190"/>
        <v>0</v>
      </c>
      <c r="BG253" s="132">
        <f t="shared" si="190"/>
        <v>0</v>
      </c>
      <c r="BH253" s="132">
        <f t="shared" si="190"/>
        <v>0</v>
      </c>
      <c r="BI253" s="132">
        <f t="shared" si="190"/>
        <v>0</v>
      </c>
      <c r="BJ253" s="132">
        <f t="shared" si="190"/>
        <v>0</v>
      </c>
      <c r="BK253" s="132">
        <f t="shared" si="190"/>
        <v>0</v>
      </c>
      <c r="BL253" s="132">
        <f t="shared" si="190"/>
        <v>0</v>
      </c>
      <c r="BM253" s="132">
        <f t="shared" si="190"/>
        <v>0</v>
      </c>
      <c r="BN253" s="132">
        <f t="shared" si="190"/>
        <v>0</v>
      </c>
      <c r="BO253" s="132">
        <f t="shared" si="190"/>
        <v>0</v>
      </c>
      <c r="BP253" s="132">
        <f t="shared" si="190"/>
        <v>0</v>
      </c>
      <c r="BQ253" s="132">
        <f t="shared" si="190"/>
        <v>0</v>
      </c>
      <c r="BR253" s="132">
        <f t="shared" si="190"/>
        <v>0</v>
      </c>
      <c r="BS253" s="132">
        <f t="shared" si="190"/>
        <v>0</v>
      </c>
      <c r="BT253" s="132">
        <f t="shared" si="190"/>
        <v>0</v>
      </c>
      <c r="BU253" s="132">
        <f t="shared" si="190"/>
        <v>0</v>
      </c>
      <c r="BV253" s="132">
        <f t="shared" si="190"/>
        <v>0</v>
      </c>
      <c r="BX253" s="106"/>
      <c r="BY253" s="106"/>
      <c r="BZ253" s="106"/>
      <c r="CA253" s="106"/>
      <c r="CB253" s="106"/>
      <c r="CC253" s="106"/>
      <c r="CD253" s="106"/>
      <c r="CE253" s="106"/>
      <c r="CF253" s="106"/>
      <c r="CG253" s="106"/>
      <c r="CH253" s="106"/>
      <c r="CI253" s="106"/>
      <c r="CK253" s="11"/>
      <c r="CM253" s="11"/>
      <c r="EX253" s="10" t="str">
        <f t="shared" si="186"/>
        <v/>
      </c>
    </row>
    <row r="254" spans="2:154" x14ac:dyDescent="0.35">
      <c r="B254" t="str">
        <f ca="1">Loans!B$15</f>
        <v>Loan 3</v>
      </c>
      <c r="D254" s="51">
        <f>Loans!D$15</f>
        <v>0</v>
      </c>
      <c r="E254" s="117" t="str">
        <f>IF(Loans!R$15=0, "", Loans!R$15)</f>
        <v/>
      </c>
      <c r="F254" s="10">
        <f>IFERROR(INDEX(Parameters!$F$87:$F$90, MATCH(Loans!T15, Parameters!$D$87:$D$90,0)), 0)</f>
        <v>0</v>
      </c>
      <c r="V254" s="106"/>
      <c r="W254" s="106"/>
      <c r="X254" s="106"/>
      <c r="Y254" s="106"/>
      <c r="AA254" s="132">
        <f t="shared" ref="AA254:BV254" si="191">IF(OR($F254=0,AA185=0), 0, IF(OR(AA185=1,  MOD(AA185,$F254)=0, AA116=1), 1, 0))</f>
        <v>0</v>
      </c>
      <c r="AB254" s="132">
        <f t="shared" si="191"/>
        <v>0</v>
      </c>
      <c r="AC254" s="132">
        <f t="shared" si="191"/>
        <v>0</v>
      </c>
      <c r="AD254" s="132">
        <f t="shared" si="191"/>
        <v>0</v>
      </c>
      <c r="AE254" s="132">
        <f t="shared" si="191"/>
        <v>0</v>
      </c>
      <c r="AF254" s="132">
        <f t="shared" si="191"/>
        <v>0</v>
      </c>
      <c r="AG254" s="132">
        <f t="shared" si="191"/>
        <v>0</v>
      </c>
      <c r="AH254" s="132">
        <f t="shared" si="191"/>
        <v>0</v>
      </c>
      <c r="AI254" s="132">
        <f t="shared" si="191"/>
        <v>0</v>
      </c>
      <c r="AJ254" s="132">
        <f t="shared" si="191"/>
        <v>0</v>
      </c>
      <c r="AK254" s="132">
        <f t="shared" si="191"/>
        <v>0</v>
      </c>
      <c r="AL254" s="132">
        <f t="shared" si="191"/>
        <v>0</v>
      </c>
      <c r="AM254" s="132">
        <f t="shared" si="191"/>
        <v>0</v>
      </c>
      <c r="AN254" s="132">
        <f t="shared" si="191"/>
        <v>0</v>
      </c>
      <c r="AO254" s="132">
        <f t="shared" si="191"/>
        <v>0</v>
      </c>
      <c r="AP254" s="132">
        <f t="shared" si="191"/>
        <v>0</v>
      </c>
      <c r="AQ254" s="132">
        <f t="shared" si="191"/>
        <v>0</v>
      </c>
      <c r="AR254" s="132">
        <f t="shared" si="191"/>
        <v>0</v>
      </c>
      <c r="AS254" s="132">
        <f t="shared" si="191"/>
        <v>0</v>
      </c>
      <c r="AT254" s="132">
        <f t="shared" si="191"/>
        <v>0</v>
      </c>
      <c r="AU254" s="132">
        <f t="shared" si="191"/>
        <v>0</v>
      </c>
      <c r="AV254" s="132">
        <f t="shared" si="191"/>
        <v>0</v>
      </c>
      <c r="AW254" s="132">
        <f t="shared" si="191"/>
        <v>0</v>
      </c>
      <c r="AX254" s="132">
        <f t="shared" si="191"/>
        <v>0</v>
      </c>
      <c r="AY254" s="132">
        <f t="shared" si="191"/>
        <v>0</v>
      </c>
      <c r="AZ254" s="132">
        <f t="shared" si="191"/>
        <v>0</v>
      </c>
      <c r="BA254" s="132">
        <f t="shared" si="191"/>
        <v>0</v>
      </c>
      <c r="BB254" s="132">
        <f t="shared" si="191"/>
        <v>0</v>
      </c>
      <c r="BC254" s="132">
        <f t="shared" si="191"/>
        <v>0</v>
      </c>
      <c r="BD254" s="132">
        <f t="shared" si="191"/>
        <v>0</v>
      </c>
      <c r="BE254" s="132">
        <f t="shared" si="191"/>
        <v>0</v>
      </c>
      <c r="BF254" s="132">
        <f t="shared" si="191"/>
        <v>0</v>
      </c>
      <c r="BG254" s="132">
        <f t="shared" si="191"/>
        <v>0</v>
      </c>
      <c r="BH254" s="132">
        <f t="shared" si="191"/>
        <v>0</v>
      </c>
      <c r="BI254" s="132">
        <f t="shared" si="191"/>
        <v>0</v>
      </c>
      <c r="BJ254" s="132">
        <f t="shared" si="191"/>
        <v>0</v>
      </c>
      <c r="BK254" s="132">
        <f t="shared" si="191"/>
        <v>0</v>
      </c>
      <c r="BL254" s="132">
        <f t="shared" si="191"/>
        <v>0</v>
      </c>
      <c r="BM254" s="132">
        <f t="shared" si="191"/>
        <v>0</v>
      </c>
      <c r="BN254" s="132">
        <f t="shared" si="191"/>
        <v>0</v>
      </c>
      <c r="BO254" s="132">
        <f t="shared" si="191"/>
        <v>0</v>
      </c>
      <c r="BP254" s="132">
        <f t="shared" si="191"/>
        <v>0</v>
      </c>
      <c r="BQ254" s="132">
        <f t="shared" si="191"/>
        <v>0</v>
      </c>
      <c r="BR254" s="132">
        <f t="shared" si="191"/>
        <v>0</v>
      </c>
      <c r="BS254" s="132">
        <f t="shared" si="191"/>
        <v>0</v>
      </c>
      <c r="BT254" s="132">
        <f t="shared" si="191"/>
        <v>0</v>
      </c>
      <c r="BU254" s="132">
        <f t="shared" si="191"/>
        <v>0</v>
      </c>
      <c r="BV254" s="132">
        <f t="shared" si="191"/>
        <v>0</v>
      </c>
      <c r="BX254" s="106"/>
      <c r="BY254" s="106"/>
      <c r="BZ254" s="106"/>
      <c r="CA254" s="106"/>
      <c r="CB254" s="106"/>
      <c r="CC254" s="106"/>
      <c r="CD254" s="106"/>
      <c r="CE254" s="106"/>
      <c r="CF254" s="106"/>
      <c r="CG254" s="106"/>
      <c r="CH254" s="106"/>
      <c r="CI254" s="106"/>
      <c r="CK254" s="11"/>
      <c r="CM254" s="11"/>
      <c r="EX254" s="10" t="str">
        <f t="shared" si="186"/>
        <v/>
      </c>
    </row>
    <row r="255" spans="2:154" x14ac:dyDescent="0.35">
      <c r="B255" t="str">
        <f ca="1">Loans!B$16</f>
        <v>Loan 4</v>
      </c>
      <c r="D255" s="51">
        <f>Loans!D$16</f>
        <v>0</v>
      </c>
      <c r="E255" s="117" t="str">
        <f>IF(Loans!R$16=0, "", Loans!R$16)</f>
        <v/>
      </c>
      <c r="F255" s="10">
        <f>IFERROR(INDEX(Parameters!$F$87:$F$90, MATCH(Loans!T16, Parameters!$D$87:$D$90,0)), 0)</f>
        <v>0</v>
      </c>
      <c r="V255" s="106"/>
      <c r="W255" s="106"/>
      <c r="X255" s="106"/>
      <c r="Y255" s="106"/>
      <c r="AA255" s="132">
        <f t="shared" ref="AA255:BV255" si="192">IF(OR($F255=0,AA186=0), 0, IF(OR(AA186=1,  MOD(AA186,$F255)=0, AA117=1), 1, 0))</f>
        <v>0</v>
      </c>
      <c r="AB255" s="132">
        <f t="shared" si="192"/>
        <v>0</v>
      </c>
      <c r="AC255" s="132">
        <f t="shared" si="192"/>
        <v>0</v>
      </c>
      <c r="AD255" s="132">
        <f t="shared" si="192"/>
        <v>0</v>
      </c>
      <c r="AE255" s="132">
        <f t="shared" si="192"/>
        <v>0</v>
      </c>
      <c r="AF255" s="132">
        <f t="shared" si="192"/>
        <v>0</v>
      </c>
      <c r="AG255" s="132">
        <f t="shared" si="192"/>
        <v>0</v>
      </c>
      <c r="AH255" s="132">
        <f t="shared" si="192"/>
        <v>0</v>
      </c>
      <c r="AI255" s="132">
        <f t="shared" si="192"/>
        <v>0</v>
      </c>
      <c r="AJ255" s="132">
        <f t="shared" si="192"/>
        <v>0</v>
      </c>
      <c r="AK255" s="132">
        <f t="shared" si="192"/>
        <v>0</v>
      </c>
      <c r="AL255" s="132">
        <f t="shared" si="192"/>
        <v>0</v>
      </c>
      <c r="AM255" s="132">
        <f t="shared" si="192"/>
        <v>0</v>
      </c>
      <c r="AN255" s="132">
        <f t="shared" si="192"/>
        <v>0</v>
      </c>
      <c r="AO255" s="132">
        <f t="shared" si="192"/>
        <v>0</v>
      </c>
      <c r="AP255" s="132">
        <f t="shared" si="192"/>
        <v>0</v>
      </c>
      <c r="AQ255" s="132">
        <f t="shared" si="192"/>
        <v>0</v>
      </c>
      <c r="AR255" s="132">
        <f t="shared" si="192"/>
        <v>0</v>
      </c>
      <c r="AS255" s="132">
        <f t="shared" si="192"/>
        <v>0</v>
      </c>
      <c r="AT255" s="132">
        <f t="shared" si="192"/>
        <v>0</v>
      </c>
      <c r="AU255" s="132">
        <f t="shared" si="192"/>
        <v>0</v>
      </c>
      <c r="AV255" s="132">
        <f t="shared" si="192"/>
        <v>0</v>
      </c>
      <c r="AW255" s="132">
        <f t="shared" si="192"/>
        <v>0</v>
      </c>
      <c r="AX255" s="132">
        <f t="shared" si="192"/>
        <v>0</v>
      </c>
      <c r="AY255" s="132">
        <f t="shared" si="192"/>
        <v>0</v>
      </c>
      <c r="AZ255" s="132">
        <f t="shared" si="192"/>
        <v>0</v>
      </c>
      <c r="BA255" s="132">
        <f t="shared" si="192"/>
        <v>0</v>
      </c>
      <c r="BB255" s="132">
        <f t="shared" si="192"/>
        <v>0</v>
      </c>
      <c r="BC255" s="132">
        <f t="shared" si="192"/>
        <v>0</v>
      </c>
      <c r="BD255" s="132">
        <f t="shared" si="192"/>
        <v>0</v>
      </c>
      <c r="BE255" s="132">
        <f t="shared" si="192"/>
        <v>0</v>
      </c>
      <c r="BF255" s="132">
        <f t="shared" si="192"/>
        <v>0</v>
      </c>
      <c r="BG255" s="132">
        <f t="shared" si="192"/>
        <v>0</v>
      </c>
      <c r="BH255" s="132">
        <f t="shared" si="192"/>
        <v>0</v>
      </c>
      <c r="BI255" s="132">
        <f t="shared" si="192"/>
        <v>0</v>
      </c>
      <c r="BJ255" s="132">
        <f t="shared" si="192"/>
        <v>0</v>
      </c>
      <c r="BK255" s="132">
        <f t="shared" si="192"/>
        <v>0</v>
      </c>
      <c r="BL255" s="132">
        <f t="shared" si="192"/>
        <v>0</v>
      </c>
      <c r="BM255" s="132">
        <f t="shared" si="192"/>
        <v>0</v>
      </c>
      <c r="BN255" s="132">
        <f t="shared" si="192"/>
        <v>0</v>
      </c>
      <c r="BO255" s="132">
        <f t="shared" si="192"/>
        <v>0</v>
      </c>
      <c r="BP255" s="132">
        <f t="shared" si="192"/>
        <v>0</v>
      </c>
      <c r="BQ255" s="132">
        <f t="shared" si="192"/>
        <v>0</v>
      </c>
      <c r="BR255" s="132">
        <f t="shared" si="192"/>
        <v>0</v>
      </c>
      <c r="BS255" s="132">
        <f t="shared" si="192"/>
        <v>0</v>
      </c>
      <c r="BT255" s="132">
        <f t="shared" si="192"/>
        <v>0</v>
      </c>
      <c r="BU255" s="132">
        <f t="shared" si="192"/>
        <v>0</v>
      </c>
      <c r="BV255" s="132">
        <f t="shared" si="192"/>
        <v>0</v>
      </c>
      <c r="BX255" s="106"/>
      <c r="BY255" s="106"/>
      <c r="BZ255" s="106"/>
      <c r="CA255" s="106"/>
      <c r="CB255" s="106"/>
      <c r="CC255" s="106"/>
      <c r="CD255" s="106"/>
      <c r="CE255" s="106"/>
      <c r="CF255" s="106"/>
      <c r="CG255" s="106"/>
      <c r="CH255" s="106"/>
      <c r="CI255" s="106"/>
      <c r="CK255" s="11"/>
      <c r="CM255" s="11"/>
      <c r="EX255" s="10" t="str">
        <f t="shared" si="186"/>
        <v/>
      </c>
    </row>
    <row r="256" spans="2:154" x14ac:dyDescent="0.35">
      <c r="B256" t="str">
        <f ca="1">Loans!B$17</f>
        <v>Loan 5</v>
      </c>
      <c r="D256" s="51">
        <f>Loans!D$17</f>
        <v>0</v>
      </c>
      <c r="E256" s="117" t="str">
        <f>IF(Loans!R$17=0, "", Loans!R$17)</f>
        <v/>
      </c>
      <c r="F256" s="10">
        <f>IFERROR(INDEX(Parameters!$F$87:$F$90, MATCH(Loans!T17, Parameters!$D$87:$D$90,0)), 0)</f>
        <v>0</v>
      </c>
      <c r="V256" s="106"/>
      <c r="W256" s="106"/>
      <c r="X256" s="106"/>
      <c r="Y256" s="106"/>
      <c r="AA256" s="132">
        <f t="shared" ref="AA256:BV256" si="193">IF(OR($F256=0,AA187=0), 0, IF(OR(AA187=1,  MOD(AA187,$F256)=0, AA118=1), 1, 0))</f>
        <v>0</v>
      </c>
      <c r="AB256" s="132">
        <f t="shared" si="193"/>
        <v>0</v>
      </c>
      <c r="AC256" s="132">
        <f t="shared" si="193"/>
        <v>0</v>
      </c>
      <c r="AD256" s="132">
        <f t="shared" si="193"/>
        <v>0</v>
      </c>
      <c r="AE256" s="132">
        <f t="shared" si="193"/>
        <v>0</v>
      </c>
      <c r="AF256" s="132">
        <f t="shared" si="193"/>
        <v>0</v>
      </c>
      <c r="AG256" s="132">
        <f t="shared" si="193"/>
        <v>0</v>
      </c>
      <c r="AH256" s="132">
        <f t="shared" si="193"/>
        <v>0</v>
      </c>
      <c r="AI256" s="132">
        <f t="shared" si="193"/>
        <v>0</v>
      </c>
      <c r="AJ256" s="132">
        <f t="shared" si="193"/>
        <v>0</v>
      </c>
      <c r="AK256" s="132">
        <f t="shared" si="193"/>
        <v>0</v>
      </c>
      <c r="AL256" s="132">
        <f t="shared" si="193"/>
        <v>0</v>
      </c>
      <c r="AM256" s="132">
        <f t="shared" si="193"/>
        <v>0</v>
      </c>
      <c r="AN256" s="132">
        <f t="shared" si="193"/>
        <v>0</v>
      </c>
      <c r="AO256" s="132">
        <f t="shared" si="193"/>
        <v>0</v>
      </c>
      <c r="AP256" s="132">
        <f t="shared" si="193"/>
        <v>0</v>
      </c>
      <c r="AQ256" s="132">
        <f t="shared" si="193"/>
        <v>0</v>
      </c>
      <c r="AR256" s="132">
        <f t="shared" si="193"/>
        <v>0</v>
      </c>
      <c r="AS256" s="132">
        <f t="shared" si="193"/>
        <v>0</v>
      </c>
      <c r="AT256" s="132">
        <f t="shared" si="193"/>
        <v>0</v>
      </c>
      <c r="AU256" s="132">
        <f t="shared" si="193"/>
        <v>0</v>
      </c>
      <c r="AV256" s="132">
        <f t="shared" si="193"/>
        <v>0</v>
      </c>
      <c r="AW256" s="132">
        <f t="shared" si="193"/>
        <v>0</v>
      </c>
      <c r="AX256" s="132">
        <f t="shared" si="193"/>
        <v>0</v>
      </c>
      <c r="AY256" s="132">
        <f t="shared" si="193"/>
        <v>0</v>
      </c>
      <c r="AZ256" s="132">
        <f t="shared" si="193"/>
        <v>0</v>
      </c>
      <c r="BA256" s="132">
        <f t="shared" si="193"/>
        <v>0</v>
      </c>
      <c r="BB256" s="132">
        <f t="shared" si="193"/>
        <v>0</v>
      </c>
      <c r="BC256" s="132">
        <f t="shared" si="193"/>
        <v>0</v>
      </c>
      <c r="BD256" s="132">
        <f t="shared" si="193"/>
        <v>0</v>
      </c>
      <c r="BE256" s="132">
        <f t="shared" si="193"/>
        <v>0</v>
      </c>
      <c r="BF256" s="132">
        <f t="shared" si="193"/>
        <v>0</v>
      </c>
      <c r="BG256" s="132">
        <f t="shared" si="193"/>
        <v>0</v>
      </c>
      <c r="BH256" s="132">
        <f t="shared" si="193"/>
        <v>0</v>
      </c>
      <c r="BI256" s="132">
        <f t="shared" si="193"/>
        <v>0</v>
      </c>
      <c r="BJ256" s="132">
        <f t="shared" si="193"/>
        <v>0</v>
      </c>
      <c r="BK256" s="132">
        <f t="shared" si="193"/>
        <v>0</v>
      </c>
      <c r="BL256" s="132">
        <f t="shared" si="193"/>
        <v>0</v>
      </c>
      <c r="BM256" s="132">
        <f t="shared" si="193"/>
        <v>0</v>
      </c>
      <c r="BN256" s="132">
        <f t="shared" si="193"/>
        <v>0</v>
      </c>
      <c r="BO256" s="132">
        <f t="shared" si="193"/>
        <v>0</v>
      </c>
      <c r="BP256" s="132">
        <f t="shared" si="193"/>
        <v>0</v>
      </c>
      <c r="BQ256" s="132">
        <f t="shared" si="193"/>
        <v>0</v>
      </c>
      <c r="BR256" s="132">
        <f t="shared" si="193"/>
        <v>0</v>
      </c>
      <c r="BS256" s="132">
        <f t="shared" si="193"/>
        <v>0</v>
      </c>
      <c r="BT256" s="132">
        <f t="shared" si="193"/>
        <v>0</v>
      </c>
      <c r="BU256" s="132">
        <f t="shared" si="193"/>
        <v>0</v>
      </c>
      <c r="BV256" s="132">
        <f t="shared" si="193"/>
        <v>0</v>
      </c>
      <c r="BX256" s="106"/>
      <c r="BY256" s="106"/>
      <c r="BZ256" s="106"/>
      <c r="CA256" s="106"/>
      <c r="CB256" s="106"/>
      <c r="CC256" s="106"/>
      <c r="CD256" s="106"/>
      <c r="CE256" s="106"/>
      <c r="CF256" s="106"/>
      <c r="CG256" s="106"/>
      <c r="CH256" s="106"/>
      <c r="CI256" s="106"/>
      <c r="CK256" s="11"/>
      <c r="CM256" s="11"/>
      <c r="EX256" s="10" t="str">
        <f t="shared" si="186"/>
        <v/>
      </c>
    </row>
    <row r="257" spans="1:154" x14ac:dyDescent="0.35">
      <c r="B257" t="str">
        <f ca="1">Loans!B$18</f>
        <v>Loan 6</v>
      </c>
      <c r="D257" s="51">
        <f>Loans!D$18</f>
        <v>0</v>
      </c>
      <c r="E257" s="117" t="str">
        <f>IF(Loans!R$18=0, "", Loans!R$18)</f>
        <v/>
      </c>
      <c r="F257" s="10">
        <f>IFERROR(INDEX(Parameters!$F$87:$F$90, MATCH(Loans!T18, Parameters!$D$87:$D$90,0)), 0)</f>
        <v>0</v>
      </c>
      <c r="V257" s="106"/>
      <c r="W257" s="106"/>
      <c r="X257" s="106"/>
      <c r="Y257" s="106"/>
      <c r="AA257" s="132">
        <f t="shared" ref="AA257:BV257" si="194">IF(OR($F257=0,AA188=0), 0, IF(OR(AA188=1,  MOD(AA188,$F257)=0, AA119=1), 1, 0))</f>
        <v>0</v>
      </c>
      <c r="AB257" s="132">
        <f t="shared" si="194"/>
        <v>0</v>
      </c>
      <c r="AC257" s="132">
        <f t="shared" si="194"/>
        <v>0</v>
      </c>
      <c r="AD257" s="132">
        <f t="shared" si="194"/>
        <v>0</v>
      </c>
      <c r="AE257" s="132">
        <f t="shared" si="194"/>
        <v>0</v>
      </c>
      <c r="AF257" s="132">
        <f t="shared" si="194"/>
        <v>0</v>
      </c>
      <c r="AG257" s="132">
        <f t="shared" si="194"/>
        <v>0</v>
      </c>
      <c r="AH257" s="132">
        <f t="shared" si="194"/>
        <v>0</v>
      </c>
      <c r="AI257" s="132">
        <f t="shared" si="194"/>
        <v>0</v>
      </c>
      <c r="AJ257" s="132">
        <f t="shared" si="194"/>
        <v>0</v>
      </c>
      <c r="AK257" s="132">
        <f t="shared" si="194"/>
        <v>0</v>
      </c>
      <c r="AL257" s="132">
        <f t="shared" si="194"/>
        <v>0</v>
      </c>
      <c r="AM257" s="132">
        <f t="shared" si="194"/>
        <v>0</v>
      </c>
      <c r="AN257" s="132">
        <f t="shared" si="194"/>
        <v>0</v>
      </c>
      <c r="AO257" s="132">
        <f t="shared" si="194"/>
        <v>0</v>
      </c>
      <c r="AP257" s="132">
        <f t="shared" si="194"/>
        <v>0</v>
      </c>
      <c r="AQ257" s="132">
        <f t="shared" si="194"/>
        <v>0</v>
      </c>
      <c r="AR257" s="132">
        <f t="shared" si="194"/>
        <v>0</v>
      </c>
      <c r="AS257" s="132">
        <f t="shared" si="194"/>
        <v>0</v>
      </c>
      <c r="AT257" s="132">
        <f t="shared" si="194"/>
        <v>0</v>
      </c>
      <c r="AU257" s="132">
        <f t="shared" si="194"/>
        <v>0</v>
      </c>
      <c r="AV257" s="132">
        <f t="shared" si="194"/>
        <v>0</v>
      </c>
      <c r="AW257" s="132">
        <f t="shared" si="194"/>
        <v>0</v>
      </c>
      <c r="AX257" s="132">
        <f t="shared" si="194"/>
        <v>0</v>
      </c>
      <c r="AY257" s="132">
        <f t="shared" si="194"/>
        <v>0</v>
      </c>
      <c r="AZ257" s="132">
        <f t="shared" si="194"/>
        <v>0</v>
      </c>
      <c r="BA257" s="132">
        <f t="shared" si="194"/>
        <v>0</v>
      </c>
      <c r="BB257" s="132">
        <f t="shared" si="194"/>
        <v>0</v>
      </c>
      <c r="BC257" s="132">
        <f t="shared" si="194"/>
        <v>0</v>
      </c>
      <c r="BD257" s="132">
        <f t="shared" si="194"/>
        <v>0</v>
      </c>
      <c r="BE257" s="132">
        <f t="shared" si="194"/>
        <v>0</v>
      </c>
      <c r="BF257" s="132">
        <f t="shared" si="194"/>
        <v>0</v>
      </c>
      <c r="BG257" s="132">
        <f t="shared" si="194"/>
        <v>0</v>
      </c>
      <c r="BH257" s="132">
        <f t="shared" si="194"/>
        <v>0</v>
      </c>
      <c r="BI257" s="132">
        <f t="shared" si="194"/>
        <v>0</v>
      </c>
      <c r="BJ257" s="132">
        <f t="shared" si="194"/>
        <v>0</v>
      </c>
      <c r="BK257" s="132">
        <f t="shared" si="194"/>
        <v>0</v>
      </c>
      <c r="BL257" s="132">
        <f t="shared" si="194"/>
        <v>0</v>
      </c>
      <c r="BM257" s="132">
        <f t="shared" si="194"/>
        <v>0</v>
      </c>
      <c r="BN257" s="132">
        <f t="shared" si="194"/>
        <v>0</v>
      </c>
      <c r="BO257" s="132">
        <f t="shared" si="194"/>
        <v>0</v>
      </c>
      <c r="BP257" s="132">
        <f t="shared" si="194"/>
        <v>0</v>
      </c>
      <c r="BQ257" s="132">
        <f t="shared" si="194"/>
        <v>0</v>
      </c>
      <c r="BR257" s="132">
        <f t="shared" si="194"/>
        <v>0</v>
      </c>
      <c r="BS257" s="132">
        <f t="shared" si="194"/>
        <v>0</v>
      </c>
      <c r="BT257" s="132">
        <f t="shared" si="194"/>
        <v>0</v>
      </c>
      <c r="BU257" s="132">
        <f t="shared" si="194"/>
        <v>0</v>
      </c>
      <c r="BV257" s="132">
        <f t="shared" si="194"/>
        <v>0</v>
      </c>
      <c r="BX257" s="106"/>
      <c r="BY257" s="106"/>
      <c r="BZ257" s="106"/>
      <c r="CA257" s="106"/>
      <c r="CB257" s="106"/>
      <c r="CC257" s="106"/>
      <c r="CD257" s="106"/>
      <c r="CE257" s="106"/>
      <c r="CF257" s="106"/>
      <c r="CG257" s="106"/>
      <c r="CH257" s="106"/>
      <c r="CI257" s="106"/>
      <c r="CK257" s="11"/>
      <c r="CM257" s="11"/>
      <c r="EX257" s="10" t="str">
        <f t="shared" si="186"/>
        <v/>
      </c>
    </row>
    <row r="258" spans="1:154" s="5" customFormat="1" x14ac:dyDescent="0.35">
      <c r="A258"/>
      <c r="B258" t="str">
        <f ca="1">Loans!B$19</f>
        <v>Loan 7</v>
      </c>
      <c r="D258" s="51">
        <f>Loans!D$19</f>
        <v>0</v>
      </c>
      <c r="E258" s="117" t="str">
        <f>IF(Loans!R$19=0, "", Loans!R$19)</f>
        <v/>
      </c>
      <c r="F258" s="10">
        <f>IFERROR(INDEX(Parameters!$F$87:$F$90, MATCH(Loans!T19, Parameters!$D$87:$D$90,0)), 0)</f>
        <v>0</v>
      </c>
      <c r="G258"/>
      <c r="H258"/>
      <c r="I258"/>
      <c r="J258"/>
      <c r="K258"/>
      <c r="M258"/>
      <c r="N258"/>
      <c r="O258"/>
      <c r="P258"/>
      <c r="Q258"/>
      <c r="S258"/>
      <c r="T258"/>
      <c r="U258"/>
      <c r="V258" s="106"/>
      <c r="W258" s="106"/>
      <c r="X258" s="106"/>
      <c r="Y258" s="106"/>
      <c r="Z258"/>
      <c r="AA258" s="132">
        <f t="shared" ref="AA258:BV258" si="195">IF(OR($F258=0,AA189=0), 0, IF(OR(AA189=1,  MOD(AA189,$F258)=0, AA120=1), 1, 0))</f>
        <v>0</v>
      </c>
      <c r="AB258" s="132">
        <f t="shared" si="195"/>
        <v>0</v>
      </c>
      <c r="AC258" s="132">
        <f t="shared" si="195"/>
        <v>0</v>
      </c>
      <c r="AD258" s="132">
        <f t="shared" si="195"/>
        <v>0</v>
      </c>
      <c r="AE258" s="132">
        <f t="shared" si="195"/>
        <v>0</v>
      </c>
      <c r="AF258" s="132">
        <f t="shared" si="195"/>
        <v>0</v>
      </c>
      <c r="AG258" s="132">
        <f t="shared" si="195"/>
        <v>0</v>
      </c>
      <c r="AH258" s="132">
        <f t="shared" si="195"/>
        <v>0</v>
      </c>
      <c r="AI258" s="132">
        <f t="shared" si="195"/>
        <v>0</v>
      </c>
      <c r="AJ258" s="132">
        <f t="shared" si="195"/>
        <v>0</v>
      </c>
      <c r="AK258" s="132">
        <f t="shared" si="195"/>
        <v>0</v>
      </c>
      <c r="AL258" s="132">
        <f t="shared" si="195"/>
        <v>0</v>
      </c>
      <c r="AM258" s="132">
        <f t="shared" si="195"/>
        <v>0</v>
      </c>
      <c r="AN258" s="132">
        <f t="shared" si="195"/>
        <v>0</v>
      </c>
      <c r="AO258" s="132">
        <f t="shared" si="195"/>
        <v>0</v>
      </c>
      <c r="AP258" s="132">
        <f t="shared" si="195"/>
        <v>0</v>
      </c>
      <c r="AQ258" s="132">
        <f t="shared" si="195"/>
        <v>0</v>
      </c>
      <c r="AR258" s="132">
        <f t="shared" si="195"/>
        <v>0</v>
      </c>
      <c r="AS258" s="132">
        <f t="shared" si="195"/>
        <v>0</v>
      </c>
      <c r="AT258" s="132">
        <f t="shared" si="195"/>
        <v>0</v>
      </c>
      <c r="AU258" s="132">
        <f t="shared" si="195"/>
        <v>0</v>
      </c>
      <c r="AV258" s="132">
        <f t="shared" si="195"/>
        <v>0</v>
      </c>
      <c r="AW258" s="132">
        <f t="shared" si="195"/>
        <v>0</v>
      </c>
      <c r="AX258" s="132">
        <f t="shared" si="195"/>
        <v>0</v>
      </c>
      <c r="AY258" s="132">
        <f t="shared" si="195"/>
        <v>0</v>
      </c>
      <c r="AZ258" s="132">
        <f t="shared" si="195"/>
        <v>0</v>
      </c>
      <c r="BA258" s="132">
        <f t="shared" si="195"/>
        <v>0</v>
      </c>
      <c r="BB258" s="132">
        <f t="shared" si="195"/>
        <v>0</v>
      </c>
      <c r="BC258" s="132">
        <f t="shared" si="195"/>
        <v>0</v>
      </c>
      <c r="BD258" s="132">
        <f t="shared" si="195"/>
        <v>0</v>
      </c>
      <c r="BE258" s="132">
        <f t="shared" si="195"/>
        <v>0</v>
      </c>
      <c r="BF258" s="132">
        <f t="shared" si="195"/>
        <v>0</v>
      </c>
      <c r="BG258" s="132">
        <f t="shared" si="195"/>
        <v>0</v>
      </c>
      <c r="BH258" s="132">
        <f t="shared" si="195"/>
        <v>0</v>
      </c>
      <c r="BI258" s="132">
        <f t="shared" si="195"/>
        <v>0</v>
      </c>
      <c r="BJ258" s="132">
        <f t="shared" si="195"/>
        <v>0</v>
      </c>
      <c r="BK258" s="132">
        <f t="shared" si="195"/>
        <v>0</v>
      </c>
      <c r="BL258" s="132">
        <f t="shared" si="195"/>
        <v>0</v>
      </c>
      <c r="BM258" s="132">
        <f t="shared" si="195"/>
        <v>0</v>
      </c>
      <c r="BN258" s="132">
        <f t="shared" si="195"/>
        <v>0</v>
      </c>
      <c r="BO258" s="132">
        <f t="shared" si="195"/>
        <v>0</v>
      </c>
      <c r="BP258" s="132">
        <f t="shared" si="195"/>
        <v>0</v>
      </c>
      <c r="BQ258" s="132">
        <f t="shared" si="195"/>
        <v>0</v>
      </c>
      <c r="BR258" s="132">
        <f t="shared" si="195"/>
        <v>0</v>
      </c>
      <c r="BS258" s="132">
        <f t="shared" si="195"/>
        <v>0</v>
      </c>
      <c r="BT258" s="132">
        <f t="shared" si="195"/>
        <v>0</v>
      </c>
      <c r="BU258" s="132">
        <f t="shared" si="195"/>
        <v>0</v>
      </c>
      <c r="BV258" s="132">
        <f t="shared" si="195"/>
        <v>0</v>
      </c>
      <c r="BW258"/>
      <c r="BX258" s="106"/>
      <c r="BY258" s="106"/>
      <c r="BZ258" s="106"/>
      <c r="CA258" s="106"/>
      <c r="CB258" s="106"/>
      <c r="CC258" s="106"/>
      <c r="CD258" s="106"/>
      <c r="CE258" s="106"/>
      <c r="CF258" s="106"/>
      <c r="CG258" s="106"/>
      <c r="CH258" s="106"/>
      <c r="CI258" s="106"/>
      <c r="CJ258"/>
      <c r="CK258" s="11"/>
      <c r="CL258"/>
      <c r="CM258" s="11"/>
      <c r="EX258" s="10" t="str">
        <f t="shared" si="186"/>
        <v/>
      </c>
    </row>
    <row r="259" spans="1:154" x14ac:dyDescent="0.35">
      <c r="B259" t="str">
        <f ca="1">Loans!B$20</f>
        <v>Loan 8</v>
      </c>
      <c r="D259" s="51">
        <f>Loans!D$20</f>
        <v>0</v>
      </c>
      <c r="E259" s="117" t="str">
        <f>IF(Loans!R$20=0, "", Loans!R$20)</f>
        <v/>
      </c>
      <c r="F259" s="10">
        <f>IFERROR(INDEX(Parameters!$F$87:$F$90, MATCH(Loans!T20, Parameters!$D$87:$D$90,0)), 0)</f>
        <v>0</v>
      </c>
      <c r="V259" s="106"/>
      <c r="W259" s="106"/>
      <c r="X259" s="106"/>
      <c r="Y259" s="106"/>
      <c r="AA259" s="132">
        <f t="shared" ref="AA259:BV259" si="196">IF(OR($F259=0,AA190=0), 0, IF(OR(AA190=1,  MOD(AA190,$F259)=0, AA121=1), 1, 0))</f>
        <v>0</v>
      </c>
      <c r="AB259" s="132">
        <f t="shared" si="196"/>
        <v>0</v>
      </c>
      <c r="AC259" s="132">
        <f t="shared" si="196"/>
        <v>0</v>
      </c>
      <c r="AD259" s="132">
        <f t="shared" si="196"/>
        <v>0</v>
      </c>
      <c r="AE259" s="132">
        <f t="shared" si="196"/>
        <v>0</v>
      </c>
      <c r="AF259" s="132">
        <f t="shared" si="196"/>
        <v>0</v>
      </c>
      <c r="AG259" s="132">
        <f t="shared" si="196"/>
        <v>0</v>
      </c>
      <c r="AH259" s="132">
        <f t="shared" si="196"/>
        <v>0</v>
      </c>
      <c r="AI259" s="132">
        <f t="shared" si="196"/>
        <v>0</v>
      </c>
      <c r="AJ259" s="132">
        <f t="shared" si="196"/>
        <v>0</v>
      </c>
      <c r="AK259" s="132">
        <f t="shared" si="196"/>
        <v>0</v>
      </c>
      <c r="AL259" s="132">
        <f t="shared" si="196"/>
        <v>0</v>
      </c>
      <c r="AM259" s="132">
        <f t="shared" si="196"/>
        <v>0</v>
      </c>
      <c r="AN259" s="132">
        <f t="shared" si="196"/>
        <v>0</v>
      </c>
      <c r="AO259" s="132">
        <f t="shared" si="196"/>
        <v>0</v>
      </c>
      <c r="AP259" s="132">
        <f t="shared" si="196"/>
        <v>0</v>
      </c>
      <c r="AQ259" s="132">
        <f t="shared" si="196"/>
        <v>0</v>
      </c>
      <c r="AR259" s="132">
        <f t="shared" si="196"/>
        <v>0</v>
      </c>
      <c r="AS259" s="132">
        <f t="shared" si="196"/>
        <v>0</v>
      </c>
      <c r="AT259" s="132">
        <f t="shared" si="196"/>
        <v>0</v>
      </c>
      <c r="AU259" s="132">
        <f t="shared" si="196"/>
        <v>0</v>
      </c>
      <c r="AV259" s="132">
        <f t="shared" si="196"/>
        <v>0</v>
      </c>
      <c r="AW259" s="132">
        <f t="shared" si="196"/>
        <v>0</v>
      </c>
      <c r="AX259" s="132">
        <f t="shared" si="196"/>
        <v>0</v>
      </c>
      <c r="AY259" s="132">
        <f t="shared" si="196"/>
        <v>0</v>
      </c>
      <c r="AZ259" s="132">
        <f t="shared" si="196"/>
        <v>0</v>
      </c>
      <c r="BA259" s="132">
        <f t="shared" si="196"/>
        <v>0</v>
      </c>
      <c r="BB259" s="132">
        <f t="shared" si="196"/>
        <v>0</v>
      </c>
      <c r="BC259" s="132">
        <f t="shared" si="196"/>
        <v>0</v>
      </c>
      <c r="BD259" s="132">
        <f t="shared" si="196"/>
        <v>0</v>
      </c>
      <c r="BE259" s="132">
        <f t="shared" si="196"/>
        <v>0</v>
      </c>
      <c r="BF259" s="132">
        <f t="shared" si="196"/>
        <v>0</v>
      </c>
      <c r="BG259" s="132">
        <f t="shared" si="196"/>
        <v>0</v>
      </c>
      <c r="BH259" s="132">
        <f t="shared" si="196"/>
        <v>0</v>
      </c>
      <c r="BI259" s="132">
        <f t="shared" si="196"/>
        <v>0</v>
      </c>
      <c r="BJ259" s="132">
        <f t="shared" si="196"/>
        <v>0</v>
      </c>
      <c r="BK259" s="132">
        <f t="shared" si="196"/>
        <v>0</v>
      </c>
      <c r="BL259" s="132">
        <f t="shared" si="196"/>
        <v>0</v>
      </c>
      <c r="BM259" s="132">
        <f t="shared" si="196"/>
        <v>0</v>
      </c>
      <c r="BN259" s="132">
        <f t="shared" si="196"/>
        <v>0</v>
      </c>
      <c r="BO259" s="132">
        <f t="shared" si="196"/>
        <v>0</v>
      </c>
      <c r="BP259" s="132">
        <f t="shared" si="196"/>
        <v>0</v>
      </c>
      <c r="BQ259" s="132">
        <f t="shared" si="196"/>
        <v>0</v>
      </c>
      <c r="BR259" s="132">
        <f t="shared" si="196"/>
        <v>0</v>
      </c>
      <c r="BS259" s="132">
        <f t="shared" si="196"/>
        <v>0</v>
      </c>
      <c r="BT259" s="132">
        <f t="shared" si="196"/>
        <v>0</v>
      </c>
      <c r="BU259" s="132">
        <f t="shared" si="196"/>
        <v>0</v>
      </c>
      <c r="BV259" s="132">
        <f t="shared" si="196"/>
        <v>0</v>
      </c>
      <c r="BX259" s="106"/>
      <c r="BY259" s="106"/>
      <c r="BZ259" s="106"/>
      <c r="CA259" s="106"/>
      <c r="CB259" s="106"/>
      <c r="CC259" s="106"/>
      <c r="CD259" s="106"/>
      <c r="CE259" s="106"/>
      <c r="CF259" s="106"/>
      <c r="CG259" s="106"/>
      <c r="CH259" s="106"/>
      <c r="CI259" s="106"/>
      <c r="CK259" s="11"/>
      <c r="CM259" s="11"/>
      <c r="EX259" s="10" t="str">
        <f t="shared" si="186"/>
        <v/>
      </c>
    </row>
    <row r="260" spans="1:154" x14ac:dyDescent="0.35">
      <c r="B260" t="str">
        <f ca="1">Loans!B$21</f>
        <v>Loan 9</v>
      </c>
      <c r="D260" s="51">
        <f>Loans!D$21</f>
        <v>0</v>
      </c>
      <c r="E260" s="117" t="str">
        <f>IF(Loans!R$21=0, "", Loans!R$21)</f>
        <v/>
      </c>
      <c r="F260" s="10">
        <f>IFERROR(INDEX(Parameters!$F$87:$F$90, MATCH(Loans!T21, Parameters!$D$87:$D$90,0)), 0)</f>
        <v>0</v>
      </c>
      <c r="V260" s="106"/>
      <c r="W260" s="106"/>
      <c r="X260" s="106"/>
      <c r="Y260" s="106"/>
      <c r="AA260" s="132">
        <f t="shared" ref="AA260:BV260" si="197">IF(OR($F260=0,AA191=0), 0, IF(OR(AA191=1,  MOD(AA191,$F260)=0, AA122=1), 1, 0))</f>
        <v>0</v>
      </c>
      <c r="AB260" s="132">
        <f t="shared" si="197"/>
        <v>0</v>
      </c>
      <c r="AC260" s="132">
        <f t="shared" si="197"/>
        <v>0</v>
      </c>
      <c r="AD260" s="132">
        <f t="shared" si="197"/>
        <v>0</v>
      </c>
      <c r="AE260" s="132">
        <f t="shared" si="197"/>
        <v>0</v>
      </c>
      <c r="AF260" s="132">
        <f t="shared" si="197"/>
        <v>0</v>
      </c>
      <c r="AG260" s="132">
        <f t="shared" si="197"/>
        <v>0</v>
      </c>
      <c r="AH260" s="132">
        <f t="shared" si="197"/>
        <v>0</v>
      </c>
      <c r="AI260" s="132">
        <f t="shared" si="197"/>
        <v>0</v>
      </c>
      <c r="AJ260" s="132">
        <f t="shared" si="197"/>
        <v>0</v>
      </c>
      <c r="AK260" s="132">
        <f t="shared" si="197"/>
        <v>0</v>
      </c>
      <c r="AL260" s="132">
        <f t="shared" si="197"/>
        <v>0</v>
      </c>
      <c r="AM260" s="132">
        <f t="shared" si="197"/>
        <v>0</v>
      </c>
      <c r="AN260" s="132">
        <f t="shared" si="197"/>
        <v>0</v>
      </c>
      <c r="AO260" s="132">
        <f t="shared" si="197"/>
        <v>0</v>
      </c>
      <c r="AP260" s="132">
        <f t="shared" si="197"/>
        <v>0</v>
      </c>
      <c r="AQ260" s="132">
        <f t="shared" si="197"/>
        <v>0</v>
      </c>
      <c r="AR260" s="132">
        <f t="shared" si="197"/>
        <v>0</v>
      </c>
      <c r="AS260" s="132">
        <f t="shared" si="197"/>
        <v>0</v>
      </c>
      <c r="AT260" s="132">
        <f t="shared" si="197"/>
        <v>0</v>
      </c>
      <c r="AU260" s="132">
        <f t="shared" si="197"/>
        <v>0</v>
      </c>
      <c r="AV260" s="132">
        <f t="shared" si="197"/>
        <v>0</v>
      </c>
      <c r="AW260" s="132">
        <f t="shared" si="197"/>
        <v>0</v>
      </c>
      <c r="AX260" s="132">
        <f t="shared" si="197"/>
        <v>0</v>
      </c>
      <c r="AY260" s="132">
        <f t="shared" si="197"/>
        <v>0</v>
      </c>
      <c r="AZ260" s="132">
        <f t="shared" si="197"/>
        <v>0</v>
      </c>
      <c r="BA260" s="132">
        <f t="shared" si="197"/>
        <v>0</v>
      </c>
      <c r="BB260" s="132">
        <f t="shared" si="197"/>
        <v>0</v>
      </c>
      <c r="BC260" s="132">
        <f t="shared" si="197"/>
        <v>0</v>
      </c>
      <c r="BD260" s="132">
        <f t="shared" si="197"/>
        <v>0</v>
      </c>
      <c r="BE260" s="132">
        <f t="shared" si="197"/>
        <v>0</v>
      </c>
      <c r="BF260" s="132">
        <f t="shared" si="197"/>
        <v>0</v>
      </c>
      <c r="BG260" s="132">
        <f t="shared" si="197"/>
        <v>0</v>
      </c>
      <c r="BH260" s="132">
        <f t="shared" si="197"/>
        <v>0</v>
      </c>
      <c r="BI260" s="132">
        <f t="shared" si="197"/>
        <v>0</v>
      </c>
      <c r="BJ260" s="132">
        <f t="shared" si="197"/>
        <v>0</v>
      </c>
      <c r="BK260" s="132">
        <f t="shared" si="197"/>
        <v>0</v>
      </c>
      <c r="BL260" s="132">
        <f t="shared" si="197"/>
        <v>0</v>
      </c>
      <c r="BM260" s="132">
        <f t="shared" si="197"/>
        <v>0</v>
      </c>
      <c r="BN260" s="132">
        <f t="shared" si="197"/>
        <v>0</v>
      </c>
      <c r="BO260" s="132">
        <f t="shared" si="197"/>
        <v>0</v>
      </c>
      <c r="BP260" s="132">
        <f t="shared" si="197"/>
        <v>0</v>
      </c>
      <c r="BQ260" s="132">
        <f t="shared" si="197"/>
        <v>0</v>
      </c>
      <c r="BR260" s="132">
        <f t="shared" si="197"/>
        <v>0</v>
      </c>
      <c r="BS260" s="132">
        <f t="shared" si="197"/>
        <v>0</v>
      </c>
      <c r="BT260" s="132">
        <f t="shared" si="197"/>
        <v>0</v>
      </c>
      <c r="BU260" s="132">
        <f t="shared" si="197"/>
        <v>0</v>
      </c>
      <c r="BV260" s="132">
        <f t="shared" si="197"/>
        <v>0</v>
      </c>
      <c r="BX260" s="106"/>
      <c r="BY260" s="106"/>
      <c r="BZ260" s="106"/>
      <c r="CA260" s="106"/>
      <c r="CB260" s="106"/>
      <c r="CC260" s="106"/>
      <c r="CD260" s="106"/>
      <c r="CE260" s="106"/>
      <c r="CF260" s="106"/>
      <c r="CG260" s="106"/>
      <c r="CH260" s="106"/>
      <c r="CI260" s="106"/>
      <c r="CK260" s="11"/>
      <c r="CM260" s="11"/>
      <c r="EX260" s="10" t="str">
        <f t="shared" si="186"/>
        <v/>
      </c>
    </row>
    <row r="261" spans="1:154" x14ac:dyDescent="0.35">
      <c r="B261" t="str">
        <f ca="1">Loans!B$22</f>
        <v>Loan 10</v>
      </c>
      <c r="D261" s="51">
        <f>Loans!D$22</f>
        <v>0</v>
      </c>
      <c r="E261" s="117" t="str">
        <f>IF(Loans!R$22=0, "", Loans!R$22)</f>
        <v/>
      </c>
      <c r="F261" s="10">
        <f>IFERROR(INDEX(Parameters!$F$87:$F$90, MATCH(Loans!T22, Parameters!$D$87:$D$90,0)), 0)</f>
        <v>0</v>
      </c>
      <c r="V261" s="106"/>
      <c r="W261" s="106"/>
      <c r="X261" s="106"/>
      <c r="Y261" s="106"/>
      <c r="AA261" s="132">
        <f t="shared" ref="AA261:BV261" si="198">IF(OR($F261=0,AA192=0), 0, IF(OR(AA192=1,  MOD(AA192,$F261)=0, AA123=1), 1, 0))</f>
        <v>0</v>
      </c>
      <c r="AB261" s="132">
        <f t="shared" si="198"/>
        <v>0</v>
      </c>
      <c r="AC261" s="132">
        <f t="shared" si="198"/>
        <v>0</v>
      </c>
      <c r="AD261" s="132">
        <f t="shared" si="198"/>
        <v>0</v>
      </c>
      <c r="AE261" s="132">
        <f t="shared" si="198"/>
        <v>0</v>
      </c>
      <c r="AF261" s="132">
        <f t="shared" si="198"/>
        <v>0</v>
      </c>
      <c r="AG261" s="132">
        <f t="shared" si="198"/>
        <v>0</v>
      </c>
      <c r="AH261" s="132">
        <f t="shared" si="198"/>
        <v>0</v>
      </c>
      <c r="AI261" s="132">
        <f t="shared" si="198"/>
        <v>0</v>
      </c>
      <c r="AJ261" s="132">
        <f t="shared" si="198"/>
        <v>0</v>
      </c>
      <c r="AK261" s="132">
        <f t="shared" si="198"/>
        <v>0</v>
      </c>
      <c r="AL261" s="132">
        <f t="shared" si="198"/>
        <v>0</v>
      </c>
      <c r="AM261" s="132">
        <f t="shared" si="198"/>
        <v>0</v>
      </c>
      <c r="AN261" s="132">
        <f t="shared" si="198"/>
        <v>0</v>
      </c>
      <c r="AO261" s="132">
        <f t="shared" si="198"/>
        <v>0</v>
      </c>
      <c r="AP261" s="132">
        <f t="shared" si="198"/>
        <v>0</v>
      </c>
      <c r="AQ261" s="132">
        <f t="shared" si="198"/>
        <v>0</v>
      </c>
      <c r="AR261" s="132">
        <f t="shared" si="198"/>
        <v>0</v>
      </c>
      <c r="AS261" s="132">
        <f t="shared" si="198"/>
        <v>0</v>
      </c>
      <c r="AT261" s="132">
        <f t="shared" si="198"/>
        <v>0</v>
      </c>
      <c r="AU261" s="132">
        <f t="shared" si="198"/>
        <v>0</v>
      </c>
      <c r="AV261" s="132">
        <f t="shared" si="198"/>
        <v>0</v>
      </c>
      <c r="AW261" s="132">
        <f t="shared" si="198"/>
        <v>0</v>
      </c>
      <c r="AX261" s="132">
        <f t="shared" si="198"/>
        <v>0</v>
      </c>
      <c r="AY261" s="132">
        <f t="shared" si="198"/>
        <v>0</v>
      </c>
      <c r="AZ261" s="132">
        <f t="shared" si="198"/>
        <v>0</v>
      </c>
      <c r="BA261" s="132">
        <f t="shared" si="198"/>
        <v>0</v>
      </c>
      <c r="BB261" s="132">
        <f t="shared" si="198"/>
        <v>0</v>
      </c>
      <c r="BC261" s="132">
        <f t="shared" si="198"/>
        <v>0</v>
      </c>
      <c r="BD261" s="132">
        <f t="shared" si="198"/>
        <v>0</v>
      </c>
      <c r="BE261" s="132">
        <f t="shared" si="198"/>
        <v>0</v>
      </c>
      <c r="BF261" s="132">
        <f t="shared" si="198"/>
        <v>0</v>
      </c>
      <c r="BG261" s="132">
        <f t="shared" si="198"/>
        <v>0</v>
      </c>
      <c r="BH261" s="132">
        <f t="shared" si="198"/>
        <v>0</v>
      </c>
      <c r="BI261" s="132">
        <f t="shared" si="198"/>
        <v>0</v>
      </c>
      <c r="BJ261" s="132">
        <f t="shared" si="198"/>
        <v>0</v>
      </c>
      <c r="BK261" s="132">
        <f t="shared" si="198"/>
        <v>0</v>
      </c>
      <c r="BL261" s="132">
        <f t="shared" si="198"/>
        <v>0</v>
      </c>
      <c r="BM261" s="132">
        <f t="shared" si="198"/>
        <v>0</v>
      </c>
      <c r="BN261" s="132">
        <f t="shared" si="198"/>
        <v>0</v>
      </c>
      <c r="BO261" s="132">
        <f t="shared" si="198"/>
        <v>0</v>
      </c>
      <c r="BP261" s="132">
        <f t="shared" si="198"/>
        <v>0</v>
      </c>
      <c r="BQ261" s="132">
        <f t="shared" si="198"/>
        <v>0</v>
      </c>
      <c r="BR261" s="132">
        <f t="shared" si="198"/>
        <v>0</v>
      </c>
      <c r="BS261" s="132">
        <f t="shared" si="198"/>
        <v>0</v>
      </c>
      <c r="BT261" s="132">
        <f t="shared" si="198"/>
        <v>0</v>
      </c>
      <c r="BU261" s="132">
        <f t="shared" si="198"/>
        <v>0</v>
      </c>
      <c r="BV261" s="132">
        <f t="shared" si="198"/>
        <v>0</v>
      </c>
      <c r="BX261" s="106"/>
      <c r="BY261" s="106"/>
      <c r="BZ261" s="106"/>
      <c r="CA261" s="106"/>
      <c r="CB261" s="106"/>
      <c r="CC261" s="106"/>
      <c r="CD261" s="106"/>
      <c r="CE261" s="106"/>
      <c r="CF261" s="106"/>
      <c r="CG261" s="106"/>
      <c r="CH261" s="106"/>
      <c r="CI261" s="106"/>
      <c r="CK261" s="11"/>
      <c r="CM261" s="11"/>
      <c r="EX261" s="10" t="str">
        <f t="shared" si="186"/>
        <v/>
      </c>
    </row>
    <row r="262" spans="1:154" x14ac:dyDescent="0.35">
      <c r="B262" t="str">
        <f ca="1">Loans!B$23</f>
        <v>Loan 11</v>
      </c>
      <c r="D262" s="51">
        <f>Loans!D$23</f>
        <v>0</v>
      </c>
      <c r="E262" s="117" t="str">
        <f>IF(Loans!R$23=0, "", Loans!R$23)</f>
        <v/>
      </c>
      <c r="F262" s="10">
        <f>IFERROR(INDEX(Parameters!$F$87:$F$90, MATCH(Loans!T23, Parameters!$D$87:$D$90,0)), 0)</f>
        <v>0</v>
      </c>
      <c r="V262" s="106"/>
      <c r="W262" s="106"/>
      <c r="X262" s="106"/>
      <c r="Y262" s="106"/>
      <c r="AA262" s="132">
        <f t="shared" ref="AA262:BV262" si="199">IF(OR($F262=0,AA193=0), 0, IF(OR(AA193=1,  MOD(AA193,$F262)=0, AA124=1), 1, 0))</f>
        <v>0</v>
      </c>
      <c r="AB262" s="132">
        <f t="shared" si="199"/>
        <v>0</v>
      </c>
      <c r="AC262" s="132">
        <f t="shared" si="199"/>
        <v>0</v>
      </c>
      <c r="AD262" s="132">
        <f t="shared" si="199"/>
        <v>0</v>
      </c>
      <c r="AE262" s="132">
        <f t="shared" si="199"/>
        <v>0</v>
      </c>
      <c r="AF262" s="132">
        <f t="shared" si="199"/>
        <v>0</v>
      </c>
      <c r="AG262" s="132">
        <f t="shared" si="199"/>
        <v>0</v>
      </c>
      <c r="AH262" s="132">
        <f t="shared" si="199"/>
        <v>0</v>
      </c>
      <c r="AI262" s="132">
        <f t="shared" si="199"/>
        <v>0</v>
      </c>
      <c r="AJ262" s="132">
        <f t="shared" si="199"/>
        <v>0</v>
      </c>
      <c r="AK262" s="132">
        <f t="shared" si="199"/>
        <v>0</v>
      </c>
      <c r="AL262" s="132">
        <f t="shared" si="199"/>
        <v>0</v>
      </c>
      <c r="AM262" s="132">
        <f t="shared" si="199"/>
        <v>0</v>
      </c>
      <c r="AN262" s="132">
        <f t="shared" si="199"/>
        <v>0</v>
      </c>
      <c r="AO262" s="132">
        <f t="shared" si="199"/>
        <v>0</v>
      </c>
      <c r="AP262" s="132">
        <f t="shared" si="199"/>
        <v>0</v>
      </c>
      <c r="AQ262" s="132">
        <f t="shared" si="199"/>
        <v>0</v>
      </c>
      <c r="AR262" s="132">
        <f t="shared" si="199"/>
        <v>0</v>
      </c>
      <c r="AS262" s="132">
        <f t="shared" si="199"/>
        <v>0</v>
      </c>
      <c r="AT262" s="132">
        <f t="shared" si="199"/>
        <v>0</v>
      </c>
      <c r="AU262" s="132">
        <f t="shared" si="199"/>
        <v>0</v>
      </c>
      <c r="AV262" s="132">
        <f t="shared" si="199"/>
        <v>0</v>
      </c>
      <c r="AW262" s="132">
        <f t="shared" si="199"/>
        <v>0</v>
      </c>
      <c r="AX262" s="132">
        <f t="shared" si="199"/>
        <v>0</v>
      </c>
      <c r="AY262" s="132">
        <f t="shared" si="199"/>
        <v>0</v>
      </c>
      <c r="AZ262" s="132">
        <f t="shared" si="199"/>
        <v>0</v>
      </c>
      <c r="BA262" s="132">
        <f t="shared" si="199"/>
        <v>0</v>
      </c>
      <c r="BB262" s="132">
        <f t="shared" si="199"/>
        <v>0</v>
      </c>
      <c r="BC262" s="132">
        <f t="shared" si="199"/>
        <v>0</v>
      </c>
      <c r="BD262" s="132">
        <f t="shared" si="199"/>
        <v>0</v>
      </c>
      <c r="BE262" s="132">
        <f t="shared" si="199"/>
        <v>0</v>
      </c>
      <c r="BF262" s="132">
        <f t="shared" si="199"/>
        <v>0</v>
      </c>
      <c r="BG262" s="132">
        <f t="shared" si="199"/>
        <v>0</v>
      </c>
      <c r="BH262" s="132">
        <f t="shared" si="199"/>
        <v>0</v>
      </c>
      <c r="BI262" s="132">
        <f t="shared" si="199"/>
        <v>0</v>
      </c>
      <c r="BJ262" s="132">
        <f t="shared" si="199"/>
        <v>0</v>
      </c>
      <c r="BK262" s="132">
        <f t="shared" si="199"/>
        <v>0</v>
      </c>
      <c r="BL262" s="132">
        <f t="shared" si="199"/>
        <v>0</v>
      </c>
      <c r="BM262" s="132">
        <f t="shared" si="199"/>
        <v>0</v>
      </c>
      <c r="BN262" s="132">
        <f t="shared" si="199"/>
        <v>0</v>
      </c>
      <c r="BO262" s="132">
        <f t="shared" si="199"/>
        <v>0</v>
      </c>
      <c r="BP262" s="132">
        <f t="shared" si="199"/>
        <v>0</v>
      </c>
      <c r="BQ262" s="132">
        <f t="shared" si="199"/>
        <v>0</v>
      </c>
      <c r="BR262" s="132">
        <f t="shared" si="199"/>
        <v>0</v>
      </c>
      <c r="BS262" s="132">
        <f t="shared" si="199"/>
        <v>0</v>
      </c>
      <c r="BT262" s="132">
        <f t="shared" si="199"/>
        <v>0</v>
      </c>
      <c r="BU262" s="132">
        <f t="shared" si="199"/>
        <v>0</v>
      </c>
      <c r="BV262" s="132">
        <f t="shared" si="199"/>
        <v>0</v>
      </c>
      <c r="BX262" s="106"/>
      <c r="BY262" s="106"/>
      <c r="BZ262" s="106"/>
      <c r="CA262" s="106"/>
      <c r="CB262" s="106"/>
      <c r="CC262" s="106"/>
      <c r="CD262" s="106"/>
      <c r="CE262" s="106"/>
      <c r="CF262" s="106"/>
      <c r="CG262" s="106"/>
      <c r="CH262" s="106"/>
      <c r="CI262" s="106"/>
      <c r="CK262" s="11"/>
      <c r="CM262" s="11"/>
      <c r="EX262" s="10" t="str">
        <f t="shared" si="186"/>
        <v/>
      </c>
    </row>
    <row r="263" spans="1:154" x14ac:dyDescent="0.35">
      <c r="B263" t="str">
        <f ca="1">Loans!B$24</f>
        <v>Loan 12</v>
      </c>
      <c r="D263" s="51">
        <f>Loans!D$24</f>
        <v>0</v>
      </c>
      <c r="E263" s="117" t="str">
        <f>IF(Loans!R$24=0, "", Loans!R$24)</f>
        <v/>
      </c>
      <c r="F263" s="10">
        <f>IFERROR(INDEX(Parameters!$F$87:$F$90, MATCH(Loans!T24, Parameters!$D$87:$D$90,0)), 0)</f>
        <v>0</v>
      </c>
      <c r="V263" s="106"/>
      <c r="W263" s="106"/>
      <c r="X263" s="106"/>
      <c r="Y263" s="106"/>
      <c r="AA263" s="132">
        <f t="shared" ref="AA263:BV263" si="200">IF(OR($F263=0,AA194=0), 0, IF(OR(AA194=1,  MOD(AA194,$F263)=0, AA125=1), 1, 0))</f>
        <v>0</v>
      </c>
      <c r="AB263" s="132">
        <f t="shared" si="200"/>
        <v>0</v>
      </c>
      <c r="AC263" s="132">
        <f t="shared" si="200"/>
        <v>0</v>
      </c>
      <c r="AD263" s="132">
        <f t="shared" si="200"/>
        <v>0</v>
      </c>
      <c r="AE263" s="132">
        <f t="shared" si="200"/>
        <v>0</v>
      </c>
      <c r="AF263" s="132">
        <f t="shared" si="200"/>
        <v>0</v>
      </c>
      <c r="AG263" s="132">
        <f t="shared" si="200"/>
        <v>0</v>
      </c>
      <c r="AH263" s="132">
        <f t="shared" si="200"/>
        <v>0</v>
      </c>
      <c r="AI263" s="132">
        <f t="shared" si="200"/>
        <v>0</v>
      </c>
      <c r="AJ263" s="132">
        <f t="shared" si="200"/>
        <v>0</v>
      </c>
      <c r="AK263" s="132">
        <f t="shared" si="200"/>
        <v>0</v>
      </c>
      <c r="AL263" s="132">
        <f t="shared" si="200"/>
        <v>0</v>
      </c>
      <c r="AM263" s="132">
        <f t="shared" si="200"/>
        <v>0</v>
      </c>
      <c r="AN263" s="132">
        <f t="shared" si="200"/>
        <v>0</v>
      </c>
      <c r="AO263" s="132">
        <f t="shared" si="200"/>
        <v>0</v>
      </c>
      <c r="AP263" s="132">
        <f t="shared" si="200"/>
        <v>0</v>
      </c>
      <c r="AQ263" s="132">
        <f t="shared" si="200"/>
        <v>0</v>
      </c>
      <c r="AR263" s="132">
        <f t="shared" si="200"/>
        <v>0</v>
      </c>
      <c r="AS263" s="132">
        <f t="shared" si="200"/>
        <v>0</v>
      </c>
      <c r="AT263" s="132">
        <f t="shared" si="200"/>
        <v>0</v>
      </c>
      <c r="AU263" s="132">
        <f t="shared" si="200"/>
        <v>0</v>
      </c>
      <c r="AV263" s="132">
        <f t="shared" si="200"/>
        <v>0</v>
      </c>
      <c r="AW263" s="132">
        <f t="shared" si="200"/>
        <v>0</v>
      </c>
      <c r="AX263" s="132">
        <f t="shared" si="200"/>
        <v>0</v>
      </c>
      <c r="AY263" s="132">
        <f t="shared" si="200"/>
        <v>0</v>
      </c>
      <c r="AZ263" s="132">
        <f t="shared" si="200"/>
        <v>0</v>
      </c>
      <c r="BA263" s="132">
        <f t="shared" si="200"/>
        <v>0</v>
      </c>
      <c r="BB263" s="132">
        <f t="shared" si="200"/>
        <v>0</v>
      </c>
      <c r="BC263" s="132">
        <f t="shared" si="200"/>
        <v>0</v>
      </c>
      <c r="BD263" s="132">
        <f t="shared" si="200"/>
        <v>0</v>
      </c>
      <c r="BE263" s="132">
        <f t="shared" si="200"/>
        <v>0</v>
      </c>
      <c r="BF263" s="132">
        <f t="shared" si="200"/>
        <v>0</v>
      </c>
      <c r="BG263" s="132">
        <f t="shared" si="200"/>
        <v>0</v>
      </c>
      <c r="BH263" s="132">
        <f t="shared" si="200"/>
        <v>0</v>
      </c>
      <c r="BI263" s="132">
        <f t="shared" si="200"/>
        <v>0</v>
      </c>
      <c r="BJ263" s="132">
        <f t="shared" si="200"/>
        <v>0</v>
      </c>
      <c r="BK263" s="132">
        <f t="shared" si="200"/>
        <v>0</v>
      </c>
      <c r="BL263" s="132">
        <f t="shared" si="200"/>
        <v>0</v>
      </c>
      <c r="BM263" s="132">
        <f t="shared" si="200"/>
        <v>0</v>
      </c>
      <c r="BN263" s="132">
        <f t="shared" si="200"/>
        <v>0</v>
      </c>
      <c r="BO263" s="132">
        <f t="shared" si="200"/>
        <v>0</v>
      </c>
      <c r="BP263" s="132">
        <f t="shared" si="200"/>
        <v>0</v>
      </c>
      <c r="BQ263" s="132">
        <f t="shared" si="200"/>
        <v>0</v>
      </c>
      <c r="BR263" s="132">
        <f t="shared" si="200"/>
        <v>0</v>
      </c>
      <c r="BS263" s="132">
        <f t="shared" si="200"/>
        <v>0</v>
      </c>
      <c r="BT263" s="132">
        <f t="shared" si="200"/>
        <v>0</v>
      </c>
      <c r="BU263" s="132">
        <f t="shared" si="200"/>
        <v>0</v>
      </c>
      <c r="BV263" s="132">
        <f t="shared" si="200"/>
        <v>0</v>
      </c>
      <c r="BX263" s="106"/>
      <c r="BY263" s="106"/>
      <c r="BZ263" s="106"/>
      <c r="CA263" s="106"/>
      <c r="CB263" s="106"/>
      <c r="CC263" s="106"/>
      <c r="CD263" s="106"/>
      <c r="CE263" s="106"/>
      <c r="CF263" s="106"/>
      <c r="CG263" s="106"/>
      <c r="CH263" s="106"/>
      <c r="CI263" s="106"/>
      <c r="CK263" s="11"/>
      <c r="CM263" s="11"/>
      <c r="EX263" s="10" t="str">
        <f t="shared" si="186"/>
        <v/>
      </c>
    </row>
    <row r="264" spans="1:154" x14ac:dyDescent="0.35">
      <c r="B264" t="str">
        <f ca="1">Loans!B$25</f>
        <v>Loan 13</v>
      </c>
      <c r="D264" s="51">
        <f>Loans!D$25</f>
        <v>0</v>
      </c>
      <c r="E264" s="117" t="str">
        <f>IF(Loans!R$25=0, "", Loans!R$25)</f>
        <v/>
      </c>
      <c r="F264" s="10">
        <f>IFERROR(INDEX(Parameters!$F$87:$F$90, MATCH(Loans!T25, Parameters!$D$87:$D$90,0)), 0)</f>
        <v>0</v>
      </c>
      <c r="V264" s="106"/>
      <c r="W264" s="106"/>
      <c r="X264" s="106"/>
      <c r="Y264" s="106"/>
      <c r="AA264" s="132">
        <f t="shared" ref="AA264:BV264" si="201">IF(OR($F264=0,AA195=0), 0, IF(OR(AA195=1,  MOD(AA195,$F264)=0, AA126=1), 1, 0))</f>
        <v>0</v>
      </c>
      <c r="AB264" s="132">
        <f t="shared" si="201"/>
        <v>0</v>
      </c>
      <c r="AC264" s="132">
        <f t="shared" si="201"/>
        <v>0</v>
      </c>
      <c r="AD264" s="132">
        <f t="shared" si="201"/>
        <v>0</v>
      </c>
      <c r="AE264" s="132">
        <f t="shared" si="201"/>
        <v>0</v>
      </c>
      <c r="AF264" s="132">
        <f t="shared" si="201"/>
        <v>0</v>
      </c>
      <c r="AG264" s="132">
        <f t="shared" si="201"/>
        <v>0</v>
      </c>
      <c r="AH264" s="132">
        <f t="shared" si="201"/>
        <v>0</v>
      </c>
      <c r="AI264" s="132">
        <f t="shared" si="201"/>
        <v>0</v>
      </c>
      <c r="AJ264" s="132">
        <f t="shared" si="201"/>
        <v>0</v>
      </c>
      <c r="AK264" s="132">
        <f t="shared" si="201"/>
        <v>0</v>
      </c>
      <c r="AL264" s="132">
        <f t="shared" si="201"/>
        <v>0</v>
      </c>
      <c r="AM264" s="132">
        <f t="shared" si="201"/>
        <v>0</v>
      </c>
      <c r="AN264" s="132">
        <f t="shared" si="201"/>
        <v>0</v>
      </c>
      <c r="AO264" s="132">
        <f t="shared" si="201"/>
        <v>0</v>
      </c>
      <c r="AP264" s="132">
        <f t="shared" si="201"/>
        <v>0</v>
      </c>
      <c r="AQ264" s="132">
        <f t="shared" si="201"/>
        <v>0</v>
      </c>
      <c r="AR264" s="132">
        <f t="shared" si="201"/>
        <v>0</v>
      </c>
      <c r="AS264" s="132">
        <f t="shared" si="201"/>
        <v>0</v>
      </c>
      <c r="AT264" s="132">
        <f t="shared" si="201"/>
        <v>0</v>
      </c>
      <c r="AU264" s="132">
        <f t="shared" si="201"/>
        <v>0</v>
      </c>
      <c r="AV264" s="132">
        <f t="shared" si="201"/>
        <v>0</v>
      </c>
      <c r="AW264" s="132">
        <f t="shared" si="201"/>
        <v>0</v>
      </c>
      <c r="AX264" s="132">
        <f t="shared" si="201"/>
        <v>0</v>
      </c>
      <c r="AY264" s="132">
        <f t="shared" si="201"/>
        <v>0</v>
      </c>
      <c r="AZ264" s="132">
        <f t="shared" si="201"/>
        <v>0</v>
      </c>
      <c r="BA264" s="132">
        <f t="shared" si="201"/>
        <v>0</v>
      </c>
      <c r="BB264" s="132">
        <f t="shared" si="201"/>
        <v>0</v>
      </c>
      <c r="BC264" s="132">
        <f t="shared" si="201"/>
        <v>0</v>
      </c>
      <c r="BD264" s="132">
        <f t="shared" si="201"/>
        <v>0</v>
      </c>
      <c r="BE264" s="132">
        <f t="shared" si="201"/>
        <v>0</v>
      </c>
      <c r="BF264" s="132">
        <f t="shared" si="201"/>
        <v>0</v>
      </c>
      <c r="BG264" s="132">
        <f t="shared" si="201"/>
        <v>0</v>
      </c>
      <c r="BH264" s="132">
        <f t="shared" si="201"/>
        <v>0</v>
      </c>
      <c r="BI264" s="132">
        <f t="shared" si="201"/>
        <v>0</v>
      </c>
      <c r="BJ264" s="132">
        <f t="shared" si="201"/>
        <v>0</v>
      </c>
      <c r="BK264" s="132">
        <f t="shared" si="201"/>
        <v>0</v>
      </c>
      <c r="BL264" s="132">
        <f t="shared" si="201"/>
        <v>0</v>
      </c>
      <c r="BM264" s="132">
        <f t="shared" si="201"/>
        <v>0</v>
      </c>
      <c r="BN264" s="132">
        <f t="shared" si="201"/>
        <v>0</v>
      </c>
      <c r="BO264" s="132">
        <f t="shared" si="201"/>
        <v>0</v>
      </c>
      <c r="BP264" s="132">
        <f t="shared" si="201"/>
        <v>0</v>
      </c>
      <c r="BQ264" s="132">
        <f t="shared" si="201"/>
        <v>0</v>
      </c>
      <c r="BR264" s="132">
        <f t="shared" si="201"/>
        <v>0</v>
      </c>
      <c r="BS264" s="132">
        <f t="shared" si="201"/>
        <v>0</v>
      </c>
      <c r="BT264" s="132">
        <f t="shared" si="201"/>
        <v>0</v>
      </c>
      <c r="BU264" s="132">
        <f t="shared" si="201"/>
        <v>0</v>
      </c>
      <c r="BV264" s="132">
        <f t="shared" si="201"/>
        <v>0</v>
      </c>
      <c r="BX264" s="106"/>
      <c r="BY264" s="106"/>
      <c r="BZ264" s="106"/>
      <c r="CA264" s="106"/>
      <c r="CB264" s="106"/>
      <c r="CC264" s="106"/>
      <c r="CD264" s="106"/>
      <c r="CE264" s="106"/>
      <c r="CF264" s="106"/>
      <c r="CG264" s="106"/>
      <c r="CH264" s="106"/>
      <c r="CI264" s="106"/>
      <c r="CK264" s="11"/>
      <c r="CM264" s="11"/>
      <c r="EX264" s="10" t="str">
        <f t="shared" ref="EX264:EX327" si="202">IF($C264="","",$D264)</f>
        <v/>
      </c>
    </row>
    <row r="265" spans="1:154" x14ac:dyDescent="0.35">
      <c r="B265" t="str">
        <f ca="1">Loans!B$26</f>
        <v>Loan 14</v>
      </c>
      <c r="D265" s="51">
        <f>Loans!D$26</f>
        <v>0</v>
      </c>
      <c r="E265" s="117" t="str">
        <f>IF(Loans!R$26=0, "", Loans!R$26)</f>
        <v/>
      </c>
      <c r="F265" s="10">
        <f>IFERROR(INDEX(Parameters!$F$87:$F$90, MATCH(Loans!T26, Parameters!$D$87:$D$90,0)), 0)</f>
        <v>0</v>
      </c>
      <c r="V265" s="106"/>
      <c r="W265" s="106"/>
      <c r="X265" s="106"/>
      <c r="Y265" s="106"/>
      <c r="AA265" s="132">
        <f t="shared" ref="AA265:BV265" si="203">IF(OR($F265=0,AA196=0), 0, IF(OR(AA196=1,  MOD(AA196,$F265)=0, AA127=1), 1, 0))</f>
        <v>0</v>
      </c>
      <c r="AB265" s="132">
        <f t="shared" si="203"/>
        <v>0</v>
      </c>
      <c r="AC265" s="132">
        <f t="shared" si="203"/>
        <v>0</v>
      </c>
      <c r="AD265" s="132">
        <f t="shared" si="203"/>
        <v>0</v>
      </c>
      <c r="AE265" s="132">
        <f t="shared" si="203"/>
        <v>0</v>
      </c>
      <c r="AF265" s="132">
        <f t="shared" si="203"/>
        <v>0</v>
      </c>
      <c r="AG265" s="132">
        <f t="shared" si="203"/>
        <v>0</v>
      </c>
      <c r="AH265" s="132">
        <f t="shared" si="203"/>
        <v>0</v>
      </c>
      <c r="AI265" s="132">
        <f t="shared" si="203"/>
        <v>0</v>
      </c>
      <c r="AJ265" s="132">
        <f t="shared" si="203"/>
        <v>0</v>
      </c>
      <c r="AK265" s="132">
        <f t="shared" si="203"/>
        <v>0</v>
      </c>
      <c r="AL265" s="132">
        <f t="shared" si="203"/>
        <v>0</v>
      </c>
      <c r="AM265" s="132">
        <f t="shared" si="203"/>
        <v>0</v>
      </c>
      <c r="AN265" s="132">
        <f t="shared" si="203"/>
        <v>0</v>
      </c>
      <c r="AO265" s="132">
        <f t="shared" si="203"/>
        <v>0</v>
      </c>
      <c r="AP265" s="132">
        <f t="shared" si="203"/>
        <v>0</v>
      </c>
      <c r="AQ265" s="132">
        <f t="shared" si="203"/>
        <v>0</v>
      </c>
      <c r="AR265" s="132">
        <f t="shared" si="203"/>
        <v>0</v>
      </c>
      <c r="AS265" s="132">
        <f t="shared" si="203"/>
        <v>0</v>
      </c>
      <c r="AT265" s="132">
        <f t="shared" si="203"/>
        <v>0</v>
      </c>
      <c r="AU265" s="132">
        <f t="shared" si="203"/>
        <v>0</v>
      </c>
      <c r="AV265" s="132">
        <f t="shared" si="203"/>
        <v>0</v>
      </c>
      <c r="AW265" s="132">
        <f t="shared" si="203"/>
        <v>0</v>
      </c>
      <c r="AX265" s="132">
        <f t="shared" si="203"/>
        <v>0</v>
      </c>
      <c r="AY265" s="132">
        <f t="shared" si="203"/>
        <v>0</v>
      </c>
      <c r="AZ265" s="132">
        <f t="shared" si="203"/>
        <v>0</v>
      </c>
      <c r="BA265" s="132">
        <f t="shared" si="203"/>
        <v>0</v>
      </c>
      <c r="BB265" s="132">
        <f t="shared" si="203"/>
        <v>0</v>
      </c>
      <c r="BC265" s="132">
        <f t="shared" si="203"/>
        <v>0</v>
      </c>
      <c r="BD265" s="132">
        <f t="shared" si="203"/>
        <v>0</v>
      </c>
      <c r="BE265" s="132">
        <f t="shared" si="203"/>
        <v>0</v>
      </c>
      <c r="BF265" s="132">
        <f t="shared" si="203"/>
        <v>0</v>
      </c>
      <c r="BG265" s="132">
        <f t="shared" si="203"/>
        <v>0</v>
      </c>
      <c r="BH265" s="132">
        <f t="shared" si="203"/>
        <v>0</v>
      </c>
      <c r="BI265" s="132">
        <f t="shared" si="203"/>
        <v>0</v>
      </c>
      <c r="BJ265" s="132">
        <f t="shared" si="203"/>
        <v>0</v>
      </c>
      <c r="BK265" s="132">
        <f t="shared" si="203"/>
        <v>0</v>
      </c>
      <c r="BL265" s="132">
        <f t="shared" si="203"/>
        <v>0</v>
      </c>
      <c r="BM265" s="132">
        <f t="shared" si="203"/>
        <v>0</v>
      </c>
      <c r="BN265" s="132">
        <f t="shared" si="203"/>
        <v>0</v>
      </c>
      <c r="BO265" s="132">
        <f t="shared" si="203"/>
        <v>0</v>
      </c>
      <c r="BP265" s="132">
        <f t="shared" si="203"/>
        <v>0</v>
      </c>
      <c r="BQ265" s="132">
        <f t="shared" si="203"/>
        <v>0</v>
      </c>
      <c r="BR265" s="132">
        <f t="shared" si="203"/>
        <v>0</v>
      </c>
      <c r="BS265" s="132">
        <f t="shared" si="203"/>
        <v>0</v>
      </c>
      <c r="BT265" s="132">
        <f t="shared" si="203"/>
        <v>0</v>
      </c>
      <c r="BU265" s="132">
        <f t="shared" si="203"/>
        <v>0</v>
      </c>
      <c r="BV265" s="132">
        <f t="shared" si="203"/>
        <v>0</v>
      </c>
      <c r="BX265" s="106"/>
      <c r="BY265" s="106"/>
      <c r="BZ265" s="106"/>
      <c r="CA265" s="106"/>
      <c r="CB265" s="106"/>
      <c r="CC265" s="106"/>
      <c r="CD265" s="106"/>
      <c r="CE265" s="106"/>
      <c r="CF265" s="106"/>
      <c r="CG265" s="106"/>
      <c r="CH265" s="106"/>
      <c r="CI265" s="106"/>
      <c r="CK265" s="11"/>
      <c r="CM265" s="11"/>
      <c r="EX265" s="10" t="str">
        <f t="shared" si="202"/>
        <v/>
      </c>
    </row>
    <row r="266" spans="1:154" x14ac:dyDescent="0.35">
      <c r="B266" t="str">
        <f ca="1">Loans!B$27</f>
        <v>Loan 15</v>
      </c>
      <c r="D266" s="51">
        <f>Loans!D$27</f>
        <v>0</v>
      </c>
      <c r="E266" s="117" t="str">
        <f>IF(Loans!R$27=0, "", Loans!R$27)</f>
        <v/>
      </c>
      <c r="F266" s="10">
        <f>IFERROR(INDEX(Parameters!$F$87:$F$90, MATCH(Loans!T27, Parameters!$D$87:$D$90,0)), 0)</f>
        <v>0</v>
      </c>
      <c r="V266" s="106"/>
      <c r="W266" s="106"/>
      <c r="X266" s="106"/>
      <c r="Y266" s="106"/>
      <c r="AA266" s="132">
        <f t="shared" ref="AA266:BV266" si="204">IF(OR($F266=0,AA197=0), 0, IF(OR(AA197=1,  MOD(AA197,$F266)=0, AA128=1), 1, 0))</f>
        <v>0</v>
      </c>
      <c r="AB266" s="132">
        <f t="shared" si="204"/>
        <v>0</v>
      </c>
      <c r="AC266" s="132">
        <f t="shared" si="204"/>
        <v>0</v>
      </c>
      <c r="AD266" s="132">
        <f t="shared" si="204"/>
        <v>0</v>
      </c>
      <c r="AE266" s="132">
        <f t="shared" si="204"/>
        <v>0</v>
      </c>
      <c r="AF266" s="132">
        <f t="shared" si="204"/>
        <v>0</v>
      </c>
      <c r="AG266" s="132">
        <f t="shared" si="204"/>
        <v>0</v>
      </c>
      <c r="AH266" s="132">
        <f t="shared" si="204"/>
        <v>0</v>
      </c>
      <c r="AI266" s="132">
        <f t="shared" si="204"/>
        <v>0</v>
      </c>
      <c r="AJ266" s="132">
        <f t="shared" si="204"/>
        <v>0</v>
      </c>
      <c r="AK266" s="132">
        <f t="shared" si="204"/>
        <v>0</v>
      </c>
      <c r="AL266" s="132">
        <f t="shared" si="204"/>
        <v>0</v>
      </c>
      <c r="AM266" s="132">
        <f t="shared" si="204"/>
        <v>0</v>
      </c>
      <c r="AN266" s="132">
        <f t="shared" si="204"/>
        <v>0</v>
      </c>
      <c r="AO266" s="132">
        <f t="shared" si="204"/>
        <v>0</v>
      </c>
      <c r="AP266" s="132">
        <f t="shared" si="204"/>
        <v>0</v>
      </c>
      <c r="AQ266" s="132">
        <f t="shared" si="204"/>
        <v>0</v>
      </c>
      <c r="AR266" s="132">
        <f t="shared" si="204"/>
        <v>0</v>
      </c>
      <c r="AS266" s="132">
        <f t="shared" si="204"/>
        <v>0</v>
      </c>
      <c r="AT266" s="132">
        <f t="shared" si="204"/>
        <v>0</v>
      </c>
      <c r="AU266" s="132">
        <f t="shared" si="204"/>
        <v>0</v>
      </c>
      <c r="AV266" s="132">
        <f t="shared" si="204"/>
        <v>0</v>
      </c>
      <c r="AW266" s="132">
        <f t="shared" si="204"/>
        <v>0</v>
      </c>
      <c r="AX266" s="132">
        <f t="shared" si="204"/>
        <v>0</v>
      </c>
      <c r="AY266" s="132">
        <f t="shared" si="204"/>
        <v>0</v>
      </c>
      <c r="AZ266" s="132">
        <f t="shared" si="204"/>
        <v>0</v>
      </c>
      <c r="BA266" s="132">
        <f t="shared" si="204"/>
        <v>0</v>
      </c>
      <c r="BB266" s="132">
        <f t="shared" si="204"/>
        <v>0</v>
      </c>
      <c r="BC266" s="132">
        <f t="shared" si="204"/>
        <v>0</v>
      </c>
      <c r="BD266" s="132">
        <f t="shared" si="204"/>
        <v>0</v>
      </c>
      <c r="BE266" s="132">
        <f t="shared" si="204"/>
        <v>0</v>
      </c>
      <c r="BF266" s="132">
        <f t="shared" si="204"/>
        <v>0</v>
      </c>
      <c r="BG266" s="132">
        <f t="shared" si="204"/>
        <v>0</v>
      </c>
      <c r="BH266" s="132">
        <f t="shared" si="204"/>
        <v>0</v>
      </c>
      <c r="BI266" s="132">
        <f t="shared" si="204"/>
        <v>0</v>
      </c>
      <c r="BJ266" s="132">
        <f t="shared" si="204"/>
        <v>0</v>
      </c>
      <c r="BK266" s="132">
        <f t="shared" si="204"/>
        <v>0</v>
      </c>
      <c r="BL266" s="132">
        <f t="shared" si="204"/>
        <v>0</v>
      </c>
      <c r="BM266" s="132">
        <f t="shared" si="204"/>
        <v>0</v>
      </c>
      <c r="BN266" s="132">
        <f t="shared" si="204"/>
        <v>0</v>
      </c>
      <c r="BO266" s="132">
        <f t="shared" si="204"/>
        <v>0</v>
      </c>
      <c r="BP266" s="132">
        <f t="shared" si="204"/>
        <v>0</v>
      </c>
      <c r="BQ266" s="132">
        <f t="shared" si="204"/>
        <v>0</v>
      </c>
      <c r="BR266" s="132">
        <f t="shared" si="204"/>
        <v>0</v>
      </c>
      <c r="BS266" s="132">
        <f t="shared" si="204"/>
        <v>0</v>
      </c>
      <c r="BT266" s="132">
        <f t="shared" si="204"/>
        <v>0</v>
      </c>
      <c r="BU266" s="132">
        <f t="shared" si="204"/>
        <v>0</v>
      </c>
      <c r="BV266" s="132">
        <f t="shared" si="204"/>
        <v>0</v>
      </c>
      <c r="BX266" s="106"/>
      <c r="BY266" s="106"/>
      <c r="BZ266" s="106"/>
      <c r="CA266" s="106"/>
      <c r="CB266" s="106"/>
      <c r="CC266" s="106"/>
      <c r="CD266" s="106"/>
      <c r="CE266" s="106"/>
      <c r="CF266" s="106"/>
      <c r="CG266" s="106"/>
      <c r="CH266" s="106"/>
      <c r="CI266" s="106"/>
      <c r="CK266" s="11"/>
      <c r="CM266" s="11"/>
      <c r="EX266" s="10" t="str">
        <f t="shared" si="202"/>
        <v/>
      </c>
    </row>
    <row r="267" spans="1:154" x14ac:dyDescent="0.35">
      <c r="B267" t="str">
        <f ca="1">Loans!B$28</f>
        <v>Loan 16</v>
      </c>
      <c r="D267" s="51">
        <f>Loans!D$28</f>
        <v>0</v>
      </c>
      <c r="E267" s="117" t="str">
        <f>IF(Loans!R$28=0, "", Loans!R$28)</f>
        <v/>
      </c>
      <c r="F267" s="10">
        <f>IFERROR(INDEX(Parameters!$F$87:$F$90, MATCH(Loans!T28, Parameters!$D$87:$D$90,0)), 0)</f>
        <v>0</v>
      </c>
      <c r="V267" s="106"/>
      <c r="W267" s="106"/>
      <c r="X267" s="106"/>
      <c r="Y267" s="106"/>
      <c r="AA267" s="132">
        <f t="shared" ref="AA267:BV267" si="205">IF(OR($F267=0,AA198=0), 0, IF(OR(AA198=1,  MOD(AA198,$F267)=0, AA129=1), 1, 0))</f>
        <v>0</v>
      </c>
      <c r="AB267" s="132">
        <f t="shared" si="205"/>
        <v>0</v>
      </c>
      <c r="AC267" s="132">
        <f t="shared" si="205"/>
        <v>0</v>
      </c>
      <c r="AD267" s="132">
        <f t="shared" si="205"/>
        <v>0</v>
      </c>
      <c r="AE267" s="132">
        <f t="shared" si="205"/>
        <v>0</v>
      </c>
      <c r="AF267" s="132">
        <f t="shared" si="205"/>
        <v>0</v>
      </c>
      <c r="AG267" s="132">
        <f t="shared" si="205"/>
        <v>0</v>
      </c>
      <c r="AH267" s="132">
        <f t="shared" si="205"/>
        <v>0</v>
      </c>
      <c r="AI267" s="132">
        <f t="shared" si="205"/>
        <v>0</v>
      </c>
      <c r="AJ267" s="132">
        <f t="shared" si="205"/>
        <v>0</v>
      </c>
      <c r="AK267" s="132">
        <f t="shared" si="205"/>
        <v>0</v>
      </c>
      <c r="AL267" s="132">
        <f t="shared" si="205"/>
        <v>0</v>
      </c>
      <c r="AM267" s="132">
        <f t="shared" si="205"/>
        <v>0</v>
      </c>
      <c r="AN267" s="132">
        <f t="shared" si="205"/>
        <v>0</v>
      </c>
      <c r="AO267" s="132">
        <f t="shared" si="205"/>
        <v>0</v>
      </c>
      <c r="AP267" s="132">
        <f t="shared" si="205"/>
        <v>0</v>
      </c>
      <c r="AQ267" s="132">
        <f t="shared" si="205"/>
        <v>0</v>
      </c>
      <c r="AR267" s="132">
        <f t="shared" si="205"/>
        <v>0</v>
      </c>
      <c r="AS267" s="132">
        <f t="shared" si="205"/>
        <v>0</v>
      </c>
      <c r="AT267" s="132">
        <f t="shared" si="205"/>
        <v>0</v>
      </c>
      <c r="AU267" s="132">
        <f t="shared" si="205"/>
        <v>0</v>
      </c>
      <c r="AV267" s="132">
        <f t="shared" si="205"/>
        <v>0</v>
      </c>
      <c r="AW267" s="132">
        <f t="shared" si="205"/>
        <v>0</v>
      </c>
      <c r="AX267" s="132">
        <f t="shared" si="205"/>
        <v>0</v>
      </c>
      <c r="AY267" s="132">
        <f t="shared" si="205"/>
        <v>0</v>
      </c>
      <c r="AZ267" s="132">
        <f t="shared" si="205"/>
        <v>0</v>
      </c>
      <c r="BA267" s="132">
        <f t="shared" si="205"/>
        <v>0</v>
      </c>
      <c r="BB267" s="132">
        <f t="shared" si="205"/>
        <v>0</v>
      </c>
      <c r="BC267" s="132">
        <f t="shared" si="205"/>
        <v>0</v>
      </c>
      <c r="BD267" s="132">
        <f t="shared" si="205"/>
        <v>0</v>
      </c>
      <c r="BE267" s="132">
        <f t="shared" si="205"/>
        <v>0</v>
      </c>
      <c r="BF267" s="132">
        <f t="shared" si="205"/>
        <v>0</v>
      </c>
      <c r="BG267" s="132">
        <f t="shared" si="205"/>
        <v>0</v>
      </c>
      <c r="BH267" s="132">
        <f t="shared" si="205"/>
        <v>0</v>
      </c>
      <c r="BI267" s="132">
        <f t="shared" si="205"/>
        <v>0</v>
      </c>
      <c r="BJ267" s="132">
        <f t="shared" si="205"/>
        <v>0</v>
      </c>
      <c r="BK267" s="132">
        <f t="shared" si="205"/>
        <v>0</v>
      </c>
      <c r="BL267" s="132">
        <f t="shared" si="205"/>
        <v>0</v>
      </c>
      <c r="BM267" s="132">
        <f t="shared" si="205"/>
        <v>0</v>
      </c>
      <c r="BN267" s="132">
        <f t="shared" si="205"/>
        <v>0</v>
      </c>
      <c r="BO267" s="132">
        <f t="shared" si="205"/>
        <v>0</v>
      </c>
      <c r="BP267" s="132">
        <f t="shared" si="205"/>
        <v>0</v>
      </c>
      <c r="BQ267" s="132">
        <f t="shared" si="205"/>
        <v>0</v>
      </c>
      <c r="BR267" s="132">
        <f t="shared" si="205"/>
        <v>0</v>
      </c>
      <c r="BS267" s="132">
        <f t="shared" si="205"/>
        <v>0</v>
      </c>
      <c r="BT267" s="132">
        <f t="shared" si="205"/>
        <v>0</v>
      </c>
      <c r="BU267" s="132">
        <f t="shared" si="205"/>
        <v>0</v>
      </c>
      <c r="BV267" s="132">
        <f t="shared" si="205"/>
        <v>0</v>
      </c>
      <c r="BX267" s="106"/>
      <c r="BY267" s="106"/>
      <c r="BZ267" s="106"/>
      <c r="CA267" s="106"/>
      <c r="CB267" s="106"/>
      <c r="CC267" s="106"/>
      <c r="CD267" s="106"/>
      <c r="CE267" s="106"/>
      <c r="CF267" s="106"/>
      <c r="CG267" s="106"/>
      <c r="CH267" s="106"/>
      <c r="CI267" s="106"/>
      <c r="CK267" s="11"/>
      <c r="CM267" s="11"/>
      <c r="EX267" s="10" t="str">
        <f t="shared" si="202"/>
        <v/>
      </c>
    </row>
    <row r="268" spans="1:154" x14ac:dyDescent="0.35">
      <c r="B268" t="str">
        <f ca="1">Loans!B$29</f>
        <v>Loan 17</v>
      </c>
      <c r="D268" s="51">
        <f>Loans!D$29</f>
        <v>0</v>
      </c>
      <c r="E268" s="117" t="str">
        <f>IF(Loans!R$29=0, "", Loans!R$29)</f>
        <v/>
      </c>
      <c r="F268" s="10">
        <f>IFERROR(INDEX(Parameters!$F$87:$F$90, MATCH(Loans!T29, Parameters!$D$87:$D$90,0)), 0)</f>
        <v>0</v>
      </c>
      <c r="V268" s="106"/>
      <c r="W268" s="106"/>
      <c r="X268" s="106"/>
      <c r="Y268" s="106"/>
      <c r="AA268" s="132">
        <f t="shared" ref="AA268:BV268" si="206">IF(OR($F268=0,AA199=0), 0, IF(OR(AA199=1,  MOD(AA199,$F268)=0, AA130=1), 1, 0))</f>
        <v>0</v>
      </c>
      <c r="AB268" s="132">
        <f t="shared" si="206"/>
        <v>0</v>
      </c>
      <c r="AC268" s="132">
        <f t="shared" si="206"/>
        <v>0</v>
      </c>
      <c r="AD268" s="132">
        <f t="shared" si="206"/>
        <v>0</v>
      </c>
      <c r="AE268" s="132">
        <f t="shared" si="206"/>
        <v>0</v>
      </c>
      <c r="AF268" s="132">
        <f t="shared" si="206"/>
        <v>0</v>
      </c>
      <c r="AG268" s="132">
        <f t="shared" si="206"/>
        <v>0</v>
      </c>
      <c r="AH268" s="132">
        <f t="shared" si="206"/>
        <v>0</v>
      </c>
      <c r="AI268" s="132">
        <f t="shared" si="206"/>
        <v>0</v>
      </c>
      <c r="AJ268" s="132">
        <f t="shared" si="206"/>
        <v>0</v>
      </c>
      <c r="AK268" s="132">
        <f t="shared" si="206"/>
        <v>0</v>
      </c>
      <c r="AL268" s="132">
        <f t="shared" si="206"/>
        <v>0</v>
      </c>
      <c r="AM268" s="132">
        <f t="shared" si="206"/>
        <v>0</v>
      </c>
      <c r="AN268" s="132">
        <f t="shared" si="206"/>
        <v>0</v>
      </c>
      <c r="AO268" s="132">
        <f t="shared" si="206"/>
        <v>0</v>
      </c>
      <c r="AP268" s="132">
        <f t="shared" si="206"/>
        <v>0</v>
      </c>
      <c r="AQ268" s="132">
        <f t="shared" si="206"/>
        <v>0</v>
      </c>
      <c r="AR268" s="132">
        <f t="shared" si="206"/>
        <v>0</v>
      </c>
      <c r="AS268" s="132">
        <f t="shared" si="206"/>
        <v>0</v>
      </c>
      <c r="AT268" s="132">
        <f t="shared" si="206"/>
        <v>0</v>
      </c>
      <c r="AU268" s="132">
        <f t="shared" si="206"/>
        <v>0</v>
      </c>
      <c r="AV268" s="132">
        <f t="shared" si="206"/>
        <v>0</v>
      </c>
      <c r="AW268" s="132">
        <f t="shared" si="206"/>
        <v>0</v>
      </c>
      <c r="AX268" s="132">
        <f t="shared" si="206"/>
        <v>0</v>
      </c>
      <c r="AY268" s="132">
        <f t="shared" si="206"/>
        <v>0</v>
      </c>
      <c r="AZ268" s="132">
        <f t="shared" si="206"/>
        <v>0</v>
      </c>
      <c r="BA268" s="132">
        <f t="shared" si="206"/>
        <v>0</v>
      </c>
      <c r="BB268" s="132">
        <f t="shared" si="206"/>
        <v>0</v>
      </c>
      <c r="BC268" s="132">
        <f t="shared" si="206"/>
        <v>0</v>
      </c>
      <c r="BD268" s="132">
        <f t="shared" si="206"/>
        <v>0</v>
      </c>
      <c r="BE268" s="132">
        <f t="shared" si="206"/>
        <v>0</v>
      </c>
      <c r="BF268" s="132">
        <f t="shared" si="206"/>
        <v>0</v>
      </c>
      <c r="BG268" s="132">
        <f t="shared" si="206"/>
        <v>0</v>
      </c>
      <c r="BH268" s="132">
        <f t="shared" si="206"/>
        <v>0</v>
      </c>
      <c r="BI268" s="132">
        <f t="shared" si="206"/>
        <v>0</v>
      </c>
      <c r="BJ268" s="132">
        <f t="shared" si="206"/>
        <v>0</v>
      </c>
      <c r="BK268" s="132">
        <f t="shared" si="206"/>
        <v>0</v>
      </c>
      <c r="BL268" s="132">
        <f t="shared" si="206"/>
        <v>0</v>
      </c>
      <c r="BM268" s="132">
        <f t="shared" si="206"/>
        <v>0</v>
      </c>
      <c r="BN268" s="132">
        <f t="shared" si="206"/>
        <v>0</v>
      </c>
      <c r="BO268" s="132">
        <f t="shared" si="206"/>
        <v>0</v>
      </c>
      <c r="BP268" s="132">
        <f t="shared" si="206"/>
        <v>0</v>
      </c>
      <c r="BQ268" s="132">
        <f t="shared" si="206"/>
        <v>0</v>
      </c>
      <c r="BR268" s="132">
        <f t="shared" si="206"/>
        <v>0</v>
      </c>
      <c r="BS268" s="132">
        <f t="shared" si="206"/>
        <v>0</v>
      </c>
      <c r="BT268" s="132">
        <f t="shared" si="206"/>
        <v>0</v>
      </c>
      <c r="BU268" s="132">
        <f t="shared" si="206"/>
        <v>0</v>
      </c>
      <c r="BV268" s="132">
        <f t="shared" si="206"/>
        <v>0</v>
      </c>
      <c r="BX268" s="106"/>
      <c r="BY268" s="106"/>
      <c r="BZ268" s="106"/>
      <c r="CA268" s="106"/>
      <c r="CB268" s="106"/>
      <c r="CC268" s="106"/>
      <c r="CD268" s="106"/>
      <c r="CE268" s="106"/>
      <c r="CF268" s="106"/>
      <c r="CG268" s="106"/>
      <c r="CH268" s="106"/>
      <c r="CI268" s="106"/>
      <c r="CK268" s="11"/>
      <c r="CM268" s="11"/>
      <c r="EX268" s="10" t="str">
        <f t="shared" si="202"/>
        <v/>
      </c>
    </row>
    <row r="269" spans="1:154" x14ac:dyDescent="0.35">
      <c r="B269" t="str">
        <f ca="1">Loans!B$30</f>
        <v>Loan 18</v>
      </c>
      <c r="D269" s="51">
        <f>Loans!D$30</f>
        <v>0</v>
      </c>
      <c r="E269" s="117" t="str">
        <f>IF(Loans!R$30=0, "", Loans!R$30)</f>
        <v/>
      </c>
      <c r="F269" s="10">
        <f>IFERROR(INDEX(Parameters!$F$87:$F$90, MATCH(Loans!T30, Parameters!$D$87:$D$90,0)), 0)</f>
        <v>0</v>
      </c>
      <c r="V269" s="106"/>
      <c r="W269" s="106"/>
      <c r="X269" s="106"/>
      <c r="Y269" s="106"/>
      <c r="AA269" s="132">
        <f t="shared" ref="AA269:BV269" si="207">IF(OR($F269=0,AA200=0), 0, IF(OR(AA200=1,  MOD(AA200,$F269)=0, AA131=1), 1, 0))</f>
        <v>0</v>
      </c>
      <c r="AB269" s="132">
        <f t="shared" si="207"/>
        <v>0</v>
      </c>
      <c r="AC269" s="132">
        <f t="shared" si="207"/>
        <v>0</v>
      </c>
      <c r="AD269" s="132">
        <f t="shared" si="207"/>
        <v>0</v>
      </c>
      <c r="AE269" s="132">
        <f t="shared" si="207"/>
        <v>0</v>
      </c>
      <c r="AF269" s="132">
        <f t="shared" si="207"/>
        <v>0</v>
      </c>
      <c r="AG269" s="132">
        <f t="shared" si="207"/>
        <v>0</v>
      </c>
      <c r="AH269" s="132">
        <f t="shared" si="207"/>
        <v>0</v>
      </c>
      <c r="AI269" s="132">
        <f t="shared" si="207"/>
        <v>0</v>
      </c>
      <c r="AJ269" s="132">
        <f t="shared" si="207"/>
        <v>0</v>
      </c>
      <c r="AK269" s="132">
        <f t="shared" si="207"/>
        <v>0</v>
      </c>
      <c r="AL269" s="132">
        <f t="shared" si="207"/>
        <v>0</v>
      </c>
      <c r="AM269" s="132">
        <f t="shared" si="207"/>
        <v>0</v>
      </c>
      <c r="AN269" s="132">
        <f t="shared" si="207"/>
        <v>0</v>
      </c>
      <c r="AO269" s="132">
        <f t="shared" si="207"/>
        <v>0</v>
      </c>
      <c r="AP269" s="132">
        <f t="shared" si="207"/>
        <v>0</v>
      </c>
      <c r="AQ269" s="132">
        <f t="shared" si="207"/>
        <v>0</v>
      </c>
      <c r="AR269" s="132">
        <f t="shared" si="207"/>
        <v>0</v>
      </c>
      <c r="AS269" s="132">
        <f t="shared" si="207"/>
        <v>0</v>
      </c>
      <c r="AT269" s="132">
        <f t="shared" si="207"/>
        <v>0</v>
      </c>
      <c r="AU269" s="132">
        <f t="shared" si="207"/>
        <v>0</v>
      </c>
      <c r="AV269" s="132">
        <f t="shared" si="207"/>
        <v>0</v>
      </c>
      <c r="AW269" s="132">
        <f t="shared" si="207"/>
        <v>0</v>
      </c>
      <c r="AX269" s="132">
        <f t="shared" si="207"/>
        <v>0</v>
      </c>
      <c r="AY269" s="132">
        <f t="shared" si="207"/>
        <v>0</v>
      </c>
      <c r="AZ269" s="132">
        <f t="shared" si="207"/>
        <v>0</v>
      </c>
      <c r="BA269" s="132">
        <f t="shared" si="207"/>
        <v>0</v>
      </c>
      <c r="BB269" s="132">
        <f t="shared" si="207"/>
        <v>0</v>
      </c>
      <c r="BC269" s="132">
        <f t="shared" si="207"/>
        <v>0</v>
      </c>
      <c r="BD269" s="132">
        <f t="shared" si="207"/>
        <v>0</v>
      </c>
      <c r="BE269" s="132">
        <f t="shared" si="207"/>
        <v>0</v>
      </c>
      <c r="BF269" s="132">
        <f t="shared" si="207"/>
        <v>0</v>
      </c>
      <c r="BG269" s="132">
        <f t="shared" si="207"/>
        <v>0</v>
      </c>
      <c r="BH269" s="132">
        <f t="shared" si="207"/>
        <v>0</v>
      </c>
      <c r="BI269" s="132">
        <f t="shared" si="207"/>
        <v>0</v>
      </c>
      <c r="BJ269" s="132">
        <f t="shared" si="207"/>
        <v>0</v>
      </c>
      <c r="BK269" s="132">
        <f t="shared" si="207"/>
        <v>0</v>
      </c>
      <c r="BL269" s="132">
        <f t="shared" si="207"/>
        <v>0</v>
      </c>
      <c r="BM269" s="132">
        <f t="shared" si="207"/>
        <v>0</v>
      </c>
      <c r="BN269" s="132">
        <f t="shared" si="207"/>
        <v>0</v>
      </c>
      <c r="BO269" s="132">
        <f t="shared" si="207"/>
        <v>0</v>
      </c>
      <c r="BP269" s="132">
        <f t="shared" si="207"/>
        <v>0</v>
      </c>
      <c r="BQ269" s="132">
        <f t="shared" si="207"/>
        <v>0</v>
      </c>
      <c r="BR269" s="132">
        <f t="shared" si="207"/>
        <v>0</v>
      </c>
      <c r="BS269" s="132">
        <f t="shared" si="207"/>
        <v>0</v>
      </c>
      <c r="BT269" s="132">
        <f t="shared" si="207"/>
        <v>0</v>
      </c>
      <c r="BU269" s="132">
        <f t="shared" si="207"/>
        <v>0</v>
      </c>
      <c r="BV269" s="132">
        <f t="shared" si="207"/>
        <v>0</v>
      </c>
      <c r="BX269" s="106"/>
      <c r="BY269" s="106"/>
      <c r="BZ269" s="106"/>
      <c r="CA269" s="106"/>
      <c r="CB269" s="106"/>
      <c r="CC269" s="106"/>
      <c r="CD269" s="106"/>
      <c r="CE269" s="106"/>
      <c r="CF269" s="106"/>
      <c r="CG269" s="106"/>
      <c r="CH269" s="106"/>
      <c r="CI269" s="106"/>
      <c r="CK269" s="11"/>
      <c r="CM269" s="11"/>
      <c r="EX269" s="10" t="str">
        <f t="shared" si="202"/>
        <v/>
      </c>
    </row>
    <row r="270" spans="1:154" x14ac:dyDescent="0.35">
      <c r="B270" t="str">
        <f ca="1">Loans!B$31</f>
        <v>Loan 19</v>
      </c>
      <c r="D270" s="51">
        <f>Loans!D$31</f>
        <v>0</v>
      </c>
      <c r="E270" s="117" t="str">
        <f>IF(Loans!R$31=0, "", Loans!R$31)</f>
        <v/>
      </c>
      <c r="F270" s="10">
        <f>IFERROR(INDEX(Parameters!$F$87:$F$90, MATCH(Loans!T31, Parameters!$D$87:$D$90,0)), 0)</f>
        <v>0</v>
      </c>
      <c r="V270" s="106"/>
      <c r="W270" s="106"/>
      <c r="X270" s="106"/>
      <c r="Y270" s="106"/>
      <c r="AA270" s="132">
        <f t="shared" ref="AA270:BV270" si="208">IF(OR($F270=0,AA201=0), 0, IF(OR(AA201=1,  MOD(AA201,$F270)=0, AA132=1), 1, 0))</f>
        <v>0</v>
      </c>
      <c r="AB270" s="132">
        <f t="shared" si="208"/>
        <v>0</v>
      </c>
      <c r="AC270" s="132">
        <f t="shared" si="208"/>
        <v>0</v>
      </c>
      <c r="AD270" s="132">
        <f t="shared" si="208"/>
        <v>0</v>
      </c>
      <c r="AE270" s="132">
        <f t="shared" si="208"/>
        <v>0</v>
      </c>
      <c r="AF270" s="132">
        <f t="shared" si="208"/>
        <v>0</v>
      </c>
      <c r="AG270" s="132">
        <f t="shared" si="208"/>
        <v>0</v>
      </c>
      <c r="AH270" s="132">
        <f t="shared" si="208"/>
        <v>0</v>
      </c>
      <c r="AI270" s="132">
        <f t="shared" si="208"/>
        <v>0</v>
      </c>
      <c r="AJ270" s="132">
        <f t="shared" si="208"/>
        <v>0</v>
      </c>
      <c r="AK270" s="132">
        <f t="shared" si="208"/>
        <v>0</v>
      </c>
      <c r="AL270" s="132">
        <f t="shared" si="208"/>
        <v>0</v>
      </c>
      <c r="AM270" s="132">
        <f t="shared" si="208"/>
        <v>0</v>
      </c>
      <c r="AN270" s="132">
        <f t="shared" si="208"/>
        <v>0</v>
      </c>
      <c r="AO270" s="132">
        <f t="shared" si="208"/>
        <v>0</v>
      </c>
      <c r="AP270" s="132">
        <f t="shared" si="208"/>
        <v>0</v>
      </c>
      <c r="AQ270" s="132">
        <f t="shared" si="208"/>
        <v>0</v>
      </c>
      <c r="AR270" s="132">
        <f t="shared" si="208"/>
        <v>0</v>
      </c>
      <c r="AS270" s="132">
        <f t="shared" si="208"/>
        <v>0</v>
      </c>
      <c r="AT270" s="132">
        <f t="shared" si="208"/>
        <v>0</v>
      </c>
      <c r="AU270" s="132">
        <f t="shared" si="208"/>
        <v>0</v>
      </c>
      <c r="AV270" s="132">
        <f t="shared" si="208"/>
        <v>0</v>
      </c>
      <c r="AW270" s="132">
        <f t="shared" si="208"/>
        <v>0</v>
      </c>
      <c r="AX270" s="132">
        <f t="shared" si="208"/>
        <v>0</v>
      </c>
      <c r="AY270" s="132">
        <f t="shared" si="208"/>
        <v>0</v>
      </c>
      <c r="AZ270" s="132">
        <f t="shared" si="208"/>
        <v>0</v>
      </c>
      <c r="BA270" s="132">
        <f t="shared" si="208"/>
        <v>0</v>
      </c>
      <c r="BB270" s="132">
        <f t="shared" si="208"/>
        <v>0</v>
      </c>
      <c r="BC270" s="132">
        <f t="shared" si="208"/>
        <v>0</v>
      </c>
      <c r="BD270" s="132">
        <f t="shared" si="208"/>
        <v>0</v>
      </c>
      <c r="BE270" s="132">
        <f t="shared" si="208"/>
        <v>0</v>
      </c>
      <c r="BF270" s="132">
        <f t="shared" si="208"/>
        <v>0</v>
      </c>
      <c r="BG270" s="132">
        <f t="shared" si="208"/>
        <v>0</v>
      </c>
      <c r="BH270" s="132">
        <f t="shared" si="208"/>
        <v>0</v>
      </c>
      <c r="BI270" s="132">
        <f t="shared" si="208"/>
        <v>0</v>
      </c>
      <c r="BJ270" s="132">
        <f t="shared" si="208"/>
        <v>0</v>
      </c>
      <c r="BK270" s="132">
        <f t="shared" si="208"/>
        <v>0</v>
      </c>
      <c r="BL270" s="132">
        <f t="shared" si="208"/>
        <v>0</v>
      </c>
      <c r="BM270" s="132">
        <f t="shared" si="208"/>
        <v>0</v>
      </c>
      <c r="BN270" s="132">
        <f t="shared" si="208"/>
        <v>0</v>
      </c>
      <c r="BO270" s="132">
        <f t="shared" si="208"/>
        <v>0</v>
      </c>
      <c r="BP270" s="132">
        <f t="shared" si="208"/>
        <v>0</v>
      </c>
      <c r="BQ270" s="132">
        <f t="shared" si="208"/>
        <v>0</v>
      </c>
      <c r="BR270" s="132">
        <f t="shared" si="208"/>
        <v>0</v>
      </c>
      <c r="BS270" s="132">
        <f t="shared" si="208"/>
        <v>0</v>
      </c>
      <c r="BT270" s="132">
        <f t="shared" si="208"/>
        <v>0</v>
      </c>
      <c r="BU270" s="132">
        <f t="shared" si="208"/>
        <v>0</v>
      </c>
      <c r="BV270" s="132">
        <f t="shared" si="208"/>
        <v>0</v>
      </c>
      <c r="BX270" s="106"/>
      <c r="BY270" s="106"/>
      <c r="BZ270" s="106"/>
      <c r="CA270" s="106"/>
      <c r="CB270" s="106"/>
      <c r="CC270" s="106"/>
      <c r="CD270" s="106"/>
      <c r="CE270" s="106"/>
      <c r="CF270" s="106"/>
      <c r="CG270" s="106"/>
      <c r="CH270" s="106"/>
      <c r="CI270" s="106"/>
      <c r="CK270" s="11"/>
      <c r="CM270" s="11"/>
      <c r="EX270" s="10" t="str">
        <f t="shared" si="202"/>
        <v/>
      </c>
    </row>
    <row r="271" spans="1:154" x14ac:dyDescent="0.35">
      <c r="B271" t="str">
        <f ca="1">Loans!B$32</f>
        <v>Loan 20</v>
      </c>
      <c r="D271" s="51">
        <f>Loans!D$32</f>
        <v>0</v>
      </c>
      <c r="E271" s="117" t="str">
        <f>IF(Loans!R$32=0, "", Loans!R$32)</f>
        <v/>
      </c>
      <c r="F271" s="10">
        <f>IFERROR(INDEX(Parameters!$F$87:$F$90, MATCH(Loans!T32, Parameters!$D$87:$D$90,0)), 0)</f>
        <v>0</v>
      </c>
      <c r="V271" s="106"/>
      <c r="W271" s="106"/>
      <c r="X271" s="106"/>
      <c r="Y271" s="106"/>
      <c r="AA271" s="132">
        <f t="shared" ref="AA271:BV271" si="209">IF(OR($F271=0,AA202=0), 0, IF(OR(AA202=1,  MOD(AA202,$F271)=0, AA133=1), 1, 0))</f>
        <v>0</v>
      </c>
      <c r="AB271" s="132">
        <f t="shared" si="209"/>
        <v>0</v>
      </c>
      <c r="AC271" s="132">
        <f t="shared" si="209"/>
        <v>0</v>
      </c>
      <c r="AD271" s="132">
        <f t="shared" si="209"/>
        <v>0</v>
      </c>
      <c r="AE271" s="132">
        <f t="shared" si="209"/>
        <v>0</v>
      </c>
      <c r="AF271" s="132">
        <f t="shared" si="209"/>
        <v>0</v>
      </c>
      <c r="AG271" s="132">
        <f t="shared" si="209"/>
        <v>0</v>
      </c>
      <c r="AH271" s="132">
        <f t="shared" si="209"/>
        <v>0</v>
      </c>
      <c r="AI271" s="132">
        <f t="shared" si="209"/>
        <v>0</v>
      </c>
      <c r="AJ271" s="132">
        <f t="shared" si="209"/>
        <v>0</v>
      </c>
      <c r="AK271" s="132">
        <f t="shared" si="209"/>
        <v>0</v>
      </c>
      <c r="AL271" s="132">
        <f t="shared" si="209"/>
        <v>0</v>
      </c>
      <c r="AM271" s="132">
        <f t="shared" si="209"/>
        <v>0</v>
      </c>
      <c r="AN271" s="132">
        <f t="shared" si="209"/>
        <v>0</v>
      </c>
      <c r="AO271" s="132">
        <f t="shared" si="209"/>
        <v>0</v>
      </c>
      <c r="AP271" s="132">
        <f t="shared" si="209"/>
        <v>0</v>
      </c>
      <c r="AQ271" s="132">
        <f t="shared" si="209"/>
        <v>0</v>
      </c>
      <c r="AR271" s="132">
        <f t="shared" si="209"/>
        <v>0</v>
      </c>
      <c r="AS271" s="132">
        <f t="shared" si="209"/>
        <v>0</v>
      </c>
      <c r="AT271" s="132">
        <f t="shared" si="209"/>
        <v>0</v>
      </c>
      <c r="AU271" s="132">
        <f t="shared" si="209"/>
        <v>0</v>
      </c>
      <c r="AV271" s="132">
        <f t="shared" si="209"/>
        <v>0</v>
      </c>
      <c r="AW271" s="132">
        <f t="shared" si="209"/>
        <v>0</v>
      </c>
      <c r="AX271" s="132">
        <f t="shared" si="209"/>
        <v>0</v>
      </c>
      <c r="AY271" s="132">
        <f t="shared" si="209"/>
        <v>0</v>
      </c>
      <c r="AZ271" s="132">
        <f t="shared" si="209"/>
        <v>0</v>
      </c>
      <c r="BA271" s="132">
        <f t="shared" si="209"/>
        <v>0</v>
      </c>
      <c r="BB271" s="132">
        <f t="shared" si="209"/>
        <v>0</v>
      </c>
      <c r="BC271" s="132">
        <f t="shared" si="209"/>
        <v>0</v>
      </c>
      <c r="BD271" s="132">
        <f t="shared" si="209"/>
        <v>0</v>
      </c>
      <c r="BE271" s="132">
        <f t="shared" si="209"/>
        <v>0</v>
      </c>
      <c r="BF271" s="132">
        <f t="shared" si="209"/>
        <v>0</v>
      </c>
      <c r="BG271" s="132">
        <f t="shared" si="209"/>
        <v>0</v>
      </c>
      <c r="BH271" s="132">
        <f t="shared" si="209"/>
        <v>0</v>
      </c>
      <c r="BI271" s="132">
        <f t="shared" si="209"/>
        <v>0</v>
      </c>
      <c r="BJ271" s="132">
        <f t="shared" si="209"/>
        <v>0</v>
      </c>
      <c r="BK271" s="132">
        <f t="shared" si="209"/>
        <v>0</v>
      </c>
      <c r="BL271" s="132">
        <f t="shared" si="209"/>
        <v>0</v>
      </c>
      <c r="BM271" s="132">
        <f t="shared" si="209"/>
        <v>0</v>
      </c>
      <c r="BN271" s="132">
        <f t="shared" si="209"/>
        <v>0</v>
      </c>
      <c r="BO271" s="132">
        <f t="shared" si="209"/>
        <v>0</v>
      </c>
      <c r="BP271" s="132">
        <f t="shared" si="209"/>
        <v>0</v>
      </c>
      <c r="BQ271" s="132">
        <f t="shared" si="209"/>
        <v>0</v>
      </c>
      <c r="BR271" s="132">
        <f t="shared" si="209"/>
        <v>0</v>
      </c>
      <c r="BS271" s="132">
        <f t="shared" si="209"/>
        <v>0</v>
      </c>
      <c r="BT271" s="132">
        <f t="shared" si="209"/>
        <v>0</v>
      </c>
      <c r="BU271" s="132">
        <f t="shared" si="209"/>
        <v>0</v>
      </c>
      <c r="BV271" s="132">
        <f t="shared" si="209"/>
        <v>0</v>
      </c>
      <c r="BX271" s="106"/>
      <c r="BY271" s="106"/>
      <c r="BZ271" s="106"/>
      <c r="CA271" s="106"/>
      <c r="CB271" s="106"/>
      <c r="CC271" s="106"/>
      <c r="CD271" s="106"/>
      <c r="CE271" s="106"/>
      <c r="CF271" s="106"/>
      <c r="CG271" s="106"/>
      <c r="CH271" s="106"/>
      <c r="CI271" s="106"/>
      <c r="CK271" s="11"/>
      <c r="CM271" s="11"/>
      <c r="EX271" s="10" t="str">
        <f t="shared" si="202"/>
        <v/>
      </c>
    </row>
    <row r="272" spans="1:154" ht="6.75" customHeight="1" x14ac:dyDescent="0.35">
      <c r="D272" s="1"/>
      <c r="E272"/>
      <c r="BY272" s="6"/>
      <c r="CK272" s="35"/>
      <c r="CM272" s="35"/>
      <c r="EX272" s="10" t="str">
        <f t="shared" si="202"/>
        <v/>
      </c>
    </row>
    <row r="273" spans="1:154" x14ac:dyDescent="0.35">
      <c r="D273" s="5" t="s">
        <v>1943</v>
      </c>
      <c r="E273"/>
      <c r="CK273" s="11"/>
      <c r="CM273" s="11"/>
      <c r="EX273" s="10" t="str">
        <f t="shared" si="202"/>
        <v/>
      </c>
    </row>
    <row r="274" spans="1:154" x14ac:dyDescent="0.35">
      <c r="B274" s="5"/>
      <c r="D274" s="5" t="str">
        <f>Loans!D$11</f>
        <v>Lender</v>
      </c>
      <c r="E274"/>
      <c r="CK274" s="11"/>
      <c r="CM274" s="11"/>
      <c r="EX274" s="10" t="str">
        <f t="shared" si="202"/>
        <v/>
      </c>
    </row>
    <row r="275" spans="1:154" x14ac:dyDescent="0.35">
      <c r="B275" t="str">
        <f ca="1">Loans!B$13</f>
        <v>Loan 1</v>
      </c>
      <c r="D275" s="51">
        <f>Loans!D$13</f>
        <v>0</v>
      </c>
      <c r="E275"/>
      <c r="V275" s="106"/>
      <c r="W275" s="106"/>
      <c r="X275" s="106"/>
      <c r="Y275" s="106"/>
      <c r="AA275" s="38">
        <f>SUM($AA252:AA252)*AA252</f>
        <v>0</v>
      </c>
      <c r="AB275" s="38">
        <f>SUM($AA252:AB252)*AB252</f>
        <v>0</v>
      </c>
      <c r="AC275" s="38">
        <f>SUM($AA252:AC252)*AC252</f>
        <v>0</v>
      </c>
      <c r="AD275" s="38">
        <f>SUM($AA252:AD252)*AD252</f>
        <v>0</v>
      </c>
      <c r="AE275" s="38">
        <f>SUM($AA252:AE252)*AE252</f>
        <v>0</v>
      </c>
      <c r="AF275" s="38">
        <f>SUM($AA252:AF252)*AF252</f>
        <v>0</v>
      </c>
      <c r="AG275" s="38">
        <f>SUM($AA252:AG252)*AG252</f>
        <v>0</v>
      </c>
      <c r="AH275" s="38">
        <f>SUM($AA252:AH252)*AH252</f>
        <v>0</v>
      </c>
      <c r="AI275" s="38">
        <f>SUM($AA252:AI252)*AI252</f>
        <v>0</v>
      </c>
      <c r="AJ275" s="38">
        <f>SUM($AA252:AJ252)*AJ252</f>
        <v>0</v>
      </c>
      <c r="AK275" s="38">
        <f>SUM($AA252:AK252)*AK252</f>
        <v>0</v>
      </c>
      <c r="AL275" s="38">
        <f>SUM($AA252:AL252)*AL252</f>
        <v>0</v>
      </c>
      <c r="AM275" s="38">
        <f>SUM($AA252:AM252)*AM252</f>
        <v>0</v>
      </c>
      <c r="AN275" s="38">
        <f>SUM($AA252:AN252)*AN252</f>
        <v>0</v>
      </c>
      <c r="AO275" s="38">
        <f>SUM($AA252:AO252)*AO252</f>
        <v>0</v>
      </c>
      <c r="AP275" s="38">
        <f>SUM($AA252:AP252)*AP252</f>
        <v>0</v>
      </c>
      <c r="AQ275" s="38">
        <f>SUM($AA252:AQ252)*AQ252</f>
        <v>0</v>
      </c>
      <c r="AR275" s="38">
        <f>SUM($AA252:AR252)*AR252</f>
        <v>0</v>
      </c>
      <c r="AS275" s="38">
        <f>SUM($AA252:AS252)*AS252</f>
        <v>0</v>
      </c>
      <c r="AT275" s="38">
        <f>SUM($AA252:AT252)*AT252</f>
        <v>0</v>
      </c>
      <c r="AU275" s="38">
        <f>SUM($AA252:AU252)*AU252</f>
        <v>0</v>
      </c>
      <c r="AV275" s="38">
        <f>SUM($AA252:AV252)*AV252</f>
        <v>0</v>
      </c>
      <c r="AW275" s="38">
        <f>SUM($AA252:AW252)*AW252</f>
        <v>0</v>
      </c>
      <c r="AX275" s="38">
        <f>SUM($AA252:AX252)*AX252</f>
        <v>0</v>
      </c>
      <c r="AY275" s="38">
        <f>SUM($AA252:AY252)*AY252</f>
        <v>0</v>
      </c>
      <c r="AZ275" s="38">
        <f>SUM($AA252:AZ252)*AZ252</f>
        <v>0</v>
      </c>
      <c r="BA275" s="38">
        <f>SUM($AA252:BA252)*BA252</f>
        <v>0</v>
      </c>
      <c r="BB275" s="38">
        <f>SUM($AA252:BB252)*BB252</f>
        <v>0</v>
      </c>
      <c r="BC275" s="38">
        <f>SUM($AA252:BC252)*BC252</f>
        <v>0</v>
      </c>
      <c r="BD275" s="38">
        <f>SUM($AA252:BD252)*BD252</f>
        <v>0</v>
      </c>
      <c r="BE275" s="38">
        <f>SUM($AA252:BE252)*BE252</f>
        <v>0</v>
      </c>
      <c r="BF275" s="38">
        <f>SUM($AA252:BF252)*BF252</f>
        <v>0</v>
      </c>
      <c r="BG275" s="38">
        <f>SUM($AA252:BG252)*BG252</f>
        <v>0</v>
      </c>
      <c r="BH275" s="38">
        <f>SUM($AA252:BH252)*BH252</f>
        <v>0</v>
      </c>
      <c r="BI275" s="38">
        <f>SUM($AA252:BI252)*BI252</f>
        <v>0</v>
      </c>
      <c r="BJ275" s="38">
        <f>SUM($AA252:BJ252)*BJ252</f>
        <v>0</v>
      </c>
      <c r="BK275" s="38">
        <f>SUM($AA252:BK252)*BK252</f>
        <v>0</v>
      </c>
      <c r="BL275" s="38">
        <f>SUM($AA252:BL252)*BL252</f>
        <v>0</v>
      </c>
      <c r="BM275" s="38">
        <f>SUM($AA252:BM252)*BM252</f>
        <v>0</v>
      </c>
      <c r="BN275" s="38">
        <f>SUM($AA252:BN252)*BN252</f>
        <v>0</v>
      </c>
      <c r="BO275" s="38">
        <f>SUM($AA252:BO252)*BO252</f>
        <v>0</v>
      </c>
      <c r="BP275" s="38">
        <f>SUM($AA252:BP252)*BP252</f>
        <v>0</v>
      </c>
      <c r="BQ275" s="38">
        <f>SUM($AA252:BQ252)*BQ252</f>
        <v>0</v>
      </c>
      <c r="BR275" s="38">
        <f>SUM($AA252:BR252)*BR252</f>
        <v>0</v>
      </c>
      <c r="BS275" s="38">
        <f>SUM($AA252:BS252)*BS252</f>
        <v>0</v>
      </c>
      <c r="BT275" s="38">
        <f>SUM($AA252:BT252)*BT252</f>
        <v>0</v>
      </c>
      <c r="BU275" s="38">
        <f>SUM($AA252:BU252)*BU252</f>
        <v>0</v>
      </c>
      <c r="BV275" s="38">
        <f>SUM($AA252:BV252)*BV252</f>
        <v>0</v>
      </c>
      <c r="BX275" s="106"/>
      <c r="BY275" s="106"/>
      <c r="BZ275" s="106"/>
      <c r="CA275" s="106"/>
      <c r="CB275" s="106"/>
      <c r="CC275" s="106"/>
      <c r="CD275" s="106"/>
      <c r="CE275" s="106"/>
      <c r="CF275" s="106"/>
      <c r="CG275" s="106"/>
      <c r="CH275" s="106"/>
      <c r="CI275" s="106"/>
      <c r="CK275" s="11"/>
      <c r="CM275" s="11"/>
      <c r="EX275" s="10" t="str">
        <f t="shared" si="202"/>
        <v/>
      </c>
    </row>
    <row r="276" spans="1:154" x14ac:dyDescent="0.35">
      <c r="B276" t="str">
        <f ca="1">Loans!B$14</f>
        <v>Loan 2</v>
      </c>
      <c r="D276" s="51">
        <f>Loans!D$14</f>
        <v>0</v>
      </c>
      <c r="E276"/>
      <c r="V276" s="106"/>
      <c r="W276" s="106"/>
      <c r="X276" s="106"/>
      <c r="Y276" s="106"/>
      <c r="AA276" s="38">
        <f>SUM($AA253:AA253)*AA253</f>
        <v>0</v>
      </c>
      <c r="AB276" s="38">
        <f>SUM($AA253:AB253)*AB253</f>
        <v>0</v>
      </c>
      <c r="AC276" s="38">
        <f>SUM($AA253:AC253)*AC253</f>
        <v>0</v>
      </c>
      <c r="AD276" s="38">
        <f>SUM($AA253:AD253)*AD253</f>
        <v>0</v>
      </c>
      <c r="AE276" s="38">
        <f>SUM($AA253:AE253)*AE253</f>
        <v>0</v>
      </c>
      <c r="AF276" s="38">
        <f>SUM($AA253:AF253)*AF253</f>
        <v>0</v>
      </c>
      <c r="AG276" s="38">
        <f>SUM($AA253:AG253)*AG253</f>
        <v>0</v>
      </c>
      <c r="AH276" s="38">
        <f>SUM($AA253:AH253)*AH253</f>
        <v>0</v>
      </c>
      <c r="AI276" s="38">
        <f>SUM($AA253:AI253)*AI253</f>
        <v>0</v>
      </c>
      <c r="AJ276" s="38">
        <f>SUM($AA253:AJ253)*AJ253</f>
        <v>0</v>
      </c>
      <c r="AK276" s="38">
        <f>SUM($AA253:AK253)*AK253</f>
        <v>0</v>
      </c>
      <c r="AL276" s="38">
        <f>SUM($AA253:AL253)*AL253</f>
        <v>0</v>
      </c>
      <c r="AM276" s="38">
        <f>SUM($AA253:AM253)*AM253</f>
        <v>0</v>
      </c>
      <c r="AN276" s="38">
        <f>SUM($AA253:AN253)*AN253</f>
        <v>0</v>
      </c>
      <c r="AO276" s="38">
        <f>SUM($AA253:AO253)*AO253</f>
        <v>0</v>
      </c>
      <c r="AP276" s="38">
        <f>SUM($AA253:AP253)*AP253</f>
        <v>0</v>
      </c>
      <c r="AQ276" s="38">
        <f>SUM($AA253:AQ253)*AQ253</f>
        <v>0</v>
      </c>
      <c r="AR276" s="38">
        <f>SUM($AA253:AR253)*AR253</f>
        <v>0</v>
      </c>
      <c r="AS276" s="38">
        <f>SUM($AA253:AS253)*AS253</f>
        <v>0</v>
      </c>
      <c r="AT276" s="38">
        <f>SUM($AA253:AT253)*AT253</f>
        <v>0</v>
      </c>
      <c r="AU276" s="38">
        <f>SUM($AA253:AU253)*AU253</f>
        <v>0</v>
      </c>
      <c r="AV276" s="38">
        <f>SUM($AA253:AV253)*AV253</f>
        <v>0</v>
      </c>
      <c r="AW276" s="38">
        <f>SUM($AA253:AW253)*AW253</f>
        <v>0</v>
      </c>
      <c r="AX276" s="38">
        <f>SUM($AA253:AX253)*AX253</f>
        <v>0</v>
      </c>
      <c r="AY276" s="38">
        <f>SUM($AA253:AY253)*AY253</f>
        <v>0</v>
      </c>
      <c r="AZ276" s="38">
        <f>SUM($AA253:AZ253)*AZ253</f>
        <v>0</v>
      </c>
      <c r="BA276" s="38">
        <f>SUM($AA253:BA253)*BA253</f>
        <v>0</v>
      </c>
      <c r="BB276" s="38">
        <f>SUM($AA253:BB253)*BB253</f>
        <v>0</v>
      </c>
      <c r="BC276" s="38">
        <f>SUM($AA253:BC253)*BC253</f>
        <v>0</v>
      </c>
      <c r="BD276" s="38">
        <f>SUM($AA253:BD253)*BD253</f>
        <v>0</v>
      </c>
      <c r="BE276" s="38">
        <f>SUM($AA253:BE253)*BE253</f>
        <v>0</v>
      </c>
      <c r="BF276" s="38">
        <f>SUM($AA253:BF253)*BF253</f>
        <v>0</v>
      </c>
      <c r="BG276" s="38">
        <f>SUM($AA253:BG253)*BG253</f>
        <v>0</v>
      </c>
      <c r="BH276" s="38">
        <f>SUM($AA253:BH253)*BH253</f>
        <v>0</v>
      </c>
      <c r="BI276" s="38">
        <f>SUM($AA253:BI253)*BI253</f>
        <v>0</v>
      </c>
      <c r="BJ276" s="38">
        <f>SUM($AA253:BJ253)*BJ253</f>
        <v>0</v>
      </c>
      <c r="BK276" s="38">
        <f>SUM($AA253:BK253)*BK253</f>
        <v>0</v>
      </c>
      <c r="BL276" s="38">
        <f>SUM($AA253:BL253)*BL253</f>
        <v>0</v>
      </c>
      <c r="BM276" s="38">
        <f>SUM($AA253:BM253)*BM253</f>
        <v>0</v>
      </c>
      <c r="BN276" s="38">
        <f>SUM($AA253:BN253)*BN253</f>
        <v>0</v>
      </c>
      <c r="BO276" s="38">
        <f>SUM($AA253:BO253)*BO253</f>
        <v>0</v>
      </c>
      <c r="BP276" s="38">
        <f>SUM($AA253:BP253)*BP253</f>
        <v>0</v>
      </c>
      <c r="BQ276" s="38">
        <f>SUM($AA253:BQ253)*BQ253</f>
        <v>0</v>
      </c>
      <c r="BR276" s="38">
        <f>SUM($AA253:BR253)*BR253</f>
        <v>0</v>
      </c>
      <c r="BS276" s="38">
        <f>SUM($AA253:BS253)*BS253</f>
        <v>0</v>
      </c>
      <c r="BT276" s="38">
        <f>SUM($AA253:BT253)*BT253</f>
        <v>0</v>
      </c>
      <c r="BU276" s="38">
        <f>SUM($AA253:BU253)*BU253</f>
        <v>0</v>
      </c>
      <c r="BV276" s="38">
        <f>SUM($AA253:BV253)*BV253</f>
        <v>0</v>
      </c>
      <c r="BX276" s="106"/>
      <c r="BY276" s="106"/>
      <c r="BZ276" s="106"/>
      <c r="CA276" s="106"/>
      <c r="CB276" s="106"/>
      <c r="CC276" s="106"/>
      <c r="CD276" s="106"/>
      <c r="CE276" s="106"/>
      <c r="CF276" s="106"/>
      <c r="CG276" s="106"/>
      <c r="CH276" s="106"/>
      <c r="CI276" s="106"/>
      <c r="CK276" s="11"/>
      <c r="CM276" s="11"/>
      <c r="EX276" s="10" t="str">
        <f t="shared" si="202"/>
        <v/>
      </c>
    </row>
    <row r="277" spans="1:154" x14ac:dyDescent="0.35">
      <c r="B277" t="str">
        <f ca="1">Loans!B$15</f>
        <v>Loan 3</v>
      </c>
      <c r="D277" s="51">
        <f>Loans!D$15</f>
        <v>0</v>
      </c>
      <c r="E277"/>
      <c r="V277" s="106"/>
      <c r="W277" s="106"/>
      <c r="X277" s="106"/>
      <c r="Y277" s="106"/>
      <c r="AA277" s="38">
        <f>SUM($AA254:AA254)*AA254</f>
        <v>0</v>
      </c>
      <c r="AB277" s="38">
        <f>SUM($AA254:AB254)*AB254</f>
        <v>0</v>
      </c>
      <c r="AC277" s="38">
        <f>SUM($AA254:AC254)*AC254</f>
        <v>0</v>
      </c>
      <c r="AD277" s="38">
        <f>SUM($AA254:AD254)*AD254</f>
        <v>0</v>
      </c>
      <c r="AE277" s="38">
        <f>SUM($AA254:AE254)*AE254</f>
        <v>0</v>
      </c>
      <c r="AF277" s="38">
        <f>SUM($AA254:AF254)*AF254</f>
        <v>0</v>
      </c>
      <c r="AG277" s="38">
        <f>SUM($AA254:AG254)*AG254</f>
        <v>0</v>
      </c>
      <c r="AH277" s="38">
        <f>SUM($AA254:AH254)*AH254</f>
        <v>0</v>
      </c>
      <c r="AI277" s="38">
        <f>SUM($AA254:AI254)*AI254</f>
        <v>0</v>
      </c>
      <c r="AJ277" s="38">
        <f>SUM($AA254:AJ254)*AJ254</f>
        <v>0</v>
      </c>
      <c r="AK277" s="38">
        <f>SUM($AA254:AK254)*AK254</f>
        <v>0</v>
      </c>
      <c r="AL277" s="38">
        <f>SUM($AA254:AL254)*AL254</f>
        <v>0</v>
      </c>
      <c r="AM277" s="38">
        <f>SUM($AA254:AM254)*AM254</f>
        <v>0</v>
      </c>
      <c r="AN277" s="38">
        <f>SUM($AA254:AN254)*AN254</f>
        <v>0</v>
      </c>
      <c r="AO277" s="38">
        <f>SUM($AA254:AO254)*AO254</f>
        <v>0</v>
      </c>
      <c r="AP277" s="38">
        <f>SUM($AA254:AP254)*AP254</f>
        <v>0</v>
      </c>
      <c r="AQ277" s="38">
        <f>SUM($AA254:AQ254)*AQ254</f>
        <v>0</v>
      </c>
      <c r="AR277" s="38">
        <f>SUM($AA254:AR254)*AR254</f>
        <v>0</v>
      </c>
      <c r="AS277" s="38">
        <f>SUM($AA254:AS254)*AS254</f>
        <v>0</v>
      </c>
      <c r="AT277" s="38">
        <f>SUM($AA254:AT254)*AT254</f>
        <v>0</v>
      </c>
      <c r="AU277" s="38">
        <f>SUM($AA254:AU254)*AU254</f>
        <v>0</v>
      </c>
      <c r="AV277" s="38">
        <f>SUM($AA254:AV254)*AV254</f>
        <v>0</v>
      </c>
      <c r="AW277" s="38">
        <f>SUM($AA254:AW254)*AW254</f>
        <v>0</v>
      </c>
      <c r="AX277" s="38">
        <f>SUM($AA254:AX254)*AX254</f>
        <v>0</v>
      </c>
      <c r="AY277" s="38">
        <f>SUM($AA254:AY254)*AY254</f>
        <v>0</v>
      </c>
      <c r="AZ277" s="38">
        <f>SUM($AA254:AZ254)*AZ254</f>
        <v>0</v>
      </c>
      <c r="BA277" s="38">
        <f>SUM($AA254:BA254)*BA254</f>
        <v>0</v>
      </c>
      <c r="BB277" s="38">
        <f>SUM($AA254:BB254)*BB254</f>
        <v>0</v>
      </c>
      <c r="BC277" s="38">
        <f>SUM($AA254:BC254)*BC254</f>
        <v>0</v>
      </c>
      <c r="BD277" s="38">
        <f>SUM($AA254:BD254)*BD254</f>
        <v>0</v>
      </c>
      <c r="BE277" s="38">
        <f>SUM($AA254:BE254)*BE254</f>
        <v>0</v>
      </c>
      <c r="BF277" s="38">
        <f>SUM($AA254:BF254)*BF254</f>
        <v>0</v>
      </c>
      <c r="BG277" s="38">
        <f>SUM($AA254:BG254)*BG254</f>
        <v>0</v>
      </c>
      <c r="BH277" s="38">
        <f>SUM($AA254:BH254)*BH254</f>
        <v>0</v>
      </c>
      <c r="BI277" s="38">
        <f>SUM($AA254:BI254)*BI254</f>
        <v>0</v>
      </c>
      <c r="BJ277" s="38">
        <f>SUM($AA254:BJ254)*BJ254</f>
        <v>0</v>
      </c>
      <c r="BK277" s="38">
        <f>SUM($AA254:BK254)*BK254</f>
        <v>0</v>
      </c>
      <c r="BL277" s="38">
        <f>SUM($AA254:BL254)*BL254</f>
        <v>0</v>
      </c>
      <c r="BM277" s="38">
        <f>SUM($AA254:BM254)*BM254</f>
        <v>0</v>
      </c>
      <c r="BN277" s="38">
        <f>SUM($AA254:BN254)*BN254</f>
        <v>0</v>
      </c>
      <c r="BO277" s="38">
        <f>SUM($AA254:BO254)*BO254</f>
        <v>0</v>
      </c>
      <c r="BP277" s="38">
        <f>SUM($AA254:BP254)*BP254</f>
        <v>0</v>
      </c>
      <c r="BQ277" s="38">
        <f>SUM($AA254:BQ254)*BQ254</f>
        <v>0</v>
      </c>
      <c r="BR277" s="38">
        <f>SUM($AA254:BR254)*BR254</f>
        <v>0</v>
      </c>
      <c r="BS277" s="38">
        <f>SUM($AA254:BS254)*BS254</f>
        <v>0</v>
      </c>
      <c r="BT277" s="38">
        <f>SUM($AA254:BT254)*BT254</f>
        <v>0</v>
      </c>
      <c r="BU277" s="38">
        <f>SUM($AA254:BU254)*BU254</f>
        <v>0</v>
      </c>
      <c r="BV277" s="38">
        <f>SUM($AA254:BV254)*BV254</f>
        <v>0</v>
      </c>
      <c r="BX277" s="106"/>
      <c r="BY277" s="106"/>
      <c r="BZ277" s="106"/>
      <c r="CA277" s="106"/>
      <c r="CB277" s="106"/>
      <c r="CC277" s="106"/>
      <c r="CD277" s="106"/>
      <c r="CE277" s="106"/>
      <c r="CF277" s="106"/>
      <c r="CG277" s="106"/>
      <c r="CH277" s="106"/>
      <c r="CI277" s="106"/>
      <c r="CK277" s="11"/>
      <c r="CM277" s="11"/>
      <c r="EX277" s="10" t="str">
        <f t="shared" si="202"/>
        <v/>
      </c>
    </row>
    <row r="278" spans="1:154" x14ac:dyDescent="0.35">
      <c r="B278" t="str">
        <f ca="1">Loans!B$16</f>
        <v>Loan 4</v>
      </c>
      <c r="D278" s="51">
        <f>Loans!D$16</f>
        <v>0</v>
      </c>
      <c r="E278"/>
      <c r="V278" s="106"/>
      <c r="W278" s="106"/>
      <c r="X278" s="106"/>
      <c r="Y278" s="106"/>
      <c r="AA278" s="38">
        <f>SUM($AA255:AA255)*AA255</f>
        <v>0</v>
      </c>
      <c r="AB278" s="38">
        <f>SUM($AA255:AB255)*AB255</f>
        <v>0</v>
      </c>
      <c r="AC278" s="38">
        <f>SUM($AA255:AC255)*AC255</f>
        <v>0</v>
      </c>
      <c r="AD278" s="38">
        <f>SUM($AA255:AD255)*AD255</f>
        <v>0</v>
      </c>
      <c r="AE278" s="38">
        <f>SUM($AA255:AE255)*AE255</f>
        <v>0</v>
      </c>
      <c r="AF278" s="38">
        <f>SUM($AA255:AF255)*AF255</f>
        <v>0</v>
      </c>
      <c r="AG278" s="38">
        <f>SUM($AA255:AG255)*AG255</f>
        <v>0</v>
      </c>
      <c r="AH278" s="38">
        <f>SUM($AA255:AH255)*AH255</f>
        <v>0</v>
      </c>
      <c r="AI278" s="38">
        <f>SUM($AA255:AI255)*AI255</f>
        <v>0</v>
      </c>
      <c r="AJ278" s="38">
        <f>SUM($AA255:AJ255)*AJ255</f>
        <v>0</v>
      </c>
      <c r="AK278" s="38">
        <f>SUM($AA255:AK255)*AK255</f>
        <v>0</v>
      </c>
      <c r="AL278" s="38">
        <f>SUM($AA255:AL255)*AL255</f>
        <v>0</v>
      </c>
      <c r="AM278" s="38">
        <f>SUM($AA255:AM255)*AM255</f>
        <v>0</v>
      </c>
      <c r="AN278" s="38">
        <f>SUM($AA255:AN255)*AN255</f>
        <v>0</v>
      </c>
      <c r="AO278" s="38">
        <f>SUM($AA255:AO255)*AO255</f>
        <v>0</v>
      </c>
      <c r="AP278" s="38">
        <f>SUM($AA255:AP255)*AP255</f>
        <v>0</v>
      </c>
      <c r="AQ278" s="38">
        <f>SUM($AA255:AQ255)*AQ255</f>
        <v>0</v>
      </c>
      <c r="AR278" s="38">
        <f>SUM($AA255:AR255)*AR255</f>
        <v>0</v>
      </c>
      <c r="AS278" s="38">
        <f>SUM($AA255:AS255)*AS255</f>
        <v>0</v>
      </c>
      <c r="AT278" s="38">
        <f>SUM($AA255:AT255)*AT255</f>
        <v>0</v>
      </c>
      <c r="AU278" s="38">
        <f>SUM($AA255:AU255)*AU255</f>
        <v>0</v>
      </c>
      <c r="AV278" s="38">
        <f>SUM($AA255:AV255)*AV255</f>
        <v>0</v>
      </c>
      <c r="AW278" s="38">
        <f>SUM($AA255:AW255)*AW255</f>
        <v>0</v>
      </c>
      <c r="AX278" s="38">
        <f>SUM($AA255:AX255)*AX255</f>
        <v>0</v>
      </c>
      <c r="AY278" s="38">
        <f>SUM($AA255:AY255)*AY255</f>
        <v>0</v>
      </c>
      <c r="AZ278" s="38">
        <f>SUM($AA255:AZ255)*AZ255</f>
        <v>0</v>
      </c>
      <c r="BA278" s="38">
        <f>SUM($AA255:BA255)*BA255</f>
        <v>0</v>
      </c>
      <c r="BB278" s="38">
        <f>SUM($AA255:BB255)*BB255</f>
        <v>0</v>
      </c>
      <c r="BC278" s="38">
        <f>SUM($AA255:BC255)*BC255</f>
        <v>0</v>
      </c>
      <c r="BD278" s="38">
        <f>SUM($AA255:BD255)*BD255</f>
        <v>0</v>
      </c>
      <c r="BE278" s="38">
        <f>SUM($AA255:BE255)*BE255</f>
        <v>0</v>
      </c>
      <c r="BF278" s="38">
        <f>SUM($AA255:BF255)*BF255</f>
        <v>0</v>
      </c>
      <c r="BG278" s="38">
        <f>SUM($AA255:BG255)*BG255</f>
        <v>0</v>
      </c>
      <c r="BH278" s="38">
        <f>SUM($AA255:BH255)*BH255</f>
        <v>0</v>
      </c>
      <c r="BI278" s="38">
        <f>SUM($AA255:BI255)*BI255</f>
        <v>0</v>
      </c>
      <c r="BJ278" s="38">
        <f>SUM($AA255:BJ255)*BJ255</f>
        <v>0</v>
      </c>
      <c r="BK278" s="38">
        <f>SUM($AA255:BK255)*BK255</f>
        <v>0</v>
      </c>
      <c r="BL278" s="38">
        <f>SUM($AA255:BL255)*BL255</f>
        <v>0</v>
      </c>
      <c r="BM278" s="38">
        <f>SUM($AA255:BM255)*BM255</f>
        <v>0</v>
      </c>
      <c r="BN278" s="38">
        <f>SUM($AA255:BN255)*BN255</f>
        <v>0</v>
      </c>
      <c r="BO278" s="38">
        <f>SUM($AA255:BO255)*BO255</f>
        <v>0</v>
      </c>
      <c r="BP278" s="38">
        <f>SUM($AA255:BP255)*BP255</f>
        <v>0</v>
      </c>
      <c r="BQ278" s="38">
        <f>SUM($AA255:BQ255)*BQ255</f>
        <v>0</v>
      </c>
      <c r="BR278" s="38">
        <f>SUM($AA255:BR255)*BR255</f>
        <v>0</v>
      </c>
      <c r="BS278" s="38">
        <f>SUM($AA255:BS255)*BS255</f>
        <v>0</v>
      </c>
      <c r="BT278" s="38">
        <f>SUM($AA255:BT255)*BT255</f>
        <v>0</v>
      </c>
      <c r="BU278" s="38">
        <f>SUM($AA255:BU255)*BU255</f>
        <v>0</v>
      </c>
      <c r="BV278" s="38">
        <f>SUM($AA255:BV255)*BV255</f>
        <v>0</v>
      </c>
      <c r="BX278" s="106"/>
      <c r="BY278" s="106"/>
      <c r="BZ278" s="106"/>
      <c r="CA278" s="106"/>
      <c r="CB278" s="106"/>
      <c r="CC278" s="106"/>
      <c r="CD278" s="106"/>
      <c r="CE278" s="106"/>
      <c r="CF278" s="106"/>
      <c r="CG278" s="106"/>
      <c r="CH278" s="106"/>
      <c r="CI278" s="106"/>
      <c r="CK278" s="11"/>
      <c r="CM278" s="11"/>
      <c r="EX278" s="10" t="str">
        <f t="shared" si="202"/>
        <v/>
      </c>
    </row>
    <row r="279" spans="1:154" x14ac:dyDescent="0.35">
      <c r="B279" t="str">
        <f ca="1">Loans!B$17</f>
        <v>Loan 5</v>
      </c>
      <c r="D279" s="51">
        <f>Loans!D$17</f>
        <v>0</v>
      </c>
      <c r="E279"/>
      <c r="V279" s="106"/>
      <c r="W279" s="106"/>
      <c r="X279" s="106"/>
      <c r="Y279" s="106"/>
      <c r="AA279" s="38">
        <f>SUM($AA256:AA256)*AA256</f>
        <v>0</v>
      </c>
      <c r="AB279" s="38">
        <f>SUM($AA256:AB256)*AB256</f>
        <v>0</v>
      </c>
      <c r="AC279" s="38">
        <f>SUM($AA256:AC256)*AC256</f>
        <v>0</v>
      </c>
      <c r="AD279" s="38">
        <f>SUM($AA256:AD256)*AD256</f>
        <v>0</v>
      </c>
      <c r="AE279" s="38">
        <f>SUM($AA256:AE256)*AE256</f>
        <v>0</v>
      </c>
      <c r="AF279" s="38">
        <f>SUM($AA256:AF256)*AF256</f>
        <v>0</v>
      </c>
      <c r="AG279" s="38">
        <f>SUM($AA256:AG256)*AG256</f>
        <v>0</v>
      </c>
      <c r="AH279" s="38">
        <f>SUM($AA256:AH256)*AH256</f>
        <v>0</v>
      </c>
      <c r="AI279" s="38">
        <f>SUM($AA256:AI256)*AI256</f>
        <v>0</v>
      </c>
      <c r="AJ279" s="38">
        <f>SUM($AA256:AJ256)*AJ256</f>
        <v>0</v>
      </c>
      <c r="AK279" s="38">
        <f>SUM($AA256:AK256)*AK256</f>
        <v>0</v>
      </c>
      <c r="AL279" s="38">
        <f>SUM($AA256:AL256)*AL256</f>
        <v>0</v>
      </c>
      <c r="AM279" s="38">
        <f>SUM($AA256:AM256)*AM256</f>
        <v>0</v>
      </c>
      <c r="AN279" s="38">
        <f>SUM($AA256:AN256)*AN256</f>
        <v>0</v>
      </c>
      <c r="AO279" s="38">
        <f>SUM($AA256:AO256)*AO256</f>
        <v>0</v>
      </c>
      <c r="AP279" s="38">
        <f>SUM($AA256:AP256)*AP256</f>
        <v>0</v>
      </c>
      <c r="AQ279" s="38">
        <f>SUM($AA256:AQ256)*AQ256</f>
        <v>0</v>
      </c>
      <c r="AR279" s="38">
        <f>SUM($AA256:AR256)*AR256</f>
        <v>0</v>
      </c>
      <c r="AS279" s="38">
        <f>SUM($AA256:AS256)*AS256</f>
        <v>0</v>
      </c>
      <c r="AT279" s="38">
        <f>SUM($AA256:AT256)*AT256</f>
        <v>0</v>
      </c>
      <c r="AU279" s="38">
        <f>SUM($AA256:AU256)*AU256</f>
        <v>0</v>
      </c>
      <c r="AV279" s="38">
        <f>SUM($AA256:AV256)*AV256</f>
        <v>0</v>
      </c>
      <c r="AW279" s="38">
        <f>SUM($AA256:AW256)*AW256</f>
        <v>0</v>
      </c>
      <c r="AX279" s="38">
        <f>SUM($AA256:AX256)*AX256</f>
        <v>0</v>
      </c>
      <c r="AY279" s="38">
        <f>SUM($AA256:AY256)*AY256</f>
        <v>0</v>
      </c>
      <c r="AZ279" s="38">
        <f>SUM($AA256:AZ256)*AZ256</f>
        <v>0</v>
      </c>
      <c r="BA279" s="38">
        <f>SUM($AA256:BA256)*BA256</f>
        <v>0</v>
      </c>
      <c r="BB279" s="38">
        <f>SUM($AA256:BB256)*BB256</f>
        <v>0</v>
      </c>
      <c r="BC279" s="38">
        <f>SUM($AA256:BC256)*BC256</f>
        <v>0</v>
      </c>
      <c r="BD279" s="38">
        <f>SUM($AA256:BD256)*BD256</f>
        <v>0</v>
      </c>
      <c r="BE279" s="38">
        <f>SUM($AA256:BE256)*BE256</f>
        <v>0</v>
      </c>
      <c r="BF279" s="38">
        <f>SUM($AA256:BF256)*BF256</f>
        <v>0</v>
      </c>
      <c r="BG279" s="38">
        <f>SUM($AA256:BG256)*BG256</f>
        <v>0</v>
      </c>
      <c r="BH279" s="38">
        <f>SUM($AA256:BH256)*BH256</f>
        <v>0</v>
      </c>
      <c r="BI279" s="38">
        <f>SUM($AA256:BI256)*BI256</f>
        <v>0</v>
      </c>
      <c r="BJ279" s="38">
        <f>SUM($AA256:BJ256)*BJ256</f>
        <v>0</v>
      </c>
      <c r="BK279" s="38">
        <f>SUM($AA256:BK256)*BK256</f>
        <v>0</v>
      </c>
      <c r="BL279" s="38">
        <f>SUM($AA256:BL256)*BL256</f>
        <v>0</v>
      </c>
      <c r="BM279" s="38">
        <f>SUM($AA256:BM256)*BM256</f>
        <v>0</v>
      </c>
      <c r="BN279" s="38">
        <f>SUM($AA256:BN256)*BN256</f>
        <v>0</v>
      </c>
      <c r="BO279" s="38">
        <f>SUM($AA256:BO256)*BO256</f>
        <v>0</v>
      </c>
      <c r="BP279" s="38">
        <f>SUM($AA256:BP256)*BP256</f>
        <v>0</v>
      </c>
      <c r="BQ279" s="38">
        <f>SUM($AA256:BQ256)*BQ256</f>
        <v>0</v>
      </c>
      <c r="BR279" s="38">
        <f>SUM($AA256:BR256)*BR256</f>
        <v>0</v>
      </c>
      <c r="BS279" s="38">
        <f>SUM($AA256:BS256)*BS256</f>
        <v>0</v>
      </c>
      <c r="BT279" s="38">
        <f>SUM($AA256:BT256)*BT256</f>
        <v>0</v>
      </c>
      <c r="BU279" s="38">
        <f>SUM($AA256:BU256)*BU256</f>
        <v>0</v>
      </c>
      <c r="BV279" s="38">
        <f>SUM($AA256:BV256)*BV256</f>
        <v>0</v>
      </c>
      <c r="BX279" s="106"/>
      <c r="BY279" s="106"/>
      <c r="BZ279" s="106"/>
      <c r="CA279" s="106"/>
      <c r="CB279" s="106"/>
      <c r="CC279" s="106"/>
      <c r="CD279" s="106"/>
      <c r="CE279" s="106"/>
      <c r="CF279" s="106"/>
      <c r="CG279" s="106"/>
      <c r="CH279" s="106"/>
      <c r="CI279" s="106"/>
      <c r="CK279" s="11"/>
      <c r="CM279" s="11"/>
      <c r="EX279" s="10" t="str">
        <f t="shared" si="202"/>
        <v/>
      </c>
    </row>
    <row r="280" spans="1:154" x14ac:dyDescent="0.35">
      <c r="B280" t="str">
        <f ca="1">Loans!B$18</f>
        <v>Loan 6</v>
      </c>
      <c r="D280" s="51">
        <f>Loans!D$18</f>
        <v>0</v>
      </c>
      <c r="E280"/>
      <c r="V280" s="106"/>
      <c r="W280" s="106"/>
      <c r="X280" s="106"/>
      <c r="Y280" s="106"/>
      <c r="AA280" s="38">
        <f>SUM($AA257:AA257)*AA257</f>
        <v>0</v>
      </c>
      <c r="AB280" s="38">
        <f>SUM($AA257:AB257)*AB257</f>
        <v>0</v>
      </c>
      <c r="AC280" s="38">
        <f>SUM($AA257:AC257)*AC257</f>
        <v>0</v>
      </c>
      <c r="AD280" s="38">
        <f>SUM($AA257:AD257)*AD257</f>
        <v>0</v>
      </c>
      <c r="AE280" s="38">
        <f>SUM($AA257:AE257)*AE257</f>
        <v>0</v>
      </c>
      <c r="AF280" s="38">
        <f>SUM($AA257:AF257)*AF257</f>
        <v>0</v>
      </c>
      <c r="AG280" s="38">
        <f>SUM($AA257:AG257)*AG257</f>
        <v>0</v>
      </c>
      <c r="AH280" s="38">
        <f>SUM($AA257:AH257)*AH257</f>
        <v>0</v>
      </c>
      <c r="AI280" s="38">
        <f>SUM($AA257:AI257)*AI257</f>
        <v>0</v>
      </c>
      <c r="AJ280" s="38">
        <f>SUM($AA257:AJ257)*AJ257</f>
        <v>0</v>
      </c>
      <c r="AK280" s="38">
        <f>SUM($AA257:AK257)*AK257</f>
        <v>0</v>
      </c>
      <c r="AL280" s="38">
        <f>SUM($AA257:AL257)*AL257</f>
        <v>0</v>
      </c>
      <c r="AM280" s="38">
        <f>SUM($AA257:AM257)*AM257</f>
        <v>0</v>
      </c>
      <c r="AN280" s="38">
        <f>SUM($AA257:AN257)*AN257</f>
        <v>0</v>
      </c>
      <c r="AO280" s="38">
        <f>SUM($AA257:AO257)*AO257</f>
        <v>0</v>
      </c>
      <c r="AP280" s="38">
        <f>SUM($AA257:AP257)*AP257</f>
        <v>0</v>
      </c>
      <c r="AQ280" s="38">
        <f>SUM($AA257:AQ257)*AQ257</f>
        <v>0</v>
      </c>
      <c r="AR280" s="38">
        <f>SUM($AA257:AR257)*AR257</f>
        <v>0</v>
      </c>
      <c r="AS280" s="38">
        <f>SUM($AA257:AS257)*AS257</f>
        <v>0</v>
      </c>
      <c r="AT280" s="38">
        <f>SUM($AA257:AT257)*AT257</f>
        <v>0</v>
      </c>
      <c r="AU280" s="38">
        <f>SUM($AA257:AU257)*AU257</f>
        <v>0</v>
      </c>
      <c r="AV280" s="38">
        <f>SUM($AA257:AV257)*AV257</f>
        <v>0</v>
      </c>
      <c r="AW280" s="38">
        <f>SUM($AA257:AW257)*AW257</f>
        <v>0</v>
      </c>
      <c r="AX280" s="38">
        <f>SUM($AA257:AX257)*AX257</f>
        <v>0</v>
      </c>
      <c r="AY280" s="38">
        <f>SUM($AA257:AY257)*AY257</f>
        <v>0</v>
      </c>
      <c r="AZ280" s="38">
        <f>SUM($AA257:AZ257)*AZ257</f>
        <v>0</v>
      </c>
      <c r="BA280" s="38">
        <f>SUM($AA257:BA257)*BA257</f>
        <v>0</v>
      </c>
      <c r="BB280" s="38">
        <f>SUM($AA257:BB257)*BB257</f>
        <v>0</v>
      </c>
      <c r="BC280" s="38">
        <f>SUM($AA257:BC257)*BC257</f>
        <v>0</v>
      </c>
      <c r="BD280" s="38">
        <f>SUM($AA257:BD257)*BD257</f>
        <v>0</v>
      </c>
      <c r="BE280" s="38">
        <f>SUM($AA257:BE257)*BE257</f>
        <v>0</v>
      </c>
      <c r="BF280" s="38">
        <f>SUM($AA257:BF257)*BF257</f>
        <v>0</v>
      </c>
      <c r="BG280" s="38">
        <f>SUM($AA257:BG257)*BG257</f>
        <v>0</v>
      </c>
      <c r="BH280" s="38">
        <f>SUM($AA257:BH257)*BH257</f>
        <v>0</v>
      </c>
      <c r="BI280" s="38">
        <f>SUM($AA257:BI257)*BI257</f>
        <v>0</v>
      </c>
      <c r="BJ280" s="38">
        <f>SUM($AA257:BJ257)*BJ257</f>
        <v>0</v>
      </c>
      <c r="BK280" s="38">
        <f>SUM($AA257:BK257)*BK257</f>
        <v>0</v>
      </c>
      <c r="BL280" s="38">
        <f>SUM($AA257:BL257)*BL257</f>
        <v>0</v>
      </c>
      <c r="BM280" s="38">
        <f>SUM($AA257:BM257)*BM257</f>
        <v>0</v>
      </c>
      <c r="BN280" s="38">
        <f>SUM($AA257:BN257)*BN257</f>
        <v>0</v>
      </c>
      <c r="BO280" s="38">
        <f>SUM($AA257:BO257)*BO257</f>
        <v>0</v>
      </c>
      <c r="BP280" s="38">
        <f>SUM($AA257:BP257)*BP257</f>
        <v>0</v>
      </c>
      <c r="BQ280" s="38">
        <f>SUM($AA257:BQ257)*BQ257</f>
        <v>0</v>
      </c>
      <c r="BR280" s="38">
        <f>SUM($AA257:BR257)*BR257</f>
        <v>0</v>
      </c>
      <c r="BS280" s="38">
        <f>SUM($AA257:BS257)*BS257</f>
        <v>0</v>
      </c>
      <c r="BT280" s="38">
        <f>SUM($AA257:BT257)*BT257</f>
        <v>0</v>
      </c>
      <c r="BU280" s="38">
        <f>SUM($AA257:BU257)*BU257</f>
        <v>0</v>
      </c>
      <c r="BV280" s="38">
        <f>SUM($AA257:BV257)*BV257</f>
        <v>0</v>
      </c>
      <c r="BX280" s="106"/>
      <c r="BY280" s="106"/>
      <c r="BZ280" s="106"/>
      <c r="CA280" s="106"/>
      <c r="CB280" s="106"/>
      <c r="CC280" s="106"/>
      <c r="CD280" s="106"/>
      <c r="CE280" s="106"/>
      <c r="CF280" s="106"/>
      <c r="CG280" s="106"/>
      <c r="CH280" s="106"/>
      <c r="CI280" s="106"/>
      <c r="CK280" s="11"/>
      <c r="CM280" s="11"/>
      <c r="EX280" s="10" t="str">
        <f t="shared" si="202"/>
        <v/>
      </c>
    </row>
    <row r="281" spans="1:154" s="5" customFormat="1" x14ac:dyDescent="0.35">
      <c r="A281"/>
      <c r="B281" t="str">
        <f ca="1">Loans!B$19</f>
        <v>Loan 7</v>
      </c>
      <c r="D281" s="51">
        <f>Loans!D$19</f>
        <v>0</v>
      </c>
      <c r="E281"/>
      <c r="F281"/>
      <c r="G281"/>
      <c r="H281"/>
      <c r="I281"/>
      <c r="J281"/>
      <c r="K281"/>
      <c r="M281"/>
      <c r="N281"/>
      <c r="O281"/>
      <c r="P281"/>
      <c r="Q281"/>
      <c r="S281"/>
      <c r="T281"/>
      <c r="U281"/>
      <c r="V281" s="106"/>
      <c r="W281" s="106"/>
      <c r="X281" s="106"/>
      <c r="Y281" s="106"/>
      <c r="Z281"/>
      <c r="AA281" s="38">
        <f>SUM($AA258:AA258)*AA258</f>
        <v>0</v>
      </c>
      <c r="AB281" s="38">
        <f>SUM($AA258:AB258)*AB258</f>
        <v>0</v>
      </c>
      <c r="AC281" s="38">
        <f>SUM($AA258:AC258)*AC258</f>
        <v>0</v>
      </c>
      <c r="AD281" s="38">
        <f>SUM($AA258:AD258)*AD258</f>
        <v>0</v>
      </c>
      <c r="AE281" s="38">
        <f>SUM($AA258:AE258)*AE258</f>
        <v>0</v>
      </c>
      <c r="AF281" s="38">
        <f>SUM($AA258:AF258)*AF258</f>
        <v>0</v>
      </c>
      <c r="AG281" s="38">
        <f>SUM($AA258:AG258)*AG258</f>
        <v>0</v>
      </c>
      <c r="AH281" s="38">
        <f>SUM($AA258:AH258)*AH258</f>
        <v>0</v>
      </c>
      <c r="AI281" s="38">
        <f>SUM($AA258:AI258)*AI258</f>
        <v>0</v>
      </c>
      <c r="AJ281" s="38">
        <f>SUM($AA258:AJ258)*AJ258</f>
        <v>0</v>
      </c>
      <c r="AK281" s="38">
        <f>SUM($AA258:AK258)*AK258</f>
        <v>0</v>
      </c>
      <c r="AL281" s="38">
        <f>SUM($AA258:AL258)*AL258</f>
        <v>0</v>
      </c>
      <c r="AM281" s="38">
        <f>SUM($AA258:AM258)*AM258</f>
        <v>0</v>
      </c>
      <c r="AN281" s="38">
        <f>SUM($AA258:AN258)*AN258</f>
        <v>0</v>
      </c>
      <c r="AO281" s="38">
        <f>SUM($AA258:AO258)*AO258</f>
        <v>0</v>
      </c>
      <c r="AP281" s="38">
        <f>SUM($AA258:AP258)*AP258</f>
        <v>0</v>
      </c>
      <c r="AQ281" s="38">
        <f>SUM($AA258:AQ258)*AQ258</f>
        <v>0</v>
      </c>
      <c r="AR281" s="38">
        <f>SUM($AA258:AR258)*AR258</f>
        <v>0</v>
      </c>
      <c r="AS281" s="38">
        <f>SUM($AA258:AS258)*AS258</f>
        <v>0</v>
      </c>
      <c r="AT281" s="38">
        <f>SUM($AA258:AT258)*AT258</f>
        <v>0</v>
      </c>
      <c r="AU281" s="38">
        <f>SUM($AA258:AU258)*AU258</f>
        <v>0</v>
      </c>
      <c r="AV281" s="38">
        <f>SUM($AA258:AV258)*AV258</f>
        <v>0</v>
      </c>
      <c r="AW281" s="38">
        <f>SUM($AA258:AW258)*AW258</f>
        <v>0</v>
      </c>
      <c r="AX281" s="38">
        <f>SUM($AA258:AX258)*AX258</f>
        <v>0</v>
      </c>
      <c r="AY281" s="38">
        <f>SUM($AA258:AY258)*AY258</f>
        <v>0</v>
      </c>
      <c r="AZ281" s="38">
        <f>SUM($AA258:AZ258)*AZ258</f>
        <v>0</v>
      </c>
      <c r="BA281" s="38">
        <f>SUM($AA258:BA258)*BA258</f>
        <v>0</v>
      </c>
      <c r="BB281" s="38">
        <f>SUM($AA258:BB258)*BB258</f>
        <v>0</v>
      </c>
      <c r="BC281" s="38">
        <f>SUM($AA258:BC258)*BC258</f>
        <v>0</v>
      </c>
      <c r="BD281" s="38">
        <f>SUM($AA258:BD258)*BD258</f>
        <v>0</v>
      </c>
      <c r="BE281" s="38">
        <f>SUM($AA258:BE258)*BE258</f>
        <v>0</v>
      </c>
      <c r="BF281" s="38">
        <f>SUM($AA258:BF258)*BF258</f>
        <v>0</v>
      </c>
      <c r="BG281" s="38">
        <f>SUM($AA258:BG258)*BG258</f>
        <v>0</v>
      </c>
      <c r="BH281" s="38">
        <f>SUM($AA258:BH258)*BH258</f>
        <v>0</v>
      </c>
      <c r="BI281" s="38">
        <f>SUM($AA258:BI258)*BI258</f>
        <v>0</v>
      </c>
      <c r="BJ281" s="38">
        <f>SUM($AA258:BJ258)*BJ258</f>
        <v>0</v>
      </c>
      <c r="BK281" s="38">
        <f>SUM($AA258:BK258)*BK258</f>
        <v>0</v>
      </c>
      <c r="BL281" s="38">
        <f>SUM($AA258:BL258)*BL258</f>
        <v>0</v>
      </c>
      <c r="BM281" s="38">
        <f>SUM($AA258:BM258)*BM258</f>
        <v>0</v>
      </c>
      <c r="BN281" s="38">
        <f>SUM($AA258:BN258)*BN258</f>
        <v>0</v>
      </c>
      <c r="BO281" s="38">
        <f>SUM($AA258:BO258)*BO258</f>
        <v>0</v>
      </c>
      <c r="BP281" s="38">
        <f>SUM($AA258:BP258)*BP258</f>
        <v>0</v>
      </c>
      <c r="BQ281" s="38">
        <f>SUM($AA258:BQ258)*BQ258</f>
        <v>0</v>
      </c>
      <c r="BR281" s="38">
        <f>SUM($AA258:BR258)*BR258</f>
        <v>0</v>
      </c>
      <c r="BS281" s="38">
        <f>SUM($AA258:BS258)*BS258</f>
        <v>0</v>
      </c>
      <c r="BT281" s="38">
        <f>SUM($AA258:BT258)*BT258</f>
        <v>0</v>
      </c>
      <c r="BU281" s="38">
        <f>SUM($AA258:BU258)*BU258</f>
        <v>0</v>
      </c>
      <c r="BV281" s="38">
        <f>SUM($AA258:BV258)*BV258</f>
        <v>0</v>
      </c>
      <c r="BW281"/>
      <c r="BX281" s="106"/>
      <c r="BY281" s="106"/>
      <c r="BZ281" s="106"/>
      <c r="CA281" s="106"/>
      <c r="CB281" s="106"/>
      <c r="CC281" s="106"/>
      <c r="CD281" s="106"/>
      <c r="CE281" s="106"/>
      <c r="CF281" s="106"/>
      <c r="CG281" s="106"/>
      <c r="CH281" s="106"/>
      <c r="CI281" s="106"/>
      <c r="CJ281"/>
      <c r="CK281" s="11"/>
      <c r="CL281"/>
      <c r="CM281" s="11"/>
      <c r="EX281" s="10" t="str">
        <f t="shared" si="202"/>
        <v/>
      </c>
    </row>
    <row r="282" spans="1:154" x14ac:dyDescent="0.35">
      <c r="B282" t="str">
        <f ca="1">Loans!B$20</f>
        <v>Loan 8</v>
      </c>
      <c r="D282" s="51">
        <f>Loans!D$20</f>
        <v>0</v>
      </c>
      <c r="E282"/>
      <c r="V282" s="106"/>
      <c r="W282" s="106"/>
      <c r="X282" s="106"/>
      <c r="Y282" s="106"/>
      <c r="AA282" s="38">
        <f>SUM($AA259:AA259)*AA259</f>
        <v>0</v>
      </c>
      <c r="AB282" s="38">
        <f>SUM($AA259:AB259)*AB259</f>
        <v>0</v>
      </c>
      <c r="AC282" s="38">
        <f>SUM($AA259:AC259)*AC259</f>
        <v>0</v>
      </c>
      <c r="AD282" s="38">
        <f>SUM($AA259:AD259)*AD259</f>
        <v>0</v>
      </c>
      <c r="AE282" s="38">
        <f>SUM($AA259:AE259)*AE259</f>
        <v>0</v>
      </c>
      <c r="AF282" s="38">
        <f>SUM($AA259:AF259)*AF259</f>
        <v>0</v>
      </c>
      <c r="AG282" s="38">
        <f>SUM($AA259:AG259)*AG259</f>
        <v>0</v>
      </c>
      <c r="AH282" s="38">
        <f>SUM($AA259:AH259)*AH259</f>
        <v>0</v>
      </c>
      <c r="AI282" s="38">
        <f>SUM($AA259:AI259)*AI259</f>
        <v>0</v>
      </c>
      <c r="AJ282" s="38">
        <f>SUM($AA259:AJ259)*AJ259</f>
        <v>0</v>
      </c>
      <c r="AK282" s="38">
        <f>SUM($AA259:AK259)*AK259</f>
        <v>0</v>
      </c>
      <c r="AL282" s="38">
        <f>SUM($AA259:AL259)*AL259</f>
        <v>0</v>
      </c>
      <c r="AM282" s="38">
        <f>SUM($AA259:AM259)*AM259</f>
        <v>0</v>
      </c>
      <c r="AN282" s="38">
        <f>SUM($AA259:AN259)*AN259</f>
        <v>0</v>
      </c>
      <c r="AO282" s="38">
        <f>SUM($AA259:AO259)*AO259</f>
        <v>0</v>
      </c>
      <c r="AP282" s="38">
        <f>SUM($AA259:AP259)*AP259</f>
        <v>0</v>
      </c>
      <c r="AQ282" s="38">
        <f>SUM($AA259:AQ259)*AQ259</f>
        <v>0</v>
      </c>
      <c r="AR282" s="38">
        <f>SUM($AA259:AR259)*AR259</f>
        <v>0</v>
      </c>
      <c r="AS282" s="38">
        <f>SUM($AA259:AS259)*AS259</f>
        <v>0</v>
      </c>
      <c r="AT282" s="38">
        <f>SUM($AA259:AT259)*AT259</f>
        <v>0</v>
      </c>
      <c r="AU282" s="38">
        <f>SUM($AA259:AU259)*AU259</f>
        <v>0</v>
      </c>
      <c r="AV282" s="38">
        <f>SUM($AA259:AV259)*AV259</f>
        <v>0</v>
      </c>
      <c r="AW282" s="38">
        <f>SUM($AA259:AW259)*AW259</f>
        <v>0</v>
      </c>
      <c r="AX282" s="38">
        <f>SUM($AA259:AX259)*AX259</f>
        <v>0</v>
      </c>
      <c r="AY282" s="38">
        <f>SUM($AA259:AY259)*AY259</f>
        <v>0</v>
      </c>
      <c r="AZ282" s="38">
        <f>SUM($AA259:AZ259)*AZ259</f>
        <v>0</v>
      </c>
      <c r="BA282" s="38">
        <f>SUM($AA259:BA259)*BA259</f>
        <v>0</v>
      </c>
      <c r="BB282" s="38">
        <f>SUM($AA259:BB259)*BB259</f>
        <v>0</v>
      </c>
      <c r="BC282" s="38">
        <f>SUM($AA259:BC259)*BC259</f>
        <v>0</v>
      </c>
      <c r="BD282" s="38">
        <f>SUM($AA259:BD259)*BD259</f>
        <v>0</v>
      </c>
      <c r="BE282" s="38">
        <f>SUM($AA259:BE259)*BE259</f>
        <v>0</v>
      </c>
      <c r="BF282" s="38">
        <f>SUM($AA259:BF259)*BF259</f>
        <v>0</v>
      </c>
      <c r="BG282" s="38">
        <f>SUM($AA259:BG259)*BG259</f>
        <v>0</v>
      </c>
      <c r="BH282" s="38">
        <f>SUM($AA259:BH259)*BH259</f>
        <v>0</v>
      </c>
      <c r="BI282" s="38">
        <f>SUM($AA259:BI259)*BI259</f>
        <v>0</v>
      </c>
      <c r="BJ282" s="38">
        <f>SUM($AA259:BJ259)*BJ259</f>
        <v>0</v>
      </c>
      <c r="BK282" s="38">
        <f>SUM($AA259:BK259)*BK259</f>
        <v>0</v>
      </c>
      <c r="BL282" s="38">
        <f>SUM($AA259:BL259)*BL259</f>
        <v>0</v>
      </c>
      <c r="BM282" s="38">
        <f>SUM($AA259:BM259)*BM259</f>
        <v>0</v>
      </c>
      <c r="BN282" s="38">
        <f>SUM($AA259:BN259)*BN259</f>
        <v>0</v>
      </c>
      <c r="BO282" s="38">
        <f>SUM($AA259:BO259)*BO259</f>
        <v>0</v>
      </c>
      <c r="BP282" s="38">
        <f>SUM($AA259:BP259)*BP259</f>
        <v>0</v>
      </c>
      <c r="BQ282" s="38">
        <f>SUM($AA259:BQ259)*BQ259</f>
        <v>0</v>
      </c>
      <c r="BR282" s="38">
        <f>SUM($AA259:BR259)*BR259</f>
        <v>0</v>
      </c>
      <c r="BS282" s="38">
        <f>SUM($AA259:BS259)*BS259</f>
        <v>0</v>
      </c>
      <c r="BT282" s="38">
        <f>SUM($AA259:BT259)*BT259</f>
        <v>0</v>
      </c>
      <c r="BU282" s="38">
        <f>SUM($AA259:BU259)*BU259</f>
        <v>0</v>
      </c>
      <c r="BV282" s="38">
        <f>SUM($AA259:BV259)*BV259</f>
        <v>0</v>
      </c>
      <c r="BX282" s="106"/>
      <c r="BY282" s="106"/>
      <c r="BZ282" s="106"/>
      <c r="CA282" s="106"/>
      <c r="CB282" s="106"/>
      <c r="CC282" s="106"/>
      <c r="CD282" s="106"/>
      <c r="CE282" s="106"/>
      <c r="CF282" s="106"/>
      <c r="CG282" s="106"/>
      <c r="CH282" s="106"/>
      <c r="CI282" s="106"/>
      <c r="CK282" s="11"/>
      <c r="CM282" s="11"/>
      <c r="EX282" s="10" t="str">
        <f t="shared" si="202"/>
        <v/>
      </c>
    </row>
    <row r="283" spans="1:154" x14ac:dyDescent="0.35">
      <c r="B283" t="str">
        <f ca="1">Loans!B$21</f>
        <v>Loan 9</v>
      </c>
      <c r="D283" s="51">
        <f>Loans!D$21</f>
        <v>0</v>
      </c>
      <c r="E283"/>
      <c r="V283" s="106"/>
      <c r="W283" s="106"/>
      <c r="X283" s="106"/>
      <c r="Y283" s="106"/>
      <c r="AA283" s="38">
        <f>SUM($AA260:AA260)*AA260</f>
        <v>0</v>
      </c>
      <c r="AB283" s="38">
        <f>SUM($AA260:AB260)*AB260</f>
        <v>0</v>
      </c>
      <c r="AC283" s="38">
        <f>SUM($AA260:AC260)*AC260</f>
        <v>0</v>
      </c>
      <c r="AD283" s="38">
        <f>SUM($AA260:AD260)*AD260</f>
        <v>0</v>
      </c>
      <c r="AE283" s="38">
        <f>SUM($AA260:AE260)*AE260</f>
        <v>0</v>
      </c>
      <c r="AF283" s="38">
        <f>SUM($AA260:AF260)*AF260</f>
        <v>0</v>
      </c>
      <c r="AG283" s="38">
        <f>SUM($AA260:AG260)*AG260</f>
        <v>0</v>
      </c>
      <c r="AH283" s="38">
        <f>SUM($AA260:AH260)*AH260</f>
        <v>0</v>
      </c>
      <c r="AI283" s="38">
        <f>SUM($AA260:AI260)*AI260</f>
        <v>0</v>
      </c>
      <c r="AJ283" s="38">
        <f>SUM($AA260:AJ260)*AJ260</f>
        <v>0</v>
      </c>
      <c r="AK283" s="38">
        <f>SUM($AA260:AK260)*AK260</f>
        <v>0</v>
      </c>
      <c r="AL283" s="38">
        <f>SUM($AA260:AL260)*AL260</f>
        <v>0</v>
      </c>
      <c r="AM283" s="38">
        <f>SUM($AA260:AM260)*AM260</f>
        <v>0</v>
      </c>
      <c r="AN283" s="38">
        <f>SUM($AA260:AN260)*AN260</f>
        <v>0</v>
      </c>
      <c r="AO283" s="38">
        <f>SUM($AA260:AO260)*AO260</f>
        <v>0</v>
      </c>
      <c r="AP283" s="38">
        <f>SUM($AA260:AP260)*AP260</f>
        <v>0</v>
      </c>
      <c r="AQ283" s="38">
        <f>SUM($AA260:AQ260)*AQ260</f>
        <v>0</v>
      </c>
      <c r="AR283" s="38">
        <f>SUM($AA260:AR260)*AR260</f>
        <v>0</v>
      </c>
      <c r="AS283" s="38">
        <f>SUM($AA260:AS260)*AS260</f>
        <v>0</v>
      </c>
      <c r="AT283" s="38">
        <f>SUM($AA260:AT260)*AT260</f>
        <v>0</v>
      </c>
      <c r="AU283" s="38">
        <f>SUM($AA260:AU260)*AU260</f>
        <v>0</v>
      </c>
      <c r="AV283" s="38">
        <f>SUM($AA260:AV260)*AV260</f>
        <v>0</v>
      </c>
      <c r="AW283" s="38">
        <f>SUM($AA260:AW260)*AW260</f>
        <v>0</v>
      </c>
      <c r="AX283" s="38">
        <f>SUM($AA260:AX260)*AX260</f>
        <v>0</v>
      </c>
      <c r="AY283" s="38">
        <f>SUM($AA260:AY260)*AY260</f>
        <v>0</v>
      </c>
      <c r="AZ283" s="38">
        <f>SUM($AA260:AZ260)*AZ260</f>
        <v>0</v>
      </c>
      <c r="BA283" s="38">
        <f>SUM($AA260:BA260)*BA260</f>
        <v>0</v>
      </c>
      <c r="BB283" s="38">
        <f>SUM($AA260:BB260)*BB260</f>
        <v>0</v>
      </c>
      <c r="BC283" s="38">
        <f>SUM($AA260:BC260)*BC260</f>
        <v>0</v>
      </c>
      <c r="BD283" s="38">
        <f>SUM($AA260:BD260)*BD260</f>
        <v>0</v>
      </c>
      <c r="BE283" s="38">
        <f>SUM($AA260:BE260)*BE260</f>
        <v>0</v>
      </c>
      <c r="BF283" s="38">
        <f>SUM($AA260:BF260)*BF260</f>
        <v>0</v>
      </c>
      <c r="BG283" s="38">
        <f>SUM($AA260:BG260)*BG260</f>
        <v>0</v>
      </c>
      <c r="BH283" s="38">
        <f>SUM($AA260:BH260)*BH260</f>
        <v>0</v>
      </c>
      <c r="BI283" s="38">
        <f>SUM($AA260:BI260)*BI260</f>
        <v>0</v>
      </c>
      <c r="BJ283" s="38">
        <f>SUM($AA260:BJ260)*BJ260</f>
        <v>0</v>
      </c>
      <c r="BK283" s="38">
        <f>SUM($AA260:BK260)*BK260</f>
        <v>0</v>
      </c>
      <c r="BL283" s="38">
        <f>SUM($AA260:BL260)*BL260</f>
        <v>0</v>
      </c>
      <c r="BM283" s="38">
        <f>SUM($AA260:BM260)*BM260</f>
        <v>0</v>
      </c>
      <c r="BN283" s="38">
        <f>SUM($AA260:BN260)*BN260</f>
        <v>0</v>
      </c>
      <c r="BO283" s="38">
        <f>SUM($AA260:BO260)*BO260</f>
        <v>0</v>
      </c>
      <c r="BP283" s="38">
        <f>SUM($AA260:BP260)*BP260</f>
        <v>0</v>
      </c>
      <c r="BQ283" s="38">
        <f>SUM($AA260:BQ260)*BQ260</f>
        <v>0</v>
      </c>
      <c r="BR283" s="38">
        <f>SUM($AA260:BR260)*BR260</f>
        <v>0</v>
      </c>
      <c r="BS283" s="38">
        <f>SUM($AA260:BS260)*BS260</f>
        <v>0</v>
      </c>
      <c r="BT283" s="38">
        <f>SUM($AA260:BT260)*BT260</f>
        <v>0</v>
      </c>
      <c r="BU283" s="38">
        <f>SUM($AA260:BU260)*BU260</f>
        <v>0</v>
      </c>
      <c r="BV283" s="38">
        <f>SUM($AA260:BV260)*BV260</f>
        <v>0</v>
      </c>
      <c r="BX283" s="106"/>
      <c r="BY283" s="106"/>
      <c r="BZ283" s="106"/>
      <c r="CA283" s="106"/>
      <c r="CB283" s="106"/>
      <c r="CC283" s="106"/>
      <c r="CD283" s="106"/>
      <c r="CE283" s="106"/>
      <c r="CF283" s="106"/>
      <c r="CG283" s="106"/>
      <c r="CH283" s="106"/>
      <c r="CI283" s="106"/>
      <c r="CK283" s="11"/>
      <c r="CM283" s="11"/>
      <c r="EX283" s="10" t="str">
        <f t="shared" si="202"/>
        <v/>
      </c>
    </row>
    <row r="284" spans="1:154" x14ac:dyDescent="0.35">
      <c r="B284" t="str">
        <f ca="1">Loans!B$22</f>
        <v>Loan 10</v>
      </c>
      <c r="D284" s="51">
        <f>Loans!D$22</f>
        <v>0</v>
      </c>
      <c r="E284"/>
      <c r="V284" s="106"/>
      <c r="W284" s="106"/>
      <c r="X284" s="106"/>
      <c r="Y284" s="106"/>
      <c r="AA284" s="38">
        <f>SUM($AA261:AA261)*AA261</f>
        <v>0</v>
      </c>
      <c r="AB284" s="38">
        <f>SUM($AA261:AB261)*AB261</f>
        <v>0</v>
      </c>
      <c r="AC284" s="38">
        <f>SUM($AA261:AC261)*AC261</f>
        <v>0</v>
      </c>
      <c r="AD284" s="38">
        <f>SUM($AA261:AD261)*AD261</f>
        <v>0</v>
      </c>
      <c r="AE284" s="38">
        <f>SUM($AA261:AE261)*AE261</f>
        <v>0</v>
      </c>
      <c r="AF284" s="38">
        <f>SUM($AA261:AF261)*AF261</f>
        <v>0</v>
      </c>
      <c r="AG284" s="38">
        <f>SUM($AA261:AG261)*AG261</f>
        <v>0</v>
      </c>
      <c r="AH284" s="38">
        <f>SUM($AA261:AH261)*AH261</f>
        <v>0</v>
      </c>
      <c r="AI284" s="38">
        <f>SUM($AA261:AI261)*AI261</f>
        <v>0</v>
      </c>
      <c r="AJ284" s="38">
        <f>SUM($AA261:AJ261)*AJ261</f>
        <v>0</v>
      </c>
      <c r="AK284" s="38">
        <f>SUM($AA261:AK261)*AK261</f>
        <v>0</v>
      </c>
      <c r="AL284" s="38">
        <f>SUM($AA261:AL261)*AL261</f>
        <v>0</v>
      </c>
      <c r="AM284" s="38">
        <f>SUM($AA261:AM261)*AM261</f>
        <v>0</v>
      </c>
      <c r="AN284" s="38">
        <f>SUM($AA261:AN261)*AN261</f>
        <v>0</v>
      </c>
      <c r="AO284" s="38">
        <f>SUM($AA261:AO261)*AO261</f>
        <v>0</v>
      </c>
      <c r="AP284" s="38">
        <f>SUM($AA261:AP261)*AP261</f>
        <v>0</v>
      </c>
      <c r="AQ284" s="38">
        <f>SUM($AA261:AQ261)*AQ261</f>
        <v>0</v>
      </c>
      <c r="AR284" s="38">
        <f>SUM($AA261:AR261)*AR261</f>
        <v>0</v>
      </c>
      <c r="AS284" s="38">
        <f>SUM($AA261:AS261)*AS261</f>
        <v>0</v>
      </c>
      <c r="AT284" s="38">
        <f>SUM($AA261:AT261)*AT261</f>
        <v>0</v>
      </c>
      <c r="AU284" s="38">
        <f>SUM($AA261:AU261)*AU261</f>
        <v>0</v>
      </c>
      <c r="AV284" s="38">
        <f>SUM($AA261:AV261)*AV261</f>
        <v>0</v>
      </c>
      <c r="AW284" s="38">
        <f>SUM($AA261:AW261)*AW261</f>
        <v>0</v>
      </c>
      <c r="AX284" s="38">
        <f>SUM($AA261:AX261)*AX261</f>
        <v>0</v>
      </c>
      <c r="AY284" s="38">
        <f>SUM($AA261:AY261)*AY261</f>
        <v>0</v>
      </c>
      <c r="AZ284" s="38">
        <f>SUM($AA261:AZ261)*AZ261</f>
        <v>0</v>
      </c>
      <c r="BA284" s="38">
        <f>SUM($AA261:BA261)*BA261</f>
        <v>0</v>
      </c>
      <c r="BB284" s="38">
        <f>SUM($AA261:BB261)*BB261</f>
        <v>0</v>
      </c>
      <c r="BC284" s="38">
        <f>SUM($AA261:BC261)*BC261</f>
        <v>0</v>
      </c>
      <c r="BD284" s="38">
        <f>SUM($AA261:BD261)*BD261</f>
        <v>0</v>
      </c>
      <c r="BE284" s="38">
        <f>SUM($AA261:BE261)*BE261</f>
        <v>0</v>
      </c>
      <c r="BF284" s="38">
        <f>SUM($AA261:BF261)*BF261</f>
        <v>0</v>
      </c>
      <c r="BG284" s="38">
        <f>SUM($AA261:BG261)*BG261</f>
        <v>0</v>
      </c>
      <c r="BH284" s="38">
        <f>SUM($AA261:BH261)*BH261</f>
        <v>0</v>
      </c>
      <c r="BI284" s="38">
        <f>SUM($AA261:BI261)*BI261</f>
        <v>0</v>
      </c>
      <c r="BJ284" s="38">
        <f>SUM($AA261:BJ261)*BJ261</f>
        <v>0</v>
      </c>
      <c r="BK284" s="38">
        <f>SUM($AA261:BK261)*BK261</f>
        <v>0</v>
      </c>
      <c r="BL284" s="38">
        <f>SUM($AA261:BL261)*BL261</f>
        <v>0</v>
      </c>
      <c r="BM284" s="38">
        <f>SUM($AA261:BM261)*BM261</f>
        <v>0</v>
      </c>
      <c r="BN284" s="38">
        <f>SUM($AA261:BN261)*BN261</f>
        <v>0</v>
      </c>
      <c r="BO284" s="38">
        <f>SUM($AA261:BO261)*BO261</f>
        <v>0</v>
      </c>
      <c r="BP284" s="38">
        <f>SUM($AA261:BP261)*BP261</f>
        <v>0</v>
      </c>
      <c r="BQ284" s="38">
        <f>SUM($AA261:BQ261)*BQ261</f>
        <v>0</v>
      </c>
      <c r="BR284" s="38">
        <f>SUM($AA261:BR261)*BR261</f>
        <v>0</v>
      </c>
      <c r="BS284" s="38">
        <f>SUM($AA261:BS261)*BS261</f>
        <v>0</v>
      </c>
      <c r="BT284" s="38">
        <f>SUM($AA261:BT261)*BT261</f>
        <v>0</v>
      </c>
      <c r="BU284" s="38">
        <f>SUM($AA261:BU261)*BU261</f>
        <v>0</v>
      </c>
      <c r="BV284" s="38">
        <f>SUM($AA261:BV261)*BV261</f>
        <v>0</v>
      </c>
      <c r="BX284" s="106"/>
      <c r="BY284" s="106"/>
      <c r="BZ284" s="106"/>
      <c r="CA284" s="106"/>
      <c r="CB284" s="106"/>
      <c r="CC284" s="106"/>
      <c r="CD284" s="106"/>
      <c r="CE284" s="106"/>
      <c r="CF284" s="106"/>
      <c r="CG284" s="106"/>
      <c r="CH284" s="106"/>
      <c r="CI284" s="106"/>
      <c r="CK284" s="11"/>
      <c r="CM284" s="11"/>
      <c r="EX284" s="10" t="str">
        <f t="shared" si="202"/>
        <v/>
      </c>
    </row>
    <row r="285" spans="1:154" x14ac:dyDescent="0.35">
      <c r="B285" t="str">
        <f ca="1">Loans!B$23</f>
        <v>Loan 11</v>
      </c>
      <c r="D285" s="51">
        <f>Loans!D$23</f>
        <v>0</v>
      </c>
      <c r="E285"/>
      <c r="V285" s="106"/>
      <c r="W285" s="106"/>
      <c r="X285" s="106"/>
      <c r="Y285" s="106"/>
      <c r="AA285" s="38">
        <f>SUM($AA262:AA262)*AA262</f>
        <v>0</v>
      </c>
      <c r="AB285" s="38">
        <f>SUM($AA262:AB262)*AB262</f>
        <v>0</v>
      </c>
      <c r="AC285" s="38">
        <f>SUM($AA262:AC262)*AC262</f>
        <v>0</v>
      </c>
      <c r="AD285" s="38">
        <f>SUM($AA262:AD262)*AD262</f>
        <v>0</v>
      </c>
      <c r="AE285" s="38">
        <f>SUM($AA262:AE262)*AE262</f>
        <v>0</v>
      </c>
      <c r="AF285" s="38">
        <f>SUM($AA262:AF262)*AF262</f>
        <v>0</v>
      </c>
      <c r="AG285" s="38">
        <f>SUM($AA262:AG262)*AG262</f>
        <v>0</v>
      </c>
      <c r="AH285" s="38">
        <f>SUM($AA262:AH262)*AH262</f>
        <v>0</v>
      </c>
      <c r="AI285" s="38">
        <f>SUM($AA262:AI262)*AI262</f>
        <v>0</v>
      </c>
      <c r="AJ285" s="38">
        <f>SUM($AA262:AJ262)*AJ262</f>
        <v>0</v>
      </c>
      <c r="AK285" s="38">
        <f>SUM($AA262:AK262)*AK262</f>
        <v>0</v>
      </c>
      <c r="AL285" s="38">
        <f>SUM($AA262:AL262)*AL262</f>
        <v>0</v>
      </c>
      <c r="AM285" s="38">
        <f>SUM($AA262:AM262)*AM262</f>
        <v>0</v>
      </c>
      <c r="AN285" s="38">
        <f>SUM($AA262:AN262)*AN262</f>
        <v>0</v>
      </c>
      <c r="AO285" s="38">
        <f>SUM($AA262:AO262)*AO262</f>
        <v>0</v>
      </c>
      <c r="AP285" s="38">
        <f>SUM($AA262:AP262)*AP262</f>
        <v>0</v>
      </c>
      <c r="AQ285" s="38">
        <f>SUM($AA262:AQ262)*AQ262</f>
        <v>0</v>
      </c>
      <c r="AR285" s="38">
        <f>SUM($AA262:AR262)*AR262</f>
        <v>0</v>
      </c>
      <c r="AS285" s="38">
        <f>SUM($AA262:AS262)*AS262</f>
        <v>0</v>
      </c>
      <c r="AT285" s="38">
        <f>SUM($AA262:AT262)*AT262</f>
        <v>0</v>
      </c>
      <c r="AU285" s="38">
        <f>SUM($AA262:AU262)*AU262</f>
        <v>0</v>
      </c>
      <c r="AV285" s="38">
        <f>SUM($AA262:AV262)*AV262</f>
        <v>0</v>
      </c>
      <c r="AW285" s="38">
        <f>SUM($AA262:AW262)*AW262</f>
        <v>0</v>
      </c>
      <c r="AX285" s="38">
        <f>SUM($AA262:AX262)*AX262</f>
        <v>0</v>
      </c>
      <c r="AY285" s="38">
        <f>SUM($AA262:AY262)*AY262</f>
        <v>0</v>
      </c>
      <c r="AZ285" s="38">
        <f>SUM($AA262:AZ262)*AZ262</f>
        <v>0</v>
      </c>
      <c r="BA285" s="38">
        <f>SUM($AA262:BA262)*BA262</f>
        <v>0</v>
      </c>
      <c r="BB285" s="38">
        <f>SUM($AA262:BB262)*BB262</f>
        <v>0</v>
      </c>
      <c r="BC285" s="38">
        <f>SUM($AA262:BC262)*BC262</f>
        <v>0</v>
      </c>
      <c r="BD285" s="38">
        <f>SUM($AA262:BD262)*BD262</f>
        <v>0</v>
      </c>
      <c r="BE285" s="38">
        <f>SUM($AA262:BE262)*BE262</f>
        <v>0</v>
      </c>
      <c r="BF285" s="38">
        <f>SUM($AA262:BF262)*BF262</f>
        <v>0</v>
      </c>
      <c r="BG285" s="38">
        <f>SUM($AA262:BG262)*BG262</f>
        <v>0</v>
      </c>
      <c r="BH285" s="38">
        <f>SUM($AA262:BH262)*BH262</f>
        <v>0</v>
      </c>
      <c r="BI285" s="38">
        <f>SUM($AA262:BI262)*BI262</f>
        <v>0</v>
      </c>
      <c r="BJ285" s="38">
        <f>SUM($AA262:BJ262)*BJ262</f>
        <v>0</v>
      </c>
      <c r="BK285" s="38">
        <f>SUM($AA262:BK262)*BK262</f>
        <v>0</v>
      </c>
      <c r="BL285" s="38">
        <f>SUM($AA262:BL262)*BL262</f>
        <v>0</v>
      </c>
      <c r="BM285" s="38">
        <f>SUM($AA262:BM262)*BM262</f>
        <v>0</v>
      </c>
      <c r="BN285" s="38">
        <f>SUM($AA262:BN262)*BN262</f>
        <v>0</v>
      </c>
      <c r="BO285" s="38">
        <f>SUM($AA262:BO262)*BO262</f>
        <v>0</v>
      </c>
      <c r="BP285" s="38">
        <f>SUM($AA262:BP262)*BP262</f>
        <v>0</v>
      </c>
      <c r="BQ285" s="38">
        <f>SUM($AA262:BQ262)*BQ262</f>
        <v>0</v>
      </c>
      <c r="BR285" s="38">
        <f>SUM($AA262:BR262)*BR262</f>
        <v>0</v>
      </c>
      <c r="BS285" s="38">
        <f>SUM($AA262:BS262)*BS262</f>
        <v>0</v>
      </c>
      <c r="BT285" s="38">
        <f>SUM($AA262:BT262)*BT262</f>
        <v>0</v>
      </c>
      <c r="BU285" s="38">
        <f>SUM($AA262:BU262)*BU262</f>
        <v>0</v>
      </c>
      <c r="BV285" s="38">
        <f>SUM($AA262:BV262)*BV262</f>
        <v>0</v>
      </c>
      <c r="BX285" s="106"/>
      <c r="BY285" s="106"/>
      <c r="BZ285" s="106"/>
      <c r="CA285" s="106"/>
      <c r="CB285" s="106"/>
      <c r="CC285" s="106"/>
      <c r="CD285" s="106"/>
      <c r="CE285" s="106"/>
      <c r="CF285" s="106"/>
      <c r="CG285" s="106"/>
      <c r="CH285" s="106"/>
      <c r="CI285" s="106"/>
      <c r="CK285" s="11"/>
      <c r="CM285" s="11"/>
      <c r="EX285" s="10" t="str">
        <f t="shared" si="202"/>
        <v/>
      </c>
    </row>
    <row r="286" spans="1:154" x14ac:dyDescent="0.35">
      <c r="B286" t="str">
        <f ca="1">Loans!B$24</f>
        <v>Loan 12</v>
      </c>
      <c r="D286" s="51">
        <f>Loans!D$24</f>
        <v>0</v>
      </c>
      <c r="E286"/>
      <c r="V286" s="106"/>
      <c r="W286" s="106"/>
      <c r="X286" s="106"/>
      <c r="Y286" s="106"/>
      <c r="AA286" s="38">
        <f>SUM($AA263:AA263)*AA263</f>
        <v>0</v>
      </c>
      <c r="AB286" s="38">
        <f>SUM($AA263:AB263)*AB263</f>
        <v>0</v>
      </c>
      <c r="AC286" s="38">
        <f>SUM($AA263:AC263)*AC263</f>
        <v>0</v>
      </c>
      <c r="AD286" s="38">
        <f>SUM($AA263:AD263)*AD263</f>
        <v>0</v>
      </c>
      <c r="AE286" s="38">
        <f>SUM($AA263:AE263)*AE263</f>
        <v>0</v>
      </c>
      <c r="AF286" s="38">
        <f>SUM($AA263:AF263)*AF263</f>
        <v>0</v>
      </c>
      <c r="AG286" s="38">
        <f>SUM($AA263:AG263)*AG263</f>
        <v>0</v>
      </c>
      <c r="AH286" s="38">
        <f>SUM($AA263:AH263)*AH263</f>
        <v>0</v>
      </c>
      <c r="AI286" s="38">
        <f>SUM($AA263:AI263)*AI263</f>
        <v>0</v>
      </c>
      <c r="AJ286" s="38">
        <f>SUM($AA263:AJ263)*AJ263</f>
        <v>0</v>
      </c>
      <c r="AK286" s="38">
        <f>SUM($AA263:AK263)*AK263</f>
        <v>0</v>
      </c>
      <c r="AL286" s="38">
        <f>SUM($AA263:AL263)*AL263</f>
        <v>0</v>
      </c>
      <c r="AM286" s="38">
        <f>SUM($AA263:AM263)*AM263</f>
        <v>0</v>
      </c>
      <c r="AN286" s="38">
        <f>SUM($AA263:AN263)*AN263</f>
        <v>0</v>
      </c>
      <c r="AO286" s="38">
        <f>SUM($AA263:AO263)*AO263</f>
        <v>0</v>
      </c>
      <c r="AP286" s="38">
        <f>SUM($AA263:AP263)*AP263</f>
        <v>0</v>
      </c>
      <c r="AQ286" s="38">
        <f>SUM($AA263:AQ263)*AQ263</f>
        <v>0</v>
      </c>
      <c r="AR286" s="38">
        <f>SUM($AA263:AR263)*AR263</f>
        <v>0</v>
      </c>
      <c r="AS286" s="38">
        <f>SUM($AA263:AS263)*AS263</f>
        <v>0</v>
      </c>
      <c r="AT286" s="38">
        <f>SUM($AA263:AT263)*AT263</f>
        <v>0</v>
      </c>
      <c r="AU286" s="38">
        <f>SUM($AA263:AU263)*AU263</f>
        <v>0</v>
      </c>
      <c r="AV286" s="38">
        <f>SUM($AA263:AV263)*AV263</f>
        <v>0</v>
      </c>
      <c r="AW286" s="38">
        <f>SUM($AA263:AW263)*AW263</f>
        <v>0</v>
      </c>
      <c r="AX286" s="38">
        <f>SUM($AA263:AX263)*AX263</f>
        <v>0</v>
      </c>
      <c r="AY286" s="38">
        <f>SUM($AA263:AY263)*AY263</f>
        <v>0</v>
      </c>
      <c r="AZ286" s="38">
        <f>SUM($AA263:AZ263)*AZ263</f>
        <v>0</v>
      </c>
      <c r="BA286" s="38">
        <f>SUM($AA263:BA263)*BA263</f>
        <v>0</v>
      </c>
      <c r="BB286" s="38">
        <f>SUM($AA263:BB263)*BB263</f>
        <v>0</v>
      </c>
      <c r="BC286" s="38">
        <f>SUM($AA263:BC263)*BC263</f>
        <v>0</v>
      </c>
      <c r="BD286" s="38">
        <f>SUM($AA263:BD263)*BD263</f>
        <v>0</v>
      </c>
      <c r="BE286" s="38">
        <f>SUM($AA263:BE263)*BE263</f>
        <v>0</v>
      </c>
      <c r="BF286" s="38">
        <f>SUM($AA263:BF263)*BF263</f>
        <v>0</v>
      </c>
      <c r="BG286" s="38">
        <f>SUM($AA263:BG263)*BG263</f>
        <v>0</v>
      </c>
      <c r="BH286" s="38">
        <f>SUM($AA263:BH263)*BH263</f>
        <v>0</v>
      </c>
      <c r="BI286" s="38">
        <f>SUM($AA263:BI263)*BI263</f>
        <v>0</v>
      </c>
      <c r="BJ286" s="38">
        <f>SUM($AA263:BJ263)*BJ263</f>
        <v>0</v>
      </c>
      <c r="BK286" s="38">
        <f>SUM($AA263:BK263)*BK263</f>
        <v>0</v>
      </c>
      <c r="BL286" s="38">
        <f>SUM($AA263:BL263)*BL263</f>
        <v>0</v>
      </c>
      <c r="BM286" s="38">
        <f>SUM($AA263:BM263)*BM263</f>
        <v>0</v>
      </c>
      <c r="BN286" s="38">
        <f>SUM($AA263:BN263)*BN263</f>
        <v>0</v>
      </c>
      <c r="BO286" s="38">
        <f>SUM($AA263:BO263)*BO263</f>
        <v>0</v>
      </c>
      <c r="BP286" s="38">
        <f>SUM($AA263:BP263)*BP263</f>
        <v>0</v>
      </c>
      <c r="BQ286" s="38">
        <f>SUM($AA263:BQ263)*BQ263</f>
        <v>0</v>
      </c>
      <c r="BR286" s="38">
        <f>SUM($AA263:BR263)*BR263</f>
        <v>0</v>
      </c>
      <c r="BS286" s="38">
        <f>SUM($AA263:BS263)*BS263</f>
        <v>0</v>
      </c>
      <c r="BT286" s="38">
        <f>SUM($AA263:BT263)*BT263</f>
        <v>0</v>
      </c>
      <c r="BU286" s="38">
        <f>SUM($AA263:BU263)*BU263</f>
        <v>0</v>
      </c>
      <c r="BV286" s="38">
        <f>SUM($AA263:BV263)*BV263</f>
        <v>0</v>
      </c>
      <c r="BX286" s="106"/>
      <c r="BY286" s="106"/>
      <c r="BZ286" s="106"/>
      <c r="CA286" s="106"/>
      <c r="CB286" s="106"/>
      <c r="CC286" s="106"/>
      <c r="CD286" s="106"/>
      <c r="CE286" s="106"/>
      <c r="CF286" s="106"/>
      <c r="CG286" s="106"/>
      <c r="CH286" s="106"/>
      <c r="CI286" s="106"/>
      <c r="CK286" s="11"/>
      <c r="CM286" s="11"/>
      <c r="EX286" s="10" t="str">
        <f t="shared" si="202"/>
        <v/>
      </c>
    </row>
    <row r="287" spans="1:154" x14ac:dyDescent="0.35">
      <c r="B287" t="str">
        <f ca="1">Loans!B$25</f>
        <v>Loan 13</v>
      </c>
      <c r="D287" s="51">
        <f>Loans!D$25</f>
        <v>0</v>
      </c>
      <c r="E287"/>
      <c r="V287" s="106"/>
      <c r="W287" s="106"/>
      <c r="X287" s="106"/>
      <c r="Y287" s="106"/>
      <c r="AA287" s="38">
        <f>SUM($AA264:AA264)*AA264</f>
        <v>0</v>
      </c>
      <c r="AB287" s="38">
        <f>SUM($AA264:AB264)*AB264</f>
        <v>0</v>
      </c>
      <c r="AC287" s="38">
        <f>SUM($AA264:AC264)*AC264</f>
        <v>0</v>
      </c>
      <c r="AD287" s="38">
        <f>SUM($AA264:AD264)*AD264</f>
        <v>0</v>
      </c>
      <c r="AE287" s="38">
        <f>SUM($AA264:AE264)*AE264</f>
        <v>0</v>
      </c>
      <c r="AF287" s="38">
        <f>SUM($AA264:AF264)*AF264</f>
        <v>0</v>
      </c>
      <c r="AG287" s="38">
        <f>SUM($AA264:AG264)*AG264</f>
        <v>0</v>
      </c>
      <c r="AH287" s="38">
        <f>SUM($AA264:AH264)*AH264</f>
        <v>0</v>
      </c>
      <c r="AI287" s="38">
        <f>SUM($AA264:AI264)*AI264</f>
        <v>0</v>
      </c>
      <c r="AJ287" s="38">
        <f>SUM($AA264:AJ264)*AJ264</f>
        <v>0</v>
      </c>
      <c r="AK287" s="38">
        <f>SUM($AA264:AK264)*AK264</f>
        <v>0</v>
      </c>
      <c r="AL287" s="38">
        <f>SUM($AA264:AL264)*AL264</f>
        <v>0</v>
      </c>
      <c r="AM287" s="38">
        <f>SUM($AA264:AM264)*AM264</f>
        <v>0</v>
      </c>
      <c r="AN287" s="38">
        <f>SUM($AA264:AN264)*AN264</f>
        <v>0</v>
      </c>
      <c r="AO287" s="38">
        <f>SUM($AA264:AO264)*AO264</f>
        <v>0</v>
      </c>
      <c r="AP287" s="38">
        <f>SUM($AA264:AP264)*AP264</f>
        <v>0</v>
      </c>
      <c r="AQ287" s="38">
        <f>SUM($AA264:AQ264)*AQ264</f>
        <v>0</v>
      </c>
      <c r="AR287" s="38">
        <f>SUM($AA264:AR264)*AR264</f>
        <v>0</v>
      </c>
      <c r="AS287" s="38">
        <f>SUM($AA264:AS264)*AS264</f>
        <v>0</v>
      </c>
      <c r="AT287" s="38">
        <f>SUM($AA264:AT264)*AT264</f>
        <v>0</v>
      </c>
      <c r="AU287" s="38">
        <f>SUM($AA264:AU264)*AU264</f>
        <v>0</v>
      </c>
      <c r="AV287" s="38">
        <f>SUM($AA264:AV264)*AV264</f>
        <v>0</v>
      </c>
      <c r="AW287" s="38">
        <f>SUM($AA264:AW264)*AW264</f>
        <v>0</v>
      </c>
      <c r="AX287" s="38">
        <f>SUM($AA264:AX264)*AX264</f>
        <v>0</v>
      </c>
      <c r="AY287" s="38">
        <f>SUM($AA264:AY264)*AY264</f>
        <v>0</v>
      </c>
      <c r="AZ287" s="38">
        <f>SUM($AA264:AZ264)*AZ264</f>
        <v>0</v>
      </c>
      <c r="BA287" s="38">
        <f>SUM($AA264:BA264)*BA264</f>
        <v>0</v>
      </c>
      <c r="BB287" s="38">
        <f>SUM($AA264:BB264)*BB264</f>
        <v>0</v>
      </c>
      <c r="BC287" s="38">
        <f>SUM($AA264:BC264)*BC264</f>
        <v>0</v>
      </c>
      <c r="BD287" s="38">
        <f>SUM($AA264:BD264)*BD264</f>
        <v>0</v>
      </c>
      <c r="BE287" s="38">
        <f>SUM($AA264:BE264)*BE264</f>
        <v>0</v>
      </c>
      <c r="BF287" s="38">
        <f>SUM($AA264:BF264)*BF264</f>
        <v>0</v>
      </c>
      <c r="BG287" s="38">
        <f>SUM($AA264:BG264)*BG264</f>
        <v>0</v>
      </c>
      <c r="BH287" s="38">
        <f>SUM($AA264:BH264)*BH264</f>
        <v>0</v>
      </c>
      <c r="BI287" s="38">
        <f>SUM($AA264:BI264)*BI264</f>
        <v>0</v>
      </c>
      <c r="BJ287" s="38">
        <f>SUM($AA264:BJ264)*BJ264</f>
        <v>0</v>
      </c>
      <c r="BK287" s="38">
        <f>SUM($AA264:BK264)*BK264</f>
        <v>0</v>
      </c>
      <c r="BL287" s="38">
        <f>SUM($AA264:BL264)*BL264</f>
        <v>0</v>
      </c>
      <c r="BM287" s="38">
        <f>SUM($AA264:BM264)*BM264</f>
        <v>0</v>
      </c>
      <c r="BN287" s="38">
        <f>SUM($AA264:BN264)*BN264</f>
        <v>0</v>
      </c>
      <c r="BO287" s="38">
        <f>SUM($AA264:BO264)*BO264</f>
        <v>0</v>
      </c>
      <c r="BP287" s="38">
        <f>SUM($AA264:BP264)*BP264</f>
        <v>0</v>
      </c>
      <c r="BQ287" s="38">
        <f>SUM($AA264:BQ264)*BQ264</f>
        <v>0</v>
      </c>
      <c r="BR287" s="38">
        <f>SUM($AA264:BR264)*BR264</f>
        <v>0</v>
      </c>
      <c r="BS287" s="38">
        <f>SUM($AA264:BS264)*BS264</f>
        <v>0</v>
      </c>
      <c r="BT287" s="38">
        <f>SUM($AA264:BT264)*BT264</f>
        <v>0</v>
      </c>
      <c r="BU287" s="38">
        <f>SUM($AA264:BU264)*BU264</f>
        <v>0</v>
      </c>
      <c r="BV287" s="38">
        <f>SUM($AA264:BV264)*BV264</f>
        <v>0</v>
      </c>
      <c r="BX287" s="106"/>
      <c r="BY287" s="106"/>
      <c r="BZ287" s="106"/>
      <c r="CA287" s="106"/>
      <c r="CB287" s="106"/>
      <c r="CC287" s="106"/>
      <c r="CD287" s="106"/>
      <c r="CE287" s="106"/>
      <c r="CF287" s="106"/>
      <c r="CG287" s="106"/>
      <c r="CH287" s="106"/>
      <c r="CI287" s="106"/>
      <c r="CK287" s="11"/>
      <c r="CM287" s="11"/>
      <c r="EX287" s="10" t="str">
        <f t="shared" si="202"/>
        <v/>
      </c>
    </row>
    <row r="288" spans="1:154" x14ac:dyDescent="0.35">
      <c r="B288" t="str">
        <f ca="1">Loans!B$26</f>
        <v>Loan 14</v>
      </c>
      <c r="D288" s="51">
        <f>Loans!D$26</f>
        <v>0</v>
      </c>
      <c r="E288"/>
      <c r="V288" s="106"/>
      <c r="W288" s="106"/>
      <c r="X288" s="106"/>
      <c r="Y288" s="106"/>
      <c r="AA288" s="38">
        <f>SUM($AA265:AA265)*AA265</f>
        <v>0</v>
      </c>
      <c r="AB288" s="38">
        <f>SUM($AA265:AB265)*AB265</f>
        <v>0</v>
      </c>
      <c r="AC288" s="38">
        <f>SUM($AA265:AC265)*AC265</f>
        <v>0</v>
      </c>
      <c r="AD288" s="38">
        <f>SUM($AA265:AD265)*AD265</f>
        <v>0</v>
      </c>
      <c r="AE288" s="38">
        <f>SUM($AA265:AE265)*AE265</f>
        <v>0</v>
      </c>
      <c r="AF288" s="38">
        <f>SUM($AA265:AF265)*AF265</f>
        <v>0</v>
      </c>
      <c r="AG288" s="38">
        <f>SUM($AA265:AG265)*AG265</f>
        <v>0</v>
      </c>
      <c r="AH288" s="38">
        <f>SUM($AA265:AH265)*AH265</f>
        <v>0</v>
      </c>
      <c r="AI288" s="38">
        <f>SUM($AA265:AI265)*AI265</f>
        <v>0</v>
      </c>
      <c r="AJ288" s="38">
        <f>SUM($AA265:AJ265)*AJ265</f>
        <v>0</v>
      </c>
      <c r="AK288" s="38">
        <f>SUM($AA265:AK265)*AK265</f>
        <v>0</v>
      </c>
      <c r="AL288" s="38">
        <f>SUM($AA265:AL265)*AL265</f>
        <v>0</v>
      </c>
      <c r="AM288" s="38">
        <f>SUM($AA265:AM265)*AM265</f>
        <v>0</v>
      </c>
      <c r="AN288" s="38">
        <f>SUM($AA265:AN265)*AN265</f>
        <v>0</v>
      </c>
      <c r="AO288" s="38">
        <f>SUM($AA265:AO265)*AO265</f>
        <v>0</v>
      </c>
      <c r="AP288" s="38">
        <f>SUM($AA265:AP265)*AP265</f>
        <v>0</v>
      </c>
      <c r="AQ288" s="38">
        <f>SUM($AA265:AQ265)*AQ265</f>
        <v>0</v>
      </c>
      <c r="AR288" s="38">
        <f>SUM($AA265:AR265)*AR265</f>
        <v>0</v>
      </c>
      <c r="AS288" s="38">
        <f>SUM($AA265:AS265)*AS265</f>
        <v>0</v>
      </c>
      <c r="AT288" s="38">
        <f>SUM($AA265:AT265)*AT265</f>
        <v>0</v>
      </c>
      <c r="AU288" s="38">
        <f>SUM($AA265:AU265)*AU265</f>
        <v>0</v>
      </c>
      <c r="AV288" s="38">
        <f>SUM($AA265:AV265)*AV265</f>
        <v>0</v>
      </c>
      <c r="AW288" s="38">
        <f>SUM($AA265:AW265)*AW265</f>
        <v>0</v>
      </c>
      <c r="AX288" s="38">
        <f>SUM($AA265:AX265)*AX265</f>
        <v>0</v>
      </c>
      <c r="AY288" s="38">
        <f>SUM($AA265:AY265)*AY265</f>
        <v>0</v>
      </c>
      <c r="AZ288" s="38">
        <f>SUM($AA265:AZ265)*AZ265</f>
        <v>0</v>
      </c>
      <c r="BA288" s="38">
        <f>SUM($AA265:BA265)*BA265</f>
        <v>0</v>
      </c>
      <c r="BB288" s="38">
        <f>SUM($AA265:BB265)*BB265</f>
        <v>0</v>
      </c>
      <c r="BC288" s="38">
        <f>SUM($AA265:BC265)*BC265</f>
        <v>0</v>
      </c>
      <c r="BD288" s="38">
        <f>SUM($AA265:BD265)*BD265</f>
        <v>0</v>
      </c>
      <c r="BE288" s="38">
        <f>SUM($AA265:BE265)*BE265</f>
        <v>0</v>
      </c>
      <c r="BF288" s="38">
        <f>SUM($AA265:BF265)*BF265</f>
        <v>0</v>
      </c>
      <c r="BG288" s="38">
        <f>SUM($AA265:BG265)*BG265</f>
        <v>0</v>
      </c>
      <c r="BH288" s="38">
        <f>SUM($AA265:BH265)*BH265</f>
        <v>0</v>
      </c>
      <c r="BI288" s="38">
        <f>SUM($AA265:BI265)*BI265</f>
        <v>0</v>
      </c>
      <c r="BJ288" s="38">
        <f>SUM($AA265:BJ265)*BJ265</f>
        <v>0</v>
      </c>
      <c r="BK288" s="38">
        <f>SUM($AA265:BK265)*BK265</f>
        <v>0</v>
      </c>
      <c r="BL288" s="38">
        <f>SUM($AA265:BL265)*BL265</f>
        <v>0</v>
      </c>
      <c r="BM288" s="38">
        <f>SUM($AA265:BM265)*BM265</f>
        <v>0</v>
      </c>
      <c r="BN288" s="38">
        <f>SUM($AA265:BN265)*BN265</f>
        <v>0</v>
      </c>
      <c r="BO288" s="38">
        <f>SUM($AA265:BO265)*BO265</f>
        <v>0</v>
      </c>
      <c r="BP288" s="38">
        <f>SUM($AA265:BP265)*BP265</f>
        <v>0</v>
      </c>
      <c r="BQ288" s="38">
        <f>SUM($AA265:BQ265)*BQ265</f>
        <v>0</v>
      </c>
      <c r="BR288" s="38">
        <f>SUM($AA265:BR265)*BR265</f>
        <v>0</v>
      </c>
      <c r="BS288" s="38">
        <f>SUM($AA265:BS265)*BS265</f>
        <v>0</v>
      </c>
      <c r="BT288" s="38">
        <f>SUM($AA265:BT265)*BT265</f>
        <v>0</v>
      </c>
      <c r="BU288" s="38">
        <f>SUM($AA265:BU265)*BU265</f>
        <v>0</v>
      </c>
      <c r="BV288" s="38">
        <f>SUM($AA265:BV265)*BV265</f>
        <v>0</v>
      </c>
      <c r="BX288" s="106"/>
      <c r="BY288" s="106"/>
      <c r="BZ288" s="106"/>
      <c r="CA288" s="106"/>
      <c r="CB288" s="106"/>
      <c r="CC288" s="106"/>
      <c r="CD288" s="106"/>
      <c r="CE288" s="106"/>
      <c r="CF288" s="106"/>
      <c r="CG288" s="106"/>
      <c r="CH288" s="106"/>
      <c r="CI288" s="106"/>
      <c r="CK288" s="11"/>
      <c r="CM288" s="11"/>
      <c r="EX288" s="10" t="str">
        <f t="shared" si="202"/>
        <v/>
      </c>
    </row>
    <row r="289" spans="1:154" x14ac:dyDescent="0.35">
      <c r="B289" t="str">
        <f ca="1">Loans!B$27</f>
        <v>Loan 15</v>
      </c>
      <c r="D289" s="51">
        <f>Loans!D$27</f>
        <v>0</v>
      </c>
      <c r="E289"/>
      <c r="V289" s="106"/>
      <c r="W289" s="106"/>
      <c r="X289" s="106"/>
      <c r="Y289" s="106"/>
      <c r="AA289" s="38">
        <f>SUM($AA266:AA266)*AA266</f>
        <v>0</v>
      </c>
      <c r="AB289" s="38">
        <f>SUM($AA266:AB266)*AB266</f>
        <v>0</v>
      </c>
      <c r="AC289" s="38">
        <f>SUM($AA266:AC266)*AC266</f>
        <v>0</v>
      </c>
      <c r="AD289" s="38">
        <f>SUM($AA266:AD266)*AD266</f>
        <v>0</v>
      </c>
      <c r="AE289" s="38">
        <f>SUM($AA266:AE266)*AE266</f>
        <v>0</v>
      </c>
      <c r="AF289" s="38">
        <f>SUM($AA266:AF266)*AF266</f>
        <v>0</v>
      </c>
      <c r="AG289" s="38">
        <f>SUM($AA266:AG266)*AG266</f>
        <v>0</v>
      </c>
      <c r="AH289" s="38">
        <f>SUM($AA266:AH266)*AH266</f>
        <v>0</v>
      </c>
      <c r="AI289" s="38">
        <f>SUM($AA266:AI266)*AI266</f>
        <v>0</v>
      </c>
      <c r="AJ289" s="38">
        <f>SUM($AA266:AJ266)*AJ266</f>
        <v>0</v>
      </c>
      <c r="AK289" s="38">
        <f>SUM($AA266:AK266)*AK266</f>
        <v>0</v>
      </c>
      <c r="AL289" s="38">
        <f>SUM($AA266:AL266)*AL266</f>
        <v>0</v>
      </c>
      <c r="AM289" s="38">
        <f>SUM($AA266:AM266)*AM266</f>
        <v>0</v>
      </c>
      <c r="AN289" s="38">
        <f>SUM($AA266:AN266)*AN266</f>
        <v>0</v>
      </c>
      <c r="AO289" s="38">
        <f>SUM($AA266:AO266)*AO266</f>
        <v>0</v>
      </c>
      <c r="AP289" s="38">
        <f>SUM($AA266:AP266)*AP266</f>
        <v>0</v>
      </c>
      <c r="AQ289" s="38">
        <f>SUM($AA266:AQ266)*AQ266</f>
        <v>0</v>
      </c>
      <c r="AR289" s="38">
        <f>SUM($AA266:AR266)*AR266</f>
        <v>0</v>
      </c>
      <c r="AS289" s="38">
        <f>SUM($AA266:AS266)*AS266</f>
        <v>0</v>
      </c>
      <c r="AT289" s="38">
        <f>SUM($AA266:AT266)*AT266</f>
        <v>0</v>
      </c>
      <c r="AU289" s="38">
        <f>SUM($AA266:AU266)*AU266</f>
        <v>0</v>
      </c>
      <c r="AV289" s="38">
        <f>SUM($AA266:AV266)*AV266</f>
        <v>0</v>
      </c>
      <c r="AW289" s="38">
        <f>SUM($AA266:AW266)*AW266</f>
        <v>0</v>
      </c>
      <c r="AX289" s="38">
        <f>SUM($AA266:AX266)*AX266</f>
        <v>0</v>
      </c>
      <c r="AY289" s="38">
        <f>SUM($AA266:AY266)*AY266</f>
        <v>0</v>
      </c>
      <c r="AZ289" s="38">
        <f>SUM($AA266:AZ266)*AZ266</f>
        <v>0</v>
      </c>
      <c r="BA289" s="38">
        <f>SUM($AA266:BA266)*BA266</f>
        <v>0</v>
      </c>
      <c r="BB289" s="38">
        <f>SUM($AA266:BB266)*BB266</f>
        <v>0</v>
      </c>
      <c r="BC289" s="38">
        <f>SUM($AA266:BC266)*BC266</f>
        <v>0</v>
      </c>
      <c r="BD289" s="38">
        <f>SUM($AA266:BD266)*BD266</f>
        <v>0</v>
      </c>
      <c r="BE289" s="38">
        <f>SUM($AA266:BE266)*BE266</f>
        <v>0</v>
      </c>
      <c r="BF289" s="38">
        <f>SUM($AA266:BF266)*BF266</f>
        <v>0</v>
      </c>
      <c r="BG289" s="38">
        <f>SUM($AA266:BG266)*BG266</f>
        <v>0</v>
      </c>
      <c r="BH289" s="38">
        <f>SUM($AA266:BH266)*BH266</f>
        <v>0</v>
      </c>
      <c r="BI289" s="38">
        <f>SUM($AA266:BI266)*BI266</f>
        <v>0</v>
      </c>
      <c r="BJ289" s="38">
        <f>SUM($AA266:BJ266)*BJ266</f>
        <v>0</v>
      </c>
      <c r="BK289" s="38">
        <f>SUM($AA266:BK266)*BK266</f>
        <v>0</v>
      </c>
      <c r="BL289" s="38">
        <f>SUM($AA266:BL266)*BL266</f>
        <v>0</v>
      </c>
      <c r="BM289" s="38">
        <f>SUM($AA266:BM266)*BM266</f>
        <v>0</v>
      </c>
      <c r="BN289" s="38">
        <f>SUM($AA266:BN266)*BN266</f>
        <v>0</v>
      </c>
      <c r="BO289" s="38">
        <f>SUM($AA266:BO266)*BO266</f>
        <v>0</v>
      </c>
      <c r="BP289" s="38">
        <f>SUM($AA266:BP266)*BP266</f>
        <v>0</v>
      </c>
      <c r="BQ289" s="38">
        <f>SUM($AA266:BQ266)*BQ266</f>
        <v>0</v>
      </c>
      <c r="BR289" s="38">
        <f>SUM($AA266:BR266)*BR266</f>
        <v>0</v>
      </c>
      <c r="BS289" s="38">
        <f>SUM($AA266:BS266)*BS266</f>
        <v>0</v>
      </c>
      <c r="BT289" s="38">
        <f>SUM($AA266:BT266)*BT266</f>
        <v>0</v>
      </c>
      <c r="BU289" s="38">
        <f>SUM($AA266:BU266)*BU266</f>
        <v>0</v>
      </c>
      <c r="BV289" s="38">
        <f>SUM($AA266:BV266)*BV266</f>
        <v>0</v>
      </c>
      <c r="BX289" s="106"/>
      <c r="BY289" s="106"/>
      <c r="BZ289" s="106"/>
      <c r="CA289" s="106"/>
      <c r="CB289" s="106"/>
      <c r="CC289" s="106"/>
      <c r="CD289" s="106"/>
      <c r="CE289" s="106"/>
      <c r="CF289" s="106"/>
      <c r="CG289" s="106"/>
      <c r="CH289" s="106"/>
      <c r="CI289" s="106"/>
      <c r="CK289" s="11"/>
      <c r="CM289" s="11"/>
      <c r="EX289" s="10" t="str">
        <f t="shared" si="202"/>
        <v/>
      </c>
    </row>
    <row r="290" spans="1:154" x14ac:dyDescent="0.35">
      <c r="B290" t="str">
        <f ca="1">Loans!B$28</f>
        <v>Loan 16</v>
      </c>
      <c r="D290" s="51">
        <f>Loans!D$28</f>
        <v>0</v>
      </c>
      <c r="E290"/>
      <c r="V290" s="106"/>
      <c r="W290" s="106"/>
      <c r="X290" s="106"/>
      <c r="Y290" s="106"/>
      <c r="AA290" s="38">
        <f>SUM($AA267:AA267)*AA267</f>
        <v>0</v>
      </c>
      <c r="AB290" s="38">
        <f>SUM($AA267:AB267)*AB267</f>
        <v>0</v>
      </c>
      <c r="AC290" s="38">
        <f>SUM($AA267:AC267)*AC267</f>
        <v>0</v>
      </c>
      <c r="AD290" s="38">
        <f>SUM($AA267:AD267)*AD267</f>
        <v>0</v>
      </c>
      <c r="AE290" s="38">
        <f>SUM($AA267:AE267)*AE267</f>
        <v>0</v>
      </c>
      <c r="AF290" s="38">
        <f>SUM($AA267:AF267)*AF267</f>
        <v>0</v>
      </c>
      <c r="AG290" s="38">
        <f>SUM($AA267:AG267)*AG267</f>
        <v>0</v>
      </c>
      <c r="AH290" s="38">
        <f>SUM($AA267:AH267)*AH267</f>
        <v>0</v>
      </c>
      <c r="AI290" s="38">
        <f>SUM($AA267:AI267)*AI267</f>
        <v>0</v>
      </c>
      <c r="AJ290" s="38">
        <f>SUM($AA267:AJ267)*AJ267</f>
        <v>0</v>
      </c>
      <c r="AK290" s="38">
        <f>SUM($AA267:AK267)*AK267</f>
        <v>0</v>
      </c>
      <c r="AL290" s="38">
        <f>SUM($AA267:AL267)*AL267</f>
        <v>0</v>
      </c>
      <c r="AM290" s="38">
        <f>SUM($AA267:AM267)*AM267</f>
        <v>0</v>
      </c>
      <c r="AN290" s="38">
        <f>SUM($AA267:AN267)*AN267</f>
        <v>0</v>
      </c>
      <c r="AO290" s="38">
        <f>SUM($AA267:AO267)*AO267</f>
        <v>0</v>
      </c>
      <c r="AP290" s="38">
        <f>SUM($AA267:AP267)*AP267</f>
        <v>0</v>
      </c>
      <c r="AQ290" s="38">
        <f>SUM($AA267:AQ267)*AQ267</f>
        <v>0</v>
      </c>
      <c r="AR290" s="38">
        <f>SUM($AA267:AR267)*AR267</f>
        <v>0</v>
      </c>
      <c r="AS290" s="38">
        <f>SUM($AA267:AS267)*AS267</f>
        <v>0</v>
      </c>
      <c r="AT290" s="38">
        <f>SUM($AA267:AT267)*AT267</f>
        <v>0</v>
      </c>
      <c r="AU290" s="38">
        <f>SUM($AA267:AU267)*AU267</f>
        <v>0</v>
      </c>
      <c r="AV290" s="38">
        <f>SUM($AA267:AV267)*AV267</f>
        <v>0</v>
      </c>
      <c r="AW290" s="38">
        <f>SUM($AA267:AW267)*AW267</f>
        <v>0</v>
      </c>
      <c r="AX290" s="38">
        <f>SUM($AA267:AX267)*AX267</f>
        <v>0</v>
      </c>
      <c r="AY290" s="38">
        <f>SUM($AA267:AY267)*AY267</f>
        <v>0</v>
      </c>
      <c r="AZ290" s="38">
        <f>SUM($AA267:AZ267)*AZ267</f>
        <v>0</v>
      </c>
      <c r="BA290" s="38">
        <f>SUM($AA267:BA267)*BA267</f>
        <v>0</v>
      </c>
      <c r="BB290" s="38">
        <f>SUM($AA267:BB267)*BB267</f>
        <v>0</v>
      </c>
      <c r="BC290" s="38">
        <f>SUM($AA267:BC267)*BC267</f>
        <v>0</v>
      </c>
      <c r="BD290" s="38">
        <f>SUM($AA267:BD267)*BD267</f>
        <v>0</v>
      </c>
      <c r="BE290" s="38">
        <f>SUM($AA267:BE267)*BE267</f>
        <v>0</v>
      </c>
      <c r="BF290" s="38">
        <f>SUM($AA267:BF267)*BF267</f>
        <v>0</v>
      </c>
      <c r="BG290" s="38">
        <f>SUM($AA267:BG267)*BG267</f>
        <v>0</v>
      </c>
      <c r="BH290" s="38">
        <f>SUM($AA267:BH267)*BH267</f>
        <v>0</v>
      </c>
      <c r="BI290" s="38">
        <f>SUM($AA267:BI267)*BI267</f>
        <v>0</v>
      </c>
      <c r="BJ290" s="38">
        <f>SUM($AA267:BJ267)*BJ267</f>
        <v>0</v>
      </c>
      <c r="BK290" s="38">
        <f>SUM($AA267:BK267)*BK267</f>
        <v>0</v>
      </c>
      <c r="BL290" s="38">
        <f>SUM($AA267:BL267)*BL267</f>
        <v>0</v>
      </c>
      <c r="BM290" s="38">
        <f>SUM($AA267:BM267)*BM267</f>
        <v>0</v>
      </c>
      <c r="BN290" s="38">
        <f>SUM($AA267:BN267)*BN267</f>
        <v>0</v>
      </c>
      <c r="BO290" s="38">
        <f>SUM($AA267:BO267)*BO267</f>
        <v>0</v>
      </c>
      <c r="BP290" s="38">
        <f>SUM($AA267:BP267)*BP267</f>
        <v>0</v>
      </c>
      <c r="BQ290" s="38">
        <f>SUM($AA267:BQ267)*BQ267</f>
        <v>0</v>
      </c>
      <c r="BR290" s="38">
        <f>SUM($AA267:BR267)*BR267</f>
        <v>0</v>
      </c>
      <c r="BS290" s="38">
        <f>SUM($AA267:BS267)*BS267</f>
        <v>0</v>
      </c>
      <c r="BT290" s="38">
        <f>SUM($AA267:BT267)*BT267</f>
        <v>0</v>
      </c>
      <c r="BU290" s="38">
        <f>SUM($AA267:BU267)*BU267</f>
        <v>0</v>
      </c>
      <c r="BV290" s="38">
        <f>SUM($AA267:BV267)*BV267</f>
        <v>0</v>
      </c>
      <c r="BX290" s="106"/>
      <c r="BY290" s="106"/>
      <c r="BZ290" s="106"/>
      <c r="CA290" s="106"/>
      <c r="CB290" s="106"/>
      <c r="CC290" s="106"/>
      <c r="CD290" s="106"/>
      <c r="CE290" s="106"/>
      <c r="CF290" s="106"/>
      <c r="CG290" s="106"/>
      <c r="CH290" s="106"/>
      <c r="CI290" s="106"/>
      <c r="CK290" s="11"/>
      <c r="CM290" s="11"/>
      <c r="EX290" s="10" t="str">
        <f t="shared" si="202"/>
        <v/>
      </c>
    </row>
    <row r="291" spans="1:154" x14ac:dyDescent="0.35">
      <c r="B291" t="str">
        <f ca="1">Loans!B$29</f>
        <v>Loan 17</v>
      </c>
      <c r="D291" s="51">
        <f>Loans!D$29</f>
        <v>0</v>
      </c>
      <c r="E291"/>
      <c r="V291" s="106"/>
      <c r="W291" s="106"/>
      <c r="X291" s="106"/>
      <c r="Y291" s="106"/>
      <c r="AA291" s="38">
        <f>SUM($AA268:AA268)*AA268</f>
        <v>0</v>
      </c>
      <c r="AB291" s="38">
        <f>SUM($AA268:AB268)*AB268</f>
        <v>0</v>
      </c>
      <c r="AC291" s="38">
        <f>SUM($AA268:AC268)*AC268</f>
        <v>0</v>
      </c>
      <c r="AD291" s="38">
        <f>SUM($AA268:AD268)*AD268</f>
        <v>0</v>
      </c>
      <c r="AE291" s="38">
        <f>SUM($AA268:AE268)*AE268</f>
        <v>0</v>
      </c>
      <c r="AF291" s="38">
        <f>SUM($AA268:AF268)*AF268</f>
        <v>0</v>
      </c>
      <c r="AG291" s="38">
        <f>SUM($AA268:AG268)*AG268</f>
        <v>0</v>
      </c>
      <c r="AH291" s="38">
        <f>SUM($AA268:AH268)*AH268</f>
        <v>0</v>
      </c>
      <c r="AI291" s="38">
        <f>SUM($AA268:AI268)*AI268</f>
        <v>0</v>
      </c>
      <c r="AJ291" s="38">
        <f>SUM($AA268:AJ268)*AJ268</f>
        <v>0</v>
      </c>
      <c r="AK291" s="38">
        <f>SUM($AA268:AK268)*AK268</f>
        <v>0</v>
      </c>
      <c r="AL291" s="38">
        <f>SUM($AA268:AL268)*AL268</f>
        <v>0</v>
      </c>
      <c r="AM291" s="38">
        <f>SUM($AA268:AM268)*AM268</f>
        <v>0</v>
      </c>
      <c r="AN291" s="38">
        <f>SUM($AA268:AN268)*AN268</f>
        <v>0</v>
      </c>
      <c r="AO291" s="38">
        <f>SUM($AA268:AO268)*AO268</f>
        <v>0</v>
      </c>
      <c r="AP291" s="38">
        <f>SUM($AA268:AP268)*AP268</f>
        <v>0</v>
      </c>
      <c r="AQ291" s="38">
        <f>SUM($AA268:AQ268)*AQ268</f>
        <v>0</v>
      </c>
      <c r="AR291" s="38">
        <f>SUM($AA268:AR268)*AR268</f>
        <v>0</v>
      </c>
      <c r="AS291" s="38">
        <f>SUM($AA268:AS268)*AS268</f>
        <v>0</v>
      </c>
      <c r="AT291" s="38">
        <f>SUM($AA268:AT268)*AT268</f>
        <v>0</v>
      </c>
      <c r="AU291" s="38">
        <f>SUM($AA268:AU268)*AU268</f>
        <v>0</v>
      </c>
      <c r="AV291" s="38">
        <f>SUM($AA268:AV268)*AV268</f>
        <v>0</v>
      </c>
      <c r="AW291" s="38">
        <f>SUM($AA268:AW268)*AW268</f>
        <v>0</v>
      </c>
      <c r="AX291" s="38">
        <f>SUM($AA268:AX268)*AX268</f>
        <v>0</v>
      </c>
      <c r="AY291" s="38">
        <f>SUM($AA268:AY268)*AY268</f>
        <v>0</v>
      </c>
      <c r="AZ291" s="38">
        <f>SUM($AA268:AZ268)*AZ268</f>
        <v>0</v>
      </c>
      <c r="BA291" s="38">
        <f>SUM($AA268:BA268)*BA268</f>
        <v>0</v>
      </c>
      <c r="BB291" s="38">
        <f>SUM($AA268:BB268)*BB268</f>
        <v>0</v>
      </c>
      <c r="BC291" s="38">
        <f>SUM($AA268:BC268)*BC268</f>
        <v>0</v>
      </c>
      <c r="BD291" s="38">
        <f>SUM($AA268:BD268)*BD268</f>
        <v>0</v>
      </c>
      <c r="BE291" s="38">
        <f>SUM($AA268:BE268)*BE268</f>
        <v>0</v>
      </c>
      <c r="BF291" s="38">
        <f>SUM($AA268:BF268)*BF268</f>
        <v>0</v>
      </c>
      <c r="BG291" s="38">
        <f>SUM($AA268:BG268)*BG268</f>
        <v>0</v>
      </c>
      <c r="BH291" s="38">
        <f>SUM($AA268:BH268)*BH268</f>
        <v>0</v>
      </c>
      <c r="BI291" s="38">
        <f>SUM($AA268:BI268)*BI268</f>
        <v>0</v>
      </c>
      <c r="BJ291" s="38">
        <f>SUM($AA268:BJ268)*BJ268</f>
        <v>0</v>
      </c>
      <c r="BK291" s="38">
        <f>SUM($AA268:BK268)*BK268</f>
        <v>0</v>
      </c>
      <c r="BL291" s="38">
        <f>SUM($AA268:BL268)*BL268</f>
        <v>0</v>
      </c>
      <c r="BM291" s="38">
        <f>SUM($AA268:BM268)*BM268</f>
        <v>0</v>
      </c>
      <c r="BN291" s="38">
        <f>SUM($AA268:BN268)*BN268</f>
        <v>0</v>
      </c>
      <c r="BO291" s="38">
        <f>SUM($AA268:BO268)*BO268</f>
        <v>0</v>
      </c>
      <c r="BP291" s="38">
        <f>SUM($AA268:BP268)*BP268</f>
        <v>0</v>
      </c>
      <c r="BQ291" s="38">
        <f>SUM($AA268:BQ268)*BQ268</f>
        <v>0</v>
      </c>
      <c r="BR291" s="38">
        <f>SUM($AA268:BR268)*BR268</f>
        <v>0</v>
      </c>
      <c r="BS291" s="38">
        <f>SUM($AA268:BS268)*BS268</f>
        <v>0</v>
      </c>
      <c r="BT291" s="38">
        <f>SUM($AA268:BT268)*BT268</f>
        <v>0</v>
      </c>
      <c r="BU291" s="38">
        <f>SUM($AA268:BU268)*BU268</f>
        <v>0</v>
      </c>
      <c r="BV291" s="38">
        <f>SUM($AA268:BV268)*BV268</f>
        <v>0</v>
      </c>
      <c r="BX291" s="106"/>
      <c r="BY291" s="106"/>
      <c r="BZ291" s="106"/>
      <c r="CA291" s="106"/>
      <c r="CB291" s="106"/>
      <c r="CC291" s="106"/>
      <c r="CD291" s="106"/>
      <c r="CE291" s="106"/>
      <c r="CF291" s="106"/>
      <c r="CG291" s="106"/>
      <c r="CH291" s="106"/>
      <c r="CI291" s="106"/>
      <c r="CK291" s="11"/>
      <c r="CM291" s="11"/>
      <c r="EX291" s="10" t="str">
        <f t="shared" si="202"/>
        <v/>
      </c>
    </row>
    <row r="292" spans="1:154" x14ac:dyDescent="0.35">
      <c r="B292" t="str">
        <f ca="1">Loans!B$30</f>
        <v>Loan 18</v>
      </c>
      <c r="D292" s="51">
        <f>Loans!D$30</f>
        <v>0</v>
      </c>
      <c r="E292"/>
      <c r="V292" s="106"/>
      <c r="W292" s="106"/>
      <c r="X292" s="106"/>
      <c r="Y292" s="106"/>
      <c r="AA292" s="38">
        <f>SUM($AA269:AA269)*AA269</f>
        <v>0</v>
      </c>
      <c r="AB292" s="38">
        <f>SUM($AA269:AB269)*AB269</f>
        <v>0</v>
      </c>
      <c r="AC292" s="38">
        <f>SUM($AA269:AC269)*AC269</f>
        <v>0</v>
      </c>
      <c r="AD292" s="38">
        <f>SUM($AA269:AD269)*AD269</f>
        <v>0</v>
      </c>
      <c r="AE292" s="38">
        <f>SUM($AA269:AE269)*AE269</f>
        <v>0</v>
      </c>
      <c r="AF292" s="38">
        <f>SUM($AA269:AF269)*AF269</f>
        <v>0</v>
      </c>
      <c r="AG292" s="38">
        <f>SUM($AA269:AG269)*AG269</f>
        <v>0</v>
      </c>
      <c r="AH292" s="38">
        <f>SUM($AA269:AH269)*AH269</f>
        <v>0</v>
      </c>
      <c r="AI292" s="38">
        <f>SUM($AA269:AI269)*AI269</f>
        <v>0</v>
      </c>
      <c r="AJ292" s="38">
        <f>SUM($AA269:AJ269)*AJ269</f>
        <v>0</v>
      </c>
      <c r="AK292" s="38">
        <f>SUM($AA269:AK269)*AK269</f>
        <v>0</v>
      </c>
      <c r="AL292" s="38">
        <f>SUM($AA269:AL269)*AL269</f>
        <v>0</v>
      </c>
      <c r="AM292" s="38">
        <f>SUM($AA269:AM269)*AM269</f>
        <v>0</v>
      </c>
      <c r="AN292" s="38">
        <f>SUM($AA269:AN269)*AN269</f>
        <v>0</v>
      </c>
      <c r="AO292" s="38">
        <f>SUM($AA269:AO269)*AO269</f>
        <v>0</v>
      </c>
      <c r="AP292" s="38">
        <f>SUM($AA269:AP269)*AP269</f>
        <v>0</v>
      </c>
      <c r="AQ292" s="38">
        <f>SUM($AA269:AQ269)*AQ269</f>
        <v>0</v>
      </c>
      <c r="AR292" s="38">
        <f>SUM($AA269:AR269)*AR269</f>
        <v>0</v>
      </c>
      <c r="AS292" s="38">
        <f>SUM($AA269:AS269)*AS269</f>
        <v>0</v>
      </c>
      <c r="AT292" s="38">
        <f>SUM($AA269:AT269)*AT269</f>
        <v>0</v>
      </c>
      <c r="AU292" s="38">
        <f>SUM($AA269:AU269)*AU269</f>
        <v>0</v>
      </c>
      <c r="AV292" s="38">
        <f>SUM($AA269:AV269)*AV269</f>
        <v>0</v>
      </c>
      <c r="AW292" s="38">
        <f>SUM($AA269:AW269)*AW269</f>
        <v>0</v>
      </c>
      <c r="AX292" s="38">
        <f>SUM($AA269:AX269)*AX269</f>
        <v>0</v>
      </c>
      <c r="AY292" s="38">
        <f>SUM($AA269:AY269)*AY269</f>
        <v>0</v>
      </c>
      <c r="AZ292" s="38">
        <f>SUM($AA269:AZ269)*AZ269</f>
        <v>0</v>
      </c>
      <c r="BA292" s="38">
        <f>SUM($AA269:BA269)*BA269</f>
        <v>0</v>
      </c>
      <c r="BB292" s="38">
        <f>SUM($AA269:BB269)*BB269</f>
        <v>0</v>
      </c>
      <c r="BC292" s="38">
        <f>SUM($AA269:BC269)*BC269</f>
        <v>0</v>
      </c>
      <c r="BD292" s="38">
        <f>SUM($AA269:BD269)*BD269</f>
        <v>0</v>
      </c>
      <c r="BE292" s="38">
        <f>SUM($AA269:BE269)*BE269</f>
        <v>0</v>
      </c>
      <c r="BF292" s="38">
        <f>SUM($AA269:BF269)*BF269</f>
        <v>0</v>
      </c>
      <c r="BG292" s="38">
        <f>SUM($AA269:BG269)*BG269</f>
        <v>0</v>
      </c>
      <c r="BH292" s="38">
        <f>SUM($AA269:BH269)*BH269</f>
        <v>0</v>
      </c>
      <c r="BI292" s="38">
        <f>SUM($AA269:BI269)*BI269</f>
        <v>0</v>
      </c>
      <c r="BJ292" s="38">
        <f>SUM($AA269:BJ269)*BJ269</f>
        <v>0</v>
      </c>
      <c r="BK292" s="38">
        <f>SUM($AA269:BK269)*BK269</f>
        <v>0</v>
      </c>
      <c r="BL292" s="38">
        <f>SUM($AA269:BL269)*BL269</f>
        <v>0</v>
      </c>
      <c r="BM292" s="38">
        <f>SUM($AA269:BM269)*BM269</f>
        <v>0</v>
      </c>
      <c r="BN292" s="38">
        <f>SUM($AA269:BN269)*BN269</f>
        <v>0</v>
      </c>
      <c r="BO292" s="38">
        <f>SUM($AA269:BO269)*BO269</f>
        <v>0</v>
      </c>
      <c r="BP292" s="38">
        <f>SUM($AA269:BP269)*BP269</f>
        <v>0</v>
      </c>
      <c r="BQ292" s="38">
        <f>SUM($AA269:BQ269)*BQ269</f>
        <v>0</v>
      </c>
      <c r="BR292" s="38">
        <f>SUM($AA269:BR269)*BR269</f>
        <v>0</v>
      </c>
      <c r="BS292" s="38">
        <f>SUM($AA269:BS269)*BS269</f>
        <v>0</v>
      </c>
      <c r="BT292" s="38">
        <f>SUM($AA269:BT269)*BT269</f>
        <v>0</v>
      </c>
      <c r="BU292" s="38">
        <f>SUM($AA269:BU269)*BU269</f>
        <v>0</v>
      </c>
      <c r="BV292" s="38">
        <f>SUM($AA269:BV269)*BV269</f>
        <v>0</v>
      </c>
      <c r="BX292" s="106"/>
      <c r="BY292" s="106"/>
      <c r="BZ292" s="106"/>
      <c r="CA292" s="106"/>
      <c r="CB292" s="106"/>
      <c r="CC292" s="106"/>
      <c r="CD292" s="106"/>
      <c r="CE292" s="106"/>
      <c r="CF292" s="106"/>
      <c r="CG292" s="106"/>
      <c r="CH292" s="106"/>
      <c r="CI292" s="106"/>
      <c r="CK292" s="11"/>
      <c r="CM292" s="11"/>
      <c r="EX292" s="10" t="str">
        <f t="shared" si="202"/>
        <v/>
      </c>
    </row>
    <row r="293" spans="1:154" x14ac:dyDescent="0.35">
      <c r="B293" t="str">
        <f ca="1">Loans!B$31</f>
        <v>Loan 19</v>
      </c>
      <c r="D293" s="51">
        <f>Loans!D$31</f>
        <v>0</v>
      </c>
      <c r="E293"/>
      <c r="V293" s="106"/>
      <c r="W293" s="106"/>
      <c r="X293" s="106"/>
      <c r="Y293" s="106"/>
      <c r="AA293" s="38">
        <f>SUM($AA270:AA270)*AA270</f>
        <v>0</v>
      </c>
      <c r="AB293" s="38">
        <f>SUM($AA270:AB270)*AB270</f>
        <v>0</v>
      </c>
      <c r="AC293" s="38">
        <f>SUM($AA270:AC270)*AC270</f>
        <v>0</v>
      </c>
      <c r="AD293" s="38">
        <f>SUM($AA270:AD270)*AD270</f>
        <v>0</v>
      </c>
      <c r="AE293" s="38">
        <f>SUM($AA270:AE270)*AE270</f>
        <v>0</v>
      </c>
      <c r="AF293" s="38">
        <f>SUM($AA270:AF270)*AF270</f>
        <v>0</v>
      </c>
      <c r="AG293" s="38">
        <f>SUM($AA270:AG270)*AG270</f>
        <v>0</v>
      </c>
      <c r="AH293" s="38">
        <f>SUM($AA270:AH270)*AH270</f>
        <v>0</v>
      </c>
      <c r="AI293" s="38">
        <f>SUM($AA270:AI270)*AI270</f>
        <v>0</v>
      </c>
      <c r="AJ293" s="38">
        <f>SUM($AA270:AJ270)*AJ270</f>
        <v>0</v>
      </c>
      <c r="AK293" s="38">
        <f>SUM($AA270:AK270)*AK270</f>
        <v>0</v>
      </c>
      <c r="AL293" s="38">
        <f>SUM($AA270:AL270)*AL270</f>
        <v>0</v>
      </c>
      <c r="AM293" s="38">
        <f>SUM($AA270:AM270)*AM270</f>
        <v>0</v>
      </c>
      <c r="AN293" s="38">
        <f>SUM($AA270:AN270)*AN270</f>
        <v>0</v>
      </c>
      <c r="AO293" s="38">
        <f>SUM($AA270:AO270)*AO270</f>
        <v>0</v>
      </c>
      <c r="AP293" s="38">
        <f>SUM($AA270:AP270)*AP270</f>
        <v>0</v>
      </c>
      <c r="AQ293" s="38">
        <f>SUM($AA270:AQ270)*AQ270</f>
        <v>0</v>
      </c>
      <c r="AR293" s="38">
        <f>SUM($AA270:AR270)*AR270</f>
        <v>0</v>
      </c>
      <c r="AS293" s="38">
        <f>SUM($AA270:AS270)*AS270</f>
        <v>0</v>
      </c>
      <c r="AT293" s="38">
        <f>SUM($AA270:AT270)*AT270</f>
        <v>0</v>
      </c>
      <c r="AU293" s="38">
        <f>SUM($AA270:AU270)*AU270</f>
        <v>0</v>
      </c>
      <c r="AV293" s="38">
        <f>SUM($AA270:AV270)*AV270</f>
        <v>0</v>
      </c>
      <c r="AW293" s="38">
        <f>SUM($AA270:AW270)*AW270</f>
        <v>0</v>
      </c>
      <c r="AX293" s="38">
        <f>SUM($AA270:AX270)*AX270</f>
        <v>0</v>
      </c>
      <c r="AY293" s="38">
        <f>SUM($AA270:AY270)*AY270</f>
        <v>0</v>
      </c>
      <c r="AZ293" s="38">
        <f>SUM($AA270:AZ270)*AZ270</f>
        <v>0</v>
      </c>
      <c r="BA293" s="38">
        <f>SUM($AA270:BA270)*BA270</f>
        <v>0</v>
      </c>
      <c r="BB293" s="38">
        <f>SUM($AA270:BB270)*BB270</f>
        <v>0</v>
      </c>
      <c r="BC293" s="38">
        <f>SUM($AA270:BC270)*BC270</f>
        <v>0</v>
      </c>
      <c r="BD293" s="38">
        <f>SUM($AA270:BD270)*BD270</f>
        <v>0</v>
      </c>
      <c r="BE293" s="38">
        <f>SUM($AA270:BE270)*BE270</f>
        <v>0</v>
      </c>
      <c r="BF293" s="38">
        <f>SUM($AA270:BF270)*BF270</f>
        <v>0</v>
      </c>
      <c r="BG293" s="38">
        <f>SUM($AA270:BG270)*BG270</f>
        <v>0</v>
      </c>
      <c r="BH293" s="38">
        <f>SUM($AA270:BH270)*BH270</f>
        <v>0</v>
      </c>
      <c r="BI293" s="38">
        <f>SUM($AA270:BI270)*BI270</f>
        <v>0</v>
      </c>
      <c r="BJ293" s="38">
        <f>SUM($AA270:BJ270)*BJ270</f>
        <v>0</v>
      </c>
      <c r="BK293" s="38">
        <f>SUM($AA270:BK270)*BK270</f>
        <v>0</v>
      </c>
      <c r="BL293" s="38">
        <f>SUM($AA270:BL270)*BL270</f>
        <v>0</v>
      </c>
      <c r="BM293" s="38">
        <f>SUM($AA270:BM270)*BM270</f>
        <v>0</v>
      </c>
      <c r="BN293" s="38">
        <f>SUM($AA270:BN270)*BN270</f>
        <v>0</v>
      </c>
      <c r="BO293" s="38">
        <f>SUM($AA270:BO270)*BO270</f>
        <v>0</v>
      </c>
      <c r="BP293" s="38">
        <f>SUM($AA270:BP270)*BP270</f>
        <v>0</v>
      </c>
      <c r="BQ293" s="38">
        <f>SUM($AA270:BQ270)*BQ270</f>
        <v>0</v>
      </c>
      <c r="BR293" s="38">
        <f>SUM($AA270:BR270)*BR270</f>
        <v>0</v>
      </c>
      <c r="BS293" s="38">
        <f>SUM($AA270:BS270)*BS270</f>
        <v>0</v>
      </c>
      <c r="BT293" s="38">
        <f>SUM($AA270:BT270)*BT270</f>
        <v>0</v>
      </c>
      <c r="BU293" s="38">
        <f>SUM($AA270:BU270)*BU270</f>
        <v>0</v>
      </c>
      <c r="BV293" s="38">
        <f>SUM($AA270:BV270)*BV270</f>
        <v>0</v>
      </c>
      <c r="BX293" s="106"/>
      <c r="BY293" s="106"/>
      <c r="BZ293" s="106"/>
      <c r="CA293" s="106"/>
      <c r="CB293" s="106"/>
      <c r="CC293" s="106"/>
      <c r="CD293" s="106"/>
      <c r="CE293" s="106"/>
      <c r="CF293" s="106"/>
      <c r="CG293" s="106"/>
      <c r="CH293" s="106"/>
      <c r="CI293" s="106"/>
      <c r="CK293" s="11"/>
      <c r="CM293" s="11"/>
      <c r="EX293" s="10" t="str">
        <f t="shared" si="202"/>
        <v/>
      </c>
    </row>
    <row r="294" spans="1:154" x14ac:dyDescent="0.35">
      <c r="B294" t="str">
        <f ca="1">Loans!B$32</f>
        <v>Loan 20</v>
      </c>
      <c r="D294" s="51">
        <f>Loans!D$32</f>
        <v>0</v>
      </c>
      <c r="E294"/>
      <c r="V294" s="106"/>
      <c r="W294" s="106"/>
      <c r="X294" s="106"/>
      <c r="Y294" s="106"/>
      <c r="AA294" s="38">
        <f>SUM($AA271:AA271)*AA271</f>
        <v>0</v>
      </c>
      <c r="AB294" s="38">
        <f>SUM($AA271:AB271)*AB271</f>
        <v>0</v>
      </c>
      <c r="AC294" s="38">
        <f>SUM($AA271:AC271)*AC271</f>
        <v>0</v>
      </c>
      <c r="AD294" s="38">
        <f>SUM($AA271:AD271)*AD271</f>
        <v>0</v>
      </c>
      <c r="AE294" s="38">
        <f>SUM($AA271:AE271)*AE271</f>
        <v>0</v>
      </c>
      <c r="AF294" s="38">
        <f>SUM($AA271:AF271)*AF271</f>
        <v>0</v>
      </c>
      <c r="AG294" s="38">
        <f>SUM($AA271:AG271)*AG271</f>
        <v>0</v>
      </c>
      <c r="AH294" s="38">
        <f>SUM($AA271:AH271)*AH271</f>
        <v>0</v>
      </c>
      <c r="AI294" s="38">
        <f>SUM($AA271:AI271)*AI271</f>
        <v>0</v>
      </c>
      <c r="AJ294" s="38">
        <f>SUM($AA271:AJ271)*AJ271</f>
        <v>0</v>
      </c>
      <c r="AK294" s="38">
        <f>SUM($AA271:AK271)*AK271</f>
        <v>0</v>
      </c>
      <c r="AL294" s="38">
        <f>SUM($AA271:AL271)*AL271</f>
        <v>0</v>
      </c>
      <c r="AM294" s="38">
        <f>SUM($AA271:AM271)*AM271</f>
        <v>0</v>
      </c>
      <c r="AN294" s="38">
        <f>SUM($AA271:AN271)*AN271</f>
        <v>0</v>
      </c>
      <c r="AO294" s="38">
        <f>SUM($AA271:AO271)*AO271</f>
        <v>0</v>
      </c>
      <c r="AP294" s="38">
        <f>SUM($AA271:AP271)*AP271</f>
        <v>0</v>
      </c>
      <c r="AQ294" s="38">
        <f>SUM($AA271:AQ271)*AQ271</f>
        <v>0</v>
      </c>
      <c r="AR294" s="38">
        <f>SUM($AA271:AR271)*AR271</f>
        <v>0</v>
      </c>
      <c r="AS294" s="38">
        <f>SUM($AA271:AS271)*AS271</f>
        <v>0</v>
      </c>
      <c r="AT294" s="38">
        <f>SUM($AA271:AT271)*AT271</f>
        <v>0</v>
      </c>
      <c r="AU294" s="38">
        <f>SUM($AA271:AU271)*AU271</f>
        <v>0</v>
      </c>
      <c r="AV294" s="38">
        <f>SUM($AA271:AV271)*AV271</f>
        <v>0</v>
      </c>
      <c r="AW294" s="38">
        <f>SUM($AA271:AW271)*AW271</f>
        <v>0</v>
      </c>
      <c r="AX294" s="38">
        <f>SUM($AA271:AX271)*AX271</f>
        <v>0</v>
      </c>
      <c r="AY294" s="38">
        <f>SUM($AA271:AY271)*AY271</f>
        <v>0</v>
      </c>
      <c r="AZ294" s="38">
        <f>SUM($AA271:AZ271)*AZ271</f>
        <v>0</v>
      </c>
      <c r="BA294" s="38">
        <f>SUM($AA271:BA271)*BA271</f>
        <v>0</v>
      </c>
      <c r="BB294" s="38">
        <f>SUM($AA271:BB271)*BB271</f>
        <v>0</v>
      </c>
      <c r="BC294" s="38">
        <f>SUM($AA271:BC271)*BC271</f>
        <v>0</v>
      </c>
      <c r="BD294" s="38">
        <f>SUM($AA271:BD271)*BD271</f>
        <v>0</v>
      </c>
      <c r="BE294" s="38">
        <f>SUM($AA271:BE271)*BE271</f>
        <v>0</v>
      </c>
      <c r="BF294" s="38">
        <f>SUM($AA271:BF271)*BF271</f>
        <v>0</v>
      </c>
      <c r="BG294" s="38">
        <f>SUM($AA271:BG271)*BG271</f>
        <v>0</v>
      </c>
      <c r="BH294" s="38">
        <f>SUM($AA271:BH271)*BH271</f>
        <v>0</v>
      </c>
      <c r="BI294" s="38">
        <f>SUM($AA271:BI271)*BI271</f>
        <v>0</v>
      </c>
      <c r="BJ294" s="38">
        <f>SUM($AA271:BJ271)*BJ271</f>
        <v>0</v>
      </c>
      <c r="BK294" s="38">
        <f>SUM($AA271:BK271)*BK271</f>
        <v>0</v>
      </c>
      <c r="BL294" s="38">
        <f>SUM($AA271:BL271)*BL271</f>
        <v>0</v>
      </c>
      <c r="BM294" s="38">
        <f>SUM($AA271:BM271)*BM271</f>
        <v>0</v>
      </c>
      <c r="BN294" s="38">
        <f>SUM($AA271:BN271)*BN271</f>
        <v>0</v>
      </c>
      <c r="BO294" s="38">
        <f>SUM($AA271:BO271)*BO271</f>
        <v>0</v>
      </c>
      <c r="BP294" s="38">
        <f>SUM($AA271:BP271)*BP271</f>
        <v>0</v>
      </c>
      <c r="BQ294" s="38">
        <f>SUM($AA271:BQ271)*BQ271</f>
        <v>0</v>
      </c>
      <c r="BR294" s="38">
        <f>SUM($AA271:BR271)*BR271</f>
        <v>0</v>
      </c>
      <c r="BS294" s="38">
        <f>SUM($AA271:BS271)*BS271</f>
        <v>0</v>
      </c>
      <c r="BT294" s="38">
        <f>SUM($AA271:BT271)*BT271</f>
        <v>0</v>
      </c>
      <c r="BU294" s="38">
        <f>SUM($AA271:BU271)*BU271</f>
        <v>0</v>
      </c>
      <c r="BV294" s="38">
        <f>SUM($AA271:BV271)*BV271</f>
        <v>0</v>
      </c>
      <c r="BX294" s="106"/>
      <c r="BY294" s="106"/>
      <c r="BZ294" s="106"/>
      <c r="CA294" s="106"/>
      <c r="CB294" s="106"/>
      <c r="CC294" s="106"/>
      <c r="CD294" s="106"/>
      <c r="CE294" s="106"/>
      <c r="CF294" s="106"/>
      <c r="CG294" s="106"/>
      <c r="CH294" s="106"/>
      <c r="CI294" s="106"/>
      <c r="CK294" s="11"/>
      <c r="CM294" s="11"/>
      <c r="EX294" s="10" t="str">
        <f t="shared" si="202"/>
        <v/>
      </c>
    </row>
    <row r="295" spans="1:154" ht="6.75" customHeight="1" x14ac:dyDescent="0.35">
      <c r="D295" s="1"/>
      <c r="E295"/>
      <c r="BY295" s="6"/>
      <c r="CK295" s="35"/>
      <c r="CM295" s="35"/>
      <c r="EX295" s="10" t="str">
        <f t="shared" si="202"/>
        <v/>
      </c>
    </row>
    <row r="296" spans="1:154" x14ac:dyDescent="0.35">
      <c r="D296" s="5" t="s">
        <v>1945</v>
      </c>
      <c r="E296"/>
      <c r="CK296" s="11"/>
      <c r="CM296" s="11"/>
      <c r="EX296" s="10" t="str">
        <f t="shared" si="202"/>
        <v/>
      </c>
    </row>
    <row r="297" spans="1:154" ht="29" x14ac:dyDescent="0.35">
      <c r="B297" s="5"/>
      <c r="D297" s="5" t="str">
        <f>Loans!D$11</f>
        <v>Lender</v>
      </c>
      <c r="E297" s="24" t="s">
        <v>1030</v>
      </c>
      <c r="CK297" s="11"/>
      <c r="CM297" s="11"/>
      <c r="EX297" s="10" t="str">
        <f t="shared" si="202"/>
        <v/>
      </c>
    </row>
    <row r="298" spans="1:154" x14ac:dyDescent="0.35">
      <c r="B298" t="str">
        <f ca="1">Loans!B$13</f>
        <v>Loan 1</v>
      </c>
      <c r="D298" s="51">
        <f>Loans!D$13</f>
        <v>0</v>
      </c>
      <c r="E298" s="10" t="str">
        <f>IF(Loans!O13="", "", Loans!O13)</f>
        <v/>
      </c>
      <c r="V298" s="106"/>
      <c r="W298" s="106"/>
      <c r="X298" s="106"/>
      <c r="Y298" s="106"/>
      <c r="AA298" s="38">
        <f>IF($E298="", 0, IF('Fin Stat'!AA$212&lt;$E298, 1, 0))</f>
        <v>0</v>
      </c>
      <c r="AB298" s="38">
        <f>IF($E298="", 0, IF('Fin Stat'!AB$212&lt;$E298, 1, 0))</f>
        <v>0</v>
      </c>
      <c r="AC298" s="38">
        <f>IF($E298="", 0, IF('Fin Stat'!AC$212&lt;$E298, 1, 0))</f>
        <v>0</v>
      </c>
      <c r="AD298" s="38">
        <f>IF($E298="", 0, IF('Fin Stat'!AD$212&lt;$E298, 1, 0))</f>
        <v>0</v>
      </c>
      <c r="AE298" s="38">
        <f>IF($E298="", 0, IF('Fin Stat'!AE$212&lt;$E298, 1, 0))</f>
        <v>0</v>
      </c>
      <c r="AF298" s="38">
        <f>IF($E298="", 0, IF('Fin Stat'!AF$212&lt;$E298, 1, 0))</f>
        <v>0</v>
      </c>
      <c r="AG298" s="38">
        <f>IF($E298="", 0, IF('Fin Stat'!AG$212&lt;$E298, 1, 0))</f>
        <v>0</v>
      </c>
      <c r="AH298" s="38">
        <f>IF($E298="", 0, IF('Fin Stat'!AH$212&lt;$E298, 1, 0))</f>
        <v>0</v>
      </c>
      <c r="AI298" s="38">
        <f>IF($E298="", 0, IF('Fin Stat'!AI$212&lt;$E298, 1, 0))</f>
        <v>0</v>
      </c>
      <c r="AJ298" s="38">
        <f>IF($E298="", 0, IF('Fin Stat'!AJ$212&lt;$E298, 1, 0))</f>
        <v>0</v>
      </c>
      <c r="AK298" s="38">
        <f>IF($E298="", 0, IF('Fin Stat'!AK$212&lt;$E298, 1, 0))</f>
        <v>0</v>
      </c>
      <c r="AL298" s="38">
        <f>IF($E298="", 0, IF('Fin Stat'!AL$212&lt;$E298, 1, 0))</f>
        <v>0</v>
      </c>
      <c r="AM298" s="38">
        <f>IF($E298="", 0, IF('Fin Stat'!AM$212&lt;$E298, 1, 0))</f>
        <v>0</v>
      </c>
      <c r="AN298" s="38">
        <f>IF($E298="", 0, IF('Fin Stat'!AN$212&lt;$E298, 1, 0))</f>
        <v>0</v>
      </c>
      <c r="AO298" s="38">
        <f>IF($E298="", 0, IF('Fin Stat'!AO$212&lt;$E298, 1, 0))</f>
        <v>0</v>
      </c>
      <c r="AP298" s="38">
        <f>IF($E298="", 0, IF('Fin Stat'!AP$212&lt;$E298, 1, 0))</f>
        <v>0</v>
      </c>
      <c r="AQ298" s="38">
        <f>IF($E298="", 0, IF('Fin Stat'!AQ$212&lt;$E298, 1, 0))</f>
        <v>0</v>
      </c>
      <c r="AR298" s="38">
        <f>IF($E298="", 0, IF('Fin Stat'!AR$212&lt;$E298, 1, 0))</f>
        <v>0</v>
      </c>
      <c r="AS298" s="38">
        <f>IF($E298="", 0, IF('Fin Stat'!AS$212&lt;$E298, 1, 0))</f>
        <v>0</v>
      </c>
      <c r="AT298" s="38">
        <f>IF($E298="", 0, IF('Fin Stat'!AT$212&lt;$E298, 1, 0))</f>
        <v>0</v>
      </c>
      <c r="AU298" s="38">
        <f>IF($E298="", 0, IF('Fin Stat'!AU$212&lt;$E298, 1, 0))</f>
        <v>0</v>
      </c>
      <c r="AV298" s="38">
        <f>IF($E298="", 0, IF('Fin Stat'!AV$212&lt;$E298, 1, 0))</f>
        <v>0</v>
      </c>
      <c r="AW298" s="38">
        <f>IF($E298="", 0, IF('Fin Stat'!AW$212&lt;$E298, 1, 0))</f>
        <v>0</v>
      </c>
      <c r="AX298" s="38">
        <f>IF($E298="", 0, IF('Fin Stat'!AX$212&lt;$E298, 1, 0))</f>
        <v>0</v>
      </c>
      <c r="AY298" s="38">
        <f>IF($E298="", 0, IF('Fin Stat'!AY$212&lt;$E298, 1, 0))</f>
        <v>0</v>
      </c>
      <c r="AZ298" s="38">
        <f>IF($E298="", 0, IF('Fin Stat'!AZ$212&lt;$E298, 1, 0))</f>
        <v>0</v>
      </c>
      <c r="BA298" s="38">
        <f>IF($E298="", 0, IF('Fin Stat'!BA$212&lt;$E298, 1, 0))</f>
        <v>0</v>
      </c>
      <c r="BB298" s="38">
        <f>IF($E298="", 0, IF('Fin Stat'!BB$212&lt;$E298, 1, 0))</f>
        <v>0</v>
      </c>
      <c r="BC298" s="38">
        <f>IF($E298="", 0, IF('Fin Stat'!BC$212&lt;$E298, 1, 0))</f>
        <v>0</v>
      </c>
      <c r="BD298" s="38">
        <f>IF($E298="", 0, IF('Fin Stat'!BD$212&lt;$E298, 1, 0))</f>
        <v>0</v>
      </c>
      <c r="BE298" s="38">
        <f>IF($E298="", 0, IF('Fin Stat'!BE$212&lt;$E298, 1, 0))</f>
        <v>0</v>
      </c>
      <c r="BF298" s="38">
        <f>IF($E298="", 0, IF('Fin Stat'!BF$212&lt;$E298, 1, 0))</f>
        <v>0</v>
      </c>
      <c r="BG298" s="38">
        <f>IF($E298="", 0, IF('Fin Stat'!BG$212&lt;$E298, 1, 0))</f>
        <v>0</v>
      </c>
      <c r="BH298" s="38">
        <f>IF($E298="", 0, IF('Fin Stat'!BH$212&lt;$E298, 1, 0))</f>
        <v>0</v>
      </c>
      <c r="BI298" s="38">
        <f>IF($E298="", 0, IF('Fin Stat'!BI$212&lt;$E298, 1, 0))</f>
        <v>0</v>
      </c>
      <c r="BJ298" s="38">
        <f>IF($E298="", 0, IF('Fin Stat'!BJ$212&lt;$E298, 1, 0))</f>
        <v>0</v>
      </c>
      <c r="BK298" s="106"/>
      <c r="BL298" s="106"/>
      <c r="BM298" s="106"/>
      <c r="BN298" s="106"/>
      <c r="BO298" s="106"/>
      <c r="BP298" s="106"/>
      <c r="BQ298" s="106"/>
      <c r="BR298" s="106"/>
      <c r="BS298" s="106"/>
      <c r="BT298" s="106"/>
      <c r="BU298" s="106"/>
      <c r="BV298" s="106"/>
      <c r="BX298" s="106"/>
      <c r="BY298" s="106"/>
      <c r="BZ298" s="106"/>
      <c r="CA298" s="106"/>
      <c r="CB298" s="38">
        <f>IF('Fin Stat'!CB$212&lt;$E298, 1, 0)</f>
        <v>1</v>
      </c>
      <c r="CC298" s="38">
        <f>IF('Fin Stat'!CC$212&lt;$E298, 1, 0)</f>
        <v>1</v>
      </c>
      <c r="CD298" s="38">
        <f>IF('Fin Stat'!CD$212&lt;$E298, 1, 0)</f>
        <v>1</v>
      </c>
      <c r="CE298" s="38">
        <f>IF('Fin Stat'!CE$212&lt;$E298, 1, 0)</f>
        <v>1</v>
      </c>
      <c r="CF298" s="38">
        <f>IF('Fin Stat'!CF$212&lt;$E298, 1, 0)</f>
        <v>1</v>
      </c>
      <c r="CG298" s="38">
        <f>IF('Fin Stat'!CG$212&lt;$E298, 1, 0)</f>
        <v>1</v>
      </c>
      <c r="CH298" s="38">
        <f>IF('Fin Stat'!CH$212&lt;$E298, 1, 0)</f>
        <v>1</v>
      </c>
      <c r="CI298" s="38">
        <f>IF('Fin Stat'!CI$212&lt;$E298, 1, 0)</f>
        <v>1</v>
      </c>
      <c r="CK298" s="11"/>
      <c r="CM298" s="11"/>
      <c r="EX298" s="10" t="str">
        <f t="shared" si="202"/>
        <v/>
      </c>
    </row>
    <row r="299" spans="1:154" x14ac:dyDescent="0.35">
      <c r="B299" t="str">
        <f ca="1">Loans!B$14</f>
        <v>Loan 2</v>
      </c>
      <c r="D299" s="51">
        <f>Loans!D$14</f>
        <v>0</v>
      </c>
      <c r="E299" s="10" t="str">
        <f>IF(Loans!O14="", "", Loans!O14)</f>
        <v/>
      </c>
      <c r="V299" s="106"/>
      <c r="W299" s="106"/>
      <c r="X299" s="106"/>
      <c r="Y299" s="106"/>
      <c r="AA299" s="38">
        <f>IF($E299="", 0, IF('Fin Stat'!AA$212&lt;$E299, 1, 0))</f>
        <v>0</v>
      </c>
      <c r="AB299" s="38">
        <f>IF($E299="", 0, IF('Fin Stat'!AB$212&lt;$E299, 1, 0))</f>
        <v>0</v>
      </c>
      <c r="AC299" s="38">
        <f>IF($E299="", 0, IF('Fin Stat'!AC$212&lt;$E299, 1, 0))</f>
        <v>0</v>
      </c>
      <c r="AD299" s="38">
        <f>IF($E299="", 0, IF('Fin Stat'!AD$212&lt;$E299, 1, 0))</f>
        <v>0</v>
      </c>
      <c r="AE299" s="38">
        <f>IF($E299="", 0, IF('Fin Stat'!AE$212&lt;$E299, 1, 0))</f>
        <v>0</v>
      </c>
      <c r="AF299" s="38">
        <f>IF($E299="", 0, IF('Fin Stat'!AF$212&lt;$E299, 1, 0))</f>
        <v>0</v>
      </c>
      <c r="AG299" s="38">
        <f>IF($E299="", 0, IF('Fin Stat'!AG$212&lt;$E299, 1, 0))</f>
        <v>0</v>
      </c>
      <c r="AH299" s="38">
        <f>IF($E299="", 0, IF('Fin Stat'!AH$212&lt;$E299, 1, 0))</f>
        <v>0</v>
      </c>
      <c r="AI299" s="38">
        <f>IF($E299="", 0, IF('Fin Stat'!AI$212&lt;$E299, 1, 0))</f>
        <v>0</v>
      </c>
      <c r="AJ299" s="38">
        <f>IF($E299="", 0, IF('Fin Stat'!AJ$212&lt;$E299, 1, 0))</f>
        <v>0</v>
      </c>
      <c r="AK299" s="38">
        <f>IF($E299="", 0, IF('Fin Stat'!AK$212&lt;$E299, 1, 0))</f>
        <v>0</v>
      </c>
      <c r="AL299" s="38">
        <f>IF($E299="", 0, IF('Fin Stat'!AL$212&lt;$E299, 1, 0))</f>
        <v>0</v>
      </c>
      <c r="AM299" s="38">
        <f>IF($E299="", 0, IF('Fin Stat'!AM$212&lt;$E299, 1, 0))</f>
        <v>0</v>
      </c>
      <c r="AN299" s="38">
        <f>IF($E299="", 0, IF('Fin Stat'!AN$212&lt;$E299, 1, 0))</f>
        <v>0</v>
      </c>
      <c r="AO299" s="38">
        <f>IF($E299="", 0, IF('Fin Stat'!AO$212&lt;$E299, 1, 0))</f>
        <v>0</v>
      </c>
      <c r="AP299" s="38">
        <f>IF($E299="", 0, IF('Fin Stat'!AP$212&lt;$E299, 1, 0))</f>
        <v>0</v>
      </c>
      <c r="AQ299" s="38">
        <f>IF($E299="", 0, IF('Fin Stat'!AQ$212&lt;$E299, 1, 0))</f>
        <v>0</v>
      </c>
      <c r="AR299" s="38">
        <f>IF($E299="", 0, IF('Fin Stat'!AR$212&lt;$E299, 1, 0))</f>
        <v>0</v>
      </c>
      <c r="AS299" s="38">
        <f>IF($E299="", 0, IF('Fin Stat'!AS$212&lt;$E299, 1, 0))</f>
        <v>0</v>
      </c>
      <c r="AT299" s="38">
        <f>IF($E299="", 0, IF('Fin Stat'!AT$212&lt;$E299, 1, 0))</f>
        <v>0</v>
      </c>
      <c r="AU299" s="38">
        <f>IF($E299="", 0, IF('Fin Stat'!AU$212&lt;$E299, 1, 0))</f>
        <v>0</v>
      </c>
      <c r="AV299" s="38">
        <f>IF($E299="", 0, IF('Fin Stat'!AV$212&lt;$E299, 1, 0))</f>
        <v>0</v>
      </c>
      <c r="AW299" s="38">
        <f>IF($E299="", 0, IF('Fin Stat'!AW$212&lt;$E299, 1, 0))</f>
        <v>0</v>
      </c>
      <c r="AX299" s="38">
        <f>IF($E299="", 0, IF('Fin Stat'!AX$212&lt;$E299, 1, 0))</f>
        <v>0</v>
      </c>
      <c r="AY299" s="38">
        <f>IF($E299="", 0, IF('Fin Stat'!AY$212&lt;$E299, 1, 0))</f>
        <v>0</v>
      </c>
      <c r="AZ299" s="38">
        <f>IF($E299="", 0, IF('Fin Stat'!AZ$212&lt;$E299, 1, 0))</f>
        <v>0</v>
      </c>
      <c r="BA299" s="38">
        <f>IF($E299="", 0, IF('Fin Stat'!BA$212&lt;$E299, 1, 0))</f>
        <v>0</v>
      </c>
      <c r="BB299" s="38">
        <f>IF($E299="", 0, IF('Fin Stat'!BB$212&lt;$E299, 1, 0))</f>
        <v>0</v>
      </c>
      <c r="BC299" s="38">
        <f>IF($E299="", 0, IF('Fin Stat'!BC$212&lt;$E299, 1, 0))</f>
        <v>0</v>
      </c>
      <c r="BD299" s="38">
        <f>IF($E299="", 0, IF('Fin Stat'!BD$212&lt;$E299, 1, 0))</f>
        <v>0</v>
      </c>
      <c r="BE299" s="38">
        <f>IF($E299="", 0, IF('Fin Stat'!BE$212&lt;$E299, 1, 0))</f>
        <v>0</v>
      </c>
      <c r="BF299" s="38">
        <f>IF($E299="", 0, IF('Fin Stat'!BF$212&lt;$E299, 1, 0))</f>
        <v>0</v>
      </c>
      <c r="BG299" s="38">
        <f>IF($E299="", 0, IF('Fin Stat'!BG$212&lt;$E299, 1, 0))</f>
        <v>0</v>
      </c>
      <c r="BH299" s="38">
        <f>IF($E299="", 0, IF('Fin Stat'!BH$212&lt;$E299, 1, 0))</f>
        <v>0</v>
      </c>
      <c r="BI299" s="38">
        <f>IF($E299="", 0, IF('Fin Stat'!BI$212&lt;$E299, 1, 0))</f>
        <v>0</v>
      </c>
      <c r="BJ299" s="38">
        <f>IF($E299="", 0, IF('Fin Stat'!BJ$212&lt;$E299, 1, 0))</f>
        <v>0</v>
      </c>
      <c r="BK299" s="106"/>
      <c r="BL299" s="106"/>
      <c r="BM299" s="106"/>
      <c r="BN299" s="106"/>
      <c r="BO299" s="106"/>
      <c r="BP299" s="106"/>
      <c r="BQ299" s="106"/>
      <c r="BR299" s="106"/>
      <c r="BS299" s="106"/>
      <c r="BT299" s="106"/>
      <c r="BU299" s="106"/>
      <c r="BV299" s="106"/>
      <c r="BX299" s="106"/>
      <c r="BY299" s="106"/>
      <c r="BZ299" s="106"/>
      <c r="CA299" s="106"/>
      <c r="CB299" s="38">
        <f>IF('Fin Stat'!CB$212&lt;$E299, 1, 0)</f>
        <v>1</v>
      </c>
      <c r="CC299" s="38">
        <f>IF('Fin Stat'!CC$212&lt;$E299, 1, 0)</f>
        <v>1</v>
      </c>
      <c r="CD299" s="38">
        <f>IF('Fin Stat'!CD$212&lt;$E299, 1, 0)</f>
        <v>1</v>
      </c>
      <c r="CE299" s="38">
        <f>IF('Fin Stat'!CE$212&lt;$E299, 1, 0)</f>
        <v>1</v>
      </c>
      <c r="CF299" s="38">
        <f>IF('Fin Stat'!CF$212&lt;$E299, 1, 0)</f>
        <v>1</v>
      </c>
      <c r="CG299" s="38">
        <f>IF('Fin Stat'!CG$212&lt;$E299, 1, 0)</f>
        <v>1</v>
      </c>
      <c r="CH299" s="38">
        <f>IF('Fin Stat'!CH$212&lt;$E299, 1, 0)</f>
        <v>1</v>
      </c>
      <c r="CI299" s="38">
        <f>IF('Fin Stat'!CI$212&lt;$E299, 1, 0)</f>
        <v>1</v>
      </c>
      <c r="CK299" s="11"/>
      <c r="CM299" s="11"/>
      <c r="EX299" s="10" t="str">
        <f t="shared" si="202"/>
        <v/>
      </c>
    </row>
    <row r="300" spans="1:154" x14ac:dyDescent="0.35">
      <c r="B300" t="str">
        <f ca="1">Loans!B$15</f>
        <v>Loan 3</v>
      </c>
      <c r="D300" s="51">
        <f>Loans!D$15</f>
        <v>0</v>
      </c>
      <c r="E300" s="10" t="str">
        <f>IF(Loans!O15="", "", Loans!O15)</f>
        <v/>
      </c>
      <c r="V300" s="106"/>
      <c r="W300" s="106"/>
      <c r="X300" s="106"/>
      <c r="Y300" s="106"/>
      <c r="AA300" s="38">
        <f>IF($E300="", 0, IF('Fin Stat'!AA$212&lt;$E300, 1, 0))</f>
        <v>0</v>
      </c>
      <c r="AB300" s="38">
        <f>IF($E300="", 0, IF('Fin Stat'!AB$212&lt;$E300, 1, 0))</f>
        <v>0</v>
      </c>
      <c r="AC300" s="38">
        <f>IF($E300="", 0, IF('Fin Stat'!AC$212&lt;$E300, 1, 0))</f>
        <v>0</v>
      </c>
      <c r="AD300" s="38">
        <f>IF($E300="", 0, IF('Fin Stat'!AD$212&lt;$E300, 1, 0))</f>
        <v>0</v>
      </c>
      <c r="AE300" s="38">
        <f>IF($E300="", 0, IF('Fin Stat'!AE$212&lt;$E300, 1, 0))</f>
        <v>0</v>
      </c>
      <c r="AF300" s="38">
        <f>IF($E300="", 0, IF('Fin Stat'!AF$212&lt;$E300, 1, 0))</f>
        <v>0</v>
      </c>
      <c r="AG300" s="38">
        <f>IF($E300="", 0, IF('Fin Stat'!AG$212&lt;$E300, 1, 0))</f>
        <v>0</v>
      </c>
      <c r="AH300" s="38">
        <f>IF($E300="", 0, IF('Fin Stat'!AH$212&lt;$E300, 1, 0))</f>
        <v>0</v>
      </c>
      <c r="AI300" s="38">
        <f>IF($E300="", 0, IF('Fin Stat'!AI$212&lt;$E300, 1, 0))</f>
        <v>0</v>
      </c>
      <c r="AJ300" s="38">
        <f>IF($E300="", 0, IF('Fin Stat'!AJ$212&lt;$E300, 1, 0))</f>
        <v>0</v>
      </c>
      <c r="AK300" s="38">
        <f>IF($E300="", 0, IF('Fin Stat'!AK$212&lt;$E300, 1, 0))</f>
        <v>0</v>
      </c>
      <c r="AL300" s="38">
        <f>IF($E300="", 0, IF('Fin Stat'!AL$212&lt;$E300, 1, 0))</f>
        <v>0</v>
      </c>
      <c r="AM300" s="38">
        <f>IF($E300="", 0, IF('Fin Stat'!AM$212&lt;$E300, 1, 0))</f>
        <v>0</v>
      </c>
      <c r="AN300" s="38">
        <f>IF($E300="", 0, IF('Fin Stat'!AN$212&lt;$E300, 1, 0))</f>
        <v>0</v>
      </c>
      <c r="AO300" s="38">
        <f>IF($E300="", 0, IF('Fin Stat'!AO$212&lt;$E300, 1, 0))</f>
        <v>0</v>
      </c>
      <c r="AP300" s="38">
        <f>IF($E300="", 0, IF('Fin Stat'!AP$212&lt;$E300, 1, 0))</f>
        <v>0</v>
      </c>
      <c r="AQ300" s="38">
        <f>IF($E300="", 0, IF('Fin Stat'!AQ$212&lt;$E300, 1, 0))</f>
        <v>0</v>
      </c>
      <c r="AR300" s="38">
        <f>IF($E300="", 0, IF('Fin Stat'!AR$212&lt;$E300, 1, 0))</f>
        <v>0</v>
      </c>
      <c r="AS300" s="38">
        <f>IF($E300="", 0, IF('Fin Stat'!AS$212&lt;$E300, 1, 0))</f>
        <v>0</v>
      </c>
      <c r="AT300" s="38">
        <f>IF($E300="", 0, IF('Fin Stat'!AT$212&lt;$E300, 1, 0))</f>
        <v>0</v>
      </c>
      <c r="AU300" s="38">
        <f>IF($E300="", 0, IF('Fin Stat'!AU$212&lt;$E300, 1, 0))</f>
        <v>0</v>
      </c>
      <c r="AV300" s="38">
        <f>IF($E300="", 0, IF('Fin Stat'!AV$212&lt;$E300, 1, 0))</f>
        <v>0</v>
      </c>
      <c r="AW300" s="38">
        <f>IF($E300="", 0, IF('Fin Stat'!AW$212&lt;$E300, 1, 0))</f>
        <v>0</v>
      </c>
      <c r="AX300" s="38">
        <f>IF($E300="", 0, IF('Fin Stat'!AX$212&lt;$E300, 1, 0))</f>
        <v>0</v>
      </c>
      <c r="AY300" s="38">
        <f>IF($E300="", 0, IF('Fin Stat'!AY$212&lt;$E300, 1, 0))</f>
        <v>0</v>
      </c>
      <c r="AZ300" s="38">
        <f>IF($E300="", 0, IF('Fin Stat'!AZ$212&lt;$E300, 1, 0))</f>
        <v>0</v>
      </c>
      <c r="BA300" s="38">
        <f>IF($E300="", 0, IF('Fin Stat'!BA$212&lt;$E300, 1, 0))</f>
        <v>0</v>
      </c>
      <c r="BB300" s="38">
        <f>IF($E300="", 0, IF('Fin Stat'!BB$212&lt;$E300, 1, 0))</f>
        <v>0</v>
      </c>
      <c r="BC300" s="38">
        <f>IF($E300="", 0, IF('Fin Stat'!BC$212&lt;$E300, 1, 0))</f>
        <v>0</v>
      </c>
      <c r="BD300" s="38">
        <f>IF($E300="", 0, IF('Fin Stat'!BD$212&lt;$E300, 1, 0))</f>
        <v>0</v>
      </c>
      <c r="BE300" s="38">
        <f>IF($E300="", 0, IF('Fin Stat'!BE$212&lt;$E300, 1, 0))</f>
        <v>0</v>
      </c>
      <c r="BF300" s="38">
        <f>IF($E300="", 0, IF('Fin Stat'!BF$212&lt;$E300, 1, 0))</f>
        <v>0</v>
      </c>
      <c r="BG300" s="38">
        <f>IF($E300="", 0, IF('Fin Stat'!BG$212&lt;$E300, 1, 0))</f>
        <v>0</v>
      </c>
      <c r="BH300" s="38">
        <f>IF($E300="", 0, IF('Fin Stat'!BH$212&lt;$E300, 1, 0))</f>
        <v>0</v>
      </c>
      <c r="BI300" s="38">
        <f>IF($E300="", 0, IF('Fin Stat'!BI$212&lt;$E300, 1, 0))</f>
        <v>0</v>
      </c>
      <c r="BJ300" s="38">
        <f>IF($E300="", 0, IF('Fin Stat'!BJ$212&lt;$E300, 1, 0))</f>
        <v>0</v>
      </c>
      <c r="BK300" s="106"/>
      <c r="BL300" s="106"/>
      <c r="BM300" s="106"/>
      <c r="BN300" s="106"/>
      <c r="BO300" s="106"/>
      <c r="BP300" s="106"/>
      <c r="BQ300" s="106"/>
      <c r="BR300" s="106"/>
      <c r="BS300" s="106"/>
      <c r="BT300" s="106"/>
      <c r="BU300" s="106"/>
      <c r="BV300" s="106"/>
      <c r="BX300" s="106"/>
      <c r="BY300" s="106"/>
      <c r="BZ300" s="106"/>
      <c r="CA300" s="106"/>
      <c r="CB300" s="38">
        <f>IF('Fin Stat'!CB$212&lt;$E300, 1, 0)</f>
        <v>1</v>
      </c>
      <c r="CC300" s="38">
        <f>IF('Fin Stat'!CC$212&lt;$E300, 1, 0)</f>
        <v>1</v>
      </c>
      <c r="CD300" s="38">
        <f>IF('Fin Stat'!CD$212&lt;$E300, 1, 0)</f>
        <v>1</v>
      </c>
      <c r="CE300" s="38">
        <f>IF('Fin Stat'!CE$212&lt;$E300, 1, 0)</f>
        <v>1</v>
      </c>
      <c r="CF300" s="38">
        <f>IF('Fin Stat'!CF$212&lt;$E300, 1, 0)</f>
        <v>1</v>
      </c>
      <c r="CG300" s="38">
        <f>IF('Fin Stat'!CG$212&lt;$E300, 1, 0)</f>
        <v>1</v>
      </c>
      <c r="CH300" s="38">
        <f>IF('Fin Stat'!CH$212&lt;$E300, 1, 0)</f>
        <v>1</v>
      </c>
      <c r="CI300" s="38">
        <f>IF('Fin Stat'!CI$212&lt;$E300, 1, 0)</f>
        <v>1</v>
      </c>
      <c r="CK300" s="11"/>
      <c r="CM300" s="11"/>
      <c r="EX300" s="10" t="str">
        <f t="shared" si="202"/>
        <v/>
      </c>
    </row>
    <row r="301" spans="1:154" x14ac:dyDescent="0.35">
      <c r="B301" t="str">
        <f ca="1">Loans!B$16</f>
        <v>Loan 4</v>
      </c>
      <c r="D301" s="51">
        <f>Loans!D$16</f>
        <v>0</v>
      </c>
      <c r="E301" s="10" t="str">
        <f>IF(Loans!O16="", "", Loans!O16)</f>
        <v/>
      </c>
      <c r="V301" s="106"/>
      <c r="W301" s="106"/>
      <c r="X301" s="106"/>
      <c r="Y301" s="106"/>
      <c r="AA301" s="38">
        <f>IF($E301="", 0, IF('Fin Stat'!AA$212&lt;$E301, 1, 0))</f>
        <v>0</v>
      </c>
      <c r="AB301" s="38">
        <f>IF($E301="", 0, IF('Fin Stat'!AB$212&lt;$E301, 1, 0))</f>
        <v>0</v>
      </c>
      <c r="AC301" s="38">
        <f>IF($E301="", 0, IF('Fin Stat'!AC$212&lt;$E301, 1, 0))</f>
        <v>0</v>
      </c>
      <c r="AD301" s="38">
        <f>IF($E301="", 0, IF('Fin Stat'!AD$212&lt;$E301, 1, 0))</f>
        <v>0</v>
      </c>
      <c r="AE301" s="38">
        <f>IF($E301="", 0, IF('Fin Stat'!AE$212&lt;$E301, 1, 0))</f>
        <v>0</v>
      </c>
      <c r="AF301" s="38">
        <f>IF($E301="", 0, IF('Fin Stat'!AF$212&lt;$E301, 1, 0))</f>
        <v>0</v>
      </c>
      <c r="AG301" s="38">
        <f>IF($E301="", 0, IF('Fin Stat'!AG$212&lt;$E301, 1, 0))</f>
        <v>0</v>
      </c>
      <c r="AH301" s="38">
        <f>IF($E301="", 0, IF('Fin Stat'!AH$212&lt;$E301, 1, 0))</f>
        <v>0</v>
      </c>
      <c r="AI301" s="38">
        <f>IF($E301="", 0, IF('Fin Stat'!AI$212&lt;$E301, 1, 0))</f>
        <v>0</v>
      </c>
      <c r="AJ301" s="38">
        <f>IF($E301="", 0, IF('Fin Stat'!AJ$212&lt;$E301, 1, 0))</f>
        <v>0</v>
      </c>
      <c r="AK301" s="38">
        <f>IF($E301="", 0, IF('Fin Stat'!AK$212&lt;$E301, 1, 0))</f>
        <v>0</v>
      </c>
      <c r="AL301" s="38">
        <f>IF($E301="", 0, IF('Fin Stat'!AL$212&lt;$E301, 1, 0))</f>
        <v>0</v>
      </c>
      <c r="AM301" s="38">
        <f>IF($E301="", 0, IF('Fin Stat'!AM$212&lt;$E301, 1, 0))</f>
        <v>0</v>
      </c>
      <c r="AN301" s="38">
        <f>IF($E301="", 0, IF('Fin Stat'!AN$212&lt;$E301, 1, 0))</f>
        <v>0</v>
      </c>
      <c r="AO301" s="38">
        <f>IF($E301="", 0, IF('Fin Stat'!AO$212&lt;$E301, 1, 0))</f>
        <v>0</v>
      </c>
      <c r="AP301" s="38">
        <f>IF($E301="", 0, IF('Fin Stat'!AP$212&lt;$E301, 1, 0))</f>
        <v>0</v>
      </c>
      <c r="AQ301" s="38">
        <f>IF($E301="", 0, IF('Fin Stat'!AQ$212&lt;$E301, 1, 0))</f>
        <v>0</v>
      </c>
      <c r="AR301" s="38">
        <f>IF($E301="", 0, IF('Fin Stat'!AR$212&lt;$E301, 1, 0))</f>
        <v>0</v>
      </c>
      <c r="AS301" s="38">
        <f>IF($E301="", 0, IF('Fin Stat'!AS$212&lt;$E301, 1, 0))</f>
        <v>0</v>
      </c>
      <c r="AT301" s="38">
        <f>IF($E301="", 0, IF('Fin Stat'!AT$212&lt;$E301, 1, 0))</f>
        <v>0</v>
      </c>
      <c r="AU301" s="38">
        <f>IF($E301="", 0, IF('Fin Stat'!AU$212&lt;$E301, 1, 0))</f>
        <v>0</v>
      </c>
      <c r="AV301" s="38">
        <f>IF($E301="", 0, IF('Fin Stat'!AV$212&lt;$E301, 1, 0))</f>
        <v>0</v>
      </c>
      <c r="AW301" s="38">
        <f>IF($E301="", 0, IF('Fin Stat'!AW$212&lt;$E301, 1, 0))</f>
        <v>0</v>
      </c>
      <c r="AX301" s="38">
        <f>IF($E301="", 0, IF('Fin Stat'!AX$212&lt;$E301, 1, 0))</f>
        <v>0</v>
      </c>
      <c r="AY301" s="38">
        <f>IF($E301="", 0, IF('Fin Stat'!AY$212&lt;$E301, 1, 0))</f>
        <v>0</v>
      </c>
      <c r="AZ301" s="38">
        <f>IF($E301="", 0, IF('Fin Stat'!AZ$212&lt;$E301, 1, 0))</f>
        <v>0</v>
      </c>
      <c r="BA301" s="38">
        <f>IF($E301="", 0, IF('Fin Stat'!BA$212&lt;$E301, 1, 0))</f>
        <v>0</v>
      </c>
      <c r="BB301" s="38">
        <f>IF($E301="", 0, IF('Fin Stat'!BB$212&lt;$E301, 1, 0))</f>
        <v>0</v>
      </c>
      <c r="BC301" s="38">
        <f>IF($E301="", 0, IF('Fin Stat'!BC$212&lt;$E301, 1, 0))</f>
        <v>0</v>
      </c>
      <c r="BD301" s="38">
        <f>IF($E301="", 0, IF('Fin Stat'!BD$212&lt;$E301, 1, 0))</f>
        <v>0</v>
      </c>
      <c r="BE301" s="38">
        <f>IF($E301="", 0, IF('Fin Stat'!BE$212&lt;$E301, 1, 0))</f>
        <v>0</v>
      </c>
      <c r="BF301" s="38">
        <f>IF($E301="", 0, IF('Fin Stat'!BF$212&lt;$E301, 1, 0))</f>
        <v>0</v>
      </c>
      <c r="BG301" s="38">
        <f>IF($E301="", 0, IF('Fin Stat'!BG$212&lt;$E301, 1, 0))</f>
        <v>0</v>
      </c>
      <c r="BH301" s="38">
        <f>IF($E301="", 0, IF('Fin Stat'!BH$212&lt;$E301, 1, 0))</f>
        <v>0</v>
      </c>
      <c r="BI301" s="38">
        <f>IF($E301="", 0, IF('Fin Stat'!BI$212&lt;$E301, 1, 0))</f>
        <v>0</v>
      </c>
      <c r="BJ301" s="38">
        <f>IF($E301="", 0, IF('Fin Stat'!BJ$212&lt;$E301, 1, 0))</f>
        <v>0</v>
      </c>
      <c r="BK301" s="106"/>
      <c r="BL301" s="106"/>
      <c r="BM301" s="106"/>
      <c r="BN301" s="106"/>
      <c r="BO301" s="106"/>
      <c r="BP301" s="106"/>
      <c r="BQ301" s="106"/>
      <c r="BR301" s="106"/>
      <c r="BS301" s="106"/>
      <c r="BT301" s="106"/>
      <c r="BU301" s="106"/>
      <c r="BV301" s="106"/>
      <c r="BX301" s="106"/>
      <c r="BY301" s="106"/>
      <c r="BZ301" s="106"/>
      <c r="CA301" s="106"/>
      <c r="CB301" s="38">
        <f>IF('Fin Stat'!CB$212&lt;$E301, 1, 0)</f>
        <v>1</v>
      </c>
      <c r="CC301" s="38">
        <f>IF('Fin Stat'!CC$212&lt;$E301, 1, 0)</f>
        <v>1</v>
      </c>
      <c r="CD301" s="38">
        <f>IF('Fin Stat'!CD$212&lt;$E301, 1, 0)</f>
        <v>1</v>
      </c>
      <c r="CE301" s="38">
        <f>IF('Fin Stat'!CE$212&lt;$E301, 1, 0)</f>
        <v>1</v>
      </c>
      <c r="CF301" s="38">
        <f>IF('Fin Stat'!CF$212&lt;$E301, 1, 0)</f>
        <v>1</v>
      </c>
      <c r="CG301" s="38">
        <f>IF('Fin Stat'!CG$212&lt;$E301, 1, 0)</f>
        <v>1</v>
      </c>
      <c r="CH301" s="38">
        <f>IF('Fin Stat'!CH$212&lt;$E301, 1, 0)</f>
        <v>1</v>
      </c>
      <c r="CI301" s="38">
        <f>IF('Fin Stat'!CI$212&lt;$E301, 1, 0)</f>
        <v>1</v>
      </c>
      <c r="CK301" s="11"/>
      <c r="CM301" s="11"/>
      <c r="EX301" s="10" t="str">
        <f t="shared" si="202"/>
        <v/>
      </c>
    </row>
    <row r="302" spans="1:154" x14ac:dyDescent="0.35">
      <c r="B302" t="str">
        <f ca="1">Loans!B$17</f>
        <v>Loan 5</v>
      </c>
      <c r="D302" s="51">
        <f>Loans!D$17</f>
        <v>0</v>
      </c>
      <c r="E302" s="10" t="str">
        <f>IF(Loans!O17="", "", Loans!O17)</f>
        <v/>
      </c>
      <c r="V302" s="106"/>
      <c r="W302" s="106"/>
      <c r="X302" s="106"/>
      <c r="Y302" s="106"/>
      <c r="AA302" s="38">
        <f>IF($E302="", 0, IF('Fin Stat'!AA$212&lt;$E302, 1, 0))</f>
        <v>0</v>
      </c>
      <c r="AB302" s="38">
        <f>IF($E302="", 0, IF('Fin Stat'!AB$212&lt;$E302, 1, 0))</f>
        <v>0</v>
      </c>
      <c r="AC302" s="38">
        <f>IF($E302="", 0, IF('Fin Stat'!AC$212&lt;$E302, 1, 0))</f>
        <v>0</v>
      </c>
      <c r="AD302" s="38">
        <f>IF($E302="", 0, IF('Fin Stat'!AD$212&lt;$E302, 1, 0))</f>
        <v>0</v>
      </c>
      <c r="AE302" s="38">
        <f>IF($E302="", 0, IF('Fin Stat'!AE$212&lt;$E302, 1, 0))</f>
        <v>0</v>
      </c>
      <c r="AF302" s="38">
        <f>IF($E302="", 0, IF('Fin Stat'!AF$212&lt;$E302, 1, 0))</f>
        <v>0</v>
      </c>
      <c r="AG302" s="38">
        <f>IF($E302="", 0, IF('Fin Stat'!AG$212&lt;$E302, 1, 0))</f>
        <v>0</v>
      </c>
      <c r="AH302" s="38">
        <f>IF($E302="", 0, IF('Fin Stat'!AH$212&lt;$E302, 1, 0))</f>
        <v>0</v>
      </c>
      <c r="AI302" s="38">
        <f>IF($E302="", 0, IF('Fin Stat'!AI$212&lt;$E302, 1, 0))</f>
        <v>0</v>
      </c>
      <c r="AJ302" s="38">
        <f>IF($E302="", 0, IF('Fin Stat'!AJ$212&lt;$E302, 1, 0))</f>
        <v>0</v>
      </c>
      <c r="AK302" s="38">
        <f>IF($E302="", 0, IF('Fin Stat'!AK$212&lt;$E302, 1, 0))</f>
        <v>0</v>
      </c>
      <c r="AL302" s="38">
        <f>IF($E302="", 0, IF('Fin Stat'!AL$212&lt;$E302, 1, 0))</f>
        <v>0</v>
      </c>
      <c r="AM302" s="38">
        <f>IF($E302="", 0, IF('Fin Stat'!AM$212&lt;$E302, 1, 0))</f>
        <v>0</v>
      </c>
      <c r="AN302" s="38">
        <f>IF($E302="", 0, IF('Fin Stat'!AN$212&lt;$E302, 1, 0))</f>
        <v>0</v>
      </c>
      <c r="AO302" s="38">
        <f>IF($E302="", 0, IF('Fin Stat'!AO$212&lt;$E302, 1, 0))</f>
        <v>0</v>
      </c>
      <c r="AP302" s="38">
        <f>IF($E302="", 0, IF('Fin Stat'!AP$212&lt;$E302, 1, 0))</f>
        <v>0</v>
      </c>
      <c r="AQ302" s="38">
        <f>IF($E302="", 0, IF('Fin Stat'!AQ$212&lt;$E302, 1, 0))</f>
        <v>0</v>
      </c>
      <c r="AR302" s="38">
        <f>IF($E302="", 0, IF('Fin Stat'!AR$212&lt;$E302, 1, 0))</f>
        <v>0</v>
      </c>
      <c r="AS302" s="38">
        <f>IF($E302="", 0, IF('Fin Stat'!AS$212&lt;$E302, 1, 0))</f>
        <v>0</v>
      </c>
      <c r="AT302" s="38">
        <f>IF($E302="", 0, IF('Fin Stat'!AT$212&lt;$E302, 1, 0))</f>
        <v>0</v>
      </c>
      <c r="AU302" s="38">
        <f>IF($E302="", 0, IF('Fin Stat'!AU$212&lt;$E302, 1, 0))</f>
        <v>0</v>
      </c>
      <c r="AV302" s="38">
        <f>IF($E302="", 0, IF('Fin Stat'!AV$212&lt;$E302, 1, 0))</f>
        <v>0</v>
      </c>
      <c r="AW302" s="38">
        <f>IF($E302="", 0, IF('Fin Stat'!AW$212&lt;$E302, 1, 0))</f>
        <v>0</v>
      </c>
      <c r="AX302" s="38">
        <f>IF($E302="", 0, IF('Fin Stat'!AX$212&lt;$E302, 1, 0))</f>
        <v>0</v>
      </c>
      <c r="AY302" s="38">
        <f>IF($E302="", 0, IF('Fin Stat'!AY$212&lt;$E302, 1, 0))</f>
        <v>0</v>
      </c>
      <c r="AZ302" s="38">
        <f>IF($E302="", 0, IF('Fin Stat'!AZ$212&lt;$E302, 1, 0))</f>
        <v>0</v>
      </c>
      <c r="BA302" s="38">
        <f>IF($E302="", 0, IF('Fin Stat'!BA$212&lt;$E302, 1, 0))</f>
        <v>0</v>
      </c>
      <c r="BB302" s="38">
        <f>IF($E302="", 0, IF('Fin Stat'!BB$212&lt;$E302, 1, 0))</f>
        <v>0</v>
      </c>
      <c r="BC302" s="38">
        <f>IF($E302="", 0, IF('Fin Stat'!BC$212&lt;$E302, 1, 0))</f>
        <v>0</v>
      </c>
      <c r="BD302" s="38">
        <f>IF($E302="", 0, IF('Fin Stat'!BD$212&lt;$E302, 1, 0))</f>
        <v>0</v>
      </c>
      <c r="BE302" s="38">
        <f>IF($E302="", 0, IF('Fin Stat'!BE$212&lt;$E302, 1, 0))</f>
        <v>0</v>
      </c>
      <c r="BF302" s="38">
        <f>IF($E302="", 0, IF('Fin Stat'!BF$212&lt;$E302, 1, 0))</f>
        <v>0</v>
      </c>
      <c r="BG302" s="38">
        <f>IF($E302="", 0, IF('Fin Stat'!BG$212&lt;$E302, 1, 0))</f>
        <v>0</v>
      </c>
      <c r="BH302" s="38">
        <f>IF($E302="", 0, IF('Fin Stat'!BH$212&lt;$E302, 1, 0))</f>
        <v>0</v>
      </c>
      <c r="BI302" s="38">
        <f>IF($E302="", 0, IF('Fin Stat'!BI$212&lt;$E302, 1, 0))</f>
        <v>0</v>
      </c>
      <c r="BJ302" s="38">
        <f>IF($E302="", 0, IF('Fin Stat'!BJ$212&lt;$E302, 1, 0))</f>
        <v>0</v>
      </c>
      <c r="BK302" s="106"/>
      <c r="BL302" s="106"/>
      <c r="BM302" s="106"/>
      <c r="BN302" s="106"/>
      <c r="BO302" s="106"/>
      <c r="BP302" s="106"/>
      <c r="BQ302" s="106"/>
      <c r="BR302" s="106"/>
      <c r="BS302" s="106"/>
      <c r="BT302" s="106"/>
      <c r="BU302" s="106"/>
      <c r="BV302" s="106"/>
      <c r="BX302" s="106"/>
      <c r="BY302" s="106"/>
      <c r="BZ302" s="106"/>
      <c r="CA302" s="106"/>
      <c r="CB302" s="38">
        <f>IF('Fin Stat'!CB$212&lt;$E302, 1, 0)</f>
        <v>1</v>
      </c>
      <c r="CC302" s="38">
        <f>IF('Fin Stat'!CC$212&lt;$E302, 1, 0)</f>
        <v>1</v>
      </c>
      <c r="CD302" s="38">
        <f>IF('Fin Stat'!CD$212&lt;$E302, 1, 0)</f>
        <v>1</v>
      </c>
      <c r="CE302" s="38">
        <f>IF('Fin Stat'!CE$212&lt;$E302, 1, 0)</f>
        <v>1</v>
      </c>
      <c r="CF302" s="38">
        <f>IF('Fin Stat'!CF$212&lt;$E302, 1, 0)</f>
        <v>1</v>
      </c>
      <c r="CG302" s="38">
        <f>IF('Fin Stat'!CG$212&lt;$E302, 1, 0)</f>
        <v>1</v>
      </c>
      <c r="CH302" s="38">
        <f>IF('Fin Stat'!CH$212&lt;$E302, 1, 0)</f>
        <v>1</v>
      </c>
      <c r="CI302" s="38">
        <f>IF('Fin Stat'!CI$212&lt;$E302, 1, 0)</f>
        <v>1</v>
      </c>
      <c r="CK302" s="11"/>
      <c r="CM302" s="11"/>
      <c r="EX302" s="10" t="str">
        <f t="shared" si="202"/>
        <v/>
      </c>
    </row>
    <row r="303" spans="1:154" x14ac:dyDescent="0.35">
      <c r="B303" t="str">
        <f ca="1">Loans!B$18</f>
        <v>Loan 6</v>
      </c>
      <c r="D303" s="51">
        <f>Loans!D$18</f>
        <v>0</v>
      </c>
      <c r="E303" s="10" t="str">
        <f>IF(Loans!O18="", "", Loans!O18)</f>
        <v/>
      </c>
      <c r="V303" s="106"/>
      <c r="W303" s="106"/>
      <c r="X303" s="106"/>
      <c r="Y303" s="106"/>
      <c r="AA303" s="38">
        <f>IF($E303="", 0, IF('Fin Stat'!AA$212&lt;$E303, 1, 0))</f>
        <v>0</v>
      </c>
      <c r="AB303" s="38">
        <f>IF($E303="", 0, IF('Fin Stat'!AB$212&lt;$E303, 1, 0))</f>
        <v>0</v>
      </c>
      <c r="AC303" s="38">
        <f>IF($E303="", 0, IF('Fin Stat'!AC$212&lt;$E303, 1, 0))</f>
        <v>0</v>
      </c>
      <c r="AD303" s="38">
        <f>IF($E303="", 0, IF('Fin Stat'!AD$212&lt;$E303, 1, 0))</f>
        <v>0</v>
      </c>
      <c r="AE303" s="38">
        <f>IF($E303="", 0, IF('Fin Stat'!AE$212&lt;$E303, 1, 0))</f>
        <v>0</v>
      </c>
      <c r="AF303" s="38">
        <f>IF($E303="", 0, IF('Fin Stat'!AF$212&lt;$E303, 1, 0))</f>
        <v>0</v>
      </c>
      <c r="AG303" s="38">
        <f>IF($E303="", 0, IF('Fin Stat'!AG$212&lt;$E303, 1, 0))</f>
        <v>0</v>
      </c>
      <c r="AH303" s="38">
        <f>IF($E303="", 0, IF('Fin Stat'!AH$212&lt;$E303, 1, 0))</f>
        <v>0</v>
      </c>
      <c r="AI303" s="38">
        <f>IF($E303="", 0, IF('Fin Stat'!AI$212&lt;$E303, 1, 0))</f>
        <v>0</v>
      </c>
      <c r="AJ303" s="38">
        <f>IF($E303="", 0, IF('Fin Stat'!AJ$212&lt;$E303, 1, 0))</f>
        <v>0</v>
      </c>
      <c r="AK303" s="38">
        <f>IF($E303="", 0, IF('Fin Stat'!AK$212&lt;$E303, 1, 0))</f>
        <v>0</v>
      </c>
      <c r="AL303" s="38">
        <f>IF($E303="", 0, IF('Fin Stat'!AL$212&lt;$E303, 1, 0))</f>
        <v>0</v>
      </c>
      <c r="AM303" s="38">
        <f>IF($E303="", 0, IF('Fin Stat'!AM$212&lt;$E303, 1, 0))</f>
        <v>0</v>
      </c>
      <c r="AN303" s="38">
        <f>IF($E303="", 0, IF('Fin Stat'!AN$212&lt;$E303, 1, 0))</f>
        <v>0</v>
      </c>
      <c r="AO303" s="38">
        <f>IF($E303="", 0, IF('Fin Stat'!AO$212&lt;$E303, 1, 0))</f>
        <v>0</v>
      </c>
      <c r="AP303" s="38">
        <f>IF($E303="", 0, IF('Fin Stat'!AP$212&lt;$E303, 1, 0))</f>
        <v>0</v>
      </c>
      <c r="AQ303" s="38">
        <f>IF($E303="", 0, IF('Fin Stat'!AQ$212&lt;$E303, 1, 0))</f>
        <v>0</v>
      </c>
      <c r="AR303" s="38">
        <f>IF($E303="", 0, IF('Fin Stat'!AR$212&lt;$E303, 1, 0))</f>
        <v>0</v>
      </c>
      <c r="AS303" s="38">
        <f>IF($E303="", 0, IF('Fin Stat'!AS$212&lt;$E303, 1, 0))</f>
        <v>0</v>
      </c>
      <c r="AT303" s="38">
        <f>IF($E303="", 0, IF('Fin Stat'!AT$212&lt;$E303, 1, 0))</f>
        <v>0</v>
      </c>
      <c r="AU303" s="38">
        <f>IF($E303="", 0, IF('Fin Stat'!AU$212&lt;$E303, 1, 0))</f>
        <v>0</v>
      </c>
      <c r="AV303" s="38">
        <f>IF($E303="", 0, IF('Fin Stat'!AV$212&lt;$E303, 1, 0))</f>
        <v>0</v>
      </c>
      <c r="AW303" s="38">
        <f>IF($E303="", 0, IF('Fin Stat'!AW$212&lt;$E303, 1, 0))</f>
        <v>0</v>
      </c>
      <c r="AX303" s="38">
        <f>IF($E303="", 0, IF('Fin Stat'!AX$212&lt;$E303, 1, 0))</f>
        <v>0</v>
      </c>
      <c r="AY303" s="38">
        <f>IF($E303="", 0, IF('Fin Stat'!AY$212&lt;$E303, 1, 0))</f>
        <v>0</v>
      </c>
      <c r="AZ303" s="38">
        <f>IF($E303="", 0, IF('Fin Stat'!AZ$212&lt;$E303, 1, 0))</f>
        <v>0</v>
      </c>
      <c r="BA303" s="38">
        <f>IF($E303="", 0, IF('Fin Stat'!BA$212&lt;$E303, 1, 0))</f>
        <v>0</v>
      </c>
      <c r="BB303" s="38">
        <f>IF($E303="", 0, IF('Fin Stat'!BB$212&lt;$E303, 1, 0))</f>
        <v>0</v>
      </c>
      <c r="BC303" s="38">
        <f>IF($E303="", 0, IF('Fin Stat'!BC$212&lt;$E303, 1, 0))</f>
        <v>0</v>
      </c>
      <c r="BD303" s="38">
        <f>IF($E303="", 0, IF('Fin Stat'!BD$212&lt;$E303, 1, 0))</f>
        <v>0</v>
      </c>
      <c r="BE303" s="38">
        <f>IF($E303="", 0, IF('Fin Stat'!BE$212&lt;$E303, 1, 0))</f>
        <v>0</v>
      </c>
      <c r="BF303" s="38">
        <f>IF($E303="", 0, IF('Fin Stat'!BF$212&lt;$E303, 1, 0))</f>
        <v>0</v>
      </c>
      <c r="BG303" s="38">
        <f>IF($E303="", 0, IF('Fin Stat'!BG$212&lt;$E303, 1, 0))</f>
        <v>0</v>
      </c>
      <c r="BH303" s="38">
        <f>IF($E303="", 0, IF('Fin Stat'!BH$212&lt;$E303, 1, 0))</f>
        <v>0</v>
      </c>
      <c r="BI303" s="38">
        <f>IF($E303="", 0, IF('Fin Stat'!BI$212&lt;$E303, 1, 0))</f>
        <v>0</v>
      </c>
      <c r="BJ303" s="38">
        <f>IF($E303="", 0, IF('Fin Stat'!BJ$212&lt;$E303, 1, 0))</f>
        <v>0</v>
      </c>
      <c r="BK303" s="106"/>
      <c r="BL303" s="106"/>
      <c r="BM303" s="106"/>
      <c r="BN303" s="106"/>
      <c r="BO303" s="106"/>
      <c r="BP303" s="106"/>
      <c r="BQ303" s="106"/>
      <c r="BR303" s="106"/>
      <c r="BS303" s="106"/>
      <c r="BT303" s="106"/>
      <c r="BU303" s="106"/>
      <c r="BV303" s="106"/>
      <c r="BX303" s="106"/>
      <c r="BY303" s="106"/>
      <c r="BZ303" s="106"/>
      <c r="CA303" s="106"/>
      <c r="CB303" s="38">
        <f>IF('Fin Stat'!CB$212&lt;$E303, 1, 0)</f>
        <v>1</v>
      </c>
      <c r="CC303" s="38">
        <f>IF('Fin Stat'!CC$212&lt;$E303, 1, 0)</f>
        <v>1</v>
      </c>
      <c r="CD303" s="38">
        <f>IF('Fin Stat'!CD$212&lt;$E303, 1, 0)</f>
        <v>1</v>
      </c>
      <c r="CE303" s="38">
        <f>IF('Fin Stat'!CE$212&lt;$E303, 1, 0)</f>
        <v>1</v>
      </c>
      <c r="CF303" s="38">
        <f>IF('Fin Stat'!CF$212&lt;$E303, 1, 0)</f>
        <v>1</v>
      </c>
      <c r="CG303" s="38">
        <f>IF('Fin Stat'!CG$212&lt;$E303, 1, 0)</f>
        <v>1</v>
      </c>
      <c r="CH303" s="38">
        <f>IF('Fin Stat'!CH$212&lt;$E303, 1, 0)</f>
        <v>1</v>
      </c>
      <c r="CI303" s="38">
        <f>IF('Fin Stat'!CI$212&lt;$E303, 1, 0)</f>
        <v>1</v>
      </c>
      <c r="CK303" s="11"/>
      <c r="CM303" s="11"/>
      <c r="EX303" s="10" t="str">
        <f t="shared" si="202"/>
        <v/>
      </c>
    </row>
    <row r="304" spans="1:154" s="5" customFormat="1" x14ac:dyDescent="0.35">
      <c r="A304"/>
      <c r="B304" t="str">
        <f ca="1">Loans!B$19</f>
        <v>Loan 7</v>
      </c>
      <c r="D304" s="51">
        <f>Loans!D$19</f>
        <v>0</v>
      </c>
      <c r="E304" s="10" t="str">
        <f>IF(Loans!O19="", "", Loans!O19)</f>
        <v/>
      </c>
      <c r="F304"/>
      <c r="G304"/>
      <c r="H304"/>
      <c r="I304"/>
      <c r="J304"/>
      <c r="K304"/>
      <c r="M304"/>
      <c r="N304"/>
      <c r="O304"/>
      <c r="P304"/>
      <c r="Q304"/>
      <c r="S304"/>
      <c r="T304"/>
      <c r="U304"/>
      <c r="V304" s="106"/>
      <c r="W304" s="106"/>
      <c r="X304" s="106"/>
      <c r="Y304" s="106"/>
      <c r="Z304"/>
      <c r="AA304" s="38">
        <f>IF($E304="", 0, IF('Fin Stat'!AA$212&lt;$E304, 1, 0))</f>
        <v>0</v>
      </c>
      <c r="AB304" s="38">
        <f>IF($E304="", 0, IF('Fin Stat'!AB$212&lt;$E304, 1, 0))</f>
        <v>0</v>
      </c>
      <c r="AC304" s="38">
        <f>IF($E304="", 0, IF('Fin Stat'!AC$212&lt;$E304, 1, 0))</f>
        <v>0</v>
      </c>
      <c r="AD304" s="38">
        <f>IF($E304="", 0, IF('Fin Stat'!AD$212&lt;$E304, 1, 0))</f>
        <v>0</v>
      </c>
      <c r="AE304" s="38">
        <f>IF($E304="", 0, IF('Fin Stat'!AE$212&lt;$E304, 1, 0))</f>
        <v>0</v>
      </c>
      <c r="AF304" s="38">
        <f>IF($E304="", 0, IF('Fin Stat'!AF$212&lt;$E304, 1, 0))</f>
        <v>0</v>
      </c>
      <c r="AG304" s="38">
        <f>IF($E304="", 0, IF('Fin Stat'!AG$212&lt;$E304, 1, 0))</f>
        <v>0</v>
      </c>
      <c r="AH304" s="38">
        <f>IF($E304="", 0, IF('Fin Stat'!AH$212&lt;$E304, 1, 0))</f>
        <v>0</v>
      </c>
      <c r="AI304" s="38">
        <f>IF($E304="", 0, IF('Fin Stat'!AI$212&lt;$E304, 1, 0))</f>
        <v>0</v>
      </c>
      <c r="AJ304" s="38">
        <f>IF($E304="", 0, IF('Fin Stat'!AJ$212&lt;$E304, 1, 0))</f>
        <v>0</v>
      </c>
      <c r="AK304" s="38">
        <f>IF($E304="", 0, IF('Fin Stat'!AK$212&lt;$E304, 1, 0))</f>
        <v>0</v>
      </c>
      <c r="AL304" s="38">
        <f>IF($E304="", 0, IF('Fin Stat'!AL$212&lt;$E304, 1, 0))</f>
        <v>0</v>
      </c>
      <c r="AM304" s="38">
        <f>IF($E304="", 0, IF('Fin Stat'!AM$212&lt;$E304, 1, 0))</f>
        <v>0</v>
      </c>
      <c r="AN304" s="38">
        <f>IF($E304="", 0, IF('Fin Stat'!AN$212&lt;$E304, 1, 0))</f>
        <v>0</v>
      </c>
      <c r="AO304" s="38">
        <f>IF($E304="", 0, IF('Fin Stat'!AO$212&lt;$E304, 1, 0))</f>
        <v>0</v>
      </c>
      <c r="AP304" s="38">
        <f>IF($E304="", 0, IF('Fin Stat'!AP$212&lt;$E304, 1, 0))</f>
        <v>0</v>
      </c>
      <c r="AQ304" s="38">
        <f>IF($E304="", 0, IF('Fin Stat'!AQ$212&lt;$E304, 1, 0))</f>
        <v>0</v>
      </c>
      <c r="AR304" s="38">
        <f>IF($E304="", 0, IF('Fin Stat'!AR$212&lt;$E304, 1, 0))</f>
        <v>0</v>
      </c>
      <c r="AS304" s="38">
        <f>IF($E304="", 0, IF('Fin Stat'!AS$212&lt;$E304, 1, 0))</f>
        <v>0</v>
      </c>
      <c r="AT304" s="38">
        <f>IF($E304="", 0, IF('Fin Stat'!AT$212&lt;$E304, 1, 0))</f>
        <v>0</v>
      </c>
      <c r="AU304" s="38">
        <f>IF($E304="", 0, IF('Fin Stat'!AU$212&lt;$E304, 1, 0))</f>
        <v>0</v>
      </c>
      <c r="AV304" s="38">
        <f>IF($E304="", 0, IF('Fin Stat'!AV$212&lt;$E304, 1, 0))</f>
        <v>0</v>
      </c>
      <c r="AW304" s="38">
        <f>IF($E304="", 0, IF('Fin Stat'!AW$212&lt;$E304, 1, 0))</f>
        <v>0</v>
      </c>
      <c r="AX304" s="38">
        <f>IF($E304="", 0, IF('Fin Stat'!AX$212&lt;$E304, 1, 0))</f>
        <v>0</v>
      </c>
      <c r="AY304" s="38">
        <f>IF($E304="", 0, IF('Fin Stat'!AY$212&lt;$E304, 1, 0))</f>
        <v>0</v>
      </c>
      <c r="AZ304" s="38">
        <f>IF($E304="", 0, IF('Fin Stat'!AZ$212&lt;$E304, 1, 0))</f>
        <v>0</v>
      </c>
      <c r="BA304" s="38">
        <f>IF($E304="", 0, IF('Fin Stat'!BA$212&lt;$E304, 1, 0))</f>
        <v>0</v>
      </c>
      <c r="BB304" s="38">
        <f>IF($E304="", 0, IF('Fin Stat'!BB$212&lt;$E304, 1, 0))</f>
        <v>0</v>
      </c>
      <c r="BC304" s="38">
        <f>IF($E304="", 0, IF('Fin Stat'!BC$212&lt;$E304, 1, 0))</f>
        <v>0</v>
      </c>
      <c r="BD304" s="38">
        <f>IF($E304="", 0, IF('Fin Stat'!BD$212&lt;$E304, 1, 0))</f>
        <v>0</v>
      </c>
      <c r="BE304" s="38">
        <f>IF($E304="", 0, IF('Fin Stat'!BE$212&lt;$E304, 1, 0))</f>
        <v>0</v>
      </c>
      <c r="BF304" s="38">
        <f>IF($E304="", 0, IF('Fin Stat'!BF$212&lt;$E304, 1, 0))</f>
        <v>0</v>
      </c>
      <c r="BG304" s="38">
        <f>IF($E304="", 0, IF('Fin Stat'!BG$212&lt;$E304, 1, 0))</f>
        <v>0</v>
      </c>
      <c r="BH304" s="38">
        <f>IF($E304="", 0, IF('Fin Stat'!BH$212&lt;$E304, 1, 0))</f>
        <v>0</v>
      </c>
      <c r="BI304" s="38">
        <f>IF($E304="", 0, IF('Fin Stat'!BI$212&lt;$E304, 1, 0))</f>
        <v>0</v>
      </c>
      <c r="BJ304" s="38">
        <f>IF($E304="", 0, IF('Fin Stat'!BJ$212&lt;$E304, 1, 0))</f>
        <v>0</v>
      </c>
      <c r="BK304" s="106"/>
      <c r="BL304" s="106"/>
      <c r="BM304" s="106"/>
      <c r="BN304" s="106"/>
      <c r="BO304" s="106"/>
      <c r="BP304" s="106"/>
      <c r="BQ304" s="106"/>
      <c r="BR304" s="106"/>
      <c r="BS304" s="106"/>
      <c r="BT304" s="106"/>
      <c r="BU304" s="106"/>
      <c r="BV304" s="106"/>
      <c r="BW304"/>
      <c r="BX304" s="106"/>
      <c r="BY304" s="106"/>
      <c r="BZ304" s="106"/>
      <c r="CA304" s="106"/>
      <c r="CB304" s="38">
        <f>IF('Fin Stat'!CB$212&lt;$E304, 1, 0)</f>
        <v>1</v>
      </c>
      <c r="CC304" s="38">
        <f>IF('Fin Stat'!CC$212&lt;$E304, 1, 0)</f>
        <v>1</v>
      </c>
      <c r="CD304" s="38">
        <f>IF('Fin Stat'!CD$212&lt;$E304, 1, 0)</f>
        <v>1</v>
      </c>
      <c r="CE304" s="38">
        <f>IF('Fin Stat'!CE$212&lt;$E304, 1, 0)</f>
        <v>1</v>
      </c>
      <c r="CF304" s="38">
        <f>IF('Fin Stat'!CF$212&lt;$E304, 1, 0)</f>
        <v>1</v>
      </c>
      <c r="CG304" s="38">
        <f>IF('Fin Stat'!CG$212&lt;$E304, 1, 0)</f>
        <v>1</v>
      </c>
      <c r="CH304" s="38">
        <f>IF('Fin Stat'!CH$212&lt;$E304, 1, 0)</f>
        <v>1</v>
      </c>
      <c r="CI304" s="38">
        <f>IF('Fin Stat'!CI$212&lt;$E304, 1, 0)</f>
        <v>1</v>
      </c>
      <c r="CJ304"/>
      <c r="CK304" s="11"/>
      <c r="CL304"/>
      <c r="CM304" s="11"/>
      <c r="EX304" s="10" t="str">
        <f t="shared" si="202"/>
        <v/>
      </c>
    </row>
    <row r="305" spans="2:154" x14ac:dyDescent="0.35">
      <c r="B305" t="str">
        <f ca="1">Loans!B$20</f>
        <v>Loan 8</v>
      </c>
      <c r="D305" s="51">
        <f>Loans!D$20</f>
        <v>0</v>
      </c>
      <c r="E305" s="10" t="str">
        <f>IF(Loans!O20="", "", Loans!O20)</f>
        <v/>
      </c>
      <c r="V305" s="106"/>
      <c r="W305" s="106"/>
      <c r="X305" s="106"/>
      <c r="Y305" s="106"/>
      <c r="AA305" s="38">
        <f>IF($E305="", 0, IF('Fin Stat'!AA$212&lt;$E305, 1, 0))</f>
        <v>0</v>
      </c>
      <c r="AB305" s="38">
        <f>IF($E305="", 0, IF('Fin Stat'!AB$212&lt;$E305, 1, 0))</f>
        <v>0</v>
      </c>
      <c r="AC305" s="38">
        <f>IF($E305="", 0, IF('Fin Stat'!AC$212&lt;$E305, 1, 0))</f>
        <v>0</v>
      </c>
      <c r="AD305" s="38">
        <f>IF($E305="", 0, IF('Fin Stat'!AD$212&lt;$E305, 1, 0))</f>
        <v>0</v>
      </c>
      <c r="AE305" s="38">
        <f>IF($E305="", 0, IF('Fin Stat'!AE$212&lt;$E305, 1, 0))</f>
        <v>0</v>
      </c>
      <c r="AF305" s="38">
        <f>IF($E305="", 0, IF('Fin Stat'!AF$212&lt;$E305, 1, 0))</f>
        <v>0</v>
      </c>
      <c r="AG305" s="38">
        <f>IF($E305="", 0, IF('Fin Stat'!AG$212&lt;$E305, 1, 0))</f>
        <v>0</v>
      </c>
      <c r="AH305" s="38">
        <f>IF($E305="", 0, IF('Fin Stat'!AH$212&lt;$E305, 1, 0))</f>
        <v>0</v>
      </c>
      <c r="AI305" s="38">
        <f>IF($E305="", 0, IF('Fin Stat'!AI$212&lt;$E305, 1, 0))</f>
        <v>0</v>
      </c>
      <c r="AJ305" s="38">
        <f>IF($E305="", 0, IF('Fin Stat'!AJ$212&lt;$E305, 1, 0))</f>
        <v>0</v>
      </c>
      <c r="AK305" s="38">
        <f>IF($E305="", 0, IF('Fin Stat'!AK$212&lt;$E305, 1, 0))</f>
        <v>0</v>
      </c>
      <c r="AL305" s="38">
        <f>IF($E305="", 0, IF('Fin Stat'!AL$212&lt;$E305, 1, 0))</f>
        <v>0</v>
      </c>
      <c r="AM305" s="38">
        <f>IF($E305="", 0, IF('Fin Stat'!AM$212&lt;$E305, 1, 0))</f>
        <v>0</v>
      </c>
      <c r="AN305" s="38">
        <f>IF($E305="", 0, IF('Fin Stat'!AN$212&lt;$E305, 1, 0))</f>
        <v>0</v>
      </c>
      <c r="AO305" s="38">
        <f>IF($E305="", 0, IF('Fin Stat'!AO$212&lt;$E305, 1, 0))</f>
        <v>0</v>
      </c>
      <c r="AP305" s="38">
        <f>IF($E305="", 0, IF('Fin Stat'!AP$212&lt;$E305, 1, 0))</f>
        <v>0</v>
      </c>
      <c r="AQ305" s="38">
        <f>IF($E305="", 0, IF('Fin Stat'!AQ$212&lt;$E305, 1, 0))</f>
        <v>0</v>
      </c>
      <c r="AR305" s="38">
        <f>IF($E305="", 0, IF('Fin Stat'!AR$212&lt;$E305, 1, 0))</f>
        <v>0</v>
      </c>
      <c r="AS305" s="38">
        <f>IF($E305="", 0, IF('Fin Stat'!AS$212&lt;$E305, 1, 0))</f>
        <v>0</v>
      </c>
      <c r="AT305" s="38">
        <f>IF($E305="", 0, IF('Fin Stat'!AT$212&lt;$E305, 1, 0))</f>
        <v>0</v>
      </c>
      <c r="AU305" s="38">
        <f>IF($E305="", 0, IF('Fin Stat'!AU$212&lt;$E305, 1, 0))</f>
        <v>0</v>
      </c>
      <c r="AV305" s="38">
        <f>IF($E305="", 0, IF('Fin Stat'!AV$212&lt;$E305, 1, 0))</f>
        <v>0</v>
      </c>
      <c r="AW305" s="38">
        <f>IF($E305="", 0, IF('Fin Stat'!AW$212&lt;$E305, 1, 0))</f>
        <v>0</v>
      </c>
      <c r="AX305" s="38">
        <f>IF($E305="", 0, IF('Fin Stat'!AX$212&lt;$E305, 1, 0))</f>
        <v>0</v>
      </c>
      <c r="AY305" s="38">
        <f>IF($E305="", 0, IF('Fin Stat'!AY$212&lt;$E305, 1, 0))</f>
        <v>0</v>
      </c>
      <c r="AZ305" s="38">
        <f>IF($E305="", 0, IF('Fin Stat'!AZ$212&lt;$E305, 1, 0))</f>
        <v>0</v>
      </c>
      <c r="BA305" s="38">
        <f>IF($E305="", 0, IF('Fin Stat'!BA$212&lt;$E305, 1, 0))</f>
        <v>0</v>
      </c>
      <c r="BB305" s="38">
        <f>IF($E305="", 0, IF('Fin Stat'!BB$212&lt;$E305, 1, 0))</f>
        <v>0</v>
      </c>
      <c r="BC305" s="38">
        <f>IF($E305="", 0, IF('Fin Stat'!BC$212&lt;$E305, 1, 0))</f>
        <v>0</v>
      </c>
      <c r="BD305" s="38">
        <f>IF($E305="", 0, IF('Fin Stat'!BD$212&lt;$E305, 1, 0))</f>
        <v>0</v>
      </c>
      <c r="BE305" s="38">
        <f>IF($E305="", 0, IF('Fin Stat'!BE$212&lt;$E305, 1, 0))</f>
        <v>0</v>
      </c>
      <c r="BF305" s="38">
        <f>IF($E305="", 0, IF('Fin Stat'!BF$212&lt;$E305, 1, 0))</f>
        <v>0</v>
      </c>
      <c r="BG305" s="38">
        <f>IF($E305="", 0, IF('Fin Stat'!BG$212&lt;$E305, 1, 0))</f>
        <v>0</v>
      </c>
      <c r="BH305" s="38">
        <f>IF($E305="", 0, IF('Fin Stat'!BH$212&lt;$E305, 1, 0))</f>
        <v>0</v>
      </c>
      <c r="BI305" s="38">
        <f>IF($E305="", 0, IF('Fin Stat'!BI$212&lt;$E305, 1, 0))</f>
        <v>0</v>
      </c>
      <c r="BJ305" s="38">
        <f>IF($E305="", 0, IF('Fin Stat'!BJ$212&lt;$E305, 1, 0))</f>
        <v>0</v>
      </c>
      <c r="BK305" s="106"/>
      <c r="BL305" s="106"/>
      <c r="BM305" s="106"/>
      <c r="BN305" s="106"/>
      <c r="BO305" s="106"/>
      <c r="BP305" s="106"/>
      <c r="BQ305" s="106"/>
      <c r="BR305" s="106"/>
      <c r="BS305" s="106"/>
      <c r="BT305" s="106"/>
      <c r="BU305" s="106"/>
      <c r="BV305" s="106"/>
      <c r="BX305" s="106"/>
      <c r="BY305" s="106"/>
      <c r="BZ305" s="106"/>
      <c r="CA305" s="106"/>
      <c r="CB305" s="38">
        <f>IF('Fin Stat'!CB$212&lt;$E305, 1, 0)</f>
        <v>1</v>
      </c>
      <c r="CC305" s="38">
        <f>IF('Fin Stat'!CC$212&lt;$E305, 1, 0)</f>
        <v>1</v>
      </c>
      <c r="CD305" s="38">
        <f>IF('Fin Stat'!CD$212&lt;$E305, 1, 0)</f>
        <v>1</v>
      </c>
      <c r="CE305" s="38">
        <f>IF('Fin Stat'!CE$212&lt;$E305, 1, 0)</f>
        <v>1</v>
      </c>
      <c r="CF305" s="38">
        <f>IF('Fin Stat'!CF$212&lt;$E305, 1, 0)</f>
        <v>1</v>
      </c>
      <c r="CG305" s="38">
        <f>IF('Fin Stat'!CG$212&lt;$E305, 1, 0)</f>
        <v>1</v>
      </c>
      <c r="CH305" s="38">
        <f>IF('Fin Stat'!CH$212&lt;$E305, 1, 0)</f>
        <v>1</v>
      </c>
      <c r="CI305" s="38">
        <f>IF('Fin Stat'!CI$212&lt;$E305, 1, 0)</f>
        <v>1</v>
      </c>
      <c r="CK305" s="11"/>
      <c r="CM305" s="11"/>
      <c r="EX305" s="10" t="str">
        <f t="shared" si="202"/>
        <v/>
      </c>
    </row>
    <row r="306" spans="2:154" x14ac:dyDescent="0.35">
      <c r="B306" t="str">
        <f ca="1">Loans!B$21</f>
        <v>Loan 9</v>
      </c>
      <c r="D306" s="51">
        <f>Loans!D$21</f>
        <v>0</v>
      </c>
      <c r="E306" s="10" t="str">
        <f>IF(Loans!O21="", "", Loans!O21)</f>
        <v/>
      </c>
      <c r="V306" s="106"/>
      <c r="W306" s="106"/>
      <c r="X306" s="106"/>
      <c r="Y306" s="106"/>
      <c r="AA306" s="38">
        <f>IF($E306="", 0, IF('Fin Stat'!AA$212&lt;$E306, 1, 0))</f>
        <v>0</v>
      </c>
      <c r="AB306" s="38">
        <f>IF($E306="", 0, IF('Fin Stat'!AB$212&lt;$E306, 1, 0))</f>
        <v>0</v>
      </c>
      <c r="AC306" s="38">
        <f>IF($E306="", 0, IF('Fin Stat'!AC$212&lt;$E306, 1, 0))</f>
        <v>0</v>
      </c>
      <c r="AD306" s="38">
        <f>IF($E306="", 0, IF('Fin Stat'!AD$212&lt;$E306, 1, 0))</f>
        <v>0</v>
      </c>
      <c r="AE306" s="38">
        <f>IF($E306="", 0, IF('Fin Stat'!AE$212&lt;$E306, 1, 0))</f>
        <v>0</v>
      </c>
      <c r="AF306" s="38">
        <f>IF($E306="", 0, IF('Fin Stat'!AF$212&lt;$E306, 1, 0))</f>
        <v>0</v>
      </c>
      <c r="AG306" s="38">
        <f>IF($E306="", 0, IF('Fin Stat'!AG$212&lt;$E306, 1, 0))</f>
        <v>0</v>
      </c>
      <c r="AH306" s="38">
        <f>IF($E306="", 0, IF('Fin Stat'!AH$212&lt;$E306, 1, 0))</f>
        <v>0</v>
      </c>
      <c r="AI306" s="38">
        <f>IF($E306="", 0, IF('Fin Stat'!AI$212&lt;$E306, 1, 0))</f>
        <v>0</v>
      </c>
      <c r="AJ306" s="38">
        <f>IF($E306="", 0, IF('Fin Stat'!AJ$212&lt;$E306, 1, 0))</f>
        <v>0</v>
      </c>
      <c r="AK306" s="38">
        <f>IF($E306="", 0, IF('Fin Stat'!AK$212&lt;$E306, 1, 0))</f>
        <v>0</v>
      </c>
      <c r="AL306" s="38">
        <f>IF($E306="", 0, IF('Fin Stat'!AL$212&lt;$E306, 1, 0))</f>
        <v>0</v>
      </c>
      <c r="AM306" s="38">
        <f>IF($E306="", 0, IF('Fin Stat'!AM$212&lt;$E306, 1, 0))</f>
        <v>0</v>
      </c>
      <c r="AN306" s="38">
        <f>IF($E306="", 0, IF('Fin Stat'!AN$212&lt;$E306, 1, 0))</f>
        <v>0</v>
      </c>
      <c r="AO306" s="38">
        <f>IF($E306="", 0, IF('Fin Stat'!AO$212&lt;$E306, 1, 0))</f>
        <v>0</v>
      </c>
      <c r="AP306" s="38">
        <f>IF($E306="", 0, IF('Fin Stat'!AP$212&lt;$E306, 1, 0))</f>
        <v>0</v>
      </c>
      <c r="AQ306" s="38">
        <f>IF($E306="", 0, IF('Fin Stat'!AQ$212&lt;$E306, 1, 0))</f>
        <v>0</v>
      </c>
      <c r="AR306" s="38">
        <f>IF($E306="", 0, IF('Fin Stat'!AR$212&lt;$E306, 1, 0))</f>
        <v>0</v>
      </c>
      <c r="AS306" s="38">
        <f>IF($E306="", 0, IF('Fin Stat'!AS$212&lt;$E306, 1, 0))</f>
        <v>0</v>
      </c>
      <c r="AT306" s="38">
        <f>IF($E306="", 0, IF('Fin Stat'!AT$212&lt;$E306, 1, 0))</f>
        <v>0</v>
      </c>
      <c r="AU306" s="38">
        <f>IF($E306="", 0, IF('Fin Stat'!AU$212&lt;$E306, 1, 0))</f>
        <v>0</v>
      </c>
      <c r="AV306" s="38">
        <f>IF($E306="", 0, IF('Fin Stat'!AV$212&lt;$E306, 1, 0))</f>
        <v>0</v>
      </c>
      <c r="AW306" s="38">
        <f>IF($E306="", 0, IF('Fin Stat'!AW$212&lt;$E306, 1, 0))</f>
        <v>0</v>
      </c>
      <c r="AX306" s="38">
        <f>IF($E306="", 0, IF('Fin Stat'!AX$212&lt;$E306, 1, 0))</f>
        <v>0</v>
      </c>
      <c r="AY306" s="38">
        <f>IF($E306="", 0, IF('Fin Stat'!AY$212&lt;$E306, 1, 0))</f>
        <v>0</v>
      </c>
      <c r="AZ306" s="38">
        <f>IF($E306="", 0, IF('Fin Stat'!AZ$212&lt;$E306, 1, 0))</f>
        <v>0</v>
      </c>
      <c r="BA306" s="38">
        <f>IF($E306="", 0, IF('Fin Stat'!BA$212&lt;$E306, 1, 0))</f>
        <v>0</v>
      </c>
      <c r="BB306" s="38">
        <f>IF($E306="", 0, IF('Fin Stat'!BB$212&lt;$E306, 1, 0))</f>
        <v>0</v>
      </c>
      <c r="BC306" s="38">
        <f>IF($E306="", 0, IF('Fin Stat'!BC$212&lt;$E306, 1, 0))</f>
        <v>0</v>
      </c>
      <c r="BD306" s="38">
        <f>IF($E306="", 0, IF('Fin Stat'!BD$212&lt;$E306, 1, 0))</f>
        <v>0</v>
      </c>
      <c r="BE306" s="38">
        <f>IF($E306="", 0, IF('Fin Stat'!BE$212&lt;$E306, 1, 0))</f>
        <v>0</v>
      </c>
      <c r="BF306" s="38">
        <f>IF($E306="", 0, IF('Fin Stat'!BF$212&lt;$E306, 1, 0))</f>
        <v>0</v>
      </c>
      <c r="BG306" s="38">
        <f>IF($E306="", 0, IF('Fin Stat'!BG$212&lt;$E306, 1, 0))</f>
        <v>0</v>
      </c>
      <c r="BH306" s="38">
        <f>IF($E306="", 0, IF('Fin Stat'!BH$212&lt;$E306, 1, 0))</f>
        <v>0</v>
      </c>
      <c r="BI306" s="38">
        <f>IF($E306="", 0, IF('Fin Stat'!BI$212&lt;$E306, 1, 0))</f>
        <v>0</v>
      </c>
      <c r="BJ306" s="38">
        <f>IF($E306="", 0, IF('Fin Stat'!BJ$212&lt;$E306, 1, 0))</f>
        <v>0</v>
      </c>
      <c r="BK306" s="106"/>
      <c r="BL306" s="106"/>
      <c r="BM306" s="106"/>
      <c r="BN306" s="106"/>
      <c r="BO306" s="106"/>
      <c r="BP306" s="106"/>
      <c r="BQ306" s="106"/>
      <c r="BR306" s="106"/>
      <c r="BS306" s="106"/>
      <c r="BT306" s="106"/>
      <c r="BU306" s="106"/>
      <c r="BV306" s="106"/>
      <c r="BX306" s="106"/>
      <c r="BY306" s="106"/>
      <c r="BZ306" s="106"/>
      <c r="CA306" s="106"/>
      <c r="CB306" s="38">
        <f>IF('Fin Stat'!CB$212&lt;$E306, 1, 0)</f>
        <v>1</v>
      </c>
      <c r="CC306" s="38">
        <f>IF('Fin Stat'!CC$212&lt;$E306, 1, 0)</f>
        <v>1</v>
      </c>
      <c r="CD306" s="38">
        <f>IF('Fin Stat'!CD$212&lt;$E306, 1, 0)</f>
        <v>1</v>
      </c>
      <c r="CE306" s="38">
        <f>IF('Fin Stat'!CE$212&lt;$E306, 1, 0)</f>
        <v>1</v>
      </c>
      <c r="CF306" s="38">
        <f>IF('Fin Stat'!CF$212&lt;$E306, 1, 0)</f>
        <v>1</v>
      </c>
      <c r="CG306" s="38">
        <f>IF('Fin Stat'!CG$212&lt;$E306, 1, 0)</f>
        <v>1</v>
      </c>
      <c r="CH306" s="38">
        <f>IF('Fin Stat'!CH$212&lt;$E306, 1, 0)</f>
        <v>1</v>
      </c>
      <c r="CI306" s="38">
        <f>IF('Fin Stat'!CI$212&lt;$E306, 1, 0)</f>
        <v>1</v>
      </c>
      <c r="CK306" s="11"/>
      <c r="CM306" s="11"/>
      <c r="EX306" s="10" t="str">
        <f t="shared" si="202"/>
        <v/>
      </c>
    </row>
    <row r="307" spans="2:154" x14ac:dyDescent="0.35">
      <c r="B307" t="str">
        <f ca="1">Loans!B$22</f>
        <v>Loan 10</v>
      </c>
      <c r="D307" s="51">
        <f>Loans!D$22</f>
        <v>0</v>
      </c>
      <c r="E307" s="10" t="str">
        <f>IF(Loans!O22="", "", Loans!O22)</f>
        <v/>
      </c>
      <c r="V307" s="106"/>
      <c r="W307" s="106"/>
      <c r="X307" s="106"/>
      <c r="Y307" s="106"/>
      <c r="AA307" s="38">
        <f>IF($E307="", 0, IF('Fin Stat'!AA$212&lt;$E307, 1, 0))</f>
        <v>0</v>
      </c>
      <c r="AB307" s="38">
        <f>IF($E307="", 0, IF('Fin Stat'!AB$212&lt;$E307, 1, 0))</f>
        <v>0</v>
      </c>
      <c r="AC307" s="38">
        <f>IF($E307="", 0, IF('Fin Stat'!AC$212&lt;$E307, 1, 0))</f>
        <v>0</v>
      </c>
      <c r="AD307" s="38">
        <f>IF($E307="", 0, IF('Fin Stat'!AD$212&lt;$E307, 1, 0))</f>
        <v>0</v>
      </c>
      <c r="AE307" s="38">
        <f>IF($E307="", 0, IF('Fin Stat'!AE$212&lt;$E307, 1, 0))</f>
        <v>0</v>
      </c>
      <c r="AF307" s="38">
        <f>IF($E307="", 0, IF('Fin Stat'!AF$212&lt;$E307, 1, 0))</f>
        <v>0</v>
      </c>
      <c r="AG307" s="38">
        <f>IF($E307="", 0, IF('Fin Stat'!AG$212&lt;$E307, 1, 0))</f>
        <v>0</v>
      </c>
      <c r="AH307" s="38">
        <f>IF($E307="", 0, IF('Fin Stat'!AH$212&lt;$E307, 1, 0))</f>
        <v>0</v>
      </c>
      <c r="AI307" s="38">
        <f>IF($E307="", 0, IF('Fin Stat'!AI$212&lt;$E307, 1, 0))</f>
        <v>0</v>
      </c>
      <c r="AJ307" s="38">
        <f>IF($E307="", 0, IF('Fin Stat'!AJ$212&lt;$E307, 1, 0))</f>
        <v>0</v>
      </c>
      <c r="AK307" s="38">
        <f>IF($E307="", 0, IF('Fin Stat'!AK$212&lt;$E307, 1, 0))</f>
        <v>0</v>
      </c>
      <c r="AL307" s="38">
        <f>IF($E307="", 0, IF('Fin Stat'!AL$212&lt;$E307, 1, 0))</f>
        <v>0</v>
      </c>
      <c r="AM307" s="38">
        <f>IF($E307="", 0, IF('Fin Stat'!AM$212&lt;$E307, 1, 0))</f>
        <v>0</v>
      </c>
      <c r="AN307" s="38">
        <f>IF($E307="", 0, IF('Fin Stat'!AN$212&lt;$E307, 1, 0))</f>
        <v>0</v>
      </c>
      <c r="AO307" s="38">
        <f>IF($E307="", 0, IF('Fin Stat'!AO$212&lt;$E307, 1, 0))</f>
        <v>0</v>
      </c>
      <c r="AP307" s="38">
        <f>IF($E307="", 0, IF('Fin Stat'!AP$212&lt;$E307, 1, 0))</f>
        <v>0</v>
      </c>
      <c r="AQ307" s="38">
        <f>IF($E307="", 0, IF('Fin Stat'!AQ$212&lt;$E307, 1, 0))</f>
        <v>0</v>
      </c>
      <c r="AR307" s="38">
        <f>IF($E307="", 0, IF('Fin Stat'!AR$212&lt;$E307, 1, 0))</f>
        <v>0</v>
      </c>
      <c r="AS307" s="38">
        <f>IF($E307="", 0, IF('Fin Stat'!AS$212&lt;$E307, 1, 0))</f>
        <v>0</v>
      </c>
      <c r="AT307" s="38">
        <f>IF($E307="", 0, IF('Fin Stat'!AT$212&lt;$E307, 1, 0))</f>
        <v>0</v>
      </c>
      <c r="AU307" s="38">
        <f>IF($E307="", 0, IF('Fin Stat'!AU$212&lt;$E307, 1, 0))</f>
        <v>0</v>
      </c>
      <c r="AV307" s="38">
        <f>IF($E307="", 0, IF('Fin Stat'!AV$212&lt;$E307, 1, 0))</f>
        <v>0</v>
      </c>
      <c r="AW307" s="38">
        <f>IF($E307="", 0, IF('Fin Stat'!AW$212&lt;$E307, 1, 0))</f>
        <v>0</v>
      </c>
      <c r="AX307" s="38">
        <f>IF($E307="", 0, IF('Fin Stat'!AX$212&lt;$E307, 1, 0))</f>
        <v>0</v>
      </c>
      <c r="AY307" s="38">
        <f>IF($E307="", 0, IF('Fin Stat'!AY$212&lt;$E307, 1, 0))</f>
        <v>0</v>
      </c>
      <c r="AZ307" s="38">
        <f>IF($E307="", 0, IF('Fin Stat'!AZ$212&lt;$E307, 1, 0))</f>
        <v>0</v>
      </c>
      <c r="BA307" s="38">
        <f>IF($E307="", 0, IF('Fin Stat'!BA$212&lt;$E307, 1, 0))</f>
        <v>0</v>
      </c>
      <c r="BB307" s="38">
        <f>IF($E307="", 0, IF('Fin Stat'!BB$212&lt;$E307, 1, 0))</f>
        <v>0</v>
      </c>
      <c r="BC307" s="38">
        <f>IF($E307="", 0, IF('Fin Stat'!BC$212&lt;$E307, 1, 0))</f>
        <v>0</v>
      </c>
      <c r="BD307" s="38">
        <f>IF($E307="", 0, IF('Fin Stat'!BD$212&lt;$E307, 1, 0))</f>
        <v>0</v>
      </c>
      <c r="BE307" s="38">
        <f>IF($E307="", 0, IF('Fin Stat'!BE$212&lt;$E307, 1, 0))</f>
        <v>0</v>
      </c>
      <c r="BF307" s="38">
        <f>IF($E307="", 0, IF('Fin Stat'!BF$212&lt;$E307, 1, 0))</f>
        <v>0</v>
      </c>
      <c r="BG307" s="38">
        <f>IF($E307="", 0, IF('Fin Stat'!BG$212&lt;$E307, 1, 0))</f>
        <v>0</v>
      </c>
      <c r="BH307" s="38">
        <f>IF($E307="", 0, IF('Fin Stat'!BH$212&lt;$E307, 1, 0))</f>
        <v>0</v>
      </c>
      <c r="BI307" s="38">
        <f>IF($E307="", 0, IF('Fin Stat'!BI$212&lt;$E307, 1, 0))</f>
        <v>0</v>
      </c>
      <c r="BJ307" s="38">
        <f>IF($E307="", 0, IF('Fin Stat'!BJ$212&lt;$E307, 1, 0))</f>
        <v>0</v>
      </c>
      <c r="BK307" s="106"/>
      <c r="BL307" s="106"/>
      <c r="BM307" s="106"/>
      <c r="BN307" s="106"/>
      <c r="BO307" s="106"/>
      <c r="BP307" s="106"/>
      <c r="BQ307" s="106"/>
      <c r="BR307" s="106"/>
      <c r="BS307" s="106"/>
      <c r="BT307" s="106"/>
      <c r="BU307" s="106"/>
      <c r="BV307" s="106"/>
      <c r="BX307" s="106"/>
      <c r="BY307" s="106"/>
      <c r="BZ307" s="106"/>
      <c r="CA307" s="106"/>
      <c r="CB307" s="38">
        <f>IF('Fin Stat'!CB$212&lt;$E307, 1, 0)</f>
        <v>1</v>
      </c>
      <c r="CC307" s="38">
        <f>IF('Fin Stat'!CC$212&lt;$E307, 1, 0)</f>
        <v>1</v>
      </c>
      <c r="CD307" s="38">
        <f>IF('Fin Stat'!CD$212&lt;$E307, 1, 0)</f>
        <v>1</v>
      </c>
      <c r="CE307" s="38">
        <f>IF('Fin Stat'!CE$212&lt;$E307, 1, 0)</f>
        <v>1</v>
      </c>
      <c r="CF307" s="38">
        <f>IF('Fin Stat'!CF$212&lt;$E307, 1, 0)</f>
        <v>1</v>
      </c>
      <c r="CG307" s="38">
        <f>IF('Fin Stat'!CG$212&lt;$E307, 1, 0)</f>
        <v>1</v>
      </c>
      <c r="CH307" s="38">
        <f>IF('Fin Stat'!CH$212&lt;$E307, 1, 0)</f>
        <v>1</v>
      </c>
      <c r="CI307" s="38">
        <f>IF('Fin Stat'!CI$212&lt;$E307, 1, 0)</f>
        <v>1</v>
      </c>
      <c r="CK307" s="11"/>
      <c r="CM307" s="11"/>
      <c r="EX307" s="10" t="str">
        <f t="shared" si="202"/>
        <v/>
      </c>
    </row>
    <row r="308" spans="2:154" x14ac:dyDescent="0.35">
      <c r="B308" t="str">
        <f ca="1">Loans!B$23</f>
        <v>Loan 11</v>
      </c>
      <c r="D308" s="51">
        <f>Loans!D$23</f>
        <v>0</v>
      </c>
      <c r="E308" s="10" t="str">
        <f>IF(Loans!O23="", "", Loans!O23)</f>
        <v/>
      </c>
      <c r="V308" s="106"/>
      <c r="W308" s="106"/>
      <c r="X308" s="106"/>
      <c r="Y308" s="106"/>
      <c r="AA308" s="38">
        <f>IF($E308="", 0, IF('Fin Stat'!AA$212&lt;$E308, 1, 0))</f>
        <v>0</v>
      </c>
      <c r="AB308" s="38">
        <f>IF($E308="", 0, IF('Fin Stat'!AB$212&lt;$E308, 1, 0))</f>
        <v>0</v>
      </c>
      <c r="AC308" s="38">
        <f>IF($E308="", 0, IF('Fin Stat'!AC$212&lt;$E308, 1, 0))</f>
        <v>0</v>
      </c>
      <c r="AD308" s="38">
        <f>IF($E308="", 0, IF('Fin Stat'!AD$212&lt;$E308, 1, 0))</f>
        <v>0</v>
      </c>
      <c r="AE308" s="38">
        <f>IF($E308="", 0, IF('Fin Stat'!AE$212&lt;$E308, 1, 0))</f>
        <v>0</v>
      </c>
      <c r="AF308" s="38">
        <f>IF($E308="", 0, IF('Fin Stat'!AF$212&lt;$E308, 1, 0))</f>
        <v>0</v>
      </c>
      <c r="AG308" s="38">
        <f>IF($E308="", 0, IF('Fin Stat'!AG$212&lt;$E308, 1, 0))</f>
        <v>0</v>
      </c>
      <c r="AH308" s="38">
        <f>IF($E308="", 0, IF('Fin Stat'!AH$212&lt;$E308, 1, 0))</f>
        <v>0</v>
      </c>
      <c r="AI308" s="38">
        <f>IF($E308="", 0, IF('Fin Stat'!AI$212&lt;$E308, 1, 0))</f>
        <v>0</v>
      </c>
      <c r="AJ308" s="38">
        <f>IF($E308="", 0, IF('Fin Stat'!AJ$212&lt;$E308, 1, 0))</f>
        <v>0</v>
      </c>
      <c r="AK308" s="38">
        <f>IF($E308="", 0, IF('Fin Stat'!AK$212&lt;$E308, 1, 0))</f>
        <v>0</v>
      </c>
      <c r="AL308" s="38">
        <f>IF($E308="", 0, IF('Fin Stat'!AL$212&lt;$E308, 1, 0))</f>
        <v>0</v>
      </c>
      <c r="AM308" s="38">
        <f>IF($E308="", 0, IF('Fin Stat'!AM$212&lt;$E308, 1, 0))</f>
        <v>0</v>
      </c>
      <c r="AN308" s="38">
        <f>IF($E308="", 0, IF('Fin Stat'!AN$212&lt;$E308, 1, 0))</f>
        <v>0</v>
      </c>
      <c r="AO308" s="38">
        <f>IF($E308="", 0, IF('Fin Stat'!AO$212&lt;$E308, 1, 0))</f>
        <v>0</v>
      </c>
      <c r="AP308" s="38">
        <f>IF($E308="", 0, IF('Fin Stat'!AP$212&lt;$E308, 1, 0))</f>
        <v>0</v>
      </c>
      <c r="AQ308" s="38">
        <f>IF($E308="", 0, IF('Fin Stat'!AQ$212&lt;$E308, 1, 0))</f>
        <v>0</v>
      </c>
      <c r="AR308" s="38">
        <f>IF($E308="", 0, IF('Fin Stat'!AR$212&lt;$E308, 1, 0))</f>
        <v>0</v>
      </c>
      <c r="AS308" s="38">
        <f>IF($E308="", 0, IF('Fin Stat'!AS$212&lt;$E308, 1, 0))</f>
        <v>0</v>
      </c>
      <c r="AT308" s="38">
        <f>IF($E308="", 0, IF('Fin Stat'!AT$212&lt;$E308, 1, 0))</f>
        <v>0</v>
      </c>
      <c r="AU308" s="38">
        <f>IF($E308="", 0, IF('Fin Stat'!AU$212&lt;$E308, 1, 0))</f>
        <v>0</v>
      </c>
      <c r="AV308" s="38">
        <f>IF($E308="", 0, IF('Fin Stat'!AV$212&lt;$E308, 1, 0))</f>
        <v>0</v>
      </c>
      <c r="AW308" s="38">
        <f>IF($E308="", 0, IF('Fin Stat'!AW$212&lt;$E308, 1, 0))</f>
        <v>0</v>
      </c>
      <c r="AX308" s="38">
        <f>IF($E308="", 0, IF('Fin Stat'!AX$212&lt;$E308, 1, 0))</f>
        <v>0</v>
      </c>
      <c r="AY308" s="38">
        <f>IF($E308="", 0, IF('Fin Stat'!AY$212&lt;$E308, 1, 0))</f>
        <v>0</v>
      </c>
      <c r="AZ308" s="38">
        <f>IF($E308="", 0, IF('Fin Stat'!AZ$212&lt;$E308, 1, 0))</f>
        <v>0</v>
      </c>
      <c r="BA308" s="38">
        <f>IF($E308="", 0, IF('Fin Stat'!BA$212&lt;$E308, 1, 0))</f>
        <v>0</v>
      </c>
      <c r="BB308" s="38">
        <f>IF($E308="", 0, IF('Fin Stat'!BB$212&lt;$E308, 1, 0))</f>
        <v>0</v>
      </c>
      <c r="BC308" s="38">
        <f>IF($E308="", 0, IF('Fin Stat'!BC$212&lt;$E308, 1, 0))</f>
        <v>0</v>
      </c>
      <c r="BD308" s="38">
        <f>IF($E308="", 0, IF('Fin Stat'!BD$212&lt;$E308, 1, 0))</f>
        <v>0</v>
      </c>
      <c r="BE308" s="38">
        <f>IF($E308="", 0, IF('Fin Stat'!BE$212&lt;$E308, 1, 0))</f>
        <v>0</v>
      </c>
      <c r="BF308" s="38">
        <f>IF($E308="", 0, IF('Fin Stat'!BF$212&lt;$E308, 1, 0))</f>
        <v>0</v>
      </c>
      <c r="BG308" s="38">
        <f>IF($E308="", 0, IF('Fin Stat'!BG$212&lt;$E308, 1, 0))</f>
        <v>0</v>
      </c>
      <c r="BH308" s="38">
        <f>IF($E308="", 0, IF('Fin Stat'!BH$212&lt;$E308, 1, 0))</f>
        <v>0</v>
      </c>
      <c r="BI308" s="38">
        <f>IF($E308="", 0, IF('Fin Stat'!BI$212&lt;$E308, 1, 0))</f>
        <v>0</v>
      </c>
      <c r="BJ308" s="38">
        <f>IF($E308="", 0, IF('Fin Stat'!BJ$212&lt;$E308, 1, 0))</f>
        <v>0</v>
      </c>
      <c r="BK308" s="106"/>
      <c r="BL308" s="106"/>
      <c r="BM308" s="106"/>
      <c r="BN308" s="106"/>
      <c r="BO308" s="106"/>
      <c r="BP308" s="106"/>
      <c r="BQ308" s="106"/>
      <c r="BR308" s="106"/>
      <c r="BS308" s="106"/>
      <c r="BT308" s="106"/>
      <c r="BU308" s="106"/>
      <c r="BV308" s="106"/>
      <c r="BX308" s="106"/>
      <c r="BY308" s="106"/>
      <c r="BZ308" s="106"/>
      <c r="CA308" s="106"/>
      <c r="CB308" s="38">
        <f>IF('Fin Stat'!CB$212&lt;$E308, 1, 0)</f>
        <v>1</v>
      </c>
      <c r="CC308" s="38">
        <f>IF('Fin Stat'!CC$212&lt;$E308, 1, 0)</f>
        <v>1</v>
      </c>
      <c r="CD308" s="38">
        <f>IF('Fin Stat'!CD$212&lt;$E308, 1, 0)</f>
        <v>1</v>
      </c>
      <c r="CE308" s="38">
        <f>IF('Fin Stat'!CE$212&lt;$E308, 1, 0)</f>
        <v>1</v>
      </c>
      <c r="CF308" s="38">
        <f>IF('Fin Stat'!CF$212&lt;$E308, 1, 0)</f>
        <v>1</v>
      </c>
      <c r="CG308" s="38">
        <f>IF('Fin Stat'!CG$212&lt;$E308, 1, 0)</f>
        <v>1</v>
      </c>
      <c r="CH308" s="38">
        <f>IF('Fin Stat'!CH$212&lt;$E308, 1, 0)</f>
        <v>1</v>
      </c>
      <c r="CI308" s="38">
        <f>IF('Fin Stat'!CI$212&lt;$E308, 1, 0)</f>
        <v>1</v>
      </c>
      <c r="CK308" s="11"/>
      <c r="CM308" s="11"/>
      <c r="EX308" s="10" t="str">
        <f t="shared" si="202"/>
        <v/>
      </c>
    </row>
    <row r="309" spans="2:154" x14ac:dyDescent="0.35">
      <c r="B309" t="str">
        <f ca="1">Loans!B$24</f>
        <v>Loan 12</v>
      </c>
      <c r="D309" s="51">
        <f>Loans!D$24</f>
        <v>0</v>
      </c>
      <c r="E309" s="10" t="str">
        <f>IF(Loans!O24="", "", Loans!O24)</f>
        <v/>
      </c>
      <c r="V309" s="106"/>
      <c r="W309" s="106"/>
      <c r="X309" s="106"/>
      <c r="Y309" s="106"/>
      <c r="AA309" s="38">
        <f>IF($E309="", 0, IF('Fin Stat'!AA$212&lt;$E309, 1, 0))</f>
        <v>0</v>
      </c>
      <c r="AB309" s="38">
        <f>IF($E309="", 0, IF('Fin Stat'!AB$212&lt;$E309, 1, 0))</f>
        <v>0</v>
      </c>
      <c r="AC309" s="38">
        <f>IF($E309="", 0, IF('Fin Stat'!AC$212&lt;$E309, 1, 0))</f>
        <v>0</v>
      </c>
      <c r="AD309" s="38">
        <f>IF($E309="", 0, IF('Fin Stat'!AD$212&lt;$E309, 1, 0))</f>
        <v>0</v>
      </c>
      <c r="AE309" s="38">
        <f>IF($E309="", 0, IF('Fin Stat'!AE$212&lt;$E309, 1, 0))</f>
        <v>0</v>
      </c>
      <c r="AF309" s="38">
        <f>IF($E309="", 0, IF('Fin Stat'!AF$212&lt;$E309, 1, 0))</f>
        <v>0</v>
      </c>
      <c r="AG309" s="38">
        <f>IF($E309="", 0, IF('Fin Stat'!AG$212&lt;$E309, 1, 0))</f>
        <v>0</v>
      </c>
      <c r="AH309" s="38">
        <f>IF($E309="", 0, IF('Fin Stat'!AH$212&lt;$E309, 1, 0))</f>
        <v>0</v>
      </c>
      <c r="AI309" s="38">
        <f>IF($E309="", 0, IF('Fin Stat'!AI$212&lt;$E309, 1, 0))</f>
        <v>0</v>
      </c>
      <c r="AJ309" s="38">
        <f>IF($E309="", 0, IF('Fin Stat'!AJ$212&lt;$E309, 1, 0))</f>
        <v>0</v>
      </c>
      <c r="AK309" s="38">
        <f>IF($E309="", 0, IF('Fin Stat'!AK$212&lt;$E309, 1, 0))</f>
        <v>0</v>
      </c>
      <c r="AL309" s="38">
        <f>IF($E309="", 0, IF('Fin Stat'!AL$212&lt;$E309, 1, 0))</f>
        <v>0</v>
      </c>
      <c r="AM309" s="38">
        <f>IF($E309="", 0, IF('Fin Stat'!AM$212&lt;$E309, 1, 0))</f>
        <v>0</v>
      </c>
      <c r="AN309" s="38">
        <f>IF($E309="", 0, IF('Fin Stat'!AN$212&lt;$E309, 1, 0))</f>
        <v>0</v>
      </c>
      <c r="AO309" s="38">
        <f>IF($E309="", 0, IF('Fin Stat'!AO$212&lt;$E309, 1, 0))</f>
        <v>0</v>
      </c>
      <c r="AP309" s="38">
        <f>IF($E309="", 0, IF('Fin Stat'!AP$212&lt;$E309, 1, 0))</f>
        <v>0</v>
      </c>
      <c r="AQ309" s="38">
        <f>IF($E309="", 0, IF('Fin Stat'!AQ$212&lt;$E309, 1, 0))</f>
        <v>0</v>
      </c>
      <c r="AR309" s="38">
        <f>IF($E309="", 0, IF('Fin Stat'!AR$212&lt;$E309, 1, 0))</f>
        <v>0</v>
      </c>
      <c r="AS309" s="38">
        <f>IF($E309="", 0, IF('Fin Stat'!AS$212&lt;$E309, 1, 0))</f>
        <v>0</v>
      </c>
      <c r="AT309" s="38">
        <f>IF($E309="", 0, IF('Fin Stat'!AT$212&lt;$E309, 1, 0))</f>
        <v>0</v>
      </c>
      <c r="AU309" s="38">
        <f>IF($E309="", 0, IF('Fin Stat'!AU$212&lt;$E309, 1, 0))</f>
        <v>0</v>
      </c>
      <c r="AV309" s="38">
        <f>IF($E309="", 0, IF('Fin Stat'!AV$212&lt;$E309, 1, 0))</f>
        <v>0</v>
      </c>
      <c r="AW309" s="38">
        <f>IF($E309="", 0, IF('Fin Stat'!AW$212&lt;$E309, 1, 0))</f>
        <v>0</v>
      </c>
      <c r="AX309" s="38">
        <f>IF($E309="", 0, IF('Fin Stat'!AX$212&lt;$E309, 1, 0))</f>
        <v>0</v>
      </c>
      <c r="AY309" s="38">
        <f>IF($E309="", 0, IF('Fin Stat'!AY$212&lt;$E309, 1, 0))</f>
        <v>0</v>
      </c>
      <c r="AZ309" s="38">
        <f>IF($E309="", 0, IF('Fin Stat'!AZ$212&lt;$E309, 1, 0))</f>
        <v>0</v>
      </c>
      <c r="BA309" s="38">
        <f>IF($E309="", 0, IF('Fin Stat'!BA$212&lt;$E309, 1, 0))</f>
        <v>0</v>
      </c>
      <c r="BB309" s="38">
        <f>IF($E309="", 0, IF('Fin Stat'!BB$212&lt;$E309, 1, 0))</f>
        <v>0</v>
      </c>
      <c r="BC309" s="38">
        <f>IF($E309="", 0, IF('Fin Stat'!BC$212&lt;$E309, 1, 0))</f>
        <v>0</v>
      </c>
      <c r="BD309" s="38">
        <f>IF($E309="", 0, IF('Fin Stat'!BD$212&lt;$E309, 1, 0))</f>
        <v>0</v>
      </c>
      <c r="BE309" s="38">
        <f>IF($E309="", 0, IF('Fin Stat'!BE$212&lt;$E309, 1, 0))</f>
        <v>0</v>
      </c>
      <c r="BF309" s="38">
        <f>IF($E309="", 0, IF('Fin Stat'!BF$212&lt;$E309, 1, 0))</f>
        <v>0</v>
      </c>
      <c r="BG309" s="38">
        <f>IF($E309="", 0, IF('Fin Stat'!BG$212&lt;$E309, 1, 0))</f>
        <v>0</v>
      </c>
      <c r="BH309" s="38">
        <f>IF($E309="", 0, IF('Fin Stat'!BH$212&lt;$E309, 1, 0))</f>
        <v>0</v>
      </c>
      <c r="BI309" s="38">
        <f>IF($E309="", 0, IF('Fin Stat'!BI$212&lt;$E309, 1, 0))</f>
        <v>0</v>
      </c>
      <c r="BJ309" s="38">
        <f>IF($E309="", 0, IF('Fin Stat'!BJ$212&lt;$E309, 1, 0))</f>
        <v>0</v>
      </c>
      <c r="BK309" s="106"/>
      <c r="BL309" s="106"/>
      <c r="BM309" s="106"/>
      <c r="BN309" s="106"/>
      <c r="BO309" s="106"/>
      <c r="BP309" s="106"/>
      <c r="BQ309" s="106"/>
      <c r="BR309" s="106"/>
      <c r="BS309" s="106"/>
      <c r="BT309" s="106"/>
      <c r="BU309" s="106"/>
      <c r="BV309" s="106"/>
      <c r="BX309" s="106"/>
      <c r="BY309" s="106"/>
      <c r="BZ309" s="106"/>
      <c r="CA309" s="106"/>
      <c r="CB309" s="38">
        <f>IF('Fin Stat'!CB$212&lt;$E309, 1, 0)</f>
        <v>1</v>
      </c>
      <c r="CC309" s="38">
        <f>IF('Fin Stat'!CC$212&lt;$E309, 1, 0)</f>
        <v>1</v>
      </c>
      <c r="CD309" s="38">
        <f>IF('Fin Stat'!CD$212&lt;$E309, 1, 0)</f>
        <v>1</v>
      </c>
      <c r="CE309" s="38">
        <f>IF('Fin Stat'!CE$212&lt;$E309, 1, 0)</f>
        <v>1</v>
      </c>
      <c r="CF309" s="38">
        <f>IF('Fin Stat'!CF$212&lt;$E309, 1, 0)</f>
        <v>1</v>
      </c>
      <c r="CG309" s="38">
        <f>IF('Fin Stat'!CG$212&lt;$E309, 1, 0)</f>
        <v>1</v>
      </c>
      <c r="CH309" s="38">
        <f>IF('Fin Stat'!CH$212&lt;$E309, 1, 0)</f>
        <v>1</v>
      </c>
      <c r="CI309" s="38">
        <f>IF('Fin Stat'!CI$212&lt;$E309, 1, 0)</f>
        <v>1</v>
      </c>
      <c r="CK309" s="11"/>
      <c r="CM309" s="11"/>
      <c r="EX309" s="10" t="str">
        <f t="shared" si="202"/>
        <v/>
      </c>
    </row>
    <row r="310" spans="2:154" x14ac:dyDescent="0.35">
      <c r="B310" t="str">
        <f ca="1">Loans!B$25</f>
        <v>Loan 13</v>
      </c>
      <c r="D310" s="51">
        <f>Loans!D$25</f>
        <v>0</v>
      </c>
      <c r="E310" s="10" t="str">
        <f>IF(Loans!O25="", "", Loans!O25)</f>
        <v/>
      </c>
      <c r="V310" s="106"/>
      <c r="W310" s="106"/>
      <c r="X310" s="106"/>
      <c r="Y310" s="106"/>
      <c r="AA310" s="38">
        <f>IF($E310="", 0, IF('Fin Stat'!AA$212&lt;$E310, 1, 0))</f>
        <v>0</v>
      </c>
      <c r="AB310" s="38">
        <f>IF($E310="", 0, IF('Fin Stat'!AB$212&lt;$E310, 1, 0))</f>
        <v>0</v>
      </c>
      <c r="AC310" s="38">
        <f>IF($E310="", 0, IF('Fin Stat'!AC$212&lt;$E310, 1, 0))</f>
        <v>0</v>
      </c>
      <c r="AD310" s="38">
        <f>IF($E310="", 0, IF('Fin Stat'!AD$212&lt;$E310, 1, 0))</f>
        <v>0</v>
      </c>
      <c r="AE310" s="38">
        <f>IF($E310="", 0, IF('Fin Stat'!AE$212&lt;$E310, 1, 0))</f>
        <v>0</v>
      </c>
      <c r="AF310" s="38">
        <f>IF($E310="", 0, IF('Fin Stat'!AF$212&lt;$E310, 1, 0))</f>
        <v>0</v>
      </c>
      <c r="AG310" s="38">
        <f>IF($E310="", 0, IF('Fin Stat'!AG$212&lt;$E310, 1, 0))</f>
        <v>0</v>
      </c>
      <c r="AH310" s="38">
        <f>IF($E310="", 0, IF('Fin Stat'!AH$212&lt;$E310, 1, 0))</f>
        <v>0</v>
      </c>
      <c r="AI310" s="38">
        <f>IF($E310="", 0, IF('Fin Stat'!AI$212&lt;$E310, 1, 0))</f>
        <v>0</v>
      </c>
      <c r="AJ310" s="38">
        <f>IF($E310="", 0, IF('Fin Stat'!AJ$212&lt;$E310, 1, 0))</f>
        <v>0</v>
      </c>
      <c r="AK310" s="38">
        <f>IF($E310="", 0, IF('Fin Stat'!AK$212&lt;$E310, 1, 0))</f>
        <v>0</v>
      </c>
      <c r="AL310" s="38">
        <f>IF($E310="", 0, IF('Fin Stat'!AL$212&lt;$E310, 1, 0))</f>
        <v>0</v>
      </c>
      <c r="AM310" s="38">
        <f>IF($E310="", 0, IF('Fin Stat'!AM$212&lt;$E310, 1, 0))</f>
        <v>0</v>
      </c>
      <c r="AN310" s="38">
        <f>IF($E310="", 0, IF('Fin Stat'!AN$212&lt;$E310, 1, 0))</f>
        <v>0</v>
      </c>
      <c r="AO310" s="38">
        <f>IF($E310="", 0, IF('Fin Stat'!AO$212&lt;$E310, 1, 0))</f>
        <v>0</v>
      </c>
      <c r="AP310" s="38">
        <f>IF($E310="", 0, IF('Fin Stat'!AP$212&lt;$E310, 1, 0))</f>
        <v>0</v>
      </c>
      <c r="AQ310" s="38">
        <f>IF($E310="", 0, IF('Fin Stat'!AQ$212&lt;$E310, 1, 0))</f>
        <v>0</v>
      </c>
      <c r="AR310" s="38">
        <f>IF($E310="", 0, IF('Fin Stat'!AR$212&lt;$E310, 1, 0))</f>
        <v>0</v>
      </c>
      <c r="AS310" s="38">
        <f>IF($E310="", 0, IF('Fin Stat'!AS$212&lt;$E310, 1, 0))</f>
        <v>0</v>
      </c>
      <c r="AT310" s="38">
        <f>IF($E310="", 0, IF('Fin Stat'!AT$212&lt;$E310, 1, 0))</f>
        <v>0</v>
      </c>
      <c r="AU310" s="38">
        <f>IF($E310="", 0, IF('Fin Stat'!AU$212&lt;$E310, 1, 0))</f>
        <v>0</v>
      </c>
      <c r="AV310" s="38">
        <f>IF($E310="", 0, IF('Fin Stat'!AV$212&lt;$E310, 1, 0))</f>
        <v>0</v>
      </c>
      <c r="AW310" s="38">
        <f>IF($E310="", 0, IF('Fin Stat'!AW$212&lt;$E310, 1, 0))</f>
        <v>0</v>
      </c>
      <c r="AX310" s="38">
        <f>IF($E310="", 0, IF('Fin Stat'!AX$212&lt;$E310, 1, 0))</f>
        <v>0</v>
      </c>
      <c r="AY310" s="38">
        <f>IF($E310="", 0, IF('Fin Stat'!AY$212&lt;$E310, 1, 0))</f>
        <v>0</v>
      </c>
      <c r="AZ310" s="38">
        <f>IF($E310="", 0, IF('Fin Stat'!AZ$212&lt;$E310, 1, 0))</f>
        <v>0</v>
      </c>
      <c r="BA310" s="38">
        <f>IF($E310="", 0, IF('Fin Stat'!BA$212&lt;$E310, 1, 0))</f>
        <v>0</v>
      </c>
      <c r="BB310" s="38">
        <f>IF($E310="", 0, IF('Fin Stat'!BB$212&lt;$E310, 1, 0))</f>
        <v>0</v>
      </c>
      <c r="BC310" s="38">
        <f>IF($E310="", 0, IF('Fin Stat'!BC$212&lt;$E310, 1, 0))</f>
        <v>0</v>
      </c>
      <c r="BD310" s="38">
        <f>IF($E310="", 0, IF('Fin Stat'!BD$212&lt;$E310, 1, 0))</f>
        <v>0</v>
      </c>
      <c r="BE310" s="38">
        <f>IF($E310="", 0, IF('Fin Stat'!BE$212&lt;$E310, 1, 0))</f>
        <v>0</v>
      </c>
      <c r="BF310" s="38">
        <f>IF($E310="", 0, IF('Fin Stat'!BF$212&lt;$E310, 1, 0))</f>
        <v>0</v>
      </c>
      <c r="BG310" s="38">
        <f>IF($E310="", 0, IF('Fin Stat'!BG$212&lt;$E310, 1, 0))</f>
        <v>0</v>
      </c>
      <c r="BH310" s="38">
        <f>IF($E310="", 0, IF('Fin Stat'!BH$212&lt;$E310, 1, 0))</f>
        <v>0</v>
      </c>
      <c r="BI310" s="38">
        <f>IF($E310="", 0, IF('Fin Stat'!BI$212&lt;$E310, 1, 0))</f>
        <v>0</v>
      </c>
      <c r="BJ310" s="38">
        <f>IF($E310="", 0, IF('Fin Stat'!BJ$212&lt;$E310, 1, 0))</f>
        <v>0</v>
      </c>
      <c r="BK310" s="106"/>
      <c r="BL310" s="106"/>
      <c r="BM310" s="106"/>
      <c r="BN310" s="106"/>
      <c r="BO310" s="106"/>
      <c r="BP310" s="106"/>
      <c r="BQ310" s="106"/>
      <c r="BR310" s="106"/>
      <c r="BS310" s="106"/>
      <c r="BT310" s="106"/>
      <c r="BU310" s="106"/>
      <c r="BV310" s="106"/>
      <c r="BX310" s="106"/>
      <c r="BY310" s="106"/>
      <c r="BZ310" s="106"/>
      <c r="CA310" s="106"/>
      <c r="CB310" s="38">
        <f>IF('Fin Stat'!CB$212&lt;$E310, 1, 0)</f>
        <v>1</v>
      </c>
      <c r="CC310" s="38">
        <f>IF('Fin Stat'!CC$212&lt;$E310, 1, 0)</f>
        <v>1</v>
      </c>
      <c r="CD310" s="38">
        <f>IF('Fin Stat'!CD$212&lt;$E310, 1, 0)</f>
        <v>1</v>
      </c>
      <c r="CE310" s="38">
        <f>IF('Fin Stat'!CE$212&lt;$E310, 1, 0)</f>
        <v>1</v>
      </c>
      <c r="CF310" s="38">
        <f>IF('Fin Stat'!CF$212&lt;$E310, 1, 0)</f>
        <v>1</v>
      </c>
      <c r="CG310" s="38">
        <f>IF('Fin Stat'!CG$212&lt;$E310, 1, 0)</f>
        <v>1</v>
      </c>
      <c r="CH310" s="38">
        <f>IF('Fin Stat'!CH$212&lt;$E310, 1, 0)</f>
        <v>1</v>
      </c>
      <c r="CI310" s="38">
        <f>IF('Fin Stat'!CI$212&lt;$E310, 1, 0)</f>
        <v>1</v>
      </c>
      <c r="CK310" s="11"/>
      <c r="CM310" s="11"/>
      <c r="EX310" s="10" t="str">
        <f t="shared" si="202"/>
        <v/>
      </c>
    </row>
    <row r="311" spans="2:154" x14ac:dyDescent="0.35">
      <c r="B311" t="str">
        <f ca="1">Loans!B$26</f>
        <v>Loan 14</v>
      </c>
      <c r="D311" s="51">
        <f>Loans!D$26</f>
        <v>0</v>
      </c>
      <c r="E311" s="10" t="str">
        <f>IF(Loans!O26="", "", Loans!O26)</f>
        <v/>
      </c>
      <c r="V311" s="106"/>
      <c r="W311" s="106"/>
      <c r="X311" s="106"/>
      <c r="Y311" s="106"/>
      <c r="AA311" s="38">
        <f>IF($E311="", 0, IF('Fin Stat'!AA$212&lt;$E311, 1, 0))</f>
        <v>0</v>
      </c>
      <c r="AB311" s="38">
        <f>IF($E311="", 0, IF('Fin Stat'!AB$212&lt;$E311, 1, 0))</f>
        <v>0</v>
      </c>
      <c r="AC311" s="38">
        <f>IF($E311="", 0, IF('Fin Stat'!AC$212&lt;$E311, 1, 0))</f>
        <v>0</v>
      </c>
      <c r="AD311" s="38">
        <f>IF($E311="", 0, IF('Fin Stat'!AD$212&lt;$E311, 1, 0))</f>
        <v>0</v>
      </c>
      <c r="AE311" s="38">
        <f>IF($E311="", 0, IF('Fin Stat'!AE$212&lt;$E311, 1, 0))</f>
        <v>0</v>
      </c>
      <c r="AF311" s="38">
        <f>IF($E311="", 0, IF('Fin Stat'!AF$212&lt;$E311, 1, 0))</f>
        <v>0</v>
      </c>
      <c r="AG311" s="38">
        <f>IF($E311="", 0, IF('Fin Stat'!AG$212&lt;$E311, 1, 0))</f>
        <v>0</v>
      </c>
      <c r="AH311" s="38">
        <f>IF($E311="", 0, IF('Fin Stat'!AH$212&lt;$E311, 1, 0))</f>
        <v>0</v>
      </c>
      <c r="AI311" s="38">
        <f>IF($E311="", 0, IF('Fin Stat'!AI$212&lt;$E311, 1, 0))</f>
        <v>0</v>
      </c>
      <c r="AJ311" s="38">
        <f>IF($E311="", 0, IF('Fin Stat'!AJ$212&lt;$E311, 1, 0))</f>
        <v>0</v>
      </c>
      <c r="AK311" s="38">
        <f>IF($E311="", 0, IF('Fin Stat'!AK$212&lt;$E311, 1, 0))</f>
        <v>0</v>
      </c>
      <c r="AL311" s="38">
        <f>IF($E311="", 0, IF('Fin Stat'!AL$212&lt;$E311, 1, 0))</f>
        <v>0</v>
      </c>
      <c r="AM311" s="38">
        <f>IF($E311="", 0, IF('Fin Stat'!AM$212&lt;$E311, 1, 0))</f>
        <v>0</v>
      </c>
      <c r="AN311" s="38">
        <f>IF($E311="", 0, IF('Fin Stat'!AN$212&lt;$E311, 1, 0))</f>
        <v>0</v>
      </c>
      <c r="AO311" s="38">
        <f>IF($E311="", 0, IF('Fin Stat'!AO$212&lt;$E311, 1, 0))</f>
        <v>0</v>
      </c>
      <c r="AP311" s="38">
        <f>IF($E311="", 0, IF('Fin Stat'!AP$212&lt;$E311, 1, 0))</f>
        <v>0</v>
      </c>
      <c r="AQ311" s="38">
        <f>IF($E311="", 0, IF('Fin Stat'!AQ$212&lt;$E311, 1, 0))</f>
        <v>0</v>
      </c>
      <c r="AR311" s="38">
        <f>IF($E311="", 0, IF('Fin Stat'!AR$212&lt;$E311, 1, 0))</f>
        <v>0</v>
      </c>
      <c r="AS311" s="38">
        <f>IF($E311="", 0, IF('Fin Stat'!AS$212&lt;$E311, 1, 0))</f>
        <v>0</v>
      </c>
      <c r="AT311" s="38">
        <f>IF($E311="", 0, IF('Fin Stat'!AT$212&lt;$E311, 1, 0))</f>
        <v>0</v>
      </c>
      <c r="AU311" s="38">
        <f>IF($E311="", 0, IF('Fin Stat'!AU$212&lt;$E311, 1, 0))</f>
        <v>0</v>
      </c>
      <c r="AV311" s="38">
        <f>IF($E311="", 0, IF('Fin Stat'!AV$212&lt;$E311, 1, 0))</f>
        <v>0</v>
      </c>
      <c r="AW311" s="38">
        <f>IF($E311="", 0, IF('Fin Stat'!AW$212&lt;$E311, 1, 0))</f>
        <v>0</v>
      </c>
      <c r="AX311" s="38">
        <f>IF($E311="", 0, IF('Fin Stat'!AX$212&lt;$E311, 1, 0))</f>
        <v>0</v>
      </c>
      <c r="AY311" s="38">
        <f>IF($E311="", 0, IF('Fin Stat'!AY$212&lt;$E311, 1, 0))</f>
        <v>0</v>
      </c>
      <c r="AZ311" s="38">
        <f>IF($E311="", 0, IF('Fin Stat'!AZ$212&lt;$E311, 1, 0))</f>
        <v>0</v>
      </c>
      <c r="BA311" s="38">
        <f>IF($E311="", 0, IF('Fin Stat'!BA$212&lt;$E311, 1, 0))</f>
        <v>0</v>
      </c>
      <c r="BB311" s="38">
        <f>IF($E311="", 0, IF('Fin Stat'!BB$212&lt;$E311, 1, 0))</f>
        <v>0</v>
      </c>
      <c r="BC311" s="38">
        <f>IF($E311="", 0, IF('Fin Stat'!BC$212&lt;$E311, 1, 0))</f>
        <v>0</v>
      </c>
      <c r="BD311" s="38">
        <f>IF($E311="", 0, IF('Fin Stat'!BD$212&lt;$E311, 1, 0))</f>
        <v>0</v>
      </c>
      <c r="BE311" s="38">
        <f>IF($E311="", 0, IF('Fin Stat'!BE$212&lt;$E311, 1, 0))</f>
        <v>0</v>
      </c>
      <c r="BF311" s="38">
        <f>IF($E311="", 0, IF('Fin Stat'!BF$212&lt;$E311, 1, 0))</f>
        <v>0</v>
      </c>
      <c r="BG311" s="38">
        <f>IF($E311="", 0, IF('Fin Stat'!BG$212&lt;$E311, 1, 0))</f>
        <v>0</v>
      </c>
      <c r="BH311" s="38">
        <f>IF($E311="", 0, IF('Fin Stat'!BH$212&lt;$E311, 1, 0))</f>
        <v>0</v>
      </c>
      <c r="BI311" s="38">
        <f>IF($E311="", 0, IF('Fin Stat'!BI$212&lt;$E311, 1, 0))</f>
        <v>0</v>
      </c>
      <c r="BJ311" s="38">
        <f>IF($E311="", 0, IF('Fin Stat'!BJ$212&lt;$E311, 1, 0))</f>
        <v>0</v>
      </c>
      <c r="BK311" s="106"/>
      <c r="BL311" s="106"/>
      <c r="BM311" s="106"/>
      <c r="BN311" s="106"/>
      <c r="BO311" s="106"/>
      <c r="BP311" s="106"/>
      <c r="BQ311" s="106"/>
      <c r="BR311" s="106"/>
      <c r="BS311" s="106"/>
      <c r="BT311" s="106"/>
      <c r="BU311" s="106"/>
      <c r="BV311" s="106"/>
      <c r="BX311" s="106"/>
      <c r="BY311" s="106"/>
      <c r="BZ311" s="106"/>
      <c r="CA311" s="106"/>
      <c r="CB311" s="38">
        <f>IF('Fin Stat'!CB$212&lt;$E311, 1, 0)</f>
        <v>1</v>
      </c>
      <c r="CC311" s="38">
        <f>IF('Fin Stat'!CC$212&lt;$E311, 1, 0)</f>
        <v>1</v>
      </c>
      <c r="CD311" s="38">
        <f>IF('Fin Stat'!CD$212&lt;$E311, 1, 0)</f>
        <v>1</v>
      </c>
      <c r="CE311" s="38">
        <f>IF('Fin Stat'!CE$212&lt;$E311, 1, 0)</f>
        <v>1</v>
      </c>
      <c r="CF311" s="38">
        <f>IF('Fin Stat'!CF$212&lt;$E311, 1, 0)</f>
        <v>1</v>
      </c>
      <c r="CG311" s="38">
        <f>IF('Fin Stat'!CG$212&lt;$E311, 1, 0)</f>
        <v>1</v>
      </c>
      <c r="CH311" s="38">
        <f>IF('Fin Stat'!CH$212&lt;$E311, 1, 0)</f>
        <v>1</v>
      </c>
      <c r="CI311" s="38">
        <f>IF('Fin Stat'!CI$212&lt;$E311, 1, 0)</f>
        <v>1</v>
      </c>
      <c r="CK311" s="11"/>
      <c r="CM311" s="11"/>
      <c r="EX311" s="10" t="str">
        <f t="shared" si="202"/>
        <v/>
      </c>
    </row>
    <row r="312" spans="2:154" x14ac:dyDescent="0.35">
      <c r="B312" t="str">
        <f ca="1">Loans!B$27</f>
        <v>Loan 15</v>
      </c>
      <c r="D312" s="51">
        <f>Loans!D$27</f>
        <v>0</v>
      </c>
      <c r="E312" s="10" t="str">
        <f>IF(Loans!O27="", "", Loans!O27)</f>
        <v/>
      </c>
      <c r="V312" s="106"/>
      <c r="W312" s="106"/>
      <c r="X312" s="106"/>
      <c r="Y312" s="106"/>
      <c r="AA312" s="38">
        <f>IF($E312="", 0, IF('Fin Stat'!AA$212&lt;$E312, 1, 0))</f>
        <v>0</v>
      </c>
      <c r="AB312" s="38">
        <f>IF($E312="", 0, IF('Fin Stat'!AB$212&lt;$E312, 1, 0))</f>
        <v>0</v>
      </c>
      <c r="AC312" s="38">
        <f>IF($E312="", 0, IF('Fin Stat'!AC$212&lt;$E312, 1, 0))</f>
        <v>0</v>
      </c>
      <c r="AD312" s="38">
        <f>IF($E312="", 0, IF('Fin Stat'!AD$212&lt;$E312, 1, 0))</f>
        <v>0</v>
      </c>
      <c r="AE312" s="38">
        <f>IF($E312="", 0, IF('Fin Stat'!AE$212&lt;$E312, 1, 0))</f>
        <v>0</v>
      </c>
      <c r="AF312" s="38">
        <f>IF($E312="", 0, IF('Fin Stat'!AF$212&lt;$E312, 1, 0))</f>
        <v>0</v>
      </c>
      <c r="AG312" s="38">
        <f>IF($E312="", 0, IF('Fin Stat'!AG$212&lt;$E312, 1, 0))</f>
        <v>0</v>
      </c>
      <c r="AH312" s="38">
        <f>IF($E312="", 0, IF('Fin Stat'!AH$212&lt;$E312, 1, 0))</f>
        <v>0</v>
      </c>
      <c r="AI312" s="38">
        <f>IF($E312="", 0, IF('Fin Stat'!AI$212&lt;$E312, 1, 0))</f>
        <v>0</v>
      </c>
      <c r="AJ312" s="38">
        <f>IF($E312="", 0, IF('Fin Stat'!AJ$212&lt;$E312, 1, 0))</f>
        <v>0</v>
      </c>
      <c r="AK312" s="38">
        <f>IF($E312="", 0, IF('Fin Stat'!AK$212&lt;$E312, 1, 0))</f>
        <v>0</v>
      </c>
      <c r="AL312" s="38">
        <f>IF($E312="", 0, IF('Fin Stat'!AL$212&lt;$E312, 1, 0))</f>
        <v>0</v>
      </c>
      <c r="AM312" s="38">
        <f>IF($E312="", 0, IF('Fin Stat'!AM$212&lt;$E312, 1, 0))</f>
        <v>0</v>
      </c>
      <c r="AN312" s="38">
        <f>IF($E312="", 0, IF('Fin Stat'!AN$212&lt;$E312, 1, 0))</f>
        <v>0</v>
      </c>
      <c r="AO312" s="38">
        <f>IF($E312="", 0, IF('Fin Stat'!AO$212&lt;$E312, 1, 0))</f>
        <v>0</v>
      </c>
      <c r="AP312" s="38">
        <f>IF($E312="", 0, IF('Fin Stat'!AP$212&lt;$E312, 1, 0))</f>
        <v>0</v>
      </c>
      <c r="AQ312" s="38">
        <f>IF($E312="", 0, IF('Fin Stat'!AQ$212&lt;$E312, 1, 0))</f>
        <v>0</v>
      </c>
      <c r="AR312" s="38">
        <f>IF($E312="", 0, IF('Fin Stat'!AR$212&lt;$E312, 1, 0))</f>
        <v>0</v>
      </c>
      <c r="AS312" s="38">
        <f>IF($E312="", 0, IF('Fin Stat'!AS$212&lt;$E312, 1, 0))</f>
        <v>0</v>
      </c>
      <c r="AT312" s="38">
        <f>IF($E312="", 0, IF('Fin Stat'!AT$212&lt;$E312, 1, 0))</f>
        <v>0</v>
      </c>
      <c r="AU312" s="38">
        <f>IF($E312="", 0, IF('Fin Stat'!AU$212&lt;$E312, 1, 0))</f>
        <v>0</v>
      </c>
      <c r="AV312" s="38">
        <f>IF($E312="", 0, IF('Fin Stat'!AV$212&lt;$E312, 1, 0))</f>
        <v>0</v>
      </c>
      <c r="AW312" s="38">
        <f>IF($E312="", 0, IF('Fin Stat'!AW$212&lt;$E312, 1, 0))</f>
        <v>0</v>
      </c>
      <c r="AX312" s="38">
        <f>IF($E312="", 0, IF('Fin Stat'!AX$212&lt;$E312, 1, 0))</f>
        <v>0</v>
      </c>
      <c r="AY312" s="38">
        <f>IF($E312="", 0, IF('Fin Stat'!AY$212&lt;$E312, 1, 0))</f>
        <v>0</v>
      </c>
      <c r="AZ312" s="38">
        <f>IF($E312="", 0, IF('Fin Stat'!AZ$212&lt;$E312, 1, 0))</f>
        <v>0</v>
      </c>
      <c r="BA312" s="38">
        <f>IF($E312="", 0, IF('Fin Stat'!BA$212&lt;$E312, 1, 0))</f>
        <v>0</v>
      </c>
      <c r="BB312" s="38">
        <f>IF($E312="", 0, IF('Fin Stat'!BB$212&lt;$E312, 1, 0))</f>
        <v>0</v>
      </c>
      <c r="BC312" s="38">
        <f>IF($E312="", 0, IF('Fin Stat'!BC$212&lt;$E312, 1, 0))</f>
        <v>0</v>
      </c>
      <c r="BD312" s="38">
        <f>IF($E312="", 0, IF('Fin Stat'!BD$212&lt;$E312, 1, 0))</f>
        <v>0</v>
      </c>
      <c r="BE312" s="38">
        <f>IF($E312="", 0, IF('Fin Stat'!BE$212&lt;$E312, 1, 0))</f>
        <v>0</v>
      </c>
      <c r="BF312" s="38">
        <f>IF($E312="", 0, IF('Fin Stat'!BF$212&lt;$E312, 1, 0))</f>
        <v>0</v>
      </c>
      <c r="BG312" s="38">
        <f>IF($E312="", 0, IF('Fin Stat'!BG$212&lt;$E312, 1, 0))</f>
        <v>0</v>
      </c>
      <c r="BH312" s="38">
        <f>IF($E312="", 0, IF('Fin Stat'!BH$212&lt;$E312, 1, 0))</f>
        <v>0</v>
      </c>
      <c r="BI312" s="38">
        <f>IF($E312="", 0, IF('Fin Stat'!BI$212&lt;$E312, 1, 0))</f>
        <v>0</v>
      </c>
      <c r="BJ312" s="38">
        <f>IF($E312="", 0, IF('Fin Stat'!BJ$212&lt;$E312, 1, 0))</f>
        <v>0</v>
      </c>
      <c r="BK312" s="106"/>
      <c r="BL312" s="106"/>
      <c r="BM312" s="106"/>
      <c r="BN312" s="106"/>
      <c r="BO312" s="106"/>
      <c r="BP312" s="106"/>
      <c r="BQ312" s="106"/>
      <c r="BR312" s="106"/>
      <c r="BS312" s="106"/>
      <c r="BT312" s="106"/>
      <c r="BU312" s="106"/>
      <c r="BV312" s="106"/>
      <c r="BX312" s="106"/>
      <c r="BY312" s="106"/>
      <c r="BZ312" s="106"/>
      <c r="CA312" s="106"/>
      <c r="CB312" s="38">
        <f>IF('Fin Stat'!CB$212&lt;$E312, 1, 0)</f>
        <v>1</v>
      </c>
      <c r="CC312" s="38">
        <f>IF('Fin Stat'!CC$212&lt;$E312, 1, 0)</f>
        <v>1</v>
      </c>
      <c r="CD312" s="38">
        <f>IF('Fin Stat'!CD$212&lt;$E312, 1, 0)</f>
        <v>1</v>
      </c>
      <c r="CE312" s="38">
        <f>IF('Fin Stat'!CE$212&lt;$E312, 1, 0)</f>
        <v>1</v>
      </c>
      <c r="CF312" s="38">
        <f>IF('Fin Stat'!CF$212&lt;$E312, 1, 0)</f>
        <v>1</v>
      </c>
      <c r="CG312" s="38">
        <f>IF('Fin Stat'!CG$212&lt;$E312, 1, 0)</f>
        <v>1</v>
      </c>
      <c r="CH312" s="38">
        <f>IF('Fin Stat'!CH$212&lt;$E312, 1, 0)</f>
        <v>1</v>
      </c>
      <c r="CI312" s="38">
        <f>IF('Fin Stat'!CI$212&lt;$E312, 1, 0)</f>
        <v>1</v>
      </c>
      <c r="CK312" s="11"/>
      <c r="CM312" s="11"/>
      <c r="EX312" s="10" t="str">
        <f t="shared" si="202"/>
        <v/>
      </c>
    </row>
    <row r="313" spans="2:154" x14ac:dyDescent="0.35">
      <c r="B313" t="str">
        <f ca="1">Loans!B$28</f>
        <v>Loan 16</v>
      </c>
      <c r="D313" s="51">
        <f>Loans!D$28</f>
        <v>0</v>
      </c>
      <c r="E313" s="10" t="str">
        <f>IF(Loans!O28="", "", Loans!O28)</f>
        <v/>
      </c>
      <c r="V313" s="106"/>
      <c r="W313" s="106"/>
      <c r="X313" s="106"/>
      <c r="Y313" s="106"/>
      <c r="AA313" s="38">
        <f>IF($E313="", 0, IF('Fin Stat'!AA$212&lt;$E313, 1, 0))</f>
        <v>0</v>
      </c>
      <c r="AB313" s="38">
        <f>IF($E313="", 0, IF('Fin Stat'!AB$212&lt;$E313, 1, 0))</f>
        <v>0</v>
      </c>
      <c r="AC313" s="38">
        <f>IF($E313="", 0, IF('Fin Stat'!AC$212&lt;$E313, 1, 0))</f>
        <v>0</v>
      </c>
      <c r="AD313" s="38">
        <f>IF($E313="", 0, IF('Fin Stat'!AD$212&lt;$E313, 1, 0))</f>
        <v>0</v>
      </c>
      <c r="AE313" s="38">
        <f>IF($E313="", 0, IF('Fin Stat'!AE$212&lt;$E313, 1, 0))</f>
        <v>0</v>
      </c>
      <c r="AF313" s="38">
        <f>IF($E313="", 0, IF('Fin Stat'!AF$212&lt;$E313, 1, 0))</f>
        <v>0</v>
      </c>
      <c r="AG313" s="38">
        <f>IF($E313="", 0, IF('Fin Stat'!AG$212&lt;$E313, 1, 0))</f>
        <v>0</v>
      </c>
      <c r="AH313" s="38">
        <f>IF($E313="", 0, IF('Fin Stat'!AH$212&lt;$E313, 1, 0))</f>
        <v>0</v>
      </c>
      <c r="AI313" s="38">
        <f>IF($E313="", 0, IF('Fin Stat'!AI$212&lt;$E313, 1, 0))</f>
        <v>0</v>
      </c>
      <c r="AJ313" s="38">
        <f>IF($E313="", 0, IF('Fin Stat'!AJ$212&lt;$E313, 1, 0))</f>
        <v>0</v>
      </c>
      <c r="AK313" s="38">
        <f>IF($E313="", 0, IF('Fin Stat'!AK$212&lt;$E313, 1, 0))</f>
        <v>0</v>
      </c>
      <c r="AL313" s="38">
        <f>IF($E313="", 0, IF('Fin Stat'!AL$212&lt;$E313, 1, 0))</f>
        <v>0</v>
      </c>
      <c r="AM313" s="38">
        <f>IF($E313="", 0, IF('Fin Stat'!AM$212&lt;$E313, 1, 0))</f>
        <v>0</v>
      </c>
      <c r="AN313" s="38">
        <f>IF($E313="", 0, IF('Fin Stat'!AN$212&lt;$E313, 1, 0))</f>
        <v>0</v>
      </c>
      <c r="AO313" s="38">
        <f>IF($E313="", 0, IF('Fin Stat'!AO$212&lt;$E313, 1, 0))</f>
        <v>0</v>
      </c>
      <c r="AP313" s="38">
        <f>IF($E313="", 0, IF('Fin Stat'!AP$212&lt;$E313, 1, 0))</f>
        <v>0</v>
      </c>
      <c r="AQ313" s="38">
        <f>IF($E313="", 0, IF('Fin Stat'!AQ$212&lt;$E313, 1, 0))</f>
        <v>0</v>
      </c>
      <c r="AR313" s="38">
        <f>IF($E313="", 0, IF('Fin Stat'!AR$212&lt;$E313, 1, 0))</f>
        <v>0</v>
      </c>
      <c r="AS313" s="38">
        <f>IF($E313="", 0, IF('Fin Stat'!AS$212&lt;$E313, 1, 0))</f>
        <v>0</v>
      </c>
      <c r="AT313" s="38">
        <f>IF($E313="", 0, IF('Fin Stat'!AT$212&lt;$E313, 1, 0))</f>
        <v>0</v>
      </c>
      <c r="AU313" s="38">
        <f>IF($E313="", 0, IF('Fin Stat'!AU$212&lt;$E313, 1, 0))</f>
        <v>0</v>
      </c>
      <c r="AV313" s="38">
        <f>IF($E313="", 0, IF('Fin Stat'!AV$212&lt;$E313, 1, 0))</f>
        <v>0</v>
      </c>
      <c r="AW313" s="38">
        <f>IF($E313="", 0, IF('Fin Stat'!AW$212&lt;$E313, 1, 0))</f>
        <v>0</v>
      </c>
      <c r="AX313" s="38">
        <f>IF($E313="", 0, IF('Fin Stat'!AX$212&lt;$E313, 1, 0))</f>
        <v>0</v>
      </c>
      <c r="AY313" s="38">
        <f>IF($E313="", 0, IF('Fin Stat'!AY$212&lt;$E313, 1, 0))</f>
        <v>0</v>
      </c>
      <c r="AZ313" s="38">
        <f>IF($E313="", 0, IF('Fin Stat'!AZ$212&lt;$E313, 1, 0))</f>
        <v>0</v>
      </c>
      <c r="BA313" s="38">
        <f>IF($E313="", 0, IF('Fin Stat'!BA$212&lt;$E313, 1, 0))</f>
        <v>0</v>
      </c>
      <c r="BB313" s="38">
        <f>IF($E313="", 0, IF('Fin Stat'!BB$212&lt;$E313, 1, 0))</f>
        <v>0</v>
      </c>
      <c r="BC313" s="38">
        <f>IF($E313="", 0, IF('Fin Stat'!BC$212&lt;$E313, 1, 0))</f>
        <v>0</v>
      </c>
      <c r="BD313" s="38">
        <f>IF($E313="", 0, IF('Fin Stat'!BD$212&lt;$E313, 1, 0))</f>
        <v>0</v>
      </c>
      <c r="BE313" s="38">
        <f>IF($E313="", 0, IF('Fin Stat'!BE$212&lt;$E313, 1, 0))</f>
        <v>0</v>
      </c>
      <c r="BF313" s="38">
        <f>IF($E313="", 0, IF('Fin Stat'!BF$212&lt;$E313, 1, 0))</f>
        <v>0</v>
      </c>
      <c r="BG313" s="38">
        <f>IF($E313="", 0, IF('Fin Stat'!BG$212&lt;$E313, 1, 0))</f>
        <v>0</v>
      </c>
      <c r="BH313" s="38">
        <f>IF($E313="", 0, IF('Fin Stat'!BH$212&lt;$E313, 1, 0))</f>
        <v>0</v>
      </c>
      <c r="BI313" s="38">
        <f>IF($E313="", 0, IF('Fin Stat'!BI$212&lt;$E313, 1, 0))</f>
        <v>0</v>
      </c>
      <c r="BJ313" s="38">
        <f>IF($E313="", 0, IF('Fin Stat'!BJ$212&lt;$E313, 1, 0))</f>
        <v>0</v>
      </c>
      <c r="BK313" s="106"/>
      <c r="BL313" s="106"/>
      <c r="BM313" s="106"/>
      <c r="BN313" s="106"/>
      <c r="BO313" s="106"/>
      <c r="BP313" s="106"/>
      <c r="BQ313" s="106"/>
      <c r="BR313" s="106"/>
      <c r="BS313" s="106"/>
      <c r="BT313" s="106"/>
      <c r="BU313" s="106"/>
      <c r="BV313" s="106"/>
      <c r="BX313" s="106"/>
      <c r="BY313" s="106"/>
      <c r="BZ313" s="106"/>
      <c r="CA313" s="106"/>
      <c r="CB313" s="38">
        <f>IF('Fin Stat'!CB$212&lt;$E313, 1, 0)</f>
        <v>1</v>
      </c>
      <c r="CC313" s="38">
        <f>IF('Fin Stat'!CC$212&lt;$E313, 1, 0)</f>
        <v>1</v>
      </c>
      <c r="CD313" s="38">
        <f>IF('Fin Stat'!CD$212&lt;$E313, 1, 0)</f>
        <v>1</v>
      </c>
      <c r="CE313" s="38">
        <f>IF('Fin Stat'!CE$212&lt;$E313, 1, 0)</f>
        <v>1</v>
      </c>
      <c r="CF313" s="38">
        <f>IF('Fin Stat'!CF$212&lt;$E313, 1, 0)</f>
        <v>1</v>
      </c>
      <c r="CG313" s="38">
        <f>IF('Fin Stat'!CG$212&lt;$E313, 1, 0)</f>
        <v>1</v>
      </c>
      <c r="CH313" s="38">
        <f>IF('Fin Stat'!CH$212&lt;$E313, 1, 0)</f>
        <v>1</v>
      </c>
      <c r="CI313" s="38">
        <f>IF('Fin Stat'!CI$212&lt;$E313, 1, 0)</f>
        <v>1</v>
      </c>
      <c r="CK313" s="11"/>
      <c r="CM313" s="11"/>
      <c r="EX313" s="10" t="str">
        <f t="shared" si="202"/>
        <v/>
      </c>
    </row>
    <row r="314" spans="2:154" x14ac:dyDescent="0.35">
      <c r="B314" t="str">
        <f ca="1">Loans!B$29</f>
        <v>Loan 17</v>
      </c>
      <c r="D314" s="51">
        <f>Loans!D$29</f>
        <v>0</v>
      </c>
      <c r="E314" s="10" t="str">
        <f>IF(Loans!O29="", "", Loans!O29)</f>
        <v/>
      </c>
      <c r="V314" s="106"/>
      <c r="W314" s="106"/>
      <c r="X314" s="106"/>
      <c r="Y314" s="106"/>
      <c r="AA314" s="38">
        <f>IF($E314="", 0, IF('Fin Stat'!AA$212&lt;$E314, 1, 0))</f>
        <v>0</v>
      </c>
      <c r="AB314" s="38">
        <f>IF($E314="", 0, IF('Fin Stat'!AB$212&lt;$E314, 1, 0))</f>
        <v>0</v>
      </c>
      <c r="AC314" s="38">
        <f>IF($E314="", 0, IF('Fin Stat'!AC$212&lt;$E314, 1, 0))</f>
        <v>0</v>
      </c>
      <c r="AD314" s="38">
        <f>IF($E314="", 0, IF('Fin Stat'!AD$212&lt;$E314, 1, 0))</f>
        <v>0</v>
      </c>
      <c r="AE314" s="38">
        <f>IF($E314="", 0, IF('Fin Stat'!AE$212&lt;$E314, 1, 0))</f>
        <v>0</v>
      </c>
      <c r="AF314" s="38">
        <f>IF($E314="", 0, IF('Fin Stat'!AF$212&lt;$E314, 1, 0))</f>
        <v>0</v>
      </c>
      <c r="AG314" s="38">
        <f>IF($E314="", 0, IF('Fin Stat'!AG$212&lt;$E314, 1, 0))</f>
        <v>0</v>
      </c>
      <c r="AH314" s="38">
        <f>IF($E314="", 0, IF('Fin Stat'!AH$212&lt;$E314, 1, 0))</f>
        <v>0</v>
      </c>
      <c r="AI314" s="38">
        <f>IF($E314="", 0, IF('Fin Stat'!AI$212&lt;$E314, 1, 0))</f>
        <v>0</v>
      </c>
      <c r="AJ314" s="38">
        <f>IF($E314="", 0, IF('Fin Stat'!AJ$212&lt;$E314, 1, 0))</f>
        <v>0</v>
      </c>
      <c r="AK314" s="38">
        <f>IF($E314="", 0, IF('Fin Stat'!AK$212&lt;$E314, 1, 0))</f>
        <v>0</v>
      </c>
      <c r="AL314" s="38">
        <f>IF($E314="", 0, IF('Fin Stat'!AL$212&lt;$E314, 1, 0))</f>
        <v>0</v>
      </c>
      <c r="AM314" s="38">
        <f>IF($E314="", 0, IF('Fin Stat'!AM$212&lt;$E314, 1, 0))</f>
        <v>0</v>
      </c>
      <c r="AN314" s="38">
        <f>IF($E314="", 0, IF('Fin Stat'!AN$212&lt;$E314, 1, 0))</f>
        <v>0</v>
      </c>
      <c r="AO314" s="38">
        <f>IF($E314="", 0, IF('Fin Stat'!AO$212&lt;$E314, 1, 0))</f>
        <v>0</v>
      </c>
      <c r="AP314" s="38">
        <f>IF($E314="", 0, IF('Fin Stat'!AP$212&lt;$E314, 1, 0))</f>
        <v>0</v>
      </c>
      <c r="AQ314" s="38">
        <f>IF($E314="", 0, IF('Fin Stat'!AQ$212&lt;$E314, 1, 0))</f>
        <v>0</v>
      </c>
      <c r="AR314" s="38">
        <f>IF($E314="", 0, IF('Fin Stat'!AR$212&lt;$E314, 1, 0))</f>
        <v>0</v>
      </c>
      <c r="AS314" s="38">
        <f>IF($E314="", 0, IF('Fin Stat'!AS$212&lt;$E314, 1, 0))</f>
        <v>0</v>
      </c>
      <c r="AT314" s="38">
        <f>IF($E314="", 0, IF('Fin Stat'!AT$212&lt;$E314, 1, 0))</f>
        <v>0</v>
      </c>
      <c r="AU314" s="38">
        <f>IF($E314="", 0, IF('Fin Stat'!AU$212&lt;$E314, 1, 0))</f>
        <v>0</v>
      </c>
      <c r="AV314" s="38">
        <f>IF($E314="", 0, IF('Fin Stat'!AV$212&lt;$E314, 1, 0))</f>
        <v>0</v>
      </c>
      <c r="AW314" s="38">
        <f>IF($E314="", 0, IF('Fin Stat'!AW$212&lt;$E314, 1, 0))</f>
        <v>0</v>
      </c>
      <c r="AX314" s="38">
        <f>IF($E314="", 0, IF('Fin Stat'!AX$212&lt;$E314, 1, 0))</f>
        <v>0</v>
      </c>
      <c r="AY314" s="38">
        <f>IF($E314="", 0, IF('Fin Stat'!AY$212&lt;$E314, 1, 0))</f>
        <v>0</v>
      </c>
      <c r="AZ314" s="38">
        <f>IF($E314="", 0, IF('Fin Stat'!AZ$212&lt;$E314, 1, 0))</f>
        <v>0</v>
      </c>
      <c r="BA314" s="38">
        <f>IF($E314="", 0, IF('Fin Stat'!BA$212&lt;$E314, 1, 0))</f>
        <v>0</v>
      </c>
      <c r="BB314" s="38">
        <f>IF($E314="", 0, IF('Fin Stat'!BB$212&lt;$E314, 1, 0))</f>
        <v>0</v>
      </c>
      <c r="BC314" s="38">
        <f>IF($E314="", 0, IF('Fin Stat'!BC$212&lt;$E314, 1, 0))</f>
        <v>0</v>
      </c>
      <c r="BD314" s="38">
        <f>IF($E314="", 0, IF('Fin Stat'!BD$212&lt;$E314, 1, 0))</f>
        <v>0</v>
      </c>
      <c r="BE314" s="38">
        <f>IF($E314="", 0, IF('Fin Stat'!BE$212&lt;$E314, 1, 0))</f>
        <v>0</v>
      </c>
      <c r="BF314" s="38">
        <f>IF($E314="", 0, IF('Fin Stat'!BF$212&lt;$E314, 1, 0))</f>
        <v>0</v>
      </c>
      <c r="BG314" s="38">
        <f>IF($E314="", 0, IF('Fin Stat'!BG$212&lt;$E314, 1, 0))</f>
        <v>0</v>
      </c>
      <c r="BH314" s="38">
        <f>IF($E314="", 0, IF('Fin Stat'!BH$212&lt;$E314, 1, 0))</f>
        <v>0</v>
      </c>
      <c r="BI314" s="38">
        <f>IF($E314="", 0, IF('Fin Stat'!BI$212&lt;$E314, 1, 0))</f>
        <v>0</v>
      </c>
      <c r="BJ314" s="38">
        <f>IF($E314="", 0, IF('Fin Stat'!BJ$212&lt;$E314, 1, 0))</f>
        <v>0</v>
      </c>
      <c r="BK314" s="106"/>
      <c r="BL314" s="106"/>
      <c r="BM314" s="106"/>
      <c r="BN314" s="106"/>
      <c r="BO314" s="106"/>
      <c r="BP314" s="106"/>
      <c r="BQ314" s="106"/>
      <c r="BR314" s="106"/>
      <c r="BS314" s="106"/>
      <c r="BT314" s="106"/>
      <c r="BU314" s="106"/>
      <c r="BV314" s="106"/>
      <c r="BX314" s="106"/>
      <c r="BY314" s="106"/>
      <c r="BZ314" s="106"/>
      <c r="CA314" s="106"/>
      <c r="CB314" s="38">
        <f>IF('Fin Stat'!CB$212&lt;$E314, 1, 0)</f>
        <v>1</v>
      </c>
      <c r="CC314" s="38">
        <f>IF('Fin Stat'!CC$212&lt;$E314, 1, 0)</f>
        <v>1</v>
      </c>
      <c r="CD314" s="38">
        <f>IF('Fin Stat'!CD$212&lt;$E314, 1, 0)</f>
        <v>1</v>
      </c>
      <c r="CE314" s="38">
        <f>IF('Fin Stat'!CE$212&lt;$E314, 1, 0)</f>
        <v>1</v>
      </c>
      <c r="CF314" s="38">
        <f>IF('Fin Stat'!CF$212&lt;$E314, 1, 0)</f>
        <v>1</v>
      </c>
      <c r="CG314" s="38">
        <f>IF('Fin Stat'!CG$212&lt;$E314, 1, 0)</f>
        <v>1</v>
      </c>
      <c r="CH314" s="38">
        <f>IF('Fin Stat'!CH$212&lt;$E314, 1, 0)</f>
        <v>1</v>
      </c>
      <c r="CI314" s="38">
        <f>IF('Fin Stat'!CI$212&lt;$E314, 1, 0)</f>
        <v>1</v>
      </c>
      <c r="CK314" s="11"/>
      <c r="CM314" s="11"/>
      <c r="EX314" s="10" t="str">
        <f t="shared" si="202"/>
        <v/>
      </c>
    </row>
    <row r="315" spans="2:154" x14ac:dyDescent="0.35">
      <c r="B315" t="str">
        <f ca="1">Loans!B$30</f>
        <v>Loan 18</v>
      </c>
      <c r="D315" s="51">
        <f>Loans!D$30</f>
        <v>0</v>
      </c>
      <c r="E315" s="10" t="str">
        <f>IF(Loans!O30="", "", Loans!O30)</f>
        <v/>
      </c>
      <c r="V315" s="106"/>
      <c r="W315" s="106"/>
      <c r="X315" s="106"/>
      <c r="Y315" s="106"/>
      <c r="AA315" s="38">
        <f>IF($E315="", 0, IF('Fin Stat'!AA$212&lt;$E315, 1, 0))</f>
        <v>0</v>
      </c>
      <c r="AB315" s="38">
        <f>IF($E315="", 0, IF('Fin Stat'!AB$212&lt;$E315, 1, 0))</f>
        <v>0</v>
      </c>
      <c r="AC315" s="38">
        <f>IF($E315="", 0, IF('Fin Stat'!AC$212&lt;$E315, 1, 0))</f>
        <v>0</v>
      </c>
      <c r="AD315" s="38">
        <f>IF($E315="", 0, IF('Fin Stat'!AD$212&lt;$E315, 1, 0))</f>
        <v>0</v>
      </c>
      <c r="AE315" s="38">
        <f>IF($E315="", 0, IF('Fin Stat'!AE$212&lt;$E315, 1, 0))</f>
        <v>0</v>
      </c>
      <c r="AF315" s="38">
        <f>IF($E315="", 0, IF('Fin Stat'!AF$212&lt;$E315, 1, 0))</f>
        <v>0</v>
      </c>
      <c r="AG315" s="38">
        <f>IF($E315="", 0, IF('Fin Stat'!AG$212&lt;$E315, 1, 0))</f>
        <v>0</v>
      </c>
      <c r="AH315" s="38">
        <f>IF($E315="", 0, IF('Fin Stat'!AH$212&lt;$E315, 1, 0))</f>
        <v>0</v>
      </c>
      <c r="AI315" s="38">
        <f>IF($E315="", 0, IF('Fin Stat'!AI$212&lt;$E315, 1, 0))</f>
        <v>0</v>
      </c>
      <c r="AJ315" s="38">
        <f>IF($E315="", 0, IF('Fin Stat'!AJ$212&lt;$E315, 1, 0))</f>
        <v>0</v>
      </c>
      <c r="AK315" s="38">
        <f>IF($E315="", 0, IF('Fin Stat'!AK$212&lt;$E315, 1, 0))</f>
        <v>0</v>
      </c>
      <c r="AL315" s="38">
        <f>IF($E315="", 0, IF('Fin Stat'!AL$212&lt;$E315, 1, 0))</f>
        <v>0</v>
      </c>
      <c r="AM315" s="38">
        <f>IF($E315="", 0, IF('Fin Stat'!AM$212&lt;$E315, 1, 0))</f>
        <v>0</v>
      </c>
      <c r="AN315" s="38">
        <f>IF($E315="", 0, IF('Fin Stat'!AN$212&lt;$E315, 1, 0))</f>
        <v>0</v>
      </c>
      <c r="AO315" s="38">
        <f>IF($E315="", 0, IF('Fin Stat'!AO$212&lt;$E315, 1, 0))</f>
        <v>0</v>
      </c>
      <c r="AP315" s="38">
        <f>IF($E315="", 0, IF('Fin Stat'!AP$212&lt;$E315, 1, 0))</f>
        <v>0</v>
      </c>
      <c r="AQ315" s="38">
        <f>IF($E315="", 0, IF('Fin Stat'!AQ$212&lt;$E315, 1, 0))</f>
        <v>0</v>
      </c>
      <c r="AR315" s="38">
        <f>IF($E315="", 0, IF('Fin Stat'!AR$212&lt;$E315, 1, 0))</f>
        <v>0</v>
      </c>
      <c r="AS315" s="38">
        <f>IF($E315="", 0, IF('Fin Stat'!AS$212&lt;$E315, 1, 0))</f>
        <v>0</v>
      </c>
      <c r="AT315" s="38">
        <f>IF($E315="", 0, IF('Fin Stat'!AT$212&lt;$E315, 1, 0))</f>
        <v>0</v>
      </c>
      <c r="AU315" s="38">
        <f>IF($E315="", 0, IF('Fin Stat'!AU$212&lt;$E315, 1, 0))</f>
        <v>0</v>
      </c>
      <c r="AV315" s="38">
        <f>IF($E315="", 0, IF('Fin Stat'!AV$212&lt;$E315, 1, 0))</f>
        <v>0</v>
      </c>
      <c r="AW315" s="38">
        <f>IF($E315="", 0, IF('Fin Stat'!AW$212&lt;$E315, 1, 0))</f>
        <v>0</v>
      </c>
      <c r="AX315" s="38">
        <f>IF($E315="", 0, IF('Fin Stat'!AX$212&lt;$E315, 1, 0))</f>
        <v>0</v>
      </c>
      <c r="AY315" s="38">
        <f>IF($E315="", 0, IF('Fin Stat'!AY$212&lt;$E315, 1, 0))</f>
        <v>0</v>
      </c>
      <c r="AZ315" s="38">
        <f>IF($E315="", 0, IF('Fin Stat'!AZ$212&lt;$E315, 1, 0))</f>
        <v>0</v>
      </c>
      <c r="BA315" s="38">
        <f>IF($E315="", 0, IF('Fin Stat'!BA$212&lt;$E315, 1, 0))</f>
        <v>0</v>
      </c>
      <c r="BB315" s="38">
        <f>IF($E315="", 0, IF('Fin Stat'!BB$212&lt;$E315, 1, 0))</f>
        <v>0</v>
      </c>
      <c r="BC315" s="38">
        <f>IF($E315="", 0, IF('Fin Stat'!BC$212&lt;$E315, 1, 0))</f>
        <v>0</v>
      </c>
      <c r="BD315" s="38">
        <f>IF($E315="", 0, IF('Fin Stat'!BD$212&lt;$E315, 1, 0))</f>
        <v>0</v>
      </c>
      <c r="BE315" s="38">
        <f>IF($E315="", 0, IF('Fin Stat'!BE$212&lt;$E315, 1, 0))</f>
        <v>0</v>
      </c>
      <c r="BF315" s="38">
        <f>IF($E315="", 0, IF('Fin Stat'!BF$212&lt;$E315, 1, 0))</f>
        <v>0</v>
      </c>
      <c r="BG315" s="38">
        <f>IF($E315="", 0, IF('Fin Stat'!BG$212&lt;$E315, 1, 0))</f>
        <v>0</v>
      </c>
      <c r="BH315" s="38">
        <f>IF($E315="", 0, IF('Fin Stat'!BH$212&lt;$E315, 1, 0))</f>
        <v>0</v>
      </c>
      <c r="BI315" s="38">
        <f>IF($E315="", 0, IF('Fin Stat'!BI$212&lt;$E315, 1, 0))</f>
        <v>0</v>
      </c>
      <c r="BJ315" s="38">
        <f>IF($E315="", 0, IF('Fin Stat'!BJ$212&lt;$E315, 1, 0))</f>
        <v>0</v>
      </c>
      <c r="BK315" s="106"/>
      <c r="BL315" s="106"/>
      <c r="BM315" s="106"/>
      <c r="BN315" s="106"/>
      <c r="BO315" s="106"/>
      <c r="BP315" s="106"/>
      <c r="BQ315" s="106"/>
      <c r="BR315" s="106"/>
      <c r="BS315" s="106"/>
      <c r="BT315" s="106"/>
      <c r="BU315" s="106"/>
      <c r="BV315" s="106"/>
      <c r="BX315" s="106"/>
      <c r="BY315" s="106"/>
      <c r="BZ315" s="106"/>
      <c r="CA315" s="106"/>
      <c r="CB315" s="38">
        <f>IF('Fin Stat'!CB$212&lt;$E315, 1, 0)</f>
        <v>1</v>
      </c>
      <c r="CC315" s="38">
        <f>IF('Fin Stat'!CC$212&lt;$E315, 1, 0)</f>
        <v>1</v>
      </c>
      <c r="CD315" s="38">
        <f>IF('Fin Stat'!CD$212&lt;$E315, 1, 0)</f>
        <v>1</v>
      </c>
      <c r="CE315" s="38">
        <f>IF('Fin Stat'!CE$212&lt;$E315, 1, 0)</f>
        <v>1</v>
      </c>
      <c r="CF315" s="38">
        <f>IF('Fin Stat'!CF$212&lt;$E315, 1, 0)</f>
        <v>1</v>
      </c>
      <c r="CG315" s="38">
        <f>IF('Fin Stat'!CG$212&lt;$E315, 1, 0)</f>
        <v>1</v>
      </c>
      <c r="CH315" s="38">
        <f>IF('Fin Stat'!CH$212&lt;$E315, 1, 0)</f>
        <v>1</v>
      </c>
      <c r="CI315" s="38">
        <f>IF('Fin Stat'!CI$212&lt;$E315, 1, 0)</f>
        <v>1</v>
      </c>
      <c r="CK315" s="11"/>
      <c r="CM315" s="11"/>
      <c r="EX315" s="10" t="str">
        <f t="shared" si="202"/>
        <v/>
      </c>
    </row>
    <row r="316" spans="2:154" x14ac:dyDescent="0.35">
      <c r="B316" t="str">
        <f ca="1">Loans!B$31</f>
        <v>Loan 19</v>
      </c>
      <c r="D316" s="51">
        <f>Loans!D$31</f>
        <v>0</v>
      </c>
      <c r="E316" s="10" t="str">
        <f>IF(Loans!O31="", "", Loans!O31)</f>
        <v/>
      </c>
      <c r="V316" s="106"/>
      <c r="W316" s="106"/>
      <c r="X316" s="106"/>
      <c r="Y316" s="106"/>
      <c r="AA316" s="38">
        <f>IF($E316="", 0, IF('Fin Stat'!AA$212&lt;$E316, 1, 0))</f>
        <v>0</v>
      </c>
      <c r="AB316" s="38">
        <f>IF($E316="", 0, IF('Fin Stat'!AB$212&lt;$E316, 1, 0))</f>
        <v>0</v>
      </c>
      <c r="AC316" s="38">
        <f>IF($E316="", 0, IF('Fin Stat'!AC$212&lt;$E316, 1, 0))</f>
        <v>0</v>
      </c>
      <c r="AD316" s="38">
        <f>IF($E316="", 0, IF('Fin Stat'!AD$212&lt;$E316, 1, 0))</f>
        <v>0</v>
      </c>
      <c r="AE316" s="38">
        <f>IF($E316="", 0, IF('Fin Stat'!AE$212&lt;$E316, 1, 0))</f>
        <v>0</v>
      </c>
      <c r="AF316" s="38">
        <f>IF($E316="", 0, IF('Fin Stat'!AF$212&lt;$E316, 1, 0))</f>
        <v>0</v>
      </c>
      <c r="AG316" s="38">
        <f>IF($E316="", 0, IF('Fin Stat'!AG$212&lt;$E316, 1, 0))</f>
        <v>0</v>
      </c>
      <c r="AH316" s="38">
        <f>IF($E316="", 0, IF('Fin Stat'!AH$212&lt;$E316, 1, 0))</f>
        <v>0</v>
      </c>
      <c r="AI316" s="38">
        <f>IF($E316="", 0, IF('Fin Stat'!AI$212&lt;$E316, 1, 0))</f>
        <v>0</v>
      </c>
      <c r="AJ316" s="38">
        <f>IF($E316="", 0, IF('Fin Stat'!AJ$212&lt;$E316, 1, 0))</f>
        <v>0</v>
      </c>
      <c r="AK316" s="38">
        <f>IF($E316="", 0, IF('Fin Stat'!AK$212&lt;$E316, 1, 0))</f>
        <v>0</v>
      </c>
      <c r="AL316" s="38">
        <f>IF($E316="", 0, IF('Fin Stat'!AL$212&lt;$E316, 1, 0))</f>
        <v>0</v>
      </c>
      <c r="AM316" s="38">
        <f>IF($E316="", 0, IF('Fin Stat'!AM$212&lt;$E316, 1, 0))</f>
        <v>0</v>
      </c>
      <c r="AN316" s="38">
        <f>IF($E316="", 0, IF('Fin Stat'!AN$212&lt;$E316, 1, 0))</f>
        <v>0</v>
      </c>
      <c r="AO316" s="38">
        <f>IF($E316="", 0, IF('Fin Stat'!AO$212&lt;$E316, 1, 0))</f>
        <v>0</v>
      </c>
      <c r="AP316" s="38">
        <f>IF($E316="", 0, IF('Fin Stat'!AP$212&lt;$E316, 1, 0))</f>
        <v>0</v>
      </c>
      <c r="AQ316" s="38">
        <f>IF($E316="", 0, IF('Fin Stat'!AQ$212&lt;$E316, 1, 0))</f>
        <v>0</v>
      </c>
      <c r="AR316" s="38">
        <f>IF($E316="", 0, IF('Fin Stat'!AR$212&lt;$E316, 1, 0))</f>
        <v>0</v>
      </c>
      <c r="AS316" s="38">
        <f>IF($E316="", 0, IF('Fin Stat'!AS$212&lt;$E316, 1, 0))</f>
        <v>0</v>
      </c>
      <c r="AT316" s="38">
        <f>IF($E316="", 0, IF('Fin Stat'!AT$212&lt;$E316, 1, 0))</f>
        <v>0</v>
      </c>
      <c r="AU316" s="38">
        <f>IF($E316="", 0, IF('Fin Stat'!AU$212&lt;$E316, 1, 0))</f>
        <v>0</v>
      </c>
      <c r="AV316" s="38">
        <f>IF($E316="", 0, IF('Fin Stat'!AV$212&lt;$E316, 1, 0))</f>
        <v>0</v>
      </c>
      <c r="AW316" s="38">
        <f>IF($E316="", 0, IF('Fin Stat'!AW$212&lt;$E316, 1, 0))</f>
        <v>0</v>
      </c>
      <c r="AX316" s="38">
        <f>IF($E316="", 0, IF('Fin Stat'!AX$212&lt;$E316, 1, 0))</f>
        <v>0</v>
      </c>
      <c r="AY316" s="38">
        <f>IF($E316="", 0, IF('Fin Stat'!AY$212&lt;$E316, 1, 0))</f>
        <v>0</v>
      </c>
      <c r="AZ316" s="38">
        <f>IF($E316="", 0, IF('Fin Stat'!AZ$212&lt;$E316, 1, 0))</f>
        <v>0</v>
      </c>
      <c r="BA316" s="38">
        <f>IF($E316="", 0, IF('Fin Stat'!BA$212&lt;$E316, 1, 0))</f>
        <v>0</v>
      </c>
      <c r="BB316" s="38">
        <f>IF($E316="", 0, IF('Fin Stat'!BB$212&lt;$E316, 1, 0))</f>
        <v>0</v>
      </c>
      <c r="BC316" s="38">
        <f>IF($E316="", 0, IF('Fin Stat'!BC$212&lt;$E316, 1, 0))</f>
        <v>0</v>
      </c>
      <c r="BD316" s="38">
        <f>IF($E316="", 0, IF('Fin Stat'!BD$212&lt;$E316, 1, 0))</f>
        <v>0</v>
      </c>
      <c r="BE316" s="38">
        <f>IF($E316="", 0, IF('Fin Stat'!BE$212&lt;$E316, 1, 0))</f>
        <v>0</v>
      </c>
      <c r="BF316" s="38">
        <f>IF($E316="", 0, IF('Fin Stat'!BF$212&lt;$E316, 1, 0))</f>
        <v>0</v>
      </c>
      <c r="BG316" s="38">
        <f>IF($E316="", 0, IF('Fin Stat'!BG$212&lt;$E316, 1, 0))</f>
        <v>0</v>
      </c>
      <c r="BH316" s="38">
        <f>IF($E316="", 0, IF('Fin Stat'!BH$212&lt;$E316, 1, 0))</f>
        <v>0</v>
      </c>
      <c r="BI316" s="38">
        <f>IF($E316="", 0, IF('Fin Stat'!BI$212&lt;$E316, 1, 0))</f>
        <v>0</v>
      </c>
      <c r="BJ316" s="38">
        <f>IF($E316="", 0, IF('Fin Stat'!BJ$212&lt;$E316, 1, 0))</f>
        <v>0</v>
      </c>
      <c r="BK316" s="106"/>
      <c r="BL316" s="106"/>
      <c r="BM316" s="106"/>
      <c r="BN316" s="106"/>
      <c r="BO316" s="106"/>
      <c r="BP316" s="106"/>
      <c r="BQ316" s="106"/>
      <c r="BR316" s="106"/>
      <c r="BS316" s="106"/>
      <c r="BT316" s="106"/>
      <c r="BU316" s="106"/>
      <c r="BV316" s="106"/>
      <c r="BX316" s="106"/>
      <c r="BY316" s="106"/>
      <c r="BZ316" s="106"/>
      <c r="CA316" s="106"/>
      <c r="CB316" s="38">
        <f>IF('Fin Stat'!CB$212&lt;$E316, 1, 0)</f>
        <v>1</v>
      </c>
      <c r="CC316" s="38">
        <f>IF('Fin Stat'!CC$212&lt;$E316, 1, 0)</f>
        <v>1</v>
      </c>
      <c r="CD316" s="38">
        <f>IF('Fin Stat'!CD$212&lt;$E316, 1, 0)</f>
        <v>1</v>
      </c>
      <c r="CE316" s="38">
        <f>IF('Fin Stat'!CE$212&lt;$E316, 1, 0)</f>
        <v>1</v>
      </c>
      <c r="CF316" s="38">
        <f>IF('Fin Stat'!CF$212&lt;$E316, 1, 0)</f>
        <v>1</v>
      </c>
      <c r="CG316" s="38">
        <f>IF('Fin Stat'!CG$212&lt;$E316, 1, 0)</f>
        <v>1</v>
      </c>
      <c r="CH316" s="38">
        <f>IF('Fin Stat'!CH$212&lt;$E316, 1, 0)</f>
        <v>1</v>
      </c>
      <c r="CI316" s="38">
        <f>IF('Fin Stat'!CI$212&lt;$E316, 1, 0)</f>
        <v>1</v>
      </c>
      <c r="CK316" s="11"/>
      <c r="CM316" s="11"/>
      <c r="EX316" s="10" t="str">
        <f t="shared" si="202"/>
        <v/>
      </c>
    </row>
    <row r="317" spans="2:154" x14ac:dyDescent="0.35">
      <c r="B317" t="str">
        <f ca="1">Loans!B$32</f>
        <v>Loan 20</v>
      </c>
      <c r="D317" s="51">
        <f>Loans!D$32</f>
        <v>0</v>
      </c>
      <c r="E317" s="10" t="str">
        <f>IF(Loans!O32="", "", Loans!O32)</f>
        <v/>
      </c>
      <c r="V317" s="106"/>
      <c r="W317" s="106"/>
      <c r="X317" s="106"/>
      <c r="Y317" s="106"/>
      <c r="AA317" s="38">
        <f>IF($E317="", 0, IF('Fin Stat'!AA$212&lt;$E317, 1, 0))</f>
        <v>0</v>
      </c>
      <c r="AB317" s="38">
        <f>IF($E317="", 0, IF('Fin Stat'!AB$212&lt;$E317, 1, 0))</f>
        <v>0</v>
      </c>
      <c r="AC317" s="38">
        <f>IF($E317="", 0, IF('Fin Stat'!AC$212&lt;$E317, 1, 0))</f>
        <v>0</v>
      </c>
      <c r="AD317" s="38">
        <f>IF($E317="", 0, IF('Fin Stat'!AD$212&lt;$E317, 1, 0))</f>
        <v>0</v>
      </c>
      <c r="AE317" s="38">
        <f>IF($E317="", 0, IF('Fin Stat'!AE$212&lt;$E317, 1, 0))</f>
        <v>0</v>
      </c>
      <c r="AF317" s="38">
        <f>IF($E317="", 0, IF('Fin Stat'!AF$212&lt;$E317, 1, 0))</f>
        <v>0</v>
      </c>
      <c r="AG317" s="38">
        <f>IF($E317="", 0, IF('Fin Stat'!AG$212&lt;$E317, 1, 0))</f>
        <v>0</v>
      </c>
      <c r="AH317" s="38">
        <f>IF($E317="", 0, IF('Fin Stat'!AH$212&lt;$E317, 1, 0))</f>
        <v>0</v>
      </c>
      <c r="AI317" s="38">
        <f>IF($E317="", 0, IF('Fin Stat'!AI$212&lt;$E317, 1, 0))</f>
        <v>0</v>
      </c>
      <c r="AJ317" s="38">
        <f>IF($E317="", 0, IF('Fin Stat'!AJ$212&lt;$E317, 1, 0))</f>
        <v>0</v>
      </c>
      <c r="AK317" s="38">
        <f>IF($E317="", 0, IF('Fin Stat'!AK$212&lt;$E317, 1, 0))</f>
        <v>0</v>
      </c>
      <c r="AL317" s="38">
        <f>IF($E317="", 0, IF('Fin Stat'!AL$212&lt;$E317, 1, 0))</f>
        <v>0</v>
      </c>
      <c r="AM317" s="38">
        <f>IF($E317="", 0, IF('Fin Stat'!AM$212&lt;$E317, 1, 0))</f>
        <v>0</v>
      </c>
      <c r="AN317" s="38">
        <f>IF($E317="", 0, IF('Fin Stat'!AN$212&lt;$E317, 1, 0))</f>
        <v>0</v>
      </c>
      <c r="AO317" s="38">
        <f>IF($E317="", 0, IF('Fin Stat'!AO$212&lt;$E317, 1, 0))</f>
        <v>0</v>
      </c>
      <c r="AP317" s="38">
        <f>IF($E317="", 0, IF('Fin Stat'!AP$212&lt;$E317, 1, 0))</f>
        <v>0</v>
      </c>
      <c r="AQ317" s="38">
        <f>IF($E317="", 0, IF('Fin Stat'!AQ$212&lt;$E317, 1, 0))</f>
        <v>0</v>
      </c>
      <c r="AR317" s="38">
        <f>IF($E317="", 0, IF('Fin Stat'!AR$212&lt;$E317, 1, 0))</f>
        <v>0</v>
      </c>
      <c r="AS317" s="38">
        <f>IF($E317="", 0, IF('Fin Stat'!AS$212&lt;$E317, 1, 0))</f>
        <v>0</v>
      </c>
      <c r="AT317" s="38">
        <f>IF($E317="", 0, IF('Fin Stat'!AT$212&lt;$E317, 1, 0))</f>
        <v>0</v>
      </c>
      <c r="AU317" s="38">
        <f>IF($E317="", 0, IF('Fin Stat'!AU$212&lt;$E317, 1, 0))</f>
        <v>0</v>
      </c>
      <c r="AV317" s="38">
        <f>IF($E317="", 0, IF('Fin Stat'!AV$212&lt;$E317, 1, 0))</f>
        <v>0</v>
      </c>
      <c r="AW317" s="38">
        <f>IF($E317="", 0, IF('Fin Stat'!AW$212&lt;$E317, 1, 0))</f>
        <v>0</v>
      </c>
      <c r="AX317" s="38">
        <f>IF($E317="", 0, IF('Fin Stat'!AX$212&lt;$E317, 1, 0))</f>
        <v>0</v>
      </c>
      <c r="AY317" s="38">
        <f>IF($E317="", 0, IF('Fin Stat'!AY$212&lt;$E317, 1, 0))</f>
        <v>0</v>
      </c>
      <c r="AZ317" s="38">
        <f>IF($E317="", 0, IF('Fin Stat'!AZ$212&lt;$E317, 1, 0))</f>
        <v>0</v>
      </c>
      <c r="BA317" s="38">
        <f>IF($E317="", 0, IF('Fin Stat'!BA$212&lt;$E317, 1, 0))</f>
        <v>0</v>
      </c>
      <c r="BB317" s="38">
        <f>IF($E317="", 0, IF('Fin Stat'!BB$212&lt;$E317, 1, 0))</f>
        <v>0</v>
      </c>
      <c r="BC317" s="38">
        <f>IF($E317="", 0, IF('Fin Stat'!BC$212&lt;$E317, 1, 0))</f>
        <v>0</v>
      </c>
      <c r="BD317" s="38">
        <f>IF($E317="", 0, IF('Fin Stat'!BD$212&lt;$E317, 1, 0))</f>
        <v>0</v>
      </c>
      <c r="BE317" s="38">
        <f>IF($E317="", 0, IF('Fin Stat'!BE$212&lt;$E317, 1, 0))</f>
        <v>0</v>
      </c>
      <c r="BF317" s="38">
        <f>IF($E317="", 0, IF('Fin Stat'!BF$212&lt;$E317, 1, 0))</f>
        <v>0</v>
      </c>
      <c r="BG317" s="38">
        <f>IF($E317="", 0, IF('Fin Stat'!BG$212&lt;$E317, 1, 0))</f>
        <v>0</v>
      </c>
      <c r="BH317" s="38">
        <f>IF($E317="", 0, IF('Fin Stat'!BH$212&lt;$E317, 1, 0))</f>
        <v>0</v>
      </c>
      <c r="BI317" s="38">
        <f>IF($E317="", 0, IF('Fin Stat'!BI$212&lt;$E317, 1, 0))</f>
        <v>0</v>
      </c>
      <c r="BJ317" s="38">
        <f>IF($E317="", 0, IF('Fin Stat'!BJ$212&lt;$E317, 1, 0))</f>
        <v>0</v>
      </c>
      <c r="BK317" s="106"/>
      <c r="BL317" s="106"/>
      <c r="BM317" s="106"/>
      <c r="BN317" s="106"/>
      <c r="BO317" s="106"/>
      <c r="BP317" s="106"/>
      <c r="BQ317" s="106"/>
      <c r="BR317" s="106"/>
      <c r="BS317" s="106"/>
      <c r="BT317" s="106"/>
      <c r="BU317" s="106"/>
      <c r="BV317" s="106"/>
      <c r="BX317" s="106"/>
      <c r="BY317" s="106"/>
      <c r="BZ317" s="106"/>
      <c r="CA317" s="106"/>
      <c r="CB317" s="38">
        <f>IF('Fin Stat'!CB$212&lt;$E317, 1, 0)</f>
        <v>1</v>
      </c>
      <c r="CC317" s="38">
        <f>IF('Fin Stat'!CC$212&lt;$E317, 1, 0)</f>
        <v>1</v>
      </c>
      <c r="CD317" s="38">
        <f>IF('Fin Stat'!CD$212&lt;$E317, 1, 0)</f>
        <v>1</v>
      </c>
      <c r="CE317" s="38">
        <f>IF('Fin Stat'!CE$212&lt;$E317, 1, 0)</f>
        <v>1</v>
      </c>
      <c r="CF317" s="38">
        <f>IF('Fin Stat'!CF$212&lt;$E317, 1, 0)</f>
        <v>1</v>
      </c>
      <c r="CG317" s="38">
        <f>IF('Fin Stat'!CG$212&lt;$E317, 1, 0)</f>
        <v>1</v>
      </c>
      <c r="CH317" s="38">
        <f>IF('Fin Stat'!CH$212&lt;$E317, 1, 0)</f>
        <v>1</v>
      </c>
      <c r="CI317" s="38">
        <f>IF('Fin Stat'!CI$212&lt;$E317, 1, 0)</f>
        <v>1</v>
      </c>
      <c r="CK317" s="11"/>
      <c r="CM317" s="11"/>
      <c r="EX317" s="10" t="str">
        <f t="shared" si="202"/>
        <v/>
      </c>
    </row>
    <row r="318" spans="2:154" ht="6.75" customHeight="1" x14ac:dyDescent="0.35">
      <c r="D318" s="1"/>
      <c r="E318"/>
      <c r="BY318" s="6"/>
      <c r="CK318" s="35"/>
      <c r="CM318" s="35"/>
      <c r="EX318" s="10" t="str">
        <f t="shared" si="202"/>
        <v/>
      </c>
    </row>
    <row r="319" spans="2:154" x14ac:dyDescent="0.35">
      <c r="D319" s="5" t="s">
        <v>1946</v>
      </c>
      <c r="E319"/>
      <c r="CK319" s="11"/>
      <c r="CM319" s="11"/>
      <c r="EX319" s="10" t="str">
        <f t="shared" si="202"/>
        <v/>
      </c>
    </row>
    <row r="320" spans="2:154" x14ac:dyDescent="0.35">
      <c r="B320" s="5"/>
      <c r="D320" s="5" t="str">
        <f>Loans!D$11</f>
        <v>Lender</v>
      </c>
      <c r="E320" s="107" t="s">
        <v>1031</v>
      </c>
      <c r="CK320" s="11"/>
      <c r="CM320" s="11"/>
      <c r="EX320" s="10" t="str">
        <f t="shared" si="202"/>
        <v/>
      </c>
    </row>
    <row r="321" spans="1:154" x14ac:dyDescent="0.35">
      <c r="B321" t="str">
        <f ca="1">Loans!B$13</f>
        <v>Loan 1</v>
      </c>
      <c r="D321" s="51">
        <f>Loans!D$13</f>
        <v>0</v>
      </c>
      <c r="E321" s="10" t="str">
        <f>IF(Loans!P13="", "", Loans!P13)</f>
        <v/>
      </c>
      <c r="V321" s="106"/>
      <c r="W321" s="106"/>
      <c r="X321" s="106"/>
      <c r="Y321" s="106"/>
      <c r="AA321" s="38" t="str">
        <f>IF($E321="", "", IF(Ratios!AA$31&lt;$E321, 1, 0))</f>
        <v/>
      </c>
      <c r="AB321" s="38" t="str">
        <f>IF($E321="", "", IF(Ratios!AB$31&lt;$E321, 1, 0))</f>
        <v/>
      </c>
      <c r="AC321" s="38" t="str">
        <f>IF($E321="", "", IF(Ratios!AC$31&lt;$E321, 1, 0))</f>
        <v/>
      </c>
      <c r="AD321" s="38" t="str">
        <f>IF($E321="", "", IF(Ratios!AD$31&lt;$E321, 1, 0))</f>
        <v/>
      </c>
      <c r="AE321" s="38" t="str">
        <f>IF($E321="", "", IF(Ratios!AE$31&lt;$E321, 1, 0))</f>
        <v/>
      </c>
      <c r="AF321" s="38" t="str">
        <f>IF($E321="", "", IF(Ratios!AF$31&lt;$E321, 1, 0))</f>
        <v/>
      </c>
      <c r="AG321" s="38" t="str">
        <f>IF($E321="", "", IF(Ratios!AG$31&lt;$E321, 1, 0))</f>
        <v/>
      </c>
      <c r="AH321" s="38" t="str">
        <f>IF($E321="", "", IF(Ratios!AH$31&lt;$E321, 1, 0))</f>
        <v/>
      </c>
      <c r="AI321" s="38" t="str">
        <f>IF($E321="", "", IF(Ratios!AI$31&lt;$E321, 1, 0))</f>
        <v/>
      </c>
      <c r="AJ321" s="38" t="str">
        <f>IF($E321="", "", IF(Ratios!AJ$31&lt;$E321, 1, 0))</f>
        <v/>
      </c>
      <c r="AK321" s="38" t="str">
        <f>IF($E321="", "", IF(Ratios!AK$31&lt;$E321, 1, 0))</f>
        <v/>
      </c>
      <c r="AL321" s="38" t="str">
        <f>IF($E321="", "", IF(Ratios!AL$31&lt;$E321, 1, 0))</f>
        <v/>
      </c>
      <c r="AM321" s="38" t="str">
        <f>IF($E321="", "", IF(Ratios!AM$31&lt;$E321, 1, 0))</f>
        <v/>
      </c>
      <c r="AN321" s="38" t="str">
        <f>IF($E321="", "", IF(Ratios!AN$31&lt;$E321, 1, 0))</f>
        <v/>
      </c>
      <c r="AO321" s="38" t="str">
        <f>IF($E321="", "", IF(Ratios!AO$31&lt;$E321, 1, 0))</f>
        <v/>
      </c>
      <c r="AP321" s="38" t="str">
        <f>IF($E321="", "", IF(Ratios!AP$31&lt;$E321, 1, 0))</f>
        <v/>
      </c>
      <c r="AQ321" s="38" t="str">
        <f>IF($E321="", "", IF(Ratios!AQ$31&lt;$E321, 1, 0))</f>
        <v/>
      </c>
      <c r="AR321" s="38" t="str">
        <f>IF($E321="", "", IF(Ratios!AR$31&lt;$E321, 1, 0))</f>
        <v/>
      </c>
      <c r="AS321" s="38" t="str">
        <f>IF($E321="", "", IF(Ratios!AS$31&lt;$E321, 1, 0))</f>
        <v/>
      </c>
      <c r="AT321" s="38" t="str">
        <f>IF($E321="", "", IF(Ratios!AT$31&lt;$E321, 1, 0))</f>
        <v/>
      </c>
      <c r="AU321" s="38" t="str">
        <f>IF($E321="", "", IF(Ratios!AU$31&lt;$E321, 1, 0))</f>
        <v/>
      </c>
      <c r="AV321" s="38" t="str">
        <f>IF($E321="", "", IF(Ratios!AV$31&lt;$E321, 1, 0))</f>
        <v/>
      </c>
      <c r="AW321" s="38" t="str">
        <f>IF($E321="", "", IF(Ratios!AW$31&lt;$E321, 1, 0))</f>
        <v/>
      </c>
      <c r="AX321" s="38" t="str">
        <f>IF($E321="", "", IF(Ratios!AX$31&lt;$E321, 1, 0))</f>
        <v/>
      </c>
      <c r="AY321" s="38" t="str">
        <f>IF($E321="", "", IF(Ratios!AY$31&lt;$E321, 1, 0))</f>
        <v/>
      </c>
      <c r="AZ321" s="38" t="str">
        <f>IF($E321="", "", IF(Ratios!AZ$31&lt;$E321, 1, 0))</f>
        <v/>
      </c>
      <c r="BA321" s="38" t="str">
        <f>IF($E321="", "", IF(Ratios!BA$31&lt;$E321, 1, 0))</f>
        <v/>
      </c>
      <c r="BB321" s="38" t="str">
        <f>IF($E321="", "", IF(Ratios!BB$31&lt;$E321, 1, 0))</f>
        <v/>
      </c>
      <c r="BC321" s="38" t="str">
        <f>IF($E321="", "", IF(Ratios!BC$31&lt;$E321, 1, 0))</f>
        <v/>
      </c>
      <c r="BD321" s="38" t="str">
        <f>IF($E321="", "", IF(Ratios!BD$31&lt;$E321, 1, 0))</f>
        <v/>
      </c>
      <c r="BE321" s="38" t="str">
        <f>IF($E321="", "", IF(Ratios!BE$31&lt;$E321, 1, 0))</f>
        <v/>
      </c>
      <c r="BF321" s="38" t="str">
        <f>IF($E321="", "", IF(Ratios!BF$31&lt;$E321, 1, 0))</f>
        <v/>
      </c>
      <c r="BG321" s="38" t="str">
        <f>IF($E321="", "", IF(Ratios!BG$31&lt;$E321, 1, 0))</f>
        <v/>
      </c>
      <c r="BH321" s="38" t="str">
        <f>IF($E321="", "", IF(Ratios!BH$31&lt;$E321, 1, 0))</f>
        <v/>
      </c>
      <c r="BI321" s="38" t="str">
        <f>IF($E321="", "", IF(Ratios!BI$31&lt;$E321, 1, 0))</f>
        <v/>
      </c>
      <c r="BJ321" s="38" t="str">
        <f>IF($E321="", "", IF(Ratios!BJ$31&lt;$E321, 1, 0))</f>
        <v/>
      </c>
      <c r="BK321" s="106"/>
      <c r="BL321" s="106"/>
      <c r="BM321" s="106"/>
      <c r="BN321" s="106"/>
      <c r="BO321" s="106"/>
      <c r="BP321" s="106"/>
      <c r="BQ321" s="106"/>
      <c r="BR321" s="106"/>
      <c r="BS321" s="106"/>
      <c r="BT321" s="106"/>
      <c r="BU321" s="106"/>
      <c r="BV321" s="106"/>
      <c r="BX321" s="106"/>
      <c r="BY321" s="106"/>
      <c r="BZ321" s="106"/>
      <c r="CA321" s="106"/>
      <c r="CB321" s="38">
        <f>IF(Ratios!CB$31&lt;$E321, 1, 0)</f>
        <v>1</v>
      </c>
      <c r="CC321" s="38">
        <f>IF(Ratios!CC$31&lt;$E321, 1, 0)</f>
        <v>1</v>
      </c>
      <c r="CD321" s="38">
        <f>IF(Ratios!CD$31&lt;$E321, 1, 0)</f>
        <v>1</v>
      </c>
      <c r="CE321" s="38">
        <f>IF(Ratios!CE$31&lt;$E321, 1, 0)</f>
        <v>1</v>
      </c>
      <c r="CF321" s="38">
        <f>IF(Ratios!CF$31&lt;$E321, 1, 0)</f>
        <v>1</v>
      </c>
      <c r="CG321" s="38">
        <f>IF(Ratios!CG$31&lt;$E321, 1, 0)</f>
        <v>1</v>
      </c>
      <c r="CH321" s="38">
        <f>IF(Ratios!CH$31&lt;$E321, 1, 0)</f>
        <v>1</v>
      </c>
      <c r="CI321" s="38">
        <f>IF(Ratios!CI$31&lt;$E321, 1, 0)</f>
        <v>1</v>
      </c>
      <c r="CK321" s="11"/>
      <c r="CM321" s="11"/>
      <c r="EX321" s="10" t="str">
        <f t="shared" si="202"/>
        <v/>
      </c>
    </row>
    <row r="322" spans="1:154" x14ac:dyDescent="0.35">
      <c r="B322" t="str">
        <f ca="1">Loans!B$14</f>
        <v>Loan 2</v>
      </c>
      <c r="D322" s="51">
        <f>Loans!D$14</f>
        <v>0</v>
      </c>
      <c r="E322" s="10" t="str">
        <f>IF(Loans!P14="", "", Loans!P14)</f>
        <v/>
      </c>
      <c r="V322" s="106"/>
      <c r="W322" s="106"/>
      <c r="X322" s="106"/>
      <c r="Y322" s="106"/>
      <c r="AA322" s="38" t="str">
        <f>IF($E322="", "", IF(Ratios!AA$31&lt;$E322, 1, 0))</f>
        <v/>
      </c>
      <c r="AB322" s="38" t="str">
        <f>IF($E322="", "", IF(Ratios!AB$31&lt;$E322, 1, 0))</f>
        <v/>
      </c>
      <c r="AC322" s="38" t="str">
        <f>IF($E322="", "", IF(Ratios!AC$31&lt;$E322, 1, 0))</f>
        <v/>
      </c>
      <c r="AD322" s="38" t="str">
        <f>IF($E322="", "", IF(Ratios!AD$31&lt;$E322, 1, 0))</f>
        <v/>
      </c>
      <c r="AE322" s="38" t="str">
        <f>IF($E322="", "", IF(Ratios!AE$31&lt;$E322, 1, 0))</f>
        <v/>
      </c>
      <c r="AF322" s="38" t="str">
        <f>IF($E322="", "", IF(Ratios!AF$31&lt;$E322, 1, 0))</f>
        <v/>
      </c>
      <c r="AG322" s="38" t="str">
        <f>IF($E322="", "", IF(Ratios!AG$31&lt;$E322, 1, 0))</f>
        <v/>
      </c>
      <c r="AH322" s="38" t="str">
        <f>IF($E322="", "", IF(Ratios!AH$31&lt;$E322, 1, 0))</f>
        <v/>
      </c>
      <c r="AI322" s="38" t="str">
        <f>IF($E322="", "", IF(Ratios!AI$31&lt;$E322, 1, 0))</f>
        <v/>
      </c>
      <c r="AJ322" s="38" t="str">
        <f>IF($E322="", "", IF(Ratios!AJ$31&lt;$E322, 1, 0))</f>
        <v/>
      </c>
      <c r="AK322" s="38" t="str">
        <f>IF($E322="", "", IF(Ratios!AK$31&lt;$E322, 1, 0))</f>
        <v/>
      </c>
      <c r="AL322" s="38" t="str">
        <f>IF($E322="", "", IF(Ratios!AL$31&lt;$E322, 1, 0))</f>
        <v/>
      </c>
      <c r="AM322" s="38" t="str">
        <f>IF($E322="", "", IF(Ratios!AM$31&lt;$E322, 1, 0))</f>
        <v/>
      </c>
      <c r="AN322" s="38" t="str">
        <f>IF($E322="", "", IF(Ratios!AN$31&lt;$E322, 1, 0))</f>
        <v/>
      </c>
      <c r="AO322" s="38" t="str">
        <f>IF($E322="", "", IF(Ratios!AO$31&lt;$E322, 1, 0))</f>
        <v/>
      </c>
      <c r="AP322" s="38" t="str">
        <f>IF($E322="", "", IF(Ratios!AP$31&lt;$E322, 1, 0))</f>
        <v/>
      </c>
      <c r="AQ322" s="38" t="str">
        <f>IF($E322="", "", IF(Ratios!AQ$31&lt;$E322, 1, 0))</f>
        <v/>
      </c>
      <c r="AR322" s="38" t="str">
        <f>IF($E322="", "", IF(Ratios!AR$31&lt;$E322, 1, 0))</f>
        <v/>
      </c>
      <c r="AS322" s="38" t="str">
        <f>IF($E322="", "", IF(Ratios!AS$31&lt;$E322, 1, 0))</f>
        <v/>
      </c>
      <c r="AT322" s="38" t="str">
        <f>IF($E322="", "", IF(Ratios!AT$31&lt;$E322, 1, 0))</f>
        <v/>
      </c>
      <c r="AU322" s="38" t="str">
        <f>IF($E322="", "", IF(Ratios!AU$31&lt;$E322, 1, 0))</f>
        <v/>
      </c>
      <c r="AV322" s="38" t="str">
        <f>IF($E322="", "", IF(Ratios!AV$31&lt;$E322, 1, 0))</f>
        <v/>
      </c>
      <c r="AW322" s="38" t="str">
        <f>IF($E322="", "", IF(Ratios!AW$31&lt;$E322, 1, 0))</f>
        <v/>
      </c>
      <c r="AX322" s="38" t="str">
        <f>IF($E322="", "", IF(Ratios!AX$31&lt;$E322, 1, 0))</f>
        <v/>
      </c>
      <c r="AY322" s="38" t="str">
        <f>IF($E322="", "", IF(Ratios!AY$31&lt;$E322, 1, 0))</f>
        <v/>
      </c>
      <c r="AZ322" s="38" t="str">
        <f>IF($E322="", "", IF(Ratios!AZ$31&lt;$E322, 1, 0))</f>
        <v/>
      </c>
      <c r="BA322" s="38" t="str">
        <f>IF($E322="", "", IF(Ratios!BA$31&lt;$E322, 1, 0))</f>
        <v/>
      </c>
      <c r="BB322" s="38" t="str">
        <f>IF($E322="", "", IF(Ratios!BB$31&lt;$E322, 1, 0))</f>
        <v/>
      </c>
      <c r="BC322" s="38" t="str">
        <f>IF($E322="", "", IF(Ratios!BC$31&lt;$E322, 1, 0))</f>
        <v/>
      </c>
      <c r="BD322" s="38" t="str">
        <f>IF($E322="", "", IF(Ratios!BD$31&lt;$E322, 1, 0))</f>
        <v/>
      </c>
      <c r="BE322" s="38" t="str">
        <f>IF($E322="", "", IF(Ratios!BE$31&lt;$E322, 1, 0))</f>
        <v/>
      </c>
      <c r="BF322" s="38" t="str">
        <f>IF($E322="", "", IF(Ratios!BF$31&lt;$E322, 1, 0))</f>
        <v/>
      </c>
      <c r="BG322" s="38" t="str">
        <f>IF($E322="", "", IF(Ratios!BG$31&lt;$E322, 1, 0))</f>
        <v/>
      </c>
      <c r="BH322" s="38" t="str">
        <f>IF($E322="", "", IF(Ratios!BH$31&lt;$E322, 1, 0))</f>
        <v/>
      </c>
      <c r="BI322" s="38" t="str">
        <f>IF($E322="", "", IF(Ratios!BI$31&lt;$E322, 1, 0))</f>
        <v/>
      </c>
      <c r="BJ322" s="38" t="str">
        <f>IF($E322="", "", IF(Ratios!BJ$31&lt;$E322, 1, 0))</f>
        <v/>
      </c>
      <c r="BK322" s="106"/>
      <c r="BL322" s="106"/>
      <c r="BM322" s="106"/>
      <c r="BN322" s="106"/>
      <c r="BO322" s="106"/>
      <c r="BP322" s="106"/>
      <c r="BQ322" s="106"/>
      <c r="BR322" s="106"/>
      <c r="BS322" s="106"/>
      <c r="BT322" s="106"/>
      <c r="BU322" s="106"/>
      <c r="BV322" s="106"/>
      <c r="BX322" s="106"/>
      <c r="BY322" s="106"/>
      <c r="BZ322" s="106"/>
      <c r="CA322" s="106"/>
      <c r="CB322" s="38">
        <f>IF(Ratios!CB$31&lt;$E322, 1, 0)</f>
        <v>1</v>
      </c>
      <c r="CC322" s="38">
        <f>IF(Ratios!CC$31&lt;$E322, 1, 0)</f>
        <v>1</v>
      </c>
      <c r="CD322" s="38">
        <f>IF(Ratios!CD$31&lt;$E322, 1, 0)</f>
        <v>1</v>
      </c>
      <c r="CE322" s="38">
        <f>IF(Ratios!CE$31&lt;$E322, 1, 0)</f>
        <v>1</v>
      </c>
      <c r="CF322" s="38">
        <f>IF(Ratios!CF$31&lt;$E322, 1, 0)</f>
        <v>1</v>
      </c>
      <c r="CG322" s="38">
        <f>IF(Ratios!CG$31&lt;$E322, 1, 0)</f>
        <v>1</v>
      </c>
      <c r="CH322" s="38">
        <f>IF(Ratios!CH$31&lt;$E322, 1, 0)</f>
        <v>1</v>
      </c>
      <c r="CI322" s="38">
        <f>IF(Ratios!CI$31&lt;$E322, 1, 0)</f>
        <v>1</v>
      </c>
      <c r="CK322" s="11"/>
      <c r="CM322" s="11"/>
      <c r="EX322" s="10" t="str">
        <f t="shared" si="202"/>
        <v/>
      </c>
    </row>
    <row r="323" spans="1:154" x14ac:dyDescent="0.35">
      <c r="B323" t="str">
        <f ca="1">Loans!B$15</f>
        <v>Loan 3</v>
      </c>
      <c r="D323" s="51">
        <f>Loans!D$15</f>
        <v>0</v>
      </c>
      <c r="E323" s="10" t="str">
        <f>IF(Loans!P15="", "", Loans!P15)</f>
        <v/>
      </c>
      <c r="V323" s="106"/>
      <c r="W323" s="106"/>
      <c r="X323" s="106"/>
      <c r="Y323" s="106"/>
      <c r="AA323" s="38" t="str">
        <f>IF($E323="", "", IF(Ratios!AA$31&lt;$E323, 1, 0))</f>
        <v/>
      </c>
      <c r="AB323" s="38" t="str">
        <f>IF($E323="", "", IF(Ratios!AB$31&lt;$E323, 1, 0))</f>
        <v/>
      </c>
      <c r="AC323" s="38" t="str">
        <f>IF($E323="", "", IF(Ratios!AC$31&lt;$E323, 1, 0))</f>
        <v/>
      </c>
      <c r="AD323" s="38" t="str">
        <f>IF($E323="", "", IF(Ratios!AD$31&lt;$E323, 1, 0))</f>
        <v/>
      </c>
      <c r="AE323" s="38" t="str">
        <f>IF($E323="", "", IF(Ratios!AE$31&lt;$E323, 1, 0))</f>
        <v/>
      </c>
      <c r="AF323" s="38" t="str">
        <f>IF($E323="", "", IF(Ratios!AF$31&lt;$E323, 1, 0))</f>
        <v/>
      </c>
      <c r="AG323" s="38" t="str">
        <f>IF($E323="", "", IF(Ratios!AG$31&lt;$E323, 1, 0))</f>
        <v/>
      </c>
      <c r="AH323" s="38" t="str">
        <f>IF($E323="", "", IF(Ratios!AH$31&lt;$E323, 1, 0))</f>
        <v/>
      </c>
      <c r="AI323" s="38" t="str">
        <f>IF($E323="", "", IF(Ratios!AI$31&lt;$E323, 1, 0))</f>
        <v/>
      </c>
      <c r="AJ323" s="38" t="str">
        <f>IF($E323="", "", IF(Ratios!AJ$31&lt;$E323, 1, 0))</f>
        <v/>
      </c>
      <c r="AK323" s="38" t="str">
        <f>IF($E323="", "", IF(Ratios!AK$31&lt;$E323, 1, 0))</f>
        <v/>
      </c>
      <c r="AL323" s="38" t="str">
        <f>IF($E323="", "", IF(Ratios!AL$31&lt;$E323, 1, 0))</f>
        <v/>
      </c>
      <c r="AM323" s="38" t="str">
        <f>IF($E323="", "", IF(Ratios!AM$31&lt;$E323, 1, 0))</f>
        <v/>
      </c>
      <c r="AN323" s="38" t="str">
        <f>IF($E323="", "", IF(Ratios!AN$31&lt;$E323, 1, 0))</f>
        <v/>
      </c>
      <c r="AO323" s="38" t="str">
        <f>IF($E323="", "", IF(Ratios!AO$31&lt;$E323, 1, 0))</f>
        <v/>
      </c>
      <c r="AP323" s="38" t="str">
        <f>IF($E323="", "", IF(Ratios!AP$31&lt;$E323, 1, 0))</f>
        <v/>
      </c>
      <c r="AQ323" s="38" t="str">
        <f>IF($E323="", "", IF(Ratios!AQ$31&lt;$E323, 1, 0))</f>
        <v/>
      </c>
      <c r="AR323" s="38" t="str">
        <f>IF($E323="", "", IF(Ratios!AR$31&lt;$E323, 1, 0))</f>
        <v/>
      </c>
      <c r="AS323" s="38" t="str">
        <f>IF($E323="", "", IF(Ratios!AS$31&lt;$E323, 1, 0))</f>
        <v/>
      </c>
      <c r="AT323" s="38" t="str">
        <f>IF($E323="", "", IF(Ratios!AT$31&lt;$E323, 1, 0))</f>
        <v/>
      </c>
      <c r="AU323" s="38" t="str">
        <f>IF($E323="", "", IF(Ratios!AU$31&lt;$E323, 1, 0))</f>
        <v/>
      </c>
      <c r="AV323" s="38" t="str">
        <f>IF($E323="", "", IF(Ratios!AV$31&lt;$E323, 1, 0))</f>
        <v/>
      </c>
      <c r="AW323" s="38" t="str">
        <f>IF($E323="", "", IF(Ratios!AW$31&lt;$E323, 1, 0))</f>
        <v/>
      </c>
      <c r="AX323" s="38" t="str">
        <f>IF($E323="", "", IF(Ratios!AX$31&lt;$E323, 1, 0))</f>
        <v/>
      </c>
      <c r="AY323" s="38" t="str">
        <f>IF($E323="", "", IF(Ratios!AY$31&lt;$E323, 1, 0))</f>
        <v/>
      </c>
      <c r="AZ323" s="38" t="str">
        <f>IF($E323="", "", IF(Ratios!AZ$31&lt;$E323, 1, 0))</f>
        <v/>
      </c>
      <c r="BA323" s="38" t="str">
        <f>IF($E323="", "", IF(Ratios!BA$31&lt;$E323, 1, 0))</f>
        <v/>
      </c>
      <c r="BB323" s="38" t="str">
        <f>IF($E323="", "", IF(Ratios!BB$31&lt;$E323, 1, 0))</f>
        <v/>
      </c>
      <c r="BC323" s="38" t="str">
        <f>IF($E323="", "", IF(Ratios!BC$31&lt;$E323, 1, 0))</f>
        <v/>
      </c>
      <c r="BD323" s="38" t="str">
        <f>IF($E323="", "", IF(Ratios!BD$31&lt;$E323, 1, 0))</f>
        <v/>
      </c>
      <c r="BE323" s="38" t="str">
        <f>IF($E323="", "", IF(Ratios!BE$31&lt;$E323, 1, 0))</f>
        <v/>
      </c>
      <c r="BF323" s="38" t="str">
        <f>IF($E323="", "", IF(Ratios!BF$31&lt;$E323, 1, 0))</f>
        <v/>
      </c>
      <c r="BG323" s="38" t="str">
        <f>IF($E323="", "", IF(Ratios!BG$31&lt;$E323, 1, 0))</f>
        <v/>
      </c>
      <c r="BH323" s="38" t="str">
        <f>IF($E323="", "", IF(Ratios!BH$31&lt;$E323, 1, 0))</f>
        <v/>
      </c>
      <c r="BI323" s="38" t="str">
        <f>IF($E323="", "", IF(Ratios!BI$31&lt;$E323, 1, 0))</f>
        <v/>
      </c>
      <c r="BJ323" s="38" t="str">
        <f>IF($E323="", "", IF(Ratios!BJ$31&lt;$E323, 1, 0))</f>
        <v/>
      </c>
      <c r="BK323" s="106"/>
      <c r="BL323" s="106"/>
      <c r="BM323" s="106"/>
      <c r="BN323" s="106"/>
      <c r="BO323" s="106"/>
      <c r="BP323" s="106"/>
      <c r="BQ323" s="106"/>
      <c r="BR323" s="106"/>
      <c r="BS323" s="106"/>
      <c r="BT323" s="106"/>
      <c r="BU323" s="106"/>
      <c r="BV323" s="106"/>
      <c r="BX323" s="106"/>
      <c r="BY323" s="106"/>
      <c r="BZ323" s="106"/>
      <c r="CA323" s="106"/>
      <c r="CB323" s="38">
        <f>IF(Ratios!CB$31&lt;$E323, 1, 0)</f>
        <v>1</v>
      </c>
      <c r="CC323" s="38">
        <f>IF(Ratios!CC$31&lt;$E323, 1, 0)</f>
        <v>1</v>
      </c>
      <c r="CD323" s="38">
        <f>IF(Ratios!CD$31&lt;$E323, 1, 0)</f>
        <v>1</v>
      </c>
      <c r="CE323" s="38">
        <f>IF(Ratios!CE$31&lt;$E323, 1, 0)</f>
        <v>1</v>
      </c>
      <c r="CF323" s="38">
        <f>IF(Ratios!CF$31&lt;$E323, 1, 0)</f>
        <v>1</v>
      </c>
      <c r="CG323" s="38">
        <f>IF(Ratios!CG$31&lt;$E323, 1, 0)</f>
        <v>1</v>
      </c>
      <c r="CH323" s="38">
        <f>IF(Ratios!CH$31&lt;$E323, 1, 0)</f>
        <v>1</v>
      </c>
      <c r="CI323" s="38">
        <f>IF(Ratios!CI$31&lt;$E323, 1, 0)</f>
        <v>1</v>
      </c>
      <c r="CK323" s="11"/>
      <c r="CM323" s="11"/>
      <c r="EX323" s="10" t="str">
        <f t="shared" si="202"/>
        <v/>
      </c>
    </row>
    <row r="324" spans="1:154" x14ac:dyDescent="0.35">
      <c r="B324" t="str">
        <f ca="1">Loans!B$16</f>
        <v>Loan 4</v>
      </c>
      <c r="D324" s="51">
        <f>Loans!D$16</f>
        <v>0</v>
      </c>
      <c r="E324" s="10" t="str">
        <f>IF(Loans!P16="", "", Loans!P16)</f>
        <v/>
      </c>
      <c r="V324" s="106"/>
      <c r="W324" s="106"/>
      <c r="X324" s="106"/>
      <c r="Y324" s="106"/>
      <c r="AA324" s="38" t="str">
        <f>IF($E324="", "", IF(Ratios!AA$31&lt;$E324, 1, 0))</f>
        <v/>
      </c>
      <c r="AB324" s="38" t="str">
        <f>IF($E324="", "", IF(Ratios!AB$31&lt;$E324, 1, 0))</f>
        <v/>
      </c>
      <c r="AC324" s="38" t="str">
        <f>IF($E324="", "", IF(Ratios!AC$31&lt;$E324, 1, 0))</f>
        <v/>
      </c>
      <c r="AD324" s="38" t="str">
        <f>IF($E324="", "", IF(Ratios!AD$31&lt;$E324, 1, 0))</f>
        <v/>
      </c>
      <c r="AE324" s="38" t="str">
        <f>IF($E324="", "", IF(Ratios!AE$31&lt;$E324, 1, 0))</f>
        <v/>
      </c>
      <c r="AF324" s="38" t="str">
        <f>IF($E324="", "", IF(Ratios!AF$31&lt;$E324, 1, 0))</f>
        <v/>
      </c>
      <c r="AG324" s="38" t="str">
        <f>IF($E324="", "", IF(Ratios!AG$31&lt;$E324, 1, 0))</f>
        <v/>
      </c>
      <c r="AH324" s="38" t="str">
        <f>IF($E324="", "", IF(Ratios!AH$31&lt;$E324, 1, 0))</f>
        <v/>
      </c>
      <c r="AI324" s="38" t="str">
        <f>IF($E324="", "", IF(Ratios!AI$31&lt;$E324, 1, 0))</f>
        <v/>
      </c>
      <c r="AJ324" s="38" t="str">
        <f>IF($E324="", "", IF(Ratios!AJ$31&lt;$E324, 1, 0))</f>
        <v/>
      </c>
      <c r="AK324" s="38" t="str">
        <f>IF($E324="", "", IF(Ratios!AK$31&lt;$E324, 1, 0))</f>
        <v/>
      </c>
      <c r="AL324" s="38" t="str">
        <f>IF($E324="", "", IF(Ratios!AL$31&lt;$E324, 1, 0))</f>
        <v/>
      </c>
      <c r="AM324" s="38" t="str">
        <f>IF($E324="", "", IF(Ratios!AM$31&lt;$E324, 1, 0))</f>
        <v/>
      </c>
      <c r="AN324" s="38" t="str">
        <f>IF($E324="", "", IF(Ratios!AN$31&lt;$E324, 1, 0))</f>
        <v/>
      </c>
      <c r="AO324" s="38" t="str">
        <f>IF($E324="", "", IF(Ratios!AO$31&lt;$E324, 1, 0))</f>
        <v/>
      </c>
      <c r="AP324" s="38" t="str">
        <f>IF($E324="", "", IF(Ratios!AP$31&lt;$E324, 1, 0))</f>
        <v/>
      </c>
      <c r="AQ324" s="38" t="str">
        <f>IF($E324="", "", IF(Ratios!AQ$31&lt;$E324, 1, 0))</f>
        <v/>
      </c>
      <c r="AR324" s="38" t="str">
        <f>IF($E324="", "", IF(Ratios!AR$31&lt;$E324, 1, 0))</f>
        <v/>
      </c>
      <c r="AS324" s="38" t="str">
        <f>IF($E324="", "", IF(Ratios!AS$31&lt;$E324, 1, 0))</f>
        <v/>
      </c>
      <c r="AT324" s="38" t="str">
        <f>IF($E324="", "", IF(Ratios!AT$31&lt;$E324, 1, 0))</f>
        <v/>
      </c>
      <c r="AU324" s="38" t="str">
        <f>IF($E324="", "", IF(Ratios!AU$31&lt;$E324, 1, 0))</f>
        <v/>
      </c>
      <c r="AV324" s="38" t="str">
        <f>IF($E324="", "", IF(Ratios!AV$31&lt;$E324, 1, 0))</f>
        <v/>
      </c>
      <c r="AW324" s="38" t="str">
        <f>IF($E324="", "", IF(Ratios!AW$31&lt;$E324, 1, 0))</f>
        <v/>
      </c>
      <c r="AX324" s="38" t="str">
        <f>IF($E324="", "", IF(Ratios!AX$31&lt;$E324, 1, 0))</f>
        <v/>
      </c>
      <c r="AY324" s="38" t="str">
        <f>IF($E324="", "", IF(Ratios!AY$31&lt;$E324, 1, 0))</f>
        <v/>
      </c>
      <c r="AZ324" s="38" t="str">
        <f>IF($E324="", "", IF(Ratios!AZ$31&lt;$E324, 1, 0))</f>
        <v/>
      </c>
      <c r="BA324" s="38" t="str">
        <f>IF($E324="", "", IF(Ratios!BA$31&lt;$E324, 1, 0))</f>
        <v/>
      </c>
      <c r="BB324" s="38" t="str">
        <f>IF($E324="", "", IF(Ratios!BB$31&lt;$E324, 1, 0))</f>
        <v/>
      </c>
      <c r="BC324" s="38" t="str">
        <f>IF($E324="", "", IF(Ratios!BC$31&lt;$E324, 1, 0))</f>
        <v/>
      </c>
      <c r="BD324" s="38" t="str">
        <f>IF($E324="", "", IF(Ratios!BD$31&lt;$E324, 1, 0))</f>
        <v/>
      </c>
      <c r="BE324" s="38" t="str">
        <f>IF($E324="", "", IF(Ratios!BE$31&lt;$E324, 1, 0))</f>
        <v/>
      </c>
      <c r="BF324" s="38" t="str">
        <f>IF($E324="", "", IF(Ratios!BF$31&lt;$E324, 1, 0))</f>
        <v/>
      </c>
      <c r="BG324" s="38" t="str">
        <f>IF($E324="", "", IF(Ratios!BG$31&lt;$E324, 1, 0))</f>
        <v/>
      </c>
      <c r="BH324" s="38" t="str">
        <f>IF($E324="", "", IF(Ratios!BH$31&lt;$E324, 1, 0))</f>
        <v/>
      </c>
      <c r="BI324" s="38" t="str">
        <f>IF($E324="", "", IF(Ratios!BI$31&lt;$E324, 1, 0))</f>
        <v/>
      </c>
      <c r="BJ324" s="38" t="str">
        <f>IF($E324="", "", IF(Ratios!BJ$31&lt;$E324, 1, 0))</f>
        <v/>
      </c>
      <c r="BK324" s="106"/>
      <c r="BL324" s="106"/>
      <c r="BM324" s="106"/>
      <c r="BN324" s="106"/>
      <c r="BO324" s="106"/>
      <c r="BP324" s="106"/>
      <c r="BQ324" s="106"/>
      <c r="BR324" s="106"/>
      <c r="BS324" s="106"/>
      <c r="BT324" s="106"/>
      <c r="BU324" s="106"/>
      <c r="BV324" s="106"/>
      <c r="BX324" s="106"/>
      <c r="BY324" s="106"/>
      <c r="BZ324" s="106"/>
      <c r="CA324" s="106"/>
      <c r="CB324" s="38">
        <f>IF(Ratios!CB$31&lt;$E324, 1, 0)</f>
        <v>1</v>
      </c>
      <c r="CC324" s="38">
        <f>IF(Ratios!CC$31&lt;$E324, 1, 0)</f>
        <v>1</v>
      </c>
      <c r="CD324" s="38">
        <f>IF(Ratios!CD$31&lt;$E324, 1, 0)</f>
        <v>1</v>
      </c>
      <c r="CE324" s="38">
        <f>IF(Ratios!CE$31&lt;$E324, 1, 0)</f>
        <v>1</v>
      </c>
      <c r="CF324" s="38">
        <f>IF(Ratios!CF$31&lt;$E324, 1, 0)</f>
        <v>1</v>
      </c>
      <c r="CG324" s="38">
        <f>IF(Ratios!CG$31&lt;$E324, 1, 0)</f>
        <v>1</v>
      </c>
      <c r="CH324" s="38">
        <f>IF(Ratios!CH$31&lt;$E324, 1, 0)</f>
        <v>1</v>
      </c>
      <c r="CI324" s="38">
        <f>IF(Ratios!CI$31&lt;$E324, 1, 0)</f>
        <v>1</v>
      </c>
      <c r="CK324" s="11"/>
      <c r="CM324" s="11"/>
      <c r="EX324" s="10" t="str">
        <f t="shared" si="202"/>
        <v/>
      </c>
    </row>
    <row r="325" spans="1:154" x14ac:dyDescent="0.35">
      <c r="B325" t="str">
        <f ca="1">Loans!B$17</f>
        <v>Loan 5</v>
      </c>
      <c r="D325" s="51">
        <f>Loans!D$17</f>
        <v>0</v>
      </c>
      <c r="E325" s="10" t="str">
        <f>IF(Loans!P17="", "", Loans!P17)</f>
        <v/>
      </c>
      <c r="V325" s="106"/>
      <c r="W325" s="106"/>
      <c r="X325" s="106"/>
      <c r="Y325" s="106"/>
      <c r="AA325" s="38" t="str">
        <f>IF($E325="", "", IF(Ratios!AA$31&lt;$E325, 1, 0))</f>
        <v/>
      </c>
      <c r="AB325" s="38" t="str">
        <f>IF($E325="", "", IF(Ratios!AB$31&lt;$E325, 1, 0))</f>
        <v/>
      </c>
      <c r="AC325" s="38" t="str">
        <f>IF($E325="", "", IF(Ratios!AC$31&lt;$E325, 1, 0))</f>
        <v/>
      </c>
      <c r="AD325" s="38" t="str">
        <f>IF($E325="", "", IF(Ratios!AD$31&lt;$E325, 1, 0))</f>
        <v/>
      </c>
      <c r="AE325" s="38" t="str">
        <f>IF($E325="", "", IF(Ratios!AE$31&lt;$E325, 1, 0))</f>
        <v/>
      </c>
      <c r="AF325" s="38" t="str">
        <f>IF($E325="", "", IF(Ratios!AF$31&lt;$E325, 1, 0))</f>
        <v/>
      </c>
      <c r="AG325" s="38" t="str">
        <f>IF($E325="", "", IF(Ratios!AG$31&lt;$E325, 1, 0))</f>
        <v/>
      </c>
      <c r="AH325" s="38" t="str">
        <f>IF($E325="", "", IF(Ratios!AH$31&lt;$E325, 1, 0))</f>
        <v/>
      </c>
      <c r="AI325" s="38" t="str">
        <f>IF($E325="", "", IF(Ratios!AI$31&lt;$E325, 1, 0))</f>
        <v/>
      </c>
      <c r="AJ325" s="38" t="str">
        <f>IF($E325="", "", IF(Ratios!AJ$31&lt;$E325, 1, 0))</f>
        <v/>
      </c>
      <c r="AK325" s="38" t="str">
        <f>IF($E325="", "", IF(Ratios!AK$31&lt;$E325, 1, 0))</f>
        <v/>
      </c>
      <c r="AL325" s="38" t="str">
        <f>IF($E325="", "", IF(Ratios!AL$31&lt;$E325, 1, 0))</f>
        <v/>
      </c>
      <c r="AM325" s="38" t="str">
        <f>IF($E325="", "", IF(Ratios!AM$31&lt;$E325, 1, 0))</f>
        <v/>
      </c>
      <c r="AN325" s="38" t="str">
        <f>IF($E325="", "", IF(Ratios!AN$31&lt;$E325, 1, 0))</f>
        <v/>
      </c>
      <c r="AO325" s="38" t="str">
        <f>IF($E325="", "", IF(Ratios!AO$31&lt;$E325, 1, 0))</f>
        <v/>
      </c>
      <c r="AP325" s="38" t="str">
        <f>IF($E325="", "", IF(Ratios!AP$31&lt;$E325, 1, 0))</f>
        <v/>
      </c>
      <c r="AQ325" s="38" t="str">
        <f>IF($E325="", "", IF(Ratios!AQ$31&lt;$E325, 1, 0))</f>
        <v/>
      </c>
      <c r="AR325" s="38" t="str">
        <f>IF($E325="", "", IF(Ratios!AR$31&lt;$E325, 1, 0))</f>
        <v/>
      </c>
      <c r="AS325" s="38" t="str">
        <f>IF($E325="", "", IF(Ratios!AS$31&lt;$E325, 1, 0))</f>
        <v/>
      </c>
      <c r="AT325" s="38" t="str">
        <f>IF($E325="", "", IF(Ratios!AT$31&lt;$E325, 1, 0))</f>
        <v/>
      </c>
      <c r="AU325" s="38" t="str">
        <f>IF($E325="", "", IF(Ratios!AU$31&lt;$E325, 1, 0))</f>
        <v/>
      </c>
      <c r="AV325" s="38" t="str">
        <f>IF($E325="", "", IF(Ratios!AV$31&lt;$E325, 1, 0))</f>
        <v/>
      </c>
      <c r="AW325" s="38" t="str">
        <f>IF($E325="", "", IF(Ratios!AW$31&lt;$E325, 1, 0))</f>
        <v/>
      </c>
      <c r="AX325" s="38" t="str">
        <f>IF($E325="", "", IF(Ratios!AX$31&lt;$E325, 1, 0))</f>
        <v/>
      </c>
      <c r="AY325" s="38" t="str">
        <f>IF($E325="", "", IF(Ratios!AY$31&lt;$E325, 1, 0))</f>
        <v/>
      </c>
      <c r="AZ325" s="38" t="str">
        <f>IF($E325="", "", IF(Ratios!AZ$31&lt;$E325, 1, 0))</f>
        <v/>
      </c>
      <c r="BA325" s="38" t="str">
        <f>IF($E325="", "", IF(Ratios!BA$31&lt;$E325, 1, 0))</f>
        <v/>
      </c>
      <c r="BB325" s="38" t="str">
        <f>IF($E325="", "", IF(Ratios!BB$31&lt;$E325, 1, 0))</f>
        <v/>
      </c>
      <c r="BC325" s="38" t="str">
        <f>IF($E325="", "", IF(Ratios!BC$31&lt;$E325, 1, 0))</f>
        <v/>
      </c>
      <c r="BD325" s="38" t="str">
        <f>IF($E325="", "", IF(Ratios!BD$31&lt;$E325, 1, 0))</f>
        <v/>
      </c>
      <c r="BE325" s="38" t="str">
        <f>IF($E325="", "", IF(Ratios!BE$31&lt;$E325, 1, 0))</f>
        <v/>
      </c>
      <c r="BF325" s="38" t="str">
        <f>IF($E325="", "", IF(Ratios!BF$31&lt;$E325, 1, 0))</f>
        <v/>
      </c>
      <c r="BG325" s="38" t="str">
        <f>IF($E325="", "", IF(Ratios!BG$31&lt;$E325, 1, 0))</f>
        <v/>
      </c>
      <c r="BH325" s="38" t="str">
        <f>IF($E325="", "", IF(Ratios!BH$31&lt;$E325, 1, 0))</f>
        <v/>
      </c>
      <c r="BI325" s="38" t="str">
        <f>IF($E325="", "", IF(Ratios!BI$31&lt;$E325, 1, 0))</f>
        <v/>
      </c>
      <c r="BJ325" s="38" t="str">
        <f>IF($E325="", "", IF(Ratios!BJ$31&lt;$E325, 1, 0))</f>
        <v/>
      </c>
      <c r="BK325" s="106"/>
      <c r="BL325" s="106"/>
      <c r="BM325" s="106"/>
      <c r="BN325" s="106"/>
      <c r="BO325" s="106"/>
      <c r="BP325" s="106"/>
      <c r="BQ325" s="106"/>
      <c r="BR325" s="106"/>
      <c r="BS325" s="106"/>
      <c r="BT325" s="106"/>
      <c r="BU325" s="106"/>
      <c r="BV325" s="106"/>
      <c r="BX325" s="106"/>
      <c r="BY325" s="106"/>
      <c r="BZ325" s="106"/>
      <c r="CA325" s="106"/>
      <c r="CB325" s="38">
        <f>IF(Ratios!CB$31&lt;$E325, 1, 0)</f>
        <v>1</v>
      </c>
      <c r="CC325" s="38">
        <f>IF(Ratios!CC$31&lt;$E325, 1, 0)</f>
        <v>1</v>
      </c>
      <c r="CD325" s="38">
        <f>IF(Ratios!CD$31&lt;$E325, 1, 0)</f>
        <v>1</v>
      </c>
      <c r="CE325" s="38">
        <f>IF(Ratios!CE$31&lt;$E325, 1, 0)</f>
        <v>1</v>
      </c>
      <c r="CF325" s="38">
        <f>IF(Ratios!CF$31&lt;$E325, 1, 0)</f>
        <v>1</v>
      </c>
      <c r="CG325" s="38">
        <f>IF(Ratios!CG$31&lt;$E325, 1, 0)</f>
        <v>1</v>
      </c>
      <c r="CH325" s="38">
        <f>IF(Ratios!CH$31&lt;$E325, 1, 0)</f>
        <v>1</v>
      </c>
      <c r="CI325" s="38">
        <f>IF(Ratios!CI$31&lt;$E325, 1, 0)</f>
        <v>1</v>
      </c>
      <c r="CK325" s="11"/>
      <c r="CM325" s="11"/>
      <c r="EX325" s="10" t="str">
        <f t="shared" si="202"/>
        <v/>
      </c>
    </row>
    <row r="326" spans="1:154" x14ac:dyDescent="0.35">
      <c r="B326" t="str">
        <f ca="1">Loans!B$18</f>
        <v>Loan 6</v>
      </c>
      <c r="D326" s="51">
        <f>Loans!D$18</f>
        <v>0</v>
      </c>
      <c r="E326" s="10" t="str">
        <f>IF(Loans!P18="", "", Loans!P18)</f>
        <v/>
      </c>
      <c r="V326" s="106"/>
      <c r="W326" s="106"/>
      <c r="X326" s="106"/>
      <c r="Y326" s="106"/>
      <c r="AA326" s="38" t="str">
        <f>IF($E326="", "", IF(Ratios!AA$31&lt;$E326, 1, 0))</f>
        <v/>
      </c>
      <c r="AB326" s="38" t="str">
        <f>IF($E326="", "", IF(Ratios!AB$31&lt;$E326, 1, 0))</f>
        <v/>
      </c>
      <c r="AC326" s="38" t="str">
        <f>IF($E326="", "", IF(Ratios!AC$31&lt;$E326, 1, 0))</f>
        <v/>
      </c>
      <c r="AD326" s="38" t="str">
        <f>IF($E326="", "", IF(Ratios!AD$31&lt;$E326, 1, 0))</f>
        <v/>
      </c>
      <c r="AE326" s="38" t="str">
        <f>IF($E326="", "", IF(Ratios!AE$31&lt;$E326, 1, 0))</f>
        <v/>
      </c>
      <c r="AF326" s="38" t="str">
        <f>IF($E326="", "", IF(Ratios!AF$31&lt;$E326, 1, 0))</f>
        <v/>
      </c>
      <c r="AG326" s="38" t="str">
        <f>IF($E326="", "", IF(Ratios!AG$31&lt;$E326, 1, 0))</f>
        <v/>
      </c>
      <c r="AH326" s="38" t="str">
        <f>IF($E326="", "", IF(Ratios!AH$31&lt;$E326, 1, 0))</f>
        <v/>
      </c>
      <c r="AI326" s="38" t="str">
        <f>IF($E326="", "", IF(Ratios!AI$31&lt;$E326, 1, 0))</f>
        <v/>
      </c>
      <c r="AJ326" s="38" t="str">
        <f>IF($E326="", "", IF(Ratios!AJ$31&lt;$E326, 1, 0))</f>
        <v/>
      </c>
      <c r="AK326" s="38" t="str">
        <f>IF($E326="", "", IF(Ratios!AK$31&lt;$E326, 1, 0))</f>
        <v/>
      </c>
      <c r="AL326" s="38" t="str">
        <f>IF($E326="", "", IF(Ratios!AL$31&lt;$E326, 1, 0))</f>
        <v/>
      </c>
      <c r="AM326" s="38" t="str">
        <f>IF($E326="", "", IF(Ratios!AM$31&lt;$E326, 1, 0))</f>
        <v/>
      </c>
      <c r="AN326" s="38" t="str">
        <f>IF($E326="", "", IF(Ratios!AN$31&lt;$E326, 1, 0))</f>
        <v/>
      </c>
      <c r="AO326" s="38" t="str">
        <f>IF($E326="", "", IF(Ratios!AO$31&lt;$E326, 1, 0))</f>
        <v/>
      </c>
      <c r="AP326" s="38" t="str">
        <f>IF($E326="", "", IF(Ratios!AP$31&lt;$E326, 1, 0))</f>
        <v/>
      </c>
      <c r="AQ326" s="38" t="str">
        <f>IF($E326="", "", IF(Ratios!AQ$31&lt;$E326, 1, 0))</f>
        <v/>
      </c>
      <c r="AR326" s="38" t="str">
        <f>IF($E326="", "", IF(Ratios!AR$31&lt;$E326, 1, 0))</f>
        <v/>
      </c>
      <c r="AS326" s="38" t="str">
        <f>IF($E326="", "", IF(Ratios!AS$31&lt;$E326, 1, 0))</f>
        <v/>
      </c>
      <c r="AT326" s="38" t="str">
        <f>IF($E326="", "", IF(Ratios!AT$31&lt;$E326, 1, 0))</f>
        <v/>
      </c>
      <c r="AU326" s="38" t="str">
        <f>IF($E326="", "", IF(Ratios!AU$31&lt;$E326, 1, 0))</f>
        <v/>
      </c>
      <c r="AV326" s="38" t="str">
        <f>IF($E326="", "", IF(Ratios!AV$31&lt;$E326, 1, 0))</f>
        <v/>
      </c>
      <c r="AW326" s="38" t="str">
        <f>IF($E326="", "", IF(Ratios!AW$31&lt;$E326, 1, 0))</f>
        <v/>
      </c>
      <c r="AX326" s="38" t="str">
        <f>IF($E326="", "", IF(Ratios!AX$31&lt;$E326, 1, 0))</f>
        <v/>
      </c>
      <c r="AY326" s="38" t="str">
        <f>IF($E326="", "", IF(Ratios!AY$31&lt;$E326, 1, 0))</f>
        <v/>
      </c>
      <c r="AZ326" s="38" t="str">
        <f>IF($E326="", "", IF(Ratios!AZ$31&lt;$E326, 1, 0))</f>
        <v/>
      </c>
      <c r="BA326" s="38" t="str">
        <f>IF($E326="", "", IF(Ratios!BA$31&lt;$E326, 1, 0))</f>
        <v/>
      </c>
      <c r="BB326" s="38" t="str">
        <f>IF($E326="", "", IF(Ratios!BB$31&lt;$E326, 1, 0))</f>
        <v/>
      </c>
      <c r="BC326" s="38" t="str">
        <f>IF($E326="", "", IF(Ratios!BC$31&lt;$E326, 1, 0))</f>
        <v/>
      </c>
      <c r="BD326" s="38" t="str">
        <f>IF($E326="", "", IF(Ratios!BD$31&lt;$E326, 1, 0))</f>
        <v/>
      </c>
      <c r="BE326" s="38" t="str">
        <f>IF($E326="", "", IF(Ratios!BE$31&lt;$E326, 1, 0))</f>
        <v/>
      </c>
      <c r="BF326" s="38" t="str">
        <f>IF($E326="", "", IF(Ratios!BF$31&lt;$E326, 1, 0))</f>
        <v/>
      </c>
      <c r="BG326" s="38" t="str">
        <f>IF($E326="", "", IF(Ratios!BG$31&lt;$E326, 1, 0))</f>
        <v/>
      </c>
      <c r="BH326" s="38" t="str">
        <f>IF($E326="", "", IF(Ratios!BH$31&lt;$E326, 1, 0))</f>
        <v/>
      </c>
      <c r="BI326" s="38" t="str">
        <f>IF($E326="", "", IF(Ratios!BI$31&lt;$E326, 1, 0))</f>
        <v/>
      </c>
      <c r="BJ326" s="38" t="str">
        <f>IF($E326="", "", IF(Ratios!BJ$31&lt;$E326, 1, 0))</f>
        <v/>
      </c>
      <c r="BK326" s="106"/>
      <c r="BL326" s="106"/>
      <c r="BM326" s="106"/>
      <c r="BN326" s="106"/>
      <c r="BO326" s="106"/>
      <c r="BP326" s="106"/>
      <c r="BQ326" s="106"/>
      <c r="BR326" s="106"/>
      <c r="BS326" s="106"/>
      <c r="BT326" s="106"/>
      <c r="BU326" s="106"/>
      <c r="BV326" s="106"/>
      <c r="BX326" s="106"/>
      <c r="BY326" s="106"/>
      <c r="BZ326" s="106"/>
      <c r="CA326" s="106"/>
      <c r="CB326" s="38">
        <f>IF(Ratios!CB$31&lt;$E326, 1, 0)</f>
        <v>1</v>
      </c>
      <c r="CC326" s="38">
        <f>IF(Ratios!CC$31&lt;$E326, 1, 0)</f>
        <v>1</v>
      </c>
      <c r="CD326" s="38">
        <f>IF(Ratios!CD$31&lt;$E326, 1, 0)</f>
        <v>1</v>
      </c>
      <c r="CE326" s="38">
        <f>IF(Ratios!CE$31&lt;$E326, 1, 0)</f>
        <v>1</v>
      </c>
      <c r="CF326" s="38">
        <f>IF(Ratios!CF$31&lt;$E326, 1, 0)</f>
        <v>1</v>
      </c>
      <c r="CG326" s="38">
        <f>IF(Ratios!CG$31&lt;$E326, 1, 0)</f>
        <v>1</v>
      </c>
      <c r="CH326" s="38">
        <f>IF(Ratios!CH$31&lt;$E326, 1, 0)</f>
        <v>1</v>
      </c>
      <c r="CI326" s="38">
        <f>IF(Ratios!CI$31&lt;$E326, 1, 0)</f>
        <v>1</v>
      </c>
      <c r="CK326" s="11"/>
      <c r="CM326" s="11"/>
      <c r="EX326" s="10" t="str">
        <f t="shared" si="202"/>
        <v/>
      </c>
    </row>
    <row r="327" spans="1:154" s="5" customFormat="1" x14ac:dyDescent="0.35">
      <c r="A327"/>
      <c r="B327" t="str">
        <f ca="1">Loans!B$19</f>
        <v>Loan 7</v>
      </c>
      <c r="D327" s="51">
        <f>Loans!D$19</f>
        <v>0</v>
      </c>
      <c r="E327" s="10" t="str">
        <f>IF(Loans!P19="", "", Loans!P19)</f>
        <v/>
      </c>
      <c r="F327"/>
      <c r="G327"/>
      <c r="H327"/>
      <c r="I327"/>
      <c r="J327"/>
      <c r="K327"/>
      <c r="M327"/>
      <c r="N327"/>
      <c r="O327"/>
      <c r="P327"/>
      <c r="Q327"/>
      <c r="S327"/>
      <c r="T327"/>
      <c r="U327"/>
      <c r="V327" s="106"/>
      <c r="W327" s="106"/>
      <c r="X327" s="106"/>
      <c r="Y327" s="106"/>
      <c r="Z327"/>
      <c r="AA327" s="38" t="str">
        <f>IF($E327="", "", IF(Ratios!AA$31&lt;$E327, 1, 0))</f>
        <v/>
      </c>
      <c r="AB327" s="38" t="str">
        <f>IF($E327="", "", IF(Ratios!AB$31&lt;$E327, 1, 0))</f>
        <v/>
      </c>
      <c r="AC327" s="38" t="str">
        <f>IF($E327="", "", IF(Ratios!AC$31&lt;$E327, 1, 0))</f>
        <v/>
      </c>
      <c r="AD327" s="38" t="str">
        <f>IF($E327="", "", IF(Ratios!AD$31&lt;$E327, 1, 0))</f>
        <v/>
      </c>
      <c r="AE327" s="38" t="str">
        <f>IF($E327="", "", IF(Ratios!AE$31&lt;$E327, 1, 0))</f>
        <v/>
      </c>
      <c r="AF327" s="38" t="str">
        <f>IF($E327="", "", IF(Ratios!AF$31&lt;$E327, 1, 0))</f>
        <v/>
      </c>
      <c r="AG327" s="38" t="str">
        <f>IF($E327="", "", IF(Ratios!AG$31&lt;$E327, 1, 0))</f>
        <v/>
      </c>
      <c r="AH327" s="38" t="str">
        <f>IF($E327="", "", IF(Ratios!AH$31&lt;$E327, 1, 0))</f>
        <v/>
      </c>
      <c r="AI327" s="38" t="str">
        <f>IF($E327="", "", IF(Ratios!AI$31&lt;$E327, 1, 0))</f>
        <v/>
      </c>
      <c r="AJ327" s="38" t="str">
        <f>IF($E327="", "", IF(Ratios!AJ$31&lt;$E327, 1, 0))</f>
        <v/>
      </c>
      <c r="AK327" s="38" t="str">
        <f>IF($E327="", "", IF(Ratios!AK$31&lt;$E327, 1, 0))</f>
        <v/>
      </c>
      <c r="AL327" s="38" t="str">
        <f>IF($E327="", "", IF(Ratios!AL$31&lt;$E327, 1, 0))</f>
        <v/>
      </c>
      <c r="AM327" s="38" t="str">
        <f>IF($E327="", "", IF(Ratios!AM$31&lt;$E327, 1, 0))</f>
        <v/>
      </c>
      <c r="AN327" s="38" t="str">
        <f>IF($E327="", "", IF(Ratios!AN$31&lt;$E327, 1, 0))</f>
        <v/>
      </c>
      <c r="AO327" s="38" t="str">
        <f>IF($E327="", "", IF(Ratios!AO$31&lt;$E327, 1, 0))</f>
        <v/>
      </c>
      <c r="AP327" s="38" t="str">
        <f>IF($E327="", "", IF(Ratios!AP$31&lt;$E327, 1, 0))</f>
        <v/>
      </c>
      <c r="AQ327" s="38" t="str">
        <f>IF($E327="", "", IF(Ratios!AQ$31&lt;$E327, 1, 0))</f>
        <v/>
      </c>
      <c r="AR327" s="38" t="str">
        <f>IF($E327="", "", IF(Ratios!AR$31&lt;$E327, 1, 0))</f>
        <v/>
      </c>
      <c r="AS327" s="38" t="str">
        <f>IF($E327="", "", IF(Ratios!AS$31&lt;$E327, 1, 0))</f>
        <v/>
      </c>
      <c r="AT327" s="38" t="str">
        <f>IF($E327="", "", IF(Ratios!AT$31&lt;$E327, 1, 0))</f>
        <v/>
      </c>
      <c r="AU327" s="38" t="str">
        <f>IF($E327="", "", IF(Ratios!AU$31&lt;$E327, 1, 0))</f>
        <v/>
      </c>
      <c r="AV327" s="38" t="str">
        <f>IF($E327="", "", IF(Ratios!AV$31&lt;$E327, 1, 0))</f>
        <v/>
      </c>
      <c r="AW327" s="38" t="str">
        <f>IF($E327="", "", IF(Ratios!AW$31&lt;$E327, 1, 0))</f>
        <v/>
      </c>
      <c r="AX327" s="38" t="str">
        <f>IF($E327="", "", IF(Ratios!AX$31&lt;$E327, 1, 0))</f>
        <v/>
      </c>
      <c r="AY327" s="38" t="str">
        <f>IF($E327="", "", IF(Ratios!AY$31&lt;$E327, 1, 0))</f>
        <v/>
      </c>
      <c r="AZ327" s="38" t="str">
        <f>IF($E327="", "", IF(Ratios!AZ$31&lt;$E327, 1, 0))</f>
        <v/>
      </c>
      <c r="BA327" s="38" t="str">
        <f>IF($E327="", "", IF(Ratios!BA$31&lt;$E327, 1, 0))</f>
        <v/>
      </c>
      <c r="BB327" s="38" t="str">
        <f>IF($E327="", "", IF(Ratios!BB$31&lt;$E327, 1, 0))</f>
        <v/>
      </c>
      <c r="BC327" s="38" t="str">
        <f>IF($E327="", "", IF(Ratios!BC$31&lt;$E327, 1, 0))</f>
        <v/>
      </c>
      <c r="BD327" s="38" t="str">
        <f>IF($E327="", "", IF(Ratios!BD$31&lt;$E327, 1, 0))</f>
        <v/>
      </c>
      <c r="BE327" s="38" t="str">
        <f>IF($E327="", "", IF(Ratios!BE$31&lt;$E327, 1, 0))</f>
        <v/>
      </c>
      <c r="BF327" s="38" t="str">
        <f>IF($E327="", "", IF(Ratios!BF$31&lt;$E327, 1, 0))</f>
        <v/>
      </c>
      <c r="BG327" s="38" t="str">
        <f>IF($E327="", "", IF(Ratios!BG$31&lt;$E327, 1, 0))</f>
        <v/>
      </c>
      <c r="BH327" s="38" t="str">
        <f>IF($E327="", "", IF(Ratios!BH$31&lt;$E327, 1, 0))</f>
        <v/>
      </c>
      <c r="BI327" s="38" t="str">
        <f>IF($E327="", "", IF(Ratios!BI$31&lt;$E327, 1, 0))</f>
        <v/>
      </c>
      <c r="BJ327" s="38" t="str">
        <f>IF($E327="", "", IF(Ratios!BJ$31&lt;$E327, 1, 0))</f>
        <v/>
      </c>
      <c r="BK327" s="106"/>
      <c r="BL327" s="106"/>
      <c r="BM327" s="106"/>
      <c r="BN327" s="106"/>
      <c r="BO327" s="106"/>
      <c r="BP327" s="106"/>
      <c r="BQ327" s="106"/>
      <c r="BR327" s="106"/>
      <c r="BS327" s="106"/>
      <c r="BT327" s="106"/>
      <c r="BU327" s="106"/>
      <c r="BV327" s="106"/>
      <c r="BW327"/>
      <c r="BX327" s="106"/>
      <c r="BY327" s="106"/>
      <c r="BZ327" s="106"/>
      <c r="CA327" s="106"/>
      <c r="CB327" s="38">
        <f>IF(Ratios!CB$31&lt;$E327, 1, 0)</f>
        <v>1</v>
      </c>
      <c r="CC327" s="38">
        <f>IF(Ratios!CC$31&lt;$E327, 1, 0)</f>
        <v>1</v>
      </c>
      <c r="CD327" s="38">
        <f>IF(Ratios!CD$31&lt;$E327, 1, 0)</f>
        <v>1</v>
      </c>
      <c r="CE327" s="38">
        <f>IF(Ratios!CE$31&lt;$E327, 1, 0)</f>
        <v>1</v>
      </c>
      <c r="CF327" s="38">
        <f>IF(Ratios!CF$31&lt;$E327, 1, 0)</f>
        <v>1</v>
      </c>
      <c r="CG327" s="38">
        <f>IF(Ratios!CG$31&lt;$E327, 1, 0)</f>
        <v>1</v>
      </c>
      <c r="CH327" s="38">
        <f>IF(Ratios!CH$31&lt;$E327, 1, 0)</f>
        <v>1</v>
      </c>
      <c r="CI327" s="38">
        <f>IF(Ratios!CI$31&lt;$E327, 1, 0)</f>
        <v>1</v>
      </c>
      <c r="CJ327"/>
      <c r="CK327" s="11"/>
      <c r="CL327"/>
      <c r="CM327" s="11"/>
      <c r="EX327" s="10" t="str">
        <f t="shared" si="202"/>
        <v/>
      </c>
    </row>
    <row r="328" spans="1:154" x14ac:dyDescent="0.35">
      <c r="B328" t="str">
        <f ca="1">Loans!B$20</f>
        <v>Loan 8</v>
      </c>
      <c r="D328" s="51">
        <f>Loans!D$20</f>
        <v>0</v>
      </c>
      <c r="E328" s="10" t="str">
        <f>IF(Loans!P20="", "", Loans!P20)</f>
        <v/>
      </c>
      <c r="V328" s="106"/>
      <c r="W328" s="106"/>
      <c r="X328" s="106"/>
      <c r="Y328" s="106"/>
      <c r="AA328" s="38" t="str">
        <f>IF($E328="", "", IF(Ratios!AA$31&lt;$E328, 1, 0))</f>
        <v/>
      </c>
      <c r="AB328" s="38" t="str">
        <f>IF($E328="", "", IF(Ratios!AB$31&lt;$E328, 1, 0))</f>
        <v/>
      </c>
      <c r="AC328" s="38" t="str">
        <f>IF($E328="", "", IF(Ratios!AC$31&lt;$E328, 1, 0))</f>
        <v/>
      </c>
      <c r="AD328" s="38" t="str">
        <f>IF($E328="", "", IF(Ratios!AD$31&lt;$E328, 1, 0))</f>
        <v/>
      </c>
      <c r="AE328" s="38" t="str">
        <f>IF($E328="", "", IF(Ratios!AE$31&lt;$E328, 1, 0))</f>
        <v/>
      </c>
      <c r="AF328" s="38" t="str">
        <f>IF($E328="", "", IF(Ratios!AF$31&lt;$E328, 1, 0))</f>
        <v/>
      </c>
      <c r="AG328" s="38" t="str">
        <f>IF($E328="", "", IF(Ratios!AG$31&lt;$E328, 1, 0))</f>
        <v/>
      </c>
      <c r="AH328" s="38" t="str">
        <f>IF($E328="", "", IF(Ratios!AH$31&lt;$E328, 1, 0))</f>
        <v/>
      </c>
      <c r="AI328" s="38" t="str">
        <f>IF($E328="", "", IF(Ratios!AI$31&lt;$E328, 1, 0))</f>
        <v/>
      </c>
      <c r="AJ328" s="38" t="str">
        <f>IF($E328="", "", IF(Ratios!AJ$31&lt;$E328, 1, 0))</f>
        <v/>
      </c>
      <c r="AK328" s="38" t="str">
        <f>IF($E328="", "", IF(Ratios!AK$31&lt;$E328, 1, 0))</f>
        <v/>
      </c>
      <c r="AL328" s="38" t="str">
        <f>IF($E328="", "", IF(Ratios!AL$31&lt;$E328, 1, 0))</f>
        <v/>
      </c>
      <c r="AM328" s="38" t="str">
        <f>IF($E328="", "", IF(Ratios!AM$31&lt;$E328, 1, 0))</f>
        <v/>
      </c>
      <c r="AN328" s="38" t="str">
        <f>IF($E328="", "", IF(Ratios!AN$31&lt;$E328, 1, 0))</f>
        <v/>
      </c>
      <c r="AO328" s="38" t="str">
        <f>IF($E328="", "", IF(Ratios!AO$31&lt;$E328, 1, 0))</f>
        <v/>
      </c>
      <c r="AP328" s="38" t="str">
        <f>IF($E328="", "", IF(Ratios!AP$31&lt;$E328, 1, 0))</f>
        <v/>
      </c>
      <c r="AQ328" s="38" t="str">
        <f>IF($E328="", "", IF(Ratios!AQ$31&lt;$E328, 1, 0))</f>
        <v/>
      </c>
      <c r="AR328" s="38" t="str">
        <f>IF($E328="", "", IF(Ratios!AR$31&lt;$E328, 1, 0))</f>
        <v/>
      </c>
      <c r="AS328" s="38" t="str">
        <f>IF($E328="", "", IF(Ratios!AS$31&lt;$E328, 1, 0))</f>
        <v/>
      </c>
      <c r="AT328" s="38" t="str">
        <f>IF($E328="", "", IF(Ratios!AT$31&lt;$E328, 1, 0))</f>
        <v/>
      </c>
      <c r="AU328" s="38" t="str">
        <f>IF($E328="", "", IF(Ratios!AU$31&lt;$E328, 1, 0))</f>
        <v/>
      </c>
      <c r="AV328" s="38" t="str">
        <f>IF($E328="", "", IF(Ratios!AV$31&lt;$E328, 1, 0))</f>
        <v/>
      </c>
      <c r="AW328" s="38" t="str">
        <f>IF($E328="", "", IF(Ratios!AW$31&lt;$E328, 1, 0))</f>
        <v/>
      </c>
      <c r="AX328" s="38" t="str">
        <f>IF($E328="", "", IF(Ratios!AX$31&lt;$E328, 1, 0))</f>
        <v/>
      </c>
      <c r="AY328" s="38" t="str">
        <f>IF($E328="", "", IF(Ratios!AY$31&lt;$E328, 1, 0))</f>
        <v/>
      </c>
      <c r="AZ328" s="38" t="str">
        <f>IF($E328="", "", IF(Ratios!AZ$31&lt;$E328, 1, 0))</f>
        <v/>
      </c>
      <c r="BA328" s="38" t="str">
        <f>IF($E328="", "", IF(Ratios!BA$31&lt;$E328, 1, 0))</f>
        <v/>
      </c>
      <c r="BB328" s="38" t="str">
        <f>IF($E328="", "", IF(Ratios!BB$31&lt;$E328, 1, 0))</f>
        <v/>
      </c>
      <c r="BC328" s="38" t="str">
        <f>IF($E328="", "", IF(Ratios!BC$31&lt;$E328, 1, 0))</f>
        <v/>
      </c>
      <c r="BD328" s="38" t="str">
        <f>IF($E328="", "", IF(Ratios!BD$31&lt;$E328, 1, 0))</f>
        <v/>
      </c>
      <c r="BE328" s="38" t="str">
        <f>IF($E328="", "", IF(Ratios!BE$31&lt;$E328, 1, 0))</f>
        <v/>
      </c>
      <c r="BF328" s="38" t="str">
        <f>IF($E328="", "", IF(Ratios!BF$31&lt;$E328, 1, 0))</f>
        <v/>
      </c>
      <c r="BG328" s="38" t="str">
        <f>IF($E328="", "", IF(Ratios!BG$31&lt;$E328, 1, 0))</f>
        <v/>
      </c>
      <c r="BH328" s="38" t="str">
        <f>IF($E328="", "", IF(Ratios!BH$31&lt;$E328, 1, 0))</f>
        <v/>
      </c>
      <c r="BI328" s="38" t="str">
        <f>IF($E328="", "", IF(Ratios!BI$31&lt;$E328, 1, 0))</f>
        <v/>
      </c>
      <c r="BJ328" s="38" t="str">
        <f>IF($E328="", "", IF(Ratios!BJ$31&lt;$E328, 1, 0))</f>
        <v/>
      </c>
      <c r="BK328" s="106"/>
      <c r="BL328" s="106"/>
      <c r="BM328" s="106"/>
      <c r="BN328" s="106"/>
      <c r="BO328" s="106"/>
      <c r="BP328" s="106"/>
      <c r="BQ328" s="106"/>
      <c r="BR328" s="106"/>
      <c r="BS328" s="106"/>
      <c r="BT328" s="106"/>
      <c r="BU328" s="106"/>
      <c r="BV328" s="106"/>
      <c r="BX328" s="106"/>
      <c r="BY328" s="106"/>
      <c r="BZ328" s="106"/>
      <c r="CA328" s="106"/>
      <c r="CB328" s="38">
        <f>IF(Ratios!CB$31&lt;$E328, 1, 0)</f>
        <v>1</v>
      </c>
      <c r="CC328" s="38">
        <f>IF(Ratios!CC$31&lt;$E328, 1, 0)</f>
        <v>1</v>
      </c>
      <c r="CD328" s="38">
        <f>IF(Ratios!CD$31&lt;$E328, 1, 0)</f>
        <v>1</v>
      </c>
      <c r="CE328" s="38">
        <f>IF(Ratios!CE$31&lt;$E328, 1, 0)</f>
        <v>1</v>
      </c>
      <c r="CF328" s="38">
        <f>IF(Ratios!CF$31&lt;$E328, 1, 0)</f>
        <v>1</v>
      </c>
      <c r="CG328" s="38">
        <f>IF(Ratios!CG$31&lt;$E328, 1, 0)</f>
        <v>1</v>
      </c>
      <c r="CH328" s="38">
        <f>IF(Ratios!CH$31&lt;$E328, 1, 0)</f>
        <v>1</v>
      </c>
      <c r="CI328" s="38">
        <f>IF(Ratios!CI$31&lt;$E328, 1, 0)</f>
        <v>1</v>
      </c>
      <c r="CK328" s="11"/>
      <c r="CM328" s="11"/>
      <c r="EX328" s="10" t="str">
        <f t="shared" ref="EX328:EX388" si="210">IF($C328="","",$D328)</f>
        <v/>
      </c>
    </row>
    <row r="329" spans="1:154" x14ac:dyDescent="0.35">
      <c r="B329" t="str">
        <f ca="1">Loans!B$21</f>
        <v>Loan 9</v>
      </c>
      <c r="D329" s="51">
        <f>Loans!D$21</f>
        <v>0</v>
      </c>
      <c r="E329" s="10" t="str">
        <f>IF(Loans!P21="", "", Loans!P21)</f>
        <v/>
      </c>
      <c r="V329" s="106"/>
      <c r="W329" s="106"/>
      <c r="X329" s="106"/>
      <c r="Y329" s="106"/>
      <c r="AA329" s="38" t="str">
        <f>IF($E329="", "", IF(Ratios!AA$31&lt;$E329, 1, 0))</f>
        <v/>
      </c>
      <c r="AB329" s="38" t="str">
        <f>IF($E329="", "", IF(Ratios!AB$31&lt;$E329, 1, 0))</f>
        <v/>
      </c>
      <c r="AC329" s="38" t="str">
        <f>IF($E329="", "", IF(Ratios!AC$31&lt;$E329, 1, 0))</f>
        <v/>
      </c>
      <c r="AD329" s="38" t="str">
        <f>IF($E329="", "", IF(Ratios!AD$31&lt;$E329, 1, 0))</f>
        <v/>
      </c>
      <c r="AE329" s="38" t="str">
        <f>IF($E329="", "", IF(Ratios!AE$31&lt;$E329, 1, 0))</f>
        <v/>
      </c>
      <c r="AF329" s="38" t="str">
        <f>IF($E329="", "", IF(Ratios!AF$31&lt;$E329, 1, 0))</f>
        <v/>
      </c>
      <c r="AG329" s="38" t="str">
        <f>IF($E329="", "", IF(Ratios!AG$31&lt;$E329, 1, 0))</f>
        <v/>
      </c>
      <c r="AH329" s="38" t="str">
        <f>IF($E329="", "", IF(Ratios!AH$31&lt;$E329, 1, 0))</f>
        <v/>
      </c>
      <c r="AI329" s="38" t="str">
        <f>IF($E329="", "", IF(Ratios!AI$31&lt;$E329, 1, 0))</f>
        <v/>
      </c>
      <c r="AJ329" s="38" t="str">
        <f>IF($E329="", "", IF(Ratios!AJ$31&lt;$E329, 1, 0))</f>
        <v/>
      </c>
      <c r="AK329" s="38" t="str">
        <f>IF($E329="", "", IF(Ratios!AK$31&lt;$E329, 1, 0))</f>
        <v/>
      </c>
      <c r="AL329" s="38" t="str">
        <f>IF($E329="", "", IF(Ratios!AL$31&lt;$E329, 1, 0))</f>
        <v/>
      </c>
      <c r="AM329" s="38" t="str">
        <f>IF($E329="", "", IF(Ratios!AM$31&lt;$E329, 1, 0))</f>
        <v/>
      </c>
      <c r="AN329" s="38" t="str">
        <f>IF($E329="", "", IF(Ratios!AN$31&lt;$E329, 1, 0))</f>
        <v/>
      </c>
      <c r="AO329" s="38" t="str">
        <f>IF($E329="", "", IF(Ratios!AO$31&lt;$E329, 1, 0))</f>
        <v/>
      </c>
      <c r="AP329" s="38" t="str">
        <f>IF($E329="", "", IF(Ratios!AP$31&lt;$E329, 1, 0))</f>
        <v/>
      </c>
      <c r="AQ329" s="38" t="str">
        <f>IF($E329="", "", IF(Ratios!AQ$31&lt;$E329, 1, 0))</f>
        <v/>
      </c>
      <c r="AR329" s="38" t="str">
        <f>IF($E329="", "", IF(Ratios!AR$31&lt;$E329, 1, 0))</f>
        <v/>
      </c>
      <c r="AS329" s="38" t="str">
        <f>IF($E329="", "", IF(Ratios!AS$31&lt;$E329, 1, 0))</f>
        <v/>
      </c>
      <c r="AT329" s="38" t="str">
        <f>IF($E329="", "", IF(Ratios!AT$31&lt;$E329, 1, 0))</f>
        <v/>
      </c>
      <c r="AU329" s="38" t="str">
        <f>IF($E329="", "", IF(Ratios!AU$31&lt;$E329, 1, 0))</f>
        <v/>
      </c>
      <c r="AV329" s="38" t="str">
        <f>IF($E329="", "", IF(Ratios!AV$31&lt;$E329, 1, 0))</f>
        <v/>
      </c>
      <c r="AW329" s="38" t="str">
        <f>IF($E329="", "", IF(Ratios!AW$31&lt;$E329, 1, 0))</f>
        <v/>
      </c>
      <c r="AX329" s="38" t="str">
        <f>IF($E329="", "", IF(Ratios!AX$31&lt;$E329, 1, 0))</f>
        <v/>
      </c>
      <c r="AY329" s="38" t="str">
        <f>IF($E329="", "", IF(Ratios!AY$31&lt;$E329, 1, 0))</f>
        <v/>
      </c>
      <c r="AZ329" s="38" t="str">
        <f>IF($E329="", "", IF(Ratios!AZ$31&lt;$E329, 1, 0))</f>
        <v/>
      </c>
      <c r="BA329" s="38" t="str">
        <f>IF($E329="", "", IF(Ratios!BA$31&lt;$E329, 1, 0))</f>
        <v/>
      </c>
      <c r="BB329" s="38" t="str">
        <f>IF($E329="", "", IF(Ratios!BB$31&lt;$E329, 1, 0))</f>
        <v/>
      </c>
      <c r="BC329" s="38" t="str">
        <f>IF($E329="", "", IF(Ratios!BC$31&lt;$E329, 1, 0))</f>
        <v/>
      </c>
      <c r="BD329" s="38" t="str">
        <f>IF($E329="", "", IF(Ratios!BD$31&lt;$E329, 1, 0))</f>
        <v/>
      </c>
      <c r="BE329" s="38" t="str">
        <f>IF($E329="", "", IF(Ratios!BE$31&lt;$E329, 1, 0))</f>
        <v/>
      </c>
      <c r="BF329" s="38" t="str">
        <f>IF($E329="", "", IF(Ratios!BF$31&lt;$E329, 1, 0))</f>
        <v/>
      </c>
      <c r="BG329" s="38" t="str">
        <f>IF($E329="", "", IF(Ratios!BG$31&lt;$E329, 1, 0))</f>
        <v/>
      </c>
      <c r="BH329" s="38" t="str">
        <f>IF($E329="", "", IF(Ratios!BH$31&lt;$E329, 1, 0))</f>
        <v/>
      </c>
      <c r="BI329" s="38" t="str">
        <f>IF($E329="", "", IF(Ratios!BI$31&lt;$E329, 1, 0))</f>
        <v/>
      </c>
      <c r="BJ329" s="38" t="str">
        <f>IF($E329="", "", IF(Ratios!BJ$31&lt;$E329, 1, 0))</f>
        <v/>
      </c>
      <c r="BK329" s="106"/>
      <c r="BL329" s="106"/>
      <c r="BM329" s="106"/>
      <c r="BN329" s="106"/>
      <c r="BO329" s="106"/>
      <c r="BP329" s="106"/>
      <c r="BQ329" s="106"/>
      <c r="BR329" s="106"/>
      <c r="BS329" s="106"/>
      <c r="BT329" s="106"/>
      <c r="BU329" s="106"/>
      <c r="BV329" s="106"/>
      <c r="BX329" s="106"/>
      <c r="BY329" s="106"/>
      <c r="BZ329" s="106"/>
      <c r="CA329" s="106"/>
      <c r="CB329" s="38">
        <f>IF(Ratios!CB$31&lt;$E329, 1, 0)</f>
        <v>1</v>
      </c>
      <c r="CC329" s="38">
        <f>IF(Ratios!CC$31&lt;$E329, 1, 0)</f>
        <v>1</v>
      </c>
      <c r="CD329" s="38">
        <f>IF(Ratios!CD$31&lt;$E329, 1, 0)</f>
        <v>1</v>
      </c>
      <c r="CE329" s="38">
        <f>IF(Ratios!CE$31&lt;$E329, 1, 0)</f>
        <v>1</v>
      </c>
      <c r="CF329" s="38">
        <f>IF(Ratios!CF$31&lt;$E329, 1, 0)</f>
        <v>1</v>
      </c>
      <c r="CG329" s="38">
        <f>IF(Ratios!CG$31&lt;$E329, 1, 0)</f>
        <v>1</v>
      </c>
      <c r="CH329" s="38">
        <f>IF(Ratios!CH$31&lt;$E329, 1, 0)</f>
        <v>1</v>
      </c>
      <c r="CI329" s="38">
        <f>IF(Ratios!CI$31&lt;$E329, 1, 0)</f>
        <v>1</v>
      </c>
      <c r="CK329" s="11"/>
      <c r="CM329" s="11"/>
      <c r="EX329" s="10" t="str">
        <f t="shared" si="210"/>
        <v/>
      </c>
    </row>
    <row r="330" spans="1:154" x14ac:dyDescent="0.35">
      <c r="B330" t="str">
        <f ca="1">Loans!B$22</f>
        <v>Loan 10</v>
      </c>
      <c r="D330" s="51">
        <f>Loans!D$22</f>
        <v>0</v>
      </c>
      <c r="E330" s="10" t="str">
        <f>IF(Loans!P22="", "", Loans!P22)</f>
        <v/>
      </c>
      <c r="V330" s="106"/>
      <c r="W330" s="106"/>
      <c r="X330" s="106"/>
      <c r="Y330" s="106"/>
      <c r="AA330" s="38" t="str">
        <f>IF($E330="", "", IF(Ratios!AA$31&lt;$E330, 1, 0))</f>
        <v/>
      </c>
      <c r="AB330" s="38" t="str">
        <f>IF($E330="", "", IF(Ratios!AB$31&lt;$E330, 1, 0))</f>
        <v/>
      </c>
      <c r="AC330" s="38" t="str">
        <f>IF($E330="", "", IF(Ratios!AC$31&lt;$E330, 1, 0))</f>
        <v/>
      </c>
      <c r="AD330" s="38" t="str">
        <f>IF($E330="", "", IF(Ratios!AD$31&lt;$E330, 1, 0))</f>
        <v/>
      </c>
      <c r="AE330" s="38" t="str">
        <f>IF($E330="", "", IF(Ratios!AE$31&lt;$E330, 1, 0))</f>
        <v/>
      </c>
      <c r="AF330" s="38" t="str">
        <f>IF($E330="", "", IF(Ratios!AF$31&lt;$E330, 1, 0))</f>
        <v/>
      </c>
      <c r="AG330" s="38" t="str">
        <f>IF($E330="", "", IF(Ratios!AG$31&lt;$E330, 1, 0))</f>
        <v/>
      </c>
      <c r="AH330" s="38" t="str">
        <f>IF($E330="", "", IF(Ratios!AH$31&lt;$E330, 1, 0))</f>
        <v/>
      </c>
      <c r="AI330" s="38" t="str">
        <f>IF($E330="", "", IF(Ratios!AI$31&lt;$E330, 1, 0))</f>
        <v/>
      </c>
      <c r="AJ330" s="38" t="str">
        <f>IF($E330="", "", IF(Ratios!AJ$31&lt;$E330, 1, 0))</f>
        <v/>
      </c>
      <c r="AK330" s="38" t="str">
        <f>IF($E330="", "", IF(Ratios!AK$31&lt;$E330, 1, 0))</f>
        <v/>
      </c>
      <c r="AL330" s="38" t="str">
        <f>IF($E330="", "", IF(Ratios!AL$31&lt;$E330, 1, 0))</f>
        <v/>
      </c>
      <c r="AM330" s="38" t="str">
        <f>IF($E330="", "", IF(Ratios!AM$31&lt;$E330, 1, 0))</f>
        <v/>
      </c>
      <c r="AN330" s="38" t="str">
        <f>IF($E330="", "", IF(Ratios!AN$31&lt;$E330, 1, 0))</f>
        <v/>
      </c>
      <c r="AO330" s="38" t="str">
        <f>IF($E330="", "", IF(Ratios!AO$31&lt;$E330, 1, 0))</f>
        <v/>
      </c>
      <c r="AP330" s="38" t="str">
        <f>IF($E330="", "", IF(Ratios!AP$31&lt;$E330, 1, 0))</f>
        <v/>
      </c>
      <c r="AQ330" s="38" t="str">
        <f>IF($E330="", "", IF(Ratios!AQ$31&lt;$E330, 1, 0))</f>
        <v/>
      </c>
      <c r="AR330" s="38" t="str">
        <f>IF($E330="", "", IF(Ratios!AR$31&lt;$E330, 1, 0))</f>
        <v/>
      </c>
      <c r="AS330" s="38" t="str">
        <f>IF($E330="", "", IF(Ratios!AS$31&lt;$E330, 1, 0))</f>
        <v/>
      </c>
      <c r="AT330" s="38" t="str">
        <f>IF($E330="", "", IF(Ratios!AT$31&lt;$E330, 1, 0))</f>
        <v/>
      </c>
      <c r="AU330" s="38" t="str">
        <f>IF($E330="", "", IF(Ratios!AU$31&lt;$E330, 1, 0))</f>
        <v/>
      </c>
      <c r="AV330" s="38" t="str">
        <f>IF($E330="", "", IF(Ratios!AV$31&lt;$E330, 1, 0))</f>
        <v/>
      </c>
      <c r="AW330" s="38" t="str">
        <f>IF($E330="", "", IF(Ratios!AW$31&lt;$E330, 1, 0))</f>
        <v/>
      </c>
      <c r="AX330" s="38" t="str">
        <f>IF($E330="", "", IF(Ratios!AX$31&lt;$E330, 1, 0))</f>
        <v/>
      </c>
      <c r="AY330" s="38" t="str">
        <f>IF($E330="", "", IF(Ratios!AY$31&lt;$E330, 1, 0))</f>
        <v/>
      </c>
      <c r="AZ330" s="38" t="str">
        <f>IF($E330="", "", IF(Ratios!AZ$31&lt;$E330, 1, 0))</f>
        <v/>
      </c>
      <c r="BA330" s="38" t="str">
        <f>IF($E330="", "", IF(Ratios!BA$31&lt;$E330, 1, 0))</f>
        <v/>
      </c>
      <c r="BB330" s="38" t="str">
        <f>IF($E330="", "", IF(Ratios!BB$31&lt;$E330, 1, 0))</f>
        <v/>
      </c>
      <c r="BC330" s="38" t="str">
        <f>IF($E330="", "", IF(Ratios!BC$31&lt;$E330, 1, 0))</f>
        <v/>
      </c>
      <c r="BD330" s="38" t="str">
        <f>IF($E330="", "", IF(Ratios!BD$31&lt;$E330, 1, 0))</f>
        <v/>
      </c>
      <c r="BE330" s="38" t="str">
        <f>IF($E330="", "", IF(Ratios!BE$31&lt;$E330, 1, 0))</f>
        <v/>
      </c>
      <c r="BF330" s="38" t="str">
        <f>IF($E330="", "", IF(Ratios!BF$31&lt;$E330, 1, 0))</f>
        <v/>
      </c>
      <c r="BG330" s="38" t="str">
        <f>IF($E330="", "", IF(Ratios!BG$31&lt;$E330, 1, 0))</f>
        <v/>
      </c>
      <c r="BH330" s="38" t="str">
        <f>IF($E330="", "", IF(Ratios!BH$31&lt;$E330, 1, 0))</f>
        <v/>
      </c>
      <c r="BI330" s="38" t="str">
        <f>IF($E330="", "", IF(Ratios!BI$31&lt;$E330, 1, 0))</f>
        <v/>
      </c>
      <c r="BJ330" s="38" t="str">
        <f>IF($E330="", "", IF(Ratios!BJ$31&lt;$E330, 1, 0))</f>
        <v/>
      </c>
      <c r="BK330" s="106"/>
      <c r="BL330" s="106"/>
      <c r="BM330" s="106"/>
      <c r="BN330" s="106"/>
      <c r="BO330" s="106"/>
      <c r="BP330" s="106"/>
      <c r="BQ330" s="106"/>
      <c r="BR330" s="106"/>
      <c r="BS330" s="106"/>
      <c r="BT330" s="106"/>
      <c r="BU330" s="106"/>
      <c r="BV330" s="106"/>
      <c r="BX330" s="106"/>
      <c r="BY330" s="106"/>
      <c r="BZ330" s="106"/>
      <c r="CA330" s="106"/>
      <c r="CB330" s="38">
        <f>IF(Ratios!CB$31&lt;$E330, 1, 0)</f>
        <v>1</v>
      </c>
      <c r="CC330" s="38">
        <f>IF(Ratios!CC$31&lt;$E330, 1, 0)</f>
        <v>1</v>
      </c>
      <c r="CD330" s="38">
        <f>IF(Ratios!CD$31&lt;$E330, 1, 0)</f>
        <v>1</v>
      </c>
      <c r="CE330" s="38">
        <f>IF(Ratios!CE$31&lt;$E330, 1, 0)</f>
        <v>1</v>
      </c>
      <c r="CF330" s="38">
        <f>IF(Ratios!CF$31&lt;$E330, 1, 0)</f>
        <v>1</v>
      </c>
      <c r="CG330" s="38">
        <f>IF(Ratios!CG$31&lt;$E330, 1, 0)</f>
        <v>1</v>
      </c>
      <c r="CH330" s="38">
        <f>IF(Ratios!CH$31&lt;$E330, 1, 0)</f>
        <v>1</v>
      </c>
      <c r="CI330" s="38">
        <f>IF(Ratios!CI$31&lt;$E330, 1, 0)</f>
        <v>1</v>
      </c>
      <c r="CK330" s="11"/>
      <c r="CM330" s="11"/>
      <c r="EX330" s="10" t="str">
        <f t="shared" si="210"/>
        <v/>
      </c>
    </row>
    <row r="331" spans="1:154" x14ac:dyDescent="0.35">
      <c r="B331" t="str">
        <f ca="1">Loans!B$23</f>
        <v>Loan 11</v>
      </c>
      <c r="D331" s="51">
        <f>Loans!D$23</f>
        <v>0</v>
      </c>
      <c r="E331" s="10" t="str">
        <f>IF(Loans!P23="", "", Loans!P23)</f>
        <v/>
      </c>
      <c r="V331" s="106"/>
      <c r="W331" s="106"/>
      <c r="X331" s="106"/>
      <c r="Y331" s="106"/>
      <c r="AA331" s="38" t="str">
        <f>IF($E331="", "", IF(Ratios!AA$31&lt;$E331, 1, 0))</f>
        <v/>
      </c>
      <c r="AB331" s="38" t="str">
        <f>IF($E331="", "", IF(Ratios!AB$31&lt;$E331, 1, 0))</f>
        <v/>
      </c>
      <c r="AC331" s="38" t="str">
        <f>IF($E331="", "", IF(Ratios!AC$31&lt;$E331, 1, 0))</f>
        <v/>
      </c>
      <c r="AD331" s="38" t="str">
        <f>IF($E331="", "", IF(Ratios!AD$31&lt;$E331, 1, 0))</f>
        <v/>
      </c>
      <c r="AE331" s="38" t="str">
        <f>IF($E331="", "", IF(Ratios!AE$31&lt;$E331, 1, 0))</f>
        <v/>
      </c>
      <c r="AF331" s="38" t="str">
        <f>IF($E331="", "", IF(Ratios!AF$31&lt;$E331, 1, 0))</f>
        <v/>
      </c>
      <c r="AG331" s="38" t="str">
        <f>IF($E331="", "", IF(Ratios!AG$31&lt;$E331, 1, 0))</f>
        <v/>
      </c>
      <c r="AH331" s="38" t="str">
        <f>IF($E331="", "", IF(Ratios!AH$31&lt;$E331, 1, 0))</f>
        <v/>
      </c>
      <c r="AI331" s="38" t="str">
        <f>IF($E331="", "", IF(Ratios!AI$31&lt;$E331, 1, 0))</f>
        <v/>
      </c>
      <c r="AJ331" s="38" t="str">
        <f>IF($E331="", "", IF(Ratios!AJ$31&lt;$E331, 1, 0))</f>
        <v/>
      </c>
      <c r="AK331" s="38" t="str">
        <f>IF($E331="", "", IF(Ratios!AK$31&lt;$E331, 1, 0))</f>
        <v/>
      </c>
      <c r="AL331" s="38" t="str">
        <f>IF($E331="", "", IF(Ratios!AL$31&lt;$E331, 1, 0))</f>
        <v/>
      </c>
      <c r="AM331" s="38" t="str">
        <f>IF($E331="", "", IF(Ratios!AM$31&lt;$E331, 1, 0))</f>
        <v/>
      </c>
      <c r="AN331" s="38" t="str">
        <f>IF($E331="", "", IF(Ratios!AN$31&lt;$E331, 1, 0))</f>
        <v/>
      </c>
      <c r="AO331" s="38" t="str">
        <f>IF($E331="", "", IF(Ratios!AO$31&lt;$E331, 1, 0))</f>
        <v/>
      </c>
      <c r="AP331" s="38" t="str">
        <f>IF($E331="", "", IF(Ratios!AP$31&lt;$E331, 1, 0))</f>
        <v/>
      </c>
      <c r="AQ331" s="38" t="str">
        <f>IF($E331="", "", IF(Ratios!AQ$31&lt;$E331, 1, 0))</f>
        <v/>
      </c>
      <c r="AR331" s="38" t="str">
        <f>IF($E331="", "", IF(Ratios!AR$31&lt;$E331, 1, 0))</f>
        <v/>
      </c>
      <c r="AS331" s="38" t="str">
        <f>IF($E331="", "", IF(Ratios!AS$31&lt;$E331, 1, 0))</f>
        <v/>
      </c>
      <c r="AT331" s="38" t="str">
        <f>IF($E331="", "", IF(Ratios!AT$31&lt;$E331, 1, 0))</f>
        <v/>
      </c>
      <c r="AU331" s="38" t="str">
        <f>IF($E331="", "", IF(Ratios!AU$31&lt;$E331, 1, 0))</f>
        <v/>
      </c>
      <c r="AV331" s="38" t="str">
        <f>IF($E331="", "", IF(Ratios!AV$31&lt;$E331, 1, 0))</f>
        <v/>
      </c>
      <c r="AW331" s="38" t="str">
        <f>IF($E331="", "", IF(Ratios!AW$31&lt;$E331, 1, 0))</f>
        <v/>
      </c>
      <c r="AX331" s="38" t="str">
        <f>IF($E331="", "", IF(Ratios!AX$31&lt;$E331, 1, 0))</f>
        <v/>
      </c>
      <c r="AY331" s="38" t="str">
        <f>IF($E331="", "", IF(Ratios!AY$31&lt;$E331, 1, 0))</f>
        <v/>
      </c>
      <c r="AZ331" s="38" t="str">
        <f>IF($E331="", "", IF(Ratios!AZ$31&lt;$E331, 1, 0))</f>
        <v/>
      </c>
      <c r="BA331" s="38" t="str">
        <f>IF($E331="", "", IF(Ratios!BA$31&lt;$E331, 1, 0))</f>
        <v/>
      </c>
      <c r="BB331" s="38" t="str">
        <f>IF($E331="", "", IF(Ratios!BB$31&lt;$E331, 1, 0))</f>
        <v/>
      </c>
      <c r="BC331" s="38" t="str">
        <f>IF($E331="", "", IF(Ratios!BC$31&lt;$E331, 1, 0))</f>
        <v/>
      </c>
      <c r="BD331" s="38" t="str">
        <f>IF($E331="", "", IF(Ratios!BD$31&lt;$E331, 1, 0))</f>
        <v/>
      </c>
      <c r="BE331" s="38" t="str">
        <f>IF($E331="", "", IF(Ratios!BE$31&lt;$E331, 1, 0))</f>
        <v/>
      </c>
      <c r="BF331" s="38" t="str">
        <f>IF($E331="", "", IF(Ratios!BF$31&lt;$E331, 1, 0))</f>
        <v/>
      </c>
      <c r="BG331" s="38" t="str">
        <f>IF($E331="", "", IF(Ratios!BG$31&lt;$E331, 1, 0))</f>
        <v/>
      </c>
      <c r="BH331" s="38" t="str">
        <f>IF($E331="", "", IF(Ratios!BH$31&lt;$E331, 1, 0))</f>
        <v/>
      </c>
      <c r="BI331" s="38" t="str">
        <f>IF($E331="", "", IF(Ratios!BI$31&lt;$E331, 1, 0))</f>
        <v/>
      </c>
      <c r="BJ331" s="38" t="str">
        <f>IF($E331="", "", IF(Ratios!BJ$31&lt;$E331, 1, 0))</f>
        <v/>
      </c>
      <c r="BK331" s="106"/>
      <c r="BL331" s="106"/>
      <c r="BM331" s="106"/>
      <c r="BN331" s="106"/>
      <c r="BO331" s="106"/>
      <c r="BP331" s="106"/>
      <c r="BQ331" s="106"/>
      <c r="BR331" s="106"/>
      <c r="BS331" s="106"/>
      <c r="BT331" s="106"/>
      <c r="BU331" s="106"/>
      <c r="BV331" s="106"/>
      <c r="BX331" s="106"/>
      <c r="BY331" s="106"/>
      <c r="BZ331" s="106"/>
      <c r="CA331" s="106"/>
      <c r="CB331" s="38">
        <f>IF(Ratios!CB$31&lt;$E331, 1, 0)</f>
        <v>1</v>
      </c>
      <c r="CC331" s="38">
        <f>IF(Ratios!CC$31&lt;$E331, 1, 0)</f>
        <v>1</v>
      </c>
      <c r="CD331" s="38">
        <f>IF(Ratios!CD$31&lt;$E331, 1, 0)</f>
        <v>1</v>
      </c>
      <c r="CE331" s="38">
        <f>IF(Ratios!CE$31&lt;$E331, 1, 0)</f>
        <v>1</v>
      </c>
      <c r="CF331" s="38">
        <f>IF(Ratios!CF$31&lt;$E331, 1, 0)</f>
        <v>1</v>
      </c>
      <c r="CG331" s="38">
        <f>IF(Ratios!CG$31&lt;$E331, 1, 0)</f>
        <v>1</v>
      </c>
      <c r="CH331" s="38">
        <f>IF(Ratios!CH$31&lt;$E331, 1, 0)</f>
        <v>1</v>
      </c>
      <c r="CI331" s="38">
        <f>IF(Ratios!CI$31&lt;$E331, 1, 0)</f>
        <v>1</v>
      </c>
      <c r="CK331" s="11"/>
      <c r="CM331" s="11"/>
      <c r="EX331" s="10" t="str">
        <f t="shared" si="210"/>
        <v/>
      </c>
    </row>
    <row r="332" spans="1:154" x14ac:dyDescent="0.35">
      <c r="B332" t="str">
        <f ca="1">Loans!B$24</f>
        <v>Loan 12</v>
      </c>
      <c r="D332" s="51">
        <f>Loans!D$24</f>
        <v>0</v>
      </c>
      <c r="E332" s="10" t="str">
        <f>IF(Loans!P24="", "", Loans!P24)</f>
        <v/>
      </c>
      <c r="V332" s="106"/>
      <c r="W332" s="106"/>
      <c r="X332" s="106"/>
      <c r="Y332" s="106"/>
      <c r="AA332" s="38" t="str">
        <f>IF($E332="", "", IF(Ratios!AA$31&lt;$E332, 1, 0))</f>
        <v/>
      </c>
      <c r="AB332" s="38" t="str">
        <f>IF($E332="", "", IF(Ratios!AB$31&lt;$E332, 1, 0))</f>
        <v/>
      </c>
      <c r="AC332" s="38" t="str">
        <f>IF($E332="", "", IF(Ratios!AC$31&lt;$E332, 1, 0))</f>
        <v/>
      </c>
      <c r="AD332" s="38" t="str">
        <f>IF($E332="", "", IF(Ratios!AD$31&lt;$E332, 1, 0))</f>
        <v/>
      </c>
      <c r="AE332" s="38" t="str">
        <f>IF($E332="", "", IF(Ratios!AE$31&lt;$E332, 1, 0))</f>
        <v/>
      </c>
      <c r="AF332" s="38" t="str">
        <f>IF($E332="", "", IF(Ratios!AF$31&lt;$E332, 1, 0))</f>
        <v/>
      </c>
      <c r="AG332" s="38" t="str">
        <f>IF($E332="", "", IF(Ratios!AG$31&lt;$E332, 1, 0))</f>
        <v/>
      </c>
      <c r="AH332" s="38" t="str">
        <f>IF($E332="", "", IF(Ratios!AH$31&lt;$E332, 1, 0))</f>
        <v/>
      </c>
      <c r="AI332" s="38" t="str">
        <f>IF($E332="", "", IF(Ratios!AI$31&lt;$E332, 1, 0))</f>
        <v/>
      </c>
      <c r="AJ332" s="38" t="str">
        <f>IF($E332="", "", IF(Ratios!AJ$31&lt;$E332, 1, 0))</f>
        <v/>
      </c>
      <c r="AK332" s="38" t="str">
        <f>IF($E332="", "", IF(Ratios!AK$31&lt;$E332, 1, 0))</f>
        <v/>
      </c>
      <c r="AL332" s="38" t="str">
        <f>IF($E332="", "", IF(Ratios!AL$31&lt;$E332, 1, 0))</f>
        <v/>
      </c>
      <c r="AM332" s="38" t="str">
        <f>IF($E332="", "", IF(Ratios!AM$31&lt;$E332, 1, 0))</f>
        <v/>
      </c>
      <c r="AN332" s="38" t="str">
        <f>IF($E332="", "", IF(Ratios!AN$31&lt;$E332, 1, 0))</f>
        <v/>
      </c>
      <c r="AO332" s="38" t="str">
        <f>IF($E332="", "", IF(Ratios!AO$31&lt;$E332, 1, 0))</f>
        <v/>
      </c>
      <c r="AP332" s="38" t="str">
        <f>IF($E332="", "", IF(Ratios!AP$31&lt;$E332, 1, 0))</f>
        <v/>
      </c>
      <c r="AQ332" s="38" t="str">
        <f>IF($E332="", "", IF(Ratios!AQ$31&lt;$E332, 1, 0))</f>
        <v/>
      </c>
      <c r="AR332" s="38" t="str">
        <f>IF($E332="", "", IF(Ratios!AR$31&lt;$E332, 1, 0))</f>
        <v/>
      </c>
      <c r="AS332" s="38" t="str">
        <f>IF($E332="", "", IF(Ratios!AS$31&lt;$E332, 1, 0))</f>
        <v/>
      </c>
      <c r="AT332" s="38" t="str">
        <f>IF($E332="", "", IF(Ratios!AT$31&lt;$E332, 1, 0))</f>
        <v/>
      </c>
      <c r="AU332" s="38" t="str">
        <f>IF($E332="", "", IF(Ratios!AU$31&lt;$E332, 1, 0))</f>
        <v/>
      </c>
      <c r="AV332" s="38" t="str">
        <f>IF($E332="", "", IF(Ratios!AV$31&lt;$E332, 1, 0))</f>
        <v/>
      </c>
      <c r="AW332" s="38" t="str">
        <f>IF($E332="", "", IF(Ratios!AW$31&lt;$E332, 1, 0))</f>
        <v/>
      </c>
      <c r="AX332" s="38" t="str">
        <f>IF($E332="", "", IF(Ratios!AX$31&lt;$E332, 1, 0))</f>
        <v/>
      </c>
      <c r="AY332" s="38" t="str">
        <f>IF($E332="", "", IF(Ratios!AY$31&lt;$E332, 1, 0))</f>
        <v/>
      </c>
      <c r="AZ332" s="38" t="str">
        <f>IF($E332="", "", IF(Ratios!AZ$31&lt;$E332, 1, 0))</f>
        <v/>
      </c>
      <c r="BA332" s="38" t="str">
        <f>IF($E332="", "", IF(Ratios!BA$31&lt;$E332, 1, 0))</f>
        <v/>
      </c>
      <c r="BB332" s="38" t="str">
        <f>IF($E332="", "", IF(Ratios!BB$31&lt;$E332, 1, 0))</f>
        <v/>
      </c>
      <c r="BC332" s="38" t="str">
        <f>IF($E332="", "", IF(Ratios!BC$31&lt;$E332, 1, 0))</f>
        <v/>
      </c>
      <c r="BD332" s="38" t="str">
        <f>IF($E332="", "", IF(Ratios!BD$31&lt;$E332, 1, 0))</f>
        <v/>
      </c>
      <c r="BE332" s="38" t="str">
        <f>IF($E332="", "", IF(Ratios!BE$31&lt;$E332, 1, 0))</f>
        <v/>
      </c>
      <c r="BF332" s="38" t="str">
        <f>IF($E332="", "", IF(Ratios!BF$31&lt;$E332, 1, 0))</f>
        <v/>
      </c>
      <c r="BG332" s="38" t="str">
        <f>IF($E332="", "", IF(Ratios!BG$31&lt;$E332, 1, 0))</f>
        <v/>
      </c>
      <c r="BH332" s="38" t="str">
        <f>IF($E332="", "", IF(Ratios!BH$31&lt;$E332, 1, 0))</f>
        <v/>
      </c>
      <c r="BI332" s="38" t="str">
        <f>IF($E332="", "", IF(Ratios!BI$31&lt;$E332, 1, 0))</f>
        <v/>
      </c>
      <c r="BJ332" s="38" t="str">
        <f>IF($E332="", "", IF(Ratios!BJ$31&lt;$E332, 1, 0))</f>
        <v/>
      </c>
      <c r="BK332" s="106"/>
      <c r="BL332" s="106"/>
      <c r="BM332" s="106"/>
      <c r="BN332" s="106"/>
      <c r="BO332" s="106"/>
      <c r="BP332" s="106"/>
      <c r="BQ332" s="106"/>
      <c r="BR332" s="106"/>
      <c r="BS332" s="106"/>
      <c r="BT332" s="106"/>
      <c r="BU332" s="106"/>
      <c r="BV332" s="106"/>
      <c r="BX332" s="106"/>
      <c r="BY332" s="106"/>
      <c r="BZ332" s="106"/>
      <c r="CA332" s="106"/>
      <c r="CB332" s="38">
        <f>IF(Ratios!CB$31&lt;$E332, 1, 0)</f>
        <v>1</v>
      </c>
      <c r="CC332" s="38">
        <f>IF(Ratios!CC$31&lt;$E332, 1, 0)</f>
        <v>1</v>
      </c>
      <c r="CD332" s="38">
        <f>IF(Ratios!CD$31&lt;$E332, 1, 0)</f>
        <v>1</v>
      </c>
      <c r="CE332" s="38">
        <f>IF(Ratios!CE$31&lt;$E332, 1, 0)</f>
        <v>1</v>
      </c>
      <c r="CF332" s="38">
        <f>IF(Ratios!CF$31&lt;$E332, 1, 0)</f>
        <v>1</v>
      </c>
      <c r="CG332" s="38">
        <f>IF(Ratios!CG$31&lt;$E332, 1, 0)</f>
        <v>1</v>
      </c>
      <c r="CH332" s="38">
        <f>IF(Ratios!CH$31&lt;$E332, 1, 0)</f>
        <v>1</v>
      </c>
      <c r="CI332" s="38">
        <f>IF(Ratios!CI$31&lt;$E332, 1, 0)</f>
        <v>1</v>
      </c>
      <c r="CK332" s="11"/>
      <c r="CM332" s="11"/>
      <c r="EX332" s="10" t="str">
        <f t="shared" si="210"/>
        <v/>
      </c>
    </row>
    <row r="333" spans="1:154" x14ac:dyDescent="0.35">
      <c r="B333" t="str">
        <f ca="1">Loans!B$25</f>
        <v>Loan 13</v>
      </c>
      <c r="D333" s="51">
        <f>Loans!D$25</f>
        <v>0</v>
      </c>
      <c r="E333" s="10" t="str">
        <f>IF(Loans!P25="", "", Loans!P25)</f>
        <v/>
      </c>
      <c r="V333" s="106"/>
      <c r="W333" s="106"/>
      <c r="X333" s="106"/>
      <c r="Y333" s="106"/>
      <c r="AA333" s="38" t="str">
        <f>IF($E333="", "", IF(Ratios!AA$31&lt;$E333, 1, 0))</f>
        <v/>
      </c>
      <c r="AB333" s="38" t="str">
        <f>IF($E333="", "", IF(Ratios!AB$31&lt;$E333, 1, 0))</f>
        <v/>
      </c>
      <c r="AC333" s="38" t="str">
        <f>IF($E333="", "", IF(Ratios!AC$31&lt;$E333, 1, 0))</f>
        <v/>
      </c>
      <c r="AD333" s="38" t="str">
        <f>IF($E333="", "", IF(Ratios!AD$31&lt;$E333, 1, 0))</f>
        <v/>
      </c>
      <c r="AE333" s="38" t="str">
        <f>IF($E333="", "", IF(Ratios!AE$31&lt;$E333, 1, 0))</f>
        <v/>
      </c>
      <c r="AF333" s="38" t="str">
        <f>IF($E333="", "", IF(Ratios!AF$31&lt;$E333, 1, 0))</f>
        <v/>
      </c>
      <c r="AG333" s="38" t="str">
        <f>IF($E333="", "", IF(Ratios!AG$31&lt;$E333, 1, 0))</f>
        <v/>
      </c>
      <c r="AH333" s="38" t="str">
        <f>IF($E333="", "", IF(Ratios!AH$31&lt;$E333, 1, 0))</f>
        <v/>
      </c>
      <c r="AI333" s="38" t="str">
        <f>IF($E333="", "", IF(Ratios!AI$31&lt;$E333, 1, 0))</f>
        <v/>
      </c>
      <c r="AJ333" s="38" t="str">
        <f>IF($E333="", "", IF(Ratios!AJ$31&lt;$E333, 1, 0))</f>
        <v/>
      </c>
      <c r="AK333" s="38" t="str">
        <f>IF($E333="", "", IF(Ratios!AK$31&lt;$E333, 1, 0))</f>
        <v/>
      </c>
      <c r="AL333" s="38" t="str">
        <f>IF($E333="", "", IF(Ratios!AL$31&lt;$E333, 1, 0))</f>
        <v/>
      </c>
      <c r="AM333" s="38" t="str">
        <f>IF($E333="", "", IF(Ratios!AM$31&lt;$E333, 1, 0))</f>
        <v/>
      </c>
      <c r="AN333" s="38" t="str">
        <f>IF($E333="", "", IF(Ratios!AN$31&lt;$E333, 1, 0))</f>
        <v/>
      </c>
      <c r="AO333" s="38" t="str">
        <f>IF($E333="", "", IF(Ratios!AO$31&lt;$E333, 1, 0))</f>
        <v/>
      </c>
      <c r="AP333" s="38" t="str">
        <f>IF($E333="", "", IF(Ratios!AP$31&lt;$E333, 1, 0))</f>
        <v/>
      </c>
      <c r="AQ333" s="38" t="str">
        <f>IF($E333="", "", IF(Ratios!AQ$31&lt;$E333, 1, 0))</f>
        <v/>
      </c>
      <c r="AR333" s="38" t="str">
        <f>IF($E333="", "", IF(Ratios!AR$31&lt;$E333, 1, 0))</f>
        <v/>
      </c>
      <c r="AS333" s="38" t="str">
        <f>IF($E333="", "", IF(Ratios!AS$31&lt;$E333, 1, 0))</f>
        <v/>
      </c>
      <c r="AT333" s="38" t="str">
        <f>IF($E333="", "", IF(Ratios!AT$31&lt;$E333, 1, 0))</f>
        <v/>
      </c>
      <c r="AU333" s="38" t="str">
        <f>IF($E333="", "", IF(Ratios!AU$31&lt;$E333, 1, 0))</f>
        <v/>
      </c>
      <c r="AV333" s="38" t="str">
        <f>IF($E333="", "", IF(Ratios!AV$31&lt;$E333, 1, 0))</f>
        <v/>
      </c>
      <c r="AW333" s="38" t="str">
        <f>IF($E333="", "", IF(Ratios!AW$31&lt;$E333, 1, 0))</f>
        <v/>
      </c>
      <c r="AX333" s="38" t="str">
        <f>IF($E333="", "", IF(Ratios!AX$31&lt;$E333, 1, 0))</f>
        <v/>
      </c>
      <c r="AY333" s="38" t="str">
        <f>IF($E333="", "", IF(Ratios!AY$31&lt;$E333, 1, 0))</f>
        <v/>
      </c>
      <c r="AZ333" s="38" t="str">
        <f>IF($E333="", "", IF(Ratios!AZ$31&lt;$E333, 1, 0))</f>
        <v/>
      </c>
      <c r="BA333" s="38" t="str">
        <f>IF($E333="", "", IF(Ratios!BA$31&lt;$E333, 1, 0))</f>
        <v/>
      </c>
      <c r="BB333" s="38" t="str">
        <f>IF($E333="", "", IF(Ratios!BB$31&lt;$E333, 1, 0))</f>
        <v/>
      </c>
      <c r="BC333" s="38" t="str">
        <f>IF($E333="", "", IF(Ratios!BC$31&lt;$E333, 1, 0))</f>
        <v/>
      </c>
      <c r="BD333" s="38" t="str">
        <f>IF($E333="", "", IF(Ratios!BD$31&lt;$E333, 1, 0))</f>
        <v/>
      </c>
      <c r="BE333" s="38" t="str">
        <f>IF($E333="", "", IF(Ratios!BE$31&lt;$E333, 1, 0))</f>
        <v/>
      </c>
      <c r="BF333" s="38" t="str">
        <f>IF($E333="", "", IF(Ratios!BF$31&lt;$E333, 1, 0))</f>
        <v/>
      </c>
      <c r="BG333" s="38" t="str">
        <f>IF($E333="", "", IF(Ratios!BG$31&lt;$E333, 1, 0))</f>
        <v/>
      </c>
      <c r="BH333" s="38" t="str">
        <f>IF($E333="", "", IF(Ratios!BH$31&lt;$E333, 1, 0))</f>
        <v/>
      </c>
      <c r="BI333" s="38" t="str">
        <f>IF($E333="", "", IF(Ratios!BI$31&lt;$E333, 1, 0))</f>
        <v/>
      </c>
      <c r="BJ333" s="38" t="str">
        <f>IF($E333="", "", IF(Ratios!BJ$31&lt;$E333, 1, 0))</f>
        <v/>
      </c>
      <c r="BK333" s="106"/>
      <c r="BL333" s="106"/>
      <c r="BM333" s="106"/>
      <c r="BN333" s="106"/>
      <c r="BO333" s="106"/>
      <c r="BP333" s="106"/>
      <c r="BQ333" s="106"/>
      <c r="BR333" s="106"/>
      <c r="BS333" s="106"/>
      <c r="BT333" s="106"/>
      <c r="BU333" s="106"/>
      <c r="BV333" s="106"/>
      <c r="BX333" s="106"/>
      <c r="BY333" s="106"/>
      <c r="BZ333" s="106"/>
      <c r="CA333" s="106"/>
      <c r="CB333" s="38">
        <f>IF(Ratios!CB$31&lt;$E333, 1, 0)</f>
        <v>1</v>
      </c>
      <c r="CC333" s="38">
        <f>IF(Ratios!CC$31&lt;$E333, 1, 0)</f>
        <v>1</v>
      </c>
      <c r="CD333" s="38">
        <f>IF(Ratios!CD$31&lt;$E333, 1, 0)</f>
        <v>1</v>
      </c>
      <c r="CE333" s="38">
        <f>IF(Ratios!CE$31&lt;$E333, 1, 0)</f>
        <v>1</v>
      </c>
      <c r="CF333" s="38">
        <f>IF(Ratios!CF$31&lt;$E333, 1, 0)</f>
        <v>1</v>
      </c>
      <c r="CG333" s="38">
        <f>IF(Ratios!CG$31&lt;$E333, 1, 0)</f>
        <v>1</v>
      </c>
      <c r="CH333" s="38">
        <f>IF(Ratios!CH$31&lt;$E333, 1, 0)</f>
        <v>1</v>
      </c>
      <c r="CI333" s="38">
        <f>IF(Ratios!CI$31&lt;$E333, 1, 0)</f>
        <v>1</v>
      </c>
      <c r="CK333" s="11"/>
      <c r="CM333" s="11"/>
      <c r="EX333" s="10" t="str">
        <f t="shared" si="210"/>
        <v/>
      </c>
    </row>
    <row r="334" spans="1:154" x14ac:dyDescent="0.35">
      <c r="B334" t="str">
        <f ca="1">Loans!B$26</f>
        <v>Loan 14</v>
      </c>
      <c r="D334" s="51">
        <f>Loans!D$26</f>
        <v>0</v>
      </c>
      <c r="E334" s="10" t="str">
        <f>IF(Loans!P26="", "", Loans!P26)</f>
        <v/>
      </c>
      <c r="V334" s="106"/>
      <c r="W334" s="106"/>
      <c r="X334" s="106"/>
      <c r="Y334" s="106"/>
      <c r="AA334" s="38" t="str">
        <f>IF($E334="", "", IF(Ratios!AA$31&lt;$E334, 1, 0))</f>
        <v/>
      </c>
      <c r="AB334" s="38" t="str">
        <f>IF($E334="", "", IF(Ratios!AB$31&lt;$E334, 1, 0))</f>
        <v/>
      </c>
      <c r="AC334" s="38" t="str">
        <f>IF($E334="", "", IF(Ratios!AC$31&lt;$E334, 1, 0))</f>
        <v/>
      </c>
      <c r="AD334" s="38" t="str">
        <f>IF($E334="", "", IF(Ratios!AD$31&lt;$E334, 1, 0))</f>
        <v/>
      </c>
      <c r="AE334" s="38" t="str">
        <f>IF($E334="", "", IF(Ratios!AE$31&lt;$E334, 1, 0))</f>
        <v/>
      </c>
      <c r="AF334" s="38" t="str">
        <f>IF($E334="", "", IF(Ratios!AF$31&lt;$E334, 1, 0))</f>
        <v/>
      </c>
      <c r="AG334" s="38" t="str">
        <f>IF($E334="", "", IF(Ratios!AG$31&lt;$E334, 1, 0))</f>
        <v/>
      </c>
      <c r="AH334" s="38" t="str">
        <f>IF($E334="", "", IF(Ratios!AH$31&lt;$E334, 1, 0))</f>
        <v/>
      </c>
      <c r="AI334" s="38" t="str">
        <f>IF($E334="", "", IF(Ratios!AI$31&lt;$E334, 1, 0))</f>
        <v/>
      </c>
      <c r="AJ334" s="38" t="str">
        <f>IF($E334="", "", IF(Ratios!AJ$31&lt;$E334, 1, 0))</f>
        <v/>
      </c>
      <c r="AK334" s="38" t="str">
        <f>IF($E334="", "", IF(Ratios!AK$31&lt;$E334, 1, 0))</f>
        <v/>
      </c>
      <c r="AL334" s="38" t="str">
        <f>IF($E334="", "", IF(Ratios!AL$31&lt;$E334, 1, 0))</f>
        <v/>
      </c>
      <c r="AM334" s="38" t="str">
        <f>IF($E334="", "", IF(Ratios!AM$31&lt;$E334, 1, 0))</f>
        <v/>
      </c>
      <c r="AN334" s="38" t="str">
        <f>IF($E334="", "", IF(Ratios!AN$31&lt;$E334, 1, 0))</f>
        <v/>
      </c>
      <c r="AO334" s="38" t="str">
        <f>IF($E334="", "", IF(Ratios!AO$31&lt;$E334, 1, 0))</f>
        <v/>
      </c>
      <c r="AP334" s="38" t="str">
        <f>IF($E334="", "", IF(Ratios!AP$31&lt;$E334, 1, 0))</f>
        <v/>
      </c>
      <c r="AQ334" s="38" t="str">
        <f>IF($E334="", "", IF(Ratios!AQ$31&lt;$E334, 1, 0))</f>
        <v/>
      </c>
      <c r="AR334" s="38" t="str">
        <f>IF($E334="", "", IF(Ratios!AR$31&lt;$E334, 1, 0))</f>
        <v/>
      </c>
      <c r="AS334" s="38" t="str">
        <f>IF($E334="", "", IF(Ratios!AS$31&lt;$E334, 1, 0))</f>
        <v/>
      </c>
      <c r="AT334" s="38" t="str">
        <f>IF($E334="", "", IF(Ratios!AT$31&lt;$E334, 1, 0))</f>
        <v/>
      </c>
      <c r="AU334" s="38" t="str">
        <f>IF($E334="", "", IF(Ratios!AU$31&lt;$E334, 1, 0))</f>
        <v/>
      </c>
      <c r="AV334" s="38" t="str">
        <f>IF($E334="", "", IF(Ratios!AV$31&lt;$E334, 1, 0))</f>
        <v/>
      </c>
      <c r="AW334" s="38" t="str">
        <f>IF($E334="", "", IF(Ratios!AW$31&lt;$E334, 1, 0))</f>
        <v/>
      </c>
      <c r="AX334" s="38" t="str">
        <f>IF($E334="", "", IF(Ratios!AX$31&lt;$E334, 1, 0))</f>
        <v/>
      </c>
      <c r="AY334" s="38" t="str">
        <f>IF($E334="", "", IF(Ratios!AY$31&lt;$E334, 1, 0))</f>
        <v/>
      </c>
      <c r="AZ334" s="38" t="str">
        <f>IF($E334="", "", IF(Ratios!AZ$31&lt;$E334, 1, 0))</f>
        <v/>
      </c>
      <c r="BA334" s="38" t="str">
        <f>IF($E334="", "", IF(Ratios!BA$31&lt;$E334, 1, 0))</f>
        <v/>
      </c>
      <c r="BB334" s="38" t="str">
        <f>IF($E334="", "", IF(Ratios!BB$31&lt;$E334, 1, 0))</f>
        <v/>
      </c>
      <c r="BC334" s="38" t="str">
        <f>IF($E334="", "", IF(Ratios!BC$31&lt;$E334, 1, 0))</f>
        <v/>
      </c>
      <c r="BD334" s="38" t="str">
        <f>IF($E334="", "", IF(Ratios!BD$31&lt;$E334, 1, 0))</f>
        <v/>
      </c>
      <c r="BE334" s="38" t="str">
        <f>IF($E334="", "", IF(Ratios!BE$31&lt;$E334, 1, 0))</f>
        <v/>
      </c>
      <c r="BF334" s="38" t="str">
        <f>IF($E334="", "", IF(Ratios!BF$31&lt;$E334, 1, 0))</f>
        <v/>
      </c>
      <c r="BG334" s="38" t="str">
        <f>IF($E334="", "", IF(Ratios!BG$31&lt;$E334, 1, 0))</f>
        <v/>
      </c>
      <c r="BH334" s="38" t="str">
        <f>IF($E334="", "", IF(Ratios!BH$31&lt;$E334, 1, 0))</f>
        <v/>
      </c>
      <c r="BI334" s="38" t="str">
        <f>IF($E334="", "", IF(Ratios!BI$31&lt;$E334, 1, 0))</f>
        <v/>
      </c>
      <c r="BJ334" s="38" t="str">
        <f>IF($E334="", "", IF(Ratios!BJ$31&lt;$E334, 1, 0))</f>
        <v/>
      </c>
      <c r="BK334" s="106"/>
      <c r="BL334" s="106"/>
      <c r="BM334" s="106"/>
      <c r="BN334" s="106"/>
      <c r="BO334" s="106"/>
      <c r="BP334" s="106"/>
      <c r="BQ334" s="106"/>
      <c r="BR334" s="106"/>
      <c r="BS334" s="106"/>
      <c r="BT334" s="106"/>
      <c r="BU334" s="106"/>
      <c r="BV334" s="106"/>
      <c r="BX334" s="106"/>
      <c r="BY334" s="106"/>
      <c r="BZ334" s="106"/>
      <c r="CA334" s="106"/>
      <c r="CB334" s="38">
        <f>IF(Ratios!CB$31&lt;$E334, 1, 0)</f>
        <v>1</v>
      </c>
      <c r="CC334" s="38">
        <f>IF(Ratios!CC$31&lt;$E334, 1, 0)</f>
        <v>1</v>
      </c>
      <c r="CD334" s="38">
        <f>IF(Ratios!CD$31&lt;$E334, 1, 0)</f>
        <v>1</v>
      </c>
      <c r="CE334" s="38">
        <f>IF(Ratios!CE$31&lt;$E334, 1, 0)</f>
        <v>1</v>
      </c>
      <c r="CF334" s="38">
        <f>IF(Ratios!CF$31&lt;$E334, 1, 0)</f>
        <v>1</v>
      </c>
      <c r="CG334" s="38">
        <f>IF(Ratios!CG$31&lt;$E334, 1, 0)</f>
        <v>1</v>
      </c>
      <c r="CH334" s="38">
        <f>IF(Ratios!CH$31&lt;$E334, 1, 0)</f>
        <v>1</v>
      </c>
      <c r="CI334" s="38">
        <f>IF(Ratios!CI$31&lt;$E334, 1, 0)</f>
        <v>1</v>
      </c>
      <c r="CK334" s="11"/>
      <c r="CM334" s="11"/>
      <c r="EX334" s="10" t="str">
        <f t="shared" si="210"/>
        <v/>
      </c>
    </row>
    <row r="335" spans="1:154" x14ac:dyDescent="0.35">
      <c r="B335" t="str">
        <f ca="1">Loans!B$27</f>
        <v>Loan 15</v>
      </c>
      <c r="D335" s="51">
        <f>Loans!D$27</f>
        <v>0</v>
      </c>
      <c r="E335" s="10" t="str">
        <f>IF(Loans!P27="", "", Loans!P27)</f>
        <v/>
      </c>
      <c r="V335" s="106"/>
      <c r="W335" s="106"/>
      <c r="X335" s="106"/>
      <c r="Y335" s="106"/>
      <c r="AA335" s="38" t="str">
        <f>IF($E335="", "", IF(Ratios!AA$31&lt;$E335, 1, 0))</f>
        <v/>
      </c>
      <c r="AB335" s="38" t="str">
        <f>IF($E335="", "", IF(Ratios!AB$31&lt;$E335, 1, 0))</f>
        <v/>
      </c>
      <c r="AC335" s="38" t="str">
        <f>IF($E335="", "", IF(Ratios!AC$31&lt;$E335, 1, 0))</f>
        <v/>
      </c>
      <c r="AD335" s="38" t="str">
        <f>IF($E335="", "", IF(Ratios!AD$31&lt;$E335, 1, 0))</f>
        <v/>
      </c>
      <c r="AE335" s="38" t="str">
        <f>IF($E335="", "", IF(Ratios!AE$31&lt;$E335, 1, 0))</f>
        <v/>
      </c>
      <c r="AF335" s="38" t="str">
        <f>IF($E335="", "", IF(Ratios!AF$31&lt;$E335, 1, 0))</f>
        <v/>
      </c>
      <c r="AG335" s="38" t="str">
        <f>IF($E335="", "", IF(Ratios!AG$31&lt;$E335, 1, 0))</f>
        <v/>
      </c>
      <c r="AH335" s="38" t="str">
        <f>IF($E335="", "", IF(Ratios!AH$31&lt;$E335, 1, 0))</f>
        <v/>
      </c>
      <c r="AI335" s="38" t="str">
        <f>IF($E335="", "", IF(Ratios!AI$31&lt;$E335, 1, 0))</f>
        <v/>
      </c>
      <c r="AJ335" s="38" t="str">
        <f>IF($E335="", "", IF(Ratios!AJ$31&lt;$E335, 1, 0))</f>
        <v/>
      </c>
      <c r="AK335" s="38" t="str">
        <f>IF($E335="", "", IF(Ratios!AK$31&lt;$E335, 1, 0))</f>
        <v/>
      </c>
      <c r="AL335" s="38" t="str">
        <f>IF($E335="", "", IF(Ratios!AL$31&lt;$E335, 1, 0))</f>
        <v/>
      </c>
      <c r="AM335" s="38" t="str">
        <f>IF($E335="", "", IF(Ratios!AM$31&lt;$E335, 1, 0))</f>
        <v/>
      </c>
      <c r="AN335" s="38" t="str">
        <f>IF($E335="", "", IF(Ratios!AN$31&lt;$E335, 1, 0))</f>
        <v/>
      </c>
      <c r="AO335" s="38" t="str">
        <f>IF($E335="", "", IF(Ratios!AO$31&lt;$E335, 1, 0))</f>
        <v/>
      </c>
      <c r="AP335" s="38" t="str">
        <f>IF($E335="", "", IF(Ratios!AP$31&lt;$E335, 1, 0))</f>
        <v/>
      </c>
      <c r="AQ335" s="38" t="str">
        <f>IF($E335="", "", IF(Ratios!AQ$31&lt;$E335, 1, 0))</f>
        <v/>
      </c>
      <c r="AR335" s="38" t="str">
        <f>IF($E335="", "", IF(Ratios!AR$31&lt;$E335, 1, 0))</f>
        <v/>
      </c>
      <c r="AS335" s="38" t="str">
        <f>IF($E335="", "", IF(Ratios!AS$31&lt;$E335, 1, 0))</f>
        <v/>
      </c>
      <c r="AT335" s="38" t="str">
        <f>IF($E335="", "", IF(Ratios!AT$31&lt;$E335, 1, 0))</f>
        <v/>
      </c>
      <c r="AU335" s="38" t="str">
        <f>IF($E335="", "", IF(Ratios!AU$31&lt;$E335, 1, 0))</f>
        <v/>
      </c>
      <c r="AV335" s="38" t="str">
        <f>IF($E335="", "", IF(Ratios!AV$31&lt;$E335, 1, 0))</f>
        <v/>
      </c>
      <c r="AW335" s="38" t="str">
        <f>IF($E335="", "", IF(Ratios!AW$31&lt;$E335, 1, 0))</f>
        <v/>
      </c>
      <c r="AX335" s="38" t="str">
        <f>IF($E335="", "", IF(Ratios!AX$31&lt;$E335, 1, 0))</f>
        <v/>
      </c>
      <c r="AY335" s="38" t="str">
        <f>IF($E335="", "", IF(Ratios!AY$31&lt;$E335, 1, 0))</f>
        <v/>
      </c>
      <c r="AZ335" s="38" t="str">
        <f>IF($E335="", "", IF(Ratios!AZ$31&lt;$E335, 1, 0))</f>
        <v/>
      </c>
      <c r="BA335" s="38" t="str">
        <f>IF($E335="", "", IF(Ratios!BA$31&lt;$E335, 1, 0))</f>
        <v/>
      </c>
      <c r="BB335" s="38" t="str">
        <f>IF($E335="", "", IF(Ratios!BB$31&lt;$E335, 1, 0))</f>
        <v/>
      </c>
      <c r="BC335" s="38" t="str">
        <f>IF($E335="", "", IF(Ratios!BC$31&lt;$E335, 1, 0))</f>
        <v/>
      </c>
      <c r="BD335" s="38" t="str">
        <f>IF($E335="", "", IF(Ratios!BD$31&lt;$E335, 1, 0))</f>
        <v/>
      </c>
      <c r="BE335" s="38" t="str">
        <f>IF($E335="", "", IF(Ratios!BE$31&lt;$E335, 1, 0))</f>
        <v/>
      </c>
      <c r="BF335" s="38" t="str">
        <f>IF($E335="", "", IF(Ratios!BF$31&lt;$E335, 1, 0))</f>
        <v/>
      </c>
      <c r="BG335" s="38" t="str">
        <f>IF($E335="", "", IF(Ratios!BG$31&lt;$E335, 1, 0))</f>
        <v/>
      </c>
      <c r="BH335" s="38" t="str">
        <f>IF($E335="", "", IF(Ratios!BH$31&lt;$E335, 1, 0))</f>
        <v/>
      </c>
      <c r="BI335" s="38" t="str">
        <f>IF($E335="", "", IF(Ratios!BI$31&lt;$E335, 1, 0))</f>
        <v/>
      </c>
      <c r="BJ335" s="38" t="str">
        <f>IF($E335="", "", IF(Ratios!BJ$31&lt;$E335, 1, 0))</f>
        <v/>
      </c>
      <c r="BK335" s="106"/>
      <c r="BL335" s="106"/>
      <c r="BM335" s="106"/>
      <c r="BN335" s="106"/>
      <c r="BO335" s="106"/>
      <c r="BP335" s="106"/>
      <c r="BQ335" s="106"/>
      <c r="BR335" s="106"/>
      <c r="BS335" s="106"/>
      <c r="BT335" s="106"/>
      <c r="BU335" s="106"/>
      <c r="BV335" s="106"/>
      <c r="BX335" s="106"/>
      <c r="BY335" s="106"/>
      <c r="BZ335" s="106"/>
      <c r="CA335" s="106"/>
      <c r="CB335" s="38">
        <f>IF(Ratios!CB$31&lt;$E335, 1, 0)</f>
        <v>1</v>
      </c>
      <c r="CC335" s="38">
        <f>IF(Ratios!CC$31&lt;$E335, 1, 0)</f>
        <v>1</v>
      </c>
      <c r="CD335" s="38">
        <f>IF(Ratios!CD$31&lt;$E335, 1, 0)</f>
        <v>1</v>
      </c>
      <c r="CE335" s="38">
        <f>IF(Ratios!CE$31&lt;$E335, 1, 0)</f>
        <v>1</v>
      </c>
      <c r="CF335" s="38">
        <f>IF(Ratios!CF$31&lt;$E335, 1, 0)</f>
        <v>1</v>
      </c>
      <c r="CG335" s="38">
        <f>IF(Ratios!CG$31&lt;$E335, 1, 0)</f>
        <v>1</v>
      </c>
      <c r="CH335" s="38">
        <f>IF(Ratios!CH$31&lt;$E335, 1, 0)</f>
        <v>1</v>
      </c>
      <c r="CI335" s="38">
        <f>IF(Ratios!CI$31&lt;$E335, 1, 0)</f>
        <v>1</v>
      </c>
      <c r="CK335" s="11"/>
      <c r="CM335" s="11"/>
      <c r="EX335" s="10" t="str">
        <f t="shared" si="210"/>
        <v/>
      </c>
    </row>
    <row r="336" spans="1:154" x14ac:dyDescent="0.35">
      <c r="B336" t="str">
        <f ca="1">Loans!B$28</f>
        <v>Loan 16</v>
      </c>
      <c r="D336" s="51">
        <f>Loans!D$28</f>
        <v>0</v>
      </c>
      <c r="E336" s="10" t="str">
        <f>IF(Loans!P28="", "", Loans!P28)</f>
        <v/>
      </c>
      <c r="V336" s="106"/>
      <c r="W336" s="106"/>
      <c r="X336" s="106"/>
      <c r="Y336" s="106"/>
      <c r="AA336" s="38" t="str">
        <f>IF($E336="", "", IF(Ratios!AA$31&lt;$E336, 1, 0))</f>
        <v/>
      </c>
      <c r="AB336" s="38" t="str">
        <f>IF($E336="", "", IF(Ratios!AB$31&lt;$E336, 1, 0))</f>
        <v/>
      </c>
      <c r="AC336" s="38" t="str">
        <f>IF($E336="", "", IF(Ratios!AC$31&lt;$E336, 1, 0))</f>
        <v/>
      </c>
      <c r="AD336" s="38" t="str">
        <f>IF($E336="", "", IF(Ratios!AD$31&lt;$E336, 1, 0))</f>
        <v/>
      </c>
      <c r="AE336" s="38" t="str">
        <f>IF($E336="", "", IF(Ratios!AE$31&lt;$E336, 1, 0))</f>
        <v/>
      </c>
      <c r="AF336" s="38" t="str">
        <f>IF($E336="", "", IF(Ratios!AF$31&lt;$E336, 1, 0))</f>
        <v/>
      </c>
      <c r="AG336" s="38" t="str">
        <f>IF($E336="", "", IF(Ratios!AG$31&lt;$E336, 1, 0))</f>
        <v/>
      </c>
      <c r="AH336" s="38" t="str">
        <f>IF($E336="", "", IF(Ratios!AH$31&lt;$E336, 1, 0))</f>
        <v/>
      </c>
      <c r="AI336" s="38" t="str">
        <f>IF($E336="", "", IF(Ratios!AI$31&lt;$E336, 1, 0))</f>
        <v/>
      </c>
      <c r="AJ336" s="38" t="str">
        <f>IF($E336="", "", IF(Ratios!AJ$31&lt;$E336, 1, 0))</f>
        <v/>
      </c>
      <c r="AK336" s="38" t="str">
        <f>IF($E336="", "", IF(Ratios!AK$31&lt;$E336, 1, 0))</f>
        <v/>
      </c>
      <c r="AL336" s="38" t="str">
        <f>IF($E336="", "", IF(Ratios!AL$31&lt;$E336, 1, 0))</f>
        <v/>
      </c>
      <c r="AM336" s="38" t="str">
        <f>IF($E336="", "", IF(Ratios!AM$31&lt;$E336, 1, 0))</f>
        <v/>
      </c>
      <c r="AN336" s="38" t="str">
        <f>IF($E336="", "", IF(Ratios!AN$31&lt;$E336, 1, 0))</f>
        <v/>
      </c>
      <c r="AO336" s="38" t="str">
        <f>IF($E336="", "", IF(Ratios!AO$31&lt;$E336, 1, 0))</f>
        <v/>
      </c>
      <c r="AP336" s="38" t="str">
        <f>IF($E336="", "", IF(Ratios!AP$31&lt;$E336, 1, 0))</f>
        <v/>
      </c>
      <c r="AQ336" s="38" t="str">
        <f>IF($E336="", "", IF(Ratios!AQ$31&lt;$E336, 1, 0))</f>
        <v/>
      </c>
      <c r="AR336" s="38" t="str">
        <f>IF($E336="", "", IF(Ratios!AR$31&lt;$E336, 1, 0))</f>
        <v/>
      </c>
      <c r="AS336" s="38" t="str">
        <f>IF($E336="", "", IF(Ratios!AS$31&lt;$E336, 1, 0))</f>
        <v/>
      </c>
      <c r="AT336" s="38" t="str">
        <f>IF($E336="", "", IF(Ratios!AT$31&lt;$E336, 1, 0))</f>
        <v/>
      </c>
      <c r="AU336" s="38" t="str">
        <f>IF($E336="", "", IF(Ratios!AU$31&lt;$E336, 1, 0))</f>
        <v/>
      </c>
      <c r="AV336" s="38" t="str">
        <f>IF($E336="", "", IF(Ratios!AV$31&lt;$E336, 1, 0))</f>
        <v/>
      </c>
      <c r="AW336" s="38" t="str">
        <f>IF($E336="", "", IF(Ratios!AW$31&lt;$E336, 1, 0))</f>
        <v/>
      </c>
      <c r="AX336" s="38" t="str">
        <f>IF($E336="", "", IF(Ratios!AX$31&lt;$E336, 1, 0))</f>
        <v/>
      </c>
      <c r="AY336" s="38" t="str">
        <f>IF($E336="", "", IF(Ratios!AY$31&lt;$E336, 1, 0))</f>
        <v/>
      </c>
      <c r="AZ336" s="38" t="str">
        <f>IF($E336="", "", IF(Ratios!AZ$31&lt;$E336, 1, 0))</f>
        <v/>
      </c>
      <c r="BA336" s="38" t="str">
        <f>IF($E336="", "", IF(Ratios!BA$31&lt;$E336, 1, 0))</f>
        <v/>
      </c>
      <c r="BB336" s="38" t="str">
        <f>IF($E336="", "", IF(Ratios!BB$31&lt;$E336, 1, 0))</f>
        <v/>
      </c>
      <c r="BC336" s="38" t="str">
        <f>IF($E336="", "", IF(Ratios!BC$31&lt;$E336, 1, 0))</f>
        <v/>
      </c>
      <c r="BD336" s="38" t="str">
        <f>IF($E336="", "", IF(Ratios!BD$31&lt;$E336, 1, 0))</f>
        <v/>
      </c>
      <c r="BE336" s="38" t="str">
        <f>IF($E336="", "", IF(Ratios!BE$31&lt;$E336, 1, 0))</f>
        <v/>
      </c>
      <c r="BF336" s="38" t="str">
        <f>IF($E336="", "", IF(Ratios!BF$31&lt;$E336, 1, 0))</f>
        <v/>
      </c>
      <c r="BG336" s="38" t="str">
        <f>IF($E336="", "", IF(Ratios!BG$31&lt;$E336, 1, 0))</f>
        <v/>
      </c>
      <c r="BH336" s="38" t="str">
        <f>IF($E336="", "", IF(Ratios!BH$31&lt;$E336, 1, 0))</f>
        <v/>
      </c>
      <c r="BI336" s="38" t="str">
        <f>IF($E336="", "", IF(Ratios!BI$31&lt;$E336, 1, 0))</f>
        <v/>
      </c>
      <c r="BJ336" s="38" t="str">
        <f>IF($E336="", "", IF(Ratios!BJ$31&lt;$E336, 1, 0))</f>
        <v/>
      </c>
      <c r="BK336" s="106"/>
      <c r="BL336" s="106"/>
      <c r="BM336" s="106"/>
      <c r="BN336" s="106"/>
      <c r="BO336" s="106"/>
      <c r="BP336" s="106"/>
      <c r="BQ336" s="106"/>
      <c r="BR336" s="106"/>
      <c r="BS336" s="106"/>
      <c r="BT336" s="106"/>
      <c r="BU336" s="106"/>
      <c r="BV336" s="106"/>
      <c r="BX336" s="106"/>
      <c r="BY336" s="106"/>
      <c r="BZ336" s="106"/>
      <c r="CA336" s="106"/>
      <c r="CB336" s="38">
        <f>IF(Ratios!CB$31&lt;$E336, 1, 0)</f>
        <v>1</v>
      </c>
      <c r="CC336" s="38">
        <f>IF(Ratios!CC$31&lt;$E336, 1, 0)</f>
        <v>1</v>
      </c>
      <c r="CD336" s="38">
        <f>IF(Ratios!CD$31&lt;$E336, 1, 0)</f>
        <v>1</v>
      </c>
      <c r="CE336" s="38">
        <f>IF(Ratios!CE$31&lt;$E336, 1, 0)</f>
        <v>1</v>
      </c>
      <c r="CF336" s="38">
        <f>IF(Ratios!CF$31&lt;$E336, 1, 0)</f>
        <v>1</v>
      </c>
      <c r="CG336" s="38">
        <f>IF(Ratios!CG$31&lt;$E336, 1, 0)</f>
        <v>1</v>
      </c>
      <c r="CH336" s="38">
        <f>IF(Ratios!CH$31&lt;$E336, 1, 0)</f>
        <v>1</v>
      </c>
      <c r="CI336" s="38">
        <f>IF(Ratios!CI$31&lt;$E336, 1, 0)</f>
        <v>1</v>
      </c>
      <c r="CK336" s="11"/>
      <c r="CM336" s="11"/>
      <c r="EX336" s="10" t="str">
        <f t="shared" si="210"/>
        <v/>
      </c>
    </row>
    <row r="337" spans="1:154" x14ac:dyDescent="0.35">
      <c r="B337" t="str">
        <f ca="1">Loans!B$29</f>
        <v>Loan 17</v>
      </c>
      <c r="D337" s="51">
        <f>Loans!D$29</f>
        <v>0</v>
      </c>
      <c r="E337" s="10" t="str">
        <f>IF(Loans!P29="", "", Loans!P29)</f>
        <v/>
      </c>
      <c r="V337" s="106"/>
      <c r="W337" s="106"/>
      <c r="X337" s="106"/>
      <c r="Y337" s="106"/>
      <c r="AA337" s="38" t="str">
        <f>IF($E337="", "", IF(Ratios!AA$31&lt;$E337, 1, 0))</f>
        <v/>
      </c>
      <c r="AB337" s="38" t="str">
        <f>IF($E337="", "", IF(Ratios!AB$31&lt;$E337, 1, 0))</f>
        <v/>
      </c>
      <c r="AC337" s="38" t="str">
        <f>IF($E337="", "", IF(Ratios!AC$31&lt;$E337, 1, 0))</f>
        <v/>
      </c>
      <c r="AD337" s="38" t="str">
        <f>IF($E337="", "", IF(Ratios!AD$31&lt;$E337, 1, 0))</f>
        <v/>
      </c>
      <c r="AE337" s="38" t="str">
        <f>IF($E337="", "", IF(Ratios!AE$31&lt;$E337, 1, 0))</f>
        <v/>
      </c>
      <c r="AF337" s="38" t="str">
        <f>IF($E337="", "", IF(Ratios!AF$31&lt;$E337, 1, 0))</f>
        <v/>
      </c>
      <c r="AG337" s="38" t="str">
        <f>IF($E337="", "", IF(Ratios!AG$31&lt;$E337, 1, 0))</f>
        <v/>
      </c>
      <c r="AH337" s="38" t="str">
        <f>IF($E337="", "", IF(Ratios!AH$31&lt;$E337, 1, 0))</f>
        <v/>
      </c>
      <c r="AI337" s="38" t="str">
        <f>IF($E337="", "", IF(Ratios!AI$31&lt;$E337, 1, 0))</f>
        <v/>
      </c>
      <c r="AJ337" s="38" t="str">
        <f>IF($E337="", "", IF(Ratios!AJ$31&lt;$E337, 1, 0))</f>
        <v/>
      </c>
      <c r="AK337" s="38" t="str">
        <f>IF($E337="", "", IF(Ratios!AK$31&lt;$E337, 1, 0))</f>
        <v/>
      </c>
      <c r="AL337" s="38" t="str">
        <f>IF($E337="", "", IF(Ratios!AL$31&lt;$E337, 1, 0))</f>
        <v/>
      </c>
      <c r="AM337" s="38" t="str">
        <f>IF($E337="", "", IF(Ratios!AM$31&lt;$E337, 1, 0))</f>
        <v/>
      </c>
      <c r="AN337" s="38" t="str">
        <f>IF($E337="", "", IF(Ratios!AN$31&lt;$E337, 1, 0))</f>
        <v/>
      </c>
      <c r="AO337" s="38" t="str">
        <f>IF($E337="", "", IF(Ratios!AO$31&lt;$E337, 1, 0))</f>
        <v/>
      </c>
      <c r="AP337" s="38" t="str">
        <f>IF($E337="", "", IF(Ratios!AP$31&lt;$E337, 1, 0))</f>
        <v/>
      </c>
      <c r="AQ337" s="38" t="str">
        <f>IF($E337="", "", IF(Ratios!AQ$31&lt;$E337, 1, 0))</f>
        <v/>
      </c>
      <c r="AR337" s="38" t="str">
        <f>IF($E337="", "", IF(Ratios!AR$31&lt;$E337, 1, 0))</f>
        <v/>
      </c>
      <c r="AS337" s="38" t="str">
        <f>IF($E337="", "", IF(Ratios!AS$31&lt;$E337, 1, 0))</f>
        <v/>
      </c>
      <c r="AT337" s="38" t="str">
        <f>IF($E337="", "", IF(Ratios!AT$31&lt;$E337, 1, 0))</f>
        <v/>
      </c>
      <c r="AU337" s="38" t="str">
        <f>IF($E337="", "", IF(Ratios!AU$31&lt;$E337, 1, 0))</f>
        <v/>
      </c>
      <c r="AV337" s="38" t="str">
        <f>IF($E337="", "", IF(Ratios!AV$31&lt;$E337, 1, 0))</f>
        <v/>
      </c>
      <c r="AW337" s="38" t="str">
        <f>IF($E337="", "", IF(Ratios!AW$31&lt;$E337, 1, 0))</f>
        <v/>
      </c>
      <c r="AX337" s="38" t="str">
        <f>IF($E337="", "", IF(Ratios!AX$31&lt;$E337, 1, 0))</f>
        <v/>
      </c>
      <c r="AY337" s="38" t="str">
        <f>IF($E337="", "", IF(Ratios!AY$31&lt;$E337, 1, 0))</f>
        <v/>
      </c>
      <c r="AZ337" s="38" t="str">
        <f>IF($E337="", "", IF(Ratios!AZ$31&lt;$E337, 1, 0))</f>
        <v/>
      </c>
      <c r="BA337" s="38" t="str">
        <f>IF($E337="", "", IF(Ratios!BA$31&lt;$E337, 1, 0))</f>
        <v/>
      </c>
      <c r="BB337" s="38" t="str">
        <f>IF($E337="", "", IF(Ratios!BB$31&lt;$E337, 1, 0))</f>
        <v/>
      </c>
      <c r="BC337" s="38" t="str">
        <f>IF($E337="", "", IF(Ratios!BC$31&lt;$E337, 1, 0))</f>
        <v/>
      </c>
      <c r="BD337" s="38" t="str">
        <f>IF($E337="", "", IF(Ratios!BD$31&lt;$E337, 1, 0))</f>
        <v/>
      </c>
      <c r="BE337" s="38" t="str">
        <f>IF($E337="", "", IF(Ratios!BE$31&lt;$E337, 1, 0))</f>
        <v/>
      </c>
      <c r="BF337" s="38" t="str">
        <f>IF($E337="", "", IF(Ratios!BF$31&lt;$E337, 1, 0))</f>
        <v/>
      </c>
      <c r="BG337" s="38" t="str">
        <f>IF($E337="", "", IF(Ratios!BG$31&lt;$E337, 1, 0))</f>
        <v/>
      </c>
      <c r="BH337" s="38" t="str">
        <f>IF($E337="", "", IF(Ratios!BH$31&lt;$E337, 1, 0))</f>
        <v/>
      </c>
      <c r="BI337" s="38" t="str">
        <f>IF($E337="", "", IF(Ratios!BI$31&lt;$E337, 1, 0))</f>
        <v/>
      </c>
      <c r="BJ337" s="38" t="str">
        <f>IF($E337="", "", IF(Ratios!BJ$31&lt;$E337, 1, 0))</f>
        <v/>
      </c>
      <c r="BK337" s="106"/>
      <c r="BL337" s="106"/>
      <c r="BM337" s="106"/>
      <c r="BN337" s="106"/>
      <c r="BO337" s="106"/>
      <c r="BP337" s="106"/>
      <c r="BQ337" s="106"/>
      <c r="BR337" s="106"/>
      <c r="BS337" s="106"/>
      <c r="BT337" s="106"/>
      <c r="BU337" s="106"/>
      <c r="BV337" s="106"/>
      <c r="BX337" s="106"/>
      <c r="BY337" s="106"/>
      <c r="BZ337" s="106"/>
      <c r="CA337" s="106"/>
      <c r="CB337" s="38">
        <f>IF(Ratios!CB$31&lt;$E337, 1, 0)</f>
        <v>1</v>
      </c>
      <c r="CC337" s="38">
        <f>IF(Ratios!CC$31&lt;$E337, 1, 0)</f>
        <v>1</v>
      </c>
      <c r="CD337" s="38">
        <f>IF(Ratios!CD$31&lt;$E337, 1, 0)</f>
        <v>1</v>
      </c>
      <c r="CE337" s="38">
        <f>IF(Ratios!CE$31&lt;$E337, 1, 0)</f>
        <v>1</v>
      </c>
      <c r="CF337" s="38">
        <f>IF(Ratios!CF$31&lt;$E337, 1, 0)</f>
        <v>1</v>
      </c>
      <c r="CG337" s="38">
        <f>IF(Ratios!CG$31&lt;$E337, 1, 0)</f>
        <v>1</v>
      </c>
      <c r="CH337" s="38">
        <f>IF(Ratios!CH$31&lt;$E337, 1, 0)</f>
        <v>1</v>
      </c>
      <c r="CI337" s="38">
        <f>IF(Ratios!CI$31&lt;$E337, 1, 0)</f>
        <v>1</v>
      </c>
      <c r="CK337" s="11"/>
      <c r="CM337" s="11"/>
      <c r="EX337" s="10" t="str">
        <f t="shared" si="210"/>
        <v/>
      </c>
    </row>
    <row r="338" spans="1:154" x14ac:dyDescent="0.35">
      <c r="B338" t="str">
        <f ca="1">Loans!B$30</f>
        <v>Loan 18</v>
      </c>
      <c r="D338" s="51">
        <f>Loans!D$30</f>
        <v>0</v>
      </c>
      <c r="E338" s="10" t="str">
        <f>IF(Loans!P30="", "", Loans!P30)</f>
        <v/>
      </c>
      <c r="V338" s="106"/>
      <c r="W338" s="106"/>
      <c r="X338" s="106"/>
      <c r="Y338" s="106"/>
      <c r="AA338" s="38" t="str">
        <f>IF($E338="", "", IF(Ratios!AA$31&lt;$E338, 1, 0))</f>
        <v/>
      </c>
      <c r="AB338" s="38" t="str">
        <f>IF($E338="", "", IF(Ratios!AB$31&lt;$E338, 1, 0))</f>
        <v/>
      </c>
      <c r="AC338" s="38" t="str">
        <f>IF($E338="", "", IF(Ratios!AC$31&lt;$E338, 1, 0))</f>
        <v/>
      </c>
      <c r="AD338" s="38" t="str">
        <f>IF($E338="", "", IF(Ratios!AD$31&lt;$E338, 1, 0))</f>
        <v/>
      </c>
      <c r="AE338" s="38" t="str">
        <f>IF($E338="", "", IF(Ratios!AE$31&lt;$E338, 1, 0))</f>
        <v/>
      </c>
      <c r="AF338" s="38" t="str">
        <f>IF($E338="", "", IF(Ratios!AF$31&lt;$E338, 1, 0))</f>
        <v/>
      </c>
      <c r="AG338" s="38" t="str">
        <f>IF($E338="", "", IF(Ratios!AG$31&lt;$E338, 1, 0))</f>
        <v/>
      </c>
      <c r="AH338" s="38" t="str">
        <f>IF($E338="", "", IF(Ratios!AH$31&lt;$E338, 1, 0))</f>
        <v/>
      </c>
      <c r="AI338" s="38" t="str">
        <f>IF($E338="", "", IF(Ratios!AI$31&lt;$E338, 1, 0))</f>
        <v/>
      </c>
      <c r="AJ338" s="38" t="str">
        <f>IF($E338="", "", IF(Ratios!AJ$31&lt;$E338, 1, 0))</f>
        <v/>
      </c>
      <c r="AK338" s="38" t="str">
        <f>IF($E338="", "", IF(Ratios!AK$31&lt;$E338, 1, 0))</f>
        <v/>
      </c>
      <c r="AL338" s="38" t="str">
        <f>IF($E338="", "", IF(Ratios!AL$31&lt;$E338, 1, 0))</f>
        <v/>
      </c>
      <c r="AM338" s="38" t="str">
        <f>IF($E338="", "", IF(Ratios!AM$31&lt;$E338, 1, 0))</f>
        <v/>
      </c>
      <c r="AN338" s="38" t="str">
        <f>IF($E338="", "", IF(Ratios!AN$31&lt;$E338, 1, 0))</f>
        <v/>
      </c>
      <c r="AO338" s="38" t="str">
        <f>IF($E338="", "", IF(Ratios!AO$31&lt;$E338, 1, 0))</f>
        <v/>
      </c>
      <c r="AP338" s="38" t="str">
        <f>IF($E338="", "", IF(Ratios!AP$31&lt;$E338, 1, 0))</f>
        <v/>
      </c>
      <c r="AQ338" s="38" t="str">
        <f>IF($E338="", "", IF(Ratios!AQ$31&lt;$E338, 1, 0))</f>
        <v/>
      </c>
      <c r="AR338" s="38" t="str">
        <f>IF($E338="", "", IF(Ratios!AR$31&lt;$E338, 1, 0))</f>
        <v/>
      </c>
      <c r="AS338" s="38" t="str">
        <f>IF($E338="", "", IF(Ratios!AS$31&lt;$E338, 1, 0))</f>
        <v/>
      </c>
      <c r="AT338" s="38" t="str">
        <f>IF($E338="", "", IF(Ratios!AT$31&lt;$E338, 1, 0))</f>
        <v/>
      </c>
      <c r="AU338" s="38" t="str">
        <f>IF($E338="", "", IF(Ratios!AU$31&lt;$E338, 1, 0))</f>
        <v/>
      </c>
      <c r="AV338" s="38" t="str">
        <f>IF($E338="", "", IF(Ratios!AV$31&lt;$E338, 1, 0))</f>
        <v/>
      </c>
      <c r="AW338" s="38" t="str">
        <f>IF($E338="", "", IF(Ratios!AW$31&lt;$E338, 1, 0))</f>
        <v/>
      </c>
      <c r="AX338" s="38" t="str">
        <f>IF($E338="", "", IF(Ratios!AX$31&lt;$E338, 1, 0))</f>
        <v/>
      </c>
      <c r="AY338" s="38" t="str">
        <f>IF($E338="", "", IF(Ratios!AY$31&lt;$E338, 1, 0))</f>
        <v/>
      </c>
      <c r="AZ338" s="38" t="str">
        <f>IF($E338="", "", IF(Ratios!AZ$31&lt;$E338, 1, 0))</f>
        <v/>
      </c>
      <c r="BA338" s="38" t="str">
        <f>IF($E338="", "", IF(Ratios!BA$31&lt;$E338, 1, 0))</f>
        <v/>
      </c>
      <c r="BB338" s="38" t="str">
        <f>IF($E338="", "", IF(Ratios!BB$31&lt;$E338, 1, 0))</f>
        <v/>
      </c>
      <c r="BC338" s="38" t="str">
        <f>IF($E338="", "", IF(Ratios!BC$31&lt;$E338, 1, 0))</f>
        <v/>
      </c>
      <c r="BD338" s="38" t="str">
        <f>IF($E338="", "", IF(Ratios!BD$31&lt;$E338, 1, 0))</f>
        <v/>
      </c>
      <c r="BE338" s="38" t="str">
        <f>IF($E338="", "", IF(Ratios!BE$31&lt;$E338, 1, 0))</f>
        <v/>
      </c>
      <c r="BF338" s="38" t="str">
        <f>IF($E338="", "", IF(Ratios!BF$31&lt;$E338, 1, 0))</f>
        <v/>
      </c>
      <c r="BG338" s="38" t="str">
        <f>IF($E338="", "", IF(Ratios!BG$31&lt;$E338, 1, 0))</f>
        <v/>
      </c>
      <c r="BH338" s="38" t="str">
        <f>IF($E338="", "", IF(Ratios!BH$31&lt;$E338, 1, 0))</f>
        <v/>
      </c>
      <c r="BI338" s="38" t="str">
        <f>IF($E338="", "", IF(Ratios!BI$31&lt;$E338, 1, 0))</f>
        <v/>
      </c>
      <c r="BJ338" s="38" t="str">
        <f>IF($E338="", "", IF(Ratios!BJ$31&lt;$E338, 1, 0))</f>
        <v/>
      </c>
      <c r="BK338" s="106"/>
      <c r="BL338" s="106"/>
      <c r="BM338" s="106"/>
      <c r="BN338" s="106"/>
      <c r="BO338" s="106"/>
      <c r="BP338" s="106"/>
      <c r="BQ338" s="106"/>
      <c r="BR338" s="106"/>
      <c r="BS338" s="106"/>
      <c r="BT338" s="106"/>
      <c r="BU338" s="106"/>
      <c r="BV338" s="106"/>
      <c r="BX338" s="106"/>
      <c r="BY338" s="106"/>
      <c r="BZ338" s="106"/>
      <c r="CA338" s="106"/>
      <c r="CB338" s="38">
        <f>IF(Ratios!CB$31&lt;$E338, 1, 0)</f>
        <v>1</v>
      </c>
      <c r="CC338" s="38">
        <f>IF(Ratios!CC$31&lt;$E338, 1, 0)</f>
        <v>1</v>
      </c>
      <c r="CD338" s="38">
        <f>IF(Ratios!CD$31&lt;$E338, 1, 0)</f>
        <v>1</v>
      </c>
      <c r="CE338" s="38">
        <f>IF(Ratios!CE$31&lt;$E338, 1, 0)</f>
        <v>1</v>
      </c>
      <c r="CF338" s="38">
        <f>IF(Ratios!CF$31&lt;$E338, 1, 0)</f>
        <v>1</v>
      </c>
      <c r="CG338" s="38">
        <f>IF(Ratios!CG$31&lt;$E338, 1, 0)</f>
        <v>1</v>
      </c>
      <c r="CH338" s="38">
        <f>IF(Ratios!CH$31&lt;$E338, 1, 0)</f>
        <v>1</v>
      </c>
      <c r="CI338" s="38">
        <f>IF(Ratios!CI$31&lt;$E338, 1, 0)</f>
        <v>1</v>
      </c>
      <c r="CK338" s="11"/>
      <c r="CM338" s="11"/>
      <c r="EX338" s="10" t="str">
        <f t="shared" si="210"/>
        <v/>
      </c>
    </row>
    <row r="339" spans="1:154" x14ac:dyDescent="0.35">
      <c r="B339" t="str">
        <f ca="1">Loans!B$31</f>
        <v>Loan 19</v>
      </c>
      <c r="D339" s="51">
        <f>Loans!D$31</f>
        <v>0</v>
      </c>
      <c r="E339" s="10" t="str">
        <f>IF(Loans!P31="", "", Loans!P31)</f>
        <v/>
      </c>
      <c r="V339" s="106"/>
      <c r="W339" s="106"/>
      <c r="X339" s="106"/>
      <c r="Y339" s="106"/>
      <c r="AA339" s="38" t="str">
        <f>IF($E339="", "", IF(Ratios!AA$31&lt;$E339, 1, 0))</f>
        <v/>
      </c>
      <c r="AB339" s="38" t="str">
        <f>IF($E339="", "", IF(Ratios!AB$31&lt;$E339, 1, 0))</f>
        <v/>
      </c>
      <c r="AC339" s="38" t="str">
        <f>IF($E339="", "", IF(Ratios!AC$31&lt;$E339, 1, 0))</f>
        <v/>
      </c>
      <c r="AD339" s="38" t="str">
        <f>IF($E339="", "", IF(Ratios!AD$31&lt;$E339, 1, 0))</f>
        <v/>
      </c>
      <c r="AE339" s="38" t="str">
        <f>IF($E339="", "", IF(Ratios!AE$31&lt;$E339, 1, 0))</f>
        <v/>
      </c>
      <c r="AF339" s="38" t="str">
        <f>IF($E339="", "", IF(Ratios!AF$31&lt;$E339, 1, 0))</f>
        <v/>
      </c>
      <c r="AG339" s="38" t="str">
        <f>IF($E339="", "", IF(Ratios!AG$31&lt;$E339, 1, 0))</f>
        <v/>
      </c>
      <c r="AH339" s="38" t="str">
        <f>IF($E339="", "", IF(Ratios!AH$31&lt;$E339, 1, 0))</f>
        <v/>
      </c>
      <c r="AI339" s="38" t="str">
        <f>IF($E339="", "", IF(Ratios!AI$31&lt;$E339, 1, 0))</f>
        <v/>
      </c>
      <c r="AJ339" s="38" t="str">
        <f>IF($E339="", "", IF(Ratios!AJ$31&lt;$E339, 1, 0))</f>
        <v/>
      </c>
      <c r="AK339" s="38" t="str">
        <f>IF($E339="", "", IF(Ratios!AK$31&lt;$E339, 1, 0))</f>
        <v/>
      </c>
      <c r="AL339" s="38" t="str">
        <f>IF($E339="", "", IF(Ratios!AL$31&lt;$E339, 1, 0))</f>
        <v/>
      </c>
      <c r="AM339" s="38" t="str">
        <f>IF($E339="", "", IF(Ratios!AM$31&lt;$E339, 1, 0))</f>
        <v/>
      </c>
      <c r="AN339" s="38" t="str">
        <f>IF($E339="", "", IF(Ratios!AN$31&lt;$E339, 1, 0))</f>
        <v/>
      </c>
      <c r="AO339" s="38" t="str">
        <f>IF($E339="", "", IF(Ratios!AO$31&lt;$E339, 1, 0))</f>
        <v/>
      </c>
      <c r="AP339" s="38" t="str">
        <f>IF($E339="", "", IF(Ratios!AP$31&lt;$E339, 1, 0))</f>
        <v/>
      </c>
      <c r="AQ339" s="38" t="str">
        <f>IF($E339="", "", IF(Ratios!AQ$31&lt;$E339, 1, 0))</f>
        <v/>
      </c>
      <c r="AR339" s="38" t="str">
        <f>IF($E339="", "", IF(Ratios!AR$31&lt;$E339, 1, 0))</f>
        <v/>
      </c>
      <c r="AS339" s="38" t="str">
        <f>IF($E339="", "", IF(Ratios!AS$31&lt;$E339, 1, 0))</f>
        <v/>
      </c>
      <c r="AT339" s="38" t="str">
        <f>IF($E339="", "", IF(Ratios!AT$31&lt;$E339, 1, 0))</f>
        <v/>
      </c>
      <c r="AU339" s="38" t="str">
        <f>IF($E339="", "", IF(Ratios!AU$31&lt;$E339, 1, 0))</f>
        <v/>
      </c>
      <c r="AV339" s="38" t="str">
        <f>IF($E339="", "", IF(Ratios!AV$31&lt;$E339, 1, 0))</f>
        <v/>
      </c>
      <c r="AW339" s="38" t="str">
        <f>IF($E339="", "", IF(Ratios!AW$31&lt;$E339, 1, 0))</f>
        <v/>
      </c>
      <c r="AX339" s="38" t="str">
        <f>IF($E339="", "", IF(Ratios!AX$31&lt;$E339, 1, 0))</f>
        <v/>
      </c>
      <c r="AY339" s="38" t="str">
        <f>IF($E339="", "", IF(Ratios!AY$31&lt;$E339, 1, 0))</f>
        <v/>
      </c>
      <c r="AZ339" s="38" t="str">
        <f>IF($E339="", "", IF(Ratios!AZ$31&lt;$E339, 1, 0))</f>
        <v/>
      </c>
      <c r="BA339" s="38" t="str">
        <f>IF($E339="", "", IF(Ratios!BA$31&lt;$E339, 1, 0))</f>
        <v/>
      </c>
      <c r="BB339" s="38" t="str">
        <f>IF($E339="", "", IF(Ratios!BB$31&lt;$E339, 1, 0))</f>
        <v/>
      </c>
      <c r="BC339" s="38" t="str">
        <f>IF($E339="", "", IF(Ratios!BC$31&lt;$E339, 1, 0))</f>
        <v/>
      </c>
      <c r="BD339" s="38" t="str">
        <f>IF($E339="", "", IF(Ratios!BD$31&lt;$E339, 1, 0))</f>
        <v/>
      </c>
      <c r="BE339" s="38" t="str">
        <f>IF($E339="", "", IF(Ratios!BE$31&lt;$E339, 1, 0))</f>
        <v/>
      </c>
      <c r="BF339" s="38" t="str">
        <f>IF($E339="", "", IF(Ratios!BF$31&lt;$E339, 1, 0))</f>
        <v/>
      </c>
      <c r="BG339" s="38" t="str">
        <f>IF($E339="", "", IF(Ratios!BG$31&lt;$E339, 1, 0))</f>
        <v/>
      </c>
      <c r="BH339" s="38" t="str">
        <f>IF($E339="", "", IF(Ratios!BH$31&lt;$E339, 1, 0))</f>
        <v/>
      </c>
      <c r="BI339" s="38" t="str">
        <f>IF($E339="", "", IF(Ratios!BI$31&lt;$E339, 1, 0))</f>
        <v/>
      </c>
      <c r="BJ339" s="38" t="str">
        <f>IF($E339="", "", IF(Ratios!BJ$31&lt;$E339, 1, 0))</f>
        <v/>
      </c>
      <c r="BK339" s="106"/>
      <c r="BL339" s="106"/>
      <c r="BM339" s="106"/>
      <c r="BN339" s="106"/>
      <c r="BO339" s="106"/>
      <c r="BP339" s="106"/>
      <c r="BQ339" s="106"/>
      <c r="BR339" s="106"/>
      <c r="BS339" s="106"/>
      <c r="BT339" s="106"/>
      <c r="BU339" s="106"/>
      <c r="BV339" s="106"/>
      <c r="BX339" s="106"/>
      <c r="BY339" s="106"/>
      <c r="BZ339" s="106"/>
      <c r="CA339" s="106"/>
      <c r="CB339" s="38">
        <f>IF(Ratios!CB$31&lt;$E339, 1, 0)</f>
        <v>1</v>
      </c>
      <c r="CC339" s="38">
        <f>IF(Ratios!CC$31&lt;$E339, 1, 0)</f>
        <v>1</v>
      </c>
      <c r="CD339" s="38">
        <f>IF(Ratios!CD$31&lt;$E339, 1, 0)</f>
        <v>1</v>
      </c>
      <c r="CE339" s="38">
        <f>IF(Ratios!CE$31&lt;$E339, 1, 0)</f>
        <v>1</v>
      </c>
      <c r="CF339" s="38">
        <f>IF(Ratios!CF$31&lt;$E339, 1, 0)</f>
        <v>1</v>
      </c>
      <c r="CG339" s="38">
        <f>IF(Ratios!CG$31&lt;$E339, 1, 0)</f>
        <v>1</v>
      </c>
      <c r="CH339" s="38">
        <f>IF(Ratios!CH$31&lt;$E339, 1, 0)</f>
        <v>1</v>
      </c>
      <c r="CI339" s="38">
        <f>IF(Ratios!CI$31&lt;$E339, 1, 0)</f>
        <v>1</v>
      </c>
      <c r="CK339" s="11"/>
      <c r="CM339" s="11"/>
      <c r="EX339" s="10" t="str">
        <f t="shared" si="210"/>
        <v/>
      </c>
    </row>
    <row r="340" spans="1:154" x14ac:dyDescent="0.35">
      <c r="B340" t="str">
        <f ca="1">Loans!B$32</f>
        <v>Loan 20</v>
      </c>
      <c r="D340" s="51">
        <f>Loans!D$32</f>
        <v>0</v>
      </c>
      <c r="E340" s="10" t="str">
        <f>IF(Loans!P32="", "", Loans!P32)</f>
        <v/>
      </c>
      <c r="V340" s="106"/>
      <c r="W340" s="106"/>
      <c r="X340" s="106"/>
      <c r="Y340" s="106"/>
      <c r="AA340" s="38" t="str">
        <f>IF($E340="", "", IF(Ratios!AA$31&lt;$E340, 1, 0))</f>
        <v/>
      </c>
      <c r="AB340" s="38" t="str">
        <f>IF($E340="", "", IF(Ratios!AB$31&lt;$E340, 1, 0))</f>
        <v/>
      </c>
      <c r="AC340" s="38" t="str">
        <f>IF($E340="", "", IF(Ratios!AC$31&lt;$E340, 1, 0))</f>
        <v/>
      </c>
      <c r="AD340" s="38" t="str">
        <f>IF($E340="", "", IF(Ratios!AD$31&lt;$E340, 1, 0))</f>
        <v/>
      </c>
      <c r="AE340" s="38" t="str">
        <f>IF($E340="", "", IF(Ratios!AE$31&lt;$E340, 1, 0))</f>
        <v/>
      </c>
      <c r="AF340" s="38" t="str">
        <f>IF($E340="", "", IF(Ratios!AF$31&lt;$E340, 1, 0))</f>
        <v/>
      </c>
      <c r="AG340" s="38" t="str">
        <f>IF($E340="", "", IF(Ratios!AG$31&lt;$E340, 1, 0))</f>
        <v/>
      </c>
      <c r="AH340" s="38" t="str">
        <f>IF($E340="", "", IF(Ratios!AH$31&lt;$E340, 1, 0))</f>
        <v/>
      </c>
      <c r="AI340" s="38" t="str">
        <f>IF($E340="", "", IF(Ratios!AI$31&lt;$E340, 1, 0))</f>
        <v/>
      </c>
      <c r="AJ340" s="38" t="str">
        <f>IF($E340="", "", IF(Ratios!AJ$31&lt;$E340, 1, 0))</f>
        <v/>
      </c>
      <c r="AK340" s="38" t="str">
        <f>IF($E340="", "", IF(Ratios!AK$31&lt;$E340, 1, 0))</f>
        <v/>
      </c>
      <c r="AL340" s="38" t="str">
        <f>IF($E340="", "", IF(Ratios!AL$31&lt;$E340, 1, 0))</f>
        <v/>
      </c>
      <c r="AM340" s="38" t="str">
        <f>IF($E340="", "", IF(Ratios!AM$31&lt;$E340, 1, 0))</f>
        <v/>
      </c>
      <c r="AN340" s="38" t="str">
        <f>IF($E340="", "", IF(Ratios!AN$31&lt;$E340, 1, 0))</f>
        <v/>
      </c>
      <c r="AO340" s="38" t="str">
        <f>IF($E340="", "", IF(Ratios!AO$31&lt;$E340, 1, 0))</f>
        <v/>
      </c>
      <c r="AP340" s="38" t="str">
        <f>IF($E340="", "", IF(Ratios!AP$31&lt;$E340, 1, 0))</f>
        <v/>
      </c>
      <c r="AQ340" s="38" t="str">
        <f>IF($E340="", "", IF(Ratios!AQ$31&lt;$E340, 1, 0))</f>
        <v/>
      </c>
      <c r="AR340" s="38" t="str">
        <f>IF($E340="", "", IF(Ratios!AR$31&lt;$E340, 1, 0))</f>
        <v/>
      </c>
      <c r="AS340" s="38" t="str">
        <f>IF($E340="", "", IF(Ratios!AS$31&lt;$E340, 1, 0))</f>
        <v/>
      </c>
      <c r="AT340" s="38" t="str">
        <f>IF($E340="", "", IF(Ratios!AT$31&lt;$E340, 1, 0))</f>
        <v/>
      </c>
      <c r="AU340" s="38" t="str">
        <f>IF($E340="", "", IF(Ratios!AU$31&lt;$E340, 1, 0))</f>
        <v/>
      </c>
      <c r="AV340" s="38" t="str">
        <f>IF($E340="", "", IF(Ratios!AV$31&lt;$E340, 1, 0))</f>
        <v/>
      </c>
      <c r="AW340" s="38" t="str">
        <f>IF($E340="", "", IF(Ratios!AW$31&lt;$E340, 1, 0))</f>
        <v/>
      </c>
      <c r="AX340" s="38" t="str">
        <f>IF($E340="", "", IF(Ratios!AX$31&lt;$E340, 1, 0))</f>
        <v/>
      </c>
      <c r="AY340" s="38" t="str">
        <f>IF($E340="", "", IF(Ratios!AY$31&lt;$E340, 1, 0))</f>
        <v/>
      </c>
      <c r="AZ340" s="38" t="str">
        <f>IF($E340="", "", IF(Ratios!AZ$31&lt;$E340, 1, 0))</f>
        <v/>
      </c>
      <c r="BA340" s="38" t="str">
        <f>IF($E340="", "", IF(Ratios!BA$31&lt;$E340, 1, 0))</f>
        <v/>
      </c>
      <c r="BB340" s="38" t="str">
        <f>IF($E340="", "", IF(Ratios!BB$31&lt;$E340, 1, 0))</f>
        <v/>
      </c>
      <c r="BC340" s="38" t="str">
        <f>IF($E340="", "", IF(Ratios!BC$31&lt;$E340, 1, 0))</f>
        <v/>
      </c>
      <c r="BD340" s="38" t="str">
        <f>IF($E340="", "", IF(Ratios!BD$31&lt;$E340, 1, 0))</f>
        <v/>
      </c>
      <c r="BE340" s="38" t="str">
        <f>IF($E340="", "", IF(Ratios!BE$31&lt;$E340, 1, 0))</f>
        <v/>
      </c>
      <c r="BF340" s="38" t="str">
        <f>IF($E340="", "", IF(Ratios!BF$31&lt;$E340, 1, 0))</f>
        <v/>
      </c>
      <c r="BG340" s="38" t="str">
        <f>IF($E340="", "", IF(Ratios!BG$31&lt;$E340, 1, 0))</f>
        <v/>
      </c>
      <c r="BH340" s="38" t="str">
        <f>IF($E340="", "", IF(Ratios!BH$31&lt;$E340, 1, 0))</f>
        <v/>
      </c>
      <c r="BI340" s="38" t="str">
        <f>IF($E340="", "", IF(Ratios!BI$31&lt;$E340, 1, 0))</f>
        <v/>
      </c>
      <c r="BJ340" s="38" t="str">
        <f>IF($E340="", "", IF(Ratios!BJ$31&lt;$E340, 1, 0))</f>
        <v/>
      </c>
      <c r="BK340" s="106"/>
      <c r="BL340" s="106"/>
      <c r="BM340" s="106"/>
      <c r="BN340" s="106"/>
      <c r="BO340" s="106"/>
      <c r="BP340" s="106"/>
      <c r="BQ340" s="106"/>
      <c r="BR340" s="106"/>
      <c r="BS340" s="106"/>
      <c r="BT340" s="106"/>
      <c r="BU340" s="106"/>
      <c r="BV340" s="106"/>
      <c r="BX340" s="106"/>
      <c r="BY340" s="106"/>
      <c r="BZ340" s="106"/>
      <c r="CA340" s="106"/>
      <c r="CB340" s="38">
        <f>IF(Ratios!CB$31&lt;$E340, 1, 0)</f>
        <v>1</v>
      </c>
      <c r="CC340" s="38">
        <f>IF(Ratios!CC$31&lt;$E340, 1, 0)</f>
        <v>1</v>
      </c>
      <c r="CD340" s="38">
        <f>IF(Ratios!CD$31&lt;$E340, 1, 0)</f>
        <v>1</v>
      </c>
      <c r="CE340" s="38">
        <f>IF(Ratios!CE$31&lt;$E340, 1, 0)</f>
        <v>1</v>
      </c>
      <c r="CF340" s="38">
        <f>IF(Ratios!CF$31&lt;$E340, 1, 0)</f>
        <v>1</v>
      </c>
      <c r="CG340" s="38">
        <f>IF(Ratios!CG$31&lt;$E340, 1, 0)</f>
        <v>1</v>
      </c>
      <c r="CH340" s="38">
        <f>IF(Ratios!CH$31&lt;$E340, 1, 0)</f>
        <v>1</v>
      </c>
      <c r="CI340" s="38">
        <f>IF(Ratios!CI$31&lt;$E340, 1, 0)</f>
        <v>1</v>
      </c>
      <c r="CK340" s="11"/>
      <c r="CM340" s="11"/>
      <c r="EX340" s="10" t="str">
        <f t="shared" si="210"/>
        <v/>
      </c>
    </row>
    <row r="341" spans="1:154" ht="6.75" customHeight="1" x14ac:dyDescent="0.35">
      <c r="D341" s="1"/>
      <c r="E341"/>
      <c r="BY341" s="6"/>
      <c r="CK341" s="35"/>
      <c r="CM341" s="35"/>
      <c r="EX341" s="10" t="str">
        <f t="shared" si="210"/>
        <v/>
      </c>
    </row>
    <row r="342" spans="1:154" x14ac:dyDescent="0.35">
      <c r="D342" s="5" t="s">
        <v>1947</v>
      </c>
      <c r="E342"/>
      <c r="CK342" s="11"/>
      <c r="CM342" s="11"/>
      <c r="EX342" s="10" t="str">
        <f t="shared" si="210"/>
        <v/>
      </c>
    </row>
    <row r="343" spans="1:154" ht="43.5" x14ac:dyDescent="0.35">
      <c r="B343" s="5"/>
      <c r="D343" s="107" t="str">
        <f>Loans!D$11</f>
        <v>Lender</v>
      </c>
      <c r="E343" s="248" t="s">
        <v>1029</v>
      </c>
      <c r="CK343" s="11"/>
      <c r="CM343" s="11"/>
      <c r="EX343" s="10" t="str">
        <f t="shared" si="210"/>
        <v/>
      </c>
    </row>
    <row r="344" spans="1:154" x14ac:dyDescent="0.35">
      <c r="B344" t="str">
        <f ca="1">Loans!B$13</f>
        <v>Loan 1</v>
      </c>
      <c r="D344" s="51">
        <f>Loans!D$13</f>
        <v>0</v>
      </c>
      <c r="E344" s="32" t="str">
        <f>IF(Loans!N13="", "", Loans!N13)</f>
        <v/>
      </c>
      <c r="V344" s="106"/>
      <c r="W344" s="106"/>
      <c r="X344" s="106"/>
      <c r="Y344" s="106"/>
      <c r="AA344" s="38">
        <f t="shared" ref="AA344:AJ353" si="211">IF($E344="", 0, IF(AND($E344&gt;=AA$8, $E344&lt;=AA$5), 1, 0))</f>
        <v>0</v>
      </c>
      <c r="AB344" s="38">
        <f t="shared" si="211"/>
        <v>0</v>
      </c>
      <c r="AC344" s="38">
        <f t="shared" si="211"/>
        <v>0</v>
      </c>
      <c r="AD344" s="38">
        <f t="shared" si="211"/>
        <v>0</v>
      </c>
      <c r="AE344" s="38">
        <f t="shared" si="211"/>
        <v>0</v>
      </c>
      <c r="AF344" s="38">
        <f t="shared" si="211"/>
        <v>0</v>
      </c>
      <c r="AG344" s="38">
        <f t="shared" si="211"/>
        <v>0</v>
      </c>
      <c r="AH344" s="38">
        <f t="shared" si="211"/>
        <v>0</v>
      </c>
      <c r="AI344" s="38">
        <f t="shared" si="211"/>
        <v>0</v>
      </c>
      <c r="AJ344" s="38">
        <f t="shared" si="211"/>
        <v>0</v>
      </c>
      <c r="AK344" s="38">
        <f t="shared" ref="AK344:AY353" si="212">IF($E344="", 0, IF(AND($E344&gt;=AK$8, $E344&lt;=AK$5), 1, 0))</f>
        <v>0</v>
      </c>
      <c r="AL344" s="38">
        <f t="shared" si="212"/>
        <v>0</v>
      </c>
      <c r="AM344" s="38">
        <f t="shared" si="212"/>
        <v>0</v>
      </c>
      <c r="AN344" s="38">
        <f t="shared" si="212"/>
        <v>0</v>
      </c>
      <c r="AO344" s="38">
        <f t="shared" si="212"/>
        <v>0</v>
      </c>
      <c r="AP344" s="38">
        <f t="shared" si="212"/>
        <v>0</v>
      </c>
      <c r="AQ344" s="38">
        <f t="shared" si="212"/>
        <v>0</v>
      </c>
      <c r="AR344" s="38">
        <f t="shared" si="212"/>
        <v>0</v>
      </c>
      <c r="AS344" s="38">
        <f t="shared" si="212"/>
        <v>0</v>
      </c>
      <c r="AT344" s="38">
        <f t="shared" si="212"/>
        <v>0</v>
      </c>
      <c r="AU344" s="38">
        <f t="shared" si="212"/>
        <v>0</v>
      </c>
      <c r="AV344" s="38">
        <f t="shared" si="212"/>
        <v>0</v>
      </c>
      <c r="AW344" s="38">
        <f t="shared" si="212"/>
        <v>0</v>
      </c>
      <c r="AX344" s="38">
        <f t="shared" si="212"/>
        <v>0</v>
      </c>
      <c r="AY344" s="38">
        <f t="shared" si="212"/>
        <v>0</v>
      </c>
      <c r="AZ344" s="38">
        <f>IF($E344="", 0, IF($E344&gt;=AZ$8, 1, 0))</f>
        <v>0</v>
      </c>
      <c r="BA344" s="38">
        <f>IF($E344="", 0, IF($E344&gt;=BA$8, 1, 0))</f>
        <v>0</v>
      </c>
      <c r="BB344" s="38">
        <f>IF($E344="", 0, IF($E344&gt;=BB$8, 1, 0))</f>
        <v>0</v>
      </c>
      <c r="BC344" s="38">
        <f t="shared" ref="BC344:BL353" si="213">IF($E344="", 0, IF(AND($E344&gt;=BC$8, $E344&lt;=BC$5), 1, 0))</f>
        <v>0</v>
      </c>
      <c r="BD344" s="38">
        <f t="shared" si="213"/>
        <v>0</v>
      </c>
      <c r="BE344" s="38">
        <f t="shared" si="213"/>
        <v>0</v>
      </c>
      <c r="BF344" s="38">
        <f t="shared" si="213"/>
        <v>0</v>
      </c>
      <c r="BG344" s="38">
        <f t="shared" si="213"/>
        <v>0</v>
      </c>
      <c r="BH344" s="38">
        <f t="shared" si="213"/>
        <v>0</v>
      </c>
      <c r="BI344" s="38">
        <f t="shared" si="213"/>
        <v>0</v>
      </c>
      <c r="BJ344" s="38">
        <f t="shared" si="213"/>
        <v>0</v>
      </c>
      <c r="BK344" s="38">
        <f t="shared" si="213"/>
        <v>0</v>
      </c>
      <c r="BL344" s="38">
        <f t="shared" si="213"/>
        <v>0</v>
      </c>
      <c r="BM344" s="38">
        <f t="shared" ref="BM344:BV353" si="214">IF($E344="", 0, IF(AND($E344&gt;=BM$8, $E344&lt;=BM$5), 1, 0))</f>
        <v>0</v>
      </c>
      <c r="BN344" s="38">
        <f t="shared" si="214"/>
        <v>0</v>
      </c>
      <c r="BO344" s="38">
        <f t="shared" si="214"/>
        <v>0</v>
      </c>
      <c r="BP344" s="38">
        <f t="shared" si="214"/>
        <v>0</v>
      </c>
      <c r="BQ344" s="38">
        <f t="shared" si="214"/>
        <v>0</v>
      </c>
      <c r="BR344" s="38">
        <f t="shared" si="214"/>
        <v>0</v>
      </c>
      <c r="BS344" s="38">
        <f t="shared" si="214"/>
        <v>0</v>
      </c>
      <c r="BT344" s="38">
        <f t="shared" si="214"/>
        <v>0</v>
      </c>
      <c r="BU344" s="38">
        <f t="shared" si="214"/>
        <v>0</v>
      </c>
      <c r="BV344" s="38">
        <f t="shared" si="214"/>
        <v>0</v>
      </c>
      <c r="BX344" s="106"/>
      <c r="BY344" s="106"/>
      <c r="BZ344" s="106"/>
      <c r="CA344" s="106"/>
      <c r="CB344" s="38">
        <f>IF('Fin Stat'!CB$212&lt;$E344, 1, 0)</f>
        <v>1</v>
      </c>
      <c r="CC344" s="38">
        <f>IF('Fin Stat'!CC$212&lt;$E344, 1, 0)</f>
        <v>1</v>
      </c>
      <c r="CD344" s="38">
        <f>IF('Fin Stat'!CD$212&lt;$E344, 1, 0)</f>
        <v>1</v>
      </c>
      <c r="CE344" s="38">
        <f>IF('Fin Stat'!CE$212&lt;$E344, 1, 0)</f>
        <v>1</v>
      </c>
      <c r="CF344" s="38">
        <f>IF('Fin Stat'!CF$212&lt;$E344, 1, 0)</f>
        <v>1</v>
      </c>
      <c r="CG344" s="38">
        <f>IF('Fin Stat'!CG$212&lt;$E344, 1, 0)</f>
        <v>1</v>
      </c>
      <c r="CH344" s="38">
        <f>IF('Fin Stat'!CH$212&lt;$E344, 1, 0)</f>
        <v>1</v>
      </c>
      <c r="CI344" s="38">
        <f>IF('Fin Stat'!CI$212&lt;$E344, 1, 0)</f>
        <v>1</v>
      </c>
      <c r="CK344" s="11"/>
      <c r="CM344" s="11"/>
      <c r="EX344" s="10" t="str">
        <f t="shared" si="210"/>
        <v/>
      </c>
    </row>
    <row r="345" spans="1:154" x14ac:dyDescent="0.35">
      <c r="B345" t="str">
        <f ca="1">Loans!B$14</f>
        <v>Loan 2</v>
      </c>
      <c r="D345" s="51">
        <f>Loans!D$14</f>
        <v>0</v>
      </c>
      <c r="E345" s="32" t="str">
        <f>IF(Loans!N14="", "", Loans!N14)</f>
        <v/>
      </c>
      <c r="V345" s="106"/>
      <c r="W345" s="106"/>
      <c r="X345" s="106"/>
      <c r="Y345" s="106"/>
      <c r="AA345" s="38">
        <f t="shared" si="211"/>
        <v>0</v>
      </c>
      <c r="AB345" s="38">
        <f t="shared" si="211"/>
        <v>0</v>
      </c>
      <c r="AC345" s="38">
        <f t="shared" si="211"/>
        <v>0</v>
      </c>
      <c r="AD345" s="38">
        <f t="shared" si="211"/>
        <v>0</v>
      </c>
      <c r="AE345" s="38">
        <f t="shared" si="211"/>
        <v>0</v>
      </c>
      <c r="AF345" s="38">
        <f t="shared" si="211"/>
        <v>0</v>
      </c>
      <c r="AG345" s="38">
        <f t="shared" si="211"/>
        <v>0</v>
      </c>
      <c r="AH345" s="38">
        <f t="shared" si="211"/>
        <v>0</v>
      </c>
      <c r="AI345" s="38">
        <f t="shared" si="211"/>
        <v>0</v>
      </c>
      <c r="AJ345" s="38">
        <f t="shared" si="211"/>
        <v>0</v>
      </c>
      <c r="AK345" s="38">
        <f t="shared" si="212"/>
        <v>0</v>
      </c>
      <c r="AL345" s="38">
        <f t="shared" si="212"/>
        <v>0</v>
      </c>
      <c r="AM345" s="38">
        <f t="shared" si="212"/>
        <v>0</v>
      </c>
      <c r="AN345" s="38">
        <f t="shared" si="212"/>
        <v>0</v>
      </c>
      <c r="AO345" s="38">
        <f t="shared" si="212"/>
        <v>0</v>
      </c>
      <c r="AP345" s="38">
        <f t="shared" si="212"/>
        <v>0</v>
      </c>
      <c r="AQ345" s="38">
        <f t="shared" si="212"/>
        <v>0</v>
      </c>
      <c r="AR345" s="38">
        <f t="shared" si="212"/>
        <v>0</v>
      </c>
      <c r="AS345" s="38">
        <f t="shared" si="212"/>
        <v>0</v>
      </c>
      <c r="AT345" s="38">
        <f t="shared" si="212"/>
        <v>0</v>
      </c>
      <c r="AU345" s="38">
        <f t="shared" si="212"/>
        <v>0</v>
      </c>
      <c r="AV345" s="38">
        <f t="shared" si="212"/>
        <v>0</v>
      </c>
      <c r="AW345" s="38">
        <f t="shared" si="212"/>
        <v>0</v>
      </c>
      <c r="AX345" s="38">
        <f t="shared" si="212"/>
        <v>0</v>
      </c>
      <c r="AY345" s="38">
        <f t="shared" si="212"/>
        <v>0</v>
      </c>
      <c r="AZ345" s="38">
        <f t="shared" ref="AZ345:BB363" si="215">IF($E345="", 0, IF(AND($E345&gt;=AZ$8, $E345&lt;=AZ$5), 1, 0))</f>
        <v>0</v>
      </c>
      <c r="BA345" s="38">
        <f t="shared" si="215"/>
        <v>0</v>
      </c>
      <c r="BB345" s="38">
        <f t="shared" si="215"/>
        <v>0</v>
      </c>
      <c r="BC345" s="38">
        <f t="shared" si="213"/>
        <v>0</v>
      </c>
      <c r="BD345" s="38">
        <f t="shared" si="213"/>
        <v>0</v>
      </c>
      <c r="BE345" s="38">
        <f t="shared" si="213"/>
        <v>0</v>
      </c>
      <c r="BF345" s="38">
        <f t="shared" si="213"/>
        <v>0</v>
      </c>
      <c r="BG345" s="38">
        <f t="shared" si="213"/>
        <v>0</v>
      </c>
      <c r="BH345" s="38">
        <f t="shared" si="213"/>
        <v>0</v>
      </c>
      <c r="BI345" s="38">
        <f t="shared" si="213"/>
        <v>0</v>
      </c>
      <c r="BJ345" s="38">
        <f t="shared" si="213"/>
        <v>0</v>
      </c>
      <c r="BK345" s="38">
        <f t="shared" si="213"/>
        <v>0</v>
      </c>
      <c r="BL345" s="38">
        <f t="shared" si="213"/>
        <v>0</v>
      </c>
      <c r="BM345" s="38">
        <f t="shared" si="214"/>
        <v>0</v>
      </c>
      <c r="BN345" s="38">
        <f t="shared" si="214"/>
        <v>0</v>
      </c>
      <c r="BO345" s="38">
        <f t="shared" si="214"/>
        <v>0</v>
      </c>
      <c r="BP345" s="38">
        <f t="shared" si="214"/>
        <v>0</v>
      </c>
      <c r="BQ345" s="38">
        <f t="shared" si="214"/>
        <v>0</v>
      </c>
      <c r="BR345" s="38">
        <f t="shared" si="214"/>
        <v>0</v>
      </c>
      <c r="BS345" s="38">
        <f t="shared" si="214"/>
        <v>0</v>
      </c>
      <c r="BT345" s="38">
        <f t="shared" si="214"/>
        <v>0</v>
      </c>
      <c r="BU345" s="38">
        <f t="shared" si="214"/>
        <v>0</v>
      </c>
      <c r="BV345" s="38">
        <f t="shared" si="214"/>
        <v>0</v>
      </c>
      <c r="BX345" s="106"/>
      <c r="BY345" s="106"/>
      <c r="BZ345" s="106"/>
      <c r="CA345" s="106"/>
      <c r="CB345" s="38">
        <f>IF('Fin Stat'!CB$212&lt;$E345, 1, 0)</f>
        <v>1</v>
      </c>
      <c r="CC345" s="38">
        <f>IF('Fin Stat'!CC$212&lt;$E345, 1, 0)</f>
        <v>1</v>
      </c>
      <c r="CD345" s="38">
        <f>IF('Fin Stat'!CD$212&lt;$E345, 1, 0)</f>
        <v>1</v>
      </c>
      <c r="CE345" s="38">
        <f>IF('Fin Stat'!CE$212&lt;$E345, 1, 0)</f>
        <v>1</v>
      </c>
      <c r="CF345" s="38">
        <f>IF('Fin Stat'!CF$212&lt;$E345, 1, 0)</f>
        <v>1</v>
      </c>
      <c r="CG345" s="38">
        <f>IF('Fin Stat'!CG$212&lt;$E345, 1, 0)</f>
        <v>1</v>
      </c>
      <c r="CH345" s="38">
        <f>IF('Fin Stat'!CH$212&lt;$E345, 1, 0)</f>
        <v>1</v>
      </c>
      <c r="CI345" s="38">
        <f>IF('Fin Stat'!CI$212&lt;$E345, 1, 0)</f>
        <v>1</v>
      </c>
      <c r="CK345" s="11"/>
      <c r="CM345" s="11"/>
      <c r="EX345" s="10" t="str">
        <f t="shared" si="210"/>
        <v/>
      </c>
    </row>
    <row r="346" spans="1:154" x14ac:dyDescent="0.35">
      <c r="B346" t="str">
        <f ca="1">Loans!B$15</f>
        <v>Loan 3</v>
      </c>
      <c r="D346" s="51">
        <f>Loans!D$15</f>
        <v>0</v>
      </c>
      <c r="E346" s="32" t="str">
        <f>IF(Loans!N15="", "", Loans!N15)</f>
        <v/>
      </c>
      <c r="V346" s="106"/>
      <c r="W346" s="106"/>
      <c r="X346" s="106"/>
      <c r="Y346" s="106"/>
      <c r="AA346" s="38">
        <f t="shared" si="211"/>
        <v>0</v>
      </c>
      <c r="AB346" s="38">
        <f t="shared" si="211"/>
        <v>0</v>
      </c>
      <c r="AC346" s="38">
        <f t="shared" si="211"/>
        <v>0</v>
      </c>
      <c r="AD346" s="38">
        <f t="shared" si="211"/>
        <v>0</v>
      </c>
      <c r="AE346" s="38">
        <f t="shared" si="211"/>
        <v>0</v>
      </c>
      <c r="AF346" s="38">
        <f t="shared" si="211"/>
        <v>0</v>
      </c>
      <c r="AG346" s="38">
        <f t="shared" si="211"/>
        <v>0</v>
      </c>
      <c r="AH346" s="38">
        <f t="shared" si="211"/>
        <v>0</v>
      </c>
      <c r="AI346" s="38">
        <f t="shared" si="211"/>
        <v>0</v>
      </c>
      <c r="AJ346" s="38">
        <f t="shared" si="211"/>
        <v>0</v>
      </c>
      <c r="AK346" s="38">
        <f t="shared" si="212"/>
        <v>0</v>
      </c>
      <c r="AL346" s="38">
        <f t="shared" si="212"/>
        <v>0</v>
      </c>
      <c r="AM346" s="38">
        <f t="shared" si="212"/>
        <v>0</v>
      </c>
      <c r="AN346" s="38">
        <f t="shared" si="212"/>
        <v>0</v>
      </c>
      <c r="AO346" s="38">
        <f t="shared" si="212"/>
        <v>0</v>
      </c>
      <c r="AP346" s="38">
        <f t="shared" si="212"/>
        <v>0</v>
      </c>
      <c r="AQ346" s="38">
        <f t="shared" si="212"/>
        <v>0</v>
      </c>
      <c r="AR346" s="38">
        <f t="shared" si="212"/>
        <v>0</v>
      </c>
      <c r="AS346" s="38">
        <f t="shared" si="212"/>
        <v>0</v>
      </c>
      <c r="AT346" s="38">
        <f t="shared" si="212"/>
        <v>0</v>
      </c>
      <c r="AU346" s="38">
        <f t="shared" si="212"/>
        <v>0</v>
      </c>
      <c r="AV346" s="38">
        <f t="shared" si="212"/>
        <v>0</v>
      </c>
      <c r="AW346" s="38">
        <f t="shared" si="212"/>
        <v>0</v>
      </c>
      <c r="AX346" s="38">
        <f t="shared" si="212"/>
        <v>0</v>
      </c>
      <c r="AY346" s="38">
        <f t="shared" si="212"/>
        <v>0</v>
      </c>
      <c r="AZ346" s="38">
        <f t="shared" si="215"/>
        <v>0</v>
      </c>
      <c r="BA346" s="38">
        <f t="shared" si="215"/>
        <v>0</v>
      </c>
      <c r="BB346" s="38">
        <f t="shared" si="215"/>
        <v>0</v>
      </c>
      <c r="BC346" s="38">
        <f t="shared" si="213"/>
        <v>0</v>
      </c>
      <c r="BD346" s="38">
        <f t="shared" si="213"/>
        <v>0</v>
      </c>
      <c r="BE346" s="38">
        <f t="shared" si="213"/>
        <v>0</v>
      </c>
      <c r="BF346" s="38">
        <f t="shared" si="213"/>
        <v>0</v>
      </c>
      <c r="BG346" s="38">
        <f t="shared" si="213"/>
        <v>0</v>
      </c>
      <c r="BH346" s="38">
        <f t="shared" si="213"/>
        <v>0</v>
      </c>
      <c r="BI346" s="38">
        <f t="shared" si="213"/>
        <v>0</v>
      </c>
      <c r="BJ346" s="38">
        <f t="shared" si="213"/>
        <v>0</v>
      </c>
      <c r="BK346" s="38">
        <f t="shared" si="213"/>
        <v>0</v>
      </c>
      <c r="BL346" s="38">
        <f t="shared" si="213"/>
        <v>0</v>
      </c>
      <c r="BM346" s="38">
        <f t="shared" si="214"/>
        <v>0</v>
      </c>
      <c r="BN346" s="38">
        <f t="shared" si="214"/>
        <v>0</v>
      </c>
      <c r="BO346" s="38">
        <f t="shared" si="214"/>
        <v>0</v>
      </c>
      <c r="BP346" s="38">
        <f t="shared" si="214"/>
        <v>0</v>
      </c>
      <c r="BQ346" s="38">
        <f t="shared" si="214"/>
        <v>0</v>
      </c>
      <c r="BR346" s="38">
        <f t="shared" si="214"/>
        <v>0</v>
      </c>
      <c r="BS346" s="38">
        <f t="shared" si="214"/>
        <v>0</v>
      </c>
      <c r="BT346" s="38">
        <f t="shared" si="214"/>
        <v>0</v>
      </c>
      <c r="BU346" s="38">
        <f t="shared" si="214"/>
        <v>0</v>
      </c>
      <c r="BV346" s="38">
        <f t="shared" si="214"/>
        <v>0</v>
      </c>
      <c r="BX346" s="106"/>
      <c r="BY346" s="106"/>
      <c r="BZ346" s="106"/>
      <c r="CA346" s="106"/>
      <c r="CB346" s="38">
        <f>IF('Fin Stat'!CB$212&lt;$E346, 1, 0)</f>
        <v>1</v>
      </c>
      <c r="CC346" s="38">
        <f>IF('Fin Stat'!CC$212&lt;$E346, 1, 0)</f>
        <v>1</v>
      </c>
      <c r="CD346" s="38">
        <f>IF('Fin Stat'!CD$212&lt;$E346, 1, 0)</f>
        <v>1</v>
      </c>
      <c r="CE346" s="38">
        <f>IF('Fin Stat'!CE$212&lt;$E346, 1, 0)</f>
        <v>1</v>
      </c>
      <c r="CF346" s="38">
        <f>IF('Fin Stat'!CF$212&lt;$E346, 1, 0)</f>
        <v>1</v>
      </c>
      <c r="CG346" s="38">
        <f>IF('Fin Stat'!CG$212&lt;$E346, 1, 0)</f>
        <v>1</v>
      </c>
      <c r="CH346" s="38">
        <f>IF('Fin Stat'!CH$212&lt;$E346, 1, 0)</f>
        <v>1</v>
      </c>
      <c r="CI346" s="38">
        <f>IF('Fin Stat'!CI$212&lt;$E346, 1, 0)</f>
        <v>1</v>
      </c>
      <c r="CK346" s="11"/>
      <c r="CM346" s="11"/>
      <c r="EX346" s="10" t="str">
        <f t="shared" si="210"/>
        <v/>
      </c>
    </row>
    <row r="347" spans="1:154" x14ac:dyDescent="0.35">
      <c r="B347" t="str">
        <f ca="1">Loans!B$16</f>
        <v>Loan 4</v>
      </c>
      <c r="D347" s="51">
        <f>Loans!D$16</f>
        <v>0</v>
      </c>
      <c r="E347" s="32" t="str">
        <f>IF(Loans!N16="", "", Loans!N16)</f>
        <v/>
      </c>
      <c r="V347" s="106"/>
      <c r="W347" s="106"/>
      <c r="X347" s="106"/>
      <c r="Y347" s="106"/>
      <c r="AA347" s="38">
        <f t="shared" si="211"/>
        <v>0</v>
      </c>
      <c r="AB347" s="38">
        <f t="shared" si="211"/>
        <v>0</v>
      </c>
      <c r="AC347" s="38">
        <f t="shared" si="211"/>
        <v>0</v>
      </c>
      <c r="AD347" s="38">
        <f t="shared" si="211"/>
        <v>0</v>
      </c>
      <c r="AE347" s="38">
        <f t="shared" si="211"/>
        <v>0</v>
      </c>
      <c r="AF347" s="38">
        <f t="shared" si="211"/>
        <v>0</v>
      </c>
      <c r="AG347" s="38">
        <f t="shared" si="211"/>
        <v>0</v>
      </c>
      <c r="AH347" s="38">
        <f t="shared" si="211"/>
        <v>0</v>
      </c>
      <c r="AI347" s="38">
        <f t="shared" si="211"/>
        <v>0</v>
      </c>
      <c r="AJ347" s="38">
        <f t="shared" si="211"/>
        <v>0</v>
      </c>
      <c r="AK347" s="38">
        <f t="shared" si="212"/>
        <v>0</v>
      </c>
      <c r="AL347" s="38">
        <f t="shared" si="212"/>
        <v>0</v>
      </c>
      <c r="AM347" s="38">
        <f t="shared" si="212"/>
        <v>0</v>
      </c>
      <c r="AN347" s="38">
        <f t="shared" si="212"/>
        <v>0</v>
      </c>
      <c r="AO347" s="38">
        <f t="shared" si="212"/>
        <v>0</v>
      </c>
      <c r="AP347" s="38">
        <f t="shared" si="212"/>
        <v>0</v>
      </c>
      <c r="AQ347" s="38">
        <f t="shared" si="212"/>
        <v>0</v>
      </c>
      <c r="AR347" s="38">
        <f t="shared" si="212"/>
        <v>0</v>
      </c>
      <c r="AS347" s="38">
        <f t="shared" si="212"/>
        <v>0</v>
      </c>
      <c r="AT347" s="38">
        <f t="shared" si="212"/>
        <v>0</v>
      </c>
      <c r="AU347" s="38">
        <f t="shared" si="212"/>
        <v>0</v>
      </c>
      <c r="AV347" s="38">
        <f t="shared" si="212"/>
        <v>0</v>
      </c>
      <c r="AW347" s="38">
        <f t="shared" si="212"/>
        <v>0</v>
      </c>
      <c r="AX347" s="38">
        <f t="shared" si="212"/>
        <v>0</v>
      </c>
      <c r="AY347" s="38">
        <f t="shared" si="212"/>
        <v>0</v>
      </c>
      <c r="AZ347" s="38">
        <f t="shared" si="215"/>
        <v>0</v>
      </c>
      <c r="BA347" s="38">
        <f t="shared" si="215"/>
        <v>0</v>
      </c>
      <c r="BB347" s="38">
        <f t="shared" si="215"/>
        <v>0</v>
      </c>
      <c r="BC347" s="38">
        <f t="shared" si="213"/>
        <v>0</v>
      </c>
      <c r="BD347" s="38">
        <f t="shared" si="213"/>
        <v>0</v>
      </c>
      <c r="BE347" s="38">
        <f t="shared" si="213"/>
        <v>0</v>
      </c>
      <c r="BF347" s="38">
        <f t="shared" si="213"/>
        <v>0</v>
      </c>
      <c r="BG347" s="38">
        <f t="shared" si="213"/>
        <v>0</v>
      </c>
      <c r="BH347" s="38">
        <f t="shared" si="213"/>
        <v>0</v>
      </c>
      <c r="BI347" s="38">
        <f t="shared" si="213"/>
        <v>0</v>
      </c>
      <c r="BJ347" s="38">
        <f t="shared" si="213"/>
        <v>0</v>
      </c>
      <c r="BK347" s="38">
        <f t="shared" si="213"/>
        <v>0</v>
      </c>
      <c r="BL347" s="38">
        <f t="shared" si="213"/>
        <v>0</v>
      </c>
      <c r="BM347" s="38">
        <f t="shared" si="214"/>
        <v>0</v>
      </c>
      <c r="BN347" s="38">
        <f t="shared" si="214"/>
        <v>0</v>
      </c>
      <c r="BO347" s="38">
        <f t="shared" si="214"/>
        <v>0</v>
      </c>
      <c r="BP347" s="38">
        <f t="shared" si="214"/>
        <v>0</v>
      </c>
      <c r="BQ347" s="38">
        <f t="shared" si="214"/>
        <v>0</v>
      </c>
      <c r="BR347" s="38">
        <f t="shared" si="214"/>
        <v>0</v>
      </c>
      <c r="BS347" s="38">
        <f t="shared" si="214"/>
        <v>0</v>
      </c>
      <c r="BT347" s="38">
        <f t="shared" si="214"/>
        <v>0</v>
      </c>
      <c r="BU347" s="38">
        <f t="shared" si="214"/>
        <v>0</v>
      </c>
      <c r="BV347" s="38">
        <f t="shared" si="214"/>
        <v>0</v>
      </c>
      <c r="BX347" s="106"/>
      <c r="BY347" s="106"/>
      <c r="BZ347" s="106"/>
      <c r="CA347" s="106"/>
      <c r="CB347" s="38">
        <f>IF('Fin Stat'!CB$212&lt;$E347, 1, 0)</f>
        <v>1</v>
      </c>
      <c r="CC347" s="38">
        <f>IF('Fin Stat'!CC$212&lt;$E347, 1, 0)</f>
        <v>1</v>
      </c>
      <c r="CD347" s="38">
        <f>IF('Fin Stat'!CD$212&lt;$E347, 1, 0)</f>
        <v>1</v>
      </c>
      <c r="CE347" s="38">
        <f>IF('Fin Stat'!CE$212&lt;$E347, 1, 0)</f>
        <v>1</v>
      </c>
      <c r="CF347" s="38">
        <f>IF('Fin Stat'!CF$212&lt;$E347, 1, 0)</f>
        <v>1</v>
      </c>
      <c r="CG347" s="38">
        <f>IF('Fin Stat'!CG$212&lt;$E347, 1, 0)</f>
        <v>1</v>
      </c>
      <c r="CH347" s="38">
        <f>IF('Fin Stat'!CH$212&lt;$E347, 1, 0)</f>
        <v>1</v>
      </c>
      <c r="CI347" s="38">
        <f>IF('Fin Stat'!CI$212&lt;$E347, 1, 0)</f>
        <v>1</v>
      </c>
      <c r="CK347" s="11"/>
      <c r="CM347" s="11"/>
      <c r="EX347" s="10" t="str">
        <f t="shared" si="210"/>
        <v/>
      </c>
    </row>
    <row r="348" spans="1:154" x14ac:dyDescent="0.35">
      <c r="B348" t="str">
        <f ca="1">Loans!B$17</f>
        <v>Loan 5</v>
      </c>
      <c r="D348" s="51">
        <f>Loans!D$17</f>
        <v>0</v>
      </c>
      <c r="E348" s="32" t="str">
        <f>IF(Loans!N17="", "", Loans!N17)</f>
        <v/>
      </c>
      <c r="V348" s="106"/>
      <c r="W348" s="106"/>
      <c r="X348" s="106"/>
      <c r="Y348" s="106"/>
      <c r="AA348" s="38">
        <f t="shared" si="211"/>
        <v>0</v>
      </c>
      <c r="AB348" s="38">
        <f t="shared" si="211"/>
        <v>0</v>
      </c>
      <c r="AC348" s="38">
        <f t="shared" si="211"/>
        <v>0</v>
      </c>
      <c r="AD348" s="38">
        <f t="shared" si="211"/>
        <v>0</v>
      </c>
      <c r="AE348" s="38">
        <f t="shared" si="211"/>
        <v>0</v>
      </c>
      <c r="AF348" s="38">
        <f t="shared" si="211"/>
        <v>0</v>
      </c>
      <c r="AG348" s="38">
        <f t="shared" si="211"/>
        <v>0</v>
      </c>
      <c r="AH348" s="38">
        <f t="shared" si="211"/>
        <v>0</v>
      </c>
      <c r="AI348" s="38">
        <f t="shared" si="211"/>
        <v>0</v>
      </c>
      <c r="AJ348" s="38">
        <f t="shared" si="211"/>
        <v>0</v>
      </c>
      <c r="AK348" s="38">
        <f t="shared" si="212"/>
        <v>0</v>
      </c>
      <c r="AL348" s="38">
        <f t="shared" si="212"/>
        <v>0</v>
      </c>
      <c r="AM348" s="38">
        <f t="shared" si="212"/>
        <v>0</v>
      </c>
      <c r="AN348" s="38">
        <f t="shared" si="212"/>
        <v>0</v>
      </c>
      <c r="AO348" s="38">
        <f t="shared" si="212"/>
        <v>0</v>
      </c>
      <c r="AP348" s="38">
        <f t="shared" si="212"/>
        <v>0</v>
      </c>
      <c r="AQ348" s="38">
        <f t="shared" si="212"/>
        <v>0</v>
      </c>
      <c r="AR348" s="38">
        <f t="shared" si="212"/>
        <v>0</v>
      </c>
      <c r="AS348" s="38">
        <f t="shared" si="212"/>
        <v>0</v>
      </c>
      <c r="AT348" s="38">
        <f t="shared" si="212"/>
        <v>0</v>
      </c>
      <c r="AU348" s="38">
        <f t="shared" si="212"/>
        <v>0</v>
      </c>
      <c r="AV348" s="38">
        <f t="shared" si="212"/>
        <v>0</v>
      </c>
      <c r="AW348" s="38">
        <f t="shared" si="212"/>
        <v>0</v>
      </c>
      <c r="AX348" s="38">
        <f t="shared" si="212"/>
        <v>0</v>
      </c>
      <c r="AY348" s="38">
        <f t="shared" si="212"/>
        <v>0</v>
      </c>
      <c r="AZ348" s="38">
        <f t="shared" si="215"/>
        <v>0</v>
      </c>
      <c r="BA348" s="38">
        <f t="shared" si="215"/>
        <v>0</v>
      </c>
      <c r="BB348" s="38">
        <f t="shared" si="215"/>
        <v>0</v>
      </c>
      <c r="BC348" s="38">
        <f t="shared" si="213"/>
        <v>0</v>
      </c>
      <c r="BD348" s="38">
        <f t="shared" si="213"/>
        <v>0</v>
      </c>
      <c r="BE348" s="38">
        <f t="shared" si="213"/>
        <v>0</v>
      </c>
      <c r="BF348" s="38">
        <f t="shared" si="213"/>
        <v>0</v>
      </c>
      <c r="BG348" s="38">
        <f t="shared" si="213"/>
        <v>0</v>
      </c>
      <c r="BH348" s="38">
        <f t="shared" si="213"/>
        <v>0</v>
      </c>
      <c r="BI348" s="38">
        <f t="shared" si="213"/>
        <v>0</v>
      </c>
      <c r="BJ348" s="38">
        <f t="shared" si="213"/>
        <v>0</v>
      </c>
      <c r="BK348" s="38">
        <f t="shared" si="213"/>
        <v>0</v>
      </c>
      <c r="BL348" s="38">
        <f t="shared" si="213"/>
        <v>0</v>
      </c>
      <c r="BM348" s="38">
        <f t="shared" si="214"/>
        <v>0</v>
      </c>
      <c r="BN348" s="38">
        <f t="shared" si="214"/>
        <v>0</v>
      </c>
      <c r="BO348" s="38">
        <f t="shared" si="214"/>
        <v>0</v>
      </c>
      <c r="BP348" s="38">
        <f t="shared" si="214"/>
        <v>0</v>
      </c>
      <c r="BQ348" s="38">
        <f t="shared" si="214"/>
        <v>0</v>
      </c>
      <c r="BR348" s="38">
        <f t="shared" si="214"/>
        <v>0</v>
      </c>
      <c r="BS348" s="38">
        <f t="shared" si="214"/>
        <v>0</v>
      </c>
      <c r="BT348" s="38">
        <f t="shared" si="214"/>
        <v>0</v>
      </c>
      <c r="BU348" s="38">
        <f t="shared" si="214"/>
        <v>0</v>
      </c>
      <c r="BV348" s="38">
        <f t="shared" si="214"/>
        <v>0</v>
      </c>
      <c r="BX348" s="106"/>
      <c r="BY348" s="106"/>
      <c r="BZ348" s="106"/>
      <c r="CA348" s="106"/>
      <c r="CB348" s="38">
        <f>IF('Fin Stat'!CB$212&lt;$E348, 1, 0)</f>
        <v>1</v>
      </c>
      <c r="CC348" s="38">
        <f>IF('Fin Stat'!CC$212&lt;$E348, 1, 0)</f>
        <v>1</v>
      </c>
      <c r="CD348" s="38">
        <f>IF('Fin Stat'!CD$212&lt;$E348, 1, 0)</f>
        <v>1</v>
      </c>
      <c r="CE348" s="38">
        <f>IF('Fin Stat'!CE$212&lt;$E348, 1, 0)</f>
        <v>1</v>
      </c>
      <c r="CF348" s="38">
        <f>IF('Fin Stat'!CF$212&lt;$E348, 1, 0)</f>
        <v>1</v>
      </c>
      <c r="CG348" s="38">
        <f>IF('Fin Stat'!CG$212&lt;$E348, 1, 0)</f>
        <v>1</v>
      </c>
      <c r="CH348" s="38">
        <f>IF('Fin Stat'!CH$212&lt;$E348, 1, 0)</f>
        <v>1</v>
      </c>
      <c r="CI348" s="38">
        <f>IF('Fin Stat'!CI$212&lt;$E348, 1, 0)</f>
        <v>1</v>
      </c>
      <c r="CK348" s="11"/>
      <c r="CM348" s="11"/>
      <c r="EX348" s="10" t="str">
        <f t="shared" si="210"/>
        <v/>
      </c>
    </row>
    <row r="349" spans="1:154" x14ac:dyDescent="0.35">
      <c r="B349" t="str">
        <f ca="1">Loans!B$18</f>
        <v>Loan 6</v>
      </c>
      <c r="D349" s="51">
        <f>Loans!D$18</f>
        <v>0</v>
      </c>
      <c r="E349" s="32" t="str">
        <f>IF(Loans!N18="", "", Loans!N18)</f>
        <v/>
      </c>
      <c r="V349" s="106"/>
      <c r="W349" s="106"/>
      <c r="X349" s="106"/>
      <c r="Y349" s="106"/>
      <c r="AA349" s="38">
        <f t="shared" si="211"/>
        <v>0</v>
      </c>
      <c r="AB349" s="38">
        <f t="shared" si="211"/>
        <v>0</v>
      </c>
      <c r="AC349" s="38">
        <f t="shared" si="211"/>
        <v>0</v>
      </c>
      <c r="AD349" s="38">
        <f t="shared" si="211"/>
        <v>0</v>
      </c>
      <c r="AE349" s="38">
        <f t="shared" si="211"/>
        <v>0</v>
      </c>
      <c r="AF349" s="38">
        <f t="shared" si="211"/>
        <v>0</v>
      </c>
      <c r="AG349" s="38">
        <f t="shared" si="211"/>
        <v>0</v>
      </c>
      <c r="AH349" s="38">
        <f t="shared" si="211"/>
        <v>0</v>
      </c>
      <c r="AI349" s="38">
        <f t="shared" si="211"/>
        <v>0</v>
      </c>
      <c r="AJ349" s="38">
        <f t="shared" si="211"/>
        <v>0</v>
      </c>
      <c r="AK349" s="38">
        <f t="shared" si="212"/>
        <v>0</v>
      </c>
      <c r="AL349" s="38">
        <f t="shared" si="212"/>
        <v>0</v>
      </c>
      <c r="AM349" s="38">
        <f t="shared" si="212"/>
        <v>0</v>
      </c>
      <c r="AN349" s="38">
        <f t="shared" si="212"/>
        <v>0</v>
      </c>
      <c r="AO349" s="38">
        <f t="shared" si="212"/>
        <v>0</v>
      </c>
      <c r="AP349" s="38">
        <f t="shared" si="212"/>
        <v>0</v>
      </c>
      <c r="AQ349" s="38">
        <f t="shared" si="212"/>
        <v>0</v>
      </c>
      <c r="AR349" s="38">
        <f t="shared" si="212"/>
        <v>0</v>
      </c>
      <c r="AS349" s="38">
        <f t="shared" si="212"/>
        <v>0</v>
      </c>
      <c r="AT349" s="38">
        <f t="shared" si="212"/>
        <v>0</v>
      </c>
      <c r="AU349" s="38">
        <f t="shared" si="212"/>
        <v>0</v>
      </c>
      <c r="AV349" s="38">
        <f t="shared" si="212"/>
        <v>0</v>
      </c>
      <c r="AW349" s="38">
        <f t="shared" si="212"/>
        <v>0</v>
      </c>
      <c r="AX349" s="38">
        <f t="shared" si="212"/>
        <v>0</v>
      </c>
      <c r="AY349" s="38">
        <f t="shared" si="212"/>
        <v>0</v>
      </c>
      <c r="AZ349" s="38">
        <f t="shared" si="215"/>
        <v>0</v>
      </c>
      <c r="BA349" s="38">
        <f t="shared" si="215"/>
        <v>0</v>
      </c>
      <c r="BB349" s="38">
        <f t="shared" si="215"/>
        <v>0</v>
      </c>
      <c r="BC349" s="38">
        <f t="shared" si="213"/>
        <v>0</v>
      </c>
      <c r="BD349" s="38">
        <f t="shared" si="213"/>
        <v>0</v>
      </c>
      <c r="BE349" s="38">
        <f t="shared" si="213"/>
        <v>0</v>
      </c>
      <c r="BF349" s="38">
        <f t="shared" si="213"/>
        <v>0</v>
      </c>
      <c r="BG349" s="38">
        <f t="shared" si="213"/>
        <v>0</v>
      </c>
      <c r="BH349" s="38">
        <f t="shared" si="213"/>
        <v>0</v>
      </c>
      <c r="BI349" s="38">
        <f t="shared" si="213"/>
        <v>0</v>
      </c>
      <c r="BJ349" s="38">
        <f t="shared" si="213"/>
        <v>0</v>
      </c>
      <c r="BK349" s="38">
        <f t="shared" si="213"/>
        <v>0</v>
      </c>
      <c r="BL349" s="38">
        <f t="shared" si="213"/>
        <v>0</v>
      </c>
      <c r="BM349" s="38">
        <f t="shared" si="214"/>
        <v>0</v>
      </c>
      <c r="BN349" s="38">
        <f t="shared" si="214"/>
        <v>0</v>
      </c>
      <c r="BO349" s="38">
        <f t="shared" si="214"/>
        <v>0</v>
      </c>
      <c r="BP349" s="38">
        <f t="shared" si="214"/>
        <v>0</v>
      </c>
      <c r="BQ349" s="38">
        <f t="shared" si="214"/>
        <v>0</v>
      </c>
      <c r="BR349" s="38">
        <f t="shared" si="214"/>
        <v>0</v>
      </c>
      <c r="BS349" s="38">
        <f t="shared" si="214"/>
        <v>0</v>
      </c>
      <c r="BT349" s="38">
        <f t="shared" si="214"/>
        <v>0</v>
      </c>
      <c r="BU349" s="38">
        <f t="shared" si="214"/>
        <v>0</v>
      </c>
      <c r="BV349" s="38">
        <f t="shared" si="214"/>
        <v>0</v>
      </c>
      <c r="BX349" s="106"/>
      <c r="BY349" s="106"/>
      <c r="BZ349" s="106"/>
      <c r="CA349" s="106"/>
      <c r="CB349" s="38">
        <f>IF('Fin Stat'!CB$212&lt;$E349, 1, 0)</f>
        <v>1</v>
      </c>
      <c r="CC349" s="38">
        <f>IF('Fin Stat'!CC$212&lt;$E349, 1, 0)</f>
        <v>1</v>
      </c>
      <c r="CD349" s="38">
        <f>IF('Fin Stat'!CD$212&lt;$E349, 1, 0)</f>
        <v>1</v>
      </c>
      <c r="CE349" s="38">
        <f>IF('Fin Stat'!CE$212&lt;$E349, 1, 0)</f>
        <v>1</v>
      </c>
      <c r="CF349" s="38">
        <f>IF('Fin Stat'!CF$212&lt;$E349, 1, 0)</f>
        <v>1</v>
      </c>
      <c r="CG349" s="38">
        <f>IF('Fin Stat'!CG$212&lt;$E349, 1, 0)</f>
        <v>1</v>
      </c>
      <c r="CH349" s="38">
        <f>IF('Fin Stat'!CH$212&lt;$E349, 1, 0)</f>
        <v>1</v>
      </c>
      <c r="CI349" s="38">
        <f>IF('Fin Stat'!CI$212&lt;$E349, 1, 0)</f>
        <v>1</v>
      </c>
      <c r="CK349" s="11"/>
      <c r="CM349" s="11"/>
      <c r="EX349" s="10" t="str">
        <f t="shared" si="210"/>
        <v/>
      </c>
    </row>
    <row r="350" spans="1:154" s="5" customFormat="1" x14ac:dyDescent="0.35">
      <c r="A350"/>
      <c r="B350" t="str">
        <f ca="1">Loans!B$19</f>
        <v>Loan 7</v>
      </c>
      <c r="D350" s="51">
        <f>Loans!D$19</f>
        <v>0</v>
      </c>
      <c r="E350" s="32" t="str">
        <f>IF(Loans!N19="", "", Loans!N19)</f>
        <v/>
      </c>
      <c r="F350"/>
      <c r="G350"/>
      <c r="H350"/>
      <c r="I350"/>
      <c r="J350"/>
      <c r="K350"/>
      <c r="M350"/>
      <c r="N350"/>
      <c r="O350"/>
      <c r="P350"/>
      <c r="Q350"/>
      <c r="S350"/>
      <c r="T350"/>
      <c r="U350"/>
      <c r="V350" s="106"/>
      <c r="W350" s="106"/>
      <c r="X350" s="106"/>
      <c r="Y350" s="106"/>
      <c r="Z350"/>
      <c r="AA350" s="38">
        <f t="shared" si="211"/>
        <v>0</v>
      </c>
      <c r="AB350" s="38">
        <f t="shared" si="211"/>
        <v>0</v>
      </c>
      <c r="AC350" s="38">
        <f t="shared" si="211"/>
        <v>0</v>
      </c>
      <c r="AD350" s="38">
        <f t="shared" si="211"/>
        <v>0</v>
      </c>
      <c r="AE350" s="38">
        <f t="shared" si="211"/>
        <v>0</v>
      </c>
      <c r="AF350" s="38">
        <f t="shared" si="211"/>
        <v>0</v>
      </c>
      <c r="AG350" s="38">
        <f t="shared" si="211"/>
        <v>0</v>
      </c>
      <c r="AH350" s="38">
        <f t="shared" si="211"/>
        <v>0</v>
      </c>
      <c r="AI350" s="38">
        <f t="shared" si="211"/>
        <v>0</v>
      </c>
      <c r="AJ350" s="38">
        <f t="shared" si="211"/>
        <v>0</v>
      </c>
      <c r="AK350" s="38">
        <f t="shared" si="212"/>
        <v>0</v>
      </c>
      <c r="AL350" s="38">
        <f t="shared" si="212"/>
        <v>0</v>
      </c>
      <c r="AM350" s="38">
        <f t="shared" si="212"/>
        <v>0</v>
      </c>
      <c r="AN350" s="38">
        <f t="shared" si="212"/>
        <v>0</v>
      </c>
      <c r="AO350" s="38">
        <f t="shared" si="212"/>
        <v>0</v>
      </c>
      <c r="AP350" s="38">
        <f t="shared" si="212"/>
        <v>0</v>
      </c>
      <c r="AQ350" s="38">
        <f t="shared" si="212"/>
        <v>0</v>
      </c>
      <c r="AR350" s="38">
        <f t="shared" si="212"/>
        <v>0</v>
      </c>
      <c r="AS350" s="38">
        <f t="shared" si="212"/>
        <v>0</v>
      </c>
      <c r="AT350" s="38">
        <f t="shared" si="212"/>
        <v>0</v>
      </c>
      <c r="AU350" s="38">
        <f t="shared" si="212"/>
        <v>0</v>
      </c>
      <c r="AV350" s="38">
        <f t="shared" si="212"/>
        <v>0</v>
      </c>
      <c r="AW350" s="38">
        <f t="shared" si="212"/>
        <v>0</v>
      </c>
      <c r="AX350" s="38">
        <f t="shared" si="212"/>
        <v>0</v>
      </c>
      <c r="AY350" s="38">
        <f t="shared" si="212"/>
        <v>0</v>
      </c>
      <c r="AZ350" s="38">
        <f t="shared" si="215"/>
        <v>0</v>
      </c>
      <c r="BA350" s="38">
        <f t="shared" si="215"/>
        <v>0</v>
      </c>
      <c r="BB350" s="38">
        <f t="shared" si="215"/>
        <v>0</v>
      </c>
      <c r="BC350" s="38">
        <f t="shared" si="213"/>
        <v>0</v>
      </c>
      <c r="BD350" s="38">
        <f t="shared" si="213"/>
        <v>0</v>
      </c>
      <c r="BE350" s="38">
        <f t="shared" si="213"/>
        <v>0</v>
      </c>
      <c r="BF350" s="38">
        <f t="shared" si="213"/>
        <v>0</v>
      </c>
      <c r="BG350" s="38">
        <f t="shared" si="213"/>
        <v>0</v>
      </c>
      <c r="BH350" s="38">
        <f t="shared" si="213"/>
        <v>0</v>
      </c>
      <c r="BI350" s="38">
        <f t="shared" si="213"/>
        <v>0</v>
      </c>
      <c r="BJ350" s="38">
        <f t="shared" si="213"/>
        <v>0</v>
      </c>
      <c r="BK350" s="38">
        <f t="shared" si="213"/>
        <v>0</v>
      </c>
      <c r="BL350" s="38">
        <f t="shared" si="213"/>
        <v>0</v>
      </c>
      <c r="BM350" s="38">
        <f t="shared" si="214"/>
        <v>0</v>
      </c>
      <c r="BN350" s="38">
        <f t="shared" si="214"/>
        <v>0</v>
      </c>
      <c r="BO350" s="38">
        <f t="shared" si="214"/>
        <v>0</v>
      </c>
      <c r="BP350" s="38">
        <f t="shared" si="214"/>
        <v>0</v>
      </c>
      <c r="BQ350" s="38">
        <f t="shared" si="214"/>
        <v>0</v>
      </c>
      <c r="BR350" s="38">
        <f t="shared" si="214"/>
        <v>0</v>
      </c>
      <c r="BS350" s="38">
        <f t="shared" si="214"/>
        <v>0</v>
      </c>
      <c r="BT350" s="38">
        <f t="shared" si="214"/>
        <v>0</v>
      </c>
      <c r="BU350" s="38">
        <f t="shared" si="214"/>
        <v>0</v>
      </c>
      <c r="BV350" s="38">
        <f t="shared" si="214"/>
        <v>0</v>
      </c>
      <c r="BW350"/>
      <c r="BX350" s="106"/>
      <c r="BY350" s="106"/>
      <c r="BZ350" s="106"/>
      <c r="CA350" s="106"/>
      <c r="CB350" s="38">
        <f>IF('Fin Stat'!CB$212&lt;$E350, 1, 0)</f>
        <v>1</v>
      </c>
      <c r="CC350" s="38">
        <f>IF('Fin Stat'!CC$212&lt;$E350, 1, 0)</f>
        <v>1</v>
      </c>
      <c r="CD350" s="38">
        <f>IF('Fin Stat'!CD$212&lt;$E350, 1, 0)</f>
        <v>1</v>
      </c>
      <c r="CE350" s="38">
        <f>IF('Fin Stat'!CE$212&lt;$E350, 1, 0)</f>
        <v>1</v>
      </c>
      <c r="CF350" s="38">
        <f>IF('Fin Stat'!CF$212&lt;$E350, 1, 0)</f>
        <v>1</v>
      </c>
      <c r="CG350" s="38">
        <f>IF('Fin Stat'!CG$212&lt;$E350, 1, 0)</f>
        <v>1</v>
      </c>
      <c r="CH350" s="38">
        <f>IF('Fin Stat'!CH$212&lt;$E350, 1, 0)</f>
        <v>1</v>
      </c>
      <c r="CI350" s="38">
        <f>IF('Fin Stat'!CI$212&lt;$E350, 1, 0)</f>
        <v>1</v>
      </c>
      <c r="CJ350"/>
      <c r="CK350" s="11"/>
      <c r="CL350"/>
      <c r="CM350" s="11"/>
      <c r="EX350" s="10" t="str">
        <f t="shared" si="210"/>
        <v/>
      </c>
    </row>
    <row r="351" spans="1:154" x14ac:dyDescent="0.35">
      <c r="B351" t="str">
        <f ca="1">Loans!B$20</f>
        <v>Loan 8</v>
      </c>
      <c r="D351" s="51">
        <f>Loans!D$20</f>
        <v>0</v>
      </c>
      <c r="E351" s="32" t="str">
        <f>IF(Loans!N20="", "", Loans!N20)</f>
        <v/>
      </c>
      <c r="V351" s="106"/>
      <c r="W351" s="106"/>
      <c r="X351" s="106"/>
      <c r="Y351" s="106"/>
      <c r="AA351" s="38">
        <f t="shared" si="211"/>
        <v>0</v>
      </c>
      <c r="AB351" s="38">
        <f t="shared" si="211"/>
        <v>0</v>
      </c>
      <c r="AC351" s="38">
        <f t="shared" si="211"/>
        <v>0</v>
      </c>
      <c r="AD351" s="38">
        <f t="shared" si="211"/>
        <v>0</v>
      </c>
      <c r="AE351" s="38">
        <f t="shared" si="211"/>
        <v>0</v>
      </c>
      <c r="AF351" s="38">
        <f t="shared" si="211"/>
        <v>0</v>
      </c>
      <c r="AG351" s="38">
        <f t="shared" si="211"/>
        <v>0</v>
      </c>
      <c r="AH351" s="38">
        <f t="shared" si="211"/>
        <v>0</v>
      </c>
      <c r="AI351" s="38">
        <f t="shared" si="211"/>
        <v>0</v>
      </c>
      <c r="AJ351" s="38">
        <f t="shared" si="211"/>
        <v>0</v>
      </c>
      <c r="AK351" s="38">
        <f t="shared" si="212"/>
        <v>0</v>
      </c>
      <c r="AL351" s="38">
        <f t="shared" si="212"/>
        <v>0</v>
      </c>
      <c r="AM351" s="38">
        <f t="shared" si="212"/>
        <v>0</v>
      </c>
      <c r="AN351" s="38">
        <f t="shared" si="212"/>
        <v>0</v>
      </c>
      <c r="AO351" s="38">
        <f t="shared" si="212"/>
        <v>0</v>
      </c>
      <c r="AP351" s="38">
        <f t="shared" si="212"/>
        <v>0</v>
      </c>
      <c r="AQ351" s="38">
        <f t="shared" si="212"/>
        <v>0</v>
      </c>
      <c r="AR351" s="38">
        <f t="shared" si="212"/>
        <v>0</v>
      </c>
      <c r="AS351" s="38">
        <f t="shared" si="212"/>
        <v>0</v>
      </c>
      <c r="AT351" s="38">
        <f t="shared" si="212"/>
        <v>0</v>
      </c>
      <c r="AU351" s="38">
        <f t="shared" si="212"/>
        <v>0</v>
      </c>
      <c r="AV351" s="38">
        <f t="shared" si="212"/>
        <v>0</v>
      </c>
      <c r="AW351" s="38">
        <f t="shared" si="212"/>
        <v>0</v>
      </c>
      <c r="AX351" s="38">
        <f t="shared" si="212"/>
        <v>0</v>
      </c>
      <c r="AY351" s="38">
        <f t="shared" si="212"/>
        <v>0</v>
      </c>
      <c r="AZ351" s="38">
        <f t="shared" si="215"/>
        <v>0</v>
      </c>
      <c r="BA351" s="38">
        <f t="shared" si="215"/>
        <v>0</v>
      </c>
      <c r="BB351" s="38">
        <f t="shared" si="215"/>
        <v>0</v>
      </c>
      <c r="BC351" s="38">
        <f t="shared" si="213"/>
        <v>0</v>
      </c>
      <c r="BD351" s="38">
        <f t="shared" si="213"/>
        <v>0</v>
      </c>
      <c r="BE351" s="38">
        <f t="shared" si="213"/>
        <v>0</v>
      </c>
      <c r="BF351" s="38">
        <f t="shared" si="213"/>
        <v>0</v>
      </c>
      <c r="BG351" s="38">
        <f t="shared" si="213"/>
        <v>0</v>
      </c>
      <c r="BH351" s="38">
        <f t="shared" si="213"/>
        <v>0</v>
      </c>
      <c r="BI351" s="38">
        <f t="shared" si="213"/>
        <v>0</v>
      </c>
      <c r="BJ351" s="38">
        <f t="shared" si="213"/>
        <v>0</v>
      </c>
      <c r="BK351" s="38">
        <f t="shared" si="213"/>
        <v>0</v>
      </c>
      <c r="BL351" s="38">
        <f t="shared" si="213"/>
        <v>0</v>
      </c>
      <c r="BM351" s="38">
        <f t="shared" si="214"/>
        <v>0</v>
      </c>
      <c r="BN351" s="38">
        <f t="shared" si="214"/>
        <v>0</v>
      </c>
      <c r="BO351" s="38">
        <f t="shared" si="214"/>
        <v>0</v>
      </c>
      <c r="BP351" s="38">
        <f t="shared" si="214"/>
        <v>0</v>
      </c>
      <c r="BQ351" s="38">
        <f t="shared" si="214"/>
        <v>0</v>
      </c>
      <c r="BR351" s="38">
        <f t="shared" si="214"/>
        <v>0</v>
      </c>
      <c r="BS351" s="38">
        <f t="shared" si="214"/>
        <v>0</v>
      </c>
      <c r="BT351" s="38">
        <f t="shared" si="214"/>
        <v>0</v>
      </c>
      <c r="BU351" s="38">
        <f t="shared" si="214"/>
        <v>0</v>
      </c>
      <c r="BV351" s="38">
        <f t="shared" si="214"/>
        <v>0</v>
      </c>
      <c r="BX351" s="106"/>
      <c r="BY351" s="106"/>
      <c r="BZ351" s="106"/>
      <c r="CA351" s="106"/>
      <c r="CB351" s="38">
        <f>IF('Fin Stat'!CB$212&lt;$E351, 1, 0)</f>
        <v>1</v>
      </c>
      <c r="CC351" s="38">
        <f>IF('Fin Stat'!CC$212&lt;$E351, 1, 0)</f>
        <v>1</v>
      </c>
      <c r="CD351" s="38">
        <f>IF('Fin Stat'!CD$212&lt;$E351, 1, 0)</f>
        <v>1</v>
      </c>
      <c r="CE351" s="38">
        <f>IF('Fin Stat'!CE$212&lt;$E351, 1, 0)</f>
        <v>1</v>
      </c>
      <c r="CF351" s="38">
        <f>IF('Fin Stat'!CF$212&lt;$E351, 1, 0)</f>
        <v>1</v>
      </c>
      <c r="CG351" s="38">
        <f>IF('Fin Stat'!CG$212&lt;$E351, 1, 0)</f>
        <v>1</v>
      </c>
      <c r="CH351" s="38">
        <f>IF('Fin Stat'!CH$212&lt;$E351, 1, 0)</f>
        <v>1</v>
      </c>
      <c r="CI351" s="38">
        <f>IF('Fin Stat'!CI$212&lt;$E351, 1, 0)</f>
        <v>1</v>
      </c>
      <c r="CK351" s="11"/>
      <c r="CM351" s="11"/>
      <c r="EX351" s="10" t="str">
        <f t="shared" si="210"/>
        <v/>
      </c>
    </row>
    <row r="352" spans="1:154" x14ac:dyDescent="0.35">
      <c r="B352" t="str">
        <f ca="1">Loans!B$21</f>
        <v>Loan 9</v>
      </c>
      <c r="D352" s="51">
        <f>Loans!D$21</f>
        <v>0</v>
      </c>
      <c r="E352" s="32" t="str">
        <f>IF(Loans!N21="", "", Loans!N21)</f>
        <v/>
      </c>
      <c r="V352" s="106"/>
      <c r="W352" s="106"/>
      <c r="X352" s="106"/>
      <c r="Y352" s="106"/>
      <c r="AA352" s="38">
        <f t="shared" si="211"/>
        <v>0</v>
      </c>
      <c r="AB352" s="38">
        <f t="shared" si="211"/>
        <v>0</v>
      </c>
      <c r="AC352" s="38">
        <f t="shared" si="211"/>
        <v>0</v>
      </c>
      <c r="AD352" s="38">
        <f t="shared" si="211"/>
        <v>0</v>
      </c>
      <c r="AE352" s="38">
        <f t="shared" si="211"/>
        <v>0</v>
      </c>
      <c r="AF352" s="38">
        <f t="shared" si="211"/>
        <v>0</v>
      </c>
      <c r="AG352" s="38">
        <f t="shared" si="211"/>
        <v>0</v>
      </c>
      <c r="AH352" s="38">
        <f t="shared" si="211"/>
        <v>0</v>
      </c>
      <c r="AI352" s="38">
        <f t="shared" si="211"/>
        <v>0</v>
      </c>
      <c r="AJ352" s="38">
        <f t="shared" si="211"/>
        <v>0</v>
      </c>
      <c r="AK352" s="38">
        <f t="shared" si="212"/>
        <v>0</v>
      </c>
      <c r="AL352" s="38">
        <f t="shared" si="212"/>
        <v>0</v>
      </c>
      <c r="AM352" s="38">
        <f t="shared" si="212"/>
        <v>0</v>
      </c>
      <c r="AN352" s="38">
        <f t="shared" si="212"/>
        <v>0</v>
      </c>
      <c r="AO352" s="38">
        <f t="shared" si="212"/>
        <v>0</v>
      </c>
      <c r="AP352" s="38">
        <f t="shared" si="212"/>
        <v>0</v>
      </c>
      <c r="AQ352" s="38">
        <f t="shared" si="212"/>
        <v>0</v>
      </c>
      <c r="AR352" s="38">
        <f t="shared" si="212"/>
        <v>0</v>
      </c>
      <c r="AS352" s="38">
        <f t="shared" si="212"/>
        <v>0</v>
      </c>
      <c r="AT352" s="38">
        <f t="shared" si="212"/>
        <v>0</v>
      </c>
      <c r="AU352" s="38">
        <f t="shared" si="212"/>
        <v>0</v>
      </c>
      <c r="AV352" s="38">
        <f t="shared" si="212"/>
        <v>0</v>
      </c>
      <c r="AW352" s="38">
        <f t="shared" si="212"/>
        <v>0</v>
      </c>
      <c r="AX352" s="38">
        <f t="shared" si="212"/>
        <v>0</v>
      </c>
      <c r="AY352" s="38">
        <f t="shared" si="212"/>
        <v>0</v>
      </c>
      <c r="AZ352" s="38">
        <f t="shared" si="215"/>
        <v>0</v>
      </c>
      <c r="BA352" s="38">
        <f t="shared" si="215"/>
        <v>0</v>
      </c>
      <c r="BB352" s="38">
        <f t="shared" si="215"/>
        <v>0</v>
      </c>
      <c r="BC352" s="38">
        <f t="shared" si="213"/>
        <v>0</v>
      </c>
      <c r="BD352" s="38">
        <f t="shared" si="213"/>
        <v>0</v>
      </c>
      <c r="BE352" s="38">
        <f t="shared" si="213"/>
        <v>0</v>
      </c>
      <c r="BF352" s="38">
        <f t="shared" si="213"/>
        <v>0</v>
      </c>
      <c r="BG352" s="38">
        <f t="shared" si="213"/>
        <v>0</v>
      </c>
      <c r="BH352" s="38">
        <f t="shared" si="213"/>
        <v>0</v>
      </c>
      <c r="BI352" s="38">
        <f t="shared" si="213"/>
        <v>0</v>
      </c>
      <c r="BJ352" s="38">
        <f t="shared" si="213"/>
        <v>0</v>
      </c>
      <c r="BK352" s="38">
        <f t="shared" si="213"/>
        <v>0</v>
      </c>
      <c r="BL352" s="38">
        <f t="shared" si="213"/>
        <v>0</v>
      </c>
      <c r="BM352" s="38">
        <f t="shared" si="214"/>
        <v>0</v>
      </c>
      <c r="BN352" s="38">
        <f t="shared" si="214"/>
        <v>0</v>
      </c>
      <c r="BO352" s="38">
        <f t="shared" si="214"/>
        <v>0</v>
      </c>
      <c r="BP352" s="38">
        <f t="shared" si="214"/>
        <v>0</v>
      </c>
      <c r="BQ352" s="38">
        <f t="shared" si="214"/>
        <v>0</v>
      </c>
      <c r="BR352" s="38">
        <f t="shared" si="214"/>
        <v>0</v>
      </c>
      <c r="BS352" s="38">
        <f t="shared" si="214"/>
        <v>0</v>
      </c>
      <c r="BT352" s="38">
        <f t="shared" si="214"/>
        <v>0</v>
      </c>
      <c r="BU352" s="38">
        <f t="shared" si="214"/>
        <v>0</v>
      </c>
      <c r="BV352" s="38">
        <f t="shared" si="214"/>
        <v>0</v>
      </c>
      <c r="BX352" s="106"/>
      <c r="BY352" s="106"/>
      <c r="BZ352" s="106"/>
      <c r="CA352" s="106"/>
      <c r="CB352" s="38">
        <f>IF('Fin Stat'!CB$212&lt;$E352, 1, 0)</f>
        <v>1</v>
      </c>
      <c r="CC352" s="38">
        <f>IF('Fin Stat'!CC$212&lt;$E352, 1, 0)</f>
        <v>1</v>
      </c>
      <c r="CD352" s="38">
        <f>IF('Fin Stat'!CD$212&lt;$E352, 1, 0)</f>
        <v>1</v>
      </c>
      <c r="CE352" s="38">
        <f>IF('Fin Stat'!CE$212&lt;$E352, 1, 0)</f>
        <v>1</v>
      </c>
      <c r="CF352" s="38">
        <f>IF('Fin Stat'!CF$212&lt;$E352, 1, 0)</f>
        <v>1</v>
      </c>
      <c r="CG352" s="38">
        <f>IF('Fin Stat'!CG$212&lt;$E352, 1, 0)</f>
        <v>1</v>
      </c>
      <c r="CH352" s="38">
        <f>IF('Fin Stat'!CH$212&lt;$E352, 1, 0)</f>
        <v>1</v>
      </c>
      <c r="CI352" s="38">
        <f>IF('Fin Stat'!CI$212&lt;$E352, 1, 0)</f>
        <v>1</v>
      </c>
      <c r="CK352" s="11"/>
      <c r="CM352" s="11"/>
      <c r="EX352" s="10" t="str">
        <f t="shared" si="210"/>
        <v/>
      </c>
    </row>
    <row r="353" spans="2:154" x14ac:dyDescent="0.35">
      <c r="B353" t="str">
        <f ca="1">Loans!B$22</f>
        <v>Loan 10</v>
      </c>
      <c r="D353" s="51">
        <f>Loans!D$22</f>
        <v>0</v>
      </c>
      <c r="E353" s="32" t="str">
        <f>IF(Loans!N22="", "", Loans!N22)</f>
        <v/>
      </c>
      <c r="V353" s="106"/>
      <c r="W353" s="106"/>
      <c r="X353" s="106"/>
      <c r="Y353" s="106"/>
      <c r="AA353" s="38">
        <f t="shared" si="211"/>
        <v>0</v>
      </c>
      <c r="AB353" s="38">
        <f t="shared" si="211"/>
        <v>0</v>
      </c>
      <c r="AC353" s="38">
        <f t="shared" si="211"/>
        <v>0</v>
      </c>
      <c r="AD353" s="38">
        <f t="shared" si="211"/>
        <v>0</v>
      </c>
      <c r="AE353" s="38">
        <f t="shared" si="211"/>
        <v>0</v>
      </c>
      <c r="AF353" s="38">
        <f t="shared" si="211"/>
        <v>0</v>
      </c>
      <c r="AG353" s="38">
        <f t="shared" si="211"/>
        <v>0</v>
      </c>
      <c r="AH353" s="38">
        <f t="shared" si="211"/>
        <v>0</v>
      </c>
      <c r="AI353" s="38">
        <f t="shared" si="211"/>
        <v>0</v>
      </c>
      <c r="AJ353" s="38">
        <f t="shared" si="211"/>
        <v>0</v>
      </c>
      <c r="AK353" s="38">
        <f t="shared" si="212"/>
        <v>0</v>
      </c>
      <c r="AL353" s="38">
        <f t="shared" si="212"/>
        <v>0</v>
      </c>
      <c r="AM353" s="38">
        <f t="shared" si="212"/>
        <v>0</v>
      </c>
      <c r="AN353" s="38">
        <f t="shared" si="212"/>
        <v>0</v>
      </c>
      <c r="AO353" s="38">
        <f t="shared" si="212"/>
        <v>0</v>
      </c>
      <c r="AP353" s="38">
        <f t="shared" si="212"/>
        <v>0</v>
      </c>
      <c r="AQ353" s="38">
        <f t="shared" si="212"/>
        <v>0</v>
      </c>
      <c r="AR353" s="38">
        <f t="shared" si="212"/>
        <v>0</v>
      </c>
      <c r="AS353" s="38">
        <f t="shared" si="212"/>
        <v>0</v>
      </c>
      <c r="AT353" s="38">
        <f t="shared" si="212"/>
        <v>0</v>
      </c>
      <c r="AU353" s="38">
        <f t="shared" si="212"/>
        <v>0</v>
      </c>
      <c r="AV353" s="38">
        <f t="shared" si="212"/>
        <v>0</v>
      </c>
      <c r="AW353" s="38">
        <f t="shared" si="212"/>
        <v>0</v>
      </c>
      <c r="AX353" s="38">
        <f t="shared" si="212"/>
        <v>0</v>
      </c>
      <c r="AY353" s="38">
        <f t="shared" si="212"/>
        <v>0</v>
      </c>
      <c r="AZ353" s="38">
        <f t="shared" si="215"/>
        <v>0</v>
      </c>
      <c r="BA353" s="38">
        <f t="shared" si="215"/>
        <v>0</v>
      </c>
      <c r="BB353" s="38">
        <f t="shared" si="215"/>
        <v>0</v>
      </c>
      <c r="BC353" s="38">
        <f t="shared" si="213"/>
        <v>0</v>
      </c>
      <c r="BD353" s="38">
        <f t="shared" si="213"/>
        <v>0</v>
      </c>
      <c r="BE353" s="38">
        <f t="shared" si="213"/>
        <v>0</v>
      </c>
      <c r="BF353" s="38">
        <f t="shared" si="213"/>
        <v>0</v>
      </c>
      <c r="BG353" s="38">
        <f t="shared" si="213"/>
        <v>0</v>
      </c>
      <c r="BH353" s="38">
        <f t="shared" si="213"/>
        <v>0</v>
      </c>
      <c r="BI353" s="38">
        <f t="shared" si="213"/>
        <v>0</v>
      </c>
      <c r="BJ353" s="38">
        <f t="shared" si="213"/>
        <v>0</v>
      </c>
      <c r="BK353" s="38">
        <f t="shared" si="213"/>
        <v>0</v>
      </c>
      <c r="BL353" s="38">
        <f t="shared" si="213"/>
        <v>0</v>
      </c>
      <c r="BM353" s="38">
        <f t="shared" si="214"/>
        <v>0</v>
      </c>
      <c r="BN353" s="38">
        <f t="shared" si="214"/>
        <v>0</v>
      </c>
      <c r="BO353" s="38">
        <f t="shared" si="214"/>
        <v>0</v>
      </c>
      <c r="BP353" s="38">
        <f t="shared" si="214"/>
        <v>0</v>
      </c>
      <c r="BQ353" s="38">
        <f t="shared" si="214"/>
        <v>0</v>
      </c>
      <c r="BR353" s="38">
        <f t="shared" si="214"/>
        <v>0</v>
      </c>
      <c r="BS353" s="38">
        <f t="shared" si="214"/>
        <v>0</v>
      </c>
      <c r="BT353" s="38">
        <f t="shared" si="214"/>
        <v>0</v>
      </c>
      <c r="BU353" s="38">
        <f t="shared" si="214"/>
        <v>0</v>
      </c>
      <c r="BV353" s="38">
        <f t="shared" si="214"/>
        <v>0</v>
      </c>
      <c r="BX353" s="106"/>
      <c r="BY353" s="106"/>
      <c r="BZ353" s="106"/>
      <c r="CA353" s="106"/>
      <c r="CB353" s="38">
        <f>IF('Fin Stat'!CB$212&lt;$E353, 1, 0)</f>
        <v>1</v>
      </c>
      <c r="CC353" s="38">
        <f>IF('Fin Stat'!CC$212&lt;$E353, 1, 0)</f>
        <v>1</v>
      </c>
      <c r="CD353" s="38">
        <f>IF('Fin Stat'!CD$212&lt;$E353, 1, 0)</f>
        <v>1</v>
      </c>
      <c r="CE353" s="38">
        <f>IF('Fin Stat'!CE$212&lt;$E353, 1, 0)</f>
        <v>1</v>
      </c>
      <c r="CF353" s="38">
        <f>IF('Fin Stat'!CF$212&lt;$E353, 1, 0)</f>
        <v>1</v>
      </c>
      <c r="CG353" s="38">
        <f>IF('Fin Stat'!CG$212&lt;$E353, 1, 0)</f>
        <v>1</v>
      </c>
      <c r="CH353" s="38">
        <f>IF('Fin Stat'!CH$212&lt;$E353, 1, 0)</f>
        <v>1</v>
      </c>
      <c r="CI353" s="38">
        <f>IF('Fin Stat'!CI$212&lt;$E353, 1, 0)</f>
        <v>1</v>
      </c>
      <c r="CK353" s="11"/>
      <c r="CM353" s="11"/>
      <c r="EX353" s="10" t="str">
        <f t="shared" si="210"/>
        <v/>
      </c>
    </row>
    <row r="354" spans="2:154" x14ac:dyDescent="0.35">
      <c r="B354" t="str">
        <f ca="1">Loans!B$23</f>
        <v>Loan 11</v>
      </c>
      <c r="D354" s="51">
        <f>Loans!D$23</f>
        <v>0</v>
      </c>
      <c r="E354" s="32" t="str">
        <f>IF(Loans!N23="", "", Loans!N23)</f>
        <v/>
      </c>
      <c r="V354" s="106"/>
      <c r="W354" s="106"/>
      <c r="X354" s="106"/>
      <c r="Y354" s="106"/>
      <c r="AA354" s="38">
        <f t="shared" ref="AA354:AJ363" si="216">IF($E354="", 0, IF(AND($E354&gt;=AA$8, $E354&lt;=AA$5), 1, 0))</f>
        <v>0</v>
      </c>
      <c r="AB354" s="38">
        <f t="shared" si="216"/>
        <v>0</v>
      </c>
      <c r="AC354" s="38">
        <f t="shared" si="216"/>
        <v>0</v>
      </c>
      <c r="AD354" s="38">
        <f t="shared" si="216"/>
        <v>0</v>
      </c>
      <c r="AE354" s="38">
        <f t="shared" si="216"/>
        <v>0</v>
      </c>
      <c r="AF354" s="38">
        <f t="shared" si="216"/>
        <v>0</v>
      </c>
      <c r="AG354" s="38">
        <f t="shared" si="216"/>
        <v>0</v>
      </c>
      <c r="AH354" s="38">
        <f t="shared" si="216"/>
        <v>0</v>
      </c>
      <c r="AI354" s="38">
        <f t="shared" si="216"/>
        <v>0</v>
      </c>
      <c r="AJ354" s="38">
        <f t="shared" si="216"/>
        <v>0</v>
      </c>
      <c r="AK354" s="38">
        <f t="shared" ref="AK354:AY363" si="217">IF($E354="", 0, IF(AND($E354&gt;=AK$8, $E354&lt;=AK$5), 1, 0))</f>
        <v>0</v>
      </c>
      <c r="AL354" s="38">
        <f t="shared" si="217"/>
        <v>0</v>
      </c>
      <c r="AM354" s="38">
        <f t="shared" si="217"/>
        <v>0</v>
      </c>
      <c r="AN354" s="38">
        <f t="shared" si="217"/>
        <v>0</v>
      </c>
      <c r="AO354" s="38">
        <f t="shared" si="217"/>
        <v>0</v>
      </c>
      <c r="AP354" s="38">
        <f t="shared" si="217"/>
        <v>0</v>
      </c>
      <c r="AQ354" s="38">
        <f t="shared" si="217"/>
        <v>0</v>
      </c>
      <c r="AR354" s="38">
        <f t="shared" si="217"/>
        <v>0</v>
      </c>
      <c r="AS354" s="38">
        <f t="shared" si="217"/>
        <v>0</v>
      </c>
      <c r="AT354" s="38">
        <f t="shared" si="217"/>
        <v>0</v>
      </c>
      <c r="AU354" s="38">
        <f t="shared" si="217"/>
        <v>0</v>
      </c>
      <c r="AV354" s="38">
        <f t="shared" si="217"/>
        <v>0</v>
      </c>
      <c r="AW354" s="38">
        <f t="shared" si="217"/>
        <v>0</v>
      </c>
      <c r="AX354" s="38">
        <f t="shared" si="217"/>
        <v>0</v>
      </c>
      <c r="AY354" s="38">
        <f t="shared" si="217"/>
        <v>0</v>
      </c>
      <c r="AZ354" s="38">
        <f t="shared" si="215"/>
        <v>0</v>
      </c>
      <c r="BA354" s="38">
        <f t="shared" si="215"/>
        <v>0</v>
      </c>
      <c r="BB354" s="38">
        <f t="shared" si="215"/>
        <v>0</v>
      </c>
      <c r="BC354" s="38">
        <f t="shared" ref="BC354:BL363" si="218">IF($E354="", 0, IF(AND($E354&gt;=BC$8, $E354&lt;=BC$5), 1, 0))</f>
        <v>0</v>
      </c>
      <c r="BD354" s="38">
        <f t="shared" si="218"/>
        <v>0</v>
      </c>
      <c r="BE354" s="38">
        <f t="shared" si="218"/>
        <v>0</v>
      </c>
      <c r="BF354" s="38">
        <f t="shared" si="218"/>
        <v>0</v>
      </c>
      <c r="BG354" s="38">
        <f t="shared" si="218"/>
        <v>0</v>
      </c>
      <c r="BH354" s="38">
        <f t="shared" si="218"/>
        <v>0</v>
      </c>
      <c r="BI354" s="38">
        <f t="shared" si="218"/>
        <v>0</v>
      </c>
      <c r="BJ354" s="38">
        <f t="shared" si="218"/>
        <v>0</v>
      </c>
      <c r="BK354" s="38">
        <f t="shared" si="218"/>
        <v>0</v>
      </c>
      <c r="BL354" s="38">
        <f t="shared" si="218"/>
        <v>0</v>
      </c>
      <c r="BM354" s="38">
        <f t="shared" ref="BM354:BV363" si="219">IF($E354="", 0, IF(AND($E354&gt;=BM$8, $E354&lt;=BM$5), 1, 0))</f>
        <v>0</v>
      </c>
      <c r="BN354" s="38">
        <f t="shared" si="219"/>
        <v>0</v>
      </c>
      <c r="BO354" s="38">
        <f t="shared" si="219"/>
        <v>0</v>
      </c>
      <c r="BP354" s="38">
        <f t="shared" si="219"/>
        <v>0</v>
      </c>
      <c r="BQ354" s="38">
        <f t="shared" si="219"/>
        <v>0</v>
      </c>
      <c r="BR354" s="38">
        <f t="shared" si="219"/>
        <v>0</v>
      </c>
      <c r="BS354" s="38">
        <f t="shared" si="219"/>
        <v>0</v>
      </c>
      <c r="BT354" s="38">
        <f t="shared" si="219"/>
        <v>0</v>
      </c>
      <c r="BU354" s="38">
        <f t="shared" si="219"/>
        <v>0</v>
      </c>
      <c r="BV354" s="38">
        <f t="shared" si="219"/>
        <v>0</v>
      </c>
      <c r="BX354" s="106"/>
      <c r="BY354" s="106"/>
      <c r="BZ354" s="106"/>
      <c r="CA354" s="106"/>
      <c r="CB354" s="38">
        <f>IF('Fin Stat'!CB$212&lt;$E354, 1, 0)</f>
        <v>1</v>
      </c>
      <c r="CC354" s="38">
        <f>IF('Fin Stat'!CC$212&lt;$E354, 1, 0)</f>
        <v>1</v>
      </c>
      <c r="CD354" s="38">
        <f>IF('Fin Stat'!CD$212&lt;$E354, 1, 0)</f>
        <v>1</v>
      </c>
      <c r="CE354" s="38">
        <f>IF('Fin Stat'!CE$212&lt;$E354, 1, 0)</f>
        <v>1</v>
      </c>
      <c r="CF354" s="38">
        <f>IF('Fin Stat'!CF$212&lt;$E354, 1, 0)</f>
        <v>1</v>
      </c>
      <c r="CG354" s="38">
        <f>IF('Fin Stat'!CG$212&lt;$E354, 1, 0)</f>
        <v>1</v>
      </c>
      <c r="CH354" s="38">
        <f>IF('Fin Stat'!CH$212&lt;$E354, 1, 0)</f>
        <v>1</v>
      </c>
      <c r="CI354" s="38">
        <f>IF('Fin Stat'!CI$212&lt;$E354, 1, 0)</f>
        <v>1</v>
      </c>
      <c r="CK354" s="11"/>
      <c r="CM354" s="11"/>
      <c r="EX354" s="10" t="str">
        <f t="shared" si="210"/>
        <v/>
      </c>
    </row>
    <row r="355" spans="2:154" x14ac:dyDescent="0.35">
      <c r="B355" t="str">
        <f ca="1">Loans!B$24</f>
        <v>Loan 12</v>
      </c>
      <c r="D355" s="51">
        <f>Loans!D$24</f>
        <v>0</v>
      </c>
      <c r="E355" s="32" t="str">
        <f>IF(Loans!N24="", "", Loans!N24)</f>
        <v/>
      </c>
      <c r="V355" s="106"/>
      <c r="W355" s="106"/>
      <c r="X355" s="106"/>
      <c r="Y355" s="106"/>
      <c r="AA355" s="38">
        <f t="shared" si="216"/>
        <v>0</v>
      </c>
      <c r="AB355" s="38">
        <f t="shared" si="216"/>
        <v>0</v>
      </c>
      <c r="AC355" s="38">
        <f t="shared" si="216"/>
        <v>0</v>
      </c>
      <c r="AD355" s="38">
        <f t="shared" si="216"/>
        <v>0</v>
      </c>
      <c r="AE355" s="38">
        <f t="shared" si="216"/>
        <v>0</v>
      </c>
      <c r="AF355" s="38">
        <f t="shared" si="216"/>
        <v>0</v>
      </c>
      <c r="AG355" s="38">
        <f t="shared" si="216"/>
        <v>0</v>
      </c>
      <c r="AH355" s="38">
        <f t="shared" si="216"/>
        <v>0</v>
      </c>
      <c r="AI355" s="38">
        <f t="shared" si="216"/>
        <v>0</v>
      </c>
      <c r="AJ355" s="38">
        <f t="shared" si="216"/>
        <v>0</v>
      </c>
      <c r="AK355" s="38">
        <f t="shared" si="217"/>
        <v>0</v>
      </c>
      <c r="AL355" s="38">
        <f t="shared" si="217"/>
        <v>0</v>
      </c>
      <c r="AM355" s="38">
        <f t="shared" si="217"/>
        <v>0</v>
      </c>
      <c r="AN355" s="38">
        <f t="shared" si="217"/>
        <v>0</v>
      </c>
      <c r="AO355" s="38">
        <f t="shared" si="217"/>
        <v>0</v>
      </c>
      <c r="AP355" s="38">
        <f t="shared" si="217"/>
        <v>0</v>
      </c>
      <c r="AQ355" s="38">
        <f t="shared" si="217"/>
        <v>0</v>
      </c>
      <c r="AR355" s="38">
        <f t="shared" si="217"/>
        <v>0</v>
      </c>
      <c r="AS355" s="38">
        <f t="shared" si="217"/>
        <v>0</v>
      </c>
      <c r="AT355" s="38">
        <f t="shared" si="217"/>
        <v>0</v>
      </c>
      <c r="AU355" s="38">
        <f t="shared" si="217"/>
        <v>0</v>
      </c>
      <c r="AV355" s="38">
        <f t="shared" si="217"/>
        <v>0</v>
      </c>
      <c r="AW355" s="38">
        <f t="shared" si="217"/>
        <v>0</v>
      </c>
      <c r="AX355" s="38">
        <f t="shared" si="217"/>
        <v>0</v>
      </c>
      <c r="AY355" s="38">
        <f t="shared" si="217"/>
        <v>0</v>
      </c>
      <c r="AZ355" s="38">
        <f t="shared" si="215"/>
        <v>0</v>
      </c>
      <c r="BA355" s="38">
        <f t="shared" si="215"/>
        <v>0</v>
      </c>
      <c r="BB355" s="38">
        <f t="shared" si="215"/>
        <v>0</v>
      </c>
      <c r="BC355" s="38">
        <f t="shared" si="218"/>
        <v>0</v>
      </c>
      <c r="BD355" s="38">
        <f t="shared" si="218"/>
        <v>0</v>
      </c>
      <c r="BE355" s="38">
        <f t="shared" si="218"/>
        <v>0</v>
      </c>
      <c r="BF355" s="38">
        <f t="shared" si="218"/>
        <v>0</v>
      </c>
      <c r="BG355" s="38">
        <f t="shared" si="218"/>
        <v>0</v>
      </c>
      <c r="BH355" s="38">
        <f t="shared" si="218"/>
        <v>0</v>
      </c>
      <c r="BI355" s="38">
        <f t="shared" si="218"/>
        <v>0</v>
      </c>
      <c r="BJ355" s="38">
        <f t="shared" si="218"/>
        <v>0</v>
      </c>
      <c r="BK355" s="38">
        <f t="shared" si="218"/>
        <v>0</v>
      </c>
      <c r="BL355" s="38">
        <f t="shared" si="218"/>
        <v>0</v>
      </c>
      <c r="BM355" s="38">
        <f t="shared" si="219"/>
        <v>0</v>
      </c>
      <c r="BN355" s="38">
        <f t="shared" si="219"/>
        <v>0</v>
      </c>
      <c r="BO355" s="38">
        <f t="shared" si="219"/>
        <v>0</v>
      </c>
      <c r="BP355" s="38">
        <f t="shared" si="219"/>
        <v>0</v>
      </c>
      <c r="BQ355" s="38">
        <f t="shared" si="219"/>
        <v>0</v>
      </c>
      <c r="BR355" s="38">
        <f t="shared" si="219"/>
        <v>0</v>
      </c>
      <c r="BS355" s="38">
        <f t="shared" si="219"/>
        <v>0</v>
      </c>
      <c r="BT355" s="38">
        <f t="shared" si="219"/>
        <v>0</v>
      </c>
      <c r="BU355" s="38">
        <f t="shared" si="219"/>
        <v>0</v>
      </c>
      <c r="BV355" s="38">
        <f t="shared" si="219"/>
        <v>0</v>
      </c>
      <c r="BX355" s="106"/>
      <c r="BY355" s="106"/>
      <c r="BZ355" s="106"/>
      <c r="CA355" s="106"/>
      <c r="CB355" s="38">
        <f>IF('Fin Stat'!CB$212&lt;$E355, 1, 0)</f>
        <v>1</v>
      </c>
      <c r="CC355" s="38">
        <f>IF('Fin Stat'!CC$212&lt;$E355, 1, 0)</f>
        <v>1</v>
      </c>
      <c r="CD355" s="38">
        <f>IF('Fin Stat'!CD$212&lt;$E355, 1, 0)</f>
        <v>1</v>
      </c>
      <c r="CE355" s="38">
        <f>IF('Fin Stat'!CE$212&lt;$E355, 1, 0)</f>
        <v>1</v>
      </c>
      <c r="CF355" s="38">
        <f>IF('Fin Stat'!CF$212&lt;$E355, 1, 0)</f>
        <v>1</v>
      </c>
      <c r="CG355" s="38">
        <f>IF('Fin Stat'!CG$212&lt;$E355, 1, 0)</f>
        <v>1</v>
      </c>
      <c r="CH355" s="38">
        <f>IF('Fin Stat'!CH$212&lt;$E355, 1, 0)</f>
        <v>1</v>
      </c>
      <c r="CI355" s="38">
        <f>IF('Fin Stat'!CI$212&lt;$E355, 1, 0)</f>
        <v>1</v>
      </c>
      <c r="CK355" s="11"/>
      <c r="CM355" s="11"/>
      <c r="EX355" s="10" t="str">
        <f t="shared" si="210"/>
        <v/>
      </c>
    </row>
    <row r="356" spans="2:154" x14ac:dyDescent="0.35">
      <c r="B356" t="str">
        <f ca="1">Loans!B$25</f>
        <v>Loan 13</v>
      </c>
      <c r="D356" s="51">
        <f>Loans!D$25</f>
        <v>0</v>
      </c>
      <c r="E356" s="32" t="str">
        <f>IF(Loans!N25="", "", Loans!N25)</f>
        <v/>
      </c>
      <c r="V356" s="106"/>
      <c r="W356" s="106"/>
      <c r="X356" s="106"/>
      <c r="Y356" s="106"/>
      <c r="AA356" s="38">
        <f t="shared" si="216"/>
        <v>0</v>
      </c>
      <c r="AB356" s="38">
        <f t="shared" si="216"/>
        <v>0</v>
      </c>
      <c r="AC356" s="38">
        <f t="shared" si="216"/>
        <v>0</v>
      </c>
      <c r="AD356" s="38">
        <f t="shared" si="216"/>
        <v>0</v>
      </c>
      <c r="AE356" s="38">
        <f t="shared" si="216"/>
        <v>0</v>
      </c>
      <c r="AF356" s="38">
        <f t="shared" si="216"/>
        <v>0</v>
      </c>
      <c r="AG356" s="38">
        <f t="shared" si="216"/>
        <v>0</v>
      </c>
      <c r="AH356" s="38">
        <f t="shared" si="216"/>
        <v>0</v>
      </c>
      <c r="AI356" s="38">
        <f t="shared" si="216"/>
        <v>0</v>
      </c>
      <c r="AJ356" s="38">
        <f t="shared" si="216"/>
        <v>0</v>
      </c>
      <c r="AK356" s="38">
        <f t="shared" si="217"/>
        <v>0</v>
      </c>
      <c r="AL356" s="38">
        <f t="shared" si="217"/>
        <v>0</v>
      </c>
      <c r="AM356" s="38">
        <f t="shared" si="217"/>
        <v>0</v>
      </c>
      <c r="AN356" s="38">
        <f t="shared" si="217"/>
        <v>0</v>
      </c>
      <c r="AO356" s="38">
        <f t="shared" si="217"/>
        <v>0</v>
      </c>
      <c r="AP356" s="38">
        <f t="shared" si="217"/>
        <v>0</v>
      </c>
      <c r="AQ356" s="38">
        <f t="shared" si="217"/>
        <v>0</v>
      </c>
      <c r="AR356" s="38">
        <f t="shared" si="217"/>
        <v>0</v>
      </c>
      <c r="AS356" s="38">
        <f t="shared" si="217"/>
        <v>0</v>
      </c>
      <c r="AT356" s="38">
        <f t="shared" si="217"/>
        <v>0</v>
      </c>
      <c r="AU356" s="38">
        <f t="shared" si="217"/>
        <v>0</v>
      </c>
      <c r="AV356" s="38">
        <f t="shared" si="217"/>
        <v>0</v>
      </c>
      <c r="AW356" s="38">
        <f t="shared" si="217"/>
        <v>0</v>
      </c>
      <c r="AX356" s="38">
        <f t="shared" si="217"/>
        <v>0</v>
      </c>
      <c r="AY356" s="38">
        <f t="shared" si="217"/>
        <v>0</v>
      </c>
      <c r="AZ356" s="38">
        <f t="shared" si="215"/>
        <v>0</v>
      </c>
      <c r="BA356" s="38">
        <f t="shared" si="215"/>
        <v>0</v>
      </c>
      <c r="BB356" s="38">
        <f t="shared" si="215"/>
        <v>0</v>
      </c>
      <c r="BC356" s="38">
        <f t="shared" si="218"/>
        <v>0</v>
      </c>
      <c r="BD356" s="38">
        <f t="shared" si="218"/>
        <v>0</v>
      </c>
      <c r="BE356" s="38">
        <f t="shared" si="218"/>
        <v>0</v>
      </c>
      <c r="BF356" s="38">
        <f t="shared" si="218"/>
        <v>0</v>
      </c>
      <c r="BG356" s="38">
        <f t="shared" si="218"/>
        <v>0</v>
      </c>
      <c r="BH356" s="38">
        <f t="shared" si="218"/>
        <v>0</v>
      </c>
      <c r="BI356" s="38">
        <f t="shared" si="218"/>
        <v>0</v>
      </c>
      <c r="BJ356" s="38">
        <f t="shared" si="218"/>
        <v>0</v>
      </c>
      <c r="BK356" s="38">
        <f t="shared" si="218"/>
        <v>0</v>
      </c>
      <c r="BL356" s="38">
        <f t="shared" si="218"/>
        <v>0</v>
      </c>
      <c r="BM356" s="38">
        <f t="shared" si="219"/>
        <v>0</v>
      </c>
      <c r="BN356" s="38">
        <f t="shared" si="219"/>
        <v>0</v>
      </c>
      <c r="BO356" s="38">
        <f t="shared" si="219"/>
        <v>0</v>
      </c>
      <c r="BP356" s="38">
        <f t="shared" si="219"/>
        <v>0</v>
      </c>
      <c r="BQ356" s="38">
        <f t="shared" si="219"/>
        <v>0</v>
      </c>
      <c r="BR356" s="38">
        <f t="shared" si="219"/>
        <v>0</v>
      </c>
      <c r="BS356" s="38">
        <f t="shared" si="219"/>
        <v>0</v>
      </c>
      <c r="BT356" s="38">
        <f t="shared" si="219"/>
        <v>0</v>
      </c>
      <c r="BU356" s="38">
        <f t="shared" si="219"/>
        <v>0</v>
      </c>
      <c r="BV356" s="38">
        <f t="shared" si="219"/>
        <v>0</v>
      </c>
      <c r="BX356" s="106"/>
      <c r="BY356" s="106"/>
      <c r="BZ356" s="106"/>
      <c r="CA356" s="106"/>
      <c r="CB356" s="38">
        <f>IF('Fin Stat'!CB$212&lt;$E356, 1, 0)</f>
        <v>1</v>
      </c>
      <c r="CC356" s="38">
        <f>IF('Fin Stat'!CC$212&lt;$E356, 1, 0)</f>
        <v>1</v>
      </c>
      <c r="CD356" s="38">
        <f>IF('Fin Stat'!CD$212&lt;$E356, 1, 0)</f>
        <v>1</v>
      </c>
      <c r="CE356" s="38">
        <f>IF('Fin Stat'!CE$212&lt;$E356, 1, 0)</f>
        <v>1</v>
      </c>
      <c r="CF356" s="38">
        <f>IF('Fin Stat'!CF$212&lt;$E356, 1, 0)</f>
        <v>1</v>
      </c>
      <c r="CG356" s="38">
        <f>IF('Fin Stat'!CG$212&lt;$E356, 1, 0)</f>
        <v>1</v>
      </c>
      <c r="CH356" s="38">
        <f>IF('Fin Stat'!CH$212&lt;$E356, 1, 0)</f>
        <v>1</v>
      </c>
      <c r="CI356" s="38">
        <f>IF('Fin Stat'!CI$212&lt;$E356, 1, 0)</f>
        <v>1</v>
      </c>
      <c r="CK356" s="11"/>
      <c r="CM356" s="11"/>
      <c r="EX356" s="10" t="str">
        <f t="shared" si="210"/>
        <v/>
      </c>
    </row>
    <row r="357" spans="2:154" x14ac:dyDescent="0.35">
      <c r="B357" t="str">
        <f ca="1">Loans!B$26</f>
        <v>Loan 14</v>
      </c>
      <c r="D357" s="51">
        <f>Loans!D$26</f>
        <v>0</v>
      </c>
      <c r="E357" s="32" t="str">
        <f>IF(Loans!N26="", "", Loans!N26)</f>
        <v/>
      </c>
      <c r="V357" s="106"/>
      <c r="W357" s="106"/>
      <c r="X357" s="106"/>
      <c r="Y357" s="106"/>
      <c r="AA357" s="38">
        <f t="shared" si="216"/>
        <v>0</v>
      </c>
      <c r="AB357" s="38">
        <f t="shared" si="216"/>
        <v>0</v>
      </c>
      <c r="AC357" s="38">
        <f t="shared" si="216"/>
        <v>0</v>
      </c>
      <c r="AD357" s="38">
        <f t="shared" si="216"/>
        <v>0</v>
      </c>
      <c r="AE357" s="38">
        <f t="shared" si="216"/>
        <v>0</v>
      </c>
      <c r="AF357" s="38">
        <f t="shared" si="216"/>
        <v>0</v>
      </c>
      <c r="AG357" s="38">
        <f t="shared" si="216"/>
        <v>0</v>
      </c>
      <c r="AH357" s="38">
        <f t="shared" si="216"/>
        <v>0</v>
      </c>
      <c r="AI357" s="38">
        <f t="shared" si="216"/>
        <v>0</v>
      </c>
      <c r="AJ357" s="38">
        <f t="shared" si="216"/>
        <v>0</v>
      </c>
      <c r="AK357" s="38">
        <f t="shared" si="217"/>
        <v>0</v>
      </c>
      <c r="AL357" s="38">
        <f t="shared" si="217"/>
        <v>0</v>
      </c>
      <c r="AM357" s="38">
        <f t="shared" si="217"/>
        <v>0</v>
      </c>
      <c r="AN357" s="38">
        <f t="shared" si="217"/>
        <v>0</v>
      </c>
      <c r="AO357" s="38">
        <f t="shared" si="217"/>
        <v>0</v>
      </c>
      <c r="AP357" s="38">
        <f t="shared" si="217"/>
        <v>0</v>
      </c>
      <c r="AQ357" s="38">
        <f t="shared" si="217"/>
        <v>0</v>
      </c>
      <c r="AR357" s="38">
        <f t="shared" si="217"/>
        <v>0</v>
      </c>
      <c r="AS357" s="38">
        <f t="shared" si="217"/>
        <v>0</v>
      </c>
      <c r="AT357" s="38">
        <f t="shared" si="217"/>
        <v>0</v>
      </c>
      <c r="AU357" s="38">
        <f t="shared" si="217"/>
        <v>0</v>
      </c>
      <c r="AV357" s="38">
        <f t="shared" si="217"/>
        <v>0</v>
      </c>
      <c r="AW357" s="38">
        <f t="shared" si="217"/>
        <v>0</v>
      </c>
      <c r="AX357" s="38">
        <f t="shared" si="217"/>
        <v>0</v>
      </c>
      <c r="AY357" s="38">
        <f t="shared" si="217"/>
        <v>0</v>
      </c>
      <c r="AZ357" s="38">
        <f t="shared" si="215"/>
        <v>0</v>
      </c>
      <c r="BA357" s="38">
        <f t="shared" si="215"/>
        <v>0</v>
      </c>
      <c r="BB357" s="38">
        <f t="shared" si="215"/>
        <v>0</v>
      </c>
      <c r="BC357" s="38">
        <f t="shared" si="218"/>
        <v>0</v>
      </c>
      <c r="BD357" s="38">
        <f t="shared" si="218"/>
        <v>0</v>
      </c>
      <c r="BE357" s="38">
        <f t="shared" si="218"/>
        <v>0</v>
      </c>
      <c r="BF357" s="38">
        <f t="shared" si="218"/>
        <v>0</v>
      </c>
      <c r="BG357" s="38">
        <f t="shared" si="218"/>
        <v>0</v>
      </c>
      <c r="BH357" s="38">
        <f t="shared" si="218"/>
        <v>0</v>
      </c>
      <c r="BI357" s="38">
        <f t="shared" si="218"/>
        <v>0</v>
      </c>
      <c r="BJ357" s="38">
        <f t="shared" si="218"/>
        <v>0</v>
      </c>
      <c r="BK357" s="38">
        <f t="shared" si="218"/>
        <v>0</v>
      </c>
      <c r="BL357" s="38">
        <f t="shared" si="218"/>
        <v>0</v>
      </c>
      <c r="BM357" s="38">
        <f t="shared" si="219"/>
        <v>0</v>
      </c>
      <c r="BN357" s="38">
        <f t="shared" si="219"/>
        <v>0</v>
      </c>
      <c r="BO357" s="38">
        <f t="shared" si="219"/>
        <v>0</v>
      </c>
      <c r="BP357" s="38">
        <f t="shared" si="219"/>
        <v>0</v>
      </c>
      <c r="BQ357" s="38">
        <f t="shared" si="219"/>
        <v>0</v>
      </c>
      <c r="BR357" s="38">
        <f t="shared" si="219"/>
        <v>0</v>
      </c>
      <c r="BS357" s="38">
        <f t="shared" si="219"/>
        <v>0</v>
      </c>
      <c r="BT357" s="38">
        <f t="shared" si="219"/>
        <v>0</v>
      </c>
      <c r="BU357" s="38">
        <f t="shared" si="219"/>
        <v>0</v>
      </c>
      <c r="BV357" s="38">
        <f t="shared" si="219"/>
        <v>0</v>
      </c>
      <c r="BX357" s="106"/>
      <c r="BY357" s="106"/>
      <c r="BZ357" s="106"/>
      <c r="CA357" s="106"/>
      <c r="CB357" s="38">
        <f>IF('Fin Stat'!CB$212&lt;$E357, 1, 0)</f>
        <v>1</v>
      </c>
      <c r="CC357" s="38">
        <f>IF('Fin Stat'!CC$212&lt;$E357, 1, 0)</f>
        <v>1</v>
      </c>
      <c r="CD357" s="38">
        <f>IF('Fin Stat'!CD$212&lt;$E357, 1, 0)</f>
        <v>1</v>
      </c>
      <c r="CE357" s="38">
        <f>IF('Fin Stat'!CE$212&lt;$E357, 1, 0)</f>
        <v>1</v>
      </c>
      <c r="CF357" s="38">
        <f>IF('Fin Stat'!CF$212&lt;$E357, 1, 0)</f>
        <v>1</v>
      </c>
      <c r="CG357" s="38">
        <f>IF('Fin Stat'!CG$212&lt;$E357, 1, 0)</f>
        <v>1</v>
      </c>
      <c r="CH357" s="38">
        <f>IF('Fin Stat'!CH$212&lt;$E357, 1, 0)</f>
        <v>1</v>
      </c>
      <c r="CI357" s="38">
        <f>IF('Fin Stat'!CI$212&lt;$E357, 1, 0)</f>
        <v>1</v>
      </c>
      <c r="CK357" s="11"/>
      <c r="CM357" s="11"/>
      <c r="EX357" s="10" t="str">
        <f t="shared" si="210"/>
        <v/>
      </c>
    </row>
    <row r="358" spans="2:154" x14ac:dyDescent="0.35">
      <c r="B358" t="str">
        <f ca="1">Loans!B$27</f>
        <v>Loan 15</v>
      </c>
      <c r="D358" s="51">
        <f>Loans!D$27</f>
        <v>0</v>
      </c>
      <c r="E358" s="32" t="str">
        <f>IF(Loans!N27="", "", Loans!N27)</f>
        <v/>
      </c>
      <c r="V358" s="106"/>
      <c r="W358" s="106"/>
      <c r="X358" s="106"/>
      <c r="Y358" s="106"/>
      <c r="AA358" s="38">
        <f t="shared" si="216"/>
        <v>0</v>
      </c>
      <c r="AB358" s="38">
        <f t="shared" si="216"/>
        <v>0</v>
      </c>
      <c r="AC358" s="38">
        <f t="shared" si="216"/>
        <v>0</v>
      </c>
      <c r="AD358" s="38">
        <f t="shared" si="216"/>
        <v>0</v>
      </c>
      <c r="AE358" s="38">
        <f t="shared" si="216"/>
        <v>0</v>
      </c>
      <c r="AF358" s="38">
        <f t="shared" si="216"/>
        <v>0</v>
      </c>
      <c r="AG358" s="38">
        <f t="shared" si="216"/>
        <v>0</v>
      </c>
      <c r="AH358" s="38">
        <f t="shared" si="216"/>
        <v>0</v>
      </c>
      <c r="AI358" s="38">
        <f t="shared" si="216"/>
        <v>0</v>
      </c>
      <c r="AJ358" s="38">
        <f t="shared" si="216"/>
        <v>0</v>
      </c>
      <c r="AK358" s="38">
        <f t="shared" si="217"/>
        <v>0</v>
      </c>
      <c r="AL358" s="38">
        <f t="shared" si="217"/>
        <v>0</v>
      </c>
      <c r="AM358" s="38">
        <f t="shared" si="217"/>
        <v>0</v>
      </c>
      <c r="AN358" s="38">
        <f t="shared" si="217"/>
        <v>0</v>
      </c>
      <c r="AO358" s="38">
        <f t="shared" si="217"/>
        <v>0</v>
      </c>
      <c r="AP358" s="38">
        <f t="shared" si="217"/>
        <v>0</v>
      </c>
      <c r="AQ358" s="38">
        <f t="shared" si="217"/>
        <v>0</v>
      </c>
      <c r="AR358" s="38">
        <f t="shared" si="217"/>
        <v>0</v>
      </c>
      <c r="AS358" s="38">
        <f t="shared" si="217"/>
        <v>0</v>
      </c>
      <c r="AT358" s="38">
        <f t="shared" si="217"/>
        <v>0</v>
      </c>
      <c r="AU358" s="38">
        <f t="shared" si="217"/>
        <v>0</v>
      </c>
      <c r="AV358" s="38">
        <f t="shared" si="217"/>
        <v>0</v>
      </c>
      <c r="AW358" s="38">
        <f t="shared" si="217"/>
        <v>0</v>
      </c>
      <c r="AX358" s="38">
        <f t="shared" si="217"/>
        <v>0</v>
      </c>
      <c r="AY358" s="38">
        <f t="shared" si="217"/>
        <v>0</v>
      </c>
      <c r="AZ358" s="38">
        <f t="shared" si="215"/>
        <v>0</v>
      </c>
      <c r="BA358" s="38">
        <f t="shared" si="215"/>
        <v>0</v>
      </c>
      <c r="BB358" s="38">
        <f t="shared" si="215"/>
        <v>0</v>
      </c>
      <c r="BC358" s="38">
        <f t="shared" si="218"/>
        <v>0</v>
      </c>
      <c r="BD358" s="38">
        <f t="shared" si="218"/>
        <v>0</v>
      </c>
      <c r="BE358" s="38">
        <f t="shared" si="218"/>
        <v>0</v>
      </c>
      <c r="BF358" s="38">
        <f t="shared" si="218"/>
        <v>0</v>
      </c>
      <c r="BG358" s="38">
        <f t="shared" si="218"/>
        <v>0</v>
      </c>
      <c r="BH358" s="38">
        <f t="shared" si="218"/>
        <v>0</v>
      </c>
      <c r="BI358" s="38">
        <f t="shared" si="218"/>
        <v>0</v>
      </c>
      <c r="BJ358" s="38">
        <f t="shared" si="218"/>
        <v>0</v>
      </c>
      <c r="BK358" s="38">
        <f t="shared" si="218"/>
        <v>0</v>
      </c>
      <c r="BL358" s="38">
        <f t="shared" si="218"/>
        <v>0</v>
      </c>
      <c r="BM358" s="38">
        <f t="shared" si="219"/>
        <v>0</v>
      </c>
      <c r="BN358" s="38">
        <f t="shared" si="219"/>
        <v>0</v>
      </c>
      <c r="BO358" s="38">
        <f t="shared" si="219"/>
        <v>0</v>
      </c>
      <c r="BP358" s="38">
        <f t="shared" si="219"/>
        <v>0</v>
      </c>
      <c r="BQ358" s="38">
        <f t="shared" si="219"/>
        <v>0</v>
      </c>
      <c r="BR358" s="38">
        <f t="shared" si="219"/>
        <v>0</v>
      </c>
      <c r="BS358" s="38">
        <f t="shared" si="219"/>
        <v>0</v>
      </c>
      <c r="BT358" s="38">
        <f t="shared" si="219"/>
        <v>0</v>
      </c>
      <c r="BU358" s="38">
        <f t="shared" si="219"/>
        <v>0</v>
      </c>
      <c r="BV358" s="38">
        <f t="shared" si="219"/>
        <v>0</v>
      </c>
      <c r="BX358" s="106"/>
      <c r="BY358" s="106"/>
      <c r="BZ358" s="106"/>
      <c r="CA358" s="106"/>
      <c r="CB358" s="38">
        <f>IF('Fin Stat'!CB$212&lt;$E358, 1, 0)</f>
        <v>1</v>
      </c>
      <c r="CC358" s="38">
        <f>IF('Fin Stat'!CC$212&lt;$E358, 1, 0)</f>
        <v>1</v>
      </c>
      <c r="CD358" s="38">
        <f>IF('Fin Stat'!CD$212&lt;$E358, 1, 0)</f>
        <v>1</v>
      </c>
      <c r="CE358" s="38">
        <f>IF('Fin Stat'!CE$212&lt;$E358, 1, 0)</f>
        <v>1</v>
      </c>
      <c r="CF358" s="38">
        <f>IF('Fin Stat'!CF$212&lt;$E358, 1, 0)</f>
        <v>1</v>
      </c>
      <c r="CG358" s="38">
        <f>IF('Fin Stat'!CG$212&lt;$E358, 1, 0)</f>
        <v>1</v>
      </c>
      <c r="CH358" s="38">
        <f>IF('Fin Stat'!CH$212&lt;$E358, 1, 0)</f>
        <v>1</v>
      </c>
      <c r="CI358" s="38">
        <f>IF('Fin Stat'!CI$212&lt;$E358, 1, 0)</f>
        <v>1</v>
      </c>
      <c r="CK358" s="11"/>
      <c r="CM358" s="11"/>
      <c r="EX358" s="10" t="str">
        <f t="shared" si="210"/>
        <v/>
      </c>
    </row>
    <row r="359" spans="2:154" x14ac:dyDescent="0.35">
      <c r="B359" t="str">
        <f ca="1">Loans!B$28</f>
        <v>Loan 16</v>
      </c>
      <c r="D359" s="51">
        <f>Loans!D$28</f>
        <v>0</v>
      </c>
      <c r="E359" s="32" t="str">
        <f>IF(Loans!N28="", "", Loans!N28)</f>
        <v/>
      </c>
      <c r="V359" s="106"/>
      <c r="W359" s="106"/>
      <c r="X359" s="106"/>
      <c r="Y359" s="106"/>
      <c r="AA359" s="38">
        <f t="shared" si="216"/>
        <v>0</v>
      </c>
      <c r="AB359" s="38">
        <f t="shared" si="216"/>
        <v>0</v>
      </c>
      <c r="AC359" s="38">
        <f t="shared" si="216"/>
        <v>0</v>
      </c>
      <c r="AD359" s="38">
        <f t="shared" si="216"/>
        <v>0</v>
      </c>
      <c r="AE359" s="38">
        <f t="shared" si="216"/>
        <v>0</v>
      </c>
      <c r="AF359" s="38">
        <f t="shared" si="216"/>
        <v>0</v>
      </c>
      <c r="AG359" s="38">
        <f t="shared" si="216"/>
        <v>0</v>
      </c>
      <c r="AH359" s="38">
        <f t="shared" si="216"/>
        <v>0</v>
      </c>
      <c r="AI359" s="38">
        <f t="shared" si="216"/>
        <v>0</v>
      </c>
      <c r="AJ359" s="38">
        <f t="shared" si="216"/>
        <v>0</v>
      </c>
      <c r="AK359" s="38">
        <f t="shared" si="217"/>
        <v>0</v>
      </c>
      <c r="AL359" s="38">
        <f t="shared" si="217"/>
        <v>0</v>
      </c>
      <c r="AM359" s="38">
        <f t="shared" si="217"/>
        <v>0</v>
      </c>
      <c r="AN359" s="38">
        <f t="shared" si="217"/>
        <v>0</v>
      </c>
      <c r="AO359" s="38">
        <f t="shared" si="217"/>
        <v>0</v>
      </c>
      <c r="AP359" s="38">
        <f t="shared" si="217"/>
        <v>0</v>
      </c>
      <c r="AQ359" s="38">
        <f t="shared" si="217"/>
        <v>0</v>
      </c>
      <c r="AR359" s="38">
        <f t="shared" si="217"/>
        <v>0</v>
      </c>
      <c r="AS359" s="38">
        <f t="shared" si="217"/>
        <v>0</v>
      </c>
      <c r="AT359" s="38">
        <f t="shared" si="217"/>
        <v>0</v>
      </c>
      <c r="AU359" s="38">
        <f t="shared" si="217"/>
        <v>0</v>
      </c>
      <c r="AV359" s="38">
        <f t="shared" si="217"/>
        <v>0</v>
      </c>
      <c r="AW359" s="38">
        <f t="shared" si="217"/>
        <v>0</v>
      </c>
      <c r="AX359" s="38">
        <f t="shared" si="217"/>
        <v>0</v>
      </c>
      <c r="AY359" s="38">
        <f t="shared" si="217"/>
        <v>0</v>
      </c>
      <c r="AZ359" s="38">
        <f t="shared" si="215"/>
        <v>0</v>
      </c>
      <c r="BA359" s="38">
        <f t="shared" si="215"/>
        <v>0</v>
      </c>
      <c r="BB359" s="38">
        <f t="shared" si="215"/>
        <v>0</v>
      </c>
      <c r="BC359" s="38">
        <f t="shared" si="218"/>
        <v>0</v>
      </c>
      <c r="BD359" s="38">
        <f t="shared" si="218"/>
        <v>0</v>
      </c>
      <c r="BE359" s="38">
        <f t="shared" si="218"/>
        <v>0</v>
      </c>
      <c r="BF359" s="38">
        <f t="shared" si="218"/>
        <v>0</v>
      </c>
      <c r="BG359" s="38">
        <f t="shared" si="218"/>
        <v>0</v>
      </c>
      <c r="BH359" s="38">
        <f t="shared" si="218"/>
        <v>0</v>
      </c>
      <c r="BI359" s="38">
        <f t="shared" si="218"/>
        <v>0</v>
      </c>
      <c r="BJ359" s="38">
        <f t="shared" si="218"/>
        <v>0</v>
      </c>
      <c r="BK359" s="38">
        <f t="shared" si="218"/>
        <v>0</v>
      </c>
      <c r="BL359" s="38">
        <f t="shared" si="218"/>
        <v>0</v>
      </c>
      <c r="BM359" s="38">
        <f t="shared" si="219"/>
        <v>0</v>
      </c>
      <c r="BN359" s="38">
        <f t="shared" si="219"/>
        <v>0</v>
      </c>
      <c r="BO359" s="38">
        <f t="shared" si="219"/>
        <v>0</v>
      </c>
      <c r="BP359" s="38">
        <f t="shared" si="219"/>
        <v>0</v>
      </c>
      <c r="BQ359" s="38">
        <f t="shared" si="219"/>
        <v>0</v>
      </c>
      <c r="BR359" s="38">
        <f t="shared" si="219"/>
        <v>0</v>
      </c>
      <c r="BS359" s="38">
        <f t="shared" si="219"/>
        <v>0</v>
      </c>
      <c r="BT359" s="38">
        <f t="shared" si="219"/>
        <v>0</v>
      </c>
      <c r="BU359" s="38">
        <f t="shared" si="219"/>
        <v>0</v>
      </c>
      <c r="BV359" s="38">
        <f t="shared" si="219"/>
        <v>0</v>
      </c>
      <c r="BX359" s="106"/>
      <c r="BY359" s="106"/>
      <c r="BZ359" s="106"/>
      <c r="CA359" s="106"/>
      <c r="CB359" s="38">
        <f>IF('Fin Stat'!CB$212&lt;$E359, 1, 0)</f>
        <v>1</v>
      </c>
      <c r="CC359" s="38">
        <f>IF('Fin Stat'!CC$212&lt;$E359, 1, 0)</f>
        <v>1</v>
      </c>
      <c r="CD359" s="38">
        <f>IF('Fin Stat'!CD$212&lt;$E359, 1, 0)</f>
        <v>1</v>
      </c>
      <c r="CE359" s="38">
        <f>IF('Fin Stat'!CE$212&lt;$E359, 1, 0)</f>
        <v>1</v>
      </c>
      <c r="CF359" s="38">
        <f>IF('Fin Stat'!CF$212&lt;$E359, 1, 0)</f>
        <v>1</v>
      </c>
      <c r="CG359" s="38">
        <f>IF('Fin Stat'!CG$212&lt;$E359, 1, 0)</f>
        <v>1</v>
      </c>
      <c r="CH359" s="38">
        <f>IF('Fin Stat'!CH$212&lt;$E359, 1, 0)</f>
        <v>1</v>
      </c>
      <c r="CI359" s="38">
        <f>IF('Fin Stat'!CI$212&lt;$E359, 1, 0)</f>
        <v>1</v>
      </c>
      <c r="CK359" s="11"/>
      <c r="CM359" s="11"/>
      <c r="EX359" s="10" t="str">
        <f t="shared" si="210"/>
        <v/>
      </c>
    </row>
    <row r="360" spans="2:154" x14ac:dyDescent="0.35">
      <c r="B360" t="str">
        <f ca="1">Loans!B$29</f>
        <v>Loan 17</v>
      </c>
      <c r="D360" s="51">
        <f>Loans!D$29</f>
        <v>0</v>
      </c>
      <c r="E360" s="32" t="str">
        <f>IF(Loans!N29="", "", Loans!N29)</f>
        <v/>
      </c>
      <c r="V360" s="106"/>
      <c r="W360" s="106"/>
      <c r="X360" s="106"/>
      <c r="Y360" s="106"/>
      <c r="AA360" s="38">
        <f t="shared" si="216"/>
        <v>0</v>
      </c>
      <c r="AB360" s="38">
        <f t="shared" si="216"/>
        <v>0</v>
      </c>
      <c r="AC360" s="38">
        <f t="shared" si="216"/>
        <v>0</v>
      </c>
      <c r="AD360" s="38">
        <f t="shared" si="216"/>
        <v>0</v>
      </c>
      <c r="AE360" s="38">
        <f t="shared" si="216"/>
        <v>0</v>
      </c>
      <c r="AF360" s="38">
        <f t="shared" si="216"/>
        <v>0</v>
      </c>
      <c r="AG360" s="38">
        <f t="shared" si="216"/>
        <v>0</v>
      </c>
      <c r="AH360" s="38">
        <f t="shared" si="216"/>
        <v>0</v>
      </c>
      <c r="AI360" s="38">
        <f t="shared" si="216"/>
        <v>0</v>
      </c>
      <c r="AJ360" s="38">
        <f t="shared" si="216"/>
        <v>0</v>
      </c>
      <c r="AK360" s="38">
        <f t="shared" si="217"/>
        <v>0</v>
      </c>
      <c r="AL360" s="38">
        <f t="shared" si="217"/>
        <v>0</v>
      </c>
      <c r="AM360" s="38">
        <f t="shared" si="217"/>
        <v>0</v>
      </c>
      <c r="AN360" s="38">
        <f t="shared" si="217"/>
        <v>0</v>
      </c>
      <c r="AO360" s="38">
        <f t="shared" si="217"/>
        <v>0</v>
      </c>
      <c r="AP360" s="38">
        <f t="shared" si="217"/>
        <v>0</v>
      </c>
      <c r="AQ360" s="38">
        <f t="shared" si="217"/>
        <v>0</v>
      </c>
      <c r="AR360" s="38">
        <f t="shared" si="217"/>
        <v>0</v>
      </c>
      <c r="AS360" s="38">
        <f t="shared" si="217"/>
        <v>0</v>
      </c>
      <c r="AT360" s="38">
        <f t="shared" si="217"/>
        <v>0</v>
      </c>
      <c r="AU360" s="38">
        <f t="shared" si="217"/>
        <v>0</v>
      </c>
      <c r="AV360" s="38">
        <f t="shared" si="217"/>
        <v>0</v>
      </c>
      <c r="AW360" s="38">
        <f t="shared" si="217"/>
        <v>0</v>
      </c>
      <c r="AX360" s="38">
        <f t="shared" si="217"/>
        <v>0</v>
      </c>
      <c r="AY360" s="38">
        <f t="shared" si="217"/>
        <v>0</v>
      </c>
      <c r="AZ360" s="38">
        <f t="shared" si="215"/>
        <v>0</v>
      </c>
      <c r="BA360" s="38">
        <f t="shared" si="215"/>
        <v>0</v>
      </c>
      <c r="BB360" s="38">
        <f t="shared" si="215"/>
        <v>0</v>
      </c>
      <c r="BC360" s="38">
        <f t="shared" si="218"/>
        <v>0</v>
      </c>
      <c r="BD360" s="38">
        <f t="shared" si="218"/>
        <v>0</v>
      </c>
      <c r="BE360" s="38">
        <f t="shared" si="218"/>
        <v>0</v>
      </c>
      <c r="BF360" s="38">
        <f t="shared" si="218"/>
        <v>0</v>
      </c>
      <c r="BG360" s="38">
        <f t="shared" si="218"/>
        <v>0</v>
      </c>
      <c r="BH360" s="38">
        <f t="shared" si="218"/>
        <v>0</v>
      </c>
      <c r="BI360" s="38">
        <f t="shared" si="218"/>
        <v>0</v>
      </c>
      <c r="BJ360" s="38">
        <f t="shared" si="218"/>
        <v>0</v>
      </c>
      <c r="BK360" s="38">
        <f t="shared" si="218"/>
        <v>0</v>
      </c>
      <c r="BL360" s="38">
        <f t="shared" si="218"/>
        <v>0</v>
      </c>
      <c r="BM360" s="38">
        <f t="shared" si="219"/>
        <v>0</v>
      </c>
      <c r="BN360" s="38">
        <f t="shared" si="219"/>
        <v>0</v>
      </c>
      <c r="BO360" s="38">
        <f t="shared" si="219"/>
        <v>0</v>
      </c>
      <c r="BP360" s="38">
        <f t="shared" si="219"/>
        <v>0</v>
      </c>
      <c r="BQ360" s="38">
        <f t="shared" si="219"/>
        <v>0</v>
      </c>
      <c r="BR360" s="38">
        <f t="shared" si="219"/>
        <v>0</v>
      </c>
      <c r="BS360" s="38">
        <f t="shared" si="219"/>
        <v>0</v>
      </c>
      <c r="BT360" s="38">
        <f t="shared" si="219"/>
        <v>0</v>
      </c>
      <c r="BU360" s="38">
        <f t="shared" si="219"/>
        <v>0</v>
      </c>
      <c r="BV360" s="38">
        <f t="shared" si="219"/>
        <v>0</v>
      </c>
      <c r="BX360" s="106"/>
      <c r="BY360" s="106"/>
      <c r="BZ360" s="106"/>
      <c r="CA360" s="106"/>
      <c r="CB360" s="38">
        <f>IF('Fin Stat'!CB$212&lt;$E360, 1, 0)</f>
        <v>1</v>
      </c>
      <c r="CC360" s="38">
        <f>IF('Fin Stat'!CC$212&lt;$E360, 1, 0)</f>
        <v>1</v>
      </c>
      <c r="CD360" s="38">
        <f>IF('Fin Stat'!CD$212&lt;$E360, 1, 0)</f>
        <v>1</v>
      </c>
      <c r="CE360" s="38">
        <f>IF('Fin Stat'!CE$212&lt;$E360, 1, 0)</f>
        <v>1</v>
      </c>
      <c r="CF360" s="38">
        <f>IF('Fin Stat'!CF$212&lt;$E360, 1, 0)</f>
        <v>1</v>
      </c>
      <c r="CG360" s="38">
        <f>IF('Fin Stat'!CG$212&lt;$E360, 1, 0)</f>
        <v>1</v>
      </c>
      <c r="CH360" s="38">
        <f>IF('Fin Stat'!CH$212&lt;$E360, 1, 0)</f>
        <v>1</v>
      </c>
      <c r="CI360" s="38">
        <f>IF('Fin Stat'!CI$212&lt;$E360, 1, 0)</f>
        <v>1</v>
      </c>
      <c r="CK360" s="11"/>
      <c r="CM360" s="11"/>
      <c r="EX360" s="10" t="str">
        <f t="shared" si="210"/>
        <v/>
      </c>
    </row>
    <row r="361" spans="2:154" x14ac:dyDescent="0.35">
      <c r="B361" t="str">
        <f ca="1">Loans!B$30</f>
        <v>Loan 18</v>
      </c>
      <c r="D361" s="51">
        <f>Loans!D$30</f>
        <v>0</v>
      </c>
      <c r="E361" s="32" t="str">
        <f>IF(Loans!N30="", "", Loans!N30)</f>
        <v/>
      </c>
      <c r="V361" s="106"/>
      <c r="W361" s="106"/>
      <c r="X361" s="106"/>
      <c r="Y361" s="106"/>
      <c r="AA361" s="38">
        <f t="shared" si="216"/>
        <v>0</v>
      </c>
      <c r="AB361" s="38">
        <f t="shared" si="216"/>
        <v>0</v>
      </c>
      <c r="AC361" s="38">
        <f t="shared" si="216"/>
        <v>0</v>
      </c>
      <c r="AD361" s="38">
        <f t="shared" si="216"/>
        <v>0</v>
      </c>
      <c r="AE361" s="38">
        <f t="shared" si="216"/>
        <v>0</v>
      </c>
      <c r="AF361" s="38">
        <f t="shared" si="216"/>
        <v>0</v>
      </c>
      <c r="AG361" s="38">
        <f t="shared" si="216"/>
        <v>0</v>
      </c>
      <c r="AH361" s="38">
        <f t="shared" si="216"/>
        <v>0</v>
      </c>
      <c r="AI361" s="38">
        <f t="shared" si="216"/>
        <v>0</v>
      </c>
      <c r="AJ361" s="38">
        <f t="shared" si="216"/>
        <v>0</v>
      </c>
      <c r="AK361" s="38">
        <f t="shared" si="217"/>
        <v>0</v>
      </c>
      <c r="AL361" s="38">
        <f t="shared" si="217"/>
        <v>0</v>
      </c>
      <c r="AM361" s="38">
        <f t="shared" si="217"/>
        <v>0</v>
      </c>
      <c r="AN361" s="38">
        <f t="shared" si="217"/>
        <v>0</v>
      </c>
      <c r="AO361" s="38">
        <f t="shared" si="217"/>
        <v>0</v>
      </c>
      <c r="AP361" s="38">
        <f t="shared" si="217"/>
        <v>0</v>
      </c>
      <c r="AQ361" s="38">
        <f t="shared" si="217"/>
        <v>0</v>
      </c>
      <c r="AR361" s="38">
        <f t="shared" si="217"/>
        <v>0</v>
      </c>
      <c r="AS361" s="38">
        <f t="shared" si="217"/>
        <v>0</v>
      </c>
      <c r="AT361" s="38">
        <f t="shared" si="217"/>
        <v>0</v>
      </c>
      <c r="AU361" s="38">
        <f t="shared" si="217"/>
        <v>0</v>
      </c>
      <c r="AV361" s="38">
        <f t="shared" si="217"/>
        <v>0</v>
      </c>
      <c r="AW361" s="38">
        <f t="shared" si="217"/>
        <v>0</v>
      </c>
      <c r="AX361" s="38">
        <f t="shared" si="217"/>
        <v>0</v>
      </c>
      <c r="AY361" s="38">
        <f t="shared" si="217"/>
        <v>0</v>
      </c>
      <c r="AZ361" s="38">
        <f t="shared" si="215"/>
        <v>0</v>
      </c>
      <c r="BA361" s="38">
        <f t="shared" si="215"/>
        <v>0</v>
      </c>
      <c r="BB361" s="38">
        <f t="shared" si="215"/>
        <v>0</v>
      </c>
      <c r="BC361" s="38">
        <f t="shared" si="218"/>
        <v>0</v>
      </c>
      <c r="BD361" s="38">
        <f t="shared" si="218"/>
        <v>0</v>
      </c>
      <c r="BE361" s="38">
        <f t="shared" si="218"/>
        <v>0</v>
      </c>
      <c r="BF361" s="38">
        <f t="shared" si="218"/>
        <v>0</v>
      </c>
      <c r="BG361" s="38">
        <f t="shared" si="218"/>
        <v>0</v>
      </c>
      <c r="BH361" s="38">
        <f t="shared" si="218"/>
        <v>0</v>
      </c>
      <c r="BI361" s="38">
        <f t="shared" si="218"/>
        <v>0</v>
      </c>
      <c r="BJ361" s="38">
        <f t="shared" si="218"/>
        <v>0</v>
      </c>
      <c r="BK361" s="38">
        <f t="shared" si="218"/>
        <v>0</v>
      </c>
      <c r="BL361" s="38">
        <f t="shared" si="218"/>
        <v>0</v>
      </c>
      <c r="BM361" s="38">
        <f t="shared" si="219"/>
        <v>0</v>
      </c>
      <c r="BN361" s="38">
        <f t="shared" si="219"/>
        <v>0</v>
      </c>
      <c r="BO361" s="38">
        <f t="shared" si="219"/>
        <v>0</v>
      </c>
      <c r="BP361" s="38">
        <f t="shared" si="219"/>
        <v>0</v>
      </c>
      <c r="BQ361" s="38">
        <f t="shared" si="219"/>
        <v>0</v>
      </c>
      <c r="BR361" s="38">
        <f t="shared" si="219"/>
        <v>0</v>
      </c>
      <c r="BS361" s="38">
        <f t="shared" si="219"/>
        <v>0</v>
      </c>
      <c r="BT361" s="38">
        <f t="shared" si="219"/>
        <v>0</v>
      </c>
      <c r="BU361" s="38">
        <f t="shared" si="219"/>
        <v>0</v>
      </c>
      <c r="BV361" s="38">
        <f t="shared" si="219"/>
        <v>0</v>
      </c>
      <c r="BX361" s="106"/>
      <c r="BY361" s="106"/>
      <c r="BZ361" s="106"/>
      <c r="CA361" s="106"/>
      <c r="CB361" s="38">
        <f>IF('Fin Stat'!CB$212&lt;$E361, 1, 0)</f>
        <v>1</v>
      </c>
      <c r="CC361" s="38">
        <f>IF('Fin Stat'!CC$212&lt;$E361, 1, 0)</f>
        <v>1</v>
      </c>
      <c r="CD361" s="38">
        <f>IF('Fin Stat'!CD$212&lt;$E361, 1, 0)</f>
        <v>1</v>
      </c>
      <c r="CE361" s="38">
        <f>IF('Fin Stat'!CE$212&lt;$E361, 1, 0)</f>
        <v>1</v>
      </c>
      <c r="CF361" s="38">
        <f>IF('Fin Stat'!CF$212&lt;$E361, 1, 0)</f>
        <v>1</v>
      </c>
      <c r="CG361" s="38">
        <f>IF('Fin Stat'!CG$212&lt;$E361, 1, 0)</f>
        <v>1</v>
      </c>
      <c r="CH361" s="38">
        <f>IF('Fin Stat'!CH$212&lt;$E361, 1, 0)</f>
        <v>1</v>
      </c>
      <c r="CI361" s="38">
        <f>IF('Fin Stat'!CI$212&lt;$E361, 1, 0)</f>
        <v>1</v>
      </c>
      <c r="CK361" s="11"/>
      <c r="CM361" s="11"/>
      <c r="EX361" s="10" t="str">
        <f t="shared" si="210"/>
        <v/>
      </c>
    </row>
    <row r="362" spans="2:154" x14ac:dyDescent="0.35">
      <c r="B362" t="str">
        <f ca="1">Loans!B$31</f>
        <v>Loan 19</v>
      </c>
      <c r="D362" s="51">
        <f>Loans!D$31</f>
        <v>0</v>
      </c>
      <c r="E362" s="32" t="str">
        <f>IF(Loans!N31="", "", Loans!N31)</f>
        <v/>
      </c>
      <c r="V362" s="106"/>
      <c r="W362" s="106"/>
      <c r="X362" s="106"/>
      <c r="Y362" s="106"/>
      <c r="AA362" s="38">
        <f t="shared" si="216"/>
        <v>0</v>
      </c>
      <c r="AB362" s="38">
        <f t="shared" si="216"/>
        <v>0</v>
      </c>
      <c r="AC362" s="38">
        <f t="shared" si="216"/>
        <v>0</v>
      </c>
      <c r="AD362" s="38">
        <f t="shared" si="216"/>
        <v>0</v>
      </c>
      <c r="AE362" s="38">
        <f t="shared" si="216"/>
        <v>0</v>
      </c>
      <c r="AF362" s="38">
        <f t="shared" si="216"/>
        <v>0</v>
      </c>
      <c r="AG362" s="38">
        <f t="shared" si="216"/>
        <v>0</v>
      </c>
      <c r="AH362" s="38">
        <f t="shared" si="216"/>
        <v>0</v>
      </c>
      <c r="AI362" s="38">
        <f t="shared" si="216"/>
        <v>0</v>
      </c>
      <c r="AJ362" s="38">
        <f t="shared" si="216"/>
        <v>0</v>
      </c>
      <c r="AK362" s="38">
        <f t="shared" si="217"/>
        <v>0</v>
      </c>
      <c r="AL362" s="38">
        <f t="shared" si="217"/>
        <v>0</v>
      </c>
      <c r="AM362" s="38">
        <f t="shared" si="217"/>
        <v>0</v>
      </c>
      <c r="AN362" s="38">
        <f t="shared" si="217"/>
        <v>0</v>
      </c>
      <c r="AO362" s="38">
        <f t="shared" si="217"/>
        <v>0</v>
      </c>
      <c r="AP362" s="38">
        <f t="shared" si="217"/>
        <v>0</v>
      </c>
      <c r="AQ362" s="38">
        <f t="shared" si="217"/>
        <v>0</v>
      </c>
      <c r="AR362" s="38">
        <f t="shared" si="217"/>
        <v>0</v>
      </c>
      <c r="AS362" s="38">
        <f t="shared" si="217"/>
        <v>0</v>
      </c>
      <c r="AT362" s="38">
        <f t="shared" si="217"/>
        <v>0</v>
      </c>
      <c r="AU362" s="38">
        <f t="shared" si="217"/>
        <v>0</v>
      </c>
      <c r="AV362" s="38">
        <f t="shared" si="217"/>
        <v>0</v>
      </c>
      <c r="AW362" s="38">
        <f t="shared" si="217"/>
        <v>0</v>
      </c>
      <c r="AX362" s="38">
        <f t="shared" si="217"/>
        <v>0</v>
      </c>
      <c r="AY362" s="38">
        <f t="shared" si="217"/>
        <v>0</v>
      </c>
      <c r="AZ362" s="38">
        <f t="shared" si="215"/>
        <v>0</v>
      </c>
      <c r="BA362" s="38">
        <f t="shared" si="215"/>
        <v>0</v>
      </c>
      <c r="BB362" s="38">
        <f t="shared" si="215"/>
        <v>0</v>
      </c>
      <c r="BC362" s="38">
        <f t="shared" si="218"/>
        <v>0</v>
      </c>
      <c r="BD362" s="38">
        <f t="shared" si="218"/>
        <v>0</v>
      </c>
      <c r="BE362" s="38">
        <f t="shared" si="218"/>
        <v>0</v>
      </c>
      <c r="BF362" s="38">
        <f t="shared" si="218"/>
        <v>0</v>
      </c>
      <c r="BG362" s="38">
        <f t="shared" si="218"/>
        <v>0</v>
      </c>
      <c r="BH362" s="38">
        <f t="shared" si="218"/>
        <v>0</v>
      </c>
      <c r="BI362" s="38">
        <f t="shared" si="218"/>
        <v>0</v>
      </c>
      <c r="BJ362" s="38">
        <f t="shared" si="218"/>
        <v>0</v>
      </c>
      <c r="BK362" s="38">
        <f t="shared" si="218"/>
        <v>0</v>
      </c>
      <c r="BL362" s="38">
        <f t="shared" si="218"/>
        <v>0</v>
      </c>
      <c r="BM362" s="38">
        <f t="shared" si="219"/>
        <v>0</v>
      </c>
      <c r="BN362" s="38">
        <f t="shared" si="219"/>
        <v>0</v>
      </c>
      <c r="BO362" s="38">
        <f t="shared" si="219"/>
        <v>0</v>
      </c>
      <c r="BP362" s="38">
        <f t="shared" si="219"/>
        <v>0</v>
      </c>
      <c r="BQ362" s="38">
        <f t="shared" si="219"/>
        <v>0</v>
      </c>
      <c r="BR362" s="38">
        <f t="shared" si="219"/>
        <v>0</v>
      </c>
      <c r="BS362" s="38">
        <f t="shared" si="219"/>
        <v>0</v>
      </c>
      <c r="BT362" s="38">
        <f t="shared" si="219"/>
        <v>0</v>
      </c>
      <c r="BU362" s="38">
        <f t="shared" si="219"/>
        <v>0</v>
      </c>
      <c r="BV362" s="38">
        <f t="shared" si="219"/>
        <v>0</v>
      </c>
      <c r="BX362" s="106"/>
      <c r="BY362" s="106"/>
      <c r="BZ362" s="106"/>
      <c r="CA362" s="106"/>
      <c r="CB362" s="38">
        <f>IF('Fin Stat'!CB$212&lt;$E362, 1, 0)</f>
        <v>1</v>
      </c>
      <c r="CC362" s="38">
        <f>IF('Fin Stat'!CC$212&lt;$E362, 1, 0)</f>
        <v>1</v>
      </c>
      <c r="CD362" s="38">
        <f>IF('Fin Stat'!CD$212&lt;$E362, 1, 0)</f>
        <v>1</v>
      </c>
      <c r="CE362" s="38">
        <f>IF('Fin Stat'!CE$212&lt;$E362, 1, 0)</f>
        <v>1</v>
      </c>
      <c r="CF362" s="38">
        <f>IF('Fin Stat'!CF$212&lt;$E362, 1, 0)</f>
        <v>1</v>
      </c>
      <c r="CG362" s="38">
        <f>IF('Fin Stat'!CG$212&lt;$E362, 1, 0)</f>
        <v>1</v>
      </c>
      <c r="CH362" s="38">
        <f>IF('Fin Stat'!CH$212&lt;$E362, 1, 0)</f>
        <v>1</v>
      </c>
      <c r="CI362" s="38">
        <f>IF('Fin Stat'!CI$212&lt;$E362, 1, 0)</f>
        <v>1</v>
      </c>
      <c r="CK362" s="11"/>
      <c r="CM362" s="11"/>
      <c r="EX362" s="10" t="str">
        <f t="shared" si="210"/>
        <v/>
      </c>
    </row>
    <row r="363" spans="2:154" x14ac:dyDescent="0.35">
      <c r="B363" t="str">
        <f ca="1">Loans!B$32</f>
        <v>Loan 20</v>
      </c>
      <c r="D363" s="51">
        <f>Loans!D$32</f>
        <v>0</v>
      </c>
      <c r="E363" s="32" t="str">
        <f>IF(Loans!N32="", "", Loans!N32)</f>
        <v/>
      </c>
      <c r="V363" s="106"/>
      <c r="W363" s="106"/>
      <c r="X363" s="106"/>
      <c r="Y363" s="106"/>
      <c r="AA363" s="38">
        <f t="shared" si="216"/>
        <v>0</v>
      </c>
      <c r="AB363" s="38">
        <f t="shared" si="216"/>
        <v>0</v>
      </c>
      <c r="AC363" s="38">
        <f t="shared" si="216"/>
        <v>0</v>
      </c>
      <c r="AD363" s="38">
        <f t="shared" si="216"/>
        <v>0</v>
      </c>
      <c r="AE363" s="38">
        <f t="shared" si="216"/>
        <v>0</v>
      </c>
      <c r="AF363" s="38">
        <f t="shared" si="216"/>
        <v>0</v>
      </c>
      <c r="AG363" s="38">
        <f t="shared" si="216"/>
        <v>0</v>
      </c>
      <c r="AH363" s="38">
        <f t="shared" si="216"/>
        <v>0</v>
      </c>
      <c r="AI363" s="38">
        <f t="shared" si="216"/>
        <v>0</v>
      </c>
      <c r="AJ363" s="38">
        <f t="shared" si="216"/>
        <v>0</v>
      </c>
      <c r="AK363" s="38">
        <f t="shared" si="217"/>
        <v>0</v>
      </c>
      <c r="AL363" s="38">
        <f t="shared" si="217"/>
        <v>0</v>
      </c>
      <c r="AM363" s="38">
        <f t="shared" si="217"/>
        <v>0</v>
      </c>
      <c r="AN363" s="38">
        <f t="shared" si="217"/>
        <v>0</v>
      </c>
      <c r="AO363" s="38">
        <f t="shared" si="217"/>
        <v>0</v>
      </c>
      <c r="AP363" s="38">
        <f t="shared" si="217"/>
        <v>0</v>
      </c>
      <c r="AQ363" s="38">
        <f t="shared" si="217"/>
        <v>0</v>
      </c>
      <c r="AR363" s="38">
        <f t="shared" si="217"/>
        <v>0</v>
      </c>
      <c r="AS363" s="38">
        <f t="shared" si="217"/>
        <v>0</v>
      </c>
      <c r="AT363" s="38">
        <f t="shared" si="217"/>
        <v>0</v>
      </c>
      <c r="AU363" s="38">
        <f t="shared" si="217"/>
        <v>0</v>
      </c>
      <c r="AV363" s="38">
        <f t="shared" si="217"/>
        <v>0</v>
      </c>
      <c r="AW363" s="38">
        <f t="shared" si="217"/>
        <v>0</v>
      </c>
      <c r="AX363" s="38">
        <f t="shared" si="217"/>
        <v>0</v>
      </c>
      <c r="AY363" s="38">
        <f t="shared" si="217"/>
        <v>0</v>
      </c>
      <c r="AZ363" s="38">
        <f t="shared" si="215"/>
        <v>0</v>
      </c>
      <c r="BA363" s="38">
        <f t="shared" si="215"/>
        <v>0</v>
      </c>
      <c r="BB363" s="38">
        <f t="shared" si="215"/>
        <v>0</v>
      </c>
      <c r="BC363" s="38">
        <f t="shared" si="218"/>
        <v>0</v>
      </c>
      <c r="BD363" s="38">
        <f t="shared" si="218"/>
        <v>0</v>
      </c>
      <c r="BE363" s="38">
        <f t="shared" si="218"/>
        <v>0</v>
      </c>
      <c r="BF363" s="38">
        <f t="shared" si="218"/>
        <v>0</v>
      </c>
      <c r="BG363" s="38">
        <f t="shared" si="218"/>
        <v>0</v>
      </c>
      <c r="BH363" s="38">
        <f t="shared" si="218"/>
        <v>0</v>
      </c>
      <c r="BI363" s="38">
        <f t="shared" si="218"/>
        <v>0</v>
      </c>
      <c r="BJ363" s="38">
        <f t="shared" si="218"/>
        <v>0</v>
      </c>
      <c r="BK363" s="38">
        <f t="shared" si="218"/>
        <v>0</v>
      </c>
      <c r="BL363" s="38">
        <f t="shared" si="218"/>
        <v>0</v>
      </c>
      <c r="BM363" s="38">
        <f t="shared" si="219"/>
        <v>0</v>
      </c>
      <c r="BN363" s="38">
        <f t="shared" si="219"/>
        <v>0</v>
      </c>
      <c r="BO363" s="38">
        <f t="shared" si="219"/>
        <v>0</v>
      </c>
      <c r="BP363" s="38">
        <f t="shared" si="219"/>
        <v>0</v>
      </c>
      <c r="BQ363" s="38">
        <f t="shared" si="219"/>
        <v>0</v>
      </c>
      <c r="BR363" s="38">
        <f t="shared" si="219"/>
        <v>0</v>
      </c>
      <c r="BS363" s="38">
        <f t="shared" si="219"/>
        <v>0</v>
      </c>
      <c r="BT363" s="38">
        <f t="shared" si="219"/>
        <v>0</v>
      </c>
      <c r="BU363" s="38">
        <f t="shared" si="219"/>
        <v>0</v>
      </c>
      <c r="BV363" s="38">
        <f t="shared" si="219"/>
        <v>0</v>
      </c>
      <c r="BX363" s="106"/>
      <c r="BY363" s="106"/>
      <c r="BZ363" s="106"/>
      <c r="CA363" s="106"/>
      <c r="CB363" s="38">
        <f>IF('Fin Stat'!CB$212&lt;$E363, 1, 0)</f>
        <v>1</v>
      </c>
      <c r="CC363" s="38">
        <f>IF('Fin Stat'!CC$212&lt;$E363, 1, 0)</f>
        <v>1</v>
      </c>
      <c r="CD363" s="38">
        <f>IF('Fin Stat'!CD$212&lt;$E363, 1, 0)</f>
        <v>1</v>
      </c>
      <c r="CE363" s="38">
        <f>IF('Fin Stat'!CE$212&lt;$E363, 1, 0)</f>
        <v>1</v>
      </c>
      <c r="CF363" s="38">
        <f>IF('Fin Stat'!CF$212&lt;$E363, 1, 0)</f>
        <v>1</v>
      </c>
      <c r="CG363" s="38">
        <f>IF('Fin Stat'!CG$212&lt;$E363, 1, 0)</f>
        <v>1</v>
      </c>
      <c r="CH363" s="38">
        <f>IF('Fin Stat'!CH$212&lt;$E363, 1, 0)</f>
        <v>1</v>
      </c>
      <c r="CI363" s="38">
        <f>IF('Fin Stat'!CI$212&lt;$E363, 1, 0)</f>
        <v>1</v>
      </c>
      <c r="CK363" s="11"/>
      <c r="CM363" s="11"/>
      <c r="EX363" s="10" t="str">
        <f t="shared" si="210"/>
        <v/>
      </c>
    </row>
    <row r="364" spans="2:154" ht="6.75" customHeight="1" x14ac:dyDescent="0.35">
      <c r="D364" s="1"/>
      <c r="E364"/>
      <c r="BY364" s="6"/>
      <c r="CK364" s="35"/>
      <c r="CM364" s="35"/>
      <c r="EX364" s="10" t="str">
        <f t="shared" si="210"/>
        <v/>
      </c>
    </row>
    <row r="365" spans="2:154" x14ac:dyDescent="0.35">
      <c r="D365" s="5" t="s">
        <v>1948</v>
      </c>
      <c r="E365"/>
      <c r="CK365" s="11"/>
      <c r="CM365" s="11"/>
      <c r="EX365" s="10" t="str">
        <f t="shared" si="210"/>
        <v/>
      </c>
    </row>
    <row r="366" spans="2:154" x14ac:dyDescent="0.35">
      <c r="B366" s="5"/>
      <c r="D366" s="5" t="str">
        <f>Loans!D$11</f>
        <v>Lender</v>
      </c>
      <c r="E366" s="107" t="s">
        <v>1021</v>
      </c>
      <c r="CK366" s="11"/>
      <c r="CM366" s="11"/>
      <c r="EX366" s="10" t="str">
        <f t="shared" si="210"/>
        <v/>
      </c>
    </row>
    <row r="367" spans="2:154" x14ac:dyDescent="0.35">
      <c r="B367" t="str">
        <f ca="1">Loans!B$13</f>
        <v>Loan 1</v>
      </c>
      <c r="D367" s="51">
        <f>Loans!D$13</f>
        <v>0</v>
      </c>
      <c r="E367" s="51" t="str">
        <f>Loans!F$13</f>
        <v/>
      </c>
      <c r="V367" s="106"/>
      <c r="W367" s="106"/>
      <c r="X367" s="106"/>
      <c r="Y367" s="106"/>
      <c r="AA367" s="38">
        <f>IF($E367= Parameters!$D$69, 0, IF(OR(AA321=1, AA298=1, AA344=1), 1,0 ))</f>
        <v>0</v>
      </c>
      <c r="AB367" s="38">
        <f>IF($E367= Parameters!$D$69, 0, IF(OR(AB321=1, AB298=1, AB344=1), 1,0 ))</f>
        <v>0</v>
      </c>
      <c r="AC367" s="38">
        <f>IF($E367= Parameters!$D$69, 0, IF(OR(AC321=1, AC298=1, AC344=1), 1,0 ))</f>
        <v>0</v>
      </c>
      <c r="AD367" s="38">
        <f>IF($E367= Parameters!$D$69, 0, IF(OR(AD321=1, AD298=1, AD344=1), 1,0 ))</f>
        <v>0</v>
      </c>
      <c r="AE367" s="38">
        <f>IF($E367= Parameters!$D$69, 0, IF(OR(AE321=1, AE298=1, AE344=1), 1,0 ))</f>
        <v>0</v>
      </c>
      <c r="AF367" s="38">
        <f>IF($E367= Parameters!$D$69, 0, IF(OR(AF321=1, AF298=1, AF344=1), 1,0 ))</f>
        <v>0</v>
      </c>
      <c r="AG367" s="38">
        <f>IF($E367= Parameters!$D$69, 0, IF(OR(AG321=1, AG298=1, AG344=1), 1,0 ))</f>
        <v>0</v>
      </c>
      <c r="AH367" s="38">
        <f>IF($E367= Parameters!$D$69, 0, IF(OR(AH321=1, AH298=1, AH344=1), 1,0 ))</f>
        <v>0</v>
      </c>
      <c r="AI367" s="38">
        <f>IF($E367= Parameters!$D$69, 0, IF(OR(AI321=1, AI298=1, AI344=1), 1,0 ))</f>
        <v>0</v>
      </c>
      <c r="AJ367" s="38">
        <f>IF($E367= Parameters!$D$69, 0, IF(OR(AJ321=1, AJ298=1, AJ344=1), 1,0 ))</f>
        <v>0</v>
      </c>
      <c r="AK367" s="38">
        <f>IF($E367= Parameters!$D$69, 0, IF(OR(AK321=1, AK298=1, AK344=1), 1,0 ))</f>
        <v>0</v>
      </c>
      <c r="AL367" s="38">
        <f>IF($E367= Parameters!$D$69, 0, IF(OR(AL321=1, AL298=1, AL344=1), 1,0 ))</f>
        <v>0</v>
      </c>
      <c r="AM367" s="38">
        <f>IF($E367= Parameters!$D$69, 0, IF(OR(AM321=1, AM298=1, AM344=1), 1,0 ))</f>
        <v>0</v>
      </c>
      <c r="AN367" s="38">
        <f>IF($E367= Parameters!$D$69, 0, IF(OR(AN321=1, AN298=1, AN344=1), 1,0 ))</f>
        <v>0</v>
      </c>
      <c r="AO367" s="38">
        <f>IF($E367= Parameters!$D$69, 0, IF(OR(AO321=1, AO298=1, AO344=1), 1,0 ))</f>
        <v>0</v>
      </c>
      <c r="AP367" s="38">
        <f>IF($E367= Parameters!$D$69, 0, IF(OR(AP321=1, AP298=1, AP344=1), 1,0 ))</f>
        <v>0</v>
      </c>
      <c r="AQ367" s="38">
        <f>IF($E367= Parameters!$D$69, 0, IF(OR(AQ321=1, AQ298=1, AQ344=1), 1,0 ))</f>
        <v>0</v>
      </c>
      <c r="AR367" s="38">
        <f>IF($E367= Parameters!$D$69, 0, IF(OR(AR321=1, AR298=1, AR344=1), 1,0 ))</f>
        <v>0</v>
      </c>
      <c r="AS367" s="38">
        <f>IF($E367= Parameters!$D$69, 0, IF(OR(AS321=1, AS298=1, AS344=1), 1,0 ))</f>
        <v>0</v>
      </c>
      <c r="AT367" s="38">
        <f>IF($E367= Parameters!$D$69, 0, IF(OR(AT321=1, AT298=1, AT344=1), 1,0 ))</f>
        <v>0</v>
      </c>
      <c r="AU367" s="38">
        <f>IF($E367= Parameters!$D$69, 0, IF(OR(AU321=1, AU298=1, AU344=1), 1,0 ))</f>
        <v>0</v>
      </c>
      <c r="AV367" s="38">
        <f>IF($E367= Parameters!$D$69, 0, IF(OR(AV321=1, AV298=1, AV344=1), 1,0 ))</f>
        <v>0</v>
      </c>
      <c r="AW367" s="38">
        <f>IF($E367= Parameters!$D$69, 0, IF(OR(AW321=1, AW298=1, AW344=1), 1,0 ))</f>
        <v>0</v>
      </c>
      <c r="AX367" s="38">
        <f>IF($E367= Parameters!$D$69, 0, IF(OR(AX321=1, AX298=1, AX344=1), 1,0 ))</f>
        <v>0</v>
      </c>
      <c r="AY367" s="38">
        <f>IF($E367= Parameters!$D$69, 0, IF(OR(AY321=1, AY298=1, AY344=1), 1,0 ))</f>
        <v>0</v>
      </c>
      <c r="AZ367" s="38">
        <f>IF($E367= Parameters!$D$69, 0, IF(OR(AZ321=1, AZ298=1, AZ344=1), 1,0 ))</f>
        <v>0</v>
      </c>
      <c r="BA367" s="38">
        <f>IF($E367= Parameters!$D$69, 0, IF(OR(BA321=1, BA298=1, BA344=1), 1,0 ))</f>
        <v>0</v>
      </c>
      <c r="BB367" s="38">
        <f>IF($E367= Parameters!$D$69, 0, IF(OR(BB321=1, BB298=1, BB344=1), 1,0 ))</f>
        <v>0</v>
      </c>
      <c r="BC367" s="38">
        <f>IF($E367= Parameters!$D$69, 0, IF(OR(BC321=1, BC298=1, BC344=1), 1,0 ))</f>
        <v>0</v>
      </c>
      <c r="BD367" s="38">
        <f>IF($E367= Parameters!$D$69, 0, IF(OR(BD321=1, BD298=1, BD344=1), 1,0 ))</f>
        <v>0</v>
      </c>
      <c r="BE367" s="38">
        <f>IF($E367= Parameters!$D$69, 0, IF(OR(BE321=1, BE298=1, BE344=1), 1,0 ))</f>
        <v>0</v>
      </c>
      <c r="BF367" s="38">
        <f>IF($E367= Parameters!$D$69, 0, IF(OR(BF321=1, BF298=1, BF344=1), 1,0 ))</f>
        <v>0</v>
      </c>
      <c r="BG367" s="38">
        <f>IF($E367= Parameters!$D$69, 0, IF(OR(BG321=1, BG298=1, BG344=1), 1,0 ))</f>
        <v>0</v>
      </c>
      <c r="BH367" s="38">
        <f>IF($E367= Parameters!$D$69, 0, IF(OR(BH321=1, BH298=1, BH344=1), 1,0 ))</f>
        <v>0</v>
      </c>
      <c r="BI367" s="38">
        <f>IF($E367= Parameters!$D$69, 0, IF(OR(BI321=1, BI298=1, BI344=1), 1,0 ))</f>
        <v>0</v>
      </c>
      <c r="BJ367" s="38">
        <f>IF($E367= Parameters!$D$69, 0, IF(OR(BJ321=1, BJ298=1, BJ344=1), 1,0 ))</f>
        <v>0</v>
      </c>
      <c r="BK367" s="38">
        <f>IF($E367= Parameters!$D$69, 0, IF(OR(BK321=1, BK298=1, BK344=1), 1,0 ))</f>
        <v>0</v>
      </c>
      <c r="BL367" s="38">
        <f>IF($E367= Parameters!$D$69, 0, IF(OR(BL321=1, BL298=1, BL344=1), 1,0 ))</f>
        <v>0</v>
      </c>
      <c r="BM367" s="38">
        <f>IF($E367= Parameters!$D$69, 0, IF(OR(BM321=1, BM298=1, BM344=1), 1,0 ))</f>
        <v>0</v>
      </c>
      <c r="BN367" s="38">
        <f>IF($E367= Parameters!$D$69, 0, IF(OR(BN321=1, BN298=1, BN344=1), 1,0 ))</f>
        <v>0</v>
      </c>
      <c r="BO367" s="38">
        <f>IF($E367= Parameters!$D$69, 0, IF(OR(BO321=1, BO298=1, BO344=1), 1,0 ))</f>
        <v>0</v>
      </c>
      <c r="BP367" s="38">
        <f>IF($E367= Parameters!$D$69, 0, IF(OR(BP321=1, BP298=1, BP344=1), 1,0 ))</f>
        <v>0</v>
      </c>
      <c r="BQ367" s="38">
        <f>IF($E367= Parameters!$D$69, 0, IF(OR(BQ321=1, BQ298=1, BQ344=1), 1,0 ))</f>
        <v>0</v>
      </c>
      <c r="BR367" s="38">
        <f>IF($E367= Parameters!$D$69, 0, IF(OR(BR321=1, BR298=1, BR344=1), 1,0 ))</f>
        <v>0</v>
      </c>
      <c r="BS367" s="38">
        <f>IF($E367= Parameters!$D$69, 0, IF(OR(BS321=1, BS298=1, BS344=1), 1,0 ))</f>
        <v>0</v>
      </c>
      <c r="BT367" s="38">
        <f>IF($E367= Parameters!$D$69, 0, IF(OR(BT321=1, BT298=1, BT344=1), 1,0 ))</f>
        <v>0</v>
      </c>
      <c r="BU367" s="38">
        <f>IF($E367= Parameters!$D$69, 0, IF(OR(BU321=1, BU298=1, BU344=1), 1,0 ))</f>
        <v>0</v>
      </c>
      <c r="BV367" s="38">
        <f>IF($E367= Parameters!$D$69, 0, IF(OR(BV321=1, BV298=1, BV344=1), 1,0 ))</f>
        <v>0</v>
      </c>
      <c r="BX367" s="106"/>
      <c r="BY367" s="106"/>
      <c r="BZ367" s="106"/>
      <c r="CA367" s="106"/>
      <c r="CB367" s="38">
        <f t="shared" ref="CB367:CI376" si="220">IF(OR(CB321=1, CB298=1), 1,0 )</f>
        <v>1</v>
      </c>
      <c r="CC367" s="38">
        <f t="shared" si="220"/>
        <v>1</v>
      </c>
      <c r="CD367" s="38">
        <f t="shared" si="220"/>
        <v>1</v>
      </c>
      <c r="CE367" s="38">
        <f t="shared" si="220"/>
        <v>1</v>
      </c>
      <c r="CF367" s="38">
        <f t="shared" si="220"/>
        <v>1</v>
      </c>
      <c r="CG367" s="38">
        <f t="shared" si="220"/>
        <v>1</v>
      </c>
      <c r="CH367" s="38">
        <f t="shared" si="220"/>
        <v>1</v>
      </c>
      <c r="CI367" s="38">
        <f t="shared" si="220"/>
        <v>1</v>
      </c>
      <c r="CK367" s="11"/>
      <c r="CM367" s="11"/>
      <c r="EX367" s="10" t="str">
        <f t="shared" si="210"/>
        <v/>
      </c>
    </row>
    <row r="368" spans="2:154" x14ac:dyDescent="0.35">
      <c r="B368" t="str">
        <f ca="1">Loans!B$14</f>
        <v>Loan 2</v>
      </c>
      <c r="D368" s="51">
        <f>Loans!D$14</f>
        <v>0</v>
      </c>
      <c r="E368" s="51" t="str">
        <f>Loans!F$14</f>
        <v/>
      </c>
      <c r="V368" s="106"/>
      <c r="W368" s="106"/>
      <c r="X368" s="106"/>
      <c r="Y368" s="106"/>
      <c r="AA368" s="38">
        <f>IF($E368= Parameters!$D$69, 0, IF(OR(AA322=1, AA299=1, AA345=1), 1,0 ))</f>
        <v>0</v>
      </c>
      <c r="AB368" s="38">
        <f>IF($E368= Parameters!$D$69, 0, IF(OR(AB322=1, AB299=1, AB345=1), 1,0 ))</f>
        <v>0</v>
      </c>
      <c r="AC368" s="38">
        <f>IF($E368= Parameters!$D$69, 0, IF(OR(AC322=1, AC299=1, AC345=1), 1,0 ))</f>
        <v>0</v>
      </c>
      <c r="AD368" s="38">
        <f>IF($E368= Parameters!$D$69, 0, IF(OR(AD322=1, AD299=1, AD345=1), 1,0 ))</f>
        <v>0</v>
      </c>
      <c r="AE368" s="38">
        <f>IF($E368= Parameters!$D$69, 0, IF(OR(AE322=1, AE299=1, AE345=1), 1,0 ))</f>
        <v>0</v>
      </c>
      <c r="AF368" s="38">
        <f>IF($E368= Parameters!$D$69, 0, IF(OR(AF322=1, AF299=1, AF345=1), 1,0 ))</f>
        <v>0</v>
      </c>
      <c r="AG368" s="38">
        <f>IF($E368= Parameters!$D$69, 0, IF(OR(AG322=1, AG299=1, AG345=1), 1,0 ))</f>
        <v>0</v>
      </c>
      <c r="AH368" s="38">
        <f>IF($E368= Parameters!$D$69, 0, IF(OR(AH322=1, AH299=1, AH345=1), 1,0 ))</f>
        <v>0</v>
      </c>
      <c r="AI368" s="38">
        <f>IF($E368= Parameters!$D$69, 0, IF(OR(AI322=1, AI299=1, AI345=1), 1,0 ))</f>
        <v>0</v>
      </c>
      <c r="AJ368" s="38">
        <f>IF($E368= Parameters!$D$69, 0, IF(OR(AJ322=1, AJ299=1, AJ345=1), 1,0 ))</f>
        <v>0</v>
      </c>
      <c r="AK368" s="38">
        <f>IF($E368= Parameters!$D$69, 0, IF(OR(AK322=1, AK299=1, AK345=1), 1,0 ))</f>
        <v>0</v>
      </c>
      <c r="AL368" s="38">
        <f>IF($E368= Parameters!$D$69, 0, IF(OR(AL322=1, AL299=1, AL345=1), 1,0 ))</f>
        <v>0</v>
      </c>
      <c r="AM368" s="38">
        <f>IF($E368= Parameters!$D$69, 0, IF(OR(AM322=1, AM299=1, AM345=1), 1,0 ))</f>
        <v>0</v>
      </c>
      <c r="AN368" s="38">
        <f>IF($E368= Parameters!$D$69, 0, IF(OR(AN322=1, AN299=1, AN345=1), 1,0 ))</f>
        <v>0</v>
      </c>
      <c r="AO368" s="38">
        <f>IF($E368= Parameters!$D$69, 0, IF(OR(AO322=1, AO299=1, AO345=1), 1,0 ))</f>
        <v>0</v>
      </c>
      <c r="AP368" s="38">
        <f>IF($E368= Parameters!$D$69, 0, IF(OR(AP322=1, AP299=1, AP345=1), 1,0 ))</f>
        <v>0</v>
      </c>
      <c r="AQ368" s="38">
        <f>IF($E368= Parameters!$D$69, 0, IF(OR(AQ322=1, AQ299=1, AQ345=1), 1,0 ))</f>
        <v>0</v>
      </c>
      <c r="AR368" s="38">
        <f>IF($E368= Parameters!$D$69, 0, IF(OR(AR322=1, AR299=1, AR345=1), 1,0 ))</f>
        <v>0</v>
      </c>
      <c r="AS368" s="38">
        <f>IF($E368= Parameters!$D$69, 0, IF(OR(AS322=1, AS299=1, AS345=1), 1,0 ))</f>
        <v>0</v>
      </c>
      <c r="AT368" s="38">
        <f>IF($E368= Parameters!$D$69, 0, IF(OR(AT322=1, AT299=1, AT345=1), 1,0 ))</f>
        <v>0</v>
      </c>
      <c r="AU368" s="38">
        <f>IF($E368= Parameters!$D$69, 0, IF(OR(AU322=1, AU299=1, AU345=1), 1,0 ))</f>
        <v>0</v>
      </c>
      <c r="AV368" s="38">
        <f>IF($E368= Parameters!$D$69, 0, IF(OR(AV322=1, AV299=1, AV345=1), 1,0 ))</f>
        <v>0</v>
      </c>
      <c r="AW368" s="38">
        <f>IF($E368= Parameters!$D$69, 0, IF(OR(AW322=1, AW299=1, AW345=1), 1,0 ))</f>
        <v>0</v>
      </c>
      <c r="AX368" s="38">
        <f>IF($E368= Parameters!$D$69, 0, IF(OR(AX322=1, AX299=1, AX345=1), 1,0 ))</f>
        <v>0</v>
      </c>
      <c r="AY368" s="38">
        <f>IF($E368= Parameters!$D$69, 0, IF(OR(AY322=1, AY299=1, AY345=1), 1,0 ))</f>
        <v>0</v>
      </c>
      <c r="AZ368" s="38">
        <f>IF($E368= Parameters!$D$69, 0, IF(OR(AZ322=1, AZ299=1, AZ345=1), 1,0 ))</f>
        <v>0</v>
      </c>
      <c r="BA368" s="38">
        <f>IF($E368= Parameters!$D$69, 0, IF(OR(BA322=1, BA299=1, BA345=1), 1,0 ))</f>
        <v>0</v>
      </c>
      <c r="BB368" s="38">
        <f>IF($E368= Parameters!$D$69, 0, IF(OR(BB322=1, BB299=1, BB345=1), 1,0 ))</f>
        <v>0</v>
      </c>
      <c r="BC368" s="38">
        <f>IF($E368= Parameters!$D$69, 0, IF(OR(BC322=1, BC299=1, BC345=1), 1,0 ))</f>
        <v>0</v>
      </c>
      <c r="BD368" s="38">
        <f>IF($E368= Parameters!$D$69, 0, IF(OR(BD322=1, BD299=1, BD345=1), 1,0 ))</f>
        <v>0</v>
      </c>
      <c r="BE368" s="38">
        <f>IF($E368= Parameters!$D$69, 0, IF(OR(BE322=1, BE299=1, BE345=1), 1,0 ))</f>
        <v>0</v>
      </c>
      <c r="BF368" s="38">
        <f>IF($E368= Parameters!$D$69, 0, IF(OR(BF322=1, BF299=1, BF345=1), 1,0 ))</f>
        <v>0</v>
      </c>
      <c r="BG368" s="38">
        <f>IF($E368= Parameters!$D$69, 0, IF(OR(BG322=1, BG299=1, BG345=1), 1,0 ))</f>
        <v>0</v>
      </c>
      <c r="BH368" s="38">
        <f>IF($E368= Parameters!$D$69, 0, IF(OR(BH322=1, BH299=1, BH345=1), 1,0 ))</f>
        <v>0</v>
      </c>
      <c r="BI368" s="38">
        <f>IF($E368= Parameters!$D$69, 0, IF(OR(BI322=1, BI299=1, BI345=1), 1,0 ))</f>
        <v>0</v>
      </c>
      <c r="BJ368" s="38">
        <f>IF($E368= Parameters!$D$69, 0, IF(OR(BJ322=1, BJ299=1, BJ345=1), 1,0 ))</f>
        <v>0</v>
      </c>
      <c r="BK368" s="38">
        <f>IF($E368= Parameters!$D$69, 0, IF(OR(BK322=1, BK299=1, BK345=1), 1,0 ))</f>
        <v>0</v>
      </c>
      <c r="BL368" s="38">
        <f>IF($E368= Parameters!$D$69, 0, IF(OR(BL322=1, BL299=1, BL345=1), 1,0 ))</f>
        <v>0</v>
      </c>
      <c r="BM368" s="38">
        <f>IF($E368= Parameters!$D$69, 0, IF(OR(BM322=1, BM299=1, BM345=1), 1,0 ))</f>
        <v>0</v>
      </c>
      <c r="BN368" s="38">
        <f>IF($E368= Parameters!$D$69, 0, IF(OR(BN322=1, BN299=1, BN345=1), 1,0 ))</f>
        <v>0</v>
      </c>
      <c r="BO368" s="38">
        <f>IF($E368= Parameters!$D$69, 0, IF(OR(BO322=1, BO299=1, BO345=1), 1,0 ))</f>
        <v>0</v>
      </c>
      <c r="BP368" s="38">
        <f>IF($E368= Parameters!$D$69, 0, IF(OR(BP322=1, BP299=1, BP345=1), 1,0 ))</f>
        <v>0</v>
      </c>
      <c r="BQ368" s="38">
        <f>IF($E368= Parameters!$D$69, 0, IF(OR(BQ322=1, BQ299=1, BQ345=1), 1,0 ))</f>
        <v>0</v>
      </c>
      <c r="BR368" s="38">
        <f>IF($E368= Parameters!$D$69, 0, IF(OR(BR322=1, BR299=1, BR345=1), 1,0 ))</f>
        <v>0</v>
      </c>
      <c r="BS368" s="38">
        <f>IF($E368= Parameters!$D$69, 0, IF(OR(BS322=1, BS299=1, BS345=1), 1,0 ))</f>
        <v>0</v>
      </c>
      <c r="BT368" s="38">
        <f>IF($E368= Parameters!$D$69, 0, IF(OR(BT322=1, BT299=1, BT345=1), 1,0 ))</f>
        <v>0</v>
      </c>
      <c r="BU368" s="38">
        <f>IF($E368= Parameters!$D$69, 0, IF(OR(BU322=1, BU299=1, BU345=1), 1,0 ))</f>
        <v>0</v>
      </c>
      <c r="BV368" s="38">
        <f>IF($E368= Parameters!$D$69, 0, IF(OR(BV322=1, BV299=1, BV345=1), 1,0 ))</f>
        <v>0</v>
      </c>
      <c r="BX368" s="106"/>
      <c r="BY368" s="106"/>
      <c r="BZ368" s="106"/>
      <c r="CA368" s="106"/>
      <c r="CB368" s="38">
        <f t="shared" si="220"/>
        <v>1</v>
      </c>
      <c r="CC368" s="38">
        <f t="shared" si="220"/>
        <v>1</v>
      </c>
      <c r="CD368" s="38">
        <f t="shared" si="220"/>
        <v>1</v>
      </c>
      <c r="CE368" s="38">
        <f t="shared" si="220"/>
        <v>1</v>
      </c>
      <c r="CF368" s="38">
        <f t="shared" si="220"/>
        <v>1</v>
      </c>
      <c r="CG368" s="38">
        <f t="shared" si="220"/>
        <v>1</v>
      </c>
      <c r="CH368" s="38">
        <f t="shared" si="220"/>
        <v>1</v>
      </c>
      <c r="CI368" s="38">
        <f t="shared" si="220"/>
        <v>1</v>
      </c>
      <c r="CK368" s="11"/>
      <c r="CM368" s="11"/>
      <c r="EX368" s="10" t="str">
        <f t="shared" si="210"/>
        <v/>
      </c>
    </row>
    <row r="369" spans="1:154" x14ac:dyDescent="0.35">
      <c r="B369" t="str">
        <f ca="1">Loans!B$15</f>
        <v>Loan 3</v>
      </c>
      <c r="D369" s="51">
        <f>Loans!D$15</f>
        <v>0</v>
      </c>
      <c r="E369" s="51" t="str">
        <f>Loans!F$15</f>
        <v/>
      </c>
      <c r="V369" s="106"/>
      <c r="W369" s="106"/>
      <c r="X369" s="106"/>
      <c r="Y369" s="106"/>
      <c r="AA369" s="38">
        <f>IF($E369= Parameters!$D$69, 0, IF(OR(AA323=1, AA300=1, AA346=1), 1,0 ))</f>
        <v>0</v>
      </c>
      <c r="AB369" s="38">
        <f>IF($E369= Parameters!$D$69, 0, IF(OR(AB323=1, AB300=1, AB346=1), 1,0 ))</f>
        <v>0</v>
      </c>
      <c r="AC369" s="38">
        <f>IF($E369= Parameters!$D$69, 0, IF(OR(AC323=1, AC300=1, AC346=1), 1,0 ))</f>
        <v>0</v>
      </c>
      <c r="AD369" s="38">
        <f>IF($E369= Parameters!$D$69, 0, IF(OR(AD323=1, AD300=1, AD346=1), 1,0 ))</f>
        <v>0</v>
      </c>
      <c r="AE369" s="38">
        <f>IF($E369= Parameters!$D$69, 0, IF(OR(AE323=1, AE300=1, AE346=1), 1,0 ))</f>
        <v>0</v>
      </c>
      <c r="AF369" s="38">
        <f>IF($E369= Parameters!$D$69, 0, IF(OR(AF323=1, AF300=1, AF346=1), 1,0 ))</f>
        <v>0</v>
      </c>
      <c r="AG369" s="38">
        <f>IF($E369= Parameters!$D$69, 0, IF(OR(AG323=1, AG300=1, AG346=1), 1,0 ))</f>
        <v>0</v>
      </c>
      <c r="AH369" s="38">
        <f>IF($E369= Parameters!$D$69, 0, IF(OR(AH323=1, AH300=1, AH346=1), 1,0 ))</f>
        <v>0</v>
      </c>
      <c r="AI369" s="38">
        <f>IF($E369= Parameters!$D$69, 0, IF(OR(AI323=1, AI300=1, AI346=1), 1,0 ))</f>
        <v>0</v>
      </c>
      <c r="AJ369" s="38">
        <f>IF($E369= Parameters!$D$69, 0, IF(OR(AJ323=1, AJ300=1, AJ346=1), 1,0 ))</f>
        <v>0</v>
      </c>
      <c r="AK369" s="38">
        <f>IF($E369= Parameters!$D$69, 0, IF(OR(AK323=1, AK300=1, AK346=1), 1,0 ))</f>
        <v>0</v>
      </c>
      <c r="AL369" s="38">
        <f>IF($E369= Parameters!$D$69, 0, IF(OR(AL323=1, AL300=1, AL346=1), 1,0 ))</f>
        <v>0</v>
      </c>
      <c r="AM369" s="38">
        <f>IF($E369= Parameters!$D$69, 0, IF(OR(AM323=1, AM300=1, AM346=1), 1,0 ))</f>
        <v>0</v>
      </c>
      <c r="AN369" s="38">
        <f>IF($E369= Parameters!$D$69, 0, IF(OR(AN323=1, AN300=1, AN346=1), 1,0 ))</f>
        <v>0</v>
      </c>
      <c r="AO369" s="38">
        <f>IF($E369= Parameters!$D$69, 0, IF(OR(AO323=1, AO300=1, AO346=1), 1,0 ))</f>
        <v>0</v>
      </c>
      <c r="AP369" s="38">
        <f>IF($E369= Parameters!$D$69, 0, IF(OR(AP323=1, AP300=1, AP346=1), 1,0 ))</f>
        <v>0</v>
      </c>
      <c r="AQ369" s="38">
        <f>IF($E369= Parameters!$D$69, 0, IF(OR(AQ323=1, AQ300=1, AQ346=1), 1,0 ))</f>
        <v>0</v>
      </c>
      <c r="AR369" s="38">
        <f>IF($E369= Parameters!$D$69, 0, IF(OR(AR323=1, AR300=1, AR346=1), 1,0 ))</f>
        <v>0</v>
      </c>
      <c r="AS369" s="38">
        <f>IF($E369= Parameters!$D$69, 0, IF(OR(AS323=1, AS300=1, AS346=1), 1,0 ))</f>
        <v>0</v>
      </c>
      <c r="AT369" s="38">
        <f>IF($E369= Parameters!$D$69, 0, IF(OR(AT323=1, AT300=1, AT346=1), 1,0 ))</f>
        <v>0</v>
      </c>
      <c r="AU369" s="38">
        <f>IF($E369= Parameters!$D$69, 0, IF(OR(AU323=1, AU300=1, AU346=1), 1,0 ))</f>
        <v>0</v>
      </c>
      <c r="AV369" s="38">
        <f>IF($E369= Parameters!$D$69, 0, IF(OR(AV323=1, AV300=1, AV346=1), 1,0 ))</f>
        <v>0</v>
      </c>
      <c r="AW369" s="38">
        <f>IF($E369= Parameters!$D$69, 0, IF(OR(AW323=1, AW300=1, AW346=1), 1,0 ))</f>
        <v>0</v>
      </c>
      <c r="AX369" s="38">
        <f>IF($E369= Parameters!$D$69, 0, IF(OR(AX323=1, AX300=1, AX346=1), 1,0 ))</f>
        <v>0</v>
      </c>
      <c r="AY369" s="38">
        <f>IF($E369= Parameters!$D$69, 0, IF(OR(AY323=1, AY300=1, AY346=1), 1,0 ))</f>
        <v>0</v>
      </c>
      <c r="AZ369" s="38">
        <f>IF($E369= Parameters!$D$69, 0, IF(OR(AZ323=1, AZ300=1, AZ346=1), 1,0 ))</f>
        <v>0</v>
      </c>
      <c r="BA369" s="38">
        <f>IF($E369= Parameters!$D$69, 0, IF(OR(BA323=1, BA300=1, BA346=1), 1,0 ))</f>
        <v>0</v>
      </c>
      <c r="BB369" s="38">
        <f>IF($E369= Parameters!$D$69, 0, IF(OR(BB323=1, BB300=1, BB346=1), 1,0 ))</f>
        <v>0</v>
      </c>
      <c r="BC369" s="38">
        <f>IF($E369= Parameters!$D$69, 0, IF(OR(BC323=1, BC300=1, BC346=1), 1,0 ))</f>
        <v>0</v>
      </c>
      <c r="BD369" s="38">
        <f>IF($E369= Parameters!$D$69, 0, IF(OR(BD323=1, BD300=1, BD346=1), 1,0 ))</f>
        <v>0</v>
      </c>
      <c r="BE369" s="38">
        <f>IF($E369= Parameters!$D$69, 0, IF(OR(BE323=1, BE300=1, BE346=1), 1,0 ))</f>
        <v>0</v>
      </c>
      <c r="BF369" s="38">
        <f>IF($E369= Parameters!$D$69, 0, IF(OR(BF323=1, BF300=1, BF346=1), 1,0 ))</f>
        <v>0</v>
      </c>
      <c r="BG369" s="38">
        <f>IF($E369= Parameters!$D$69, 0, IF(OR(BG323=1, BG300=1, BG346=1), 1,0 ))</f>
        <v>0</v>
      </c>
      <c r="BH369" s="38">
        <f>IF($E369= Parameters!$D$69, 0, IF(OR(BH323=1, BH300=1, BH346=1), 1,0 ))</f>
        <v>0</v>
      </c>
      <c r="BI369" s="38">
        <f>IF($E369= Parameters!$D$69, 0, IF(OR(BI323=1, BI300=1, BI346=1), 1,0 ))</f>
        <v>0</v>
      </c>
      <c r="BJ369" s="38">
        <f>IF($E369= Parameters!$D$69, 0, IF(OR(BJ323=1, BJ300=1, BJ346=1), 1,0 ))</f>
        <v>0</v>
      </c>
      <c r="BK369" s="38">
        <f>IF($E369= Parameters!$D$69, 0, IF(OR(BK323=1, BK300=1, BK346=1), 1,0 ))</f>
        <v>0</v>
      </c>
      <c r="BL369" s="38">
        <f>IF($E369= Parameters!$D$69, 0, IF(OR(BL323=1, BL300=1, BL346=1), 1,0 ))</f>
        <v>0</v>
      </c>
      <c r="BM369" s="38">
        <f>IF($E369= Parameters!$D$69, 0, IF(OR(BM323=1, BM300=1, BM346=1), 1,0 ))</f>
        <v>0</v>
      </c>
      <c r="BN369" s="38">
        <f>IF($E369= Parameters!$D$69, 0, IF(OR(BN323=1, BN300=1, BN346=1), 1,0 ))</f>
        <v>0</v>
      </c>
      <c r="BO369" s="38">
        <f>IF($E369= Parameters!$D$69, 0, IF(OR(BO323=1, BO300=1, BO346=1), 1,0 ))</f>
        <v>0</v>
      </c>
      <c r="BP369" s="38">
        <f>IF($E369= Parameters!$D$69, 0, IF(OR(BP323=1, BP300=1, BP346=1), 1,0 ))</f>
        <v>0</v>
      </c>
      <c r="BQ369" s="38">
        <f>IF($E369= Parameters!$D$69, 0, IF(OR(BQ323=1, BQ300=1, BQ346=1), 1,0 ))</f>
        <v>0</v>
      </c>
      <c r="BR369" s="38">
        <f>IF($E369= Parameters!$D$69, 0, IF(OR(BR323=1, BR300=1, BR346=1), 1,0 ))</f>
        <v>0</v>
      </c>
      <c r="BS369" s="38">
        <f>IF($E369= Parameters!$D$69, 0, IF(OR(BS323=1, BS300=1, BS346=1), 1,0 ))</f>
        <v>0</v>
      </c>
      <c r="BT369" s="38">
        <f>IF($E369= Parameters!$D$69, 0, IF(OR(BT323=1, BT300=1, BT346=1), 1,0 ))</f>
        <v>0</v>
      </c>
      <c r="BU369" s="38">
        <f>IF($E369= Parameters!$D$69, 0, IF(OR(BU323=1, BU300=1, BU346=1), 1,0 ))</f>
        <v>0</v>
      </c>
      <c r="BV369" s="38">
        <f>IF($E369= Parameters!$D$69, 0, IF(OR(BV323=1, BV300=1, BV346=1), 1,0 ))</f>
        <v>0</v>
      </c>
      <c r="BX369" s="106"/>
      <c r="BY369" s="106"/>
      <c r="BZ369" s="106"/>
      <c r="CA369" s="106"/>
      <c r="CB369" s="38">
        <f t="shared" si="220"/>
        <v>1</v>
      </c>
      <c r="CC369" s="38">
        <f t="shared" si="220"/>
        <v>1</v>
      </c>
      <c r="CD369" s="38">
        <f t="shared" si="220"/>
        <v>1</v>
      </c>
      <c r="CE369" s="38">
        <f t="shared" si="220"/>
        <v>1</v>
      </c>
      <c r="CF369" s="38">
        <f t="shared" si="220"/>
        <v>1</v>
      </c>
      <c r="CG369" s="38">
        <f t="shared" si="220"/>
        <v>1</v>
      </c>
      <c r="CH369" s="38">
        <f t="shared" si="220"/>
        <v>1</v>
      </c>
      <c r="CI369" s="38">
        <f t="shared" si="220"/>
        <v>1</v>
      </c>
      <c r="CK369" s="11"/>
      <c r="CM369" s="11"/>
      <c r="EX369" s="10" t="str">
        <f t="shared" si="210"/>
        <v/>
      </c>
    </row>
    <row r="370" spans="1:154" x14ac:dyDescent="0.35">
      <c r="B370" t="str">
        <f ca="1">Loans!B$16</f>
        <v>Loan 4</v>
      </c>
      <c r="D370" s="51">
        <f>Loans!D$16</f>
        <v>0</v>
      </c>
      <c r="E370" s="51" t="str">
        <f>Loans!F$16</f>
        <v/>
      </c>
      <c r="V370" s="106"/>
      <c r="W370" s="106"/>
      <c r="X370" s="106"/>
      <c r="Y370" s="106"/>
      <c r="AA370" s="38">
        <f>IF($E370= Parameters!$D$69, 0, IF(OR(AA324=1, AA301=1, AA347=1), 1,0 ))</f>
        <v>0</v>
      </c>
      <c r="AB370" s="38">
        <f>IF($E370= Parameters!$D$69, 0, IF(OR(AB324=1, AB301=1, AB347=1), 1,0 ))</f>
        <v>0</v>
      </c>
      <c r="AC370" s="38">
        <f>IF($E370= Parameters!$D$69, 0, IF(OR(AC324=1, AC301=1, AC347=1), 1,0 ))</f>
        <v>0</v>
      </c>
      <c r="AD370" s="38">
        <f>IF($E370= Parameters!$D$69, 0, IF(OR(AD324=1, AD301=1, AD347=1), 1,0 ))</f>
        <v>0</v>
      </c>
      <c r="AE370" s="38">
        <f>IF($E370= Parameters!$D$69, 0, IF(OR(AE324=1, AE301=1, AE347=1), 1,0 ))</f>
        <v>0</v>
      </c>
      <c r="AF370" s="38">
        <f>IF($E370= Parameters!$D$69, 0, IF(OR(AF324=1, AF301=1, AF347=1), 1,0 ))</f>
        <v>0</v>
      </c>
      <c r="AG370" s="38">
        <f>IF($E370= Parameters!$D$69, 0, IF(OR(AG324=1, AG301=1, AG347=1), 1,0 ))</f>
        <v>0</v>
      </c>
      <c r="AH370" s="38">
        <f>IF($E370= Parameters!$D$69, 0, IF(OR(AH324=1, AH301=1, AH347=1), 1,0 ))</f>
        <v>0</v>
      </c>
      <c r="AI370" s="38">
        <f>IF($E370= Parameters!$D$69, 0, IF(OR(AI324=1, AI301=1, AI347=1), 1,0 ))</f>
        <v>0</v>
      </c>
      <c r="AJ370" s="38">
        <f>IF($E370= Parameters!$D$69, 0, IF(OR(AJ324=1, AJ301=1, AJ347=1), 1,0 ))</f>
        <v>0</v>
      </c>
      <c r="AK370" s="38">
        <f>IF($E370= Parameters!$D$69, 0, IF(OR(AK324=1, AK301=1, AK347=1), 1,0 ))</f>
        <v>0</v>
      </c>
      <c r="AL370" s="38">
        <f>IF($E370= Parameters!$D$69, 0, IF(OR(AL324=1, AL301=1, AL347=1), 1,0 ))</f>
        <v>0</v>
      </c>
      <c r="AM370" s="38">
        <f>IF($E370= Parameters!$D$69, 0, IF(OR(AM324=1, AM301=1, AM347=1), 1,0 ))</f>
        <v>0</v>
      </c>
      <c r="AN370" s="38">
        <f>IF($E370= Parameters!$D$69, 0, IF(OR(AN324=1, AN301=1, AN347=1), 1,0 ))</f>
        <v>0</v>
      </c>
      <c r="AO370" s="38">
        <f>IF($E370= Parameters!$D$69, 0, IF(OR(AO324=1, AO301=1, AO347=1), 1,0 ))</f>
        <v>0</v>
      </c>
      <c r="AP370" s="38">
        <f>IF($E370= Parameters!$D$69, 0, IF(OR(AP324=1, AP301=1, AP347=1), 1,0 ))</f>
        <v>0</v>
      </c>
      <c r="AQ370" s="38">
        <f>IF($E370= Parameters!$D$69, 0, IF(OR(AQ324=1, AQ301=1, AQ347=1), 1,0 ))</f>
        <v>0</v>
      </c>
      <c r="AR370" s="38">
        <f>IF($E370= Parameters!$D$69, 0, IF(OR(AR324=1, AR301=1, AR347=1), 1,0 ))</f>
        <v>0</v>
      </c>
      <c r="AS370" s="38">
        <f>IF($E370= Parameters!$D$69, 0, IF(OR(AS324=1, AS301=1, AS347=1), 1,0 ))</f>
        <v>0</v>
      </c>
      <c r="AT370" s="38">
        <f>IF($E370= Parameters!$D$69, 0, IF(OR(AT324=1, AT301=1, AT347=1), 1,0 ))</f>
        <v>0</v>
      </c>
      <c r="AU370" s="38">
        <f>IF($E370= Parameters!$D$69, 0, IF(OR(AU324=1, AU301=1, AU347=1), 1,0 ))</f>
        <v>0</v>
      </c>
      <c r="AV370" s="38">
        <f>IF($E370= Parameters!$D$69, 0, IF(OR(AV324=1, AV301=1, AV347=1), 1,0 ))</f>
        <v>0</v>
      </c>
      <c r="AW370" s="38">
        <f>IF($E370= Parameters!$D$69, 0, IF(OR(AW324=1, AW301=1, AW347=1), 1,0 ))</f>
        <v>0</v>
      </c>
      <c r="AX370" s="38">
        <f>IF($E370= Parameters!$D$69, 0, IF(OR(AX324=1, AX301=1, AX347=1), 1,0 ))</f>
        <v>0</v>
      </c>
      <c r="AY370" s="38">
        <f>IF($E370= Parameters!$D$69, 0, IF(OR(AY324=1, AY301=1, AY347=1), 1,0 ))</f>
        <v>0</v>
      </c>
      <c r="AZ370" s="38">
        <f>IF($E370= Parameters!$D$69, 0, IF(OR(AZ324=1, AZ301=1, AZ347=1), 1,0 ))</f>
        <v>0</v>
      </c>
      <c r="BA370" s="38">
        <f>IF($E370= Parameters!$D$69, 0, IF(OR(BA324=1, BA301=1, BA347=1), 1,0 ))</f>
        <v>0</v>
      </c>
      <c r="BB370" s="38">
        <f>IF($E370= Parameters!$D$69, 0, IF(OR(BB324=1, BB301=1, BB347=1), 1,0 ))</f>
        <v>0</v>
      </c>
      <c r="BC370" s="38">
        <f>IF($E370= Parameters!$D$69, 0, IF(OR(BC324=1, BC301=1, BC347=1), 1,0 ))</f>
        <v>0</v>
      </c>
      <c r="BD370" s="38">
        <f>IF($E370= Parameters!$D$69, 0, IF(OR(BD324=1, BD301=1, BD347=1), 1,0 ))</f>
        <v>0</v>
      </c>
      <c r="BE370" s="38">
        <f>IF($E370= Parameters!$D$69, 0, IF(OR(BE324=1, BE301=1, BE347=1), 1,0 ))</f>
        <v>0</v>
      </c>
      <c r="BF370" s="38">
        <f>IF($E370= Parameters!$D$69, 0, IF(OR(BF324=1, BF301=1, BF347=1), 1,0 ))</f>
        <v>0</v>
      </c>
      <c r="BG370" s="38">
        <f>IF($E370= Parameters!$D$69, 0, IF(OR(BG324=1, BG301=1, BG347=1), 1,0 ))</f>
        <v>0</v>
      </c>
      <c r="BH370" s="38">
        <f>IF($E370= Parameters!$D$69, 0, IF(OR(BH324=1, BH301=1, BH347=1), 1,0 ))</f>
        <v>0</v>
      </c>
      <c r="BI370" s="38">
        <f>IF($E370= Parameters!$D$69, 0, IF(OR(BI324=1, BI301=1, BI347=1), 1,0 ))</f>
        <v>0</v>
      </c>
      <c r="BJ370" s="38">
        <f>IF($E370= Parameters!$D$69, 0, IF(OR(BJ324=1, BJ301=1, BJ347=1), 1,0 ))</f>
        <v>0</v>
      </c>
      <c r="BK370" s="38">
        <f>IF($E370= Parameters!$D$69, 0, IF(OR(BK324=1, BK301=1, BK347=1), 1,0 ))</f>
        <v>0</v>
      </c>
      <c r="BL370" s="38">
        <f>IF($E370= Parameters!$D$69, 0, IF(OR(BL324=1, BL301=1, BL347=1), 1,0 ))</f>
        <v>0</v>
      </c>
      <c r="BM370" s="38">
        <f>IF($E370= Parameters!$D$69, 0, IF(OR(BM324=1, BM301=1, BM347=1), 1,0 ))</f>
        <v>0</v>
      </c>
      <c r="BN370" s="38">
        <f>IF($E370= Parameters!$D$69, 0, IF(OR(BN324=1, BN301=1, BN347=1), 1,0 ))</f>
        <v>0</v>
      </c>
      <c r="BO370" s="38">
        <f>IF($E370= Parameters!$D$69, 0, IF(OR(BO324=1, BO301=1, BO347=1), 1,0 ))</f>
        <v>0</v>
      </c>
      <c r="BP370" s="38">
        <f>IF($E370= Parameters!$D$69, 0, IF(OR(BP324=1, BP301=1, BP347=1), 1,0 ))</f>
        <v>0</v>
      </c>
      <c r="BQ370" s="38">
        <f>IF($E370= Parameters!$D$69, 0, IF(OR(BQ324=1, BQ301=1, BQ347=1), 1,0 ))</f>
        <v>0</v>
      </c>
      <c r="BR370" s="38">
        <f>IF($E370= Parameters!$D$69, 0, IF(OR(BR324=1, BR301=1, BR347=1), 1,0 ))</f>
        <v>0</v>
      </c>
      <c r="BS370" s="38">
        <f>IF($E370= Parameters!$D$69, 0, IF(OR(BS324=1, BS301=1, BS347=1), 1,0 ))</f>
        <v>0</v>
      </c>
      <c r="BT370" s="38">
        <f>IF($E370= Parameters!$D$69, 0, IF(OR(BT324=1, BT301=1, BT347=1), 1,0 ))</f>
        <v>0</v>
      </c>
      <c r="BU370" s="38">
        <f>IF($E370= Parameters!$D$69, 0, IF(OR(BU324=1, BU301=1, BU347=1), 1,0 ))</f>
        <v>0</v>
      </c>
      <c r="BV370" s="38">
        <f>IF($E370= Parameters!$D$69, 0, IF(OR(BV324=1, BV301=1, BV347=1), 1,0 ))</f>
        <v>0</v>
      </c>
      <c r="BX370" s="106"/>
      <c r="BY370" s="106"/>
      <c r="BZ370" s="106"/>
      <c r="CA370" s="106"/>
      <c r="CB370" s="38">
        <f t="shared" si="220"/>
        <v>1</v>
      </c>
      <c r="CC370" s="38">
        <f t="shared" si="220"/>
        <v>1</v>
      </c>
      <c r="CD370" s="38">
        <f t="shared" si="220"/>
        <v>1</v>
      </c>
      <c r="CE370" s="38">
        <f t="shared" si="220"/>
        <v>1</v>
      </c>
      <c r="CF370" s="38">
        <f t="shared" si="220"/>
        <v>1</v>
      </c>
      <c r="CG370" s="38">
        <f t="shared" si="220"/>
        <v>1</v>
      </c>
      <c r="CH370" s="38">
        <f t="shared" si="220"/>
        <v>1</v>
      </c>
      <c r="CI370" s="38">
        <f t="shared" si="220"/>
        <v>1</v>
      </c>
      <c r="CK370" s="11"/>
      <c r="CM370" s="11"/>
      <c r="EX370" s="10" t="str">
        <f t="shared" si="210"/>
        <v/>
      </c>
    </row>
    <row r="371" spans="1:154" x14ac:dyDescent="0.35">
      <c r="B371" t="str">
        <f ca="1">Loans!B$17</f>
        <v>Loan 5</v>
      </c>
      <c r="D371" s="51">
        <f>Loans!D$17</f>
        <v>0</v>
      </c>
      <c r="E371" s="51" t="str">
        <f>Loans!F$17</f>
        <v/>
      </c>
      <c r="V371" s="106"/>
      <c r="W371" s="106"/>
      <c r="X371" s="106"/>
      <c r="Y371" s="106"/>
      <c r="AA371" s="38">
        <f>IF($E371= Parameters!$D$69, 0, IF(OR(AA325=1, AA302=1, AA348=1), 1,0 ))</f>
        <v>0</v>
      </c>
      <c r="AB371" s="38">
        <f>IF($E371= Parameters!$D$69, 0, IF(OR(AB325=1, AB302=1, AB348=1), 1,0 ))</f>
        <v>0</v>
      </c>
      <c r="AC371" s="38">
        <f>IF($E371= Parameters!$D$69, 0, IF(OR(AC325=1, AC302=1, AC348=1), 1,0 ))</f>
        <v>0</v>
      </c>
      <c r="AD371" s="38">
        <f>IF($E371= Parameters!$D$69, 0, IF(OR(AD325=1, AD302=1, AD348=1), 1,0 ))</f>
        <v>0</v>
      </c>
      <c r="AE371" s="38">
        <f>IF($E371= Parameters!$D$69, 0, IF(OR(AE325=1, AE302=1, AE348=1), 1,0 ))</f>
        <v>0</v>
      </c>
      <c r="AF371" s="38">
        <f>IF($E371= Parameters!$D$69, 0, IF(OR(AF325=1, AF302=1, AF348=1), 1,0 ))</f>
        <v>0</v>
      </c>
      <c r="AG371" s="38">
        <f>IF($E371= Parameters!$D$69, 0, IF(OR(AG325=1, AG302=1, AG348=1), 1,0 ))</f>
        <v>0</v>
      </c>
      <c r="AH371" s="38">
        <f>IF($E371= Parameters!$D$69, 0, IF(OR(AH325=1, AH302=1, AH348=1), 1,0 ))</f>
        <v>0</v>
      </c>
      <c r="AI371" s="38">
        <f>IF($E371= Parameters!$D$69, 0, IF(OR(AI325=1, AI302=1, AI348=1), 1,0 ))</f>
        <v>0</v>
      </c>
      <c r="AJ371" s="38">
        <f>IF($E371= Parameters!$D$69, 0, IF(OR(AJ325=1, AJ302=1, AJ348=1), 1,0 ))</f>
        <v>0</v>
      </c>
      <c r="AK371" s="38">
        <f>IF($E371= Parameters!$D$69, 0, IF(OR(AK325=1, AK302=1, AK348=1), 1,0 ))</f>
        <v>0</v>
      </c>
      <c r="AL371" s="38">
        <f>IF($E371= Parameters!$D$69, 0, IF(OR(AL325=1, AL302=1, AL348=1), 1,0 ))</f>
        <v>0</v>
      </c>
      <c r="AM371" s="38">
        <f>IF($E371= Parameters!$D$69, 0, IF(OR(AM325=1, AM302=1, AM348=1), 1,0 ))</f>
        <v>0</v>
      </c>
      <c r="AN371" s="38">
        <f>IF($E371= Parameters!$D$69, 0, IF(OR(AN325=1, AN302=1, AN348=1), 1,0 ))</f>
        <v>0</v>
      </c>
      <c r="AO371" s="38">
        <f>IF($E371= Parameters!$D$69, 0, IF(OR(AO325=1, AO302=1, AO348=1), 1,0 ))</f>
        <v>0</v>
      </c>
      <c r="AP371" s="38">
        <f>IF($E371= Parameters!$D$69, 0, IF(OR(AP325=1, AP302=1, AP348=1), 1,0 ))</f>
        <v>0</v>
      </c>
      <c r="AQ371" s="38">
        <f>IF($E371= Parameters!$D$69, 0, IF(OR(AQ325=1, AQ302=1, AQ348=1), 1,0 ))</f>
        <v>0</v>
      </c>
      <c r="AR371" s="38">
        <f>IF($E371= Parameters!$D$69, 0, IF(OR(AR325=1, AR302=1, AR348=1), 1,0 ))</f>
        <v>0</v>
      </c>
      <c r="AS371" s="38">
        <f>IF($E371= Parameters!$D$69, 0, IF(OR(AS325=1, AS302=1, AS348=1), 1,0 ))</f>
        <v>0</v>
      </c>
      <c r="AT371" s="38">
        <f>IF($E371= Parameters!$D$69, 0, IF(OR(AT325=1, AT302=1, AT348=1), 1,0 ))</f>
        <v>0</v>
      </c>
      <c r="AU371" s="38">
        <f>IF($E371= Parameters!$D$69, 0, IF(OR(AU325=1, AU302=1, AU348=1), 1,0 ))</f>
        <v>0</v>
      </c>
      <c r="AV371" s="38">
        <f>IF($E371= Parameters!$D$69, 0, IF(OR(AV325=1, AV302=1, AV348=1), 1,0 ))</f>
        <v>0</v>
      </c>
      <c r="AW371" s="38">
        <f>IF($E371= Parameters!$D$69, 0, IF(OR(AW325=1, AW302=1, AW348=1), 1,0 ))</f>
        <v>0</v>
      </c>
      <c r="AX371" s="38">
        <f>IF($E371= Parameters!$D$69, 0, IF(OR(AX325=1, AX302=1, AX348=1), 1,0 ))</f>
        <v>0</v>
      </c>
      <c r="AY371" s="38">
        <f>IF($E371= Parameters!$D$69, 0, IF(OR(AY325=1, AY302=1, AY348=1), 1,0 ))</f>
        <v>0</v>
      </c>
      <c r="AZ371" s="38">
        <f>IF($E371= Parameters!$D$69, 0, IF(OR(AZ325=1, AZ302=1, AZ348=1), 1,0 ))</f>
        <v>0</v>
      </c>
      <c r="BA371" s="38">
        <f>IF($E371= Parameters!$D$69, 0, IF(OR(BA325=1, BA302=1, BA348=1), 1,0 ))</f>
        <v>0</v>
      </c>
      <c r="BB371" s="38">
        <f>IF($E371= Parameters!$D$69, 0, IF(OR(BB325=1, BB302=1, BB348=1), 1,0 ))</f>
        <v>0</v>
      </c>
      <c r="BC371" s="38">
        <f>IF($E371= Parameters!$D$69, 0, IF(OR(BC325=1, BC302=1, BC348=1), 1,0 ))</f>
        <v>0</v>
      </c>
      <c r="BD371" s="38">
        <f>IF($E371= Parameters!$D$69, 0, IF(OR(BD325=1, BD302=1, BD348=1), 1,0 ))</f>
        <v>0</v>
      </c>
      <c r="BE371" s="38">
        <f>IF($E371= Parameters!$D$69, 0, IF(OR(BE325=1, BE302=1, BE348=1), 1,0 ))</f>
        <v>0</v>
      </c>
      <c r="BF371" s="38">
        <f>IF($E371= Parameters!$D$69, 0, IF(OR(BF325=1, BF302=1, BF348=1), 1,0 ))</f>
        <v>0</v>
      </c>
      <c r="BG371" s="38">
        <f>IF($E371= Parameters!$D$69, 0, IF(OR(BG325=1, BG302=1, BG348=1), 1,0 ))</f>
        <v>0</v>
      </c>
      <c r="BH371" s="38">
        <f>IF($E371= Parameters!$D$69, 0, IF(OR(BH325=1, BH302=1, BH348=1), 1,0 ))</f>
        <v>0</v>
      </c>
      <c r="BI371" s="38">
        <f>IF($E371= Parameters!$D$69, 0, IF(OR(BI325=1, BI302=1, BI348=1), 1,0 ))</f>
        <v>0</v>
      </c>
      <c r="BJ371" s="38">
        <f>IF($E371= Parameters!$D$69, 0, IF(OR(BJ325=1, BJ302=1, BJ348=1), 1,0 ))</f>
        <v>0</v>
      </c>
      <c r="BK371" s="38">
        <f>IF($E371= Parameters!$D$69, 0, IF(OR(BK325=1, BK302=1, BK348=1), 1,0 ))</f>
        <v>0</v>
      </c>
      <c r="BL371" s="38">
        <f>IF($E371= Parameters!$D$69, 0, IF(OR(BL325=1, BL302=1, BL348=1), 1,0 ))</f>
        <v>0</v>
      </c>
      <c r="BM371" s="38">
        <f>IF($E371= Parameters!$D$69, 0, IF(OR(BM325=1, BM302=1, BM348=1), 1,0 ))</f>
        <v>0</v>
      </c>
      <c r="BN371" s="38">
        <f>IF($E371= Parameters!$D$69, 0, IF(OR(BN325=1, BN302=1, BN348=1), 1,0 ))</f>
        <v>0</v>
      </c>
      <c r="BO371" s="38">
        <f>IF($E371= Parameters!$D$69, 0, IF(OR(BO325=1, BO302=1, BO348=1), 1,0 ))</f>
        <v>0</v>
      </c>
      <c r="BP371" s="38">
        <f>IF($E371= Parameters!$D$69, 0, IF(OR(BP325=1, BP302=1, BP348=1), 1,0 ))</f>
        <v>0</v>
      </c>
      <c r="BQ371" s="38">
        <f>IF($E371= Parameters!$D$69, 0, IF(OR(BQ325=1, BQ302=1, BQ348=1), 1,0 ))</f>
        <v>0</v>
      </c>
      <c r="BR371" s="38">
        <f>IF($E371= Parameters!$D$69, 0, IF(OR(BR325=1, BR302=1, BR348=1), 1,0 ))</f>
        <v>0</v>
      </c>
      <c r="BS371" s="38">
        <f>IF($E371= Parameters!$D$69, 0, IF(OR(BS325=1, BS302=1, BS348=1), 1,0 ))</f>
        <v>0</v>
      </c>
      <c r="BT371" s="38">
        <f>IF($E371= Parameters!$D$69, 0, IF(OR(BT325=1, BT302=1, BT348=1), 1,0 ))</f>
        <v>0</v>
      </c>
      <c r="BU371" s="38">
        <f>IF($E371= Parameters!$D$69, 0, IF(OR(BU325=1, BU302=1, BU348=1), 1,0 ))</f>
        <v>0</v>
      </c>
      <c r="BV371" s="38">
        <f>IF($E371= Parameters!$D$69, 0, IF(OR(BV325=1, BV302=1, BV348=1), 1,0 ))</f>
        <v>0</v>
      </c>
      <c r="BX371" s="106"/>
      <c r="BY371" s="106"/>
      <c r="BZ371" s="106"/>
      <c r="CA371" s="106"/>
      <c r="CB371" s="38">
        <f t="shared" si="220"/>
        <v>1</v>
      </c>
      <c r="CC371" s="38">
        <f t="shared" si="220"/>
        <v>1</v>
      </c>
      <c r="CD371" s="38">
        <f t="shared" si="220"/>
        <v>1</v>
      </c>
      <c r="CE371" s="38">
        <f t="shared" si="220"/>
        <v>1</v>
      </c>
      <c r="CF371" s="38">
        <f t="shared" si="220"/>
        <v>1</v>
      </c>
      <c r="CG371" s="38">
        <f t="shared" si="220"/>
        <v>1</v>
      </c>
      <c r="CH371" s="38">
        <f t="shared" si="220"/>
        <v>1</v>
      </c>
      <c r="CI371" s="38">
        <f t="shared" si="220"/>
        <v>1</v>
      </c>
      <c r="CK371" s="11"/>
      <c r="CM371" s="11"/>
      <c r="EX371" s="10" t="str">
        <f t="shared" si="210"/>
        <v/>
      </c>
    </row>
    <row r="372" spans="1:154" x14ac:dyDescent="0.35">
      <c r="B372" t="str">
        <f ca="1">Loans!B$18</f>
        <v>Loan 6</v>
      </c>
      <c r="D372" s="51">
        <f>Loans!D$18</f>
        <v>0</v>
      </c>
      <c r="E372" s="51" t="str">
        <f>Loans!F$18</f>
        <v/>
      </c>
      <c r="V372" s="106"/>
      <c r="W372" s="106"/>
      <c r="X372" s="106"/>
      <c r="Y372" s="106"/>
      <c r="AA372" s="38">
        <f>IF($E372= Parameters!$D$69, 0, IF(OR(AA326=1, AA303=1, AA349=1), 1,0 ))</f>
        <v>0</v>
      </c>
      <c r="AB372" s="38">
        <f>IF($E372= Parameters!$D$69, 0, IF(OR(AB326=1, AB303=1, AB349=1), 1,0 ))</f>
        <v>0</v>
      </c>
      <c r="AC372" s="38">
        <f>IF($E372= Parameters!$D$69, 0, IF(OR(AC326=1, AC303=1, AC349=1), 1,0 ))</f>
        <v>0</v>
      </c>
      <c r="AD372" s="38">
        <f>IF($E372= Parameters!$D$69, 0, IF(OR(AD326=1, AD303=1, AD349=1), 1,0 ))</f>
        <v>0</v>
      </c>
      <c r="AE372" s="38">
        <f>IF($E372= Parameters!$D$69, 0, IF(OR(AE326=1, AE303=1, AE349=1), 1,0 ))</f>
        <v>0</v>
      </c>
      <c r="AF372" s="38">
        <f>IF($E372= Parameters!$D$69, 0, IF(OR(AF326=1, AF303=1, AF349=1), 1,0 ))</f>
        <v>0</v>
      </c>
      <c r="AG372" s="38">
        <f>IF($E372= Parameters!$D$69, 0, IF(OR(AG326=1, AG303=1, AG349=1), 1,0 ))</f>
        <v>0</v>
      </c>
      <c r="AH372" s="38">
        <f>IF($E372= Parameters!$D$69, 0, IF(OR(AH326=1, AH303=1, AH349=1), 1,0 ))</f>
        <v>0</v>
      </c>
      <c r="AI372" s="38">
        <f>IF($E372= Parameters!$D$69, 0, IF(OR(AI326=1, AI303=1, AI349=1), 1,0 ))</f>
        <v>0</v>
      </c>
      <c r="AJ372" s="38">
        <f>IF($E372= Parameters!$D$69, 0, IF(OR(AJ326=1, AJ303=1, AJ349=1), 1,0 ))</f>
        <v>0</v>
      </c>
      <c r="AK372" s="38">
        <f>IF($E372= Parameters!$D$69, 0, IF(OR(AK326=1, AK303=1, AK349=1), 1,0 ))</f>
        <v>0</v>
      </c>
      <c r="AL372" s="38">
        <f>IF($E372= Parameters!$D$69, 0, IF(OR(AL326=1, AL303=1, AL349=1), 1,0 ))</f>
        <v>0</v>
      </c>
      <c r="AM372" s="38">
        <f>IF($E372= Parameters!$D$69, 0, IF(OR(AM326=1, AM303=1, AM349=1), 1,0 ))</f>
        <v>0</v>
      </c>
      <c r="AN372" s="38">
        <f>IF($E372= Parameters!$D$69, 0, IF(OR(AN326=1, AN303=1, AN349=1), 1,0 ))</f>
        <v>0</v>
      </c>
      <c r="AO372" s="38">
        <f>IF($E372= Parameters!$D$69, 0, IF(OR(AO326=1, AO303=1, AO349=1), 1,0 ))</f>
        <v>0</v>
      </c>
      <c r="AP372" s="38">
        <f>IF($E372= Parameters!$D$69, 0, IF(OR(AP326=1, AP303=1, AP349=1), 1,0 ))</f>
        <v>0</v>
      </c>
      <c r="AQ372" s="38">
        <f>IF($E372= Parameters!$D$69, 0, IF(OR(AQ326=1, AQ303=1, AQ349=1), 1,0 ))</f>
        <v>0</v>
      </c>
      <c r="AR372" s="38">
        <f>IF($E372= Parameters!$D$69, 0, IF(OR(AR326=1, AR303=1, AR349=1), 1,0 ))</f>
        <v>0</v>
      </c>
      <c r="AS372" s="38">
        <f>IF($E372= Parameters!$D$69, 0, IF(OR(AS326=1, AS303=1, AS349=1), 1,0 ))</f>
        <v>0</v>
      </c>
      <c r="AT372" s="38">
        <f>IF($E372= Parameters!$D$69, 0, IF(OR(AT326=1, AT303=1, AT349=1), 1,0 ))</f>
        <v>0</v>
      </c>
      <c r="AU372" s="38">
        <f>IF($E372= Parameters!$D$69, 0, IF(OR(AU326=1, AU303=1, AU349=1), 1,0 ))</f>
        <v>0</v>
      </c>
      <c r="AV372" s="38">
        <f>IF($E372= Parameters!$D$69, 0, IF(OR(AV326=1, AV303=1, AV349=1), 1,0 ))</f>
        <v>0</v>
      </c>
      <c r="AW372" s="38">
        <f>IF($E372= Parameters!$D$69, 0, IF(OR(AW326=1, AW303=1, AW349=1), 1,0 ))</f>
        <v>0</v>
      </c>
      <c r="AX372" s="38">
        <f>IF($E372= Parameters!$D$69, 0, IF(OR(AX326=1, AX303=1, AX349=1), 1,0 ))</f>
        <v>0</v>
      </c>
      <c r="AY372" s="38">
        <f>IF($E372= Parameters!$D$69, 0, IF(OR(AY326=1, AY303=1, AY349=1), 1,0 ))</f>
        <v>0</v>
      </c>
      <c r="AZ372" s="38">
        <f>IF($E372= Parameters!$D$69, 0, IF(OR(AZ326=1, AZ303=1, AZ349=1), 1,0 ))</f>
        <v>0</v>
      </c>
      <c r="BA372" s="38">
        <f>IF($E372= Parameters!$D$69, 0, IF(OR(BA326=1, BA303=1, BA349=1), 1,0 ))</f>
        <v>0</v>
      </c>
      <c r="BB372" s="38">
        <f>IF($E372= Parameters!$D$69, 0, IF(OR(BB326=1, BB303=1, BB349=1), 1,0 ))</f>
        <v>0</v>
      </c>
      <c r="BC372" s="38">
        <f>IF($E372= Parameters!$D$69, 0, IF(OR(BC326=1, BC303=1, BC349=1), 1,0 ))</f>
        <v>0</v>
      </c>
      <c r="BD372" s="38">
        <f>IF($E372= Parameters!$D$69, 0, IF(OR(BD326=1, BD303=1, BD349=1), 1,0 ))</f>
        <v>0</v>
      </c>
      <c r="BE372" s="38">
        <f>IF($E372= Parameters!$D$69, 0, IF(OR(BE326=1, BE303=1, BE349=1), 1,0 ))</f>
        <v>0</v>
      </c>
      <c r="BF372" s="38">
        <f>IF($E372= Parameters!$D$69, 0, IF(OR(BF326=1, BF303=1, BF349=1), 1,0 ))</f>
        <v>0</v>
      </c>
      <c r="BG372" s="38">
        <f>IF($E372= Parameters!$D$69, 0, IF(OR(BG326=1, BG303=1, BG349=1), 1,0 ))</f>
        <v>0</v>
      </c>
      <c r="BH372" s="38">
        <f>IF($E372= Parameters!$D$69, 0, IF(OR(BH326=1, BH303=1, BH349=1), 1,0 ))</f>
        <v>0</v>
      </c>
      <c r="BI372" s="38">
        <f>IF($E372= Parameters!$D$69, 0, IF(OR(BI326=1, BI303=1, BI349=1), 1,0 ))</f>
        <v>0</v>
      </c>
      <c r="BJ372" s="38">
        <f>IF($E372= Parameters!$D$69, 0, IF(OR(BJ326=1, BJ303=1, BJ349=1), 1,0 ))</f>
        <v>0</v>
      </c>
      <c r="BK372" s="38">
        <f>IF($E372= Parameters!$D$69, 0, IF(OR(BK326=1, BK303=1, BK349=1), 1,0 ))</f>
        <v>0</v>
      </c>
      <c r="BL372" s="38">
        <f>IF($E372= Parameters!$D$69, 0, IF(OR(BL326=1, BL303=1, BL349=1), 1,0 ))</f>
        <v>0</v>
      </c>
      <c r="BM372" s="38">
        <f>IF($E372= Parameters!$D$69, 0, IF(OR(BM326=1, BM303=1, BM349=1), 1,0 ))</f>
        <v>0</v>
      </c>
      <c r="BN372" s="38">
        <f>IF($E372= Parameters!$D$69, 0, IF(OR(BN326=1, BN303=1, BN349=1), 1,0 ))</f>
        <v>0</v>
      </c>
      <c r="BO372" s="38">
        <f>IF($E372= Parameters!$D$69, 0, IF(OR(BO326=1, BO303=1, BO349=1), 1,0 ))</f>
        <v>0</v>
      </c>
      <c r="BP372" s="38">
        <f>IF($E372= Parameters!$D$69, 0, IF(OR(BP326=1, BP303=1, BP349=1), 1,0 ))</f>
        <v>0</v>
      </c>
      <c r="BQ372" s="38">
        <f>IF($E372= Parameters!$D$69, 0, IF(OR(BQ326=1, BQ303=1, BQ349=1), 1,0 ))</f>
        <v>0</v>
      </c>
      <c r="BR372" s="38">
        <f>IF($E372= Parameters!$D$69, 0, IF(OR(BR326=1, BR303=1, BR349=1), 1,0 ))</f>
        <v>0</v>
      </c>
      <c r="BS372" s="38">
        <f>IF($E372= Parameters!$D$69, 0, IF(OR(BS326=1, BS303=1, BS349=1), 1,0 ))</f>
        <v>0</v>
      </c>
      <c r="BT372" s="38">
        <f>IF($E372= Parameters!$D$69, 0, IF(OR(BT326=1, BT303=1, BT349=1), 1,0 ))</f>
        <v>0</v>
      </c>
      <c r="BU372" s="38">
        <f>IF($E372= Parameters!$D$69, 0, IF(OR(BU326=1, BU303=1, BU349=1), 1,0 ))</f>
        <v>0</v>
      </c>
      <c r="BV372" s="38">
        <f>IF($E372= Parameters!$D$69, 0, IF(OR(BV326=1, BV303=1, BV349=1), 1,0 ))</f>
        <v>0</v>
      </c>
      <c r="BX372" s="106"/>
      <c r="BY372" s="106"/>
      <c r="BZ372" s="106"/>
      <c r="CA372" s="106"/>
      <c r="CB372" s="38">
        <f t="shared" si="220"/>
        <v>1</v>
      </c>
      <c r="CC372" s="38">
        <f t="shared" si="220"/>
        <v>1</v>
      </c>
      <c r="CD372" s="38">
        <f t="shared" si="220"/>
        <v>1</v>
      </c>
      <c r="CE372" s="38">
        <f t="shared" si="220"/>
        <v>1</v>
      </c>
      <c r="CF372" s="38">
        <f t="shared" si="220"/>
        <v>1</v>
      </c>
      <c r="CG372" s="38">
        <f t="shared" si="220"/>
        <v>1</v>
      </c>
      <c r="CH372" s="38">
        <f t="shared" si="220"/>
        <v>1</v>
      </c>
      <c r="CI372" s="38">
        <f t="shared" si="220"/>
        <v>1</v>
      </c>
      <c r="CK372" s="11"/>
      <c r="CM372" s="11"/>
      <c r="EX372" s="10" t="str">
        <f t="shared" si="210"/>
        <v/>
      </c>
    </row>
    <row r="373" spans="1:154" s="5" customFormat="1" x14ac:dyDescent="0.35">
      <c r="A373"/>
      <c r="B373" t="str">
        <f ca="1">Loans!B$19</f>
        <v>Loan 7</v>
      </c>
      <c r="D373" s="51">
        <f>Loans!D$19</f>
        <v>0</v>
      </c>
      <c r="E373" s="51" t="str">
        <f>Loans!F$19</f>
        <v/>
      </c>
      <c r="F373"/>
      <c r="G373"/>
      <c r="H373"/>
      <c r="I373"/>
      <c r="J373"/>
      <c r="K373"/>
      <c r="M373"/>
      <c r="N373"/>
      <c r="O373"/>
      <c r="P373"/>
      <c r="Q373"/>
      <c r="S373"/>
      <c r="T373"/>
      <c r="U373"/>
      <c r="V373" s="106"/>
      <c r="W373" s="106"/>
      <c r="X373" s="106"/>
      <c r="Y373" s="106"/>
      <c r="Z373"/>
      <c r="AA373" s="38">
        <f>IF($E373= Parameters!$D$69, 0, IF(OR(AA327=1, AA304=1, AA350=1), 1,0 ))</f>
        <v>0</v>
      </c>
      <c r="AB373" s="38">
        <f>IF($E373= Parameters!$D$69, 0, IF(OR(AB327=1, AB304=1, AB350=1), 1,0 ))</f>
        <v>0</v>
      </c>
      <c r="AC373" s="38">
        <f>IF($E373= Parameters!$D$69, 0, IF(OR(AC327=1, AC304=1, AC350=1), 1,0 ))</f>
        <v>0</v>
      </c>
      <c r="AD373" s="38">
        <f>IF($E373= Parameters!$D$69, 0, IF(OR(AD327=1, AD304=1, AD350=1), 1,0 ))</f>
        <v>0</v>
      </c>
      <c r="AE373" s="38">
        <f>IF($E373= Parameters!$D$69, 0, IF(OR(AE327=1, AE304=1, AE350=1), 1,0 ))</f>
        <v>0</v>
      </c>
      <c r="AF373" s="38">
        <f>IF($E373= Parameters!$D$69, 0, IF(OR(AF327=1, AF304=1, AF350=1), 1,0 ))</f>
        <v>0</v>
      </c>
      <c r="AG373" s="38">
        <f>IF($E373= Parameters!$D$69, 0, IF(OR(AG327=1, AG304=1, AG350=1), 1,0 ))</f>
        <v>0</v>
      </c>
      <c r="AH373" s="38">
        <f>IF($E373= Parameters!$D$69, 0, IF(OR(AH327=1, AH304=1, AH350=1), 1,0 ))</f>
        <v>0</v>
      </c>
      <c r="AI373" s="38">
        <f>IF($E373= Parameters!$D$69, 0, IF(OR(AI327=1, AI304=1, AI350=1), 1,0 ))</f>
        <v>0</v>
      </c>
      <c r="AJ373" s="38">
        <f>IF($E373= Parameters!$D$69, 0, IF(OR(AJ327=1, AJ304=1, AJ350=1), 1,0 ))</f>
        <v>0</v>
      </c>
      <c r="AK373" s="38">
        <f>IF($E373= Parameters!$D$69, 0, IF(OR(AK327=1, AK304=1, AK350=1), 1,0 ))</f>
        <v>0</v>
      </c>
      <c r="AL373" s="38">
        <f>IF($E373= Parameters!$D$69, 0, IF(OR(AL327=1, AL304=1, AL350=1), 1,0 ))</f>
        <v>0</v>
      </c>
      <c r="AM373" s="38">
        <f>IF($E373= Parameters!$D$69, 0, IF(OR(AM327=1, AM304=1, AM350=1), 1,0 ))</f>
        <v>0</v>
      </c>
      <c r="AN373" s="38">
        <f>IF($E373= Parameters!$D$69, 0, IF(OR(AN327=1, AN304=1, AN350=1), 1,0 ))</f>
        <v>0</v>
      </c>
      <c r="AO373" s="38">
        <f>IF($E373= Parameters!$D$69, 0, IF(OR(AO327=1, AO304=1, AO350=1), 1,0 ))</f>
        <v>0</v>
      </c>
      <c r="AP373" s="38">
        <f>IF($E373= Parameters!$D$69, 0, IF(OR(AP327=1, AP304=1, AP350=1), 1,0 ))</f>
        <v>0</v>
      </c>
      <c r="AQ373" s="38">
        <f>IF($E373= Parameters!$D$69, 0, IF(OR(AQ327=1, AQ304=1, AQ350=1), 1,0 ))</f>
        <v>0</v>
      </c>
      <c r="AR373" s="38">
        <f>IF($E373= Parameters!$D$69, 0, IF(OR(AR327=1, AR304=1, AR350=1), 1,0 ))</f>
        <v>0</v>
      </c>
      <c r="AS373" s="38">
        <f>IF($E373= Parameters!$D$69, 0, IF(OR(AS327=1, AS304=1, AS350=1), 1,0 ))</f>
        <v>0</v>
      </c>
      <c r="AT373" s="38">
        <f>IF($E373= Parameters!$D$69, 0, IF(OR(AT327=1, AT304=1, AT350=1), 1,0 ))</f>
        <v>0</v>
      </c>
      <c r="AU373" s="38">
        <f>IF($E373= Parameters!$D$69, 0, IF(OR(AU327=1, AU304=1, AU350=1), 1,0 ))</f>
        <v>0</v>
      </c>
      <c r="AV373" s="38">
        <f>IF($E373= Parameters!$D$69, 0, IF(OR(AV327=1, AV304=1, AV350=1), 1,0 ))</f>
        <v>0</v>
      </c>
      <c r="AW373" s="38">
        <f>IF($E373= Parameters!$D$69, 0, IF(OR(AW327=1, AW304=1, AW350=1), 1,0 ))</f>
        <v>0</v>
      </c>
      <c r="AX373" s="38">
        <f>IF($E373= Parameters!$D$69, 0, IF(OR(AX327=1, AX304=1, AX350=1), 1,0 ))</f>
        <v>0</v>
      </c>
      <c r="AY373" s="38">
        <f>IF($E373= Parameters!$D$69, 0, IF(OR(AY327=1, AY304=1, AY350=1), 1,0 ))</f>
        <v>0</v>
      </c>
      <c r="AZ373" s="38">
        <f>IF($E373= Parameters!$D$69, 0, IF(OR(AZ327=1, AZ304=1, AZ350=1), 1,0 ))</f>
        <v>0</v>
      </c>
      <c r="BA373" s="38">
        <f>IF($E373= Parameters!$D$69, 0, IF(OR(BA327=1, BA304=1, BA350=1), 1,0 ))</f>
        <v>0</v>
      </c>
      <c r="BB373" s="38">
        <f>IF($E373= Parameters!$D$69, 0, IF(OR(BB327=1, BB304=1, BB350=1), 1,0 ))</f>
        <v>0</v>
      </c>
      <c r="BC373" s="38">
        <f>IF($E373= Parameters!$D$69, 0, IF(OR(BC327=1, BC304=1, BC350=1), 1,0 ))</f>
        <v>0</v>
      </c>
      <c r="BD373" s="38">
        <f>IF($E373= Parameters!$D$69, 0, IF(OR(BD327=1, BD304=1, BD350=1), 1,0 ))</f>
        <v>0</v>
      </c>
      <c r="BE373" s="38">
        <f>IF($E373= Parameters!$D$69, 0, IF(OR(BE327=1, BE304=1, BE350=1), 1,0 ))</f>
        <v>0</v>
      </c>
      <c r="BF373" s="38">
        <f>IF($E373= Parameters!$D$69, 0, IF(OR(BF327=1, BF304=1, BF350=1), 1,0 ))</f>
        <v>0</v>
      </c>
      <c r="BG373" s="38">
        <f>IF($E373= Parameters!$D$69, 0, IF(OR(BG327=1, BG304=1, BG350=1), 1,0 ))</f>
        <v>0</v>
      </c>
      <c r="BH373" s="38">
        <f>IF($E373= Parameters!$D$69, 0, IF(OR(BH327=1, BH304=1, BH350=1), 1,0 ))</f>
        <v>0</v>
      </c>
      <c r="BI373" s="38">
        <f>IF($E373= Parameters!$D$69, 0, IF(OR(BI327=1, BI304=1, BI350=1), 1,0 ))</f>
        <v>0</v>
      </c>
      <c r="BJ373" s="38">
        <f>IF($E373= Parameters!$D$69, 0, IF(OR(BJ327=1, BJ304=1, BJ350=1), 1,0 ))</f>
        <v>0</v>
      </c>
      <c r="BK373" s="38">
        <f>IF($E373= Parameters!$D$69, 0, IF(OR(BK327=1, BK304=1, BK350=1), 1,0 ))</f>
        <v>0</v>
      </c>
      <c r="BL373" s="38">
        <f>IF($E373= Parameters!$D$69, 0, IF(OR(BL327=1, BL304=1, BL350=1), 1,0 ))</f>
        <v>0</v>
      </c>
      <c r="BM373" s="38">
        <f>IF($E373= Parameters!$D$69, 0, IF(OR(BM327=1, BM304=1, BM350=1), 1,0 ))</f>
        <v>0</v>
      </c>
      <c r="BN373" s="38">
        <f>IF($E373= Parameters!$D$69, 0, IF(OR(BN327=1, BN304=1, BN350=1), 1,0 ))</f>
        <v>0</v>
      </c>
      <c r="BO373" s="38">
        <f>IF($E373= Parameters!$D$69, 0, IF(OR(BO327=1, BO304=1, BO350=1), 1,0 ))</f>
        <v>0</v>
      </c>
      <c r="BP373" s="38">
        <f>IF($E373= Parameters!$D$69, 0, IF(OR(BP327=1, BP304=1, BP350=1), 1,0 ))</f>
        <v>0</v>
      </c>
      <c r="BQ373" s="38">
        <f>IF($E373= Parameters!$D$69, 0, IF(OR(BQ327=1, BQ304=1, BQ350=1), 1,0 ))</f>
        <v>0</v>
      </c>
      <c r="BR373" s="38">
        <f>IF($E373= Parameters!$D$69, 0, IF(OR(BR327=1, BR304=1, BR350=1), 1,0 ))</f>
        <v>0</v>
      </c>
      <c r="BS373" s="38">
        <f>IF($E373= Parameters!$D$69, 0, IF(OR(BS327=1, BS304=1, BS350=1), 1,0 ))</f>
        <v>0</v>
      </c>
      <c r="BT373" s="38">
        <f>IF($E373= Parameters!$D$69, 0, IF(OR(BT327=1, BT304=1, BT350=1), 1,0 ))</f>
        <v>0</v>
      </c>
      <c r="BU373" s="38">
        <f>IF($E373= Parameters!$D$69, 0, IF(OR(BU327=1, BU304=1, BU350=1), 1,0 ))</f>
        <v>0</v>
      </c>
      <c r="BV373" s="38">
        <f>IF($E373= Parameters!$D$69, 0, IF(OR(BV327=1, BV304=1, BV350=1), 1,0 ))</f>
        <v>0</v>
      </c>
      <c r="BW373"/>
      <c r="BX373" s="106"/>
      <c r="BY373" s="106"/>
      <c r="BZ373" s="106"/>
      <c r="CA373" s="106"/>
      <c r="CB373" s="38">
        <f t="shared" si="220"/>
        <v>1</v>
      </c>
      <c r="CC373" s="38">
        <f t="shared" si="220"/>
        <v>1</v>
      </c>
      <c r="CD373" s="38">
        <f t="shared" si="220"/>
        <v>1</v>
      </c>
      <c r="CE373" s="38">
        <f t="shared" si="220"/>
        <v>1</v>
      </c>
      <c r="CF373" s="38">
        <f t="shared" si="220"/>
        <v>1</v>
      </c>
      <c r="CG373" s="38">
        <f t="shared" si="220"/>
        <v>1</v>
      </c>
      <c r="CH373" s="38">
        <f t="shared" si="220"/>
        <v>1</v>
      </c>
      <c r="CI373" s="38">
        <f t="shared" si="220"/>
        <v>1</v>
      </c>
      <c r="CJ373"/>
      <c r="CK373" s="11"/>
      <c r="CL373"/>
      <c r="CM373" s="11"/>
      <c r="EX373" s="10" t="str">
        <f t="shared" si="210"/>
        <v/>
      </c>
    </row>
    <row r="374" spans="1:154" x14ac:dyDescent="0.35">
      <c r="B374" t="str">
        <f ca="1">Loans!B$20</f>
        <v>Loan 8</v>
      </c>
      <c r="D374" s="51">
        <f>Loans!D$20</f>
        <v>0</v>
      </c>
      <c r="E374" s="51" t="str">
        <f>Loans!F$20</f>
        <v/>
      </c>
      <c r="V374" s="106"/>
      <c r="W374" s="106"/>
      <c r="X374" s="106"/>
      <c r="Y374" s="106"/>
      <c r="AA374" s="38">
        <f>IF($E374= Parameters!$D$69, 0, IF(OR(AA328=1, AA305=1, AA351=1), 1,0 ))</f>
        <v>0</v>
      </c>
      <c r="AB374" s="38">
        <f>IF($E374= Parameters!$D$69, 0, IF(OR(AB328=1, AB305=1, AB351=1), 1,0 ))</f>
        <v>0</v>
      </c>
      <c r="AC374" s="38">
        <f>IF($E374= Parameters!$D$69, 0, IF(OR(AC328=1, AC305=1, AC351=1), 1,0 ))</f>
        <v>0</v>
      </c>
      <c r="AD374" s="38">
        <f>IF($E374= Parameters!$D$69, 0, IF(OR(AD328=1, AD305=1, AD351=1), 1,0 ))</f>
        <v>0</v>
      </c>
      <c r="AE374" s="38">
        <f>IF($E374= Parameters!$D$69, 0, IF(OR(AE328=1, AE305=1, AE351=1), 1,0 ))</f>
        <v>0</v>
      </c>
      <c r="AF374" s="38">
        <f>IF($E374= Parameters!$D$69, 0, IF(OR(AF328=1, AF305=1, AF351=1), 1,0 ))</f>
        <v>0</v>
      </c>
      <c r="AG374" s="38">
        <f>IF($E374= Parameters!$D$69, 0, IF(OR(AG328=1, AG305=1, AG351=1), 1,0 ))</f>
        <v>0</v>
      </c>
      <c r="AH374" s="38">
        <f>IF($E374= Parameters!$D$69, 0, IF(OR(AH328=1, AH305=1, AH351=1), 1,0 ))</f>
        <v>0</v>
      </c>
      <c r="AI374" s="38">
        <f>IF($E374= Parameters!$D$69, 0, IF(OR(AI328=1, AI305=1, AI351=1), 1,0 ))</f>
        <v>0</v>
      </c>
      <c r="AJ374" s="38">
        <f>IF($E374= Parameters!$D$69, 0, IF(OR(AJ328=1, AJ305=1, AJ351=1), 1,0 ))</f>
        <v>0</v>
      </c>
      <c r="AK374" s="38">
        <f>IF($E374= Parameters!$D$69, 0, IF(OR(AK328=1, AK305=1, AK351=1), 1,0 ))</f>
        <v>0</v>
      </c>
      <c r="AL374" s="38">
        <f>IF($E374= Parameters!$D$69, 0, IF(OR(AL328=1, AL305=1, AL351=1), 1,0 ))</f>
        <v>0</v>
      </c>
      <c r="AM374" s="38">
        <f>IF($E374= Parameters!$D$69, 0, IF(OR(AM328=1, AM305=1, AM351=1), 1,0 ))</f>
        <v>0</v>
      </c>
      <c r="AN374" s="38">
        <f>IF($E374= Parameters!$D$69, 0, IF(OR(AN328=1, AN305=1, AN351=1), 1,0 ))</f>
        <v>0</v>
      </c>
      <c r="AO374" s="38">
        <f>IF($E374= Parameters!$D$69, 0, IF(OR(AO328=1, AO305=1, AO351=1), 1,0 ))</f>
        <v>0</v>
      </c>
      <c r="AP374" s="38">
        <f>IF($E374= Parameters!$D$69, 0, IF(OR(AP328=1, AP305=1, AP351=1), 1,0 ))</f>
        <v>0</v>
      </c>
      <c r="AQ374" s="38">
        <f>IF($E374= Parameters!$D$69, 0, IF(OR(AQ328=1, AQ305=1, AQ351=1), 1,0 ))</f>
        <v>0</v>
      </c>
      <c r="AR374" s="38">
        <f>IF($E374= Parameters!$D$69, 0, IF(OR(AR328=1, AR305=1, AR351=1), 1,0 ))</f>
        <v>0</v>
      </c>
      <c r="AS374" s="38">
        <f>IF($E374= Parameters!$D$69, 0, IF(OR(AS328=1, AS305=1, AS351=1), 1,0 ))</f>
        <v>0</v>
      </c>
      <c r="AT374" s="38">
        <f>IF($E374= Parameters!$D$69, 0, IF(OR(AT328=1, AT305=1, AT351=1), 1,0 ))</f>
        <v>0</v>
      </c>
      <c r="AU374" s="38">
        <f>IF($E374= Parameters!$D$69, 0, IF(OR(AU328=1, AU305=1, AU351=1), 1,0 ))</f>
        <v>0</v>
      </c>
      <c r="AV374" s="38">
        <f>IF($E374= Parameters!$D$69, 0, IF(OR(AV328=1, AV305=1, AV351=1), 1,0 ))</f>
        <v>0</v>
      </c>
      <c r="AW374" s="38">
        <f>IF($E374= Parameters!$D$69, 0, IF(OR(AW328=1, AW305=1, AW351=1), 1,0 ))</f>
        <v>0</v>
      </c>
      <c r="AX374" s="38">
        <f>IF($E374= Parameters!$D$69, 0, IF(OR(AX328=1, AX305=1, AX351=1), 1,0 ))</f>
        <v>0</v>
      </c>
      <c r="AY374" s="38">
        <f>IF($E374= Parameters!$D$69, 0, IF(OR(AY328=1, AY305=1, AY351=1), 1,0 ))</f>
        <v>0</v>
      </c>
      <c r="AZ374" s="38">
        <f>IF($E374= Parameters!$D$69, 0, IF(OR(AZ328=1, AZ305=1, AZ351=1), 1,0 ))</f>
        <v>0</v>
      </c>
      <c r="BA374" s="38">
        <f>IF($E374= Parameters!$D$69, 0, IF(OR(BA328=1, BA305=1, BA351=1), 1,0 ))</f>
        <v>0</v>
      </c>
      <c r="BB374" s="38">
        <f>IF($E374= Parameters!$D$69, 0, IF(OR(BB328=1, BB305=1, BB351=1), 1,0 ))</f>
        <v>0</v>
      </c>
      <c r="BC374" s="38">
        <f>IF($E374= Parameters!$D$69, 0, IF(OR(BC328=1, BC305=1, BC351=1), 1,0 ))</f>
        <v>0</v>
      </c>
      <c r="BD374" s="38">
        <f>IF($E374= Parameters!$D$69, 0, IF(OR(BD328=1, BD305=1, BD351=1), 1,0 ))</f>
        <v>0</v>
      </c>
      <c r="BE374" s="38">
        <f>IF($E374= Parameters!$D$69, 0, IF(OR(BE328=1, BE305=1, BE351=1), 1,0 ))</f>
        <v>0</v>
      </c>
      <c r="BF374" s="38">
        <f>IF($E374= Parameters!$D$69, 0, IF(OR(BF328=1, BF305=1, BF351=1), 1,0 ))</f>
        <v>0</v>
      </c>
      <c r="BG374" s="38">
        <f>IF($E374= Parameters!$D$69, 0, IF(OR(BG328=1, BG305=1, BG351=1), 1,0 ))</f>
        <v>0</v>
      </c>
      <c r="BH374" s="38">
        <f>IF($E374= Parameters!$D$69, 0, IF(OR(BH328=1, BH305=1, BH351=1), 1,0 ))</f>
        <v>0</v>
      </c>
      <c r="BI374" s="38">
        <f>IF($E374= Parameters!$D$69, 0, IF(OR(BI328=1, BI305=1, BI351=1), 1,0 ))</f>
        <v>0</v>
      </c>
      <c r="BJ374" s="38">
        <f>IF($E374= Parameters!$D$69, 0, IF(OR(BJ328=1, BJ305=1, BJ351=1), 1,0 ))</f>
        <v>0</v>
      </c>
      <c r="BK374" s="38">
        <f>IF($E374= Parameters!$D$69, 0, IF(OR(BK328=1, BK305=1, BK351=1), 1,0 ))</f>
        <v>0</v>
      </c>
      <c r="BL374" s="38">
        <f>IF($E374= Parameters!$D$69, 0, IF(OR(BL328=1, BL305=1, BL351=1), 1,0 ))</f>
        <v>0</v>
      </c>
      <c r="BM374" s="38">
        <f>IF($E374= Parameters!$D$69, 0, IF(OR(BM328=1, BM305=1, BM351=1), 1,0 ))</f>
        <v>0</v>
      </c>
      <c r="BN374" s="38">
        <f>IF($E374= Parameters!$D$69, 0, IF(OR(BN328=1, BN305=1, BN351=1), 1,0 ))</f>
        <v>0</v>
      </c>
      <c r="BO374" s="38">
        <f>IF($E374= Parameters!$D$69, 0, IF(OR(BO328=1, BO305=1, BO351=1), 1,0 ))</f>
        <v>0</v>
      </c>
      <c r="BP374" s="38">
        <f>IF($E374= Parameters!$D$69, 0, IF(OR(BP328=1, BP305=1, BP351=1), 1,0 ))</f>
        <v>0</v>
      </c>
      <c r="BQ374" s="38">
        <f>IF($E374= Parameters!$D$69, 0, IF(OR(BQ328=1, BQ305=1, BQ351=1), 1,0 ))</f>
        <v>0</v>
      </c>
      <c r="BR374" s="38">
        <f>IF($E374= Parameters!$D$69, 0, IF(OR(BR328=1, BR305=1, BR351=1), 1,0 ))</f>
        <v>0</v>
      </c>
      <c r="BS374" s="38">
        <f>IF($E374= Parameters!$D$69, 0, IF(OR(BS328=1, BS305=1, BS351=1), 1,0 ))</f>
        <v>0</v>
      </c>
      <c r="BT374" s="38">
        <f>IF($E374= Parameters!$D$69, 0, IF(OR(BT328=1, BT305=1, BT351=1), 1,0 ))</f>
        <v>0</v>
      </c>
      <c r="BU374" s="38">
        <f>IF($E374= Parameters!$D$69, 0, IF(OR(BU328=1, BU305=1, BU351=1), 1,0 ))</f>
        <v>0</v>
      </c>
      <c r="BV374" s="38">
        <f>IF($E374= Parameters!$D$69, 0, IF(OR(BV328=1, BV305=1, BV351=1), 1,0 ))</f>
        <v>0</v>
      </c>
      <c r="BX374" s="106"/>
      <c r="BY374" s="106"/>
      <c r="BZ374" s="106"/>
      <c r="CA374" s="106"/>
      <c r="CB374" s="38">
        <f t="shared" si="220"/>
        <v>1</v>
      </c>
      <c r="CC374" s="38">
        <f t="shared" si="220"/>
        <v>1</v>
      </c>
      <c r="CD374" s="38">
        <f t="shared" si="220"/>
        <v>1</v>
      </c>
      <c r="CE374" s="38">
        <f t="shared" si="220"/>
        <v>1</v>
      </c>
      <c r="CF374" s="38">
        <f t="shared" si="220"/>
        <v>1</v>
      </c>
      <c r="CG374" s="38">
        <f t="shared" si="220"/>
        <v>1</v>
      </c>
      <c r="CH374" s="38">
        <f t="shared" si="220"/>
        <v>1</v>
      </c>
      <c r="CI374" s="38">
        <f t="shared" si="220"/>
        <v>1</v>
      </c>
      <c r="CK374" s="11"/>
      <c r="CM374" s="11"/>
      <c r="EX374" s="10" t="str">
        <f t="shared" si="210"/>
        <v/>
      </c>
    </row>
    <row r="375" spans="1:154" x14ac:dyDescent="0.35">
      <c r="B375" t="str">
        <f ca="1">Loans!B$21</f>
        <v>Loan 9</v>
      </c>
      <c r="D375" s="51">
        <f>Loans!D$21</f>
        <v>0</v>
      </c>
      <c r="E375" s="51" t="str">
        <f>Loans!F$21</f>
        <v/>
      </c>
      <c r="V375" s="106"/>
      <c r="W375" s="106"/>
      <c r="X375" s="106"/>
      <c r="Y375" s="106"/>
      <c r="AA375" s="38">
        <f>IF($E375= Parameters!$D$69, 0, IF(OR(AA329=1, AA306=1, AA352=1), 1,0 ))</f>
        <v>0</v>
      </c>
      <c r="AB375" s="38">
        <f>IF($E375= Parameters!$D$69, 0, IF(OR(AB329=1, AB306=1, AB352=1), 1,0 ))</f>
        <v>0</v>
      </c>
      <c r="AC375" s="38">
        <f>IF($E375= Parameters!$D$69, 0, IF(OR(AC329=1, AC306=1, AC352=1), 1,0 ))</f>
        <v>0</v>
      </c>
      <c r="AD375" s="38">
        <f>IF($E375= Parameters!$D$69, 0, IF(OR(AD329=1, AD306=1, AD352=1), 1,0 ))</f>
        <v>0</v>
      </c>
      <c r="AE375" s="38">
        <f>IF($E375= Parameters!$D$69, 0, IF(OR(AE329=1, AE306=1, AE352=1), 1,0 ))</f>
        <v>0</v>
      </c>
      <c r="AF375" s="38">
        <f>IF($E375= Parameters!$D$69, 0, IF(OR(AF329=1, AF306=1, AF352=1), 1,0 ))</f>
        <v>0</v>
      </c>
      <c r="AG375" s="38">
        <f>IF($E375= Parameters!$D$69, 0, IF(OR(AG329=1, AG306=1, AG352=1), 1,0 ))</f>
        <v>0</v>
      </c>
      <c r="AH375" s="38">
        <f>IF($E375= Parameters!$D$69, 0, IF(OR(AH329=1, AH306=1, AH352=1), 1,0 ))</f>
        <v>0</v>
      </c>
      <c r="AI375" s="38">
        <f>IF($E375= Parameters!$D$69, 0, IF(OR(AI329=1, AI306=1, AI352=1), 1,0 ))</f>
        <v>0</v>
      </c>
      <c r="AJ375" s="38">
        <f>IF($E375= Parameters!$D$69, 0, IF(OR(AJ329=1, AJ306=1, AJ352=1), 1,0 ))</f>
        <v>0</v>
      </c>
      <c r="AK375" s="38">
        <f>IF($E375= Parameters!$D$69, 0, IF(OR(AK329=1, AK306=1, AK352=1), 1,0 ))</f>
        <v>0</v>
      </c>
      <c r="AL375" s="38">
        <f>IF($E375= Parameters!$D$69, 0, IF(OR(AL329=1, AL306=1, AL352=1), 1,0 ))</f>
        <v>0</v>
      </c>
      <c r="AM375" s="38">
        <f>IF($E375= Parameters!$D$69, 0, IF(OR(AM329=1, AM306=1, AM352=1), 1,0 ))</f>
        <v>0</v>
      </c>
      <c r="AN375" s="38">
        <f>IF($E375= Parameters!$D$69, 0, IF(OR(AN329=1, AN306=1, AN352=1), 1,0 ))</f>
        <v>0</v>
      </c>
      <c r="AO375" s="38">
        <f>IF($E375= Parameters!$D$69, 0, IF(OR(AO329=1, AO306=1, AO352=1), 1,0 ))</f>
        <v>0</v>
      </c>
      <c r="AP375" s="38">
        <f>IF($E375= Parameters!$D$69, 0, IF(OR(AP329=1, AP306=1, AP352=1), 1,0 ))</f>
        <v>0</v>
      </c>
      <c r="AQ375" s="38">
        <f>IF($E375= Parameters!$D$69, 0, IF(OR(AQ329=1, AQ306=1, AQ352=1), 1,0 ))</f>
        <v>0</v>
      </c>
      <c r="AR375" s="38">
        <f>IF($E375= Parameters!$D$69, 0, IF(OR(AR329=1, AR306=1, AR352=1), 1,0 ))</f>
        <v>0</v>
      </c>
      <c r="AS375" s="38">
        <f>IF($E375= Parameters!$D$69, 0, IF(OR(AS329=1, AS306=1, AS352=1), 1,0 ))</f>
        <v>0</v>
      </c>
      <c r="AT375" s="38">
        <f>IF($E375= Parameters!$D$69, 0, IF(OR(AT329=1, AT306=1, AT352=1), 1,0 ))</f>
        <v>0</v>
      </c>
      <c r="AU375" s="38">
        <f>IF($E375= Parameters!$D$69, 0, IF(OR(AU329=1, AU306=1, AU352=1), 1,0 ))</f>
        <v>0</v>
      </c>
      <c r="AV375" s="38">
        <f>IF($E375= Parameters!$D$69, 0, IF(OR(AV329=1, AV306=1, AV352=1), 1,0 ))</f>
        <v>0</v>
      </c>
      <c r="AW375" s="38">
        <f>IF($E375= Parameters!$D$69, 0, IF(OR(AW329=1, AW306=1, AW352=1), 1,0 ))</f>
        <v>0</v>
      </c>
      <c r="AX375" s="38">
        <f>IF($E375= Parameters!$D$69, 0, IF(OR(AX329=1, AX306=1, AX352=1), 1,0 ))</f>
        <v>0</v>
      </c>
      <c r="AY375" s="38">
        <f>IF($E375= Parameters!$D$69, 0, IF(OR(AY329=1, AY306=1, AY352=1), 1,0 ))</f>
        <v>0</v>
      </c>
      <c r="AZ375" s="38">
        <f>IF($E375= Parameters!$D$69, 0, IF(OR(AZ329=1, AZ306=1, AZ352=1), 1,0 ))</f>
        <v>0</v>
      </c>
      <c r="BA375" s="38">
        <f>IF($E375= Parameters!$D$69, 0, IF(OR(BA329=1, BA306=1, BA352=1), 1,0 ))</f>
        <v>0</v>
      </c>
      <c r="BB375" s="38">
        <f>IF($E375= Parameters!$D$69, 0, IF(OR(BB329=1, BB306=1, BB352=1), 1,0 ))</f>
        <v>0</v>
      </c>
      <c r="BC375" s="38">
        <f>IF($E375= Parameters!$D$69, 0, IF(OR(BC329=1, BC306=1, BC352=1), 1,0 ))</f>
        <v>0</v>
      </c>
      <c r="BD375" s="38">
        <f>IF($E375= Parameters!$D$69, 0, IF(OR(BD329=1, BD306=1, BD352=1), 1,0 ))</f>
        <v>0</v>
      </c>
      <c r="BE375" s="38">
        <f>IF($E375= Parameters!$D$69, 0, IF(OR(BE329=1, BE306=1, BE352=1), 1,0 ))</f>
        <v>0</v>
      </c>
      <c r="BF375" s="38">
        <f>IF($E375= Parameters!$D$69, 0, IF(OR(BF329=1, BF306=1, BF352=1), 1,0 ))</f>
        <v>0</v>
      </c>
      <c r="BG375" s="38">
        <f>IF($E375= Parameters!$D$69, 0, IF(OR(BG329=1, BG306=1, BG352=1), 1,0 ))</f>
        <v>0</v>
      </c>
      <c r="BH375" s="38">
        <f>IF($E375= Parameters!$D$69, 0, IF(OR(BH329=1, BH306=1, BH352=1), 1,0 ))</f>
        <v>0</v>
      </c>
      <c r="BI375" s="38">
        <f>IF($E375= Parameters!$D$69, 0, IF(OR(BI329=1, BI306=1, BI352=1), 1,0 ))</f>
        <v>0</v>
      </c>
      <c r="BJ375" s="38">
        <f>IF($E375= Parameters!$D$69, 0, IF(OR(BJ329=1, BJ306=1, BJ352=1), 1,0 ))</f>
        <v>0</v>
      </c>
      <c r="BK375" s="38">
        <f>IF($E375= Parameters!$D$69, 0, IF(OR(BK329=1, BK306=1, BK352=1), 1,0 ))</f>
        <v>0</v>
      </c>
      <c r="BL375" s="38">
        <f>IF($E375= Parameters!$D$69, 0, IF(OR(BL329=1, BL306=1, BL352=1), 1,0 ))</f>
        <v>0</v>
      </c>
      <c r="BM375" s="38">
        <f>IF($E375= Parameters!$D$69, 0, IF(OR(BM329=1, BM306=1, BM352=1), 1,0 ))</f>
        <v>0</v>
      </c>
      <c r="BN375" s="38">
        <f>IF($E375= Parameters!$D$69, 0, IF(OR(BN329=1, BN306=1, BN352=1), 1,0 ))</f>
        <v>0</v>
      </c>
      <c r="BO375" s="38">
        <f>IF($E375= Parameters!$D$69, 0, IF(OR(BO329=1, BO306=1, BO352=1), 1,0 ))</f>
        <v>0</v>
      </c>
      <c r="BP375" s="38">
        <f>IF($E375= Parameters!$D$69, 0, IF(OR(BP329=1, BP306=1, BP352=1), 1,0 ))</f>
        <v>0</v>
      </c>
      <c r="BQ375" s="38">
        <f>IF($E375= Parameters!$D$69, 0, IF(OR(BQ329=1, BQ306=1, BQ352=1), 1,0 ))</f>
        <v>0</v>
      </c>
      <c r="BR375" s="38">
        <f>IF($E375= Parameters!$D$69, 0, IF(OR(BR329=1, BR306=1, BR352=1), 1,0 ))</f>
        <v>0</v>
      </c>
      <c r="BS375" s="38">
        <f>IF($E375= Parameters!$D$69, 0, IF(OR(BS329=1, BS306=1, BS352=1), 1,0 ))</f>
        <v>0</v>
      </c>
      <c r="BT375" s="38">
        <f>IF($E375= Parameters!$D$69, 0, IF(OR(BT329=1, BT306=1, BT352=1), 1,0 ))</f>
        <v>0</v>
      </c>
      <c r="BU375" s="38">
        <f>IF($E375= Parameters!$D$69, 0, IF(OR(BU329=1, BU306=1, BU352=1), 1,0 ))</f>
        <v>0</v>
      </c>
      <c r="BV375" s="38">
        <f>IF($E375= Parameters!$D$69, 0, IF(OR(BV329=1, BV306=1, BV352=1), 1,0 ))</f>
        <v>0</v>
      </c>
      <c r="BX375" s="106"/>
      <c r="BY375" s="106"/>
      <c r="BZ375" s="106"/>
      <c r="CA375" s="106"/>
      <c r="CB375" s="38">
        <f t="shared" si="220"/>
        <v>1</v>
      </c>
      <c r="CC375" s="38">
        <f t="shared" si="220"/>
        <v>1</v>
      </c>
      <c r="CD375" s="38">
        <f t="shared" si="220"/>
        <v>1</v>
      </c>
      <c r="CE375" s="38">
        <f t="shared" si="220"/>
        <v>1</v>
      </c>
      <c r="CF375" s="38">
        <f t="shared" si="220"/>
        <v>1</v>
      </c>
      <c r="CG375" s="38">
        <f t="shared" si="220"/>
        <v>1</v>
      </c>
      <c r="CH375" s="38">
        <f t="shared" si="220"/>
        <v>1</v>
      </c>
      <c r="CI375" s="38">
        <f t="shared" si="220"/>
        <v>1</v>
      </c>
      <c r="CK375" s="11"/>
      <c r="CM375" s="11"/>
      <c r="EX375" s="10" t="str">
        <f t="shared" si="210"/>
        <v/>
      </c>
    </row>
    <row r="376" spans="1:154" x14ac:dyDescent="0.35">
      <c r="B376" t="str">
        <f ca="1">Loans!B$22</f>
        <v>Loan 10</v>
      </c>
      <c r="D376" s="51">
        <f>Loans!D$22</f>
        <v>0</v>
      </c>
      <c r="E376" s="51" t="str">
        <f>Loans!F$22</f>
        <v/>
      </c>
      <c r="V376" s="106"/>
      <c r="W376" s="106"/>
      <c r="X376" s="106"/>
      <c r="Y376" s="106"/>
      <c r="AA376" s="38">
        <f>IF($E376= Parameters!$D$69, 0, IF(OR(AA330=1, AA307=1, AA353=1), 1,0 ))</f>
        <v>0</v>
      </c>
      <c r="AB376" s="38">
        <f>IF($E376= Parameters!$D$69, 0, IF(OR(AB330=1, AB307=1, AB353=1), 1,0 ))</f>
        <v>0</v>
      </c>
      <c r="AC376" s="38">
        <f>IF($E376= Parameters!$D$69, 0, IF(OR(AC330=1, AC307=1, AC353=1), 1,0 ))</f>
        <v>0</v>
      </c>
      <c r="AD376" s="38">
        <f>IF($E376= Parameters!$D$69, 0, IF(OR(AD330=1, AD307=1, AD353=1), 1,0 ))</f>
        <v>0</v>
      </c>
      <c r="AE376" s="38">
        <f>IF($E376= Parameters!$D$69, 0, IF(OR(AE330=1, AE307=1, AE353=1), 1,0 ))</f>
        <v>0</v>
      </c>
      <c r="AF376" s="38">
        <f>IF($E376= Parameters!$D$69, 0, IF(OR(AF330=1, AF307=1, AF353=1), 1,0 ))</f>
        <v>0</v>
      </c>
      <c r="AG376" s="38">
        <f>IF($E376= Parameters!$D$69, 0, IF(OR(AG330=1, AG307=1, AG353=1), 1,0 ))</f>
        <v>0</v>
      </c>
      <c r="AH376" s="38">
        <f>IF($E376= Parameters!$D$69, 0, IF(OR(AH330=1, AH307=1, AH353=1), 1,0 ))</f>
        <v>0</v>
      </c>
      <c r="AI376" s="38">
        <f>IF($E376= Parameters!$D$69, 0, IF(OR(AI330=1, AI307=1, AI353=1), 1,0 ))</f>
        <v>0</v>
      </c>
      <c r="AJ376" s="38">
        <f>IF($E376= Parameters!$D$69, 0, IF(OR(AJ330=1, AJ307=1, AJ353=1), 1,0 ))</f>
        <v>0</v>
      </c>
      <c r="AK376" s="38">
        <f>IF($E376= Parameters!$D$69, 0, IF(OR(AK330=1, AK307=1, AK353=1), 1,0 ))</f>
        <v>0</v>
      </c>
      <c r="AL376" s="38">
        <f>IF($E376= Parameters!$D$69, 0, IF(OR(AL330=1, AL307=1, AL353=1), 1,0 ))</f>
        <v>0</v>
      </c>
      <c r="AM376" s="38">
        <f>IF($E376= Parameters!$D$69, 0, IF(OR(AM330=1, AM307=1, AM353=1), 1,0 ))</f>
        <v>0</v>
      </c>
      <c r="AN376" s="38">
        <f>IF($E376= Parameters!$D$69, 0, IF(OR(AN330=1, AN307=1, AN353=1), 1,0 ))</f>
        <v>0</v>
      </c>
      <c r="AO376" s="38">
        <f>IF($E376= Parameters!$D$69, 0, IF(OR(AO330=1, AO307=1, AO353=1), 1,0 ))</f>
        <v>0</v>
      </c>
      <c r="AP376" s="38">
        <f>IF($E376= Parameters!$D$69, 0, IF(OR(AP330=1, AP307=1, AP353=1), 1,0 ))</f>
        <v>0</v>
      </c>
      <c r="AQ376" s="38">
        <f>IF($E376= Parameters!$D$69, 0, IF(OR(AQ330=1, AQ307=1, AQ353=1), 1,0 ))</f>
        <v>0</v>
      </c>
      <c r="AR376" s="38">
        <f>IF($E376= Parameters!$D$69, 0, IF(OR(AR330=1, AR307=1, AR353=1), 1,0 ))</f>
        <v>0</v>
      </c>
      <c r="AS376" s="38">
        <f>IF($E376= Parameters!$D$69, 0, IF(OR(AS330=1, AS307=1, AS353=1), 1,0 ))</f>
        <v>0</v>
      </c>
      <c r="AT376" s="38">
        <f>IF($E376= Parameters!$D$69, 0, IF(OR(AT330=1, AT307=1, AT353=1), 1,0 ))</f>
        <v>0</v>
      </c>
      <c r="AU376" s="38">
        <f>IF($E376= Parameters!$D$69, 0, IF(OR(AU330=1, AU307=1, AU353=1), 1,0 ))</f>
        <v>0</v>
      </c>
      <c r="AV376" s="38">
        <f>IF($E376= Parameters!$D$69, 0, IF(OR(AV330=1, AV307=1, AV353=1), 1,0 ))</f>
        <v>0</v>
      </c>
      <c r="AW376" s="38">
        <f>IF($E376= Parameters!$D$69, 0, IF(OR(AW330=1, AW307=1, AW353=1), 1,0 ))</f>
        <v>0</v>
      </c>
      <c r="AX376" s="38">
        <f>IF($E376= Parameters!$D$69, 0, IF(OR(AX330=1, AX307=1, AX353=1), 1,0 ))</f>
        <v>0</v>
      </c>
      <c r="AY376" s="38">
        <f>IF($E376= Parameters!$D$69, 0, IF(OR(AY330=1, AY307=1, AY353=1), 1,0 ))</f>
        <v>0</v>
      </c>
      <c r="AZ376" s="38">
        <f>IF($E376= Parameters!$D$69, 0, IF(OR(AZ330=1, AZ307=1, AZ353=1), 1,0 ))</f>
        <v>0</v>
      </c>
      <c r="BA376" s="38">
        <f>IF($E376= Parameters!$D$69, 0, IF(OR(BA330=1, BA307=1, BA353=1), 1,0 ))</f>
        <v>0</v>
      </c>
      <c r="BB376" s="38">
        <f>IF($E376= Parameters!$D$69, 0, IF(OR(BB330=1, BB307=1, BB353=1), 1,0 ))</f>
        <v>0</v>
      </c>
      <c r="BC376" s="38">
        <f>IF($E376= Parameters!$D$69, 0, IF(OR(BC330=1, BC307=1, BC353=1), 1,0 ))</f>
        <v>0</v>
      </c>
      <c r="BD376" s="38">
        <f>IF($E376= Parameters!$D$69, 0, IF(OR(BD330=1, BD307=1, BD353=1), 1,0 ))</f>
        <v>0</v>
      </c>
      <c r="BE376" s="38">
        <f>IF($E376= Parameters!$D$69, 0, IF(OR(BE330=1, BE307=1, BE353=1), 1,0 ))</f>
        <v>0</v>
      </c>
      <c r="BF376" s="38">
        <f>IF($E376= Parameters!$D$69, 0, IF(OR(BF330=1, BF307=1, BF353=1), 1,0 ))</f>
        <v>0</v>
      </c>
      <c r="BG376" s="38">
        <f>IF($E376= Parameters!$D$69, 0, IF(OR(BG330=1, BG307=1, BG353=1), 1,0 ))</f>
        <v>0</v>
      </c>
      <c r="BH376" s="38">
        <f>IF($E376= Parameters!$D$69, 0, IF(OR(BH330=1, BH307=1, BH353=1), 1,0 ))</f>
        <v>0</v>
      </c>
      <c r="BI376" s="38">
        <f>IF($E376= Parameters!$D$69, 0, IF(OR(BI330=1, BI307=1, BI353=1), 1,0 ))</f>
        <v>0</v>
      </c>
      <c r="BJ376" s="38">
        <f>IF($E376= Parameters!$D$69, 0, IF(OR(BJ330=1, BJ307=1, BJ353=1), 1,0 ))</f>
        <v>0</v>
      </c>
      <c r="BK376" s="38">
        <f>IF($E376= Parameters!$D$69, 0, IF(OR(BK330=1, BK307=1, BK353=1), 1,0 ))</f>
        <v>0</v>
      </c>
      <c r="BL376" s="38">
        <f>IF($E376= Parameters!$D$69, 0, IF(OR(BL330=1, BL307=1, BL353=1), 1,0 ))</f>
        <v>0</v>
      </c>
      <c r="BM376" s="38">
        <f>IF($E376= Parameters!$D$69, 0, IF(OR(BM330=1, BM307=1, BM353=1), 1,0 ))</f>
        <v>0</v>
      </c>
      <c r="BN376" s="38">
        <f>IF($E376= Parameters!$D$69, 0, IF(OR(BN330=1, BN307=1, BN353=1), 1,0 ))</f>
        <v>0</v>
      </c>
      <c r="BO376" s="38">
        <f>IF($E376= Parameters!$D$69, 0, IF(OR(BO330=1, BO307=1, BO353=1), 1,0 ))</f>
        <v>0</v>
      </c>
      <c r="BP376" s="38">
        <f>IF($E376= Parameters!$D$69, 0, IF(OR(BP330=1, BP307=1, BP353=1), 1,0 ))</f>
        <v>0</v>
      </c>
      <c r="BQ376" s="38">
        <f>IF($E376= Parameters!$D$69, 0, IF(OR(BQ330=1, BQ307=1, BQ353=1), 1,0 ))</f>
        <v>0</v>
      </c>
      <c r="BR376" s="38">
        <f>IF($E376= Parameters!$D$69, 0, IF(OR(BR330=1, BR307=1, BR353=1), 1,0 ))</f>
        <v>0</v>
      </c>
      <c r="BS376" s="38">
        <f>IF($E376= Parameters!$D$69, 0, IF(OR(BS330=1, BS307=1, BS353=1), 1,0 ))</f>
        <v>0</v>
      </c>
      <c r="BT376" s="38">
        <f>IF($E376= Parameters!$D$69, 0, IF(OR(BT330=1, BT307=1, BT353=1), 1,0 ))</f>
        <v>0</v>
      </c>
      <c r="BU376" s="38">
        <f>IF($E376= Parameters!$D$69, 0, IF(OR(BU330=1, BU307=1, BU353=1), 1,0 ))</f>
        <v>0</v>
      </c>
      <c r="BV376" s="38">
        <f>IF($E376= Parameters!$D$69, 0, IF(OR(BV330=1, BV307=1, BV353=1), 1,0 ))</f>
        <v>0</v>
      </c>
      <c r="BX376" s="106"/>
      <c r="BY376" s="106"/>
      <c r="BZ376" s="106"/>
      <c r="CA376" s="106"/>
      <c r="CB376" s="38">
        <f t="shared" si="220"/>
        <v>1</v>
      </c>
      <c r="CC376" s="38">
        <f t="shared" si="220"/>
        <v>1</v>
      </c>
      <c r="CD376" s="38">
        <f t="shared" si="220"/>
        <v>1</v>
      </c>
      <c r="CE376" s="38">
        <f t="shared" si="220"/>
        <v>1</v>
      </c>
      <c r="CF376" s="38">
        <f t="shared" si="220"/>
        <v>1</v>
      </c>
      <c r="CG376" s="38">
        <f t="shared" si="220"/>
        <v>1</v>
      </c>
      <c r="CH376" s="38">
        <f t="shared" si="220"/>
        <v>1</v>
      </c>
      <c r="CI376" s="38">
        <f t="shared" si="220"/>
        <v>1</v>
      </c>
      <c r="CK376" s="11"/>
      <c r="CM376" s="11"/>
      <c r="EX376" s="10" t="str">
        <f t="shared" si="210"/>
        <v/>
      </c>
    </row>
    <row r="377" spans="1:154" x14ac:dyDescent="0.35">
      <c r="B377" t="str">
        <f ca="1">Loans!B$23</f>
        <v>Loan 11</v>
      </c>
      <c r="D377" s="51">
        <f>Loans!D$23</f>
        <v>0</v>
      </c>
      <c r="E377" s="51" t="str">
        <f>Loans!F$23</f>
        <v/>
      </c>
      <c r="V377" s="106"/>
      <c r="W377" s="106"/>
      <c r="X377" s="106"/>
      <c r="Y377" s="106"/>
      <c r="AA377" s="38">
        <f>IF($E377= Parameters!$D$69, 0, IF(OR(AA331=1, AA308=1, AA354=1), 1,0 ))</f>
        <v>0</v>
      </c>
      <c r="AB377" s="38">
        <f>IF($E377= Parameters!$D$69, 0, IF(OR(AB331=1, AB308=1, AB354=1), 1,0 ))</f>
        <v>0</v>
      </c>
      <c r="AC377" s="38">
        <f>IF($E377= Parameters!$D$69, 0, IF(OR(AC331=1, AC308=1, AC354=1), 1,0 ))</f>
        <v>0</v>
      </c>
      <c r="AD377" s="38">
        <f>IF($E377= Parameters!$D$69, 0, IF(OR(AD331=1, AD308=1, AD354=1), 1,0 ))</f>
        <v>0</v>
      </c>
      <c r="AE377" s="38">
        <f>IF($E377= Parameters!$D$69, 0, IF(OR(AE331=1, AE308=1, AE354=1), 1,0 ))</f>
        <v>0</v>
      </c>
      <c r="AF377" s="38">
        <f>IF($E377= Parameters!$D$69, 0, IF(OR(AF331=1, AF308=1, AF354=1), 1,0 ))</f>
        <v>0</v>
      </c>
      <c r="AG377" s="38">
        <f>IF($E377= Parameters!$D$69, 0, IF(OR(AG331=1, AG308=1, AG354=1), 1,0 ))</f>
        <v>0</v>
      </c>
      <c r="AH377" s="38">
        <f>IF($E377= Parameters!$D$69, 0, IF(OR(AH331=1, AH308=1, AH354=1), 1,0 ))</f>
        <v>0</v>
      </c>
      <c r="AI377" s="38">
        <f>IF($E377= Parameters!$D$69, 0, IF(OR(AI331=1, AI308=1, AI354=1), 1,0 ))</f>
        <v>0</v>
      </c>
      <c r="AJ377" s="38">
        <f>IF($E377= Parameters!$D$69, 0, IF(OR(AJ331=1, AJ308=1, AJ354=1), 1,0 ))</f>
        <v>0</v>
      </c>
      <c r="AK377" s="38">
        <f>IF($E377= Parameters!$D$69, 0, IF(OR(AK331=1, AK308=1, AK354=1), 1,0 ))</f>
        <v>0</v>
      </c>
      <c r="AL377" s="38">
        <f>IF($E377= Parameters!$D$69, 0, IF(OR(AL331=1, AL308=1, AL354=1), 1,0 ))</f>
        <v>0</v>
      </c>
      <c r="AM377" s="38">
        <f>IF($E377= Parameters!$D$69, 0, IF(OR(AM331=1, AM308=1, AM354=1), 1,0 ))</f>
        <v>0</v>
      </c>
      <c r="AN377" s="38">
        <f>IF($E377= Parameters!$D$69, 0, IF(OR(AN331=1, AN308=1, AN354=1), 1,0 ))</f>
        <v>0</v>
      </c>
      <c r="AO377" s="38">
        <f>IF($E377= Parameters!$D$69, 0, IF(OR(AO331=1, AO308=1, AO354=1), 1,0 ))</f>
        <v>0</v>
      </c>
      <c r="AP377" s="38">
        <f>IF($E377= Parameters!$D$69, 0, IF(OR(AP331=1, AP308=1, AP354=1), 1,0 ))</f>
        <v>0</v>
      </c>
      <c r="AQ377" s="38">
        <f>IF($E377= Parameters!$D$69, 0, IF(OR(AQ331=1, AQ308=1, AQ354=1), 1,0 ))</f>
        <v>0</v>
      </c>
      <c r="AR377" s="38">
        <f>IF($E377= Parameters!$D$69, 0, IF(OR(AR331=1, AR308=1, AR354=1), 1,0 ))</f>
        <v>0</v>
      </c>
      <c r="AS377" s="38">
        <f>IF($E377= Parameters!$D$69, 0, IF(OR(AS331=1, AS308=1, AS354=1), 1,0 ))</f>
        <v>0</v>
      </c>
      <c r="AT377" s="38">
        <f>IF($E377= Parameters!$D$69, 0, IF(OR(AT331=1, AT308=1, AT354=1), 1,0 ))</f>
        <v>0</v>
      </c>
      <c r="AU377" s="38">
        <f>IF($E377= Parameters!$D$69, 0, IF(OR(AU331=1, AU308=1, AU354=1), 1,0 ))</f>
        <v>0</v>
      </c>
      <c r="AV377" s="38">
        <f>IF($E377= Parameters!$D$69, 0, IF(OR(AV331=1, AV308=1, AV354=1), 1,0 ))</f>
        <v>0</v>
      </c>
      <c r="AW377" s="38">
        <f>IF($E377= Parameters!$D$69, 0, IF(OR(AW331=1, AW308=1, AW354=1), 1,0 ))</f>
        <v>0</v>
      </c>
      <c r="AX377" s="38">
        <f>IF($E377= Parameters!$D$69, 0, IF(OR(AX331=1, AX308=1, AX354=1), 1,0 ))</f>
        <v>0</v>
      </c>
      <c r="AY377" s="38">
        <f>IF($E377= Parameters!$D$69, 0, IF(OR(AY331=1, AY308=1, AY354=1), 1,0 ))</f>
        <v>0</v>
      </c>
      <c r="AZ377" s="38">
        <f>IF($E377= Parameters!$D$69, 0, IF(OR(AZ331=1, AZ308=1, AZ354=1), 1,0 ))</f>
        <v>0</v>
      </c>
      <c r="BA377" s="38">
        <f>IF($E377= Parameters!$D$69, 0, IF(OR(BA331=1, BA308=1, BA354=1), 1,0 ))</f>
        <v>0</v>
      </c>
      <c r="BB377" s="38">
        <f>IF($E377= Parameters!$D$69, 0, IF(OR(BB331=1, BB308=1, BB354=1), 1,0 ))</f>
        <v>0</v>
      </c>
      <c r="BC377" s="38">
        <f>IF($E377= Parameters!$D$69, 0, IF(OR(BC331=1, BC308=1, BC354=1), 1,0 ))</f>
        <v>0</v>
      </c>
      <c r="BD377" s="38">
        <f>IF($E377= Parameters!$D$69, 0, IF(OR(BD331=1, BD308=1, BD354=1), 1,0 ))</f>
        <v>0</v>
      </c>
      <c r="BE377" s="38">
        <f>IF($E377= Parameters!$D$69, 0, IF(OR(BE331=1, BE308=1, BE354=1), 1,0 ))</f>
        <v>0</v>
      </c>
      <c r="BF377" s="38">
        <f>IF($E377= Parameters!$D$69, 0, IF(OR(BF331=1, BF308=1, BF354=1), 1,0 ))</f>
        <v>0</v>
      </c>
      <c r="BG377" s="38">
        <f>IF($E377= Parameters!$D$69, 0, IF(OR(BG331=1, BG308=1, BG354=1), 1,0 ))</f>
        <v>0</v>
      </c>
      <c r="BH377" s="38">
        <f>IF($E377= Parameters!$D$69, 0, IF(OR(BH331=1, BH308=1, BH354=1), 1,0 ))</f>
        <v>0</v>
      </c>
      <c r="BI377" s="38">
        <f>IF($E377= Parameters!$D$69, 0, IF(OR(BI331=1, BI308=1, BI354=1), 1,0 ))</f>
        <v>0</v>
      </c>
      <c r="BJ377" s="38">
        <f>IF($E377= Parameters!$D$69, 0, IF(OR(BJ331=1, BJ308=1, BJ354=1), 1,0 ))</f>
        <v>0</v>
      </c>
      <c r="BK377" s="38">
        <f>IF($E377= Parameters!$D$69, 0, IF(OR(BK331=1, BK308=1, BK354=1), 1,0 ))</f>
        <v>0</v>
      </c>
      <c r="BL377" s="38">
        <f>IF($E377= Parameters!$D$69, 0, IF(OR(BL331=1, BL308=1, BL354=1), 1,0 ))</f>
        <v>0</v>
      </c>
      <c r="BM377" s="38">
        <f>IF($E377= Parameters!$D$69, 0, IF(OR(BM331=1, BM308=1, BM354=1), 1,0 ))</f>
        <v>0</v>
      </c>
      <c r="BN377" s="38">
        <f>IF($E377= Parameters!$D$69, 0, IF(OR(BN331=1, BN308=1, BN354=1), 1,0 ))</f>
        <v>0</v>
      </c>
      <c r="BO377" s="38">
        <f>IF($E377= Parameters!$D$69, 0, IF(OR(BO331=1, BO308=1, BO354=1), 1,0 ))</f>
        <v>0</v>
      </c>
      <c r="BP377" s="38">
        <f>IF($E377= Parameters!$D$69, 0, IF(OR(BP331=1, BP308=1, BP354=1), 1,0 ))</f>
        <v>0</v>
      </c>
      <c r="BQ377" s="38">
        <f>IF($E377= Parameters!$D$69, 0, IF(OR(BQ331=1, BQ308=1, BQ354=1), 1,0 ))</f>
        <v>0</v>
      </c>
      <c r="BR377" s="38">
        <f>IF($E377= Parameters!$D$69, 0, IF(OR(BR331=1, BR308=1, BR354=1), 1,0 ))</f>
        <v>0</v>
      </c>
      <c r="BS377" s="38">
        <f>IF($E377= Parameters!$D$69, 0, IF(OR(BS331=1, BS308=1, BS354=1), 1,0 ))</f>
        <v>0</v>
      </c>
      <c r="BT377" s="38">
        <f>IF($E377= Parameters!$D$69, 0, IF(OR(BT331=1, BT308=1, BT354=1), 1,0 ))</f>
        <v>0</v>
      </c>
      <c r="BU377" s="38">
        <f>IF($E377= Parameters!$D$69, 0, IF(OR(BU331=1, BU308=1, BU354=1), 1,0 ))</f>
        <v>0</v>
      </c>
      <c r="BV377" s="38">
        <f>IF($E377= Parameters!$D$69, 0, IF(OR(BV331=1, BV308=1, BV354=1), 1,0 ))</f>
        <v>0</v>
      </c>
      <c r="BX377" s="106"/>
      <c r="BY377" s="106"/>
      <c r="BZ377" s="106"/>
      <c r="CA377" s="106"/>
      <c r="CB377" s="38">
        <f t="shared" ref="CB377:CI386" si="221">IF(OR(CB331=1, CB308=1), 1,0 )</f>
        <v>1</v>
      </c>
      <c r="CC377" s="38">
        <f t="shared" si="221"/>
        <v>1</v>
      </c>
      <c r="CD377" s="38">
        <f t="shared" si="221"/>
        <v>1</v>
      </c>
      <c r="CE377" s="38">
        <f t="shared" si="221"/>
        <v>1</v>
      </c>
      <c r="CF377" s="38">
        <f t="shared" si="221"/>
        <v>1</v>
      </c>
      <c r="CG377" s="38">
        <f t="shared" si="221"/>
        <v>1</v>
      </c>
      <c r="CH377" s="38">
        <f t="shared" si="221"/>
        <v>1</v>
      </c>
      <c r="CI377" s="38">
        <f t="shared" si="221"/>
        <v>1</v>
      </c>
      <c r="CK377" s="11"/>
      <c r="CM377" s="11"/>
      <c r="EX377" s="10" t="str">
        <f t="shared" si="210"/>
        <v/>
      </c>
    </row>
    <row r="378" spans="1:154" x14ac:dyDescent="0.35">
      <c r="B378" t="str">
        <f ca="1">Loans!B$24</f>
        <v>Loan 12</v>
      </c>
      <c r="D378" s="51">
        <f>Loans!D$24</f>
        <v>0</v>
      </c>
      <c r="E378" s="51" t="str">
        <f>Loans!F$24</f>
        <v/>
      </c>
      <c r="V378" s="106"/>
      <c r="W378" s="106"/>
      <c r="X378" s="106"/>
      <c r="Y378" s="106"/>
      <c r="AA378" s="38">
        <f>IF($E378= Parameters!$D$69, 0, IF(OR(AA332=1, AA309=1, AA355=1), 1,0 ))</f>
        <v>0</v>
      </c>
      <c r="AB378" s="38">
        <f>IF($E378= Parameters!$D$69, 0, IF(OR(AB332=1, AB309=1, AB355=1), 1,0 ))</f>
        <v>0</v>
      </c>
      <c r="AC378" s="38">
        <f>IF($E378= Parameters!$D$69, 0, IF(OR(AC332=1, AC309=1, AC355=1), 1,0 ))</f>
        <v>0</v>
      </c>
      <c r="AD378" s="38">
        <f>IF($E378= Parameters!$D$69, 0, IF(OR(AD332=1, AD309=1, AD355=1), 1,0 ))</f>
        <v>0</v>
      </c>
      <c r="AE378" s="38">
        <f>IF($E378= Parameters!$D$69, 0, IF(OR(AE332=1, AE309=1, AE355=1), 1,0 ))</f>
        <v>0</v>
      </c>
      <c r="AF378" s="38">
        <f>IF($E378= Parameters!$D$69, 0, IF(OR(AF332=1, AF309=1, AF355=1), 1,0 ))</f>
        <v>0</v>
      </c>
      <c r="AG378" s="38">
        <f>IF($E378= Parameters!$D$69, 0, IF(OR(AG332=1, AG309=1, AG355=1), 1,0 ))</f>
        <v>0</v>
      </c>
      <c r="AH378" s="38">
        <f>IF($E378= Parameters!$D$69, 0, IF(OR(AH332=1, AH309=1, AH355=1), 1,0 ))</f>
        <v>0</v>
      </c>
      <c r="AI378" s="38">
        <f>IF($E378= Parameters!$D$69, 0, IF(OR(AI332=1, AI309=1, AI355=1), 1,0 ))</f>
        <v>0</v>
      </c>
      <c r="AJ378" s="38">
        <f>IF($E378= Parameters!$D$69, 0, IF(OR(AJ332=1, AJ309=1, AJ355=1), 1,0 ))</f>
        <v>0</v>
      </c>
      <c r="AK378" s="38">
        <f>IF($E378= Parameters!$D$69, 0, IF(OR(AK332=1, AK309=1, AK355=1), 1,0 ))</f>
        <v>0</v>
      </c>
      <c r="AL378" s="38">
        <f>IF($E378= Parameters!$D$69, 0, IF(OR(AL332=1, AL309=1, AL355=1), 1,0 ))</f>
        <v>0</v>
      </c>
      <c r="AM378" s="38">
        <f>IF($E378= Parameters!$D$69, 0, IF(OR(AM332=1, AM309=1, AM355=1), 1,0 ))</f>
        <v>0</v>
      </c>
      <c r="AN378" s="38">
        <f>IF($E378= Parameters!$D$69, 0, IF(OR(AN332=1, AN309=1, AN355=1), 1,0 ))</f>
        <v>0</v>
      </c>
      <c r="AO378" s="38">
        <f>IF($E378= Parameters!$D$69, 0, IF(OR(AO332=1, AO309=1, AO355=1), 1,0 ))</f>
        <v>0</v>
      </c>
      <c r="AP378" s="38">
        <f>IF($E378= Parameters!$D$69, 0, IF(OR(AP332=1, AP309=1, AP355=1), 1,0 ))</f>
        <v>0</v>
      </c>
      <c r="AQ378" s="38">
        <f>IF($E378= Parameters!$D$69, 0, IF(OR(AQ332=1, AQ309=1, AQ355=1), 1,0 ))</f>
        <v>0</v>
      </c>
      <c r="AR378" s="38">
        <f>IF($E378= Parameters!$D$69, 0, IF(OR(AR332=1, AR309=1, AR355=1), 1,0 ))</f>
        <v>0</v>
      </c>
      <c r="AS378" s="38">
        <f>IF($E378= Parameters!$D$69, 0, IF(OR(AS332=1, AS309=1, AS355=1), 1,0 ))</f>
        <v>0</v>
      </c>
      <c r="AT378" s="38">
        <f>IF($E378= Parameters!$D$69, 0, IF(OR(AT332=1, AT309=1, AT355=1), 1,0 ))</f>
        <v>0</v>
      </c>
      <c r="AU378" s="38">
        <f>IF($E378= Parameters!$D$69, 0, IF(OR(AU332=1, AU309=1, AU355=1), 1,0 ))</f>
        <v>0</v>
      </c>
      <c r="AV378" s="38">
        <f>IF($E378= Parameters!$D$69, 0, IF(OR(AV332=1, AV309=1, AV355=1), 1,0 ))</f>
        <v>0</v>
      </c>
      <c r="AW378" s="38">
        <f>IF($E378= Parameters!$D$69, 0, IF(OR(AW332=1, AW309=1, AW355=1), 1,0 ))</f>
        <v>0</v>
      </c>
      <c r="AX378" s="38">
        <f>IF($E378= Parameters!$D$69, 0, IF(OR(AX332=1, AX309=1, AX355=1), 1,0 ))</f>
        <v>0</v>
      </c>
      <c r="AY378" s="38">
        <f>IF($E378= Parameters!$D$69, 0, IF(OR(AY332=1, AY309=1, AY355=1), 1,0 ))</f>
        <v>0</v>
      </c>
      <c r="AZ378" s="38">
        <f>IF($E378= Parameters!$D$69, 0, IF(OR(AZ332=1, AZ309=1, AZ355=1), 1,0 ))</f>
        <v>0</v>
      </c>
      <c r="BA378" s="38">
        <f>IF($E378= Parameters!$D$69, 0, IF(OR(BA332=1, BA309=1, BA355=1), 1,0 ))</f>
        <v>0</v>
      </c>
      <c r="BB378" s="38">
        <f>IF($E378= Parameters!$D$69, 0, IF(OR(BB332=1, BB309=1, BB355=1), 1,0 ))</f>
        <v>0</v>
      </c>
      <c r="BC378" s="38">
        <f>IF($E378= Parameters!$D$69, 0, IF(OR(BC332=1, BC309=1, BC355=1), 1,0 ))</f>
        <v>0</v>
      </c>
      <c r="BD378" s="38">
        <f>IF($E378= Parameters!$D$69, 0, IF(OR(BD332=1, BD309=1, BD355=1), 1,0 ))</f>
        <v>0</v>
      </c>
      <c r="BE378" s="38">
        <f>IF($E378= Parameters!$D$69, 0, IF(OR(BE332=1, BE309=1, BE355=1), 1,0 ))</f>
        <v>0</v>
      </c>
      <c r="BF378" s="38">
        <f>IF($E378= Parameters!$D$69, 0, IF(OR(BF332=1, BF309=1, BF355=1), 1,0 ))</f>
        <v>0</v>
      </c>
      <c r="BG378" s="38">
        <f>IF($E378= Parameters!$D$69, 0, IF(OR(BG332=1, BG309=1, BG355=1), 1,0 ))</f>
        <v>0</v>
      </c>
      <c r="BH378" s="38">
        <f>IF($E378= Parameters!$D$69, 0, IF(OR(BH332=1, BH309=1, BH355=1), 1,0 ))</f>
        <v>0</v>
      </c>
      <c r="BI378" s="38">
        <f>IF($E378= Parameters!$D$69, 0, IF(OR(BI332=1, BI309=1, BI355=1), 1,0 ))</f>
        <v>0</v>
      </c>
      <c r="BJ378" s="38">
        <f>IF($E378= Parameters!$D$69, 0, IF(OR(BJ332=1, BJ309=1, BJ355=1), 1,0 ))</f>
        <v>0</v>
      </c>
      <c r="BK378" s="38">
        <f>IF($E378= Parameters!$D$69, 0, IF(OR(BK332=1, BK309=1, BK355=1), 1,0 ))</f>
        <v>0</v>
      </c>
      <c r="BL378" s="38">
        <f>IF($E378= Parameters!$D$69, 0, IF(OR(BL332=1, BL309=1, BL355=1), 1,0 ))</f>
        <v>0</v>
      </c>
      <c r="BM378" s="38">
        <f>IF($E378= Parameters!$D$69, 0, IF(OR(BM332=1, BM309=1, BM355=1), 1,0 ))</f>
        <v>0</v>
      </c>
      <c r="BN378" s="38">
        <f>IF($E378= Parameters!$D$69, 0, IF(OR(BN332=1, BN309=1, BN355=1), 1,0 ))</f>
        <v>0</v>
      </c>
      <c r="BO378" s="38">
        <f>IF($E378= Parameters!$D$69, 0, IF(OR(BO332=1, BO309=1, BO355=1), 1,0 ))</f>
        <v>0</v>
      </c>
      <c r="BP378" s="38">
        <f>IF($E378= Parameters!$D$69, 0, IF(OR(BP332=1, BP309=1, BP355=1), 1,0 ))</f>
        <v>0</v>
      </c>
      <c r="BQ378" s="38">
        <f>IF($E378= Parameters!$D$69, 0, IF(OR(BQ332=1, BQ309=1, BQ355=1), 1,0 ))</f>
        <v>0</v>
      </c>
      <c r="BR378" s="38">
        <f>IF($E378= Parameters!$D$69, 0, IF(OR(BR332=1, BR309=1, BR355=1), 1,0 ))</f>
        <v>0</v>
      </c>
      <c r="BS378" s="38">
        <f>IF($E378= Parameters!$D$69, 0, IF(OR(BS332=1, BS309=1, BS355=1), 1,0 ))</f>
        <v>0</v>
      </c>
      <c r="BT378" s="38">
        <f>IF($E378= Parameters!$D$69, 0, IF(OR(BT332=1, BT309=1, BT355=1), 1,0 ))</f>
        <v>0</v>
      </c>
      <c r="BU378" s="38">
        <f>IF($E378= Parameters!$D$69, 0, IF(OR(BU332=1, BU309=1, BU355=1), 1,0 ))</f>
        <v>0</v>
      </c>
      <c r="BV378" s="38">
        <f>IF($E378= Parameters!$D$69, 0, IF(OR(BV332=1, BV309=1, BV355=1), 1,0 ))</f>
        <v>0</v>
      </c>
      <c r="BX378" s="106"/>
      <c r="BY378" s="106"/>
      <c r="BZ378" s="106"/>
      <c r="CA378" s="106"/>
      <c r="CB378" s="38">
        <f t="shared" si="221"/>
        <v>1</v>
      </c>
      <c r="CC378" s="38">
        <f t="shared" si="221"/>
        <v>1</v>
      </c>
      <c r="CD378" s="38">
        <f t="shared" si="221"/>
        <v>1</v>
      </c>
      <c r="CE378" s="38">
        <f t="shared" si="221"/>
        <v>1</v>
      </c>
      <c r="CF378" s="38">
        <f t="shared" si="221"/>
        <v>1</v>
      </c>
      <c r="CG378" s="38">
        <f t="shared" si="221"/>
        <v>1</v>
      </c>
      <c r="CH378" s="38">
        <f t="shared" si="221"/>
        <v>1</v>
      </c>
      <c r="CI378" s="38">
        <f t="shared" si="221"/>
        <v>1</v>
      </c>
      <c r="CK378" s="11"/>
      <c r="CM378" s="11"/>
      <c r="EX378" s="10" t="str">
        <f t="shared" si="210"/>
        <v/>
      </c>
    </row>
    <row r="379" spans="1:154" x14ac:dyDescent="0.35">
      <c r="B379" t="str">
        <f ca="1">Loans!B$25</f>
        <v>Loan 13</v>
      </c>
      <c r="D379" s="51">
        <f>Loans!D$25</f>
        <v>0</v>
      </c>
      <c r="E379" s="51" t="str">
        <f>Loans!F$25</f>
        <v/>
      </c>
      <c r="V379" s="106"/>
      <c r="W379" s="106"/>
      <c r="X379" s="106"/>
      <c r="Y379" s="106"/>
      <c r="AA379" s="38">
        <f>IF($E379= Parameters!$D$69, 0, IF(OR(AA333=1, AA310=1, AA356=1), 1,0 ))</f>
        <v>0</v>
      </c>
      <c r="AB379" s="38">
        <f>IF($E379= Parameters!$D$69, 0, IF(OR(AB333=1, AB310=1, AB356=1), 1,0 ))</f>
        <v>0</v>
      </c>
      <c r="AC379" s="38">
        <f>IF($E379= Parameters!$D$69, 0, IF(OR(AC333=1, AC310=1, AC356=1), 1,0 ))</f>
        <v>0</v>
      </c>
      <c r="AD379" s="38">
        <f>IF($E379= Parameters!$D$69, 0, IF(OR(AD333=1, AD310=1, AD356=1), 1,0 ))</f>
        <v>0</v>
      </c>
      <c r="AE379" s="38">
        <f>IF($E379= Parameters!$D$69, 0, IF(OR(AE333=1, AE310=1, AE356=1), 1,0 ))</f>
        <v>0</v>
      </c>
      <c r="AF379" s="38">
        <f>IF($E379= Parameters!$D$69, 0, IF(OR(AF333=1, AF310=1, AF356=1), 1,0 ))</f>
        <v>0</v>
      </c>
      <c r="AG379" s="38">
        <f>IF($E379= Parameters!$D$69, 0, IF(OR(AG333=1, AG310=1, AG356=1), 1,0 ))</f>
        <v>0</v>
      </c>
      <c r="AH379" s="38">
        <f>IF($E379= Parameters!$D$69, 0, IF(OR(AH333=1, AH310=1, AH356=1), 1,0 ))</f>
        <v>0</v>
      </c>
      <c r="AI379" s="38">
        <f>IF($E379= Parameters!$D$69, 0, IF(OR(AI333=1, AI310=1, AI356=1), 1,0 ))</f>
        <v>0</v>
      </c>
      <c r="AJ379" s="38">
        <f>IF($E379= Parameters!$D$69, 0, IF(OR(AJ333=1, AJ310=1, AJ356=1), 1,0 ))</f>
        <v>0</v>
      </c>
      <c r="AK379" s="38">
        <f>IF($E379= Parameters!$D$69, 0, IF(OR(AK333=1, AK310=1, AK356=1), 1,0 ))</f>
        <v>0</v>
      </c>
      <c r="AL379" s="38">
        <f>IF($E379= Parameters!$D$69, 0, IF(OR(AL333=1, AL310=1, AL356=1), 1,0 ))</f>
        <v>0</v>
      </c>
      <c r="AM379" s="38">
        <f>IF($E379= Parameters!$D$69, 0, IF(OR(AM333=1, AM310=1, AM356=1), 1,0 ))</f>
        <v>0</v>
      </c>
      <c r="AN379" s="38">
        <f>IF($E379= Parameters!$D$69, 0, IF(OR(AN333=1, AN310=1, AN356=1), 1,0 ))</f>
        <v>0</v>
      </c>
      <c r="AO379" s="38">
        <f>IF($E379= Parameters!$D$69, 0, IF(OR(AO333=1, AO310=1, AO356=1), 1,0 ))</f>
        <v>0</v>
      </c>
      <c r="AP379" s="38">
        <f>IF($E379= Parameters!$D$69, 0, IF(OR(AP333=1, AP310=1, AP356=1), 1,0 ))</f>
        <v>0</v>
      </c>
      <c r="AQ379" s="38">
        <f>IF($E379= Parameters!$D$69, 0, IF(OR(AQ333=1, AQ310=1, AQ356=1), 1,0 ))</f>
        <v>0</v>
      </c>
      <c r="AR379" s="38">
        <f>IF($E379= Parameters!$D$69, 0, IF(OR(AR333=1, AR310=1, AR356=1), 1,0 ))</f>
        <v>0</v>
      </c>
      <c r="AS379" s="38">
        <f>IF($E379= Parameters!$D$69, 0, IF(OR(AS333=1, AS310=1, AS356=1), 1,0 ))</f>
        <v>0</v>
      </c>
      <c r="AT379" s="38">
        <f>IF($E379= Parameters!$D$69, 0, IF(OR(AT333=1, AT310=1, AT356=1), 1,0 ))</f>
        <v>0</v>
      </c>
      <c r="AU379" s="38">
        <f>IF($E379= Parameters!$D$69, 0, IF(OR(AU333=1, AU310=1, AU356=1), 1,0 ))</f>
        <v>0</v>
      </c>
      <c r="AV379" s="38">
        <f>IF($E379= Parameters!$D$69, 0, IF(OR(AV333=1, AV310=1, AV356=1), 1,0 ))</f>
        <v>0</v>
      </c>
      <c r="AW379" s="38">
        <f>IF($E379= Parameters!$D$69, 0, IF(OR(AW333=1, AW310=1, AW356=1), 1,0 ))</f>
        <v>0</v>
      </c>
      <c r="AX379" s="38">
        <f>IF($E379= Parameters!$D$69, 0, IF(OR(AX333=1, AX310=1, AX356=1), 1,0 ))</f>
        <v>0</v>
      </c>
      <c r="AY379" s="38">
        <f>IF($E379= Parameters!$D$69, 0, IF(OR(AY333=1, AY310=1, AY356=1), 1,0 ))</f>
        <v>0</v>
      </c>
      <c r="AZ379" s="38">
        <f>IF($E379= Parameters!$D$69, 0, IF(OR(AZ333=1, AZ310=1, AZ356=1), 1,0 ))</f>
        <v>0</v>
      </c>
      <c r="BA379" s="38">
        <f>IF($E379= Parameters!$D$69, 0, IF(OR(BA333=1, BA310=1, BA356=1), 1,0 ))</f>
        <v>0</v>
      </c>
      <c r="BB379" s="38">
        <f>IF($E379= Parameters!$D$69, 0, IF(OR(BB333=1, BB310=1, BB356=1), 1,0 ))</f>
        <v>0</v>
      </c>
      <c r="BC379" s="38">
        <f>IF($E379= Parameters!$D$69, 0, IF(OR(BC333=1, BC310=1, BC356=1), 1,0 ))</f>
        <v>0</v>
      </c>
      <c r="BD379" s="38">
        <f>IF($E379= Parameters!$D$69, 0, IF(OR(BD333=1, BD310=1, BD356=1), 1,0 ))</f>
        <v>0</v>
      </c>
      <c r="BE379" s="38">
        <f>IF($E379= Parameters!$D$69, 0, IF(OR(BE333=1, BE310=1, BE356=1), 1,0 ))</f>
        <v>0</v>
      </c>
      <c r="BF379" s="38">
        <f>IF($E379= Parameters!$D$69, 0, IF(OR(BF333=1, BF310=1, BF356=1), 1,0 ))</f>
        <v>0</v>
      </c>
      <c r="BG379" s="38">
        <f>IF($E379= Parameters!$D$69, 0, IF(OR(BG333=1, BG310=1, BG356=1), 1,0 ))</f>
        <v>0</v>
      </c>
      <c r="BH379" s="38">
        <f>IF($E379= Parameters!$D$69, 0, IF(OR(BH333=1, BH310=1, BH356=1), 1,0 ))</f>
        <v>0</v>
      </c>
      <c r="BI379" s="38">
        <f>IF($E379= Parameters!$D$69, 0, IF(OR(BI333=1, BI310=1, BI356=1), 1,0 ))</f>
        <v>0</v>
      </c>
      <c r="BJ379" s="38">
        <f>IF($E379= Parameters!$D$69, 0, IF(OR(BJ333=1, BJ310=1, BJ356=1), 1,0 ))</f>
        <v>0</v>
      </c>
      <c r="BK379" s="38">
        <f>IF($E379= Parameters!$D$69, 0, IF(OR(BK333=1, BK310=1, BK356=1), 1,0 ))</f>
        <v>0</v>
      </c>
      <c r="BL379" s="38">
        <f>IF($E379= Parameters!$D$69, 0, IF(OR(BL333=1, BL310=1, BL356=1), 1,0 ))</f>
        <v>0</v>
      </c>
      <c r="BM379" s="38">
        <f>IF($E379= Parameters!$D$69, 0, IF(OR(BM333=1, BM310=1, BM356=1), 1,0 ))</f>
        <v>0</v>
      </c>
      <c r="BN379" s="38">
        <f>IF($E379= Parameters!$D$69, 0, IF(OR(BN333=1, BN310=1, BN356=1), 1,0 ))</f>
        <v>0</v>
      </c>
      <c r="BO379" s="38">
        <f>IF($E379= Parameters!$D$69, 0, IF(OR(BO333=1, BO310=1, BO356=1), 1,0 ))</f>
        <v>0</v>
      </c>
      <c r="BP379" s="38">
        <f>IF($E379= Parameters!$D$69, 0, IF(OR(BP333=1, BP310=1, BP356=1), 1,0 ))</f>
        <v>0</v>
      </c>
      <c r="BQ379" s="38">
        <f>IF($E379= Parameters!$D$69, 0, IF(OR(BQ333=1, BQ310=1, BQ356=1), 1,0 ))</f>
        <v>0</v>
      </c>
      <c r="BR379" s="38">
        <f>IF($E379= Parameters!$D$69, 0, IF(OR(BR333=1, BR310=1, BR356=1), 1,0 ))</f>
        <v>0</v>
      </c>
      <c r="BS379" s="38">
        <f>IF($E379= Parameters!$D$69, 0, IF(OR(BS333=1, BS310=1, BS356=1), 1,0 ))</f>
        <v>0</v>
      </c>
      <c r="BT379" s="38">
        <f>IF($E379= Parameters!$D$69, 0, IF(OR(BT333=1, BT310=1, BT356=1), 1,0 ))</f>
        <v>0</v>
      </c>
      <c r="BU379" s="38">
        <f>IF($E379= Parameters!$D$69, 0, IF(OR(BU333=1, BU310=1, BU356=1), 1,0 ))</f>
        <v>0</v>
      </c>
      <c r="BV379" s="38">
        <f>IF($E379= Parameters!$D$69, 0, IF(OR(BV333=1, BV310=1, BV356=1), 1,0 ))</f>
        <v>0</v>
      </c>
      <c r="BX379" s="106"/>
      <c r="BY379" s="106"/>
      <c r="BZ379" s="106"/>
      <c r="CA379" s="106"/>
      <c r="CB379" s="38">
        <f t="shared" si="221"/>
        <v>1</v>
      </c>
      <c r="CC379" s="38">
        <f t="shared" si="221"/>
        <v>1</v>
      </c>
      <c r="CD379" s="38">
        <f t="shared" si="221"/>
        <v>1</v>
      </c>
      <c r="CE379" s="38">
        <f t="shared" si="221"/>
        <v>1</v>
      </c>
      <c r="CF379" s="38">
        <f t="shared" si="221"/>
        <v>1</v>
      </c>
      <c r="CG379" s="38">
        <f t="shared" si="221"/>
        <v>1</v>
      </c>
      <c r="CH379" s="38">
        <f t="shared" si="221"/>
        <v>1</v>
      </c>
      <c r="CI379" s="38">
        <f t="shared" si="221"/>
        <v>1</v>
      </c>
      <c r="CK379" s="11"/>
      <c r="CM379" s="11"/>
      <c r="EX379" s="10" t="str">
        <f t="shared" si="210"/>
        <v/>
      </c>
    </row>
    <row r="380" spans="1:154" x14ac:dyDescent="0.35">
      <c r="B380" t="str">
        <f ca="1">Loans!B$26</f>
        <v>Loan 14</v>
      </c>
      <c r="D380" s="51">
        <f>Loans!D$26</f>
        <v>0</v>
      </c>
      <c r="E380" s="51" t="str">
        <f>Loans!F$26</f>
        <v/>
      </c>
      <c r="V380" s="106"/>
      <c r="W380" s="106"/>
      <c r="X380" s="106"/>
      <c r="Y380" s="106"/>
      <c r="AA380" s="38">
        <f>IF($E380= Parameters!$D$69, 0, IF(OR(AA334=1, AA311=1, AA357=1), 1,0 ))</f>
        <v>0</v>
      </c>
      <c r="AB380" s="38">
        <f>IF($E380= Parameters!$D$69, 0, IF(OR(AB334=1, AB311=1, AB357=1), 1,0 ))</f>
        <v>0</v>
      </c>
      <c r="AC380" s="38">
        <f>IF($E380= Parameters!$D$69, 0, IF(OR(AC334=1, AC311=1, AC357=1), 1,0 ))</f>
        <v>0</v>
      </c>
      <c r="AD380" s="38">
        <f>IF($E380= Parameters!$D$69, 0, IF(OR(AD334=1, AD311=1, AD357=1), 1,0 ))</f>
        <v>0</v>
      </c>
      <c r="AE380" s="38">
        <f>IF($E380= Parameters!$D$69, 0, IF(OR(AE334=1, AE311=1, AE357=1), 1,0 ))</f>
        <v>0</v>
      </c>
      <c r="AF380" s="38">
        <f>IF($E380= Parameters!$D$69, 0, IF(OR(AF334=1, AF311=1, AF357=1), 1,0 ))</f>
        <v>0</v>
      </c>
      <c r="AG380" s="38">
        <f>IF($E380= Parameters!$D$69, 0, IF(OR(AG334=1, AG311=1, AG357=1), 1,0 ))</f>
        <v>0</v>
      </c>
      <c r="AH380" s="38">
        <f>IF($E380= Parameters!$D$69, 0, IF(OR(AH334=1, AH311=1, AH357=1), 1,0 ))</f>
        <v>0</v>
      </c>
      <c r="AI380" s="38">
        <f>IF($E380= Parameters!$D$69, 0, IF(OR(AI334=1, AI311=1, AI357=1), 1,0 ))</f>
        <v>0</v>
      </c>
      <c r="AJ380" s="38">
        <f>IF($E380= Parameters!$D$69, 0, IF(OR(AJ334=1, AJ311=1, AJ357=1), 1,0 ))</f>
        <v>0</v>
      </c>
      <c r="AK380" s="38">
        <f>IF($E380= Parameters!$D$69, 0, IF(OR(AK334=1, AK311=1, AK357=1), 1,0 ))</f>
        <v>0</v>
      </c>
      <c r="AL380" s="38">
        <f>IF($E380= Parameters!$D$69, 0, IF(OR(AL334=1, AL311=1, AL357=1), 1,0 ))</f>
        <v>0</v>
      </c>
      <c r="AM380" s="38">
        <f>IF($E380= Parameters!$D$69, 0, IF(OR(AM334=1, AM311=1, AM357=1), 1,0 ))</f>
        <v>0</v>
      </c>
      <c r="AN380" s="38">
        <f>IF($E380= Parameters!$D$69, 0, IF(OR(AN334=1, AN311=1, AN357=1), 1,0 ))</f>
        <v>0</v>
      </c>
      <c r="AO380" s="38">
        <f>IF($E380= Parameters!$D$69, 0, IF(OR(AO334=1, AO311=1, AO357=1), 1,0 ))</f>
        <v>0</v>
      </c>
      <c r="AP380" s="38">
        <f>IF($E380= Parameters!$D$69, 0, IF(OR(AP334=1, AP311=1, AP357=1), 1,0 ))</f>
        <v>0</v>
      </c>
      <c r="AQ380" s="38">
        <f>IF($E380= Parameters!$D$69, 0, IF(OR(AQ334=1, AQ311=1, AQ357=1), 1,0 ))</f>
        <v>0</v>
      </c>
      <c r="AR380" s="38">
        <f>IF($E380= Parameters!$D$69, 0, IF(OR(AR334=1, AR311=1, AR357=1), 1,0 ))</f>
        <v>0</v>
      </c>
      <c r="AS380" s="38">
        <f>IF($E380= Parameters!$D$69, 0, IF(OR(AS334=1, AS311=1, AS357=1), 1,0 ))</f>
        <v>0</v>
      </c>
      <c r="AT380" s="38">
        <f>IF($E380= Parameters!$D$69, 0, IF(OR(AT334=1, AT311=1, AT357=1), 1,0 ))</f>
        <v>0</v>
      </c>
      <c r="AU380" s="38">
        <f>IF($E380= Parameters!$D$69, 0, IF(OR(AU334=1, AU311=1, AU357=1), 1,0 ))</f>
        <v>0</v>
      </c>
      <c r="AV380" s="38">
        <f>IF($E380= Parameters!$D$69, 0, IF(OR(AV334=1, AV311=1, AV357=1), 1,0 ))</f>
        <v>0</v>
      </c>
      <c r="AW380" s="38">
        <f>IF($E380= Parameters!$D$69, 0, IF(OR(AW334=1, AW311=1, AW357=1), 1,0 ))</f>
        <v>0</v>
      </c>
      <c r="AX380" s="38">
        <f>IF($E380= Parameters!$D$69, 0, IF(OR(AX334=1, AX311=1, AX357=1), 1,0 ))</f>
        <v>0</v>
      </c>
      <c r="AY380" s="38">
        <f>IF($E380= Parameters!$D$69, 0, IF(OR(AY334=1, AY311=1, AY357=1), 1,0 ))</f>
        <v>0</v>
      </c>
      <c r="AZ380" s="38">
        <f>IF($E380= Parameters!$D$69, 0, IF(OR(AZ334=1, AZ311=1, AZ357=1), 1,0 ))</f>
        <v>0</v>
      </c>
      <c r="BA380" s="38">
        <f>IF($E380= Parameters!$D$69, 0, IF(OR(BA334=1, BA311=1, BA357=1), 1,0 ))</f>
        <v>0</v>
      </c>
      <c r="BB380" s="38">
        <f>IF($E380= Parameters!$D$69, 0, IF(OR(BB334=1, BB311=1, BB357=1), 1,0 ))</f>
        <v>0</v>
      </c>
      <c r="BC380" s="38">
        <f>IF($E380= Parameters!$D$69, 0, IF(OR(BC334=1, BC311=1, BC357=1), 1,0 ))</f>
        <v>0</v>
      </c>
      <c r="BD380" s="38">
        <f>IF($E380= Parameters!$D$69, 0, IF(OR(BD334=1, BD311=1, BD357=1), 1,0 ))</f>
        <v>0</v>
      </c>
      <c r="BE380" s="38">
        <f>IF($E380= Parameters!$D$69, 0, IF(OR(BE334=1, BE311=1, BE357=1), 1,0 ))</f>
        <v>0</v>
      </c>
      <c r="BF380" s="38">
        <f>IF($E380= Parameters!$D$69, 0, IF(OR(BF334=1, BF311=1, BF357=1), 1,0 ))</f>
        <v>0</v>
      </c>
      <c r="BG380" s="38">
        <f>IF($E380= Parameters!$D$69, 0, IF(OR(BG334=1, BG311=1, BG357=1), 1,0 ))</f>
        <v>0</v>
      </c>
      <c r="BH380" s="38">
        <f>IF($E380= Parameters!$D$69, 0, IF(OR(BH334=1, BH311=1, BH357=1), 1,0 ))</f>
        <v>0</v>
      </c>
      <c r="BI380" s="38">
        <f>IF($E380= Parameters!$D$69, 0, IF(OR(BI334=1, BI311=1, BI357=1), 1,0 ))</f>
        <v>0</v>
      </c>
      <c r="BJ380" s="38">
        <f>IF($E380= Parameters!$D$69, 0, IF(OR(BJ334=1, BJ311=1, BJ357=1), 1,0 ))</f>
        <v>0</v>
      </c>
      <c r="BK380" s="38">
        <f>IF($E380= Parameters!$D$69, 0, IF(OR(BK334=1, BK311=1, BK357=1), 1,0 ))</f>
        <v>0</v>
      </c>
      <c r="BL380" s="38">
        <f>IF($E380= Parameters!$D$69, 0, IF(OR(BL334=1, BL311=1, BL357=1), 1,0 ))</f>
        <v>0</v>
      </c>
      <c r="BM380" s="38">
        <f>IF($E380= Parameters!$D$69, 0, IF(OR(BM334=1, BM311=1, BM357=1), 1,0 ))</f>
        <v>0</v>
      </c>
      <c r="BN380" s="38">
        <f>IF($E380= Parameters!$D$69, 0, IF(OR(BN334=1, BN311=1, BN357=1), 1,0 ))</f>
        <v>0</v>
      </c>
      <c r="BO380" s="38">
        <f>IF($E380= Parameters!$D$69, 0, IF(OR(BO334=1, BO311=1, BO357=1), 1,0 ))</f>
        <v>0</v>
      </c>
      <c r="BP380" s="38">
        <f>IF($E380= Parameters!$D$69, 0, IF(OR(BP334=1, BP311=1, BP357=1), 1,0 ))</f>
        <v>0</v>
      </c>
      <c r="BQ380" s="38">
        <f>IF($E380= Parameters!$D$69, 0, IF(OR(BQ334=1, BQ311=1, BQ357=1), 1,0 ))</f>
        <v>0</v>
      </c>
      <c r="BR380" s="38">
        <f>IF($E380= Parameters!$D$69, 0, IF(OR(BR334=1, BR311=1, BR357=1), 1,0 ))</f>
        <v>0</v>
      </c>
      <c r="BS380" s="38">
        <f>IF($E380= Parameters!$D$69, 0, IF(OR(BS334=1, BS311=1, BS357=1), 1,0 ))</f>
        <v>0</v>
      </c>
      <c r="BT380" s="38">
        <f>IF($E380= Parameters!$D$69, 0, IF(OR(BT334=1, BT311=1, BT357=1), 1,0 ))</f>
        <v>0</v>
      </c>
      <c r="BU380" s="38">
        <f>IF($E380= Parameters!$D$69, 0, IF(OR(BU334=1, BU311=1, BU357=1), 1,0 ))</f>
        <v>0</v>
      </c>
      <c r="BV380" s="38">
        <f>IF($E380= Parameters!$D$69, 0, IF(OR(BV334=1, BV311=1, BV357=1), 1,0 ))</f>
        <v>0</v>
      </c>
      <c r="BX380" s="106"/>
      <c r="BY380" s="106"/>
      <c r="BZ380" s="106"/>
      <c r="CA380" s="106"/>
      <c r="CB380" s="38">
        <f t="shared" si="221"/>
        <v>1</v>
      </c>
      <c r="CC380" s="38">
        <f t="shared" si="221"/>
        <v>1</v>
      </c>
      <c r="CD380" s="38">
        <f t="shared" si="221"/>
        <v>1</v>
      </c>
      <c r="CE380" s="38">
        <f t="shared" si="221"/>
        <v>1</v>
      </c>
      <c r="CF380" s="38">
        <f t="shared" si="221"/>
        <v>1</v>
      </c>
      <c r="CG380" s="38">
        <f t="shared" si="221"/>
        <v>1</v>
      </c>
      <c r="CH380" s="38">
        <f t="shared" si="221"/>
        <v>1</v>
      </c>
      <c r="CI380" s="38">
        <f t="shared" si="221"/>
        <v>1</v>
      </c>
      <c r="CK380" s="11"/>
      <c r="CM380" s="11"/>
      <c r="EX380" s="10" t="str">
        <f t="shared" si="210"/>
        <v/>
      </c>
    </row>
    <row r="381" spans="1:154" x14ac:dyDescent="0.35">
      <c r="B381" t="str">
        <f ca="1">Loans!B$27</f>
        <v>Loan 15</v>
      </c>
      <c r="D381" s="51">
        <f>Loans!D$27</f>
        <v>0</v>
      </c>
      <c r="E381" s="51" t="str">
        <f>Loans!F$27</f>
        <v/>
      </c>
      <c r="V381" s="106"/>
      <c r="W381" s="106"/>
      <c r="X381" s="106"/>
      <c r="Y381" s="106"/>
      <c r="AA381" s="38">
        <f>IF($E381= Parameters!$D$69, 0, IF(OR(AA335=1, AA312=1, AA358=1), 1,0 ))</f>
        <v>0</v>
      </c>
      <c r="AB381" s="38">
        <f>IF($E381= Parameters!$D$69, 0, IF(OR(AB335=1, AB312=1, AB358=1), 1,0 ))</f>
        <v>0</v>
      </c>
      <c r="AC381" s="38">
        <f>IF($E381= Parameters!$D$69, 0, IF(OR(AC335=1, AC312=1, AC358=1), 1,0 ))</f>
        <v>0</v>
      </c>
      <c r="AD381" s="38">
        <f>IF($E381= Parameters!$D$69, 0, IF(OR(AD335=1, AD312=1, AD358=1), 1,0 ))</f>
        <v>0</v>
      </c>
      <c r="AE381" s="38">
        <f>IF($E381= Parameters!$D$69, 0, IF(OR(AE335=1, AE312=1, AE358=1), 1,0 ))</f>
        <v>0</v>
      </c>
      <c r="AF381" s="38">
        <f>IF($E381= Parameters!$D$69, 0, IF(OR(AF335=1, AF312=1, AF358=1), 1,0 ))</f>
        <v>0</v>
      </c>
      <c r="AG381" s="38">
        <f>IF($E381= Parameters!$D$69, 0, IF(OR(AG335=1, AG312=1, AG358=1), 1,0 ))</f>
        <v>0</v>
      </c>
      <c r="AH381" s="38">
        <f>IF($E381= Parameters!$D$69, 0, IF(OR(AH335=1, AH312=1, AH358=1), 1,0 ))</f>
        <v>0</v>
      </c>
      <c r="AI381" s="38">
        <f>IF($E381= Parameters!$D$69, 0, IF(OR(AI335=1, AI312=1, AI358=1), 1,0 ))</f>
        <v>0</v>
      </c>
      <c r="AJ381" s="38">
        <f>IF($E381= Parameters!$D$69, 0, IF(OR(AJ335=1, AJ312=1, AJ358=1), 1,0 ))</f>
        <v>0</v>
      </c>
      <c r="AK381" s="38">
        <f>IF($E381= Parameters!$D$69, 0, IF(OR(AK335=1, AK312=1, AK358=1), 1,0 ))</f>
        <v>0</v>
      </c>
      <c r="AL381" s="38">
        <f>IF($E381= Parameters!$D$69, 0, IF(OR(AL335=1, AL312=1, AL358=1), 1,0 ))</f>
        <v>0</v>
      </c>
      <c r="AM381" s="38">
        <f>IF($E381= Parameters!$D$69, 0, IF(OR(AM335=1, AM312=1, AM358=1), 1,0 ))</f>
        <v>0</v>
      </c>
      <c r="AN381" s="38">
        <f>IF($E381= Parameters!$D$69, 0, IF(OR(AN335=1, AN312=1, AN358=1), 1,0 ))</f>
        <v>0</v>
      </c>
      <c r="AO381" s="38">
        <f>IF($E381= Parameters!$D$69, 0, IF(OR(AO335=1, AO312=1, AO358=1), 1,0 ))</f>
        <v>0</v>
      </c>
      <c r="AP381" s="38">
        <f>IF($E381= Parameters!$D$69, 0, IF(OR(AP335=1, AP312=1, AP358=1), 1,0 ))</f>
        <v>0</v>
      </c>
      <c r="AQ381" s="38">
        <f>IF($E381= Parameters!$D$69, 0, IF(OR(AQ335=1, AQ312=1, AQ358=1), 1,0 ))</f>
        <v>0</v>
      </c>
      <c r="AR381" s="38">
        <f>IF($E381= Parameters!$D$69, 0, IF(OR(AR335=1, AR312=1, AR358=1), 1,0 ))</f>
        <v>0</v>
      </c>
      <c r="AS381" s="38">
        <f>IF($E381= Parameters!$D$69, 0, IF(OR(AS335=1, AS312=1, AS358=1), 1,0 ))</f>
        <v>0</v>
      </c>
      <c r="AT381" s="38">
        <f>IF($E381= Parameters!$D$69, 0, IF(OR(AT335=1, AT312=1, AT358=1), 1,0 ))</f>
        <v>0</v>
      </c>
      <c r="AU381" s="38">
        <f>IF($E381= Parameters!$D$69, 0, IF(OR(AU335=1, AU312=1, AU358=1), 1,0 ))</f>
        <v>0</v>
      </c>
      <c r="AV381" s="38">
        <f>IF($E381= Parameters!$D$69, 0, IF(OR(AV335=1, AV312=1, AV358=1), 1,0 ))</f>
        <v>0</v>
      </c>
      <c r="AW381" s="38">
        <f>IF($E381= Parameters!$D$69, 0, IF(OR(AW335=1, AW312=1, AW358=1), 1,0 ))</f>
        <v>0</v>
      </c>
      <c r="AX381" s="38">
        <f>IF($E381= Parameters!$D$69, 0, IF(OR(AX335=1, AX312=1, AX358=1), 1,0 ))</f>
        <v>0</v>
      </c>
      <c r="AY381" s="38">
        <f>IF($E381= Parameters!$D$69, 0, IF(OR(AY335=1, AY312=1, AY358=1), 1,0 ))</f>
        <v>0</v>
      </c>
      <c r="AZ381" s="38">
        <f>IF($E381= Parameters!$D$69, 0, IF(OR(AZ335=1, AZ312=1, AZ358=1), 1,0 ))</f>
        <v>0</v>
      </c>
      <c r="BA381" s="38">
        <f>IF($E381= Parameters!$D$69, 0, IF(OR(BA335=1, BA312=1, BA358=1), 1,0 ))</f>
        <v>0</v>
      </c>
      <c r="BB381" s="38">
        <f>IF($E381= Parameters!$D$69, 0, IF(OR(BB335=1, BB312=1, BB358=1), 1,0 ))</f>
        <v>0</v>
      </c>
      <c r="BC381" s="38">
        <f>IF($E381= Parameters!$D$69, 0, IF(OR(BC335=1, BC312=1, BC358=1), 1,0 ))</f>
        <v>0</v>
      </c>
      <c r="BD381" s="38">
        <f>IF($E381= Parameters!$D$69, 0, IF(OR(BD335=1, BD312=1, BD358=1), 1,0 ))</f>
        <v>0</v>
      </c>
      <c r="BE381" s="38">
        <f>IF($E381= Parameters!$D$69, 0, IF(OR(BE335=1, BE312=1, BE358=1), 1,0 ))</f>
        <v>0</v>
      </c>
      <c r="BF381" s="38">
        <f>IF($E381= Parameters!$D$69, 0, IF(OR(BF335=1, BF312=1, BF358=1), 1,0 ))</f>
        <v>0</v>
      </c>
      <c r="BG381" s="38">
        <f>IF($E381= Parameters!$D$69, 0, IF(OR(BG335=1, BG312=1, BG358=1), 1,0 ))</f>
        <v>0</v>
      </c>
      <c r="BH381" s="38">
        <f>IF($E381= Parameters!$D$69, 0, IF(OR(BH335=1, BH312=1, BH358=1), 1,0 ))</f>
        <v>0</v>
      </c>
      <c r="BI381" s="38">
        <f>IF($E381= Parameters!$D$69, 0, IF(OR(BI335=1, BI312=1, BI358=1), 1,0 ))</f>
        <v>0</v>
      </c>
      <c r="BJ381" s="38">
        <f>IF($E381= Parameters!$D$69, 0, IF(OR(BJ335=1, BJ312=1, BJ358=1), 1,0 ))</f>
        <v>0</v>
      </c>
      <c r="BK381" s="38">
        <f>IF($E381= Parameters!$D$69, 0, IF(OR(BK335=1, BK312=1, BK358=1), 1,0 ))</f>
        <v>0</v>
      </c>
      <c r="BL381" s="38">
        <f>IF($E381= Parameters!$D$69, 0, IF(OR(BL335=1, BL312=1, BL358=1), 1,0 ))</f>
        <v>0</v>
      </c>
      <c r="BM381" s="38">
        <f>IF($E381= Parameters!$D$69, 0, IF(OR(BM335=1, BM312=1, BM358=1), 1,0 ))</f>
        <v>0</v>
      </c>
      <c r="BN381" s="38">
        <f>IF($E381= Parameters!$D$69, 0, IF(OR(BN335=1, BN312=1, BN358=1), 1,0 ))</f>
        <v>0</v>
      </c>
      <c r="BO381" s="38">
        <f>IF($E381= Parameters!$D$69, 0, IF(OR(BO335=1, BO312=1, BO358=1), 1,0 ))</f>
        <v>0</v>
      </c>
      <c r="BP381" s="38">
        <f>IF($E381= Parameters!$D$69, 0, IF(OR(BP335=1, BP312=1, BP358=1), 1,0 ))</f>
        <v>0</v>
      </c>
      <c r="BQ381" s="38">
        <f>IF($E381= Parameters!$D$69, 0, IF(OR(BQ335=1, BQ312=1, BQ358=1), 1,0 ))</f>
        <v>0</v>
      </c>
      <c r="BR381" s="38">
        <f>IF($E381= Parameters!$D$69, 0, IF(OR(BR335=1, BR312=1, BR358=1), 1,0 ))</f>
        <v>0</v>
      </c>
      <c r="BS381" s="38">
        <f>IF($E381= Parameters!$D$69, 0, IF(OR(BS335=1, BS312=1, BS358=1), 1,0 ))</f>
        <v>0</v>
      </c>
      <c r="BT381" s="38">
        <f>IF($E381= Parameters!$D$69, 0, IF(OR(BT335=1, BT312=1, BT358=1), 1,0 ))</f>
        <v>0</v>
      </c>
      <c r="BU381" s="38">
        <f>IF($E381= Parameters!$D$69, 0, IF(OR(BU335=1, BU312=1, BU358=1), 1,0 ))</f>
        <v>0</v>
      </c>
      <c r="BV381" s="38">
        <f>IF($E381= Parameters!$D$69, 0, IF(OR(BV335=1, BV312=1, BV358=1), 1,0 ))</f>
        <v>0</v>
      </c>
      <c r="BX381" s="106"/>
      <c r="BY381" s="106"/>
      <c r="BZ381" s="106"/>
      <c r="CA381" s="106"/>
      <c r="CB381" s="38">
        <f t="shared" si="221"/>
        <v>1</v>
      </c>
      <c r="CC381" s="38">
        <f t="shared" si="221"/>
        <v>1</v>
      </c>
      <c r="CD381" s="38">
        <f t="shared" si="221"/>
        <v>1</v>
      </c>
      <c r="CE381" s="38">
        <f t="shared" si="221"/>
        <v>1</v>
      </c>
      <c r="CF381" s="38">
        <f t="shared" si="221"/>
        <v>1</v>
      </c>
      <c r="CG381" s="38">
        <f t="shared" si="221"/>
        <v>1</v>
      </c>
      <c r="CH381" s="38">
        <f t="shared" si="221"/>
        <v>1</v>
      </c>
      <c r="CI381" s="38">
        <f t="shared" si="221"/>
        <v>1</v>
      </c>
      <c r="CK381" s="11"/>
      <c r="CM381" s="11"/>
      <c r="EX381" s="10" t="str">
        <f t="shared" si="210"/>
        <v/>
      </c>
    </row>
    <row r="382" spans="1:154" x14ac:dyDescent="0.35">
      <c r="B382" t="str">
        <f ca="1">Loans!B$28</f>
        <v>Loan 16</v>
      </c>
      <c r="D382" s="51">
        <f>Loans!D$28</f>
        <v>0</v>
      </c>
      <c r="E382" s="51" t="str">
        <f>Loans!F$28</f>
        <v/>
      </c>
      <c r="V382" s="106"/>
      <c r="W382" s="106"/>
      <c r="X382" s="106"/>
      <c r="Y382" s="106"/>
      <c r="AA382" s="38">
        <f>IF($E382= Parameters!$D$69, 0, IF(OR(AA336=1, AA313=1, AA359=1), 1,0 ))</f>
        <v>0</v>
      </c>
      <c r="AB382" s="38">
        <f>IF($E382= Parameters!$D$69, 0, IF(OR(AB336=1, AB313=1, AB359=1), 1,0 ))</f>
        <v>0</v>
      </c>
      <c r="AC382" s="38">
        <f>IF($E382= Parameters!$D$69, 0, IF(OR(AC336=1, AC313=1, AC359=1), 1,0 ))</f>
        <v>0</v>
      </c>
      <c r="AD382" s="38">
        <f>IF($E382= Parameters!$D$69, 0, IF(OR(AD336=1, AD313=1, AD359=1), 1,0 ))</f>
        <v>0</v>
      </c>
      <c r="AE382" s="38">
        <f>IF($E382= Parameters!$D$69, 0, IF(OR(AE336=1, AE313=1, AE359=1), 1,0 ))</f>
        <v>0</v>
      </c>
      <c r="AF382" s="38">
        <f>IF($E382= Parameters!$D$69, 0, IF(OR(AF336=1, AF313=1, AF359=1), 1,0 ))</f>
        <v>0</v>
      </c>
      <c r="AG382" s="38">
        <f>IF($E382= Parameters!$D$69, 0, IF(OR(AG336=1, AG313=1, AG359=1), 1,0 ))</f>
        <v>0</v>
      </c>
      <c r="AH382" s="38">
        <f>IF($E382= Parameters!$D$69, 0, IF(OR(AH336=1, AH313=1, AH359=1), 1,0 ))</f>
        <v>0</v>
      </c>
      <c r="AI382" s="38">
        <f>IF($E382= Parameters!$D$69, 0, IF(OR(AI336=1, AI313=1, AI359=1), 1,0 ))</f>
        <v>0</v>
      </c>
      <c r="AJ382" s="38">
        <f>IF($E382= Parameters!$D$69, 0, IF(OR(AJ336=1, AJ313=1, AJ359=1), 1,0 ))</f>
        <v>0</v>
      </c>
      <c r="AK382" s="38">
        <f>IF($E382= Parameters!$D$69, 0, IF(OR(AK336=1, AK313=1, AK359=1), 1,0 ))</f>
        <v>0</v>
      </c>
      <c r="AL382" s="38">
        <f>IF($E382= Parameters!$D$69, 0, IF(OR(AL336=1, AL313=1, AL359=1), 1,0 ))</f>
        <v>0</v>
      </c>
      <c r="AM382" s="38">
        <f>IF($E382= Parameters!$D$69, 0, IF(OR(AM336=1, AM313=1, AM359=1), 1,0 ))</f>
        <v>0</v>
      </c>
      <c r="AN382" s="38">
        <f>IF($E382= Parameters!$D$69, 0, IF(OR(AN336=1, AN313=1, AN359=1), 1,0 ))</f>
        <v>0</v>
      </c>
      <c r="AO382" s="38">
        <f>IF($E382= Parameters!$D$69, 0, IF(OR(AO336=1, AO313=1, AO359=1), 1,0 ))</f>
        <v>0</v>
      </c>
      <c r="AP382" s="38">
        <f>IF($E382= Parameters!$D$69, 0, IF(OR(AP336=1, AP313=1, AP359=1), 1,0 ))</f>
        <v>0</v>
      </c>
      <c r="AQ382" s="38">
        <f>IF($E382= Parameters!$D$69, 0, IF(OR(AQ336=1, AQ313=1, AQ359=1), 1,0 ))</f>
        <v>0</v>
      </c>
      <c r="AR382" s="38">
        <f>IF($E382= Parameters!$D$69, 0, IF(OR(AR336=1, AR313=1, AR359=1), 1,0 ))</f>
        <v>0</v>
      </c>
      <c r="AS382" s="38">
        <f>IF($E382= Parameters!$D$69, 0, IF(OR(AS336=1, AS313=1, AS359=1), 1,0 ))</f>
        <v>0</v>
      </c>
      <c r="AT382" s="38">
        <f>IF($E382= Parameters!$D$69, 0, IF(OR(AT336=1, AT313=1, AT359=1), 1,0 ))</f>
        <v>0</v>
      </c>
      <c r="AU382" s="38">
        <f>IF($E382= Parameters!$D$69, 0, IF(OR(AU336=1, AU313=1, AU359=1), 1,0 ))</f>
        <v>0</v>
      </c>
      <c r="AV382" s="38">
        <f>IF($E382= Parameters!$D$69, 0, IF(OR(AV336=1, AV313=1, AV359=1), 1,0 ))</f>
        <v>0</v>
      </c>
      <c r="AW382" s="38">
        <f>IF($E382= Parameters!$D$69, 0, IF(OR(AW336=1, AW313=1, AW359=1), 1,0 ))</f>
        <v>0</v>
      </c>
      <c r="AX382" s="38">
        <f>IF($E382= Parameters!$D$69, 0, IF(OR(AX336=1, AX313=1, AX359=1), 1,0 ))</f>
        <v>0</v>
      </c>
      <c r="AY382" s="38">
        <f>IF($E382= Parameters!$D$69, 0, IF(OR(AY336=1, AY313=1, AY359=1), 1,0 ))</f>
        <v>0</v>
      </c>
      <c r="AZ382" s="38">
        <f>IF($E382= Parameters!$D$69, 0, IF(OR(AZ336=1, AZ313=1, AZ359=1), 1,0 ))</f>
        <v>0</v>
      </c>
      <c r="BA382" s="38">
        <f>IF($E382= Parameters!$D$69, 0, IF(OR(BA336=1, BA313=1, BA359=1), 1,0 ))</f>
        <v>0</v>
      </c>
      <c r="BB382" s="38">
        <f>IF($E382= Parameters!$D$69, 0, IF(OR(BB336=1, BB313=1, BB359=1), 1,0 ))</f>
        <v>0</v>
      </c>
      <c r="BC382" s="38">
        <f>IF($E382= Parameters!$D$69, 0, IF(OR(BC336=1, BC313=1, BC359=1), 1,0 ))</f>
        <v>0</v>
      </c>
      <c r="BD382" s="38">
        <f>IF($E382= Parameters!$D$69, 0, IF(OR(BD336=1, BD313=1, BD359=1), 1,0 ))</f>
        <v>0</v>
      </c>
      <c r="BE382" s="38">
        <f>IF($E382= Parameters!$D$69, 0, IF(OR(BE336=1, BE313=1, BE359=1), 1,0 ))</f>
        <v>0</v>
      </c>
      <c r="BF382" s="38">
        <f>IF($E382= Parameters!$D$69, 0, IF(OR(BF336=1, BF313=1, BF359=1), 1,0 ))</f>
        <v>0</v>
      </c>
      <c r="BG382" s="38">
        <f>IF($E382= Parameters!$D$69, 0, IF(OR(BG336=1, BG313=1, BG359=1), 1,0 ))</f>
        <v>0</v>
      </c>
      <c r="BH382" s="38">
        <f>IF($E382= Parameters!$D$69, 0, IF(OR(BH336=1, BH313=1, BH359=1), 1,0 ))</f>
        <v>0</v>
      </c>
      <c r="BI382" s="38">
        <f>IF($E382= Parameters!$D$69, 0, IF(OR(BI336=1, BI313=1, BI359=1), 1,0 ))</f>
        <v>0</v>
      </c>
      <c r="BJ382" s="38">
        <f>IF($E382= Parameters!$D$69, 0, IF(OR(BJ336=1, BJ313=1, BJ359=1), 1,0 ))</f>
        <v>0</v>
      </c>
      <c r="BK382" s="38">
        <f>IF($E382= Parameters!$D$69, 0, IF(OR(BK336=1, BK313=1, BK359=1), 1,0 ))</f>
        <v>0</v>
      </c>
      <c r="BL382" s="38">
        <f>IF($E382= Parameters!$D$69, 0, IF(OR(BL336=1, BL313=1, BL359=1), 1,0 ))</f>
        <v>0</v>
      </c>
      <c r="BM382" s="38">
        <f>IF($E382= Parameters!$D$69, 0, IF(OR(BM336=1, BM313=1, BM359=1), 1,0 ))</f>
        <v>0</v>
      </c>
      <c r="BN382" s="38">
        <f>IF($E382= Parameters!$D$69, 0, IF(OR(BN336=1, BN313=1, BN359=1), 1,0 ))</f>
        <v>0</v>
      </c>
      <c r="BO382" s="38">
        <f>IF($E382= Parameters!$D$69, 0, IF(OR(BO336=1, BO313=1, BO359=1), 1,0 ))</f>
        <v>0</v>
      </c>
      <c r="BP382" s="38">
        <f>IF($E382= Parameters!$D$69, 0, IF(OR(BP336=1, BP313=1, BP359=1), 1,0 ))</f>
        <v>0</v>
      </c>
      <c r="BQ382" s="38">
        <f>IF($E382= Parameters!$D$69, 0, IF(OR(BQ336=1, BQ313=1, BQ359=1), 1,0 ))</f>
        <v>0</v>
      </c>
      <c r="BR382" s="38">
        <f>IF($E382= Parameters!$D$69, 0, IF(OR(BR336=1, BR313=1, BR359=1), 1,0 ))</f>
        <v>0</v>
      </c>
      <c r="BS382" s="38">
        <f>IF($E382= Parameters!$D$69, 0, IF(OR(BS336=1, BS313=1, BS359=1), 1,0 ))</f>
        <v>0</v>
      </c>
      <c r="BT382" s="38">
        <f>IF($E382= Parameters!$D$69, 0, IF(OR(BT336=1, BT313=1, BT359=1), 1,0 ))</f>
        <v>0</v>
      </c>
      <c r="BU382" s="38">
        <f>IF($E382= Parameters!$D$69, 0, IF(OR(BU336=1, BU313=1, BU359=1), 1,0 ))</f>
        <v>0</v>
      </c>
      <c r="BV382" s="38">
        <f>IF($E382= Parameters!$D$69, 0, IF(OR(BV336=1, BV313=1, BV359=1), 1,0 ))</f>
        <v>0</v>
      </c>
      <c r="BX382" s="106"/>
      <c r="BY382" s="106"/>
      <c r="BZ382" s="106"/>
      <c r="CA382" s="106"/>
      <c r="CB382" s="38">
        <f t="shared" si="221"/>
        <v>1</v>
      </c>
      <c r="CC382" s="38">
        <f t="shared" si="221"/>
        <v>1</v>
      </c>
      <c r="CD382" s="38">
        <f t="shared" si="221"/>
        <v>1</v>
      </c>
      <c r="CE382" s="38">
        <f t="shared" si="221"/>
        <v>1</v>
      </c>
      <c r="CF382" s="38">
        <f t="shared" si="221"/>
        <v>1</v>
      </c>
      <c r="CG382" s="38">
        <f t="shared" si="221"/>
        <v>1</v>
      </c>
      <c r="CH382" s="38">
        <f t="shared" si="221"/>
        <v>1</v>
      </c>
      <c r="CI382" s="38">
        <f t="shared" si="221"/>
        <v>1</v>
      </c>
      <c r="CK382" s="11"/>
      <c r="CM382" s="11"/>
      <c r="EX382" s="10" t="str">
        <f t="shared" si="210"/>
        <v/>
      </c>
    </row>
    <row r="383" spans="1:154" x14ac:dyDescent="0.35">
      <c r="B383" t="str">
        <f ca="1">Loans!B$29</f>
        <v>Loan 17</v>
      </c>
      <c r="D383" s="51">
        <f>Loans!D$29</f>
        <v>0</v>
      </c>
      <c r="E383" s="51" t="str">
        <f>Loans!F$29</f>
        <v/>
      </c>
      <c r="V383" s="106"/>
      <c r="W383" s="106"/>
      <c r="X383" s="106"/>
      <c r="Y383" s="106"/>
      <c r="AA383" s="38">
        <f>IF($E383= Parameters!$D$69, 0, IF(OR(AA337=1, AA314=1, AA360=1), 1,0 ))</f>
        <v>0</v>
      </c>
      <c r="AB383" s="38">
        <f>IF($E383= Parameters!$D$69, 0, IF(OR(AB337=1, AB314=1, AB360=1), 1,0 ))</f>
        <v>0</v>
      </c>
      <c r="AC383" s="38">
        <f>IF($E383= Parameters!$D$69, 0, IF(OR(AC337=1, AC314=1, AC360=1), 1,0 ))</f>
        <v>0</v>
      </c>
      <c r="AD383" s="38">
        <f>IF($E383= Parameters!$D$69, 0, IF(OR(AD337=1, AD314=1, AD360=1), 1,0 ))</f>
        <v>0</v>
      </c>
      <c r="AE383" s="38">
        <f>IF($E383= Parameters!$D$69, 0, IF(OR(AE337=1, AE314=1, AE360=1), 1,0 ))</f>
        <v>0</v>
      </c>
      <c r="AF383" s="38">
        <f>IF($E383= Parameters!$D$69, 0, IF(OR(AF337=1, AF314=1, AF360=1), 1,0 ))</f>
        <v>0</v>
      </c>
      <c r="AG383" s="38">
        <f>IF($E383= Parameters!$D$69, 0, IF(OR(AG337=1, AG314=1, AG360=1), 1,0 ))</f>
        <v>0</v>
      </c>
      <c r="AH383" s="38">
        <f>IF($E383= Parameters!$D$69, 0, IF(OR(AH337=1, AH314=1, AH360=1), 1,0 ))</f>
        <v>0</v>
      </c>
      <c r="AI383" s="38">
        <f>IF($E383= Parameters!$D$69, 0, IF(OR(AI337=1, AI314=1, AI360=1), 1,0 ))</f>
        <v>0</v>
      </c>
      <c r="AJ383" s="38">
        <f>IF($E383= Parameters!$D$69, 0, IF(OR(AJ337=1, AJ314=1, AJ360=1), 1,0 ))</f>
        <v>0</v>
      </c>
      <c r="AK383" s="38">
        <f>IF($E383= Parameters!$D$69, 0, IF(OR(AK337=1, AK314=1, AK360=1), 1,0 ))</f>
        <v>0</v>
      </c>
      <c r="AL383" s="38">
        <f>IF($E383= Parameters!$D$69, 0, IF(OR(AL337=1, AL314=1, AL360=1), 1,0 ))</f>
        <v>0</v>
      </c>
      <c r="AM383" s="38">
        <f>IF($E383= Parameters!$D$69, 0, IF(OR(AM337=1, AM314=1, AM360=1), 1,0 ))</f>
        <v>0</v>
      </c>
      <c r="AN383" s="38">
        <f>IF($E383= Parameters!$D$69, 0, IF(OR(AN337=1, AN314=1, AN360=1), 1,0 ))</f>
        <v>0</v>
      </c>
      <c r="AO383" s="38">
        <f>IF($E383= Parameters!$D$69, 0, IF(OR(AO337=1, AO314=1, AO360=1), 1,0 ))</f>
        <v>0</v>
      </c>
      <c r="AP383" s="38">
        <f>IF($E383= Parameters!$D$69, 0, IF(OR(AP337=1, AP314=1, AP360=1), 1,0 ))</f>
        <v>0</v>
      </c>
      <c r="AQ383" s="38">
        <f>IF($E383= Parameters!$D$69, 0, IF(OR(AQ337=1, AQ314=1, AQ360=1), 1,0 ))</f>
        <v>0</v>
      </c>
      <c r="AR383" s="38">
        <f>IF($E383= Parameters!$D$69, 0, IF(OR(AR337=1, AR314=1, AR360=1), 1,0 ))</f>
        <v>0</v>
      </c>
      <c r="AS383" s="38">
        <f>IF($E383= Parameters!$D$69, 0, IF(OR(AS337=1, AS314=1, AS360=1), 1,0 ))</f>
        <v>0</v>
      </c>
      <c r="AT383" s="38">
        <f>IF($E383= Parameters!$D$69, 0, IF(OR(AT337=1, AT314=1, AT360=1), 1,0 ))</f>
        <v>0</v>
      </c>
      <c r="AU383" s="38">
        <f>IF($E383= Parameters!$D$69, 0, IF(OR(AU337=1, AU314=1, AU360=1), 1,0 ))</f>
        <v>0</v>
      </c>
      <c r="AV383" s="38">
        <f>IF($E383= Parameters!$D$69, 0, IF(OR(AV337=1, AV314=1, AV360=1), 1,0 ))</f>
        <v>0</v>
      </c>
      <c r="AW383" s="38">
        <f>IF($E383= Parameters!$D$69, 0, IF(OR(AW337=1, AW314=1, AW360=1), 1,0 ))</f>
        <v>0</v>
      </c>
      <c r="AX383" s="38">
        <f>IF($E383= Parameters!$D$69, 0, IF(OR(AX337=1, AX314=1, AX360=1), 1,0 ))</f>
        <v>0</v>
      </c>
      <c r="AY383" s="38">
        <f>IF($E383= Parameters!$D$69, 0, IF(OR(AY337=1, AY314=1, AY360=1), 1,0 ))</f>
        <v>0</v>
      </c>
      <c r="AZ383" s="38">
        <f>IF($E383= Parameters!$D$69, 0, IF(OR(AZ337=1, AZ314=1, AZ360=1), 1,0 ))</f>
        <v>0</v>
      </c>
      <c r="BA383" s="38">
        <f>IF($E383= Parameters!$D$69, 0, IF(OR(BA337=1, BA314=1, BA360=1), 1,0 ))</f>
        <v>0</v>
      </c>
      <c r="BB383" s="38">
        <f>IF($E383= Parameters!$D$69, 0, IF(OR(BB337=1, BB314=1, BB360=1), 1,0 ))</f>
        <v>0</v>
      </c>
      <c r="BC383" s="38">
        <f>IF($E383= Parameters!$D$69, 0, IF(OR(BC337=1, BC314=1, BC360=1), 1,0 ))</f>
        <v>0</v>
      </c>
      <c r="BD383" s="38">
        <f>IF($E383= Parameters!$D$69, 0, IF(OR(BD337=1, BD314=1, BD360=1), 1,0 ))</f>
        <v>0</v>
      </c>
      <c r="BE383" s="38">
        <f>IF($E383= Parameters!$D$69, 0, IF(OR(BE337=1, BE314=1, BE360=1), 1,0 ))</f>
        <v>0</v>
      </c>
      <c r="BF383" s="38">
        <f>IF($E383= Parameters!$D$69, 0, IF(OR(BF337=1, BF314=1, BF360=1), 1,0 ))</f>
        <v>0</v>
      </c>
      <c r="BG383" s="38">
        <f>IF($E383= Parameters!$D$69, 0, IF(OR(BG337=1, BG314=1, BG360=1), 1,0 ))</f>
        <v>0</v>
      </c>
      <c r="BH383" s="38">
        <f>IF($E383= Parameters!$D$69, 0, IF(OR(BH337=1, BH314=1, BH360=1), 1,0 ))</f>
        <v>0</v>
      </c>
      <c r="BI383" s="38">
        <f>IF($E383= Parameters!$D$69, 0, IF(OR(BI337=1, BI314=1, BI360=1), 1,0 ))</f>
        <v>0</v>
      </c>
      <c r="BJ383" s="38">
        <f>IF($E383= Parameters!$D$69, 0, IF(OR(BJ337=1, BJ314=1, BJ360=1), 1,0 ))</f>
        <v>0</v>
      </c>
      <c r="BK383" s="38">
        <f>IF($E383= Parameters!$D$69, 0, IF(OR(BK337=1, BK314=1, BK360=1), 1,0 ))</f>
        <v>0</v>
      </c>
      <c r="BL383" s="38">
        <f>IF($E383= Parameters!$D$69, 0, IF(OR(BL337=1, BL314=1, BL360=1), 1,0 ))</f>
        <v>0</v>
      </c>
      <c r="BM383" s="38">
        <f>IF($E383= Parameters!$D$69, 0, IF(OR(BM337=1, BM314=1, BM360=1), 1,0 ))</f>
        <v>0</v>
      </c>
      <c r="BN383" s="38">
        <f>IF($E383= Parameters!$D$69, 0, IF(OR(BN337=1, BN314=1, BN360=1), 1,0 ))</f>
        <v>0</v>
      </c>
      <c r="BO383" s="38">
        <f>IF($E383= Parameters!$D$69, 0, IF(OR(BO337=1, BO314=1, BO360=1), 1,0 ))</f>
        <v>0</v>
      </c>
      <c r="BP383" s="38">
        <f>IF($E383= Parameters!$D$69, 0, IF(OR(BP337=1, BP314=1, BP360=1), 1,0 ))</f>
        <v>0</v>
      </c>
      <c r="BQ383" s="38">
        <f>IF($E383= Parameters!$D$69, 0, IF(OR(BQ337=1, BQ314=1, BQ360=1), 1,0 ))</f>
        <v>0</v>
      </c>
      <c r="BR383" s="38">
        <f>IF($E383= Parameters!$D$69, 0, IF(OR(BR337=1, BR314=1, BR360=1), 1,0 ))</f>
        <v>0</v>
      </c>
      <c r="BS383" s="38">
        <f>IF($E383= Parameters!$D$69, 0, IF(OR(BS337=1, BS314=1, BS360=1), 1,0 ))</f>
        <v>0</v>
      </c>
      <c r="BT383" s="38">
        <f>IF($E383= Parameters!$D$69, 0, IF(OR(BT337=1, BT314=1, BT360=1), 1,0 ))</f>
        <v>0</v>
      </c>
      <c r="BU383" s="38">
        <f>IF($E383= Parameters!$D$69, 0, IF(OR(BU337=1, BU314=1, BU360=1), 1,0 ))</f>
        <v>0</v>
      </c>
      <c r="BV383" s="38">
        <f>IF($E383= Parameters!$D$69, 0, IF(OR(BV337=1, BV314=1, BV360=1), 1,0 ))</f>
        <v>0</v>
      </c>
      <c r="BX383" s="106"/>
      <c r="BY383" s="106"/>
      <c r="BZ383" s="106"/>
      <c r="CA383" s="106"/>
      <c r="CB383" s="38">
        <f t="shared" si="221"/>
        <v>1</v>
      </c>
      <c r="CC383" s="38">
        <f t="shared" si="221"/>
        <v>1</v>
      </c>
      <c r="CD383" s="38">
        <f t="shared" si="221"/>
        <v>1</v>
      </c>
      <c r="CE383" s="38">
        <f t="shared" si="221"/>
        <v>1</v>
      </c>
      <c r="CF383" s="38">
        <f t="shared" si="221"/>
        <v>1</v>
      </c>
      <c r="CG383" s="38">
        <f t="shared" si="221"/>
        <v>1</v>
      </c>
      <c r="CH383" s="38">
        <f t="shared" si="221"/>
        <v>1</v>
      </c>
      <c r="CI383" s="38">
        <f t="shared" si="221"/>
        <v>1</v>
      </c>
      <c r="CK383" s="11"/>
      <c r="CM383" s="11"/>
      <c r="EX383" s="10" t="str">
        <f t="shared" si="210"/>
        <v/>
      </c>
    </row>
    <row r="384" spans="1:154" x14ac:dyDescent="0.35">
      <c r="B384" t="str">
        <f ca="1">Loans!B$30</f>
        <v>Loan 18</v>
      </c>
      <c r="D384" s="51">
        <f>Loans!D$30</f>
        <v>0</v>
      </c>
      <c r="E384" s="51" t="str">
        <f>Loans!F$30</f>
        <v/>
      </c>
      <c r="V384" s="106"/>
      <c r="W384" s="106"/>
      <c r="X384" s="106"/>
      <c r="Y384" s="106"/>
      <c r="AA384" s="38">
        <f>IF($E384= Parameters!$D$69, 0, IF(OR(AA338=1, AA315=1, AA361=1), 1,0 ))</f>
        <v>0</v>
      </c>
      <c r="AB384" s="38">
        <f>IF($E384= Parameters!$D$69, 0, IF(OR(AB338=1, AB315=1, AB361=1), 1,0 ))</f>
        <v>0</v>
      </c>
      <c r="AC384" s="38">
        <f>IF($E384= Parameters!$D$69, 0, IF(OR(AC338=1, AC315=1, AC361=1), 1,0 ))</f>
        <v>0</v>
      </c>
      <c r="AD384" s="38">
        <f>IF($E384= Parameters!$D$69, 0, IF(OR(AD338=1, AD315=1, AD361=1), 1,0 ))</f>
        <v>0</v>
      </c>
      <c r="AE384" s="38">
        <f>IF($E384= Parameters!$D$69, 0, IF(OR(AE338=1, AE315=1, AE361=1), 1,0 ))</f>
        <v>0</v>
      </c>
      <c r="AF384" s="38">
        <f>IF($E384= Parameters!$D$69, 0, IF(OR(AF338=1, AF315=1, AF361=1), 1,0 ))</f>
        <v>0</v>
      </c>
      <c r="AG384" s="38">
        <f>IF($E384= Parameters!$D$69, 0, IF(OR(AG338=1, AG315=1, AG361=1), 1,0 ))</f>
        <v>0</v>
      </c>
      <c r="AH384" s="38">
        <f>IF($E384= Parameters!$D$69, 0, IF(OR(AH338=1, AH315=1, AH361=1), 1,0 ))</f>
        <v>0</v>
      </c>
      <c r="AI384" s="38">
        <f>IF($E384= Parameters!$D$69, 0, IF(OR(AI338=1, AI315=1, AI361=1), 1,0 ))</f>
        <v>0</v>
      </c>
      <c r="AJ384" s="38">
        <f>IF($E384= Parameters!$D$69, 0, IF(OR(AJ338=1, AJ315=1, AJ361=1), 1,0 ))</f>
        <v>0</v>
      </c>
      <c r="AK384" s="38">
        <f>IF($E384= Parameters!$D$69, 0, IF(OR(AK338=1, AK315=1, AK361=1), 1,0 ))</f>
        <v>0</v>
      </c>
      <c r="AL384" s="38">
        <f>IF($E384= Parameters!$D$69, 0, IF(OR(AL338=1, AL315=1, AL361=1), 1,0 ))</f>
        <v>0</v>
      </c>
      <c r="AM384" s="38">
        <f>IF($E384= Parameters!$D$69, 0, IF(OR(AM338=1, AM315=1, AM361=1), 1,0 ))</f>
        <v>0</v>
      </c>
      <c r="AN384" s="38">
        <f>IF($E384= Parameters!$D$69, 0, IF(OR(AN338=1, AN315=1, AN361=1), 1,0 ))</f>
        <v>0</v>
      </c>
      <c r="AO384" s="38">
        <f>IF($E384= Parameters!$D$69, 0, IF(OR(AO338=1, AO315=1, AO361=1), 1,0 ))</f>
        <v>0</v>
      </c>
      <c r="AP384" s="38">
        <f>IF($E384= Parameters!$D$69, 0, IF(OR(AP338=1, AP315=1, AP361=1), 1,0 ))</f>
        <v>0</v>
      </c>
      <c r="AQ384" s="38">
        <f>IF($E384= Parameters!$D$69, 0, IF(OR(AQ338=1, AQ315=1, AQ361=1), 1,0 ))</f>
        <v>0</v>
      </c>
      <c r="AR384" s="38">
        <f>IF($E384= Parameters!$D$69, 0, IF(OR(AR338=1, AR315=1, AR361=1), 1,0 ))</f>
        <v>0</v>
      </c>
      <c r="AS384" s="38">
        <f>IF($E384= Parameters!$D$69, 0, IF(OR(AS338=1, AS315=1, AS361=1), 1,0 ))</f>
        <v>0</v>
      </c>
      <c r="AT384" s="38">
        <f>IF($E384= Parameters!$D$69, 0, IF(OR(AT338=1, AT315=1, AT361=1), 1,0 ))</f>
        <v>0</v>
      </c>
      <c r="AU384" s="38">
        <f>IF($E384= Parameters!$D$69, 0, IF(OR(AU338=1, AU315=1, AU361=1), 1,0 ))</f>
        <v>0</v>
      </c>
      <c r="AV384" s="38">
        <f>IF($E384= Parameters!$D$69, 0, IF(OR(AV338=1, AV315=1, AV361=1), 1,0 ))</f>
        <v>0</v>
      </c>
      <c r="AW384" s="38">
        <f>IF($E384= Parameters!$D$69, 0, IF(OR(AW338=1, AW315=1, AW361=1), 1,0 ))</f>
        <v>0</v>
      </c>
      <c r="AX384" s="38">
        <f>IF($E384= Parameters!$D$69, 0, IF(OR(AX338=1, AX315=1, AX361=1), 1,0 ))</f>
        <v>0</v>
      </c>
      <c r="AY384" s="38">
        <f>IF($E384= Parameters!$D$69, 0, IF(OR(AY338=1, AY315=1, AY361=1), 1,0 ))</f>
        <v>0</v>
      </c>
      <c r="AZ384" s="38">
        <f>IF($E384= Parameters!$D$69, 0, IF(OR(AZ338=1, AZ315=1, AZ361=1), 1,0 ))</f>
        <v>0</v>
      </c>
      <c r="BA384" s="38">
        <f>IF($E384= Parameters!$D$69, 0, IF(OR(BA338=1, BA315=1, BA361=1), 1,0 ))</f>
        <v>0</v>
      </c>
      <c r="BB384" s="38">
        <f>IF($E384= Parameters!$D$69, 0, IF(OR(BB338=1, BB315=1, BB361=1), 1,0 ))</f>
        <v>0</v>
      </c>
      <c r="BC384" s="38">
        <f>IF($E384= Parameters!$D$69, 0, IF(OR(BC338=1, BC315=1, BC361=1), 1,0 ))</f>
        <v>0</v>
      </c>
      <c r="BD384" s="38">
        <f>IF($E384= Parameters!$D$69, 0, IF(OR(BD338=1, BD315=1, BD361=1), 1,0 ))</f>
        <v>0</v>
      </c>
      <c r="BE384" s="38">
        <f>IF($E384= Parameters!$D$69, 0, IF(OR(BE338=1, BE315=1, BE361=1), 1,0 ))</f>
        <v>0</v>
      </c>
      <c r="BF384" s="38">
        <f>IF($E384= Parameters!$D$69, 0, IF(OR(BF338=1, BF315=1, BF361=1), 1,0 ))</f>
        <v>0</v>
      </c>
      <c r="BG384" s="38">
        <f>IF($E384= Parameters!$D$69, 0, IF(OR(BG338=1, BG315=1, BG361=1), 1,0 ))</f>
        <v>0</v>
      </c>
      <c r="BH384" s="38">
        <f>IF($E384= Parameters!$D$69, 0, IF(OR(BH338=1, BH315=1, BH361=1), 1,0 ))</f>
        <v>0</v>
      </c>
      <c r="BI384" s="38">
        <f>IF($E384= Parameters!$D$69, 0, IF(OR(BI338=1, BI315=1, BI361=1), 1,0 ))</f>
        <v>0</v>
      </c>
      <c r="BJ384" s="38">
        <f>IF($E384= Parameters!$D$69, 0, IF(OR(BJ338=1, BJ315=1, BJ361=1), 1,0 ))</f>
        <v>0</v>
      </c>
      <c r="BK384" s="38">
        <f>IF($E384= Parameters!$D$69, 0, IF(OR(BK338=1, BK315=1, BK361=1), 1,0 ))</f>
        <v>0</v>
      </c>
      <c r="BL384" s="38">
        <f>IF($E384= Parameters!$D$69, 0, IF(OR(BL338=1, BL315=1, BL361=1), 1,0 ))</f>
        <v>0</v>
      </c>
      <c r="BM384" s="38">
        <f>IF($E384= Parameters!$D$69, 0, IF(OR(BM338=1, BM315=1, BM361=1), 1,0 ))</f>
        <v>0</v>
      </c>
      <c r="BN384" s="38">
        <f>IF($E384= Parameters!$D$69, 0, IF(OR(BN338=1, BN315=1, BN361=1), 1,0 ))</f>
        <v>0</v>
      </c>
      <c r="BO384" s="38">
        <f>IF($E384= Parameters!$D$69, 0, IF(OR(BO338=1, BO315=1, BO361=1), 1,0 ))</f>
        <v>0</v>
      </c>
      <c r="BP384" s="38">
        <f>IF($E384= Parameters!$D$69, 0, IF(OR(BP338=1, BP315=1, BP361=1), 1,0 ))</f>
        <v>0</v>
      </c>
      <c r="BQ384" s="38">
        <f>IF($E384= Parameters!$D$69, 0, IF(OR(BQ338=1, BQ315=1, BQ361=1), 1,0 ))</f>
        <v>0</v>
      </c>
      <c r="BR384" s="38">
        <f>IF($E384= Parameters!$D$69, 0, IF(OR(BR338=1, BR315=1, BR361=1), 1,0 ))</f>
        <v>0</v>
      </c>
      <c r="BS384" s="38">
        <f>IF($E384= Parameters!$D$69, 0, IF(OR(BS338=1, BS315=1, BS361=1), 1,0 ))</f>
        <v>0</v>
      </c>
      <c r="BT384" s="38">
        <f>IF($E384= Parameters!$D$69, 0, IF(OR(BT338=1, BT315=1, BT361=1), 1,0 ))</f>
        <v>0</v>
      </c>
      <c r="BU384" s="38">
        <f>IF($E384= Parameters!$D$69, 0, IF(OR(BU338=1, BU315=1, BU361=1), 1,0 ))</f>
        <v>0</v>
      </c>
      <c r="BV384" s="38">
        <f>IF($E384= Parameters!$D$69, 0, IF(OR(BV338=1, BV315=1, BV361=1), 1,0 ))</f>
        <v>0</v>
      </c>
      <c r="BX384" s="106"/>
      <c r="BY384" s="106"/>
      <c r="BZ384" s="106"/>
      <c r="CA384" s="106"/>
      <c r="CB384" s="38">
        <f t="shared" si="221"/>
        <v>1</v>
      </c>
      <c r="CC384" s="38">
        <f t="shared" si="221"/>
        <v>1</v>
      </c>
      <c r="CD384" s="38">
        <f t="shared" si="221"/>
        <v>1</v>
      </c>
      <c r="CE384" s="38">
        <f t="shared" si="221"/>
        <v>1</v>
      </c>
      <c r="CF384" s="38">
        <f t="shared" si="221"/>
        <v>1</v>
      </c>
      <c r="CG384" s="38">
        <f t="shared" si="221"/>
        <v>1</v>
      </c>
      <c r="CH384" s="38">
        <f t="shared" si="221"/>
        <v>1</v>
      </c>
      <c r="CI384" s="38">
        <f t="shared" si="221"/>
        <v>1</v>
      </c>
      <c r="CK384" s="11"/>
      <c r="CM384" s="11"/>
      <c r="EX384" s="10" t="str">
        <f t="shared" si="210"/>
        <v/>
      </c>
    </row>
    <row r="385" spans="1:154" x14ac:dyDescent="0.35">
      <c r="B385" t="str">
        <f ca="1">Loans!B$31</f>
        <v>Loan 19</v>
      </c>
      <c r="D385" s="51">
        <f>Loans!D$31</f>
        <v>0</v>
      </c>
      <c r="E385" s="51" t="str">
        <f>Loans!F$31</f>
        <v/>
      </c>
      <c r="V385" s="106"/>
      <c r="W385" s="106"/>
      <c r="X385" s="106"/>
      <c r="Y385" s="106"/>
      <c r="AA385" s="38">
        <f>IF($E385= Parameters!$D$69, 0, IF(OR(AA339=1, AA316=1, AA362=1), 1,0 ))</f>
        <v>0</v>
      </c>
      <c r="AB385" s="38">
        <f>IF($E385= Parameters!$D$69, 0, IF(OR(AB339=1, AB316=1, AB362=1), 1,0 ))</f>
        <v>0</v>
      </c>
      <c r="AC385" s="38">
        <f>IF($E385= Parameters!$D$69, 0, IF(OR(AC339=1, AC316=1, AC362=1), 1,0 ))</f>
        <v>0</v>
      </c>
      <c r="AD385" s="38">
        <f>IF($E385= Parameters!$D$69, 0, IF(OR(AD339=1, AD316=1, AD362=1), 1,0 ))</f>
        <v>0</v>
      </c>
      <c r="AE385" s="38">
        <f>IF($E385= Parameters!$D$69, 0, IF(OR(AE339=1, AE316=1, AE362=1), 1,0 ))</f>
        <v>0</v>
      </c>
      <c r="AF385" s="38">
        <f>IF($E385= Parameters!$D$69, 0, IF(OR(AF339=1, AF316=1, AF362=1), 1,0 ))</f>
        <v>0</v>
      </c>
      <c r="AG385" s="38">
        <f>IF($E385= Parameters!$D$69, 0, IF(OR(AG339=1, AG316=1, AG362=1), 1,0 ))</f>
        <v>0</v>
      </c>
      <c r="AH385" s="38">
        <f>IF($E385= Parameters!$D$69, 0, IF(OR(AH339=1, AH316=1, AH362=1), 1,0 ))</f>
        <v>0</v>
      </c>
      <c r="AI385" s="38">
        <f>IF($E385= Parameters!$D$69, 0, IF(OR(AI339=1, AI316=1, AI362=1), 1,0 ))</f>
        <v>0</v>
      </c>
      <c r="AJ385" s="38">
        <f>IF($E385= Parameters!$D$69, 0, IF(OR(AJ339=1, AJ316=1, AJ362=1), 1,0 ))</f>
        <v>0</v>
      </c>
      <c r="AK385" s="38">
        <f>IF($E385= Parameters!$D$69, 0, IF(OR(AK339=1, AK316=1, AK362=1), 1,0 ))</f>
        <v>0</v>
      </c>
      <c r="AL385" s="38">
        <f>IF($E385= Parameters!$D$69, 0, IF(OR(AL339=1, AL316=1, AL362=1), 1,0 ))</f>
        <v>0</v>
      </c>
      <c r="AM385" s="38">
        <f>IF($E385= Parameters!$D$69, 0, IF(OR(AM339=1, AM316=1, AM362=1), 1,0 ))</f>
        <v>0</v>
      </c>
      <c r="AN385" s="38">
        <f>IF($E385= Parameters!$D$69, 0, IF(OR(AN339=1, AN316=1, AN362=1), 1,0 ))</f>
        <v>0</v>
      </c>
      <c r="AO385" s="38">
        <f>IF($E385= Parameters!$D$69, 0, IF(OR(AO339=1, AO316=1, AO362=1), 1,0 ))</f>
        <v>0</v>
      </c>
      <c r="AP385" s="38">
        <f>IF($E385= Parameters!$D$69, 0, IF(OR(AP339=1, AP316=1, AP362=1), 1,0 ))</f>
        <v>0</v>
      </c>
      <c r="AQ385" s="38">
        <f>IF($E385= Parameters!$D$69, 0, IF(OR(AQ339=1, AQ316=1, AQ362=1), 1,0 ))</f>
        <v>0</v>
      </c>
      <c r="AR385" s="38">
        <f>IF($E385= Parameters!$D$69, 0, IF(OR(AR339=1, AR316=1, AR362=1), 1,0 ))</f>
        <v>0</v>
      </c>
      <c r="AS385" s="38">
        <f>IF($E385= Parameters!$D$69, 0, IF(OR(AS339=1, AS316=1, AS362=1), 1,0 ))</f>
        <v>0</v>
      </c>
      <c r="AT385" s="38">
        <f>IF($E385= Parameters!$D$69, 0, IF(OR(AT339=1, AT316=1, AT362=1), 1,0 ))</f>
        <v>0</v>
      </c>
      <c r="AU385" s="38">
        <f>IF($E385= Parameters!$D$69, 0, IF(OR(AU339=1, AU316=1, AU362=1), 1,0 ))</f>
        <v>0</v>
      </c>
      <c r="AV385" s="38">
        <f>IF($E385= Parameters!$D$69, 0, IF(OR(AV339=1, AV316=1, AV362=1), 1,0 ))</f>
        <v>0</v>
      </c>
      <c r="AW385" s="38">
        <f>IF($E385= Parameters!$D$69, 0, IF(OR(AW339=1, AW316=1, AW362=1), 1,0 ))</f>
        <v>0</v>
      </c>
      <c r="AX385" s="38">
        <f>IF($E385= Parameters!$D$69, 0, IF(OR(AX339=1, AX316=1, AX362=1), 1,0 ))</f>
        <v>0</v>
      </c>
      <c r="AY385" s="38">
        <f>IF($E385= Parameters!$D$69, 0, IF(OR(AY339=1, AY316=1, AY362=1), 1,0 ))</f>
        <v>0</v>
      </c>
      <c r="AZ385" s="38">
        <f>IF($E385= Parameters!$D$69, 0, IF(OR(AZ339=1, AZ316=1, AZ362=1), 1,0 ))</f>
        <v>0</v>
      </c>
      <c r="BA385" s="38">
        <f>IF($E385= Parameters!$D$69, 0, IF(OR(BA339=1, BA316=1, BA362=1), 1,0 ))</f>
        <v>0</v>
      </c>
      <c r="BB385" s="38">
        <f>IF($E385= Parameters!$D$69, 0, IF(OR(BB339=1, BB316=1, BB362=1), 1,0 ))</f>
        <v>0</v>
      </c>
      <c r="BC385" s="38">
        <f>IF($E385= Parameters!$D$69, 0, IF(OR(BC339=1, BC316=1, BC362=1), 1,0 ))</f>
        <v>0</v>
      </c>
      <c r="BD385" s="38">
        <f>IF($E385= Parameters!$D$69, 0, IF(OR(BD339=1, BD316=1, BD362=1), 1,0 ))</f>
        <v>0</v>
      </c>
      <c r="BE385" s="38">
        <f>IF($E385= Parameters!$D$69, 0, IF(OR(BE339=1, BE316=1, BE362=1), 1,0 ))</f>
        <v>0</v>
      </c>
      <c r="BF385" s="38">
        <f>IF($E385= Parameters!$D$69, 0, IF(OR(BF339=1, BF316=1, BF362=1), 1,0 ))</f>
        <v>0</v>
      </c>
      <c r="BG385" s="38">
        <f>IF($E385= Parameters!$D$69, 0, IF(OR(BG339=1, BG316=1, BG362=1), 1,0 ))</f>
        <v>0</v>
      </c>
      <c r="BH385" s="38">
        <f>IF($E385= Parameters!$D$69, 0, IF(OR(BH339=1, BH316=1, BH362=1), 1,0 ))</f>
        <v>0</v>
      </c>
      <c r="BI385" s="38">
        <f>IF($E385= Parameters!$D$69, 0, IF(OR(BI339=1, BI316=1, BI362=1), 1,0 ))</f>
        <v>0</v>
      </c>
      <c r="BJ385" s="38">
        <f>IF($E385= Parameters!$D$69, 0, IF(OR(BJ339=1, BJ316=1, BJ362=1), 1,0 ))</f>
        <v>0</v>
      </c>
      <c r="BK385" s="38">
        <f>IF($E385= Parameters!$D$69, 0, IF(OR(BK339=1, BK316=1, BK362=1), 1,0 ))</f>
        <v>0</v>
      </c>
      <c r="BL385" s="38">
        <f>IF($E385= Parameters!$D$69, 0, IF(OR(BL339=1, BL316=1, BL362=1), 1,0 ))</f>
        <v>0</v>
      </c>
      <c r="BM385" s="38">
        <f>IF($E385= Parameters!$D$69, 0, IF(OR(BM339=1, BM316=1, BM362=1), 1,0 ))</f>
        <v>0</v>
      </c>
      <c r="BN385" s="38">
        <f>IF($E385= Parameters!$D$69, 0, IF(OR(BN339=1, BN316=1, BN362=1), 1,0 ))</f>
        <v>0</v>
      </c>
      <c r="BO385" s="38">
        <f>IF($E385= Parameters!$D$69, 0, IF(OR(BO339=1, BO316=1, BO362=1), 1,0 ))</f>
        <v>0</v>
      </c>
      <c r="BP385" s="38">
        <f>IF($E385= Parameters!$D$69, 0, IF(OR(BP339=1, BP316=1, BP362=1), 1,0 ))</f>
        <v>0</v>
      </c>
      <c r="BQ385" s="38">
        <f>IF($E385= Parameters!$D$69, 0, IF(OR(BQ339=1, BQ316=1, BQ362=1), 1,0 ))</f>
        <v>0</v>
      </c>
      <c r="BR385" s="38">
        <f>IF($E385= Parameters!$D$69, 0, IF(OR(BR339=1, BR316=1, BR362=1), 1,0 ))</f>
        <v>0</v>
      </c>
      <c r="BS385" s="38">
        <f>IF($E385= Parameters!$D$69, 0, IF(OR(BS339=1, BS316=1, BS362=1), 1,0 ))</f>
        <v>0</v>
      </c>
      <c r="BT385" s="38">
        <f>IF($E385= Parameters!$D$69, 0, IF(OR(BT339=1, BT316=1, BT362=1), 1,0 ))</f>
        <v>0</v>
      </c>
      <c r="BU385" s="38">
        <f>IF($E385= Parameters!$D$69, 0, IF(OR(BU339=1, BU316=1, BU362=1), 1,0 ))</f>
        <v>0</v>
      </c>
      <c r="BV385" s="38">
        <f>IF($E385= Parameters!$D$69, 0, IF(OR(BV339=1, BV316=1, BV362=1), 1,0 ))</f>
        <v>0</v>
      </c>
      <c r="BX385" s="106"/>
      <c r="BY385" s="106"/>
      <c r="BZ385" s="106"/>
      <c r="CA385" s="106"/>
      <c r="CB385" s="38">
        <f t="shared" si="221"/>
        <v>1</v>
      </c>
      <c r="CC385" s="38">
        <f t="shared" si="221"/>
        <v>1</v>
      </c>
      <c r="CD385" s="38">
        <f t="shared" si="221"/>
        <v>1</v>
      </c>
      <c r="CE385" s="38">
        <f t="shared" si="221"/>
        <v>1</v>
      </c>
      <c r="CF385" s="38">
        <f t="shared" si="221"/>
        <v>1</v>
      </c>
      <c r="CG385" s="38">
        <f t="shared" si="221"/>
        <v>1</v>
      </c>
      <c r="CH385" s="38">
        <f t="shared" si="221"/>
        <v>1</v>
      </c>
      <c r="CI385" s="38">
        <f t="shared" si="221"/>
        <v>1</v>
      </c>
      <c r="CK385" s="11"/>
      <c r="CM385" s="11"/>
      <c r="EX385" s="10" t="str">
        <f t="shared" si="210"/>
        <v/>
      </c>
    </row>
    <row r="386" spans="1:154" x14ac:dyDescent="0.35">
      <c r="B386" t="str">
        <f ca="1">Loans!B$32</f>
        <v>Loan 20</v>
      </c>
      <c r="D386" s="51">
        <f>Loans!D$32</f>
        <v>0</v>
      </c>
      <c r="E386" s="51" t="str">
        <f>Loans!F$32</f>
        <v/>
      </c>
      <c r="V386" s="106"/>
      <c r="W386" s="106"/>
      <c r="X386" s="106"/>
      <c r="Y386" s="106"/>
      <c r="AA386" s="38">
        <f>IF($E386= Parameters!$D$69, 0, IF(OR(AA340=1, AA317=1, AA363=1), 1,0 ))</f>
        <v>0</v>
      </c>
      <c r="AB386" s="38">
        <f>IF($E386= Parameters!$D$69, 0, IF(OR(AB340=1, AB317=1, AB363=1), 1,0 ))</f>
        <v>0</v>
      </c>
      <c r="AC386" s="38">
        <f>IF($E386= Parameters!$D$69, 0, IF(OR(AC340=1, AC317=1, AC363=1), 1,0 ))</f>
        <v>0</v>
      </c>
      <c r="AD386" s="38">
        <f>IF($E386= Parameters!$D$69, 0, IF(OR(AD340=1, AD317=1, AD363=1), 1,0 ))</f>
        <v>0</v>
      </c>
      <c r="AE386" s="38">
        <f>IF($E386= Parameters!$D$69, 0, IF(OR(AE340=1, AE317=1, AE363=1), 1,0 ))</f>
        <v>0</v>
      </c>
      <c r="AF386" s="38">
        <f>IF($E386= Parameters!$D$69, 0, IF(OR(AF340=1, AF317=1, AF363=1), 1,0 ))</f>
        <v>0</v>
      </c>
      <c r="AG386" s="38">
        <f>IF($E386= Parameters!$D$69, 0, IF(OR(AG340=1, AG317=1, AG363=1), 1,0 ))</f>
        <v>0</v>
      </c>
      <c r="AH386" s="38">
        <f>IF($E386= Parameters!$D$69, 0, IF(OR(AH340=1, AH317=1, AH363=1), 1,0 ))</f>
        <v>0</v>
      </c>
      <c r="AI386" s="38">
        <f>IF($E386= Parameters!$D$69, 0, IF(OR(AI340=1, AI317=1, AI363=1), 1,0 ))</f>
        <v>0</v>
      </c>
      <c r="AJ386" s="38">
        <f>IF($E386= Parameters!$D$69, 0, IF(OR(AJ340=1, AJ317=1, AJ363=1), 1,0 ))</f>
        <v>0</v>
      </c>
      <c r="AK386" s="38">
        <f>IF($E386= Parameters!$D$69, 0, IF(OR(AK340=1, AK317=1, AK363=1), 1,0 ))</f>
        <v>0</v>
      </c>
      <c r="AL386" s="38">
        <f>IF($E386= Parameters!$D$69, 0, IF(OR(AL340=1, AL317=1, AL363=1), 1,0 ))</f>
        <v>0</v>
      </c>
      <c r="AM386" s="38">
        <f>IF($E386= Parameters!$D$69, 0, IF(OR(AM340=1, AM317=1, AM363=1), 1,0 ))</f>
        <v>0</v>
      </c>
      <c r="AN386" s="38">
        <f>IF($E386= Parameters!$D$69, 0, IF(OR(AN340=1, AN317=1, AN363=1), 1,0 ))</f>
        <v>0</v>
      </c>
      <c r="AO386" s="38">
        <f>IF($E386= Parameters!$D$69, 0, IF(OR(AO340=1, AO317=1, AO363=1), 1,0 ))</f>
        <v>0</v>
      </c>
      <c r="AP386" s="38">
        <f>IF($E386= Parameters!$D$69, 0, IF(OR(AP340=1, AP317=1, AP363=1), 1,0 ))</f>
        <v>0</v>
      </c>
      <c r="AQ386" s="38">
        <f>IF($E386= Parameters!$D$69, 0, IF(OR(AQ340=1, AQ317=1, AQ363=1), 1,0 ))</f>
        <v>0</v>
      </c>
      <c r="AR386" s="38">
        <f>IF($E386= Parameters!$D$69, 0, IF(OR(AR340=1, AR317=1, AR363=1), 1,0 ))</f>
        <v>0</v>
      </c>
      <c r="AS386" s="38">
        <f>IF($E386= Parameters!$D$69, 0, IF(OR(AS340=1, AS317=1, AS363=1), 1,0 ))</f>
        <v>0</v>
      </c>
      <c r="AT386" s="38">
        <f>IF($E386= Parameters!$D$69, 0, IF(OR(AT340=1, AT317=1, AT363=1), 1,0 ))</f>
        <v>0</v>
      </c>
      <c r="AU386" s="38">
        <f>IF($E386= Parameters!$D$69, 0, IF(OR(AU340=1, AU317=1, AU363=1), 1,0 ))</f>
        <v>0</v>
      </c>
      <c r="AV386" s="38">
        <f>IF($E386= Parameters!$D$69, 0, IF(OR(AV340=1, AV317=1, AV363=1), 1,0 ))</f>
        <v>0</v>
      </c>
      <c r="AW386" s="38">
        <f>IF($E386= Parameters!$D$69, 0, IF(OR(AW340=1, AW317=1, AW363=1), 1,0 ))</f>
        <v>0</v>
      </c>
      <c r="AX386" s="38">
        <f>IF($E386= Parameters!$D$69, 0, IF(OR(AX340=1, AX317=1, AX363=1), 1,0 ))</f>
        <v>0</v>
      </c>
      <c r="AY386" s="38">
        <f>IF($E386= Parameters!$D$69, 0, IF(OR(AY340=1, AY317=1, AY363=1), 1,0 ))</f>
        <v>0</v>
      </c>
      <c r="AZ386" s="38">
        <f>IF($E386= Parameters!$D$69, 0, IF(OR(AZ340=1, AZ317=1, AZ363=1), 1,0 ))</f>
        <v>0</v>
      </c>
      <c r="BA386" s="38">
        <f>IF($E386= Parameters!$D$69, 0, IF(OR(BA340=1, BA317=1, BA363=1), 1,0 ))</f>
        <v>0</v>
      </c>
      <c r="BB386" s="38">
        <f>IF($E386= Parameters!$D$69, 0, IF(OR(BB340=1, BB317=1, BB363=1), 1,0 ))</f>
        <v>0</v>
      </c>
      <c r="BC386" s="38">
        <f>IF($E386= Parameters!$D$69, 0, IF(OR(BC340=1, BC317=1, BC363=1), 1,0 ))</f>
        <v>0</v>
      </c>
      <c r="BD386" s="38">
        <f>IF($E386= Parameters!$D$69, 0, IF(OR(BD340=1, BD317=1, BD363=1), 1,0 ))</f>
        <v>0</v>
      </c>
      <c r="BE386" s="38">
        <f>IF($E386= Parameters!$D$69, 0, IF(OR(BE340=1, BE317=1, BE363=1), 1,0 ))</f>
        <v>0</v>
      </c>
      <c r="BF386" s="38">
        <f>IF($E386= Parameters!$D$69, 0, IF(OR(BF340=1, BF317=1, BF363=1), 1,0 ))</f>
        <v>0</v>
      </c>
      <c r="BG386" s="38">
        <f>IF($E386= Parameters!$D$69, 0, IF(OR(BG340=1, BG317=1, BG363=1), 1,0 ))</f>
        <v>0</v>
      </c>
      <c r="BH386" s="38">
        <f>IF($E386= Parameters!$D$69, 0, IF(OR(BH340=1, BH317=1, BH363=1), 1,0 ))</f>
        <v>0</v>
      </c>
      <c r="BI386" s="38">
        <f>IF($E386= Parameters!$D$69, 0, IF(OR(BI340=1, BI317=1, BI363=1), 1,0 ))</f>
        <v>0</v>
      </c>
      <c r="BJ386" s="38">
        <f>IF($E386= Parameters!$D$69, 0, IF(OR(BJ340=1, BJ317=1, BJ363=1), 1,0 ))</f>
        <v>0</v>
      </c>
      <c r="BK386" s="38">
        <f>IF($E386= Parameters!$D$69, 0, IF(OR(BK340=1, BK317=1, BK363=1), 1,0 ))</f>
        <v>0</v>
      </c>
      <c r="BL386" s="38">
        <f>IF($E386= Parameters!$D$69, 0, IF(OR(BL340=1, BL317=1, BL363=1), 1,0 ))</f>
        <v>0</v>
      </c>
      <c r="BM386" s="38">
        <f>IF($E386= Parameters!$D$69, 0, IF(OR(BM340=1, BM317=1, BM363=1), 1,0 ))</f>
        <v>0</v>
      </c>
      <c r="BN386" s="38">
        <f>IF($E386= Parameters!$D$69, 0, IF(OR(BN340=1, BN317=1, BN363=1), 1,0 ))</f>
        <v>0</v>
      </c>
      <c r="BO386" s="38">
        <f>IF($E386= Parameters!$D$69, 0, IF(OR(BO340=1, BO317=1, BO363=1), 1,0 ))</f>
        <v>0</v>
      </c>
      <c r="BP386" s="38">
        <f>IF($E386= Parameters!$D$69, 0, IF(OR(BP340=1, BP317=1, BP363=1), 1,0 ))</f>
        <v>0</v>
      </c>
      <c r="BQ386" s="38">
        <f>IF($E386= Parameters!$D$69, 0, IF(OR(BQ340=1, BQ317=1, BQ363=1), 1,0 ))</f>
        <v>0</v>
      </c>
      <c r="BR386" s="38">
        <f>IF($E386= Parameters!$D$69, 0, IF(OR(BR340=1, BR317=1, BR363=1), 1,0 ))</f>
        <v>0</v>
      </c>
      <c r="BS386" s="38">
        <f>IF($E386= Parameters!$D$69, 0, IF(OR(BS340=1, BS317=1, BS363=1), 1,0 ))</f>
        <v>0</v>
      </c>
      <c r="BT386" s="38">
        <f>IF($E386= Parameters!$D$69, 0, IF(OR(BT340=1, BT317=1, BT363=1), 1,0 ))</f>
        <v>0</v>
      </c>
      <c r="BU386" s="38">
        <f>IF($E386= Parameters!$D$69, 0, IF(OR(BU340=1, BU317=1, BU363=1), 1,0 ))</f>
        <v>0</v>
      </c>
      <c r="BV386" s="38">
        <f>IF($E386= Parameters!$D$69, 0, IF(OR(BV340=1, BV317=1, BV363=1), 1,0 ))</f>
        <v>0</v>
      </c>
      <c r="BX386" s="106"/>
      <c r="BY386" s="106"/>
      <c r="BZ386" s="106"/>
      <c r="CA386" s="106"/>
      <c r="CB386" s="38">
        <f t="shared" si="221"/>
        <v>1</v>
      </c>
      <c r="CC386" s="38">
        <f t="shared" si="221"/>
        <v>1</v>
      </c>
      <c r="CD386" s="38">
        <f t="shared" si="221"/>
        <v>1</v>
      </c>
      <c r="CE386" s="38">
        <f t="shared" si="221"/>
        <v>1</v>
      </c>
      <c r="CF386" s="38">
        <f t="shared" si="221"/>
        <v>1</v>
      </c>
      <c r="CG386" s="38">
        <f t="shared" si="221"/>
        <v>1</v>
      </c>
      <c r="CH386" s="38">
        <f t="shared" si="221"/>
        <v>1</v>
      </c>
      <c r="CI386" s="38">
        <f t="shared" si="221"/>
        <v>1</v>
      </c>
      <c r="CK386" s="11"/>
      <c r="CM386" s="11"/>
      <c r="EX386" s="10" t="str">
        <f t="shared" si="210"/>
        <v/>
      </c>
    </row>
    <row r="387" spans="1:154" x14ac:dyDescent="0.35">
      <c r="CK387" s="11"/>
      <c r="CM387" s="11"/>
      <c r="EX387" s="10" t="str">
        <f t="shared" si="210"/>
        <v/>
      </c>
    </row>
    <row r="388" spans="1:154" x14ac:dyDescent="0.35">
      <c r="A388" s="11" t="s">
        <v>16</v>
      </c>
      <c r="B388" s="11" t="s">
        <v>16</v>
      </c>
      <c r="C388" s="11" t="s">
        <v>16</v>
      </c>
      <c r="D388" s="11" t="s">
        <v>16</v>
      </c>
      <c r="E388" s="25" t="s">
        <v>16</v>
      </c>
      <c r="F388" s="11" t="s">
        <v>16</v>
      </c>
      <c r="G388" s="11" t="s">
        <v>16</v>
      </c>
      <c r="H388" s="11" t="s">
        <v>16</v>
      </c>
      <c r="I388" s="11" t="s">
        <v>16</v>
      </c>
      <c r="J388" s="11" t="s">
        <v>16</v>
      </c>
      <c r="K388" s="11" t="s">
        <v>16</v>
      </c>
      <c r="L388" s="11" t="s">
        <v>16</v>
      </c>
      <c r="M388" s="11" t="s">
        <v>16</v>
      </c>
      <c r="N388" s="11" t="s">
        <v>16</v>
      </c>
      <c r="O388" s="11" t="s">
        <v>16</v>
      </c>
      <c r="P388" s="11" t="s">
        <v>16</v>
      </c>
      <c r="Q388" s="11" t="s">
        <v>16</v>
      </c>
      <c r="R388" s="11" t="s">
        <v>16</v>
      </c>
      <c r="S388" s="11"/>
      <c r="T388" s="11" t="s">
        <v>16</v>
      </c>
      <c r="U388" s="11" t="s">
        <v>16</v>
      </c>
      <c r="V388" s="11" t="s">
        <v>16</v>
      </c>
      <c r="W388" s="11" t="s">
        <v>16</v>
      </c>
      <c r="X388" s="11"/>
      <c r="Y388" s="11"/>
      <c r="Z388" s="11" t="s">
        <v>16</v>
      </c>
      <c r="AA388" s="11" t="s">
        <v>16</v>
      </c>
      <c r="AB388" s="11" t="s">
        <v>16</v>
      </c>
      <c r="AC388" s="11" t="s">
        <v>16</v>
      </c>
      <c r="AD388" s="11" t="s">
        <v>16</v>
      </c>
      <c r="AE388" s="11" t="s">
        <v>16</v>
      </c>
      <c r="AF388" s="11" t="s">
        <v>16</v>
      </c>
      <c r="AG388" s="11" t="s">
        <v>16</v>
      </c>
      <c r="AH388" s="11" t="s">
        <v>16</v>
      </c>
      <c r="AI388" s="11" t="s">
        <v>16</v>
      </c>
      <c r="AJ388" s="11" t="s">
        <v>16</v>
      </c>
      <c r="AK388" s="11" t="s">
        <v>16</v>
      </c>
      <c r="AL388" s="11" t="s">
        <v>16</v>
      </c>
      <c r="AM388" s="11" t="s">
        <v>16</v>
      </c>
      <c r="AN388" s="11" t="s">
        <v>16</v>
      </c>
      <c r="AO388" s="11" t="s">
        <v>16</v>
      </c>
      <c r="AP388" s="11" t="s">
        <v>16</v>
      </c>
      <c r="AQ388" s="11" t="s">
        <v>16</v>
      </c>
      <c r="AR388" s="11" t="s">
        <v>16</v>
      </c>
      <c r="AS388" s="11" t="s">
        <v>16</v>
      </c>
      <c r="AT388" s="11" t="s">
        <v>16</v>
      </c>
      <c r="AU388" s="11" t="s">
        <v>16</v>
      </c>
      <c r="AV388" s="11" t="s">
        <v>16</v>
      </c>
      <c r="AW388" s="11" t="s">
        <v>16</v>
      </c>
      <c r="AX388" s="11" t="s">
        <v>16</v>
      </c>
      <c r="AY388" s="11" t="s">
        <v>16</v>
      </c>
      <c r="AZ388" s="11" t="s">
        <v>16</v>
      </c>
      <c r="BA388" s="11" t="s">
        <v>16</v>
      </c>
      <c r="BB388" s="11" t="s">
        <v>16</v>
      </c>
      <c r="BC388" s="11" t="s">
        <v>16</v>
      </c>
      <c r="BD388" s="11" t="s">
        <v>16</v>
      </c>
      <c r="BE388" s="11" t="s">
        <v>16</v>
      </c>
      <c r="BF388" s="11" t="s">
        <v>16</v>
      </c>
      <c r="BG388" s="11" t="s">
        <v>16</v>
      </c>
      <c r="BH388" s="11" t="s">
        <v>16</v>
      </c>
      <c r="BI388" s="11" t="s">
        <v>16</v>
      </c>
      <c r="BJ388" s="11" t="s">
        <v>16</v>
      </c>
      <c r="BK388" s="11" t="s">
        <v>16</v>
      </c>
      <c r="BL388" s="11" t="s">
        <v>16</v>
      </c>
      <c r="BM388" s="11" t="s">
        <v>16</v>
      </c>
      <c r="BN388" s="11" t="s">
        <v>16</v>
      </c>
      <c r="BO388" s="11" t="s">
        <v>16</v>
      </c>
      <c r="BP388" s="11" t="s">
        <v>16</v>
      </c>
      <c r="BQ388" s="11" t="s">
        <v>16</v>
      </c>
      <c r="BR388" s="11" t="s">
        <v>16</v>
      </c>
      <c r="BS388" s="11" t="s">
        <v>16</v>
      </c>
      <c r="BT388" s="11" t="s">
        <v>16</v>
      </c>
      <c r="BU388" s="11" t="s">
        <v>16</v>
      </c>
      <c r="BV388" s="11" t="s">
        <v>16</v>
      </c>
      <c r="BW388" s="11" t="s">
        <v>16</v>
      </c>
      <c r="BX388" s="11" t="s">
        <v>16</v>
      </c>
      <c r="BY388" s="11" t="s">
        <v>16</v>
      </c>
      <c r="BZ388" s="11" t="s">
        <v>16</v>
      </c>
      <c r="CA388" s="11" t="s">
        <v>16</v>
      </c>
      <c r="CB388" s="11" t="s">
        <v>16</v>
      </c>
      <c r="CC388" s="11" t="s">
        <v>16</v>
      </c>
      <c r="CD388" s="11" t="s">
        <v>16</v>
      </c>
      <c r="CE388" s="11" t="s">
        <v>16</v>
      </c>
      <c r="CF388" s="11" t="s">
        <v>16</v>
      </c>
      <c r="CG388" s="11" t="s">
        <v>16</v>
      </c>
      <c r="CH388" s="11" t="s">
        <v>16</v>
      </c>
      <c r="CI388" s="11" t="s">
        <v>16</v>
      </c>
      <c r="CJ388" s="11" t="s">
        <v>16</v>
      </c>
      <c r="CK388" s="11" t="s">
        <v>16</v>
      </c>
      <c r="CL388" s="11" t="s">
        <v>16</v>
      </c>
      <c r="CM388" s="11" t="s">
        <v>16</v>
      </c>
      <c r="EX388" s="10" t="str">
        <f t="shared" si="210"/>
        <v>*</v>
      </c>
    </row>
  </sheetData>
  <sheetProtection algorithmName="SHA-512" hashValue="FqAX4fQTddJWXeA0lHe8VlxTlgXWC4KSPXFrXwICGHyZg3VV8aXE2TnI2wLExxADogI3KPNQwbSCN2YwHNpWig==" saltValue="s3+Mlg4ppIrZUgZ0lzWKvw==" spinCount="100000" sheet="1" objects="1" scenarios="1"/>
  <mergeCells count="3">
    <mergeCell ref="CK1:CK6"/>
    <mergeCell ref="CM1:CM6"/>
    <mergeCell ref="CL4:CL6"/>
  </mergeCells>
  <phoneticPr fontId="9" type="noConversion"/>
  <conditionalFormatting sqref="A1">
    <cfRule type="cellIs" dxfId="289" priority="4" operator="equal">
      <formula>0</formula>
    </cfRule>
    <cfRule type="cellIs" dxfId="288" priority="5" operator="greaterThan">
      <formula>0</formula>
    </cfRule>
  </conditionalFormatting>
  <pageMargins left="0.70866141732283472" right="0.70866141732283472" top="0.74803149606299213" bottom="0.74803149606299213" header="0.31496062992125984" footer="0.31496062992125984"/>
  <pageSetup paperSize="9" scale="50" orientation="landscape"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1" id="{CE12F1C5-F25E-4B1E-ACDC-5A4DA8A7E9D8}">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2C0DA1-A8B0-41E6-A911-F58BFDC3FD03}">
          <x14:formula1>
            <xm:f>'Dash Data'!$D$93:$D$100</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A651-EC4D-4CB2-8E7B-7A75E20EEE19}">
  <sheetPr codeName="Sheet13">
    <outlinePr summaryBelow="0" summaryRight="0"/>
    <pageSetUpPr autoPageBreaks="0"/>
  </sheetPr>
  <dimension ref="A1:CA222"/>
  <sheetViews>
    <sheetView showGridLines="0" zoomScaleNormal="100" workbookViewId="0">
      <pane xSplit="8" ySplit="7" topLeftCell="I50" activePane="bottomRight" state="frozen"/>
      <selection pane="topRight" activeCell="V123" sqref="V123"/>
      <selection pane="bottomLeft" activeCell="V123" sqref="V123"/>
      <selection pane="bottomRight"/>
    </sheetView>
  </sheetViews>
  <sheetFormatPr defaultColWidth="0" defaultRowHeight="14.5" outlineLevelCol="1" x14ac:dyDescent="0.35"/>
  <cols>
    <col min="1" max="1" width="6.81640625" bestFit="1" customWidth="1"/>
    <col min="2" max="2" width="9.453125" bestFit="1" customWidth="1"/>
    <col min="3" max="3" width="23.81640625" customWidth="1"/>
    <col min="4" max="4" width="48.453125" customWidth="1"/>
    <col min="5" max="5" width="12.453125" style="1" customWidth="1"/>
    <col min="6" max="6" width="14" customWidth="1"/>
    <col min="7" max="7" width="7.1796875" hidden="1" customWidth="1"/>
    <col min="8" max="8" width="15" hidden="1" customWidth="1"/>
    <col min="9" max="9" width="3" hidden="1" customWidth="1"/>
    <col min="10" max="10" width="8.81640625" hidden="1" customWidth="1" collapsed="1"/>
    <col min="11" max="18" width="8.81640625" hidden="1" customWidth="1" outlineLevel="1"/>
    <col min="19" max="22" width="9.54296875" hidden="1" customWidth="1"/>
    <col min="23" max="23" width="3" hidden="1" customWidth="1"/>
    <col min="24" max="24" width="11.54296875" hidden="1" customWidth="1"/>
    <col min="25" max="25" width="9.54296875" hidden="1" customWidth="1"/>
    <col min="26" max="26" width="3" hidden="1" customWidth="1"/>
    <col min="27" max="27" width="9.54296875" hidden="1" customWidth="1"/>
    <col min="28" max="29" width="9.453125" hidden="1" customWidth="1"/>
    <col min="30" max="31" width="9.54296875" hidden="1" customWidth="1"/>
    <col min="32" max="32" width="9.1796875" hidden="1" customWidth="1"/>
    <col min="33" max="33" width="9.453125" hidden="1" customWidth="1"/>
    <col min="34" max="34" width="9.54296875" hidden="1" customWidth="1"/>
    <col min="35" max="35" width="9.453125" hidden="1" customWidth="1"/>
    <col min="36" max="36" width="10.1796875" hidden="1" customWidth="1"/>
    <col min="37" max="37" width="9.453125" hidden="1" customWidth="1"/>
    <col min="38" max="38" width="8.54296875" hidden="1" customWidth="1"/>
    <col min="39" max="39" width="9.54296875" hidden="1" customWidth="1"/>
    <col min="40" max="41" width="9.453125" hidden="1" customWidth="1"/>
    <col min="42" max="43" width="9.54296875" hidden="1" customWidth="1"/>
    <col min="44" max="44" width="9.1796875" hidden="1" customWidth="1"/>
    <col min="45" max="45" width="9.453125" hidden="1" customWidth="1"/>
    <col min="46" max="46" width="9.54296875" hidden="1" customWidth="1"/>
    <col min="47" max="47" width="9.453125" hidden="1" customWidth="1"/>
    <col min="48" max="48" width="10.1796875" hidden="1" customWidth="1"/>
    <col min="49" max="49" width="9.453125" hidden="1" customWidth="1"/>
    <col min="50" max="50" width="8.54296875" hidden="1" customWidth="1"/>
    <col min="51" max="51" width="9.54296875" hidden="1" customWidth="1"/>
    <col min="52" max="53" width="9.453125" hidden="1" customWidth="1"/>
    <col min="54" max="55" width="9.54296875" hidden="1" customWidth="1"/>
    <col min="56" max="56" width="9.1796875" hidden="1" customWidth="1"/>
    <col min="57" max="57" width="9.453125" hidden="1" customWidth="1"/>
    <col min="58" max="58" width="9.54296875" hidden="1" customWidth="1"/>
    <col min="59" max="59" width="9.453125" hidden="1" customWidth="1"/>
    <col min="60" max="60" width="10.1796875" hidden="1" customWidth="1"/>
    <col min="61" max="61" width="9.453125" hidden="1" customWidth="1"/>
    <col min="62" max="62" width="8.54296875" hidden="1" customWidth="1"/>
    <col min="63" max="63" width="3" hidden="1" customWidth="1"/>
    <col min="64" max="64" width="9.54296875" hidden="1" customWidth="1"/>
    <col min="65" max="65" width="10.54296875" hidden="1" customWidth="1"/>
    <col min="66" max="75" width="9.54296875" hidden="1" customWidth="1"/>
    <col min="76" max="76" width="3" hidden="1" customWidth="1"/>
    <col min="77" max="77" width="3.453125" hidden="1" customWidth="1"/>
    <col min="78" max="78" width="13.1796875" hidden="1" customWidth="1"/>
    <col min="79" max="79" width="2.81640625" hidden="1" customWidth="1"/>
    <col min="80" max="16384" width="8.81640625" hidden="1"/>
  </cols>
  <sheetData>
    <row r="1" spans="1:79" x14ac:dyDescent="0.35">
      <c r="A1" s="7">
        <f ca="1">ToC!A1</f>
        <v>0</v>
      </c>
      <c r="B1" s="13" t="s">
        <v>1949</v>
      </c>
      <c r="C1" s="13"/>
      <c r="D1" s="13">
        <f>CollegeNameInput</f>
        <v>0</v>
      </c>
      <c r="E1" s="13"/>
      <c r="F1" s="22"/>
      <c r="G1" s="22"/>
      <c r="H1" s="13"/>
      <c r="I1" s="13"/>
      <c r="J1" s="13"/>
      <c r="K1" s="13"/>
      <c r="L1" s="13"/>
      <c r="M1" s="13"/>
      <c r="N1" s="13"/>
      <c r="O1" s="13"/>
      <c r="P1" s="13"/>
      <c r="Q1" s="13"/>
      <c r="R1" s="13"/>
      <c r="S1" s="13" t="str">
        <f>Timeline!V1</f>
        <v>Annual Timeline</v>
      </c>
      <c r="T1" s="13"/>
      <c r="U1" s="13"/>
      <c r="V1" s="13"/>
      <c r="W1" s="13"/>
      <c r="X1" s="13">
        <f>Timeline!T1</f>
        <v>0</v>
      </c>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t="str">
        <f>Timeline!BX1</f>
        <v>12 Year Annual Timeline</v>
      </c>
      <c r="BM1" s="13"/>
      <c r="BN1" s="13"/>
      <c r="BO1" s="13"/>
      <c r="BP1" s="13"/>
      <c r="BQ1" s="13"/>
      <c r="BR1" s="13"/>
      <c r="BS1" s="13"/>
      <c r="BT1" s="13"/>
      <c r="BU1" s="13"/>
      <c r="BV1" s="13"/>
      <c r="BW1" s="13"/>
      <c r="BX1" s="13"/>
      <c r="BY1" s="663"/>
      <c r="CA1" s="663"/>
    </row>
    <row r="2" spans="1:79" ht="14.65" customHeight="1" x14ac:dyDescent="0.35">
      <c r="A2" s="13"/>
      <c r="B2" s="67" t="str" cm="1">
        <f t="array" aca="1" ref="B2" ca="1">HYPERLINK(CONCATENATE("#",CELL("address",Guide!$A$133)),Guide!$B$1)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663"/>
      <c r="CA2" s="663"/>
    </row>
    <row r="3" spans="1:79"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6" t="str">
        <f>Timeline!V3</f>
        <v>FY2025</v>
      </c>
      <c r="T3" s="17" t="str">
        <f>Timeline!W3</f>
        <v>FY2026</v>
      </c>
      <c r="U3" s="17" t="str">
        <f>Timeline!X3</f>
        <v>FY2027</v>
      </c>
      <c r="V3" s="18" t="str">
        <f>Timeline!Y3</f>
        <v>FY2028</v>
      </c>
      <c r="W3" s="13"/>
      <c r="X3" s="16">
        <f>Timeline!T3</f>
        <v>0</v>
      </c>
      <c r="Y3" s="18">
        <f>Timeline!U3</f>
        <v>0</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3"/>
      <c r="BL3" s="16" t="str">
        <f>Timeline!BX3</f>
        <v>FY2025</v>
      </c>
      <c r="BM3" s="17" t="str">
        <f>Timeline!BY3</f>
        <v>FY2026</v>
      </c>
      <c r="BN3" s="17" t="str">
        <f>Timeline!BZ3</f>
        <v>FY2027</v>
      </c>
      <c r="BO3" s="18" t="str">
        <f>Timeline!CA3</f>
        <v>FY2028</v>
      </c>
      <c r="BP3" s="17" t="str">
        <f>Timeline!CB3</f>
        <v>FY2029</v>
      </c>
      <c r="BQ3" s="17" t="str">
        <f>Timeline!CC3</f>
        <v>FY2030</v>
      </c>
      <c r="BR3" s="17" t="str">
        <f>Timeline!CD3</f>
        <v>FY2031</v>
      </c>
      <c r="BS3" s="17" t="str">
        <f>Timeline!CE3</f>
        <v>FY2032</v>
      </c>
      <c r="BT3" s="17" t="str">
        <f>Timeline!CF3</f>
        <v>FY2033</v>
      </c>
      <c r="BU3" s="17" t="str">
        <f>Timeline!CG3</f>
        <v>FY2034</v>
      </c>
      <c r="BV3" s="17" t="str">
        <f>Timeline!CH3</f>
        <v>FY2035</v>
      </c>
      <c r="BW3" s="18" t="str">
        <f>Timeline!CI3</f>
        <v>FY2036</v>
      </c>
      <c r="BX3" s="13"/>
      <c r="BY3" s="663"/>
      <c r="CA3" s="663"/>
    </row>
    <row r="4" spans="1:79" x14ac:dyDescent="0.35">
      <c r="A4" s="13"/>
      <c r="B4" s="13"/>
      <c r="C4" s="13"/>
      <c r="D4" s="36" t="str">
        <f>Timeline!D4</f>
        <v>Forecast vs Actual</v>
      </c>
      <c r="E4" s="13"/>
      <c r="F4" s="13"/>
      <c r="G4" s="13"/>
      <c r="H4" s="13"/>
      <c r="I4" s="13"/>
      <c r="J4" s="13"/>
      <c r="K4" s="13"/>
      <c r="L4" s="13"/>
      <c r="M4" s="13"/>
      <c r="N4" s="13"/>
      <c r="O4" s="13"/>
      <c r="P4" s="13"/>
      <c r="Q4" s="13"/>
      <c r="R4" s="13"/>
      <c r="S4" s="28">
        <f>Timeline!V4</f>
        <v>0</v>
      </c>
      <c r="T4" s="29">
        <f>Timeline!W4</f>
        <v>-1</v>
      </c>
      <c r="U4" s="29">
        <f>Timeline!X4</f>
        <v>1</v>
      </c>
      <c r="V4" s="30">
        <f>Timeline!Y4</f>
        <v>1</v>
      </c>
      <c r="W4" s="13"/>
      <c r="X4" s="28">
        <f>Timeline!T4</f>
        <v>0</v>
      </c>
      <c r="Y4" s="30">
        <f>Timeline!U4</f>
        <v>0</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13"/>
      <c r="BL4" s="28">
        <f>Timeline!BX4</f>
        <v>0</v>
      </c>
      <c r="BM4" s="29">
        <f>Timeline!BY4</f>
        <v>-1</v>
      </c>
      <c r="BN4" s="29">
        <f>Timeline!BZ4</f>
        <v>1</v>
      </c>
      <c r="BO4" s="30">
        <f>Timeline!CA4</f>
        <v>1</v>
      </c>
      <c r="BP4" s="29">
        <f>Timeline!CB4</f>
        <v>1</v>
      </c>
      <c r="BQ4" s="29">
        <f>Timeline!CC4</f>
        <v>1</v>
      </c>
      <c r="BR4" s="29">
        <f>Timeline!CD4</f>
        <v>1</v>
      </c>
      <c r="BS4" s="29">
        <f>Timeline!CE4</f>
        <v>1</v>
      </c>
      <c r="BT4" s="29">
        <f>Timeline!CF4</f>
        <v>1</v>
      </c>
      <c r="BU4" s="29">
        <f>Timeline!CG4</f>
        <v>1</v>
      </c>
      <c r="BV4" s="29">
        <f>Timeline!CH4</f>
        <v>1</v>
      </c>
      <c r="BW4" s="30">
        <f>Timeline!CI4</f>
        <v>1</v>
      </c>
      <c r="BX4" s="13"/>
      <c r="BY4" s="663"/>
      <c r="BZ4" s="664"/>
      <c r="CA4" s="663"/>
    </row>
    <row r="5" spans="1:79" x14ac:dyDescent="0.35">
      <c r="A5" s="13"/>
      <c r="B5" s="13"/>
      <c r="C5" s="13"/>
      <c r="D5" s="36" t="str">
        <f>Timeline!D5</f>
        <v>Period End Date</v>
      </c>
      <c r="E5" s="13"/>
      <c r="F5" s="13"/>
      <c r="G5" s="13"/>
      <c r="H5" s="13"/>
      <c r="I5" s="13"/>
      <c r="J5" s="13"/>
      <c r="K5" s="13"/>
      <c r="L5" s="13"/>
      <c r="M5" s="13"/>
      <c r="N5" s="13"/>
      <c r="O5" s="13"/>
      <c r="P5" s="13"/>
      <c r="Q5" s="13"/>
      <c r="R5" s="13"/>
      <c r="S5" s="19">
        <f>Timeline!V5</f>
        <v>45869</v>
      </c>
      <c r="T5" s="20">
        <f>Timeline!W5</f>
        <v>46234</v>
      </c>
      <c r="U5" s="20">
        <f>Timeline!X5</f>
        <v>46599</v>
      </c>
      <c r="V5" s="21">
        <f>Timeline!Y5</f>
        <v>46965</v>
      </c>
      <c r="W5" s="13"/>
      <c r="X5" s="19">
        <f>Timeline!T5</f>
        <v>0</v>
      </c>
      <c r="Y5" s="21">
        <f>Timeline!U5</f>
        <v>0</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13"/>
      <c r="BL5" s="19">
        <f>Timeline!BX5</f>
        <v>45869</v>
      </c>
      <c r="BM5" s="20">
        <f>Timeline!BY5</f>
        <v>46234</v>
      </c>
      <c r="BN5" s="20">
        <f>Timeline!BZ5</f>
        <v>46599</v>
      </c>
      <c r="BO5" s="21">
        <f>Timeline!CA5</f>
        <v>46965</v>
      </c>
      <c r="BP5" s="20">
        <f>Timeline!CB5</f>
        <v>47330</v>
      </c>
      <c r="BQ5" s="20">
        <f>Timeline!CC5</f>
        <v>47695</v>
      </c>
      <c r="BR5" s="20">
        <f>Timeline!CD5</f>
        <v>48060</v>
      </c>
      <c r="BS5" s="20">
        <f>Timeline!CE5</f>
        <v>48426</v>
      </c>
      <c r="BT5" s="20">
        <f>Timeline!CF5</f>
        <v>48791</v>
      </c>
      <c r="BU5" s="20">
        <f>Timeline!CG5</f>
        <v>49156</v>
      </c>
      <c r="BV5" s="20">
        <f>Timeline!CH5</f>
        <v>49521</v>
      </c>
      <c r="BW5" s="21">
        <f>Timeline!CI5</f>
        <v>49887</v>
      </c>
      <c r="BX5" s="13"/>
      <c r="BY5" s="663"/>
      <c r="BZ5" s="664"/>
      <c r="CA5" s="663"/>
    </row>
    <row r="6" spans="1:79" x14ac:dyDescent="0.35">
      <c r="A6" s="67"/>
      <c r="B6" s="22"/>
      <c r="C6" s="13"/>
      <c r="D6" s="23" t="s">
        <v>19</v>
      </c>
      <c r="E6" s="13"/>
      <c r="F6" s="13"/>
      <c r="G6" s="13"/>
      <c r="H6" s="13"/>
      <c r="I6" s="13"/>
      <c r="J6" s="13"/>
      <c r="K6" s="13"/>
      <c r="L6" s="13"/>
      <c r="M6" s="13"/>
      <c r="N6" s="15"/>
      <c r="O6" s="13"/>
      <c r="P6" s="13"/>
      <c r="Q6" s="13"/>
      <c r="R6" s="13"/>
      <c r="S6" s="532" t="str" cm="1">
        <f t="array" aca="1" ref="S6" ca="1">HYPERLINK(CONCATENATE("#",CELL("address",$BW$6)),"Link to 12 Year Annual Timeline")</f>
        <v>Link to 12 Year Annual Timeline</v>
      </c>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532" t="str" cm="1">
        <f t="array" aca="1" ref="BL6" ca="1">HYPERLINK(CONCATENATE("#",CELL("address",$S$6)),"Link to 4 Year Annual Timeline")</f>
        <v>Link to 4 Year Annual Timeline</v>
      </c>
      <c r="BM6" s="13"/>
      <c r="BN6" s="13"/>
      <c r="BO6" s="13"/>
      <c r="BP6" s="13"/>
      <c r="BQ6" s="13"/>
      <c r="BR6" s="13"/>
      <c r="BS6" s="13"/>
      <c r="BT6" s="13"/>
      <c r="BU6" s="13"/>
      <c r="BV6" s="15"/>
      <c r="BW6" s="13"/>
      <c r="BX6" s="13"/>
      <c r="BY6" s="663"/>
      <c r="BZ6" s="664"/>
      <c r="CA6" s="663"/>
    </row>
    <row r="7" spans="1:79" x14ac:dyDescent="0.35">
      <c r="B7" s="97" t="s">
        <v>184</v>
      </c>
      <c r="D7" s="1"/>
      <c r="E7"/>
      <c r="BM7" s="6"/>
      <c r="BY7" s="35"/>
      <c r="CA7" s="35"/>
    </row>
    <row r="8" spans="1:79" x14ac:dyDescent="0.35">
      <c r="A8" s="34"/>
      <c r="B8" s="34"/>
      <c r="C8" s="34"/>
      <c r="D8" s="34" t="s">
        <v>1950</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11"/>
      <c r="CA8" s="35"/>
    </row>
    <row r="9" spans="1:79" ht="6.75" customHeight="1" x14ac:dyDescent="0.35">
      <c r="D9" s="1"/>
      <c r="E9"/>
      <c r="BM9" s="6"/>
      <c r="BY9" s="11"/>
      <c r="CA9" s="35"/>
    </row>
    <row r="10" spans="1:79" x14ac:dyDescent="0.35">
      <c r="D10" s="13" t="s">
        <v>1951</v>
      </c>
      <c r="BY10" s="11"/>
      <c r="CA10" s="35"/>
    </row>
    <row r="11" spans="1:79" x14ac:dyDescent="0.35">
      <c r="D11" s="99" t="s">
        <v>1952</v>
      </c>
      <c r="BY11" s="11"/>
      <c r="CA11" s="35"/>
    </row>
    <row r="12" spans="1:79" ht="6.75" customHeight="1" x14ac:dyDescent="0.35">
      <c r="D12" s="1"/>
      <c r="E12"/>
      <c r="BM12" s="6"/>
      <c r="BY12" s="11"/>
      <c r="CA12" s="35"/>
    </row>
    <row r="13" spans="1:79" x14ac:dyDescent="0.35">
      <c r="D13" s="13" t="s">
        <v>1953</v>
      </c>
      <c r="BY13" s="11"/>
      <c r="CA13" s="35"/>
    </row>
    <row r="14" spans="1:79" x14ac:dyDescent="0.35">
      <c r="D14" s="99">
        <v>16</v>
      </c>
      <c r="BY14" s="11"/>
      <c r="CA14" s="35"/>
    </row>
    <row r="15" spans="1:79" ht="6.75" customHeight="1" x14ac:dyDescent="0.35">
      <c r="D15" s="1"/>
      <c r="E15"/>
      <c r="BM15" s="6"/>
      <c r="BY15" s="11"/>
      <c r="CA15" s="35"/>
    </row>
    <row r="16" spans="1:79" x14ac:dyDescent="0.35">
      <c r="D16" s="13" t="s">
        <v>1954</v>
      </c>
      <c r="E16" s="13" t="s">
        <v>1955</v>
      </c>
      <c r="BY16" s="11"/>
      <c r="CA16" s="35"/>
    </row>
    <row r="17" spans="4:79" x14ac:dyDescent="0.35">
      <c r="D17" s="99" t="s">
        <v>1956</v>
      </c>
      <c r="E17" s="99">
        <v>8</v>
      </c>
      <c r="BY17" s="11"/>
      <c r="CA17" s="35"/>
    </row>
    <row r="18" spans="4:79" x14ac:dyDescent="0.35">
      <c r="D18" s="99" t="s">
        <v>1957</v>
      </c>
      <c r="E18" s="99">
        <v>7</v>
      </c>
      <c r="BY18" s="11"/>
      <c r="CA18" s="35"/>
    </row>
    <row r="19" spans="4:79" ht="6.75" customHeight="1" x14ac:dyDescent="0.35">
      <c r="D19" s="1"/>
      <c r="E19"/>
      <c r="BM19" s="6"/>
      <c r="BY19" s="11"/>
      <c r="CA19" s="35"/>
    </row>
    <row r="20" spans="4:79" x14ac:dyDescent="0.35">
      <c r="D20" s="13" t="s">
        <v>1958</v>
      </c>
      <c r="BY20" s="11"/>
      <c r="CA20" s="35"/>
    </row>
    <row r="21" spans="4:79" x14ac:dyDescent="0.35">
      <c r="D21" s="10" t="s">
        <v>1959</v>
      </c>
      <c r="BY21" s="11"/>
      <c r="CA21" s="35"/>
    </row>
    <row r="22" spans="4:79" x14ac:dyDescent="0.35">
      <c r="D22" s="10" t="s">
        <v>1960</v>
      </c>
      <c r="BY22" s="11"/>
      <c r="CA22" s="35"/>
    </row>
    <row r="23" spans="4:79" ht="6.75" customHeight="1" x14ac:dyDescent="0.35">
      <c r="D23" s="1"/>
      <c r="E23"/>
      <c r="BM23" s="6"/>
      <c r="BY23" s="11"/>
      <c r="CA23" s="35"/>
    </row>
    <row r="24" spans="4:79" x14ac:dyDescent="0.35">
      <c r="D24" s="13" t="s">
        <v>1961</v>
      </c>
      <c r="BY24" s="11"/>
      <c r="CA24" s="35"/>
    </row>
    <row r="25" spans="4:79" x14ac:dyDescent="0.35">
      <c r="D25" s="127">
        <v>1</v>
      </c>
      <c r="BY25" s="11"/>
      <c r="CA25" s="35"/>
    </row>
    <row r="26" spans="4:79" x14ac:dyDescent="0.35">
      <c r="D26" s="127">
        <v>0</v>
      </c>
      <c r="BY26" s="11"/>
      <c r="CA26" s="35"/>
    </row>
    <row r="27" spans="4:79" ht="6.75" customHeight="1" x14ac:dyDescent="0.35">
      <c r="D27" s="1"/>
      <c r="E27"/>
      <c r="BM27" s="6"/>
      <c r="BY27" s="11"/>
      <c r="CA27" s="35"/>
    </row>
    <row r="28" spans="4:79" x14ac:dyDescent="0.35">
      <c r="D28" s="13" t="s">
        <v>1962</v>
      </c>
      <c r="E28" s="13"/>
      <c r="BY28" s="11"/>
      <c r="CA28" s="35"/>
    </row>
    <row r="29" spans="4:79" x14ac:dyDescent="0.35">
      <c r="D29" s="99" t="s">
        <v>1963</v>
      </c>
      <c r="E29" s="99">
        <v>365</v>
      </c>
      <c r="BY29" s="11"/>
      <c r="CA29" s="35"/>
    </row>
    <row r="30" spans="4:79" x14ac:dyDescent="0.35">
      <c r="D30" s="99" t="s">
        <v>1964</v>
      </c>
      <c r="E30" s="99">
        <v>30</v>
      </c>
      <c r="BY30" s="11"/>
      <c r="CA30" s="35"/>
    </row>
    <row r="31" spans="4:79" ht="6.75" customHeight="1" x14ac:dyDescent="0.35">
      <c r="D31" s="1"/>
      <c r="E31"/>
      <c r="BM31" s="6"/>
      <c r="BY31" s="11"/>
      <c r="CA31" s="35"/>
    </row>
    <row r="32" spans="4:79" x14ac:dyDescent="0.35">
      <c r="D32" s="13" t="s">
        <v>1965</v>
      </c>
      <c r="BY32" s="11"/>
      <c r="CA32" s="35"/>
    </row>
    <row r="33" spans="4:79" x14ac:dyDescent="0.35">
      <c r="D33" s="240">
        <v>0.5</v>
      </c>
      <c r="BY33" s="11"/>
      <c r="CA33" s="35"/>
    </row>
    <row r="34" spans="4:79" ht="6.75" customHeight="1" x14ac:dyDescent="0.35">
      <c r="D34" s="1"/>
      <c r="E34"/>
      <c r="BM34" s="6"/>
      <c r="BY34" s="11"/>
      <c r="CA34" s="35"/>
    </row>
    <row r="35" spans="4:79" x14ac:dyDescent="0.35">
      <c r="D35" s="13" t="s">
        <v>1966</v>
      </c>
      <c r="BY35" s="11"/>
      <c r="CA35" s="35"/>
    </row>
    <row r="36" spans="4:79" x14ac:dyDescent="0.35">
      <c r="D36" s="99">
        <v>6</v>
      </c>
      <c r="BY36" s="11"/>
      <c r="CA36" s="35"/>
    </row>
    <row r="37" spans="4:79" ht="6.75" customHeight="1" x14ac:dyDescent="0.35">
      <c r="D37" s="1"/>
      <c r="E37"/>
      <c r="BM37" s="6"/>
      <c r="BY37" s="11"/>
      <c r="CA37" s="35"/>
    </row>
    <row r="38" spans="4:79" x14ac:dyDescent="0.35">
      <c r="D38" s="13" t="s">
        <v>1967</v>
      </c>
      <c r="BY38" s="11"/>
      <c r="CA38" s="35"/>
    </row>
    <row r="39" spans="4:79" x14ac:dyDescent="0.35">
      <c r="D39" s="10" t="str">
        <f>'Investing Inputs'!$D$219</f>
        <v>Land &amp; Buildings</v>
      </c>
      <c r="BY39" s="11"/>
      <c r="CA39" s="35"/>
    </row>
    <row r="40" spans="4:79" x14ac:dyDescent="0.35">
      <c r="D40" s="10" t="str">
        <f>'Investing Inputs'!$D$233</f>
        <v>Equipment</v>
      </c>
      <c r="BY40" s="11"/>
      <c r="CA40" s="35"/>
    </row>
    <row r="41" spans="4:79" x14ac:dyDescent="0.35">
      <c r="D41" s="10" t="str">
        <f>'Investing Inputs'!$D$247</f>
        <v>Other NCA</v>
      </c>
      <c r="BY41" s="11"/>
      <c r="CA41" s="35"/>
    </row>
    <row r="42" spans="4:79" x14ac:dyDescent="0.35">
      <c r="D42" s="10" t="str">
        <f>'Investing Inputs'!D273</f>
        <v>Assets under Construction</v>
      </c>
      <c r="BY42" s="11"/>
      <c r="CA42" s="35"/>
    </row>
    <row r="43" spans="4:79" ht="6.75" customHeight="1" x14ac:dyDescent="0.35">
      <c r="D43" s="1"/>
      <c r="E43"/>
      <c r="BM43" s="6"/>
      <c r="BY43" s="11"/>
      <c r="CA43" s="35"/>
    </row>
    <row r="44" spans="4:79" x14ac:dyDescent="0.35">
      <c r="D44" s="13" t="s">
        <v>1968</v>
      </c>
      <c r="BY44" s="11"/>
      <c r="CA44" s="35"/>
    </row>
    <row r="45" spans="4:79" x14ac:dyDescent="0.35">
      <c r="D45" s="10" t="str">
        <f>'Investing Inputs'!$D$219</f>
        <v>Land &amp; Buildings</v>
      </c>
      <c r="BY45" s="11"/>
      <c r="CA45" s="35"/>
    </row>
    <row r="46" spans="4:79" x14ac:dyDescent="0.35">
      <c r="D46" s="10" t="str">
        <f>'Investing Inputs'!$D$233</f>
        <v>Equipment</v>
      </c>
      <c r="BY46" s="11"/>
      <c r="CA46" s="35"/>
    </row>
    <row r="47" spans="4:79" x14ac:dyDescent="0.35">
      <c r="D47" s="10" t="str">
        <f>'Investing Inputs'!$D$261</f>
        <v>Investments</v>
      </c>
      <c r="BY47" s="11"/>
      <c r="CA47" s="35"/>
    </row>
    <row r="48" spans="4:79" x14ac:dyDescent="0.35">
      <c r="D48" s="10" t="str">
        <f>'Investing Inputs'!$D$247</f>
        <v>Other NCA</v>
      </c>
      <c r="BY48" s="11"/>
      <c r="CA48" s="35"/>
    </row>
    <row r="49" spans="4:79" x14ac:dyDescent="0.35">
      <c r="D49" s="10" t="str">
        <f>'Investing Inputs'!$D$282</f>
        <v xml:space="preserve">Assets Held for Sale </v>
      </c>
      <c r="BY49" s="11"/>
      <c r="CA49" s="35"/>
    </row>
    <row r="50" spans="4:79" x14ac:dyDescent="0.35">
      <c r="BY50" s="11"/>
      <c r="CA50" s="35"/>
    </row>
    <row r="51" spans="4:79" x14ac:dyDescent="0.35">
      <c r="D51" s="13" t="s">
        <v>1969</v>
      </c>
      <c r="BY51" s="11"/>
      <c r="CA51" s="35"/>
    </row>
    <row r="52" spans="4:79" x14ac:dyDescent="0.35">
      <c r="D52" s="10" t="s">
        <v>1970</v>
      </c>
      <c r="BY52" s="11"/>
      <c r="CA52" s="35"/>
    </row>
    <row r="53" spans="4:79" x14ac:dyDescent="0.35">
      <c r="D53" s="10" t="s">
        <v>1971</v>
      </c>
      <c r="BY53" s="11"/>
      <c r="CA53" s="35"/>
    </row>
    <row r="54" spans="4:79" x14ac:dyDescent="0.35">
      <c r="D54" s="10" t="s">
        <v>1972</v>
      </c>
      <c r="BY54" s="11"/>
      <c r="CA54" s="35"/>
    </row>
    <row r="55" spans="4:79" x14ac:dyDescent="0.35">
      <c r="D55" s="10" t="s">
        <v>1973</v>
      </c>
      <c r="BY55" s="11"/>
      <c r="CA55" s="35"/>
    </row>
    <row r="56" spans="4:79" x14ac:dyDescent="0.35">
      <c r="D56" s="10" t="s">
        <v>1974</v>
      </c>
      <c r="BY56" s="11"/>
      <c r="CA56" s="35"/>
    </row>
    <row r="57" spans="4:79" x14ac:dyDescent="0.35">
      <c r="D57" s="10" t="s">
        <v>792</v>
      </c>
      <c r="BY57" s="11"/>
      <c r="CA57" s="35"/>
    </row>
    <row r="58" spans="4:79" x14ac:dyDescent="0.35">
      <c r="D58" s="10" t="s">
        <v>1975</v>
      </c>
      <c r="BY58" s="11"/>
      <c r="CA58" s="35"/>
    </row>
    <row r="59" spans="4:79" x14ac:dyDescent="0.35">
      <c r="D59" s="10" t="s">
        <v>14</v>
      </c>
      <c r="BY59" s="11"/>
      <c r="CA59" s="35"/>
    </row>
    <row r="60" spans="4:79" ht="6.75" customHeight="1" x14ac:dyDescent="0.35">
      <c r="D60" s="1"/>
      <c r="E60"/>
      <c r="BM60" s="6"/>
      <c r="BY60" s="11"/>
      <c r="CA60" s="35"/>
    </row>
    <row r="61" spans="4:79" x14ac:dyDescent="0.35">
      <c r="D61" s="13" t="s">
        <v>1976</v>
      </c>
      <c r="BY61" s="11"/>
      <c r="CA61" s="35"/>
    </row>
    <row r="62" spans="4:79" x14ac:dyDescent="0.35">
      <c r="D62" s="10" t="str">
        <f>'BS Forecasts'!$D$244</f>
        <v>Revaluation Reserve</v>
      </c>
      <c r="BY62" s="11"/>
      <c r="CA62" s="35"/>
    </row>
    <row r="63" spans="4:79" x14ac:dyDescent="0.35">
      <c r="D63" s="10" t="str">
        <f>'BS Forecasts'!$D$250</f>
        <v>Restricted Reserve</v>
      </c>
      <c r="BY63" s="11"/>
      <c r="CA63" s="35"/>
    </row>
    <row r="64" spans="4:79" x14ac:dyDescent="0.35">
      <c r="D64" s="10" t="str">
        <f>'BS Forecasts'!$D$255</f>
        <v>I&amp;E Reserve</v>
      </c>
      <c r="BY64" s="11"/>
      <c r="CA64" s="35"/>
    </row>
    <row r="65" spans="1:79" ht="6.75" customHeight="1" x14ac:dyDescent="0.35">
      <c r="D65" s="1"/>
      <c r="E65"/>
      <c r="BM65" s="6"/>
      <c r="BY65" s="11"/>
      <c r="CA65" s="35"/>
    </row>
    <row r="66" spans="1:79" x14ac:dyDescent="0.35">
      <c r="A66" s="34"/>
      <c r="B66" s="34"/>
      <c r="C66" s="34"/>
      <c r="D66" s="34" t="s">
        <v>1977</v>
      </c>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11"/>
      <c r="CA66" s="35"/>
    </row>
    <row r="67" spans="1:79" ht="6.75" customHeight="1" x14ac:dyDescent="0.35">
      <c r="D67" s="1"/>
      <c r="E67"/>
      <c r="BM67" s="6"/>
      <c r="BY67" s="11"/>
      <c r="CA67" s="35"/>
    </row>
    <row r="68" spans="1:79" x14ac:dyDescent="0.35">
      <c r="C68" s="13" t="s">
        <v>1978</v>
      </c>
      <c r="D68" s="13" t="s">
        <v>1979</v>
      </c>
      <c r="BY68" s="11"/>
      <c r="CA68" s="35"/>
    </row>
    <row r="69" spans="1:79" x14ac:dyDescent="0.35">
      <c r="C69" t="s">
        <v>664</v>
      </c>
      <c r="D69" s="13" t="s">
        <v>664</v>
      </c>
      <c r="E69" t="s">
        <v>664</v>
      </c>
      <c r="BY69" s="11"/>
      <c r="CA69" s="35"/>
    </row>
    <row r="70" spans="1:79" x14ac:dyDescent="0.35">
      <c r="C70" t="s">
        <v>667</v>
      </c>
      <c r="D70" t="s">
        <v>1980</v>
      </c>
      <c r="E70" t="s">
        <v>667</v>
      </c>
      <c r="BY70" s="11"/>
      <c r="CA70" s="35"/>
    </row>
    <row r="71" spans="1:79" x14ac:dyDescent="0.35">
      <c r="C71" t="s">
        <v>1338</v>
      </c>
      <c r="D71" t="s">
        <v>1981</v>
      </c>
      <c r="E71" t="s">
        <v>667</v>
      </c>
      <c r="BY71" s="11"/>
      <c r="CA71" s="35"/>
    </row>
    <row r="72" spans="1:79" x14ac:dyDescent="0.35">
      <c r="D72" t="s">
        <v>1982</v>
      </c>
      <c r="E72" t="s">
        <v>667</v>
      </c>
      <c r="BY72" s="11"/>
      <c r="CA72" s="35"/>
    </row>
    <row r="73" spans="1:79" x14ac:dyDescent="0.35">
      <c r="D73" t="s">
        <v>1983</v>
      </c>
      <c r="E73" t="s">
        <v>667</v>
      </c>
      <c r="BY73" s="11"/>
      <c r="CA73" s="35"/>
    </row>
    <row r="74" spans="1:79" x14ac:dyDescent="0.35">
      <c r="D74" t="s">
        <v>1984</v>
      </c>
      <c r="E74" t="s">
        <v>1338</v>
      </c>
      <c r="BY74" s="11"/>
      <c r="CA74" s="35"/>
    </row>
    <row r="75" spans="1:79" x14ac:dyDescent="0.35">
      <c r="D75" t="s">
        <v>1985</v>
      </c>
      <c r="E75" t="s">
        <v>1338</v>
      </c>
      <c r="BY75" s="11"/>
      <c r="CA75" s="35"/>
    </row>
    <row r="76" spans="1:79" x14ac:dyDescent="0.35">
      <c r="D76" t="s">
        <v>1986</v>
      </c>
      <c r="E76" t="s">
        <v>1338</v>
      </c>
      <c r="BY76" s="11"/>
      <c r="CA76" s="35"/>
    </row>
    <row r="77" spans="1:79" x14ac:dyDescent="0.35">
      <c r="D77" t="s">
        <v>1987</v>
      </c>
      <c r="E77" t="s">
        <v>1338</v>
      </c>
      <c r="BY77" s="11"/>
      <c r="CA77" s="35"/>
    </row>
    <row r="78" spans="1:79" ht="6.75" customHeight="1" x14ac:dyDescent="0.35">
      <c r="D78" s="1"/>
      <c r="E78"/>
      <c r="BM78" s="6"/>
      <c r="BY78" s="11"/>
      <c r="CA78" s="35"/>
    </row>
    <row r="79" spans="1:79" ht="29" x14ac:dyDescent="0.35">
      <c r="D79" s="81" t="s">
        <v>1988</v>
      </c>
      <c r="E79" s="81" t="s">
        <v>1989</v>
      </c>
      <c r="F79" s="56" t="s">
        <v>1942</v>
      </c>
      <c r="BY79" s="11"/>
      <c r="CA79" s="35"/>
    </row>
    <row r="80" spans="1:79" x14ac:dyDescent="0.35">
      <c r="D80" s="142" t="s">
        <v>1990</v>
      </c>
      <c r="E80" s="133">
        <v>365</v>
      </c>
      <c r="F80" s="240">
        <f>1/30</f>
        <v>3.3333333333333333E-2</v>
      </c>
      <c r="BY80" s="11"/>
      <c r="CA80" s="35"/>
    </row>
    <row r="81" spans="1:79" x14ac:dyDescent="0.35">
      <c r="D81" s="133" t="s">
        <v>1959</v>
      </c>
      <c r="E81" s="133">
        <v>12</v>
      </c>
      <c r="F81" s="240">
        <v>1</v>
      </c>
      <c r="BY81" s="11"/>
      <c r="CA81" s="35"/>
    </row>
    <row r="82" spans="1:79" x14ac:dyDescent="0.35">
      <c r="D82" s="133" t="s">
        <v>1991</v>
      </c>
      <c r="E82" s="133">
        <v>4</v>
      </c>
      <c r="F82" s="240">
        <v>3</v>
      </c>
      <c r="BY82" s="11"/>
      <c r="CA82" s="35"/>
    </row>
    <row r="83" spans="1:79" x14ac:dyDescent="0.35">
      <c r="D83" s="133" t="s">
        <v>1992</v>
      </c>
      <c r="E83" s="133">
        <v>2</v>
      </c>
      <c r="F83" s="240">
        <v>6</v>
      </c>
      <c r="BY83" s="11"/>
      <c r="CA83" s="35"/>
    </row>
    <row r="84" spans="1:79" x14ac:dyDescent="0.35">
      <c r="D84" s="133" t="s">
        <v>1993</v>
      </c>
      <c r="E84" s="133">
        <v>1</v>
      </c>
      <c r="F84" s="240">
        <v>12</v>
      </c>
      <c r="BY84" s="11"/>
      <c r="CA84" s="35"/>
    </row>
    <row r="85" spans="1:79" ht="6.75" customHeight="1" x14ac:dyDescent="0.35">
      <c r="D85" s="1"/>
      <c r="E85"/>
      <c r="BM85" s="6"/>
      <c r="BY85" s="11"/>
      <c r="CA85" s="35"/>
    </row>
    <row r="86" spans="1:79" ht="29" x14ac:dyDescent="0.35">
      <c r="D86" s="13" t="s">
        <v>1994</v>
      </c>
      <c r="E86" s="81" t="s">
        <v>1989</v>
      </c>
      <c r="F86" s="56" t="s">
        <v>1942</v>
      </c>
      <c r="BY86" s="11"/>
      <c r="CA86" s="35"/>
    </row>
    <row r="87" spans="1:79" x14ac:dyDescent="0.35">
      <c r="D87" s="10" t="s">
        <v>1959</v>
      </c>
      <c r="E87" s="10">
        <v>12</v>
      </c>
      <c r="F87" s="240">
        <v>1</v>
      </c>
      <c r="BY87" s="11"/>
      <c r="CA87" s="35"/>
    </row>
    <row r="88" spans="1:79" x14ac:dyDescent="0.35">
      <c r="D88" s="10" t="s">
        <v>1991</v>
      </c>
      <c r="E88" s="10">
        <v>4</v>
      </c>
      <c r="F88" s="240">
        <v>3</v>
      </c>
      <c r="BY88" s="11"/>
      <c r="CA88" s="35"/>
    </row>
    <row r="89" spans="1:79" x14ac:dyDescent="0.35">
      <c r="D89" s="10" t="s">
        <v>1992</v>
      </c>
      <c r="E89" s="10">
        <v>2</v>
      </c>
      <c r="F89" s="240">
        <v>6</v>
      </c>
      <c r="BY89" s="11"/>
      <c r="CA89" s="35"/>
    </row>
    <row r="90" spans="1:79" x14ac:dyDescent="0.35">
      <c r="D90" s="10" t="s">
        <v>1993</v>
      </c>
      <c r="E90" s="10">
        <v>1</v>
      </c>
      <c r="F90" s="240">
        <v>12</v>
      </c>
      <c r="BY90" s="11"/>
      <c r="CA90" s="35"/>
    </row>
    <row r="91" spans="1:79" ht="6.75" customHeight="1" x14ac:dyDescent="0.35">
      <c r="D91" s="1"/>
      <c r="F91" s="1"/>
      <c r="BM91" s="6"/>
      <c r="BY91" s="11"/>
      <c r="CA91" s="35"/>
    </row>
    <row r="92" spans="1:79" x14ac:dyDescent="0.35">
      <c r="A92" s="34"/>
      <c r="B92" s="34"/>
      <c r="C92" s="34"/>
      <c r="D92" s="34" t="s">
        <v>1995</v>
      </c>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11"/>
      <c r="CA92" s="35"/>
    </row>
    <row r="93" spans="1:79" ht="6.75" customHeight="1" x14ac:dyDescent="0.35">
      <c r="D93" s="1"/>
      <c r="E93"/>
      <c r="BM93" s="6"/>
      <c r="BY93" s="11"/>
      <c r="CA93" s="35"/>
    </row>
    <row r="94" spans="1:79" s="5" customFormat="1" x14ac:dyDescent="0.35">
      <c r="A94"/>
      <c r="B94"/>
      <c r="C94"/>
      <c r="D94" s="13" t="s">
        <v>1751</v>
      </c>
      <c r="E94" s="13" t="s">
        <v>1795</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s="11"/>
      <c r="BZ94"/>
      <c r="CA94" s="35"/>
    </row>
    <row r="95" spans="1:79" x14ac:dyDescent="0.35">
      <c r="D95" s="62" t="s">
        <v>1996</v>
      </c>
      <c r="E95" s="10">
        <v>110</v>
      </c>
      <c r="BY95" s="11"/>
      <c r="CA95" s="35"/>
    </row>
    <row r="96" spans="1:79" x14ac:dyDescent="0.35">
      <c r="D96" s="63" t="s">
        <v>1997</v>
      </c>
      <c r="E96" s="10">
        <v>170</v>
      </c>
      <c r="BY96" s="11"/>
      <c r="CA96" s="35"/>
    </row>
    <row r="97" spans="3:79" x14ac:dyDescent="0.35">
      <c r="D97" s="64" t="s">
        <v>1998</v>
      </c>
      <c r="E97" s="10">
        <v>230</v>
      </c>
      <c r="BY97" s="11"/>
      <c r="CA97" s="35"/>
    </row>
    <row r="98" spans="3:79" x14ac:dyDescent="0.35">
      <c r="D98" s="65" t="s">
        <v>1999</v>
      </c>
      <c r="E98" s="10">
        <v>300</v>
      </c>
      <c r="BY98" s="11"/>
      <c r="CA98" s="35"/>
    </row>
    <row r="99" spans="3:79" ht="6.75" customHeight="1" x14ac:dyDescent="0.35">
      <c r="D99" s="1"/>
      <c r="E99"/>
      <c r="BM99" s="6"/>
      <c r="BY99" s="35"/>
      <c r="CA99" s="35"/>
    </row>
    <row r="100" spans="3:79" hidden="1" x14ac:dyDescent="0.35">
      <c r="C100" s="632"/>
      <c r="D100" s="632" t="s">
        <v>2000</v>
      </c>
      <c r="E100" s="632"/>
      <c r="F100" s="632"/>
      <c r="G100" s="13"/>
      <c r="BY100" s="11"/>
      <c r="CA100" s="35"/>
    </row>
    <row r="101" spans="3:79" hidden="1" x14ac:dyDescent="0.35">
      <c r="C101" s="633" t="s">
        <v>1846</v>
      </c>
      <c r="D101" s="633" t="s">
        <v>2001</v>
      </c>
      <c r="E101" s="633" t="s">
        <v>2002</v>
      </c>
      <c r="F101" s="633" t="s">
        <v>2003</v>
      </c>
      <c r="G101" s="5" t="s">
        <v>2004</v>
      </c>
      <c r="BY101" s="11"/>
      <c r="CA101" s="35"/>
    </row>
    <row r="102" spans="3:79" ht="58" hidden="1" x14ac:dyDescent="0.35">
      <c r="C102" s="634" t="s">
        <v>2005</v>
      </c>
      <c r="D102" s="634" t="s">
        <v>2006</v>
      </c>
      <c r="E102" s="635"/>
      <c r="F102" s="636"/>
      <c r="G102" s="10"/>
      <c r="BY102" s="11"/>
      <c r="CA102" s="35"/>
    </row>
    <row r="103" spans="3:79" ht="58" hidden="1" x14ac:dyDescent="0.35">
      <c r="C103" s="635" t="s">
        <v>1682</v>
      </c>
      <c r="D103" s="634" t="s">
        <v>2007</v>
      </c>
      <c r="E103" s="635"/>
      <c r="F103" s="637"/>
      <c r="G103" s="10"/>
      <c r="BY103" s="11"/>
      <c r="CA103" s="35"/>
    </row>
    <row r="104" spans="3:79" ht="58" hidden="1" x14ac:dyDescent="0.35">
      <c r="C104" s="635" t="s">
        <v>2008</v>
      </c>
      <c r="D104" s="634" t="s">
        <v>2009</v>
      </c>
      <c r="E104" s="635"/>
      <c r="F104" s="637"/>
      <c r="G104" s="10"/>
      <c r="BY104" s="11"/>
      <c r="CA104" s="35"/>
    </row>
    <row r="105" spans="3:79" ht="58" hidden="1" x14ac:dyDescent="0.35">
      <c r="C105" s="635" t="s">
        <v>2010</v>
      </c>
      <c r="D105" s="634" t="s">
        <v>2011</v>
      </c>
      <c r="E105" s="635"/>
      <c r="F105" s="637"/>
      <c r="G105" s="10"/>
      <c r="BY105" s="11"/>
      <c r="CA105" s="35"/>
    </row>
    <row r="106" spans="3:79" ht="72.5" hidden="1" x14ac:dyDescent="0.35">
      <c r="C106" s="635" t="s">
        <v>2012</v>
      </c>
      <c r="D106" s="634" t="s">
        <v>2013</v>
      </c>
      <c r="E106" s="634"/>
      <c r="F106" s="637"/>
      <c r="G106" s="146">
        <v>0.7</v>
      </c>
      <c r="BY106" s="11"/>
      <c r="CA106" s="35"/>
    </row>
    <row r="107" spans="3:79" ht="29" hidden="1" x14ac:dyDescent="0.35">
      <c r="C107" s="635" t="s">
        <v>209</v>
      </c>
      <c r="D107" s="634" t="s">
        <v>2014</v>
      </c>
      <c r="E107" s="635"/>
      <c r="F107" s="635"/>
      <c r="G107" s="10"/>
      <c r="BY107" s="11"/>
      <c r="CA107" s="35"/>
    </row>
    <row r="108" spans="3:79" ht="6.75" customHeight="1" x14ac:dyDescent="0.35">
      <c r="C108" s="638"/>
      <c r="D108" s="639"/>
      <c r="E108" s="638"/>
      <c r="F108" s="638"/>
      <c r="BM108" s="6"/>
      <c r="BY108" s="35"/>
      <c r="CA108" s="35"/>
    </row>
    <row r="109" spans="3:79" x14ac:dyDescent="0.35">
      <c r="C109" s="13"/>
      <c r="D109" s="13" t="s">
        <v>2010</v>
      </c>
      <c r="E109" s="13"/>
      <c r="BY109" s="11"/>
      <c r="CA109" s="35"/>
    </row>
    <row r="110" spans="3:79" x14ac:dyDescent="0.35">
      <c r="C110" s="149" t="s">
        <v>2015</v>
      </c>
      <c r="D110" s="150" t="s">
        <v>2016</v>
      </c>
      <c r="E110" s="151" t="s">
        <v>1748</v>
      </c>
      <c r="BY110" s="11"/>
      <c r="CA110" s="35"/>
    </row>
    <row r="111" spans="3:79" x14ac:dyDescent="0.35">
      <c r="C111" s="152">
        <v>1</v>
      </c>
      <c r="D111" s="153">
        <v>2</v>
      </c>
      <c r="E111" s="154">
        <v>3</v>
      </c>
      <c r="BY111" s="11"/>
      <c r="CA111" s="35"/>
    </row>
    <row r="112" spans="3:79" x14ac:dyDescent="0.35">
      <c r="C112" s="240">
        <v>0</v>
      </c>
      <c r="D112" s="148" t="s">
        <v>2017</v>
      </c>
      <c r="E112" s="148">
        <v>0</v>
      </c>
      <c r="BY112" s="11"/>
      <c r="CA112" s="35"/>
    </row>
    <row r="113" spans="2:79" x14ac:dyDescent="0.35">
      <c r="C113" s="240">
        <v>0.5</v>
      </c>
      <c r="D113" s="10" t="s">
        <v>2018</v>
      </c>
      <c r="E113" s="10">
        <v>10</v>
      </c>
      <c r="BY113" s="11"/>
      <c r="CA113" s="35"/>
    </row>
    <row r="114" spans="2:79" x14ac:dyDescent="0.35">
      <c r="C114" s="240">
        <v>0.6</v>
      </c>
      <c r="D114" s="10" t="s">
        <v>2019</v>
      </c>
      <c r="E114" s="10">
        <v>20</v>
      </c>
      <c r="BY114" s="11"/>
      <c r="CA114" s="35"/>
    </row>
    <row r="115" spans="2:79" x14ac:dyDescent="0.35">
      <c r="C115" s="240">
        <v>0.7</v>
      </c>
      <c r="D115" s="10" t="s">
        <v>2020</v>
      </c>
      <c r="E115" s="10">
        <v>30</v>
      </c>
      <c r="BY115" s="11"/>
      <c r="CA115" s="35"/>
    </row>
    <row r="116" spans="2:79" x14ac:dyDescent="0.35">
      <c r="C116" s="240">
        <v>0.8</v>
      </c>
      <c r="D116" s="10" t="s">
        <v>2021</v>
      </c>
      <c r="E116" s="10">
        <v>40</v>
      </c>
      <c r="BY116" s="11"/>
      <c r="CA116" s="35"/>
    </row>
    <row r="117" spans="2:79" x14ac:dyDescent="0.35">
      <c r="C117" s="240">
        <v>1</v>
      </c>
      <c r="D117" s="10" t="s">
        <v>2022</v>
      </c>
      <c r="E117" s="10">
        <v>50</v>
      </c>
      <c r="BY117" s="11"/>
      <c r="CA117" s="35"/>
    </row>
    <row r="118" spans="2:79" x14ac:dyDescent="0.35">
      <c r="C118" s="240">
        <v>1.2</v>
      </c>
      <c r="D118" s="10" t="s">
        <v>2023</v>
      </c>
      <c r="E118" s="10">
        <v>60</v>
      </c>
      <c r="BY118" s="11"/>
      <c r="CA118" s="35"/>
    </row>
    <row r="119" spans="2:79" x14ac:dyDescent="0.35">
      <c r="C119" s="240">
        <v>1.4</v>
      </c>
      <c r="D119" s="10" t="s">
        <v>2024</v>
      </c>
      <c r="E119" s="10">
        <v>70</v>
      </c>
      <c r="BY119" s="11"/>
      <c r="CA119" s="35"/>
    </row>
    <row r="120" spans="2:79" s="5" customFormat="1" x14ac:dyDescent="0.35">
      <c r="B120"/>
      <c r="C120" s="240">
        <v>1.6</v>
      </c>
      <c r="D120" s="10" t="s">
        <v>2025</v>
      </c>
      <c r="E120" s="10">
        <v>80</v>
      </c>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s="11"/>
      <c r="BZ120"/>
      <c r="CA120" s="35"/>
    </row>
    <row r="121" spans="2:79" x14ac:dyDescent="0.35">
      <c r="C121" s="240">
        <v>1.8</v>
      </c>
      <c r="D121" s="10" t="s">
        <v>2026</v>
      </c>
      <c r="E121" s="10">
        <v>90</v>
      </c>
      <c r="BY121" s="11"/>
      <c r="CA121" s="35"/>
    </row>
    <row r="122" spans="2:79" x14ac:dyDescent="0.35">
      <c r="C122" s="240">
        <v>2</v>
      </c>
      <c r="D122" s="10" t="s">
        <v>2027</v>
      </c>
      <c r="E122" s="10">
        <v>100</v>
      </c>
      <c r="BY122" s="11"/>
      <c r="CA122" s="35"/>
    </row>
    <row r="123" spans="2:79" ht="6.75" customHeight="1" x14ac:dyDescent="0.35">
      <c r="D123" s="1"/>
      <c r="E123"/>
      <c r="BM123" s="6"/>
      <c r="BY123" s="35"/>
      <c r="CA123" s="35"/>
    </row>
    <row r="124" spans="2:79" ht="6.75" customHeight="1" x14ac:dyDescent="0.35">
      <c r="D124" s="1"/>
      <c r="E124"/>
      <c r="S124" s="147"/>
      <c r="BM124" s="6"/>
      <c r="BY124" s="35"/>
      <c r="CA124" s="35"/>
    </row>
    <row r="125" spans="2:79" x14ac:dyDescent="0.35">
      <c r="C125" s="13"/>
      <c r="D125" s="13" t="s">
        <v>2028</v>
      </c>
      <c r="E125" s="13"/>
      <c r="BY125" s="11"/>
      <c r="CA125" s="35"/>
    </row>
    <row r="126" spans="2:79" x14ac:dyDescent="0.35">
      <c r="C126" s="149" t="s">
        <v>2015</v>
      </c>
      <c r="D126" s="150" t="s">
        <v>2016</v>
      </c>
      <c r="E126" s="151" t="s">
        <v>1748</v>
      </c>
      <c r="BY126" s="11"/>
      <c r="CA126" s="35"/>
    </row>
    <row r="127" spans="2:79" x14ac:dyDescent="0.35">
      <c r="C127" s="152">
        <v>1</v>
      </c>
      <c r="D127" s="153">
        <v>2</v>
      </c>
      <c r="E127" s="154">
        <v>3</v>
      </c>
      <c r="BY127" s="11"/>
      <c r="CA127" s="35"/>
    </row>
    <row r="128" spans="2:79" x14ac:dyDescent="0.35">
      <c r="C128" s="55">
        <v>0</v>
      </c>
      <c r="D128" s="10" t="s">
        <v>1792</v>
      </c>
      <c r="E128" s="10">
        <v>0</v>
      </c>
      <c r="BY128" s="11"/>
      <c r="CA128" s="35"/>
    </row>
    <row r="129" spans="2:79" x14ac:dyDescent="0.35">
      <c r="C129" s="55">
        <v>0.01</v>
      </c>
      <c r="D129" s="10" t="s">
        <v>2029</v>
      </c>
      <c r="E129" s="10">
        <v>10</v>
      </c>
      <c r="BY129" s="11"/>
      <c r="CA129" s="35"/>
    </row>
    <row r="130" spans="2:79" x14ac:dyDescent="0.35">
      <c r="C130" s="55">
        <v>0.02</v>
      </c>
      <c r="D130" s="10" t="s">
        <v>2030</v>
      </c>
      <c r="E130" s="10">
        <v>20</v>
      </c>
      <c r="BY130" s="11"/>
      <c r="CA130" s="35"/>
    </row>
    <row r="131" spans="2:79" x14ac:dyDescent="0.35">
      <c r="C131" s="55">
        <v>0.03</v>
      </c>
      <c r="D131" s="10" t="s">
        <v>2031</v>
      </c>
      <c r="E131" s="10">
        <v>30</v>
      </c>
      <c r="BY131" s="11"/>
      <c r="CA131" s="35"/>
    </row>
    <row r="132" spans="2:79" x14ac:dyDescent="0.35">
      <c r="C132" s="55">
        <v>0.04</v>
      </c>
      <c r="D132" s="10" t="s">
        <v>2032</v>
      </c>
      <c r="E132" s="10">
        <v>40</v>
      </c>
      <c r="BY132" s="11"/>
      <c r="CA132" s="35"/>
    </row>
    <row r="133" spans="2:79" x14ac:dyDescent="0.35">
      <c r="C133" s="55">
        <v>0.05</v>
      </c>
      <c r="D133" s="10" t="s">
        <v>2033</v>
      </c>
      <c r="E133" s="10">
        <v>50</v>
      </c>
      <c r="BY133" s="11"/>
      <c r="CA133" s="35"/>
    </row>
    <row r="134" spans="2:79" x14ac:dyDescent="0.35">
      <c r="C134" s="55">
        <v>0.06</v>
      </c>
      <c r="D134" s="10" t="s">
        <v>2034</v>
      </c>
      <c r="E134" s="10">
        <v>60</v>
      </c>
      <c r="BY134" s="11"/>
      <c r="CA134" s="35"/>
    </row>
    <row r="135" spans="2:79" x14ac:dyDescent="0.35">
      <c r="C135" s="55">
        <v>7.0000000000000007E-2</v>
      </c>
      <c r="D135" s="10" t="s">
        <v>2035</v>
      </c>
      <c r="E135" s="10">
        <v>70</v>
      </c>
      <c r="BY135" s="11"/>
      <c r="CA135" s="35"/>
    </row>
    <row r="136" spans="2:79" s="5" customFormat="1" x14ac:dyDescent="0.35">
      <c r="B136"/>
      <c r="C136" s="55">
        <v>0.08</v>
      </c>
      <c r="D136" s="10" t="s">
        <v>2036</v>
      </c>
      <c r="E136" s="10">
        <v>80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s="11"/>
      <c r="BZ136"/>
      <c r="CA136" s="35"/>
    </row>
    <row r="137" spans="2:79" x14ac:dyDescent="0.35">
      <c r="C137" s="55">
        <v>0.09</v>
      </c>
      <c r="D137" s="10" t="s">
        <v>2037</v>
      </c>
      <c r="E137" s="10">
        <v>90</v>
      </c>
      <c r="BY137" s="11"/>
      <c r="CA137" s="35"/>
    </row>
    <row r="138" spans="2:79" x14ac:dyDescent="0.35">
      <c r="C138" s="55">
        <v>0.1</v>
      </c>
      <c r="D138" s="10" t="s">
        <v>2038</v>
      </c>
      <c r="E138" s="10">
        <v>100</v>
      </c>
      <c r="BY138" s="11"/>
      <c r="CA138" s="35"/>
    </row>
    <row r="139" spans="2:79" ht="6.75" customHeight="1" x14ac:dyDescent="0.35">
      <c r="D139" s="1"/>
      <c r="E139"/>
      <c r="BM139" s="6"/>
      <c r="BY139" s="35"/>
      <c r="CA139" s="35"/>
    </row>
    <row r="140" spans="2:79" ht="6.75" customHeight="1" x14ac:dyDescent="0.35">
      <c r="D140" s="1"/>
      <c r="E140"/>
      <c r="BM140" s="6"/>
      <c r="BY140" s="35"/>
      <c r="CA140" s="35"/>
    </row>
    <row r="141" spans="2:79" x14ac:dyDescent="0.35">
      <c r="B141" s="13"/>
      <c r="C141" s="13"/>
      <c r="D141" s="13" t="s">
        <v>2039</v>
      </c>
      <c r="E141" s="13"/>
      <c r="BY141" s="11"/>
      <c r="CA141" s="35"/>
    </row>
    <row r="142" spans="2:79" x14ac:dyDescent="0.35">
      <c r="B142" s="149"/>
      <c r="C142" s="149" t="s">
        <v>2015</v>
      </c>
      <c r="D142" s="150" t="s">
        <v>2016</v>
      </c>
      <c r="E142" s="151" t="s">
        <v>1748</v>
      </c>
      <c r="BY142" s="11"/>
      <c r="CA142" s="35"/>
    </row>
    <row r="143" spans="2:79" x14ac:dyDescent="0.35">
      <c r="B143" s="152">
        <v>1</v>
      </c>
      <c r="C143" s="152">
        <v>2</v>
      </c>
      <c r="D143" s="153">
        <v>3</v>
      </c>
      <c r="E143" s="154">
        <v>4</v>
      </c>
      <c r="BY143" s="11"/>
      <c r="CA143" s="35"/>
    </row>
    <row r="144" spans="2:79" x14ac:dyDescent="0.35">
      <c r="B144" s="55">
        <f>C144</f>
        <v>0</v>
      </c>
      <c r="C144" s="55">
        <v>0</v>
      </c>
      <c r="D144" s="66" t="s">
        <v>2040</v>
      </c>
      <c r="E144" s="10">
        <v>100</v>
      </c>
      <c r="BY144" s="11"/>
      <c r="CA144" s="35"/>
    </row>
    <row r="145" spans="1:79" x14ac:dyDescent="0.35">
      <c r="B145" s="55">
        <v>9.9999999999999998E-13</v>
      </c>
      <c r="C145" s="55">
        <v>0.1</v>
      </c>
      <c r="D145" s="10" t="s">
        <v>1757</v>
      </c>
      <c r="E145" s="10">
        <v>90</v>
      </c>
      <c r="BY145" s="11"/>
      <c r="CA145" s="35"/>
    </row>
    <row r="146" spans="1:79" x14ac:dyDescent="0.35">
      <c r="B146" s="55">
        <f t="shared" ref="B146:B154" si="0">C145</f>
        <v>0.1</v>
      </c>
      <c r="C146" s="55">
        <v>0.2</v>
      </c>
      <c r="D146" s="10" t="s">
        <v>1760</v>
      </c>
      <c r="E146" s="10">
        <v>80</v>
      </c>
      <c r="BY146" s="11"/>
      <c r="CA146" s="35"/>
    </row>
    <row r="147" spans="1:79" x14ac:dyDescent="0.35">
      <c r="B147" s="55">
        <f t="shared" si="0"/>
        <v>0.2</v>
      </c>
      <c r="C147" s="55">
        <v>0.3</v>
      </c>
      <c r="D147" s="10" t="s">
        <v>1763</v>
      </c>
      <c r="E147" s="10">
        <v>70</v>
      </c>
      <c r="BY147" s="11"/>
      <c r="CA147" s="35"/>
    </row>
    <row r="148" spans="1:79" x14ac:dyDescent="0.35">
      <c r="B148" s="55">
        <f t="shared" si="0"/>
        <v>0.3</v>
      </c>
      <c r="C148" s="55">
        <v>0.35</v>
      </c>
      <c r="D148" s="10" t="s">
        <v>1766</v>
      </c>
      <c r="E148" s="10">
        <v>60</v>
      </c>
      <c r="BY148" s="11"/>
      <c r="CA148" s="35"/>
    </row>
    <row r="149" spans="1:79" x14ac:dyDescent="0.35">
      <c r="B149" s="55">
        <f t="shared" si="0"/>
        <v>0.35</v>
      </c>
      <c r="C149" s="55">
        <v>0.4</v>
      </c>
      <c r="D149" s="10" t="s">
        <v>1770</v>
      </c>
      <c r="E149" s="10">
        <v>50</v>
      </c>
      <c r="BY149" s="11"/>
      <c r="CA149" s="35"/>
    </row>
    <row r="150" spans="1:79" x14ac:dyDescent="0.35">
      <c r="B150" s="55">
        <f t="shared" si="0"/>
        <v>0.4</v>
      </c>
      <c r="C150" s="55">
        <v>0.45</v>
      </c>
      <c r="D150" s="10" t="s">
        <v>1776</v>
      </c>
      <c r="E150" s="10">
        <v>40</v>
      </c>
      <c r="BY150" s="11"/>
      <c r="CA150" s="35"/>
    </row>
    <row r="151" spans="1:79" s="5" customFormat="1" x14ac:dyDescent="0.35">
      <c r="A151"/>
      <c r="B151" s="55">
        <f t="shared" si="0"/>
        <v>0.45</v>
      </c>
      <c r="C151" s="55">
        <v>0.5</v>
      </c>
      <c r="D151" s="10" t="s">
        <v>1781</v>
      </c>
      <c r="E151" s="10">
        <v>30</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s="11"/>
      <c r="BZ151"/>
      <c r="CA151" s="35"/>
    </row>
    <row r="152" spans="1:79" x14ac:dyDescent="0.35">
      <c r="B152" s="55">
        <f t="shared" si="0"/>
        <v>0.5</v>
      </c>
      <c r="C152" s="55">
        <v>0.55000000000000004</v>
      </c>
      <c r="D152" s="10" t="s">
        <v>1786</v>
      </c>
      <c r="E152" s="10">
        <v>20</v>
      </c>
      <c r="BY152" s="11"/>
      <c r="CA152" s="35"/>
    </row>
    <row r="153" spans="1:79" x14ac:dyDescent="0.35">
      <c r="B153" s="55">
        <f t="shared" si="0"/>
        <v>0.55000000000000004</v>
      </c>
      <c r="C153" s="55">
        <v>0.6</v>
      </c>
      <c r="D153" s="10" t="s">
        <v>1789</v>
      </c>
      <c r="E153" s="10">
        <v>10</v>
      </c>
      <c r="BY153" s="11"/>
      <c r="CA153" s="35"/>
    </row>
    <row r="154" spans="1:79" x14ac:dyDescent="0.35">
      <c r="B154" s="55">
        <f t="shared" si="0"/>
        <v>0.6</v>
      </c>
      <c r="C154" s="55">
        <v>0.61</v>
      </c>
      <c r="D154" s="10" t="s">
        <v>2041</v>
      </c>
      <c r="E154" s="10">
        <v>0</v>
      </c>
      <c r="BY154" s="11"/>
      <c r="CA154" s="35"/>
    </row>
    <row r="155" spans="1:79" x14ac:dyDescent="0.35">
      <c r="B155" s="55">
        <v>1</v>
      </c>
      <c r="C155" s="55">
        <v>0.61</v>
      </c>
      <c r="D155" s="10" t="s">
        <v>2041</v>
      </c>
      <c r="E155" s="10">
        <v>0</v>
      </c>
      <c r="BY155" s="11"/>
      <c r="CA155" s="35"/>
    </row>
    <row r="156" spans="1:79" ht="6.75" customHeight="1" x14ac:dyDescent="0.35">
      <c r="D156" s="1"/>
      <c r="E156"/>
      <c r="BM156" s="6"/>
      <c r="BY156" s="11"/>
      <c r="CA156" s="35"/>
    </row>
    <row r="157" spans="1:79" hidden="1" x14ac:dyDescent="0.35">
      <c r="A157" s="34"/>
      <c r="B157" s="34"/>
      <c r="C157" s="34"/>
      <c r="D157" s="34" t="s">
        <v>2042</v>
      </c>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11"/>
      <c r="CA157" s="35"/>
    </row>
    <row r="158" spans="1:79" ht="6.75" hidden="1" customHeight="1" x14ac:dyDescent="0.35">
      <c r="D158" s="1"/>
      <c r="E158"/>
      <c r="BM158" s="6"/>
      <c r="BY158" s="11"/>
      <c r="CA158" s="35"/>
    </row>
    <row r="159" spans="1:79" hidden="1" x14ac:dyDescent="0.35">
      <c r="C159" s="13"/>
      <c r="D159" s="13" t="s">
        <v>2010</v>
      </c>
      <c r="E159" s="13"/>
      <c r="BY159" s="11"/>
      <c r="CA159" s="35"/>
    </row>
    <row r="160" spans="1:79" hidden="1" x14ac:dyDescent="0.35">
      <c r="C160" s="149" t="s">
        <v>2015</v>
      </c>
      <c r="D160" s="150" t="s">
        <v>2016</v>
      </c>
      <c r="E160" s="151" t="s">
        <v>1748</v>
      </c>
      <c r="BY160" s="11"/>
      <c r="CA160" s="35"/>
    </row>
    <row r="161" spans="2:79" hidden="1" x14ac:dyDescent="0.35">
      <c r="C161" s="152">
        <v>1</v>
      </c>
      <c r="D161" s="153">
        <v>2</v>
      </c>
      <c r="E161" s="154">
        <v>3</v>
      </c>
      <c r="BY161" s="11"/>
      <c r="CA161" s="35"/>
    </row>
    <row r="162" spans="2:79" hidden="1" x14ac:dyDescent="0.35">
      <c r="C162" s="240">
        <v>0</v>
      </c>
      <c r="D162" s="10" t="s">
        <v>2043</v>
      </c>
      <c r="E162" s="10">
        <v>0</v>
      </c>
      <c r="BY162" s="11"/>
      <c r="CA162" s="35"/>
    </row>
    <row r="163" spans="2:79" hidden="1" x14ac:dyDescent="0.35">
      <c r="C163" s="240">
        <v>0.6</v>
      </c>
      <c r="D163" s="10" t="s">
        <v>1785</v>
      </c>
      <c r="E163" s="10">
        <v>10</v>
      </c>
      <c r="BY163" s="11"/>
      <c r="CA163" s="35"/>
    </row>
    <row r="164" spans="2:79" hidden="1" x14ac:dyDescent="0.35">
      <c r="C164" s="240">
        <v>0.7</v>
      </c>
      <c r="D164" s="10" t="s">
        <v>1780</v>
      </c>
      <c r="E164" s="10">
        <v>20</v>
      </c>
      <c r="BY164" s="11"/>
      <c r="CA164" s="35"/>
    </row>
    <row r="165" spans="2:79" hidden="1" x14ac:dyDescent="0.35">
      <c r="C165" s="240">
        <v>0.8</v>
      </c>
      <c r="D165" s="10" t="s">
        <v>1775</v>
      </c>
      <c r="E165" s="10">
        <v>30</v>
      </c>
      <c r="BY165" s="11"/>
      <c r="CA165" s="35"/>
    </row>
    <row r="166" spans="2:79" hidden="1" x14ac:dyDescent="0.35">
      <c r="C166" s="240">
        <v>0.9</v>
      </c>
      <c r="D166" s="10" t="s">
        <v>2044</v>
      </c>
      <c r="E166" s="10">
        <v>40</v>
      </c>
      <c r="BY166" s="11"/>
      <c r="CA166" s="35"/>
    </row>
    <row r="167" spans="2:79" hidden="1" x14ac:dyDescent="0.35">
      <c r="C167" s="240">
        <v>1.0000000000000002</v>
      </c>
      <c r="D167" s="10" t="s">
        <v>1769</v>
      </c>
      <c r="E167" s="10">
        <v>50</v>
      </c>
      <c r="BY167" s="11"/>
      <c r="CA167" s="35"/>
    </row>
    <row r="168" spans="2:79" hidden="1" x14ac:dyDescent="0.35">
      <c r="C168" s="240">
        <v>1.2000000000000002</v>
      </c>
      <c r="D168" s="10" t="s">
        <v>1765</v>
      </c>
      <c r="E168" s="10">
        <v>60</v>
      </c>
      <c r="BY168" s="11"/>
      <c r="CA168" s="35"/>
    </row>
    <row r="169" spans="2:79" hidden="1" x14ac:dyDescent="0.35">
      <c r="C169" s="240">
        <v>1.4000000000000001</v>
      </c>
      <c r="D169" s="10" t="s">
        <v>1762</v>
      </c>
      <c r="E169" s="10">
        <v>70</v>
      </c>
      <c r="BY169" s="11"/>
      <c r="CA169" s="35"/>
    </row>
    <row r="170" spans="2:79" s="5" customFormat="1" hidden="1" x14ac:dyDescent="0.35">
      <c r="B170"/>
      <c r="C170" s="240">
        <v>1.6</v>
      </c>
      <c r="D170" s="10" t="s">
        <v>1759</v>
      </c>
      <c r="E170" s="10">
        <v>80</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s="11"/>
      <c r="BZ170"/>
      <c r="CA170" s="35"/>
    </row>
    <row r="171" spans="2:79" hidden="1" x14ac:dyDescent="0.35">
      <c r="C171" s="240">
        <v>1.8</v>
      </c>
      <c r="D171" s="10" t="s">
        <v>1756</v>
      </c>
      <c r="E171" s="10">
        <v>90</v>
      </c>
      <c r="BY171" s="11"/>
      <c r="CA171" s="35"/>
    </row>
    <row r="172" spans="2:79" hidden="1" x14ac:dyDescent="0.35">
      <c r="C172" s="240">
        <v>2</v>
      </c>
      <c r="D172" s="10" t="s">
        <v>2045</v>
      </c>
      <c r="E172" s="10">
        <v>100</v>
      </c>
      <c r="BY172" s="11"/>
      <c r="CA172" s="35"/>
    </row>
    <row r="173" spans="2:79" ht="6.75" hidden="1" customHeight="1" x14ac:dyDescent="0.35">
      <c r="D173" s="1"/>
      <c r="E173"/>
      <c r="BM173" s="6"/>
      <c r="BY173" s="11"/>
      <c r="CA173" s="35"/>
    </row>
    <row r="174" spans="2:79" ht="6.75" hidden="1" customHeight="1" x14ac:dyDescent="0.35">
      <c r="D174" s="1"/>
      <c r="E174"/>
      <c r="BM174" s="6"/>
      <c r="BY174" s="11"/>
      <c r="CA174" s="35"/>
    </row>
    <row r="175" spans="2:79" hidden="1" x14ac:dyDescent="0.35">
      <c r="C175" s="13"/>
      <c r="D175" s="13" t="s">
        <v>2028</v>
      </c>
      <c r="E175" s="13"/>
      <c r="BY175" s="11"/>
      <c r="CA175" s="35"/>
    </row>
    <row r="176" spans="2:79" hidden="1" x14ac:dyDescent="0.35">
      <c r="C176" s="149" t="s">
        <v>2015</v>
      </c>
      <c r="D176" s="150" t="s">
        <v>2016</v>
      </c>
      <c r="E176" s="151" t="s">
        <v>1748</v>
      </c>
      <c r="BY176" s="11"/>
      <c r="CA176" s="35"/>
    </row>
    <row r="177" spans="2:79" hidden="1" x14ac:dyDescent="0.35">
      <c r="C177" s="152">
        <v>1</v>
      </c>
      <c r="D177" s="153">
        <v>2</v>
      </c>
      <c r="E177" s="154">
        <v>3</v>
      </c>
      <c r="BY177" s="11"/>
      <c r="CA177" s="35"/>
    </row>
    <row r="178" spans="2:79" hidden="1" x14ac:dyDescent="0.35">
      <c r="C178" s="55">
        <v>0</v>
      </c>
      <c r="D178" s="10" t="s">
        <v>1792</v>
      </c>
      <c r="E178" s="10">
        <v>0</v>
      </c>
      <c r="BY178" s="11"/>
      <c r="CA178" s="35"/>
    </row>
    <row r="179" spans="2:79" hidden="1" x14ac:dyDescent="0.35">
      <c r="C179" s="55">
        <v>0.01</v>
      </c>
      <c r="D179" s="10" t="s">
        <v>1787</v>
      </c>
      <c r="E179" s="10">
        <v>10</v>
      </c>
      <c r="BY179" s="11"/>
      <c r="CA179" s="35"/>
    </row>
    <row r="180" spans="2:79" hidden="1" x14ac:dyDescent="0.35">
      <c r="C180" s="55">
        <v>0.02</v>
      </c>
      <c r="D180" s="10" t="s">
        <v>1784</v>
      </c>
      <c r="E180" s="10">
        <v>20</v>
      </c>
      <c r="BY180" s="11"/>
      <c r="CA180" s="35"/>
    </row>
    <row r="181" spans="2:79" hidden="1" x14ac:dyDescent="0.35">
      <c r="C181" s="55">
        <v>0.03</v>
      </c>
      <c r="D181" s="10" t="s">
        <v>1779</v>
      </c>
      <c r="E181" s="10">
        <v>30</v>
      </c>
      <c r="BY181" s="11"/>
      <c r="CA181" s="35"/>
    </row>
    <row r="182" spans="2:79" hidden="1" x14ac:dyDescent="0.35">
      <c r="C182" s="55">
        <v>0.04</v>
      </c>
      <c r="D182" s="10" t="s">
        <v>1774</v>
      </c>
      <c r="E182" s="10">
        <v>40</v>
      </c>
      <c r="BY182" s="11"/>
      <c r="CA182" s="35"/>
    </row>
    <row r="183" spans="2:79" hidden="1" x14ac:dyDescent="0.35">
      <c r="C183" s="55">
        <v>0.05</v>
      </c>
      <c r="D183" s="10" t="s">
        <v>1768</v>
      </c>
      <c r="E183" s="10">
        <v>50</v>
      </c>
      <c r="BY183" s="11"/>
      <c r="CA183" s="35"/>
    </row>
    <row r="184" spans="2:79" hidden="1" x14ac:dyDescent="0.35">
      <c r="C184" s="55">
        <v>0.06</v>
      </c>
      <c r="D184" s="10" t="s">
        <v>1764</v>
      </c>
      <c r="E184" s="10">
        <v>60</v>
      </c>
      <c r="BY184" s="11"/>
      <c r="CA184" s="35"/>
    </row>
    <row r="185" spans="2:79" s="5" customFormat="1" hidden="1" x14ac:dyDescent="0.35">
      <c r="B185"/>
      <c r="C185" s="55">
        <v>7.0000000000000007E-2</v>
      </c>
      <c r="D185" s="10" t="s">
        <v>1761</v>
      </c>
      <c r="E185" s="10">
        <v>70</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s="11"/>
      <c r="BZ185"/>
      <c r="CA185" s="35"/>
    </row>
    <row r="186" spans="2:79" hidden="1" x14ac:dyDescent="0.35">
      <c r="C186" s="55">
        <v>0.08</v>
      </c>
      <c r="D186" s="10" t="s">
        <v>1758</v>
      </c>
      <c r="E186" s="10">
        <v>80</v>
      </c>
      <c r="BY186" s="11"/>
      <c r="CA186" s="35"/>
    </row>
    <row r="187" spans="2:79" hidden="1" x14ac:dyDescent="0.35">
      <c r="C187" s="55">
        <v>0.09</v>
      </c>
      <c r="D187" s="10" t="s">
        <v>1755</v>
      </c>
      <c r="E187" s="10">
        <v>90</v>
      </c>
      <c r="BY187" s="11"/>
      <c r="CA187" s="35"/>
    </row>
    <row r="188" spans="2:79" hidden="1" x14ac:dyDescent="0.35">
      <c r="C188" s="55">
        <v>0.1</v>
      </c>
      <c r="D188" s="10" t="s">
        <v>1753</v>
      </c>
      <c r="E188" s="10">
        <v>100</v>
      </c>
      <c r="BY188" s="11"/>
      <c r="CA188" s="35"/>
    </row>
    <row r="189" spans="2:79" ht="6.75" hidden="1" customHeight="1" x14ac:dyDescent="0.35">
      <c r="D189" s="1"/>
      <c r="BM189" s="6"/>
      <c r="BY189" s="11"/>
      <c r="CA189" s="35"/>
    </row>
    <row r="190" spans="2:79" ht="6.75" hidden="1" customHeight="1" x14ac:dyDescent="0.35">
      <c r="D190" s="1"/>
      <c r="E190"/>
      <c r="BM190" s="6"/>
      <c r="BY190" s="11"/>
      <c r="CA190" s="35"/>
    </row>
    <row r="191" spans="2:79" hidden="1" x14ac:dyDescent="0.35">
      <c r="C191" s="13"/>
      <c r="D191" s="13" t="s">
        <v>2046</v>
      </c>
      <c r="E191" s="13"/>
      <c r="BY191" s="11"/>
      <c r="CA191" s="35"/>
    </row>
    <row r="192" spans="2:79" hidden="1" x14ac:dyDescent="0.35">
      <c r="C192" s="149" t="s">
        <v>2015</v>
      </c>
      <c r="D192" s="150" t="s">
        <v>2016</v>
      </c>
      <c r="E192" s="151" t="s">
        <v>1748</v>
      </c>
      <c r="BY192" s="11"/>
      <c r="CA192" s="35"/>
    </row>
    <row r="193" spans="2:79" hidden="1" x14ac:dyDescent="0.35">
      <c r="C193" s="152">
        <v>1</v>
      </c>
      <c r="D193" s="153">
        <v>2</v>
      </c>
      <c r="E193" s="154">
        <v>3</v>
      </c>
      <c r="BY193" s="11"/>
      <c r="CA193" s="35"/>
    </row>
    <row r="194" spans="2:79" hidden="1" x14ac:dyDescent="0.35">
      <c r="C194" s="266">
        <v>0</v>
      </c>
      <c r="D194" s="66" t="s">
        <v>2047</v>
      </c>
      <c r="E194" s="10">
        <v>0</v>
      </c>
      <c r="BY194" s="11"/>
      <c r="CA194" s="35"/>
    </row>
    <row r="195" spans="2:79" hidden="1" x14ac:dyDescent="0.35">
      <c r="C195" s="266">
        <v>0.8</v>
      </c>
      <c r="D195" s="66" t="s">
        <v>1775</v>
      </c>
      <c r="E195" s="10">
        <v>10</v>
      </c>
      <c r="BY195" s="11"/>
      <c r="CA195" s="35"/>
    </row>
    <row r="196" spans="2:79" hidden="1" x14ac:dyDescent="0.35">
      <c r="C196" s="266">
        <v>0.9</v>
      </c>
      <c r="D196" s="66" t="s">
        <v>2044</v>
      </c>
      <c r="E196" s="10">
        <v>20</v>
      </c>
      <c r="BY196" s="11"/>
      <c r="CA196" s="35"/>
    </row>
    <row r="197" spans="2:79" hidden="1" x14ac:dyDescent="0.35">
      <c r="C197" s="266">
        <v>1</v>
      </c>
      <c r="D197" s="66" t="s">
        <v>1769</v>
      </c>
      <c r="E197" s="10">
        <v>30</v>
      </c>
      <c r="BY197" s="11"/>
      <c r="CA197" s="35"/>
    </row>
    <row r="198" spans="2:79" hidden="1" x14ac:dyDescent="0.35">
      <c r="C198" s="266">
        <v>1.25</v>
      </c>
      <c r="D198" s="66" t="s">
        <v>2048</v>
      </c>
      <c r="E198" s="10">
        <v>40</v>
      </c>
      <c r="BY198" s="11"/>
      <c r="CA198" s="35"/>
    </row>
    <row r="199" spans="2:79" hidden="1" x14ac:dyDescent="0.35">
      <c r="C199" s="266">
        <v>1.5</v>
      </c>
      <c r="D199" s="66" t="s">
        <v>2049</v>
      </c>
      <c r="E199" s="10">
        <v>50</v>
      </c>
      <c r="BY199" s="11"/>
      <c r="CA199" s="35"/>
    </row>
    <row r="200" spans="2:79" hidden="1" x14ac:dyDescent="0.35">
      <c r="C200" s="266">
        <v>1.75</v>
      </c>
      <c r="D200" s="66" t="s">
        <v>2050</v>
      </c>
      <c r="E200" s="10">
        <v>60</v>
      </c>
      <c r="BY200" s="11"/>
      <c r="CA200" s="35"/>
    </row>
    <row r="201" spans="2:79" s="5" customFormat="1" hidden="1" x14ac:dyDescent="0.35">
      <c r="B201"/>
      <c r="C201" s="266">
        <v>2</v>
      </c>
      <c r="D201" s="66" t="s">
        <v>1754</v>
      </c>
      <c r="E201" s="10">
        <v>70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s="11"/>
      <c r="BZ201"/>
      <c r="CA201" s="35"/>
    </row>
    <row r="202" spans="2:79" hidden="1" x14ac:dyDescent="0.35">
      <c r="C202" s="266">
        <v>2.25</v>
      </c>
      <c r="D202" s="66" t="s">
        <v>2051</v>
      </c>
      <c r="E202" s="10">
        <v>80</v>
      </c>
      <c r="BY202" s="11"/>
      <c r="CA202" s="35"/>
    </row>
    <row r="203" spans="2:79" hidden="1" x14ac:dyDescent="0.35">
      <c r="C203" s="266">
        <v>2.5</v>
      </c>
      <c r="D203" s="66" t="s">
        <v>2052</v>
      </c>
      <c r="E203" s="10">
        <v>90</v>
      </c>
      <c r="BY203" s="11"/>
      <c r="CA203" s="35"/>
    </row>
    <row r="204" spans="2:79" hidden="1" x14ac:dyDescent="0.35">
      <c r="C204" s="266">
        <v>2.75</v>
      </c>
      <c r="D204" s="66" t="s">
        <v>2053</v>
      </c>
      <c r="E204" s="10">
        <v>100</v>
      </c>
      <c r="BY204" s="11"/>
      <c r="CA204" s="35"/>
    </row>
    <row r="205" spans="2:79" ht="6.75" hidden="1" customHeight="1" x14ac:dyDescent="0.35">
      <c r="D205" s="1"/>
      <c r="E205"/>
      <c r="BM205" s="6"/>
      <c r="BY205" s="11"/>
      <c r="CA205" s="35"/>
    </row>
    <row r="206" spans="2:79" ht="6.75" hidden="1" customHeight="1" x14ac:dyDescent="0.35">
      <c r="D206" s="1"/>
      <c r="E206"/>
      <c r="BM206" s="6"/>
      <c r="BY206" s="11"/>
      <c r="CA206" s="35"/>
    </row>
    <row r="207" spans="2:79" hidden="1" x14ac:dyDescent="0.35">
      <c r="C207" s="13"/>
      <c r="D207" s="13" t="s">
        <v>2054</v>
      </c>
      <c r="E207" s="13"/>
      <c r="BY207" s="11"/>
      <c r="CA207" s="35"/>
    </row>
    <row r="208" spans="2:79" hidden="1" x14ac:dyDescent="0.35">
      <c r="C208" s="149" t="s">
        <v>2015</v>
      </c>
      <c r="D208" s="150" t="s">
        <v>2016</v>
      </c>
      <c r="E208" s="151" t="s">
        <v>1748</v>
      </c>
      <c r="BY208" s="11"/>
      <c r="CA208" s="35"/>
    </row>
    <row r="209" spans="1:79" hidden="1" x14ac:dyDescent="0.35">
      <c r="C209" s="152">
        <v>1</v>
      </c>
      <c r="D209" s="153">
        <v>2</v>
      </c>
      <c r="E209" s="154">
        <v>3</v>
      </c>
      <c r="BY209" s="11"/>
      <c r="CA209" s="35"/>
    </row>
    <row r="210" spans="1:79" hidden="1" x14ac:dyDescent="0.35">
      <c r="C210" s="266">
        <v>0</v>
      </c>
      <c r="D210" s="10" t="s">
        <v>2055</v>
      </c>
      <c r="E210" s="10">
        <v>0</v>
      </c>
      <c r="BY210" s="11"/>
      <c r="CA210" s="35"/>
    </row>
    <row r="211" spans="1:79" hidden="1" x14ac:dyDescent="0.35">
      <c r="C211" s="278">
        <v>5.0000000000000001E-3</v>
      </c>
      <c r="D211" s="10" t="s">
        <v>2056</v>
      </c>
      <c r="E211" s="10">
        <v>10</v>
      </c>
      <c r="BY211" s="11"/>
      <c r="CA211" s="35"/>
    </row>
    <row r="212" spans="1:79" hidden="1" x14ac:dyDescent="0.35">
      <c r="C212" s="278">
        <v>0.01</v>
      </c>
      <c r="D212" s="10" t="s">
        <v>1787</v>
      </c>
      <c r="E212" s="10">
        <v>20</v>
      </c>
      <c r="BY212" s="11"/>
      <c r="CA212" s="35"/>
    </row>
    <row r="213" spans="1:79" hidden="1" x14ac:dyDescent="0.35">
      <c r="C213" s="278">
        <v>1.4999999999999999E-2</v>
      </c>
      <c r="D213" s="10" t="s">
        <v>2057</v>
      </c>
      <c r="E213" s="10">
        <v>30</v>
      </c>
      <c r="BY213" s="11"/>
      <c r="CA213" s="35"/>
    </row>
    <row r="214" spans="1:79" hidden="1" x14ac:dyDescent="0.35">
      <c r="C214" s="278">
        <v>0.02</v>
      </c>
      <c r="D214" s="10" t="s">
        <v>1784</v>
      </c>
      <c r="E214" s="10">
        <v>40</v>
      </c>
      <c r="BY214" s="11"/>
      <c r="CA214" s="35"/>
    </row>
    <row r="215" spans="1:79" hidden="1" x14ac:dyDescent="0.35">
      <c r="C215" s="278">
        <v>2.5000000000000001E-2</v>
      </c>
      <c r="D215" s="10" t="s">
        <v>2058</v>
      </c>
      <c r="E215" s="10">
        <v>50</v>
      </c>
      <c r="BY215" s="11"/>
      <c r="CA215" s="35"/>
    </row>
    <row r="216" spans="1:79" hidden="1" x14ac:dyDescent="0.35">
      <c r="C216" s="278">
        <v>0.03</v>
      </c>
      <c r="D216" s="10" t="s">
        <v>1779</v>
      </c>
      <c r="E216" s="10">
        <v>60</v>
      </c>
      <c r="BY216" s="11"/>
      <c r="CA216" s="35"/>
    </row>
    <row r="217" spans="1:79" s="5" customFormat="1" hidden="1" x14ac:dyDescent="0.35">
      <c r="B217"/>
      <c r="C217" s="278">
        <v>3.5000000000000003E-2</v>
      </c>
      <c r="D217" s="10" t="s">
        <v>2059</v>
      </c>
      <c r="E217" s="10">
        <v>70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s="11"/>
      <c r="BZ217"/>
      <c r="CA217" s="35"/>
    </row>
    <row r="218" spans="1:79" hidden="1" x14ac:dyDescent="0.35">
      <c r="C218" s="278">
        <v>0.04</v>
      </c>
      <c r="D218" s="10" t="s">
        <v>1774</v>
      </c>
      <c r="E218" s="10">
        <v>80</v>
      </c>
      <c r="BY218" s="11"/>
      <c r="CA218" s="35"/>
    </row>
    <row r="219" spans="1:79" hidden="1" x14ac:dyDescent="0.35">
      <c r="C219" s="278">
        <v>4.4999999999999998E-2</v>
      </c>
      <c r="D219" s="10" t="s">
        <v>2060</v>
      </c>
      <c r="E219" s="10">
        <v>90</v>
      </c>
      <c r="BY219" s="11"/>
      <c r="CA219" s="35"/>
    </row>
    <row r="220" spans="1:79" hidden="1" x14ac:dyDescent="0.35">
      <c r="C220" s="278">
        <v>0.05</v>
      </c>
      <c r="D220" s="66" t="s">
        <v>1768</v>
      </c>
      <c r="E220" s="10">
        <v>100</v>
      </c>
      <c r="BY220" s="11"/>
      <c r="CA220" s="35"/>
    </row>
    <row r="221" spans="1:79" x14ac:dyDescent="0.35">
      <c r="BY221" s="11"/>
      <c r="CA221" s="35"/>
    </row>
    <row r="222" spans="1:79" x14ac:dyDescent="0.35">
      <c r="A222" s="11" t="s">
        <v>16</v>
      </c>
      <c r="B222" s="11" t="s">
        <v>16</v>
      </c>
      <c r="C222" s="11" t="s">
        <v>16</v>
      </c>
      <c r="D222" s="11" t="s">
        <v>16</v>
      </c>
      <c r="E222" s="25" t="s">
        <v>16</v>
      </c>
      <c r="F222" s="11" t="s">
        <v>16</v>
      </c>
      <c r="G222" s="11" t="s">
        <v>16</v>
      </c>
      <c r="H222" s="11" t="s">
        <v>16</v>
      </c>
      <c r="I222" s="11" t="s">
        <v>16</v>
      </c>
      <c r="J222" s="11" t="s">
        <v>16</v>
      </c>
      <c r="K222" s="11" t="s">
        <v>16</v>
      </c>
      <c r="L222" s="11" t="s">
        <v>16</v>
      </c>
      <c r="M222" s="11" t="s">
        <v>16</v>
      </c>
      <c r="N222" s="11" t="s">
        <v>16</v>
      </c>
      <c r="O222" s="11" t="s">
        <v>16</v>
      </c>
      <c r="P222" s="11" t="s">
        <v>16</v>
      </c>
      <c r="Q222" s="11" t="s">
        <v>16</v>
      </c>
      <c r="R222" s="11" t="s">
        <v>16</v>
      </c>
      <c r="S222" s="11" t="s">
        <v>16</v>
      </c>
      <c r="T222" s="11" t="s">
        <v>16</v>
      </c>
      <c r="U222" s="11"/>
      <c r="V222" s="11"/>
      <c r="W222" s="11"/>
      <c r="X222" s="11" t="s">
        <v>16</v>
      </c>
      <c r="Y222" s="11" t="s">
        <v>16</v>
      </c>
      <c r="Z222" s="11" t="s">
        <v>16</v>
      </c>
      <c r="AA222" s="11" t="s">
        <v>16</v>
      </c>
      <c r="AB222" s="11" t="s">
        <v>16</v>
      </c>
      <c r="AC222" s="11" t="s">
        <v>16</v>
      </c>
      <c r="AD222" s="11" t="s">
        <v>16</v>
      </c>
      <c r="AE222" s="11" t="s">
        <v>16</v>
      </c>
      <c r="AF222" s="11" t="s">
        <v>16</v>
      </c>
      <c r="AG222" s="11" t="s">
        <v>16</v>
      </c>
      <c r="AH222" s="11" t="s">
        <v>16</v>
      </c>
      <c r="AI222" s="11" t="s">
        <v>16</v>
      </c>
      <c r="AJ222" s="11" t="s">
        <v>16</v>
      </c>
      <c r="AK222" s="11" t="s">
        <v>16</v>
      </c>
      <c r="AL222" s="11" t="s">
        <v>16</v>
      </c>
      <c r="AM222" s="11" t="s">
        <v>16</v>
      </c>
      <c r="AN222" s="11" t="s">
        <v>16</v>
      </c>
      <c r="AO222" s="11" t="s">
        <v>16</v>
      </c>
      <c r="AP222" s="11" t="s">
        <v>16</v>
      </c>
      <c r="AQ222" s="11" t="s">
        <v>16</v>
      </c>
      <c r="AR222" s="11" t="s">
        <v>16</v>
      </c>
      <c r="AS222" s="11" t="s">
        <v>16</v>
      </c>
      <c r="AT222" s="11" t="s">
        <v>16</v>
      </c>
      <c r="AU222" s="11" t="s">
        <v>16</v>
      </c>
      <c r="AV222" s="11" t="s">
        <v>16</v>
      </c>
      <c r="AW222" s="11" t="s">
        <v>16</v>
      </c>
      <c r="AX222" s="11" t="s">
        <v>16</v>
      </c>
      <c r="AY222" s="11" t="s">
        <v>16</v>
      </c>
      <c r="AZ222" s="11" t="s">
        <v>16</v>
      </c>
      <c r="BA222" s="11" t="s">
        <v>16</v>
      </c>
      <c r="BB222" s="11" t="s">
        <v>16</v>
      </c>
      <c r="BC222" s="11" t="s">
        <v>16</v>
      </c>
      <c r="BD222" s="11" t="s">
        <v>16</v>
      </c>
      <c r="BE222" s="11" t="s">
        <v>16</v>
      </c>
      <c r="BF222" s="11" t="s">
        <v>16</v>
      </c>
      <c r="BG222" s="11" t="s">
        <v>16</v>
      </c>
      <c r="BH222" s="11" t="s">
        <v>16</v>
      </c>
      <c r="BI222" s="11" t="s">
        <v>16</v>
      </c>
      <c r="BJ222" s="11" t="s">
        <v>16</v>
      </c>
      <c r="BK222" s="11" t="s">
        <v>16</v>
      </c>
      <c r="BL222" s="11" t="s">
        <v>16</v>
      </c>
      <c r="BM222" s="11" t="s">
        <v>16</v>
      </c>
      <c r="BN222" s="11" t="s">
        <v>16</v>
      </c>
      <c r="BO222" s="11" t="s">
        <v>16</v>
      </c>
      <c r="BP222" s="11" t="s">
        <v>16</v>
      </c>
      <c r="BQ222" s="11" t="s">
        <v>16</v>
      </c>
      <c r="BR222" s="11" t="s">
        <v>16</v>
      </c>
      <c r="BS222" s="11" t="s">
        <v>16</v>
      </c>
      <c r="BT222" s="11" t="s">
        <v>16</v>
      </c>
      <c r="BU222" s="11" t="s">
        <v>16</v>
      </c>
      <c r="BV222" s="11" t="s">
        <v>16</v>
      </c>
      <c r="BW222" s="11" t="s">
        <v>16</v>
      </c>
      <c r="BX222" s="11" t="s">
        <v>16</v>
      </c>
      <c r="BY222" s="11" t="s">
        <v>16</v>
      </c>
      <c r="BZ222" s="11" t="s">
        <v>16</v>
      </c>
      <c r="CA222" s="11" t="s">
        <v>16</v>
      </c>
    </row>
  </sheetData>
  <sheetProtection algorithmName="SHA-512" hashValue="C0tclnyr4CKjz9JCTPIrdOblvkpx93CcjFUEPuI4h+KInNUtjTIJ9SUgBAo8pmQRQRjWUTPm9Te7rvvlNXvASg==" saltValue="2Xn4IVbyaG2wR1inA4WRqw==" spinCount="100000" sheet="1" objects="1" scenarios="1"/>
  <sortState xmlns:xlrd2="http://schemas.microsoft.com/office/spreadsheetml/2017/richdata2" ref="A144:A154">
    <sortCondition ref="A144"/>
  </sortState>
  <mergeCells count="3">
    <mergeCell ref="BY1:BY6"/>
    <mergeCell ref="CA1:CA6"/>
    <mergeCell ref="BZ4:BZ6"/>
  </mergeCells>
  <phoneticPr fontId="9" type="noConversion"/>
  <conditionalFormatting sqref="A1">
    <cfRule type="cellIs" dxfId="286" priority="1" operator="equal">
      <formula>0</formula>
    </cfRule>
    <cfRule type="cellIs" dxfId="285" priority="2" operator="greaterThan">
      <formula>0</formula>
    </cfRule>
  </conditionalFormatting>
  <pageMargins left="0.70866141732283472" right="0.70866141732283472" top="0.74803149606299213" bottom="0.74803149606299213" header="0.31496062992125984" footer="0.31496062992125984"/>
  <pageSetup paperSize="8" scale="93" orientation="portrait" r:id="rId1"/>
  <headerFooter>
    <oddHeader>&amp;C&amp;"Aptos"&amp;11&amp;K000000 OFFICIAL - FOR PUBLIC RELEASE&amp;1#_x000D_</oddHeader>
    <oddFooter>&amp;C_x000D_&amp;1#&amp;"Aptos"&amp;11&amp;K000000 OFFICIAL - FOR PUBLIC RELEASE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F94F-628C-4D0B-82E8-F4094563CB78}">
  <sheetPr codeName="Sheet6"/>
  <dimension ref="A1:E212"/>
  <sheetViews>
    <sheetView zoomScale="90" zoomScaleNormal="90" workbookViewId="0"/>
  </sheetViews>
  <sheetFormatPr defaultRowHeight="14.5" x14ac:dyDescent="0.35"/>
  <cols>
    <col min="1" max="1" width="71" bestFit="1" customWidth="1"/>
    <col min="2" max="5" width="14.81640625" bestFit="1" customWidth="1"/>
  </cols>
  <sheetData>
    <row r="1" spans="1:5" x14ac:dyDescent="0.35">
      <c r="A1" s="5" t="s">
        <v>2061</v>
      </c>
      <c r="B1" s="5" t="s">
        <v>2062</v>
      </c>
      <c r="C1" s="5" t="s">
        <v>2063</v>
      </c>
      <c r="D1" s="5" t="s">
        <v>2064</v>
      </c>
      <c r="E1" s="5" t="s">
        <v>2065</v>
      </c>
    </row>
    <row r="2" spans="1:5" x14ac:dyDescent="0.35">
      <c r="A2" s="627" t="s">
        <v>2066</v>
      </c>
      <c r="B2" s="628" t="s">
        <v>2067</v>
      </c>
      <c r="C2" s="628" t="s">
        <v>2068</v>
      </c>
      <c r="D2" s="628">
        <v>112314</v>
      </c>
      <c r="E2" s="628">
        <v>10000055</v>
      </c>
    </row>
    <row r="3" spans="1:5" x14ac:dyDescent="0.35">
      <c r="A3" s="627" t="s">
        <v>2069</v>
      </c>
      <c r="B3" s="628" t="s">
        <v>2067</v>
      </c>
      <c r="C3" s="628" t="s">
        <v>2070</v>
      </c>
      <c r="D3" s="628">
        <v>116105</v>
      </c>
      <c r="E3" s="628">
        <v>10004927</v>
      </c>
    </row>
    <row r="4" spans="1:5" x14ac:dyDescent="0.35">
      <c r="A4" s="627" t="s">
        <v>2071</v>
      </c>
      <c r="B4" s="628" t="s">
        <v>2067</v>
      </c>
      <c r="C4" s="628" t="s">
        <v>2072</v>
      </c>
      <c r="D4" s="628">
        <v>134707</v>
      </c>
      <c r="E4" s="628">
        <v>10057981</v>
      </c>
    </row>
    <row r="5" spans="1:5" x14ac:dyDescent="0.35">
      <c r="A5" s="627" t="s">
        <v>2073</v>
      </c>
      <c r="B5" s="628" t="s">
        <v>2074</v>
      </c>
      <c r="C5" s="628" t="s">
        <v>2075</v>
      </c>
      <c r="D5" s="628">
        <v>108372</v>
      </c>
      <c r="E5" s="628">
        <v>10000330</v>
      </c>
    </row>
    <row r="6" spans="1:5" x14ac:dyDescent="0.35">
      <c r="A6" s="627" t="s">
        <v>2076</v>
      </c>
      <c r="B6" s="628" t="s">
        <v>2077</v>
      </c>
      <c r="C6" s="628" t="s">
        <v>2078</v>
      </c>
      <c r="D6" s="628">
        <v>105948</v>
      </c>
      <c r="E6" s="628">
        <v>10000415</v>
      </c>
    </row>
    <row r="7" spans="1:5" x14ac:dyDescent="0.35">
      <c r="A7" s="627" t="s">
        <v>2079</v>
      </c>
      <c r="B7" s="628" t="s">
        <v>2067</v>
      </c>
      <c r="C7" s="628" t="s">
        <v>2080</v>
      </c>
      <c r="D7" s="628">
        <v>108983</v>
      </c>
      <c r="E7" s="628">
        <v>10000473</v>
      </c>
    </row>
    <row r="8" spans="1:5" x14ac:dyDescent="0.35">
      <c r="A8" s="627" t="s">
        <v>2081</v>
      </c>
      <c r="B8" s="628" t="s">
        <v>2067</v>
      </c>
      <c r="C8" s="628" t="s">
        <v>2082</v>
      </c>
      <c r="D8" s="628">
        <v>106542</v>
      </c>
      <c r="E8" s="628">
        <v>10000528</v>
      </c>
    </row>
    <row r="9" spans="1:5" x14ac:dyDescent="0.35">
      <c r="A9" s="627" t="s">
        <v>2083</v>
      </c>
      <c r="B9" s="628" t="s">
        <v>2067</v>
      </c>
      <c r="C9" s="628" t="s">
        <v>2084</v>
      </c>
      <c r="D9" s="628">
        <v>108532</v>
      </c>
      <c r="E9" s="628">
        <v>10000533</v>
      </c>
    </row>
    <row r="10" spans="1:5" x14ac:dyDescent="0.35">
      <c r="A10" s="627" t="s">
        <v>2085</v>
      </c>
      <c r="B10" s="628" t="s">
        <v>2086</v>
      </c>
      <c r="C10" s="628" t="s">
        <v>2087</v>
      </c>
      <c r="D10" s="628">
        <v>107013</v>
      </c>
      <c r="E10" s="628">
        <v>10000536</v>
      </c>
    </row>
    <row r="11" spans="1:5" x14ac:dyDescent="0.35">
      <c r="A11" s="627" t="s">
        <v>2088</v>
      </c>
      <c r="B11" s="628" t="s">
        <v>2074</v>
      </c>
      <c r="C11" s="628" t="s">
        <v>2089</v>
      </c>
      <c r="D11" s="628">
        <v>108437</v>
      </c>
      <c r="E11" s="628">
        <v>10000552</v>
      </c>
    </row>
    <row r="12" spans="1:5" x14ac:dyDescent="0.35">
      <c r="A12" s="627" t="s">
        <v>2090</v>
      </c>
      <c r="B12" s="628" t="s">
        <v>2067</v>
      </c>
      <c r="C12" s="628" t="s">
        <v>2091</v>
      </c>
      <c r="D12" s="628">
        <v>106596</v>
      </c>
      <c r="E12" s="628">
        <v>10000560</v>
      </c>
    </row>
    <row r="13" spans="1:5" x14ac:dyDescent="0.35">
      <c r="A13" s="627" t="s">
        <v>2092</v>
      </c>
      <c r="B13" s="628" t="s">
        <v>2067</v>
      </c>
      <c r="C13" s="628" t="s">
        <v>2093</v>
      </c>
      <c r="D13" s="628">
        <v>105154</v>
      </c>
      <c r="E13" s="628">
        <v>10001465</v>
      </c>
    </row>
    <row r="14" spans="1:5" x14ac:dyDescent="0.35">
      <c r="A14" s="627" t="s">
        <v>2094</v>
      </c>
      <c r="B14" s="628" t="s">
        <v>2067</v>
      </c>
      <c r="C14" s="628" t="s">
        <v>2095</v>
      </c>
      <c r="D14" s="628">
        <v>106319</v>
      </c>
      <c r="E14" s="628">
        <v>10000610</v>
      </c>
    </row>
    <row r="15" spans="1:5" x14ac:dyDescent="0.35">
      <c r="A15" s="627" t="s">
        <v>2096</v>
      </c>
      <c r="B15" s="628" t="s">
        <v>2074</v>
      </c>
      <c r="C15" s="628" t="s">
        <v>2097</v>
      </c>
      <c r="D15" s="628">
        <v>108435</v>
      </c>
      <c r="E15" s="628">
        <v>10000670</v>
      </c>
    </row>
    <row r="16" spans="1:5" x14ac:dyDescent="0.35">
      <c r="A16" s="627" t="s">
        <v>2098</v>
      </c>
      <c r="B16" s="628" t="s">
        <v>2067</v>
      </c>
      <c r="C16" s="628" t="s">
        <v>2099</v>
      </c>
      <c r="D16" s="628">
        <v>106368</v>
      </c>
      <c r="E16" s="628">
        <v>10006442</v>
      </c>
    </row>
    <row r="17" spans="1:5" x14ac:dyDescent="0.35">
      <c r="A17" s="627" t="s">
        <v>2100</v>
      </c>
      <c r="B17" s="628" t="s">
        <v>2067</v>
      </c>
      <c r="C17" s="628" t="s">
        <v>2101</v>
      </c>
      <c r="D17" s="628">
        <v>108530</v>
      </c>
      <c r="E17" s="628">
        <v>10000720</v>
      </c>
    </row>
    <row r="18" spans="1:5" x14ac:dyDescent="0.35">
      <c r="A18" s="627" t="s">
        <v>2102</v>
      </c>
      <c r="B18" s="628" t="s">
        <v>2077</v>
      </c>
      <c r="C18" s="628" t="s">
        <v>2103</v>
      </c>
      <c r="D18" s="628">
        <v>105582</v>
      </c>
      <c r="E18" s="628">
        <v>10000721</v>
      </c>
    </row>
    <row r="19" spans="1:5" x14ac:dyDescent="0.35">
      <c r="A19" s="627" t="s">
        <v>2104</v>
      </c>
      <c r="B19" s="628" t="s">
        <v>2067</v>
      </c>
      <c r="C19" s="628" t="s">
        <v>2105</v>
      </c>
      <c r="D19" s="628">
        <v>106749</v>
      </c>
      <c r="E19" s="628">
        <v>10000747</v>
      </c>
    </row>
    <row r="20" spans="1:5" x14ac:dyDescent="0.35">
      <c r="A20" s="627" t="s">
        <v>2106</v>
      </c>
      <c r="B20" s="628" t="s">
        <v>2067</v>
      </c>
      <c r="C20" s="628" t="s">
        <v>2107</v>
      </c>
      <c r="D20" s="628">
        <v>108529</v>
      </c>
      <c r="E20" s="628">
        <v>10000754</v>
      </c>
    </row>
    <row r="21" spans="1:5" x14ac:dyDescent="0.35">
      <c r="A21" s="627" t="s">
        <v>2108</v>
      </c>
      <c r="B21" s="628" t="s">
        <v>2109</v>
      </c>
      <c r="C21" s="628" t="s">
        <v>2110</v>
      </c>
      <c r="D21" s="628">
        <v>106815</v>
      </c>
      <c r="E21" s="628">
        <v>10000794</v>
      </c>
    </row>
    <row r="22" spans="1:5" x14ac:dyDescent="0.35">
      <c r="A22" s="627" t="s">
        <v>2111</v>
      </c>
      <c r="B22" s="628" t="s">
        <v>2074</v>
      </c>
      <c r="C22" s="628" t="s">
        <v>2112</v>
      </c>
      <c r="D22" s="628">
        <v>108320</v>
      </c>
      <c r="E22" s="628">
        <v>10000796</v>
      </c>
    </row>
    <row r="23" spans="1:5" x14ac:dyDescent="0.35">
      <c r="A23" s="627" t="s">
        <v>2113</v>
      </c>
      <c r="B23" s="628" t="s">
        <v>2067</v>
      </c>
      <c r="C23" s="628" t="s">
        <v>2114</v>
      </c>
      <c r="D23" s="628">
        <v>107641</v>
      </c>
      <c r="E23" s="628">
        <v>10000812</v>
      </c>
    </row>
    <row r="24" spans="1:5" x14ac:dyDescent="0.35">
      <c r="A24" s="627" t="s">
        <v>2115</v>
      </c>
      <c r="B24" s="628" t="s">
        <v>2067</v>
      </c>
      <c r="C24" s="628" t="s">
        <v>2116</v>
      </c>
      <c r="D24" s="628">
        <v>106532</v>
      </c>
      <c r="E24" s="628">
        <v>10000820</v>
      </c>
    </row>
    <row r="25" spans="1:5" x14ac:dyDescent="0.35">
      <c r="A25" s="627" t="s">
        <v>2117</v>
      </c>
      <c r="B25" s="628" t="s">
        <v>2067</v>
      </c>
      <c r="C25" s="628" t="s">
        <v>2118</v>
      </c>
      <c r="D25" s="628">
        <v>108311</v>
      </c>
      <c r="E25" s="628">
        <v>10000840</v>
      </c>
    </row>
    <row r="26" spans="1:5" x14ac:dyDescent="0.35">
      <c r="A26" s="646" t="s">
        <v>2119</v>
      </c>
      <c r="B26" s="628" t="s">
        <v>2086</v>
      </c>
      <c r="C26" s="628" t="s">
        <v>2120</v>
      </c>
      <c r="D26" s="628">
        <v>107531</v>
      </c>
      <c r="E26" s="628">
        <v>10000878</v>
      </c>
    </row>
    <row r="27" spans="1:5" x14ac:dyDescent="0.35">
      <c r="A27" s="627" t="s">
        <v>2121</v>
      </c>
      <c r="B27" s="628" t="s">
        <v>2074</v>
      </c>
      <c r="C27" s="628" t="s">
        <v>2122</v>
      </c>
      <c r="D27" s="628">
        <v>108432</v>
      </c>
      <c r="E27" s="628">
        <v>10000887</v>
      </c>
    </row>
    <row r="28" spans="1:5" x14ac:dyDescent="0.35">
      <c r="A28" s="627" t="s">
        <v>2123</v>
      </c>
      <c r="B28" s="628" t="s">
        <v>2086</v>
      </c>
      <c r="C28" s="628" t="s">
        <v>2124</v>
      </c>
      <c r="D28" s="628">
        <v>108468</v>
      </c>
      <c r="E28" s="628">
        <v>10000944</v>
      </c>
    </row>
    <row r="29" spans="1:5" x14ac:dyDescent="0.35">
      <c r="A29" s="627" t="s">
        <v>2125</v>
      </c>
      <c r="B29" s="628" t="s">
        <v>2067</v>
      </c>
      <c r="C29" s="628" t="s">
        <v>2126</v>
      </c>
      <c r="D29" s="628">
        <v>107906</v>
      </c>
      <c r="E29" s="628">
        <v>10000950</v>
      </c>
    </row>
    <row r="30" spans="1:5" x14ac:dyDescent="0.35">
      <c r="A30" s="627" t="s">
        <v>2127</v>
      </c>
      <c r="B30" s="628" t="s">
        <v>2067</v>
      </c>
      <c r="C30" s="628" t="s">
        <v>2128</v>
      </c>
      <c r="D30" s="628">
        <v>106751</v>
      </c>
      <c r="E30" s="628">
        <v>10001000</v>
      </c>
    </row>
    <row r="31" spans="1:5" x14ac:dyDescent="0.35">
      <c r="A31" s="627" t="s">
        <v>2129</v>
      </c>
      <c r="B31" s="628" t="s">
        <v>2067</v>
      </c>
      <c r="C31" s="628" t="s">
        <v>2130</v>
      </c>
      <c r="D31" s="628">
        <v>105347</v>
      </c>
      <c r="E31" s="628">
        <v>10001004</v>
      </c>
    </row>
    <row r="32" spans="1:5" x14ac:dyDescent="0.35">
      <c r="A32" s="627" t="s">
        <v>2131</v>
      </c>
      <c r="B32" s="628" t="s">
        <v>2086</v>
      </c>
      <c r="C32" s="628" t="s">
        <v>2132</v>
      </c>
      <c r="D32" s="628">
        <v>105763</v>
      </c>
      <c r="E32" s="628">
        <v>10001005</v>
      </c>
    </row>
    <row r="33" spans="1:5" x14ac:dyDescent="0.35">
      <c r="A33" s="627" t="s">
        <v>2133</v>
      </c>
      <c r="B33" s="628" t="s">
        <v>2067</v>
      </c>
      <c r="C33" s="628" t="s">
        <v>2134</v>
      </c>
      <c r="D33" s="628">
        <v>108325</v>
      </c>
      <c r="E33" s="628">
        <v>10001093</v>
      </c>
    </row>
    <row r="34" spans="1:5" x14ac:dyDescent="0.35">
      <c r="A34" s="627" t="s">
        <v>2135</v>
      </c>
      <c r="B34" s="628" t="s">
        <v>2067</v>
      </c>
      <c r="C34" s="628" t="s">
        <v>2136</v>
      </c>
      <c r="D34" s="628">
        <v>108527</v>
      </c>
      <c r="E34" s="628">
        <v>10001116</v>
      </c>
    </row>
    <row r="35" spans="1:5" x14ac:dyDescent="0.35">
      <c r="A35" s="627" t="s">
        <v>2137</v>
      </c>
      <c r="B35" s="628" t="s">
        <v>2077</v>
      </c>
      <c r="C35" s="628" t="s">
        <v>2138</v>
      </c>
      <c r="D35" s="628">
        <v>108318</v>
      </c>
      <c r="E35" s="628">
        <v>10001148</v>
      </c>
    </row>
    <row r="36" spans="1:5" x14ac:dyDescent="0.35">
      <c r="A36" s="627" t="s">
        <v>2139</v>
      </c>
      <c r="B36" s="628" t="s">
        <v>2067</v>
      </c>
      <c r="C36" s="628" t="s">
        <v>2140</v>
      </c>
      <c r="D36" s="628">
        <v>105653</v>
      </c>
      <c r="E36" s="628">
        <v>10007455</v>
      </c>
    </row>
    <row r="37" spans="1:5" x14ac:dyDescent="0.35">
      <c r="A37" s="627" t="s">
        <v>2141</v>
      </c>
      <c r="B37" s="628" t="s">
        <v>2074</v>
      </c>
      <c r="C37" s="628" t="s">
        <v>2142</v>
      </c>
      <c r="D37" s="628">
        <v>108371</v>
      </c>
      <c r="E37" s="628">
        <v>10001165</v>
      </c>
    </row>
    <row r="38" spans="1:5" x14ac:dyDescent="0.35">
      <c r="A38" s="627" t="s">
        <v>2143</v>
      </c>
      <c r="B38" s="628" t="s">
        <v>2074</v>
      </c>
      <c r="C38" s="628" t="s">
        <v>2144</v>
      </c>
      <c r="D38" s="628">
        <v>108370</v>
      </c>
      <c r="E38" s="628">
        <v>10001201</v>
      </c>
    </row>
    <row r="39" spans="1:5" x14ac:dyDescent="0.35">
      <c r="A39" s="627" t="s">
        <v>2145</v>
      </c>
      <c r="B39" s="628" t="s">
        <v>2067</v>
      </c>
      <c r="C39" s="628" t="s">
        <v>2146</v>
      </c>
      <c r="D39" s="628">
        <v>106563</v>
      </c>
      <c r="E39" s="628">
        <v>10001353</v>
      </c>
    </row>
    <row r="40" spans="1:5" x14ac:dyDescent="0.35">
      <c r="A40" s="627" t="s">
        <v>2147</v>
      </c>
      <c r="B40" s="628" t="s">
        <v>2086</v>
      </c>
      <c r="C40" s="628" t="s">
        <v>2148</v>
      </c>
      <c r="D40" s="628">
        <v>108444</v>
      </c>
      <c r="E40" s="628">
        <v>10005972</v>
      </c>
    </row>
    <row r="41" spans="1:5" x14ac:dyDescent="0.35">
      <c r="A41" s="627" t="s">
        <v>2149</v>
      </c>
      <c r="B41" s="628" t="s">
        <v>2067</v>
      </c>
      <c r="C41" s="628" t="s">
        <v>2150</v>
      </c>
      <c r="D41" s="628">
        <v>105367</v>
      </c>
      <c r="E41" s="628">
        <v>10001378</v>
      </c>
    </row>
    <row r="42" spans="1:5" x14ac:dyDescent="0.35">
      <c r="A42" s="627" t="s">
        <v>2151</v>
      </c>
      <c r="B42" s="628" t="s">
        <v>2067</v>
      </c>
      <c r="C42" s="628" t="s">
        <v>2152</v>
      </c>
      <c r="D42" s="628">
        <v>107513</v>
      </c>
      <c r="E42" s="628">
        <v>10007817</v>
      </c>
    </row>
    <row r="43" spans="1:5" x14ac:dyDescent="0.35">
      <c r="A43" s="627" t="s">
        <v>2153</v>
      </c>
      <c r="B43" s="628" t="s">
        <v>2074</v>
      </c>
      <c r="C43" s="628" t="s">
        <v>2154</v>
      </c>
      <c r="D43" s="628">
        <v>108369</v>
      </c>
      <c r="E43" s="628">
        <v>10001416</v>
      </c>
    </row>
    <row r="44" spans="1:5" x14ac:dyDescent="0.35">
      <c r="A44" s="627" t="s">
        <v>2155</v>
      </c>
      <c r="B44" s="628" t="s">
        <v>2074</v>
      </c>
      <c r="C44" s="628" t="s">
        <v>2156</v>
      </c>
      <c r="D44" s="628">
        <v>106582</v>
      </c>
      <c r="E44" s="628">
        <v>10001446</v>
      </c>
    </row>
    <row r="45" spans="1:5" x14ac:dyDescent="0.35">
      <c r="A45" s="627" t="s">
        <v>2157</v>
      </c>
      <c r="B45" s="628" t="s">
        <v>2067</v>
      </c>
      <c r="C45" s="628" t="s">
        <v>2158</v>
      </c>
      <c r="D45" s="628">
        <v>106947</v>
      </c>
      <c r="E45" s="628">
        <v>10004772</v>
      </c>
    </row>
    <row r="46" spans="1:5" x14ac:dyDescent="0.35">
      <c r="A46" s="627" t="s">
        <v>2159</v>
      </c>
      <c r="B46" s="628" t="s">
        <v>2067</v>
      </c>
      <c r="C46" s="628" t="s">
        <v>2160</v>
      </c>
      <c r="D46" s="628">
        <v>108499</v>
      </c>
      <c r="E46" s="628">
        <v>10005128</v>
      </c>
    </row>
    <row r="47" spans="1:5" x14ac:dyDescent="0.35">
      <c r="A47" s="627" t="s">
        <v>2161</v>
      </c>
      <c r="B47" s="628" t="s">
        <v>2067</v>
      </c>
      <c r="C47" s="628" t="s">
        <v>2162</v>
      </c>
      <c r="D47" s="628">
        <v>105156</v>
      </c>
      <c r="E47" s="628">
        <v>10001467</v>
      </c>
    </row>
    <row r="48" spans="1:5" x14ac:dyDescent="0.35">
      <c r="A48" s="627" t="s">
        <v>2163</v>
      </c>
      <c r="B48" s="628" t="s">
        <v>2067</v>
      </c>
      <c r="C48" s="628" t="s">
        <v>2164</v>
      </c>
      <c r="D48" s="628">
        <v>110218</v>
      </c>
      <c r="E48" s="628">
        <v>10007945</v>
      </c>
    </row>
    <row r="49" spans="1:5" x14ac:dyDescent="0.35">
      <c r="A49" s="627" t="s">
        <v>2165</v>
      </c>
      <c r="B49" s="628" t="s">
        <v>2067</v>
      </c>
      <c r="C49" s="628" t="s">
        <v>2166</v>
      </c>
      <c r="D49" s="628">
        <v>107096</v>
      </c>
      <c r="E49" s="628">
        <v>10001475</v>
      </c>
    </row>
    <row r="50" spans="1:5" x14ac:dyDescent="0.35">
      <c r="A50" s="627" t="s">
        <v>2167</v>
      </c>
      <c r="B50" s="628" t="s">
        <v>2067</v>
      </c>
      <c r="C50" s="628" t="s">
        <v>2168</v>
      </c>
      <c r="D50" s="628">
        <v>106388</v>
      </c>
      <c r="E50" s="628">
        <v>10007578</v>
      </c>
    </row>
    <row r="51" spans="1:5" x14ac:dyDescent="0.35">
      <c r="A51" s="627" t="s">
        <v>2169</v>
      </c>
      <c r="B51" s="628" t="s">
        <v>2067</v>
      </c>
      <c r="C51" s="628" t="s">
        <v>2170</v>
      </c>
      <c r="D51" s="628">
        <v>106564</v>
      </c>
      <c r="E51" s="628">
        <v>10001535</v>
      </c>
    </row>
    <row r="52" spans="1:5" x14ac:dyDescent="0.35">
      <c r="A52" s="627" t="s">
        <v>2171</v>
      </c>
      <c r="B52" s="628" t="s">
        <v>2067</v>
      </c>
      <c r="C52" s="628" t="s">
        <v>2172</v>
      </c>
      <c r="D52" s="628">
        <v>106490</v>
      </c>
      <c r="E52" s="628">
        <v>10001696</v>
      </c>
    </row>
    <row r="53" spans="1:5" x14ac:dyDescent="0.35">
      <c r="A53" s="627" t="s">
        <v>2173</v>
      </c>
      <c r="B53" s="628" t="s">
        <v>2067</v>
      </c>
      <c r="C53" s="628" t="s">
        <v>2174</v>
      </c>
      <c r="D53" s="628">
        <v>106441</v>
      </c>
      <c r="E53" s="628">
        <v>10003010</v>
      </c>
    </row>
    <row r="54" spans="1:5" x14ac:dyDescent="0.35">
      <c r="A54" s="627" t="s">
        <v>2175</v>
      </c>
      <c r="B54" s="628" t="s">
        <v>2067</v>
      </c>
      <c r="C54" s="628" t="s">
        <v>2176</v>
      </c>
      <c r="D54" s="628">
        <v>107552</v>
      </c>
      <c r="E54" s="628">
        <v>10001743</v>
      </c>
    </row>
    <row r="55" spans="1:5" x14ac:dyDescent="0.35">
      <c r="A55" s="627" t="s">
        <v>2177</v>
      </c>
      <c r="B55" s="628" t="s">
        <v>2067</v>
      </c>
      <c r="C55" s="628" t="s">
        <v>2178</v>
      </c>
      <c r="D55" s="628">
        <v>105714</v>
      </c>
      <c r="E55" s="628">
        <v>10001778</v>
      </c>
    </row>
    <row r="56" spans="1:5" x14ac:dyDescent="0.35">
      <c r="A56" s="627" t="s">
        <v>2179</v>
      </c>
      <c r="B56" s="628" t="s">
        <v>2067</v>
      </c>
      <c r="C56" s="628" t="s">
        <v>2180</v>
      </c>
      <c r="D56" s="628">
        <v>105941</v>
      </c>
      <c r="E56" s="628">
        <v>10001850</v>
      </c>
    </row>
    <row r="57" spans="1:5" x14ac:dyDescent="0.35">
      <c r="A57" s="627" t="s">
        <v>2181</v>
      </c>
      <c r="B57" s="628" t="s">
        <v>2067</v>
      </c>
      <c r="C57" s="628" t="s">
        <v>2182</v>
      </c>
      <c r="D57" s="628">
        <v>112173</v>
      </c>
      <c r="E57" s="628">
        <v>10001919</v>
      </c>
    </row>
    <row r="58" spans="1:5" x14ac:dyDescent="0.35">
      <c r="A58" s="627" t="s">
        <v>2183</v>
      </c>
      <c r="B58" s="628" t="s">
        <v>2086</v>
      </c>
      <c r="C58" s="628" t="s">
        <v>2184</v>
      </c>
      <c r="D58" s="628">
        <v>108464</v>
      </c>
      <c r="E58" s="628">
        <v>10001934</v>
      </c>
    </row>
    <row r="59" spans="1:5" x14ac:dyDescent="0.35">
      <c r="A59" s="627" t="s">
        <v>2185</v>
      </c>
      <c r="B59" s="628" t="s">
        <v>2067</v>
      </c>
      <c r="C59" s="628" t="s">
        <v>2186</v>
      </c>
      <c r="D59" s="628">
        <v>106706</v>
      </c>
      <c r="E59" s="628">
        <v>10004695</v>
      </c>
    </row>
    <row r="60" spans="1:5" x14ac:dyDescent="0.35">
      <c r="A60" s="627" t="s">
        <v>2187</v>
      </c>
      <c r="B60" s="628" t="s">
        <v>2067</v>
      </c>
      <c r="C60" s="628" t="s">
        <v>2188</v>
      </c>
      <c r="D60" s="628">
        <v>106374</v>
      </c>
      <c r="E60" s="628">
        <v>10007924</v>
      </c>
    </row>
    <row r="61" spans="1:5" x14ac:dyDescent="0.35">
      <c r="A61" s="627" t="s">
        <v>2189</v>
      </c>
      <c r="B61" s="628" t="s">
        <v>2067</v>
      </c>
      <c r="C61" s="628" t="s">
        <v>2190</v>
      </c>
      <c r="D61" s="628">
        <v>106809</v>
      </c>
      <c r="E61" s="628">
        <v>10002094</v>
      </c>
    </row>
    <row r="62" spans="1:5" x14ac:dyDescent="0.35">
      <c r="A62" s="627" t="s">
        <v>2191</v>
      </c>
      <c r="B62" s="628" t="s">
        <v>2067</v>
      </c>
      <c r="C62" s="628" t="s">
        <v>2192</v>
      </c>
      <c r="D62" s="628">
        <v>107462</v>
      </c>
      <c r="E62" s="628">
        <v>10004116</v>
      </c>
    </row>
    <row r="63" spans="1:5" x14ac:dyDescent="0.35">
      <c r="A63" s="627" t="s">
        <v>2193</v>
      </c>
      <c r="B63" s="628" t="s">
        <v>2067</v>
      </c>
      <c r="C63" s="628" t="s">
        <v>2194</v>
      </c>
      <c r="D63" s="628">
        <v>108659</v>
      </c>
      <c r="E63" s="628">
        <v>10002111</v>
      </c>
    </row>
    <row r="64" spans="1:5" x14ac:dyDescent="0.35">
      <c r="A64" s="627" t="s">
        <v>2195</v>
      </c>
      <c r="B64" s="628" t="s">
        <v>2067</v>
      </c>
      <c r="C64" s="628" t="s">
        <v>2196</v>
      </c>
      <c r="D64" s="628">
        <v>110214</v>
      </c>
      <c r="E64" s="628">
        <v>10002130</v>
      </c>
    </row>
    <row r="65" spans="1:5" x14ac:dyDescent="0.35">
      <c r="A65" s="627" t="s">
        <v>2197</v>
      </c>
      <c r="B65" s="628" t="s">
        <v>2067</v>
      </c>
      <c r="C65" s="628" t="s">
        <v>2198</v>
      </c>
      <c r="D65" s="628">
        <v>107520</v>
      </c>
      <c r="E65" s="628">
        <v>10002923</v>
      </c>
    </row>
    <row r="66" spans="1:5" x14ac:dyDescent="0.35">
      <c r="A66" s="627" t="s">
        <v>2199</v>
      </c>
      <c r="B66" s="628" t="s">
        <v>2067</v>
      </c>
      <c r="C66" s="628" t="s">
        <v>2200</v>
      </c>
      <c r="D66" s="628">
        <v>106743</v>
      </c>
      <c r="E66" s="628">
        <v>10006570</v>
      </c>
    </row>
    <row r="67" spans="1:5" x14ac:dyDescent="0.35">
      <c r="A67" s="627" t="s">
        <v>2201</v>
      </c>
      <c r="B67" s="628" t="s">
        <v>2086</v>
      </c>
      <c r="C67" s="628" t="s">
        <v>2202</v>
      </c>
      <c r="D67" s="628">
        <v>108460</v>
      </c>
      <c r="E67" s="628">
        <v>10002370</v>
      </c>
    </row>
    <row r="68" spans="1:5" x14ac:dyDescent="0.35">
      <c r="A68" s="627" t="s">
        <v>2203</v>
      </c>
      <c r="B68" s="628" t="s">
        <v>2067</v>
      </c>
      <c r="C68" s="628" t="s">
        <v>2204</v>
      </c>
      <c r="D68" s="628">
        <v>106602</v>
      </c>
      <c r="E68" s="628">
        <v>10002412</v>
      </c>
    </row>
    <row r="69" spans="1:5" x14ac:dyDescent="0.35">
      <c r="A69" s="627" t="s">
        <v>2205</v>
      </c>
      <c r="B69" s="628" t="s">
        <v>2109</v>
      </c>
      <c r="C69" s="628" t="s">
        <v>2206</v>
      </c>
      <c r="D69" s="628">
        <v>108354</v>
      </c>
      <c r="E69" s="628">
        <v>10008641</v>
      </c>
    </row>
    <row r="70" spans="1:5" x14ac:dyDescent="0.35">
      <c r="A70" s="627" t="s">
        <v>2207</v>
      </c>
      <c r="B70" s="628" t="s">
        <v>2067</v>
      </c>
      <c r="C70" s="628" t="s">
        <v>2208</v>
      </c>
      <c r="D70" s="628">
        <v>106457</v>
      </c>
      <c r="E70" s="628">
        <v>10002599</v>
      </c>
    </row>
    <row r="71" spans="1:5" x14ac:dyDescent="0.35">
      <c r="A71" s="627" t="s">
        <v>2209</v>
      </c>
      <c r="B71" s="628" t="s">
        <v>2086</v>
      </c>
      <c r="C71" s="628" t="s">
        <v>2210</v>
      </c>
      <c r="D71" s="628">
        <v>108458</v>
      </c>
      <c r="E71" s="628">
        <v>10002638</v>
      </c>
    </row>
    <row r="72" spans="1:5" x14ac:dyDescent="0.35">
      <c r="A72" s="627" t="s">
        <v>2211</v>
      </c>
      <c r="B72" s="628" t="s">
        <v>2067</v>
      </c>
      <c r="C72" s="628" t="s">
        <v>2212</v>
      </c>
      <c r="D72" s="628">
        <v>106583</v>
      </c>
      <c r="E72" s="628">
        <v>10002696</v>
      </c>
    </row>
    <row r="73" spans="1:5" x14ac:dyDescent="0.35">
      <c r="A73" s="316" t="s">
        <v>2213</v>
      </c>
      <c r="B73" s="317" t="s">
        <v>2067</v>
      </c>
      <c r="C73" s="317" t="s">
        <v>2214</v>
      </c>
      <c r="D73" s="317">
        <v>110215</v>
      </c>
      <c r="E73" s="317">
        <v>10002743</v>
      </c>
    </row>
    <row r="74" spans="1:5" x14ac:dyDescent="0.35">
      <c r="A74" s="627" t="s">
        <v>2215</v>
      </c>
      <c r="B74" s="628" t="s">
        <v>2074</v>
      </c>
      <c r="C74" s="628" t="s">
        <v>2216</v>
      </c>
      <c r="D74" s="628">
        <v>108424</v>
      </c>
      <c r="E74" s="628">
        <v>10002770</v>
      </c>
    </row>
    <row r="75" spans="1:5" x14ac:dyDescent="0.35">
      <c r="A75" s="627" t="s">
        <v>2217</v>
      </c>
      <c r="B75" s="628" t="s">
        <v>2086</v>
      </c>
      <c r="C75" s="628" t="s">
        <v>2218</v>
      </c>
      <c r="D75" s="628">
        <v>108457</v>
      </c>
      <c r="E75" s="628">
        <v>10002852</v>
      </c>
    </row>
    <row r="76" spans="1:5" x14ac:dyDescent="0.35">
      <c r="A76" s="316" t="s">
        <v>2219</v>
      </c>
      <c r="B76" s="317" t="s">
        <v>2086</v>
      </c>
      <c r="C76" s="317" t="s">
        <v>2220</v>
      </c>
      <c r="D76" s="317">
        <v>105486</v>
      </c>
      <c r="E76" s="317">
        <v>10002899</v>
      </c>
    </row>
    <row r="77" spans="1:5" x14ac:dyDescent="0.35">
      <c r="A77" s="627" t="s">
        <v>2221</v>
      </c>
      <c r="B77" s="628" t="s">
        <v>2067</v>
      </c>
      <c r="C77" s="628" t="s">
        <v>2222</v>
      </c>
      <c r="D77" s="628">
        <v>107069</v>
      </c>
      <c r="E77" s="628">
        <v>10002917</v>
      </c>
    </row>
    <row r="78" spans="1:5" x14ac:dyDescent="0.35">
      <c r="A78" s="627" t="s">
        <v>2223</v>
      </c>
      <c r="B78" s="628" t="s">
        <v>2109</v>
      </c>
      <c r="C78" s="628" t="s">
        <v>2224</v>
      </c>
      <c r="D78" s="628">
        <v>141301</v>
      </c>
      <c r="E78" s="628">
        <v>10080810</v>
      </c>
    </row>
    <row r="79" spans="1:5" x14ac:dyDescent="0.35">
      <c r="A79" s="627" t="s">
        <v>2225</v>
      </c>
      <c r="B79" s="628" t="s">
        <v>2067</v>
      </c>
      <c r="C79" s="628" t="s">
        <v>2226</v>
      </c>
      <c r="D79" s="628">
        <v>108488</v>
      </c>
      <c r="E79" s="628">
        <v>10005979</v>
      </c>
    </row>
    <row r="80" spans="1:5" x14ac:dyDescent="0.35">
      <c r="A80" s="627" t="s">
        <v>2227</v>
      </c>
      <c r="B80" s="628" t="s">
        <v>2067</v>
      </c>
      <c r="C80" s="628" t="s">
        <v>2228</v>
      </c>
      <c r="D80" s="628">
        <v>106641</v>
      </c>
      <c r="E80" s="628">
        <v>10007977</v>
      </c>
    </row>
    <row r="81" spans="1:5" x14ac:dyDescent="0.35">
      <c r="A81" s="627" t="s">
        <v>2229</v>
      </c>
      <c r="B81" s="628" t="s">
        <v>2086</v>
      </c>
      <c r="C81" s="628" t="s">
        <v>2230</v>
      </c>
      <c r="D81" s="628">
        <v>108440</v>
      </c>
      <c r="E81" s="628">
        <v>10007289</v>
      </c>
    </row>
    <row r="82" spans="1:5" x14ac:dyDescent="0.35">
      <c r="A82" s="627" t="s">
        <v>2231</v>
      </c>
      <c r="B82" s="628" t="s">
        <v>2232</v>
      </c>
      <c r="C82" s="628" t="s">
        <v>2233</v>
      </c>
      <c r="D82" s="628">
        <v>108535</v>
      </c>
      <c r="E82" s="628">
        <v>10003022</v>
      </c>
    </row>
    <row r="83" spans="1:5" x14ac:dyDescent="0.35">
      <c r="A83" s="627" t="s">
        <v>2234</v>
      </c>
      <c r="B83" s="628" t="s">
        <v>2067</v>
      </c>
      <c r="C83" s="628" t="s">
        <v>2235</v>
      </c>
      <c r="D83" s="628">
        <v>106633</v>
      </c>
      <c r="E83" s="628">
        <v>10003023</v>
      </c>
    </row>
    <row r="84" spans="1:5" x14ac:dyDescent="0.35">
      <c r="A84" s="627" t="s">
        <v>2236</v>
      </c>
      <c r="B84" s="628" t="s">
        <v>2067</v>
      </c>
      <c r="C84" s="628" t="s">
        <v>2237</v>
      </c>
      <c r="D84" s="628">
        <v>108472</v>
      </c>
      <c r="E84" s="628">
        <v>10003029</v>
      </c>
    </row>
    <row r="85" spans="1:5" x14ac:dyDescent="0.35">
      <c r="A85" s="627" t="s">
        <v>2238</v>
      </c>
      <c r="B85" s="628" t="s">
        <v>2067</v>
      </c>
      <c r="C85" s="628" t="s">
        <v>2239</v>
      </c>
      <c r="D85" s="628">
        <v>106658</v>
      </c>
      <c r="E85" s="628">
        <v>10003035</v>
      </c>
    </row>
    <row r="86" spans="1:5" x14ac:dyDescent="0.35">
      <c r="A86" s="627" t="s">
        <v>2240</v>
      </c>
      <c r="B86" s="628" t="s">
        <v>2074</v>
      </c>
      <c r="C86" s="628" t="s">
        <v>2241</v>
      </c>
      <c r="D86" s="628">
        <v>108367</v>
      </c>
      <c r="E86" s="628">
        <v>10003128</v>
      </c>
    </row>
    <row r="87" spans="1:5" x14ac:dyDescent="0.35">
      <c r="A87" s="627" t="s">
        <v>2242</v>
      </c>
      <c r="B87" s="628" t="s">
        <v>2086</v>
      </c>
      <c r="C87" s="628" t="s">
        <v>2243</v>
      </c>
      <c r="D87" s="628">
        <v>106834</v>
      </c>
      <c r="E87" s="628">
        <v>10003146</v>
      </c>
    </row>
    <row r="88" spans="1:5" x14ac:dyDescent="0.35">
      <c r="A88" s="627" t="s">
        <v>2244</v>
      </c>
      <c r="B88" s="628" t="s">
        <v>2067</v>
      </c>
      <c r="C88" s="628" t="s">
        <v>2245</v>
      </c>
      <c r="D88" s="628">
        <v>107770</v>
      </c>
      <c r="E88" s="628">
        <v>10007193</v>
      </c>
    </row>
    <row r="89" spans="1:5" x14ac:dyDescent="0.35">
      <c r="A89" s="627" t="s">
        <v>2246</v>
      </c>
      <c r="B89" s="628" t="s">
        <v>2074</v>
      </c>
      <c r="C89" s="628" t="s">
        <v>2247</v>
      </c>
      <c r="D89" s="628">
        <v>108417</v>
      </c>
      <c r="E89" s="628">
        <v>10003188</v>
      </c>
    </row>
    <row r="90" spans="1:5" x14ac:dyDescent="0.35">
      <c r="A90" s="627" t="s">
        <v>2248</v>
      </c>
      <c r="B90" s="628" t="s">
        <v>2086</v>
      </c>
      <c r="C90" s="628" t="s">
        <v>2249</v>
      </c>
      <c r="D90" s="628">
        <v>106900</v>
      </c>
      <c r="E90" s="628">
        <v>10003193</v>
      </c>
    </row>
    <row r="91" spans="1:5" x14ac:dyDescent="0.35">
      <c r="A91" s="627" t="s">
        <v>2250</v>
      </c>
      <c r="B91" s="628" t="s">
        <v>2067</v>
      </c>
      <c r="C91" s="628" t="s">
        <v>2251</v>
      </c>
      <c r="D91" s="628">
        <v>106689</v>
      </c>
      <c r="E91" s="628">
        <v>10003200</v>
      </c>
    </row>
    <row r="92" spans="1:5" x14ac:dyDescent="0.35">
      <c r="A92" s="627" t="s">
        <v>2252</v>
      </c>
      <c r="B92" s="628" t="s">
        <v>2067</v>
      </c>
      <c r="C92" s="628" t="s">
        <v>2253</v>
      </c>
      <c r="D92" s="628">
        <v>106409</v>
      </c>
      <c r="E92" s="628">
        <v>10005077</v>
      </c>
    </row>
    <row r="93" spans="1:5" x14ac:dyDescent="0.35">
      <c r="A93" s="627" t="s">
        <v>2254</v>
      </c>
      <c r="B93" s="628" t="s">
        <v>2067</v>
      </c>
      <c r="C93" s="628" t="s">
        <v>2255</v>
      </c>
      <c r="D93" s="628">
        <v>108517</v>
      </c>
      <c r="E93" s="628">
        <v>10003406</v>
      </c>
    </row>
    <row r="94" spans="1:5" x14ac:dyDescent="0.35">
      <c r="A94" s="627" t="s">
        <v>2256</v>
      </c>
      <c r="B94" s="628" t="s">
        <v>2074</v>
      </c>
      <c r="C94" s="628" t="s">
        <v>2257</v>
      </c>
      <c r="D94" s="628">
        <v>108416</v>
      </c>
      <c r="E94" s="628">
        <v>10003427</v>
      </c>
    </row>
    <row r="95" spans="1:5" x14ac:dyDescent="0.35">
      <c r="A95" s="627" t="s">
        <v>2258</v>
      </c>
      <c r="B95" s="628" t="s">
        <v>2074</v>
      </c>
      <c r="C95" s="628" t="s">
        <v>2259</v>
      </c>
      <c r="D95" s="628">
        <v>108415</v>
      </c>
      <c r="E95" s="628">
        <v>10003491</v>
      </c>
    </row>
    <row r="96" spans="1:5" x14ac:dyDescent="0.35">
      <c r="A96" s="627" t="s">
        <v>2260</v>
      </c>
      <c r="B96" s="628" t="s">
        <v>2074</v>
      </c>
      <c r="C96" s="628" t="s">
        <v>2261</v>
      </c>
      <c r="D96" s="628">
        <v>108413</v>
      </c>
      <c r="E96" s="628">
        <v>10003511</v>
      </c>
    </row>
    <row r="97" spans="1:5" x14ac:dyDescent="0.35">
      <c r="A97" s="627" t="s">
        <v>2262</v>
      </c>
      <c r="B97" s="628" t="s">
        <v>2067</v>
      </c>
      <c r="C97" s="628" t="s">
        <v>2263</v>
      </c>
      <c r="D97" s="628">
        <v>106462</v>
      </c>
      <c r="E97" s="628">
        <v>10003558</v>
      </c>
    </row>
    <row r="98" spans="1:5" x14ac:dyDescent="0.35">
      <c r="A98" s="627" t="s">
        <v>2264</v>
      </c>
      <c r="B98" s="628" t="s">
        <v>2067</v>
      </c>
      <c r="C98" s="628" t="s">
        <v>2265</v>
      </c>
      <c r="D98" s="628">
        <v>107157</v>
      </c>
      <c r="E98" s="628">
        <v>10003189</v>
      </c>
    </row>
    <row r="99" spans="1:5" x14ac:dyDescent="0.35">
      <c r="A99" s="627" t="s">
        <v>2266</v>
      </c>
      <c r="B99" s="628" t="s">
        <v>2067</v>
      </c>
      <c r="C99" s="628" t="s">
        <v>2267</v>
      </c>
      <c r="D99" s="628">
        <v>106476</v>
      </c>
      <c r="E99" s="628">
        <v>10003753</v>
      </c>
    </row>
    <row r="100" spans="1:5" x14ac:dyDescent="0.35">
      <c r="A100" s="627" t="s">
        <v>2268</v>
      </c>
      <c r="B100" s="628" t="s">
        <v>2067</v>
      </c>
      <c r="C100" s="628" t="s">
        <v>2269</v>
      </c>
      <c r="D100" s="628">
        <v>106466</v>
      </c>
      <c r="E100" s="628">
        <v>10003768</v>
      </c>
    </row>
    <row r="101" spans="1:5" x14ac:dyDescent="0.35">
      <c r="A101" s="627" t="s">
        <v>2270</v>
      </c>
      <c r="B101" s="628" t="s">
        <v>2067</v>
      </c>
      <c r="C101" s="628" t="s">
        <v>2271</v>
      </c>
      <c r="D101" s="628">
        <v>107582</v>
      </c>
      <c r="E101" s="628">
        <v>10003855</v>
      </c>
    </row>
    <row r="102" spans="1:5" x14ac:dyDescent="0.35">
      <c r="A102" s="627" t="s">
        <v>2272</v>
      </c>
      <c r="B102" s="628" t="s">
        <v>2067</v>
      </c>
      <c r="C102" s="628" t="s">
        <v>2273</v>
      </c>
      <c r="D102" s="628">
        <v>105623</v>
      </c>
      <c r="E102" s="628">
        <v>10003867</v>
      </c>
    </row>
    <row r="103" spans="1:5" x14ac:dyDescent="0.35">
      <c r="A103" s="627" t="s">
        <v>2274</v>
      </c>
      <c r="B103" s="628" t="s">
        <v>2074</v>
      </c>
      <c r="C103" s="628" t="s">
        <v>2275</v>
      </c>
      <c r="D103" s="628">
        <v>108412</v>
      </c>
      <c r="E103" s="628">
        <v>10003899</v>
      </c>
    </row>
    <row r="104" spans="1:5" x14ac:dyDescent="0.35">
      <c r="A104" s="627" t="s">
        <v>2276</v>
      </c>
      <c r="B104" s="628" t="s">
        <v>2067</v>
      </c>
      <c r="C104" s="628" t="s">
        <v>2277</v>
      </c>
      <c r="D104" s="628">
        <v>110223</v>
      </c>
      <c r="E104" s="628">
        <v>10003928</v>
      </c>
    </row>
    <row r="105" spans="1:5" x14ac:dyDescent="0.35">
      <c r="A105" s="627" t="s">
        <v>2278</v>
      </c>
      <c r="B105" s="628" t="s">
        <v>2067</v>
      </c>
      <c r="C105" s="628" t="s">
        <v>2279</v>
      </c>
      <c r="D105" s="628">
        <v>105711</v>
      </c>
      <c r="E105" s="628">
        <v>10000948</v>
      </c>
    </row>
    <row r="106" spans="1:5" x14ac:dyDescent="0.35">
      <c r="A106" s="627" t="s">
        <v>2280</v>
      </c>
      <c r="B106" s="628" t="s">
        <v>2074</v>
      </c>
      <c r="C106" s="628" t="s">
        <v>2281</v>
      </c>
      <c r="D106" s="628">
        <v>108364</v>
      </c>
      <c r="E106" s="628">
        <v>10004108</v>
      </c>
    </row>
    <row r="107" spans="1:5" x14ac:dyDescent="0.35">
      <c r="A107" s="627" t="s">
        <v>2282</v>
      </c>
      <c r="B107" s="628" t="s">
        <v>2067</v>
      </c>
      <c r="C107" s="628" t="s">
        <v>2283</v>
      </c>
      <c r="D107" s="628">
        <v>109293</v>
      </c>
      <c r="E107" s="628">
        <v>10004112</v>
      </c>
    </row>
    <row r="108" spans="1:5" x14ac:dyDescent="0.35">
      <c r="A108" s="627" t="s">
        <v>2284</v>
      </c>
      <c r="B108" s="628" t="s">
        <v>2067</v>
      </c>
      <c r="C108" s="628" t="s">
        <v>2285</v>
      </c>
      <c r="D108" s="628">
        <v>118446</v>
      </c>
      <c r="E108" s="628">
        <v>10023139</v>
      </c>
    </row>
    <row r="109" spans="1:5" x14ac:dyDescent="0.35">
      <c r="A109" s="627" t="s">
        <v>2286</v>
      </c>
      <c r="B109" s="628" t="s">
        <v>2067</v>
      </c>
      <c r="C109" s="628" t="s">
        <v>2287</v>
      </c>
      <c r="D109" s="628">
        <v>118778</v>
      </c>
      <c r="E109" s="628">
        <v>10024962</v>
      </c>
    </row>
    <row r="110" spans="1:5" x14ac:dyDescent="0.35">
      <c r="A110" s="627" t="s">
        <v>2288</v>
      </c>
      <c r="B110" s="628" t="s">
        <v>2074</v>
      </c>
      <c r="C110" s="628" t="s">
        <v>2289</v>
      </c>
      <c r="D110" s="628">
        <v>108410</v>
      </c>
      <c r="E110" s="628">
        <v>10004125</v>
      </c>
    </row>
    <row r="111" spans="1:5" x14ac:dyDescent="0.35">
      <c r="A111" s="627" t="s">
        <v>2290</v>
      </c>
      <c r="B111" s="628" t="s">
        <v>2067</v>
      </c>
      <c r="C111" s="628" t="s">
        <v>2291</v>
      </c>
      <c r="D111" s="628">
        <v>108345</v>
      </c>
      <c r="E111" s="628">
        <v>10004144</v>
      </c>
    </row>
    <row r="112" spans="1:5" x14ac:dyDescent="0.35">
      <c r="A112" s="627" t="s">
        <v>2292</v>
      </c>
      <c r="B112" s="628" t="s">
        <v>2109</v>
      </c>
      <c r="C112" s="628" t="s">
        <v>2293</v>
      </c>
      <c r="D112" s="628">
        <v>108351</v>
      </c>
      <c r="E112" s="628">
        <v>10007875</v>
      </c>
    </row>
    <row r="113" spans="1:5" x14ac:dyDescent="0.35">
      <c r="A113" s="627" t="s">
        <v>2294</v>
      </c>
      <c r="B113" s="628" t="s">
        <v>2086</v>
      </c>
      <c r="C113" s="628" t="s">
        <v>2295</v>
      </c>
      <c r="D113" s="628">
        <v>107073</v>
      </c>
      <c r="E113" s="628">
        <v>10004344</v>
      </c>
    </row>
    <row r="114" spans="1:5" x14ac:dyDescent="0.35">
      <c r="A114" s="627" t="s">
        <v>2296</v>
      </c>
      <c r="B114" s="628" t="s">
        <v>2067</v>
      </c>
      <c r="C114" s="628" t="s">
        <v>2297</v>
      </c>
      <c r="D114" s="628">
        <v>106733</v>
      </c>
      <c r="E114" s="628">
        <v>10004340</v>
      </c>
    </row>
    <row r="115" spans="1:5" x14ac:dyDescent="0.35">
      <c r="A115" s="627" t="s">
        <v>2298</v>
      </c>
      <c r="B115" s="628" t="s">
        <v>2067</v>
      </c>
      <c r="C115" s="628" t="s">
        <v>2299</v>
      </c>
      <c r="D115" s="628">
        <v>108653</v>
      </c>
      <c r="E115" s="628">
        <v>10004375</v>
      </c>
    </row>
    <row r="116" spans="1:5" x14ac:dyDescent="0.35">
      <c r="A116" s="627" t="s">
        <v>2300</v>
      </c>
      <c r="B116" s="628" t="s">
        <v>2109</v>
      </c>
      <c r="C116" s="628" t="s">
        <v>2301</v>
      </c>
      <c r="D116" s="628">
        <v>108350</v>
      </c>
      <c r="E116" s="628">
        <v>10004432</v>
      </c>
    </row>
    <row r="117" spans="1:5" x14ac:dyDescent="0.35">
      <c r="A117" s="627" t="s">
        <v>2302</v>
      </c>
      <c r="B117" s="628" t="s">
        <v>2077</v>
      </c>
      <c r="C117" s="628" t="s">
        <v>2303</v>
      </c>
      <c r="D117" s="628">
        <v>106966</v>
      </c>
      <c r="E117" s="628">
        <v>10004442</v>
      </c>
    </row>
    <row r="118" spans="1:5" x14ac:dyDescent="0.35">
      <c r="A118" s="627" t="s">
        <v>2304</v>
      </c>
      <c r="B118" s="628" t="s">
        <v>2077</v>
      </c>
      <c r="C118" s="628" t="s">
        <v>2305</v>
      </c>
      <c r="D118" s="628">
        <v>106924</v>
      </c>
      <c r="E118" s="628">
        <v>10004478</v>
      </c>
    </row>
    <row r="119" spans="1:5" x14ac:dyDescent="0.35">
      <c r="A119" s="627" t="s">
        <v>2306</v>
      </c>
      <c r="B119" s="628" t="s">
        <v>2067</v>
      </c>
      <c r="C119" s="628" t="s">
        <v>2307</v>
      </c>
      <c r="D119" s="628">
        <v>107111</v>
      </c>
      <c r="E119" s="628">
        <v>10004599</v>
      </c>
    </row>
    <row r="120" spans="1:5" x14ac:dyDescent="0.35">
      <c r="A120" s="646" t="s">
        <v>2308</v>
      </c>
      <c r="B120" s="628" t="s">
        <v>2086</v>
      </c>
      <c r="C120" s="628" t="s">
        <v>2309</v>
      </c>
      <c r="D120" s="628">
        <v>106753</v>
      </c>
      <c r="E120" s="628">
        <v>10004552</v>
      </c>
    </row>
    <row r="121" spans="1:5" x14ac:dyDescent="0.35">
      <c r="A121" s="627" t="s">
        <v>2310</v>
      </c>
      <c r="B121" s="628" t="s">
        <v>2067</v>
      </c>
      <c r="C121" s="628" t="s">
        <v>2311</v>
      </c>
      <c r="D121" s="628">
        <v>106556</v>
      </c>
      <c r="E121" s="628">
        <v>10006963</v>
      </c>
    </row>
    <row r="122" spans="1:5" x14ac:dyDescent="0.35">
      <c r="A122" s="627" t="s">
        <v>2312</v>
      </c>
      <c r="B122" s="628" t="s">
        <v>2067</v>
      </c>
      <c r="C122" s="628" t="s">
        <v>2313</v>
      </c>
      <c r="D122" s="628">
        <v>108661</v>
      </c>
      <c r="E122" s="628">
        <v>10004576</v>
      </c>
    </row>
    <row r="123" spans="1:5" x14ac:dyDescent="0.35">
      <c r="A123" s="627" t="s">
        <v>2314</v>
      </c>
      <c r="B123" s="628" t="s">
        <v>2067</v>
      </c>
      <c r="C123" s="628" t="s">
        <v>2315</v>
      </c>
      <c r="D123" s="628">
        <v>107178</v>
      </c>
      <c r="E123" s="628">
        <v>10004579</v>
      </c>
    </row>
    <row r="124" spans="1:5" x14ac:dyDescent="0.35">
      <c r="A124" s="627" t="s">
        <v>2316</v>
      </c>
      <c r="B124" s="628" t="s">
        <v>2067</v>
      </c>
      <c r="C124" s="628" t="s">
        <v>2317</v>
      </c>
      <c r="D124" s="628">
        <v>110221</v>
      </c>
      <c r="E124" s="628">
        <v>10004596</v>
      </c>
    </row>
    <row r="125" spans="1:5" x14ac:dyDescent="0.35">
      <c r="A125" s="627" t="s">
        <v>2318</v>
      </c>
      <c r="B125" s="628" t="s">
        <v>2067</v>
      </c>
      <c r="C125" s="628" t="s">
        <v>2319</v>
      </c>
      <c r="D125" s="628">
        <v>106068</v>
      </c>
      <c r="E125" s="628">
        <v>10004603</v>
      </c>
    </row>
    <row r="126" spans="1:5" x14ac:dyDescent="0.35">
      <c r="A126" s="627" t="s">
        <v>2320</v>
      </c>
      <c r="B126" s="628" t="s">
        <v>2067</v>
      </c>
      <c r="C126" s="628" t="s">
        <v>2321</v>
      </c>
      <c r="D126" s="628">
        <v>108507</v>
      </c>
      <c r="E126" s="628">
        <v>10004607</v>
      </c>
    </row>
    <row r="127" spans="1:5" x14ac:dyDescent="0.35">
      <c r="A127" s="627" t="s">
        <v>2322</v>
      </c>
      <c r="B127" s="628" t="s">
        <v>2067</v>
      </c>
      <c r="C127" s="628" t="s">
        <v>2323</v>
      </c>
      <c r="D127" s="628">
        <v>108505</v>
      </c>
      <c r="E127" s="628">
        <v>10004686</v>
      </c>
    </row>
    <row r="128" spans="1:5" x14ac:dyDescent="0.35">
      <c r="A128" s="627" t="s">
        <v>2324</v>
      </c>
      <c r="B128" s="628" t="s">
        <v>2067</v>
      </c>
      <c r="C128" s="628" t="s">
        <v>2325</v>
      </c>
      <c r="D128" s="628">
        <v>105010</v>
      </c>
      <c r="E128" s="628">
        <v>10004690</v>
      </c>
    </row>
    <row r="129" spans="1:5" x14ac:dyDescent="0.35">
      <c r="A129" s="629" t="s">
        <v>2326</v>
      </c>
      <c r="B129" s="628" t="s">
        <v>2067</v>
      </c>
      <c r="C129" s="628" t="s">
        <v>2327</v>
      </c>
      <c r="D129" s="628">
        <v>106734</v>
      </c>
      <c r="E129" s="628">
        <v>10004721</v>
      </c>
    </row>
    <row r="130" spans="1:5" x14ac:dyDescent="0.35">
      <c r="A130" s="627" t="s">
        <v>2328</v>
      </c>
      <c r="B130" s="628" t="s">
        <v>2067</v>
      </c>
      <c r="C130" s="628" t="s">
        <v>2329</v>
      </c>
      <c r="D130" s="628">
        <v>106442</v>
      </c>
      <c r="E130" s="628">
        <v>10004718</v>
      </c>
    </row>
    <row r="131" spans="1:5" x14ac:dyDescent="0.35">
      <c r="A131" s="627" t="s">
        <v>2330</v>
      </c>
      <c r="B131" s="628" t="s">
        <v>2067</v>
      </c>
      <c r="C131" s="628" t="s">
        <v>2331</v>
      </c>
      <c r="D131" s="628">
        <v>106970</v>
      </c>
      <c r="E131" s="628">
        <v>10007011</v>
      </c>
    </row>
    <row r="132" spans="1:5" x14ac:dyDescent="0.35">
      <c r="A132" s="627" t="s">
        <v>2332</v>
      </c>
      <c r="B132" s="628" t="s">
        <v>2109</v>
      </c>
      <c r="C132" s="628" t="s">
        <v>2333</v>
      </c>
      <c r="D132" s="628">
        <v>108314</v>
      </c>
      <c r="E132" s="628">
        <v>10004739</v>
      </c>
    </row>
    <row r="133" spans="1:5" x14ac:dyDescent="0.35">
      <c r="A133" s="627" t="s">
        <v>2334</v>
      </c>
      <c r="B133" s="628" t="s">
        <v>2074</v>
      </c>
      <c r="C133" s="628" t="s">
        <v>2335</v>
      </c>
      <c r="D133" s="628">
        <v>108362</v>
      </c>
      <c r="E133" s="628">
        <v>10004785</v>
      </c>
    </row>
    <row r="134" spans="1:5" x14ac:dyDescent="0.35">
      <c r="A134" s="627" t="s">
        <v>2336</v>
      </c>
      <c r="B134" s="628" t="s">
        <v>2067</v>
      </c>
      <c r="C134" s="628" t="s">
        <v>2337</v>
      </c>
      <c r="D134" s="628">
        <v>106985</v>
      </c>
      <c r="E134" s="628">
        <v>10004577</v>
      </c>
    </row>
    <row r="135" spans="1:5" x14ac:dyDescent="0.35">
      <c r="A135" s="627" t="s">
        <v>2338</v>
      </c>
      <c r="B135" s="628" t="s">
        <v>2067</v>
      </c>
      <c r="C135" s="628" t="s">
        <v>2339</v>
      </c>
      <c r="D135" s="628">
        <v>108498</v>
      </c>
      <c r="E135" s="628">
        <v>10004835</v>
      </c>
    </row>
    <row r="136" spans="1:5" x14ac:dyDescent="0.35">
      <c r="A136" s="627" t="s">
        <v>2340</v>
      </c>
      <c r="B136" s="628" t="s">
        <v>2074</v>
      </c>
      <c r="C136" s="628" t="s">
        <v>2341</v>
      </c>
      <c r="D136" s="628">
        <v>108405</v>
      </c>
      <c r="E136" s="628">
        <v>10005072</v>
      </c>
    </row>
    <row r="137" spans="1:5" x14ac:dyDescent="0.35">
      <c r="A137" s="627" t="s">
        <v>2342</v>
      </c>
      <c r="B137" s="628" t="s">
        <v>2086</v>
      </c>
      <c r="C137" s="628" t="s">
        <v>2343</v>
      </c>
      <c r="D137" s="628">
        <v>106509</v>
      </c>
      <c r="E137" s="628">
        <v>10004676</v>
      </c>
    </row>
    <row r="138" spans="1:5" x14ac:dyDescent="0.35">
      <c r="A138" s="627" t="s">
        <v>2344</v>
      </c>
      <c r="B138" s="628" t="s">
        <v>2077</v>
      </c>
      <c r="C138" s="628" t="s">
        <v>2345</v>
      </c>
      <c r="D138" s="628">
        <v>107525</v>
      </c>
      <c r="E138" s="628">
        <v>10005124</v>
      </c>
    </row>
    <row r="139" spans="1:5" x14ac:dyDescent="0.35">
      <c r="A139" s="627" t="s">
        <v>2346</v>
      </c>
      <c r="B139" s="628" t="s">
        <v>2086</v>
      </c>
      <c r="C139" s="628" t="s">
        <v>2347</v>
      </c>
      <c r="D139" s="628">
        <v>108623</v>
      </c>
      <c r="E139" s="628">
        <v>10005200</v>
      </c>
    </row>
    <row r="140" spans="1:5" x14ac:dyDescent="0.35">
      <c r="A140" s="627" t="s">
        <v>2348</v>
      </c>
      <c r="B140" s="628" t="s">
        <v>2077</v>
      </c>
      <c r="C140" s="628" t="s">
        <v>2349</v>
      </c>
      <c r="D140" s="628">
        <v>105301</v>
      </c>
      <c r="E140" s="628">
        <v>10005404</v>
      </c>
    </row>
    <row r="141" spans="1:5" x14ac:dyDescent="0.35">
      <c r="A141" s="627" t="s">
        <v>2350</v>
      </c>
      <c r="B141" s="628" t="s">
        <v>2109</v>
      </c>
      <c r="C141" s="628" t="s">
        <v>2351</v>
      </c>
      <c r="D141" s="628">
        <v>108353</v>
      </c>
      <c r="E141" s="628">
        <v>10003088</v>
      </c>
    </row>
    <row r="142" spans="1:5" x14ac:dyDescent="0.35">
      <c r="A142" s="627" t="s">
        <v>2352</v>
      </c>
      <c r="B142" s="628" t="s">
        <v>2067</v>
      </c>
      <c r="C142" s="628" t="s">
        <v>2353</v>
      </c>
      <c r="D142" s="628">
        <v>106896</v>
      </c>
      <c r="E142" s="628">
        <v>10002863</v>
      </c>
    </row>
    <row r="143" spans="1:5" x14ac:dyDescent="0.35">
      <c r="A143" s="627" t="s">
        <v>2354</v>
      </c>
      <c r="B143" s="628" t="s">
        <v>2067</v>
      </c>
      <c r="C143" s="628" t="s">
        <v>2355</v>
      </c>
      <c r="D143" s="628">
        <v>108493</v>
      </c>
      <c r="E143" s="628">
        <v>10005534</v>
      </c>
    </row>
    <row r="144" spans="1:5" x14ac:dyDescent="0.35">
      <c r="A144" s="627" t="s">
        <v>2356</v>
      </c>
      <c r="B144" s="628" t="s">
        <v>2086</v>
      </c>
      <c r="C144" s="628" t="s">
        <v>2357</v>
      </c>
      <c r="D144" s="628">
        <v>108625</v>
      </c>
      <c r="E144" s="628">
        <v>10005575</v>
      </c>
    </row>
    <row r="145" spans="1:5" x14ac:dyDescent="0.35">
      <c r="A145" s="627" t="s">
        <v>2358</v>
      </c>
      <c r="B145" s="628" t="s">
        <v>2109</v>
      </c>
      <c r="C145" s="628" t="s">
        <v>2359</v>
      </c>
      <c r="D145" s="628">
        <v>108348</v>
      </c>
      <c r="E145" s="628">
        <v>10005583</v>
      </c>
    </row>
    <row r="146" spans="1:5" x14ac:dyDescent="0.35">
      <c r="A146" s="627" t="s">
        <v>2360</v>
      </c>
      <c r="B146" s="628" t="s">
        <v>2067</v>
      </c>
      <c r="C146" s="628" t="s">
        <v>2361</v>
      </c>
      <c r="D146" s="628">
        <v>108406</v>
      </c>
      <c r="E146" s="628">
        <v>10005032</v>
      </c>
    </row>
    <row r="147" spans="1:5" x14ac:dyDescent="0.35">
      <c r="A147" s="627" t="s">
        <v>2362</v>
      </c>
      <c r="B147" s="628" t="s">
        <v>2067</v>
      </c>
      <c r="C147" s="628" t="s">
        <v>2363</v>
      </c>
      <c r="D147" s="628">
        <v>105110</v>
      </c>
      <c r="E147" s="628">
        <v>10005669</v>
      </c>
    </row>
    <row r="148" spans="1:5" x14ac:dyDescent="0.35">
      <c r="A148" s="627" t="s">
        <v>2364</v>
      </c>
      <c r="B148" s="628" t="s">
        <v>2074</v>
      </c>
      <c r="C148" s="628" t="s">
        <v>2365</v>
      </c>
      <c r="D148" s="628">
        <v>108396</v>
      </c>
      <c r="E148" s="628">
        <v>10005687</v>
      </c>
    </row>
    <row r="149" spans="1:5" x14ac:dyDescent="0.35">
      <c r="A149" s="627" t="s">
        <v>2366</v>
      </c>
      <c r="B149" s="628" t="s">
        <v>2086</v>
      </c>
      <c r="C149" s="628" t="s">
        <v>2367</v>
      </c>
      <c r="D149" s="628">
        <v>106996</v>
      </c>
      <c r="E149" s="628">
        <v>10005788</v>
      </c>
    </row>
    <row r="150" spans="1:5" x14ac:dyDescent="0.35">
      <c r="A150" s="627" t="s">
        <v>2368</v>
      </c>
      <c r="B150" s="628" t="s">
        <v>2067</v>
      </c>
      <c r="C150" s="628" t="s">
        <v>2369</v>
      </c>
      <c r="D150" s="628">
        <v>107170</v>
      </c>
      <c r="E150" s="628">
        <v>10005810</v>
      </c>
    </row>
    <row r="151" spans="1:5" x14ac:dyDescent="0.35">
      <c r="A151" s="646" t="s">
        <v>2370</v>
      </c>
      <c r="B151" s="628" t="s">
        <v>2074</v>
      </c>
      <c r="C151" s="628" t="s">
        <v>2371</v>
      </c>
      <c r="D151" s="628">
        <v>108391</v>
      </c>
      <c r="E151" s="628">
        <v>10005822</v>
      </c>
    </row>
    <row r="152" spans="1:5" x14ac:dyDescent="0.35">
      <c r="A152" s="627" t="s">
        <v>2372</v>
      </c>
      <c r="B152" s="628" t="s">
        <v>2074</v>
      </c>
      <c r="C152" s="628" t="s">
        <v>2373</v>
      </c>
      <c r="D152" s="628">
        <v>108393</v>
      </c>
      <c r="E152" s="628">
        <v>10005859</v>
      </c>
    </row>
    <row r="153" spans="1:5" x14ac:dyDescent="0.35">
      <c r="A153" s="627" t="s">
        <v>2374</v>
      </c>
      <c r="B153" s="628" t="s">
        <v>2067</v>
      </c>
      <c r="C153" s="628" t="s">
        <v>2375</v>
      </c>
      <c r="D153" s="628">
        <v>106366</v>
      </c>
      <c r="E153" s="628">
        <v>10005946</v>
      </c>
    </row>
    <row r="154" spans="1:5" x14ac:dyDescent="0.35">
      <c r="A154" s="627" t="s">
        <v>2376</v>
      </c>
      <c r="B154" s="628" t="s">
        <v>2067</v>
      </c>
      <c r="C154" s="628" t="s">
        <v>2377</v>
      </c>
      <c r="D154" s="628">
        <v>105074</v>
      </c>
      <c r="E154" s="628">
        <v>10005967</v>
      </c>
    </row>
    <row r="155" spans="1:5" x14ac:dyDescent="0.35">
      <c r="A155" s="627" t="s">
        <v>2378</v>
      </c>
      <c r="B155" s="628" t="s">
        <v>2109</v>
      </c>
      <c r="C155" s="628" t="s">
        <v>2379</v>
      </c>
      <c r="D155" s="628">
        <v>106790</v>
      </c>
      <c r="E155" s="628">
        <v>10003755</v>
      </c>
    </row>
    <row r="156" spans="1:5" x14ac:dyDescent="0.35">
      <c r="A156" s="627" t="s">
        <v>2380</v>
      </c>
      <c r="B156" s="628" t="s">
        <v>2067</v>
      </c>
      <c r="C156" s="628" t="s">
        <v>2381</v>
      </c>
      <c r="D156" s="628">
        <v>108487</v>
      </c>
      <c r="E156" s="628">
        <v>10005977</v>
      </c>
    </row>
    <row r="157" spans="1:5" x14ac:dyDescent="0.35">
      <c r="A157" s="627" t="s">
        <v>2382</v>
      </c>
      <c r="B157" s="628" t="s">
        <v>2067</v>
      </c>
      <c r="C157" s="628" t="s">
        <v>2383</v>
      </c>
      <c r="D157" s="628">
        <v>106569</v>
      </c>
      <c r="E157" s="628">
        <v>10005981</v>
      </c>
    </row>
    <row r="158" spans="1:5" x14ac:dyDescent="0.35">
      <c r="A158" s="627" t="s">
        <v>2384</v>
      </c>
      <c r="B158" s="628" t="s">
        <v>2067</v>
      </c>
      <c r="C158" s="628" t="s">
        <v>2385</v>
      </c>
      <c r="D158" s="628">
        <v>121223</v>
      </c>
      <c r="E158" s="628">
        <v>10036143</v>
      </c>
    </row>
    <row r="159" spans="1:5" x14ac:dyDescent="0.35">
      <c r="A159" s="627" t="s">
        <v>2386</v>
      </c>
      <c r="B159" s="628" t="s">
        <v>2067</v>
      </c>
      <c r="C159" s="628" t="s">
        <v>2387</v>
      </c>
      <c r="D159" s="628">
        <v>108459</v>
      </c>
      <c r="E159" s="628">
        <v>10007928</v>
      </c>
    </row>
    <row r="160" spans="1:5" x14ac:dyDescent="0.35">
      <c r="A160" s="627" t="s">
        <v>2388</v>
      </c>
      <c r="B160" s="628" t="s">
        <v>2067</v>
      </c>
      <c r="C160" s="628" t="s">
        <v>2389</v>
      </c>
      <c r="D160" s="628">
        <v>118791</v>
      </c>
      <c r="E160" s="628">
        <v>10023526</v>
      </c>
    </row>
    <row r="161" spans="1:5" x14ac:dyDescent="0.35">
      <c r="A161" s="627" t="s">
        <v>2390</v>
      </c>
      <c r="B161" s="628" t="s">
        <v>2067</v>
      </c>
      <c r="C161" s="628" t="s">
        <v>2391</v>
      </c>
      <c r="D161" s="628">
        <v>108514</v>
      </c>
      <c r="E161" s="628">
        <v>10003674</v>
      </c>
    </row>
    <row r="162" spans="1:5" x14ac:dyDescent="0.35">
      <c r="A162" s="627" t="s">
        <v>2392</v>
      </c>
      <c r="B162" s="628" t="s">
        <v>2067</v>
      </c>
      <c r="C162" s="628" t="s">
        <v>2393</v>
      </c>
      <c r="D162" s="628">
        <v>106934</v>
      </c>
      <c r="E162" s="628">
        <v>10006038</v>
      </c>
    </row>
    <row r="163" spans="1:5" x14ac:dyDescent="0.35">
      <c r="A163" s="627" t="s">
        <v>2394</v>
      </c>
      <c r="B163" s="628" t="s">
        <v>2077</v>
      </c>
      <c r="C163" s="628" t="s">
        <v>2395</v>
      </c>
      <c r="D163" s="628">
        <v>106618</v>
      </c>
      <c r="E163" s="628">
        <v>10006050</v>
      </c>
    </row>
    <row r="164" spans="1:5" x14ac:dyDescent="0.35">
      <c r="A164" s="627" t="s">
        <v>2396</v>
      </c>
      <c r="B164" s="628" t="s">
        <v>2074</v>
      </c>
      <c r="C164" s="628" t="s">
        <v>2397</v>
      </c>
      <c r="D164" s="628">
        <v>108361</v>
      </c>
      <c r="E164" s="628">
        <v>10006130</v>
      </c>
    </row>
    <row r="165" spans="1:5" x14ac:dyDescent="0.35">
      <c r="A165" s="627" t="s">
        <v>2398</v>
      </c>
      <c r="B165" s="628" t="s">
        <v>2074</v>
      </c>
      <c r="C165" s="628" t="s">
        <v>2399</v>
      </c>
      <c r="D165" s="628">
        <v>108360</v>
      </c>
      <c r="E165" s="628">
        <v>10006135</v>
      </c>
    </row>
    <row r="166" spans="1:5" x14ac:dyDescent="0.35">
      <c r="A166" s="627" t="s">
        <v>2400</v>
      </c>
      <c r="B166" s="628" t="s">
        <v>2074</v>
      </c>
      <c r="C166" s="628" t="s">
        <v>2401</v>
      </c>
      <c r="D166" s="628">
        <v>108359</v>
      </c>
      <c r="E166" s="628">
        <v>10006148</v>
      </c>
    </row>
    <row r="167" spans="1:5" x14ac:dyDescent="0.35">
      <c r="A167" s="627" t="s">
        <v>2402</v>
      </c>
      <c r="B167" s="628" t="s">
        <v>2074</v>
      </c>
      <c r="C167" s="628" t="s">
        <v>2403</v>
      </c>
      <c r="D167" s="628">
        <v>108358</v>
      </c>
      <c r="E167" s="628">
        <v>10008007</v>
      </c>
    </row>
    <row r="168" spans="1:5" x14ac:dyDescent="0.35">
      <c r="A168" s="627" t="s">
        <v>2404</v>
      </c>
      <c r="B168" s="628" t="s">
        <v>2067</v>
      </c>
      <c r="C168" s="628" t="s">
        <v>2405</v>
      </c>
      <c r="D168" s="628">
        <v>105907</v>
      </c>
      <c r="E168" s="628">
        <v>10006174</v>
      </c>
    </row>
    <row r="169" spans="1:5" x14ac:dyDescent="0.35">
      <c r="A169" s="627" t="s">
        <v>2406</v>
      </c>
      <c r="B169" s="628" t="s">
        <v>2074</v>
      </c>
      <c r="C169" s="628" t="s">
        <v>2407</v>
      </c>
      <c r="D169" s="628">
        <v>108328</v>
      </c>
      <c r="E169" s="628">
        <v>10006195</v>
      </c>
    </row>
    <row r="170" spans="1:5" x14ac:dyDescent="0.35">
      <c r="A170" s="627" t="s">
        <v>2408</v>
      </c>
      <c r="B170" s="628" t="s">
        <v>2086</v>
      </c>
      <c r="C170" s="628" t="s">
        <v>2409</v>
      </c>
      <c r="D170" s="628">
        <v>108462</v>
      </c>
      <c r="E170" s="628">
        <v>10009439</v>
      </c>
    </row>
    <row r="171" spans="1:5" x14ac:dyDescent="0.35">
      <c r="A171" s="627" t="s">
        <v>2410</v>
      </c>
      <c r="B171" s="628" t="s">
        <v>2067</v>
      </c>
      <c r="C171" s="628" t="s">
        <v>2411</v>
      </c>
      <c r="D171" s="628">
        <v>107044</v>
      </c>
      <c r="E171" s="628">
        <v>10006349</v>
      </c>
    </row>
    <row r="172" spans="1:5" x14ac:dyDescent="0.35">
      <c r="A172" s="627" t="s">
        <v>2412</v>
      </c>
      <c r="B172" s="628" t="s">
        <v>2067</v>
      </c>
      <c r="C172" s="628" t="s">
        <v>2413</v>
      </c>
      <c r="D172" s="628">
        <v>107059</v>
      </c>
      <c r="E172" s="628">
        <v>10006398</v>
      </c>
    </row>
    <row r="173" spans="1:5" x14ac:dyDescent="0.35">
      <c r="A173" s="627" t="s">
        <v>2414</v>
      </c>
      <c r="B173" s="628" t="s">
        <v>2067</v>
      </c>
      <c r="C173" s="628" t="s">
        <v>2415</v>
      </c>
      <c r="D173" s="628">
        <v>106868</v>
      </c>
      <c r="E173" s="628">
        <v>10006494</v>
      </c>
    </row>
    <row r="174" spans="1:5" x14ac:dyDescent="0.35">
      <c r="A174" s="627" t="s">
        <v>2416</v>
      </c>
      <c r="B174" s="628" t="s">
        <v>2067</v>
      </c>
      <c r="C174" s="628" t="s">
        <v>2417</v>
      </c>
      <c r="D174" s="628">
        <v>107632</v>
      </c>
      <c r="E174" s="628">
        <v>10007938</v>
      </c>
    </row>
    <row r="175" spans="1:5" x14ac:dyDescent="0.35">
      <c r="A175" s="627" t="s">
        <v>2418</v>
      </c>
      <c r="B175" s="628" t="s">
        <v>2067</v>
      </c>
      <c r="C175" s="628" t="s">
        <v>2419</v>
      </c>
      <c r="D175" s="628">
        <v>107010</v>
      </c>
      <c r="E175" s="628">
        <v>10006549</v>
      </c>
    </row>
    <row r="176" spans="1:5" x14ac:dyDescent="0.35">
      <c r="A176" s="627" t="s">
        <v>2420</v>
      </c>
      <c r="B176" s="628" t="s">
        <v>2109</v>
      </c>
      <c r="C176" s="628" t="s">
        <v>2421</v>
      </c>
      <c r="D176" s="628">
        <v>108356</v>
      </c>
      <c r="E176" s="628">
        <v>10001463</v>
      </c>
    </row>
    <row r="177" spans="1:5" x14ac:dyDescent="0.35">
      <c r="A177" s="627" t="s">
        <v>2422</v>
      </c>
      <c r="B177" s="628" t="s">
        <v>2067</v>
      </c>
      <c r="C177" s="628" t="s">
        <v>2423</v>
      </c>
      <c r="D177" s="628">
        <v>106915</v>
      </c>
      <c r="E177" s="628">
        <v>10003955</v>
      </c>
    </row>
    <row r="178" spans="1:5" x14ac:dyDescent="0.35">
      <c r="A178" s="627" t="s">
        <v>2424</v>
      </c>
      <c r="B178" s="628" t="s">
        <v>2067</v>
      </c>
      <c r="C178" s="628" t="s">
        <v>2425</v>
      </c>
      <c r="D178" s="628">
        <v>105939</v>
      </c>
      <c r="E178" s="628">
        <v>10007916</v>
      </c>
    </row>
    <row r="179" spans="1:5" x14ac:dyDescent="0.35">
      <c r="A179" s="627" t="s">
        <v>2426</v>
      </c>
      <c r="B179" s="628" t="s">
        <v>2067</v>
      </c>
      <c r="C179" s="628" t="s">
        <v>2427</v>
      </c>
      <c r="D179" s="628">
        <v>107083</v>
      </c>
      <c r="E179" s="628">
        <v>10006341</v>
      </c>
    </row>
    <row r="180" spans="1:5" x14ac:dyDescent="0.35">
      <c r="A180" s="627" t="s">
        <v>2428</v>
      </c>
      <c r="B180" s="628" t="s">
        <v>2074</v>
      </c>
      <c r="C180" s="628" t="s">
        <v>2429</v>
      </c>
      <c r="D180" s="628">
        <v>105028</v>
      </c>
      <c r="E180" s="628">
        <v>10003011</v>
      </c>
    </row>
    <row r="181" spans="1:5" x14ac:dyDescent="0.35">
      <c r="A181" s="627" t="s">
        <v>2430</v>
      </c>
      <c r="B181" s="628" t="s">
        <v>2232</v>
      </c>
      <c r="C181" s="628" t="s">
        <v>2431</v>
      </c>
      <c r="D181" s="628">
        <v>108536</v>
      </c>
      <c r="E181" s="628">
        <v>10001503</v>
      </c>
    </row>
    <row r="182" spans="1:5" x14ac:dyDescent="0.35">
      <c r="A182" s="627" t="s">
        <v>2432</v>
      </c>
      <c r="B182" s="628" t="s">
        <v>2067</v>
      </c>
      <c r="C182" s="628" t="s">
        <v>2433</v>
      </c>
      <c r="D182" s="628">
        <v>110734</v>
      </c>
      <c r="E182" s="628">
        <v>10006770</v>
      </c>
    </row>
    <row r="183" spans="1:5" x14ac:dyDescent="0.35">
      <c r="A183" s="627" t="s">
        <v>2434</v>
      </c>
      <c r="B183" s="628" t="s">
        <v>2067</v>
      </c>
      <c r="C183" s="628" t="s">
        <v>2435</v>
      </c>
      <c r="D183" s="628">
        <v>108484</v>
      </c>
      <c r="E183" s="628">
        <v>10005998</v>
      </c>
    </row>
    <row r="184" spans="1:5" x14ac:dyDescent="0.35">
      <c r="A184" s="627" t="s">
        <v>2436</v>
      </c>
      <c r="B184" s="628" t="s">
        <v>2067</v>
      </c>
      <c r="C184" s="628" t="s">
        <v>2437</v>
      </c>
      <c r="D184" s="628">
        <v>107745</v>
      </c>
      <c r="E184" s="628">
        <v>10002107</v>
      </c>
    </row>
    <row r="185" spans="1:5" x14ac:dyDescent="0.35">
      <c r="A185" s="627" t="s">
        <v>2438</v>
      </c>
      <c r="B185" s="628" t="s">
        <v>2086</v>
      </c>
      <c r="C185" s="628" t="s">
        <v>2439</v>
      </c>
      <c r="D185" s="628">
        <v>108441</v>
      </c>
      <c r="E185" s="628">
        <v>10007063</v>
      </c>
    </row>
    <row r="186" spans="1:5" x14ac:dyDescent="0.35">
      <c r="A186" s="627" t="s">
        <v>2440</v>
      </c>
      <c r="B186" s="628" t="s">
        <v>2086</v>
      </c>
      <c r="C186" s="628" t="s">
        <v>2441</v>
      </c>
      <c r="D186" s="628">
        <v>107121</v>
      </c>
      <c r="E186" s="628">
        <v>10005999</v>
      </c>
    </row>
    <row r="187" spans="1:5" x14ac:dyDescent="0.35">
      <c r="A187" s="627" t="s">
        <v>2442</v>
      </c>
      <c r="B187" s="628" t="s">
        <v>2067</v>
      </c>
      <c r="C187" s="628" t="s">
        <v>2443</v>
      </c>
      <c r="D187" s="628">
        <v>108340</v>
      </c>
      <c r="E187" s="628">
        <v>10005736</v>
      </c>
    </row>
    <row r="188" spans="1:5" x14ac:dyDescent="0.35">
      <c r="A188" s="627" t="s">
        <v>2444</v>
      </c>
      <c r="B188" s="628" t="s">
        <v>2067</v>
      </c>
      <c r="C188" s="628" t="s">
        <v>2445</v>
      </c>
      <c r="D188" s="628">
        <v>108526</v>
      </c>
      <c r="E188" s="628">
        <v>10001476</v>
      </c>
    </row>
    <row r="189" spans="1:5" x14ac:dyDescent="0.35">
      <c r="A189" s="627" t="s">
        <v>2446</v>
      </c>
      <c r="B189" s="628" t="s">
        <v>2074</v>
      </c>
      <c r="C189" s="628" t="s">
        <v>2447</v>
      </c>
      <c r="D189" s="628">
        <v>108380</v>
      </c>
      <c r="E189" s="628">
        <v>10007212</v>
      </c>
    </row>
    <row r="190" spans="1:5" x14ac:dyDescent="0.35">
      <c r="A190" s="627" t="s">
        <v>2448</v>
      </c>
      <c r="B190" s="628" t="s">
        <v>2067</v>
      </c>
      <c r="C190" s="628" t="s">
        <v>2449</v>
      </c>
      <c r="D190" s="628">
        <v>105118</v>
      </c>
      <c r="E190" s="628">
        <v>10007315</v>
      </c>
    </row>
    <row r="191" spans="1:5" x14ac:dyDescent="0.35">
      <c r="A191" s="627" t="s">
        <v>2450</v>
      </c>
      <c r="B191" s="628" t="s">
        <v>2067</v>
      </c>
      <c r="C191" s="628" t="s">
        <v>2451</v>
      </c>
      <c r="D191" s="628">
        <v>108478</v>
      </c>
      <c r="E191" s="628">
        <v>10007321</v>
      </c>
    </row>
    <row r="192" spans="1:5" x14ac:dyDescent="0.35">
      <c r="A192" s="627" t="s">
        <v>2452</v>
      </c>
      <c r="B192" s="628" t="s">
        <v>2067</v>
      </c>
      <c r="C192" s="628" t="s">
        <v>2453</v>
      </c>
      <c r="D192" s="628">
        <v>106427</v>
      </c>
      <c r="E192" s="628">
        <v>10007339</v>
      </c>
    </row>
    <row r="193" spans="1:5" x14ac:dyDescent="0.35">
      <c r="A193" s="627" t="s">
        <v>2454</v>
      </c>
      <c r="B193" s="628" t="s">
        <v>2067</v>
      </c>
      <c r="C193" s="628" t="s">
        <v>2455</v>
      </c>
      <c r="D193" s="628">
        <v>106448</v>
      </c>
      <c r="E193" s="628">
        <v>10007859</v>
      </c>
    </row>
    <row r="194" spans="1:5" x14ac:dyDescent="0.35">
      <c r="A194" s="627" t="s">
        <v>2456</v>
      </c>
      <c r="B194" s="628" t="s">
        <v>2067</v>
      </c>
      <c r="C194" s="628" t="s">
        <v>2457</v>
      </c>
      <c r="D194" s="628">
        <v>108477</v>
      </c>
      <c r="E194" s="628">
        <v>10007417</v>
      </c>
    </row>
    <row r="195" spans="1:5" x14ac:dyDescent="0.35">
      <c r="A195" s="627" t="s">
        <v>2458</v>
      </c>
      <c r="B195" s="628" t="s">
        <v>2067</v>
      </c>
      <c r="C195" s="628" t="s">
        <v>2459</v>
      </c>
      <c r="D195" s="628">
        <v>107960</v>
      </c>
      <c r="E195" s="628">
        <v>10007427</v>
      </c>
    </row>
    <row r="196" spans="1:5" x14ac:dyDescent="0.35">
      <c r="A196" s="627" t="s">
        <v>2460</v>
      </c>
      <c r="B196" s="628" t="s">
        <v>2067</v>
      </c>
      <c r="C196" s="628" t="s">
        <v>2461</v>
      </c>
      <c r="D196" s="628">
        <v>105936</v>
      </c>
      <c r="E196" s="628">
        <v>10007431</v>
      </c>
    </row>
    <row r="197" spans="1:5" x14ac:dyDescent="0.35">
      <c r="A197" s="627" t="s">
        <v>2462</v>
      </c>
      <c r="B197" s="628" t="s">
        <v>2067</v>
      </c>
      <c r="C197" s="628" t="s">
        <v>2463</v>
      </c>
      <c r="D197" s="628">
        <v>107143</v>
      </c>
      <c r="E197" s="628">
        <v>10007434</v>
      </c>
    </row>
    <row r="198" spans="1:5" x14ac:dyDescent="0.35">
      <c r="A198" s="627" t="s">
        <v>2464</v>
      </c>
      <c r="B198" s="628" t="s">
        <v>2067</v>
      </c>
      <c r="C198" s="628" t="s">
        <v>2465</v>
      </c>
      <c r="D198" s="628">
        <v>105242</v>
      </c>
      <c r="E198" s="628">
        <v>10007459</v>
      </c>
    </row>
    <row r="199" spans="1:5" x14ac:dyDescent="0.35">
      <c r="A199" s="627" t="s">
        <v>2466</v>
      </c>
      <c r="B199" s="628" t="s">
        <v>2067</v>
      </c>
      <c r="C199" s="628" t="s">
        <v>2467</v>
      </c>
      <c r="D199" s="628">
        <v>106540</v>
      </c>
      <c r="E199" s="628">
        <v>10007469</v>
      </c>
    </row>
    <row r="200" spans="1:5" x14ac:dyDescent="0.35">
      <c r="A200" s="627" t="s">
        <v>2468</v>
      </c>
      <c r="B200" s="628" t="s">
        <v>2067</v>
      </c>
      <c r="C200" s="628" t="s">
        <v>2469</v>
      </c>
      <c r="D200" s="628">
        <v>107785</v>
      </c>
      <c r="E200" s="628">
        <v>10007500</v>
      </c>
    </row>
    <row r="201" spans="1:5" x14ac:dyDescent="0.35">
      <c r="A201" s="627" t="s">
        <v>2470</v>
      </c>
      <c r="B201" s="628" t="s">
        <v>2074</v>
      </c>
      <c r="C201" s="628" t="s">
        <v>2471</v>
      </c>
      <c r="D201" s="628">
        <v>108321</v>
      </c>
      <c r="E201" s="628">
        <v>10007503</v>
      </c>
    </row>
    <row r="202" spans="1:5" x14ac:dyDescent="0.35">
      <c r="A202" s="627" t="s">
        <v>2472</v>
      </c>
      <c r="B202" s="628" t="s">
        <v>2067</v>
      </c>
      <c r="C202" s="628" t="s">
        <v>2473</v>
      </c>
      <c r="D202" s="628">
        <v>109912</v>
      </c>
      <c r="E202" s="628">
        <v>10007527</v>
      </c>
    </row>
    <row r="203" spans="1:5" x14ac:dyDescent="0.35">
      <c r="A203" s="627" t="s">
        <v>2474</v>
      </c>
      <c r="B203" s="628" t="s">
        <v>2074</v>
      </c>
      <c r="C203" s="628" t="s">
        <v>2475</v>
      </c>
      <c r="D203" s="628">
        <v>108378</v>
      </c>
      <c r="E203" s="628">
        <v>10007546</v>
      </c>
    </row>
    <row r="204" spans="1:5" x14ac:dyDescent="0.35">
      <c r="A204" s="627" t="s">
        <v>2476</v>
      </c>
      <c r="B204" s="628" t="s">
        <v>2067</v>
      </c>
      <c r="C204" s="628" t="s">
        <v>2477</v>
      </c>
      <c r="D204" s="628">
        <v>108474</v>
      </c>
      <c r="E204" s="628">
        <v>10007553</v>
      </c>
    </row>
    <row r="205" spans="1:5" x14ac:dyDescent="0.35">
      <c r="A205" s="627" t="s">
        <v>2478</v>
      </c>
      <c r="B205" s="628" t="s">
        <v>2109</v>
      </c>
      <c r="C205" s="628" t="s">
        <v>2479</v>
      </c>
      <c r="D205" s="628">
        <v>108347</v>
      </c>
      <c r="E205" s="628">
        <v>10007364</v>
      </c>
    </row>
    <row r="206" spans="1:5" x14ac:dyDescent="0.35">
      <c r="A206" s="627" t="s">
        <v>2480</v>
      </c>
      <c r="B206" s="628" t="s">
        <v>2109</v>
      </c>
      <c r="C206" s="628" t="s">
        <v>2481</v>
      </c>
      <c r="D206" s="628">
        <v>108346</v>
      </c>
      <c r="E206" s="628">
        <v>10007636</v>
      </c>
    </row>
    <row r="207" spans="1:5" x14ac:dyDescent="0.35">
      <c r="A207" s="627" t="s">
        <v>2482</v>
      </c>
      <c r="B207" s="628" t="s">
        <v>2074</v>
      </c>
      <c r="C207" s="628" t="s">
        <v>2483</v>
      </c>
      <c r="D207" s="628">
        <v>108374</v>
      </c>
      <c r="E207" s="628">
        <v>10007671</v>
      </c>
    </row>
    <row r="208" spans="1:5" x14ac:dyDescent="0.35">
      <c r="A208" s="627" t="s">
        <v>2484</v>
      </c>
      <c r="B208" s="628" t="s">
        <v>2109</v>
      </c>
      <c r="C208" s="628" t="s">
        <v>2485</v>
      </c>
      <c r="D208" s="628">
        <v>165338</v>
      </c>
      <c r="E208" s="628">
        <v>10094574</v>
      </c>
    </row>
    <row r="209" spans="1:5" x14ac:dyDescent="0.35">
      <c r="A209" s="627" t="s">
        <v>2486</v>
      </c>
      <c r="B209" s="628" t="s">
        <v>2074</v>
      </c>
      <c r="C209" s="628" t="s">
        <v>2487</v>
      </c>
      <c r="D209" s="628">
        <v>108373</v>
      </c>
      <c r="E209" s="628">
        <v>10007673</v>
      </c>
    </row>
    <row r="210" spans="1:5" x14ac:dyDescent="0.35">
      <c r="A210" s="627" t="s">
        <v>2488</v>
      </c>
      <c r="B210" s="628" t="s">
        <v>2074</v>
      </c>
      <c r="C210" s="628" t="s">
        <v>2489</v>
      </c>
      <c r="D210" s="628">
        <v>108357</v>
      </c>
      <c r="E210" s="628">
        <v>10007682</v>
      </c>
    </row>
    <row r="211" spans="1:5" x14ac:dyDescent="0.35">
      <c r="A211" s="627" t="s">
        <v>2490</v>
      </c>
      <c r="B211" s="628" t="s">
        <v>2086</v>
      </c>
      <c r="C211" s="628" t="s">
        <v>2491</v>
      </c>
      <c r="D211" s="628">
        <v>107546</v>
      </c>
      <c r="E211" s="628">
        <v>10007696</v>
      </c>
    </row>
    <row r="212" spans="1:5" x14ac:dyDescent="0.35">
      <c r="A212" s="627" t="s">
        <v>2492</v>
      </c>
      <c r="B212" s="628" t="s">
        <v>2067</v>
      </c>
      <c r="C212" s="628" t="s">
        <v>2493</v>
      </c>
      <c r="D212" s="628">
        <v>107575</v>
      </c>
      <c r="E212" s="628">
        <v>10007709</v>
      </c>
    </row>
  </sheetData>
  <sheetProtection algorithmName="SHA-512" hashValue="yIj8xzoP/Bvb2dLNtNV3iiQjrUKbnk3H49hW3BFG+wGkBnnnGQZJrp8EZb3BP3v8mKwDXJoEyfxBSrV2TgmYtg==" saltValue="6kAzHCiUXp/8qYkm4Cr0/Q==" spinCount="100000" sheet="1" objects="1" scenarios="1"/>
  <sortState xmlns:xlrd2="http://schemas.microsoft.com/office/spreadsheetml/2017/richdata2" ref="A1:E223">
    <sortCondition ref="A2:A223"/>
  </sortState>
  <pageMargins left="0.7" right="0.7" top="0.75" bottom="0.75" header="0.3" footer="0.3"/>
  <pageSetup paperSize="9" orientation="portrait" horizontalDpi="90" verticalDpi="90" r:id="rId1"/>
  <headerFooter>
    <oddHeader>&amp;C&amp;"Aptos"&amp;11&amp;K000000 OFFICIAL - FOR PUBLIC RELEASE&amp;1#_x000D_</oddHeader>
    <oddFooter>&amp;C_x000D_&amp;1#&amp;"Aptos"&amp;11&amp;K000000 OFFICIAL - FOR PUBLIC RELEASE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DACC4-EF18-46B8-B43F-658C44718121}">
  <sheetPr codeName="Sheet33">
    <tabColor rgb="FFBBF7DC"/>
    <outlinePr summaryBelow="0" summaryRight="0"/>
    <pageSetUpPr autoPageBreaks="0"/>
  </sheetPr>
  <dimension ref="A1:G18"/>
  <sheetViews>
    <sheetView showGridLines="0" zoomScaleNormal="100" workbookViewId="0"/>
  </sheetViews>
  <sheetFormatPr defaultColWidth="0" defaultRowHeight="14.5" zeroHeight="1" outlineLevelRow="1" x14ac:dyDescent="0.35"/>
  <cols>
    <col min="1" max="1" width="2.54296875" customWidth="1"/>
    <col min="2" max="2" width="13.81640625" style="3" customWidth="1"/>
    <col min="3" max="3" width="26.26953125" style="57" customWidth="1"/>
    <col min="4" max="4" width="67" style="185" customWidth="1"/>
    <col min="5" max="5" width="5.26953125" style="14" customWidth="1"/>
    <col min="6" max="6" width="5.26953125" customWidth="1"/>
    <col min="7" max="7" width="0" hidden="1" customWidth="1"/>
    <col min="8" max="16380" width="9.1796875" hidden="1"/>
    <col min="16381" max="16381" width="9.1796875" hidden="1" customWidth="1"/>
    <col min="16382" max="16384" width="9.1796875" hidden="1"/>
  </cols>
  <sheetData>
    <row r="1" spans="1:6" ht="30.75" customHeight="1" x14ac:dyDescent="0.35">
      <c r="A1" s="13"/>
      <c r="B1" s="599" t="s">
        <v>2494</v>
      </c>
      <c r="C1" s="81">
        <f>CollegeNameInput</f>
        <v>0</v>
      </c>
      <c r="D1" s="56"/>
      <c r="E1" s="82"/>
      <c r="F1" s="82"/>
    </row>
    <row r="2" spans="1:6" collapsed="1" x14ac:dyDescent="0.35">
      <c r="A2" s="75"/>
      <c r="B2" s="81"/>
      <c r="C2" s="56"/>
      <c r="D2" s="56"/>
      <c r="E2" s="13"/>
      <c r="F2" s="13"/>
    </row>
    <row r="3" spans="1:6" hidden="1" outlineLevel="1" x14ac:dyDescent="0.35">
      <c r="A3" s="13"/>
      <c r="B3" s="81"/>
      <c r="C3" s="60"/>
      <c r="D3" s="56"/>
      <c r="E3" s="13"/>
      <c r="F3" s="13"/>
    </row>
    <row r="4" spans="1:6" hidden="1" outlineLevel="1" x14ac:dyDescent="0.35">
      <c r="A4" s="13"/>
      <c r="B4" s="81"/>
      <c r="C4" s="60"/>
      <c r="D4" s="56"/>
      <c r="E4" s="13"/>
      <c r="F4" s="13"/>
    </row>
    <row r="5" spans="1:6" hidden="1" outlineLevel="1" x14ac:dyDescent="0.35">
      <c r="A5" s="13"/>
      <c r="B5" s="81"/>
      <c r="C5" s="60"/>
      <c r="D5" s="56"/>
      <c r="E5" s="13"/>
      <c r="F5" s="13"/>
    </row>
    <row r="6" spans="1:6" x14ac:dyDescent="0.35">
      <c r="A6" s="13"/>
      <c r="B6" s="81"/>
      <c r="C6" s="56"/>
      <c r="D6" s="56"/>
      <c r="E6" s="13"/>
      <c r="F6" s="13"/>
    </row>
    <row r="7" spans="1:6" x14ac:dyDescent="0.35">
      <c r="F7" s="14"/>
    </row>
    <row r="8" spans="1:6" x14ac:dyDescent="0.35">
      <c r="A8" s="34"/>
      <c r="B8" s="34"/>
      <c r="C8" s="526" t="s">
        <v>2495</v>
      </c>
      <c r="D8" s="58"/>
      <c r="E8" s="34"/>
      <c r="F8" s="34"/>
    </row>
    <row r="9" spans="1:6" x14ac:dyDescent="0.35"/>
    <row r="10" spans="1:6" ht="100.5" customHeight="1" x14ac:dyDescent="0.35">
      <c r="C10" s="687" t="s">
        <v>2496</v>
      </c>
      <c r="D10" s="688"/>
      <c r="E10" s="689"/>
    </row>
    <row r="11" spans="1:6" ht="3.75" customHeight="1" x14ac:dyDescent="0.35">
      <c r="C11" s="198"/>
      <c r="E11" s="91"/>
    </row>
    <row r="12" spans="1:6" ht="101.5" x14ac:dyDescent="0.35">
      <c r="C12" s="556" t="s">
        <v>2497</v>
      </c>
      <c r="D12" s="598" t="s">
        <v>2498</v>
      </c>
      <c r="E12" s="90"/>
    </row>
    <row r="13" spans="1:6" ht="36.75" customHeight="1" x14ac:dyDescent="0.35">
      <c r="C13" s="556" t="s">
        <v>2499</v>
      </c>
      <c r="D13" s="598" t="s">
        <v>2500</v>
      </c>
      <c r="E13" s="90"/>
    </row>
    <row r="14" spans="1:6" ht="48.75" customHeight="1" x14ac:dyDescent="0.35">
      <c r="C14" s="556" t="s">
        <v>2501</v>
      </c>
      <c r="D14" s="598" t="s">
        <v>2502</v>
      </c>
      <c r="E14" s="90"/>
    </row>
    <row r="15" spans="1:6" ht="29" x14ac:dyDescent="0.35">
      <c r="C15" s="556" t="s">
        <v>2503</v>
      </c>
      <c r="D15" s="598" t="s">
        <v>2504</v>
      </c>
      <c r="E15" s="90"/>
    </row>
    <row r="16" spans="1:6" ht="72.5" x14ac:dyDescent="0.35">
      <c r="C16" s="556" t="s">
        <v>2505</v>
      </c>
      <c r="D16" s="598" t="s">
        <v>2506</v>
      </c>
      <c r="E16" s="90"/>
    </row>
    <row r="17" spans="3:5" ht="3.75" customHeight="1" x14ac:dyDescent="0.35">
      <c r="C17" s="201"/>
      <c r="D17" s="202"/>
      <c r="E17" s="92"/>
    </row>
    <row r="18" spans="3:5" x14ac:dyDescent="0.35"/>
  </sheetData>
  <sheetProtection algorithmName="SHA-512" hashValue="jo++3urGz3nBHJ6407ihAxTlzp7vyT0gJrOrMuW2rjiV/8qP4iifeNd0/qVqD2u+fBoa9SGMC02qCXmHz6j46Q==" saltValue="2X4UdOnKVrw9fyT2TQAuZw==" spinCount="100000" sheet="1" objects="1" scenarios="1"/>
  <mergeCells count="1">
    <mergeCell ref="C10:E10"/>
  </mergeCells>
  <pageMargins left="0.7" right="0.7" top="0.75" bottom="0.75" header="0.3" footer="0.3"/>
  <pageSetup paperSize="9" orientation="portrait" horizontalDpi="90" verticalDpi="90" r:id="rId1"/>
  <headerFooter>
    <oddHeader>&amp;C&amp;"Aptos"&amp;11&amp;K000000 OFFICIAL - FOR PUBLIC RELEASE&amp;1#_x000D_</oddHeader>
    <oddFooter>&amp;C_x000D_&amp;1#&amp;"Aptos"&amp;11&amp;K000000 OFFICIAL - FOR PUBLIC RELEASE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24ED-EE1B-4345-BF30-8A1DA79BA4FC}">
  <sheetPr codeName="Sheet24">
    <tabColor rgb="FFBBF7DC"/>
    <outlinePr summaryBelow="0" summaryRight="0"/>
    <pageSetUpPr autoPageBreaks="0"/>
  </sheetPr>
  <dimension ref="A1:CN103"/>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37.1796875" customWidth="1"/>
    <col min="3" max="3" width="11.1796875" customWidth="1"/>
    <col min="4" max="4" width="53.81640625" customWidth="1"/>
    <col min="5" max="5" width="12.453125" style="1" customWidth="1" outlineLevel="1"/>
    <col min="6" max="6" width="1.54296875" customWidth="1" collapsed="1"/>
    <col min="7" max="7" width="7.1796875" hidden="1" customWidth="1" outlineLevel="1"/>
    <col min="8" max="8" width="15" hidden="1" customWidth="1" outlineLevel="1"/>
    <col min="9" max="9" width="2" bestFit="1" customWidth="1" collapsed="1"/>
    <col min="10" max="10" width="2" hidden="1" customWidth="1" outlineLevel="1"/>
    <col min="11" max="18" width="8.81640625" hidden="1" customWidth="1" outlineLevel="1"/>
    <col min="19" max="19" width="3" hidden="1" customWidth="1" outlineLevel="1"/>
    <col min="20" max="20" width="11.54296875" hidden="1" customWidth="1" outlineLevel="1"/>
    <col min="21" max="21" width="9.54296875" hidden="1" customWidth="1" outlineLevel="1"/>
    <col min="22" max="23" width="8.81640625" bestFit="1" customWidth="1"/>
    <col min="24" max="24" width="8.81640625" customWidth="1"/>
    <col min="25" max="25" width="8.81640625" bestFit="1" customWidth="1"/>
    <col min="26" max="26" width="1.1796875" customWidth="1"/>
    <col min="27" max="61" width="10.54296875" customWidth="1"/>
    <col min="62" max="62" width="10.54296875" customWidth="1" collapsed="1"/>
    <col min="63" max="74" width="10.54296875" hidden="1" customWidth="1" outlineLevel="1"/>
    <col min="75" max="75" width="1.1796875" customWidth="1"/>
    <col min="76" max="87" width="8.81640625" bestFit="1" customWidth="1"/>
    <col min="88" max="88" width="3" bestFit="1" customWidth="1"/>
    <col min="89" max="89" width="3.453125" customWidth="1"/>
    <col min="90" max="90" width="13.1796875" customWidth="1"/>
    <col min="91" max="91" width="2.81640625" customWidth="1"/>
  </cols>
  <sheetData>
    <row r="1" spans="1:91" x14ac:dyDescent="0.35">
      <c r="A1" s="7">
        <f ca="1">ToC!A1</f>
        <v>0</v>
      </c>
      <c r="B1" s="13" t="s">
        <v>2507</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M1" s="663"/>
    </row>
    <row r="2" spans="1:91" ht="14.65" customHeight="1" x14ac:dyDescent="0.35">
      <c r="A2" s="7">
        <f>SUM(A$7:A$36)</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M2" s="663"/>
    </row>
    <row r="3" spans="1:91" x14ac:dyDescent="0.35">
      <c r="A3" s="67" t="str" cm="1">
        <f t="array" aca="1" ref="A3" ca="1">HYPERLINK(CONCATENATE("#",CELL("address",ToC!$A$1)),ToC!$C$1)</f>
        <v>ToC</v>
      </c>
      <c r="B3" s="13" t="s">
        <v>195</v>
      </c>
      <c r="C3" s="449" t="str">
        <f>'Cover Sheet'!E15</f>
        <v/>
      </c>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M3" s="663"/>
    </row>
    <row r="4" spans="1:91" x14ac:dyDescent="0.35">
      <c r="A4" s="13"/>
      <c r="B4" s="13" t="s">
        <v>187</v>
      </c>
      <c r="C4" s="22">
        <f>CollegeNameInput</f>
        <v>0</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row>
    <row r="5" spans="1:91" x14ac:dyDescent="0.35">
      <c r="A5" s="13"/>
      <c r="B5" s="13" t="s">
        <v>2508</v>
      </c>
      <c r="C5" s="450">
        <f>'Cover Sheet'!E21+1</f>
        <v>46113</v>
      </c>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row>
    <row r="6" spans="1:91" x14ac:dyDescent="0.35">
      <c r="A6" s="67" t="str" cm="1">
        <f t="array" aca="1" ref="A6" ca="1">HYPERLINK(CONCATENATE("#",CELL("address",CK7)),"Check")</f>
        <v>Check</v>
      </c>
      <c r="B6" s="13"/>
      <c r="C6" s="527"/>
      <c r="D6" s="23" t="s">
        <v>19</v>
      </c>
      <c r="E6" s="13"/>
      <c r="F6" s="13"/>
      <c r="G6" s="13" t="s">
        <v>272</v>
      </c>
      <c r="H6" s="13" t="s">
        <v>313</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row>
    <row r="7" spans="1:91" x14ac:dyDescent="0.35">
      <c r="B7" s="97" t="s">
        <v>184</v>
      </c>
      <c r="D7" s="1"/>
      <c r="E7"/>
      <c r="BY7" s="6"/>
      <c r="CK7" s="35"/>
      <c r="CM7" s="35"/>
    </row>
    <row r="8" spans="1:91" x14ac:dyDescent="0.35">
      <c r="B8" s="446"/>
      <c r="D8" s="1"/>
      <c r="E8"/>
      <c r="BY8" s="6"/>
      <c r="CK8" s="35"/>
      <c r="CM8" s="35"/>
    </row>
    <row r="9" spans="1:91" x14ac:dyDescent="0.35">
      <c r="B9" s="446"/>
      <c r="D9" s="1"/>
      <c r="E9"/>
      <c r="BY9" s="6"/>
      <c r="CK9" s="35"/>
      <c r="CM9" s="35"/>
    </row>
    <row r="10" spans="1:91" x14ac:dyDescent="0.35">
      <c r="D10" s="1"/>
      <c r="E10"/>
      <c r="BY10" s="6"/>
      <c r="CK10" s="35"/>
      <c r="CM10" s="35"/>
    </row>
    <row r="11" spans="1:91" x14ac:dyDescent="0.35">
      <c r="D11" s="1"/>
      <c r="E11"/>
      <c r="BY11" s="6"/>
      <c r="CK11" s="311"/>
      <c r="CM11" s="311"/>
    </row>
    <row r="12" spans="1:91" ht="15" customHeight="1" x14ac:dyDescent="0.35">
      <c r="D12" s="319" t="s">
        <v>2509</v>
      </c>
      <c r="E12"/>
      <c r="CK12" s="311"/>
      <c r="CM12" s="311"/>
    </row>
    <row r="13" spans="1:91" x14ac:dyDescent="0.35">
      <c r="D13" s="530" t="s">
        <v>2510</v>
      </c>
      <c r="E13"/>
      <c r="J13" s="115"/>
      <c r="K13" s="115"/>
      <c r="L13" s="115"/>
      <c r="M13" s="115"/>
      <c r="N13" s="115"/>
      <c r="O13" s="115"/>
      <c r="P13" s="115"/>
      <c r="Q13" s="115"/>
      <c r="R13" s="115"/>
      <c r="S13" s="115"/>
      <c r="T13" s="115"/>
      <c r="U13" s="115"/>
      <c r="V13" s="114"/>
      <c r="W13" s="133">
        <f t="shared" ref="W13:Y24"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33">
        <f t="shared" ref="BX13:BX24" si="1">V13</f>
        <v>0</v>
      </c>
      <c r="BY13" s="133">
        <f t="shared" ref="BY13:BY24" si="2">W13</f>
        <v>0</v>
      </c>
      <c r="BZ13" s="133">
        <f t="shared" ref="BZ13:BZ24" si="3">X13</f>
        <v>0</v>
      </c>
      <c r="CA13" s="133">
        <f t="shared" ref="CA13:CA24" si="4">Y13</f>
        <v>0</v>
      </c>
      <c r="CB13" s="114"/>
      <c r="CC13" s="114"/>
      <c r="CD13" s="114"/>
      <c r="CE13" s="114"/>
      <c r="CF13" s="114"/>
      <c r="CG13" s="114"/>
      <c r="CH13" s="114"/>
      <c r="CI13" s="114"/>
      <c r="CJ13" s="115"/>
      <c r="CK13" s="11"/>
      <c r="CM13" s="35"/>
    </row>
    <row r="14" spans="1:91" ht="13.9" customHeight="1" x14ac:dyDescent="0.35">
      <c r="D14" s="530" t="s">
        <v>2511</v>
      </c>
      <c r="E14"/>
      <c r="J14" s="115"/>
      <c r="K14" s="115"/>
      <c r="L14" s="115"/>
      <c r="M14" s="115"/>
      <c r="N14" s="115"/>
      <c r="O14" s="115"/>
      <c r="P14" s="115"/>
      <c r="Q14" s="115"/>
      <c r="R14" s="115"/>
      <c r="S14" s="115"/>
      <c r="T14" s="115"/>
      <c r="U14" s="115"/>
      <c r="V14" s="114"/>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5"/>
      <c r="BL14" s="115"/>
      <c r="BM14" s="115"/>
      <c r="BN14" s="115"/>
      <c r="BO14" s="115"/>
      <c r="BP14" s="115"/>
      <c r="BQ14" s="115"/>
      <c r="BR14" s="115"/>
      <c r="BS14" s="115"/>
      <c r="BT14" s="115"/>
      <c r="BU14" s="115"/>
      <c r="BV14" s="115"/>
      <c r="BX14" s="133">
        <f t="shared" si="1"/>
        <v>0</v>
      </c>
      <c r="BY14" s="133">
        <f t="shared" si="2"/>
        <v>0</v>
      </c>
      <c r="BZ14" s="133">
        <f t="shared" si="3"/>
        <v>0</v>
      </c>
      <c r="CA14" s="133">
        <f t="shared" si="4"/>
        <v>0</v>
      </c>
      <c r="CB14" s="114"/>
      <c r="CC14" s="114"/>
      <c r="CD14" s="114"/>
      <c r="CE14" s="114"/>
      <c r="CF14" s="114"/>
      <c r="CG14" s="114"/>
      <c r="CH14" s="114"/>
      <c r="CI14" s="114"/>
      <c r="CJ14" s="115"/>
      <c r="CK14" s="11"/>
      <c r="CM14" s="35"/>
    </row>
    <row r="15" spans="1:91" ht="13.15" customHeight="1" x14ac:dyDescent="0.35">
      <c r="D15" s="530" t="s">
        <v>2512</v>
      </c>
      <c r="E15"/>
      <c r="J15" s="115"/>
      <c r="K15" s="115"/>
      <c r="L15" s="115"/>
      <c r="M15" s="115"/>
      <c r="N15" s="115"/>
      <c r="O15" s="115"/>
      <c r="P15" s="115"/>
      <c r="Q15" s="115"/>
      <c r="R15" s="115"/>
      <c r="S15" s="115"/>
      <c r="T15" s="115"/>
      <c r="U15" s="115"/>
      <c r="V15" s="114"/>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33">
        <f t="shared" si="1"/>
        <v>0</v>
      </c>
      <c r="BY15" s="133">
        <f t="shared" si="2"/>
        <v>0</v>
      </c>
      <c r="BZ15" s="133">
        <f t="shared" si="3"/>
        <v>0</v>
      </c>
      <c r="CA15" s="133">
        <f t="shared" si="4"/>
        <v>0</v>
      </c>
      <c r="CB15" s="114"/>
      <c r="CC15" s="114"/>
      <c r="CD15" s="114"/>
      <c r="CE15" s="114"/>
      <c r="CF15" s="114"/>
      <c r="CG15" s="114"/>
      <c r="CH15" s="114"/>
      <c r="CI15" s="114"/>
      <c r="CJ15" s="115"/>
      <c r="CK15" s="11"/>
      <c r="CM15" s="35"/>
    </row>
    <row r="16" spans="1:91" x14ac:dyDescent="0.35">
      <c r="D16" s="530" t="s">
        <v>2513</v>
      </c>
      <c r="E16"/>
      <c r="J16" s="115"/>
      <c r="K16" s="115"/>
      <c r="L16" s="115"/>
      <c r="M16" s="115"/>
      <c r="N16" s="115"/>
      <c r="O16" s="115"/>
      <c r="P16" s="115"/>
      <c r="Q16" s="115"/>
      <c r="R16" s="115"/>
      <c r="S16" s="115"/>
      <c r="T16" s="115"/>
      <c r="U16" s="115"/>
      <c r="V16" s="114"/>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5"/>
      <c r="BL16" s="115"/>
      <c r="BM16" s="115"/>
      <c r="BN16" s="115"/>
      <c r="BO16" s="115"/>
      <c r="BP16" s="115"/>
      <c r="BQ16" s="115"/>
      <c r="BR16" s="115"/>
      <c r="BS16" s="115"/>
      <c r="BT16" s="115"/>
      <c r="BU16" s="115"/>
      <c r="BV16" s="115"/>
      <c r="BX16" s="133">
        <f t="shared" si="1"/>
        <v>0</v>
      </c>
      <c r="BY16" s="133">
        <f t="shared" si="2"/>
        <v>0</v>
      </c>
      <c r="BZ16" s="133">
        <f t="shared" si="3"/>
        <v>0</v>
      </c>
      <c r="CA16" s="133">
        <f t="shared" si="4"/>
        <v>0</v>
      </c>
      <c r="CB16" s="114"/>
      <c r="CC16" s="114"/>
      <c r="CD16" s="114"/>
      <c r="CE16" s="114"/>
      <c r="CF16" s="114"/>
      <c r="CG16" s="114"/>
      <c r="CH16" s="114"/>
      <c r="CI16" s="114"/>
      <c r="CJ16" s="115"/>
      <c r="CK16" s="11"/>
      <c r="CM16" s="35"/>
    </row>
    <row r="17" spans="4:91" x14ac:dyDescent="0.35">
      <c r="D17" s="530" t="s">
        <v>2514</v>
      </c>
      <c r="J17" s="115"/>
      <c r="K17" s="115"/>
      <c r="L17" s="115"/>
      <c r="M17" s="115"/>
      <c r="N17" s="115"/>
      <c r="O17" s="115"/>
      <c r="P17" s="115"/>
      <c r="Q17" s="115"/>
      <c r="R17" s="115"/>
      <c r="S17" s="115"/>
      <c r="T17" s="115"/>
      <c r="U17" s="115"/>
      <c r="V17" s="114"/>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33">
        <f t="shared" si="1"/>
        <v>0</v>
      </c>
      <c r="BY17" s="133">
        <f t="shared" si="2"/>
        <v>0</v>
      </c>
      <c r="BZ17" s="133">
        <f t="shared" si="3"/>
        <v>0</v>
      </c>
      <c r="CA17" s="133">
        <f t="shared" si="4"/>
        <v>0</v>
      </c>
      <c r="CB17" s="114"/>
      <c r="CC17" s="114"/>
      <c r="CD17" s="114"/>
      <c r="CE17" s="114"/>
      <c r="CF17" s="114"/>
      <c r="CG17" s="114"/>
      <c r="CH17" s="114"/>
      <c r="CI17" s="114"/>
      <c r="CJ17" s="115"/>
      <c r="CK17" s="11"/>
      <c r="CM17" s="35"/>
    </row>
    <row r="18" spans="4:91" x14ac:dyDescent="0.35">
      <c r="D18" s="530" t="s">
        <v>2515</v>
      </c>
      <c r="J18" s="115"/>
      <c r="K18" s="115"/>
      <c r="L18" s="115"/>
      <c r="M18" s="115"/>
      <c r="N18" s="115"/>
      <c r="O18" s="115"/>
      <c r="P18" s="115"/>
      <c r="Q18" s="115"/>
      <c r="R18" s="115"/>
      <c r="S18" s="115"/>
      <c r="T18" s="115"/>
      <c r="U18" s="115"/>
      <c r="V18" s="114"/>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5"/>
      <c r="BL18" s="115"/>
      <c r="BM18" s="115"/>
      <c r="BN18" s="115"/>
      <c r="BO18" s="115"/>
      <c r="BP18" s="115"/>
      <c r="BQ18" s="115"/>
      <c r="BR18" s="115"/>
      <c r="BS18" s="115"/>
      <c r="BT18" s="115"/>
      <c r="BU18" s="115"/>
      <c r="BV18" s="115"/>
      <c r="BX18" s="133">
        <f t="shared" si="1"/>
        <v>0</v>
      </c>
      <c r="BY18" s="133">
        <f t="shared" si="2"/>
        <v>0</v>
      </c>
      <c r="BZ18" s="133">
        <f t="shared" si="3"/>
        <v>0</v>
      </c>
      <c r="CA18" s="133">
        <f t="shared" si="4"/>
        <v>0</v>
      </c>
      <c r="CB18" s="114"/>
      <c r="CC18" s="114"/>
      <c r="CD18" s="114"/>
      <c r="CE18" s="114"/>
      <c r="CF18" s="114"/>
      <c r="CG18" s="114"/>
      <c r="CH18" s="114"/>
      <c r="CI18" s="114"/>
      <c r="CJ18" s="115"/>
      <c r="CK18" s="11"/>
      <c r="CM18" s="35"/>
    </row>
    <row r="19" spans="4:91" x14ac:dyDescent="0.35">
      <c r="D19" s="530" t="s">
        <v>2516</v>
      </c>
      <c r="J19" s="115"/>
      <c r="K19" s="115"/>
      <c r="L19" s="115"/>
      <c r="M19" s="115"/>
      <c r="N19" s="115"/>
      <c r="O19" s="115"/>
      <c r="P19" s="115"/>
      <c r="Q19" s="115"/>
      <c r="R19" s="115"/>
      <c r="S19" s="115"/>
      <c r="T19" s="115"/>
      <c r="U19" s="115"/>
      <c r="V19" s="114"/>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33">
        <f t="shared" si="1"/>
        <v>0</v>
      </c>
      <c r="BY19" s="133">
        <f t="shared" si="2"/>
        <v>0</v>
      </c>
      <c r="BZ19" s="133">
        <f t="shared" si="3"/>
        <v>0</v>
      </c>
      <c r="CA19" s="133">
        <f t="shared" si="4"/>
        <v>0</v>
      </c>
      <c r="CB19" s="114"/>
      <c r="CC19" s="114"/>
      <c r="CD19" s="114"/>
      <c r="CE19" s="114"/>
      <c r="CF19" s="114"/>
      <c r="CG19" s="114"/>
      <c r="CH19" s="114"/>
      <c r="CI19" s="114"/>
      <c r="CJ19" s="115"/>
      <c r="CK19" s="11"/>
      <c r="CM19" s="35"/>
    </row>
    <row r="20" spans="4:91" x14ac:dyDescent="0.35">
      <c r="D20" s="530" t="s">
        <v>2517</v>
      </c>
      <c r="J20" s="115"/>
      <c r="K20" s="115"/>
      <c r="L20" s="115"/>
      <c r="M20" s="115"/>
      <c r="N20" s="115"/>
      <c r="O20" s="115"/>
      <c r="P20" s="115"/>
      <c r="Q20" s="115"/>
      <c r="R20" s="115"/>
      <c r="S20" s="115"/>
      <c r="T20" s="115"/>
      <c r="U20" s="115"/>
      <c r="V20" s="114"/>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33">
        <f t="shared" si="1"/>
        <v>0</v>
      </c>
      <c r="BY20" s="133">
        <f t="shared" si="2"/>
        <v>0</v>
      </c>
      <c r="BZ20" s="133">
        <f t="shared" si="3"/>
        <v>0</v>
      </c>
      <c r="CA20" s="133">
        <f t="shared" si="4"/>
        <v>0</v>
      </c>
      <c r="CB20" s="114"/>
      <c r="CC20" s="114"/>
      <c r="CD20" s="114"/>
      <c r="CE20" s="114"/>
      <c r="CF20" s="114"/>
      <c r="CG20" s="114"/>
      <c r="CH20" s="114"/>
      <c r="CI20" s="114"/>
      <c r="CJ20" s="115"/>
      <c r="CK20" s="11"/>
      <c r="CM20" s="35"/>
    </row>
    <row r="21" spans="4:91" x14ac:dyDescent="0.35">
      <c r="D21" s="530" t="s">
        <v>2518</v>
      </c>
      <c r="J21" s="115"/>
      <c r="K21" s="115"/>
      <c r="L21" s="115"/>
      <c r="M21" s="115"/>
      <c r="N21" s="115"/>
      <c r="O21" s="115"/>
      <c r="P21" s="115"/>
      <c r="Q21" s="115"/>
      <c r="R21" s="115"/>
      <c r="S21" s="115"/>
      <c r="T21" s="115"/>
      <c r="U21" s="115"/>
      <c r="V21" s="114"/>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33">
        <f t="shared" si="1"/>
        <v>0</v>
      </c>
      <c r="BY21" s="133">
        <f t="shared" si="2"/>
        <v>0</v>
      </c>
      <c r="BZ21" s="133">
        <f t="shared" si="3"/>
        <v>0</v>
      </c>
      <c r="CA21" s="133">
        <f t="shared" si="4"/>
        <v>0</v>
      </c>
      <c r="CB21" s="114"/>
      <c r="CC21" s="114"/>
      <c r="CD21" s="114"/>
      <c r="CE21" s="114"/>
      <c r="CF21" s="114"/>
      <c r="CG21" s="114"/>
      <c r="CH21" s="114"/>
      <c r="CI21" s="114"/>
      <c r="CJ21" s="115"/>
      <c r="CK21" s="11"/>
      <c r="CM21" s="35"/>
    </row>
    <row r="22" spans="4:91" x14ac:dyDescent="0.35">
      <c r="D22" s="530" t="s">
        <v>2519</v>
      </c>
      <c r="J22" s="115"/>
      <c r="K22" s="115"/>
      <c r="L22" s="115"/>
      <c r="M22" s="115"/>
      <c r="N22" s="115"/>
      <c r="O22" s="115"/>
      <c r="P22" s="115"/>
      <c r="Q22" s="115"/>
      <c r="R22" s="115"/>
      <c r="S22" s="115"/>
      <c r="T22" s="115"/>
      <c r="U22" s="115"/>
      <c r="V22" s="114"/>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5"/>
      <c r="BL22" s="115"/>
      <c r="BM22" s="115"/>
      <c r="BN22" s="115"/>
      <c r="BO22" s="115"/>
      <c r="BP22" s="115"/>
      <c r="BQ22" s="115"/>
      <c r="BR22" s="115"/>
      <c r="BS22" s="115"/>
      <c r="BT22" s="115"/>
      <c r="BU22" s="115"/>
      <c r="BV22" s="115"/>
      <c r="BX22" s="133">
        <f t="shared" si="1"/>
        <v>0</v>
      </c>
      <c r="BY22" s="133">
        <f t="shared" si="2"/>
        <v>0</v>
      </c>
      <c r="BZ22" s="133">
        <f t="shared" si="3"/>
        <v>0</v>
      </c>
      <c r="CA22" s="133">
        <f t="shared" si="4"/>
        <v>0</v>
      </c>
      <c r="CB22" s="114"/>
      <c r="CC22" s="114"/>
      <c r="CD22" s="114"/>
      <c r="CE22" s="114"/>
      <c r="CF22" s="114"/>
      <c r="CG22" s="114"/>
      <c r="CH22" s="114"/>
      <c r="CI22" s="114"/>
      <c r="CJ22" s="115"/>
      <c r="CK22" s="11"/>
      <c r="CM22" s="35"/>
    </row>
    <row r="23" spans="4:91" x14ac:dyDescent="0.35">
      <c r="D23" s="531" t="s">
        <v>2520</v>
      </c>
      <c r="J23" s="115"/>
      <c r="K23" s="115"/>
      <c r="L23" s="115"/>
      <c r="M23" s="115"/>
      <c r="N23" s="115"/>
      <c r="O23" s="115"/>
      <c r="P23" s="115"/>
      <c r="Q23" s="115"/>
      <c r="R23" s="115"/>
      <c r="S23" s="115"/>
      <c r="T23" s="115"/>
      <c r="U23" s="115"/>
      <c r="V23" s="114"/>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33">
        <f t="shared" si="1"/>
        <v>0</v>
      </c>
      <c r="BY23" s="133">
        <f t="shared" si="2"/>
        <v>0</v>
      </c>
      <c r="BZ23" s="133">
        <f t="shared" si="3"/>
        <v>0</v>
      </c>
      <c r="CA23" s="133">
        <f t="shared" si="4"/>
        <v>0</v>
      </c>
      <c r="CB23" s="114"/>
      <c r="CC23" s="114"/>
      <c r="CD23" s="114"/>
      <c r="CE23" s="114"/>
      <c r="CF23" s="114"/>
      <c r="CG23" s="114"/>
      <c r="CH23" s="114"/>
      <c r="CI23" s="114"/>
      <c r="CJ23" s="115"/>
      <c r="CK23" s="11"/>
      <c r="CM23" s="35"/>
    </row>
    <row r="24" spans="4:91" x14ac:dyDescent="0.35">
      <c r="D24" s="114" t="s">
        <v>2521</v>
      </c>
      <c r="J24" s="115"/>
      <c r="K24" s="115"/>
      <c r="L24" s="115"/>
      <c r="M24" s="115"/>
      <c r="N24" s="115"/>
      <c r="O24" s="115"/>
      <c r="P24" s="115"/>
      <c r="Q24" s="115"/>
      <c r="R24" s="115"/>
      <c r="S24" s="115"/>
      <c r="T24" s="115"/>
      <c r="U24" s="115"/>
      <c r="V24" s="114"/>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5"/>
      <c r="BL24" s="115"/>
      <c r="BM24" s="115"/>
      <c r="BN24" s="115"/>
      <c r="BO24" s="115"/>
      <c r="BP24" s="115"/>
      <c r="BQ24" s="115"/>
      <c r="BR24" s="115"/>
      <c r="BS24" s="115"/>
      <c r="BT24" s="115"/>
      <c r="BU24" s="115"/>
      <c r="BV24" s="115"/>
      <c r="BX24" s="133">
        <f t="shared" si="1"/>
        <v>0</v>
      </c>
      <c r="BY24" s="133">
        <f t="shared" si="2"/>
        <v>0</v>
      </c>
      <c r="BZ24" s="133">
        <f t="shared" si="3"/>
        <v>0</v>
      </c>
      <c r="CA24" s="133">
        <f t="shared" si="4"/>
        <v>0</v>
      </c>
      <c r="CB24" s="114"/>
      <c r="CC24" s="114"/>
      <c r="CD24" s="114"/>
      <c r="CE24" s="114"/>
      <c r="CF24" s="114"/>
      <c r="CG24" s="114"/>
      <c r="CH24" s="114"/>
      <c r="CI24" s="114"/>
      <c r="CJ24" s="115"/>
      <c r="CK24" s="11"/>
      <c r="CM24" s="35"/>
    </row>
    <row r="25" spans="4:91" x14ac:dyDescent="0.35">
      <c r="D25" s="325" t="s">
        <v>400</v>
      </c>
      <c r="J25" s="115"/>
      <c r="K25" s="115"/>
      <c r="L25" s="115"/>
      <c r="M25" s="115"/>
      <c r="N25" s="115"/>
      <c r="O25" s="115"/>
      <c r="P25" s="115"/>
      <c r="Q25" s="115"/>
      <c r="R25" s="115"/>
      <c r="S25" s="115"/>
      <c r="T25" s="115"/>
      <c r="U25" s="115"/>
      <c r="V25" s="12">
        <f>SUM(V13:V24)</f>
        <v>0</v>
      </c>
      <c r="W25" s="12">
        <f>SUM(W13:W24)</f>
        <v>0</v>
      </c>
      <c r="X25" s="12">
        <f>SUM(X13:X24)</f>
        <v>0</v>
      </c>
      <c r="Y25" s="12">
        <f>SUM(Y13:Y24)</f>
        <v>0</v>
      </c>
      <c r="AA25" s="12">
        <f t="shared" ref="AA25:BJ25" si="5">SUM(AA13:AA24)</f>
        <v>0</v>
      </c>
      <c r="AB25" s="12">
        <f t="shared" si="5"/>
        <v>0</v>
      </c>
      <c r="AC25" s="12">
        <f t="shared" si="5"/>
        <v>0</v>
      </c>
      <c r="AD25" s="12">
        <f t="shared" si="5"/>
        <v>0</v>
      </c>
      <c r="AE25" s="12">
        <f t="shared" si="5"/>
        <v>0</v>
      </c>
      <c r="AF25" s="12">
        <f t="shared" si="5"/>
        <v>0</v>
      </c>
      <c r="AG25" s="12">
        <f t="shared" si="5"/>
        <v>0</v>
      </c>
      <c r="AH25" s="12">
        <f t="shared" si="5"/>
        <v>0</v>
      </c>
      <c r="AI25" s="12">
        <f t="shared" si="5"/>
        <v>0</v>
      </c>
      <c r="AJ25" s="12">
        <f t="shared" si="5"/>
        <v>0</v>
      </c>
      <c r="AK25" s="12">
        <f t="shared" si="5"/>
        <v>0</v>
      </c>
      <c r="AL25" s="12">
        <f t="shared" si="5"/>
        <v>0</v>
      </c>
      <c r="AM25" s="12">
        <f t="shared" si="5"/>
        <v>0</v>
      </c>
      <c r="AN25" s="12">
        <f t="shared" si="5"/>
        <v>0</v>
      </c>
      <c r="AO25" s="12">
        <f t="shared" si="5"/>
        <v>0</v>
      </c>
      <c r="AP25" s="12">
        <f t="shared" si="5"/>
        <v>0</v>
      </c>
      <c r="AQ25" s="12">
        <f t="shared" si="5"/>
        <v>0</v>
      </c>
      <c r="AR25" s="12">
        <f t="shared" si="5"/>
        <v>0</v>
      </c>
      <c r="AS25" s="12">
        <f t="shared" si="5"/>
        <v>0</v>
      </c>
      <c r="AT25" s="12">
        <f t="shared" si="5"/>
        <v>0</v>
      </c>
      <c r="AU25" s="12">
        <f t="shared" si="5"/>
        <v>0</v>
      </c>
      <c r="AV25" s="12">
        <f t="shared" si="5"/>
        <v>0</v>
      </c>
      <c r="AW25" s="12">
        <f t="shared" si="5"/>
        <v>0</v>
      </c>
      <c r="AX25" s="12">
        <f t="shared" si="5"/>
        <v>0</v>
      </c>
      <c r="AY25" s="12">
        <f t="shared" si="5"/>
        <v>0</v>
      </c>
      <c r="AZ25" s="12">
        <f t="shared" si="5"/>
        <v>0</v>
      </c>
      <c r="BA25" s="12">
        <f t="shared" si="5"/>
        <v>0</v>
      </c>
      <c r="BB25" s="12">
        <f t="shared" si="5"/>
        <v>0</v>
      </c>
      <c r="BC25" s="12">
        <f t="shared" si="5"/>
        <v>0</v>
      </c>
      <c r="BD25" s="12">
        <f t="shared" si="5"/>
        <v>0</v>
      </c>
      <c r="BE25" s="12">
        <f t="shared" si="5"/>
        <v>0</v>
      </c>
      <c r="BF25" s="12">
        <f t="shared" si="5"/>
        <v>0</v>
      </c>
      <c r="BG25" s="12">
        <f t="shared" si="5"/>
        <v>0</v>
      </c>
      <c r="BH25" s="12">
        <f t="shared" si="5"/>
        <v>0</v>
      </c>
      <c r="BI25" s="12">
        <f t="shared" si="5"/>
        <v>0</v>
      </c>
      <c r="BJ25" s="12">
        <f t="shared" si="5"/>
        <v>0</v>
      </c>
      <c r="BX25" s="12">
        <f t="shared" ref="BX25:CI25" si="6">SUM(BX13:BX24)</f>
        <v>0</v>
      </c>
      <c r="BY25" s="12">
        <f t="shared" si="6"/>
        <v>0</v>
      </c>
      <c r="BZ25" s="12">
        <f t="shared" si="6"/>
        <v>0</v>
      </c>
      <c r="CA25" s="12">
        <f t="shared" si="6"/>
        <v>0</v>
      </c>
      <c r="CB25" s="12">
        <f t="shared" si="6"/>
        <v>0</v>
      </c>
      <c r="CC25" s="12">
        <f t="shared" si="6"/>
        <v>0</v>
      </c>
      <c r="CD25" s="12">
        <f t="shared" si="6"/>
        <v>0</v>
      </c>
      <c r="CE25" s="12">
        <f t="shared" si="6"/>
        <v>0</v>
      </c>
      <c r="CF25" s="12">
        <f t="shared" si="6"/>
        <v>0</v>
      </c>
      <c r="CG25" s="12">
        <f t="shared" si="6"/>
        <v>0</v>
      </c>
      <c r="CH25" s="12">
        <f t="shared" si="6"/>
        <v>0</v>
      </c>
      <c r="CI25" s="12">
        <f t="shared" si="6"/>
        <v>0</v>
      </c>
      <c r="CJ25" s="115"/>
      <c r="CK25" s="11"/>
      <c r="CM25" s="35"/>
    </row>
    <row r="26" spans="4:91" x14ac:dyDescent="0.35">
      <c r="D26" s="561"/>
      <c r="CK26" s="312"/>
      <c r="CM26" s="311"/>
    </row>
    <row r="27" spans="4:91" x14ac:dyDescent="0.35">
      <c r="D27" s="319" t="s">
        <v>2522</v>
      </c>
      <c r="CK27" s="312"/>
      <c r="CM27" s="311"/>
    </row>
    <row r="28" spans="4:91" x14ac:dyDescent="0.35">
      <c r="D28" s="530" t="s">
        <v>2523</v>
      </c>
      <c r="J28" s="115"/>
      <c r="K28" s="115"/>
      <c r="L28" s="115"/>
      <c r="M28" s="115"/>
      <c r="N28" s="115"/>
      <c r="O28" s="115"/>
      <c r="P28" s="115"/>
      <c r="Q28" s="115"/>
      <c r="R28" s="115"/>
      <c r="S28" s="115"/>
      <c r="T28" s="115"/>
      <c r="U28" s="115"/>
      <c r="V28" s="114"/>
      <c r="W28" s="133">
        <f t="shared" ref="W28:Y32" si="7" xml:space="preserve"> SUMIFS($AA28:$BJ28, $AA$3:$BJ$3, W$3)</f>
        <v>0</v>
      </c>
      <c r="X28" s="133">
        <f t="shared" si="7"/>
        <v>0</v>
      </c>
      <c r="Y28" s="133">
        <f t="shared" si="7"/>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33">
        <f t="shared" ref="BX28:CA32" si="8">V28</f>
        <v>0</v>
      </c>
      <c r="BY28" s="133">
        <f t="shared" si="8"/>
        <v>0</v>
      </c>
      <c r="BZ28" s="133">
        <f t="shared" si="8"/>
        <v>0</v>
      </c>
      <c r="CA28" s="133">
        <f t="shared" si="8"/>
        <v>0</v>
      </c>
      <c r="CB28" s="114"/>
      <c r="CC28" s="114"/>
      <c r="CD28" s="114"/>
      <c r="CE28" s="114"/>
      <c r="CF28" s="114"/>
      <c r="CG28" s="114"/>
      <c r="CH28" s="114"/>
      <c r="CI28" s="114"/>
      <c r="CJ28" s="115"/>
      <c r="CK28" s="11"/>
      <c r="CM28" s="35"/>
    </row>
    <row r="29" spans="4:91" x14ac:dyDescent="0.35">
      <c r="D29" s="530" t="s">
        <v>2524</v>
      </c>
      <c r="J29" s="115"/>
      <c r="K29" s="115"/>
      <c r="L29" s="115"/>
      <c r="M29" s="115"/>
      <c r="N29" s="115"/>
      <c r="O29" s="115"/>
      <c r="P29" s="115"/>
      <c r="Q29" s="115"/>
      <c r="R29" s="115"/>
      <c r="S29" s="115"/>
      <c r="T29" s="115"/>
      <c r="U29" s="115"/>
      <c r="V29" s="114"/>
      <c r="W29" s="133">
        <f t="shared" si="7"/>
        <v>0</v>
      </c>
      <c r="X29" s="133">
        <f t="shared" si="7"/>
        <v>0</v>
      </c>
      <c r="Y29" s="133">
        <f t="shared" si="7"/>
        <v>0</v>
      </c>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X29" s="133">
        <f t="shared" si="8"/>
        <v>0</v>
      </c>
      <c r="BY29" s="133">
        <f t="shared" si="8"/>
        <v>0</v>
      </c>
      <c r="BZ29" s="133">
        <f t="shared" si="8"/>
        <v>0</v>
      </c>
      <c r="CA29" s="133">
        <f t="shared" si="8"/>
        <v>0</v>
      </c>
      <c r="CB29" s="114"/>
      <c r="CC29" s="114"/>
      <c r="CD29" s="114"/>
      <c r="CE29" s="114"/>
      <c r="CF29" s="114"/>
      <c r="CG29" s="114"/>
      <c r="CH29" s="114"/>
      <c r="CI29" s="114"/>
      <c r="CJ29" s="115"/>
      <c r="CK29" s="11"/>
      <c r="CM29" s="35"/>
    </row>
    <row r="30" spans="4:91" x14ac:dyDescent="0.35">
      <c r="D30" s="530" t="s">
        <v>2525</v>
      </c>
      <c r="J30" s="115"/>
      <c r="K30" s="115"/>
      <c r="L30" s="115"/>
      <c r="M30" s="115"/>
      <c r="N30" s="115"/>
      <c r="O30" s="115"/>
      <c r="P30" s="115"/>
      <c r="Q30" s="115"/>
      <c r="R30" s="115"/>
      <c r="S30" s="115"/>
      <c r="T30" s="115"/>
      <c r="U30" s="115"/>
      <c r="V30" s="114"/>
      <c r="W30" s="133">
        <f t="shared" si="7"/>
        <v>0</v>
      </c>
      <c r="X30" s="133">
        <f t="shared" si="7"/>
        <v>0</v>
      </c>
      <c r="Y30" s="133">
        <f t="shared" si="7"/>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33">
        <f t="shared" si="8"/>
        <v>0</v>
      </c>
      <c r="BY30" s="133">
        <f t="shared" si="8"/>
        <v>0</v>
      </c>
      <c r="BZ30" s="133">
        <f t="shared" si="8"/>
        <v>0</v>
      </c>
      <c r="CA30" s="133">
        <f t="shared" si="8"/>
        <v>0</v>
      </c>
      <c r="CB30" s="114"/>
      <c r="CC30" s="114"/>
      <c r="CD30" s="114"/>
      <c r="CE30" s="114"/>
      <c r="CF30" s="114"/>
      <c r="CG30" s="114"/>
      <c r="CH30" s="114"/>
      <c r="CI30" s="114"/>
      <c r="CJ30" s="115"/>
      <c r="CK30" s="11"/>
      <c r="CM30" s="35"/>
    </row>
    <row r="31" spans="4:91" x14ac:dyDescent="0.35">
      <c r="D31" s="530" t="s">
        <v>2526</v>
      </c>
      <c r="J31" s="115"/>
      <c r="K31" s="115"/>
      <c r="L31" s="115"/>
      <c r="M31" s="115"/>
      <c r="N31" s="115"/>
      <c r="O31" s="115"/>
      <c r="P31" s="115"/>
      <c r="Q31" s="115"/>
      <c r="R31" s="115"/>
      <c r="S31" s="115"/>
      <c r="T31" s="115"/>
      <c r="U31" s="115"/>
      <c r="V31" s="114"/>
      <c r="W31" s="133">
        <f t="shared" si="7"/>
        <v>0</v>
      </c>
      <c r="X31" s="133">
        <f t="shared" si="7"/>
        <v>0</v>
      </c>
      <c r="Y31" s="133">
        <f t="shared" si="7"/>
        <v>0</v>
      </c>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5"/>
      <c r="BL31" s="115"/>
      <c r="BM31" s="115"/>
      <c r="BN31" s="115"/>
      <c r="BO31" s="115"/>
      <c r="BP31" s="115"/>
      <c r="BQ31" s="115"/>
      <c r="BR31" s="115"/>
      <c r="BS31" s="115"/>
      <c r="BT31" s="115"/>
      <c r="BU31" s="115"/>
      <c r="BV31" s="115"/>
      <c r="BX31" s="133">
        <f t="shared" si="8"/>
        <v>0</v>
      </c>
      <c r="BY31" s="133">
        <f t="shared" si="8"/>
        <v>0</v>
      </c>
      <c r="BZ31" s="133">
        <f t="shared" si="8"/>
        <v>0</v>
      </c>
      <c r="CA31" s="133">
        <f t="shared" si="8"/>
        <v>0</v>
      </c>
      <c r="CB31" s="114"/>
      <c r="CC31" s="114"/>
      <c r="CD31" s="114"/>
      <c r="CE31" s="114"/>
      <c r="CF31" s="114"/>
      <c r="CG31" s="114"/>
      <c r="CH31" s="114"/>
      <c r="CI31" s="114"/>
      <c r="CJ31" s="115"/>
      <c r="CK31" s="11"/>
      <c r="CM31" s="35"/>
    </row>
    <row r="32" spans="4:91" x14ac:dyDescent="0.35">
      <c r="D32" s="114" t="s">
        <v>2527</v>
      </c>
      <c r="J32" s="115"/>
      <c r="K32" s="115"/>
      <c r="L32" s="115"/>
      <c r="M32" s="115"/>
      <c r="N32" s="115"/>
      <c r="O32" s="115"/>
      <c r="P32" s="115"/>
      <c r="Q32" s="115"/>
      <c r="R32" s="115"/>
      <c r="S32" s="115"/>
      <c r="T32" s="115"/>
      <c r="U32" s="115"/>
      <c r="V32" s="114"/>
      <c r="W32" s="133">
        <f t="shared" si="7"/>
        <v>0</v>
      </c>
      <c r="X32" s="133">
        <f t="shared" si="7"/>
        <v>0</v>
      </c>
      <c r="Y32" s="133">
        <f t="shared" si="7"/>
        <v>0</v>
      </c>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X32" s="133">
        <f t="shared" si="8"/>
        <v>0</v>
      </c>
      <c r="BY32" s="133">
        <f t="shared" si="8"/>
        <v>0</v>
      </c>
      <c r="BZ32" s="133">
        <f t="shared" si="8"/>
        <v>0</v>
      </c>
      <c r="CA32" s="133">
        <f t="shared" si="8"/>
        <v>0</v>
      </c>
      <c r="CB32" s="114"/>
      <c r="CC32" s="114"/>
      <c r="CD32" s="114"/>
      <c r="CE32" s="114"/>
      <c r="CF32" s="114"/>
      <c r="CG32" s="114"/>
      <c r="CH32" s="114"/>
      <c r="CI32" s="114"/>
      <c r="CJ32" s="115"/>
      <c r="CK32" s="11"/>
      <c r="CM32" s="35"/>
    </row>
    <row r="33" spans="4:92" x14ac:dyDescent="0.35">
      <c r="D33" s="325" t="s">
        <v>1517</v>
      </c>
      <c r="J33" s="115"/>
      <c r="K33" s="115"/>
      <c r="L33" s="115"/>
      <c r="M33" s="115"/>
      <c r="N33" s="115"/>
      <c r="O33" s="115"/>
      <c r="P33" s="115"/>
      <c r="Q33" s="115"/>
      <c r="R33" s="115"/>
      <c r="S33" s="115"/>
      <c r="T33" s="115"/>
      <c r="U33" s="115"/>
      <c r="V33" s="12">
        <f>SUM(V28:V32)</f>
        <v>0</v>
      </c>
      <c r="W33" s="12">
        <f>SUM(W28:W32)</f>
        <v>0</v>
      </c>
      <c r="X33" s="12">
        <f>SUM(X28:X32)</f>
        <v>0</v>
      </c>
      <c r="Y33" s="12">
        <f>SUM(Y28:Y32)</f>
        <v>0</v>
      </c>
      <c r="AA33" s="12">
        <f t="shared" ref="AA33:BJ33" si="9">SUM(AA28:AA32)</f>
        <v>0</v>
      </c>
      <c r="AB33" s="12">
        <f t="shared" si="9"/>
        <v>0</v>
      </c>
      <c r="AC33" s="12">
        <f t="shared" si="9"/>
        <v>0</v>
      </c>
      <c r="AD33" s="12">
        <f t="shared" si="9"/>
        <v>0</v>
      </c>
      <c r="AE33" s="12">
        <f t="shared" si="9"/>
        <v>0</v>
      </c>
      <c r="AF33" s="12">
        <f t="shared" si="9"/>
        <v>0</v>
      </c>
      <c r="AG33" s="12">
        <f t="shared" si="9"/>
        <v>0</v>
      </c>
      <c r="AH33" s="12">
        <f t="shared" si="9"/>
        <v>0</v>
      </c>
      <c r="AI33" s="12">
        <f t="shared" si="9"/>
        <v>0</v>
      </c>
      <c r="AJ33" s="12">
        <f t="shared" si="9"/>
        <v>0</v>
      </c>
      <c r="AK33" s="12">
        <f t="shared" si="9"/>
        <v>0</v>
      </c>
      <c r="AL33" s="12">
        <f t="shared" si="9"/>
        <v>0</v>
      </c>
      <c r="AM33" s="12">
        <f t="shared" si="9"/>
        <v>0</v>
      </c>
      <c r="AN33" s="12">
        <f t="shared" si="9"/>
        <v>0</v>
      </c>
      <c r="AO33" s="12">
        <f t="shared" si="9"/>
        <v>0</v>
      </c>
      <c r="AP33" s="12">
        <f t="shared" si="9"/>
        <v>0</v>
      </c>
      <c r="AQ33" s="12">
        <f t="shared" si="9"/>
        <v>0</v>
      </c>
      <c r="AR33" s="12">
        <f t="shared" si="9"/>
        <v>0</v>
      </c>
      <c r="AS33" s="12">
        <f t="shared" si="9"/>
        <v>0</v>
      </c>
      <c r="AT33" s="12">
        <f t="shared" si="9"/>
        <v>0</v>
      </c>
      <c r="AU33" s="12">
        <f t="shared" si="9"/>
        <v>0</v>
      </c>
      <c r="AV33" s="12">
        <f t="shared" si="9"/>
        <v>0</v>
      </c>
      <c r="AW33" s="12">
        <f t="shared" si="9"/>
        <v>0</v>
      </c>
      <c r="AX33" s="12">
        <f t="shared" si="9"/>
        <v>0</v>
      </c>
      <c r="AY33" s="12">
        <f t="shared" si="9"/>
        <v>0</v>
      </c>
      <c r="AZ33" s="12">
        <f t="shared" si="9"/>
        <v>0</v>
      </c>
      <c r="BA33" s="12">
        <f t="shared" si="9"/>
        <v>0</v>
      </c>
      <c r="BB33" s="12">
        <f t="shared" si="9"/>
        <v>0</v>
      </c>
      <c r="BC33" s="12">
        <f t="shared" si="9"/>
        <v>0</v>
      </c>
      <c r="BD33" s="12">
        <f t="shared" si="9"/>
        <v>0</v>
      </c>
      <c r="BE33" s="12">
        <f t="shared" si="9"/>
        <v>0</v>
      </c>
      <c r="BF33" s="12">
        <f t="shared" si="9"/>
        <v>0</v>
      </c>
      <c r="BG33" s="12">
        <f t="shared" si="9"/>
        <v>0</v>
      </c>
      <c r="BH33" s="12">
        <f t="shared" si="9"/>
        <v>0</v>
      </c>
      <c r="BI33" s="12">
        <f t="shared" si="9"/>
        <v>0</v>
      </c>
      <c r="BJ33" s="12">
        <f t="shared" si="9"/>
        <v>0</v>
      </c>
      <c r="BK33" s="115"/>
      <c r="BL33" s="115"/>
      <c r="BM33" s="115"/>
      <c r="BN33" s="115"/>
      <c r="BO33" s="115"/>
      <c r="BP33" s="115"/>
      <c r="BQ33" s="115"/>
      <c r="BR33" s="115"/>
      <c r="BS33" s="115"/>
      <c r="BT33" s="115"/>
      <c r="BU33" s="115"/>
      <c r="BV33" s="115"/>
      <c r="BX33" s="12">
        <f t="shared" ref="BX33:CI33" si="10">SUM(BX28:BX32)</f>
        <v>0</v>
      </c>
      <c r="BY33" s="12">
        <f t="shared" si="10"/>
        <v>0</v>
      </c>
      <c r="BZ33" s="12">
        <f t="shared" si="10"/>
        <v>0</v>
      </c>
      <c r="CA33" s="12">
        <f t="shared" si="10"/>
        <v>0</v>
      </c>
      <c r="CB33" s="12">
        <f t="shared" si="10"/>
        <v>0</v>
      </c>
      <c r="CC33" s="12">
        <f t="shared" si="10"/>
        <v>0</v>
      </c>
      <c r="CD33" s="12">
        <f t="shared" si="10"/>
        <v>0</v>
      </c>
      <c r="CE33" s="12">
        <f t="shared" si="10"/>
        <v>0</v>
      </c>
      <c r="CF33" s="12">
        <f t="shared" si="10"/>
        <v>0</v>
      </c>
      <c r="CG33" s="12">
        <f t="shared" si="10"/>
        <v>0</v>
      </c>
      <c r="CH33" s="12">
        <f t="shared" si="10"/>
        <v>0</v>
      </c>
      <c r="CI33" s="12">
        <f t="shared" si="10"/>
        <v>0</v>
      </c>
      <c r="CJ33" s="115"/>
      <c r="CK33" s="11"/>
      <c r="CM33" s="35"/>
    </row>
    <row r="34" spans="4:92" x14ac:dyDescent="0.35">
      <c r="CK34" s="312"/>
      <c r="CM34" s="311"/>
    </row>
    <row r="35" spans="4:92" x14ac:dyDescent="0.35">
      <c r="D35" s="320" t="s">
        <v>2528</v>
      </c>
      <c r="J35" s="115"/>
      <c r="K35" s="115"/>
      <c r="L35" s="115"/>
      <c r="M35" s="115"/>
      <c r="N35" s="115"/>
      <c r="O35" s="115"/>
      <c r="P35" s="115"/>
      <c r="Q35" s="115"/>
      <c r="R35" s="115"/>
      <c r="S35" s="115"/>
      <c r="T35" s="115"/>
      <c r="U35" s="115"/>
      <c r="V35" s="10">
        <f>V25</f>
        <v>0</v>
      </c>
      <c r="W35" s="10">
        <f>W25</f>
        <v>0</v>
      </c>
      <c r="X35" s="10">
        <f>X25</f>
        <v>0</v>
      </c>
      <c r="Y35" s="10">
        <f>Y25</f>
        <v>0</v>
      </c>
      <c r="AA35" s="10">
        <f t="shared" ref="AA35:BJ35" si="11">AA25</f>
        <v>0</v>
      </c>
      <c r="AB35" s="10">
        <f t="shared" si="11"/>
        <v>0</v>
      </c>
      <c r="AC35" s="10">
        <f t="shared" si="11"/>
        <v>0</v>
      </c>
      <c r="AD35" s="10">
        <f t="shared" si="11"/>
        <v>0</v>
      </c>
      <c r="AE35" s="10">
        <f t="shared" si="11"/>
        <v>0</v>
      </c>
      <c r="AF35" s="10">
        <f t="shared" si="11"/>
        <v>0</v>
      </c>
      <c r="AG35" s="10">
        <f t="shared" si="11"/>
        <v>0</v>
      </c>
      <c r="AH35" s="10">
        <f t="shared" si="11"/>
        <v>0</v>
      </c>
      <c r="AI35" s="10">
        <f t="shared" si="11"/>
        <v>0</v>
      </c>
      <c r="AJ35" s="10">
        <f t="shared" si="11"/>
        <v>0</v>
      </c>
      <c r="AK35" s="10">
        <f t="shared" si="11"/>
        <v>0</v>
      </c>
      <c r="AL35" s="10">
        <f t="shared" si="11"/>
        <v>0</v>
      </c>
      <c r="AM35" s="10">
        <f t="shared" si="11"/>
        <v>0</v>
      </c>
      <c r="AN35" s="10">
        <f t="shared" si="11"/>
        <v>0</v>
      </c>
      <c r="AO35" s="10">
        <f t="shared" si="11"/>
        <v>0</v>
      </c>
      <c r="AP35" s="10">
        <f t="shared" si="11"/>
        <v>0</v>
      </c>
      <c r="AQ35" s="10">
        <f t="shared" si="11"/>
        <v>0</v>
      </c>
      <c r="AR35" s="10">
        <f t="shared" si="11"/>
        <v>0</v>
      </c>
      <c r="AS35" s="10">
        <f t="shared" si="11"/>
        <v>0</v>
      </c>
      <c r="AT35" s="10">
        <f t="shared" si="11"/>
        <v>0</v>
      </c>
      <c r="AU35" s="10">
        <f t="shared" si="11"/>
        <v>0</v>
      </c>
      <c r="AV35" s="10">
        <f t="shared" si="11"/>
        <v>0</v>
      </c>
      <c r="AW35" s="10">
        <f t="shared" si="11"/>
        <v>0</v>
      </c>
      <c r="AX35" s="10">
        <f t="shared" si="11"/>
        <v>0</v>
      </c>
      <c r="AY35" s="10">
        <f t="shared" si="11"/>
        <v>0</v>
      </c>
      <c r="AZ35" s="10">
        <f t="shared" si="11"/>
        <v>0</v>
      </c>
      <c r="BA35" s="10">
        <f t="shared" si="11"/>
        <v>0</v>
      </c>
      <c r="BB35" s="10">
        <f t="shared" si="11"/>
        <v>0</v>
      </c>
      <c r="BC35" s="10">
        <f t="shared" si="11"/>
        <v>0</v>
      </c>
      <c r="BD35" s="10">
        <f t="shared" si="11"/>
        <v>0</v>
      </c>
      <c r="BE35" s="10">
        <f t="shared" si="11"/>
        <v>0</v>
      </c>
      <c r="BF35" s="10">
        <f t="shared" si="11"/>
        <v>0</v>
      </c>
      <c r="BG35" s="10">
        <f t="shared" si="11"/>
        <v>0</v>
      </c>
      <c r="BH35" s="10">
        <f t="shared" si="11"/>
        <v>0</v>
      </c>
      <c r="BI35" s="10">
        <f t="shared" si="11"/>
        <v>0</v>
      </c>
      <c r="BJ35" s="10">
        <f t="shared" si="11"/>
        <v>0</v>
      </c>
      <c r="BK35" s="115"/>
      <c r="BL35" s="115"/>
      <c r="BM35" s="115"/>
      <c r="BN35" s="115"/>
      <c r="BO35" s="115"/>
      <c r="BP35" s="115"/>
      <c r="BQ35" s="115"/>
      <c r="BR35" s="115"/>
      <c r="BS35" s="115"/>
      <c r="BT35" s="115"/>
      <c r="BU35" s="115"/>
      <c r="BV35" s="115"/>
      <c r="BX35" s="10">
        <f t="shared" ref="BX35:CI35" si="12">BX25</f>
        <v>0</v>
      </c>
      <c r="BY35" s="10">
        <f t="shared" si="12"/>
        <v>0</v>
      </c>
      <c r="BZ35" s="10">
        <f t="shared" si="12"/>
        <v>0</v>
      </c>
      <c r="CA35" s="10">
        <f t="shared" si="12"/>
        <v>0</v>
      </c>
      <c r="CB35" s="10">
        <f t="shared" si="12"/>
        <v>0</v>
      </c>
      <c r="CC35" s="10">
        <f t="shared" si="12"/>
        <v>0</v>
      </c>
      <c r="CD35" s="10">
        <f t="shared" si="12"/>
        <v>0</v>
      </c>
      <c r="CE35" s="10">
        <f t="shared" si="12"/>
        <v>0</v>
      </c>
      <c r="CF35" s="10">
        <f t="shared" si="12"/>
        <v>0</v>
      </c>
      <c r="CG35" s="10">
        <f t="shared" si="12"/>
        <v>0</v>
      </c>
      <c r="CH35" s="10">
        <f t="shared" si="12"/>
        <v>0</v>
      </c>
      <c r="CI35" s="10">
        <f t="shared" si="12"/>
        <v>0</v>
      </c>
      <c r="CJ35" s="115"/>
      <c r="CK35" s="11"/>
      <c r="CM35" s="35"/>
    </row>
    <row r="36" spans="4:92" x14ac:dyDescent="0.35">
      <c r="D36" s="320" t="s">
        <v>2529</v>
      </c>
      <c r="E36"/>
      <c r="J36" s="115"/>
      <c r="K36" s="115"/>
      <c r="L36" s="115"/>
      <c r="M36" s="115"/>
      <c r="N36" s="115"/>
      <c r="O36" s="115"/>
      <c r="P36" s="115"/>
      <c r="Q36" s="115"/>
      <c r="R36" s="115"/>
      <c r="S36" s="115"/>
      <c r="T36" s="115"/>
      <c r="U36" s="115"/>
      <c r="V36" s="10">
        <f>V33</f>
        <v>0</v>
      </c>
      <c r="W36" s="10">
        <f>W33</f>
        <v>0</v>
      </c>
      <c r="X36" s="10">
        <f>X33</f>
        <v>0</v>
      </c>
      <c r="Y36" s="10">
        <f>Y33</f>
        <v>0</v>
      </c>
      <c r="AA36" s="10">
        <f t="shared" ref="AA36:BJ36" si="13">AA33</f>
        <v>0</v>
      </c>
      <c r="AB36" s="10">
        <f t="shared" si="13"/>
        <v>0</v>
      </c>
      <c r="AC36" s="10">
        <f t="shared" si="13"/>
        <v>0</v>
      </c>
      <c r="AD36" s="10">
        <f t="shared" si="13"/>
        <v>0</v>
      </c>
      <c r="AE36" s="10">
        <f t="shared" si="13"/>
        <v>0</v>
      </c>
      <c r="AF36" s="10">
        <f t="shared" si="13"/>
        <v>0</v>
      </c>
      <c r="AG36" s="10">
        <f t="shared" si="13"/>
        <v>0</v>
      </c>
      <c r="AH36" s="10">
        <f t="shared" si="13"/>
        <v>0</v>
      </c>
      <c r="AI36" s="10">
        <f t="shared" si="13"/>
        <v>0</v>
      </c>
      <c r="AJ36" s="10">
        <f t="shared" si="13"/>
        <v>0</v>
      </c>
      <c r="AK36" s="10">
        <f t="shared" si="13"/>
        <v>0</v>
      </c>
      <c r="AL36" s="10">
        <f t="shared" si="13"/>
        <v>0</v>
      </c>
      <c r="AM36" s="10">
        <f t="shared" si="13"/>
        <v>0</v>
      </c>
      <c r="AN36" s="10">
        <f t="shared" si="13"/>
        <v>0</v>
      </c>
      <c r="AO36" s="10">
        <f t="shared" si="13"/>
        <v>0</v>
      </c>
      <c r="AP36" s="10">
        <f t="shared" si="13"/>
        <v>0</v>
      </c>
      <c r="AQ36" s="10">
        <f t="shared" si="13"/>
        <v>0</v>
      </c>
      <c r="AR36" s="10">
        <f t="shared" si="13"/>
        <v>0</v>
      </c>
      <c r="AS36" s="10">
        <f t="shared" si="13"/>
        <v>0</v>
      </c>
      <c r="AT36" s="10">
        <f t="shared" si="13"/>
        <v>0</v>
      </c>
      <c r="AU36" s="10">
        <f t="shared" si="13"/>
        <v>0</v>
      </c>
      <c r="AV36" s="10">
        <f t="shared" si="13"/>
        <v>0</v>
      </c>
      <c r="AW36" s="10">
        <f t="shared" si="13"/>
        <v>0</v>
      </c>
      <c r="AX36" s="10">
        <f t="shared" si="13"/>
        <v>0</v>
      </c>
      <c r="AY36" s="10">
        <f t="shared" si="13"/>
        <v>0</v>
      </c>
      <c r="AZ36" s="10">
        <f t="shared" si="13"/>
        <v>0</v>
      </c>
      <c r="BA36" s="10">
        <f t="shared" si="13"/>
        <v>0</v>
      </c>
      <c r="BB36" s="10">
        <f t="shared" si="13"/>
        <v>0</v>
      </c>
      <c r="BC36" s="10">
        <f t="shared" si="13"/>
        <v>0</v>
      </c>
      <c r="BD36" s="10">
        <f t="shared" si="13"/>
        <v>0</v>
      </c>
      <c r="BE36" s="10">
        <f t="shared" si="13"/>
        <v>0</v>
      </c>
      <c r="BF36" s="10">
        <f t="shared" si="13"/>
        <v>0</v>
      </c>
      <c r="BG36" s="10">
        <f t="shared" si="13"/>
        <v>0</v>
      </c>
      <c r="BH36" s="10">
        <f t="shared" si="13"/>
        <v>0</v>
      </c>
      <c r="BI36" s="10">
        <f t="shared" si="13"/>
        <v>0</v>
      </c>
      <c r="BJ36" s="10">
        <f t="shared" si="13"/>
        <v>0</v>
      </c>
      <c r="BX36" s="10">
        <f t="shared" ref="BX36:CI36" si="14">SUM(BX28:BX32)</f>
        <v>0</v>
      </c>
      <c r="BY36" s="10">
        <f t="shared" si="14"/>
        <v>0</v>
      </c>
      <c r="BZ36" s="10">
        <f t="shared" si="14"/>
        <v>0</v>
      </c>
      <c r="CA36" s="10">
        <f t="shared" si="14"/>
        <v>0</v>
      </c>
      <c r="CB36" s="10">
        <f t="shared" si="14"/>
        <v>0</v>
      </c>
      <c r="CC36" s="10">
        <f t="shared" si="14"/>
        <v>0</v>
      </c>
      <c r="CD36" s="10">
        <f t="shared" si="14"/>
        <v>0</v>
      </c>
      <c r="CE36" s="10">
        <f t="shared" si="14"/>
        <v>0</v>
      </c>
      <c r="CF36" s="10">
        <f t="shared" si="14"/>
        <v>0</v>
      </c>
      <c r="CG36" s="10">
        <f t="shared" si="14"/>
        <v>0</v>
      </c>
      <c r="CH36" s="10">
        <f t="shared" si="14"/>
        <v>0</v>
      </c>
      <c r="CI36" s="10">
        <f t="shared" si="14"/>
        <v>0</v>
      </c>
      <c r="CJ36" s="115"/>
      <c r="CK36" s="11"/>
      <c r="CM36" s="35"/>
      <c r="CN36" s="115"/>
    </row>
    <row r="37" spans="4:92" x14ac:dyDescent="0.35">
      <c r="D37" s="321"/>
      <c r="BK37" s="115"/>
      <c r="BL37" s="115"/>
      <c r="BM37" s="115"/>
      <c r="BN37" s="115"/>
      <c r="BO37" s="115"/>
      <c r="BP37" s="115"/>
      <c r="BQ37" s="115"/>
      <c r="BR37" s="115"/>
      <c r="BS37" s="115"/>
      <c r="BT37" s="115"/>
      <c r="BU37" s="115"/>
      <c r="BV37" s="115"/>
      <c r="CK37" s="11"/>
      <c r="CM37" s="35"/>
    </row>
    <row r="38" spans="4:92" x14ac:dyDescent="0.35">
      <c r="D38" s="322" t="s">
        <v>2530</v>
      </c>
      <c r="V38" s="10">
        <f>V35-V36</f>
        <v>0</v>
      </c>
      <c r="W38" s="10">
        <f>W35-W36</f>
        <v>0</v>
      </c>
      <c r="X38" s="10">
        <f>X35-X36</f>
        <v>0</v>
      </c>
      <c r="Y38" s="10">
        <f>Y35-Y36</f>
        <v>0</v>
      </c>
      <c r="AA38" s="10">
        <f t="shared" ref="AA38:BJ38" si="15">AA35-AA36</f>
        <v>0</v>
      </c>
      <c r="AB38" s="10">
        <f t="shared" si="15"/>
        <v>0</v>
      </c>
      <c r="AC38" s="10">
        <f t="shared" si="15"/>
        <v>0</v>
      </c>
      <c r="AD38" s="10">
        <f t="shared" si="15"/>
        <v>0</v>
      </c>
      <c r="AE38" s="10">
        <f t="shared" si="15"/>
        <v>0</v>
      </c>
      <c r="AF38" s="10">
        <f t="shared" si="15"/>
        <v>0</v>
      </c>
      <c r="AG38" s="10">
        <f t="shared" si="15"/>
        <v>0</v>
      </c>
      <c r="AH38" s="10">
        <f t="shared" si="15"/>
        <v>0</v>
      </c>
      <c r="AI38" s="10">
        <f t="shared" si="15"/>
        <v>0</v>
      </c>
      <c r="AJ38" s="10">
        <f t="shared" si="15"/>
        <v>0</v>
      </c>
      <c r="AK38" s="10">
        <f t="shared" si="15"/>
        <v>0</v>
      </c>
      <c r="AL38" s="10">
        <f t="shared" si="15"/>
        <v>0</v>
      </c>
      <c r="AM38" s="10">
        <f t="shared" si="15"/>
        <v>0</v>
      </c>
      <c r="AN38" s="10">
        <f t="shared" si="15"/>
        <v>0</v>
      </c>
      <c r="AO38" s="10">
        <f t="shared" si="15"/>
        <v>0</v>
      </c>
      <c r="AP38" s="10">
        <f t="shared" si="15"/>
        <v>0</v>
      </c>
      <c r="AQ38" s="10">
        <f t="shared" si="15"/>
        <v>0</v>
      </c>
      <c r="AR38" s="10">
        <f t="shared" si="15"/>
        <v>0</v>
      </c>
      <c r="AS38" s="10">
        <f t="shared" si="15"/>
        <v>0</v>
      </c>
      <c r="AT38" s="10">
        <f t="shared" si="15"/>
        <v>0</v>
      </c>
      <c r="AU38" s="10">
        <f t="shared" si="15"/>
        <v>0</v>
      </c>
      <c r="AV38" s="10">
        <f t="shared" si="15"/>
        <v>0</v>
      </c>
      <c r="AW38" s="10">
        <f t="shared" si="15"/>
        <v>0</v>
      </c>
      <c r="AX38" s="10">
        <f t="shared" si="15"/>
        <v>0</v>
      </c>
      <c r="AY38" s="10">
        <f t="shared" si="15"/>
        <v>0</v>
      </c>
      <c r="AZ38" s="10">
        <f t="shared" si="15"/>
        <v>0</v>
      </c>
      <c r="BA38" s="10">
        <f t="shared" si="15"/>
        <v>0</v>
      </c>
      <c r="BB38" s="10">
        <f t="shared" si="15"/>
        <v>0</v>
      </c>
      <c r="BC38" s="10">
        <f t="shared" si="15"/>
        <v>0</v>
      </c>
      <c r="BD38" s="10">
        <f t="shared" si="15"/>
        <v>0</v>
      </c>
      <c r="BE38" s="10">
        <f t="shared" si="15"/>
        <v>0</v>
      </c>
      <c r="BF38" s="10">
        <f t="shared" si="15"/>
        <v>0</v>
      </c>
      <c r="BG38" s="10">
        <f t="shared" si="15"/>
        <v>0</v>
      </c>
      <c r="BH38" s="10">
        <f t="shared" si="15"/>
        <v>0</v>
      </c>
      <c r="BI38" s="10">
        <f t="shared" si="15"/>
        <v>0</v>
      </c>
      <c r="BJ38" s="10">
        <f t="shared" si="15"/>
        <v>0</v>
      </c>
      <c r="BX38" s="10">
        <f t="shared" ref="BX38:CI38" si="16">BX35-BX36</f>
        <v>0</v>
      </c>
      <c r="BY38" s="10">
        <f t="shared" si="16"/>
        <v>0</v>
      </c>
      <c r="BZ38" s="10">
        <f t="shared" si="16"/>
        <v>0</v>
      </c>
      <c r="CA38" s="10">
        <f t="shared" si="16"/>
        <v>0</v>
      </c>
      <c r="CB38" s="10">
        <f t="shared" si="16"/>
        <v>0</v>
      </c>
      <c r="CC38" s="10">
        <f t="shared" si="16"/>
        <v>0</v>
      </c>
      <c r="CD38" s="10">
        <f t="shared" si="16"/>
        <v>0</v>
      </c>
      <c r="CE38" s="10">
        <f t="shared" si="16"/>
        <v>0</v>
      </c>
      <c r="CF38" s="10">
        <f t="shared" si="16"/>
        <v>0</v>
      </c>
      <c r="CG38" s="10">
        <f t="shared" si="16"/>
        <v>0</v>
      </c>
      <c r="CH38" s="10">
        <f t="shared" si="16"/>
        <v>0</v>
      </c>
      <c r="CI38" s="10">
        <f t="shared" si="16"/>
        <v>0</v>
      </c>
      <c r="CK38" s="11"/>
      <c r="CM38" s="35"/>
    </row>
    <row r="39" spans="4:92" x14ac:dyDescent="0.35">
      <c r="D39" s="321"/>
      <c r="BK39" s="115"/>
      <c r="BL39" s="115"/>
      <c r="BM39" s="115"/>
      <c r="BN39" s="115"/>
      <c r="BO39" s="115"/>
      <c r="BP39" s="115"/>
      <c r="BQ39" s="115"/>
      <c r="BR39" s="115"/>
      <c r="BS39" s="115"/>
      <c r="BT39" s="115"/>
      <c r="BU39" s="115"/>
      <c r="BV39" s="115"/>
      <c r="CK39" s="11"/>
      <c r="CM39" s="35"/>
    </row>
    <row r="40" spans="4:92" x14ac:dyDescent="0.35">
      <c r="D40" s="319" t="s">
        <v>2531</v>
      </c>
      <c r="CK40" s="11"/>
      <c r="CM40" s="35"/>
    </row>
    <row r="41" spans="4:92" x14ac:dyDescent="0.35">
      <c r="D41" s="530" t="s">
        <v>2532</v>
      </c>
      <c r="V41" s="114"/>
      <c r="W41" s="133">
        <f t="shared" ref="W41:Y43" si="17" xml:space="preserve"> SUMIFS($AA41:$BJ41, $AA$3:$BJ$3, W$3)</f>
        <v>0</v>
      </c>
      <c r="X41" s="133">
        <f t="shared" si="17"/>
        <v>0</v>
      </c>
      <c r="Y41" s="133">
        <f t="shared" si="17"/>
        <v>0</v>
      </c>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5"/>
      <c r="BL41" s="115"/>
      <c r="BM41" s="115"/>
      <c r="BN41" s="115"/>
      <c r="BO41" s="115"/>
      <c r="BP41" s="115"/>
      <c r="BQ41" s="115"/>
      <c r="BR41" s="115"/>
      <c r="BS41" s="115"/>
      <c r="BT41" s="115"/>
      <c r="BU41" s="115"/>
      <c r="BV41" s="115"/>
      <c r="BX41" s="133">
        <f t="shared" ref="BX41:CA43" si="18">V41</f>
        <v>0</v>
      </c>
      <c r="BY41" s="133">
        <f t="shared" si="18"/>
        <v>0</v>
      </c>
      <c r="BZ41" s="133">
        <f t="shared" si="18"/>
        <v>0</v>
      </c>
      <c r="CA41" s="133">
        <f t="shared" si="18"/>
        <v>0</v>
      </c>
      <c r="CB41" s="114"/>
      <c r="CC41" s="114"/>
      <c r="CD41" s="114"/>
      <c r="CE41" s="114"/>
      <c r="CF41" s="114"/>
      <c r="CG41" s="114"/>
      <c r="CH41" s="114"/>
      <c r="CI41" s="114"/>
      <c r="CK41" s="11"/>
      <c r="CM41" s="35"/>
    </row>
    <row r="42" spans="4:92" x14ac:dyDescent="0.35">
      <c r="D42" s="530" t="s">
        <v>2533</v>
      </c>
      <c r="V42" s="114"/>
      <c r="W42" s="133">
        <f t="shared" si="17"/>
        <v>0</v>
      </c>
      <c r="X42" s="133">
        <f t="shared" si="17"/>
        <v>0</v>
      </c>
      <c r="Y42" s="133">
        <f t="shared" si="17"/>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5"/>
      <c r="BL42" s="115"/>
      <c r="BM42" s="115"/>
      <c r="BN42" s="115"/>
      <c r="BO42" s="115"/>
      <c r="BP42" s="115"/>
      <c r="BQ42" s="115"/>
      <c r="BR42" s="115"/>
      <c r="BS42" s="115"/>
      <c r="BT42" s="115"/>
      <c r="BU42" s="115"/>
      <c r="BV42" s="115"/>
      <c r="BX42" s="133">
        <f t="shared" si="18"/>
        <v>0</v>
      </c>
      <c r="BY42" s="133">
        <f t="shared" si="18"/>
        <v>0</v>
      </c>
      <c r="BZ42" s="133">
        <f t="shared" si="18"/>
        <v>0</v>
      </c>
      <c r="CA42" s="133">
        <f t="shared" si="18"/>
        <v>0</v>
      </c>
      <c r="CB42" s="114"/>
      <c r="CC42" s="114"/>
      <c r="CD42" s="114"/>
      <c r="CE42" s="114"/>
      <c r="CF42" s="114"/>
      <c r="CG42" s="114"/>
      <c r="CH42" s="114"/>
      <c r="CI42" s="114"/>
      <c r="CK42" s="11"/>
      <c r="CM42" s="35"/>
    </row>
    <row r="43" spans="4:92" x14ac:dyDescent="0.35">
      <c r="D43" s="114" t="s">
        <v>2521</v>
      </c>
      <c r="V43" s="114"/>
      <c r="W43" s="133">
        <f t="shared" si="17"/>
        <v>0</v>
      </c>
      <c r="X43" s="133">
        <f t="shared" si="17"/>
        <v>0</v>
      </c>
      <c r="Y43" s="133">
        <f t="shared" si="17"/>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33">
        <f t="shared" si="18"/>
        <v>0</v>
      </c>
      <c r="BY43" s="133">
        <f t="shared" si="18"/>
        <v>0</v>
      </c>
      <c r="BZ43" s="133">
        <f t="shared" si="18"/>
        <v>0</v>
      </c>
      <c r="CA43" s="133">
        <f t="shared" si="18"/>
        <v>0</v>
      </c>
      <c r="CB43" s="114"/>
      <c r="CC43" s="114"/>
      <c r="CD43" s="114"/>
      <c r="CE43" s="114"/>
      <c r="CF43" s="114"/>
      <c r="CG43" s="114"/>
      <c r="CH43" s="114"/>
      <c r="CI43" s="114"/>
      <c r="CK43" s="11"/>
      <c r="CM43" s="35"/>
    </row>
    <row r="44" spans="4:92" x14ac:dyDescent="0.35">
      <c r="D44" s="2"/>
      <c r="BK44" s="115"/>
      <c r="BL44" s="115"/>
      <c r="BM44" s="115"/>
      <c r="BN44" s="115"/>
      <c r="BO44" s="115"/>
      <c r="BP44" s="115"/>
      <c r="BQ44" s="115"/>
      <c r="BR44" s="115"/>
      <c r="BS44" s="115"/>
      <c r="BT44" s="115"/>
      <c r="BU44" s="115"/>
      <c r="BV44" s="115"/>
      <c r="CK44" s="11"/>
      <c r="CM44" s="35"/>
    </row>
    <row r="45" spans="4:92" x14ac:dyDescent="0.35">
      <c r="D45" s="319" t="s">
        <v>2534</v>
      </c>
      <c r="CK45" s="11"/>
      <c r="CM45" s="35"/>
    </row>
    <row r="46" spans="4:92" x14ac:dyDescent="0.35">
      <c r="D46" s="530" t="s">
        <v>2535</v>
      </c>
      <c r="V46" s="114"/>
      <c r="W46" s="133">
        <f t="shared" ref="W46:Y48" si="19" xml:space="preserve"> SUMIFS($AA46:$BJ46, $AA$3:$BJ$3, W$3)</f>
        <v>0</v>
      </c>
      <c r="X46" s="133">
        <f t="shared" si="19"/>
        <v>0</v>
      </c>
      <c r="Y46" s="133">
        <f t="shared" si="19"/>
        <v>0</v>
      </c>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5"/>
      <c r="BL46" s="115"/>
      <c r="BM46" s="115"/>
      <c r="BN46" s="115"/>
      <c r="BO46" s="115"/>
      <c r="BP46" s="115"/>
      <c r="BQ46" s="115"/>
      <c r="BR46" s="115"/>
      <c r="BS46" s="115"/>
      <c r="BT46" s="115"/>
      <c r="BU46" s="115"/>
      <c r="BV46" s="115"/>
      <c r="BX46" s="133">
        <f t="shared" ref="BX46:CA48" si="20">V46</f>
        <v>0</v>
      </c>
      <c r="BY46" s="133">
        <f t="shared" si="20"/>
        <v>0</v>
      </c>
      <c r="BZ46" s="133">
        <f t="shared" si="20"/>
        <v>0</v>
      </c>
      <c r="CA46" s="133">
        <f t="shared" si="20"/>
        <v>0</v>
      </c>
      <c r="CB46" s="114"/>
      <c r="CC46" s="114"/>
      <c r="CD46" s="114"/>
      <c r="CE46" s="114"/>
      <c r="CF46" s="114"/>
      <c r="CG46" s="114"/>
      <c r="CH46" s="114"/>
      <c r="CI46" s="114"/>
      <c r="CK46" s="11"/>
      <c r="CM46" s="35"/>
    </row>
    <row r="47" spans="4:92" x14ac:dyDescent="0.35">
      <c r="D47" s="530" t="s">
        <v>622</v>
      </c>
      <c r="V47" s="114"/>
      <c r="W47" s="133">
        <f t="shared" si="19"/>
        <v>0</v>
      </c>
      <c r="X47" s="133">
        <f t="shared" si="19"/>
        <v>0</v>
      </c>
      <c r="Y47" s="133">
        <f t="shared" si="19"/>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33">
        <f t="shared" si="20"/>
        <v>0</v>
      </c>
      <c r="BY47" s="133">
        <f t="shared" si="20"/>
        <v>0</v>
      </c>
      <c r="BZ47" s="133">
        <f t="shared" si="20"/>
        <v>0</v>
      </c>
      <c r="CA47" s="133">
        <f t="shared" si="20"/>
        <v>0</v>
      </c>
      <c r="CB47" s="114"/>
      <c r="CC47" s="114"/>
      <c r="CD47" s="114"/>
      <c r="CE47" s="114"/>
      <c r="CF47" s="114"/>
      <c r="CG47" s="114"/>
      <c r="CH47" s="114"/>
      <c r="CI47" s="114"/>
      <c r="CK47" s="11"/>
      <c r="CM47" s="35"/>
    </row>
    <row r="48" spans="4:92" x14ac:dyDescent="0.35">
      <c r="D48" s="114" t="s">
        <v>2521</v>
      </c>
      <c r="V48" s="114"/>
      <c r="W48" s="133">
        <f t="shared" si="19"/>
        <v>0</v>
      </c>
      <c r="X48" s="133">
        <f t="shared" si="19"/>
        <v>0</v>
      </c>
      <c r="Y48" s="133">
        <f t="shared" si="19"/>
        <v>0</v>
      </c>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5"/>
      <c r="BL48" s="115"/>
      <c r="BM48" s="115"/>
      <c r="BN48" s="115"/>
      <c r="BO48" s="115"/>
      <c r="BP48" s="115"/>
      <c r="BQ48" s="115"/>
      <c r="BR48" s="115"/>
      <c r="BS48" s="115"/>
      <c r="BT48" s="115"/>
      <c r="BU48" s="115"/>
      <c r="BV48" s="115"/>
      <c r="BX48" s="133">
        <f t="shared" si="20"/>
        <v>0</v>
      </c>
      <c r="BY48" s="133">
        <f t="shared" si="20"/>
        <v>0</v>
      </c>
      <c r="BZ48" s="133">
        <f t="shared" si="20"/>
        <v>0</v>
      </c>
      <c r="CA48" s="133">
        <f t="shared" si="20"/>
        <v>0</v>
      </c>
      <c r="CB48" s="114"/>
      <c r="CC48" s="114"/>
      <c r="CD48" s="114"/>
      <c r="CE48" s="114"/>
      <c r="CF48" s="114"/>
      <c r="CG48" s="114"/>
      <c r="CH48" s="114"/>
      <c r="CI48" s="114"/>
      <c r="CK48" s="11"/>
      <c r="CM48" s="35"/>
    </row>
    <row r="49" spans="4:91" x14ac:dyDescent="0.35">
      <c r="D49" s="2"/>
      <c r="CK49" s="11"/>
      <c r="CM49" s="35"/>
    </row>
    <row r="50" spans="4:91" x14ac:dyDescent="0.35">
      <c r="D50" s="320" t="s">
        <v>2536</v>
      </c>
      <c r="V50" s="10">
        <f>SUM(V41:V43)</f>
        <v>0</v>
      </c>
      <c r="W50" s="10">
        <f>SUM(W41:W43)</f>
        <v>0</v>
      </c>
      <c r="X50" s="10">
        <f>SUM(X41:X43)</f>
        <v>0</v>
      </c>
      <c r="Y50" s="10">
        <f>SUM(Y41:Y43)</f>
        <v>0</v>
      </c>
      <c r="AA50" s="10">
        <f t="shared" ref="AA50:BJ50" si="21">SUM(AA41:AA43)</f>
        <v>0</v>
      </c>
      <c r="AB50" s="10">
        <f t="shared" si="21"/>
        <v>0</v>
      </c>
      <c r="AC50" s="10">
        <f t="shared" si="21"/>
        <v>0</v>
      </c>
      <c r="AD50" s="10">
        <f t="shared" si="21"/>
        <v>0</v>
      </c>
      <c r="AE50" s="10">
        <f t="shared" si="21"/>
        <v>0</v>
      </c>
      <c r="AF50" s="10">
        <f t="shared" si="21"/>
        <v>0</v>
      </c>
      <c r="AG50" s="10">
        <f t="shared" si="21"/>
        <v>0</v>
      </c>
      <c r="AH50" s="10">
        <f t="shared" si="21"/>
        <v>0</v>
      </c>
      <c r="AI50" s="10">
        <f t="shared" si="21"/>
        <v>0</v>
      </c>
      <c r="AJ50" s="10">
        <f t="shared" si="21"/>
        <v>0</v>
      </c>
      <c r="AK50" s="10">
        <f t="shared" si="21"/>
        <v>0</v>
      </c>
      <c r="AL50" s="10">
        <f t="shared" si="21"/>
        <v>0</v>
      </c>
      <c r="AM50" s="10">
        <f t="shared" si="21"/>
        <v>0</v>
      </c>
      <c r="AN50" s="10">
        <f t="shared" si="21"/>
        <v>0</v>
      </c>
      <c r="AO50" s="10">
        <f t="shared" si="21"/>
        <v>0</v>
      </c>
      <c r="AP50" s="10">
        <f t="shared" si="21"/>
        <v>0</v>
      </c>
      <c r="AQ50" s="10">
        <f t="shared" si="21"/>
        <v>0</v>
      </c>
      <c r="AR50" s="10">
        <f t="shared" si="21"/>
        <v>0</v>
      </c>
      <c r="AS50" s="10">
        <f t="shared" si="21"/>
        <v>0</v>
      </c>
      <c r="AT50" s="10">
        <f t="shared" si="21"/>
        <v>0</v>
      </c>
      <c r="AU50" s="10">
        <f t="shared" si="21"/>
        <v>0</v>
      </c>
      <c r="AV50" s="10">
        <f t="shared" si="21"/>
        <v>0</v>
      </c>
      <c r="AW50" s="10">
        <f t="shared" si="21"/>
        <v>0</v>
      </c>
      <c r="AX50" s="10">
        <f t="shared" si="21"/>
        <v>0</v>
      </c>
      <c r="AY50" s="10">
        <f t="shared" si="21"/>
        <v>0</v>
      </c>
      <c r="AZ50" s="10">
        <f t="shared" si="21"/>
        <v>0</v>
      </c>
      <c r="BA50" s="10">
        <f t="shared" si="21"/>
        <v>0</v>
      </c>
      <c r="BB50" s="10">
        <f t="shared" si="21"/>
        <v>0</v>
      </c>
      <c r="BC50" s="10">
        <f t="shared" si="21"/>
        <v>0</v>
      </c>
      <c r="BD50" s="10">
        <f t="shared" si="21"/>
        <v>0</v>
      </c>
      <c r="BE50" s="10">
        <f t="shared" si="21"/>
        <v>0</v>
      </c>
      <c r="BF50" s="10">
        <f t="shared" si="21"/>
        <v>0</v>
      </c>
      <c r="BG50" s="10">
        <f t="shared" si="21"/>
        <v>0</v>
      </c>
      <c r="BH50" s="10">
        <f t="shared" si="21"/>
        <v>0</v>
      </c>
      <c r="BI50" s="10">
        <f t="shared" si="21"/>
        <v>0</v>
      </c>
      <c r="BJ50" s="10">
        <f t="shared" si="21"/>
        <v>0</v>
      </c>
      <c r="BK50" s="115"/>
      <c r="BL50" s="115"/>
      <c r="BM50" s="115"/>
      <c r="BN50" s="115"/>
      <c r="BO50" s="115"/>
      <c r="BP50" s="115"/>
      <c r="BQ50" s="115"/>
      <c r="BR50" s="115"/>
      <c r="BS50" s="115"/>
      <c r="BT50" s="115"/>
      <c r="BU50" s="115"/>
      <c r="BV50" s="115"/>
      <c r="BX50" s="10">
        <f t="shared" ref="BX50:CI50" si="22">SUM(BX41:BX43)</f>
        <v>0</v>
      </c>
      <c r="BY50" s="10">
        <f t="shared" si="22"/>
        <v>0</v>
      </c>
      <c r="BZ50" s="10">
        <f t="shared" si="22"/>
        <v>0</v>
      </c>
      <c r="CA50" s="10">
        <f t="shared" si="22"/>
        <v>0</v>
      </c>
      <c r="CB50" s="10">
        <f t="shared" si="22"/>
        <v>0</v>
      </c>
      <c r="CC50" s="10">
        <f t="shared" si="22"/>
        <v>0</v>
      </c>
      <c r="CD50" s="10">
        <f t="shared" si="22"/>
        <v>0</v>
      </c>
      <c r="CE50" s="10">
        <f t="shared" si="22"/>
        <v>0</v>
      </c>
      <c r="CF50" s="10">
        <f t="shared" si="22"/>
        <v>0</v>
      </c>
      <c r="CG50" s="10">
        <f t="shared" si="22"/>
        <v>0</v>
      </c>
      <c r="CH50" s="10">
        <f t="shared" si="22"/>
        <v>0</v>
      </c>
      <c r="CI50" s="10">
        <f t="shared" si="22"/>
        <v>0</v>
      </c>
      <c r="CK50" s="11"/>
      <c r="CM50" s="35"/>
    </row>
    <row r="51" spans="4:91" x14ac:dyDescent="0.35">
      <c r="D51" s="320" t="s">
        <v>2537</v>
      </c>
      <c r="V51" s="10">
        <f>SUM(V46:V48)</f>
        <v>0</v>
      </c>
      <c r="W51" s="10">
        <f>SUM(W46:W48)</f>
        <v>0</v>
      </c>
      <c r="X51" s="10">
        <f>SUM(X46:X48)</f>
        <v>0</v>
      </c>
      <c r="Y51" s="10">
        <f>SUM(Y46:Y48)</f>
        <v>0</v>
      </c>
      <c r="AA51" s="10">
        <f t="shared" ref="AA51:BJ51" si="23">SUM(AA46:AA48)</f>
        <v>0</v>
      </c>
      <c r="AB51" s="10">
        <f t="shared" si="23"/>
        <v>0</v>
      </c>
      <c r="AC51" s="10">
        <f t="shared" si="23"/>
        <v>0</v>
      </c>
      <c r="AD51" s="10">
        <f t="shared" si="23"/>
        <v>0</v>
      </c>
      <c r="AE51" s="10">
        <f t="shared" si="23"/>
        <v>0</v>
      </c>
      <c r="AF51" s="10">
        <f t="shared" si="23"/>
        <v>0</v>
      </c>
      <c r="AG51" s="10">
        <f t="shared" si="23"/>
        <v>0</v>
      </c>
      <c r="AH51" s="10">
        <f t="shared" si="23"/>
        <v>0</v>
      </c>
      <c r="AI51" s="10">
        <f t="shared" si="23"/>
        <v>0</v>
      </c>
      <c r="AJ51" s="10">
        <f t="shared" si="23"/>
        <v>0</v>
      </c>
      <c r="AK51" s="10">
        <f t="shared" si="23"/>
        <v>0</v>
      </c>
      <c r="AL51" s="10">
        <f t="shared" si="23"/>
        <v>0</v>
      </c>
      <c r="AM51" s="10">
        <f t="shared" si="23"/>
        <v>0</v>
      </c>
      <c r="AN51" s="10">
        <f t="shared" si="23"/>
        <v>0</v>
      </c>
      <c r="AO51" s="10">
        <f t="shared" si="23"/>
        <v>0</v>
      </c>
      <c r="AP51" s="10">
        <f t="shared" si="23"/>
        <v>0</v>
      </c>
      <c r="AQ51" s="10">
        <f t="shared" si="23"/>
        <v>0</v>
      </c>
      <c r="AR51" s="10">
        <f t="shared" si="23"/>
        <v>0</v>
      </c>
      <c r="AS51" s="10">
        <f t="shared" si="23"/>
        <v>0</v>
      </c>
      <c r="AT51" s="10">
        <f t="shared" si="23"/>
        <v>0</v>
      </c>
      <c r="AU51" s="10">
        <f t="shared" si="23"/>
        <v>0</v>
      </c>
      <c r="AV51" s="10">
        <f t="shared" si="23"/>
        <v>0</v>
      </c>
      <c r="AW51" s="10">
        <f t="shared" si="23"/>
        <v>0</v>
      </c>
      <c r="AX51" s="10">
        <f t="shared" si="23"/>
        <v>0</v>
      </c>
      <c r="AY51" s="10">
        <f t="shared" si="23"/>
        <v>0</v>
      </c>
      <c r="AZ51" s="10">
        <f t="shared" si="23"/>
        <v>0</v>
      </c>
      <c r="BA51" s="10">
        <f t="shared" si="23"/>
        <v>0</v>
      </c>
      <c r="BB51" s="10">
        <f t="shared" si="23"/>
        <v>0</v>
      </c>
      <c r="BC51" s="10">
        <f t="shared" si="23"/>
        <v>0</v>
      </c>
      <c r="BD51" s="10">
        <f t="shared" si="23"/>
        <v>0</v>
      </c>
      <c r="BE51" s="10">
        <f t="shared" si="23"/>
        <v>0</v>
      </c>
      <c r="BF51" s="10">
        <f t="shared" si="23"/>
        <v>0</v>
      </c>
      <c r="BG51" s="10">
        <f t="shared" si="23"/>
        <v>0</v>
      </c>
      <c r="BH51" s="10">
        <f t="shared" si="23"/>
        <v>0</v>
      </c>
      <c r="BI51" s="10">
        <f t="shared" si="23"/>
        <v>0</v>
      </c>
      <c r="BJ51" s="10">
        <f t="shared" si="23"/>
        <v>0</v>
      </c>
      <c r="BX51" s="10">
        <f t="shared" ref="BX51:CI51" si="24">SUM(BX46:BX48)</f>
        <v>0</v>
      </c>
      <c r="BY51" s="10">
        <f t="shared" si="24"/>
        <v>0</v>
      </c>
      <c r="BZ51" s="10">
        <f t="shared" si="24"/>
        <v>0</v>
      </c>
      <c r="CA51" s="10">
        <f t="shared" si="24"/>
        <v>0</v>
      </c>
      <c r="CB51" s="10">
        <f t="shared" si="24"/>
        <v>0</v>
      </c>
      <c r="CC51" s="10">
        <f t="shared" si="24"/>
        <v>0</v>
      </c>
      <c r="CD51" s="10">
        <f t="shared" si="24"/>
        <v>0</v>
      </c>
      <c r="CE51" s="10">
        <f t="shared" si="24"/>
        <v>0</v>
      </c>
      <c r="CF51" s="10">
        <f t="shared" si="24"/>
        <v>0</v>
      </c>
      <c r="CG51" s="10">
        <f t="shared" si="24"/>
        <v>0</v>
      </c>
      <c r="CH51" s="10">
        <f t="shared" si="24"/>
        <v>0</v>
      </c>
      <c r="CI51" s="10">
        <f t="shared" si="24"/>
        <v>0</v>
      </c>
      <c r="CK51" s="11"/>
      <c r="CM51" s="35"/>
    </row>
    <row r="52" spans="4:91" x14ac:dyDescent="0.35">
      <c r="BK52" s="115"/>
      <c r="BL52" s="115"/>
      <c r="BM52" s="115"/>
      <c r="BN52" s="115"/>
      <c r="BO52" s="115"/>
      <c r="BP52" s="115"/>
      <c r="BQ52" s="115"/>
      <c r="BR52" s="115"/>
      <c r="BS52" s="115"/>
      <c r="BT52" s="115"/>
      <c r="BU52" s="115"/>
      <c r="BV52" s="115"/>
      <c r="CK52" s="11"/>
      <c r="CM52" s="35"/>
    </row>
    <row r="53" spans="4:91" x14ac:dyDescent="0.35">
      <c r="D53" s="322" t="s">
        <v>2538</v>
      </c>
      <c r="V53" s="10">
        <f>V50-V51</f>
        <v>0</v>
      </c>
      <c r="W53" s="10">
        <f>W50-W51</f>
        <v>0</v>
      </c>
      <c r="X53" s="10">
        <f>X50-X51</f>
        <v>0</v>
      </c>
      <c r="Y53" s="10">
        <f>Y50-Y51</f>
        <v>0</v>
      </c>
      <c r="AA53" s="10">
        <f t="shared" ref="AA53:BJ53" si="25">AA50-AA51</f>
        <v>0</v>
      </c>
      <c r="AB53" s="10">
        <f t="shared" si="25"/>
        <v>0</v>
      </c>
      <c r="AC53" s="10">
        <f t="shared" si="25"/>
        <v>0</v>
      </c>
      <c r="AD53" s="10">
        <f t="shared" si="25"/>
        <v>0</v>
      </c>
      <c r="AE53" s="10">
        <f t="shared" si="25"/>
        <v>0</v>
      </c>
      <c r="AF53" s="10">
        <f t="shared" si="25"/>
        <v>0</v>
      </c>
      <c r="AG53" s="10">
        <f t="shared" si="25"/>
        <v>0</v>
      </c>
      <c r="AH53" s="10">
        <f t="shared" si="25"/>
        <v>0</v>
      </c>
      <c r="AI53" s="10">
        <f t="shared" si="25"/>
        <v>0</v>
      </c>
      <c r="AJ53" s="10">
        <f t="shared" si="25"/>
        <v>0</v>
      </c>
      <c r="AK53" s="10">
        <f t="shared" si="25"/>
        <v>0</v>
      </c>
      <c r="AL53" s="10">
        <f t="shared" si="25"/>
        <v>0</v>
      </c>
      <c r="AM53" s="10">
        <f t="shared" si="25"/>
        <v>0</v>
      </c>
      <c r="AN53" s="10">
        <f t="shared" si="25"/>
        <v>0</v>
      </c>
      <c r="AO53" s="10">
        <f t="shared" si="25"/>
        <v>0</v>
      </c>
      <c r="AP53" s="10">
        <f t="shared" si="25"/>
        <v>0</v>
      </c>
      <c r="AQ53" s="10">
        <f t="shared" si="25"/>
        <v>0</v>
      </c>
      <c r="AR53" s="10">
        <f t="shared" si="25"/>
        <v>0</v>
      </c>
      <c r="AS53" s="10">
        <f t="shared" si="25"/>
        <v>0</v>
      </c>
      <c r="AT53" s="10">
        <f t="shared" si="25"/>
        <v>0</v>
      </c>
      <c r="AU53" s="10">
        <f t="shared" si="25"/>
        <v>0</v>
      </c>
      <c r="AV53" s="10">
        <f t="shared" si="25"/>
        <v>0</v>
      </c>
      <c r="AW53" s="10">
        <f t="shared" si="25"/>
        <v>0</v>
      </c>
      <c r="AX53" s="10">
        <f t="shared" si="25"/>
        <v>0</v>
      </c>
      <c r="AY53" s="10">
        <f t="shared" si="25"/>
        <v>0</v>
      </c>
      <c r="AZ53" s="10">
        <f t="shared" si="25"/>
        <v>0</v>
      </c>
      <c r="BA53" s="10">
        <f t="shared" si="25"/>
        <v>0</v>
      </c>
      <c r="BB53" s="10">
        <f t="shared" si="25"/>
        <v>0</v>
      </c>
      <c r="BC53" s="10">
        <f t="shared" si="25"/>
        <v>0</v>
      </c>
      <c r="BD53" s="10">
        <f t="shared" si="25"/>
        <v>0</v>
      </c>
      <c r="BE53" s="10">
        <f t="shared" si="25"/>
        <v>0</v>
      </c>
      <c r="BF53" s="10">
        <f t="shared" si="25"/>
        <v>0</v>
      </c>
      <c r="BG53" s="10">
        <f t="shared" si="25"/>
        <v>0</v>
      </c>
      <c r="BH53" s="10">
        <f t="shared" si="25"/>
        <v>0</v>
      </c>
      <c r="BI53" s="10">
        <f t="shared" si="25"/>
        <v>0</v>
      </c>
      <c r="BJ53" s="10">
        <f t="shared" si="25"/>
        <v>0</v>
      </c>
      <c r="BX53" s="10">
        <f t="shared" ref="BX53:CI53" si="26">BX50-BX51</f>
        <v>0</v>
      </c>
      <c r="BY53" s="10">
        <f t="shared" si="26"/>
        <v>0</v>
      </c>
      <c r="BZ53" s="10">
        <f t="shared" si="26"/>
        <v>0</v>
      </c>
      <c r="CA53" s="10">
        <f t="shared" si="26"/>
        <v>0</v>
      </c>
      <c r="CB53" s="10">
        <f t="shared" si="26"/>
        <v>0</v>
      </c>
      <c r="CC53" s="10">
        <f t="shared" si="26"/>
        <v>0</v>
      </c>
      <c r="CD53" s="10">
        <f t="shared" si="26"/>
        <v>0</v>
      </c>
      <c r="CE53" s="10">
        <f t="shared" si="26"/>
        <v>0</v>
      </c>
      <c r="CF53" s="10">
        <f t="shared" si="26"/>
        <v>0</v>
      </c>
      <c r="CG53" s="10">
        <f t="shared" si="26"/>
        <v>0</v>
      </c>
      <c r="CH53" s="10">
        <f t="shared" si="26"/>
        <v>0</v>
      </c>
      <c r="CI53" s="10">
        <f t="shared" si="26"/>
        <v>0</v>
      </c>
      <c r="CK53" s="11"/>
      <c r="CM53" s="35"/>
    </row>
    <row r="54" spans="4:91" x14ac:dyDescent="0.35">
      <c r="BK54" s="115"/>
      <c r="BL54" s="115"/>
      <c r="BM54" s="115"/>
      <c r="BN54" s="115"/>
      <c r="BO54" s="115"/>
      <c r="BP54" s="115"/>
      <c r="BQ54" s="115"/>
      <c r="BR54" s="115"/>
      <c r="BS54" s="115"/>
      <c r="BT54" s="115"/>
      <c r="BU54" s="115"/>
      <c r="BV54" s="115"/>
      <c r="CK54" s="11"/>
      <c r="CM54" s="35"/>
    </row>
    <row r="55" spans="4:91" x14ac:dyDescent="0.35">
      <c r="D55" s="319" t="s">
        <v>2539</v>
      </c>
      <c r="CK55" s="11"/>
      <c r="CM55" s="35"/>
    </row>
    <row r="56" spans="4:91" x14ac:dyDescent="0.35">
      <c r="D56" s="530" t="s">
        <v>2540</v>
      </c>
      <c r="V56" s="114"/>
      <c r="W56" s="133">
        <f t="shared" ref="W56:Y59" si="27" xml:space="preserve"> SUMIFS($AA56:$BJ56, $AA$3:$BJ$3, W$3)</f>
        <v>0</v>
      </c>
      <c r="X56" s="133">
        <f t="shared" si="27"/>
        <v>0</v>
      </c>
      <c r="Y56" s="133">
        <f t="shared" si="27"/>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5"/>
      <c r="BL56" s="115"/>
      <c r="BM56" s="115"/>
      <c r="BN56" s="115"/>
      <c r="BO56" s="115"/>
      <c r="BP56" s="115"/>
      <c r="BQ56" s="115"/>
      <c r="BR56" s="115"/>
      <c r="BS56" s="115"/>
      <c r="BT56" s="115"/>
      <c r="BU56" s="115"/>
      <c r="BV56" s="115"/>
      <c r="BX56" s="133">
        <f t="shared" ref="BX56:CA59" si="28">V56</f>
        <v>0</v>
      </c>
      <c r="BY56" s="133">
        <f t="shared" si="28"/>
        <v>0</v>
      </c>
      <c r="BZ56" s="133">
        <f t="shared" si="28"/>
        <v>0</v>
      </c>
      <c r="CA56" s="133">
        <f t="shared" si="28"/>
        <v>0</v>
      </c>
      <c r="CB56" s="114"/>
      <c r="CC56" s="114"/>
      <c r="CD56" s="114"/>
      <c r="CE56" s="114"/>
      <c r="CF56" s="114"/>
      <c r="CG56" s="114"/>
      <c r="CH56" s="114"/>
      <c r="CI56" s="114"/>
      <c r="CK56" s="11"/>
      <c r="CM56" s="35"/>
    </row>
    <row r="57" spans="4:91" x14ac:dyDescent="0.35">
      <c r="D57" s="530" t="s">
        <v>2541</v>
      </c>
      <c r="V57" s="114"/>
      <c r="W57" s="133">
        <f t="shared" si="27"/>
        <v>0</v>
      </c>
      <c r="X57" s="133">
        <f t="shared" si="27"/>
        <v>0</v>
      </c>
      <c r="Y57" s="133">
        <f t="shared" si="27"/>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33">
        <f t="shared" si="28"/>
        <v>0</v>
      </c>
      <c r="BY57" s="133">
        <f t="shared" si="28"/>
        <v>0</v>
      </c>
      <c r="BZ57" s="133">
        <f t="shared" si="28"/>
        <v>0</v>
      </c>
      <c r="CA57" s="133">
        <f t="shared" si="28"/>
        <v>0</v>
      </c>
      <c r="CB57" s="114"/>
      <c r="CC57" s="114"/>
      <c r="CD57" s="114"/>
      <c r="CE57" s="114"/>
      <c r="CF57" s="114"/>
      <c r="CG57" s="114"/>
      <c r="CH57" s="114"/>
      <c r="CI57" s="114"/>
      <c r="CK57" s="11"/>
      <c r="CM57" s="35"/>
    </row>
    <row r="58" spans="4:91" x14ac:dyDescent="0.35">
      <c r="D58" s="530" t="s">
        <v>2542</v>
      </c>
      <c r="V58" s="114"/>
      <c r="W58" s="133">
        <f t="shared" si="27"/>
        <v>0</v>
      </c>
      <c r="X58" s="133">
        <f t="shared" si="27"/>
        <v>0</v>
      </c>
      <c r="Y58" s="133">
        <f t="shared" si="27"/>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5"/>
      <c r="BL58" s="115"/>
      <c r="BM58" s="115"/>
      <c r="BN58" s="115"/>
      <c r="BO58" s="115"/>
      <c r="BP58" s="115"/>
      <c r="BQ58" s="115"/>
      <c r="BR58" s="115"/>
      <c r="BS58" s="115"/>
      <c r="BT58" s="115"/>
      <c r="BU58" s="115"/>
      <c r="BV58" s="115"/>
      <c r="BX58" s="133">
        <f t="shared" si="28"/>
        <v>0</v>
      </c>
      <c r="BY58" s="133">
        <f t="shared" si="28"/>
        <v>0</v>
      </c>
      <c r="BZ58" s="133">
        <f t="shared" si="28"/>
        <v>0</v>
      </c>
      <c r="CA58" s="133">
        <f t="shared" si="28"/>
        <v>0</v>
      </c>
      <c r="CB58" s="114"/>
      <c r="CC58" s="114"/>
      <c r="CD58" s="114"/>
      <c r="CE58" s="114"/>
      <c r="CF58" s="114"/>
      <c r="CG58" s="114"/>
      <c r="CH58" s="114"/>
      <c r="CI58" s="114"/>
      <c r="CK58" s="11"/>
      <c r="CM58" s="35"/>
    </row>
    <row r="59" spans="4:91" x14ac:dyDescent="0.35">
      <c r="D59" s="114" t="s">
        <v>2521</v>
      </c>
      <c r="V59" s="114"/>
      <c r="W59" s="133">
        <f t="shared" si="27"/>
        <v>0</v>
      </c>
      <c r="X59" s="133">
        <f t="shared" si="27"/>
        <v>0</v>
      </c>
      <c r="Y59" s="133">
        <f t="shared" si="2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33">
        <f t="shared" si="28"/>
        <v>0</v>
      </c>
      <c r="BY59" s="133">
        <f t="shared" si="28"/>
        <v>0</v>
      </c>
      <c r="BZ59" s="133">
        <f t="shared" si="28"/>
        <v>0</v>
      </c>
      <c r="CA59" s="133">
        <f t="shared" si="28"/>
        <v>0</v>
      </c>
      <c r="CB59" s="114"/>
      <c r="CC59" s="114"/>
      <c r="CD59" s="114"/>
      <c r="CE59" s="114"/>
      <c r="CF59" s="114"/>
      <c r="CG59" s="114"/>
      <c r="CH59" s="114"/>
      <c r="CI59" s="114"/>
      <c r="CK59" s="11"/>
      <c r="CM59" s="35"/>
    </row>
    <row r="60" spans="4:91" x14ac:dyDescent="0.35">
      <c r="D60" s="2"/>
      <c r="BK60" s="115"/>
      <c r="BL60" s="115"/>
      <c r="BM60" s="115"/>
      <c r="BN60" s="115"/>
      <c r="BO60" s="115"/>
      <c r="BP60" s="115"/>
      <c r="BQ60" s="115"/>
      <c r="BR60" s="115"/>
      <c r="BS60" s="115"/>
      <c r="BT60" s="115"/>
      <c r="BU60" s="115"/>
      <c r="BV60" s="115"/>
      <c r="CK60" s="11"/>
      <c r="CM60" s="35"/>
    </row>
    <row r="61" spans="4:91" x14ac:dyDescent="0.35">
      <c r="D61" s="319" t="s">
        <v>2543</v>
      </c>
      <c r="CK61" s="11"/>
      <c r="CM61" s="35"/>
    </row>
    <row r="62" spans="4:91" x14ac:dyDescent="0.35">
      <c r="D62" s="530" t="s">
        <v>2544</v>
      </c>
      <c r="V62" s="114"/>
      <c r="W62" s="133">
        <f t="shared" ref="W62:Y66" si="29" xml:space="preserve"> SUMIFS($AA62:$BJ62, $AA$3:$BJ$3, W$3)</f>
        <v>0</v>
      </c>
      <c r="X62" s="133">
        <f t="shared" si="29"/>
        <v>0</v>
      </c>
      <c r="Y62" s="133">
        <f t="shared" si="29"/>
        <v>0</v>
      </c>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5"/>
      <c r="BL62" s="115"/>
      <c r="BM62" s="115"/>
      <c r="BN62" s="115"/>
      <c r="BO62" s="115"/>
      <c r="BP62" s="115"/>
      <c r="BQ62" s="115"/>
      <c r="BR62" s="115"/>
      <c r="BS62" s="115"/>
      <c r="BT62" s="115"/>
      <c r="BU62" s="115"/>
      <c r="BV62" s="115"/>
      <c r="BX62" s="133">
        <f t="shared" ref="BX62:CA66" si="30">V62</f>
        <v>0</v>
      </c>
      <c r="BY62" s="133">
        <f t="shared" si="30"/>
        <v>0</v>
      </c>
      <c r="BZ62" s="133">
        <f t="shared" si="30"/>
        <v>0</v>
      </c>
      <c r="CA62" s="133">
        <f t="shared" si="30"/>
        <v>0</v>
      </c>
      <c r="CB62" s="114"/>
      <c r="CC62" s="114"/>
      <c r="CD62" s="114"/>
      <c r="CE62" s="114"/>
      <c r="CF62" s="114"/>
      <c r="CG62" s="114"/>
      <c r="CH62" s="114"/>
      <c r="CI62" s="114"/>
      <c r="CK62" s="11"/>
      <c r="CM62" s="35"/>
    </row>
    <row r="63" spans="4:91" x14ac:dyDescent="0.35">
      <c r="D63" s="530" t="s">
        <v>2545</v>
      </c>
      <c r="V63" s="114"/>
      <c r="W63" s="133">
        <f t="shared" si="29"/>
        <v>0</v>
      </c>
      <c r="X63" s="133">
        <f t="shared" si="29"/>
        <v>0</v>
      </c>
      <c r="Y63" s="133">
        <f t="shared" si="29"/>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33">
        <f t="shared" si="30"/>
        <v>0</v>
      </c>
      <c r="BY63" s="133">
        <f t="shared" si="30"/>
        <v>0</v>
      </c>
      <c r="BZ63" s="133">
        <f t="shared" si="30"/>
        <v>0</v>
      </c>
      <c r="CA63" s="133">
        <f t="shared" si="30"/>
        <v>0</v>
      </c>
      <c r="CB63" s="114"/>
      <c r="CC63" s="114"/>
      <c r="CD63" s="114"/>
      <c r="CE63" s="114"/>
      <c r="CF63" s="114"/>
      <c r="CG63" s="114"/>
      <c r="CH63" s="114"/>
      <c r="CI63" s="114"/>
      <c r="CK63" s="11"/>
      <c r="CM63" s="35"/>
    </row>
    <row r="64" spans="4:91" x14ac:dyDescent="0.35">
      <c r="D64" s="530" t="s">
        <v>2546</v>
      </c>
      <c r="V64" s="114"/>
      <c r="W64" s="133">
        <f t="shared" si="29"/>
        <v>0</v>
      </c>
      <c r="X64" s="133">
        <f t="shared" si="29"/>
        <v>0</v>
      </c>
      <c r="Y64" s="133">
        <f t="shared" si="29"/>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5"/>
      <c r="BL64" s="115"/>
      <c r="BM64" s="115"/>
      <c r="BN64" s="115"/>
      <c r="BO64" s="115"/>
      <c r="BP64" s="115"/>
      <c r="BQ64" s="115"/>
      <c r="BR64" s="115"/>
      <c r="BS64" s="115"/>
      <c r="BT64" s="115"/>
      <c r="BU64" s="115"/>
      <c r="BV64" s="115"/>
      <c r="BX64" s="133">
        <f t="shared" si="30"/>
        <v>0</v>
      </c>
      <c r="BY64" s="133">
        <f t="shared" si="30"/>
        <v>0</v>
      </c>
      <c r="BZ64" s="133">
        <f t="shared" si="30"/>
        <v>0</v>
      </c>
      <c r="CA64" s="133">
        <f t="shared" si="30"/>
        <v>0</v>
      </c>
      <c r="CB64" s="114"/>
      <c r="CC64" s="114"/>
      <c r="CD64" s="114"/>
      <c r="CE64" s="114"/>
      <c r="CF64" s="114"/>
      <c r="CG64" s="114"/>
      <c r="CH64" s="114"/>
      <c r="CI64" s="114"/>
      <c r="CK64" s="11"/>
      <c r="CM64" s="35"/>
    </row>
    <row r="65" spans="4:91" x14ac:dyDescent="0.35">
      <c r="D65" s="530" t="s">
        <v>2547</v>
      </c>
      <c r="V65" s="114"/>
      <c r="W65" s="133">
        <f t="shared" si="29"/>
        <v>0</v>
      </c>
      <c r="X65" s="133">
        <f t="shared" si="29"/>
        <v>0</v>
      </c>
      <c r="Y65" s="133">
        <f t="shared" si="29"/>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33">
        <f t="shared" si="30"/>
        <v>0</v>
      </c>
      <c r="BY65" s="133">
        <f t="shared" si="30"/>
        <v>0</v>
      </c>
      <c r="BZ65" s="133">
        <f t="shared" si="30"/>
        <v>0</v>
      </c>
      <c r="CA65" s="133">
        <f t="shared" si="30"/>
        <v>0</v>
      </c>
      <c r="CB65" s="114"/>
      <c r="CC65" s="114"/>
      <c r="CD65" s="114"/>
      <c r="CE65" s="114"/>
      <c r="CF65" s="114"/>
      <c r="CG65" s="114"/>
      <c r="CH65" s="114"/>
      <c r="CI65" s="114"/>
      <c r="CK65" s="11"/>
      <c r="CM65" s="35"/>
    </row>
    <row r="66" spans="4:91" x14ac:dyDescent="0.35">
      <c r="D66" s="114" t="s">
        <v>2521</v>
      </c>
      <c r="V66" s="114"/>
      <c r="W66" s="133">
        <f t="shared" si="29"/>
        <v>0</v>
      </c>
      <c r="X66" s="133">
        <f t="shared" si="29"/>
        <v>0</v>
      </c>
      <c r="Y66" s="133">
        <f t="shared" si="29"/>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5"/>
      <c r="BL66" s="115"/>
      <c r="BM66" s="115"/>
      <c r="BN66" s="115"/>
      <c r="BO66" s="115"/>
      <c r="BP66" s="115"/>
      <c r="BQ66" s="115"/>
      <c r="BR66" s="115"/>
      <c r="BS66" s="115"/>
      <c r="BT66" s="115"/>
      <c r="BU66" s="115"/>
      <c r="BV66" s="115"/>
      <c r="BX66" s="133">
        <f t="shared" si="30"/>
        <v>0</v>
      </c>
      <c r="BY66" s="133">
        <f t="shared" si="30"/>
        <v>0</v>
      </c>
      <c r="BZ66" s="133">
        <f t="shared" si="30"/>
        <v>0</v>
      </c>
      <c r="CA66" s="133">
        <f t="shared" si="30"/>
        <v>0</v>
      </c>
      <c r="CB66" s="114"/>
      <c r="CC66" s="114"/>
      <c r="CD66" s="114"/>
      <c r="CE66" s="114"/>
      <c r="CF66" s="114"/>
      <c r="CG66" s="114"/>
      <c r="CH66" s="114"/>
      <c r="CI66" s="114"/>
      <c r="CK66" s="11"/>
      <c r="CM66" s="35"/>
    </row>
    <row r="67" spans="4:91" x14ac:dyDescent="0.35">
      <c r="D67" s="321"/>
      <c r="CK67" s="11"/>
      <c r="CM67" s="35"/>
    </row>
    <row r="68" spans="4:91" x14ac:dyDescent="0.35">
      <c r="D68" s="320" t="s">
        <v>2548</v>
      </c>
      <c r="V68" s="10">
        <f>SUM(V56:V59)</f>
        <v>0</v>
      </c>
      <c r="W68" s="10">
        <f>SUM(W56:W59)</f>
        <v>0</v>
      </c>
      <c r="X68" s="10">
        <f>SUM(X56:X59)</f>
        <v>0</v>
      </c>
      <c r="Y68" s="10">
        <f>SUM(Y56:Y59)</f>
        <v>0</v>
      </c>
      <c r="AA68" s="10">
        <f t="shared" ref="AA68:BJ68" si="31">SUM(AA56:AA59)</f>
        <v>0</v>
      </c>
      <c r="AB68" s="10">
        <f t="shared" si="31"/>
        <v>0</v>
      </c>
      <c r="AC68" s="10">
        <f t="shared" si="31"/>
        <v>0</v>
      </c>
      <c r="AD68" s="10">
        <f t="shared" si="31"/>
        <v>0</v>
      </c>
      <c r="AE68" s="10">
        <f t="shared" si="31"/>
        <v>0</v>
      </c>
      <c r="AF68" s="10">
        <f t="shared" si="31"/>
        <v>0</v>
      </c>
      <c r="AG68" s="10">
        <f t="shared" si="31"/>
        <v>0</v>
      </c>
      <c r="AH68" s="10">
        <f t="shared" si="31"/>
        <v>0</v>
      </c>
      <c r="AI68" s="10">
        <f t="shared" si="31"/>
        <v>0</v>
      </c>
      <c r="AJ68" s="10">
        <f t="shared" si="31"/>
        <v>0</v>
      </c>
      <c r="AK68" s="10">
        <f t="shared" si="31"/>
        <v>0</v>
      </c>
      <c r="AL68" s="10">
        <f t="shared" si="31"/>
        <v>0</v>
      </c>
      <c r="AM68" s="10">
        <f t="shared" si="31"/>
        <v>0</v>
      </c>
      <c r="AN68" s="10">
        <f t="shared" si="31"/>
        <v>0</v>
      </c>
      <c r="AO68" s="10">
        <f t="shared" si="31"/>
        <v>0</v>
      </c>
      <c r="AP68" s="10">
        <f t="shared" si="31"/>
        <v>0</v>
      </c>
      <c r="AQ68" s="10">
        <f t="shared" si="31"/>
        <v>0</v>
      </c>
      <c r="AR68" s="10">
        <f t="shared" si="31"/>
        <v>0</v>
      </c>
      <c r="AS68" s="10">
        <f t="shared" si="31"/>
        <v>0</v>
      </c>
      <c r="AT68" s="10">
        <f t="shared" si="31"/>
        <v>0</v>
      </c>
      <c r="AU68" s="10">
        <f t="shared" si="31"/>
        <v>0</v>
      </c>
      <c r="AV68" s="10">
        <f t="shared" si="31"/>
        <v>0</v>
      </c>
      <c r="AW68" s="10">
        <f t="shared" si="31"/>
        <v>0</v>
      </c>
      <c r="AX68" s="10">
        <f t="shared" si="31"/>
        <v>0</v>
      </c>
      <c r="AY68" s="10">
        <f t="shared" si="31"/>
        <v>0</v>
      </c>
      <c r="AZ68" s="10">
        <f t="shared" si="31"/>
        <v>0</v>
      </c>
      <c r="BA68" s="10">
        <f t="shared" si="31"/>
        <v>0</v>
      </c>
      <c r="BB68" s="10">
        <f t="shared" si="31"/>
        <v>0</v>
      </c>
      <c r="BC68" s="10">
        <f t="shared" si="31"/>
        <v>0</v>
      </c>
      <c r="BD68" s="10">
        <f t="shared" si="31"/>
        <v>0</v>
      </c>
      <c r="BE68" s="10">
        <f t="shared" si="31"/>
        <v>0</v>
      </c>
      <c r="BF68" s="10">
        <f t="shared" si="31"/>
        <v>0</v>
      </c>
      <c r="BG68" s="10">
        <f t="shared" si="31"/>
        <v>0</v>
      </c>
      <c r="BH68" s="10">
        <f t="shared" si="31"/>
        <v>0</v>
      </c>
      <c r="BI68" s="10">
        <f t="shared" si="31"/>
        <v>0</v>
      </c>
      <c r="BJ68" s="10">
        <f t="shared" si="31"/>
        <v>0</v>
      </c>
      <c r="BK68" s="115"/>
      <c r="BL68" s="115"/>
      <c r="BM68" s="115"/>
      <c r="BN68" s="115"/>
      <c r="BO68" s="115"/>
      <c r="BP68" s="115"/>
      <c r="BQ68" s="115"/>
      <c r="BR68" s="115"/>
      <c r="BS68" s="115"/>
      <c r="BT68" s="115"/>
      <c r="BU68" s="115"/>
      <c r="BV68" s="115"/>
      <c r="BX68" s="10">
        <f t="shared" ref="BX68:CI68" si="32">SUM(BX56:BX59)</f>
        <v>0</v>
      </c>
      <c r="BY68" s="10">
        <f t="shared" si="32"/>
        <v>0</v>
      </c>
      <c r="BZ68" s="10">
        <f t="shared" si="32"/>
        <v>0</v>
      </c>
      <c r="CA68" s="10">
        <f t="shared" si="32"/>
        <v>0</v>
      </c>
      <c r="CB68" s="10">
        <f t="shared" si="32"/>
        <v>0</v>
      </c>
      <c r="CC68" s="10">
        <f t="shared" si="32"/>
        <v>0</v>
      </c>
      <c r="CD68" s="10">
        <f t="shared" si="32"/>
        <v>0</v>
      </c>
      <c r="CE68" s="10">
        <f t="shared" si="32"/>
        <v>0</v>
      </c>
      <c r="CF68" s="10">
        <f t="shared" si="32"/>
        <v>0</v>
      </c>
      <c r="CG68" s="10">
        <f t="shared" si="32"/>
        <v>0</v>
      </c>
      <c r="CH68" s="10">
        <f t="shared" si="32"/>
        <v>0</v>
      </c>
      <c r="CI68" s="10">
        <f t="shared" si="32"/>
        <v>0</v>
      </c>
      <c r="CK68" s="11"/>
      <c r="CM68" s="35"/>
    </row>
    <row r="69" spans="4:91" x14ac:dyDescent="0.35">
      <c r="D69" s="320" t="s">
        <v>2549</v>
      </c>
      <c r="V69" s="10">
        <f>SUM(V62:V66)</f>
        <v>0</v>
      </c>
      <c r="W69" s="10">
        <f>SUM(W62:W66)</f>
        <v>0</v>
      </c>
      <c r="X69" s="10">
        <f>SUM(X62:X66)</f>
        <v>0</v>
      </c>
      <c r="Y69" s="10">
        <f>SUM(Y62:Y66)</f>
        <v>0</v>
      </c>
      <c r="AA69" s="10">
        <f t="shared" ref="AA69:BJ69" si="33">SUM(AA62:AA66)</f>
        <v>0</v>
      </c>
      <c r="AB69" s="10">
        <f t="shared" si="33"/>
        <v>0</v>
      </c>
      <c r="AC69" s="10">
        <f t="shared" si="33"/>
        <v>0</v>
      </c>
      <c r="AD69" s="10">
        <f t="shared" si="33"/>
        <v>0</v>
      </c>
      <c r="AE69" s="10">
        <f t="shared" si="33"/>
        <v>0</v>
      </c>
      <c r="AF69" s="10">
        <f t="shared" si="33"/>
        <v>0</v>
      </c>
      <c r="AG69" s="10">
        <f t="shared" si="33"/>
        <v>0</v>
      </c>
      <c r="AH69" s="10">
        <f t="shared" si="33"/>
        <v>0</v>
      </c>
      <c r="AI69" s="10">
        <f t="shared" si="33"/>
        <v>0</v>
      </c>
      <c r="AJ69" s="10">
        <f t="shared" si="33"/>
        <v>0</v>
      </c>
      <c r="AK69" s="10">
        <f t="shared" si="33"/>
        <v>0</v>
      </c>
      <c r="AL69" s="10">
        <f t="shared" si="33"/>
        <v>0</v>
      </c>
      <c r="AM69" s="10">
        <f t="shared" si="33"/>
        <v>0</v>
      </c>
      <c r="AN69" s="10">
        <f t="shared" si="33"/>
        <v>0</v>
      </c>
      <c r="AO69" s="10">
        <f t="shared" si="33"/>
        <v>0</v>
      </c>
      <c r="AP69" s="10">
        <f t="shared" si="33"/>
        <v>0</v>
      </c>
      <c r="AQ69" s="10">
        <f t="shared" si="33"/>
        <v>0</v>
      </c>
      <c r="AR69" s="10">
        <f t="shared" si="33"/>
        <v>0</v>
      </c>
      <c r="AS69" s="10">
        <f t="shared" si="33"/>
        <v>0</v>
      </c>
      <c r="AT69" s="10">
        <f t="shared" si="33"/>
        <v>0</v>
      </c>
      <c r="AU69" s="10">
        <f t="shared" si="33"/>
        <v>0</v>
      </c>
      <c r="AV69" s="10">
        <f t="shared" si="33"/>
        <v>0</v>
      </c>
      <c r="AW69" s="10">
        <f t="shared" si="33"/>
        <v>0</v>
      </c>
      <c r="AX69" s="10">
        <f t="shared" si="33"/>
        <v>0</v>
      </c>
      <c r="AY69" s="10">
        <f t="shared" si="33"/>
        <v>0</v>
      </c>
      <c r="AZ69" s="10">
        <f t="shared" si="33"/>
        <v>0</v>
      </c>
      <c r="BA69" s="10">
        <f t="shared" si="33"/>
        <v>0</v>
      </c>
      <c r="BB69" s="10">
        <f t="shared" si="33"/>
        <v>0</v>
      </c>
      <c r="BC69" s="10">
        <f t="shared" si="33"/>
        <v>0</v>
      </c>
      <c r="BD69" s="10">
        <f t="shared" si="33"/>
        <v>0</v>
      </c>
      <c r="BE69" s="10">
        <f t="shared" si="33"/>
        <v>0</v>
      </c>
      <c r="BF69" s="10">
        <f t="shared" si="33"/>
        <v>0</v>
      </c>
      <c r="BG69" s="10">
        <f t="shared" si="33"/>
        <v>0</v>
      </c>
      <c r="BH69" s="10">
        <f t="shared" si="33"/>
        <v>0</v>
      </c>
      <c r="BI69" s="10">
        <f t="shared" si="33"/>
        <v>0</v>
      </c>
      <c r="BJ69" s="10">
        <f t="shared" si="33"/>
        <v>0</v>
      </c>
      <c r="BX69" s="10">
        <f t="shared" ref="BX69:CI69" si="34">SUM(BX62:BX66)</f>
        <v>0</v>
      </c>
      <c r="BY69" s="10">
        <f t="shared" si="34"/>
        <v>0</v>
      </c>
      <c r="BZ69" s="10">
        <f t="shared" si="34"/>
        <v>0</v>
      </c>
      <c r="CA69" s="10">
        <f t="shared" si="34"/>
        <v>0</v>
      </c>
      <c r="CB69" s="10">
        <f t="shared" si="34"/>
        <v>0</v>
      </c>
      <c r="CC69" s="10">
        <f t="shared" si="34"/>
        <v>0</v>
      </c>
      <c r="CD69" s="10">
        <f t="shared" si="34"/>
        <v>0</v>
      </c>
      <c r="CE69" s="10">
        <f t="shared" si="34"/>
        <v>0</v>
      </c>
      <c r="CF69" s="10">
        <f t="shared" si="34"/>
        <v>0</v>
      </c>
      <c r="CG69" s="10">
        <f t="shared" si="34"/>
        <v>0</v>
      </c>
      <c r="CH69" s="10">
        <f t="shared" si="34"/>
        <v>0</v>
      </c>
      <c r="CI69" s="10">
        <f t="shared" si="34"/>
        <v>0</v>
      </c>
      <c r="CK69" s="11"/>
      <c r="CM69" s="35"/>
    </row>
    <row r="70" spans="4:91" x14ac:dyDescent="0.35">
      <c r="BK70" s="115"/>
      <c r="BL70" s="115"/>
      <c r="BM70" s="115"/>
      <c r="BN70" s="115"/>
      <c r="BO70" s="115"/>
      <c r="BP70" s="115"/>
      <c r="BQ70" s="115"/>
      <c r="BR70" s="115"/>
      <c r="BS70" s="115"/>
      <c r="BT70" s="115"/>
      <c r="BU70" s="115"/>
      <c r="BV70" s="115"/>
      <c r="CK70" s="11"/>
      <c r="CM70" s="35"/>
    </row>
    <row r="71" spans="4:91" x14ac:dyDescent="0.35">
      <c r="D71" s="322" t="s">
        <v>1872</v>
      </c>
      <c r="V71" s="10">
        <f>V68-V69</f>
        <v>0</v>
      </c>
      <c r="W71" s="10">
        <f>W68-W69</f>
        <v>0</v>
      </c>
      <c r="X71" s="10">
        <f>X68-X69</f>
        <v>0</v>
      </c>
      <c r="Y71" s="10">
        <f>Y68-Y69</f>
        <v>0</v>
      </c>
      <c r="AA71" s="10">
        <f t="shared" ref="AA71:BJ71" si="35">AA68-AA69</f>
        <v>0</v>
      </c>
      <c r="AB71" s="10">
        <f t="shared" si="35"/>
        <v>0</v>
      </c>
      <c r="AC71" s="10">
        <f t="shared" si="35"/>
        <v>0</v>
      </c>
      <c r="AD71" s="10">
        <f t="shared" si="35"/>
        <v>0</v>
      </c>
      <c r="AE71" s="10">
        <f t="shared" si="35"/>
        <v>0</v>
      </c>
      <c r="AF71" s="10">
        <f t="shared" si="35"/>
        <v>0</v>
      </c>
      <c r="AG71" s="10">
        <f t="shared" si="35"/>
        <v>0</v>
      </c>
      <c r="AH71" s="10">
        <f t="shared" si="35"/>
        <v>0</v>
      </c>
      <c r="AI71" s="10">
        <f t="shared" si="35"/>
        <v>0</v>
      </c>
      <c r="AJ71" s="10">
        <f t="shared" si="35"/>
        <v>0</v>
      </c>
      <c r="AK71" s="10">
        <f t="shared" si="35"/>
        <v>0</v>
      </c>
      <c r="AL71" s="10">
        <f t="shared" si="35"/>
        <v>0</v>
      </c>
      <c r="AM71" s="10">
        <f t="shared" si="35"/>
        <v>0</v>
      </c>
      <c r="AN71" s="10">
        <f t="shared" si="35"/>
        <v>0</v>
      </c>
      <c r="AO71" s="10">
        <f t="shared" si="35"/>
        <v>0</v>
      </c>
      <c r="AP71" s="10">
        <f t="shared" si="35"/>
        <v>0</v>
      </c>
      <c r="AQ71" s="10">
        <f t="shared" si="35"/>
        <v>0</v>
      </c>
      <c r="AR71" s="10">
        <f t="shared" si="35"/>
        <v>0</v>
      </c>
      <c r="AS71" s="10">
        <f t="shared" si="35"/>
        <v>0</v>
      </c>
      <c r="AT71" s="10">
        <f t="shared" si="35"/>
        <v>0</v>
      </c>
      <c r="AU71" s="10">
        <f t="shared" si="35"/>
        <v>0</v>
      </c>
      <c r="AV71" s="10">
        <f t="shared" si="35"/>
        <v>0</v>
      </c>
      <c r="AW71" s="10">
        <f t="shared" si="35"/>
        <v>0</v>
      </c>
      <c r="AX71" s="10">
        <f t="shared" si="35"/>
        <v>0</v>
      </c>
      <c r="AY71" s="10">
        <f t="shared" si="35"/>
        <v>0</v>
      </c>
      <c r="AZ71" s="10">
        <f t="shared" si="35"/>
        <v>0</v>
      </c>
      <c r="BA71" s="10">
        <f t="shared" si="35"/>
        <v>0</v>
      </c>
      <c r="BB71" s="10">
        <f t="shared" si="35"/>
        <v>0</v>
      </c>
      <c r="BC71" s="10">
        <f t="shared" si="35"/>
        <v>0</v>
      </c>
      <c r="BD71" s="10">
        <f t="shared" si="35"/>
        <v>0</v>
      </c>
      <c r="BE71" s="10">
        <f t="shared" si="35"/>
        <v>0</v>
      </c>
      <c r="BF71" s="10">
        <f t="shared" si="35"/>
        <v>0</v>
      </c>
      <c r="BG71" s="10">
        <f t="shared" si="35"/>
        <v>0</v>
      </c>
      <c r="BH71" s="10">
        <f t="shared" si="35"/>
        <v>0</v>
      </c>
      <c r="BI71" s="10">
        <f t="shared" si="35"/>
        <v>0</v>
      </c>
      <c r="BJ71" s="10">
        <f t="shared" si="35"/>
        <v>0</v>
      </c>
      <c r="BX71" s="10">
        <f t="shared" ref="BX71:CI71" si="36">BX68-BX69</f>
        <v>0</v>
      </c>
      <c r="BY71" s="10">
        <f t="shared" si="36"/>
        <v>0</v>
      </c>
      <c r="BZ71" s="10">
        <f t="shared" si="36"/>
        <v>0</v>
      </c>
      <c r="CA71" s="10">
        <f t="shared" si="36"/>
        <v>0</v>
      </c>
      <c r="CB71" s="10">
        <f t="shared" si="36"/>
        <v>0</v>
      </c>
      <c r="CC71" s="10">
        <f t="shared" si="36"/>
        <v>0</v>
      </c>
      <c r="CD71" s="10">
        <f t="shared" si="36"/>
        <v>0</v>
      </c>
      <c r="CE71" s="10">
        <f t="shared" si="36"/>
        <v>0</v>
      </c>
      <c r="CF71" s="10">
        <f t="shared" si="36"/>
        <v>0</v>
      </c>
      <c r="CG71" s="10">
        <f t="shared" si="36"/>
        <v>0</v>
      </c>
      <c r="CH71" s="10">
        <f t="shared" si="36"/>
        <v>0</v>
      </c>
      <c r="CI71" s="10">
        <f t="shared" si="36"/>
        <v>0</v>
      </c>
      <c r="CK71" s="11"/>
      <c r="CM71" s="35"/>
    </row>
    <row r="72" spans="4:91" x14ac:dyDescent="0.35">
      <c r="BK72" s="115"/>
      <c r="BL72" s="115"/>
      <c r="BM72" s="115"/>
      <c r="BN72" s="115"/>
      <c r="BO72" s="115"/>
      <c r="BP72" s="115"/>
      <c r="BQ72" s="115"/>
      <c r="BR72" s="115"/>
      <c r="BS72" s="115"/>
      <c r="BT72" s="115"/>
      <c r="BU72" s="115"/>
      <c r="BV72" s="115"/>
      <c r="CK72" s="11"/>
      <c r="CM72" s="35"/>
    </row>
    <row r="73" spans="4:91" x14ac:dyDescent="0.35">
      <c r="D73" s="323" t="s">
        <v>2550</v>
      </c>
      <c r="V73" s="10">
        <f>V71+V53+V38</f>
        <v>0</v>
      </c>
      <c r="W73" s="10">
        <f>W71+W53+W38</f>
        <v>0</v>
      </c>
      <c r="X73" s="10">
        <f>X71+X53+X38</f>
        <v>0</v>
      </c>
      <c r="Y73" s="10">
        <f>Y71+Y53+Y38</f>
        <v>0</v>
      </c>
      <c r="AA73" s="10">
        <f t="shared" ref="AA73:BJ73" si="37">AA71+AA53+AA38</f>
        <v>0</v>
      </c>
      <c r="AB73" s="10">
        <f t="shared" si="37"/>
        <v>0</v>
      </c>
      <c r="AC73" s="10">
        <f t="shared" si="37"/>
        <v>0</v>
      </c>
      <c r="AD73" s="10">
        <f t="shared" si="37"/>
        <v>0</v>
      </c>
      <c r="AE73" s="10">
        <f t="shared" si="37"/>
        <v>0</v>
      </c>
      <c r="AF73" s="10">
        <f t="shared" si="37"/>
        <v>0</v>
      </c>
      <c r="AG73" s="10">
        <f t="shared" si="37"/>
        <v>0</v>
      </c>
      <c r="AH73" s="10">
        <f t="shared" si="37"/>
        <v>0</v>
      </c>
      <c r="AI73" s="10">
        <f t="shared" si="37"/>
        <v>0</v>
      </c>
      <c r="AJ73" s="10">
        <f t="shared" si="37"/>
        <v>0</v>
      </c>
      <c r="AK73" s="10">
        <f t="shared" si="37"/>
        <v>0</v>
      </c>
      <c r="AL73" s="10">
        <f t="shared" si="37"/>
        <v>0</v>
      </c>
      <c r="AM73" s="10">
        <f t="shared" si="37"/>
        <v>0</v>
      </c>
      <c r="AN73" s="10">
        <f t="shared" si="37"/>
        <v>0</v>
      </c>
      <c r="AO73" s="10">
        <f t="shared" si="37"/>
        <v>0</v>
      </c>
      <c r="AP73" s="10">
        <f t="shared" si="37"/>
        <v>0</v>
      </c>
      <c r="AQ73" s="10">
        <f t="shared" si="37"/>
        <v>0</v>
      </c>
      <c r="AR73" s="10">
        <f t="shared" si="37"/>
        <v>0</v>
      </c>
      <c r="AS73" s="10">
        <f t="shared" si="37"/>
        <v>0</v>
      </c>
      <c r="AT73" s="10">
        <f t="shared" si="37"/>
        <v>0</v>
      </c>
      <c r="AU73" s="10">
        <f t="shared" si="37"/>
        <v>0</v>
      </c>
      <c r="AV73" s="10">
        <f t="shared" si="37"/>
        <v>0</v>
      </c>
      <c r="AW73" s="10">
        <f t="shared" si="37"/>
        <v>0</v>
      </c>
      <c r="AX73" s="10">
        <f t="shared" si="37"/>
        <v>0</v>
      </c>
      <c r="AY73" s="10">
        <f t="shared" si="37"/>
        <v>0</v>
      </c>
      <c r="AZ73" s="10">
        <f t="shared" si="37"/>
        <v>0</v>
      </c>
      <c r="BA73" s="10">
        <f t="shared" si="37"/>
        <v>0</v>
      </c>
      <c r="BB73" s="10">
        <f t="shared" si="37"/>
        <v>0</v>
      </c>
      <c r="BC73" s="10">
        <f t="shared" si="37"/>
        <v>0</v>
      </c>
      <c r="BD73" s="10">
        <f t="shared" si="37"/>
        <v>0</v>
      </c>
      <c r="BE73" s="10">
        <f t="shared" si="37"/>
        <v>0</v>
      </c>
      <c r="BF73" s="10">
        <f t="shared" si="37"/>
        <v>0</v>
      </c>
      <c r="BG73" s="10">
        <f t="shared" si="37"/>
        <v>0</v>
      </c>
      <c r="BH73" s="10">
        <f t="shared" si="37"/>
        <v>0</v>
      </c>
      <c r="BI73" s="10">
        <f t="shared" si="37"/>
        <v>0</v>
      </c>
      <c r="BJ73" s="10">
        <f t="shared" si="37"/>
        <v>0</v>
      </c>
      <c r="BX73" s="10">
        <f t="shared" ref="BX73:CI73" si="38">BX71+BX53+BX38</f>
        <v>0</v>
      </c>
      <c r="BY73" s="10">
        <f t="shared" si="38"/>
        <v>0</v>
      </c>
      <c r="BZ73" s="10">
        <f t="shared" si="38"/>
        <v>0</v>
      </c>
      <c r="CA73" s="10">
        <f t="shared" si="38"/>
        <v>0</v>
      </c>
      <c r="CB73" s="10">
        <f t="shared" si="38"/>
        <v>0</v>
      </c>
      <c r="CC73" s="10">
        <f t="shared" si="38"/>
        <v>0</v>
      </c>
      <c r="CD73" s="10">
        <f t="shared" si="38"/>
        <v>0</v>
      </c>
      <c r="CE73" s="10">
        <f t="shared" si="38"/>
        <v>0</v>
      </c>
      <c r="CF73" s="10">
        <f t="shared" si="38"/>
        <v>0</v>
      </c>
      <c r="CG73" s="10">
        <f t="shared" si="38"/>
        <v>0</v>
      </c>
      <c r="CH73" s="10">
        <f t="shared" si="38"/>
        <v>0</v>
      </c>
      <c r="CI73" s="10">
        <f t="shared" si="38"/>
        <v>0</v>
      </c>
      <c r="CK73" s="11"/>
      <c r="CM73" s="35"/>
    </row>
    <row r="74" spans="4:91" x14ac:dyDescent="0.35">
      <c r="D74" s="321"/>
      <c r="BK74" s="115"/>
      <c r="BL74" s="115"/>
      <c r="BM74" s="115"/>
      <c r="BN74" s="115"/>
      <c r="BO74" s="115"/>
      <c r="BP74" s="115"/>
      <c r="BQ74" s="115"/>
      <c r="BR74" s="115"/>
      <c r="BS74" s="115"/>
      <c r="BT74" s="115"/>
      <c r="BU74" s="115"/>
      <c r="BV74" s="115"/>
      <c r="CK74" s="11"/>
      <c r="CM74" s="35"/>
    </row>
    <row r="75" spans="4:91" x14ac:dyDescent="0.35">
      <c r="D75" s="324" t="s">
        <v>2551</v>
      </c>
      <c r="V75" s="114"/>
      <c r="W75" s="114"/>
      <c r="X75" s="114"/>
      <c r="Y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X75" s="133">
        <f>V75</f>
        <v>0</v>
      </c>
      <c r="BY75" s="133">
        <f>W75</f>
        <v>0</v>
      </c>
      <c r="BZ75" s="133">
        <f>X75</f>
        <v>0</v>
      </c>
      <c r="CA75" s="133">
        <f>Y75</f>
        <v>0</v>
      </c>
      <c r="CB75" s="114"/>
      <c r="CC75" s="114"/>
      <c r="CD75" s="114"/>
      <c r="CE75" s="114"/>
      <c r="CF75" s="114"/>
      <c r="CG75" s="114"/>
      <c r="CH75" s="114"/>
      <c r="CI75" s="114"/>
      <c r="CK75" s="11"/>
      <c r="CM75" s="35"/>
    </row>
    <row r="76" spans="4:91" x14ac:dyDescent="0.35">
      <c r="D76" s="325" t="s">
        <v>2552</v>
      </c>
      <c r="V76" s="114"/>
      <c r="W76" s="528">
        <f>V77</f>
        <v>0</v>
      </c>
      <c r="X76" s="528">
        <f>W77</f>
        <v>0</v>
      </c>
      <c r="Y76" s="528">
        <f>X77</f>
        <v>0</v>
      </c>
      <c r="AA76" s="529">
        <f>V77</f>
        <v>0</v>
      </c>
      <c r="AB76" s="528">
        <f t="shared" ref="AB76:BJ76" si="39">AA77</f>
        <v>0</v>
      </c>
      <c r="AC76" s="10">
        <f t="shared" si="39"/>
        <v>0</v>
      </c>
      <c r="AD76" s="10">
        <f t="shared" si="39"/>
        <v>0</v>
      </c>
      <c r="AE76" s="10">
        <f t="shared" si="39"/>
        <v>0</v>
      </c>
      <c r="AF76" s="10">
        <f t="shared" si="39"/>
        <v>0</v>
      </c>
      <c r="AG76" s="10">
        <f t="shared" si="39"/>
        <v>0</v>
      </c>
      <c r="AH76" s="10">
        <f t="shared" si="39"/>
        <v>0</v>
      </c>
      <c r="AI76" s="10">
        <f t="shared" si="39"/>
        <v>0</v>
      </c>
      <c r="AJ76" s="10">
        <f t="shared" si="39"/>
        <v>0</v>
      </c>
      <c r="AK76" s="10">
        <f t="shared" si="39"/>
        <v>0</v>
      </c>
      <c r="AL76" s="10">
        <f t="shared" si="39"/>
        <v>0</v>
      </c>
      <c r="AM76" s="10">
        <f t="shared" si="39"/>
        <v>0</v>
      </c>
      <c r="AN76" s="10">
        <f t="shared" si="39"/>
        <v>0</v>
      </c>
      <c r="AO76" s="10">
        <f t="shared" si="39"/>
        <v>0</v>
      </c>
      <c r="AP76" s="10">
        <f t="shared" si="39"/>
        <v>0</v>
      </c>
      <c r="AQ76" s="10">
        <f t="shared" si="39"/>
        <v>0</v>
      </c>
      <c r="AR76" s="10">
        <f t="shared" si="39"/>
        <v>0</v>
      </c>
      <c r="AS76" s="10">
        <f t="shared" si="39"/>
        <v>0</v>
      </c>
      <c r="AT76" s="10">
        <f t="shared" si="39"/>
        <v>0</v>
      </c>
      <c r="AU76" s="10">
        <f t="shared" si="39"/>
        <v>0</v>
      </c>
      <c r="AV76" s="10">
        <f t="shared" si="39"/>
        <v>0</v>
      </c>
      <c r="AW76" s="10">
        <f t="shared" si="39"/>
        <v>0</v>
      </c>
      <c r="AX76" s="10">
        <f t="shared" si="39"/>
        <v>0</v>
      </c>
      <c r="AY76" s="10">
        <f t="shared" si="39"/>
        <v>0</v>
      </c>
      <c r="AZ76" s="10">
        <f t="shared" si="39"/>
        <v>0</v>
      </c>
      <c r="BA76" s="10">
        <f t="shared" si="39"/>
        <v>0</v>
      </c>
      <c r="BB76" s="10">
        <f t="shared" si="39"/>
        <v>0</v>
      </c>
      <c r="BC76" s="10">
        <f t="shared" si="39"/>
        <v>0</v>
      </c>
      <c r="BD76" s="10">
        <f t="shared" si="39"/>
        <v>0</v>
      </c>
      <c r="BE76" s="10">
        <f t="shared" si="39"/>
        <v>0</v>
      </c>
      <c r="BF76" s="10">
        <f t="shared" si="39"/>
        <v>0</v>
      </c>
      <c r="BG76" s="10">
        <f t="shared" si="39"/>
        <v>0</v>
      </c>
      <c r="BH76" s="10">
        <f t="shared" si="39"/>
        <v>0</v>
      </c>
      <c r="BI76" s="10">
        <f t="shared" si="39"/>
        <v>0</v>
      </c>
      <c r="BJ76" s="10">
        <f t="shared" si="39"/>
        <v>0</v>
      </c>
      <c r="BK76" s="115"/>
      <c r="BL76" s="115"/>
      <c r="BM76" s="115"/>
      <c r="BN76" s="115"/>
      <c r="BO76" s="115"/>
      <c r="BP76" s="115"/>
      <c r="BQ76" s="115"/>
      <c r="BR76" s="115"/>
      <c r="BS76" s="115"/>
      <c r="BT76" s="115"/>
      <c r="BU76" s="115"/>
      <c r="BV76" s="115"/>
      <c r="BX76" s="529">
        <f>V76</f>
        <v>0</v>
      </c>
      <c r="BY76" s="10">
        <f t="shared" ref="BY76:CI76" si="40">BX77</f>
        <v>0</v>
      </c>
      <c r="BZ76" s="10">
        <f t="shared" si="40"/>
        <v>0</v>
      </c>
      <c r="CA76" s="10">
        <f t="shared" si="40"/>
        <v>0</v>
      </c>
      <c r="CB76" s="10">
        <f t="shared" si="40"/>
        <v>0</v>
      </c>
      <c r="CC76" s="10">
        <f t="shared" si="40"/>
        <v>0</v>
      </c>
      <c r="CD76" s="10">
        <f t="shared" si="40"/>
        <v>0</v>
      </c>
      <c r="CE76" s="10">
        <f t="shared" si="40"/>
        <v>0</v>
      </c>
      <c r="CF76" s="10">
        <f t="shared" si="40"/>
        <v>0</v>
      </c>
      <c r="CG76" s="10">
        <f t="shared" si="40"/>
        <v>0</v>
      </c>
      <c r="CH76" s="10">
        <f t="shared" si="40"/>
        <v>0</v>
      </c>
      <c r="CI76" s="10">
        <f t="shared" si="40"/>
        <v>0</v>
      </c>
      <c r="CK76" s="11"/>
      <c r="CM76" s="35"/>
    </row>
    <row r="77" spans="4:91" x14ac:dyDescent="0.35">
      <c r="D77" s="325" t="s">
        <v>2553</v>
      </c>
      <c r="V77" s="10">
        <f>V76+V73</f>
        <v>0</v>
      </c>
      <c r="W77" s="10">
        <f>W76+W73</f>
        <v>0</v>
      </c>
      <c r="X77" s="10">
        <f>X76+X73</f>
        <v>0</v>
      </c>
      <c r="Y77" s="10">
        <f>Y76+Y73</f>
        <v>0</v>
      </c>
      <c r="AA77" s="148">
        <f t="shared" ref="AA77:BJ77" si="41">AA76+AA73</f>
        <v>0</v>
      </c>
      <c r="AB77" s="10">
        <f t="shared" si="41"/>
        <v>0</v>
      </c>
      <c r="AC77" s="10">
        <f t="shared" si="41"/>
        <v>0</v>
      </c>
      <c r="AD77" s="10">
        <f t="shared" si="41"/>
        <v>0</v>
      </c>
      <c r="AE77" s="10">
        <f t="shared" si="41"/>
        <v>0</v>
      </c>
      <c r="AF77" s="10">
        <f t="shared" si="41"/>
        <v>0</v>
      </c>
      <c r="AG77" s="10">
        <f t="shared" si="41"/>
        <v>0</v>
      </c>
      <c r="AH77" s="10">
        <f t="shared" si="41"/>
        <v>0</v>
      </c>
      <c r="AI77" s="10">
        <f t="shared" si="41"/>
        <v>0</v>
      </c>
      <c r="AJ77" s="10">
        <f t="shared" si="41"/>
        <v>0</v>
      </c>
      <c r="AK77" s="10">
        <f t="shared" si="41"/>
        <v>0</v>
      </c>
      <c r="AL77" s="10">
        <f t="shared" si="41"/>
        <v>0</v>
      </c>
      <c r="AM77" s="10">
        <f t="shared" si="41"/>
        <v>0</v>
      </c>
      <c r="AN77" s="10">
        <f t="shared" si="41"/>
        <v>0</v>
      </c>
      <c r="AO77" s="10">
        <f t="shared" si="41"/>
        <v>0</v>
      </c>
      <c r="AP77" s="10">
        <f t="shared" si="41"/>
        <v>0</v>
      </c>
      <c r="AQ77" s="10">
        <f t="shared" si="41"/>
        <v>0</v>
      </c>
      <c r="AR77" s="10">
        <f t="shared" si="41"/>
        <v>0</v>
      </c>
      <c r="AS77" s="10">
        <f t="shared" si="41"/>
        <v>0</v>
      </c>
      <c r="AT77" s="10">
        <f t="shared" si="41"/>
        <v>0</v>
      </c>
      <c r="AU77" s="10">
        <f t="shared" si="41"/>
        <v>0</v>
      </c>
      <c r="AV77" s="10">
        <f t="shared" si="41"/>
        <v>0</v>
      </c>
      <c r="AW77" s="10">
        <f t="shared" si="41"/>
        <v>0</v>
      </c>
      <c r="AX77" s="10">
        <f t="shared" si="41"/>
        <v>0</v>
      </c>
      <c r="AY77" s="10">
        <f t="shared" si="41"/>
        <v>0</v>
      </c>
      <c r="AZ77" s="10">
        <f t="shared" si="41"/>
        <v>0</v>
      </c>
      <c r="BA77" s="10">
        <f t="shared" si="41"/>
        <v>0</v>
      </c>
      <c r="BB77" s="10">
        <f t="shared" si="41"/>
        <v>0</v>
      </c>
      <c r="BC77" s="10">
        <f t="shared" si="41"/>
        <v>0</v>
      </c>
      <c r="BD77" s="10">
        <f t="shared" si="41"/>
        <v>0</v>
      </c>
      <c r="BE77" s="10">
        <f t="shared" si="41"/>
        <v>0</v>
      </c>
      <c r="BF77" s="10">
        <f t="shared" si="41"/>
        <v>0</v>
      </c>
      <c r="BG77" s="10">
        <f t="shared" si="41"/>
        <v>0</v>
      </c>
      <c r="BH77" s="10">
        <f t="shared" si="41"/>
        <v>0</v>
      </c>
      <c r="BI77" s="10">
        <f t="shared" si="41"/>
        <v>0</v>
      </c>
      <c r="BJ77" s="10">
        <f t="shared" si="41"/>
        <v>0</v>
      </c>
      <c r="BX77" s="148">
        <f t="shared" ref="BX77:CI77" si="42">BX76+BX73</f>
        <v>0</v>
      </c>
      <c r="BY77" s="10">
        <f t="shared" si="42"/>
        <v>0</v>
      </c>
      <c r="BZ77" s="10">
        <f t="shared" si="42"/>
        <v>0</v>
      </c>
      <c r="CA77" s="10">
        <f t="shared" si="42"/>
        <v>0</v>
      </c>
      <c r="CB77" s="10">
        <f t="shared" si="42"/>
        <v>0</v>
      </c>
      <c r="CC77" s="10">
        <f t="shared" si="42"/>
        <v>0</v>
      </c>
      <c r="CD77" s="10">
        <f t="shared" si="42"/>
        <v>0</v>
      </c>
      <c r="CE77" s="10">
        <f t="shared" si="42"/>
        <v>0</v>
      </c>
      <c r="CF77" s="10">
        <f t="shared" si="42"/>
        <v>0</v>
      </c>
      <c r="CG77" s="10">
        <f t="shared" si="42"/>
        <v>0</v>
      </c>
      <c r="CH77" s="10">
        <f t="shared" si="42"/>
        <v>0</v>
      </c>
      <c r="CI77" s="10">
        <f t="shared" si="42"/>
        <v>0</v>
      </c>
      <c r="CK77" s="11"/>
      <c r="CM77" s="35"/>
    </row>
    <row r="78" spans="4:91" x14ac:dyDescent="0.35">
      <c r="BK78" s="115"/>
      <c r="BL78" s="115"/>
      <c r="BM78" s="115"/>
      <c r="BN78" s="115"/>
      <c r="BO78" s="115"/>
      <c r="BP78" s="115"/>
      <c r="BQ78" s="115"/>
      <c r="BR78" s="115"/>
      <c r="BS78" s="115"/>
      <c r="BT78" s="115"/>
      <c r="BU78" s="115"/>
      <c r="BV78" s="115"/>
      <c r="CK78" s="11"/>
      <c r="CM78" s="35"/>
    </row>
    <row r="79" spans="4:91" x14ac:dyDescent="0.35">
      <c r="CK79" s="11"/>
      <c r="CM79" s="35"/>
    </row>
    <row r="80" spans="4:91" x14ac:dyDescent="0.35">
      <c r="D80" s="326" t="s">
        <v>2554</v>
      </c>
      <c r="BK80" s="115"/>
      <c r="BL80" s="115"/>
      <c r="BM80" s="115"/>
      <c r="BN80" s="115"/>
      <c r="BO80" s="115"/>
      <c r="BP80" s="115"/>
      <c r="BQ80" s="115"/>
      <c r="BR80" s="115"/>
      <c r="BS80" s="115"/>
      <c r="BT80" s="115"/>
      <c r="BU80" s="115"/>
      <c r="BV80" s="115"/>
      <c r="CK80" s="11"/>
      <c r="CM80" s="35"/>
    </row>
    <row r="81" spans="4:91" x14ac:dyDescent="0.35">
      <c r="D81" t="s">
        <v>2555</v>
      </c>
      <c r="V81" s="10">
        <f>'Cash Flow Summary'!V96</f>
        <v>0</v>
      </c>
      <c r="W81" s="10">
        <f>'Cash Flow Summary'!W96</f>
        <v>0</v>
      </c>
      <c r="X81" s="10">
        <f>'Cash Flow Summary'!X96</f>
        <v>0</v>
      </c>
      <c r="Y81" s="10">
        <f>'Cash Flow Summary'!Y96</f>
        <v>0</v>
      </c>
      <c r="AA81" s="10">
        <f>'Cash Flow Summary'!AA96</f>
        <v>0</v>
      </c>
      <c r="AB81" s="10">
        <f>'Cash Flow Summary'!AB96</f>
        <v>0</v>
      </c>
      <c r="AC81" s="10">
        <f>'Cash Flow Summary'!AC96</f>
        <v>0</v>
      </c>
      <c r="AD81" s="10">
        <f>'Cash Flow Summary'!AD96</f>
        <v>0</v>
      </c>
      <c r="AE81" s="10">
        <f>'Cash Flow Summary'!AE96</f>
        <v>0</v>
      </c>
      <c r="AF81" s="10">
        <f>'Cash Flow Summary'!AF96</f>
        <v>0</v>
      </c>
      <c r="AG81" s="10">
        <f>'Cash Flow Summary'!AG96</f>
        <v>0</v>
      </c>
      <c r="AH81" s="10">
        <f>'Cash Flow Summary'!AH96</f>
        <v>0</v>
      </c>
      <c r="AI81" s="10">
        <f>'Cash Flow Summary'!AI96</f>
        <v>0</v>
      </c>
      <c r="AJ81" s="10">
        <f>'Cash Flow Summary'!AJ96</f>
        <v>0</v>
      </c>
      <c r="AK81" s="10">
        <f>'Cash Flow Summary'!AK96</f>
        <v>0</v>
      </c>
      <c r="AL81" s="10">
        <f>'Cash Flow Summary'!AL96</f>
        <v>0</v>
      </c>
      <c r="AM81" s="10">
        <f>'Cash Flow Summary'!AM96</f>
        <v>0</v>
      </c>
      <c r="AN81" s="10">
        <f>'Cash Flow Summary'!AN96</f>
        <v>0</v>
      </c>
      <c r="AO81" s="10">
        <f>'Cash Flow Summary'!AO96</f>
        <v>0</v>
      </c>
      <c r="AP81" s="10">
        <f>'Cash Flow Summary'!AP96</f>
        <v>0</v>
      </c>
      <c r="AQ81" s="10">
        <f>'Cash Flow Summary'!AQ96</f>
        <v>0</v>
      </c>
      <c r="AR81" s="10">
        <f>'Cash Flow Summary'!AR96</f>
        <v>0</v>
      </c>
      <c r="AS81" s="10">
        <f>'Cash Flow Summary'!AS96</f>
        <v>0</v>
      </c>
      <c r="AT81" s="10">
        <f>'Cash Flow Summary'!AT96</f>
        <v>0</v>
      </c>
      <c r="AU81" s="10">
        <f>'Cash Flow Summary'!AU96</f>
        <v>0</v>
      </c>
      <c r="AV81" s="10">
        <f>'Cash Flow Summary'!AV96</f>
        <v>0</v>
      </c>
      <c r="AW81" s="10">
        <f>'Cash Flow Summary'!AW96</f>
        <v>0</v>
      </c>
      <c r="AX81" s="10">
        <f>'Cash Flow Summary'!AX96</f>
        <v>0</v>
      </c>
      <c r="AY81" s="10">
        <f>'Cash Flow Summary'!AY96</f>
        <v>0</v>
      </c>
      <c r="AZ81" s="10">
        <f>'Cash Flow Summary'!AZ96</f>
        <v>0</v>
      </c>
      <c r="BA81" s="10">
        <f>'Cash Flow Summary'!BA96</f>
        <v>0</v>
      </c>
      <c r="BB81" s="10">
        <f>'Cash Flow Summary'!BB96</f>
        <v>0</v>
      </c>
      <c r="BC81" s="10">
        <f>'Cash Flow Summary'!BC96</f>
        <v>0</v>
      </c>
      <c r="BD81" s="10">
        <f>'Cash Flow Summary'!BD96</f>
        <v>0</v>
      </c>
      <c r="BE81" s="10">
        <f>'Cash Flow Summary'!BE96</f>
        <v>0</v>
      </c>
      <c r="BF81" s="10">
        <f>'Cash Flow Summary'!BF96</f>
        <v>0</v>
      </c>
      <c r="BG81" s="10">
        <f>'Cash Flow Summary'!BG96</f>
        <v>0</v>
      </c>
      <c r="BH81" s="10">
        <f>'Cash Flow Summary'!BH96</f>
        <v>0</v>
      </c>
      <c r="BI81" s="10">
        <f>'Cash Flow Summary'!BI96</f>
        <v>0</v>
      </c>
      <c r="BJ81" s="10">
        <f>'Cash Flow Summary'!BJ96</f>
        <v>0</v>
      </c>
      <c r="BX81" s="10">
        <f>'Cash Flow Summary'!BX96</f>
        <v>0</v>
      </c>
      <c r="BY81" s="10">
        <f>'Cash Flow Summary'!BY96</f>
        <v>0</v>
      </c>
      <c r="BZ81" s="10">
        <f>'Cash Flow Summary'!BZ96</f>
        <v>0</v>
      </c>
      <c r="CA81" s="10">
        <f>'Cash Flow Summary'!CA96</f>
        <v>0</v>
      </c>
      <c r="CB81" s="10">
        <f>'Cash Flow Summary'!CB96</f>
        <v>0</v>
      </c>
      <c r="CC81" s="10">
        <f>'Cash Flow Summary'!CC96</f>
        <v>0</v>
      </c>
      <c r="CD81" s="10">
        <f>'Cash Flow Summary'!CD96</f>
        <v>0</v>
      </c>
      <c r="CE81" s="10">
        <f>'Cash Flow Summary'!CE96</f>
        <v>0</v>
      </c>
      <c r="CF81" s="10">
        <f>'Cash Flow Summary'!CF96</f>
        <v>0</v>
      </c>
      <c r="CG81" s="10">
        <f>'Cash Flow Summary'!CG96</f>
        <v>0</v>
      </c>
      <c r="CH81" s="10">
        <f>'Cash Flow Summary'!CH96</f>
        <v>0</v>
      </c>
      <c r="CI81" s="10">
        <f>'Cash Flow Summary'!CI96</f>
        <v>0</v>
      </c>
      <c r="CK81" s="11"/>
      <c r="CM81" s="35"/>
    </row>
    <row r="82" spans="4:91" x14ac:dyDescent="0.35">
      <c r="D82" s="262" t="s">
        <v>2556</v>
      </c>
      <c r="V82" s="10">
        <f>V77</f>
        <v>0</v>
      </c>
      <c r="W82" s="10">
        <f>W77</f>
        <v>0</v>
      </c>
      <c r="X82" s="10">
        <f>X77</f>
        <v>0</v>
      </c>
      <c r="Y82" s="10">
        <f>Y77</f>
        <v>0</v>
      </c>
      <c r="AA82" s="10">
        <f t="shared" ref="AA82:BJ82" si="43">AA77</f>
        <v>0</v>
      </c>
      <c r="AB82" s="10">
        <f t="shared" si="43"/>
        <v>0</v>
      </c>
      <c r="AC82" s="10">
        <f t="shared" si="43"/>
        <v>0</v>
      </c>
      <c r="AD82" s="10">
        <f t="shared" si="43"/>
        <v>0</v>
      </c>
      <c r="AE82" s="10">
        <f t="shared" si="43"/>
        <v>0</v>
      </c>
      <c r="AF82" s="10">
        <f t="shared" si="43"/>
        <v>0</v>
      </c>
      <c r="AG82" s="10">
        <f t="shared" si="43"/>
        <v>0</v>
      </c>
      <c r="AH82" s="10">
        <f t="shared" si="43"/>
        <v>0</v>
      </c>
      <c r="AI82" s="10">
        <f t="shared" si="43"/>
        <v>0</v>
      </c>
      <c r="AJ82" s="10">
        <f t="shared" si="43"/>
        <v>0</v>
      </c>
      <c r="AK82" s="10">
        <f t="shared" si="43"/>
        <v>0</v>
      </c>
      <c r="AL82" s="10">
        <f t="shared" si="43"/>
        <v>0</v>
      </c>
      <c r="AM82" s="10">
        <f t="shared" si="43"/>
        <v>0</v>
      </c>
      <c r="AN82" s="10">
        <f t="shared" si="43"/>
        <v>0</v>
      </c>
      <c r="AO82" s="10">
        <f t="shared" si="43"/>
        <v>0</v>
      </c>
      <c r="AP82" s="10">
        <f t="shared" si="43"/>
        <v>0</v>
      </c>
      <c r="AQ82" s="10">
        <f t="shared" si="43"/>
        <v>0</v>
      </c>
      <c r="AR82" s="10">
        <f t="shared" si="43"/>
        <v>0</v>
      </c>
      <c r="AS82" s="10">
        <f t="shared" si="43"/>
        <v>0</v>
      </c>
      <c r="AT82" s="10">
        <f t="shared" si="43"/>
        <v>0</v>
      </c>
      <c r="AU82" s="10">
        <f t="shared" si="43"/>
        <v>0</v>
      </c>
      <c r="AV82" s="10">
        <f t="shared" si="43"/>
        <v>0</v>
      </c>
      <c r="AW82" s="10">
        <f t="shared" si="43"/>
        <v>0</v>
      </c>
      <c r="AX82" s="10">
        <f t="shared" si="43"/>
        <v>0</v>
      </c>
      <c r="AY82" s="10">
        <f t="shared" si="43"/>
        <v>0</v>
      </c>
      <c r="AZ82" s="10">
        <f t="shared" si="43"/>
        <v>0</v>
      </c>
      <c r="BA82" s="10">
        <f t="shared" si="43"/>
        <v>0</v>
      </c>
      <c r="BB82" s="10">
        <f t="shared" si="43"/>
        <v>0</v>
      </c>
      <c r="BC82" s="10">
        <f t="shared" si="43"/>
        <v>0</v>
      </c>
      <c r="BD82" s="10">
        <f t="shared" si="43"/>
        <v>0</v>
      </c>
      <c r="BE82" s="10">
        <f t="shared" si="43"/>
        <v>0</v>
      </c>
      <c r="BF82" s="10">
        <f t="shared" si="43"/>
        <v>0</v>
      </c>
      <c r="BG82" s="10">
        <f t="shared" si="43"/>
        <v>0</v>
      </c>
      <c r="BH82" s="10">
        <f t="shared" si="43"/>
        <v>0</v>
      </c>
      <c r="BI82" s="10">
        <f t="shared" si="43"/>
        <v>0</v>
      </c>
      <c r="BJ82" s="10">
        <f t="shared" si="43"/>
        <v>0</v>
      </c>
      <c r="BK82" s="115"/>
      <c r="BL82" s="115"/>
      <c r="BM82" s="115"/>
      <c r="BN82" s="115"/>
      <c r="BO82" s="115"/>
      <c r="BP82" s="115"/>
      <c r="BQ82" s="115"/>
      <c r="BR82" s="115"/>
      <c r="BS82" s="115"/>
      <c r="BT82" s="115"/>
      <c r="BU82" s="115"/>
      <c r="BV82" s="115"/>
      <c r="BX82" s="10">
        <f t="shared" ref="BX82:CI82" si="44">BX77</f>
        <v>0</v>
      </c>
      <c r="BY82" s="10">
        <f t="shared" si="44"/>
        <v>0</v>
      </c>
      <c r="BZ82" s="10">
        <f t="shared" si="44"/>
        <v>0</v>
      </c>
      <c r="CA82" s="10">
        <f t="shared" si="44"/>
        <v>0</v>
      </c>
      <c r="CB82" s="10">
        <f t="shared" si="44"/>
        <v>0</v>
      </c>
      <c r="CC82" s="10">
        <f t="shared" si="44"/>
        <v>0</v>
      </c>
      <c r="CD82" s="10">
        <f t="shared" si="44"/>
        <v>0</v>
      </c>
      <c r="CE82" s="10">
        <f t="shared" si="44"/>
        <v>0</v>
      </c>
      <c r="CF82" s="10">
        <f t="shared" si="44"/>
        <v>0</v>
      </c>
      <c r="CG82" s="10">
        <f t="shared" si="44"/>
        <v>0</v>
      </c>
      <c r="CH82" s="10">
        <f t="shared" si="44"/>
        <v>0</v>
      </c>
      <c r="CI82" s="10">
        <f t="shared" si="44"/>
        <v>0</v>
      </c>
      <c r="CK82" s="11"/>
      <c r="CM82" s="35"/>
    </row>
    <row r="83" spans="4:91" x14ac:dyDescent="0.35">
      <c r="D83" s="5" t="s">
        <v>2557</v>
      </c>
      <c r="V83" s="10">
        <f>V81-V82</f>
        <v>0</v>
      </c>
      <c r="W83" s="10">
        <f>W81-W82</f>
        <v>0</v>
      </c>
      <c r="X83" s="10">
        <f>X81-X82</f>
        <v>0</v>
      </c>
      <c r="Y83" s="10">
        <f>Y81-Y82</f>
        <v>0</v>
      </c>
      <c r="AA83" s="10">
        <f t="shared" ref="AA83:BJ83" si="45">AA81-AA82</f>
        <v>0</v>
      </c>
      <c r="AB83" s="10">
        <f t="shared" si="45"/>
        <v>0</v>
      </c>
      <c r="AC83" s="10">
        <f t="shared" si="45"/>
        <v>0</v>
      </c>
      <c r="AD83" s="10">
        <f t="shared" si="45"/>
        <v>0</v>
      </c>
      <c r="AE83" s="10">
        <f t="shared" si="45"/>
        <v>0</v>
      </c>
      <c r="AF83" s="10">
        <f t="shared" si="45"/>
        <v>0</v>
      </c>
      <c r="AG83" s="10">
        <f t="shared" si="45"/>
        <v>0</v>
      </c>
      <c r="AH83" s="10">
        <f t="shared" si="45"/>
        <v>0</v>
      </c>
      <c r="AI83" s="10">
        <f t="shared" si="45"/>
        <v>0</v>
      </c>
      <c r="AJ83" s="10">
        <f t="shared" si="45"/>
        <v>0</v>
      </c>
      <c r="AK83" s="10">
        <f t="shared" si="45"/>
        <v>0</v>
      </c>
      <c r="AL83" s="10">
        <f t="shared" si="45"/>
        <v>0</v>
      </c>
      <c r="AM83" s="10">
        <f t="shared" si="45"/>
        <v>0</v>
      </c>
      <c r="AN83" s="10">
        <f t="shared" si="45"/>
        <v>0</v>
      </c>
      <c r="AO83" s="10">
        <f t="shared" si="45"/>
        <v>0</v>
      </c>
      <c r="AP83" s="10">
        <f t="shared" si="45"/>
        <v>0</v>
      </c>
      <c r="AQ83" s="10">
        <f t="shared" si="45"/>
        <v>0</v>
      </c>
      <c r="AR83" s="10">
        <f t="shared" si="45"/>
        <v>0</v>
      </c>
      <c r="AS83" s="10">
        <f t="shared" si="45"/>
        <v>0</v>
      </c>
      <c r="AT83" s="10">
        <f t="shared" si="45"/>
        <v>0</v>
      </c>
      <c r="AU83" s="10">
        <f t="shared" si="45"/>
        <v>0</v>
      </c>
      <c r="AV83" s="10">
        <f t="shared" si="45"/>
        <v>0</v>
      </c>
      <c r="AW83" s="10">
        <f t="shared" si="45"/>
        <v>0</v>
      </c>
      <c r="AX83" s="10">
        <f t="shared" si="45"/>
        <v>0</v>
      </c>
      <c r="AY83" s="10">
        <f t="shared" si="45"/>
        <v>0</v>
      </c>
      <c r="AZ83" s="10">
        <f t="shared" si="45"/>
        <v>0</v>
      </c>
      <c r="BA83" s="10">
        <f t="shared" si="45"/>
        <v>0</v>
      </c>
      <c r="BB83" s="10">
        <f t="shared" si="45"/>
        <v>0</v>
      </c>
      <c r="BC83" s="10">
        <f t="shared" si="45"/>
        <v>0</v>
      </c>
      <c r="BD83" s="10">
        <f t="shared" si="45"/>
        <v>0</v>
      </c>
      <c r="BE83" s="10">
        <f t="shared" si="45"/>
        <v>0</v>
      </c>
      <c r="BF83" s="10">
        <f t="shared" si="45"/>
        <v>0</v>
      </c>
      <c r="BG83" s="10">
        <f t="shared" si="45"/>
        <v>0</v>
      </c>
      <c r="BH83" s="10">
        <f t="shared" si="45"/>
        <v>0</v>
      </c>
      <c r="BI83" s="10">
        <f t="shared" si="45"/>
        <v>0</v>
      </c>
      <c r="BJ83" s="10">
        <f t="shared" si="45"/>
        <v>0</v>
      </c>
      <c r="BX83" s="10">
        <f t="shared" ref="BX83:CI83" si="46">BX81-BX82</f>
        <v>0</v>
      </c>
      <c r="BY83" s="10">
        <f t="shared" si="46"/>
        <v>0</v>
      </c>
      <c r="BZ83" s="10">
        <f t="shared" si="46"/>
        <v>0</v>
      </c>
      <c r="CA83" s="10">
        <f t="shared" si="46"/>
        <v>0</v>
      </c>
      <c r="CB83" s="10">
        <f t="shared" si="46"/>
        <v>0</v>
      </c>
      <c r="CC83" s="10">
        <f t="shared" si="46"/>
        <v>0</v>
      </c>
      <c r="CD83" s="10">
        <f t="shared" si="46"/>
        <v>0</v>
      </c>
      <c r="CE83" s="10">
        <f t="shared" si="46"/>
        <v>0</v>
      </c>
      <c r="CF83" s="10">
        <f t="shared" si="46"/>
        <v>0</v>
      </c>
      <c r="CG83" s="10">
        <f t="shared" si="46"/>
        <v>0</v>
      </c>
      <c r="CH83" s="10">
        <f t="shared" si="46"/>
        <v>0</v>
      </c>
      <c r="CI83" s="10">
        <f t="shared" si="46"/>
        <v>0</v>
      </c>
      <c r="CK83" s="11"/>
      <c r="CM83" s="35"/>
    </row>
    <row r="84" spans="4:91" x14ac:dyDescent="0.35">
      <c r="BK84" s="115"/>
      <c r="BL84" s="115"/>
      <c r="BM84" s="115"/>
      <c r="BN84" s="115"/>
      <c r="BO84" s="115"/>
      <c r="BP84" s="115"/>
      <c r="BQ84" s="115"/>
      <c r="BR84" s="115"/>
      <c r="BS84" s="115"/>
      <c r="BT84" s="115"/>
      <c r="BU84" s="115"/>
      <c r="BV84" s="115"/>
      <c r="CK84" s="11"/>
      <c r="CM84" s="35"/>
    </row>
    <row r="85" spans="4:91" x14ac:dyDescent="0.35">
      <c r="D85" s="326" t="s">
        <v>2532</v>
      </c>
      <c r="CK85" s="11"/>
      <c r="CM85" s="35"/>
    </row>
    <row r="86" spans="4:91" x14ac:dyDescent="0.35">
      <c r="D86" t="s">
        <v>2555</v>
      </c>
      <c r="V86" s="10">
        <f>'Cash Flow Summary'!V75</f>
        <v>0</v>
      </c>
      <c r="W86" s="10">
        <f>'Cash Flow Summary'!W75</f>
        <v>0</v>
      </c>
      <c r="X86" s="10">
        <f>'Cash Flow Summary'!X75</f>
        <v>0</v>
      </c>
      <c r="Y86" s="10">
        <f>'Cash Flow Summary'!Y75</f>
        <v>0</v>
      </c>
      <c r="AA86" s="10">
        <f>'Cash Flow Summary'!AA75</f>
        <v>0</v>
      </c>
      <c r="AB86" s="10">
        <f>'Cash Flow Summary'!AB75</f>
        <v>0</v>
      </c>
      <c r="AC86" s="10">
        <f>'Cash Flow Summary'!AC75</f>
        <v>0</v>
      </c>
      <c r="AD86" s="10">
        <f>'Cash Flow Summary'!AD75</f>
        <v>0</v>
      </c>
      <c r="AE86" s="10">
        <f>'Cash Flow Summary'!AE75</f>
        <v>0</v>
      </c>
      <c r="AF86" s="10">
        <f>'Cash Flow Summary'!AF75</f>
        <v>0</v>
      </c>
      <c r="AG86" s="10">
        <f>'Cash Flow Summary'!AG75</f>
        <v>0</v>
      </c>
      <c r="AH86" s="10">
        <f>'Cash Flow Summary'!AH75</f>
        <v>0</v>
      </c>
      <c r="AI86" s="10">
        <f>'Cash Flow Summary'!AI75</f>
        <v>0</v>
      </c>
      <c r="AJ86" s="10">
        <f>'Cash Flow Summary'!AJ75</f>
        <v>0</v>
      </c>
      <c r="AK86" s="10">
        <f>'Cash Flow Summary'!AK75</f>
        <v>0</v>
      </c>
      <c r="AL86" s="10">
        <f>'Cash Flow Summary'!AL75</f>
        <v>0</v>
      </c>
      <c r="AM86" s="10">
        <f>'Cash Flow Summary'!AM75</f>
        <v>0</v>
      </c>
      <c r="AN86" s="10">
        <f>'Cash Flow Summary'!AN75</f>
        <v>0</v>
      </c>
      <c r="AO86" s="10">
        <f>'Cash Flow Summary'!AO75</f>
        <v>0</v>
      </c>
      <c r="AP86" s="10">
        <f>'Cash Flow Summary'!AP75</f>
        <v>0</v>
      </c>
      <c r="AQ86" s="10">
        <f>'Cash Flow Summary'!AQ75</f>
        <v>0</v>
      </c>
      <c r="AR86" s="10">
        <f>'Cash Flow Summary'!AR75</f>
        <v>0</v>
      </c>
      <c r="AS86" s="10">
        <f>'Cash Flow Summary'!AS75</f>
        <v>0</v>
      </c>
      <c r="AT86" s="10">
        <f>'Cash Flow Summary'!AT75</f>
        <v>0</v>
      </c>
      <c r="AU86" s="10">
        <f>'Cash Flow Summary'!AU75</f>
        <v>0</v>
      </c>
      <c r="AV86" s="10">
        <f>'Cash Flow Summary'!AV75</f>
        <v>0</v>
      </c>
      <c r="AW86" s="10">
        <f>'Cash Flow Summary'!AW75</f>
        <v>0</v>
      </c>
      <c r="AX86" s="10">
        <f>'Cash Flow Summary'!AX75</f>
        <v>0</v>
      </c>
      <c r="AY86" s="10">
        <f>'Cash Flow Summary'!AY75</f>
        <v>0</v>
      </c>
      <c r="AZ86" s="10">
        <f>'Cash Flow Summary'!AZ75</f>
        <v>0</v>
      </c>
      <c r="BA86" s="10">
        <f>'Cash Flow Summary'!BA75</f>
        <v>0</v>
      </c>
      <c r="BB86" s="10">
        <f>'Cash Flow Summary'!BB75</f>
        <v>0</v>
      </c>
      <c r="BC86" s="10">
        <f>'Cash Flow Summary'!BC75</f>
        <v>0</v>
      </c>
      <c r="BD86" s="10">
        <f>'Cash Flow Summary'!BD75</f>
        <v>0</v>
      </c>
      <c r="BE86" s="10">
        <f>'Cash Flow Summary'!BE75</f>
        <v>0</v>
      </c>
      <c r="BF86" s="10">
        <f>'Cash Flow Summary'!BF75</f>
        <v>0</v>
      </c>
      <c r="BG86" s="10">
        <f>'Cash Flow Summary'!BG75</f>
        <v>0</v>
      </c>
      <c r="BH86" s="10">
        <f>'Cash Flow Summary'!BH75</f>
        <v>0</v>
      </c>
      <c r="BI86" s="10">
        <f>'Cash Flow Summary'!BI75</f>
        <v>0</v>
      </c>
      <c r="BJ86" s="10">
        <f>'Cash Flow Summary'!BJ75</f>
        <v>0</v>
      </c>
      <c r="BK86" s="115"/>
      <c r="BL86" s="115"/>
      <c r="BM86" s="115"/>
      <c r="BN86" s="115"/>
      <c r="BO86" s="115"/>
      <c r="BP86" s="115"/>
      <c r="BQ86" s="115"/>
      <c r="BR86" s="115"/>
      <c r="BS86" s="115"/>
      <c r="BT86" s="115"/>
      <c r="BU86" s="115"/>
      <c r="BV86" s="115"/>
      <c r="BX86" s="10">
        <f>'Cash Flow Summary'!BX75</f>
        <v>0</v>
      </c>
      <c r="BY86" s="10">
        <f>'Cash Flow Summary'!BY75</f>
        <v>0</v>
      </c>
      <c r="BZ86" s="10">
        <f>'Cash Flow Summary'!BZ75</f>
        <v>0</v>
      </c>
      <c r="CA86" s="10">
        <f>'Cash Flow Summary'!CA75</f>
        <v>0</v>
      </c>
      <c r="CB86" s="10">
        <f>'Cash Flow Summary'!CB75</f>
        <v>0</v>
      </c>
      <c r="CC86" s="10">
        <f>'Cash Flow Summary'!CC75</f>
        <v>0</v>
      </c>
      <c r="CD86" s="10">
        <f>'Cash Flow Summary'!CD75</f>
        <v>0</v>
      </c>
      <c r="CE86" s="10">
        <f>'Cash Flow Summary'!CE75</f>
        <v>0</v>
      </c>
      <c r="CF86" s="10">
        <f>'Cash Flow Summary'!CF75</f>
        <v>0</v>
      </c>
      <c r="CG86" s="10">
        <f>'Cash Flow Summary'!CG75</f>
        <v>0</v>
      </c>
      <c r="CH86" s="10">
        <f>'Cash Flow Summary'!CH75</f>
        <v>0</v>
      </c>
      <c r="CI86" s="10">
        <f>'Cash Flow Summary'!CI75</f>
        <v>0</v>
      </c>
      <c r="CK86" s="11"/>
      <c r="CM86" s="35"/>
    </row>
    <row r="87" spans="4:91" x14ac:dyDescent="0.35">
      <c r="D87" s="262" t="s">
        <v>2556</v>
      </c>
      <c r="V87" s="10">
        <f>V41</f>
        <v>0</v>
      </c>
      <c r="W87" s="10">
        <f>W41</f>
        <v>0</v>
      </c>
      <c r="X87" s="10">
        <f>X41</f>
        <v>0</v>
      </c>
      <c r="Y87" s="10">
        <f>Y41</f>
        <v>0</v>
      </c>
      <c r="AA87" s="10">
        <f t="shared" ref="AA87:BJ87" si="47">AA41</f>
        <v>0</v>
      </c>
      <c r="AB87" s="10">
        <f t="shared" si="47"/>
        <v>0</v>
      </c>
      <c r="AC87" s="10">
        <f t="shared" si="47"/>
        <v>0</v>
      </c>
      <c r="AD87" s="10">
        <f t="shared" si="47"/>
        <v>0</v>
      </c>
      <c r="AE87" s="10">
        <f t="shared" si="47"/>
        <v>0</v>
      </c>
      <c r="AF87" s="10">
        <f t="shared" si="47"/>
        <v>0</v>
      </c>
      <c r="AG87" s="10">
        <f t="shared" si="47"/>
        <v>0</v>
      </c>
      <c r="AH87" s="10">
        <f t="shared" si="47"/>
        <v>0</v>
      </c>
      <c r="AI87" s="10">
        <f t="shared" si="47"/>
        <v>0</v>
      </c>
      <c r="AJ87" s="10">
        <f t="shared" si="47"/>
        <v>0</v>
      </c>
      <c r="AK87" s="10">
        <f t="shared" si="47"/>
        <v>0</v>
      </c>
      <c r="AL87" s="10">
        <f t="shared" si="47"/>
        <v>0</v>
      </c>
      <c r="AM87" s="10">
        <f t="shared" si="47"/>
        <v>0</v>
      </c>
      <c r="AN87" s="10">
        <f t="shared" si="47"/>
        <v>0</v>
      </c>
      <c r="AO87" s="10">
        <f t="shared" si="47"/>
        <v>0</v>
      </c>
      <c r="AP87" s="10">
        <f t="shared" si="47"/>
        <v>0</v>
      </c>
      <c r="AQ87" s="10">
        <f t="shared" si="47"/>
        <v>0</v>
      </c>
      <c r="AR87" s="10">
        <f t="shared" si="47"/>
        <v>0</v>
      </c>
      <c r="AS87" s="10">
        <f t="shared" si="47"/>
        <v>0</v>
      </c>
      <c r="AT87" s="10">
        <f t="shared" si="47"/>
        <v>0</v>
      </c>
      <c r="AU87" s="10">
        <f t="shared" si="47"/>
        <v>0</v>
      </c>
      <c r="AV87" s="10">
        <f t="shared" si="47"/>
        <v>0</v>
      </c>
      <c r="AW87" s="10">
        <f t="shared" si="47"/>
        <v>0</v>
      </c>
      <c r="AX87" s="10">
        <f t="shared" si="47"/>
        <v>0</v>
      </c>
      <c r="AY87" s="10">
        <f t="shared" si="47"/>
        <v>0</v>
      </c>
      <c r="AZ87" s="10">
        <f t="shared" si="47"/>
        <v>0</v>
      </c>
      <c r="BA87" s="10">
        <f t="shared" si="47"/>
        <v>0</v>
      </c>
      <c r="BB87" s="10">
        <f t="shared" si="47"/>
        <v>0</v>
      </c>
      <c r="BC87" s="10">
        <f t="shared" si="47"/>
        <v>0</v>
      </c>
      <c r="BD87" s="10">
        <f t="shared" si="47"/>
        <v>0</v>
      </c>
      <c r="BE87" s="10">
        <f t="shared" si="47"/>
        <v>0</v>
      </c>
      <c r="BF87" s="10">
        <f t="shared" si="47"/>
        <v>0</v>
      </c>
      <c r="BG87" s="10">
        <f t="shared" si="47"/>
        <v>0</v>
      </c>
      <c r="BH87" s="10">
        <f t="shared" si="47"/>
        <v>0</v>
      </c>
      <c r="BI87" s="10">
        <f t="shared" si="47"/>
        <v>0</v>
      </c>
      <c r="BJ87" s="10">
        <f t="shared" si="47"/>
        <v>0</v>
      </c>
      <c r="BX87" s="10">
        <f t="shared" ref="BX87:CI87" si="48">BX41</f>
        <v>0</v>
      </c>
      <c r="BY87" s="10">
        <f t="shared" si="48"/>
        <v>0</v>
      </c>
      <c r="BZ87" s="10">
        <f t="shared" si="48"/>
        <v>0</v>
      </c>
      <c r="CA87" s="10">
        <f t="shared" si="48"/>
        <v>0</v>
      </c>
      <c r="CB87" s="10">
        <f t="shared" si="48"/>
        <v>0</v>
      </c>
      <c r="CC87" s="10">
        <f t="shared" si="48"/>
        <v>0</v>
      </c>
      <c r="CD87" s="10">
        <f t="shared" si="48"/>
        <v>0</v>
      </c>
      <c r="CE87" s="10">
        <f t="shared" si="48"/>
        <v>0</v>
      </c>
      <c r="CF87" s="10">
        <f t="shared" si="48"/>
        <v>0</v>
      </c>
      <c r="CG87" s="10">
        <f t="shared" si="48"/>
        <v>0</v>
      </c>
      <c r="CH87" s="10">
        <f t="shared" si="48"/>
        <v>0</v>
      </c>
      <c r="CI87" s="10">
        <f t="shared" si="48"/>
        <v>0</v>
      </c>
      <c r="CK87" s="11"/>
      <c r="CM87" s="35"/>
    </row>
    <row r="88" spans="4:91" x14ac:dyDescent="0.35">
      <c r="D88" s="5" t="s">
        <v>2557</v>
      </c>
      <c r="V88" s="10">
        <f>V86-V87</f>
        <v>0</v>
      </c>
      <c r="W88" s="10">
        <f>W86-W87</f>
        <v>0</v>
      </c>
      <c r="X88" s="10">
        <f>X86-X87</f>
        <v>0</v>
      </c>
      <c r="Y88" s="10">
        <f>Y86-Y87</f>
        <v>0</v>
      </c>
      <c r="AA88" s="10">
        <f t="shared" ref="AA88:BJ88" si="49">AA86-AA87</f>
        <v>0</v>
      </c>
      <c r="AB88" s="10">
        <f t="shared" si="49"/>
        <v>0</v>
      </c>
      <c r="AC88" s="10">
        <f t="shared" si="49"/>
        <v>0</v>
      </c>
      <c r="AD88" s="10">
        <f t="shared" si="49"/>
        <v>0</v>
      </c>
      <c r="AE88" s="10">
        <f t="shared" si="49"/>
        <v>0</v>
      </c>
      <c r="AF88" s="10">
        <f t="shared" si="49"/>
        <v>0</v>
      </c>
      <c r="AG88" s="10">
        <f t="shared" si="49"/>
        <v>0</v>
      </c>
      <c r="AH88" s="10">
        <f t="shared" si="49"/>
        <v>0</v>
      </c>
      <c r="AI88" s="10">
        <f t="shared" si="49"/>
        <v>0</v>
      </c>
      <c r="AJ88" s="10">
        <f t="shared" si="49"/>
        <v>0</v>
      </c>
      <c r="AK88" s="10">
        <f t="shared" si="49"/>
        <v>0</v>
      </c>
      <c r="AL88" s="10">
        <f t="shared" si="49"/>
        <v>0</v>
      </c>
      <c r="AM88" s="10">
        <f t="shared" si="49"/>
        <v>0</v>
      </c>
      <c r="AN88" s="10">
        <f t="shared" si="49"/>
        <v>0</v>
      </c>
      <c r="AO88" s="10">
        <f t="shared" si="49"/>
        <v>0</v>
      </c>
      <c r="AP88" s="10">
        <f t="shared" si="49"/>
        <v>0</v>
      </c>
      <c r="AQ88" s="10">
        <f t="shared" si="49"/>
        <v>0</v>
      </c>
      <c r="AR88" s="10">
        <f t="shared" si="49"/>
        <v>0</v>
      </c>
      <c r="AS88" s="10">
        <f t="shared" si="49"/>
        <v>0</v>
      </c>
      <c r="AT88" s="10">
        <f t="shared" si="49"/>
        <v>0</v>
      </c>
      <c r="AU88" s="10">
        <f t="shared" si="49"/>
        <v>0</v>
      </c>
      <c r="AV88" s="10">
        <f t="shared" si="49"/>
        <v>0</v>
      </c>
      <c r="AW88" s="10">
        <f t="shared" si="49"/>
        <v>0</v>
      </c>
      <c r="AX88" s="10">
        <f t="shared" si="49"/>
        <v>0</v>
      </c>
      <c r="AY88" s="10">
        <f t="shared" si="49"/>
        <v>0</v>
      </c>
      <c r="AZ88" s="10">
        <f t="shared" si="49"/>
        <v>0</v>
      </c>
      <c r="BA88" s="10">
        <f t="shared" si="49"/>
        <v>0</v>
      </c>
      <c r="BB88" s="10">
        <f t="shared" si="49"/>
        <v>0</v>
      </c>
      <c r="BC88" s="10">
        <f t="shared" si="49"/>
        <v>0</v>
      </c>
      <c r="BD88" s="10">
        <f t="shared" si="49"/>
        <v>0</v>
      </c>
      <c r="BE88" s="10">
        <f t="shared" si="49"/>
        <v>0</v>
      </c>
      <c r="BF88" s="10">
        <f t="shared" si="49"/>
        <v>0</v>
      </c>
      <c r="BG88" s="10">
        <f t="shared" si="49"/>
        <v>0</v>
      </c>
      <c r="BH88" s="10">
        <f t="shared" si="49"/>
        <v>0</v>
      </c>
      <c r="BI88" s="10">
        <f t="shared" si="49"/>
        <v>0</v>
      </c>
      <c r="BJ88" s="10">
        <f t="shared" si="49"/>
        <v>0</v>
      </c>
      <c r="BK88" s="115"/>
      <c r="BL88" s="115"/>
      <c r="BM88" s="115"/>
      <c r="BN88" s="115"/>
      <c r="BO88" s="115"/>
      <c r="BP88" s="115"/>
      <c r="BQ88" s="115"/>
      <c r="BR88" s="115"/>
      <c r="BS88" s="115"/>
      <c r="BT88" s="115"/>
      <c r="BU88" s="115"/>
      <c r="BV88" s="115"/>
      <c r="BX88" s="10">
        <f t="shared" ref="BX88:CI88" si="50">BX86-BX87</f>
        <v>0</v>
      </c>
      <c r="BY88" s="10">
        <f t="shared" si="50"/>
        <v>0</v>
      </c>
      <c r="BZ88" s="10">
        <f t="shared" si="50"/>
        <v>0</v>
      </c>
      <c r="CA88" s="10">
        <f t="shared" si="50"/>
        <v>0</v>
      </c>
      <c r="CB88" s="10">
        <f t="shared" si="50"/>
        <v>0</v>
      </c>
      <c r="CC88" s="10">
        <f t="shared" si="50"/>
        <v>0</v>
      </c>
      <c r="CD88" s="10">
        <f t="shared" si="50"/>
        <v>0</v>
      </c>
      <c r="CE88" s="10">
        <f t="shared" si="50"/>
        <v>0</v>
      </c>
      <c r="CF88" s="10">
        <f t="shared" si="50"/>
        <v>0</v>
      </c>
      <c r="CG88" s="10">
        <f t="shared" si="50"/>
        <v>0</v>
      </c>
      <c r="CH88" s="10">
        <f t="shared" si="50"/>
        <v>0</v>
      </c>
      <c r="CI88" s="10">
        <f t="shared" si="50"/>
        <v>0</v>
      </c>
      <c r="CK88" s="11"/>
      <c r="CM88" s="35"/>
    </row>
    <row r="89" spans="4:91" x14ac:dyDescent="0.35">
      <c r="CK89" s="11"/>
      <c r="CM89" s="35"/>
    </row>
    <row r="90" spans="4:91" x14ac:dyDescent="0.35">
      <c r="D90" s="326" t="s">
        <v>2558</v>
      </c>
      <c r="BK90" s="115"/>
      <c r="BL90" s="115"/>
      <c r="BM90" s="115"/>
      <c r="BN90" s="115"/>
      <c r="BO90" s="115"/>
      <c r="BP90" s="115"/>
      <c r="BQ90" s="115"/>
      <c r="BR90" s="115"/>
      <c r="BS90" s="115"/>
      <c r="BT90" s="115"/>
      <c r="BU90" s="115"/>
      <c r="BV90" s="115"/>
      <c r="CK90" s="11"/>
      <c r="CM90" s="35"/>
    </row>
    <row r="91" spans="4:91" x14ac:dyDescent="0.35">
      <c r="D91" t="s">
        <v>2555</v>
      </c>
      <c r="V91" s="10">
        <f>'Cash Flow Summary'!V71</f>
        <v>0</v>
      </c>
      <c r="W91" s="10">
        <f>'Cash Flow Summary'!W71</f>
        <v>0</v>
      </c>
      <c r="X91" s="10">
        <f>'Cash Flow Summary'!X71</f>
        <v>0</v>
      </c>
      <c r="Y91" s="10">
        <f>'Cash Flow Summary'!Y71</f>
        <v>0</v>
      </c>
      <c r="AA91" s="10">
        <f>'Cash Flow Summary'!AA71</f>
        <v>0</v>
      </c>
      <c r="AB91" s="10">
        <f>'Cash Flow Summary'!AB71</f>
        <v>0</v>
      </c>
      <c r="AC91" s="10">
        <f>'Cash Flow Summary'!AC71</f>
        <v>0</v>
      </c>
      <c r="AD91" s="10">
        <f>'Cash Flow Summary'!AD71</f>
        <v>0</v>
      </c>
      <c r="AE91" s="10">
        <f>'Cash Flow Summary'!AE71</f>
        <v>0</v>
      </c>
      <c r="AF91" s="10">
        <f>'Cash Flow Summary'!AF71</f>
        <v>0</v>
      </c>
      <c r="AG91" s="10">
        <f>'Cash Flow Summary'!AG71</f>
        <v>0</v>
      </c>
      <c r="AH91" s="10">
        <f>'Cash Flow Summary'!AH71</f>
        <v>0</v>
      </c>
      <c r="AI91" s="10">
        <f>'Cash Flow Summary'!AI71</f>
        <v>0</v>
      </c>
      <c r="AJ91" s="10">
        <f>'Cash Flow Summary'!AJ71</f>
        <v>0</v>
      </c>
      <c r="AK91" s="10">
        <f>'Cash Flow Summary'!AK71</f>
        <v>0</v>
      </c>
      <c r="AL91" s="10">
        <f>'Cash Flow Summary'!AL71</f>
        <v>0</v>
      </c>
      <c r="AM91" s="10">
        <f>'Cash Flow Summary'!AM71</f>
        <v>0</v>
      </c>
      <c r="AN91" s="10">
        <f>'Cash Flow Summary'!AN71</f>
        <v>0</v>
      </c>
      <c r="AO91" s="10">
        <f>'Cash Flow Summary'!AO71</f>
        <v>0</v>
      </c>
      <c r="AP91" s="10">
        <f>'Cash Flow Summary'!AP71</f>
        <v>0</v>
      </c>
      <c r="AQ91" s="10">
        <f>'Cash Flow Summary'!AQ71</f>
        <v>0</v>
      </c>
      <c r="AR91" s="10">
        <f>'Cash Flow Summary'!AR71</f>
        <v>0</v>
      </c>
      <c r="AS91" s="10">
        <f>'Cash Flow Summary'!AS71</f>
        <v>0</v>
      </c>
      <c r="AT91" s="10">
        <f>'Cash Flow Summary'!AT71</f>
        <v>0</v>
      </c>
      <c r="AU91" s="10">
        <f>'Cash Flow Summary'!AU71</f>
        <v>0</v>
      </c>
      <c r="AV91" s="10">
        <f>'Cash Flow Summary'!AV71</f>
        <v>0</v>
      </c>
      <c r="AW91" s="10">
        <f>'Cash Flow Summary'!AW71</f>
        <v>0</v>
      </c>
      <c r="AX91" s="10">
        <f>'Cash Flow Summary'!AX71</f>
        <v>0</v>
      </c>
      <c r="AY91" s="10">
        <f>'Cash Flow Summary'!AY71</f>
        <v>0</v>
      </c>
      <c r="AZ91" s="10">
        <f>'Cash Flow Summary'!AZ71</f>
        <v>0</v>
      </c>
      <c r="BA91" s="10">
        <f>'Cash Flow Summary'!BA71</f>
        <v>0</v>
      </c>
      <c r="BB91" s="10">
        <f>'Cash Flow Summary'!BB71</f>
        <v>0</v>
      </c>
      <c r="BC91" s="10">
        <f>'Cash Flow Summary'!BC71</f>
        <v>0</v>
      </c>
      <c r="BD91" s="10">
        <f>'Cash Flow Summary'!BD71</f>
        <v>0</v>
      </c>
      <c r="BE91" s="10">
        <f>'Cash Flow Summary'!BE71</f>
        <v>0</v>
      </c>
      <c r="BF91" s="10">
        <f>'Cash Flow Summary'!BF71</f>
        <v>0</v>
      </c>
      <c r="BG91" s="10">
        <f>'Cash Flow Summary'!BG71</f>
        <v>0</v>
      </c>
      <c r="BH91" s="10">
        <f>'Cash Flow Summary'!BH71</f>
        <v>0</v>
      </c>
      <c r="BI91" s="10">
        <f>'Cash Flow Summary'!BI71</f>
        <v>0</v>
      </c>
      <c r="BJ91" s="10">
        <f>'Cash Flow Summary'!BJ71</f>
        <v>0</v>
      </c>
      <c r="BX91" s="10">
        <f>'Cash Flow Summary'!BX71</f>
        <v>0</v>
      </c>
      <c r="BY91" s="10">
        <f>'Cash Flow Summary'!BY71</f>
        <v>0</v>
      </c>
      <c r="BZ91" s="10">
        <f>'Cash Flow Summary'!BZ71</f>
        <v>0</v>
      </c>
      <c r="CA91" s="10">
        <f>'Cash Flow Summary'!CA71</f>
        <v>0</v>
      </c>
      <c r="CB91" s="10">
        <f>'Cash Flow Summary'!CB71</f>
        <v>0</v>
      </c>
      <c r="CC91" s="10">
        <f>'Cash Flow Summary'!CC71</f>
        <v>0</v>
      </c>
      <c r="CD91" s="10">
        <f>'Cash Flow Summary'!CD71</f>
        <v>0</v>
      </c>
      <c r="CE91" s="10">
        <f>'Cash Flow Summary'!CE71</f>
        <v>0</v>
      </c>
      <c r="CF91" s="10">
        <f>'Cash Flow Summary'!CF71</f>
        <v>0</v>
      </c>
      <c r="CG91" s="10">
        <f>'Cash Flow Summary'!CG71</f>
        <v>0</v>
      </c>
      <c r="CH91" s="10">
        <f>'Cash Flow Summary'!CH71</f>
        <v>0</v>
      </c>
      <c r="CI91" s="10">
        <f>'Cash Flow Summary'!CI71</f>
        <v>0</v>
      </c>
      <c r="CK91" s="11"/>
      <c r="CM91" s="35"/>
    </row>
    <row r="92" spans="4:91" x14ac:dyDescent="0.35">
      <c r="D92" s="262" t="s">
        <v>2556</v>
      </c>
      <c r="V92" s="10">
        <f>V42</f>
        <v>0</v>
      </c>
      <c r="W92" s="10">
        <f>W42</f>
        <v>0</v>
      </c>
      <c r="X92" s="10">
        <f>X42</f>
        <v>0</v>
      </c>
      <c r="Y92" s="10">
        <f>Y42</f>
        <v>0</v>
      </c>
      <c r="AA92" s="10">
        <f t="shared" ref="AA92:BJ92" si="51">AA42</f>
        <v>0</v>
      </c>
      <c r="AB92" s="10">
        <f t="shared" si="51"/>
        <v>0</v>
      </c>
      <c r="AC92" s="10">
        <f t="shared" si="51"/>
        <v>0</v>
      </c>
      <c r="AD92" s="10">
        <f t="shared" si="51"/>
        <v>0</v>
      </c>
      <c r="AE92" s="10">
        <f t="shared" si="51"/>
        <v>0</v>
      </c>
      <c r="AF92" s="10">
        <f t="shared" si="51"/>
        <v>0</v>
      </c>
      <c r="AG92" s="10">
        <f t="shared" si="51"/>
        <v>0</v>
      </c>
      <c r="AH92" s="10">
        <f t="shared" si="51"/>
        <v>0</v>
      </c>
      <c r="AI92" s="10">
        <f t="shared" si="51"/>
        <v>0</v>
      </c>
      <c r="AJ92" s="10">
        <f t="shared" si="51"/>
        <v>0</v>
      </c>
      <c r="AK92" s="10">
        <f t="shared" si="51"/>
        <v>0</v>
      </c>
      <c r="AL92" s="10">
        <f t="shared" si="51"/>
        <v>0</v>
      </c>
      <c r="AM92" s="10">
        <f t="shared" si="51"/>
        <v>0</v>
      </c>
      <c r="AN92" s="10">
        <f t="shared" si="51"/>
        <v>0</v>
      </c>
      <c r="AO92" s="10">
        <f t="shared" si="51"/>
        <v>0</v>
      </c>
      <c r="AP92" s="10">
        <f t="shared" si="51"/>
        <v>0</v>
      </c>
      <c r="AQ92" s="10">
        <f t="shared" si="51"/>
        <v>0</v>
      </c>
      <c r="AR92" s="10">
        <f t="shared" si="51"/>
        <v>0</v>
      </c>
      <c r="AS92" s="10">
        <f t="shared" si="51"/>
        <v>0</v>
      </c>
      <c r="AT92" s="10">
        <f t="shared" si="51"/>
        <v>0</v>
      </c>
      <c r="AU92" s="10">
        <f t="shared" si="51"/>
        <v>0</v>
      </c>
      <c r="AV92" s="10">
        <f t="shared" si="51"/>
        <v>0</v>
      </c>
      <c r="AW92" s="10">
        <f t="shared" si="51"/>
        <v>0</v>
      </c>
      <c r="AX92" s="10">
        <f t="shared" si="51"/>
        <v>0</v>
      </c>
      <c r="AY92" s="10">
        <f t="shared" si="51"/>
        <v>0</v>
      </c>
      <c r="AZ92" s="10">
        <f t="shared" si="51"/>
        <v>0</v>
      </c>
      <c r="BA92" s="10">
        <f t="shared" si="51"/>
        <v>0</v>
      </c>
      <c r="BB92" s="10">
        <f t="shared" si="51"/>
        <v>0</v>
      </c>
      <c r="BC92" s="10">
        <f t="shared" si="51"/>
        <v>0</v>
      </c>
      <c r="BD92" s="10">
        <f t="shared" si="51"/>
        <v>0</v>
      </c>
      <c r="BE92" s="10">
        <f t="shared" si="51"/>
        <v>0</v>
      </c>
      <c r="BF92" s="10">
        <f t="shared" si="51"/>
        <v>0</v>
      </c>
      <c r="BG92" s="10">
        <f t="shared" si="51"/>
        <v>0</v>
      </c>
      <c r="BH92" s="10">
        <f t="shared" si="51"/>
        <v>0</v>
      </c>
      <c r="BI92" s="10">
        <f t="shared" si="51"/>
        <v>0</v>
      </c>
      <c r="BJ92" s="10">
        <f t="shared" si="51"/>
        <v>0</v>
      </c>
      <c r="BK92" s="115"/>
      <c r="BL92" s="115"/>
      <c r="BM92" s="115"/>
      <c r="BN92" s="115"/>
      <c r="BO92" s="115"/>
      <c r="BP92" s="115"/>
      <c r="BQ92" s="115"/>
      <c r="BR92" s="115"/>
      <c r="BS92" s="115"/>
      <c r="BT92" s="115"/>
      <c r="BU92" s="115"/>
      <c r="BV92" s="115"/>
      <c r="BX92" s="10">
        <f t="shared" ref="BX92:CI92" si="52">BX42</f>
        <v>0</v>
      </c>
      <c r="BY92" s="10">
        <f t="shared" si="52"/>
        <v>0</v>
      </c>
      <c r="BZ92" s="10">
        <f t="shared" si="52"/>
        <v>0</v>
      </c>
      <c r="CA92" s="10">
        <f t="shared" si="52"/>
        <v>0</v>
      </c>
      <c r="CB92" s="10">
        <f t="shared" si="52"/>
        <v>0</v>
      </c>
      <c r="CC92" s="10">
        <f t="shared" si="52"/>
        <v>0</v>
      </c>
      <c r="CD92" s="10">
        <f t="shared" si="52"/>
        <v>0</v>
      </c>
      <c r="CE92" s="10">
        <f t="shared" si="52"/>
        <v>0</v>
      </c>
      <c r="CF92" s="10">
        <f t="shared" si="52"/>
        <v>0</v>
      </c>
      <c r="CG92" s="10">
        <f t="shared" si="52"/>
        <v>0</v>
      </c>
      <c r="CH92" s="10">
        <f t="shared" si="52"/>
        <v>0</v>
      </c>
      <c r="CI92" s="10">
        <f t="shared" si="52"/>
        <v>0</v>
      </c>
      <c r="CK92" s="11"/>
      <c r="CM92" s="35"/>
    </row>
    <row r="93" spans="4:91" x14ac:dyDescent="0.35">
      <c r="D93" s="5" t="s">
        <v>2557</v>
      </c>
      <c r="V93" s="10">
        <f>V91-V92</f>
        <v>0</v>
      </c>
      <c r="W93" s="10">
        <f>W91-W92</f>
        <v>0</v>
      </c>
      <c r="X93" s="10">
        <f>X91-X92</f>
        <v>0</v>
      </c>
      <c r="Y93" s="10">
        <f>Y91-Y92</f>
        <v>0</v>
      </c>
      <c r="AA93" s="10">
        <f t="shared" ref="AA93:BJ93" si="53">AA91-AA92</f>
        <v>0</v>
      </c>
      <c r="AB93" s="10">
        <f t="shared" si="53"/>
        <v>0</v>
      </c>
      <c r="AC93" s="10">
        <f t="shared" si="53"/>
        <v>0</v>
      </c>
      <c r="AD93" s="10">
        <f t="shared" si="53"/>
        <v>0</v>
      </c>
      <c r="AE93" s="10">
        <f t="shared" si="53"/>
        <v>0</v>
      </c>
      <c r="AF93" s="10">
        <f t="shared" si="53"/>
        <v>0</v>
      </c>
      <c r="AG93" s="10">
        <f t="shared" si="53"/>
        <v>0</v>
      </c>
      <c r="AH93" s="10">
        <f t="shared" si="53"/>
        <v>0</v>
      </c>
      <c r="AI93" s="10">
        <f t="shared" si="53"/>
        <v>0</v>
      </c>
      <c r="AJ93" s="10">
        <f t="shared" si="53"/>
        <v>0</v>
      </c>
      <c r="AK93" s="10">
        <f t="shared" si="53"/>
        <v>0</v>
      </c>
      <c r="AL93" s="10">
        <f t="shared" si="53"/>
        <v>0</v>
      </c>
      <c r="AM93" s="10">
        <f t="shared" si="53"/>
        <v>0</v>
      </c>
      <c r="AN93" s="10">
        <f t="shared" si="53"/>
        <v>0</v>
      </c>
      <c r="AO93" s="10">
        <f t="shared" si="53"/>
        <v>0</v>
      </c>
      <c r="AP93" s="10">
        <f t="shared" si="53"/>
        <v>0</v>
      </c>
      <c r="AQ93" s="10">
        <f t="shared" si="53"/>
        <v>0</v>
      </c>
      <c r="AR93" s="10">
        <f t="shared" si="53"/>
        <v>0</v>
      </c>
      <c r="AS93" s="10">
        <f t="shared" si="53"/>
        <v>0</v>
      </c>
      <c r="AT93" s="10">
        <f t="shared" si="53"/>
        <v>0</v>
      </c>
      <c r="AU93" s="10">
        <f t="shared" si="53"/>
        <v>0</v>
      </c>
      <c r="AV93" s="10">
        <f t="shared" si="53"/>
        <v>0</v>
      </c>
      <c r="AW93" s="10">
        <f t="shared" si="53"/>
        <v>0</v>
      </c>
      <c r="AX93" s="10">
        <f t="shared" si="53"/>
        <v>0</v>
      </c>
      <c r="AY93" s="10">
        <f t="shared" si="53"/>
        <v>0</v>
      </c>
      <c r="AZ93" s="10">
        <f t="shared" si="53"/>
        <v>0</v>
      </c>
      <c r="BA93" s="10">
        <f t="shared" si="53"/>
        <v>0</v>
      </c>
      <c r="BB93" s="10">
        <f t="shared" si="53"/>
        <v>0</v>
      </c>
      <c r="BC93" s="10">
        <f t="shared" si="53"/>
        <v>0</v>
      </c>
      <c r="BD93" s="10">
        <f t="shared" si="53"/>
        <v>0</v>
      </c>
      <c r="BE93" s="10">
        <f t="shared" si="53"/>
        <v>0</v>
      </c>
      <c r="BF93" s="10">
        <f t="shared" si="53"/>
        <v>0</v>
      </c>
      <c r="BG93" s="10">
        <f t="shared" si="53"/>
        <v>0</v>
      </c>
      <c r="BH93" s="10">
        <f t="shared" si="53"/>
        <v>0</v>
      </c>
      <c r="BI93" s="10">
        <f t="shared" si="53"/>
        <v>0</v>
      </c>
      <c r="BJ93" s="10">
        <f t="shared" si="53"/>
        <v>0</v>
      </c>
      <c r="BX93" s="10">
        <f t="shared" ref="BX93:CI93" si="54">BX91-BX92</f>
        <v>0</v>
      </c>
      <c r="BY93" s="10">
        <f t="shared" si="54"/>
        <v>0</v>
      </c>
      <c r="BZ93" s="10">
        <f t="shared" si="54"/>
        <v>0</v>
      </c>
      <c r="CA93" s="10">
        <f t="shared" si="54"/>
        <v>0</v>
      </c>
      <c r="CB93" s="10">
        <f t="shared" si="54"/>
        <v>0</v>
      </c>
      <c r="CC93" s="10">
        <f t="shared" si="54"/>
        <v>0</v>
      </c>
      <c r="CD93" s="10">
        <f t="shared" si="54"/>
        <v>0</v>
      </c>
      <c r="CE93" s="10">
        <f t="shared" si="54"/>
        <v>0</v>
      </c>
      <c r="CF93" s="10">
        <f t="shared" si="54"/>
        <v>0</v>
      </c>
      <c r="CG93" s="10">
        <f t="shared" si="54"/>
        <v>0</v>
      </c>
      <c r="CH93" s="10">
        <f t="shared" si="54"/>
        <v>0</v>
      </c>
      <c r="CI93" s="10">
        <f t="shared" si="54"/>
        <v>0</v>
      </c>
      <c r="CK93" s="11"/>
      <c r="CM93" s="35"/>
    </row>
    <row r="94" spans="4:91" x14ac:dyDescent="0.35">
      <c r="BK94" s="115"/>
      <c r="BL94" s="115"/>
      <c r="BM94" s="115"/>
      <c r="BN94" s="115"/>
      <c r="BO94" s="115"/>
      <c r="BP94" s="115"/>
      <c r="BQ94" s="115"/>
      <c r="BR94" s="115"/>
      <c r="BS94" s="115"/>
      <c r="BT94" s="115"/>
      <c r="BU94" s="115"/>
      <c r="BV94" s="115"/>
      <c r="CK94" s="11"/>
      <c r="CM94" s="35"/>
    </row>
    <row r="95" spans="4:91" x14ac:dyDescent="0.35">
      <c r="D95" s="326" t="s">
        <v>2559</v>
      </c>
      <c r="CK95" s="11"/>
      <c r="CM95" s="35"/>
    </row>
    <row r="96" spans="4:91" x14ac:dyDescent="0.35">
      <c r="D96" t="s">
        <v>2555</v>
      </c>
      <c r="V96" s="10">
        <f>'Cash Flow Summary'!V73*-1</f>
        <v>0</v>
      </c>
      <c r="W96" s="10">
        <f>'Cash Flow Summary'!W73*-1</f>
        <v>0</v>
      </c>
      <c r="X96" s="10">
        <f>'Cash Flow Summary'!X73*-1</f>
        <v>0</v>
      </c>
      <c r="Y96" s="10">
        <f>'Cash Flow Summary'!Y73*-1</f>
        <v>0</v>
      </c>
      <c r="AA96" s="10">
        <f>'Cash Flow Summary'!AA73*-1</f>
        <v>0</v>
      </c>
      <c r="AB96" s="10">
        <f>'Cash Flow Summary'!AB73*-1</f>
        <v>0</v>
      </c>
      <c r="AC96" s="10">
        <f>'Cash Flow Summary'!AC73*-1</f>
        <v>0</v>
      </c>
      <c r="AD96" s="10">
        <f>'Cash Flow Summary'!AD73*-1</f>
        <v>0</v>
      </c>
      <c r="AE96" s="10">
        <f>'Cash Flow Summary'!AE73*-1</f>
        <v>0</v>
      </c>
      <c r="AF96" s="10">
        <f>'Cash Flow Summary'!AF73*-1</f>
        <v>0</v>
      </c>
      <c r="AG96" s="10">
        <f>'Cash Flow Summary'!AG73*-1</f>
        <v>0</v>
      </c>
      <c r="AH96" s="10">
        <f>'Cash Flow Summary'!AH73*-1</f>
        <v>0</v>
      </c>
      <c r="AI96" s="10">
        <f>'Cash Flow Summary'!AI73*-1</f>
        <v>0</v>
      </c>
      <c r="AJ96" s="10">
        <f>'Cash Flow Summary'!AJ73*-1</f>
        <v>0</v>
      </c>
      <c r="AK96" s="10">
        <f>'Cash Flow Summary'!AK73*-1</f>
        <v>0</v>
      </c>
      <c r="AL96" s="10">
        <f>'Cash Flow Summary'!AL73*-1</f>
        <v>0</v>
      </c>
      <c r="AM96" s="10">
        <f>'Cash Flow Summary'!AM73*-1</f>
        <v>0</v>
      </c>
      <c r="AN96" s="10">
        <f>'Cash Flow Summary'!AN73*-1</f>
        <v>0</v>
      </c>
      <c r="AO96" s="10">
        <f>'Cash Flow Summary'!AO73*-1</f>
        <v>0</v>
      </c>
      <c r="AP96" s="10">
        <f>'Cash Flow Summary'!AP73*-1</f>
        <v>0</v>
      </c>
      <c r="AQ96" s="10">
        <f>'Cash Flow Summary'!AQ73*-1</f>
        <v>0</v>
      </c>
      <c r="AR96" s="10">
        <f>'Cash Flow Summary'!AR73*-1</f>
        <v>0</v>
      </c>
      <c r="AS96" s="10">
        <f>'Cash Flow Summary'!AS73*-1</f>
        <v>0</v>
      </c>
      <c r="AT96" s="10">
        <f>'Cash Flow Summary'!AT73*-1</f>
        <v>0</v>
      </c>
      <c r="AU96" s="10">
        <f>'Cash Flow Summary'!AU73*-1</f>
        <v>0</v>
      </c>
      <c r="AV96" s="10">
        <f>'Cash Flow Summary'!AV73*-1</f>
        <v>0</v>
      </c>
      <c r="AW96" s="10">
        <f>'Cash Flow Summary'!AW73*-1</f>
        <v>0</v>
      </c>
      <c r="AX96" s="10">
        <f>'Cash Flow Summary'!AX73*-1</f>
        <v>0</v>
      </c>
      <c r="AY96" s="10">
        <f>'Cash Flow Summary'!AY73*-1</f>
        <v>0</v>
      </c>
      <c r="AZ96" s="10">
        <f>'Cash Flow Summary'!AZ73*-1</f>
        <v>0</v>
      </c>
      <c r="BA96" s="10">
        <f>'Cash Flow Summary'!BA73*-1</f>
        <v>0</v>
      </c>
      <c r="BB96" s="10">
        <f>'Cash Flow Summary'!BB73*-1</f>
        <v>0</v>
      </c>
      <c r="BC96" s="10">
        <f>'Cash Flow Summary'!BC73*-1</f>
        <v>0</v>
      </c>
      <c r="BD96" s="10">
        <f>'Cash Flow Summary'!BD73*-1</f>
        <v>0</v>
      </c>
      <c r="BE96" s="10">
        <f>'Cash Flow Summary'!BE73*-1</f>
        <v>0</v>
      </c>
      <c r="BF96" s="10">
        <f>'Cash Flow Summary'!BF73*-1</f>
        <v>0</v>
      </c>
      <c r="BG96" s="10">
        <f>'Cash Flow Summary'!BG73*-1</f>
        <v>0</v>
      </c>
      <c r="BH96" s="10">
        <f>'Cash Flow Summary'!BH73*-1</f>
        <v>0</v>
      </c>
      <c r="BI96" s="10">
        <f>'Cash Flow Summary'!BI73*-1</f>
        <v>0</v>
      </c>
      <c r="BJ96" s="10">
        <f>'Cash Flow Summary'!BJ73*-1</f>
        <v>0</v>
      </c>
      <c r="BK96" s="115"/>
      <c r="BL96" s="115"/>
      <c r="BM96" s="115"/>
      <c r="BN96" s="115"/>
      <c r="BO96" s="115"/>
      <c r="BP96" s="115"/>
      <c r="BQ96" s="115"/>
      <c r="BR96" s="115"/>
      <c r="BS96" s="115"/>
      <c r="BT96" s="115"/>
      <c r="BU96" s="115"/>
      <c r="BV96" s="115"/>
      <c r="BX96" s="10">
        <f>'Cash Flow Summary'!BX73*-1</f>
        <v>0</v>
      </c>
      <c r="BY96" s="10">
        <f>'Cash Flow Summary'!BY73*-1</f>
        <v>0</v>
      </c>
      <c r="BZ96" s="10">
        <f>'Cash Flow Summary'!BZ73*-1</f>
        <v>0</v>
      </c>
      <c r="CA96" s="10">
        <f>'Cash Flow Summary'!CA73*-1</f>
        <v>0</v>
      </c>
      <c r="CB96" s="10">
        <f>'Cash Flow Summary'!CB73*-1</f>
        <v>0</v>
      </c>
      <c r="CC96" s="10">
        <f>'Cash Flow Summary'!CC73*-1</f>
        <v>0</v>
      </c>
      <c r="CD96" s="10">
        <f>'Cash Flow Summary'!CD73*-1</f>
        <v>0</v>
      </c>
      <c r="CE96" s="10">
        <f>'Cash Flow Summary'!CE73*-1</f>
        <v>0</v>
      </c>
      <c r="CF96" s="10">
        <f>'Cash Flow Summary'!CF73*-1</f>
        <v>0</v>
      </c>
      <c r="CG96" s="10">
        <f>'Cash Flow Summary'!CG73*-1</f>
        <v>0</v>
      </c>
      <c r="CH96" s="10">
        <f>'Cash Flow Summary'!CH73*-1</f>
        <v>0</v>
      </c>
      <c r="CI96" s="10">
        <f>'Cash Flow Summary'!CI73*-1</f>
        <v>0</v>
      </c>
      <c r="CK96" s="11"/>
      <c r="CM96" s="35"/>
    </row>
    <row r="97" spans="4:91" x14ac:dyDescent="0.35">
      <c r="D97" s="262" t="s">
        <v>2556</v>
      </c>
      <c r="V97" s="10">
        <f>V46+V47</f>
        <v>0</v>
      </c>
      <c r="W97" s="10">
        <f>W46+W47</f>
        <v>0</v>
      </c>
      <c r="X97" s="10">
        <f>X46+X47</f>
        <v>0</v>
      </c>
      <c r="Y97" s="10">
        <f>Y46+Y47</f>
        <v>0</v>
      </c>
      <c r="AA97" s="10">
        <f t="shared" ref="AA97:BJ97" si="55">AA46+AA47</f>
        <v>0</v>
      </c>
      <c r="AB97" s="10">
        <f t="shared" si="55"/>
        <v>0</v>
      </c>
      <c r="AC97" s="10">
        <f t="shared" si="55"/>
        <v>0</v>
      </c>
      <c r="AD97" s="10">
        <f t="shared" si="55"/>
        <v>0</v>
      </c>
      <c r="AE97" s="10">
        <f t="shared" si="55"/>
        <v>0</v>
      </c>
      <c r="AF97" s="10">
        <f t="shared" si="55"/>
        <v>0</v>
      </c>
      <c r="AG97" s="10">
        <f t="shared" si="55"/>
        <v>0</v>
      </c>
      <c r="AH97" s="10">
        <f t="shared" si="55"/>
        <v>0</v>
      </c>
      <c r="AI97" s="10">
        <f t="shared" si="55"/>
        <v>0</v>
      </c>
      <c r="AJ97" s="10">
        <f t="shared" si="55"/>
        <v>0</v>
      </c>
      <c r="AK97" s="10">
        <f t="shared" si="55"/>
        <v>0</v>
      </c>
      <c r="AL97" s="10">
        <f t="shared" si="55"/>
        <v>0</v>
      </c>
      <c r="AM97" s="10">
        <f t="shared" si="55"/>
        <v>0</v>
      </c>
      <c r="AN97" s="10">
        <f t="shared" si="55"/>
        <v>0</v>
      </c>
      <c r="AO97" s="10">
        <f t="shared" si="55"/>
        <v>0</v>
      </c>
      <c r="AP97" s="10">
        <f t="shared" si="55"/>
        <v>0</v>
      </c>
      <c r="AQ97" s="10">
        <f t="shared" si="55"/>
        <v>0</v>
      </c>
      <c r="AR97" s="10">
        <f t="shared" si="55"/>
        <v>0</v>
      </c>
      <c r="AS97" s="10">
        <f t="shared" si="55"/>
        <v>0</v>
      </c>
      <c r="AT97" s="10">
        <f t="shared" si="55"/>
        <v>0</v>
      </c>
      <c r="AU97" s="10">
        <f t="shared" si="55"/>
        <v>0</v>
      </c>
      <c r="AV97" s="10">
        <f t="shared" si="55"/>
        <v>0</v>
      </c>
      <c r="AW97" s="10">
        <f t="shared" si="55"/>
        <v>0</v>
      </c>
      <c r="AX97" s="10">
        <f t="shared" si="55"/>
        <v>0</v>
      </c>
      <c r="AY97" s="10">
        <f t="shared" si="55"/>
        <v>0</v>
      </c>
      <c r="AZ97" s="10">
        <f t="shared" si="55"/>
        <v>0</v>
      </c>
      <c r="BA97" s="10">
        <f t="shared" si="55"/>
        <v>0</v>
      </c>
      <c r="BB97" s="10">
        <f t="shared" si="55"/>
        <v>0</v>
      </c>
      <c r="BC97" s="10">
        <f t="shared" si="55"/>
        <v>0</v>
      </c>
      <c r="BD97" s="10">
        <f t="shared" si="55"/>
        <v>0</v>
      </c>
      <c r="BE97" s="10">
        <f t="shared" si="55"/>
        <v>0</v>
      </c>
      <c r="BF97" s="10">
        <f t="shared" si="55"/>
        <v>0</v>
      </c>
      <c r="BG97" s="10">
        <f t="shared" si="55"/>
        <v>0</v>
      </c>
      <c r="BH97" s="10">
        <f t="shared" si="55"/>
        <v>0</v>
      </c>
      <c r="BI97" s="10">
        <f t="shared" si="55"/>
        <v>0</v>
      </c>
      <c r="BJ97" s="10">
        <f t="shared" si="55"/>
        <v>0</v>
      </c>
      <c r="BX97" s="10">
        <f t="shared" ref="BX97:CI97" si="56">BX46+BX47</f>
        <v>0</v>
      </c>
      <c r="BY97" s="10">
        <f t="shared" si="56"/>
        <v>0</v>
      </c>
      <c r="BZ97" s="10">
        <f t="shared" si="56"/>
        <v>0</v>
      </c>
      <c r="CA97" s="10">
        <f t="shared" si="56"/>
        <v>0</v>
      </c>
      <c r="CB97" s="10">
        <f t="shared" si="56"/>
        <v>0</v>
      </c>
      <c r="CC97" s="10">
        <f t="shared" si="56"/>
        <v>0</v>
      </c>
      <c r="CD97" s="10">
        <f t="shared" si="56"/>
        <v>0</v>
      </c>
      <c r="CE97" s="10">
        <f t="shared" si="56"/>
        <v>0</v>
      </c>
      <c r="CF97" s="10">
        <f t="shared" si="56"/>
        <v>0</v>
      </c>
      <c r="CG97" s="10">
        <f t="shared" si="56"/>
        <v>0</v>
      </c>
      <c r="CH97" s="10">
        <f t="shared" si="56"/>
        <v>0</v>
      </c>
      <c r="CI97" s="10">
        <f t="shared" si="56"/>
        <v>0</v>
      </c>
      <c r="CK97" s="11"/>
      <c r="CM97" s="35"/>
    </row>
    <row r="98" spans="4:91" x14ac:dyDescent="0.35">
      <c r="D98" s="5" t="s">
        <v>2557</v>
      </c>
      <c r="V98" s="10">
        <f>V96-V97</f>
        <v>0</v>
      </c>
      <c r="W98" s="10">
        <f>W96-W97</f>
        <v>0</v>
      </c>
      <c r="X98" s="10">
        <f>X96-X97</f>
        <v>0</v>
      </c>
      <c r="Y98" s="10">
        <f>Y96-Y97</f>
        <v>0</v>
      </c>
      <c r="AA98" s="10">
        <f t="shared" ref="AA98:BJ98" si="57">AA96-AA97</f>
        <v>0</v>
      </c>
      <c r="AB98" s="10">
        <f t="shared" si="57"/>
        <v>0</v>
      </c>
      <c r="AC98" s="10">
        <f t="shared" si="57"/>
        <v>0</v>
      </c>
      <c r="AD98" s="10">
        <f t="shared" si="57"/>
        <v>0</v>
      </c>
      <c r="AE98" s="10">
        <f t="shared" si="57"/>
        <v>0</v>
      </c>
      <c r="AF98" s="10">
        <f t="shared" si="57"/>
        <v>0</v>
      </c>
      <c r="AG98" s="10">
        <f t="shared" si="57"/>
        <v>0</v>
      </c>
      <c r="AH98" s="10">
        <f t="shared" si="57"/>
        <v>0</v>
      </c>
      <c r="AI98" s="10">
        <f t="shared" si="57"/>
        <v>0</v>
      </c>
      <c r="AJ98" s="10">
        <f t="shared" si="57"/>
        <v>0</v>
      </c>
      <c r="AK98" s="10">
        <f t="shared" si="57"/>
        <v>0</v>
      </c>
      <c r="AL98" s="10">
        <f t="shared" si="57"/>
        <v>0</v>
      </c>
      <c r="AM98" s="10">
        <f t="shared" si="57"/>
        <v>0</v>
      </c>
      <c r="AN98" s="10">
        <f t="shared" si="57"/>
        <v>0</v>
      </c>
      <c r="AO98" s="10">
        <f t="shared" si="57"/>
        <v>0</v>
      </c>
      <c r="AP98" s="10">
        <f t="shared" si="57"/>
        <v>0</v>
      </c>
      <c r="AQ98" s="10">
        <f t="shared" si="57"/>
        <v>0</v>
      </c>
      <c r="AR98" s="10">
        <f t="shared" si="57"/>
        <v>0</v>
      </c>
      <c r="AS98" s="10">
        <f t="shared" si="57"/>
        <v>0</v>
      </c>
      <c r="AT98" s="10">
        <f t="shared" si="57"/>
        <v>0</v>
      </c>
      <c r="AU98" s="10">
        <f t="shared" si="57"/>
        <v>0</v>
      </c>
      <c r="AV98" s="10">
        <f t="shared" si="57"/>
        <v>0</v>
      </c>
      <c r="AW98" s="10">
        <f t="shared" si="57"/>
        <v>0</v>
      </c>
      <c r="AX98" s="10">
        <f t="shared" si="57"/>
        <v>0</v>
      </c>
      <c r="AY98" s="10">
        <f t="shared" si="57"/>
        <v>0</v>
      </c>
      <c r="AZ98" s="10">
        <f t="shared" si="57"/>
        <v>0</v>
      </c>
      <c r="BA98" s="10">
        <f t="shared" si="57"/>
        <v>0</v>
      </c>
      <c r="BB98" s="10">
        <f t="shared" si="57"/>
        <v>0</v>
      </c>
      <c r="BC98" s="10">
        <f t="shared" si="57"/>
        <v>0</v>
      </c>
      <c r="BD98" s="10">
        <f t="shared" si="57"/>
        <v>0</v>
      </c>
      <c r="BE98" s="10">
        <f t="shared" si="57"/>
        <v>0</v>
      </c>
      <c r="BF98" s="10">
        <f t="shared" si="57"/>
        <v>0</v>
      </c>
      <c r="BG98" s="10">
        <f t="shared" si="57"/>
        <v>0</v>
      </c>
      <c r="BH98" s="10">
        <f t="shared" si="57"/>
        <v>0</v>
      </c>
      <c r="BI98" s="10">
        <f t="shared" si="57"/>
        <v>0</v>
      </c>
      <c r="BJ98" s="10">
        <f t="shared" si="57"/>
        <v>0</v>
      </c>
      <c r="BK98" s="115"/>
      <c r="BL98" s="115"/>
      <c r="BM98" s="115"/>
      <c r="BN98" s="115"/>
      <c r="BO98" s="115"/>
      <c r="BP98" s="115"/>
      <c r="BQ98" s="115"/>
      <c r="BR98" s="115"/>
      <c r="BS98" s="115"/>
      <c r="BT98" s="115"/>
      <c r="BU98" s="115"/>
      <c r="BV98" s="115"/>
      <c r="BX98" s="10">
        <f t="shared" ref="BX98:CI98" si="58">BX96-BX97</f>
        <v>0</v>
      </c>
      <c r="BY98" s="10">
        <f t="shared" si="58"/>
        <v>0</v>
      </c>
      <c r="BZ98" s="10">
        <f t="shared" si="58"/>
        <v>0</v>
      </c>
      <c r="CA98" s="10">
        <f t="shared" si="58"/>
        <v>0</v>
      </c>
      <c r="CB98" s="10">
        <f t="shared" si="58"/>
        <v>0</v>
      </c>
      <c r="CC98" s="10">
        <f t="shared" si="58"/>
        <v>0</v>
      </c>
      <c r="CD98" s="10">
        <f t="shared" si="58"/>
        <v>0</v>
      </c>
      <c r="CE98" s="10">
        <f t="shared" si="58"/>
        <v>0</v>
      </c>
      <c r="CF98" s="10">
        <f t="shared" si="58"/>
        <v>0</v>
      </c>
      <c r="CG98" s="10">
        <f t="shared" si="58"/>
        <v>0</v>
      </c>
      <c r="CH98" s="10">
        <f t="shared" si="58"/>
        <v>0</v>
      </c>
      <c r="CI98" s="10">
        <f t="shared" si="58"/>
        <v>0</v>
      </c>
      <c r="CK98" s="11"/>
      <c r="CM98" s="35"/>
    </row>
    <row r="99" spans="4:91" x14ac:dyDescent="0.35">
      <c r="CK99" s="11"/>
      <c r="CM99" s="35"/>
    </row>
    <row r="100" spans="4:91" x14ac:dyDescent="0.35">
      <c r="D100" s="326" t="s">
        <v>2560</v>
      </c>
      <c r="BK100" s="115"/>
      <c r="BL100" s="115"/>
      <c r="BM100" s="115"/>
      <c r="BN100" s="115"/>
      <c r="BO100" s="115"/>
      <c r="BP100" s="115"/>
      <c r="BQ100" s="115"/>
      <c r="BR100" s="115"/>
      <c r="BS100" s="115"/>
      <c r="BT100" s="115"/>
      <c r="BU100" s="115"/>
      <c r="BV100" s="115"/>
      <c r="CK100" s="11"/>
      <c r="CM100" s="35"/>
    </row>
    <row r="101" spans="4:91" x14ac:dyDescent="0.35">
      <c r="D101" t="s">
        <v>2555</v>
      </c>
      <c r="V101" s="10">
        <f>('Cash Flow Summary'!V82+'Cash Flow Summary'!V85)*-1</f>
        <v>0</v>
      </c>
      <c r="W101" s="10">
        <f>('Cash Flow Summary'!W82+'Cash Flow Summary'!W85)*-1</f>
        <v>0</v>
      </c>
      <c r="X101" s="10">
        <f>('Cash Flow Summary'!X82+'Cash Flow Summary'!X85)*-1</f>
        <v>0</v>
      </c>
      <c r="Y101" s="10">
        <f>('Cash Flow Summary'!Y82+'Cash Flow Summary'!Y85)*-1</f>
        <v>0</v>
      </c>
      <c r="AA101" s="10">
        <f>('Cash Flow Summary'!AA82+'Cash Flow Summary'!AA85)*-1</f>
        <v>0</v>
      </c>
      <c r="AB101" s="10">
        <f>('Cash Flow Summary'!AB82+'Cash Flow Summary'!AB85)*-1</f>
        <v>0</v>
      </c>
      <c r="AC101" s="10">
        <f>('Cash Flow Summary'!AC82+'Cash Flow Summary'!AC85)*-1</f>
        <v>0</v>
      </c>
      <c r="AD101" s="10">
        <f>('Cash Flow Summary'!AD82+'Cash Flow Summary'!AD85)*-1</f>
        <v>0</v>
      </c>
      <c r="AE101" s="10">
        <f>('Cash Flow Summary'!AE82+'Cash Flow Summary'!AE85)*-1</f>
        <v>0</v>
      </c>
      <c r="AF101" s="10">
        <f>('Cash Flow Summary'!AF82+'Cash Flow Summary'!AF85)*-1</f>
        <v>0</v>
      </c>
      <c r="AG101" s="10">
        <f>('Cash Flow Summary'!AG82+'Cash Flow Summary'!AG85)*-1</f>
        <v>0</v>
      </c>
      <c r="AH101" s="10">
        <f>('Cash Flow Summary'!AH82+'Cash Flow Summary'!AH85)*-1</f>
        <v>0</v>
      </c>
      <c r="AI101" s="10">
        <f>('Cash Flow Summary'!AI82+'Cash Flow Summary'!AI85)*-1</f>
        <v>0</v>
      </c>
      <c r="AJ101" s="10">
        <f>('Cash Flow Summary'!AJ82+'Cash Flow Summary'!AJ85)*-1</f>
        <v>0</v>
      </c>
      <c r="AK101" s="10">
        <f>('Cash Flow Summary'!AK82+'Cash Flow Summary'!AK85)*-1</f>
        <v>0</v>
      </c>
      <c r="AL101" s="10">
        <f>('Cash Flow Summary'!AL82+'Cash Flow Summary'!AL85)*-1</f>
        <v>0</v>
      </c>
      <c r="AM101" s="10">
        <f>('Cash Flow Summary'!AM82+'Cash Flow Summary'!AM85)*-1</f>
        <v>0</v>
      </c>
      <c r="AN101" s="10">
        <f>('Cash Flow Summary'!AN82+'Cash Flow Summary'!AN85)*-1</f>
        <v>0</v>
      </c>
      <c r="AO101" s="10">
        <f>('Cash Flow Summary'!AO82+'Cash Flow Summary'!AO85)*-1</f>
        <v>0</v>
      </c>
      <c r="AP101" s="10">
        <f>('Cash Flow Summary'!AP82+'Cash Flow Summary'!AP85)*-1</f>
        <v>0</v>
      </c>
      <c r="AQ101" s="10">
        <f>('Cash Flow Summary'!AQ82+'Cash Flow Summary'!AQ85)*-1</f>
        <v>0</v>
      </c>
      <c r="AR101" s="10">
        <f>('Cash Flow Summary'!AR82+'Cash Flow Summary'!AR85)*-1</f>
        <v>0</v>
      </c>
      <c r="AS101" s="10">
        <f>('Cash Flow Summary'!AS82+'Cash Flow Summary'!AS85)*-1</f>
        <v>0</v>
      </c>
      <c r="AT101" s="10">
        <f>('Cash Flow Summary'!AT82+'Cash Flow Summary'!AT85)*-1</f>
        <v>0</v>
      </c>
      <c r="AU101" s="10">
        <f>('Cash Flow Summary'!AU82+'Cash Flow Summary'!AU85)*-1</f>
        <v>0</v>
      </c>
      <c r="AV101" s="10">
        <f>('Cash Flow Summary'!AV82+'Cash Flow Summary'!AV85)*-1</f>
        <v>0</v>
      </c>
      <c r="AW101" s="10">
        <f>('Cash Flow Summary'!AW82+'Cash Flow Summary'!AW85)*-1</f>
        <v>0</v>
      </c>
      <c r="AX101" s="10">
        <f>('Cash Flow Summary'!AX82+'Cash Flow Summary'!AX85)*-1</f>
        <v>0</v>
      </c>
      <c r="AY101" s="10">
        <f>('Cash Flow Summary'!AY82+'Cash Flow Summary'!AY85)*-1</f>
        <v>0</v>
      </c>
      <c r="AZ101" s="10">
        <f>('Cash Flow Summary'!AZ82+'Cash Flow Summary'!AZ85)*-1</f>
        <v>0</v>
      </c>
      <c r="BA101" s="10">
        <f>('Cash Flow Summary'!BA82+'Cash Flow Summary'!BA85)*-1</f>
        <v>0</v>
      </c>
      <c r="BB101" s="10">
        <f>('Cash Flow Summary'!BB82+'Cash Flow Summary'!BB85)*-1</f>
        <v>0</v>
      </c>
      <c r="BC101" s="10">
        <f>('Cash Flow Summary'!BC82+'Cash Flow Summary'!BC85)*-1</f>
        <v>0</v>
      </c>
      <c r="BD101" s="10">
        <f>('Cash Flow Summary'!BD82+'Cash Flow Summary'!BD85)*-1</f>
        <v>0</v>
      </c>
      <c r="BE101" s="10">
        <f>('Cash Flow Summary'!BE82+'Cash Flow Summary'!BE85)*-1</f>
        <v>0</v>
      </c>
      <c r="BF101" s="10">
        <f>('Cash Flow Summary'!BF82+'Cash Flow Summary'!BF85)*-1</f>
        <v>0</v>
      </c>
      <c r="BG101" s="10">
        <f>('Cash Flow Summary'!BG82+'Cash Flow Summary'!BG85)*-1</f>
        <v>0</v>
      </c>
      <c r="BH101" s="10">
        <f>('Cash Flow Summary'!BH82+'Cash Flow Summary'!BH85)*-1</f>
        <v>0</v>
      </c>
      <c r="BI101" s="10">
        <f>('Cash Flow Summary'!BI82+'Cash Flow Summary'!BI85)*-1</f>
        <v>0</v>
      </c>
      <c r="BJ101" s="10">
        <f>('Cash Flow Summary'!BJ82+'Cash Flow Summary'!BJ85)*-1</f>
        <v>0</v>
      </c>
      <c r="BX101" s="10">
        <f>('Cash Flow Summary'!BX82+'Cash Flow Summary'!BX85)*-1</f>
        <v>0</v>
      </c>
      <c r="BY101" s="10">
        <f>('Cash Flow Summary'!BY82+'Cash Flow Summary'!BY85)*-1</f>
        <v>0</v>
      </c>
      <c r="BZ101" s="10">
        <f>('Cash Flow Summary'!BZ82+'Cash Flow Summary'!BZ85)*-1</f>
        <v>0</v>
      </c>
      <c r="CA101" s="10">
        <f>('Cash Flow Summary'!CA82+'Cash Flow Summary'!CA85)*-1</f>
        <v>0</v>
      </c>
      <c r="CB101" s="10">
        <f>('Cash Flow Summary'!CB82+'Cash Flow Summary'!CB85)*-1</f>
        <v>0</v>
      </c>
      <c r="CC101" s="10">
        <f>('Cash Flow Summary'!CC82+'Cash Flow Summary'!CC85)*-1</f>
        <v>0</v>
      </c>
      <c r="CD101" s="10">
        <f>('Cash Flow Summary'!CD82+'Cash Flow Summary'!CD85)*-1</f>
        <v>0</v>
      </c>
      <c r="CE101" s="10">
        <f>('Cash Flow Summary'!CE82+'Cash Flow Summary'!CE85)*-1</f>
        <v>0</v>
      </c>
      <c r="CF101" s="10">
        <f>('Cash Flow Summary'!CF82+'Cash Flow Summary'!CF85)*-1</f>
        <v>0</v>
      </c>
      <c r="CG101" s="10">
        <f>('Cash Flow Summary'!CG82+'Cash Flow Summary'!CG85)*-1</f>
        <v>0</v>
      </c>
      <c r="CH101" s="10">
        <f>('Cash Flow Summary'!CH82+'Cash Flow Summary'!CH85)*-1</f>
        <v>0</v>
      </c>
      <c r="CI101" s="10">
        <f>('Cash Flow Summary'!CI82+'Cash Flow Summary'!CI85)*-1</f>
        <v>0</v>
      </c>
      <c r="CK101" s="11"/>
      <c r="CM101" s="35"/>
    </row>
    <row r="102" spans="4:91" x14ac:dyDescent="0.35">
      <c r="D102" s="262" t="s">
        <v>2556</v>
      </c>
      <c r="V102" s="10">
        <f>V62+V63+V64+V65</f>
        <v>0</v>
      </c>
      <c r="W102" s="10">
        <f>W62+W63+W64+W65</f>
        <v>0</v>
      </c>
      <c r="X102" s="10">
        <f>X62+X63+X64+X65</f>
        <v>0</v>
      </c>
      <c r="Y102" s="10">
        <f>Y62+Y63+Y64+Y65</f>
        <v>0</v>
      </c>
      <c r="AA102" s="10">
        <f t="shared" ref="AA102:BJ102" si="59">AA62+AA63+AA64+AA65</f>
        <v>0</v>
      </c>
      <c r="AB102" s="10">
        <f t="shared" si="59"/>
        <v>0</v>
      </c>
      <c r="AC102" s="10">
        <f t="shared" si="59"/>
        <v>0</v>
      </c>
      <c r="AD102" s="10">
        <f t="shared" si="59"/>
        <v>0</v>
      </c>
      <c r="AE102" s="10">
        <f t="shared" si="59"/>
        <v>0</v>
      </c>
      <c r="AF102" s="10">
        <f t="shared" si="59"/>
        <v>0</v>
      </c>
      <c r="AG102" s="10">
        <f t="shared" si="59"/>
        <v>0</v>
      </c>
      <c r="AH102" s="10">
        <f t="shared" si="59"/>
        <v>0</v>
      </c>
      <c r="AI102" s="10">
        <f t="shared" si="59"/>
        <v>0</v>
      </c>
      <c r="AJ102" s="10">
        <f t="shared" si="59"/>
        <v>0</v>
      </c>
      <c r="AK102" s="10">
        <f t="shared" si="59"/>
        <v>0</v>
      </c>
      <c r="AL102" s="10">
        <f t="shared" si="59"/>
        <v>0</v>
      </c>
      <c r="AM102" s="10">
        <f t="shared" si="59"/>
        <v>0</v>
      </c>
      <c r="AN102" s="10">
        <f t="shared" si="59"/>
        <v>0</v>
      </c>
      <c r="AO102" s="10">
        <f t="shared" si="59"/>
        <v>0</v>
      </c>
      <c r="AP102" s="10">
        <f t="shared" si="59"/>
        <v>0</v>
      </c>
      <c r="AQ102" s="10">
        <f t="shared" si="59"/>
        <v>0</v>
      </c>
      <c r="AR102" s="10">
        <f t="shared" si="59"/>
        <v>0</v>
      </c>
      <c r="AS102" s="10">
        <f t="shared" si="59"/>
        <v>0</v>
      </c>
      <c r="AT102" s="10">
        <f t="shared" si="59"/>
        <v>0</v>
      </c>
      <c r="AU102" s="10">
        <f t="shared" si="59"/>
        <v>0</v>
      </c>
      <c r="AV102" s="10">
        <f t="shared" si="59"/>
        <v>0</v>
      </c>
      <c r="AW102" s="10">
        <f t="shared" si="59"/>
        <v>0</v>
      </c>
      <c r="AX102" s="10">
        <f t="shared" si="59"/>
        <v>0</v>
      </c>
      <c r="AY102" s="10">
        <f t="shared" si="59"/>
        <v>0</v>
      </c>
      <c r="AZ102" s="10">
        <f t="shared" si="59"/>
        <v>0</v>
      </c>
      <c r="BA102" s="10">
        <f t="shared" si="59"/>
        <v>0</v>
      </c>
      <c r="BB102" s="10">
        <f t="shared" si="59"/>
        <v>0</v>
      </c>
      <c r="BC102" s="10">
        <f t="shared" si="59"/>
        <v>0</v>
      </c>
      <c r="BD102" s="10">
        <f t="shared" si="59"/>
        <v>0</v>
      </c>
      <c r="BE102" s="10">
        <f t="shared" si="59"/>
        <v>0</v>
      </c>
      <c r="BF102" s="10">
        <f t="shared" si="59"/>
        <v>0</v>
      </c>
      <c r="BG102" s="10">
        <f t="shared" si="59"/>
        <v>0</v>
      </c>
      <c r="BH102" s="10">
        <f t="shared" si="59"/>
        <v>0</v>
      </c>
      <c r="BI102" s="10">
        <f t="shared" si="59"/>
        <v>0</v>
      </c>
      <c r="BJ102" s="10">
        <f t="shared" si="59"/>
        <v>0</v>
      </c>
      <c r="BK102" s="115"/>
      <c r="BL102" s="115"/>
      <c r="BM102" s="115"/>
      <c r="BN102" s="115"/>
      <c r="BO102" s="115"/>
      <c r="BP102" s="115"/>
      <c r="BQ102" s="115"/>
      <c r="BR102" s="115"/>
      <c r="BS102" s="115"/>
      <c r="BT102" s="115"/>
      <c r="BU102" s="115"/>
      <c r="BV102" s="115"/>
      <c r="BX102" s="10">
        <f t="shared" ref="BX102:CI102" si="60">BX62+BX63+BX64+BX65</f>
        <v>0</v>
      </c>
      <c r="BY102" s="10">
        <f t="shared" si="60"/>
        <v>0</v>
      </c>
      <c r="BZ102" s="10">
        <f t="shared" si="60"/>
        <v>0</v>
      </c>
      <c r="CA102" s="10">
        <f t="shared" si="60"/>
        <v>0</v>
      </c>
      <c r="CB102" s="10">
        <f t="shared" si="60"/>
        <v>0</v>
      </c>
      <c r="CC102" s="10">
        <f t="shared" si="60"/>
        <v>0</v>
      </c>
      <c r="CD102" s="10">
        <f t="shared" si="60"/>
        <v>0</v>
      </c>
      <c r="CE102" s="10">
        <f t="shared" si="60"/>
        <v>0</v>
      </c>
      <c r="CF102" s="10">
        <f t="shared" si="60"/>
        <v>0</v>
      </c>
      <c r="CG102" s="10">
        <f t="shared" si="60"/>
        <v>0</v>
      </c>
      <c r="CH102" s="10">
        <f t="shared" si="60"/>
        <v>0</v>
      </c>
      <c r="CI102" s="10">
        <f t="shared" si="60"/>
        <v>0</v>
      </c>
      <c r="CK102" s="11"/>
      <c r="CM102" s="35"/>
    </row>
    <row r="103" spans="4:91" x14ac:dyDescent="0.35">
      <c r="D103" s="5" t="s">
        <v>2557</v>
      </c>
      <c r="V103" s="10">
        <f>V101-V102</f>
        <v>0</v>
      </c>
      <c r="W103" s="10">
        <f>W101-W102</f>
        <v>0</v>
      </c>
      <c r="X103" s="10">
        <f>X101-X102</f>
        <v>0</v>
      </c>
      <c r="Y103" s="10">
        <f>Y101-Y102</f>
        <v>0</v>
      </c>
      <c r="AA103" s="10">
        <f t="shared" ref="AA103:BJ103" si="61">AA101-AA102</f>
        <v>0</v>
      </c>
      <c r="AB103" s="10">
        <f t="shared" si="61"/>
        <v>0</v>
      </c>
      <c r="AC103" s="10">
        <f t="shared" si="61"/>
        <v>0</v>
      </c>
      <c r="AD103" s="10">
        <f t="shared" si="61"/>
        <v>0</v>
      </c>
      <c r="AE103" s="10">
        <f t="shared" si="61"/>
        <v>0</v>
      </c>
      <c r="AF103" s="10">
        <f t="shared" si="61"/>
        <v>0</v>
      </c>
      <c r="AG103" s="10">
        <f t="shared" si="61"/>
        <v>0</v>
      </c>
      <c r="AH103" s="10">
        <f t="shared" si="61"/>
        <v>0</v>
      </c>
      <c r="AI103" s="10">
        <f t="shared" si="61"/>
        <v>0</v>
      </c>
      <c r="AJ103" s="10">
        <f t="shared" si="61"/>
        <v>0</v>
      </c>
      <c r="AK103" s="10">
        <f t="shared" si="61"/>
        <v>0</v>
      </c>
      <c r="AL103" s="10">
        <f t="shared" si="61"/>
        <v>0</v>
      </c>
      <c r="AM103" s="10">
        <f t="shared" si="61"/>
        <v>0</v>
      </c>
      <c r="AN103" s="10">
        <f t="shared" si="61"/>
        <v>0</v>
      </c>
      <c r="AO103" s="10">
        <f t="shared" si="61"/>
        <v>0</v>
      </c>
      <c r="AP103" s="10">
        <f t="shared" si="61"/>
        <v>0</v>
      </c>
      <c r="AQ103" s="10">
        <f t="shared" si="61"/>
        <v>0</v>
      </c>
      <c r="AR103" s="10">
        <f t="shared" si="61"/>
        <v>0</v>
      </c>
      <c r="AS103" s="10">
        <f t="shared" si="61"/>
        <v>0</v>
      </c>
      <c r="AT103" s="10">
        <f t="shared" si="61"/>
        <v>0</v>
      </c>
      <c r="AU103" s="10">
        <f t="shared" si="61"/>
        <v>0</v>
      </c>
      <c r="AV103" s="10">
        <f t="shared" si="61"/>
        <v>0</v>
      </c>
      <c r="AW103" s="10">
        <f t="shared" si="61"/>
        <v>0</v>
      </c>
      <c r="AX103" s="10">
        <f t="shared" si="61"/>
        <v>0</v>
      </c>
      <c r="AY103" s="10">
        <f t="shared" si="61"/>
        <v>0</v>
      </c>
      <c r="AZ103" s="10">
        <f t="shared" si="61"/>
        <v>0</v>
      </c>
      <c r="BA103" s="10">
        <f t="shared" si="61"/>
        <v>0</v>
      </c>
      <c r="BB103" s="10">
        <f t="shared" si="61"/>
        <v>0</v>
      </c>
      <c r="BC103" s="10">
        <f t="shared" si="61"/>
        <v>0</v>
      </c>
      <c r="BD103" s="10">
        <f t="shared" si="61"/>
        <v>0</v>
      </c>
      <c r="BE103" s="10">
        <f t="shared" si="61"/>
        <v>0</v>
      </c>
      <c r="BF103" s="10">
        <f t="shared" si="61"/>
        <v>0</v>
      </c>
      <c r="BG103" s="10">
        <f t="shared" si="61"/>
        <v>0</v>
      </c>
      <c r="BH103" s="10">
        <f t="shared" si="61"/>
        <v>0</v>
      </c>
      <c r="BI103" s="10">
        <f t="shared" si="61"/>
        <v>0</v>
      </c>
      <c r="BJ103" s="10">
        <f t="shared" si="61"/>
        <v>0</v>
      </c>
      <c r="BX103" s="10">
        <f t="shared" ref="BX103:CI103" si="62">BX101-BX102</f>
        <v>0</v>
      </c>
      <c r="BY103" s="10">
        <f t="shared" si="62"/>
        <v>0</v>
      </c>
      <c r="BZ103" s="10">
        <f t="shared" si="62"/>
        <v>0</v>
      </c>
      <c r="CA103" s="10">
        <f t="shared" si="62"/>
        <v>0</v>
      </c>
      <c r="CB103" s="10">
        <f t="shared" si="62"/>
        <v>0</v>
      </c>
      <c r="CC103" s="10">
        <f t="shared" si="62"/>
        <v>0</v>
      </c>
      <c r="CD103" s="10">
        <f t="shared" si="62"/>
        <v>0</v>
      </c>
      <c r="CE103" s="10">
        <f t="shared" si="62"/>
        <v>0</v>
      </c>
      <c r="CF103" s="10">
        <f t="shared" si="62"/>
        <v>0</v>
      </c>
      <c r="CG103" s="10">
        <f t="shared" si="62"/>
        <v>0</v>
      </c>
      <c r="CH103" s="10">
        <f t="shared" si="62"/>
        <v>0</v>
      </c>
      <c r="CI103" s="10">
        <f t="shared" si="62"/>
        <v>0</v>
      </c>
      <c r="CK103" s="11"/>
      <c r="CM103" s="35"/>
    </row>
  </sheetData>
  <sheetProtection algorithmName="SHA-512" hashValue="1Vz6BlD/N19P1MhDxRxAQ0ZyQPhYDmdxDTPuxiBdMEBF+a7FMAkjd5Y2huTDkefTCFRU+y2cOuXgs8PEpw9yfw==" saltValue="/IJgvZ8HCfqCJlHCxDcNmw==" spinCount="100000" sheet="1" insertRows="0" deleteRows="0"/>
  <mergeCells count="3">
    <mergeCell ref="CK1:CK6"/>
    <mergeCell ref="CM1:CM6"/>
    <mergeCell ref="CL4:CL6"/>
  </mergeCells>
  <phoneticPr fontId="9" type="noConversion"/>
  <conditionalFormatting sqref="A1:A2">
    <cfRule type="cellIs" dxfId="284" priority="2" operator="equal">
      <formula>0</formula>
    </cfRule>
    <cfRule type="cellIs" dxfId="283" priority="3"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1" id="{A5640316-F713-415A-9B15-4E6FFF32A089}">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A3AC25B-A8C8-4D65-B1A7-F7EDF53CFC1F}">
          <x14:formula1>
            <xm:f>'Dash Data'!$D$93:$D$100</xm:f>
          </x14:formula1>
          <xm:sqref>D2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0AA5-50B2-4BA0-B9DA-B74AC6C3D8C1}">
  <sheetPr codeName="Sheet27">
    <tabColor rgb="FFBBF7DC"/>
    <outlinePr summaryBelow="0" summaryRight="0"/>
    <pageSetUpPr autoPageBreaks="0"/>
  </sheetPr>
  <dimension ref="A1:CM77"/>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26.54296875" customWidth="1"/>
    <col min="3" max="3" width="19.453125" customWidth="1"/>
    <col min="4" max="4" width="48.453125" customWidth="1" collapsed="1"/>
    <col min="5" max="5" width="12.453125" style="1" hidden="1" customWidth="1" outlineLevel="1"/>
    <col min="6" max="6" width="3" customWidth="1" collapsed="1"/>
    <col min="7" max="7" width="7.1796875" hidden="1" customWidth="1" outlineLevel="1"/>
    <col min="8" max="8" width="15" hidden="1" customWidth="1" outlineLevel="1"/>
    <col min="9" max="9" width="2" bestFit="1" customWidth="1" collapsed="1"/>
    <col min="10" max="10" width="2" hidden="1" customWidth="1" outlineLevel="1"/>
    <col min="11" max="18" width="8.81640625" hidden="1" customWidth="1" outlineLevel="1"/>
    <col min="19" max="19" width="3" hidden="1" customWidth="1" outlineLevel="1"/>
    <col min="20" max="20" width="11.54296875" hidden="1" customWidth="1" outlineLevel="1"/>
    <col min="21" max="21" width="9.54296875" hidden="1" customWidth="1" outlineLevel="1"/>
    <col min="22" max="24" width="8.81640625" bestFit="1" customWidth="1"/>
    <col min="25" max="25" width="10"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8.81640625" bestFit="1" customWidth="1"/>
    <col min="88" max="88" width="3" bestFit="1" customWidth="1"/>
    <col min="89" max="89" width="3.453125" customWidth="1"/>
    <col min="90" max="90" width="13.1796875" customWidth="1"/>
    <col min="91" max="91" width="2.81640625" customWidth="1"/>
  </cols>
  <sheetData>
    <row r="1" spans="1:91" x14ac:dyDescent="0.35">
      <c r="A1" s="7">
        <f ca="1">ToC!A1</f>
        <v>0</v>
      </c>
      <c r="B1" s="13" t="s">
        <v>2561</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80"/>
      <c r="CM1" s="680"/>
    </row>
    <row r="2" spans="1:91" ht="14.65" customHeight="1" x14ac:dyDescent="0.35">
      <c r="A2" s="7">
        <f>SUM(A$7:A$32)</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M2" s="680"/>
    </row>
    <row r="3" spans="1:91" x14ac:dyDescent="0.35">
      <c r="A3" s="67" t="str" cm="1">
        <f t="array" aca="1" ref="A3" ca="1">HYPERLINK(CONCATENATE("#",CELL("address",ToC!$A$1)),ToC!$C$1)</f>
        <v>ToC</v>
      </c>
      <c r="B3" s="13"/>
      <c r="C3" s="449"/>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80"/>
      <c r="CM3" s="680"/>
    </row>
    <row r="4" spans="1:91" x14ac:dyDescent="0.35">
      <c r="A4" s="13"/>
      <c r="B4" s="13"/>
      <c r="C4" s="22"/>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80"/>
      <c r="CL4" s="664"/>
      <c r="CM4" s="680"/>
    </row>
    <row r="5" spans="1:91" x14ac:dyDescent="0.35">
      <c r="A5" s="13"/>
      <c r="B5" s="13"/>
      <c r="C5" s="450"/>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80"/>
      <c r="CL5" s="664"/>
      <c r="CM5" s="680"/>
    </row>
    <row r="6" spans="1:91" x14ac:dyDescent="0.35">
      <c r="A6" s="67" t="str" cm="1">
        <f t="array" aca="1" ref="A6" ca="1">HYPERLINK(CONCATENATE("#",CELL("address",CK7)),"Check")</f>
        <v>Check</v>
      </c>
      <c r="B6" s="13"/>
      <c r="C6" s="13"/>
      <c r="D6" s="23" t="s">
        <v>19</v>
      </c>
      <c r="E6" s="13"/>
      <c r="F6" s="13"/>
      <c r="G6" s="13" t="s">
        <v>272</v>
      </c>
      <c r="H6" s="13" t="s">
        <v>313</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0"/>
      <c r="CL6" s="664"/>
      <c r="CM6" s="680"/>
    </row>
    <row r="7" spans="1:91" x14ac:dyDescent="0.35">
      <c r="B7" s="97" t="s">
        <v>184</v>
      </c>
      <c r="D7" s="1"/>
      <c r="E7"/>
      <c r="BY7" s="6"/>
      <c r="CK7" s="311"/>
      <c r="CM7" s="311"/>
    </row>
    <row r="8" spans="1:91" s="562" customFormat="1" x14ac:dyDescent="0.35">
      <c r="B8" s="563"/>
      <c r="D8" s="565"/>
      <c r="V8" s="448">
        <v>2</v>
      </c>
      <c r="W8" s="448">
        <f t="shared" ref="W8:BJ8" si="0">V8+1</f>
        <v>3</v>
      </c>
      <c r="X8" s="448">
        <f t="shared" si="0"/>
        <v>4</v>
      </c>
      <c r="Y8" s="448">
        <f t="shared" si="0"/>
        <v>5</v>
      </c>
      <c r="Z8" s="448">
        <f t="shared" si="0"/>
        <v>6</v>
      </c>
      <c r="AA8" s="448">
        <f t="shared" si="0"/>
        <v>7</v>
      </c>
      <c r="AB8" s="448">
        <f t="shared" si="0"/>
        <v>8</v>
      </c>
      <c r="AC8" s="448">
        <f t="shared" si="0"/>
        <v>9</v>
      </c>
      <c r="AD8" s="448">
        <f t="shared" si="0"/>
        <v>10</v>
      </c>
      <c r="AE8" s="448">
        <f t="shared" si="0"/>
        <v>11</v>
      </c>
      <c r="AF8" s="448">
        <f t="shared" si="0"/>
        <v>12</v>
      </c>
      <c r="AG8" s="448">
        <f t="shared" si="0"/>
        <v>13</v>
      </c>
      <c r="AH8" s="448">
        <f t="shared" si="0"/>
        <v>14</v>
      </c>
      <c r="AI8" s="448">
        <f t="shared" si="0"/>
        <v>15</v>
      </c>
      <c r="AJ8" s="448">
        <f t="shared" si="0"/>
        <v>16</v>
      </c>
      <c r="AK8" s="448">
        <f t="shared" si="0"/>
        <v>17</v>
      </c>
      <c r="AL8" s="448">
        <f t="shared" si="0"/>
        <v>18</v>
      </c>
      <c r="AM8" s="448">
        <f t="shared" si="0"/>
        <v>19</v>
      </c>
      <c r="AN8" s="448">
        <f t="shared" si="0"/>
        <v>20</v>
      </c>
      <c r="AO8" s="448">
        <f t="shared" si="0"/>
        <v>21</v>
      </c>
      <c r="AP8" s="448">
        <f t="shared" si="0"/>
        <v>22</v>
      </c>
      <c r="AQ8" s="448">
        <f t="shared" si="0"/>
        <v>23</v>
      </c>
      <c r="AR8" s="448">
        <f t="shared" si="0"/>
        <v>24</v>
      </c>
      <c r="AS8" s="448">
        <f t="shared" si="0"/>
        <v>25</v>
      </c>
      <c r="AT8" s="448">
        <f t="shared" si="0"/>
        <v>26</v>
      </c>
      <c r="AU8" s="448">
        <f t="shared" si="0"/>
        <v>27</v>
      </c>
      <c r="AV8" s="448">
        <f t="shared" si="0"/>
        <v>28</v>
      </c>
      <c r="AW8" s="448">
        <f t="shared" si="0"/>
        <v>29</v>
      </c>
      <c r="AX8" s="448">
        <f t="shared" si="0"/>
        <v>30</v>
      </c>
      <c r="AY8" s="448">
        <f t="shared" si="0"/>
        <v>31</v>
      </c>
      <c r="AZ8" s="448">
        <f t="shared" si="0"/>
        <v>32</v>
      </c>
      <c r="BA8" s="448">
        <f t="shared" si="0"/>
        <v>33</v>
      </c>
      <c r="BB8" s="448">
        <f t="shared" si="0"/>
        <v>34</v>
      </c>
      <c r="BC8" s="448">
        <f t="shared" si="0"/>
        <v>35</v>
      </c>
      <c r="BD8" s="448">
        <f t="shared" si="0"/>
        <v>36</v>
      </c>
      <c r="BE8" s="448">
        <f t="shared" si="0"/>
        <v>37</v>
      </c>
      <c r="BF8" s="448">
        <f t="shared" si="0"/>
        <v>38</v>
      </c>
      <c r="BG8" s="448">
        <f t="shared" si="0"/>
        <v>39</v>
      </c>
      <c r="BH8" s="448">
        <f t="shared" si="0"/>
        <v>40</v>
      </c>
      <c r="BI8" s="448">
        <f t="shared" si="0"/>
        <v>41</v>
      </c>
      <c r="BJ8" s="448">
        <f t="shared" si="0"/>
        <v>42</v>
      </c>
      <c r="BK8" s="448"/>
      <c r="BL8" s="448"/>
      <c r="BM8" s="448"/>
      <c r="BN8" s="448"/>
      <c r="BO8" s="448"/>
      <c r="BP8" s="448"/>
      <c r="BQ8" s="448"/>
      <c r="BR8" s="448"/>
      <c r="BS8" s="448"/>
      <c r="BT8" s="448"/>
      <c r="BU8" s="448"/>
      <c r="BV8" s="448"/>
      <c r="BY8" s="563"/>
      <c r="CK8" s="566"/>
      <c r="CM8" s="566"/>
    </row>
    <row r="9" spans="1:91" ht="18" customHeight="1" x14ac:dyDescent="0.35">
      <c r="D9" s="328" t="s">
        <v>2562</v>
      </c>
      <c r="E9"/>
      <c r="CK9" s="311"/>
      <c r="CM9" s="311"/>
    </row>
    <row r="10" spans="1:91" x14ac:dyDescent="0.35">
      <c r="E10"/>
      <c r="V10" s="562">
        <v>19</v>
      </c>
      <c r="W10" s="562"/>
      <c r="X10" s="562"/>
      <c r="Y10" s="562"/>
      <c r="Z10" s="562"/>
      <c r="AA10" s="562">
        <v>24</v>
      </c>
      <c r="AB10" s="562">
        <f t="shared" ref="AB10:BJ10" si="1">AA10+1</f>
        <v>25</v>
      </c>
      <c r="AC10" s="562">
        <f t="shared" si="1"/>
        <v>26</v>
      </c>
      <c r="AD10" s="562">
        <f t="shared" si="1"/>
        <v>27</v>
      </c>
      <c r="AE10" s="562">
        <f t="shared" si="1"/>
        <v>28</v>
      </c>
      <c r="AF10" s="562">
        <f t="shared" si="1"/>
        <v>29</v>
      </c>
      <c r="AG10" s="562">
        <f t="shared" si="1"/>
        <v>30</v>
      </c>
      <c r="AH10" s="562">
        <f t="shared" si="1"/>
        <v>31</v>
      </c>
      <c r="AI10" s="562">
        <f t="shared" si="1"/>
        <v>32</v>
      </c>
      <c r="AJ10" s="562">
        <f t="shared" si="1"/>
        <v>33</v>
      </c>
      <c r="AK10" s="562">
        <f t="shared" si="1"/>
        <v>34</v>
      </c>
      <c r="AL10" s="562">
        <f t="shared" si="1"/>
        <v>35</v>
      </c>
      <c r="AM10" s="562">
        <f t="shared" si="1"/>
        <v>36</v>
      </c>
      <c r="AN10" s="562">
        <f t="shared" si="1"/>
        <v>37</v>
      </c>
      <c r="AO10" s="562">
        <f t="shared" si="1"/>
        <v>38</v>
      </c>
      <c r="AP10" s="562">
        <f t="shared" si="1"/>
        <v>39</v>
      </c>
      <c r="AQ10" s="562">
        <f t="shared" si="1"/>
        <v>40</v>
      </c>
      <c r="AR10" s="562">
        <f t="shared" si="1"/>
        <v>41</v>
      </c>
      <c r="AS10" s="562">
        <f t="shared" si="1"/>
        <v>42</v>
      </c>
      <c r="AT10" s="562">
        <f t="shared" si="1"/>
        <v>43</v>
      </c>
      <c r="AU10" s="562">
        <f t="shared" si="1"/>
        <v>44</v>
      </c>
      <c r="AV10" s="562">
        <f t="shared" si="1"/>
        <v>45</v>
      </c>
      <c r="AW10" s="562">
        <f t="shared" si="1"/>
        <v>46</v>
      </c>
      <c r="AX10" s="562">
        <f t="shared" si="1"/>
        <v>47</v>
      </c>
      <c r="AY10" s="562">
        <f t="shared" si="1"/>
        <v>48</v>
      </c>
      <c r="AZ10" s="562">
        <f t="shared" si="1"/>
        <v>49</v>
      </c>
      <c r="BA10" s="562">
        <f t="shared" si="1"/>
        <v>50</v>
      </c>
      <c r="BB10" s="562">
        <f t="shared" si="1"/>
        <v>51</v>
      </c>
      <c r="BC10" s="562">
        <f t="shared" si="1"/>
        <v>52</v>
      </c>
      <c r="BD10" s="562">
        <f t="shared" si="1"/>
        <v>53</v>
      </c>
      <c r="BE10" s="562">
        <f t="shared" si="1"/>
        <v>54</v>
      </c>
      <c r="BF10" s="562">
        <f t="shared" si="1"/>
        <v>55</v>
      </c>
      <c r="BG10" s="562">
        <f t="shared" si="1"/>
        <v>56</v>
      </c>
      <c r="BH10" s="562">
        <f t="shared" si="1"/>
        <v>57</v>
      </c>
      <c r="BI10" s="562">
        <f t="shared" si="1"/>
        <v>58</v>
      </c>
      <c r="BJ10" s="562">
        <f t="shared" si="1"/>
        <v>59</v>
      </c>
      <c r="CK10" s="312"/>
      <c r="CM10" s="311"/>
    </row>
    <row r="11" spans="1:91" x14ac:dyDescent="0.35">
      <c r="D11" s="114" t="s">
        <v>2563</v>
      </c>
      <c r="E11"/>
      <c r="V11" s="10">
        <f>VLOOKUP($D$11, $D$18:$BJ$21, V$10, FALSE)</f>
        <v>0</v>
      </c>
      <c r="W11" s="10">
        <f>AL11</f>
        <v>0</v>
      </c>
      <c r="X11" s="10">
        <f>AX11</f>
        <v>0</v>
      </c>
      <c r="Y11" s="10">
        <f>BJ11</f>
        <v>0</v>
      </c>
      <c r="AA11" s="10">
        <f t="shared" ref="AA11:BJ11" si="2">VLOOKUP($D$11, $D$18:$BJ$21, AA$10, FALSE)</f>
        <v>0</v>
      </c>
      <c r="AB11" s="10">
        <f t="shared" si="2"/>
        <v>0</v>
      </c>
      <c r="AC11" s="10">
        <f t="shared" si="2"/>
        <v>0</v>
      </c>
      <c r="AD11" s="10">
        <f t="shared" si="2"/>
        <v>0</v>
      </c>
      <c r="AE11" s="10">
        <f t="shared" si="2"/>
        <v>0</v>
      </c>
      <c r="AF11" s="10">
        <f t="shared" si="2"/>
        <v>0</v>
      </c>
      <c r="AG11" s="10">
        <f t="shared" si="2"/>
        <v>0</v>
      </c>
      <c r="AH11" s="10">
        <f t="shared" si="2"/>
        <v>0</v>
      </c>
      <c r="AI11" s="10">
        <f t="shared" si="2"/>
        <v>0</v>
      </c>
      <c r="AJ11" s="10">
        <f t="shared" si="2"/>
        <v>0</v>
      </c>
      <c r="AK11" s="10">
        <f t="shared" si="2"/>
        <v>0</v>
      </c>
      <c r="AL11" s="10">
        <f t="shared" si="2"/>
        <v>0</v>
      </c>
      <c r="AM11" s="10">
        <f t="shared" si="2"/>
        <v>0</v>
      </c>
      <c r="AN11" s="10">
        <f t="shared" si="2"/>
        <v>0</v>
      </c>
      <c r="AO11" s="10">
        <f t="shared" si="2"/>
        <v>0</v>
      </c>
      <c r="AP11" s="10">
        <f t="shared" si="2"/>
        <v>0</v>
      </c>
      <c r="AQ11" s="10">
        <f t="shared" si="2"/>
        <v>0</v>
      </c>
      <c r="AR11" s="10">
        <f t="shared" si="2"/>
        <v>0</v>
      </c>
      <c r="AS11" s="10">
        <f t="shared" si="2"/>
        <v>0</v>
      </c>
      <c r="AT11" s="10">
        <f t="shared" si="2"/>
        <v>0</v>
      </c>
      <c r="AU11" s="10">
        <f t="shared" si="2"/>
        <v>0</v>
      </c>
      <c r="AV11" s="10">
        <f t="shared" si="2"/>
        <v>0</v>
      </c>
      <c r="AW11" s="10">
        <f t="shared" si="2"/>
        <v>0</v>
      </c>
      <c r="AX11" s="10">
        <f t="shared" si="2"/>
        <v>0</v>
      </c>
      <c r="AY11" s="10">
        <f t="shared" si="2"/>
        <v>0</v>
      </c>
      <c r="AZ11" s="10">
        <f t="shared" si="2"/>
        <v>0</v>
      </c>
      <c r="BA11" s="10">
        <f t="shared" si="2"/>
        <v>0</v>
      </c>
      <c r="BB11" s="10">
        <f t="shared" si="2"/>
        <v>0</v>
      </c>
      <c r="BC11" s="10">
        <f t="shared" si="2"/>
        <v>0</v>
      </c>
      <c r="BD11" s="10">
        <f t="shared" si="2"/>
        <v>0</v>
      </c>
      <c r="BE11" s="10">
        <f t="shared" si="2"/>
        <v>0</v>
      </c>
      <c r="BF11" s="10">
        <f t="shared" si="2"/>
        <v>0</v>
      </c>
      <c r="BG11" s="10">
        <f t="shared" si="2"/>
        <v>0</v>
      </c>
      <c r="BH11" s="10">
        <f t="shared" si="2"/>
        <v>0</v>
      </c>
      <c r="BI11" s="10">
        <f t="shared" si="2"/>
        <v>0</v>
      </c>
      <c r="BJ11" s="10">
        <f t="shared" si="2"/>
        <v>0</v>
      </c>
      <c r="CK11" s="312"/>
      <c r="CM11" s="311"/>
    </row>
    <row r="12" spans="1:91" x14ac:dyDescent="0.35">
      <c r="B12" s="562" t="s">
        <v>2564</v>
      </c>
      <c r="D12" s="581" t="str">
        <f>CONCATENATE(TEXT('Direct CF'!C5,"DD/MM/YYYY"), B12)</f>
        <v>01/04/2026 CFFR Reforecast</v>
      </c>
      <c r="E12"/>
      <c r="V12" s="10">
        <f>'Cash Flow Summary'!V96</f>
        <v>0</v>
      </c>
      <c r="W12" s="10">
        <f>AL12</f>
        <v>0</v>
      </c>
      <c r="X12" s="10">
        <f>AX12</f>
        <v>0</v>
      </c>
      <c r="Y12" s="10">
        <f>BJ12</f>
        <v>0</v>
      </c>
      <c r="AA12" s="10">
        <f>'Cash Flow Summary'!AA96</f>
        <v>0</v>
      </c>
      <c r="AB12" s="10">
        <f>'Cash Flow Summary'!AB96</f>
        <v>0</v>
      </c>
      <c r="AC12" s="10">
        <f>'Cash Flow Summary'!AC96</f>
        <v>0</v>
      </c>
      <c r="AD12" s="10">
        <f>'Cash Flow Summary'!AD96</f>
        <v>0</v>
      </c>
      <c r="AE12" s="10">
        <f>'Cash Flow Summary'!AE96</f>
        <v>0</v>
      </c>
      <c r="AF12" s="10">
        <f>'Cash Flow Summary'!AF96</f>
        <v>0</v>
      </c>
      <c r="AG12" s="10">
        <f>'Cash Flow Summary'!AG96</f>
        <v>0</v>
      </c>
      <c r="AH12" s="10">
        <f>'Cash Flow Summary'!AH96</f>
        <v>0</v>
      </c>
      <c r="AI12" s="10">
        <f>'Cash Flow Summary'!AI96</f>
        <v>0</v>
      </c>
      <c r="AJ12" s="10">
        <f>'Cash Flow Summary'!AJ96</f>
        <v>0</v>
      </c>
      <c r="AK12" s="10">
        <f>'Cash Flow Summary'!AK96</f>
        <v>0</v>
      </c>
      <c r="AL12" s="10">
        <f>'Cash Flow Summary'!AL96</f>
        <v>0</v>
      </c>
      <c r="AM12" s="10">
        <f>'Cash Flow Summary'!AM96</f>
        <v>0</v>
      </c>
      <c r="AN12" s="10">
        <f>'Cash Flow Summary'!AN96</f>
        <v>0</v>
      </c>
      <c r="AO12" s="10">
        <f>'Cash Flow Summary'!AO96</f>
        <v>0</v>
      </c>
      <c r="AP12" s="10">
        <f>'Cash Flow Summary'!AP96</f>
        <v>0</v>
      </c>
      <c r="AQ12" s="10">
        <f>'Cash Flow Summary'!AQ96</f>
        <v>0</v>
      </c>
      <c r="AR12" s="10">
        <f>'Cash Flow Summary'!AR96</f>
        <v>0</v>
      </c>
      <c r="AS12" s="10">
        <f>'Cash Flow Summary'!AS96</f>
        <v>0</v>
      </c>
      <c r="AT12" s="10">
        <f>'Cash Flow Summary'!AT96</f>
        <v>0</v>
      </c>
      <c r="AU12" s="10">
        <f>'Cash Flow Summary'!AU96</f>
        <v>0</v>
      </c>
      <c r="AV12" s="10">
        <f>'Cash Flow Summary'!AV96</f>
        <v>0</v>
      </c>
      <c r="AW12" s="10">
        <f>'Cash Flow Summary'!AW96</f>
        <v>0</v>
      </c>
      <c r="AX12" s="10">
        <f>'Cash Flow Summary'!AX96</f>
        <v>0</v>
      </c>
      <c r="AY12" s="10">
        <f>'Cash Flow Summary'!AY96</f>
        <v>0</v>
      </c>
      <c r="AZ12" s="10">
        <f>'Cash Flow Summary'!AZ96</f>
        <v>0</v>
      </c>
      <c r="BA12" s="10">
        <f>'Cash Flow Summary'!BA96</f>
        <v>0</v>
      </c>
      <c r="BB12" s="10">
        <f>'Cash Flow Summary'!BB96</f>
        <v>0</v>
      </c>
      <c r="BC12" s="10">
        <f>'Cash Flow Summary'!BC96</f>
        <v>0</v>
      </c>
      <c r="BD12" s="10">
        <f>'Cash Flow Summary'!BD96</f>
        <v>0</v>
      </c>
      <c r="BE12" s="10">
        <f>'Cash Flow Summary'!BE96</f>
        <v>0</v>
      </c>
      <c r="BF12" s="10">
        <f>'Cash Flow Summary'!BF96</f>
        <v>0</v>
      </c>
      <c r="BG12" s="10">
        <f>'Cash Flow Summary'!BG96</f>
        <v>0</v>
      </c>
      <c r="BH12" s="10">
        <f>'Cash Flow Summary'!BH96</f>
        <v>0</v>
      </c>
      <c r="BI12" s="10">
        <f>'Cash Flow Summary'!BI96</f>
        <v>0</v>
      </c>
      <c r="BJ12" s="10">
        <f>'Cash Flow Summary'!BJ96</f>
        <v>0</v>
      </c>
      <c r="CK12" s="312"/>
      <c r="CM12" s="311"/>
    </row>
    <row r="13" spans="1:91" x14ac:dyDescent="0.35">
      <c r="B13" s="562" t="s">
        <v>2565</v>
      </c>
      <c r="D13" s="581" t="str">
        <f>CONCATENATE(TEXT('Cover Sheet'!E21,"DD/MM/YYYY"), B13)</f>
        <v>31/03/2026 Direct CF</v>
      </c>
      <c r="E13"/>
      <c r="V13" s="10">
        <f>'Direct CF'!AA76</f>
        <v>0</v>
      </c>
      <c r="W13" s="10">
        <f>AL13</f>
        <v>0</v>
      </c>
      <c r="X13" s="10">
        <f>AX13</f>
        <v>0</v>
      </c>
      <c r="Y13" s="10">
        <f>BJ13</f>
        <v>0</v>
      </c>
      <c r="AA13" s="10">
        <f>'Direct CF'!AA77</f>
        <v>0</v>
      </c>
      <c r="AB13" s="10">
        <f>'Direct CF'!AB77</f>
        <v>0</v>
      </c>
      <c r="AC13" s="10">
        <f>'Direct CF'!AC77</f>
        <v>0</v>
      </c>
      <c r="AD13" s="10">
        <f>'Direct CF'!AD77</f>
        <v>0</v>
      </c>
      <c r="AE13" s="10">
        <f>'Direct CF'!AE77</f>
        <v>0</v>
      </c>
      <c r="AF13" s="10">
        <f>'Direct CF'!AF77</f>
        <v>0</v>
      </c>
      <c r="AG13" s="10">
        <f>'Direct CF'!AG77</f>
        <v>0</v>
      </c>
      <c r="AH13" s="10">
        <f>'Direct CF'!AH77</f>
        <v>0</v>
      </c>
      <c r="AI13" s="10">
        <f>'Direct CF'!AI77</f>
        <v>0</v>
      </c>
      <c r="AJ13" s="10">
        <f>'Direct CF'!AJ77</f>
        <v>0</v>
      </c>
      <c r="AK13" s="10">
        <f>'Direct CF'!AK77</f>
        <v>0</v>
      </c>
      <c r="AL13" s="10">
        <f>'Direct CF'!AL77</f>
        <v>0</v>
      </c>
      <c r="AM13" s="10">
        <f>'Direct CF'!AM77</f>
        <v>0</v>
      </c>
      <c r="AN13" s="10">
        <f>'Direct CF'!AN77</f>
        <v>0</v>
      </c>
      <c r="AO13" s="10">
        <f>'Direct CF'!AO77</f>
        <v>0</v>
      </c>
      <c r="AP13" s="10">
        <f>'Direct CF'!AP77</f>
        <v>0</v>
      </c>
      <c r="AQ13" s="10">
        <f>'Direct CF'!AQ77</f>
        <v>0</v>
      </c>
      <c r="AR13" s="10">
        <f>'Direct CF'!AR77</f>
        <v>0</v>
      </c>
      <c r="AS13" s="10">
        <f>'Direct CF'!AS77</f>
        <v>0</v>
      </c>
      <c r="AT13" s="10">
        <f>'Direct CF'!AT77</f>
        <v>0</v>
      </c>
      <c r="AU13" s="10">
        <f>'Direct CF'!AU77</f>
        <v>0</v>
      </c>
      <c r="AV13" s="10">
        <f>'Direct CF'!AV77</f>
        <v>0</v>
      </c>
      <c r="AW13" s="10">
        <f>'Direct CF'!AW77</f>
        <v>0</v>
      </c>
      <c r="AX13" s="10">
        <f>'Direct CF'!AX77</f>
        <v>0</v>
      </c>
      <c r="AY13" s="10">
        <f>'Direct CF'!AY77</f>
        <v>0</v>
      </c>
      <c r="AZ13" s="10">
        <f>'Direct CF'!AZ77</f>
        <v>0</v>
      </c>
      <c r="BA13" s="10">
        <f>'Direct CF'!BA77</f>
        <v>0</v>
      </c>
      <c r="BB13" s="10">
        <f>'Direct CF'!BB77</f>
        <v>0</v>
      </c>
      <c r="BC13" s="10">
        <f>'Direct CF'!BC77</f>
        <v>0</v>
      </c>
      <c r="BD13" s="10">
        <f>'Direct CF'!BD77</f>
        <v>0</v>
      </c>
      <c r="BE13" s="10">
        <f>'Direct CF'!BE77</f>
        <v>0</v>
      </c>
      <c r="BF13" s="10">
        <f>'Direct CF'!BF77</f>
        <v>0</v>
      </c>
      <c r="BG13" s="10">
        <f>'Direct CF'!BG77</f>
        <v>0</v>
      </c>
      <c r="BH13" s="10">
        <f>'Direct CF'!BH77</f>
        <v>0</v>
      </c>
      <c r="BI13" s="10">
        <f>'Direct CF'!BI77</f>
        <v>0</v>
      </c>
      <c r="BJ13" s="10">
        <f>'Direct CF'!BJ77</f>
        <v>0</v>
      </c>
      <c r="CK13" s="312"/>
      <c r="CM13" s="311"/>
    </row>
    <row r="14" spans="1:91" x14ac:dyDescent="0.35">
      <c r="D14" s="345" t="str">
        <f>"CFFR Reforecast variance to "&amp;D11</f>
        <v>CFFR Reforecast variance to Profile Scenario A</v>
      </c>
      <c r="E14"/>
      <c r="V14" s="10">
        <f>V12-V11</f>
        <v>0</v>
      </c>
      <c r="W14" s="10">
        <f>AL14</f>
        <v>0</v>
      </c>
      <c r="X14" s="10">
        <f>AX14</f>
        <v>0</v>
      </c>
      <c r="Y14" s="10">
        <f>BJ14</f>
        <v>0</v>
      </c>
      <c r="AA14" s="10">
        <f t="shared" ref="AA14:BJ14" si="3">+AA12-AA11</f>
        <v>0</v>
      </c>
      <c r="AB14" s="10">
        <f t="shared" si="3"/>
        <v>0</v>
      </c>
      <c r="AC14" s="10">
        <f t="shared" si="3"/>
        <v>0</v>
      </c>
      <c r="AD14" s="10">
        <f t="shared" si="3"/>
        <v>0</v>
      </c>
      <c r="AE14" s="10">
        <f t="shared" si="3"/>
        <v>0</v>
      </c>
      <c r="AF14" s="10">
        <f t="shared" si="3"/>
        <v>0</v>
      </c>
      <c r="AG14" s="10">
        <f t="shared" si="3"/>
        <v>0</v>
      </c>
      <c r="AH14" s="10">
        <f t="shared" si="3"/>
        <v>0</v>
      </c>
      <c r="AI14" s="10">
        <f t="shared" si="3"/>
        <v>0</v>
      </c>
      <c r="AJ14" s="10">
        <f t="shared" si="3"/>
        <v>0</v>
      </c>
      <c r="AK14" s="10">
        <f t="shared" si="3"/>
        <v>0</v>
      </c>
      <c r="AL14" s="10">
        <f t="shared" si="3"/>
        <v>0</v>
      </c>
      <c r="AM14" s="10">
        <f t="shared" si="3"/>
        <v>0</v>
      </c>
      <c r="AN14" s="10">
        <f t="shared" si="3"/>
        <v>0</v>
      </c>
      <c r="AO14" s="10">
        <f t="shared" si="3"/>
        <v>0</v>
      </c>
      <c r="AP14" s="10">
        <f t="shared" si="3"/>
        <v>0</v>
      </c>
      <c r="AQ14" s="10">
        <f t="shared" si="3"/>
        <v>0</v>
      </c>
      <c r="AR14" s="10">
        <f t="shared" si="3"/>
        <v>0</v>
      </c>
      <c r="AS14" s="10">
        <f t="shared" si="3"/>
        <v>0</v>
      </c>
      <c r="AT14" s="10">
        <f t="shared" si="3"/>
        <v>0</v>
      </c>
      <c r="AU14" s="10">
        <f t="shared" si="3"/>
        <v>0</v>
      </c>
      <c r="AV14" s="10">
        <f t="shared" si="3"/>
        <v>0</v>
      </c>
      <c r="AW14" s="10">
        <f t="shared" si="3"/>
        <v>0</v>
      </c>
      <c r="AX14" s="10">
        <f t="shared" si="3"/>
        <v>0</v>
      </c>
      <c r="AY14" s="10">
        <f t="shared" si="3"/>
        <v>0</v>
      </c>
      <c r="AZ14" s="10">
        <f t="shared" si="3"/>
        <v>0</v>
      </c>
      <c r="BA14" s="10">
        <f t="shared" si="3"/>
        <v>0</v>
      </c>
      <c r="BB14" s="10">
        <f t="shared" si="3"/>
        <v>0</v>
      </c>
      <c r="BC14" s="10">
        <f t="shared" si="3"/>
        <v>0</v>
      </c>
      <c r="BD14" s="10">
        <f t="shared" si="3"/>
        <v>0</v>
      </c>
      <c r="BE14" s="10">
        <f t="shared" si="3"/>
        <v>0</v>
      </c>
      <c r="BF14" s="10">
        <f t="shared" si="3"/>
        <v>0</v>
      </c>
      <c r="BG14" s="10">
        <f t="shared" si="3"/>
        <v>0</v>
      </c>
      <c r="BH14" s="10">
        <f t="shared" si="3"/>
        <v>0</v>
      </c>
      <c r="BI14" s="10">
        <f t="shared" si="3"/>
        <v>0</v>
      </c>
      <c r="BJ14" s="10">
        <f t="shared" si="3"/>
        <v>0</v>
      </c>
      <c r="CK14" s="312"/>
      <c r="CM14" s="311"/>
    </row>
    <row r="15" spans="1:91" x14ac:dyDescent="0.35">
      <c r="D15" s="345" t="s">
        <v>2566</v>
      </c>
      <c r="V15" s="10">
        <f>V12-V13</f>
        <v>0</v>
      </c>
      <c r="W15" s="10">
        <f>AL15</f>
        <v>0</v>
      </c>
      <c r="X15" s="10">
        <f>AX15</f>
        <v>0</v>
      </c>
      <c r="Y15" s="10">
        <f>BJ15</f>
        <v>0</v>
      </c>
      <c r="AA15" s="10">
        <f t="shared" ref="AA15:BJ15" si="4">+AA12-AA13</f>
        <v>0</v>
      </c>
      <c r="AB15" s="10">
        <f t="shared" si="4"/>
        <v>0</v>
      </c>
      <c r="AC15" s="10">
        <f t="shared" si="4"/>
        <v>0</v>
      </c>
      <c r="AD15" s="10">
        <f t="shared" si="4"/>
        <v>0</v>
      </c>
      <c r="AE15" s="10">
        <f t="shared" si="4"/>
        <v>0</v>
      </c>
      <c r="AF15" s="10">
        <f t="shared" si="4"/>
        <v>0</v>
      </c>
      <c r="AG15" s="10">
        <f t="shared" si="4"/>
        <v>0</v>
      </c>
      <c r="AH15" s="10">
        <f t="shared" si="4"/>
        <v>0</v>
      </c>
      <c r="AI15" s="10">
        <f t="shared" si="4"/>
        <v>0</v>
      </c>
      <c r="AJ15" s="10">
        <f t="shared" si="4"/>
        <v>0</v>
      </c>
      <c r="AK15" s="10">
        <f t="shared" si="4"/>
        <v>0</v>
      </c>
      <c r="AL15" s="10">
        <f t="shared" si="4"/>
        <v>0</v>
      </c>
      <c r="AM15" s="10">
        <f t="shared" si="4"/>
        <v>0</v>
      </c>
      <c r="AN15" s="10">
        <f t="shared" si="4"/>
        <v>0</v>
      </c>
      <c r="AO15" s="10">
        <f t="shared" si="4"/>
        <v>0</v>
      </c>
      <c r="AP15" s="10">
        <f t="shared" si="4"/>
        <v>0</v>
      </c>
      <c r="AQ15" s="10">
        <f t="shared" si="4"/>
        <v>0</v>
      </c>
      <c r="AR15" s="10">
        <f t="shared" si="4"/>
        <v>0</v>
      </c>
      <c r="AS15" s="10">
        <f t="shared" si="4"/>
        <v>0</v>
      </c>
      <c r="AT15" s="10">
        <f t="shared" si="4"/>
        <v>0</v>
      </c>
      <c r="AU15" s="10">
        <f t="shared" si="4"/>
        <v>0</v>
      </c>
      <c r="AV15" s="10">
        <f t="shared" si="4"/>
        <v>0</v>
      </c>
      <c r="AW15" s="10">
        <f t="shared" si="4"/>
        <v>0</v>
      </c>
      <c r="AX15" s="10">
        <f t="shared" si="4"/>
        <v>0</v>
      </c>
      <c r="AY15" s="10">
        <f t="shared" si="4"/>
        <v>0</v>
      </c>
      <c r="AZ15" s="10">
        <f t="shared" si="4"/>
        <v>0</v>
      </c>
      <c r="BA15" s="10">
        <f t="shared" si="4"/>
        <v>0</v>
      </c>
      <c r="BB15" s="10">
        <f t="shared" si="4"/>
        <v>0</v>
      </c>
      <c r="BC15" s="10">
        <f t="shared" si="4"/>
        <v>0</v>
      </c>
      <c r="BD15" s="10">
        <f t="shared" si="4"/>
        <v>0</v>
      </c>
      <c r="BE15" s="10">
        <f t="shared" si="4"/>
        <v>0</v>
      </c>
      <c r="BF15" s="10">
        <f t="shared" si="4"/>
        <v>0</v>
      </c>
      <c r="BG15" s="10">
        <f t="shared" si="4"/>
        <v>0</v>
      </c>
      <c r="BH15" s="10">
        <f t="shared" si="4"/>
        <v>0</v>
      </c>
      <c r="BI15" s="10">
        <f t="shared" si="4"/>
        <v>0</v>
      </c>
      <c r="BJ15" s="10">
        <f t="shared" si="4"/>
        <v>0</v>
      </c>
      <c r="CK15" s="312"/>
      <c r="CM15" s="311"/>
    </row>
    <row r="16" spans="1:91" x14ac:dyDescent="0.35">
      <c r="CK16" s="312"/>
      <c r="CM16" s="311"/>
    </row>
    <row r="17" spans="2:91" x14ac:dyDescent="0.35">
      <c r="CK17" s="312"/>
      <c r="CM17" s="311"/>
    </row>
    <row r="18" spans="2:91" x14ac:dyDescent="0.35">
      <c r="D18" s="114" t="s">
        <v>2563</v>
      </c>
      <c r="V18" s="114"/>
      <c r="W18" s="10">
        <f>AL18</f>
        <v>0</v>
      </c>
      <c r="X18" s="10">
        <f>AX18</f>
        <v>0</v>
      </c>
      <c r="Y18" s="10">
        <f>BJ18</f>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CK18" s="312"/>
      <c r="CM18" s="311"/>
    </row>
    <row r="19" spans="2:91" x14ac:dyDescent="0.35">
      <c r="D19" s="114" t="s">
        <v>2567</v>
      </c>
      <c r="V19" s="114"/>
      <c r="W19" s="10">
        <f>AL19</f>
        <v>0</v>
      </c>
      <c r="X19" s="10">
        <f>AX19</f>
        <v>0</v>
      </c>
      <c r="Y19" s="10">
        <f>BJ19</f>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CK19" s="312"/>
      <c r="CM19" s="311"/>
    </row>
    <row r="20" spans="2:91" x14ac:dyDescent="0.35">
      <c r="D20" s="114" t="s">
        <v>2568</v>
      </c>
      <c r="V20" s="114"/>
      <c r="W20" s="10">
        <f>AL20</f>
        <v>0</v>
      </c>
      <c r="X20" s="10">
        <f>AX20</f>
        <v>0</v>
      </c>
      <c r="Y20" s="10">
        <f>BJ20</f>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CK20" s="312"/>
      <c r="CM20" s="311"/>
    </row>
    <row r="21" spans="2:91" x14ac:dyDescent="0.35">
      <c r="D21" s="114" t="s">
        <v>2569</v>
      </c>
      <c r="V21" s="114"/>
      <c r="W21" s="10">
        <f>AL21</f>
        <v>0</v>
      </c>
      <c r="X21" s="10">
        <f>AX21</f>
        <v>0</v>
      </c>
      <c r="Y21" s="10">
        <f>BJ21</f>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CK21" s="312"/>
      <c r="CM21" s="311"/>
    </row>
    <row r="22" spans="2:91" x14ac:dyDescent="0.35">
      <c r="CK22" s="312"/>
      <c r="CM22" s="311"/>
    </row>
    <row r="23" spans="2:91" x14ac:dyDescent="0.35">
      <c r="CK23" s="312"/>
      <c r="CM23" s="311"/>
    </row>
    <row r="24" spans="2:91" x14ac:dyDescent="0.35">
      <c r="B24" s="564" t="str">
        <f>"August "&amp;V3&amp;" to July "&amp;X3</f>
        <v>August FY2025 to July FY2027</v>
      </c>
      <c r="CK24" s="312"/>
      <c r="CM24" s="311"/>
    </row>
    <row r="25" spans="2:91" x14ac:dyDescent="0.35">
      <c r="CK25" s="312"/>
      <c r="CM25" s="311"/>
    </row>
    <row r="26" spans="2:91" x14ac:dyDescent="0.35">
      <c r="CK26" s="312"/>
      <c r="CM26" s="311"/>
    </row>
    <row r="27" spans="2:91" x14ac:dyDescent="0.35">
      <c r="CK27" s="312"/>
      <c r="CM27" s="311"/>
    </row>
    <row r="28" spans="2:91" x14ac:dyDescent="0.35">
      <c r="CK28" s="312"/>
      <c r="CM28" s="311"/>
    </row>
    <row r="29" spans="2:91" x14ac:dyDescent="0.35">
      <c r="CK29" s="312"/>
      <c r="CM29" s="311"/>
    </row>
    <row r="30" spans="2:91" x14ac:dyDescent="0.35">
      <c r="CK30" s="312"/>
      <c r="CM30" s="311"/>
    </row>
    <row r="31" spans="2:91" x14ac:dyDescent="0.35">
      <c r="CK31" s="312"/>
      <c r="CM31" s="311"/>
    </row>
    <row r="32" spans="2:91" x14ac:dyDescent="0.35">
      <c r="CK32" s="312"/>
      <c r="CM32" s="311"/>
    </row>
    <row r="44" spans="2:2" x14ac:dyDescent="0.35">
      <c r="B44" s="564" t="str">
        <f>"August "&amp;W3&amp;" to July "&amp;Y3&amp;":"</f>
        <v>August FY2026 to July FY2028:</v>
      </c>
    </row>
    <row r="66" spans="2:4" x14ac:dyDescent="0.35">
      <c r="B66" s="582" t="s">
        <v>2570</v>
      </c>
      <c r="C66" s="583" t="str">
        <f>Timeline!W3</f>
        <v>FY2026</v>
      </c>
      <c r="D66" s="443"/>
    </row>
    <row r="67" spans="2:4" x14ac:dyDescent="0.35">
      <c r="B67" s="584"/>
      <c r="C67" s="342" t="s">
        <v>2571</v>
      </c>
      <c r="D67" s="339"/>
    </row>
    <row r="68" spans="2:4" x14ac:dyDescent="0.35">
      <c r="B68" s="585" t="s">
        <v>2572</v>
      </c>
      <c r="C68" s="586">
        <f>SUM('Cash Flow Summary'!X54:X59)+'Cash Flow Summary'!X65</f>
        <v>0</v>
      </c>
      <c r="D68" s="339"/>
    </row>
    <row r="69" spans="2:4" x14ac:dyDescent="0.35">
      <c r="B69" s="585" t="s">
        <v>1547</v>
      </c>
      <c r="C69" s="587">
        <f>SUM('Cash Flow Summary'!X61:X63)</f>
        <v>0</v>
      </c>
      <c r="D69" s="339"/>
    </row>
    <row r="70" spans="2:4" x14ac:dyDescent="0.35">
      <c r="B70" s="585" t="s">
        <v>2573</v>
      </c>
      <c r="C70" s="588">
        <f>SUM('Cash Flow Summary'!X71+'Cash Flow Summary'!X74)</f>
        <v>0</v>
      </c>
      <c r="D70" s="339"/>
    </row>
    <row r="71" spans="2:4" x14ac:dyDescent="0.35">
      <c r="B71" s="585" t="s">
        <v>2574</v>
      </c>
      <c r="C71" s="589">
        <f>SUM('Cash Flow Summary'!X72:X73) + 'Cash Flow Summary'!X75</f>
        <v>0</v>
      </c>
      <c r="D71" s="339"/>
    </row>
    <row r="72" spans="2:4" x14ac:dyDescent="0.35">
      <c r="B72" s="585" t="s">
        <v>2575</v>
      </c>
      <c r="C72" s="590">
        <f>SUM('Cash Flow Summary'!X82:X87) + SUM('Cash Flow Summary'!X76:X77)</f>
        <v>0</v>
      </c>
      <c r="D72" s="339"/>
    </row>
    <row r="73" spans="2:4" x14ac:dyDescent="0.35">
      <c r="B73" s="591" t="s">
        <v>2576</v>
      </c>
      <c r="C73" s="592">
        <f>SUM(C68:C72)</f>
        <v>0</v>
      </c>
      <c r="D73" s="339"/>
    </row>
    <row r="74" spans="2:4" x14ac:dyDescent="0.35">
      <c r="B74" s="584"/>
      <c r="C74" s="327"/>
      <c r="D74" s="339"/>
    </row>
    <row r="75" spans="2:4" x14ac:dyDescent="0.35">
      <c r="B75" s="593" t="s">
        <v>2577</v>
      </c>
      <c r="C75" s="594">
        <f>+C73-'Cash Flow Summary'!X92</f>
        <v>0</v>
      </c>
      <c r="D75" s="339"/>
    </row>
    <row r="76" spans="2:4" x14ac:dyDescent="0.35">
      <c r="B76" s="595" t="s">
        <v>2577</v>
      </c>
      <c r="C76" s="594">
        <f>'I&amp;E Summary'!BC60-'Cash Profile'!C68</f>
        <v>0</v>
      </c>
      <c r="D76" s="339"/>
    </row>
    <row r="77" spans="2:4" x14ac:dyDescent="0.35">
      <c r="B77" s="596"/>
      <c r="C77" s="435"/>
      <c r="D77" s="441"/>
    </row>
  </sheetData>
  <sheetProtection algorithmName="SHA-512" hashValue="nJkVEHvtGf4BlfOanNIxeuysR5VDjYJRsJQLWe448DyBGW5dFHxXxDYleiLPQ5M+JDEzw7vuAnT3eo0qLpMuqw==" saltValue="7VEIOep2lTR7idc3aDP+/Q==" spinCount="100000" sheet="1" insertRows="0" deleteRows="0"/>
  <mergeCells count="3">
    <mergeCell ref="CK1:CK6"/>
    <mergeCell ref="CM1:CM6"/>
    <mergeCell ref="CL4:CL6"/>
  </mergeCells>
  <conditionalFormatting sqref="A1:A2">
    <cfRule type="cellIs" dxfId="281" priority="2" operator="equal">
      <formula>0</formula>
    </cfRule>
    <cfRule type="cellIs" dxfId="280" priority="3" operator="greaterThan">
      <formula>0</formula>
    </cfRule>
  </conditionalFormatting>
  <dataValidations count="1">
    <dataValidation type="list" allowBlank="1" showInputMessage="1" showErrorMessage="1" sqref="D11" xr:uid="{DBBFEF44-498B-44E3-8FBE-F10460C5D4E8}">
      <formula1>$D$18:$D$21</formula1>
    </dataValidation>
  </dataValidations>
  <pageMargins left="0.70866141732283472" right="0.70866141732283472" top="0.74803149606299213" bottom="0.74803149606299213" header="0.31496062992125984" footer="0.31496062992125984"/>
  <pageSetup paperSize="9" scale="48" orientation="landscape" r:id="rId1"/>
  <headerFooter>
    <oddHeader>&amp;C&amp;"Aptos"&amp;11&amp;K000000 OFFICIAL - FOR PUBLIC RELEASE&amp;1#_x000D_</oddHeader>
    <oddFooter>&amp;C_x000D_&amp;1#&amp;"Aptos"&amp;11&amp;K000000 OFFICIAL - FOR PUBLIC RELEASE</oddFooter>
  </headerFooter>
  <ignoredErrors>
    <ignoredError sqref="AA10"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CBBC2EB0-77ED-4E71-B9F5-74FF509FCCA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BEE2E1E-9B92-4558-99FE-7DD737B5AD2E}">
          <x14:formula1>
            <xm:f>'Dash Data'!$D$93:$D$100</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57A76-72FD-4BA2-B757-B3268950C72C}">
  <sheetPr codeName="Sheet28">
    <tabColor rgb="FFBBF7DC"/>
  </sheetPr>
  <dimension ref="A1:BE213"/>
  <sheetViews>
    <sheetView showGridLines="0" zoomScaleNormal="100" workbookViewId="0"/>
  </sheetViews>
  <sheetFormatPr defaultColWidth="9" defaultRowHeight="14.5" outlineLevelCol="1" x14ac:dyDescent="0.35"/>
  <cols>
    <col min="1" max="1" width="14.453125" customWidth="1"/>
    <col min="2" max="2" width="31" customWidth="1"/>
    <col min="3" max="3" width="12.1796875" style="417" hidden="1" customWidth="1" outlineLevel="1"/>
    <col min="4" max="4" width="2.54296875" customWidth="1" collapsed="1"/>
    <col min="5" max="5" width="1.54296875" hidden="1" customWidth="1"/>
    <col min="6" max="6" width="0.81640625" customWidth="1"/>
    <col min="7" max="7" width="8.81640625" customWidth="1"/>
    <col min="8" max="8" width="4.7265625" customWidth="1"/>
    <col min="9" max="9" width="40.81640625" hidden="1" customWidth="1" outlineLevel="1"/>
    <col min="10" max="10" width="9" hidden="1" customWidth="1" collapsed="1"/>
    <col min="11" max="11" width="5.1796875" hidden="1" customWidth="1"/>
    <col min="12" max="12" width="47" hidden="1" customWidth="1" outlineLevel="1"/>
    <col min="13" max="13" width="2.1796875" customWidth="1" collapsed="1"/>
    <col min="14" max="14" width="11" customWidth="1"/>
    <col min="15" max="15" width="4.453125" customWidth="1"/>
    <col min="16" max="16" width="14.81640625" customWidth="1"/>
    <col min="17" max="17" width="4.453125" customWidth="1"/>
    <col min="18" max="18" width="12.81640625" customWidth="1"/>
    <col min="19" max="19" width="4.81640625" customWidth="1"/>
    <col min="20" max="20" width="8.81640625" customWidth="1"/>
    <col min="21" max="21" width="59.453125" hidden="1" customWidth="1" outlineLevel="1"/>
    <col min="22" max="22" width="2" customWidth="1" collapsed="1"/>
    <col min="23" max="23" width="3.54296875" hidden="1" customWidth="1"/>
    <col min="24" max="24" width="15.81640625" customWidth="1"/>
    <col min="25" max="25" width="4.81640625" customWidth="1"/>
    <col min="26" max="26" width="12.81640625" customWidth="1"/>
    <col min="27" max="27" width="4.54296875" customWidth="1"/>
    <col min="28" max="28" width="8.81640625" customWidth="1"/>
    <col min="29" max="29" width="55.1796875" hidden="1" customWidth="1" outlineLevel="1"/>
    <col min="30" max="30" width="4.81640625" customWidth="1" collapsed="1"/>
    <col min="31" max="31" width="1.81640625" customWidth="1"/>
    <col min="32" max="32" width="9.81640625" bestFit="1" customWidth="1"/>
    <col min="33" max="33" width="10.81640625" customWidth="1"/>
    <col min="34" max="34" width="4.81640625" customWidth="1"/>
    <col min="35" max="35" width="9.81640625" customWidth="1"/>
    <col min="36" max="36" width="10.453125" customWidth="1"/>
    <col min="37" max="37" width="4.81640625" customWidth="1"/>
    <col min="38" max="39" width="9.81640625" customWidth="1"/>
    <col min="40" max="40" width="5.1796875" customWidth="1"/>
    <col min="41" max="42" width="9.81640625" bestFit="1" customWidth="1"/>
    <col min="43" max="43" width="4.81640625" customWidth="1"/>
    <col min="44" max="44" width="16.54296875" hidden="1" customWidth="1"/>
    <col min="45" max="45" width="7.1796875" hidden="1" customWidth="1"/>
    <col min="46" max="46" width="2.81640625" hidden="1" customWidth="1"/>
    <col min="47" max="47" width="5.81640625" hidden="1" customWidth="1"/>
    <col min="48" max="48" width="2.453125" hidden="1" customWidth="1"/>
    <col min="49" max="49" width="7.1796875" hidden="1" customWidth="1"/>
    <col min="50" max="50" width="2" hidden="1" customWidth="1"/>
    <col min="51" max="51" width="7.54296875" hidden="1" customWidth="1"/>
    <col min="52" max="52" width="1" hidden="1" customWidth="1"/>
    <col min="53" max="53" width="6.81640625" hidden="1" customWidth="1"/>
    <col min="54" max="54" width="0.1796875" hidden="1" customWidth="1"/>
    <col min="55" max="55" width="7.1796875" hidden="1" customWidth="1"/>
    <col min="56" max="56" width="0.453125" hidden="1" customWidth="1"/>
  </cols>
  <sheetData>
    <row r="1" spans="1:57" x14ac:dyDescent="0.35">
      <c r="A1" s="327"/>
      <c r="B1" s="327" t="s">
        <v>2578</v>
      </c>
      <c r="C1" s="335"/>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I1" s="327"/>
      <c r="AJ1" s="327"/>
      <c r="AL1" s="327"/>
      <c r="AM1" s="327"/>
      <c r="AO1" s="327"/>
      <c r="AP1" s="327"/>
      <c r="AQ1" s="327"/>
      <c r="AR1" s="448" t="s">
        <v>2579</v>
      </c>
      <c r="AS1" s="327"/>
      <c r="AT1" s="327"/>
      <c r="AU1" s="327"/>
      <c r="AV1" s="327"/>
      <c r="AW1" s="327"/>
      <c r="AX1" s="327"/>
      <c r="AY1" s="327"/>
      <c r="AZ1" s="327"/>
      <c r="BA1" s="327"/>
      <c r="BB1" s="327"/>
      <c r="BC1" s="327"/>
      <c r="BD1" s="327"/>
      <c r="BE1" s="327"/>
    </row>
    <row r="2" spans="1:57" x14ac:dyDescent="0.35">
      <c r="A2" s="327"/>
      <c r="B2" s="446"/>
      <c r="C2" s="327"/>
      <c r="D2" s="327"/>
      <c r="E2" s="327"/>
      <c r="F2" s="327"/>
      <c r="G2" s="327"/>
      <c r="H2" s="327"/>
      <c r="I2" s="327"/>
      <c r="J2" s="327"/>
      <c r="K2" s="327"/>
      <c r="L2" s="327"/>
      <c r="O2" s="327"/>
      <c r="P2" s="327"/>
      <c r="Q2" s="327"/>
      <c r="R2" s="327"/>
      <c r="S2" s="327"/>
      <c r="T2" s="327"/>
      <c r="U2" s="327"/>
      <c r="V2" s="327"/>
      <c r="W2" s="327"/>
      <c r="X2" s="327"/>
      <c r="Y2" s="327"/>
      <c r="Z2" s="327"/>
      <c r="AA2" s="327"/>
      <c r="AB2" s="327"/>
      <c r="AC2" s="327"/>
      <c r="AD2" s="327"/>
      <c r="AE2" s="327"/>
      <c r="AF2" s="327"/>
      <c r="AG2" s="327"/>
      <c r="AI2" s="327"/>
      <c r="AJ2" s="327"/>
      <c r="AL2" s="327"/>
      <c r="AM2" s="327"/>
      <c r="AO2" s="327"/>
      <c r="AP2" s="327"/>
      <c r="AQ2" s="327"/>
      <c r="AR2" s="448"/>
      <c r="AS2" s="327"/>
      <c r="AT2" s="327"/>
      <c r="AU2" s="327"/>
      <c r="AV2" s="327"/>
      <c r="AW2" s="501" t="str">
        <f>AF5</f>
        <v>I&amp;E Scenario A</v>
      </c>
      <c r="AX2" s="327"/>
      <c r="AY2" s="327"/>
      <c r="AZ2" s="327"/>
      <c r="BA2" s="327"/>
      <c r="BB2" s="327"/>
      <c r="BC2" s="327"/>
      <c r="BD2" s="327"/>
      <c r="BE2" s="327"/>
    </row>
    <row r="3" spans="1:57" x14ac:dyDescent="0.35">
      <c r="A3" s="328" t="s">
        <v>2580</v>
      </c>
      <c r="B3" s="476">
        <f>'Cover Sheet'!E21+1</f>
        <v>46113</v>
      </c>
      <c r="C3" s="335"/>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I3" s="327"/>
      <c r="AJ3" s="327"/>
      <c r="AL3" s="327"/>
      <c r="AM3" s="327"/>
      <c r="AO3" s="327"/>
      <c r="AP3" s="327"/>
      <c r="AQ3" s="327"/>
      <c r="AR3" s="448" t="s">
        <v>2581</v>
      </c>
      <c r="AS3" s="327"/>
      <c r="AT3" s="327"/>
      <c r="AU3" s="327"/>
      <c r="AV3" s="327"/>
      <c r="AW3" s="501" t="str">
        <f>AI5</f>
        <v>I&amp;E Scenario B</v>
      </c>
      <c r="AX3" s="327"/>
      <c r="AY3" s="327"/>
      <c r="AZ3" s="327"/>
      <c r="BA3" s="327"/>
      <c r="BB3" s="327"/>
      <c r="BC3" s="327"/>
      <c r="BD3" s="327"/>
      <c r="BE3" s="327"/>
    </row>
    <row r="4" spans="1:57" x14ac:dyDescent="0.35">
      <c r="A4" s="327"/>
      <c r="B4" s="446"/>
      <c r="C4" s="335"/>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I4" s="327"/>
      <c r="AJ4" s="327"/>
      <c r="AL4" s="327"/>
      <c r="AM4" s="327"/>
      <c r="AO4" s="327"/>
      <c r="AP4" s="327"/>
      <c r="AQ4" s="327"/>
      <c r="AR4" s="448" t="s">
        <v>2582</v>
      </c>
      <c r="AS4" s="327"/>
      <c r="AT4" s="327"/>
      <c r="AU4" s="327"/>
      <c r="AV4" s="327"/>
      <c r="AW4" s="501" t="str">
        <f>AL5</f>
        <v>I&amp;E Scenario C</v>
      </c>
      <c r="AX4" s="327"/>
      <c r="AY4" s="327"/>
      <c r="AZ4" s="327"/>
      <c r="BA4" s="327"/>
      <c r="BB4" s="327"/>
      <c r="BC4" s="327"/>
      <c r="BD4" s="327"/>
      <c r="BE4" s="327"/>
    </row>
    <row r="5" spans="1:57" x14ac:dyDescent="0.35">
      <c r="A5" s="327"/>
      <c r="B5" s="13"/>
      <c r="C5" s="336"/>
      <c r="D5" s="327"/>
      <c r="E5" s="691" t="str">
        <f>Timeline!V3</f>
        <v>FY2025</v>
      </c>
      <c r="F5" s="691"/>
      <c r="G5" s="691"/>
      <c r="H5" s="691"/>
      <c r="I5" s="496"/>
      <c r="J5" s="337" t="s">
        <v>2583</v>
      </c>
      <c r="K5" s="497"/>
      <c r="L5" s="496"/>
      <c r="M5" s="327"/>
      <c r="N5" s="511" t="str">
        <f>Timeline!W3</f>
        <v>FY2026</v>
      </c>
      <c r="O5" s="347"/>
      <c r="P5" s="691" t="str">
        <f>Timeline!W3</f>
        <v>FY2026</v>
      </c>
      <c r="Q5" s="691"/>
      <c r="R5" s="691"/>
      <c r="S5" s="691"/>
      <c r="T5" s="691"/>
      <c r="U5" s="338"/>
      <c r="V5" s="327"/>
      <c r="W5" s="691" t="str">
        <f>Timeline!X3</f>
        <v>FY2027</v>
      </c>
      <c r="X5" s="691"/>
      <c r="Y5" s="691"/>
      <c r="Z5" s="691"/>
      <c r="AA5" s="691"/>
      <c r="AB5" s="691"/>
      <c r="AC5" s="338"/>
      <c r="AD5" s="327"/>
      <c r="AE5" s="327"/>
      <c r="AF5" s="692" t="s">
        <v>2584</v>
      </c>
      <c r="AG5" s="692"/>
      <c r="AI5" s="692" t="s">
        <v>2585</v>
      </c>
      <c r="AJ5" s="692"/>
      <c r="AL5" s="692" t="s">
        <v>2586</v>
      </c>
      <c r="AM5" s="692"/>
      <c r="AO5" s="692" t="s">
        <v>2587</v>
      </c>
      <c r="AP5" s="692"/>
      <c r="AQ5" s="327"/>
      <c r="AS5" s="327"/>
      <c r="AT5" s="327"/>
      <c r="AU5" s="327"/>
      <c r="AV5" s="327"/>
      <c r="AW5" s="501" t="str">
        <f>AO5</f>
        <v>I&amp;E Scenario D</v>
      </c>
      <c r="AX5" s="327"/>
      <c r="AY5" s="327"/>
      <c r="AZ5" s="327"/>
      <c r="BA5" s="327"/>
      <c r="BB5" s="327"/>
      <c r="BC5" s="327"/>
      <c r="BD5" s="327"/>
      <c r="BE5" s="327"/>
    </row>
    <row r="6" spans="1:57" ht="32.25" customHeight="1" x14ac:dyDescent="0.35">
      <c r="A6" s="327"/>
      <c r="B6" s="13"/>
      <c r="C6" s="340" t="s">
        <v>2588</v>
      </c>
      <c r="D6" s="327"/>
      <c r="E6" s="488"/>
      <c r="F6" s="691" t="s">
        <v>2589</v>
      </c>
      <c r="G6" s="691" t="s">
        <v>2589</v>
      </c>
      <c r="H6" s="691"/>
      <c r="I6" s="338" t="s">
        <v>2590</v>
      </c>
      <c r="J6" s="337" t="s">
        <v>2589</v>
      </c>
      <c r="K6" s="341"/>
      <c r="L6" s="338" t="s">
        <v>2590</v>
      </c>
      <c r="M6" s="327"/>
      <c r="N6" s="489" t="str">
        <f>"YTD ("&amp;COUNTIF(Timeline!$AA$4:$AL$4,0)&amp;"m)"&amp;"  Actual"</f>
        <v>YTD (8m)  Actual</v>
      </c>
      <c r="O6" s="347"/>
      <c r="P6" s="489" t="str">
        <f>P5&amp;" Full Year Reforecast"</f>
        <v>FY2026 Full Year Reforecast</v>
      </c>
      <c r="Q6" s="488"/>
      <c r="R6" s="518" t="s">
        <v>2584</v>
      </c>
      <c r="S6" s="488"/>
      <c r="T6" s="488" t="s">
        <v>2557</v>
      </c>
      <c r="U6" s="338" t="s">
        <v>2590</v>
      </c>
      <c r="V6" s="327"/>
      <c r="W6" s="488"/>
      <c r="X6" s="489" t="str">
        <f>W5&amp;" Full Year Reforecast"</f>
        <v>FY2027 Full Year Reforecast</v>
      </c>
      <c r="Y6" s="488"/>
      <c r="Z6" s="518" t="s">
        <v>2584</v>
      </c>
      <c r="AA6" s="488"/>
      <c r="AB6" s="488" t="s">
        <v>2557</v>
      </c>
      <c r="AC6" s="337" t="s">
        <v>2590</v>
      </c>
      <c r="AD6" s="327"/>
      <c r="AE6" s="327"/>
      <c r="AF6" s="489" t="str">
        <f>P5</f>
        <v>FY2026</v>
      </c>
      <c r="AG6" s="489" t="str">
        <f>W5</f>
        <v>FY2027</v>
      </c>
      <c r="AI6" s="489" t="str">
        <f>AF6</f>
        <v>FY2026</v>
      </c>
      <c r="AJ6" s="489" t="str">
        <f>AG6</f>
        <v>FY2027</v>
      </c>
      <c r="AL6" s="489" t="str">
        <f>AI6</f>
        <v>FY2026</v>
      </c>
      <c r="AM6" s="489" t="str">
        <f>AJ6</f>
        <v>FY2027</v>
      </c>
      <c r="AO6" s="489" t="str">
        <f>AL6</f>
        <v>FY2026</v>
      </c>
      <c r="AP6" s="489" t="str">
        <f>AM6</f>
        <v>FY2027</v>
      </c>
      <c r="AQ6" s="327"/>
      <c r="AR6" s="327"/>
      <c r="AS6" s="327"/>
      <c r="AT6" s="327"/>
      <c r="AU6" s="327"/>
      <c r="AV6" s="327"/>
      <c r="AX6" s="327"/>
      <c r="AY6" s="327"/>
      <c r="AZ6" s="327"/>
      <c r="BA6" s="327"/>
      <c r="BB6" s="327"/>
      <c r="BC6" s="327"/>
      <c r="BD6" s="327"/>
      <c r="BE6" s="327"/>
    </row>
    <row r="7" spans="1:57" x14ac:dyDescent="0.35">
      <c r="A7" s="327"/>
      <c r="B7" s="327"/>
      <c r="C7" s="335"/>
      <c r="D7" s="327"/>
      <c r="E7" s="342"/>
      <c r="F7" s="342"/>
      <c r="G7" s="342" t="s">
        <v>2571</v>
      </c>
      <c r="H7" s="342"/>
      <c r="I7" s="343"/>
      <c r="J7" s="342" t="s">
        <v>2571</v>
      </c>
      <c r="K7" s="343"/>
      <c r="L7" s="327"/>
      <c r="M7" s="327"/>
      <c r="N7" s="342" t="s">
        <v>2571</v>
      </c>
      <c r="O7" s="342"/>
      <c r="P7" s="342" t="s">
        <v>2571</v>
      </c>
      <c r="Q7" s="342"/>
      <c r="R7" s="342" t="s">
        <v>2571</v>
      </c>
      <c r="S7" s="342"/>
      <c r="T7" s="342" t="s">
        <v>2571</v>
      </c>
      <c r="U7" s="342"/>
      <c r="V7" s="327"/>
      <c r="W7" s="342"/>
      <c r="X7" s="342" t="s">
        <v>2571</v>
      </c>
      <c r="Y7" s="342"/>
      <c r="Z7" s="342" t="s">
        <v>2571</v>
      </c>
      <c r="AA7" s="342"/>
      <c r="AB7" s="342" t="s">
        <v>2571</v>
      </c>
      <c r="AC7" s="342"/>
      <c r="AD7" s="327"/>
      <c r="AE7" s="327"/>
      <c r="AF7" s="342"/>
      <c r="AG7" s="342"/>
      <c r="AI7" s="342"/>
      <c r="AJ7" s="342"/>
      <c r="AL7" s="342"/>
      <c r="AM7" s="342"/>
      <c r="AO7" s="342"/>
      <c r="AP7" s="342"/>
      <c r="AQ7" s="327"/>
      <c r="AR7" s="327"/>
      <c r="AS7" s="327"/>
      <c r="AT7" s="327"/>
      <c r="AU7" s="327"/>
      <c r="AV7" s="327"/>
      <c r="AW7" s="327"/>
      <c r="AX7" s="327"/>
      <c r="AY7" s="327"/>
      <c r="AZ7" s="327"/>
      <c r="BA7" s="327"/>
      <c r="BB7" s="327"/>
      <c r="BC7" s="327"/>
      <c r="BD7" s="327"/>
      <c r="BE7" s="327"/>
    </row>
    <row r="8" spans="1:57" x14ac:dyDescent="0.35">
      <c r="A8" s="327"/>
      <c r="B8" s="446" t="s">
        <v>2591</v>
      </c>
      <c r="C8" s="335"/>
      <c r="D8" s="327"/>
      <c r="E8" s="327"/>
      <c r="F8" s="327"/>
      <c r="G8" s="327"/>
      <c r="H8" s="327"/>
      <c r="I8" s="327"/>
      <c r="J8" s="344"/>
      <c r="K8" s="327"/>
      <c r="L8" s="327"/>
      <c r="M8" s="327"/>
      <c r="N8" s="327"/>
      <c r="O8" s="327"/>
      <c r="P8" s="327"/>
      <c r="Q8" s="327"/>
      <c r="R8" s="327"/>
      <c r="S8" s="327"/>
      <c r="T8" s="327"/>
      <c r="U8" s="327"/>
      <c r="V8" s="327"/>
      <c r="W8" s="327"/>
      <c r="X8" s="327"/>
      <c r="Y8" s="327"/>
      <c r="Z8" s="327"/>
      <c r="AA8" s="327"/>
      <c r="AB8" s="327"/>
      <c r="AC8" s="345"/>
      <c r="AD8" s="327"/>
      <c r="AE8" s="327"/>
      <c r="AF8" s="345"/>
      <c r="AG8" s="345"/>
      <c r="AI8" s="345"/>
      <c r="AJ8" s="345"/>
      <c r="AL8" s="345"/>
      <c r="AM8" s="345"/>
      <c r="AO8" s="345"/>
      <c r="AP8" s="345"/>
      <c r="AQ8" s="327"/>
      <c r="AR8" s="327"/>
      <c r="AS8" s="327"/>
      <c r="AT8" s="327"/>
      <c r="AU8" s="327"/>
      <c r="AV8" s="327"/>
      <c r="AW8" s="327"/>
      <c r="AX8" s="327"/>
      <c r="AY8" s="327"/>
      <c r="AZ8" s="327"/>
      <c r="BA8" s="327"/>
      <c r="BB8" s="327"/>
      <c r="BC8" s="327"/>
      <c r="BD8" s="327"/>
      <c r="BE8" s="327"/>
    </row>
    <row r="9" spans="1:57" x14ac:dyDescent="0.35">
      <c r="A9" s="327"/>
      <c r="B9" s="346" t="s">
        <v>2592</v>
      </c>
      <c r="C9" s="335" t="s">
        <v>2593</v>
      </c>
      <c r="D9" s="327"/>
      <c r="E9" s="327"/>
      <c r="F9" s="327"/>
      <c r="G9" s="10">
        <f>'I&amp;E Annual'!BX13+'I&amp;E Annual'!BX23</f>
        <v>0</v>
      </c>
      <c r="H9" s="327"/>
      <c r="I9" s="327"/>
      <c r="J9" s="347"/>
      <c r="K9" s="348"/>
      <c r="L9" s="349"/>
      <c r="M9" s="327"/>
      <c r="N9" s="10">
        <f>SUMIF('I&amp;E Annual'!$AA$4:$AL$4, 0, 'I&amp;E Annual'!AA13:AL13) + SUMIF('I&amp;E Annual'!$AA$4:$AL$4, 0, 'I&amp;E Annual'!AA23:AL23)</f>
        <v>0</v>
      </c>
      <c r="O9" s="347"/>
      <c r="P9" s="10">
        <f>'I&amp;E Annual'!BY13+'I&amp;E Annual'!BY23</f>
        <v>0</v>
      </c>
      <c r="Q9" s="347"/>
      <c r="R9" s="10">
        <f t="shared" ref="R9:R14" si="0">INDEX(AF9:AP9, 1, MATCH(R$6, $AF$5:$AP$5, 0))</f>
        <v>0</v>
      </c>
      <c r="T9" s="10">
        <f t="shared" ref="T9:T14" si="1">+P9-R9</f>
        <v>0</v>
      </c>
      <c r="U9" s="349"/>
      <c r="V9" s="327"/>
      <c r="W9" s="327"/>
      <c r="X9" s="10">
        <f>'I&amp;E Annual'!BZ13+'I&amp;E Annual'!BZ23</f>
        <v>0</v>
      </c>
      <c r="Y9" s="347"/>
      <c r="Z9" s="10">
        <f t="shared" ref="Z9:Z14" si="2">INDEX(AG9:AQ9, 1, MATCH(Z$6, $AF$5:$AP$5, 0))</f>
        <v>0</v>
      </c>
      <c r="AA9" s="347"/>
      <c r="AB9" s="10">
        <f t="shared" ref="AB9:AB14" si="3">+X9-Z9</f>
        <v>0</v>
      </c>
      <c r="AC9" s="349"/>
      <c r="AD9" s="327"/>
      <c r="AE9" s="327"/>
      <c r="AF9" s="114"/>
      <c r="AG9" s="487"/>
      <c r="AI9" s="114"/>
      <c r="AJ9" s="114"/>
      <c r="AL9" s="114"/>
      <c r="AM9" s="114"/>
      <c r="AO9" s="114"/>
      <c r="AP9" s="114"/>
      <c r="AQ9" s="327"/>
      <c r="AR9" s="327"/>
      <c r="AS9" s="327"/>
      <c r="AT9" s="327"/>
      <c r="AU9" s="327"/>
      <c r="AV9" s="327"/>
      <c r="AW9" s="327"/>
      <c r="AX9" s="327"/>
      <c r="AY9" s="327"/>
      <c r="AZ9" s="327"/>
      <c r="BA9" s="327"/>
      <c r="BB9" s="327"/>
      <c r="BC9" s="327"/>
      <c r="BD9" s="327"/>
      <c r="BE9" s="327"/>
    </row>
    <row r="10" spans="1:57" x14ac:dyDescent="0.35">
      <c r="A10" s="327"/>
      <c r="B10" s="346" t="s">
        <v>330</v>
      </c>
      <c r="C10" s="425" t="s">
        <v>2594</v>
      </c>
      <c r="D10" s="327"/>
      <c r="E10" s="327"/>
      <c r="F10" s="327"/>
      <c r="G10" s="10">
        <f>'I&amp;E Annual'!BX29+'I&amp;E Annual'!BX67</f>
        <v>0</v>
      </c>
      <c r="H10" s="327"/>
      <c r="I10" s="327"/>
      <c r="J10" s="347"/>
      <c r="K10" s="348"/>
      <c r="L10" s="349"/>
      <c r="M10" s="327"/>
      <c r="N10" s="10">
        <f>SUMIF('I&amp;E Annual'!$AA$4:$AL$4, 0, 'I&amp;E Annual'!AA29:AL29) + SUMIF('I&amp;E Annual'!$AA$4:$AL$4, 0, 'I&amp;E Annual'!AA67:AL67)</f>
        <v>0</v>
      </c>
      <c r="O10" s="347"/>
      <c r="P10" s="10">
        <f>'I&amp;E Annual'!BY29+'I&amp;E Annual'!BY67</f>
        <v>0</v>
      </c>
      <c r="Q10" s="347"/>
      <c r="R10" s="10">
        <f t="shared" si="0"/>
        <v>0</v>
      </c>
      <c r="S10" s="347"/>
      <c r="T10" s="10">
        <f t="shared" si="1"/>
        <v>0</v>
      </c>
      <c r="U10" s="349"/>
      <c r="V10" s="327"/>
      <c r="W10" s="327"/>
      <c r="X10" s="10">
        <f>'I&amp;E Annual'!BZ29+'I&amp;E Annual'!BZ67</f>
        <v>0</v>
      </c>
      <c r="Y10" s="347"/>
      <c r="Z10" s="10">
        <f t="shared" si="2"/>
        <v>0</v>
      </c>
      <c r="AA10" s="347"/>
      <c r="AB10" s="10">
        <f t="shared" si="3"/>
        <v>0</v>
      </c>
      <c r="AC10" s="350"/>
      <c r="AD10" s="350"/>
      <c r="AE10" s="350"/>
      <c r="AF10" s="114"/>
      <c r="AG10" s="487"/>
      <c r="AI10" s="114"/>
      <c r="AJ10" s="114"/>
      <c r="AL10" s="114"/>
      <c r="AM10" s="114"/>
      <c r="AO10" s="114"/>
      <c r="AP10" s="114"/>
      <c r="AQ10" s="350"/>
      <c r="AR10" s="327"/>
      <c r="AS10" s="327"/>
      <c r="AT10" s="327"/>
      <c r="AU10" s="327"/>
      <c r="AV10" s="327"/>
      <c r="AW10" s="327"/>
      <c r="AX10" s="327"/>
      <c r="AY10" s="327"/>
      <c r="AZ10" s="327"/>
      <c r="BA10" s="327"/>
      <c r="BB10" s="327"/>
      <c r="BC10" s="327"/>
      <c r="BD10" s="327"/>
      <c r="BE10" s="327"/>
    </row>
    <row r="11" spans="1:57" x14ac:dyDescent="0.35">
      <c r="A11" s="327"/>
      <c r="B11" s="346" t="s">
        <v>2595</v>
      </c>
      <c r="C11" s="335" t="s">
        <v>2596</v>
      </c>
      <c r="D11" s="327"/>
      <c r="E11" s="327"/>
      <c r="F11" s="327"/>
      <c r="G11" s="10">
        <f>'I&amp;E Annual'!BX38</f>
        <v>0</v>
      </c>
      <c r="H11" s="327"/>
      <c r="I11" s="327"/>
      <c r="J11" s="347"/>
      <c r="K11" s="348"/>
      <c r="L11" s="349"/>
      <c r="M11" s="327"/>
      <c r="N11" s="10">
        <f>SUMIF('I&amp;E Annual'!$AA$4:$AL$4, 0, 'I&amp;E Annual'!AA38:AL38)</f>
        <v>0</v>
      </c>
      <c r="O11" s="347"/>
      <c r="P11" s="10">
        <f>'I&amp;E Annual'!BY38</f>
        <v>0</v>
      </c>
      <c r="Q11" s="347"/>
      <c r="R11" s="10">
        <f t="shared" si="0"/>
        <v>0</v>
      </c>
      <c r="S11" s="347"/>
      <c r="T11" s="10">
        <f t="shared" si="1"/>
        <v>0</v>
      </c>
      <c r="U11" s="349"/>
      <c r="V11" s="327"/>
      <c r="W11" s="327"/>
      <c r="X11" s="10">
        <f>'I&amp;E Annual'!BZ38</f>
        <v>0</v>
      </c>
      <c r="Y11" s="347"/>
      <c r="Z11" s="10">
        <f t="shared" si="2"/>
        <v>0</v>
      </c>
      <c r="AA11" s="347"/>
      <c r="AB11" s="10">
        <f t="shared" si="3"/>
        <v>0</v>
      </c>
      <c r="AC11" s="350"/>
      <c r="AD11" s="350"/>
      <c r="AE11" s="350"/>
      <c r="AF11" s="114"/>
      <c r="AG11" s="487"/>
      <c r="AI11" s="114"/>
      <c r="AJ11" s="114"/>
      <c r="AL11" s="114"/>
      <c r="AM11" s="114"/>
      <c r="AO11" s="114"/>
      <c r="AP11" s="114"/>
      <c r="AQ11" s="350"/>
      <c r="AR11" s="327"/>
      <c r="AS11" s="327"/>
      <c r="AT11" s="327"/>
      <c r="AU11" s="327"/>
      <c r="AV11" s="327"/>
      <c r="AW11" s="327"/>
      <c r="AX11" s="327"/>
      <c r="AY11" s="327"/>
      <c r="AZ11" s="327"/>
      <c r="BA11" s="327"/>
      <c r="BB11" s="327"/>
      <c r="BC11" s="327"/>
      <c r="BD11" s="327"/>
      <c r="BE11" s="327"/>
    </row>
    <row r="12" spans="1:57" x14ac:dyDescent="0.35">
      <c r="A12" s="327"/>
      <c r="B12" t="s">
        <v>2597</v>
      </c>
      <c r="C12" s="425" t="s">
        <v>2598</v>
      </c>
      <c r="D12" s="327"/>
      <c r="E12" s="327"/>
      <c r="F12" s="327"/>
      <c r="G12" s="10">
        <f>SUM('I&amp;E Annual'!BX46,SUM('I&amp;E Annual'!BX64:BX66))</f>
        <v>0</v>
      </c>
      <c r="H12" s="327"/>
      <c r="I12" s="327"/>
      <c r="J12" s="347"/>
      <c r="K12" s="348"/>
      <c r="L12" s="349"/>
      <c r="M12" s="327"/>
      <c r="N12" s="10">
        <f>SUMIF('I&amp;E Annual'!$AA$4:$AL$4, 0, 'I&amp;E Annual'!AA46:AL46) + SUMIF('I&amp;E Annual'!$AA$4:$AL$4, 0, 'I&amp;E Annual'!AA64:AL64) + SUMIF('I&amp;E Annual'!$AA$4:$AL$4, 0, 'I&amp;E Annual'!AA65:AL65) + SUMIF('I&amp;E Annual'!$AA$4:$AL$4, 0, 'I&amp;E Annual'!AA66:AL66)</f>
        <v>0</v>
      </c>
      <c r="O12" s="347"/>
      <c r="P12" s="10">
        <f>SUM('I&amp;E Annual'!BY46,SUM('I&amp;E Annual'!BY64:BY66))</f>
        <v>0</v>
      </c>
      <c r="Q12" s="347"/>
      <c r="R12" s="10">
        <f t="shared" si="0"/>
        <v>0</v>
      </c>
      <c r="S12" s="347"/>
      <c r="T12" s="10">
        <f t="shared" si="1"/>
        <v>0</v>
      </c>
      <c r="U12" s="349"/>
      <c r="V12" s="327"/>
      <c r="W12" s="327"/>
      <c r="X12" s="10">
        <f>SUM('I&amp;E Annual'!BZ46,SUM('I&amp;E Annual'!BZ64:BZ66))</f>
        <v>0</v>
      </c>
      <c r="Y12" s="347"/>
      <c r="Z12" s="10">
        <f t="shared" si="2"/>
        <v>0</v>
      </c>
      <c r="AA12" s="347"/>
      <c r="AB12" s="10">
        <f t="shared" si="3"/>
        <v>0</v>
      </c>
      <c r="AC12" s="349"/>
      <c r="AD12" s="349"/>
      <c r="AE12" s="349"/>
      <c r="AF12" s="114"/>
      <c r="AG12" s="487"/>
      <c r="AI12" s="114"/>
      <c r="AJ12" s="114"/>
      <c r="AL12" s="114"/>
      <c r="AM12" s="114"/>
      <c r="AO12" s="114"/>
      <c r="AP12" s="114"/>
      <c r="AQ12" s="349"/>
      <c r="AR12" s="349"/>
      <c r="AS12" s="327"/>
      <c r="AT12" s="327"/>
      <c r="AU12" s="327"/>
      <c r="AV12" s="327"/>
      <c r="AW12" s="327"/>
      <c r="AX12" s="327"/>
      <c r="AY12" s="327"/>
      <c r="AZ12" s="327"/>
      <c r="BA12" s="327"/>
      <c r="BB12" s="327"/>
      <c r="BC12" s="327"/>
      <c r="BD12" s="327"/>
      <c r="BE12" s="327"/>
    </row>
    <row r="13" spans="1:57" x14ac:dyDescent="0.35">
      <c r="A13" s="327"/>
      <c r="B13" s="346" t="s">
        <v>350</v>
      </c>
      <c r="C13" s="335" t="s">
        <v>2599</v>
      </c>
      <c r="D13" s="327"/>
      <c r="E13" s="327"/>
      <c r="F13" s="327"/>
      <c r="G13" s="10">
        <f>'I&amp;E Annual'!BX53</f>
        <v>0</v>
      </c>
      <c r="H13" s="327"/>
      <c r="I13" s="327"/>
      <c r="J13" s="347"/>
      <c r="K13" s="348"/>
      <c r="L13" s="349"/>
      <c r="M13" s="327"/>
      <c r="N13" s="10">
        <f>SUMIF('I&amp;E Annual'!$AA$4:$AL$4, 0, 'I&amp;E Annual'!AA53:AL53)</f>
        <v>0</v>
      </c>
      <c r="O13" s="347"/>
      <c r="P13" s="10">
        <f>'I&amp;E Annual'!BY53</f>
        <v>0</v>
      </c>
      <c r="Q13" s="347"/>
      <c r="R13" s="10">
        <f t="shared" si="0"/>
        <v>0</v>
      </c>
      <c r="S13" s="347"/>
      <c r="T13" s="10">
        <f t="shared" si="1"/>
        <v>0</v>
      </c>
      <c r="U13" s="349"/>
      <c r="V13" s="327"/>
      <c r="W13" s="327"/>
      <c r="X13" s="10">
        <f>'I&amp;E Annual'!BZ53</f>
        <v>0</v>
      </c>
      <c r="Y13" s="347"/>
      <c r="Z13" s="10">
        <f t="shared" si="2"/>
        <v>0</v>
      </c>
      <c r="AA13" s="347"/>
      <c r="AB13" s="10">
        <f t="shared" si="3"/>
        <v>0</v>
      </c>
      <c r="AC13" s="350"/>
      <c r="AD13" s="350"/>
      <c r="AE13" s="350"/>
      <c r="AF13" s="114"/>
      <c r="AG13" s="487"/>
      <c r="AI13" s="114"/>
      <c r="AJ13" s="114"/>
      <c r="AL13" s="114"/>
      <c r="AM13" s="114"/>
      <c r="AO13" s="114"/>
      <c r="AP13" s="114"/>
      <c r="AQ13" s="350"/>
      <c r="AR13" s="327"/>
      <c r="AS13" s="327"/>
      <c r="AT13" s="327"/>
      <c r="AU13" s="327"/>
      <c r="AV13" s="327"/>
      <c r="AW13" s="327"/>
      <c r="AX13" s="327"/>
      <c r="AY13" s="327"/>
      <c r="AZ13" s="327"/>
      <c r="BA13" s="327"/>
      <c r="BB13" s="327"/>
      <c r="BC13" s="327"/>
      <c r="BD13" s="327"/>
      <c r="BE13" s="327"/>
    </row>
    <row r="14" spans="1:57" x14ac:dyDescent="0.35">
      <c r="A14" s="327"/>
      <c r="B14" t="s">
        <v>388</v>
      </c>
      <c r="C14" s="425" t="s">
        <v>2600</v>
      </c>
      <c r="D14" s="327"/>
      <c r="E14" s="327"/>
      <c r="F14" s="327"/>
      <c r="G14" s="10">
        <f>SUM('I&amp;E Annual'!BX68:BX73,'I&amp;E Annual'!BX85,'I&amp;E Annual'!BX90,'I&amp;E Annual'!BX100)</f>
        <v>0</v>
      </c>
      <c r="H14" s="327"/>
      <c r="I14" s="327"/>
      <c r="J14" s="347"/>
      <c r="K14" s="348"/>
      <c r="L14" s="327"/>
      <c r="M14" s="327"/>
      <c r="N14" s="10">
        <f>SUMIF('I&amp;E Annual'!$AA$4:$AL$4, 0, 'I&amp;E Annual'!AA68:AL68) + SUMIF('I&amp;E Annual'!$AA$4:$AL$4, 0, 'I&amp;E Annual'!AA69:AL69) + SUMIF('I&amp;E Annual'!$AA$4:$AL$4, 0, 'I&amp;E Annual'!AA70:AL70) + SUMIF('I&amp;E Annual'!$AA$4:$AL$4, 0, 'I&amp;E Annual'!AA71:AL71) + SUMIF('I&amp;E Annual'!$AA$4:$AL$4, 0, 'I&amp;E Annual'!AA72:AL72) + SUMIF('I&amp;E Annual'!$AA$4:$AL$4, 0, 'I&amp;E Annual'!AA73:AL73) + SUMIF('I&amp;E Annual'!$AA$4:$AL$4, 0, 'I&amp;E Annual'!AA85:AL85) + SUMIF('I&amp;E Annual'!$AA$4:$AL$4, 0, 'I&amp;E Annual'!AA90:AL90) + SUMIF('I&amp;E Annual'!$AA$4:$AL$4, 0, 'I&amp;E Annual'!AA100:AL100)</f>
        <v>0</v>
      </c>
      <c r="O14" s="347"/>
      <c r="P14" s="10">
        <f>SUM('I&amp;E Annual'!BY68:BY73, 'I&amp;E Annual'!BY85, 'I&amp;E Annual'!BY90, 'I&amp;E Annual'!BY100)</f>
        <v>0</v>
      </c>
      <c r="Q14" s="347"/>
      <c r="R14" s="10">
        <f t="shared" si="0"/>
        <v>0</v>
      </c>
      <c r="S14" s="347"/>
      <c r="T14" s="10">
        <f t="shared" si="1"/>
        <v>0</v>
      </c>
      <c r="U14" s="349"/>
      <c r="V14" s="327"/>
      <c r="W14" s="327"/>
      <c r="X14" s="10">
        <f>SUM('I&amp;E Annual'!BZ68:BZ73, 'I&amp;E Annual'!BZ85, 'I&amp;E Annual'!BZ90, 'I&amp;E Annual'!BZ100)</f>
        <v>0</v>
      </c>
      <c r="Y14" s="347"/>
      <c r="Z14" s="10">
        <f t="shared" si="2"/>
        <v>0</v>
      </c>
      <c r="AA14" s="347"/>
      <c r="AB14" s="10">
        <f t="shared" si="3"/>
        <v>0</v>
      </c>
      <c r="AC14" s="350"/>
      <c r="AD14" s="350"/>
      <c r="AE14" s="350"/>
      <c r="AF14" s="114"/>
      <c r="AG14" s="487"/>
      <c r="AI14" s="114"/>
      <c r="AJ14" s="114"/>
      <c r="AL14" s="114"/>
      <c r="AM14" s="114"/>
      <c r="AO14" s="114"/>
      <c r="AP14" s="114"/>
      <c r="AQ14" s="350"/>
      <c r="AR14" s="327"/>
      <c r="AS14" s="327"/>
      <c r="AT14" s="327"/>
      <c r="AU14" s="327"/>
      <c r="AV14" s="327"/>
      <c r="AW14" s="327"/>
      <c r="AX14" s="327"/>
      <c r="AY14" s="327"/>
      <c r="AZ14" s="327"/>
      <c r="BA14" s="327"/>
      <c r="BB14" s="327"/>
      <c r="BC14" s="327"/>
      <c r="BD14" s="327"/>
      <c r="BE14" s="327"/>
    </row>
    <row r="15" spans="1:57" x14ac:dyDescent="0.35">
      <c r="A15" s="327"/>
      <c r="B15" s="346"/>
      <c r="C15" s="351"/>
      <c r="D15" s="346"/>
      <c r="E15" s="347"/>
      <c r="F15" s="347"/>
      <c r="G15" s="352"/>
      <c r="H15" s="347"/>
      <c r="I15" s="349"/>
      <c r="J15" s="352"/>
      <c r="K15" s="348"/>
      <c r="L15" s="353"/>
      <c r="M15" s="327"/>
      <c r="N15" s="352"/>
      <c r="O15" s="347"/>
      <c r="P15" s="352"/>
      <c r="Q15" s="347"/>
      <c r="R15" s="352"/>
      <c r="S15" s="347"/>
      <c r="T15" s="352"/>
      <c r="U15" s="349"/>
      <c r="V15" s="327"/>
      <c r="W15" s="347"/>
      <c r="X15" s="352"/>
      <c r="Y15" s="347"/>
      <c r="Z15" s="352"/>
      <c r="AA15" s="347"/>
      <c r="AB15" s="352"/>
      <c r="AC15" s="350"/>
      <c r="AD15" s="350"/>
      <c r="AE15" s="350"/>
      <c r="AF15" s="350"/>
      <c r="AG15" s="350"/>
      <c r="AI15" s="350"/>
      <c r="AJ15" s="350"/>
      <c r="AL15" s="350"/>
      <c r="AM15" s="350"/>
      <c r="AO15" s="350"/>
      <c r="AP15" s="350"/>
      <c r="AQ15" s="350"/>
      <c r="AR15" s="327"/>
      <c r="AS15" s="327"/>
      <c r="AT15" s="327"/>
      <c r="AU15" s="327"/>
      <c r="AV15" s="327"/>
      <c r="AW15" s="327"/>
      <c r="AX15" s="327"/>
      <c r="AY15" s="327"/>
      <c r="AZ15" s="327"/>
      <c r="BA15" s="327"/>
      <c r="BB15" s="327"/>
      <c r="BC15" s="327"/>
      <c r="BD15" s="327"/>
      <c r="BE15" s="327"/>
    </row>
    <row r="16" spans="1:57" x14ac:dyDescent="0.35">
      <c r="A16" s="327"/>
      <c r="B16" s="327"/>
      <c r="C16" s="354"/>
      <c r="D16" s="355"/>
      <c r="E16" s="355"/>
      <c r="F16" s="355"/>
      <c r="G16" s="12">
        <f>SUM(G9:G15)</f>
        <v>0</v>
      </c>
      <c r="H16" s="347"/>
      <c r="I16" s="356"/>
      <c r="J16" s="355">
        <f>SUM(J9:J15)</f>
        <v>0</v>
      </c>
      <c r="K16" s="348" t="e">
        <f>+J16/P16</f>
        <v>#DIV/0!</v>
      </c>
      <c r="L16" s="356"/>
      <c r="M16" s="327"/>
      <c r="N16" s="12">
        <f>SUM(N9:N15)</f>
        <v>0</v>
      </c>
      <c r="O16" s="355"/>
      <c r="P16" s="12">
        <f>SUM(P9:P15)</f>
        <v>0</v>
      </c>
      <c r="Q16" s="355"/>
      <c r="R16" s="12">
        <f>SUM(R9:R15)</f>
        <v>0</v>
      </c>
      <c r="S16" s="355"/>
      <c r="T16" s="12">
        <f>+P16-R16</f>
        <v>0</v>
      </c>
      <c r="U16" s="334"/>
      <c r="V16" s="327"/>
      <c r="W16" s="355"/>
      <c r="X16" s="12">
        <f>SUM(X9:X15)</f>
        <v>0</v>
      </c>
      <c r="Y16" s="355"/>
      <c r="Z16" s="12">
        <f>SUM(Z9:Z15)</f>
        <v>0</v>
      </c>
      <c r="AA16" s="355"/>
      <c r="AB16" s="12">
        <f>+X16-Z16</f>
        <v>0</v>
      </c>
      <c r="AC16" s="334"/>
      <c r="AD16" s="334"/>
      <c r="AE16" s="334"/>
      <c r="AF16" s="12">
        <f>SUM(AF9:AF15)</f>
        <v>0</v>
      </c>
      <c r="AG16" s="12">
        <f>SUM(AG9:AG15)</f>
        <v>0</v>
      </c>
      <c r="AI16" s="12">
        <f>SUM(AI9:AI15)</f>
        <v>0</v>
      </c>
      <c r="AJ16" s="12">
        <f>SUM(AJ9:AJ15)</f>
        <v>0</v>
      </c>
      <c r="AL16" s="12">
        <f>SUM(AL9:AL15)</f>
        <v>0</v>
      </c>
      <c r="AM16" s="12">
        <f>SUM(AM9:AM15)</f>
        <v>0</v>
      </c>
      <c r="AO16" s="12">
        <f>SUM(AO9:AO15)</f>
        <v>0</v>
      </c>
      <c r="AP16" s="12">
        <f>SUM(AP9:AP15)</f>
        <v>0</v>
      </c>
      <c r="AQ16" s="334"/>
      <c r="AR16" s="327"/>
      <c r="AS16" s="327"/>
      <c r="AT16" s="327"/>
      <c r="AU16" s="327"/>
      <c r="AV16" s="327"/>
      <c r="AW16" s="327"/>
      <c r="AX16" s="327"/>
      <c r="AY16" s="327"/>
      <c r="AZ16" s="327"/>
      <c r="BA16" s="327"/>
      <c r="BB16" s="327"/>
      <c r="BC16" s="327"/>
      <c r="BD16" s="327"/>
      <c r="BE16" s="327"/>
    </row>
    <row r="17" spans="1:57" x14ac:dyDescent="0.35">
      <c r="A17" s="327"/>
      <c r="B17" s="498" t="s">
        <v>2601</v>
      </c>
      <c r="C17" s="474" t="s">
        <v>2602</v>
      </c>
      <c r="D17" s="355"/>
      <c r="E17" s="355"/>
      <c r="F17" s="355"/>
      <c r="G17" s="10">
        <f>SUM('I&amp;E Annual'!BX14,'I&amp;E Annual'!BX24,'I&amp;E Annual'!BX30,'I&amp;E Annual'!BX39,'I&amp;E Annual'!BX47,'I&amp;E Annual'!BX54,)</f>
        <v>0</v>
      </c>
      <c r="H17" s="451"/>
      <c r="I17" s="362"/>
      <c r="J17" s="360"/>
      <c r="K17" s="363"/>
      <c r="L17" s="362"/>
      <c r="N17" s="10">
        <f>SUMIF('I&amp;E Annual'!$AA$4:$AL$4, 0, 'I&amp;E Annual'!AA14:AL14) + SUMIF('I&amp;E Annual'!$AA$4:$AL$4, 0, 'I&amp;E Annual'!AA24:AL24) + SUMIF('I&amp;E Annual'!$AA$4:$AL$4, 0, 'I&amp;E Annual'!AA30:AL30) + SUMIF('I&amp;E Annual'!$AA$4:$AL$4, 0, 'I&amp;E Annual'!AA39:AL39) + SUMIF('I&amp;E Annual'!$AA$4:$AL$4, 0, 'I&amp;E Annual'!AA47:AL47) + SUMIF('I&amp;E Annual'!$AA$4:$AL$4, 0, 'I&amp;E Annual'!AA54:AL54)</f>
        <v>0</v>
      </c>
      <c r="O17" s="451"/>
      <c r="P17" s="10">
        <f>SUM('I&amp;E Annual'!BY14,'I&amp;E Annual'!BY24,'I&amp;E Annual'!BY30,'I&amp;E Annual'!BY39,'I&amp;E Annual'!BY47,'I&amp;E Annual'!BY54,)</f>
        <v>0</v>
      </c>
      <c r="Q17" s="451"/>
      <c r="R17" s="10">
        <f>INDEX(AF17:AP17, 1, MATCH(R$6, $AF$5:$AP$5, 0))</f>
        <v>0</v>
      </c>
      <c r="T17" s="10">
        <f>+P17-R17</f>
        <v>0</v>
      </c>
      <c r="U17" s="451"/>
      <c r="V17" s="451"/>
      <c r="W17" s="360"/>
      <c r="X17" s="10">
        <f>SUM('I&amp;E Annual'!BZ14,'I&amp;E Annual'!BZ24,'I&amp;E Annual'!BZ30,'I&amp;E Annual'!BZ39,'I&amp;E Annual'!BZ47,'I&amp;E Annual'!BZ54,)</f>
        <v>0</v>
      </c>
      <c r="Z17" s="10">
        <f>INDEX(AG17:AQ17, 1, MATCH(Z$6, $AF$5:$AP$5, 0))</f>
        <v>0</v>
      </c>
      <c r="AB17" s="10">
        <f>+X17-Z17</f>
        <v>0</v>
      </c>
      <c r="AC17" s="334"/>
      <c r="AD17" s="334"/>
      <c r="AE17" s="334"/>
      <c r="AF17" s="114"/>
      <c r="AG17" s="114"/>
      <c r="AI17" s="114"/>
      <c r="AJ17" s="114"/>
      <c r="AL17" s="114"/>
      <c r="AM17" s="114"/>
      <c r="AO17" s="114"/>
      <c r="AP17" s="114"/>
      <c r="AQ17" s="334"/>
      <c r="AR17" s="327"/>
      <c r="AS17" s="327"/>
      <c r="AT17" s="327"/>
      <c r="AU17" s="327"/>
      <c r="AV17" s="327"/>
      <c r="AW17" s="327"/>
      <c r="AX17" s="327"/>
      <c r="AY17" s="327"/>
      <c r="AZ17" s="327"/>
      <c r="BA17" s="327"/>
      <c r="BB17" s="327"/>
      <c r="BC17" s="327"/>
      <c r="BD17" s="327"/>
      <c r="BE17" s="327"/>
    </row>
    <row r="19" spans="1:57" x14ac:dyDescent="0.35">
      <c r="A19" s="327"/>
      <c r="B19" s="517" t="s">
        <v>2603</v>
      </c>
      <c r="C19" s="365"/>
      <c r="D19" s="364"/>
      <c r="E19" s="364"/>
      <c r="F19" s="364"/>
      <c r="G19" s="310">
        <f>'I&amp;E Annual'!BX102-'I&amp;E Summary'!G16</f>
        <v>0</v>
      </c>
      <c r="H19" s="366"/>
      <c r="I19" s="367"/>
      <c r="J19" s="364"/>
      <c r="K19" s="368"/>
      <c r="L19" s="367"/>
      <c r="M19" s="369"/>
      <c r="N19" s="364"/>
      <c r="O19" s="364"/>
      <c r="P19" s="310">
        <f>'I&amp;E Annual'!BY102-'I&amp;E Summary'!P16</f>
        <v>0</v>
      </c>
      <c r="Q19" s="364"/>
      <c r="R19" s="364"/>
      <c r="S19" s="364"/>
      <c r="T19" s="364"/>
      <c r="U19" s="370"/>
      <c r="V19" s="369"/>
      <c r="W19" s="364"/>
      <c r="X19" s="310">
        <f>'I&amp;E Annual'!BZ102-'I&amp;E Summary'!X16</f>
        <v>0</v>
      </c>
      <c r="Y19" s="364"/>
      <c r="Z19" s="364"/>
      <c r="AA19" s="364"/>
      <c r="AB19" s="364"/>
      <c r="AC19" s="334"/>
      <c r="AD19" s="334"/>
      <c r="AE19" s="334"/>
      <c r="AF19" s="334"/>
      <c r="AG19" s="334"/>
      <c r="AI19" s="334"/>
      <c r="AJ19" s="334"/>
      <c r="AL19" s="334"/>
      <c r="AM19" s="334"/>
      <c r="AO19" s="334"/>
      <c r="AP19" s="334"/>
      <c r="AQ19" s="334"/>
      <c r="AR19" s="327"/>
      <c r="AS19" s="327"/>
      <c r="AT19" s="327"/>
      <c r="AU19" s="327"/>
      <c r="AV19" s="327"/>
      <c r="AW19" s="327"/>
      <c r="AX19" s="327"/>
      <c r="AY19" s="327"/>
      <c r="AZ19" s="327"/>
      <c r="BA19" s="327"/>
      <c r="BB19" s="327"/>
      <c r="BC19" s="327"/>
      <c r="BD19" s="327"/>
      <c r="BE19" s="327"/>
    </row>
    <row r="20" spans="1:57" x14ac:dyDescent="0.35">
      <c r="C20"/>
    </row>
    <row r="21" spans="1:57" x14ac:dyDescent="0.35">
      <c r="A21" s="327"/>
      <c r="B21" s="328" t="s">
        <v>2604</v>
      </c>
      <c r="C21" s="359"/>
      <c r="D21" s="327"/>
      <c r="E21" s="329"/>
      <c r="F21" s="329"/>
      <c r="G21" s="329"/>
      <c r="H21" s="372"/>
      <c r="I21" s="334"/>
      <c r="J21" s="329"/>
      <c r="K21" s="373"/>
      <c r="L21" s="356"/>
      <c r="M21" s="327"/>
      <c r="N21" s="329"/>
      <c r="O21" s="329"/>
      <c r="P21" s="329"/>
      <c r="Q21" s="372"/>
      <c r="R21" s="329"/>
      <c r="S21" s="329"/>
      <c r="T21" s="329"/>
      <c r="U21" s="334"/>
      <c r="V21" s="327"/>
      <c r="W21" s="329"/>
      <c r="X21" s="329"/>
      <c r="Y21" s="329"/>
      <c r="Z21" s="329"/>
      <c r="AA21" s="329"/>
      <c r="AB21" s="329"/>
      <c r="AC21" s="334"/>
      <c r="AD21" s="334"/>
      <c r="AE21" s="334"/>
      <c r="AF21" s="334"/>
      <c r="AG21" s="334"/>
      <c r="AI21" s="334"/>
      <c r="AJ21" s="334"/>
      <c r="AL21" s="334"/>
      <c r="AM21" s="334"/>
      <c r="AO21" s="334"/>
      <c r="AP21" s="334"/>
      <c r="AQ21" s="334"/>
      <c r="AR21" s="327"/>
      <c r="AS21" s="327"/>
      <c r="AT21" s="327"/>
      <c r="AU21" s="327"/>
      <c r="AV21" s="327"/>
      <c r="AW21" s="327"/>
      <c r="AX21" s="327"/>
      <c r="AY21" s="327"/>
      <c r="AZ21" s="327"/>
      <c r="BA21" s="327"/>
      <c r="BB21" s="327"/>
      <c r="BC21" s="327"/>
      <c r="BD21" s="327"/>
      <c r="BE21" s="327"/>
    </row>
    <row r="22" spans="1:57" x14ac:dyDescent="0.35">
      <c r="A22" s="327"/>
      <c r="B22" s="346" t="s">
        <v>2605</v>
      </c>
      <c r="C22" s="351" t="s">
        <v>2606</v>
      </c>
      <c r="D22" s="346"/>
      <c r="E22" s="347"/>
      <c r="F22" s="348"/>
      <c r="G22" s="10">
        <f>-SUM('I&amp;E Annual'!BX114,'I&amp;E Annual'!BX144)+'I&amp;E Annual'!BX113</f>
        <v>0</v>
      </c>
      <c r="H22" s="373" t="e">
        <f>-G22/G16</f>
        <v>#DIV/0!</v>
      </c>
      <c r="I22" s="356"/>
      <c r="J22" s="347"/>
      <c r="K22" s="373" t="e">
        <f>-J22/J16</f>
        <v>#DIV/0!</v>
      </c>
      <c r="L22" s="356"/>
      <c r="M22" s="327"/>
      <c r="N22" s="10">
        <f>-SUMIF('I&amp;E Annual'!$AA$4:$AL$4, 0, 'I&amp;E Annual'!AA114:AL114) - SUMIF('I&amp;E Annual'!$AA$4:$AL$4, 0, 'I&amp;E Annual'!AA144:AL144) + SUMIF('I&amp;E Annual'!$AA$4:$AL$4, 0, 'I&amp;E Annual'!AA113:AL113)</f>
        <v>0</v>
      </c>
      <c r="O22" s="373" t="e">
        <f>-N22/N16</f>
        <v>#DIV/0!</v>
      </c>
      <c r="P22" s="10">
        <f>-SUM('I&amp;E Annual'!BY114,'I&amp;E Annual'!BY144)+'I&amp;E Annual'!BY113</f>
        <v>0</v>
      </c>
      <c r="Q22" s="499" t="e">
        <f>-P22/P16</f>
        <v>#DIV/0!</v>
      </c>
      <c r="R22" s="10">
        <f>INDEX(AF22:AP22, 1, MATCH(R$6, $AF$5:$AP$5, 0))</f>
        <v>0</v>
      </c>
      <c r="S22" s="499" t="e">
        <f>-R22/R16</f>
        <v>#DIV/0!</v>
      </c>
      <c r="T22" s="10">
        <f>+P22-R22</f>
        <v>0</v>
      </c>
      <c r="U22" s="349"/>
      <c r="V22" s="327"/>
      <c r="W22" s="373" t="e">
        <f>-#REF!/#REF!</f>
        <v>#REF!</v>
      </c>
      <c r="X22" s="10">
        <f>-SUM('I&amp;E Annual'!BZ114, 'I&amp;E Annual'!BZ144)+'I&amp;E Annual'!BZ113</f>
        <v>0</v>
      </c>
      <c r="Y22" s="373" t="e">
        <f>-X22/X16</f>
        <v>#DIV/0!</v>
      </c>
      <c r="Z22" s="10">
        <f>INDEX(AG22:AQ22, 1, MATCH(Z$6, $AF$5:$AP$5, 0))</f>
        <v>0</v>
      </c>
      <c r="AA22" s="373" t="e">
        <f>-Z22/Z16</f>
        <v>#DIV/0!</v>
      </c>
      <c r="AB22" s="10">
        <f>+X22-Z22</f>
        <v>0</v>
      </c>
      <c r="AC22" s="356"/>
      <c r="AD22" s="356"/>
      <c r="AE22" s="356"/>
      <c r="AF22" s="114"/>
      <c r="AG22" s="114"/>
      <c r="AI22" s="114"/>
      <c r="AJ22" s="114"/>
      <c r="AL22" s="114"/>
      <c r="AM22" s="114"/>
      <c r="AO22" s="114"/>
      <c r="AP22" s="114"/>
      <c r="AQ22" s="356"/>
      <c r="AR22" s="327"/>
      <c r="AS22" s="327"/>
      <c r="AT22" s="327"/>
      <c r="AU22" s="327"/>
      <c r="AV22" s="327"/>
      <c r="AW22" s="327"/>
      <c r="AX22" s="327"/>
      <c r="AY22" s="327"/>
      <c r="AZ22" s="327"/>
      <c r="BA22" s="327"/>
      <c r="BB22" s="327"/>
      <c r="BC22" s="327"/>
      <c r="BD22" s="327"/>
      <c r="BE22" s="327"/>
    </row>
    <row r="23" spans="1:57" x14ac:dyDescent="0.35">
      <c r="A23" s="327"/>
      <c r="B23" s="346" t="s">
        <v>2524</v>
      </c>
      <c r="C23" s="425" t="s">
        <v>2607</v>
      </c>
      <c r="D23" s="346"/>
      <c r="E23" s="347"/>
      <c r="F23" s="348"/>
      <c r="G23" s="10">
        <f>-'I&amp;E Annual'!BX137</f>
        <v>0</v>
      </c>
      <c r="H23" s="373"/>
      <c r="I23" s="343"/>
      <c r="J23" s="347"/>
      <c r="K23" s="373"/>
      <c r="L23" s="356"/>
      <c r="M23" s="327"/>
      <c r="N23" s="10">
        <f>-SUMIF('I&amp;E Annual'!$AA$4:$AL$4, 0, 'I&amp;E Annual'!AA137:AL137)</f>
        <v>0</v>
      </c>
      <c r="O23" s="373"/>
      <c r="P23" s="10">
        <f>-'I&amp;E Annual'!BY137</f>
        <v>0</v>
      </c>
      <c r="Q23" s="499"/>
      <c r="R23" s="10">
        <f>INDEX(AF23:AP23, 1, MATCH(R$6, $AF$5:$AP$5, 0))</f>
        <v>0</v>
      </c>
      <c r="S23" s="499"/>
      <c r="T23" s="10">
        <f>+P23-R23</f>
        <v>0</v>
      </c>
      <c r="U23" s="349"/>
      <c r="V23" s="327"/>
      <c r="W23" s="373"/>
      <c r="X23" s="10">
        <f>-'I&amp;E Annual'!BZ137</f>
        <v>0</v>
      </c>
      <c r="Y23" s="373"/>
      <c r="Z23" s="10">
        <f>INDEX(AG23:AQ23, 1, MATCH(Z$6, $AF$5:$AP$5, 0))</f>
        <v>0</v>
      </c>
      <c r="AA23" s="373"/>
      <c r="AB23" s="10">
        <f>+X23-Z23</f>
        <v>0</v>
      </c>
      <c r="AC23" s="343"/>
      <c r="AD23" s="343"/>
      <c r="AE23" s="343"/>
      <c r="AF23" s="114"/>
      <c r="AG23" s="114"/>
      <c r="AI23" s="114"/>
      <c r="AJ23" s="114"/>
      <c r="AL23" s="114"/>
      <c r="AM23" s="114"/>
      <c r="AO23" s="114"/>
      <c r="AP23" s="114"/>
      <c r="AQ23" s="343"/>
      <c r="AR23" s="327"/>
      <c r="AS23" s="327"/>
      <c r="AT23" s="327"/>
      <c r="AU23" s="327"/>
      <c r="AV23" s="327"/>
      <c r="AW23" s="327"/>
      <c r="AX23" s="327"/>
      <c r="AY23" s="327"/>
      <c r="AZ23" s="327"/>
      <c r="BA23" s="327"/>
      <c r="BB23" s="327"/>
      <c r="BC23" s="327"/>
      <c r="BD23" s="327"/>
      <c r="BE23" s="327"/>
    </row>
    <row r="24" spans="1:57" x14ac:dyDescent="0.35">
      <c r="A24" s="327"/>
      <c r="B24" s="346" t="s">
        <v>2608</v>
      </c>
      <c r="C24" s="425" t="s">
        <v>2609</v>
      </c>
      <c r="D24" s="346"/>
      <c r="E24" s="347"/>
      <c r="F24" s="348"/>
      <c r="G24" s="10">
        <f>-'I&amp;E Monthly'!BX132</f>
        <v>0</v>
      </c>
      <c r="H24" s="373" t="e">
        <f>-G24/G16</f>
        <v>#DIV/0!</v>
      </c>
      <c r="I24" s="356"/>
      <c r="J24" s="347"/>
      <c r="K24" s="373" t="e">
        <f>-J24/J16</f>
        <v>#DIV/0!</v>
      </c>
      <c r="L24" s="349"/>
      <c r="M24" s="327"/>
      <c r="N24" s="10">
        <f>-SUMIF('I&amp;E Annual'!$AA$4:$AL$4, 0, 'I&amp;E Annual'!AA132:AL132)</f>
        <v>0</v>
      </c>
      <c r="O24" s="373" t="e">
        <f>-N24/N16</f>
        <v>#DIV/0!</v>
      </c>
      <c r="P24" s="10">
        <f>-'I&amp;E Annual'!BY132</f>
        <v>0</v>
      </c>
      <c r="Q24" s="499" t="e">
        <f>-P24/P16</f>
        <v>#DIV/0!</v>
      </c>
      <c r="R24" s="10">
        <f>INDEX(AF24:AP24, 1, MATCH(R$6, $AF$5:$AP$5, 0))</f>
        <v>0</v>
      </c>
      <c r="S24" s="499" t="e">
        <f>-R24/R16</f>
        <v>#DIV/0!</v>
      </c>
      <c r="T24" s="10">
        <f>+P24-R24</f>
        <v>0</v>
      </c>
      <c r="U24" s="349"/>
      <c r="V24" s="327"/>
      <c r="W24" s="373" t="e">
        <f>-#REF!/#REF!</f>
        <v>#REF!</v>
      </c>
      <c r="X24" s="10">
        <f>-'I&amp;E Annual'!BZ132</f>
        <v>0</v>
      </c>
      <c r="Y24" s="373" t="e">
        <f>-X24/X16</f>
        <v>#DIV/0!</v>
      </c>
      <c r="Z24" s="10">
        <f>INDEX(AG24:AQ24, 1, MATCH(Z$6, $AF$5:$AP$5, 0))</f>
        <v>0</v>
      </c>
      <c r="AA24" s="373" t="e">
        <f>-Z24/Z16</f>
        <v>#DIV/0!</v>
      </c>
      <c r="AB24" s="10">
        <f>+X24-Z24</f>
        <v>0</v>
      </c>
      <c r="AC24" s="356"/>
      <c r="AD24" s="356"/>
      <c r="AE24" s="356"/>
      <c r="AF24" s="114"/>
      <c r="AG24" s="114"/>
      <c r="AI24" s="114"/>
      <c r="AJ24" s="114"/>
      <c r="AL24" s="114"/>
      <c r="AM24" s="114"/>
      <c r="AO24" s="114"/>
      <c r="AP24" s="114"/>
      <c r="AQ24" s="356"/>
      <c r="AR24" s="327"/>
      <c r="AS24" s="327"/>
      <c r="AT24" s="327"/>
      <c r="AU24" s="327"/>
      <c r="AV24" s="327"/>
      <c r="AW24" s="327"/>
      <c r="AX24" s="327"/>
      <c r="AY24" s="327"/>
      <c r="AZ24" s="327"/>
      <c r="BA24" s="327"/>
      <c r="BB24" s="327"/>
      <c r="BC24" s="327"/>
      <c r="BD24" s="327"/>
      <c r="BE24" s="327"/>
    </row>
    <row r="25" spans="1:57" x14ac:dyDescent="0.35">
      <c r="A25" s="327"/>
      <c r="B25" s="346"/>
      <c r="C25" s="351"/>
      <c r="D25" s="346"/>
      <c r="E25" s="347"/>
      <c r="F25" s="348"/>
      <c r="G25" s="352"/>
      <c r="H25" s="347"/>
      <c r="I25" s="349"/>
      <c r="J25" s="352"/>
      <c r="K25" s="374"/>
      <c r="L25" s="353"/>
      <c r="M25" s="327"/>
      <c r="N25" s="352"/>
      <c r="O25" s="347"/>
      <c r="P25" s="352"/>
      <c r="Q25" s="347"/>
      <c r="R25" s="352"/>
      <c r="S25" s="347"/>
      <c r="T25" s="352"/>
      <c r="U25" s="349"/>
      <c r="V25" s="327"/>
      <c r="W25" s="347"/>
      <c r="X25" s="352"/>
      <c r="Y25" s="347"/>
      <c r="Z25" s="352"/>
      <c r="AA25" s="347"/>
      <c r="AB25" s="352"/>
      <c r="AC25" s="356"/>
      <c r="AD25" s="356"/>
      <c r="AE25" s="356"/>
      <c r="AF25" s="356"/>
      <c r="AG25" s="356"/>
      <c r="AI25" s="356"/>
      <c r="AJ25" s="356"/>
      <c r="AL25" s="356"/>
      <c r="AM25" s="356"/>
      <c r="AO25" s="356"/>
      <c r="AP25" s="356"/>
      <c r="AQ25" s="356"/>
      <c r="AR25" s="327"/>
      <c r="AS25" s="327"/>
      <c r="AT25" s="327"/>
      <c r="AU25" s="327"/>
      <c r="AV25" s="327"/>
      <c r="AW25" s="327"/>
      <c r="AX25" s="327"/>
      <c r="AY25" s="327"/>
      <c r="AZ25" s="327"/>
      <c r="BA25" s="327"/>
      <c r="BB25" s="327"/>
      <c r="BC25" s="327"/>
      <c r="BD25" s="327"/>
      <c r="BE25" s="327"/>
    </row>
    <row r="26" spans="1:57" x14ac:dyDescent="0.35">
      <c r="A26" s="327"/>
      <c r="B26" s="346"/>
      <c r="C26" s="351"/>
      <c r="D26" s="346"/>
      <c r="E26" s="347"/>
      <c r="F26" s="348"/>
      <c r="G26" s="12">
        <f>SUM(G22:G25)</f>
        <v>0</v>
      </c>
      <c r="H26" s="347"/>
      <c r="I26" s="356"/>
      <c r="J26" s="355">
        <f>SUM(J22:J25)</f>
        <v>0</v>
      </c>
      <c r="K26" s="348"/>
      <c r="L26" s="356"/>
      <c r="M26" s="327"/>
      <c r="N26" s="12">
        <f>SUM(N22:N25)</f>
        <v>0</v>
      </c>
      <c r="O26" s="355"/>
      <c r="P26" s="12">
        <f>SUM(P22:P25)</f>
        <v>0</v>
      </c>
      <c r="Q26" s="355"/>
      <c r="R26" s="12">
        <f>SUM(R22:R25)</f>
        <v>0</v>
      </c>
      <c r="S26" s="355"/>
      <c r="T26" s="12">
        <f>+P26-R26</f>
        <v>0</v>
      </c>
      <c r="U26" s="334"/>
      <c r="V26" s="327"/>
      <c r="W26" s="355"/>
      <c r="X26" s="12">
        <f>SUM(X22:X25)</f>
        <v>0</v>
      </c>
      <c r="Y26" s="355"/>
      <c r="Z26" s="12">
        <f>SUM(Z22:Z25)</f>
        <v>0</v>
      </c>
      <c r="AA26" s="355"/>
      <c r="AB26" s="12">
        <f>+X26-Z26</f>
        <v>0</v>
      </c>
      <c r="AC26" s="356"/>
      <c r="AD26" s="356"/>
      <c r="AE26" s="356"/>
      <c r="AF26" s="12">
        <f>SUM(AF22:AF25)</f>
        <v>0</v>
      </c>
      <c r="AG26" s="12">
        <f>SUM(AG22:AG25)</f>
        <v>0</v>
      </c>
      <c r="AI26" s="12">
        <f>SUM(AI22:AI25)</f>
        <v>0</v>
      </c>
      <c r="AJ26" s="12">
        <f>SUM(AJ22:AJ25)</f>
        <v>0</v>
      </c>
      <c r="AL26" s="12">
        <f>SUM(AL22:AL25)</f>
        <v>0</v>
      </c>
      <c r="AM26" s="12">
        <f>SUM(AM22:AM25)</f>
        <v>0</v>
      </c>
      <c r="AO26" s="12">
        <f>SUM(AO22:AO25)</f>
        <v>0</v>
      </c>
      <c r="AP26" s="12">
        <f>SUM(AP22:AP25)</f>
        <v>0</v>
      </c>
      <c r="AQ26" s="356"/>
      <c r="AR26" s="327"/>
      <c r="AS26" s="327"/>
      <c r="AT26" s="327"/>
      <c r="AU26" s="327"/>
      <c r="AV26" s="327"/>
      <c r="AW26" s="327"/>
      <c r="AX26" s="327"/>
      <c r="AY26" s="327"/>
      <c r="AZ26" s="327"/>
      <c r="BA26" s="327"/>
      <c r="BB26" s="327"/>
      <c r="BC26" s="327"/>
      <c r="BD26" s="327"/>
      <c r="BE26" s="327"/>
    </row>
    <row r="27" spans="1:57" x14ac:dyDescent="0.35">
      <c r="A27" s="327"/>
      <c r="B27" s="358" t="s">
        <v>2610</v>
      </c>
      <c r="C27" s="351" t="s">
        <v>2611</v>
      </c>
      <c r="D27" s="346"/>
      <c r="E27" s="347"/>
      <c r="G27" s="10">
        <f>-SUM('I&amp;E Annual'!BX123)</f>
        <v>0</v>
      </c>
      <c r="I27" s="362"/>
      <c r="J27" s="361"/>
      <c r="K27" s="375"/>
      <c r="L27" s="376"/>
      <c r="N27" s="10">
        <f>-SUMIF('I&amp;E Annual'!$AA$4:$AL$4, 0, 'I&amp;E Annual'!AA123:AL123)</f>
        <v>0</v>
      </c>
      <c r="P27" s="10">
        <f>-SUM('I&amp;E Annual'!BY123)</f>
        <v>0</v>
      </c>
      <c r="R27" s="10">
        <f>INDEX(AF27:AP27, 1, MATCH(R$6, $AF$5:$AP$5, 0))</f>
        <v>0</v>
      </c>
      <c r="T27" s="10">
        <f>+P27-R27</f>
        <v>0</v>
      </c>
      <c r="U27" s="362"/>
      <c r="W27" s="375"/>
      <c r="X27" s="10">
        <f>-SUM('I&amp;E Annual'!BZ123)</f>
        <v>0</v>
      </c>
      <c r="Z27" s="10">
        <f>INDEX(AG27:AQ27, 1, MATCH(Z$6, $AF$5:$AP$5, 0))</f>
        <v>0</v>
      </c>
      <c r="AB27" s="10">
        <f>+X27-Z27</f>
        <v>0</v>
      </c>
      <c r="AC27" s="356"/>
      <c r="AD27" s="356"/>
      <c r="AE27" s="356"/>
      <c r="AF27" s="114"/>
      <c r="AG27" s="114"/>
      <c r="AI27" s="114"/>
      <c r="AJ27" s="114"/>
      <c r="AL27" s="114"/>
      <c r="AM27" s="114"/>
      <c r="AO27" s="114"/>
      <c r="AP27" s="114"/>
      <c r="AQ27" s="356"/>
      <c r="AR27" s="327"/>
      <c r="AS27" s="327"/>
      <c r="AT27" s="327"/>
      <c r="AU27" s="327"/>
      <c r="AV27" s="327"/>
      <c r="AW27" s="327"/>
      <c r="AX27" s="327"/>
      <c r="AY27" s="327"/>
      <c r="AZ27" s="327"/>
      <c r="BA27" s="327"/>
      <c r="BB27" s="327"/>
      <c r="BC27" s="327"/>
      <c r="BD27" s="327"/>
      <c r="BE27" s="327"/>
    </row>
    <row r="29" spans="1:57" x14ac:dyDescent="0.35">
      <c r="A29" s="327"/>
      <c r="B29" s="515" t="s">
        <v>2612</v>
      </c>
      <c r="C29" s="351"/>
      <c r="D29" s="346"/>
      <c r="E29" s="347"/>
      <c r="F29" s="348"/>
      <c r="G29" s="310">
        <f>-'I&amp;E Annual'!BX139-'I&amp;E Summary'!G26+'I&amp;E Annual'!BX113-'I&amp;E Annual'!BX144</f>
        <v>0</v>
      </c>
      <c r="H29" s="377"/>
      <c r="I29" s="367"/>
      <c r="J29" s="366"/>
      <c r="K29" s="377"/>
      <c r="L29" s="378"/>
      <c r="M29" s="369"/>
      <c r="N29" s="366"/>
      <c r="O29" s="366"/>
      <c r="P29" s="310">
        <f>-'I&amp;E Annual'!BY139-'I&amp;E Summary'!P26+'I&amp;E Annual'!BY113-'I&amp;E Annual'!BY144</f>
        <v>0</v>
      </c>
      <c r="Q29" s="377"/>
      <c r="R29" s="366"/>
      <c r="S29" s="377"/>
      <c r="T29" s="366"/>
      <c r="U29" s="367"/>
      <c r="V29" s="369"/>
      <c r="W29" s="377"/>
      <c r="X29" s="310">
        <f>-'I&amp;E Annual'!BZ139-'I&amp;E Summary'!X26+'I&amp;E Annual'!BZ113-'I&amp;E Annual'!BZ144</f>
        <v>0</v>
      </c>
      <c r="Y29" s="377"/>
      <c r="Z29" s="366"/>
      <c r="AA29" s="377"/>
      <c r="AB29" s="366"/>
      <c r="AC29" s="356"/>
      <c r="AD29" s="356"/>
      <c r="AE29" s="356"/>
      <c r="AF29" s="356"/>
      <c r="AG29" s="356"/>
      <c r="AI29" s="356"/>
      <c r="AJ29" s="356"/>
      <c r="AL29" s="356"/>
      <c r="AM29" s="356"/>
      <c r="AO29" s="356"/>
      <c r="AP29" s="356"/>
      <c r="AQ29" s="356"/>
      <c r="AR29" s="327"/>
      <c r="AS29" s="327"/>
      <c r="AT29" s="327"/>
      <c r="AU29" s="327"/>
      <c r="AV29" s="327"/>
      <c r="AW29" s="327"/>
      <c r="AX29" s="327"/>
      <c r="AY29" s="327"/>
      <c r="AZ29" s="327"/>
      <c r="BA29" s="327"/>
      <c r="BB29" s="327"/>
      <c r="BC29" s="327"/>
      <c r="BD29" s="327"/>
      <c r="BE29" s="327"/>
    </row>
    <row r="30" spans="1:57" x14ac:dyDescent="0.35">
      <c r="C30"/>
    </row>
    <row r="31" spans="1:57" ht="13.5" customHeight="1" x14ac:dyDescent="0.35">
      <c r="A31" s="327"/>
      <c r="B31" s="328" t="s">
        <v>1749</v>
      </c>
      <c r="C31" s="351"/>
      <c r="D31" s="327"/>
      <c r="E31" s="355">
        <f>SUM(E16:E24)</f>
        <v>0</v>
      </c>
      <c r="F31" s="355"/>
      <c r="G31" s="12">
        <f>+G16+G26</f>
        <v>0</v>
      </c>
      <c r="H31" s="347"/>
      <c r="I31" s="380"/>
      <c r="J31" s="379">
        <f>+J16+J26</f>
        <v>0</v>
      </c>
      <c r="K31" s="347"/>
      <c r="L31" s="349"/>
      <c r="M31" s="327"/>
      <c r="N31" s="12">
        <f>+N16+N26</f>
        <v>0</v>
      </c>
      <c r="O31" s="355"/>
      <c r="P31" s="12">
        <f>+P16+P26</f>
        <v>0</v>
      </c>
      <c r="Q31" s="355"/>
      <c r="R31" s="12">
        <f>+R16+R26</f>
        <v>0</v>
      </c>
      <c r="S31" s="355"/>
      <c r="T31" s="12">
        <f>+P31-R31</f>
        <v>0</v>
      </c>
      <c r="U31" s="334"/>
      <c r="V31" s="327"/>
      <c r="W31" s="379"/>
      <c r="X31" s="12">
        <f>+X16+X26</f>
        <v>0</v>
      </c>
      <c r="Y31" s="355"/>
      <c r="Z31" s="12">
        <f>+Z16+Z26</f>
        <v>0</v>
      </c>
      <c r="AA31" s="355"/>
      <c r="AB31" s="12">
        <f>+X31-Z31</f>
        <v>0</v>
      </c>
      <c r="AC31" s="334"/>
      <c r="AD31" s="334"/>
      <c r="AE31" s="334"/>
      <c r="AF31" s="12">
        <f>+AF16+AF26</f>
        <v>0</v>
      </c>
      <c r="AG31" s="12">
        <f>+AG16+AG26</f>
        <v>0</v>
      </c>
      <c r="AI31" s="12">
        <f>+AI16+AI26</f>
        <v>0</v>
      </c>
      <c r="AJ31" s="12">
        <f>+AJ16+AJ26</f>
        <v>0</v>
      </c>
      <c r="AL31" s="12">
        <f>+AL16+AL26</f>
        <v>0</v>
      </c>
      <c r="AM31" s="12">
        <f>+AM16+AM26</f>
        <v>0</v>
      </c>
      <c r="AO31" s="12">
        <f>+AO16+AO26</f>
        <v>0</v>
      </c>
      <c r="AP31" s="12">
        <f>+AP16+AP26</f>
        <v>0</v>
      </c>
      <c r="AQ31" s="334"/>
      <c r="AR31" s="327"/>
      <c r="AS31" s="327"/>
      <c r="AT31" s="327"/>
      <c r="AU31" s="327"/>
      <c r="AV31" s="327"/>
      <c r="AW31" s="327"/>
      <c r="AX31" s="327"/>
      <c r="AY31" s="327"/>
      <c r="AZ31" s="327"/>
      <c r="BA31" s="327"/>
      <c r="BB31" s="327"/>
      <c r="BC31" s="327"/>
      <c r="BD31" s="327"/>
      <c r="BE31" s="327"/>
    </row>
    <row r="32" spans="1:57" x14ac:dyDescent="0.35">
      <c r="A32" s="327"/>
      <c r="B32" s="328"/>
      <c r="C32" s="351"/>
      <c r="D32" s="327"/>
      <c r="E32" s="355"/>
      <c r="F32" s="355"/>
      <c r="G32" s="355"/>
      <c r="H32" s="347"/>
      <c r="I32" s="380"/>
      <c r="J32" s="355"/>
      <c r="K32" s="347"/>
      <c r="L32" s="356"/>
      <c r="M32" s="327"/>
      <c r="N32" s="355"/>
      <c r="O32" s="355"/>
      <c r="P32" s="355"/>
      <c r="Q32" s="355"/>
      <c r="R32" s="355"/>
      <c r="S32" s="355"/>
      <c r="T32" s="355"/>
      <c r="U32" s="334"/>
      <c r="V32" s="327"/>
      <c r="W32" s="355"/>
      <c r="X32" s="355"/>
      <c r="Y32" s="355"/>
      <c r="Z32" s="355"/>
      <c r="AA32" s="355"/>
      <c r="AB32" s="355"/>
      <c r="AC32" s="334"/>
      <c r="AD32" s="334"/>
      <c r="AE32" s="334"/>
      <c r="AF32" s="334"/>
      <c r="AG32" s="334"/>
      <c r="AI32" s="334"/>
      <c r="AJ32" s="334"/>
      <c r="AL32" s="334"/>
      <c r="AM32" s="334"/>
      <c r="AO32" s="334"/>
      <c r="AP32" s="334"/>
      <c r="AQ32" s="334"/>
      <c r="AR32" s="327"/>
      <c r="AS32" s="327"/>
      <c r="AT32" s="327"/>
      <c r="AU32" s="327"/>
      <c r="AV32" s="327"/>
      <c r="AW32" s="327"/>
      <c r="AX32" s="327"/>
      <c r="AY32" s="327"/>
      <c r="AZ32" s="327"/>
      <c r="BA32" s="327"/>
      <c r="BB32" s="327"/>
      <c r="BC32" s="327"/>
      <c r="BD32" s="327"/>
      <c r="BE32" s="327"/>
    </row>
    <row r="33" spans="1:57" x14ac:dyDescent="0.35">
      <c r="A33" s="327"/>
      <c r="B33" s="327" t="s">
        <v>2613</v>
      </c>
      <c r="C33" s="425" t="s">
        <v>2614</v>
      </c>
      <c r="D33" s="597"/>
      <c r="E33" s="329"/>
      <c r="F33" s="329"/>
      <c r="G33" s="10">
        <f>'I&amp;E Annual'!BX177</f>
        <v>0</v>
      </c>
      <c r="H33" s="347"/>
      <c r="I33" s="380"/>
      <c r="J33" s="329"/>
      <c r="K33" s="347"/>
      <c r="L33" s="356"/>
      <c r="M33" s="327"/>
      <c r="N33" s="10">
        <f>SUMIF('I&amp;E Annual'!$AA$4:$AL$4, 0, 'I&amp;E Annual'!AA177:AL177)</f>
        <v>0</v>
      </c>
      <c r="O33" s="329"/>
      <c r="P33" s="10">
        <f>'I&amp;E Annual'!BY177</f>
        <v>0</v>
      </c>
      <c r="Q33" s="329"/>
      <c r="R33" s="10">
        <f>INDEX(AF33:AP33, 1, MATCH(R$6, $AF$5:$AP$5, 0))</f>
        <v>0</v>
      </c>
      <c r="S33" s="329"/>
      <c r="T33" s="10">
        <f>+P33-R33</f>
        <v>0</v>
      </c>
      <c r="U33" s="347"/>
      <c r="V33" s="327"/>
      <c r="W33" s="329"/>
      <c r="X33" s="10">
        <f>'I&amp;E Annual'!BZ177</f>
        <v>0</v>
      </c>
      <c r="Y33" s="329"/>
      <c r="Z33" s="10">
        <f>INDEX(AG33:AQ33, 1, MATCH(Z$6, $AF$5:$AP$5, 0))</f>
        <v>0</v>
      </c>
      <c r="AA33" s="329"/>
      <c r="AB33" s="10">
        <f>+X33-Z33</f>
        <v>0</v>
      </c>
      <c r="AC33" s="347"/>
      <c r="AD33" s="347"/>
      <c r="AE33" s="347"/>
      <c r="AF33" s="114"/>
      <c r="AG33" s="114"/>
      <c r="AI33" s="114"/>
      <c r="AJ33" s="114"/>
      <c r="AL33" s="114"/>
      <c r="AM33" s="114"/>
      <c r="AO33" s="114"/>
      <c r="AP33" s="114"/>
      <c r="AQ33" s="347"/>
      <c r="AR33" s="327"/>
      <c r="AS33" s="327"/>
      <c r="AT33" s="327"/>
      <c r="AU33" s="327"/>
      <c r="AV33" s="327"/>
      <c r="AW33" s="327"/>
      <c r="AX33" s="327"/>
      <c r="AY33" s="327"/>
      <c r="AZ33" s="327"/>
      <c r="BA33" s="327"/>
      <c r="BB33" s="327"/>
      <c r="BC33" s="327"/>
      <c r="BD33" s="327"/>
      <c r="BE33" s="327"/>
    </row>
    <row r="34" spans="1:57" x14ac:dyDescent="0.35">
      <c r="A34" s="327"/>
      <c r="B34" s="327" t="s">
        <v>2615</v>
      </c>
      <c r="C34" s="425" t="s">
        <v>2616</v>
      </c>
      <c r="D34" s="327"/>
      <c r="E34" s="329"/>
      <c r="F34" s="329"/>
      <c r="G34" s="10">
        <f>'I&amp;E Annual'!BX175</f>
        <v>0</v>
      </c>
      <c r="H34" s="347"/>
      <c r="I34" s="349"/>
      <c r="J34" s="329"/>
      <c r="K34" s="347"/>
      <c r="L34" s="356"/>
      <c r="M34" s="327"/>
      <c r="N34" s="10">
        <f>SUMIF('I&amp;E Annual'!$AA$4:$AL$4, 0, 'I&amp;E Annual'!AA175:AL175)</f>
        <v>0</v>
      </c>
      <c r="O34" s="329"/>
      <c r="P34" s="10">
        <f>'I&amp;E Annual'!BY175</f>
        <v>0</v>
      </c>
      <c r="Q34" s="329"/>
      <c r="R34" s="10">
        <f>INDEX(AF34:AP34, 1, MATCH(R$6, $AF$5:$AP$5, 0))</f>
        <v>0</v>
      </c>
      <c r="S34" s="329"/>
      <c r="T34" s="10">
        <f>+P34-R34</f>
        <v>0</v>
      </c>
      <c r="U34" s="329"/>
      <c r="V34" s="327"/>
      <c r="W34" s="329"/>
      <c r="X34" s="10">
        <f>'I&amp;E Annual'!BZ175</f>
        <v>0</v>
      </c>
      <c r="Y34" s="329"/>
      <c r="Z34" s="10">
        <f>INDEX(AG34:AQ34, 1, MATCH(Z$6, $AF$5:$AP$5, 0))</f>
        <v>0</v>
      </c>
      <c r="AA34" s="329"/>
      <c r="AB34" s="10">
        <f>+X34-Z34</f>
        <v>0</v>
      </c>
      <c r="AC34" s="329"/>
      <c r="AD34" s="329"/>
      <c r="AE34" s="329"/>
      <c r="AF34" s="114"/>
      <c r="AG34" s="114"/>
      <c r="AI34" s="114"/>
      <c r="AJ34" s="114"/>
      <c r="AL34" s="114"/>
      <c r="AM34" s="114"/>
      <c r="AO34" s="114"/>
      <c r="AP34" s="114"/>
      <c r="AQ34" s="329"/>
      <c r="AR34" s="327"/>
      <c r="AS34" s="327"/>
      <c r="AT34" s="327"/>
      <c r="AU34" s="327"/>
      <c r="AV34" s="327"/>
      <c r="AW34" s="327"/>
      <c r="AX34" s="327"/>
      <c r="AY34" s="327"/>
      <c r="AZ34" s="327"/>
      <c r="BA34" s="327"/>
      <c r="BB34" s="327"/>
      <c r="BC34" s="327"/>
      <c r="BD34" s="327"/>
      <c r="BE34" s="327"/>
    </row>
    <row r="35" spans="1:57" x14ac:dyDescent="0.35">
      <c r="A35" s="327"/>
      <c r="B35" s="328"/>
      <c r="C35" s="351"/>
      <c r="D35" s="327"/>
      <c r="E35" s="355"/>
      <c r="F35" s="355"/>
      <c r="G35" s="355"/>
      <c r="H35" s="347"/>
      <c r="I35" s="380"/>
      <c r="J35" s="355"/>
      <c r="K35" s="347"/>
      <c r="L35" s="356"/>
      <c r="M35" s="327"/>
      <c r="N35" s="355"/>
      <c r="O35" s="355"/>
      <c r="P35" s="355"/>
      <c r="Q35" s="355"/>
      <c r="R35" s="355"/>
      <c r="S35" s="355"/>
      <c r="T35" s="10"/>
      <c r="U35" s="355"/>
      <c r="V35" s="327"/>
      <c r="W35" s="355"/>
      <c r="X35" s="355"/>
      <c r="Y35" s="355"/>
      <c r="Z35" s="355"/>
      <c r="AA35" s="355"/>
      <c r="AB35" s="355"/>
      <c r="AC35" s="355"/>
      <c r="AD35" s="355"/>
      <c r="AE35" s="355"/>
      <c r="AF35" s="355"/>
      <c r="AG35" s="355"/>
      <c r="AI35" s="355"/>
      <c r="AJ35" s="355"/>
      <c r="AL35" s="355"/>
      <c r="AM35" s="355"/>
      <c r="AO35" s="355"/>
      <c r="AP35" s="355"/>
      <c r="AQ35" s="355"/>
      <c r="AR35" s="327"/>
      <c r="AS35" s="327"/>
      <c r="AT35" s="327"/>
      <c r="AU35" s="327"/>
      <c r="AV35" s="327"/>
      <c r="AW35" s="327"/>
      <c r="AX35" s="327"/>
      <c r="AY35" s="327"/>
      <c r="AZ35" s="327"/>
      <c r="BA35" s="327"/>
      <c r="BB35" s="327"/>
      <c r="BC35" s="327"/>
      <c r="BD35" s="327"/>
      <c r="BE35" s="327"/>
    </row>
    <row r="36" spans="1:57" x14ac:dyDescent="0.35">
      <c r="A36" s="327"/>
      <c r="B36" s="328" t="s">
        <v>2617</v>
      </c>
      <c r="C36" s="351"/>
      <c r="D36" s="327"/>
      <c r="E36" s="355">
        <f>SUM(E31:E35)</f>
        <v>0</v>
      </c>
      <c r="F36" s="355"/>
      <c r="G36" s="12">
        <f>G31+G33</f>
        <v>0</v>
      </c>
      <c r="H36" s="347"/>
      <c r="I36" s="380"/>
      <c r="J36" s="379">
        <f>SUM(J31:J35)</f>
        <v>0</v>
      </c>
      <c r="K36" s="347"/>
      <c r="L36" s="381"/>
      <c r="M36" s="327"/>
      <c r="N36" s="12">
        <f>N31+N33</f>
        <v>0</v>
      </c>
      <c r="O36" s="355"/>
      <c r="P36" s="12">
        <f>P31+P33</f>
        <v>0</v>
      </c>
      <c r="Q36" s="355"/>
      <c r="R36" s="12">
        <f>R31+R33</f>
        <v>0</v>
      </c>
      <c r="S36" s="355"/>
      <c r="T36" s="466">
        <f>+P36-R36</f>
        <v>0</v>
      </c>
      <c r="U36" s="355"/>
      <c r="V36" s="327"/>
      <c r="W36" s="379"/>
      <c r="X36" s="12">
        <f>X31+X33</f>
        <v>0</v>
      </c>
      <c r="Y36" s="355"/>
      <c r="Z36" s="12">
        <f>Z31+Z33</f>
        <v>0</v>
      </c>
      <c r="AA36" s="355"/>
      <c r="AB36" s="466">
        <f>+X36-Z36</f>
        <v>0</v>
      </c>
      <c r="AC36" s="355"/>
      <c r="AD36" s="355"/>
      <c r="AE36" s="355"/>
      <c r="AF36" s="12">
        <f>AF31+AF33</f>
        <v>0</v>
      </c>
      <c r="AG36" s="12">
        <f>AG31+AG33</f>
        <v>0</v>
      </c>
      <c r="AI36" s="12">
        <f>AI31+AI33</f>
        <v>0</v>
      </c>
      <c r="AJ36" s="12">
        <f>AJ31+AJ33</f>
        <v>0</v>
      </c>
      <c r="AL36" s="12">
        <f>AL31+AL33</f>
        <v>0</v>
      </c>
      <c r="AM36" s="12">
        <f>AM31+AM33</f>
        <v>0</v>
      </c>
      <c r="AO36" s="12">
        <f>AO31+AO33</f>
        <v>0</v>
      </c>
      <c r="AP36" s="12">
        <f>AP31+AP33</f>
        <v>0</v>
      </c>
      <c r="AQ36" s="355"/>
      <c r="AR36" s="327"/>
      <c r="AS36" s="327"/>
      <c r="AT36" s="327"/>
      <c r="AU36" s="327"/>
      <c r="AV36" s="327"/>
      <c r="AW36" s="327"/>
      <c r="AX36" s="327"/>
      <c r="AY36" s="327"/>
      <c r="AZ36" s="327"/>
      <c r="BA36" s="327"/>
      <c r="BB36" s="327"/>
      <c r="BC36" s="327"/>
      <c r="BD36" s="327"/>
      <c r="BE36" s="327"/>
    </row>
    <row r="37" spans="1:57" s="382" customFormat="1" x14ac:dyDescent="0.35">
      <c r="A37" s="369"/>
      <c r="B37" s="369"/>
      <c r="C37" s="365"/>
      <c r="D37" s="364"/>
      <c r="E37" s="364">
        <f>+E33+E16</f>
        <v>0</v>
      </c>
      <c r="F37" s="364"/>
      <c r="G37" s="10">
        <f>+G33+G16</f>
        <v>0</v>
      </c>
      <c r="H37" s="347"/>
      <c r="I37" s="364"/>
      <c r="J37" s="364">
        <f>+J33+J16</f>
        <v>0</v>
      </c>
      <c r="K37" s="347"/>
      <c r="L37" s="381"/>
      <c r="M37" s="364"/>
      <c r="N37" s="10">
        <f>+N33+N16</f>
        <v>0</v>
      </c>
      <c r="O37" s="364"/>
      <c r="P37" s="10">
        <f>+P33+P16</f>
        <v>0</v>
      </c>
      <c r="Q37" s="364"/>
      <c r="R37" s="10">
        <f>+R33+R16</f>
        <v>0</v>
      </c>
      <c r="S37" s="364"/>
      <c r="T37" s="10">
        <f>+P37-R37</f>
        <v>0</v>
      </c>
      <c r="U37" s="364"/>
      <c r="V37" s="364"/>
      <c r="W37" s="364"/>
      <c r="X37" s="10">
        <f>+X33+X16</f>
        <v>0</v>
      </c>
      <c r="Y37" s="468"/>
      <c r="Z37" s="10">
        <f>+Z33+Z16</f>
        <v>0</v>
      </c>
      <c r="AA37" s="364"/>
      <c r="AB37" s="10">
        <f>+X37-Z37</f>
        <v>0</v>
      </c>
      <c r="AC37" s="364"/>
      <c r="AD37" s="364"/>
      <c r="AE37" s="364"/>
      <c r="AF37" s="10">
        <f>+AF33+AF16</f>
        <v>0</v>
      </c>
      <c r="AG37" s="10">
        <f>+AG33+AG16</f>
        <v>0</v>
      </c>
      <c r="AH37"/>
      <c r="AI37" s="10">
        <f>+AI33+AI16</f>
        <v>0</v>
      </c>
      <c r="AJ37" s="10">
        <f>+AJ33+AJ16</f>
        <v>0</v>
      </c>
      <c r="AK37"/>
      <c r="AL37" s="10">
        <f>+AL33+AL16</f>
        <v>0</v>
      </c>
      <c r="AM37" s="10">
        <f>+AM33+AM16</f>
        <v>0</v>
      </c>
      <c r="AN37"/>
      <c r="AO37" s="10">
        <f>+AO33+AO16</f>
        <v>0</v>
      </c>
      <c r="AP37" s="10">
        <f>+AP33+AP16</f>
        <v>0</v>
      </c>
      <c r="AQ37" s="364"/>
      <c r="AR37" s="369"/>
      <c r="AS37" s="369"/>
      <c r="AT37" s="369"/>
      <c r="AU37" s="369"/>
      <c r="AV37" s="369"/>
      <c r="AW37" s="369"/>
      <c r="AX37" s="369"/>
      <c r="AY37" s="369"/>
      <c r="AZ37" s="369"/>
      <c r="BA37" s="369"/>
      <c r="BB37" s="369"/>
      <c r="BC37" s="369"/>
      <c r="BD37" s="369"/>
      <c r="BE37" s="369"/>
    </row>
    <row r="38" spans="1:57" x14ac:dyDescent="0.35">
      <c r="A38" s="327"/>
      <c r="B38" s="327"/>
      <c r="C38" s="359"/>
      <c r="D38" s="327"/>
      <c r="E38" s="364">
        <f>+E37+E34</f>
        <v>0</v>
      </c>
      <c r="F38" s="364"/>
      <c r="G38" s="10">
        <f>+G37+G34</f>
        <v>0</v>
      </c>
      <c r="H38" s="347"/>
      <c r="I38" s="369"/>
      <c r="J38" s="364">
        <f>+J37+J34</f>
        <v>0</v>
      </c>
      <c r="K38" s="347"/>
      <c r="L38" s="381"/>
      <c r="M38" s="369"/>
      <c r="N38" s="10">
        <f>+N37+N34</f>
        <v>0</v>
      </c>
      <c r="O38" s="364"/>
      <c r="P38" s="10">
        <f>+P37+P34</f>
        <v>0</v>
      </c>
      <c r="Q38" s="327"/>
      <c r="R38" s="10">
        <f>+R37+R34</f>
        <v>0</v>
      </c>
      <c r="S38" s="327"/>
      <c r="T38" s="10">
        <f>+P38-R38</f>
        <v>0</v>
      </c>
      <c r="U38" s="369"/>
      <c r="V38" s="369"/>
      <c r="W38" s="364"/>
      <c r="X38" s="10">
        <f>+X37+X34</f>
        <v>0</v>
      </c>
      <c r="Y38" s="469"/>
      <c r="Z38" s="10">
        <f>+Z37+Z34</f>
        <v>0</v>
      </c>
      <c r="AA38" s="327"/>
      <c r="AB38" s="10">
        <f>+X38-Z38</f>
        <v>0</v>
      </c>
      <c r="AC38" s="369"/>
      <c r="AD38" s="369"/>
      <c r="AE38" s="369"/>
      <c r="AF38" s="10">
        <f>+AF34+AF17</f>
        <v>0</v>
      </c>
      <c r="AG38" s="10">
        <f>+AG37+AG34</f>
        <v>0</v>
      </c>
      <c r="AI38" s="10">
        <f>+AI37+AI34</f>
        <v>0</v>
      </c>
      <c r="AJ38" s="10">
        <f>+AJ37+AJ34</f>
        <v>0</v>
      </c>
      <c r="AL38" s="10">
        <f>+AL37+AL34</f>
        <v>0</v>
      </c>
      <c r="AM38" s="10">
        <f>+AM37+AM34</f>
        <v>0</v>
      </c>
      <c r="AO38" s="10">
        <f>+AO37+AO34</f>
        <v>0</v>
      </c>
      <c r="AP38" s="10">
        <f>+AP37+AP34</f>
        <v>0</v>
      </c>
      <c r="AQ38" s="369"/>
      <c r="AR38" s="327"/>
      <c r="AS38" s="327"/>
      <c r="AT38" s="327"/>
      <c r="AU38" s="327"/>
      <c r="AV38" s="327"/>
      <c r="AW38" s="327"/>
      <c r="AX38" s="327"/>
      <c r="AY38" s="327"/>
      <c r="AZ38" s="327"/>
      <c r="BA38" s="327"/>
      <c r="BB38" s="327"/>
      <c r="BC38" s="327"/>
      <c r="BD38" s="327"/>
      <c r="BE38" s="327"/>
    </row>
    <row r="39" spans="1:57" x14ac:dyDescent="0.35">
      <c r="A39" s="327"/>
      <c r="B39" s="327"/>
      <c r="C39" s="359"/>
      <c r="D39" s="327"/>
      <c r="E39" s="364"/>
      <c r="F39" s="364"/>
      <c r="G39" s="329"/>
      <c r="H39" s="369"/>
      <c r="I39" s="369"/>
      <c r="J39" s="364"/>
      <c r="K39" s="369"/>
      <c r="L39" s="381"/>
      <c r="M39" s="369"/>
      <c r="N39" s="369"/>
      <c r="O39" s="369"/>
      <c r="P39" s="364"/>
      <c r="Q39" s="364"/>
      <c r="R39" s="364"/>
      <c r="S39" s="327"/>
      <c r="T39" s="369"/>
      <c r="U39" s="369"/>
      <c r="V39" s="369"/>
      <c r="W39" s="364"/>
      <c r="X39" s="364"/>
      <c r="Y39" s="364"/>
      <c r="Z39" s="364"/>
      <c r="AA39" s="327"/>
      <c r="AB39" s="369"/>
      <c r="AC39" s="369"/>
      <c r="AD39" s="369"/>
      <c r="AE39" s="369"/>
      <c r="AF39" s="369"/>
      <c r="AG39" s="369"/>
      <c r="AI39" s="369"/>
      <c r="AJ39" s="369"/>
      <c r="AL39" s="369"/>
      <c r="AM39" s="369"/>
      <c r="AO39" s="369"/>
      <c r="AP39" s="369"/>
      <c r="AQ39" s="369"/>
      <c r="AR39" s="327"/>
      <c r="AS39" s="327"/>
      <c r="AT39" s="327"/>
      <c r="AU39" s="327"/>
      <c r="AV39" s="327"/>
      <c r="AW39" s="327"/>
      <c r="AX39" s="327"/>
      <c r="AY39" s="327"/>
      <c r="AZ39" s="327"/>
      <c r="BA39" s="327"/>
      <c r="BB39" s="327"/>
      <c r="BC39" s="327"/>
      <c r="BD39" s="327"/>
      <c r="BE39" s="327"/>
    </row>
    <row r="40" spans="1:57" x14ac:dyDescent="0.35">
      <c r="A40" s="327"/>
      <c r="B40" s="327"/>
      <c r="C40" s="359"/>
      <c r="E40" s="327"/>
      <c r="F40" s="327"/>
      <c r="G40" s="383"/>
      <c r="H40" s="327"/>
      <c r="I40" s="327"/>
      <c r="J40" s="364"/>
      <c r="K40" s="327"/>
      <c r="L40" s="343"/>
      <c r="M40" s="327"/>
      <c r="N40" s="327"/>
      <c r="O40" s="327"/>
      <c r="P40" s="327"/>
      <c r="Q40" s="327"/>
      <c r="R40" s="327"/>
      <c r="S40" s="327"/>
      <c r="T40" s="327"/>
      <c r="U40" s="327"/>
      <c r="V40" s="327"/>
      <c r="W40" s="327"/>
      <c r="X40" s="327"/>
      <c r="Y40" s="327"/>
      <c r="Z40" s="327"/>
      <c r="AA40" s="327"/>
      <c r="AB40" s="327"/>
      <c r="AC40" s="327"/>
      <c r="AD40" s="327"/>
      <c r="AE40" s="327"/>
      <c r="AF40" s="327"/>
      <c r="AG40" s="327"/>
      <c r="AI40" s="327"/>
      <c r="AJ40" s="327"/>
      <c r="AL40" s="327"/>
      <c r="AM40" s="327"/>
      <c r="AO40" s="327"/>
      <c r="AP40" s="327"/>
      <c r="AQ40" s="327"/>
      <c r="AR40" s="327"/>
      <c r="AS40" s="327"/>
      <c r="AT40" s="327"/>
      <c r="AU40" s="327"/>
      <c r="AV40" s="327"/>
      <c r="AW40" s="327"/>
      <c r="AX40" s="327"/>
      <c r="AY40" s="327"/>
      <c r="AZ40" s="327"/>
      <c r="BA40" s="327"/>
      <c r="BB40" s="327"/>
      <c r="BC40" s="327"/>
      <c r="BD40" s="327"/>
      <c r="BE40" s="327"/>
    </row>
    <row r="41" spans="1:57" x14ac:dyDescent="0.35">
      <c r="A41" s="327"/>
      <c r="B41" s="327" t="s">
        <v>899</v>
      </c>
      <c r="C41" s="359" t="s">
        <v>2618</v>
      </c>
      <c r="D41" s="364"/>
      <c r="E41" s="364"/>
      <c r="F41" s="364"/>
      <c r="G41" s="10">
        <f>-'I&amp;E Annual'!BX149</f>
        <v>0</v>
      </c>
      <c r="H41" s="364"/>
      <c r="I41" s="364"/>
      <c r="J41" s="364"/>
      <c r="K41" s="364"/>
      <c r="L41" s="343"/>
      <c r="M41" s="364"/>
      <c r="N41" s="10">
        <f>-SUMIF('I&amp;E Annual'!$AA$4:$AL$4, 0, 'I&amp;E Annual'!AA149:AL149)</f>
        <v>0</v>
      </c>
      <c r="O41" s="364"/>
      <c r="P41" s="10">
        <f>-'I&amp;E Annual'!BY149</f>
        <v>0</v>
      </c>
      <c r="Q41" s="364"/>
      <c r="R41" s="10">
        <f>INDEX(AF41:AP41, 1, MATCH(R$6, $AF$5:$AP$5, 0))</f>
        <v>0</v>
      </c>
      <c r="S41" s="364"/>
      <c r="T41" s="10">
        <f>+P41-R41</f>
        <v>0</v>
      </c>
      <c r="U41" s="347"/>
      <c r="V41" s="364"/>
      <c r="W41" s="364"/>
      <c r="X41" s="10">
        <f>-'I&amp;E Annual'!BZ149</f>
        <v>0</v>
      </c>
      <c r="Y41" s="364"/>
      <c r="Z41" s="10">
        <f>INDEX(AG41:AQ41, 1, MATCH(Z$6, $AF$5:$AP$5, 0))</f>
        <v>0</v>
      </c>
      <c r="AA41" s="364"/>
      <c r="AB41" s="10">
        <f>+X41-Z41</f>
        <v>0</v>
      </c>
      <c r="AC41" s="347"/>
      <c r="AD41" s="347"/>
      <c r="AE41" s="347"/>
      <c r="AF41" s="114"/>
      <c r="AG41" s="114"/>
      <c r="AI41" s="114"/>
      <c r="AJ41" s="114"/>
      <c r="AL41" s="114"/>
      <c r="AM41" s="114"/>
      <c r="AO41" s="114"/>
      <c r="AP41" s="114"/>
      <c r="AQ41" s="347"/>
      <c r="AR41" s="327"/>
      <c r="AS41" s="327"/>
      <c r="AT41" s="327"/>
      <c r="AU41" s="327"/>
      <c r="AV41" s="327"/>
      <c r="AW41" s="327"/>
      <c r="AX41" s="327"/>
      <c r="AY41" s="327"/>
      <c r="AZ41" s="327"/>
      <c r="BA41" s="327"/>
      <c r="BB41" s="327"/>
      <c r="BC41" s="327"/>
      <c r="BD41" s="327"/>
      <c r="BE41" s="327"/>
    </row>
    <row r="42" spans="1:57" x14ac:dyDescent="0.35">
      <c r="A42" s="327"/>
      <c r="B42" s="327" t="s">
        <v>2619</v>
      </c>
      <c r="C42" s="359" t="s">
        <v>2620</v>
      </c>
      <c r="D42" s="364"/>
      <c r="E42" s="364"/>
      <c r="F42" s="364"/>
      <c r="G42" s="10">
        <f>-SUM('I&amp;E Annual'!BX150+'I&amp;E Annual'!BX151)</f>
        <v>0</v>
      </c>
      <c r="H42" s="364"/>
      <c r="I42" s="364"/>
      <c r="J42" s="364"/>
      <c r="K42" s="364"/>
      <c r="L42" s="343"/>
      <c r="M42" s="364"/>
      <c r="N42" s="10">
        <f>-(SUMIF('I&amp;E Annual'!$AA$4:$AL$4, 0, 'I&amp;E Annual'!AA150:AL150) + SUMIF('I&amp;E Annual'!$AA$4:$AL$4, 0, 'I&amp;E Annual'!AA151:AL151))</f>
        <v>0</v>
      </c>
      <c r="O42" s="364"/>
      <c r="P42" s="10">
        <f>-SUM('I&amp;E Annual'!BY150+'I&amp;E Annual'!BY151)</f>
        <v>0</v>
      </c>
      <c r="Q42" s="364"/>
      <c r="R42" s="10">
        <f>INDEX(AF42:AP42, 1, MATCH(R$6, $AF$5:$AP$5, 0))</f>
        <v>0</v>
      </c>
      <c r="S42" s="364"/>
      <c r="T42" s="10">
        <f>+P42-R42</f>
        <v>0</v>
      </c>
      <c r="U42" s="347"/>
      <c r="V42" s="364"/>
      <c r="W42" s="364"/>
      <c r="X42" s="10">
        <f>-SUM('I&amp;E Annual'!BZ150+'I&amp;E Annual'!BZ151)</f>
        <v>0</v>
      </c>
      <c r="Y42" s="364"/>
      <c r="Z42" s="10">
        <f>INDEX(AG42:AQ42, 1, MATCH(Z$6, $AF$5:$AP$5, 0))</f>
        <v>0</v>
      </c>
      <c r="AA42" s="364"/>
      <c r="AB42" s="10">
        <f>+X42-Z42</f>
        <v>0</v>
      </c>
      <c r="AC42" s="347"/>
      <c r="AD42" s="347"/>
      <c r="AE42" s="347"/>
      <c r="AF42" s="114"/>
      <c r="AG42" s="114"/>
      <c r="AI42" s="114"/>
      <c r="AJ42" s="114"/>
      <c r="AL42" s="114"/>
      <c r="AM42" s="114"/>
      <c r="AO42" s="114"/>
      <c r="AP42" s="114"/>
      <c r="AQ42" s="347"/>
      <c r="AR42" s="327"/>
      <c r="AS42" s="327"/>
      <c r="AT42" s="327"/>
      <c r="AU42" s="327"/>
      <c r="AV42" s="327"/>
      <c r="AW42" s="327"/>
      <c r="AX42" s="327"/>
      <c r="AY42" s="327"/>
      <c r="AZ42" s="327"/>
      <c r="BA42" s="327"/>
      <c r="BB42" s="327"/>
      <c r="BC42" s="327"/>
      <c r="BD42" s="327"/>
      <c r="BE42" s="327"/>
    </row>
    <row r="43" spans="1:57" x14ac:dyDescent="0.35">
      <c r="A43" s="327"/>
      <c r="B43" s="327"/>
      <c r="C43" s="359"/>
      <c r="D43" s="364"/>
      <c r="E43" s="364"/>
      <c r="F43" s="364"/>
      <c r="G43" s="364"/>
      <c r="H43" s="364"/>
      <c r="I43" s="364"/>
      <c r="J43" s="364"/>
      <c r="K43" s="364"/>
      <c r="L43" s="327"/>
      <c r="M43" s="364"/>
      <c r="N43" s="364"/>
      <c r="O43" s="364"/>
      <c r="P43" s="364"/>
      <c r="Q43" s="364"/>
      <c r="R43" s="364"/>
      <c r="S43" s="364"/>
      <c r="T43" s="364"/>
      <c r="U43" s="364"/>
      <c r="V43" s="364"/>
      <c r="W43" s="364"/>
      <c r="X43" s="364"/>
      <c r="Y43" s="364"/>
      <c r="Z43" s="364"/>
      <c r="AA43" s="364"/>
      <c r="AB43" s="364"/>
      <c r="AC43" s="364"/>
      <c r="AD43" s="364"/>
      <c r="AE43" s="364"/>
      <c r="AF43" s="364"/>
      <c r="AG43" s="364"/>
      <c r="AI43" s="364"/>
      <c r="AJ43" s="364"/>
      <c r="AL43" s="364"/>
      <c r="AM43" s="364"/>
      <c r="AO43" s="364"/>
      <c r="AP43" s="364"/>
      <c r="AQ43" s="347"/>
      <c r="AR43" s="327"/>
      <c r="AS43" s="327"/>
      <c r="AT43" s="327"/>
      <c r="AU43" s="327"/>
      <c r="AV43" s="327"/>
      <c r="AW43" s="327"/>
      <c r="AX43" s="327"/>
      <c r="AY43" s="327"/>
      <c r="AZ43" s="327"/>
      <c r="BA43" s="327"/>
      <c r="BB43" s="327"/>
      <c r="BC43" s="327"/>
      <c r="BD43" s="327"/>
      <c r="BE43" s="327"/>
    </row>
    <row r="44" spans="1:57" x14ac:dyDescent="0.35">
      <c r="A44" s="327"/>
      <c r="B44" s="327"/>
      <c r="C44" s="335"/>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I44" s="327"/>
      <c r="AJ44" s="327"/>
      <c r="AL44" s="327"/>
      <c r="AM44" s="327"/>
      <c r="AO44" s="327"/>
      <c r="AP44" s="327"/>
      <c r="AQ44" s="347"/>
      <c r="AR44" s="380"/>
      <c r="AS44" s="380"/>
      <c r="AT44" s="380"/>
      <c r="AU44" s="380"/>
      <c r="AV44" s="380"/>
      <c r="AW44" s="380"/>
      <c r="AX44" s="380"/>
      <c r="AY44" s="380"/>
      <c r="AZ44" s="380"/>
      <c r="BA44" s="380"/>
      <c r="BB44" s="380"/>
      <c r="BC44" s="380"/>
      <c r="BD44" s="380"/>
      <c r="BE44" s="327"/>
    </row>
    <row r="45" spans="1:57" ht="10.15" customHeight="1" x14ac:dyDescent="0.35">
      <c r="A45" s="327"/>
      <c r="B45" s="327"/>
      <c r="C45" s="335"/>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I45" s="327"/>
      <c r="AJ45" s="327"/>
      <c r="AL45" s="327"/>
      <c r="AM45" s="327"/>
      <c r="AO45" s="327"/>
      <c r="AP45" s="327"/>
      <c r="AQ45" s="347"/>
      <c r="AR45" s="384"/>
      <c r="AS45" s="385" t="s">
        <v>2621</v>
      </c>
      <c r="AT45" s="386"/>
      <c r="AU45" s="387" t="str">
        <f>E5</f>
        <v>FY2025</v>
      </c>
      <c r="AV45" s="386"/>
      <c r="AW45" s="387" t="str">
        <f>N5</f>
        <v>FY2026</v>
      </c>
      <c r="AX45" s="385"/>
      <c r="AY45" s="387" t="str">
        <f>P5</f>
        <v>FY2026</v>
      </c>
      <c r="AZ45" s="386"/>
      <c r="BA45" s="385" t="str">
        <f>T6</f>
        <v>Variance</v>
      </c>
      <c r="BB45" s="385"/>
      <c r="BC45" s="387" t="str">
        <f>W5</f>
        <v>FY2027</v>
      </c>
      <c r="BD45" s="388"/>
      <c r="BE45" s="327"/>
    </row>
    <row r="46" spans="1:57" ht="20.25" customHeight="1" x14ac:dyDescent="0.35">
      <c r="A46" s="327"/>
      <c r="B46" s="327"/>
      <c r="C46" s="335"/>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I46" s="327"/>
      <c r="AJ46" s="327"/>
      <c r="AL46" s="327"/>
      <c r="AM46" s="327"/>
      <c r="AO46" s="327"/>
      <c r="AP46" s="327"/>
      <c r="AQ46" s="347"/>
      <c r="AR46" s="389"/>
      <c r="AS46" s="390" t="s">
        <v>2589</v>
      </c>
      <c r="AT46" s="391"/>
      <c r="AU46" s="390" t="s">
        <v>2589</v>
      </c>
      <c r="AV46" s="391"/>
      <c r="AW46" s="516" t="str">
        <f>N6</f>
        <v>YTD (8m)  Actual</v>
      </c>
      <c r="AX46" s="390"/>
      <c r="AY46" s="390" t="s">
        <v>2622</v>
      </c>
      <c r="AZ46" s="391"/>
      <c r="BA46" s="392"/>
      <c r="BB46" s="390"/>
      <c r="BC46" s="390" t="s">
        <v>2622</v>
      </c>
      <c r="BD46" s="393"/>
      <c r="BE46" s="327"/>
    </row>
    <row r="47" spans="1:57" ht="12" customHeight="1" x14ac:dyDescent="0.35">
      <c r="A47" s="327"/>
      <c r="B47" s="327"/>
      <c r="C47" s="335"/>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I47" s="327"/>
      <c r="AJ47" s="327"/>
      <c r="AL47" s="327"/>
      <c r="AM47" s="327"/>
      <c r="AO47" s="327"/>
      <c r="AP47" s="327"/>
      <c r="AQ47" s="347"/>
      <c r="AR47" s="394"/>
      <c r="AS47" s="395" t="s">
        <v>2571</v>
      </c>
      <c r="AT47" s="380"/>
      <c r="AU47" s="395" t="s">
        <v>2571</v>
      </c>
      <c r="AV47" s="380"/>
      <c r="AW47" s="395" t="s">
        <v>2571</v>
      </c>
      <c r="AX47" s="395"/>
      <c r="AY47" s="395" t="s">
        <v>2571</v>
      </c>
      <c r="AZ47" s="380"/>
      <c r="BA47" s="395" t="s">
        <v>2571</v>
      </c>
      <c r="BB47" s="395"/>
      <c r="BC47" s="395" t="s">
        <v>2571</v>
      </c>
      <c r="BD47" s="396"/>
      <c r="BE47" s="327"/>
    </row>
    <row r="48" spans="1:57" ht="10.15" customHeight="1" x14ac:dyDescent="0.35">
      <c r="A48" s="327"/>
      <c r="B48" s="327"/>
      <c r="C48" s="335"/>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I48" s="327"/>
      <c r="AJ48" s="327"/>
      <c r="AL48" s="327"/>
      <c r="AM48" s="327"/>
      <c r="AO48" s="327"/>
      <c r="AP48" s="327"/>
      <c r="AQ48" s="327"/>
      <c r="AR48" s="394" t="s">
        <v>1708</v>
      </c>
      <c r="AS48" s="380"/>
      <c r="AT48" s="380"/>
      <c r="AU48" s="380"/>
      <c r="AV48" s="380"/>
      <c r="AW48" s="397"/>
      <c r="AX48" s="397"/>
      <c r="AY48" s="397"/>
      <c r="AZ48" s="380"/>
      <c r="BA48" s="380"/>
      <c r="BB48" s="380"/>
      <c r="BC48" s="380"/>
      <c r="BD48" s="398"/>
      <c r="BE48" s="327"/>
    </row>
    <row r="49" spans="1:57" ht="10.15" customHeight="1" x14ac:dyDescent="0.35">
      <c r="A49" s="327"/>
      <c r="B49" s="327"/>
      <c r="C49" s="335"/>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I49" s="327"/>
      <c r="AJ49" s="327"/>
      <c r="AL49" s="327"/>
      <c r="AM49" s="327"/>
      <c r="AO49" s="327"/>
      <c r="AP49" s="327"/>
      <c r="AQ49" s="327"/>
      <c r="AR49" s="371" t="s">
        <v>2623</v>
      </c>
      <c r="AS49" s="399">
        <f>+G9</f>
        <v>0</v>
      </c>
      <c r="AT49" s="334"/>
      <c r="AU49" s="399">
        <f>+G9</f>
        <v>0</v>
      </c>
      <c r="AV49" s="334"/>
      <c r="AW49" s="399">
        <f>+N9</f>
        <v>0</v>
      </c>
      <c r="AX49" s="399"/>
      <c r="AY49" s="399">
        <f>+P9</f>
        <v>0</v>
      </c>
      <c r="AZ49" s="334"/>
      <c r="BA49" s="399">
        <f>+T9</f>
        <v>0</v>
      </c>
      <c r="BB49" s="399"/>
      <c r="BC49" s="399">
        <f>+X9</f>
        <v>0</v>
      </c>
      <c r="BD49" s="357"/>
      <c r="BE49" s="327"/>
    </row>
    <row r="50" spans="1:57" ht="10.15" customHeight="1" x14ac:dyDescent="0.35">
      <c r="A50" s="327"/>
      <c r="B50" s="327"/>
      <c r="C50" s="335"/>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I50" s="327"/>
      <c r="AJ50" s="327"/>
      <c r="AL50" s="327"/>
      <c r="AM50" s="327"/>
      <c r="AO50" s="327"/>
      <c r="AP50" s="327"/>
      <c r="AQ50" s="327"/>
      <c r="AR50" s="371" t="s">
        <v>2624</v>
      </c>
      <c r="AS50" s="399">
        <f>+G11</f>
        <v>0</v>
      </c>
      <c r="AT50" s="334"/>
      <c r="AU50" s="399">
        <f>+G11</f>
        <v>0</v>
      </c>
      <c r="AV50" s="334"/>
      <c r="AW50" s="399">
        <f>+N11</f>
        <v>0</v>
      </c>
      <c r="AX50" s="399"/>
      <c r="AY50" s="399">
        <f>+P11</f>
        <v>0</v>
      </c>
      <c r="AZ50" s="334"/>
      <c r="BA50" s="399">
        <f>+T11</f>
        <v>0</v>
      </c>
      <c r="BB50" s="399"/>
      <c r="BC50" s="399">
        <f>+X11</f>
        <v>0</v>
      </c>
      <c r="BD50" s="357"/>
      <c r="BE50" s="327"/>
    </row>
    <row r="51" spans="1:57" ht="10.15" customHeight="1" x14ac:dyDescent="0.35">
      <c r="A51" s="327"/>
      <c r="B51" s="327"/>
      <c r="C51" s="335"/>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I51" s="327"/>
      <c r="AJ51" s="327"/>
      <c r="AL51" s="327"/>
      <c r="AM51" s="327"/>
      <c r="AO51" s="327"/>
      <c r="AP51" s="327"/>
      <c r="AQ51" s="327"/>
      <c r="AR51" s="371" t="s">
        <v>2625</v>
      </c>
      <c r="AS51" s="399">
        <f>+G10</f>
        <v>0</v>
      </c>
      <c r="AT51" s="334"/>
      <c r="AU51" s="399">
        <f>+G10</f>
        <v>0</v>
      </c>
      <c r="AV51" s="334"/>
      <c r="AW51" s="399">
        <f>+N10</f>
        <v>0</v>
      </c>
      <c r="AX51" s="399"/>
      <c r="AY51" s="399">
        <f>+P10</f>
        <v>0</v>
      </c>
      <c r="AZ51" s="334"/>
      <c r="BA51" s="399">
        <f>+T10</f>
        <v>0</v>
      </c>
      <c r="BB51" s="399"/>
      <c r="BC51" s="399">
        <f>+X10</f>
        <v>0</v>
      </c>
      <c r="BD51" s="357"/>
      <c r="BE51" s="327"/>
    </row>
    <row r="52" spans="1:57" ht="10.15" customHeight="1" x14ac:dyDescent="0.35">
      <c r="A52" s="327"/>
      <c r="B52" s="327"/>
      <c r="C52" s="335"/>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I52" s="327"/>
      <c r="AJ52" s="327"/>
      <c r="AL52" s="327"/>
      <c r="AM52" s="327"/>
      <c r="AO52" s="327"/>
      <c r="AP52" s="327"/>
      <c r="AQ52" s="327"/>
      <c r="AR52" s="371" t="s">
        <v>2626</v>
      </c>
      <c r="AS52" s="399">
        <f>+G12</f>
        <v>0</v>
      </c>
      <c r="AT52" s="334"/>
      <c r="AU52" s="399">
        <f>+G12</f>
        <v>0</v>
      </c>
      <c r="AV52" s="334"/>
      <c r="AW52" s="399">
        <f>+N12</f>
        <v>0</v>
      </c>
      <c r="AX52" s="399"/>
      <c r="AY52" s="399">
        <f>+P12</f>
        <v>0</v>
      </c>
      <c r="AZ52" s="334"/>
      <c r="BA52" s="399">
        <f>+T12</f>
        <v>0</v>
      </c>
      <c r="BB52" s="399"/>
      <c r="BC52" s="399">
        <f>+X12</f>
        <v>0</v>
      </c>
      <c r="BD52" s="357"/>
      <c r="BE52" s="327"/>
    </row>
    <row r="53" spans="1:57" ht="10.15" customHeight="1" x14ac:dyDescent="0.35">
      <c r="A53" s="327"/>
      <c r="B53" s="327"/>
      <c r="C53" s="335"/>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I53" s="327"/>
      <c r="AJ53" s="327"/>
      <c r="AL53" s="327"/>
      <c r="AM53" s="327"/>
      <c r="AO53" s="327"/>
      <c r="AP53" s="327"/>
      <c r="AQ53" s="327"/>
      <c r="AR53" s="371" t="s">
        <v>14</v>
      </c>
      <c r="AS53" s="400">
        <f>+G13+G14</f>
        <v>0</v>
      </c>
      <c r="AT53" s="334"/>
      <c r="AU53" s="400">
        <f>+G13+G14</f>
        <v>0</v>
      </c>
      <c r="AV53" s="334"/>
      <c r="AW53" s="400">
        <f>+N13+N14</f>
        <v>0</v>
      </c>
      <c r="AX53" s="399"/>
      <c r="AY53" s="400">
        <f>+P13+P14</f>
        <v>0</v>
      </c>
      <c r="AZ53" s="334"/>
      <c r="BA53" s="400">
        <f>+T13+T14</f>
        <v>0</v>
      </c>
      <c r="BB53" s="399"/>
      <c r="BC53" s="400">
        <f>+X13+X14</f>
        <v>0</v>
      </c>
      <c r="BD53" s="357"/>
      <c r="BE53" s="327"/>
    </row>
    <row r="54" spans="1:57" ht="10.15" customHeight="1" x14ac:dyDescent="0.35">
      <c r="A54" s="327"/>
      <c r="B54" s="327"/>
      <c r="C54" s="335"/>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I54" s="327"/>
      <c r="AJ54" s="327"/>
      <c r="AL54" s="327"/>
      <c r="AM54" s="327"/>
      <c r="AO54" s="327"/>
      <c r="AP54" s="327"/>
      <c r="AQ54" s="327"/>
      <c r="AR54" s="371"/>
      <c r="AS54" s="401">
        <f>SUM(AS49:AS53)</f>
        <v>0</v>
      </c>
      <c r="AT54" s="334"/>
      <c r="AU54" s="401">
        <f>SUM(AU49:AU53)</f>
        <v>0</v>
      </c>
      <c r="AV54" s="334"/>
      <c r="AW54" s="401">
        <f>SUM(AW49:AW53)</f>
        <v>0</v>
      </c>
      <c r="AX54" s="401">
        <f>SUM(AX49:AX53)</f>
        <v>0</v>
      </c>
      <c r="AY54" s="401">
        <f>SUM(AY49:AY53)</f>
        <v>0</v>
      </c>
      <c r="AZ54" s="334"/>
      <c r="BA54" s="401">
        <f>SUM(BA49:BA53)</f>
        <v>0</v>
      </c>
      <c r="BB54" s="401"/>
      <c r="BC54" s="401">
        <f>SUM(BC49:BC53)</f>
        <v>0</v>
      </c>
      <c r="BD54" s="357"/>
      <c r="BE54" s="327"/>
    </row>
    <row r="55" spans="1:57" ht="8.25" customHeight="1" x14ac:dyDescent="0.35">
      <c r="A55" s="327"/>
      <c r="B55" s="327"/>
      <c r="C55" s="335"/>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I55" s="327"/>
      <c r="AJ55" s="327"/>
      <c r="AL55" s="327"/>
      <c r="AM55" s="327"/>
      <c r="AO55" s="327"/>
      <c r="AP55" s="327"/>
      <c r="AQ55" s="327"/>
      <c r="AR55" s="402" t="s">
        <v>2604</v>
      </c>
      <c r="AS55" s="334"/>
      <c r="AT55" s="403"/>
      <c r="AU55" s="334"/>
      <c r="AV55" s="334"/>
      <c r="AW55" s="334"/>
      <c r="AX55" s="334"/>
      <c r="AY55" s="334"/>
      <c r="AZ55" s="334"/>
      <c r="BA55" s="334"/>
      <c r="BB55" s="334"/>
      <c r="BC55" s="334"/>
      <c r="BD55" s="357"/>
      <c r="BE55" s="327"/>
    </row>
    <row r="56" spans="1:57" ht="10.15" customHeight="1" x14ac:dyDescent="0.35">
      <c r="A56" s="327"/>
      <c r="B56" s="327"/>
      <c r="C56" s="335"/>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I56" s="327"/>
      <c r="AJ56" s="327"/>
      <c r="AL56" s="327"/>
      <c r="AM56" s="327"/>
      <c r="AO56" s="327"/>
      <c r="AP56" s="327"/>
      <c r="AQ56" s="327"/>
      <c r="AR56" s="371" t="s">
        <v>2627</v>
      </c>
      <c r="AS56" s="399">
        <f>+G22</f>
        <v>0</v>
      </c>
      <c r="AT56" s="404" t="e">
        <f>-AS56/AS54</f>
        <v>#DIV/0!</v>
      </c>
      <c r="AU56" s="399">
        <f>+G22</f>
        <v>0</v>
      </c>
      <c r="AV56" s="404" t="e">
        <f>-AU56/AU54</f>
        <v>#DIV/0!</v>
      </c>
      <c r="AW56" s="399">
        <f>+N22</f>
        <v>0</v>
      </c>
      <c r="AX56" s="404" t="e">
        <f>-AW56/AW54</f>
        <v>#DIV/0!</v>
      </c>
      <c r="AY56" s="399">
        <f>+P22</f>
        <v>0</v>
      </c>
      <c r="AZ56" s="327"/>
      <c r="BA56" s="399">
        <f>+T22</f>
        <v>0</v>
      </c>
      <c r="BB56" s="404" t="e">
        <f>-#REF!/BA54</f>
        <v>#REF!</v>
      </c>
      <c r="BC56" s="399">
        <f>+X22</f>
        <v>0</v>
      </c>
      <c r="BD56" s="357"/>
      <c r="BE56" s="327"/>
    </row>
    <row r="57" spans="1:57" ht="10.15" customHeight="1" x14ac:dyDescent="0.35">
      <c r="A57" s="327"/>
      <c r="B57" s="327"/>
      <c r="C57" s="335"/>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I57" s="327"/>
      <c r="AJ57" s="327"/>
      <c r="AL57" s="327"/>
      <c r="AM57" s="327"/>
      <c r="AO57" s="327"/>
      <c r="AP57" s="327"/>
      <c r="AQ57" s="327"/>
      <c r="AR57" s="371" t="s">
        <v>2524</v>
      </c>
      <c r="AS57" s="399">
        <f>+G23</f>
        <v>0</v>
      </c>
      <c r="AT57" s="405"/>
      <c r="AU57" s="399">
        <f>+G23</f>
        <v>0</v>
      </c>
      <c r="AV57" s="405"/>
      <c r="AW57" s="399">
        <f>+N23</f>
        <v>0</v>
      </c>
      <c r="AX57" s="404"/>
      <c r="AY57" s="399">
        <f>+P23</f>
        <v>0</v>
      </c>
      <c r="AZ57" s="327"/>
      <c r="BA57" s="399">
        <f>+T23</f>
        <v>0</v>
      </c>
      <c r="BB57" s="405"/>
      <c r="BC57" s="399">
        <f>+X23</f>
        <v>0</v>
      </c>
      <c r="BD57" s="357"/>
      <c r="BE57" s="327"/>
    </row>
    <row r="58" spans="1:57" ht="10.15" customHeight="1" x14ac:dyDescent="0.35">
      <c r="A58" s="327"/>
      <c r="B58" s="327"/>
      <c r="C58" s="335"/>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I58" s="327"/>
      <c r="AJ58" s="327"/>
      <c r="AL58" s="327"/>
      <c r="AM58" s="327"/>
      <c r="AO58" s="327"/>
      <c r="AP58" s="327"/>
      <c r="AQ58" s="327"/>
      <c r="AR58" s="371" t="s">
        <v>2608</v>
      </c>
      <c r="AS58" s="400">
        <f>+G24</f>
        <v>0</v>
      </c>
      <c r="AT58" s="404" t="e">
        <f>-AS58/AS54</f>
        <v>#DIV/0!</v>
      </c>
      <c r="AU58" s="399">
        <f>+G24</f>
        <v>0</v>
      </c>
      <c r="AV58" s="404" t="e">
        <f>-AU58/AU54</f>
        <v>#DIV/0!</v>
      </c>
      <c r="AW58" s="400">
        <f>+N24</f>
        <v>0</v>
      </c>
      <c r="AX58" s="404" t="e">
        <f>-AW58/AW54</f>
        <v>#DIV/0!</v>
      </c>
      <c r="AY58" s="400">
        <f>+P24</f>
        <v>0</v>
      </c>
      <c r="AZ58" s="327"/>
      <c r="BA58" s="400">
        <f>+T24</f>
        <v>0</v>
      </c>
      <c r="BB58" s="405" t="e">
        <f>-#REF!/BA54</f>
        <v>#REF!</v>
      </c>
      <c r="BC58" s="400">
        <f>+X24</f>
        <v>0</v>
      </c>
      <c r="BD58" s="357"/>
      <c r="BE58" s="327"/>
    </row>
    <row r="59" spans="1:57" ht="10.15" customHeight="1" x14ac:dyDescent="0.35">
      <c r="A59" s="327"/>
      <c r="B59" s="327"/>
      <c r="C59" s="335"/>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I59" s="327"/>
      <c r="AJ59" s="327"/>
      <c r="AL59" s="327"/>
      <c r="AM59" s="327"/>
      <c r="AO59" s="327"/>
      <c r="AP59" s="327"/>
      <c r="AQ59" s="327"/>
      <c r="AR59" s="371"/>
      <c r="AS59" s="406">
        <f>SUM(AS56:AS58)</f>
        <v>0</v>
      </c>
      <c r="AT59" s="407"/>
      <c r="AU59" s="408">
        <f>SUM(AU56:AU58)</f>
        <v>0</v>
      </c>
      <c r="AV59" s="404"/>
      <c r="AW59" s="408">
        <f>SUM(AW56:AW58)</f>
        <v>0</v>
      </c>
      <c r="AX59" s="408" t="e">
        <f>SUM(AX56:AX58)</f>
        <v>#DIV/0!</v>
      </c>
      <c r="AY59" s="408">
        <f>SUM(AY56:AY58)</f>
        <v>0</v>
      </c>
      <c r="AZ59" s="404"/>
      <c r="BA59" s="408">
        <f>SUM(BA56:BA58)</f>
        <v>0</v>
      </c>
      <c r="BB59" s="401"/>
      <c r="BC59" s="408">
        <f>SUM(BC56:BC58)</f>
        <v>0</v>
      </c>
      <c r="BD59" s="409"/>
      <c r="BE59" s="327"/>
    </row>
    <row r="60" spans="1:57" ht="12.75" customHeight="1" thickBot="1" x14ac:dyDescent="0.4">
      <c r="A60" s="327"/>
      <c r="B60" s="327"/>
      <c r="C60" s="335"/>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I60" s="327"/>
      <c r="AJ60" s="327"/>
      <c r="AL60" s="327"/>
      <c r="AM60" s="327"/>
      <c r="AO60" s="327"/>
      <c r="AP60" s="327"/>
      <c r="AQ60" s="327"/>
      <c r="AR60" s="402" t="s">
        <v>1749</v>
      </c>
      <c r="AS60" s="410">
        <f>+AS54+AS59</f>
        <v>0</v>
      </c>
      <c r="AT60" s="334"/>
      <c r="AU60" s="410">
        <f>+AU54+AU59</f>
        <v>0</v>
      </c>
      <c r="AV60" s="334"/>
      <c r="AW60" s="410">
        <f>+AW54+AW59</f>
        <v>0</v>
      </c>
      <c r="AX60" s="401"/>
      <c r="AY60" s="410">
        <f>+AY54+AY59</f>
        <v>0</v>
      </c>
      <c r="AZ60" s="334"/>
      <c r="BA60" s="410">
        <f>+BA54+BA59</f>
        <v>0</v>
      </c>
      <c r="BB60" s="401"/>
      <c r="BC60" s="410">
        <f>+BC54+BC59</f>
        <v>0</v>
      </c>
      <c r="BD60" s="357"/>
      <c r="BE60" s="327"/>
    </row>
    <row r="61" spans="1:57" ht="10.15" customHeight="1" x14ac:dyDescent="0.35">
      <c r="A61" s="327"/>
      <c r="B61" s="327"/>
      <c r="C61" s="335"/>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I61" s="327"/>
      <c r="AJ61" s="327"/>
      <c r="AL61" s="327"/>
      <c r="AM61" s="327"/>
      <c r="AO61" s="327"/>
      <c r="AP61" s="327"/>
      <c r="AQ61" s="327"/>
      <c r="AR61" s="371" t="s">
        <v>2613</v>
      </c>
      <c r="AS61" s="399">
        <f>+G33</f>
        <v>0</v>
      </c>
      <c r="AT61" s="334"/>
      <c r="AU61" s="399">
        <f>+G33</f>
        <v>0</v>
      </c>
      <c r="AV61" s="334"/>
      <c r="AW61" s="399">
        <f>+N33</f>
        <v>0</v>
      </c>
      <c r="AX61" s="399"/>
      <c r="AY61" s="399">
        <f>+P33</f>
        <v>0</v>
      </c>
      <c r="AZ61" s="334"/>
      <c r="BA61" s="399">
        <f>+T33</f>
        <v>0</v>
      </c>
      <c r="BB61" s="399"/>
      <c r="BC61" s="399">
        <f>+X33</f>
        <v>0</v>
      </c>
      <c r="BD61" s="357"/>
      <c r="BE61" s="327"/>
    </row>
    <row r="62" spans="1:57" ht="10.15" customHeight="1" x14ac:dyDescent="0.35">
      <c r="A62" s="327"/>
      <c r="B62" s="327"/>
      <c r="C62" s="335"/>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I62" s="327"/>
      <c r="AJ62" s="327"/>
      <c r="AL62" s="327"/>
      <c r="AM62" s="327"/>
      <c r="AO62" s="327"/>
      <c r="AP62" s="327"/>
      <c r="AQ62" s="327"/>
      <c r="AR62" s="371" t="s">
        <v>2628</v>
      </c>
      <c r="AS62" s="399">
        <f>+G34</f>
        <v>0</v>
      </c>
      <c r="AT62" s="334"/>
      <c r="AU62" s="399">
        <f>+G34</f>
        <v>0</v>
      </c>
      <c r="AV62" s="334"/>
      <c r="AW62" s="399">
        <f>+N34</f>
        <v>0</v>
      </c>
      <c r="AX62" s="399"/>
      <c r="AY62" s="399">
        <f>+P34</f>
        <v>0</v>
      </c>
      <c r="AZ62" s="334"/>
      <c r="BA62" s="399">
        <f>+T34</f>
        <v>0</v>
      </c>
      <c r="BB62" s="399"/>
      <c r="BC62" s="399">
        <f>+X34</f>
        <v>0</v>
      </c>
      <c r="BD62" s="357"/>
      <c r="BE62" s="327"/>
    </row>
    <row r="63" spans="1:57" ht="12" customHeight="1" thickBot="1" x14ac:dyDescent="0.4">
      <c r="A63" s="327"/>
      <c r="B63" s="327"/>
      <c r="C63" s="335"/>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I63" s="327"/>
      <c r="AJ63" s="327"/>
      <c r="AL63" s="327"/>
      <c r="AM63" s="327"/>
      <c r="AO63" s="327"/>
      <c r="AP63" s="327"/>
      <c r="AQ63" s="327"/>
      <c r="AR63" s="402" t="s">
        <v>2617</v>
      </c>
      <c r="AS63" s="411">
        <f>SUM(AS60:AS62)</f>
        <v>0</v>
      </c>
      <c r="AT63" s="334"/>
      <c r="AU63" s="411">
        <f>SUM(AU60:AU62)</f>
        <v>0</v>
      </c>
      <c r="AV63" s="334"/>
      <c r="AW63" s="411">
        <f>SUM(AW60:AW62)</f>
        <v>0</v>
      </c>
      <c r="AX63" s="401"/>
      <c r="AY63" s="411">
        <f>SUM(AY60:AY62)</f>
        <v>0</v>
      </c>
      <c r="AZ63" s="334"/>
      <c r="BA63" s="411">
        <f>SUM(BA60:BA62)</f>
        <v>0</v>
      </c>
      <c r="BB63" s="401"/>
      <c r="BC63" s="411">
        <f>SUM(BC60:BC62)</f>
        <v>0</v>
      </c>
      <c r="BD63" s="357"/>
      <c r="BE63" s="327"/>
    </row>
    <row r="64" spans="1:57" ht="3.75" customHeight="1" thickTop="1" x14ac:dyDescent="0.35">
      <c r="A64" s="327"/>
      <c r="B64" s="327"/>
      <c r="C64" s="335"/>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I64" s="327"/>
      <c r="AJ64" s="327"/>
      <c r="AL64" s="327"/>
      <c r="AM64" s="327"/>
      <c r="AO64" s="327"/>
      <c r="AP64" s="327"/>
      <c r="AQ64" s="327"/>
      <c r="AR64" s="412"/>
      <c r="AS64" s="413"/>
      <c r="AT64" s="413"/>
      <c r="AU64" s="413"/>
      <c r="AV64" s="413"/>
      <c r="AW64" s="414"/>
      <c r="AX64" s="414"/>
      <c r="AY64" s="414"/>
      <c r="AZ64" s="413"/>
      <c r="BA64" s="413"/>
      <c r="BB64" s="413"/>
      <c r="BC64" s="413"/>
      <c r="BD64" s="415"/>
      <c r="BE64" s="327"/>
    </row>
    <row r="65" spans="1:57" x14ac:dyDescent="0.35">
      <c r="A65" s="327"/>
      <c r="B65" s="327"/>
      <c r="C65" s="335"/>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I65" s="327"/>
      <c r="AJ65" s="327"/>
      <c r="AL65" s="327"/>
      <c r="AM65" s="327"/>
      <c r="AO65" s="327"/>
      <c r="AP65" s="327"/>
      <c r="AQ65" s="327"/>
      <c r="AR65" s="327"/>
      <c r="AS65" s="327"/>
      <c r="AT65" s="327"/>
      <c r="AU65" s="327"/>
      <c r="AV65" s="327"/>
      <c r="AW65" s="327"/>
      <c r="AX65" s="327"/>
      <c r="AY65" s="327"/>
      <c r="AZ65" s="327"/>
      <c r="BA65" s="327"/>
      <c r="BB65" s="327"/>
      <c r="BC65" s="327"/>
      <c r="BD65" s="327"/>
      <c r="BE65" s="327"/>
    </row>
    <row r="66" spans="1:57" ht="28.5" customHeight="1" x14ac:dyDescent="0.35">
      <c r="A66" s="327"/>
      <c r="B66" s="695"/>
      <c r="C66" s="695"/>
      <c r="D66" s="695"/>
      <c r="E66" s="695"/>
      <c r="F66" s="695"/>
      <c r="G66" s="695"/>
      <c r="H66" s="695"/>
      <c r="I66" s="695"/>
      <c r="J66" s="695"/>
      <c r="K66" s="695"/>
      <c r="L66" s="695"/>
      <c r="M66" s="695"/>
      <c r="N66" s="695"/>
      <c r="O66" s="695"/>
      <c r="P66" s="695"/>
      <c r="Q66" s="695"/>
      <c r="R66" s="695"/>
      <c r="S66" s="695"/>
      <c r="T66" s="695"/>
      <c r="U66" s="695"/>
      <c r="V66" s="695"/>
      <c r="W66" s="327"/>
      <c r="X66" s="327"/>
      <c r="Y66" s="327"/>
      <c r="Z66" s="327"/>
      <c r="AA66" s="327"/>
      <c r="AB66" s="327"/>
      <c r="AC66" s="327"/>
      <c r="AD66" s="327"/>
      <c r="AE66" s="327"/>
      <c r="AF66" s="327"/>
      <c r="AG66" s="327"/>
      <c r="AI66" s="327"/>
      <c r="AJ66" s="327"/>
      <c r="AL66" s="327"/>
      <c r="AM66" s="327"/>
      <c r="AO66" s="327"/>
      <c r="AP66" s="327"/>
      <c r="AQ66" s="327"/>
      <c r="AR66" s="327"/>
      <c r="AS66" s="327"/>
      <c r="AT66" s="327"/>
      <c r="AU66" s="327"/>
      <c r="AV66" s="327"/>
      <c r="AW66" s="327"/>
      <c r="AX66" s="327"/>
      <c r="AY66" s="327"/>
      <c r="AZ66" s="327"/>
      <c r="BA66" s="327"/>
      <c r="BB66" s="327"/>
      <c r="BC66" s="327"/>
      <c r="BD66" s="327"/>
      <c r="BE66" s="327"/>
    </row>
    <row r="67" spans="1:57" ht="51.75" customHeight="1" x14ac:dyDescent="0.35">
      <c r="A67" s="327"/>
      <c r="B67" s="690"/>
      <c r="C67" s="690"/>
      <c r="D67" s="690"/>
      <c r="E67" s="690"/>
      <c r="F67" s="690"/>
      <c r="G67" s="690"/>
      <c r="H67" s="690"/>
      <c r="I67" s="690"/>
      <c r="J67" s="690"/>
      <c r="K67" s="690"/>
      <c r="L67" s="690"/>
      <c r="M67" s="690"/>
      <c r="N67" s="690"/>
      <c r="O67" s="690"/>
      <c r="P67" s="690"/>
      <c r="Q67" s="690"/>
      <c r="R67" s="690"/>
      <c r="S67" s="690"/>
      <c r="T67" s="690"/>
      <c r="U67" s="690"/>
      <c r="V67" s="690"/>
      <c r="W67" s="327"/>
      <c r="X67" s="327"/>
      <c r="Y67" s="327"/>
      <c r="Z67" s="327"/>
      <c r="AA67" s="327"/>
      <c r="AB67" s="327"/>
      <c r="AC67" s="327"/>
      <c r="AD67" s="327"/>
      <c r="AE67" s="327"/>
      <c r="AF67" s="327"/>
      <c r="AG67" s="327"/>
      <c r="AI67" s="327"/>
      <c r="AJ67" s="327"/>
      <c r="AL67" s="327"/>
      <c r="AM67" s="327"/>
      <c r="AO67" s="327"/>
      <c r="AP67" s="327"/>
      <c r="AQ67" s="327"/>
      <c r="AR67" s="327"/>
      <c r="AS67" s="327"/>
      <c r="AT67" s="327"/>
      <c r="AU67" s="327"/>
      <c r="AV67" s="327"/>
      <c r="AW67" s="327"/>
      <c r="AX67" s="327"/>
      <c r="AY67" s="327"/>
      <c r="AZ67" s="327"/>
      <c r="BA67" s="327"/>
      <c r="BB67" s="327"/>
      <c r="BC67" s="327"/>
      <c r="BD67" s="327"/>
      <c r="BE67" s="327"/>
    </row>
    <row r="68" spans="1:57" ht="28.5" customHeight="1" x14ac:dyDescent="0.35">
      <c r="A68" s="327"/>
      <c r="B68" s="690"/>
      <c r="C68" s="690"/>
      <c r="D68" s="690"/>
      <c r="E68" s="690"/>
      <c r="F68" s="690"/>
      <c r="G68" s="690"/>
      <c r="H68" s="690"/>
      <c r="I68" s="690"/>
      <c r="J68" s="690"/>
      <c r="K68" s="690"/>
      <c r="L68" s="690"/>
      <c r="M68" s="690"/>
      <c r="N68" s="690"/>
      <c r="O68" s="690"/>
      <c r="P68" s="690"/>
      <c r="Q68" s="690"/>
      <c r="R68" s="690"/>
      <c r="S68" s="690"/>
      <c r="T68" s="690"/>
      <c r="U68" s="690"/>
      <c r="V68" s="690"/>
      <c r="W68" s="327"/>
      <c r="X68" s="327"/>
      <c r="Y68" s="327"/>
      <c r="Z68" s="327"/>
      <c r="AA68" s="327"/>
      <c r="AB68" s="327"/>
      <c r="AC68" s="327"/>
      <c r="AD68" s="327"/>
      <c r="AE68" s="327"/>
      <c r="AF68" s="327"/>
      <c r="AG68" s="327"/>
      <c r="AI68" s="327"/>
      <c r="AJ68" s="327"/>
      <c r="AL68" s="327"/>
      <c r="AM68" s="327"/>
      <c r="AO68" s="327"/>
      <c r="AP68" s="327"/>
      <c r="AQ68" s="327"/>
      <c r="AR68" s="327"/>
      <c r="AS68" s="327"/>
      <c r="AT68" s="327"/>
      <c r="AU68" s="327"/>
      <c r="AV68" s="327"/>
      <c r="AW68" s="327"/>
      <c r="AX68" s="327"/>
      <c r="AY68" s="327"/>
      <c r="AZ68" s="327"/>
      <c r="BA68" s="327"/>
      <c r="BB68" s="327"/>
      <c r="BC68" s="327"/>
      <c r="BD68" s="327"/>
      <c r="BE68" s="327"/>
    </row>
    <row r="69" spans="1:57" ht="30.75" customHeight="1" x14ac:dyDescent="0.35">
      <c r="A69" s="327"/>
      <c r="B69" s="690"/>
      <c r="C69" s="690"/>
      <c r="D69" s="690"/>
      <c r="E69" s="690"/>
      <c r="F69" s="690"/>
      <c r="G69" s="690"/>
      <c r="H69" s="690"/>
      <c r="I69" s="690"/>
      <c r="J69" s="690"/>
      <c r="K69" s="690"/>
      <c r="L69" s="690"/>
      <c r="M69" s="690"/>
      <c r="N69" s="690"/>
      <c r="O69" s="690"/>
      <c r="P69" s="690"/>
      <c r="Q69" s="690"/>
      <c r="R69" s="690"/>
      <c r="S69" s="690"/>
      <c r="T69" s="690"/>
      <c r="U69" s="690"/>
      <c r="V69" s="690"/>
      <c r="W69" s="327"/>
      <c r="X69" s="327"/>
      <c r="Y69" s="327"/>
      <c r="Z69" s="327"/>
      <c r="AA69" s="327"/>
      <c r="AB69" s="327"/>
      <c r="AC69" s="327"/>
      <c r="AD69" s="327"/>
      <c r="AE69" s="327"/>
      <c r="AF69" s="327"/>
      <c r="AG69" s="327"/>
      <c r="AI69" s="327"/>
      <c r="AJ69" s="327"/>
      <c r="AL69" s="327"/>
      <c r="AM69" s="327"/>
      <c r="AO69" s="327"/>
      <c r="AP69" s="327"/>
      <c r="AQ69" s="327"/>
      <c r="AR69" s="327"/>
      <c r="AS69" s="327"/>
      <c r="AT69" s="327"/>
      <c r="AU69" s="327"/>
      <c r="AV69" s="327"/>
      <c r="AW69" s="327"/>
      <c r="AX69" s="327"/>
      <c r="AY69" s="327"/>
      <c r="AZ69" s="327"/>
      <c r="BA69" s="327"/>
      <c r="BB69" s="327"/>
      <c r="BC69" s="327"/>
      <c r="BD69" s="327"/>
      <c r="BE69" s="327"/>
    </row>
    <row r="70" spans="1:57" ht="30.75" customHeight="1" x14ac:dyDescent="0.35">
      <c r="A70" s="327"/>
      <c r="B70" s="512"/>
      <c r="C70" s="416"/>
      <c r="D70" s="513"/>
      <c r="E70" s="513"/>
      <c r="F70" s="513"/>
      <c r="G70" s="513"/>
      <c r="H70" s="513"/>
      <c r="I70" s="513"/>
      <c r="J70" s="513"/>
      <c r="K70" s="513"/>
      <c r="L70" s="513"/>
      <c r="M70" s="513"/>
      <c r="N70" s="513"/>
      <c r="O70" s="513"/>
      <c r="P70" s="513"/>
      <c r="Q70" s="513"/>
      <c r="R70" s="513"/>
      <c r="S70" s="513"/>
      <c r="T70" s="513"/>
      <c r="U70" s="513"/>
      <c r="V70" s="513"/>
      <c r="W70" s="327"/>
      <c r="X70" s="327"/>
      <c r="Y70" s="327"/>
      <c r="Z70" s="327"/>
      <c r="AA70" s="327"/>
      <c r="AB70" s="327"/>
      <c r="AC70" s="327"/>
      <c r="AD70" s="327"/>
      <c r="AE70" s="327"/>
      <c r="AF70" s="327"/>
      <c r="AG70" s="327"/>
      <c r="AI70" s="327"/>
      <c r="AJ70" s="327"/>
      <c r="AL70" s="327"/>
      <c r="AM70" s="327"/>
      <c r="AO70" s="327"/>
      <c r="AP70" s="327"/>
      <c r="AQ70" s="327"/>
      <c r="AR70" s="327"/>
      <c r="AS70" s="327"/>
      <c r="AT70" s="327"/>
      <c r="AU70" s="327"/>
      <c r="AV70" s="327"/>
      <c r="AW70" s="327"/>
      <c r="AX70" s="327"/>
      <c r="AY70" s="327"/>
      <c r="AZ70" s="327"/>
      <c r="BA70" s="327"/>
      <c r="BB70" s="327"/>
      <c r="BC70" s="327"/>
      <c r="BD70" s="327"/>
      <c r="BE70" s="327"/>
    </row>
    <row r="71" spans="1:57" x14ac:dyDescent="0.35">
      <c r="A71" s="327"/>
      <c r="B71" s="327"/>
      <c r="C71" s="335"/>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I71" s="327"/>
      <c r="AJ71" s="327"/>
      <c r="AL71" s="327"/>
      <c r="AM71" s="327"/>
      <c r="AO71" s="327"/>
      <c r="AP71" s="327"/>
      <c r="AQ71" s="327"/>
      <c r="AR71" s="327"/>
      <c r="AS71" s="327"/>
      <c r="AT71" s="327"/>
      <c r="AU71" s="327"/>
      <c r="AV71" s="327"/>
      <c r="AW71" s="327"/>
      <c r="AX71" s="327"/>
      <c r="AY71" s="327"/>
      <c r="AZ71" s="327"/>
      <c r="BA71" s="327"/>
      <c r="BB71" s="327"/>
      <c r="BC71" s="327"/>
      <c r="BD71" s="327"/>
      <c r="BE71" s="327"/>
    </row>
    <row r="72" spans="1:57" x14ac:dyDescent="0.35">
      <c r="A72" s="327"/>
      <c r="B72" s="327"/>
      <c r="C72" s="335"/>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I72" s="327"/>
      <c r="AJ72" s="327"/>
      <c r="AL72" s="327"/>
      <c r="AM72" s="327"/>
      <c r="AO72" s="327"/>
      <c r="AP72" s="327"/>
      <c r="AQ72" s="327"/>
      <c r="AR72" s="327"/>
      <c r="AS72" s="327"/>
      <c r="AT72" s="327"/>
      <c r="AU72" s="327"/>
      <c r="AV72" s="327"/>
      <c r="AW72" s="327"/>
      <c r="AX72" s="327"/>
      <c r="AY72" s="327"/>
      <c r="AZ72" s="327"/>
      <c r="BA72" s="327"/>
      <c r="BB72" s="327"/>
      <c r="BC72" s="327"/>
      <c r="BD72" s="327"/>
      <c r="BE72" s="327"/>
    </row>
    <row r="73" spans="1:57" x14ac:dyDescent="0.35">
      <c r="A73" s="327"/>
      <c r="B73" s="327"/>
      <c r="C73" s="335"/>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I73" s="327"/>
      <c r="AJ73" s="327"/>
      <c r="AL73" s="327"/>
      <c r="AM73" s="327"/>
      <c r="AO73" s="327"/>
      <c r="AP73" s="327"/>
      <c r="AQ73" s="327"/>
      <c r="AR73" s="327"/>
      <c r="AS73" s="327"/>
      <c r="AT73" s="327"/>
      <c r="AU73" s="327"/>
      <c r="AV73" s="327"/>
      <c r="AW73" s="327"/>
      <c r="AX73" s="327"/>
      <c r="AY73" s="327"/>
      <c r="AZ73" s="327"/>
      <c r="BA73" s="327"/>
      <c r="BB73" s="327"/>
      <c r="BC73" s="327"/>
      <c r="BD73" s="327"/>
      <c r="BE73" s="327"/>
    </row>
    <row r="74" spans="1:57" x14ac:dyDescent="0.35">
      <c r="A74" s="327"/>
      <c r="B74" s="327"/>
      <c r="C74" s="335"/>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I74" s="327"/>
      <c r="AJ74" s="327"/>
      <c r="AL74" s="327"/>
      <c r="AM74" s="327"/>
      <c r="AO74" s="327"/>
      <c r="AP74" s="327"/>
      <c r="AQ74" s="327"/>
      <c r="AR74" s="327"/>
      <c r="AS74" s="327"/>
      <c r="AT74" s="327"/>
      <c r="AU74" s="327"/>
      <c r="AV74" s="327"/>
      <c r="AW74" s="327"/>
      <c r="AX74" s="327"/>
      <c r="AY74" s="327"/>
      <c r="AZ74" s="327"/>
      <c r="BA74" s="327"/>
      <c r="BB74" s="327"/>
      <c r="BC74" s="327"/>
      <c r="BD74" s="327"/>
      <c r="BE74" s="327"/>
    </row>
    <row r="75" spans="1:57" x14ac:dyDescent="0.35">
      <c r="A75" s="327"/>
      <c r="B75" s="327"/>
      <c r="C75" s="335"/>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I75" s="327"/>
      <c r="AJ75" s="327"/>
      <c r="AL75" s="327"/>
      <c r="AM75" s="327"/>
      <c r="AO75" s="327"/>
      <c r="AP75" s="327"/>
      <c r="AQ75" s="327"/>
      <c r="AR75" s="327"/>
      <c r="AS75" s="327"/>
      <c r="AT75" s="327"/>
      <c r="AU75" s="327"/>
      <c r="AV75" s="327"/>
      <c r="AW75" s="327"/>
      <c r="AX75" s="327"/>
      <c r="AY75" s="327"/>
      <c r="AZ75" s="327"/>
      <c r="BA75" s="327"/>
      <c r="BB75" s="327"/>
      <c r="BC75" s="327"/>
      <c r="BD75" s="327"/>
      <c r="BE75" s="327"/>
    </row>
    <row r="76" spans="1:57" x14ac:dyDescent="0.35">
      <c r="A76" s="327"/>
      <c r="B76" s="327"/>
      <c r="C76" s="335"/>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I76" s="327"/>
      <c r="AJ76" s="327"/>
      <c r="AL76" s="327"/>
      <c r="AM76" s="327"/>
      <c r="AO76" s="327"/>
      <c r="AP76" s="327"/>
      <c r="AQ76" s="327"/>
      <c r="AR76" s="327"/>
      <c r="AS76" s="327"/>
      <c r="AT76" s="327"/>
      <c r="AU76" s="327"/>
      <c r="AV76" s="327"/>
      <c r="AW76" s="327"/>
      <c r="AX76" s="327"/>
      <c r="AY76" s="327"/>
      <c r="AZ76" s="327"/>
      <c r="BA76" s="327"/>
      <c r="BB76" s="327"/>
      <c r="BC76" s="327"/>
      <c r="BD76" s="327"/>
      <c r="BE76" s="327"/>
    </row>
    <row r="77" spans="1:57" x14ac:dyDescent="0.35">
      <c r="A77" s="327"/>
      <c r="B77" s="327"/>
      <c r="C77" s="335"/>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I77" s="327"/>
      <c r="AJ77" s="327"/>
      <c r="AL77" s="327"/>
      <c r="AM77" s="327"/>
      <c r="AO77" s="327"/>
      <c r="AP77" s="327"/>
      <c r="AQ77" s="327"/>
      <c r="AR77" s="327"/>
      <c r="AS77" s="327"/>
      <c r="AT77" s="327"/>
      <c r="AU77" s="327"/>
      <c r="AV77" s="327"/>
      <c r="AW77" s="327"/>
      <c r="AX77" s="327"/>
      <c r="AY77" s="327"/>
      <c r="AZ77" s="327"/>
      <c r="BA77" s="327"/>
      <c r="BB77" s="327"/>
      <c r="BC77" s="327"/>
      <c r="BD77" s="327"/>
      <c r="BE77" s="327"/>
    </row>
    <row r="78" spans="1:57" x14ac:dyDescent="0.35">
      <c r="A78" s="327"/>
      <c r="B78" s="327"/>
      <c r="C78" s="335"/>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I78" s="327"/>
      <c r="AJ78" s="327"/>
      <c r="AL78" s="327"/>
      <c r="AM78" s="327"/>
      <c r="AO78" s="327"/>
      <c r="AP78" s="327"/>
      <c r="AQ78" s="327"/>
      <c r="AR78" s="327"/>
      <c r="AS78" s="327"/>
      <c r="AT78" s="327"/>
      <c r="AU78" s="327"/>
      <c r="AV78" s="327"/>
      <c r="AW78" s="327"/>
      <c r="AX78" s="327"/>
      <c r="AY78" s="327"/>
      <c r="AZ78" s="327"/>
      <c r="BA78" s="327"/>
      <c r="BB78" s="327"/>
      <c r="BC78" s="327"/>
      <c r="BD78" s="327"/>
      <c r="BE78" s="327"/>
    </row>
    <row r="79" spans="1:57" x14ac:dyDescent="0.35">
      <c r="A79" s="327"/>
      <c r="B79" s="327"/>
      <c r="C79" s="335"/>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I79" s="327"/>
      <c r="AJ79" s="327"/>
      <c r="AL79" s="327"/>
      <c r="AM79" s="327"/>
      <c r="AO79" s="327"/>
      <c r="AP79" s="327"/>
      <c r="AQ79" s="327"/>
      <c r="AR79" s="327"/>
      <c r="AS79" s="327"/>
      <c r="AT79" s="327"/>
      <c r="AU79" s="327"/>
      <c r="AV79" s="327"/>
      <c r="AW79" s="327"/>
      <c r="AX79" s="327"/>
      <c r="AY79" s="327"/>
      <c r="AZ79" s="327"/>
      <c r="BA79" s="327"/>
      <c r="BB79" s="327"/>
      <c r="BC79" s="327"/>
      <c r="BD79" s="327"/>
      <c r="BE79" s="327"/>
    </row>
    <row r="80" spans="1:57" x14ac:dyDescent="0.35">
      <c r="A80" s="327"/>
      <c r="B80" s="327"/>
      <c r="C80" s="335"/>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I80" s="327"/>
      <c r="AJ80" s="327"/>
      <c r="AL80" s="327"/>
      <c r="AM80" s="327"/>
      <c r="AO80" s="327"/>
      <c r="AP80" s="327"/>
      <c r="AQ80" s="327"/>
      <c r="AR80" s="327"/>
      <c r="AS80" s="327"/>
      <c r="AT80" s="327"/>
      <c r="AU80" s="327"/>
      <c r="AV80" s="327"/>
      <c r="AW80" s="327"/>
      <c r="AX80" s="327"/>
      <c r="AY80" s="327"/>
      <c r="AZ80" s="327"/>
      <c r="BA80" s="327"/>
      <c r="BB80" s="327"/>
      <c r="BC80" s="327"/>
      <c r="BD80" s="327"/>
      <c r="BE80" s="327"/>
    </row>
    <row r="81" spans="1:57" x14ac:dyDescent="0.35">
      <c r="A81" s="327"/>
      <c r="B81" s="327"/>
      <c r="C81" s="335"/>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I81" s="327"/>
      <c r="AJ81" s="327"/>
      <c r="AL81" s="327"/>
      <c r="AM81" s="327"/>
      <c r="AO81" s="327"/>
      <c r="AP81" s="327"/>
      <c r="AQ81" s="327"/>
      <c r="AR81" s="327"/>
      <c r="AS81" s="327"/>
      <c r="AT81" s="327"/>
      <c r="AU81" s="327"/>
      <c r="AV81" s="327"/>
      <c r="AW81" s="327"/>
      <c r="AX81" s="327"/>
      <c r="AY81" s="327"/>
      <c r="AZ81" s="327"/>
      <c r="BA81" s="327"/>
      <c r="BB81" s="327"/>
      <c r="BC81" s="327"/>
      <c r="BD81" s="327"/>
      <c r="BE81" s="327"/>
    </row>
    <row r="82" spans="1:57" x14ac:dyDescent="0.35">
      <c r="A82" s="327"/>
      <c r="B82" s="327"/>
      <c r="C82" s="335"/>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I82" s="327"/>
      <c r="AJ82" s="327"/>
      <c r="AL82" s="327"/>
      <c r="AM82" s="327"/>
      <c r="AO82" s="327"/>
      <c r="AP82" s="327"/>
      <c r="AQ82" s="327"/>
      <c r="AR82" s="327"/>
      <c r="AS82" s="327"/>
      <c r="AT82" s="327"/>
      <c r="AU82" s="327"/>
      <c r="AV82" s="327"/>
      <c r="AW82" s="327"/>
      <c r="AX82" s="327"/>
      <c r="AY82" s="327"/>
      <c r="AZ82" s="327"/>
      <c r="BA82" s="327"/>
      <c r="BB82" s="327"/>
      <c r="BC82" s="327"/>
      <c r="BD82" s="327"/>
      <c r="BE82" s="327"/>
    </row>
    <row r="83" spans="1:57" x14ac:dyDescent="0.35">
      <c r="A83" s="327"/>
      <c r="B83" s="327"/>
      <c r="C83" s="335"/>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I83" s="327"/>
      <c r="AJ83" s="327"/>
      <c r="AL83" s="327"/>
      <c r="AM83" s="327"/>
      <c r="AO83" s="327"/>
      <c r="AP83" s="327"/>
      <c r="AQ83" s="327"/>
      <c r="AR83" s="327"/>
      <c r="AS83" s="327"/>
      <c r="AT83" s="327"/>
      <c r="AU83" s="327"/>
      <c r="AV83" s="327"/>
      <c r="AW83" s="327"/>
      <c r="AX83" s="327"/>
      <c r="AY83" s="327"/>
      <c r="AZ83" s="327"/>
      <c r="BA83" s="327"/>
      <c r="BB83" s="327"/>
      <c r="BC83" s="327"/>
      <c r="BD83" s="327"/>
      <c r="BE83" s="327"/>
    </row>
    <row r="84" spans="1:57" x14ac:dyDescent="0.35">
      <c r="A84" s="327"/>
      <c r="B84" s="327"/>
      <c r="C84" s="335"/>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I84" s="327"/>
      <c r="AJ84" s="327"/>
      <c r="AL84" s="327"/>
      <c r="AM84" s="327"/>
      <c r="AO84" s="327"/>
      <c r="AP84" s="327"/>
      <c r="AQ84" s="327"/>
      <c r="AR84" s="327"/>
      <c r="AS84" s="327"/>
      <c r="AT84" s="327"/>
      <c r="AU84" s="327"/>
      <c r="AV84" s="327"/>
      <c r="AW84" s="327"/>
      <c r="AX84" s="327"/>
      <c r="AY84" s="327"/>
      <c r="AZ84" s="327"/>
      <c r="BA84" s="327"/>
      <c r="BB84" s="327"/>
      <c r="BC84" s="327"/>
      <c r="BD84" s="327"/>
      <c r="BE84" s="327"/>
    </row>
    <row r="85" spans="1:57" x14ac:dyDescent="0.35">
      <c r="A85" s="327"/>
      <c r="B85" s="327"/>
      <c r="C85" s="335"/>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I85" s="327"/>
      <c r="AJ85" s="327"/>
      <c r="AL85" s="327"/>
      <c r="AM85" s="327"/>
      <c r="AO85" s="327"/>
      <c r="AP85" s="327"/>
      <c r="AQ85" s="327"/>
      <c r="AR85" s="327"/>
      <c r="AS85" s="327"/>
      <c r="AT85" s="327"/>
      <c r="AU85" s="327"/>
      <c r="AV85" s="327"/>
      <c r="AW85" s="327"/>
      <c r="AX85" s="327"/>
      <c r="AY85" s="327"/>
      <c r="AZ85" s="327"/>
      <c r="BA85" s="327"/>
      <c r="BB85" s="327"/>
      <c r="BC85" s="327"/>
      <c r="BD85" s="327"/>
      <c r="BE85" s="327"/>
    </row>
    <row r="86" spans="1:57" x14ac:dyDescent="0.35">
      <c r="A86" s="327"/>
      <c r="B86" s="327"/>
      <c r="C86" s="335"/>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I86" s="327"/>
      <c r="AJ86" s="327"/>
      <c r="AL86" s="327"/>
      <c r="AM86" s="327"/>
      <c r="AO86" s="327"/>
      <c r="AP86" s="327"/>
      <c r="AQ86" s="327"/>
      <c r="AR86" s="327"/>
      <c r="AS86" s="327"/>
      <c r="AT86" s="327"/>
      <c r="AU86" s="327"/>
      <c r="AV86" s="327"/>
      <c r="AW86" s="327"/>
      <c r="AX86" s="327"/>
      <c r="AY86" s="327"/>
      <c r="AZ86" s="327"/>
      <c r="BA86" s="327"/>
      <c r="BB86" s="327"/>
      <c r="BC86" s="327"/>
      <c r="BD86" s="327"/>
      <c r="BE86" s="327"/>
    </row>
    <row r="87" spans="1:57" x14ac:dyDescent="0.35">
      <c r="A87" s="327"/>
      <c r="B87" s="327"/>
      <c r="C87" s="335"/>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I87" s="327"/>
      <c r="AJ87" s="327"/>
      <c r="AL87" s="327"/>
      <c r="AM87" s="327"/>
      <c r="AO87" s="327"/>
      <c r="AP87" s="327"/>
      <c r="AQ87" s="327"/>
      <c r="AR87" s="327"/>
      <c r="AS87" s="327"/>
      <c r="AT87" s="327"/>
      <c r="AU87" s="327"/>
      <c r="AV87" s="327"/>
      <c r="AW87" s="327"/>
      <c r="AX87" s="327"/>
      <c r="AY87" s="327"/>
      <c r="AZ87" s="327"/>
      <c r="BA87" s="327"/>
      <c r="BB87" s="327"/>
      <c r="BC87" s="327"/>
      <c r="BD87" s="327"/>
      <c r="BE87" s="327"/>
    </row>
    <row r="88" spans="1:57" x14ac:dyDescent="0.35">
      <c r="A88" s="327"/>
      <c r="B88" s="327"/>
      <c r="C88" s="335"/>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I88" s="327"/>
      <c r="AJ88" s="327"/>
      <c r="AL88" s="327"/>
      <c r="AM88" s="327"/>
      <c r="AO88" s="327"/>
      <c r="AP88" s="327"/>
      <c r="AQ88" s="327"/>
      <c r="AR88" s="327"/>
      <c r="AS88" s="327"/>
      <c r="AT88" s="327"/>
      <c r="AU88" s="327"/>
      <c r="AV88" s="327"/>
      <c r="AW88" s="327"/>
      <c r="AX88" s="327"/>
      <c r="AY88" s="327"/>
      <c r="AZ88" s="327"/>
      <c r="BA88" s="327"/>
      <c r="BB88" s="327"/>
      <c r="BC88" s="327"/>
      <c r="BD88" s="327"/>
      <c r="BE88" s="327"/>
    </row>
    <row r="89" spans="1:57" x14ac:dyDescent="0.35">
      <c r="A89" s="327"/>
      <c r="B89" s="327"/>
      <c r="C89" s="335"/>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I89" s="327"/>
      <c r="AJ89" s="327"/>
      <c r="AL89" s="327"/>
      <c r="AM89" s="327"/>
      <c r="AO89" s="327"/>
      <c r="AP89" s="327"/>
      <c r="AQ89" s="327"/>
    </row>
    <row r="90" spans="1:57" x14ac:dyDescent="0.35">
      <c r="A90" s="327"/>
      <c r="B90" s="327"/>
      <c r="C90" s="335"/>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I90" s="327"/>
      <c r="AJ90" s="327"/>
      <c r="AL90" s="327"/>
      <c r="AM90" s="327"/>
      <c r="AO90" s="327"/>
      <c r="AP90" s="327"/>
      <c r="AQ90" s="327"/>
    </row>
    <row r="91" spans="1:57" x14ac:dyDescent="0.35">
      <c r="A91" s="327"/>
      <c r="B91" s="327"/>
      <c r="C91" s="335"/>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I91" s="327"/>
      <c r="AJ91" s="327"/>
      <c r="AL91" s="327"/>
      <c r="AM91" s="327"/>
      <c r="AO91" s="327"/>
      <c r="AP91" s="327"/>
      <c r="AQ91" s="327"/>
    </row>
    <row r="92" spans="1:57" x14ac:dyDescent="0.35">
      <c r="A92" s="327"/>
      <c r="B92" s="327"/>
      <c r="C92" s="335"/>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AI92" s="327"/>
      <c r="AJ92" s="327"/>
      <c r="AL92" s="327"/>
      <c r="AM92" s="327"/>
      <c r="AO92" s="327"/>
      <c r="AP92" s="327"/>
      <c r="AQ92" s="327"/>
    </row>
    <row r="93" spans="1:57" x14ac:dyDescent="0.35">
      <c r="A93" s="327"/>
      <c r="B93" s="327"/>
      <c r="C93" s="335"/>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I93" s="327"/>
      <c r="AJ93" s="327"/>
      <c r="AL93" s="327"/>
      <c r="AM93" s="327"/>
      <c r="AO93" s="327"/>
      <c r="AP93" s="327"/>
      <c r="AQ93" s="327"/>
    </row>
    <row r="94" spans="1:57" x14ac:dyDescent="0.35">
      <c r="A94" s="327"/>
      <c r="B94" s="327"/>
      <c r="C94" s="335"/>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I94" s="327"/>
      <c r="AJ94" s="327"/>
      <c r="AL94" s="327"/>
      <c r="AM94" s="327"/>
      <c r="AO94" s="327"/>
      <c r="AP94" s="327"/>
      <c r="AQ94" s="327"/>
    </row>
    <row r="95" spans="1:57" x14ac:dyDescent="0.35">
      <c r="A95" s="327"/>
      <c r="B95" s="327"/>
      <c r="C95" s="335"/>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I95" s="327"/>
      <c r="AJ95" s="327"/>
      <c r="AL95" s="327"/>
      <c r="AM95" s="327"/>
      <c r="AO95" s="327"/>
      <c r="AP95" s="327"/>
      <c r="AQ95" s="327"/>
    </row>
    <row r="96" spans="1:57" x14ac:dyDescent="0.35">
      <c r="A96" s="327"/>
      <c r="B96" s="327"/>
      <c r="C96" s="335"/>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I96" s="327"/>
      <c r="AJ96" s="327"/>
      <c r="AL96" s="327"/>
      <c r="AM96" s="327"/>
      <c r="AO96" s="327"/>
      <c r="AP96" s="327"/>
      <c r="AQ96" s="327"/>
    </row>
    <row r="97" spans="1:43" x14ac:dyDescent="0.35">
      <c r="A97" s="327"/>
      <c r="B97" s="327"/>
      <c r="C97" s="335"/>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I97" s="327"/>
      <c r="AJ97" s="327"/>
      <c r="AL97" s="327"/>
      <c r="AM97" s="327"/>
      <c r="AO97" s="327"/>
      <c r="AP97" s="327"/>
      <c r="AQ97" s="327"/>
    </row>
    <row r="98" spans="1:43" x14ac:dyDescent="0.35">
      <c r="A98" s="327"/>
      <c r="B98" s="327"/>
      <c r="C98" s="335"/>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I98" s="327"/>
      <c r="AJ98" s="327"/>
      <c r="AL98" s="327"/>
      <c r="AM98" s="327"/>
      <c r="AO98" s="327"/>
      <c r="AP98" s="327"/>
      <c r="AQ98" s="327"/>
    </row>
    <row r="99" spans="1:43" x14ac:dyDescent="0.35">
      <c r="A99" s="327"/>
      <c r="B99" s="327"/>
      <c r="C99" s="335"/>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I99" s="327"/>
      <c r="AJ99" s="327"/>
      <c r="AL99" s="327"/>
      <c r="AM99" s="327"/>
      <c r="AO99" s="327"/>
      <c r="AP99" s="327"/>
      <c r="AQ99" s="327"/>
    </row>
    <row r="100" spans="1:43" ht="6.75" customHeight="1" x14ac:dyDescent="0.35">
      <c r="A100" s="327"/>
      <c r="B100" s="327"/>
      <c r="C100" s="335"/>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I100" s="327"/>
      <c r="AJ100" s="327"/>
      <c r="AL100" s="327"/>
      <c r="AM100" s="327"/>
      <c r="AO100" s="327"/>
      <c r="AP100" s="327"/>
      <c r="AQ100" s="327"/>
    </row>
    <row r="101" spans="1:43" x14ac:dyDescent="0.35">
      <c r="A101" s="327"/>
      <c r="B101" s="327"/>
      <c r="C101" s="335"/>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I101" s="327"/>
      <c r="AJ101" s="327"/>
      <c r="AL101" s="327"/>
      <c r="AM101" s="327"/>
      <c r="AO101" s="327"/>
      <c r="AP101" s="327"/>
      <c r="AQ101" s="327"/>
    </row>
    <row r="102" spans="1:43" x14ac:dyDescent="0.35">
      <c r="A102" s="327"/>
      <c r="B102" s="327"/>
      <c r="C102" s="335"/>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I102" s="327"/>
      <c r="AJ102" s="327"/>
      <c r="AL102" s="327"/>
      <c r="AM102" s="327"/>
      <c r="AO102" s="327"/>
      <c r="AP102" s="327"/>
      <c r="AQ102" s="327"/>
    </row>
    <row r="103" spans="1:43" x14ac:dyDescent="0.35">
      <c r="A103" s="327"/>
      <c r="B103" s="327"/>
      <c r="C103" s="335"/>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I103" s="327"/>
      <c r="AJ103" s="327"/>
      <c r="AL103" s="327"/>
      <c r="AM103" s="327"/>
      <c r="AO103" s="327"/>
      <c r="AP103" s="327"/>
      <c r="AQ103" s="327"/>
    </row>
    <row r="104" spans="1:43" x14ac:dyDescent="0.35">
      <c r="A104" s="327"/>
      <c r="B104" s="327"/>
      <c r="C104" s="335"/>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I104" s="327"/>
      <c r="AJ104" s="327"/>
      <c r="AL104" s="327"/>
      <c r="AM104" s="327"/>
      <c r="AO104" s="327"/>
      <c r="AP104" s="327"/>
      <c r="AQ104" s="327"/>
    </row>
    <row r="105" spans="1:43" x14ac:dyDescent="0.35">
      <c r="A105" s="327"/>
      <c r="B105" s="327"/>
      <c r="C105" s="335"/>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I105" s="327"/>
      <c r="AJ105" s="327"/>
      <c r="AL105" s="327"/>
      <c r="AM105" s="327"/>
      <c r="AO105" s="327"/>
      <c r="AP105" s="327"/>
      <c r="AQ105" s="327"/>
    </row>
    <row r="106" spans="1:43" x14ac:dyDescent="0.35">
      <c r="A106" s="327"/>
      <c r="B106" s="327"/>
      <c r="C106" s="335"/>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I106" s="327"/>
      <c r="AJ106" s="327"/>
      <c r="AL106" s="327"/>
      <c r="AM106" s="327"/>
      <c r="AO106" s="327"/>
      <c r="AP106" s="327"/>
      <c r="AQ106" s="327"/>
    </row>
    <row r="107" spans="1:43" x14ac:dyDescent="0.35">
      <c r="A107" s="327"/>
      <c r="B107" s="327"/>
      <c r="C107" s="335"/>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I107" s="327"/>
      <c r="AJ107" s="327"/>
      <c r="AL107" s="327"/>
      <c r="AM107" s="327"/>
      <c r="AO107" s="327"/>
      <c r="AP107" s="327"/>
      <c r="AQ107" s="327"/>
    </row>
    <row r="108" spans="1:43" x14ac:dyDescent="0.35">
      <c r="A108" s="327"/>
      <c r="B108" s="327"/>
      <c r="C108" s="335"/>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I108" s="327"/>
      <c r="AJ108" s="327"/>
      <c r="AL108" s="327"/>
      <c r="AM108" s="327"/>
      <c r="AO108" s="327"/>
      <c r="AP108" s="327"/>
      <c r="AQ108" s="327"/>
    </row>
    <row r="109" spans="1:43" x14ac:dyDescent="0.35">
      <c r="A109" s="327"/>
      <c r="B109" s="327"/>
      <c r="C109" s="335"/>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I109" s="327"/>
      <c r="AJ109" s="327"/>
      <c r="AL109" s="327"/>
      <c r="AM109" s="327"/>
      <c r="AO109" s="327"/>
      <c r="AP109" s="327"/>
      <c r="AQ109" s="327"/>
    </row>
    <row r="110" spans="1:43" x14ac:dyDescent="0.35">
      <c r="A110" s="327"/>
      <c r="B110" s="327"/>
      <c r="C110" s="335"/>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I110" s="327"/>
      <c r="AJ110" s="327"/>
      <c r="AL110" s="327"/>
      <c r="AM110" s="327"/>
      <c r="AO110" s="327"/>
      <c r="AP110" s="327"/>
      <c r="AQ110" s="327"/>
    </row>
    <row r="111" spans="1:43" x14ac:dyDescent="0.35">
      <c r="A111" s="327"/>
      <c r="B111" s="327"/>
      <c r="C111" s="335"/>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I111" s="327"/>
      <c r="AJ111" s="327"/>
      <c r="AL111" s="327"/>
      <c r="AM111" s="327"/>
      <c r="AO111" s="327"/>
      <c r="AP111" s="327"/>
      <c r="AQ111" s="327"/>
    </row>
    <row r="112" spans="1:43" x14ac:dyDescent="0.35">
      <c r="A112" s="327"/>
      <c r="B112" s="327"/>
      <c r="C112" s="335"/>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I112" s="327"/>
      <c r="AJ112" s="327"/>
      <c r="AL112" s="327"/>
      <c r="AM112" s="327"/>
      <c r="AO112" s="327"/>
      <c r="AP112" s="327"/>
      <c r="AQ112" s="327"/>
    </row>
    <row r="113" spans="1:43" x14ac:dyDescent="0.35">
      <c r="A113" s="327"/>
      <c r="B113" s="327"/>
      <c r="C113" s="335"/>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I113" s="327"/>
      <c r="AJ113" s="327"/>
      <c r="AL113" s="327"/>
      <c r="AM113" s="327"/>
      <c r="AO113" s="327"/>
      <c r="AP113" s="327"/>
      <c r="AQ113" s="327"/>
    </row>
    <row r="114" spans="1:43" x14ac:dyDescent="0.35">
      <c r="A114" s="327"/>
      <c r="B114" s="327"/>
      <c r="C114" s="335"/>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I114" s="327"/>
      <c r="AJ114" s="327"/>
      <c r="AL114" s="327"/>
      <c r="AM114" s="327"/>
      <c r="AO114" s="327"/>
      <c r="AP114" s="327"/>
      <c r="AQ114" s="327"/>
    </row>
    <row r="115" spans="1:43" x14ac:dyDescent="0.35">
      <c r="A115" s="327"/>
      <c r="B115" s="327"/>
      <c r="C115" s="335"/>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I115" s="327"/>
      <c r="AJ115" s="327"/>
      <c r="AL115" s="327"/>
      <c r="AM115" s="327"/>
      <c r="AO115" s="327"/>
      <c r="AP115" s="327"/>
      <c r="AQ115" s="327"/>
    </row>
    <row r="116" spans="1:43" x14ac:dyDescent="0.35">
      <c r="A116" s="327"/>
      <c r="B116" s="327"/>
      <c r="C116" s="335"/>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I116" s="327"/>
      <c r="AJ116" s="327"/>
      <c r="AL116" s="327"/>
      <c r="AM116" s="327"/>
      <c r="AO116" s="327"/>
      <c r="AP116" s="327"/>
      <c r="AQ116" s="327"/>
    </row>
    <row r="117" spans="1:43" x14ac:dyDescent="0.35">
      <c r="A117" s="327"/>
      <c r="B117" s="327"/>
      <c r="C117" s="335"/>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I117" s="327"/>
      <c r="AJ117" s="327"/>
      <c r="AL117" s="327"/>
      <c r="AM117" s="327"/>
      <c r="AO117" s="327"/>
      <c r="AP117" s="327"/>
      <c r="AQ117" s="327"/>
    </row>
    <row r="118" spans="1:43" x14ac:dyDescent="0.35">
      <c r="A118" s="327"/>
      <c r="B118" s="327"/>
      <c r="C118" s="335"/>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I118" s="327"/>
      <c r="AJ118" s="327"/>
      <c r="AL118" s="327"/>
      <c r="AM118" s="327"/>
      <c r="AO118" s="327"/>
      <c r="AP118" s="327"/>
      <c r="AQ118" s="327"/>
    </row>
    <row r="119" spans="1:43" ht="12.75" customHeight="1" x14ac:dyDescent="0.35">
      <c r="A119" s="327"/>
      <c r="B119" s="327"/>
      <c r="C119" s="335"/>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I119" s="327"/>
      <c r="AJ119" s="327"/>
      <c r="AL119" s="327"/>
      <c r="AM119" s="327"/>
      <c r="AO119" s="327"/>
      <c r="AP119" s="327"/>
      <c r="AQ119" s="327"/>
    </row>
    <row r="120" spans="1:43" ht="16" x14ac:dyDescent="0.35">
      <c r="A120" s="327"/>
      <c r="B120" s="694"/>
      <c r="C120" s="694"/>
      <c r="D120" s="694"/>
      <c r="E120" s="694"/>
      <c r="F120" s="694"/>
      <c r="G120" s="694"/>
      <c r="H120" s="694"/>
      <c r="I120" s="694"/>
      <c r="J120" s="694"/>
      <c r="K120" s="694"/>
      <c r="L120" s="694"/>
      <c r="M120" s="694"/>
      <c r="N120" s="694"/>
      <c r="O120" s="694"/>
      <c r="P120" s="694"/>
      <c r="Q120" s="694"/>
      <c r="R120" s="694"/>
      <c r="S120" s="694"/>
      <c r="T120" s="694"/>
      <c r="U120" s="694"/>
      <c r="V120" s="694"/>
      <c r="W120" s="694"/>
      <c r="X120" s="694"/>
      <c r="Y120" s="327"/>
      <c r="Z120" s="327"/>
      <c r="AA120" s="327"/>
      <c r="AB120" s="327"/>
      <c r="AC120" s="327"/>
      <c r="AD120" s="327"/>
      <c r="AE120" s="327"/>
      <c r="AF120" s="327"/>
      <c r="AG120" s="327"/>
      <c r="AI120" s="327"/>
      <c r="AJ120" s="327"/>
      <c r="AL120" s="327"/>
      <c r="AM120" s="327"/>
      <c r="AO120" s="327"/>
      <c r="AP120" s="327"/>
      <c r="AQ120" s="327"/>
    </row>
    <row r="121" spans="1:43" x14ac:dyDescent="0.35">
      <c r="A121" s="327"/>
      <c r="B121" s="327"/>
      <c r="C121" s="335"/>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I121" s="327"/>
      <c r="AJ121" s="327"/>
      <c r="AL121" s="327"/>
      <c r="AM121" s="327"/>
      <c r="AO121" s="327"/>
      <c r="AP121" s="327"/>
      <c r="AQ121" s="327"/>
    </row>
    <row r="122" spans="1:43" ht="31.5" customHeight="1" x14ac:dyDescent="0.35">
      <c r="A122" s="327"/>
      <c r="B122" s="693"/>
      <c r="C122" s="693"/>
      <c r="D122" s="693"/>
      <c r="E122" s="693"/>
      <c r="F122" s="693"/>
      <c r="G122" s="693"/>
      <c r="H122" s="693"/>
      <c r="I122" s="693"/>
      <c r="J122" s="693"/>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I122" s="327"/>
      <c r="AJ122" s="327"/>
      <c r="AL122" s="327"/>
      <c r="AM122" s="327"/>
      <c r="AO122" s="327"/>
      <c r="AP122" s="327"/>
      <c r="AQ122" s="327"/>
    </row>
    <row r="123" spans="1:43" x14ac:dyDescent="0.35">
      <c r="A123" s="327"/>
      <c r="B123" s="327"/>
      <c r="C123" s="335"/>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I123" s="327"/>
      <c r="AJ123" s="327"/>
      <c r="AL123" s="327"/>
      <c r="AM123" s="327"/>
      <c r="AO123" s="327"/>
      <c r="AP123" s="327"/>
      <c r="AQ123" s="327"/>
    </row>
    <row r="124" spans="1:43" x14ac:dyDescent="0.35">
      <c r="A124" s="327"/>
      <c r="B124" s="327"/>
      <c r="C124" s="335"/>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I124" s="327"/>
      <c r="AJ124" s="327"/>
      <c r="AL124" s="327"/>
      <c r="AM124" s="327"/>
      <c r="AO124" s="327"/>
      <c r="AP124" s="327"/>
      <c r="AQ124" s="327"/>
    </row>
    <row r="125" spans="1:43" x14ac:dyDescent="0.35">
      <c r="A125" s="327"/>
      <c r="B125" s="327"/>
      <c r="C125" s="335"/>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I125" s="327"/>
      <c r="AJ125" s="327"/>
      <c r="AL125" s="327"/>
      <c r="AM125" s="327"/>
      <c r="AO125" s="327"/>
      <c r="AP125" s="327"/>
      <c r="AQ125" s="327"/>
    </row>
    <row r="126" spans="1:43" x14ac:dyDescent="0.35">
      <c r="A126" s="327"/>
      <c r="B126" s="327"/>
      <c r="C126" s="335"/>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I126" s="327"/>
      <c r="AJ126" s="327"/>
      <c r="AL126" s="327"/>
      <c r="AM126" s="327"/>
      <c r="AO126" s="327"/>
      <c r="AP126" s="327"/>
      <c r="AQ126" s="327"/>
    </row>
    <row r="127" spans="1:43" x14ac:dyDescent="0.35">
      <c r="A127" s="327"/>
      <c r="B127" s="327"/>
      <c r="C127" s="335"/>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I127" s="327"/>
      <c r="AJ127" s="327"/>
      <c r="AL127" s="327"/>
      <c r="AM127" s="327"/>
      <c r="AO127" s="327"/>
      <c r="AP127" s="327"/>
      <c r="AQ127" s="327"/>
    </row>
    <row r="128" spans="1:43" x14ac:dyDescent="0.35">
      <c r="A128" s="327"/>
      <c r="B128" s="327"/>
      <c r="C128" s="335"/>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I128" s="327"/>
      <c r="AJ128" s="327"/>
      <c r="AL128" s="327"/>
      <c r="AM128" s="327"/>
      <c r="AO128" s="327"/>
      <c r="AP128" s="327"/>
      <c r="AQ128" s="327"/>
    </row>
    <row r="129" spans="1:43" x14ac:dyDescent="0.35">
      <c r="A129" s="327"/>
      <c r="B129" s="327"/>
      <c r="C129" s="335"/>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I129" s="327"/>
      <c r="AJ129" s="327"/>
      <c r="AL129" s="327"/>
      <c r="AM129" s="327"/>
      <c r="AO129" s="327"/>
      <c r="AP129" s="327"/>
      <c r="AQ129" s="327"/>
    </row>
    <row r="130" spans="1:43" x14ac:dyDescent="0.35">
      <c r="A130" s="327"/>
      <c r="B130" s="327"/>
      <c r="C130" s="335"/>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I130" s="327"/>
      <c r="AJ130" s="327"/>
      <c r="AL130" s="327"/>
      <c r="AM130" s="327"/>
      <c r="AO130" s="327"/>
      <c r="AP130" s="327"/>
      <c r="AQ130" s="327"/>
    </row>
    <row r="131" spans="1:43" x14ac:dyDescent="0.35">
      <c r="A131" s="327"/>
      <c r="B131" s="327"/>
      <c r="C131" s="335"/>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I131" s="327"/>
      <c r="AJ131" s="327"/>
      <c r="AL131" s="327"/>
      <c r="AM131" s="327"/>
      <c r="AO131" s="327"/>
      <c r="AP131" s="327"/>
      <c r="AQ131" s="327"/>
    </row>
    <row r="132" spans="1:43" x14ac:dyDescent="0.35">
      <c r="A132" s="327"/>
      <c r="B132" s="327"/>
      <c r="C132" s="335"/>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I132" s="327"/>
      <c r="AJ132" s="327"/>
      <c r="AL132" s="327"/>
      <c r="AM132" s="327"/>
      <c r="AO132" s="327"/>
      <c r="AP132" s="327"/>
      <c r="AQ132" s="327"/>
    </row>
    <row r="133" spans="1:43" x14ac:dyDescent="0.35">
      <c r="A133" s="327"/>
      <c r="B133" s="327"/>
      <c r="C133" s="335"/>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c r="AI133" s="327"/>
      <c r="AJ133" s="327"/>
      <c r="AL133" s="327"/>
      <c r="AM133" s="327"/>
      <c r="AO133" s="327"/>
      <c r="AP133" s="327"/>
      <c r="AQ133" s="327"/>
    </row>
    <row r="134" spans="1:43" ht="16" x14ac:dyDescent="0.35">
      <c r="A134" s="327"/>
      <c r="B134" s="694"/>
      <c r="C134" s="694"/>
      <c r="D134" s="694"/>
      <c r="E134" s="694"/>
      <c r="F134" s="694"/>
      <c r="G134" s="694"/>
      <c r="H134" s="694"/>
      <c r="I134" s="694"/>
      <c r="J134" s="694"/>
      <c r="K134" s="694"/>
      <c r="L134" s="694"/>
      <c r="M134" s="694"/>
      <c r="N134" s="694"/>
      <c r="O134" s="694"/>
      <c r="P134" s="694"/>
      <c r="Q134" s="694"/>
      <c r="R134" s="694"/>
      <c r="S134" s="694"/>
      <c r="T134" s="694"/>
      <c r="U134" s="694"/>
      <c r="V134" s="694"/>
      <c r="W134" s="694"/>
      <c r="X134" s="694"/>
      <c r="Y134" s="327"/>
      <c r="Z134" s="327"/>
      <c r="AA134" s="327"/>
      <c r="AB134" s="327"/>
      <c r="AC134" s="327"/>
      <c r="AD134" s="327"/>
      <c r="AE134" s="327"/>
      <c r="AF134" s="327"/>
      <c r="AG134" s="327"/>
      <c r="AI134" s="327"/>
      <c r="AJ134" s="327"/>
      <c r="AL134" s="327"/>
      <c r="AM134" s="327"/>
      <c r="AO134" s="327"/>
      <c r="AP134" s="327"/>
      <c r="AQ134" s="327"/>
    </row>
    <row r="135" spans="1:43" ht="15.5" x14ac:dyDescent="0.35">
      <c r="A135" s="327"/>
      <c r="B135" s="693"/>
      <c r="C135" s="693"/>
      <c r="D135" s="693"/>
      <c r="E135" s="693"/>
      <c r="F135" s="693"/>
      <c r="G135" s="693"/>
      <c r="H135" s="693"/>
      <c r="I135" s="693"/>
      <c r="J135" s="693"/>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c r="AI135" s="327"/>
      <c r="AJ135" s="327"/>
      <c r="AL135" s="327"/>
      <c r="AM135" s="327"/>
      <c r="AO135" s="327"/>
      <c r="AP135" s="327"/>
      <c r="AQ135" s="327"/>
    </row>
    <row r="136" spans="1:43" x14ac:dyDescent="0.35">
      <c r="A136" s="327"/>
      <c r="B136" s="327"/>
      <c r="C136" s="335"/>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I136" s="327"/>
      <c r="AJ136" s="327"/>
      <c r="AL136" s="327"/>
      <c r="AM136" s="327"/>
      <c r="AO136" s="327"/>
      <c r="AP136" s="327"/>
      <c r="AQ136" s="327"/>
    </row>
    <row r="137" spans="1:43" x14ac:dyDescent="0.35">
      <c r="A137" s="327"/>
      <c r="B137" s="327"/>
      <c r="C137" s="335"/>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I137" s="327"/>
      <c r="AJ137" s="327"/>
      <c r="AL137" s="327"/>
      <c r="AM137" s="327"/>
      <c r="AO137" s="327"/>
      <c r="AP137" s="327"/>
      <c r="AQ137" s="327"/>
    </row>
    <row r="138" spans="1:43" x14ac:dyDescent="0.35">
      <c r="A138" s="327"/>
      <c r="B138" s="327"/>
      <c r="C138" s="335"/>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I138" s="327"/>
      <c r="AJ138" s="327"/>
      <c r="AL138" s="327"/>
      <c r="AM138" s="327"/>
      <c r="AO138" s="327"/>
      <c r="AP138" s="327"/>
      <c r="AQ138" s="327"/>
    </row>
    <row r="139" spans="1:43" x14ac:dyDescent="0.35">
      <c r="A139" s="327"/>
      <c r="B139" s="327"/>
      <c r="C139" s="335"/>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I139" s="327"/>
      <c r="AJ139" s="327"/>
      <c r="AL139" s="327"/>
      <c r="AM139" s="327"/>
      <c r="AO139" s="327"/>
      <c r="AP139" s="327"/>
      <c r="AQ139" s="327"/>
    </row>
    <row r="140" spans="1:43" x14ac:dyDescent="0.35">
      <c r="A140" s="327"/>
      <c r="B140" s="327"/>
      <c r="C140" s="335"/>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I140" s="327"/>
      <c r="AJ140" s="327"/>
      <c r="AL140" s="327"/>
      <c r="AM140" s="327"/>
      <c r="AO140" s="327"/>
      <c r="AP140" s="327"/>
      <c r="AQ140" s="327"/>
    </row>
    <row r="141" spans="1:43" x14ac:dyDescent="0.35">
      <c r="A141" s="327"/>
      <c r="B141" s="327"/>
      <c r="C141" s="335"/>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I141" s="327"/>
      <c r="AJ141" s="327"/>
      <c r="AL141" s="327"/>
      <c r="AM141" s="327"/>
      <c r="AO141" s="327"/>
      <c r="AP141" s="327"/>
      <c r="AQ141" s="327"/>
    </row>
    <row r="142" spans="1:43" x14ac:dyDescent="0.35">
      <c r="A142" s="327"/>
      <c r="B142" s="327"/>
      <c r="C142" s="335"/>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I142" s="327"/>
      <c r="AJ142" s="327"/>
      <c r="AL142" s="327"/>
      <c r="AM142" s="327"/>
      <c r="AO142" s="327"/>
      <c r="AP142" s="327"/>
      <c r="AQ142" s="327"/>
    </row>
    <row r="143" spans="1:43" x14ac:dyDescent="0.35">
      <c r="A143" s="327"/>
      <c r="B143" s="327"/>
      <c r="C143" s="335"/>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I143" s="327"/>
      <c r="AJ143" s="327"/>
      <c r="AL143" s="327"/>
      <c r="AM143" s="327"/>
      <c r="AO143" s="327"/>
      <c r="AP143" s="327"/>
      <c r="AQ143" s="327"/>
    </row>
    <row r="144" spans="1:43" x14ac:dyDescent="0.35">
      <c r="A144" s="327"/>
      <c r="B144" s="327"/>
      <c r="C144" s="335"/>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I144" s="327"/>
      <c r="AJ144" s="327"/>
      <c r="AL144" s="327"/>
      <c r="AM144" s="327"/>
      <c r="AO144" s="327"/>
      <c r="AP144" s="327"/>
      <c r="AQ144" s="327"/>
    </row>
    <row r="145" spans="1:43" x14ac:dyDescent="0.35">
      <c r="A145" s="327"/>
      <c r="B145" s="327"/>
      <c r="C145" s="335"/>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I145" s="327"/>
      <c r="AJ145" s="327"/>
      <c r="AL145" s="327"/>
      <c r="AM145" s="327"/>
      <c r="AO145" s="327"/>
      <c r="AP145" s="327"/>
      <c r="AQ145" s="327"/>
    </row>
    <row r="146" spans="1:43" x14ac:dyDescent="0.35">
      <c r="A146" s="327"/>
      <c r="B146" s="327"/>
      <c r="C146" s="335"/>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I146" s="327"/>
      <c r="AJ146" s="327"/>
      <c r="AL146" s="327"/>
      <c r="AM146" s="327"/>
      <c r="AO146" s="327"/>
      <c r="AP146" s="327"/>
      <c r="AQ146" s="327"/>
    </row>
    <row r="147" spans="1:43" x14ac:dyDescent="0.35">
      <c r="A147" s="327"/>
      <c r="B147" s="327"/>
      <c r="C147" s="335"/>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I147" s="327"/>
      <c r="AJ147" s="327"/>
      <c r="AL147" s="327"/>
      <c r="AM147" s="327"/>
      <c r="AO147" s="327"/>
      <c r="AP147" s="327"/>
      <c r="AQ147" s="327"/>
    </row>
    <row r="148" spans="1:43" x14ac:dyDescent="0.35">
      <c r="A148" s="327"/>
      <c r="B148" s="327"/>
      <c r="C148" s="335"/>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I148" s="327"/>
      <c r="AJ148" s="327"/>
      <c r="AL148" s="327"/>
      <c r="AM148" s="327"/>
      <c r="AO148" s="327"/>
      <c r="AP148" s="327"/>
      <c r="AQ148" s="327"/>
    </row>
    <row r="149" spans="1:43" x14ac:dyDescent="0.35">
      <c r="A149" s="327"/>
      <c r="B149" s="327"/>
      <c r="C149" s="335"/>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I149" s="327"/>
      <c r="AJ149" s="327"/>
      <c r="AL149" s="327"/>
      <c r="AM149" s="327"/>
      <c r="AO149" s="327"/>
      <c r="AP149" s="327"/>
      <c r="AQ149" s="327"/>
    </row>
    <row r="150" spans="1:43" x14ac:dyDescent="0.35">
      <c r="A150" s="327"/>
      <c r="B150" s="327"/>
      <c r="C150" s="335"/>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I150" s="327"/>
      <c r="AJ150" s="327"/>
      <c r="AL150" s="327"/>
      <c r="AM150" s="327"/>
      <c r="AO150" s="327"/>
      <c r="AP150" s="327"/>
      <c r="AQ150" s="327"/>
    </row>
    <row r="151" spans="1:43" ht="15.5" x14ac:dyDescent="0.35">
      <c r="A151" s="327"/>
      <c r="B151" s="693"/>
      <c r="C151" s="693"/>
      <c r="D151" s="693"/>
      <c r="E151" s="693"/>
      <c r="F151" s="693"/>
      <c r="G151" s="693"/>
      <c r="H151" s="693"/>
      <c r="I151" s="693"/>
      <c r="J151" s="693"/>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I151" s="327"/>
      <c r="AJ151" s="327"/>
      <c r="AL151" s="327"/>
      <c r="AM151" s="327"/>
      <c r="AO151" s="327"/>
      <c r="AP151" s="327"/>
      <c r="AQ151" s="327"/>
    </row>
    <row r="152" spans="1:43" x14ac:dyDescent="0.35">
      <c r="A152" s="327"/>
      <c r="B152" s="327"/>
      <c r="C152" s="335"/>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c r="AI152" s="327"/>
      <c r="AJ152" s="327"/>
      <c r="AL152" s="327"/>
      <c r="AM152" s="327"/>
      <c r="AO152" s="327"/>
      <c r="AP152" s="327"/>
      <c r="AQ152" s="327"/>
    </row>
    <row r="153" spans="1:43" x14ac:dyDescent="0.35">
      <c r="A153" s="327"/>
      <c r="B153" s="327"/>
      <c r="C153" s="335"/>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c r="AI153" s="327"/>
      <c r="AJ153" s="327"/>
      <c r="AL153" s="327"/>
      <c r="AM153" s="327"/>
      <c r="AO153" s="327"/>
      <c r="AP153" s="327"/>
      <c r="AQ153" s="327"/>
    </row>
    <row r="154" spans="1:43" x14ac:dyDescent="0.35">
      <c r="A154" s="327"/>
      <c r="B154" s="327"/>
      <c r="C154" s="335"/>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I154" s="327"/>
      <c r="AJ154" s="327"/>
      <c r="AL154" s="327"/>
      <c r="AM154" s="327"/>
      <c r="AO154" s="327"/>
      <c r="AP154" s="327"/>
      <c r="AQ154" s="327"/>
    </row>
    <row r="155" spans="1:43" x14ac:dyDescent="0.35">
      <c r="A155" s="327"/>
      <c r="B155" s="327"/>
      <c r="C155" s="335"/>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I155" s="327"/>
      <c r="AJ155" s="327"/>
      <c r="AL155" s="327"/>
      <c r="AM155" s="327"/>
      <c r="AO155" s="327"/>
      <c r="AP155" s="327"/>
      <c r="AQ155" s="327"/>
    </row>
    <row r="156" spans="1:43" x14ac:dyDescent="0.35">
      <c r="A156" s="327"/>
      <c r="B156" s="327"/>
      <c r="C156" s="335"/>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c r="AI156" s="327"/>
      <c r="AJ156" s="327"/>
      <c r="AL156" s="327"/>
      <c r="AM156" s="327"/>
      <c r="AO156" s="327"/>
      <c r="AP156" s="327"/>
      <c r="AQ156" s="327"/>
    </row>
    <row r="157" spans="1:43" x14ac:dyDescent="0.35">
      <c r="A157" s="327"/>
      <c r="B157" s="327"/>
      <c r="C157" s="335"/>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I157" s="327"/>
      <c r="AJ157" s="327"/>
      <c r="AL157" s="327"/>
      <c r="AM157" s="327"/>
      <c r="AO157" s="327"/>
      <c r="AP157" s="327"/>
      <c r="AQ157" s="327"/>
    </row>
    <row r="158" spans="1:43" x14ac:dyDescent="0.35">
      <c r="A158" s="327"/>
      <c r="B158" s="327"/>
      <c r="C158" s="335"/>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c r="AI158" s="327"/>
      <c r="AJ158" s="327"/>
      <c r="AL158" s="327"/>
      <c r="AM158" s="327"/>
      <c r="AO158" s="327"/>
      <c r="AP158" s="327"/>
      <c r="AQ158" s="327"/>
    </row>
    <row r="159" spans="1:43" x14ac:dyDescent="0.35">
      <c r="A159" s="327"/>
      <c r="B159" s="327"/>
      <c r="C159" s="335"/>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c r="AI159" s="327"/>
      <c r="AJ159" s="327"/>
      <c r="AL159" s="327"/>
      <c r="AM159" s="327"/>
      <c r="AO159" s="327"/>
      <c r="AP159" s="327"/>
      <c r="AQ159" s="327"/>
    </row>
    <row r="160" spans="1:43" x14ac:dyDescent="0.35">
      <c r="A160" s="327"/>
      <c r="B160" s="327"/>
      <c r="C160" s="335"/>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I160" s="327"/>
      <c r="AJ160" s="327"/>
      <c r="AL160" s="327"/>
      <c r="AM160" s="327"/>
      <c r="AO160" s="327"/>
      <c r="AP160" s="327"/>
      <c r="AQ160" s="327"/>
    </row>
    <row r="161" spans="1:43" x14ac:dyDescent="0.35">
      <c r="A161" s="327"/>
      <c r="B161" s="327"/>
      <c r="C161" s="335"/>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I161" s="327"/>
      <c r="AJ161" s="327"/>
      <c r="AL161" s="327"/>
      <c r="AM161" s="327"/>
      <c r="AO161" s="327"/>
      <c r="AP161" s="327"/>
      <c r="AQ161" s="327"/>
    </row>
    <row r="162" spans="1:43" x14ac:dyDescent="0.35">
      <c r="A162" s="327"/>
      <c r="B162" s="327"/>
      <c r="C162" s="335"/>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I162" s="327"/>
      <c r="AJ162" s="327"/>
      <c r="AL162" s="327"/>
      <c r="AM162" s="327"/>
      <c r="AO162" s="327"/>
      <c r="AP162" s="327"/>
      <c r="AQ162" s="327"/>
    </row>
    <row r="163" spans="1:43" x14ac:dyDescent="0.35">
      <c r="A163" s="327"/>
      <c r="B163" s="327"/>
      <c r="C163" s="335"/>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I163" s="327"/>
      <c r="AJ163" s="327"/>
      <c r="AL163" s="327"/>
      <c r="AM163" s="327"/>
      <c r="AO163" s="327"/>
      <c r="AP163" s="327"/>
      <c r="AQ163" s="327"/>
    </row>
    <row r="164" spans="1:43" x14ac:dyDescent="0.35">
      <c r="A164" s="327"/>
      <c r="B164" s="327"/>
      <c r="C164" s="335"/>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I164" s="327"/>
      <c r="AJ164" s="327"/>
      <c r="AL164" s="327"/>
      <c r="AM164" s="327"/>
      <c r="AO164" s="327"/>
      <c r="AP164" s="327"/>
      <c r="AQ164" s="327"/>
    </row>
    <row r="165" spans="1:43" x14ac:dyDescent="0.35">
      <c r="A165" s="327"/>
      <c r="B165" s="327"/>
      <c r="C165" s="335"/>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I165" s="327"/>
      <c r="AJ165" s="327"/>
      <c r="AL165" s="327"/>
      <c r="AM165" s="327"/>
      <c r="AO165" s="327"/>
      <c r="AP165" s="327"/>
      <c r="AQ165" s="327"/>
    </row>
    <row r="166" spans="1:43" x14ac:dyDescent="0.35">
      <c r="A166" s="327"/>
      <c r="B166" s="327"/>
      <c r="C166" s="335"/>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c r="AI166" s="327"/>
      <c r="AJ166" s="327"/>
      <c r="AL166" s="327"/>
      <c r="AM166" s="327"/>
      <c r="AO166" s="327"/>
      <c r="AP166" s="327"/>
      <c r="AQ166" s="327"/>
    </row>
    <row r="167" spans="1:43" x14ac:dyDescent="0.35">
      <c r="A167" s="327"/>
      <c r="B167" s="327"/>
      <c r="C167" s="335"/>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I167" s="327"/>
      <c r="AJ167" s="327"/>
      <c r="AL167" s="327"/>
      <c r="AM167" s="327"/>
      <c r="AO167" s="327"/>
      <c r="AP167" s="327"/>
      <c r="AQ167" s="327"/>
    </row>
    <row r="168" spans="1:43" x14ac:dyDescent="0.35">
      <c r="A168" s="327"/>
      <c r="B168" s="327"/>
      <c r="C168" s="335"/>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I168" s="327"/>
      <c r="AJ168" s="327"/>
      <c r="AL168" s="327"/>
      <c r="AM168" s="327"/>
      <c r="AO168" s="327"/>
      <c r="AP168" s="327"/>
      <c r="AQ168" s="327"/>
    </row>
    <row r="169" spans="1:43" x14ac:dyDescent="0.35">
      <c r="A169" s="327"/>
      <c r="B169" s="327"/>
      <c r="C169" s="335"/>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I169" s="327"/>
      <c r="AJ169" s="327"/>
      <c r="AL169" s="327"/>
      <c r="AM169" s="327"/>
      <c r="AO169" s="327"/>
      <c r="AP169" s="327"/>
      <c r="AQ169" s="327"/>
    </row>
    <row r="170" spans="1:43" x14ac:dyDescent="0.35">
      <c r="A170" s="327"/>
      <c r="B170" s="327"/>
      <c r="C170" s="335"/>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I170" s="327"/>
      <c r="AJ170" s="327"/>
      <c r="AL170" s="327"/>
      <c r="AM170" s="327"/>
      <c r="AO170" s="327"/>
      <c r="AP170" s="327"/>
      <c r="AQ170" s="327"/>
    </row>
    <row r="171" spans="1:43" x14ac:dyDescent="0.35">
      <c r="A171" s="327"/>
      <c r="B171" s="327"/>
      <c r="C171" s="335"/>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I171" s="327"/>
      <c r="AJ171" s="327"/>
      <c r="AL171" s="327"/>
      <c r="AM171" s="327"/>
      <c r="AO171" s="327"/>
      <c r="AP171" s="327"/>
      <c r="AQ171" s="327"/>
    </row>
    <row r="172" spans="1:43" x14ac:dyDescent="0.35">
      <c r="A172" s="327"/>
      <c r="B172" s="327"/>
      <c r="C172" s="335"/>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I172" s="327"/>
      <c r="AJ172" s="327"/>
      <c r="AL172" s="327"/>
      <c r="AM172" s="327"/>
      <c r="AO172" s="327"/>
      <c r="AP172" s="327"/>
      <c r="AQ172" s="327"/>
    </row>
    <row r="173" spans="1:43" x14ac:dyDescent="0.35">
      <c r="A173" s="327"/>
      <c r="B173" s="327"/>
      <c r="C173" s="335"/>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I173" s="327"/>
      <c r="AJ173" s="327"/>
      <c r="AL173" s="327"/>
      <c r="AM173" s="327"/>
      <c r="AO173" s="327"/>
      <c r="AP173" s="327"/>
      <c r="AQ173" s="327"/>
    </row>
    <row r="174" spans="1:43" x14ac:dyDescent="0.35">
      <c r="A174" s="327"/>
      <c r="B174" s="327"/>
      <c r="C174" s="335"/>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I174" s="327"/>
      <c r="AJ174" s="327"/>
      <c r="AL174" s="327"/>
      <c r="AM174" s="327"/>
      <c r="AO174" s="327"/>
      <c r="AP174" s="327"/>
      <c r="AQ174" s="327"/>
    </row>
    <row r="175" spans="1:43" x14ac:dyDescent="0.35">
      <c r="A175" s="327"/>
      <c r="B175" s="327"/>
      <c r="C175" s="335"/>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I175" s="327"/>
      <c r="AJ175" s="327"/>
      <c r="AL175" s="327"/>
      <c r="AM175" s="327"/>
      <c r="AO175" s="327"/>
      <c r="AP175" s="327"/>
      <c r="AQ175" s="327"/>
    </row>
    <row r="176" spans="1:43" x14ac:dyDescent="0.35">
      <c r="A176" s="327"/>
      <c r="B176" s="327"/>
      <c r="C176" s="335"/>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I176" s="327"/>
      <c r="AJ176" s="327"/>
      <c r="AL176" s="327"/>
      <c r="AM176" s="327"/>
      <c r="AO176" s="327"/>
      <c r="AP176" s="327"/>
      <c r="AQ176" s="327"/>
    </row>
    <row r="177" spans="1:43" x14ac:dyDescent="0.35">
      <c r="A177" s="327"/>
      <c r="B177" s="327"/>
      <c r="C177" s="335"/>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I177" s="327"/>
      <c r="AJ177" s="327"/>
      <c r="AL177" s="327"/>
      <c r="AM177" s="327"/>
      <c r="AO177" s="327"/>
      <c r="AP177" s="327"/>
      <c r="AQ177" s="327"/>
    </row>
    <row r="178" spans="1:43" x14ac:dyDescent="0.35">
      <c r="A178" s="327"/>
      <c r="B178" s="327"/>
      <c r="C178" s="335"/>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I178" s="327"/>
      <c r="AJ178" s="327"/>
      <c r="AL178" s="327"/>
      <c r="AM178" s="327"/>
      <c r="AO178" s="327"/>
      <c r="AP178" s="327"/>
      <c r="AQ178" s="327"/>
    </row>
    <row r="179" spans="1:43" x14ac:dyDescent="0.35">
      <c r="A179" s="327"/>
      <c r="B179" s="327"/>
      <c r="C179" s="335"/>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I179" s="327"/>
      <c r="AJ179" s="327"/>
      <c r="AL179" s="327"/>
      <c r="AM179" s="327"/>
      <c r="AO179" s="327"/>
      <c r="AP179" s="327"/>
      <c r="AQ179" s="327"/>
    </row>
    <row r="180" spans="1:43" x14ac:dyDescent="0.35">
      <c r="A180" s="327"/>
      <c r="B180" s="327"/>
      <c r="C180" s="335"/>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I180" s="327"/>
      <c r="AJ180" s="327"/>
      <c r="AL180" s="327"/>
      <c r="AM180" s="327"/>
      <c r="AO180" s="327"/>
      <c r="AP180" s="327"/>
      <c r="AQ180" s="327"/>
    </row>
    <row r="181" spans="1:43" x14ac:dyDescent="0.35">
      <c r="A181" s="327"/>
      <c r="B181" s="327"/>
      <c r="C181" s="335"/>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I181" s="327"/>
      <c r="AJ181" s="327"/>
      <c r="AL181" s="327"/>
      <c r="AM181" s="327"/>
      <c r="AO181" s="327"/>
      <c r="AP181" s="327"/>
      <c r="AQ181" s="327"/>
    </row>
    <row r="182" spans="1:43" x14ac:dyDescent="0.35">
      <c r="A182" s="327"/>
      <c r="B182" s="327"/>
      <c r="C182" s="335"/>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I182" s="327"/>
      <c r="AJ182" s="327"/>
      <c r="AL182" s="327"/>
      <c r="AM182" s="327"/>
      <c r="AO182" s="327"/>
      <c r="AP182" s="327"/>
      <c r="AQ182" s="327"/>
    </row>
    <row r="183" spans="1:43" x14ac:dyDescent="0.35">
      <c r="A183" s="327"/>
      <c r="B183" s="327"/>
      <c r="C183" s="335"/>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I183" s="327"/>
      <c r="AJ183" s="327"/>
      <c r="AL183" s="327"/>
      <c r="AM183" s="327"/>
      <c r="AO183" s="327"/>
      <c r="AP183" s="327"/>
      <c r="AQ183" s="327"/>
    </row>
    <row r="184" spans="1:43" x14ac:dyDescent="0.35">
      <c r="A184" s="327"/>
      <c r="B184" s="327"/>
      <c r="C184" s="335"/>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I184" s="327"/>
      <c r="AJ184" s="327"/>
      <c r="AL184" s="327"/>
      <c r="AM184" s="327"/>
      <c r="AO184" s="327"/>
      <c r="AP184" s="327"/>
      <c r="AQ184" s="327"/>
    </row>
    <row r="185" spans="1:43" x14ac:dyDescent="0.35">
      <c r="A185" s="327"/>
      <c r="B185" s="327"/>
      <c r="C185" s="335"/>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I185" s="327"/>
      <c r="AJ185" s="327"/>
      <c r="AL185" s="327"/>
      <c r="AM185" s="327"/>
      <c r="AO185" s="327"/>
      <c r="AP185" s="327"/>
      <c r="AQ185" s="327"/>
    </row>
    <row r="186" spans="1:43" x14ac:dyDescent="0.35">
      <c r="A186" s="327"/>
      <c r="B186" s="327"/>
      <c r="C186" s="335"/>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c r="AI186" s="327"/>
      <c r="AJ186" s="327"/>
      <c r="AL186" s="327"/>
      <c r="AM186" s="327"/>
      <c r="AO186" s="327"/>
      <c r="AP186" s="327"/>
      <c r="AQ186" s="327"/>
    </row>
    <row r="187" spans="1:43" x14ac:dyDescent="0.35">
      <c r="A187" s="327"/>
      <c r="B187" s="327"/>
      <c r="C187" s="335"/>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I187" s="327"/>
      <c r="AJ187" s="327"/>
      <c r="AL187" s="327"/>
      <c r="AM187" s="327"/>
      <c r="AO187" s="327"/>
      <c r="AP187" s="327"/>
      <c r="AQ187" s="327"/>
    </row>
    <row r="188" spans="1:43" x14ac:dyDescent="0.35">
      <c r="A188" s="327"/>
      <c r="B188" s="327"/>
      <c r="C188" s="335"/>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I188" s="327"/>
      <c r="AJ188" s="327"/>
      <c r="AL188" s="327"/>
      <c r="AM188" s="327"/>
      <c r="AO188" s="327"/>
      <c r="AP188" s="327"/>
      <c r="AQ188" s="327"/>
    </row>
    <row r="189" spans="1:43" x14ac:dyDescent="0.35">
      <c r="A189" s="327"/>
      <c r="B189" s="327"/>
      <c r="C189" s="335"/>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I189" s="327"/>
      <c r="AJ189" s="327"/>
      <c r="AL189" s="327"/>
      <c r="AM189" s="327"/>
      <c r="AO189" s="327"/>
      <c r="AP189" s="327"/>
      <c r="AQ189" s="327"/>
    </row>
    <row r="190" spans="1:43" x14ac:dyDescent="0.35">
      <c r="A190" s="327"/>
      <c r="B190" s="327"/>
      <c r="C190" s="335"/>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I190" s="327"/>
      <c r="AJ190" s="327"/>
      <c r="AL190" s="327"/>
      <c r="AM190" s="327"/>
      <c r="AO190" s="327"/>
      <c r="AP190" s="327"/>
      <c r="AQ190" s="327"/>
    </row>
    <row r="191" spans="1:43" x14ac:dyDescent="0.35">
      <c r="A191" s="327"/>
      <c r="B191" s="327"/>
      <c r="C191" s="335"/>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I191" s="327"/>
      <c r="AJ191" s="327"/>
      <c r="AL191" s="327"/>
      <c r="AM191" s="327"/>
      <c r="AO191" s="327"/>
      <c r="AP191" s="327"/>
      <c r="AQ191" s="327"/>
    </row>
    <row r="192" spans="1:43" x14ac:dyDescent="0.35">
      <c r="A192" s="327"/>
      <c r="B192" s="327"/>
      <c r="C192" s="335"/>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I192" s="327"/>
      <c r="AJ192" s="327"/>
      <c r="AL192" s="327"/>
      <c r="AM192" s="327"/>
      <c r="AO192" s="327"/>
      <c r="AP192" s="327"/>
      <c r="AQ192" s="327"/>
    </row>
    <row r="193" spans="1:43" x14ac:dyDescent="0.35">
      <c r="A193" s="327"/>
      <c r="B193" s="327"/>
      <c r="C193" s="335"/>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I193" s="327"/>
      <c r="AJ193" s="327"/>
      <c r="AL193" s="327"/>
      <c r="AM193" s="327"/>
      <c r="AO193" s="327"/>
      <c r="AP193" s="327"/>
      <c r="AQ193" s="327"/>
    </row>
    <row r="194" spans="1:43" x14ac:dyDescent="0.35">
      <c r="A194" s="327"/>
      <c r="B194" s="327"/>
      <c r="C194" s="335"/>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I194" s="327"/>
      <c r="AJ194" s="327"/>
      <c r="AL194" s="327"/>
      <c r="AM194" s="327"/>
      <c r="AO194" s="327"/>
      <c r="AP194" s="327"/>
      <c r="AQ194" s="327"/>
    </row>
    <row r="195" spans="1:43" x14ac:dyDescent="0.35">
      <c r="A195" s="327"/>
      <c r="B195" s="327"/>
      <c r="C195" s="335"/>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I195" s="327"/>
      <c r="AJ195" s="327"/>
      <c r="AL195" s="327"/>
      <c r="AM195" s="327"/>
      <c r="AO195" s="327"/>
      <c r="AP195" s="327"/>
      <c r="AQ195" s="327"/>
    </row>
    <row r="196" spans="1:43" x14ac:dyDescent="0.35">
      <c r="A196" s="327"/>
      <c r="B196" s="327"/>
      <c r="C196" s="335"/>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I196" s="327"/>
      <c r="AJ196" s="327"/>
      <c r="AL196" s="327"/>
      <c r="AM196" s="327"/>
      <c r="AO196" s="327"/>
      <c r="AP196" s="327"/>
      <c r="AQ196" s="327"/>
    </row>
    <row r="197" spans="1:43" x14ac:dyDescent="0.35">
      <c r="A197" s="327"/>
      <c r="B197" s="327"/>
      <c r="C197" s="335"/>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I197" s="327"/>
      <c r="AJ197" s="327"/>
      <c r="AL197" s="327"/>
      <c r="AM197" s="327"/>
      <c r="AO197" s="327"/>
      <c r="AP197" s="327"/>
      <c r="AQ197" s="327"/>
    </row>
    <row r="198" spans="1:43" x14ac:dyDescent="0.35">
      <c r="A198" s="327"/>
      <c r="B198" s="327"/>
      <c r="C198" s="335"/>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I198" s="327"/>
      <c r="AJ198" s="327"/>
      <c r="AL198" s="327"/>
      <c r="AM198" s="327"/>
      <c r="AO198" s="327"/>
      <c r="AP198" s="327"/>
      <c r="AQ198" s="327"/>
    </row>
    <row r="199" spans="1:43" x14ac:dyDescent="0.35">
      <c r="A199" s="327"/>
      <c r="B199" s="327"/>
      <c r="C199" s="335"/>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I199" s="327"/>
      <c r="AJ199" s="327"/>
      <c r="AL199" s="327"/>
      <c r="AM199" s="327"/>
      <c r="AO199" s="327"/>
      <c r="AP199" s="327"/>
      <c r="AQ199" s="327"/>
    </row>
    <row r="200" spans="1:43" x14ac:dyDescent="0.35">
      <c r="A200" s="327"/>
      <c r="B200" s="327"/>
      <c r="C200" s="335"/>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I200" s="327"/>
      <c r="AJ200" s="327"/>
      <c r="AL200" s="327"/>
      <c r="AM200" s="327"/>
      <c r="AO200" s="327"/>
      <c r="AP200" s="327"/>
      <c r="AQ200" s="327"/>
    </row>
    <row r="201" spans="1:43" x14ac:dyDescent="0.35">
      <c r="A201" s="327"/>
      <c r="B201" s="327"/>
      <c r="C201" s="335"/>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I201" s="327"/>
      <c r="AJ201" s="327"/>
      <c r="AL201" s="327"/>
      <c r="AM201" s="327"/>
      <c r="AO201" s="327"/>
      <c r="AP201" s="327"/>
      <c r="AQ201" s="327"/>
    </row>
    <row r="202" spans="1:43" x14ac:dyDescent="0.35">
      <c r="A202" s="327"/>
      <c r="B202" s="327"/>
      <c r="C202" s="335"/>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I202" s="327"/>
      <c r="AJ202" s="327"/>
      <c r="AL202" s="327"/>
      <c r="AM202" s="327"/>
      <c r="AO202" s="327"/>
      <c r="AP202" s="327"/>
      <c r="AQ202" s="327"/>
    </row>
    <row r="203" spans="1:43" x14ac:dyDescent="0.35">
      <c r="A203" s="327"/>
      <c r="B203" s="327"/>
      <c r="C203" s="335"/>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I203" s="327"/>
      <c r="AJ203" s="327"/>
      <c r="AL203" s="327"/>
      <c r="AM203" s="327"/>
      <c r="AO203" s="327"/>
      <c r="AP203" s="327"/>
      <c r="AQ203" s="327"/>
    </row>
    <row r="204" spans="1:43" x14ac:dyDescent="0.35">
      <c r="A204" s="327"/>
      <c r="B204" s="327"/>
      <c r="C204" s="335"/>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I204" s="327"/>
      <c r="AJ204" s="327"/>
      <c r="AL204" s="327"/>
      <c r="AM204" s="327"/>
      <c r="AO204" s="327"/>
      <c r="AP204" s="327"/>
      <c r="AQ204" s="327"/>
    </row>
    <row r="205" spans="1:43" x14ac:dyDescent="0.35">
      <c r="A205" s="327"/>
      <c r="B205" s="327"/>
      <c r="C205" s="335"/>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I205" s="327"/>
      <c r="AJ205" s="327"/>
      <c r="AL205" s="327"/>
      <c r="AM205" s="327"/>
      <c r="AO205" s="327"/>
      <c r="AP205" s="327"/>
      <c r="AQ205" s="327"/>
    </row>
    <row r="206" spans="1:43" x14ac:dyDescent="0.35">
      <c r="A206" s="327"/>
      <c r="B206" s="327"/>
      <c r="C206" s="335"/>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c r="AI206" s="327"/>
      <c r="AJ206" s="327"/>
      <c r="AL206" s="327"/>
      <c r="AM206" s="327"/>
      <c r="AO206" s="327"/>
      <c r="AP206" s="327"/>
      <c r="AQ206" s="327"/>
    </row>
    <row r="207" spans="1:43" x14ac:dyDescent="0.35">
      <c r="A207" s="327"/>
      <c r="B207" s="327"/>
      <c r="C207" s="335"/>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I207" s="327"/>
      <c r="AJ207" s="327"/>
      <c r="AL207" s="327"/>
      <c r="AM207" s="327"/>
      <c r="AO207" s="327"/>
      <c r="AP207" s="327"/>
      <c r="AQ207" s="327"/>
    </row>
    <row r="208" spans="1:43" x14ac:dyDescent="0.35">
      <c r="A208" s="327"/>
      <c r="B208" s="327"/>
      <c r="C208" s="335"/>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I208" s="327"/>
      <c r="AJ208" s="327"/>
      <c r="AL208" s="327"/>
      <c r="AM208" s="327"/>
      <c r="AO208" s="327"/>
      <c r="AP208" s="327"/>
      <c r="AQ208" s="327"/>
    </row>
    <row r="209" spans="1:43" x14ac:dyDescent="0.35">
      <c r="A209" s="327"/>
      <c r="B209" s="327"/>
      <c r="C209" s="335"/>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I209" s="327"/>
      <c r="AJ209" s="327"/>
      <c r="AL209" s="327"/>
      <c r="AM209" s="327"/>
      <c r="AO209" s="327"/>
      <c r="AP209" s="327"/>
      <c r="AQ209" s="327"/>
    </row>
    <row r="210" spans="1:43" x14ac:dyDescent="0.35">
      <c r="A210" s="327"/>
      <c r="B210" s="327"/>
      <c r="C210" s="335"/>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I210" s="327"/>
      <c r="AJ210" s="327"/>
      <c r="AL210" s="327"/>
      <c r="AM210" s="327"/>
      <c r="AO210" s="327"/>
      <c r="AP210" s="327"/>
      <c r="AQ210" s="327"/>
    </row>
    <row r="211" spans="1:43" x14ac:dyDescent="0.35">
      <c r="A211" s="327"/>
      <c r="B211" s="327"/>
      <c r="C211" s="335"/>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I211" s="327"/>
      <c r="AJ211" s="327"/>
      <c r="AL211" s="327"/>
      <c r="AM211" s="327"/>
      <c r="AO211" s="327"/>
      <c r="AP211" s="327"/>
      <c r="AQ211" s="327"/>
    </row>
    <row r="212" spans="1:43" x14ac:dyDescent="0.35">
      <c r="A212" s="327"/>
      <c r="B212" s="327"/>
      <c r="C212" s="335"/>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c r="AI212" s="327"/>
      <c r="AJ212" s="327"/>
      <c r="AL212" s="327"/>
      <c r="AM212" s="327"/>
      <c r="AO212" s="327"/>
      <c r="AP212" s="327"/>
      <c r="AQ212" s="327"/>
    </row>
    <row r="213" spans="1:43" x14ac:dyDescent="0.35">
      <c r="A213" s="327"/>
      <c r="B213" s="327"/>
      <c r="C213" s="335"/>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I213" s="327"/>
      <c r="AJ213" s="327"/>
      <c r="AL213" s="327"/>
      <c r="AM213" s="327"/>
      <c r="AO213" s="327"/>
      <c r="AP213" s="327"/>
      <c r="AQ213" s="327"/>
    </row>
  </sheetData>
  <sheetProtection algorithmName="SHA-512" hashValue="0h/Ig4GODIECX37Z/0QHPMpImaphZMDId9rg90Au/ITJJ8T/+O3MLwrEr2napN81P+Y+yC8ur1Jz5LM4gKLFSA==" saltValue="SGM/0EyNs4+JwYe8D9RQhQ==" spinCount="100000" sheet="1" objects="1" scenarios="1"/>
  <mergeCells count="17">
    <mergeCell ref="B151:J151"/>
    <mergeCell ref="B120:X120"/>
    <mergeCell ref="AF5:AG5"/>
    <mergeCell ref="AI5:AJ5"/>
    <mergeCell ref="AL5:AM5"/>
    <mergeCell ref="W5:AB5"/>
    <mergeCell ref="F6:H6"/>
    <mergeCell ref="B122:J122"/>
    <mergeCell ref="B134:X134"/>
    <mergeCell ref="B135:J135"/>
    <mergeCell ref="B66:V66"/>
    <mergeCell ref="B67:V67"/>
    <mergeCell ref="B68:V68"/>
    <mergeCell ref="B69:V69"/>
    <mergeCell ref="E5:H5"/>
    <mergeCell ref="P5:T5"/>
    <mergeCell ref="AO5:AP5"/>
  </mergeCells>
  <dataValidations count="1">
    <dataValidation type="list" allowBlank="1" showInputMessage="1" showErrorMessage="1" sqref="R6 Z6" xr:uid="{032F805C-EB01-482E-82C0-FDE121E9085B}">
      <formula1>$AW$2:$AW$5</formula1>
    </dataValidation>
  </dataValidations>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ignoredErrors>
    <ignoredError sqref="Z15 Z32 Z21 Z25 Z39:Z40 Z35"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9375-71D4-4B7A-8DA7-81F03BC81234}">
  <sheetPr codeName="Sheet30">
    <tabColor rgb="FFBBF7DC"/>
  </sheetPr>
  <dimension ref="A1:BJ67"/>
  <sheetViews>
    <sheetView showGridLines="0" zoomScaleNormal="100" workbookViewId="0"/>
  </sheetViews>
  <sheetFormatPr defaultColWidth="9.1796875" defaultRowHeight="14.5" x14ac:dyDescent="0.35"/>
  <cols>
    <col min="1" max="1" width="2.81640625" style="418" customWidth="1"/>
    <col min="2" max="2" width="17.1796875" style="422" bestFit="1" customWidth="1"/>
    <col min="3" max="3" width="22.54296875" style="418" customWidth="1"/>
    <col min="4" max="4" width="8.453125" style="420" customWidth="1"/>
    <col min="5" max="5" width="9.1796875" style="418" hidden="1" customWidth="1"/>
    <col min="6" max="6" width="19.81640625" style="418" hidden="1" customWidth="1"/>
    <col min="7" max="8" width="13.81640625" style="418" bestFit="1" customWidth="1"/>
    <col min="9" max="10" width="14.1796875" style="418" bestFit="1" customWidth="1"/>
    <col min="11" max="11" width="13.81640625" style="418" hidden="1" customWidth="1"/>
    <col min="12" max="13" width="13.81640625" style="418" bestFit="1" customWidth="1"/>
    <col min="14" max="14" width="5.1796875" style="418" customWidth="1"/>
    <col min="15" max="15" width="3.81640625" style="418" customWidth="1"/>
    <col min="16" max="16" width="3.81640625" style="120" customWidth="1"/>
    <col min="17" max="17" width="13.81640625" style="120" bestFit="1" customWidth="1"/>
    <col min="18" max="18" width="10.54296875" style="120" customWidth="1"/>
    <col min="19" max="19" width="4.54296875" customWidth="1"/>
    <col min="20" max="20" width="13.81640625" style="120" bestFit="1" customWidth="1"/>
    <col min="21" max="21" width="9.1796875" style="120"/>
    <col min="22" max="22" width="5" customWidth="1"/>
    <col min="23" max="23" width="11.1796875" style="120" customWidth="1"/>
    <col min="24" max="24" width="9.1796875" style="120"/>
    <col min="25" max="25" width="4.81640625" customWidth="1"/>
    <col min="26" max="26" width="13.81640625" style="120" bestFit="1" customWidth="1"/>
    <col min="27" max="16384" width="9.1796875" style="120"/>
  </cols>
  <sheetData>
    <row r="1" spans="2:62" x14ac:dyDescent="0.35">
      <c r="B1" s="419"/>
      <c r="AC1" s="467" t="s">
        <v>2579</v>
      </c>
      <c r="AD1" s="502" t="str">
        <f>Q5</f>
        <v>I&amp;E Scenario A</v>
      </c>
    </row>
    <row r="2" spans="2:62" x14ac:dyDescent="0.35">
      <c r="B2" s="421">
        <f>CollegeNameInput</f>
        <v>0</v>
      </c>
      <c r="AC2" s="467" t="s">
        <v>2629</v>
      </c>
      <c r="AD2" s="502" t="str">
        <f>T5</f>
        <v>I&amp;E Scenario B</v>
      </c>
    </row>
    <row r="3" spans="2:62" x14ac:dyDescent="0.35">
      <c r="Q3"/>
      <c r="R3"/>
      <c r="AC3" s="467" t="s">
        <v>2581</v>
      </c>
      <c r="AD3" s="502" t="str">
        <f>W5</f>
        <v>I&amp;E Scenario C</v>
      </c>
    </row>
    <row r="4" spans="2:62" s="418" customFormat="1" x14ac:dyDescent="0.35">
      <c r="B4" s="422"/>
      <c r="C4" s="423"/>
      <c r="D4" s="420"/>
      <c r="P4" s="120"/>
      <c r="S4"/>
      <c r="U4" s="120"/>
      <c r="V4"/>
      <c r="W4" s="120"/>
      <c r="X4" s="120"/>
      <c r="Y4"/>
      <c r="Z4" s="120"/>
      <c r="AA4" s="120"/>
      <c r="AB4" s="120"/>
      <c r="AC4" s="467" t="s">
        <v>2582</v>
      </c>
      <c r="AD4" s="502" t="str">
        <f>Z5</f>
        <v>I&amp;E Scenario D</v>
      </c>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row>
    <row r="5" spans="2:62" s="418" customFormat="1" x14ac:dyDescent="0.35">
      <c r="B5" s="422"/>
      <c r="C5" s="423" t="s">
        <v>2630</v>
      </c>
      <c r="D5" s="420"/>
      <c r="G5" s="702" t="s">
        <v>2584</v>
      </c>
      <c r="H5" s="702"/>
      <c r="I5" s="703" t="s">
        <v>2631</v>
      </c>
      <c r="J5" s="703"/>
      <c r="K5" s="491" t="s">
        <v>2632</v>
      </c>
      <c r="L5" s="704">
        <f>'Cover Sheet'!E21</f>
        <v>46112</v>
      </c>
      <c r="M5" s="703"/>
      <c r="P5" s="120"/>
      <c r="Q5" s="707" t="str">
        <f>'I&amp;E Summary'!AF5</f>
        <v>I&amp;E Scenario A</v>
      </c>
      <c r="R5" s="707"/>
      <c r="S5"/>
      <c r="T5" s="707" t="str">
        <f>'I&amp;E Summary'!AI5</f>
        <v>I&amp;E Scenario B</v>
      </c>
      <c r="U5" s="707"/>
      <c r="V5"/>
      <c r="W5" s="707" t="str">
        <f>'I&amp;E Summary'!AL5</f>
        <v>I&amp;E Scenario C</v>
      </c>
      <c r="X5" s="707"/>
      <c r="Y5"/>
      <c r="Z5" s="707" t="str">
        <f>'I&amp;E Summary'!AO5</f>
        <v>I&amp;E Scenario D</v>
      </c>
      <c r="AA5" s="707"/>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row>
    <row r="6" spans="2:62" s="418" customFormat="1" x14ac:dyDescent="0.35">
      <c r="B6" s="494" t="s">
        <v>2633</v>
      </c>
      <c r="C6" s="495"/>
      <c r="D6" s="493"/>
      <c r="E6" s="493" t="s">
        <v>2634</v>
      </c>
      <c r="F6" s="495"/>
      <c r="G6" s="492" t="str">
        <f>Timeline!W3</f>
        <v>FY2026</v>
      </c>
      <c r="H6" s="492" t="str">
        <f>Timeline!X3</f>
        <v>FY2027</v>
      </c>
      <c r="I6" s="493" t="str">
        <f>Timeline!W3</f>
        <v>FY2026</v>
      </c>
      <c r="J6" s="493" t="str">
        <f>Timeline!X3</f>
        <v>FY2027</v>
      </c>
      <c r="K6" s="493" t="s">
        <v>2635</v>
      </c>
      <c r="L6" s="493" t="str">
        <f>Timeline!W3</f>
        <v>FY2026</v>
      </c>
      <c r="M6" s="493" t="str">
        <f>Timeline!X3</f>
        <v>FY2027</v>
      </c>
      <c r="P6" s="120"/>
      <c r="Q6" s="492" t="str">
        <f>'I&amp;E Summary'!AF6</f>
        <v>FY2026</v>
      </c>
      <c r="R6" s="492" t="str">
        <f>'I&amp;E Summary'!AG6</f>
        <v>FY2027</v>
      </c>
      <c r="S6"/>
      <c r="T6" s="492" t="str">
        <f>'I&amp;E Summary'!AI6</f>
        <v>FY2026</v>
      </c>
      <c r="U6" s="492" t="str">
        <f>'I&amp;E Summary'!AJ6</f>
        <v>FY2027</v>
      </c>
      <c r="V6"/>
      <c r="W6" s="492" t="str">
        <f>'I&amp;E Summary'!AL6</f>
        <v>FY2026</v>
      </c>
      <c r="X6" s="492" t="str">
        <f>'I&amp;E Summary'!AM6</f>
        <v>FY2027</v>
      </c>
      <c r="Y6"/>
      <c r="Z6" s="492" t="str">
        <f>'I&amp;E Summary'!AO6</f>
        <v>FY2026</v>
      </c>
      <c r="AA6" s="492" t="str">
        <f>'I&amp;E Summary'!AP6</f>
        <v>FY2027</v>
      </c>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row>
    <row r="7" spans="2:62" s="418" customFormat="1" x14ac:dyDescent="0.35">
      <c r="B7" s="422"/>
      <c r="C7" s="479"/>
      <c r="D7" s="477"/>
      <c r="E7" s="479"/>
      <c r="F7" s="479"/>
      <c r="G7" s="477"/>
      <c r="H7" s="477"/>
      <c r="I7" s="477"/>
      <c r="J7" s="477"/>
      <c r="K7" s="477"/>
      <c r="L7" s="477"/>
      <c r="M7" s="477"/>
      <c r="P7" s="120"/>
      <c r="Q7" s="477"/>
      <c r="R7" s="477"/>
      <c r="S7"/>
      <c r="T7" s="477"/>
      <c r="U7" s="477"/>
      <c r="V7"/>
      <c r="W7" s="477"/>
      <c r="X7" s="477"/>
      <c r="Y7"/>
      <c r="Z7" s="477"/>
      <c r="AA7" s="477"/>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row>
    <row r="8" spans="2:62" s="418" customFormat="1" x14ac:dyDescent="0.35">
      <c r="B8" s="422">
        <v>1</v>
      </c>
      <c r="C8" s="418" t="s">
        <v>2592</v>
      </c>
      <c r="E8" s="425" t="s">
        <v>2593</v>
      </c>
      <c r="G8" s="10">
        <f t="shared" ref="G8:G13" si="0">INDEX(Q8:AA8, 1, MATCH(G$5, $Q$5:$AA$5, 0))</f>
        <v>0</v>
      </c>
      <c r="H8" s="10">
        <f t="shared" ref="H8:H13" si="1">INDEX(R8:AB8, 1, MATCH(G$5, $Q$5:$AA$5, 0))</f>
        <v>0</v>
      </c>
      <c r="I8" s="10">
        <f t="shared" ref="I8:J14" si="2">+L8-G8</f>
        <v>0</v>
      </c>
      <c r="J8" s="10">
        <f t="shared" si="2"/>
        <v>0</v>
      </c>
      <c r="K8" s="10"/>
      <c r="L8" s="10">
        <f>'I&amp;E Summary'!P9</f>
        <v>0</v>
      </c>
      <c r="M8" s="10">
        <f>'I&amp;E Summary'!X9</f>
        <v>0</v>
      </c>
      <c r="P8" s="120"/>
      <c r="Q8" s="10">
        <f>'I&amp;E Summary'!AF9</f>
        <v>0</v>
      </c>
      <c r="R8" s="10">
        <f>'I&amp;E Summary'!AG9</f>
        <v>0</v>
      </c>
      <c r="S8"/>
      <c r="T8" s="10">
        <f>'I&amp;E Summary'!AI9</f>
        <v>0</v>
      </c>
      <c r="U8" s="10">
        <f>'I&amp;E Summary'!AJ9</f>
        <v>0</v>
      </c>
      <c r="V8"/>
      <c r="W8" s="10">
        <f>'I&amp;E Summary'!AL9</f>
        <v>0</v>
      </c>
      <c r="X8" s="10">
        <f>'I&amp;E Summary'!AM9</f>
        <v>0</v>
      </c>
      <c r="Y8"/>
      <c r="Z8" s="10">
        <f>'I&amp;E Summary'!AO9</f>
        <v>0</v>
      </c>
      <c r="AA8" s="10">
        <f>'I&amp;E Summary'!AP9</f>
        <v>0</v>
      </c>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row>
    <row r="9" spans="2:62" s="418" customFormat="1" x14ac:dyDescent="0.35">
      <c r="B9" s="422">
        <v>2</v>
      </c>
      <c r="C9" s="418" t="s">
        <v>330</v>
      </c>
      <c r="E9" s="425" t="s">
        <v>2594</v>
      </c>
      <c r="G9" s="10">
        <f t="shared" si="0"/>
        <v>0</v>
      </c>
      <c r="H9" s="10">
        <f t="shared" si="1"/>
        <v>0</v>
      </c>
      <c r="I9" s="10">
        <f t="shared" si="2"/>
        <v>0</v>
      </c>
      <c r="J9" s="10">
        <f t="shared" si="2"/>
        <v>0</v>
      </c>
      <c r="K9" s="10"/>
      <c r="L9" s="10">
        <f>'I&amp;E Summary'!P10</f>
        <v>0</v>
      </c>
      <c r="M9" s="10">
        <f>'I&amp;E Summary'!X10</f>
        <v>0</v>
      </c>
      <c r="P9" s="120"/>
      <c r="Q9" s="10">
        <f>'I&amp;E Summary'!AF10</f>
        <v>0</v>
      </c>
      <c r="R9" s="10">
        <f>'I&amp;E Summary'!AG10</f>
        <v>0</v>
      </c>
      <c r="S9"/>
      <c r="T9" s="10">
        <f>'I&amp;E Summary'!AI10</f>
        <v>0</v>
      </c>
      <c r="U9" s="10">
        <f>'I&amp;E Summary'!AJ10</f>
        <v>0</v>
      </c>
      <c r="V9"/>
      <c r="W9" s="10">
        <f>'I&amp;E Summary'!AL10</f>
        <v>0</v>
      </c>
      <c r="X9" s="10">
        <f>'I&amp;E Summary'!AM10</f>
        <v>0</v>
      </c>
      <c r="Y9"/>
      <c r="Z9" s="10">
        <f>'I&amp;E Summary'!AO10</f>
        <v>0</v>
      </c>
      <c r="AA9" s="10">
        <f>'I&amp;E Summary'!AP10</f>
        <v>0</v>
      </c>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row>
    <row r="10" spans="2:62" s="418" customFormat="1" x14ac:dyDescent="0.35">
      <c r="B10" s="422">
        <v>3</v>
      </c>
      <c r="C10" s="418" t="s">
        <v>2595</v>
      </c>
      <c r="E10" s="425" t="s">
        <v>2596</v>
      </c>
      <c r="G10" s="10">
        <f t="shared" si="0"/>
        <v>0</v>
      </c>
      <c r="H10" s="10">
        <f t="shared" si="1"/>
        <v>0</v>
      </c>
      <c r="I10" s="10">
        <f t="shared" si="2"/>
        <v>0</v>
      </c>
      <c r="J10" s="10">
        <f t="shared" si="2"/>
        <v>0</v>
      </c>
      <c r="K10" s="10"/>
      <c r="L10" s="10">
        <f>'I&amp;E Summary'!P11</f>
        <v>0</v>
      </c>
      <c r="M10" s="10">
        <f>'I&amp;E Summary'!X11</f>
        <v>0</v>
      </c>
      <c r="P10" s="120"/>
      <c r="Q10" s="10">
        <f>'I&amp;E Summary'!AF11</f>
        <v>0</v>
      </c>
      <c r="R10" s="10">
        <f>'I&amp;E Summary'!AG11</f>
        <v>0</v>
      </c>
      <c r="S10"/>
      <c r="T10" s="10">
        <f>'I&amp;E Summary'!AI11</f>
        <v>0</v>
      </c>
      <c r="U10" s="10">
        <f>'I&amp;E Summary'!AJ11</f>
        <v>0</v>
      </c>
      <c r="V10"/>
      <c r="W10" s="10">
        <f>'I&amp;E Summary'!AL11</f>
        <v>0</v>
      </c>
      <c r="X10" s="10">
        <f>'I&amp;E Summary'!AM11</f>
        <v>0</v>
      </c>
      <c r="Y10"/>
      <c r="Z10" s="10">
        <f>'I&amp;E Summary'!AO11</f>
        <v>0</v>
      </c>
      <c r="AA10" s="10">
        <f>'I&amp;E Summary'!AP11</f>
        <v>0</v>
      </c>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row>
    <row r="11" spans="2:62" s="418" customFormat="1" x14ac:dyDescent="0.35">
      <c r="B11" s="422">
        <v>4</v>
      </c>
      <c r="C11" s="418" t="s">
        <v>2597</v>
      </c>
      <c r="E11" s="425" t="s">
        <v>2598</v>
      </c>
      <c r="G11" s="10">
        <f t="shared" si="0"/>
        <v>0</v>
      </c>
      <c r="H11" s="10">
        <f t="shared" si="1"/>
        <v>0</v>
      </c>
      <c r="I11" s="10">
        <f t="shared" si="2"/>
        <v>0</v>
      </c>
      <c r="J11" s="10">
        <f t="shared" si="2"/>
        <v>0</v>
      </c>
      <c r="K11" s="10"/>
      <c r="L11" s="10">
        <f>'I&amp;E Summary'!P12</f>
        <v>0</v>
      </c>
      <c r="M11" s="10">
        <f>'I&amp;E Summary'!X12</f>
        <v>0</v>
      </c>
      <c r="P11" s="120"/>
      <c r="Q11" s="10">
        <f>'I&amp;E Summary'!AF12</f>
        <v>0</v>
      </c>
      <c r="R11" s="10">
        <f>'I&amp;E Summary'!AG12</f>
        <v>0</v>
      </c>
      <c r="S11"/>
      <c r="T11" s="10">
        <f>'I&amp;E Summary'!AI12</f>
        <v>0</v>
      </c>
      <c r="U11" s="10">
        <f>'I&amp;E Summary'!AJ12</f>
        <v>0</v>
      </c>
      <c r="V11"/>
      <c r="W11" s="10">
        <f>'I&amp;E Summary'!AL12</f>
        <v>0</v>
      </c>
      <c r="X11" s="10">
        <f>'I&amp;E Summary'!AM12</f>
        <v>0</v>
      </c>
      <c r="Y11"/>
      <c r="Z11" s="10">
        <f>'I&amp;E Summary'!AO12</f>
        <v>0</v>
      </c>
      <c r="AA11" s="10">
        <f>'I&amp;E Summary'!AP12</f>
        <v>0</v>
      </c>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2:62" s="418" customFormat="1" x14ac:dyDescent="0.35">
      <c r="B12" s="422">
        <v>5</v>
      </c>
      <c r="C12" s="418" t="s">
        <v>350</v>
      </c>
      <c r="E12" s="425" t="s">
        <v>2599</v>
      </c>
      <c r="G12" s="10">
        <f t="shared" si="0"/>
        <v>0</v>
      </c>
      <c r="H12" s="10">
        <f t="shared" si="1"/>
        <v>0</v>
      </c>
      <c r="I12" s="10">
        <f t="shared" si="2"/>
        <v>0</v>
      </c>
      <c r="J12" s="10">
        <f t="shared" si="2"/>
        <v>0</v>
      </c>
      <c r="K12" s="10"/>
      <c r="L12" s="10">
        <f>'I&amp;E Summary'!P13</f>
        <v>0</v>
      </c>
      <c r="M12" s="10">
        <f>'I&amp;E Summary'!X13</f>
        <v>0</v>
      </c>
      <c r="P12" s="120"/>
      <c r="Q12" s="10">
        <f>'I&amp;E Summary'!AF13</f>
        <v>0</v>
      </c>
      <c r="R12" s="10">
        <f>'I&amp;E Summary'!AG13</f>
        <v>0</v>
      </c>
      <c r="S12"/>
      <c r="T12" s="10">
        <f>'I&amp;E Summary'!AI13</f>
        <v>0</v>
      </c>
      <c r="U12" s="10">
        <f>'I&amp;E Summary'!AJ13</f>
        <v>0</v>
      </c>
      <c r="V12"/>
      <c r="W12" s="10">
        <f>'I&amp;E Summary'!AL13</f>
        <v>0</v>
      </c>
      <c r="X12" s="10">
        <f>'I&amp;E Summary'!AM13</f>
        <v>0</v>
      </c>
      <c r="Y12"/>
      <c r="Z12" s="10">
        <f>'I&amp;E Summary'!AO13</f>
        <v>0</v>
      </c>
      <c r="AA12" s="10">
        <f>'I&amp;E Summary'!AP13</f>
        <v>0</v>
      </c>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2:62" s="418" customFormat="1" x14ac:dyDescent="0.35">
      <c r="B13" s="422">
        <v>6</v>
      </c>
      <c r="C13" s="418" t="s">
        <v>388</v>
      </c>
      <c r="E13" s="425" t="s">
        <v>2636</v>
      </c>
      <c r="G13" s="10">
        <f t="shared" si="0"/>
        <v>0</v>
      </c>
      <c r="H13" s="10">
        <f t="shared" si="1"/>
        <v>0</v>
      </c>
      <c r="I13" s="10">
        <f t="shared" si="2"/>
        <v>0</v>
      </c>
      <c r="J13" s="10">
        <f t="shared" si="2"/>
        <v>0</v>
      </c>
      <c r="K13" s="10"/>
      <c r="L13" s="10">
        <f>'I&amp;E Summary'!P14</f>
        <v>0</v>
      </c>
      <c r="M13" s="10">
        <f>'I&amp;E Summary'!X14</f>
        <v>0</v>
      </c>
      <c r="P13" s="120"/>
      <c r="Q13" s="10">
        <f>'I&amp;E Summary'!AF14</f>
        <v>0</v>
      </c>
      <c r="R13" s="10">
        <f>'I&amp;E Summary'!AG14</f>
        <v>0</v>
      </c>
      <c r="S13"/>
      <c r="T13" s="10">
        <f>'I&amp;E Summary'!AI14</f>
        <v>0</v>
      </c>
      <c r="U13" s="10">
        <f>'I&amp;E Summary'!AJ14</f>
        <v>0</v>
      </c>
      <c r="V13"/>
      <c r="W13" s="10">
        <f>'I&amp;E Summary'!AL14</f>
        <v>0</v>
      </c>
      <c r="X13" s="10">
        <f>'I&amp;E Summary'!AM14</f>
        <v>0</v>
      </c>
      <c r="Y13"/>
      <c r="Z13" s="10">
        <f>'I&amp;E Summary'!AO14</f>
        <v>0</v>
      </c>
      <c r="AA13" s="10">
        <f>'I&amp;E Summary'!AP14</f>
        <v>0</v>
      </c>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2:62" s="418" customFormat="1" x14ac:dyDescent="0.35">
      <c r="B14" s="422"/>
      <c r="C14" s="418" t="s">
        <v>778</v>
      </c>
      <c r="E14" s="420"/>
      <c r="G14" s="12">
        <f>SUM(G8:G13)</f>
        <v>0</v>
      </c>
      <c r="H14" s="12">
        <f>SUM(H8:H13)</f>
        <v>0</v>
      </c>
      <c r="I14" s="12">
        <f t="shared" si="2"/>
        <v>0</v>
      </c>
      <c r="J14" s="12">
        <f t="shared" si="2"/>
        <v>0</v>
      </c>
      <c r="K14" s="12">
        <f>SUM(K8:K13)</f>
        <v>0</v>
      </c>
      <c r="L14" s="12">
        <f>SUM(L8:L13)</f>
        <v>0</v>
      </c>
      <c r="M14" s="12">
        <f>SUM(M8:M13)</f>
        <v>0</v>
      </c>
      <c r="P14" s="120"/>
      <c r="Q14" s="12">
        <f>SUM(Q8:Q13)</f>
        <v>0</v>
      </c>
      <c r="R14" s="12">
        <f>SUM(R8:R13)</f>
        <v>0</v>
      </c>
      <c r="S14"/>
      <c r="T14" s="12">
        <f>SUM(T8:T13)</f>
        <v>0</v>
      </c>
      <c r="U14" s="12">
        <f>SUM(U8:U13)</f>
        <v>0</v>
      </c>
      <c r="V14"/>
      <c r="W14" s="12">
        <f>SUM(W8:W13)</f>
        <v>0</v>
      </c>
      <c r="X14" s="12">
        <f>SUM(X8:X13)</f>
        <v>0</v>
      </c>
      <c r="Y14"/>
      <c r="Z14" s="12">
        <f>SUM(Z8:Z13)</f>
        <v>0</v>
      </c>
      <c r="AA14" s="12">
        <f>SUM(AA8:AA13)</f>
        <v>0</v>
      </c>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2:62" s="418" customFormat="1" ht="9" customHeight="1" x14ac:dyDescent="0.35">
      <c r="B15" s="422"/>
      <c r="E15" s="420"/>
      <c r="G15" s="426"/>
      <c r="H15" s="464"/>
      <c r="I15" s="427"/>
      <c r="J15" s="427"/>
      <c r="K15" s="478"/>
      <c r="L15" s="426"/>
      <c r="M15" s="464"/>
      <c r="P15" s="120"/>
      <c r="Q15" s="426"/>
      <c r="R15" s="464"/>
      <c r="S15"/>
      <c r="T15" s="426"/>
      <c r="U15" s="464"/>
      <c r="V15"/>
      <c r="W15" s="426"/>
      <c r="X15" s="464"/>
      <c r="Y15"/>
      <c r="Z15" s="426"/>
      <c r="AA15" s="464"/>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2:62" s="418" customFormat="1" x14ac:dyDescent="0.35">
      <c r="B16" s="422">
        <v>8</v>
      </c>
      <c r="C16" s="418" t="s">
        <v>2613</v>
      </c>
      <c r="E16" s="425" t="s">
        <v>2614</v>
      </c>
      <c r="G16" s="10">
        <f>INDEX(Q16:AA16, 1, MATCH(G$5, $Q$5:$AA$5, 0))</f>
        <v>0</v>
      </c>
      <c r="H16" s="10">
        <f>INDEX(R16:AB16, 1, MATCH(G$5, $Q$5:$AA$5, 0))</f>
        <v>0</v>
      </c>
      <c r="I16" s="10">
        <f t="shared" ref="I16:J18" si="3">+L16-G16</f>
        <v>0</v>
      </c>
      <c r="J16" s="10">
        <f t="shared" si="3"/>
        <v>0</v>
      </c>
      <c r="K16" s="10"/>
      <c r="L16" s="10">
        <f>'I&amp;E Summary'!P33</f>
        <v>0</v>
      </c>
      <c r="M16" s="10">
        <f>'I&amp;E Summary'!X33</f>
        <v>0</v>
      </c>
      <c r="P16" s="120"/>
      <c r="Q16" s="10">
        <f>'I&amp;E Summary'!AF33</f>
        <v>0</v>
      </c>
      <c r="R16" s="10">
        <f>'I&amp;E Summary'!AG33</f>
        <v>0</v>
      </c>
      <c r="S16"/>
      <c r="T16" s="10">
        <f>'I&amp;E Summary'!AI33</f>
        <v>0</v>
      </c>
      <c r="U16" s="10">
        <f>'I&amp;E Summary'!AJ33</f>
        <v>0</v>
      </c>
      <c r="V16"/>
      <c r="W16" s="10">
        <f>'I&amp;E Summary'!AL33</f>
        <v>0</v>
      </c>
      <c r="X16" s="10">
        <f>'I&amp;E Summary'!AM33</f>
        <v>0</v>
      </c>
      <c r="Y16"/>
      <c r="Z16" s="10">
        <f>'I&amp;E Summary'!AO33</f>
        <v>0</v>
      </c>
      <c r="AA16" s="10">
        <f>'I&amp;E Summary'!AP33</f>
        <v>0</v>
      </c>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2:62" s="418" customFormat="1" ht="12" customHeight="1" x14ac:dyDescent="0.35">
      <c r="B17" s="422">
        <v>7</v>
      </c>
      <c r="C17" s="418" t="s">
        <v>2628</v>
      </c>
      <c r="E17" s="425" t="s">
        <v>2616</v>
      </c>
      <c r="G17" s="10">
        <f>INDEX(Q17:AA17, 1, MATCH(G$5, $Q$5:$AA$5, 0))</f>
        <v>0</v>
      </c>
      <c r="H17" s="10">
        <f>INDEX(R17:AB17, 1, MATCH(G$5, $Q$5:$AA$5, 0))</f>
        <v>0</v>
      </c>
      <c r="I17" s="10">
        <f t="shared" si="3"/>
        <v>0</v>
      </c>
      <c r="J17" s="10">
        <f t="shared" si="3"/>
        <v>0</v>
      </c>
      <c r="K17" s="10"/>
      <c r="L17" s="10">
        <f>'I&amp;E Summary'!P34</f>
        <v>0</v>
      </c>
      <c r="M17" s="10">
        <f>'I&amp;E Summary'!X34</f>
        <v>0</v>
      </c>
      <c r="P17" s="120"/>
      <c r="Q17" s="10">
        <f>'I&amp;E Summary'!AF34</f>
        <v>0</v>
      </c>
      <c r="R17" s="10">
        <f>'I&amp;E Summary'!AG34</f>
        <v>0</v>
      </c>
      <c r="S17"/>
      <c r="T17" s="10">
        <f>'I&amp;E Summary'!AI34</f>
        <v>0</v>
      </c>
      <c r="U17" s="10">
        <f>'I&amp;E Summary'!AJ34</f>
        <v>0</v>
      </c>
      <c r="V17"/>
      <c r="W17" s="10">
        <f>'I&amp;E Summary'!AL34</f>
        <v>0</v>
      </c>
      <c r="X17" s="10">
        <f>'I&amp;E Summary'!AM34</f>
        <v>0</v>
      </c>
      <c r="Y17"/>
      <c r="Z17" s="10">
        <f>'I&amp;E Summary'!AO34</f>
        <v>0</v>
      </c>
      <c r="AA17" s="10">
        <f>'I&amp;E Summary'!AP34</f>
        <v>0</v>
      </c>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2:62" s="418" customFormat="1" x14ac:dyDescent="0.35">
      <c r="B18" s="422"/>
      <c r="C18" s="471" t="s">
        <v>778</v>
      </c>
      <c r="D18" s="472"/>
      <c r="E18" s="471"/>
      <c r="F18" s="471"/>
      <c r="G18" s="12">
        <f>SUM(G14:G17)</f>
        <v>0</v>
      </c>
      <c r="H18" s="12">
        <f>SUM(H14:H17)</f>
        <v>0</v>
      </c>
      <c r="I18" s="12">
        <f t="shared" si="3"/>
        <v>0</v>
      </c>
      <c r="J18" s="12">
        <f t="shared" si="3"/>
        <v>0</v>
      </c>
      <c r="K18" s="12">
        <f>K14+K16</f>
        <v>0</v>
      </c>
      <c r="L18" s="12">
        <f>SUM(L14:L17)</f>
        <v>0</v>
      </c>
      <c r="M18" s="12">
        <f>SUM(M14:M17)</f>
        <v>0</v>
      </c>
      <c r="P18" s="120"/>
      <c r="Q18" s="12">
        <f>SUM(Q14:Q17)</f>
        <v>0</v>
      </c>
      <c r="R18" s="12">
        <f>SUM(R14:R17)</f>
        <v>0</v>
      </c>
      <c r="S18"/>
      <c r="T18" s="12">
        <f>SUM(T14:T17)</f>
        <v>0</v>
      </c>
      <c r="U18" s="12">
        <f>SUM(U14:U17)</f>
        <v>0</v>
      </c>
      <c r="V18"/>
      <c r="W18" s="12">
        <f>SUM(W14:W17)</f>
        <v>0</v>
      </c>
      <c r="X18" s="12">
        <f>SUM(X14:X17)</f>
        <v>0</v>
      </c>
      <c r="Y18"/>
      <c r="Z18" s="12">
        <f>SUM(Z14:Z17)</f>
        <v>0</v>
      </c>
      <c r="AA18" s="12">
        <f>SUM(AA14:AA17)</f>
        <v>0</v>
      </c>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2:62" s="418" customFormat="1" ht="9.75" customHeight="1" x14ac:dyDescent="0.35">
      <c r="B19" s="422"/>
      <c r="D19" s="420"/>
      <c r="P19" s="120"/>
      <c r="S19"/>
      <c r="V19"/>
      <c r="Y19"/>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2:62" s="418" customFormat="1" x14ac:dyDescent="0.35">
      <c r="B20" s="422"/>
      <c r="C20" s="479"/>
      <c r="D20" s="477"/>
      <c r="E20" s="479"/>
      <c r="F20" s="479"/>
      <c r="G20" s="477"/>
      <c r="H20" s="477"/>
      <c r="I20" s="477"/>
      <c r="J20" s="477"/>
      <c r="K20" s="477"/>
      <c r="L20" s="477"/>
      <c r="M20" s="477"/>
      <c r="P20" s="120"/>
      <c r="Q20" s="477"/>
      <c r="R20" s="477"/>
      <c r="S20"/>
      <c r="T20" s="477"/>
      <c r="U20" s="477"/>
      <c r="V20"/>
      <c r="W20" s="477"/>
      <c r="X20" s="477"/>
      <c r="Y20"/>
      <c r="Z20" s="477"/>
      <c r="AA20" s="477"/>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2:62" s="418" customFormat="1" x14ac:dyDescent="0.35">
      <c r="B21" s="422">
        <v>9</v>
      </c>
      <c r="C21" s="418" t="s">
        <v>2627</v>
      </c>
      <c r="E21" s="425" t="s">
        <v>2606</v>
      </c>
      <c r="G21" s="10">
        <f>INDEX(Q21:AA21, 1, MATCH(G$5, $Q$5:$AA$5, 0))</f>
        <v>0</v>
      </c>
      <c r="H21" s="10">
        <f>INDEX(R21:AB21, 1, MATCH(G$5, $Q$5:$AA$5, 0))</f>
        <v>0</v>
      </c>
      <c r="I21" s="10">
        <f t="shared" ref="I21:J24" si="4">+L21-G21</f>
        <v>0</v>
      </c>
      <c r="J21" s="10">
        <f t="shared" si="4"/>
        <v>0</v>
      </c>
      <c r="K21" s="10"/>
      <c r="L21" s="10">
        <f>'I&amp;E Summary'!P22</f>
        <v>0</v>
      </c>
      <c r="M21" s="10">
        <f>'I&amp;E Summary'!X22</f>
        <v>0</v>
      </c>
      <c r="P21" s="120"/>
      <c r="Q21" s="10">
        <f>'I&amp;E Summary'!AF22</f>
        <v>0</v>
      </c>
      <c r="R21" s="10">
        <f>'I&amp;E Summary'!AG22</f>
        <v>0</v>
      </c>
      <c r="S21"/>
      <c r="T21" s="10">
        <f>'I&amp;E Summary'!AI22</f>
        <v>0</v>
      </c>
      <c r="U21" s="10">
        <f>'I&amp;E Summary'!AJ22</f>
        <v>0</v>
      </c>
      <c r="V21"/>
      <c r="W21" s="10">
        <f>'I&amp;E Summary'!AL22</f>
        <v>0</v>
      </c>
      <c r="X21" s="10">
        <f>'I&amp;E Summary'!AM22</f>
        <v>0</v>
      </c>
      <c r="Y21"/>
      <c r="Z21" s="10">
        <f>'I&amp;E Summary'!AO22</f>
        <v>0</v>
      </c>
      <c r="AA21" s="10">
        <f>'I&amp;E Summary'!AP22</f>
        <v>0</v>
      </c>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2:62" s="418" customFormat="1" x14ac:dyDescent="0.35">
      <c r="B22" s="422">
        <v>10</v>
      </c>
      <c r="C22" s="418" t="s">
        <v>2637</v>
      </c>
      <c r="E22" s="425" t="s">
        <v>2607</v>
      </c>
      <c r="G22" s="10">
        <f>INDEX(Q22:AA22, 1, MATCH(G$5, $Q$5:$AA$5, 0))</f>
        <v>0</v>
      </c>
      <c r="H22" s="10">
        <f>INDEX(R22:AB22, 1, MATCH(G$5, $Q$5:$AA$5, 0))</f>
        <v>0</v>
      </c>
      <c r="I22" s="10">
        <f t="shared" si="4"/>
        <v>0</v>
      </c>
      <c r="J22" s="10">
        <f t="shared" si="4"/>
        <v>0</v>
      </c>
      <c r="K22" s="10"/>
      <c r="L22" s="10">
        <f>'I&amp;E Summary'!P23</f>
        <v>0</v>
      </c>
      <c r="M22" s="10">
        <f>'I&amp;E Summary'!X23</f>
        <v>0</v>
      </c>
      <c r="P22" s="120"/>
      <c r="Q22" s="10">
        <f>'I&amp;E Summary'!AF23</f>
        <v>0</v>
      </c>
      <c r="R22" s="10">
        <f>'I&amp;E Summary'!AG23</f>
        <v>0</v>
      </c>
      <c r="S22"/>
      <c r="T22" s="10">
        <f>'I&amp;E Summary'!AI23</f>
        <v>0</v>
      </c>
      <c r="U22" s="10">
        <f>'I&amp;E Summary'!AJ23</f>
        <v>0</v>
      </c>
      <c r="V22"/>
      <c r="W22" s="10">
        <f>'I&amp;E Summary'!AL23</f>
        <v>0</v>
      </c>
      <c r="X22" s="10">
        <f>'I&amp;E Summary'!AM23</f>
        <v>0</v>
      </c>
      <c r="Y22"/>
      <c r="Z22" s="10">
        <f>'I&amp;E Summary'!AO23</f>
        <v>0</v>
      </c>
      <c r="AA22" s="10">
        <f>'I&amp;E Summary'!AP23</f>
        <v>0</v>
      </c>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2:62" s="418" customFormat="1" x14ac:dyDescent="0.35">
      <c r="B23" s="422">
        <v>11</v>
      </c>
      <c r="C23" s="418" t="s">
        <v>2608</v>
      </c>
      <c r="E23" s="425" t="s">
        <v>2609</v>
      </c>
      <c r="G23" s="10">
        <f>INDEX(Q23:AA23, 1, MATCH(G$5, $Q$5:$AA$5, 0))</f>
        <v>0</v>
      </c>
      <c r="H23" s="10">
        <f>INDEX(R23:AB23, 1, MATCH(G$5, $Q$5:$AA$5, 0))</f>
        <v>0</v>
      </c>
      <c r="I23" s="10">
        <f t="shared" si="4"/>
        <v>0</v>
      </c>
      <c r="J23" s="10">
        <f t="shared" si="4"/>
        <v>0</v>
      </c>
      <c r="K23" s="10"/>
      <c r="L23" s="10">
        <f>'I&amp;E Summary'!P24</f>
        <v>0</v>
      </c>
      <c r="M23" s="10">
        <f>'I&amp;E Summary'!X24</f>
        <v>0</v>
      </c>
      <c r="P23" s="120"/>
      <c r="Q23" s="10">
        <f>'I&amp;E Summary'!AF24</f>
        <v>0</v>
      </c>
      <c r="R23" s="10">
        <f>'I&amp;E Summary'!AG24</f>
        <v>0</v>
      </c>
      <c r="S23"/>
      <c r="T23" s="10">
        <f>'I&amp;E Summary'!AI24</f>
        <v>0</v>
      </c>
      <c r="U23" s="10">
        <f>'I&amp;E Summary'!AJ24</f>
        <v>0</v>
      </c>
      <c r="V23"/>
      <c r="W23" s="10">
        <f>'I&amp;E Summary'!AL24</f>
        <v>0</v>
      </c>
      <c r="X23" s="10">
        <f>'I&amp;E Summary'!AM24</f>
        <v>0</v>
      </c>
      <c r="Y23"/>
      <c r="Z23" s="10">
        <f>'I&amp;E Summary'!AO24</f>
        <v>0</v>
      </c>
      <c r="AA23" s="10">
        <f>'I&amp;E Summary'!AP24</f>
        <v>0</v>
      </c>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2:62" s="418" customFormat="1" x14ac:dyDescent="0.35">
      <c r="B24" s="422"/>
      <c r="C24" s="471" t="s">
        <v>778</v>
      </c>
      <c r="D24" s="472"/>
      <c r="E24" s="471"/>
      <c r="F24" s="471"/>
      <c r="G24" s="12">
        <f>SUM(G21:G23)</f>
        <v>0</v>
      </c>
      <c r="H24" s="12">
        <f>SUM(H21:H23)</f>
        <v>0</v>
      </c>
      <c r="I24" s="12">
        <f t="shared" si="4"/>
        <v>0</v>
      </c>
      <c r="J24" s="12">
        <f t="shared" si="4"/>
        <v>0</v>
      </c>
      <c r="K24" s="12">
        <f>SUM(K21:K23)</f>
        <v>0</v>
      </c>
      <c r="L24" s="12">
        <f>SUM(L21:L23)</f>
        <v>0</v>
      </c>
      <c r="M24" s="12">
        <f>SUM(M21:M23)</f>
        <v>0</v>
      </c>
      <c r="P24" s="120"/>
      <c r="Q24" s="12">
        <f>SUM(Q21:Q23)</f>
        <v>0</v>
      </c>
      <c r="R24" s="12">
        <f>SUM(R21:R23)</f>
        <v>0</v>
      </c>
      <c r="S24"/>
      <c r="T24" s="12">
        <f>SUM(T21:T23)</f>
        <v>0</v>
      </c>
      <c r="U24" s="12">
        <f>SUM(U21:U23)</f>
        <v>0</v>
      </c>
      <c r="V24"/>
      <c r="W24" s="12">
        <f>SUM(W21:W23)</f>
        <v>0</v>
      </c>
      <c r="X24" s="12">
        <f>SUM(X21:X23)</f>
        <v>0</v>
      </c>
      <c r="Y24"/>
      <c r="Z24" s="12">
        <f>SUM(Z21:Z23)</f>
        <v>0</v>
      </c>
      <c r="AA24" s="12">
        <f>SUM(AA21:AA23)</f>
        <v>0</v>
      </c>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2:62" s="418" customFormat="1" x14ac:dyDescent="0.35">
      <c r="B25" s="422"/>
      <c r="C25" s="471"/>
      <c r="D25" s="472"/>
      <c r="E25" s="471"/>
      <c r="F25" s="471"/>
      <c r="G25" s="473"/>
      <c r="H25" s="473"/>
      <c r="I25" s="473"/>
      <c r="J25" s="473"/>
      <c r="K25" s="465"/>
      <c r="L25" s="473"/>
      <c r="M25" s="473"/>
      <c r="P25" s="120"/>
      <c r="Q25" s="465"/>
      <c r="R25" s="465"/>
      <c r="S25"/>
      <c r="T25" s="465"/>
      <c r="U25" s="465"/>
      <c r="V25"/>
      <c r="W25" s="465"/>
      <c r="X25" s="465"/>
      <c r="Y25"/>
      <c r="Z25" s="465"/>
      <c r="AA25" s="465"/>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2:62" s="418" customFormat="1" x14ac:dyDescent="0.35">
      <c r="B26" s="480">
        <v>12</v>
      </c>
      <c r="C26" s="481" t="s">
        <v>2638</v>
      </c>
      <c r="E26" s="705" t="s">
        <v>2602</v>
      </c>
      <c r="F26" s="706"/>
      <c r="G26" s="10">
        <f>INDEX(Q26:AA26, 1, MATCH(G$5, $Q$5:$AA$5, 0))</f>
        <v>0</v>
      </c>
      <c r="H26" s="10">
        <f>INDEX(R26:AB26, 1, MATCH(G$5, $Q$5:$AA$5, 0))</f>
        <v>0</v>
      </c>
      <c r="I26" s="10">
        <f>+L26-G26</f>
        <v>0</v>
      </c>
      <c r="J26" s="10">
        <f>+M26-H26</f>
        <v>0</v>
      </c>
      <c r="K26" s="10"/>
      <c r="L26" s="10">
        <f>'I&amp;E Summary'!P17</f>
        <v>0</v>
      </c>
      <c r="M26" s="10">
        <f>'I&amp;E Summary'!X17</f>
        <v>0</v>
      </c>
      <c r="P26" s="120"/>
      <c r="Q26" s="10">
        <f>'I&amp;E Summary'!AF17</f>
        <v>0</v>
      </c>
      <c r="R26" s="10">
        <f>'I&amp;E Summary'!AG17</f>
        <v>0</v>
      </c>
      <c r="S26"/>
      <c r="T26" s="10">
        <f>'I&amp;E Summary'!AI17</f>
        <v>0</v>
      </c>
      <c r="U26" s="10">
        <f>'I&amp;E Summary'!AJ17</f>
        <v>0</v>
      </c>
      <c r="V26"/>
      <c r="W26" s="10">
        <f>'I&amp;E Summary'!AL17</f>
        <v>0</v>
      </c>
      <c r="X26" s="10">
        <f>'I&amp;E Summary'!AM17</f>
        <v>0</v>
      </c>
      <c r="Y26"/>
      <c r="Z26" s="10">
        <f>'I&amp;E Summary'!AO17</f>
        <v>0</v>
      </c>
      <c r="AA26" s="10">
        <f>'I&amp;E Summary'!AP17</f>
        <v>0</v>
      </c>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2:62" s="418" customFormat="1" x14ac:dyDescent="0.35">
      <c r="B27" s="480">
        <v>13</v>
      </c>
      <c r="C27" s="481" t="s">
        <v>2639</v>
      </c>
      <c r="D27" s="482"/>
      <c r="E27" s="483" t="s">
        <v>2611</v>
      </c>
      <c r="F27" s="481"/>
      <c r="G27" s="10">
        <f>INDEX(Q27:AA27, 1, MATCH(G$5, $Q$5:$AA$5, 0))</f>
        <v>0</v>
      </c>
      <c r="H27" s="10">
        <f>INDEX(R27:AB27, 1, MATCH(G$5, $Q$5:$AA$5, 0))</f>
        <v>0</v>
      </c>
      <c r="I27" s="10">
        <f>+L27-G27</f>
        <v>0</v>
      </c>
      <c r="J27" s="10">
        <f>+M27-H27</f>
        <v>0</v>
      </c>
      <c r="K27" s="10"/>
      <c r="L27" s="10">
        <f>'I&amp;E Summary'!P27</f>
        <v>0</v>
      </c>
      <c r="M27" s="10">
        <f>'I&amp;E Summary'!X27</f>
        <v>0</v>
      </c>
      <c r="P27" s="120"/>
      <c r="Q27" s="10">
        <f>'I&amp;E Summary'!AF27</f>
        <v>0</v>
      </c>
      <c r="R27" s="10">
        <f>'I&amp;E Summary'!AG27</f>
        <v>0</v>
      </c>
      <c r="S27"/>
      <c r="T27" s="10">
        <f>'I&amp;E Summary'!AI27</f>
        <v>0</v>
      </c>
      <c r="U27" s="10">
        <f>'I&amp;E Summary'!AJ27</f>
        <v>0</v>
      </c>
      <c r="V27"/>
      <c r="W27" s="10">
        <f>'I&amp;E Summary'!AL27</f>
        <v>0</v>
      </c>
      <c r="X27" s="10">
        <f>'I&amp;E Summary'!AM27</f>
        <v>0</v>
      </c>
      <c r="Y27"/>
      <c r="Z27" s="10">
        <f>'I&amp;E Summary'!AO27</f>
        <v>0</v>
      </c>
      <c r="AA27" s="10">
        <f>'I&amp;E Summary'!AP27</f>
        <v>0</v>
      </c>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2:62" s="418" customFormat="1" x14ac:dyDescent="0.35">
      <c r="B28" s="422"/>
      <c r="C28" s="471"/>
      <c r="D28" s="472"/>
      <c r="E28" s="471"/>
      <c r="F28" s="471"/>
      <c r="G28" s="473"/>
      <c r="H28" s="473"/>
      <c r="I28" s="473"/>
      <c r="J28" s="473"/>
      <c r="K28" s="465"/>
      <c r="L28" s="473"/>
      <c r="M28" s="473"/>
      <c r="P28" s="120"/>
      <c r="Q28" s="465"/>
      <c r="R28" s="465"/>
      <c r="S28"/>
      <c r="T28" s="465"/>
      <c r="U28" s="465"/>
      <c r="V28"/>
      <c r="W28" s="465"/>
      <c r="X28" s="465"/>
      <c r="Y28"/>
      <c r="Z28" s="465"/>
      <c r="AA28" s="465"/>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2:62" s="418" customFormat="1" x14ac:dyDescent="0.35">
      <c r="B29" s="422"/>
      <c r="C29" s="423" t="s">
        <v>778</v>
      </c>
      <c r="D29" s="420"/>
      <c r="G29" s="12">
        <f>+G18+G24</f>
        <v>0</v>
      </c>
      <c r="H29" s="12">
        <f>+H18+H24</f>
        <v>0</v>
      </c>
      <c r="I29" s="12">
        <f>+L29-G29</f>
        <v>0</v>
      </c>
      <c r="J29" s="12">
        <f>+M29-H29</f>
        <v>0</v>
      </c>
      <c r="K29" s="12">
        <f>+K18+K24</f>
        <v>0</v>
      </c>
      <c r="L29" s="12">
        <f>+L18+L24</f>
        <v>0</v>
      </c>
      <c r="M29" s="12">
        <f>+M18+M24</f>
        <v>0</v>
      </c>
      <c r="P29" s="120"/>
      <c r="Q29" s="12">
        <f>+Q18+Q24</f>
        <v>0</v>
      </c>
      <c r="R29" s="12">
        <f>+R18+R24</f>
        <v>0</v>
      </c>
      <c r="S29"/>
      <c r="T29" s="12">
        <f>+T18+T24</f>
        <v>0</v>
      </c>
      <c r="U29" s="12">
        <f>+U18+U24</f>
        <v>0</v>
      </c>
      <c r="V29"/>
      <c r="W29" s="12">
        <f>+W18+W24</f>
        <v>0</v>
      </c>
      <c r="X29" s="12">
        <f>+X18+X24</f>
        <v>0</v>
      </c>
      <c r="Y29"/>
      <c r="Z29" s="12">
        <f>+Z18+Z24</f>
        <v>0</v>
      </c>
      <c r="AA29" s="12">
        <f>+AA18+AA24</f>
        <v>0</v>
      </c>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2:62" s="418" customFormat="1" x14ac:dyDescent="0.35">
      <c r="B30" s="422"/>
      <c r="C30" s="471"/>
      <c r="D30" s="472"/>
      <c r="E30" s="471"/>
      <c r="F30" s="471"/>
      <c r="G30" s="473"/>
      <c r="H30" s="473"/>
      <c r="I30" s="473"/>
      <c r="J30" s="473"/>
      <c r="K30" s="465"/>
      <c r="L30" s="473"/>
      <c r="M30" s="473"/>
      <c r="P30" s="120"/>
      <c r="Q30" s="465"/>
      <c r="R30" s="465"/>
      <c r="S30"/>
      <c r="T30" s="465"/>
      <c r="U30" s="465"/>
      <c r="V30"/>
      <c r="W30" s="465"/>
      <c r="X30" s="465"/>
      <c r="Y30"/>
      <c r="Z30" s="465"/>
      <c r="AA30" s="465"/>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2:62" s="418" customFormat="1" x14ac:dyDescent="0.35">
      <c r="B31" s="422"/>
      <c r="C31" s="514" t="s">
        <v>2640</v>
      </c>
      <c r="D31" s="472"/>
      <c r="E31" s="471"/>
      <c r="F31" s="471"/>
      <c r="G31" s="473"/>
      <c r="H31" s="473"/>
      <c r="I31" s="473"/>
      <c r="J31" s="473"/>
      <c r="K31" s="465"/>
      <c r="L31" s="310">
        <f>'I&amp;E Summary'!P36-'I&amp;E variances'!L29</f>
        <v>0</v>
      </c>
      <c r="M31" s="310">
        <f>'I&amp;E Summary'!X36-'I&amp;E variances'!M29</f>
        <v>0</v>
      </c>
      <c r="N31"/>
      <c r="O31"/>
      <c r="P31"/>
      <c r="Q31" s="310">
        <f>'I&amp;E Summary'!AF36-'I&amp;E variances'!Q29</f>
        <v>0</v>
      </c>
      <c r="R31" s="310">
        <f>'I&amp;E Summary'!AG36-'I&amp;E variances'!R29</f>
        <v>0</v>
      </c>
      <c r="S31"/>
      <c r="T31" s="310">
        <f>'I&amp;E Summary'!AI36-'I&amp;E variances'!T29</f>
        <v>0</v>
      </c>
      <c r="U31" s="310">
        <f>'I&amp;E Summary'!AJ36-'I&amp;E variances'!U29</f>
        <v>0</v>
      </c>
      <c r="V31"/>
      <c r="W31" s="310">
        <f>'I&amp;E Summary'!AL36-'I&amp;E variances'!W29</f>
        <v>0</v>
      </c>
      <c r="X31" s="310">
        <f>'I&amp;E Summary'!AM36-'I&amp;E variances'!X29</f>
        <v>0</v>
      </c>
      <c r="Y31"/>
      <c r="Z31" s="310">
        <f>'I&amp;E Summary'!AO36-Z29</f>
        <v>0</v>
      </c>
      <c r="AA31" s="310">
        <f>'I&amp;E Summary'!AP36-AA29</f>
        <v>0</v>
      </c>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2:62" s="418" customFormat="1" x14ac:dyDescent="0.35">
      <c r="B32" s="422"/>
      <c r="C32" s="471"/>
      <c r="D32" s="472"/>
      <c r="E32" s="471"/>
      <c r="F32" s="471"/>
      <c r="G32" s="473"/>
      <c r="H32" s="473"/>
      <c r="I32" s="473"/>
      <c r="J32" s="473"/>
      <c r="K32" s="465"/>
      <c r="L32" s="473"/>
      <c r="M32" s="473"/>
      <c r="P32" s="120"/>
      <c r="Q32" s="465"/>
      <c r="R32" s="465"/>
      <c r="S32"/>
      <c r="T32" s="465"/>
      <c r="U32" s="465"/>
      <c r="V32"/>
      <c r="W32" s="465"/>
      <c r="X32" s="465"/>
      <c r="Y32"/>
      <c r="Z32" s="465"/>
      <c r="AA32" s="465"/>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2:62" s="418" customFormat="1" x14ac:dyDescent="0.35">
      <c r="B33" s="422">
        <v>14</v>
      </c>
      <c r="C33" s="418" t="s">
        <v>899</v>
      </c>
      <c r="D33" s="484"/>
      <c r="E33" s="485" t="s">
        <v>2618</v>
      </c>
      <c r="G33" s="10">
        <f>INDEX(Q33:AA33, 1, MATCH(G$5, $Q$5:$AA$5, 0))</f>
        <v>0</v>
      </c>
      <c r="H33" s="10">
        <f>INDEX(R33:AB33, 1, MATCH(G$5, $Q$5:$AA$5, 0))</f>
        <v>0</v>
      </c>
      <c r="I33" s="10">
        <f>+L33-G33</f>
        <v>0</v>
      </c>
      <c r="J33" s="10">
        <f>+M33-H33</f>
        <v>0</v>
      </c>
      <c r="K33" s="10"/>
      <c r="L33" s="10">
        <f>'I&amp;E Summary'!P41</f>
        <v>0</v>
      </c>
      <c r="M33" s="10">
        <f>'I&amp;E Summary'!X41</f>
        <v>0</v>
      </c>
      <c r="P33" s="120"/>
      <c r="Q33" s="10">
        <f>'I&amp;E Summary'!AF41</f>
        <v>0</v>
      </c>
      <c r="R33" s="10">
        <f>'I&amp;E Summary'!AG41</f>
        <v>0</v>
      </c>
      <c r="S33"/>
      <c r="T33" s="10">
        <f>'I&amp;E Summary'!AI41</f>
        <v>0</v>
      </c>
      <c r="U33" s="10">
        <f>'I&amp;E Summary'!AJ41</f>
        <v>0</v>
      </c>
      <c r="V33"/>
      <c r="W33" s="10">
        <f>'I&amp;E Summary'!AL41</f>
        <v>0</v>
      </c>
      <c r="X33" s="10">
        <f>'I&amp;E Summary'!AM41</f>
        <v>0</v>
      </c>
      <c r="Y33"/>
      <c r="Z33" s="10">
        <f>'I&amp;E Summary'!AO41</f>
        <v>0</v>
      </c>
      <c r="AA33" s="10">
        <f>'I&amp;E Summary'!AP41</f>
        <v>0</v>
      </c>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2:62" s="418" customFormat="1" x14ac:dyDescent="0.35">
      <c r="B34" s="422">
        <v>15</v>
      </c>
      <c r="C34" s="418" t="s">
        <v>2619</v>
      </c>
      <c r="D34" s="484"/>
      <c r="E34" s="485" t="s">
        <v>2641</v>
      </c>
      <c r="G34" s="10">
        <f>INDEX(Q34:AA34, 1, MATCH(G$5, $Q$5:$AA$5, 0))</f>
        <v>0</v>
      </c>
      <c r="H34" s="10">
        <f>INDEX(R34:AB34, 1, MATCH(G$5, $Q$5:$AA$5, 0))</f>
        <v>0</v>
      </c>
      <c r="I34" s="10">
        <f>+L34-G34</f>
        <v>0</v>
      </c>
      <c r="J34" s="10">
        <f>+M34-H34</f>
        <v>0</v>
      </c>
      <c r="K34" s="10"/>
      <c r="L34" s="10">
        <f>'I&amp;E Summary'!P42</f>
        <v>0</v>
      </c>
      <c r="M34" s="10">
        <f>'I&amp;E Summary'!X42</f>
        <v>0</v>
      </c>
      <c r="P34" s="120"/>
      <c r="Q34" s="10">
        <f>'I&amp;E Summary'!AF42</f>
        <v>0</v>
      </c>
      <c r="R34" s="10">
        <f>'I&amp;E Summary'!AG42</f>
        <v>0</v>
      </c>
      <c r="S34"/>
      <c r="T34" s="10">
        <f>'I&amp;E Summary'!AI42</f>
        <v>0</v>
      </c>
      <c r="U34" s="10">
        <f>'I&amp;E Summary'!AJ42</f>
        <v>0</v>
      </c>
      <c r="V34"/>
      <c r="W34" s="10">
        <f>'I&amp;E Summary'!AL42</f>
        <v>0</v>
      </c>
      <c r="X34" s="10">
        <f>'I&amp;E Summary'!AM42</f>
        <v>0</v>
      </c>
      <c r="Y34"/>
      <c r="Z34" s="10">
        <f>'I&amp;E Summary'!AO42</f>
        <v>0</v>
      </c>
      <c r="AA34" s="10">
        <f>'I&amp;E Summary'!AP42</f>
        <v>0</v>
      </c>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2:62" s="418" customFormat="1" x14ac:dyDescent="0.35">
      <c r="B35" s="422"/>
      <c r="C35" s="471"/>
      <c r="D35" s="472"/>
      <c r="E35" s="471"/>
      <c r="F35" s="471"/>
      <c r="G35" s="473"/>
      <c r="H35" s="473"/>
      <c r="I35" s="473"/>
      <c r="J35" s="473"/>
      <c r="K35" s="465"/>
      <c r="L35" s="473"/>
      <c r="M35" s="473"/>
      <c r="P35" s="120"/>
      <c r="Q35" s="465"/>
      <c r="R35" s="465"/>
      <c r="S35"/>
      <c r="T35" s="465"/>
      <c r="U35" s="465"/>
      <c r="V35"/>
      <c r="W35" s="465"/>
      <c r="X35" s="465"/>
      <c r="Y35"/>
      <c r="Z35" s="465"/>
      <c r="AA35" s="465"/>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2:62" s="418" customFormat="1" ht="9" customHeight="1" x14ac:dyDescent="0.35">
      <c r="B36" s="422"/>
      <c r="D36" s="420"/>
      <c r="P36" s="120"/>
      <c r="S36"/>
      <c r="V36"/>
      <c r="Y36"/>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2:62" x14ac:dyDescent="0.35">
      <c r="B37" s="428" t="s">
        <v>2633</v>
      </c>
      <c r="C37" s="428" t="s">
        <v>1909</v>
      </c>
      <c r="D37" s="424" t="s">
        <v>2557</v>
      </c>
      <c r="E37" s="708" t="s">
        <v>2642</v>
      </c>
      <c r="F37" s="708"/>
      <c r="G37" s="708"/>
      <c r="H37" s="708"/>
      <c r="I37" s="708"/>
      <c r="J37" s="708"/>
      <c r="K37" s="708"/>
      <c r="L37" s="708"/>
      <c r="M37" s="708"/>
      <c r="N37" s="708"/>
      <c r="O37" s="708"/>
    </row>
    <row r="38" spans="2:62" ht="15" customHeight="1" x14ac:dyDescent="0.35">
      <c r="B38" s="700">
        <v>1</v>
      </c>
      <c r="C38" s="429" t="str">
        <f>Timeline!$W$3</f>
        <v>FY2026</v>
      </c>
      <c r="D38" s="454">
        <f>+I8</f>
        <v>0</v>
      </c>
      <c r="E38" s="709"/>
      <c r="F38" s="710"/>
      <c r="G38" s="710"/>
      <c r="H38" s="710"/>
      <c r="I38" s="710"/>
      <c r="J38" s="710"/>
      <c r="K38" s="710"/>
      <c r="L38" s="710"/>
      <c r="M38" s="710"/>
      <c r="N38" s="710"/>
      <c r="O38" s="710"/>
      <c r="Q38" s="430"/>
    </row>
    <row r="39" spans="2:62" x14ac:dyDescent="0.35">
      <c r="B39" s="701"/>
      <c r="C39" s="429" t="str">
        <f>Timeline!$X$3</f>
        <v>FY2027</v>
      </c>
      <c r="D39" s="455">
        <f>+J8</f>
        <v>0</v>
      </c>
      <c r="E39" s="699"/>
      <c r="F39" s="699"/>
      <c r="G39" s="699"/>
      <c r="H39" s="699"/>
      <c r="I39" s="699"/>
      <c r="J39" s="699"/>
      <c r="K39" s="699"/>
      <c r="L39" s="699"/>
      <c r="M39" s="699"/>
      <c r="N39" s="699"/>
      <c r="O39" s="699"/>
      <c r="Q39" s="430"/>
      <c r="R39" s="418"/>
      <c r="T39" s="418"/>
      <c r="U39" s="418"/>
      <c r="W39" s="418"/>
      <c r="X39" s="418"/>
    </row>
    <row r="40" spans="2:62" ht="15" customHeight="1" x14ac:dyDescent="0.35">
      <c r="B40" s="700">
        <v>2</v>
      </c>
      <c r="C40" s="429" t="str">
        <f>Timeline!$W$3</f>
        <v>FY2026</v>
      </c>
      <c r="D40" s="453">
        <f>+I9</f>
        <v>0</v>
      </c>
      <c r="E40" s="698"/>
      <c r="F40" s="698"/>
      <c r="G40" s="698"/>
      <c r="H40" s="698"/>
      <c r="I40" s="698"/>
      <c r="J40" s="698"/>
      <c r="K40" s="698"/>
      <c r="L40" s="698"/>
      <c r="M40" s="698"/>
      <c r="N40" s="698"/>
      <c r="O40" s="698"/>
      <c r="Q40" s="431"/>
      <c r="R40" s="418"/>
      <c r="T40" s="418"/>
      <c r="U40" s="418"/>
      <c r="W40" s="418"/>
      <c r="X40" s="418"/>
    </row>
    <row r="41" spans="2:62" ht="15" customHeight="1" x14ac:dyDescent="0.35">
      <c r="B41" s="701"/>
      <c r="C41" s="429" t="str">
        <f>Timeline!$X$3</f>
        <v>FY2027</v>
      </c>
      <c r="D41" s="455">
        <f>+J9</f>
        <v>0</v>
      </c>
      <c r="E41" s="699"/>
      <c r="F41" s="699"/>
      <c r="G41" s="699"/>
      <c r="H41" s="699"/>
      <c r="I41" s="699"/>
      <c r="J41" s="699"/>
      <c r="K41" s="699"/>
      <c r="L41" s="699"/>
      <c r="M41" s="699"/>
      <c r="N41" s="699"/>
      <c r="O41" s="699"/>
      <c r="R41" s="418"/>
      <c r="T41" s="418"/>
      <c r="U41" s="418"/>
      <c r="W41" s="418"/>
      <c r="X41" s="418"/>
    </row>
    <row r="42" spans="2:62" ht="15" customHeight="1" x14ac:dyDescent="0.35">
      <c r="B42" s="700">
        <v>3</v>
      </c>
      <c r="C42" s="429" t="str">
        <f>Timeline!$W$3</f>
        <v>FY2026</v>
      </c>
      <c r="D42" s="453">
        <f>+I10</f>
        <v>0</v>
      </c>
      <c r="E42" s="698"/>
      <c r="F42" s="698"/>
      <c r="G42" s="698"/>
      <c r="H42" s="698"/>
      <c r="I42" s="698"/>
      <c r="J42" s="698"/>
      <c r="K42" s="698"/>
      <c r="L42" s="698"/>
      <c r="M42" s="698"/>
      <c r="N42" s="698"/>
      <c r="O42" s="698"/>
      <c r="R42" s="418"/>
      <c r="T42" s="418"/>
      <c r="U42" s="418"/>
      <c r="W42" s="418"/>
      <c r="X42" s="418"/>
    </row>
    <row r="43" spans="2:62" ht="15" customHeight="1" x14ac:dyDescent="0.35">
      <c r="B43" s="701"/>
      <c r="C43" s="429" t="str">
        <f>Timeline!$X$3</f>
        <v>FY2027</v>
      </c>
      <c r="D43" s="455">
        <f>+J10</f>
        <v>0</v>
      </c>
      <c r="E43" s="699"/>
      <c r="F43" s="699"/>
      <c r="G43" s="699"/>
      <c r="H43" s="699"/>
      <c r="I43" s="699"/>
      <c r="J43" s="699"/>
      <c r="K43" s="699"/>
      <c r="L43" s="699"/>
      <c r="M43" s="699"/>
      <c r="N43" s="699"/>
      <c r="O43" s="699"/>
      <c r="R43" s="418"/>
      <c r="T43" s="418"/>
      <c r="U43" s="418"/>
      <c r="W43" s="418"/>
      <c r="X43" s="418"/>
    </row>
    <row r="44" spans="2:62" x14ac:dyDescent="0.35">
      <c r="B44" s="700">
        <v>4</v>
      </c>
      <c r="C44" s="429" t="str">
        <f>Timeline!$W$3</f>
        <v>FY2026</v>
      </c>
      <c r="D44" s="453">
        <f>+I11</f>
        <v>0</v>
      </c>
      <c r="E44" s="698"/>
      <c r="F44" s="698"/>
      <c r="G44" s="698"/>
      <c r="H44" s="698"/>
      <c r="I44" s="698"/>
      <c r="J44" s="698"/>
      <c r="K44" s="698"/>
      <c r="L44" s="698"/>
      <c r="M44" s="698"/>
      <c r="N44" s="698"/>
      <c r="O44" s="698"/>
      <c r="R44" s="418"/>
      <c r="T44" s="418"/>
      <c r="U44" s="418"/>
      <c r="W44" s="418"/>
      <c r="X44" s="418"/>
    </row>
    <row r="45" spans="2:62" x14ac:dyDescent="0.35">
      <c r="B45" s="701"/>
      <c r="C45" s="429" t="str">
        <f>Timeline!$X$3</f>
        <v>FY2027</v>
      </c>
      <c r="D45" s="455">
        <f>+J11</f>
        <v>0</v>
      </c>
      <c r="E45" s="699"/>
      <c r="F45" s="699"/>
      <c r="G45" s="699"/>
      <c r="H45" s="699"/>
      <c r="I45" s="699"/>
      <c r="J45" s="699"/>
      <c r="K45" s="699"/>
      <c r="L45" s="699"/>
      <c r="M45" s="699"/>
      <c r="N45" s="699"/>
      <c r="O45" s="699"/>
      <c r="R45" s="418"/>
      <c r="T45" s="418"/>
      <c r="U45" s="418"/>
      <c r="W45" s="418"/>
      <c r="X45" s="418"/>
    </row>
    <row r="46" spans="2:62" s="418" customFormat="1" ht="15" customHeight="1" x14ac:dyDescent="0.35">
      <c r="B46" s="700">
        <v>5</v>
      </c>
      <c r="C46" s="429" t="str">
        <f>Timeline!$W$3</f>
        <v>FY2026</v>
      </c>
      <c r="D46" s="453">
        <f>+I12</f>
        <v>0</v>
      </c>
      <c r="E46" s="698"/>
      <c r="F46" s="698"/>
      <c r="G46" s="698"/>
      <c r="H46" s="698"/>
      <c r="I46" s="698"/>
      <c r="J46" s="698"/>
      <c r="K46" s="698"/>
      <c r="L46" s="698"/>
      <c r="M46" s="698"/>
      <c r="N46" s="698"/>
      <c r="O46" s="698"/>
      <c r="P46" s="120"/>
      <c r="Q46" s="120"/>
      <c r="S46"/>
      <c r="V46"/>
      <c r="Y46"/>
    </row>
    <row r="47" spans="2:62" s="418" customFormat="1" ht="15" customHeight="1" x14ac:dyDescent="0.35">
      <c r="B47" s="701"/>
      <c r="C47" s="429" t="str">
        <f>Timeline!$X$3</f>
        <v>FY2027</v>
      </c>
      <c r="D47" s="455">
        <f>+J12</f>
        <v>0</v>
      </c>
      <c r="E47" s="699"/>
      <c r="F47" s="699"/>
      <c r="G47" s="699"/>
      <c r="H47" s="699"/>
      <c r="I47" s="699"/>
      <c r="J47" s="699"/>
      <c r="K47" s="699"/>
      <c r="L47" s="699"/>
      <c r="M47" s="699"/>
      <c r="N47" s="699"/>
      <c r="O47" s="699"/>
      <c r="P47" s="120"/>
      <c r="Q47" s="120"/>
      <c r="S47"/>
      <c r="V47"/>
      <c r="Y47"/>
    </row>
    <row r="48" spans="2:62" s="418" customFormat="1" ht="15" customHeight="1" x14ac:dyDescent="0.35">
      <c r="B48" s="700">
        <v>6</v>
      </c>
      <c r="C48" s="429" t="str">
        <f>Timeline!$W$3</f>
        <v>FY2026</v>
      </c>
      <c r="D48" s="453">
        <f>+I13</f>
        <v>0</v>
      </c>
      <c r="E48" s="698"/>
      <c r="F48" s="698"/>
      <c r="G48" s="698"/>
      <c r="H48" s="698"/>
      <c r="I48" s="698"/>
      <c r="J48" s="698"/>
      <c r="K48" s="698"/>
      <c r="L48" s="698"/>
      <c r="M48" s="698"/>
      <c r="N48" s="698"/>
      <c r="O48" s="698"/>
      <c r="P48" s="120"/>
      <c r="Q48" s="120"/>
      <c r="S48"/>
      <c r="V48"/>
      <c r="Y48"/>
    </row>
    <row r="49" spans="2:25" s="418" customFormat="1" ht="15" customHeight="1" x14ac:dyDescent="0.35">
      <c r="B49" s="701"/>
      <c r="C49" s="429" t="str">
        <f>Timeline!$X$3</f>
        <v>FY2027</v>
      </c>
      <c r="D49" s="455">
        <f>+J13</f>
        <v>0</v>
      </c>
      <c r="E49" s="699"/>
      <c r="F49" s="699"/>
      <c r="G49" s="699"/>
      <c r="H49" s="699"/>
      <c r="I49" s="699"/>
      <c r="J49" s="699"/>
      <c r="K49" s="699"/>
      <c r="L49" s="699"/>
      <c r="M49" s="699"/>
      <c r="N49" s="699"/>
      <c r="O49" s="699"/>
      <c r="P49" s="120"/>
      <c r="Q49" s="120"/>
      <c r="S49"/>
      <c r="V49"/>
      <c r="Y49"/>
    </row>
    <row r="50" spans="2:25" s="418" customFormat="1" ht="15" customHeight="1" x14ac:dyDescent="0.35">
      <c r="B50" s="700">
        <v>7</v>
      </c>
      <c r="C50" s="429" t="str">
        <f>Timeline!$W$3</f>
        <v>FY2026</v>
      </c>
      <c r="D50" s="453">
        <f>+I17</f>
        <v>0</v>
      </c>
      <c r="E50" s="698"/>
      <c r="F50" s="698"/>
      <c r="G50" s="698"/>
      <c r="H50" s="698"/>
      <c r="I50" s="698"/>
      <c r="J50" s="698"/>
      <c r="K50" s="698"/>
      <c r="L50" s="698"/>
      <c r="M50" s="698"/>
      <c r="N50" s="698"/>
      <c r="O50" s="698"/>
      <c r="P50" s="120"/>
      <c r="Q50" s="120"/>
      <c r="S50"/>
      <c r="V50"/>
      <c r="Y50"/>
    </row>
    <row r="51" spans="2:25" s="418" customFormat="1" ht="15" customHeight="1" x14ac:dyDescent="0.35">
      <c r="B51" s="701"/>
      <c r="C51" s="429" t="str">
        <f>Timeline!$X$3</f>
        <v>FY2027</v>
      </c>
      <c r="D51" s="455">
        <f>+J17</f>
        <v>0</v>
      </c>
      <c r="E51" s="699"/>
      <c r="F51" s="699"/>
      <c r="G51" s="699"/>
      <c r="H51" s="699"/>
      <c r="I51" s="699"/>
      <c r="J51" s="699"/>
      <c r="K51" s="699"/>
      <c r="L51" s="699"/>
      <c r="M51" s="699"/>
      <c r="N51" s="699"/>
      <c r="O51" s="699"/>
      <c r="P51" s="120"/>
      <c r="Q51" s="120"/>
      <c r="S51"/>
      <c r="V51"/>
      <c r="Y51"/>
    </row>
    <row r="52" spans="2:25" s="418" customFormat="1" ht="15" customHeight="1" x14ac:dyDescent="0.35">
      <c r="B52" s="700">
        <v>8</v>
      </c>
      <c r="C52" s="429" t="str">
        <f>Timeline!$W$3</f>
        <v>FY2026</v>
      </c>
      <c r="D52" s="453">
        <f>+I16</f>
        <v>0</v>
      </c>
      <c r="E52" s="698"/>
      <c r="F52" s="698"/>
      <c r="G52" s="698"/>
      <c r="H52" s="698"/>
      <c r="I52" s="698"/>
      <c r="J52" s="698"/>
      <c r="K52" s="698"/>
      <c r="L52" s="698"/>
      <c r="M52" s="698"/>
      <c r="N52" s="698"/>
      <c r="O52" s="698"/>
      <c r="P52" s="120"/>
      <c r="Q52" s="120"/>
      <c r="S52"/>
      <c r="V52"/>
      <c r="Y52"/>
    </row>
    <row r="53" spans="2:25" s="418" customFormat="1" ht="15" customHeight="1" x14ac:dyDescent="0.35">
      <c r="B53" s="701"/>
      <c r="C53" s="429" t="str">
        <f>Timeline!$X$3</f>
        <v>FY2027</v>
      </c>
      <c r="D53" s="455">
        <f>+J16</f>
        <v>0</v>
      </c>
      <c r="E53" s="699"/>
      <c r="F53" s="699"/>
      <c r="G53" s="699"/>
      <c r="H53" s="699"/>
      <c r="I53" s="699"/>
      <c r="J53" s="699"/>
      <c r="K53" s="699"/>
      <c r="L53" s="699"/>
      <c r="M53" s="699"/>
      <c r="N53" s="699"/>
      <c r="O53" s="699"/>
      <c r="P53" s="120"/>
      <c r="Q53" s="120"/>
      <c r="S53"/>
      <c r="V53"/>
      <c r="Y53"/>
    </row>
    <row r="54" spans="2:25" s="418" customFormat="1" ht="15" customHeight="1" x14ac:dyDescent="0.35">
      <c r="B54" s="700">
        <v>9</v>
      </c>
      <c r="C54" s="429" t="str">
        <f>Timeline!$W$3</f>
        <v>FY2026</v>
      </c>
      <c r="D54" s="453">
        <f>+I21</f>
        <v>0</v>
      </c>
      <c r="E54" s="698"/>
      <c r="F54" s="698"/>
      <c r="G54" s="698"/>
      <c r="H54" s="698"/>
      <c r="I54" s="698"/>
      <c r="J54" s="698"/>
      <c r="K54" s="698"/>
      <c r="L54" s="698"/>
      <c r="M54" s="698"/>
      <c r="N54" s="698"/>
      <c r="O54" s="698"/>
      <c r="P54" s="120"/>
      <c r="Q54" s="120"/>
      <c r="S54"/>
      <c r="V54"/>
      <c r="Y54"/>
    </row>
    <row r="55" spans="2:25" s="418" customFormat="1" ht="15" customHeight="1" x14ac:dyDescent="0.35">
      <c r="B55" s="701"/>
      <c r="C55" s="429" t="str">
        <f>Timeline!$X$3</f>
        <v>FY2027</v>
      </c>
      <c r="D55" s="455">
        <f>+J21</f>
        <v>0</v>
      </c>
      <c r="E55" s="699"/>
      <c r="F55" s="699"/>
      <c r="G55" s="699"/>
      <c r="H55" s="699"/>
      <c r="I55" s="699"/>
      <c r="J55" s="699"/>
      <c r="K55" s="699"/>
      <c r="L55" s="699"/>
      <c r="M55" s="699"/>
      <c r="N55" s="699"/>
      <c r="O55" s="699"/>
      <c r="P55" s="120"/>
      <c r="Q55" s="120"/>
      <c r="S55"/>
      <c r="V55"/>
      <c r="Y55"/>
    </row>
    <row r="56" spans="2:25" s="418" customFormat="1" ht="15" customHeight="1" x14ac:dyDescent="0.35">
      <c r="B56" s="700">
        <v>10</v>
      </c>
      <c r="C56" s="429" t="str">
        <f>Timeline!$W$3</f>
        <v>FY2026</v>
      </c>
      <c r="D56" s="453">
        <f>+I22</f>
        <v>0</v>
      </c>
      <c r="E56" s="698"/>
      <c r="F56" s="698"/>
      <c r="G56" s="698"/>
      <c r="H56" s="698"/>
      <c r="I56" s="698"/>
      <c r="J56" s="698"/>
      <c r="K56" s="698"/>
      <c r="L56" s="698"/>
      <c r="M56" s="698"/>
      <c r="N56" s="698"/>
      <c r="O56" s="698"/>
      <c r="P56" s="120"/>
      <c r="Q56" s="120"/>
      <c r="S56"/>
      <c r="V56"/>
      <c r="Y56"/>
    </row>
    <row r="57" spans="2:25" s="418" customFormat="1" ht="15" customHeight="1" x14ac:dyDescent="0.35">
      <c r="B57" s="701"/>
      <c r="C57" s="429" t="str">
        <f>Timeline!$X$3</f>
        <v>FY2027</v>
      </c>
      <c r="D57" s="455">
        <f>+J22</f>
        <v>0</v>
      </c>
      <c r="E57" s="699"/>
      <c r="F57" s="699"/>
      <c r="G57" s="699"/>
      <c r="H57" s="699"/>
      <c r="I57" s="699"/>
      <c r="J57" s="699"/>
      <c r="K57" s="699"/>
      <c r="L57" s="699"/>
      <c r="M57" s="699"/>
      <c r="N57" s="699"/>
      <c r="O57" s="699"/>
      <c r="P57" s="120"/>
      <c r="Q57" s="120"/>
      <c r="S57"/>
      <c r="V57"/>
      <c r="Y57"/>
    </row>
    <row r="58" spans="2:25" x14ac:dyDescent="0.35">
      <c r="B58" s="700">
        <v>11</v>
      </c>
      <c r="C58" s="429" t="str">
        <f>Timeline!$W$3</f>
        <v>FY2026</v>
      </c>
      <c r="D58" s="453">
        <f>+I23</f>
        <v>0</v>
      </c>
      <c r="E58" s="698"/>
      <c r="F58" s="698"/>
      <c r="G58" s="698"/>
      <c r="H58" s="698"/>
      <c r="I58" s="698"/>
      <c r="J58" s="698"/>
      <c r="K58" s="698"/>
      <c r="L58" s="698"/>
      <c r="M58" s="698"/>
      <c r="N58" s="698"/>
      <c r="O58" s="698"/>
    </row>
    <row r="59" spans="2:25" x14ac:dyDescent="0.35">
      <c r="B59" s="701"/>
      <c r="C59" s="429" t="str">
        <f>Timeline!$X$3</f>
        <v>FY2027</v>
      </c>
      <c r="D59" s="455">
        <f>+J23</f>
        <v>0</v>
      </c>
      <c r="E59" s="699"/>
      <c r="F59" s="699"/>
      <c r="G59" s="699"/>
      <c r="H59" s="699"/>
      <c r="I59" s="699"/>
      <c r="J59" s="699"/>
      <c r="K59" s="699"/>
      <c r="L59" s="699"/>
      <c r="M59" s="699"/>
      <c r="N59" s="699"/>
      <c r="O59" s="699"/>
    </row>
    <row r="60" spans="2:25" x14ac:dyDescent="0.35">
      <c r="B60" s="700">
        <v>12</v>
      </c>
      <c r="C60" s="429" t="str">
        <f>Timeline!$W$3</f>
        <v>FY2026</v>
      </c>
      <c r="D60" s="453">
        <f>+I26</f>
        <v>0</v>
      </c>
      <c r="E60" s="697"/>
      <c r="F60" s="697"/>
      <c r="G60" s="697"/>
      <c r="H60" s="697"/>
      <c r="I60" s="697"/>
      <c r="J60" s="697"/>
      <c r="K60" s="697"/>
      <c r="L60" s="697"/>
      <c r="M60" s="697"/>
      <c r="N60" s="697"/>
      <c r="O60" s="697"/>
    </row>
    <row r="61" spans="2:25" x14ac:dyDescent="0.35">
      <c r="B61" s="701"/>
      <c r="C61" s="429" t="str">
        <f>Timeline!$X$3</f>
        <v>FY2027</v>
      </c>
      <c r="D61" s="455">
        <f>+J26</f>
        <v>0</v>
      </c>
      <c r="E61" s="696"/>
      <c r="F61" s="696"/>
      <c r="G61" s="696"/>
      <c r="H61" s="696"/>
      <c r="I61" s="696"/>
      <c r="J61" s="696"/>
      <c r="K61" s="696"/>
      <c r="L61" s="696"/>
      <c r="M61" s="696"/>
      <c r="N61" s="696"/>
      <c r="O61" s="696"/>
    </row>
    <row r="62" spans="2:25" x14ac:dyDescent="0.35">
      <c r="B62" s="700">
        <v>13</v>
      </c>
      <c r="C62" s="429" t="str">
        <f>Timeline!$W$3</f>
        <v>FY2026</v>
      </c>
      <c r="D62" s="453">
        <f>+I27</f>
        <v>0</v>
      </c>
      <c r="E62" s="697"/>
      <c r="F62" s="697"/>
      <c r="G62" s="697"/>
      <c r="H62" s="697"/>
      <c r="I62" s="697"/>
      <c r="J62" s="697"/>
      <c r="K62" s="697"/>
      <c r="L62" s="697"/>
      <c r="M62" s="697"/>
      <c r="N62" s="697"/>
      <c r="O62" s="697"/>
    </row>
    <row r="63" spans="2:25" x14ac:dyDescent="0.35">
      <c r="B63" s="701"/>
      <c r="C63" s="429" t="str">
        <f>Timeline!$X$3</f>
        <v>FY2027</v>
      </c>
      <c r="D63" s="455">
        <f>+J27</f>
        <v>0</v>
      </c>
      <c r="E63" s="696"/>
      <c r="F63" s="696"/>
      <c r="G63" s="696"/>
      <c r="H63" s="696"/>
      <c r="I63" s="696"/>
      <c r="J63" s="696"/>
      <c r="K63" s="696"/>
      <c r="L63" s="696"/>
      <c r="M63" s="696"/>
      <c r="N63" s="696"/>
      <c r="O63" s="696"/>
    </row>
    <row r="64" spans="2:25" x14ac:dyDescent="0.35">
      <c r="B64" s="700">
        <v>14</v>
      </c>
      <c r="C64" s="429" t="str">
        <f>Timeline!$W$3</f>
        <v>FY2026</v>
      </c>
      <c r="D64" s="453">
        <f>+I33</f>
        <v>0</v>
      </c>
      <c r="E64" s="697"/>
      <c r="F64" s="697"/>
      <c r="G64" s="697"/>
      <c r="H64" s="697"/>
      <c r="I64" s="697"/>
      <c r="J64" s="697"/>
      <c r="K64" s="697"/>
      <c r="L64" s="697"/>
      <c r="M64" s="697"/>
      <c r="N64" s="697"/>
      <c r="O64" s="697"/>
    </row>
    <row r="65" spans="2:15" x14ac:dyDescent="0.35">
      <c r="B65" s="701"/>
      <c r="C65" s="429" t="str">
        <f>Timeline!$X$3</f>
        <v>FY2027</v>
      </c>
      <c r="D65" s="455">
        <f>+J33</f>
        <v>0</v>
      </c>
      <c r="E65" s="696"/>
      <c r="F65" s="696"/>
      <c r="G65" s="696"/>
      <c r="H65" s="696"/>
      <c r="I65" s="696"/>
      <c r="J65" s="696"/>
      <c r="K65" s="696"/>
      <c r="L65" s="696"/>
      <c r="M65" s="696"/>
      <c r="N65" s="696"/>
      <c r="O65" s="696"/>
    </row>
    <row r="66" spans="2:15" x14ac:dyDescent="0.35">
      <c r="B66" s="700">
        <v>15</v>
      </c>
      <c r="C66" s="429" t="str">
        <f>Timeline!$W$3</f>
        <v>FY2026</v>
      </c>
      <c r="D66" s="453">
        <f>I34</f>
        <v>0</v>
      </c>
      <c r="E66" s="697"/>
      <c r="F66" s="697"/>
      <c r="G66" s="697"/>
      <c r="H66" s="697"/>
      <c r="I66" s="697"/>
      <c r="J66" s="697"/>
      <c r="K66" s="697"/>
      <c r="L66" s="697"/>
      <c r="M66" s="697"/>
      <c r="N66" s="697"/>
      <c r="O66" s="697"/>
    </row>
    <row r="67" spans="2:15" x14ac:dyDescent="0.35">
      <c r="B67" s="701"/>
      <c r="C67" s="429" t="str">
        <f>Timeline!$X$3</f>
        <v>FY2027</v>
      </c>
      <c r="D67" s="455">
        <f>+J34</f>
        <v>0</v>
      </c>
      <c r="E67" s="696"/>
      <c r="F67" s="696"/>
      <c r="G67" s="696"/>
      <c r="H67" s="696"/>
      <c r="I67" s="696"/>
      <c r="J67" s="696"/>
      <c r="K67" s="696"/>
      <c r="L67" s="696"/>
      <c r="M67" s="696"/>
      <c r="N67" s="696"/>
      <c r="O67" s="696"/>
    </row>
  </sheetData>
  <sheetProtection algorithmName="SHA-512" hashValue="bSixSO6Ddb7oOMp67DTVdqGbmuJmOymQgdeWYRkSEC7tuTzGkOmuh9gvCoKLvQ3713CLMts9bfpLrG495gTY3A==" saltValue="rmVUeCOyLzpPTT/cL+bMyA==" spinCount="100000" sheet="1" objects="1" scenarios="1"/>
  <mergeCells count="54">
    <mergeCell ref="B54:B55"/>
    <mergeCell ref="E54:O54"/>
    <mergeCell ref="E55:O55"/>
    <mergeCell ref="B56:B57"/>
    <mergeCell ref="E56:O56"/>
    <mergeCell ref="E57:O57"/>
    <mergeCell ref="B50:B51"/>
    <mergeCell ref="E50:O50"/>
    <mergeCell ref="E51:O51"/>
    <mergeCell ref="B52:B53"/>
    <mergeCell ref="E52:O52"/>
    <mergeCell ref="E53:O53"/>
    <mergeCell ref="B46:B47"/>
    <mergeCell ref="E46:O46"/>
    <mergeCell ref="E47:O47"/>
    <mergeCell ref="B48:B49"/>
    <mergeCell ref="E48:O48"/>
    <mergeCell ref="E49:O49"/>
    <mergeCell ref="B42:B43"/>
    <mergeCell ref="E42:O42"/>
    <mergeCell ref="E43:O43"/>
    <mergeCell ref="B44:B45"/>
    <mergeCell ref="E44:O44"/>
    <mergeCell ref="E45:O45"/>
    <mergeCell ref="Z5:AA5"/>
    <mergeCell ref="E37:O37"/>
    <mergeCell ref="B38:B39"/>
    <mergeCell ref="E38:O38"/>
    <mergeCell ref="E39:O39"/>
    <mergeCell ref="Q5:R5"/>
    <mergeCell ref="T5:U5"/>
    <mergeCell ref="W5:X5"/>
    <mergeCell ref="B40:B41"/>
    <mergeCell ref="E40:O40"/>
    <mergeCell ref="E41:O41"/>
    <mergeCell ref="G5:H5"/>
    <mergeCell ref="I5:J5"/>
    <mergeCell ref="L5:M5"/>
    <mergeCell ref="E26:F26"/>
    <mergeCell ref="B66:B67"/>
    <mergeCell ref="B62:B63"/>
    <mergeCell ref="B64:B65"/>
    <mergeCell ref="B58:B59"/>
    <mergeCell ref="B60:B61"/>
    <mergeCell ref="E58:O58"/>
    <mergeCell ref="E59:O59"/>
    <mergeCell ref="E60:O60"/>
    <mergeCell ref="E61:O61"/>
    <mergeCell ref="E62:O62"/>
    <mergeCell ref="E63:O63"/>
    <mergeCell ref="E64:O64"/>
    <mergeCell ref="E65:O65"/>
    <mergeCell ref="E66:O66"/>
    <mergeCell ref="E67:O67"/>
  </mergeCells>
  <phoneticPr fontId="9" type="noConversion"/>
  <dataValidations count="1">
    <dataValidation type="list" allowBlank="1" showInputMessage="1" showErrorMessage="1" sqref="G5:H5" xr:uid="{F80040CF-3D70-4810-9586-58518B7F0E92}">
      <formula1>$AD$1:$AD$4</formula1>
    </dataValidation>
  </dataValidations>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B0F1-FD47-4943-B17A-44BEF2063F70}">
  <sheetPr codeName="Sheet31">
    <tabColor rgb="FFBBF7DC"/>
  </sheetPr>
  <dimension ref="B1:BE281"/>
  <sheetViews>
    <sheetView showGridLines="0" zoomScaleNormal="100" workbookViewId="0"/>
  </sheetViews>
  <sheetFormatPr defaultColWidth="9" defaultRowHeight="14.5" x14ac:dyDescent="0.35"/>
  <cols>
    <col min="1" max="1" width="3.1796875" customWidth="1"/>
    <col min="2" max="2" width="6.1796875" style="327" customWidth="1"/>
    <col min="3" max="3" width="7.26953125" style="327" customWidth="1"/>
    <col min="4" max="4" width="56" style="327" bestFit="1" customWidth="1"/>
    <col min="5" max="5" width="11.1796875" style="327" customWidth="1"/>
    <col min="6" max="6" width="2.81640625" style="327" customWidth="1"/>
    <col min="7" max="7" width="10.81640625" style="327" customWidth="1"/>
    <col min="8" max="8" width="9.81640625" style="327" customWidth="1"/>
    <col min="9" max="10" width="10.81640625" style="327" customWidth="1"/>
    <col min="11" max="11" width="3" style="327" customWidth="1"/>
    <col min="12" max="12" width="9.81640625" style="327" customWidth="1"/>
    <col min="13" max="13" width="9.54296875" style="327" customWidth="1"/>
    <col min="14" max="14" width="9" style="327"/>
    <col min="15" max="15" width="2.81640625" style="327" customWidth="1"/>
    <col min="16" max="16" width="9.54296875" bestFit="1" customWidth="1"/>
    <col min="17" max="18" width="10.453125" customWidth="1"/>
    <col min="20" max="20" width="4.1796875" customWidth="1"/>
    <col min="21" max="21" width="9.81640625" style="327" customWidth="1"/>
    <col min="22" max="22" width="9.54296875" style="327" customWidth="1"/>
    <col min="23" max="23" width="9" style="327"/>
    <col min="24" max="24" width="4.1796875" customWidth="1"/>
    <col min="25" max="25" width="9.81640625" style="327" customWidth="1"/>
    <col min="26" max="26" width="9.54296875" style="327" customWidth="1"/>
    <col min="27" max="27" width="9" style="327"/>
    <col min="28" max="28" width="4.1796875" customWidth="1"/>
    <col min="29" max="29" width="9.81640625" style="327" customWidth="1"/>
    <col min="30" max="30" width="9.54296875" style="327" customWidth="1"/>
    <col min="31" max="31" width="9" style="327"/>
    <col min="32" max="32" width="4.1796875" customWidth="1"/>
    <col min="33" max="33" width="9.81640625" style="327" customWidth="1"/>
    <col min="34" max="34" width="9.54296875" style="327" customWidth="1"/>
    <col min="35" max="35" width="9" style="327"/>
  </cols>
  <sheetData>
    <row r="1" spans="2:57" x14ac:dyDescent="0.35">
      <c r="D1" s="328" t="s">
        <v>2643</v>
      </c>
      <c r="P1" s="327"/>
      <c r="Q1" s="327"/>
      <c r="R1" s="327"/>
      <c r="S1" s="327"/>
      <c r="T1" s="327"/>
      <c r="X1" s="327"/>
      <c r="AB1" s="327"/>
      <c r="AF1" s="327"/>
      <c r="AJ1" s="327"/>
      <c r="AK1" s="504"/>
      <c r="AL1" s="501" t="str">
        <f>U5</f>
        <v>Cash Scenario A</v>
      </c>
      <c r="AM1" s="327"/>
      <c r="AN1" s="327"/>
      <c r="AO1" s="327"/>
      <c r="AP1" s="327"/>
      <c r="AQ1" s="327"/>
      <c r="AR1" s="327"/>
      <c r="AS1" s="327"/>
      <c r="AT1" s="327"/>
      <c r="AU1" s="327"/>
      <c r="AV1" s="327"/>
      <c r="AW1" s="327"/>
      <c r="AX1" s="327"/>
      <c r="AY1" s="327"/>
      <c r="AZ1" s="327"/>
      <c r="BA1" s="327"/>
      <c r="BB1" s="327"/>
      <c r="BC1" s="327"/>
      <c r="BD1" s="327"/>
      <c r="BE1" s="327"/>
    </row>
    <row r="2" spans="2:57" s="327" customFormat="1" ht="18.5" x14ac:dyDescent="0.45">
      <c r="D2" s="432" t="s">
        <v>2644</v>
      </c>
      <c r="AK2" s="448" t="s">
        <v>2645</v>
      </c>
      <c r="AL2" s="501" t="str">
        <f>Y5</f>
        <v>Cash Scenario B</v>
      </c>
      <c r="AW2" s="501" t="str">
        <f>U5</f>
        <v>Cash Scenario A</v>
      </c>
    </row>
    <row r="3" spans="2:57" ht="15.5" x14ac:dyDescent="0.35">
      <c r="D3" s="503">
        <f>'Cover Sheet'!E21</f>
        <v>46112</v>
      </c>
      <c r="P3" s="327"/>
      <c r="Q3" s="327"/>
      <c r="R3" s="327"/>
      <c r="S3" s="327"/>
      <c r="T3" s="327"/>
      <c r="X3" s="327"/>
      <c r="AB3" s="327"/>
      <c r="AF3" s="327"/>
      <c r="AJ3" s="327"/>
      <c r="AK3" s="448" t="s">
        <v>2646</v>
      </c>
      <c r="AL3" s="501" t="str">
        <f>AC5</f>
        <v>Cash Scenario C</v>
      </c>
      <c r="AM3" s="327"/>
      <c r="AN3" s="327"/>
      <c r="AO3" s="327"/>
      <c r="AP3" s="327"/>
      <c r="AQ3" s="327"/>
      <c r="AR3" s="327"/>
      <c r="AS3" s="327"/>
      <c r="AT3" s="327"/>
      <c r="AU3" s="327"/>
      <c r="AV3" s="327"/>
      <c r="AW3" s="501" t="str">
        <f>Y5</f>
        <v>Cash Scenario B</v>
      </c>
      <c r="AX3" s="327"/>
      <c r="AY3" s="327"/>
      <c r="AZ3" s="327"/>
      <c r="BA3" s="327"/>
      <c r="BB3" s="327"/>
      <c r="BC3" s="327"/>
      <c r="BD3" s="327"/>
      <c r="BE3" s="327"/>
    </row>
    <row r="4" spans="2:57" x14ac:dyDescent="0.35">
      <c r="P4" s="327"/>
      <c r="Q4" s="327"/>
      <c r="R4" s="327"/>
      <c r="S4" s="327"/>
      <c r="T4" s="327"/>
      <c r="X4" s="327"/>
      <c r="AB4" s="327"/>
      <c r="AF4" s="327"/>
      <c r="AJ4" s="327"/>
      <c r="AK4" s="448" t="s">
        <v>2647</v>
      </c>
      <c r="AL4" s="501" t="str">
        <f>AG5</f>
        <v>Cash Scenario D</v>
      </c>
      <c r="AM4" s="327"/>
      <c r="AN4" s="327"/>
      <c r="AO4" s="327"/>
      <c r="AP4" s="327"/>
      <c r="AQ4" s="327"/>
      <c r="AR4" s="327"/>
      <c r="AS4" s="327"/>
      <c r="AT4" s="327"/>
      <c r="AU4" s="327"/>
      <c r="AV4" s="327"/>
      <c r="AW4" s="501" t="str">
        <f>AC5</f>
        <v>Cash Scenario C</v>
      </c>
      <c r="AX4" s="327"/>
      <c r="AY4" s="327"/>
      <c r="AZ4" s="327"/>
      <c r="BA4" s="327"/>
      <c r="BB4" s="327"/>
      <c r="BC4" s="327"/>
      <c r="BD4" s="327"/>
      <c r="BE4" s="327"/>
    </row>
    <row r="5" spans="2:57" x14ac:dyDescent="0.35">
      <c r="G5" s="720">
        <f>'Cover Sheet'!E21</f>
        <v>46112</v>
      </c>
      <c r="H5" s="720"/>
      <c r="I5" s="720"/>
      <c r="J5" s="720"/>
      <c r="L5" s="692" t="s">
        <v>2648</v>
      </c>
      <c r="M5" s="692"/>
      <c r="N5" s="692"/>
      <c r="P5" s="720" t="s">
        <v>2557</v>
      </c>
      <c r="Q5" s="691"/>
      <c r="R5" s="691"/>
      <c r="S5" s="327"/>
      <c r="T5" s="331"/>
      <c r="U5" s="692" t="s">
        <v>2648</v>
      </c>
      <c r="V5" s="692"/>
      <c r="W5" s="692"/>
      <c r="X5" s="331"/>
      <c r="Y5" s="692" t="s">
        <v>2649</v>
      </c>
      <c r="Z5" s="692"/>
      <c r="AA5" s="692"/>
      <c r="AB5" s="331"/>
      <c r="AC5" s="692" t="s">
        <v>2650</v>
      </c>
      <c r="AD5" s="692"/>
      <c r="AE5" s="692"/>
      <c r="AF5" s="331"/>
      <c r="AG5" s="692" t="s">
        <v>2651</v>
      </c>
      <c r="AH5" s="692"/>
      <c r="AI5" s="692"/>
      <c r="AJ5" s="327"/>
      <c r="AK5" s="327"/>
      <c r="AL5" s="327"/>
      <c r="AM5" s="327"/>
      <c r="AN5" s="327"/>
      <c r="AO5" s="327"/>
      <c r="AP5" s="327"/>
      <c r="AQ5" s="327"/>
      <c r="AR5" s="327"/>
      <c r="AS5" s="327"/>
      <c r="AT5" s="327"/>
      <c r="AU5" s="327"/>
      <c r="AV5" s="327"/>
      <c r="AW5" s="501" t="str">
        <f>AG5</f>
        <v>Cash Scenario D</v>
      </c>
      <c r="AX5" s="327"/>
      <c r="AY5" s="327"/>
      <c r="AZ5" s="327"/>
      <c r="BA5" s="327"/>
      <c r="BB5" s="327"/>
      <c r="BC5" s="327"/>
      <c r="BD5" s="327"/>
      <c r="BE5" s="327"/>
    </row>
    <row r="6" spans="2:57" s="330" customFormat="1" x14ac:dyDescent="0.35">
      <c r="E6" s="488" t="str">
        <f>Timeline!V3</f>
        <v>FY2025</v>
      </c>
      <c r="F6" s="433"/>
      <c r="G6" s="488" t="str">
        <f>"YTD ("&amp;COUNTIF(Timeline!$AA$4:$AL$4, 0)&amp;"m)"</f>
        <v>YTD (8m)</v>
      </c>
      <c r="H6" s="488" t="str">
        <f>Timeline!BY3</f>
        <v>FY2026</v>
      </c>
      <c r="I6" s="488" t="str">
        <f>Timeline!BZ3</f>
        <v>FY2027</v>
      </c>
      <c r="J6" s="488" t="str">
        <f>Timeline!CA3</f>
        <v>FY2028</v>
      </c>
      <c r="K6" s="433"/>
      <c r="L6" s="488" t="str">
        <f>H6</f>
        <v>FY2026</v>
      </c>
      <c r="M6" s="488" t="str">
        <f>I6</f>
        <v>FY2027</v>
      </c>
      <c r="N6" s="488" t="str">
        <f>J6</f>
        <v>FY2028</v>
      </c>
      <c r="O6" s="433"/>
      <c r="P6" s="488" t="str">
        <f>L6</f>
        <v>FY2026</v>
      </c>
      <c r="Q6" s="488" t="str">
        <f>M6</f>
        <v>FY2027</v>
      </c>
      <c r="R6" s="488" t="str">
        <f>N6</f>
        <v>FY2028</v>
      </c>
      <c r="U6" s="488" t="str">
        <f>L6</f>
        <v>FY2026</v>
      </c>
      <c r="V6" s="488" t="str">
        <f>M6</f>
        <v>FY2027</v>
      </c>
      <c r="W6" s="488" t="str">
        <f>N6</f>
        <v>FY2028</v>
      </c>
      <c r="Y6" s="488" t="str">
        <f>U6</f>
        <v>FY2026</v>
      </c>
      <c r="Z6" s="488" t="str">
        <f>V6</f>
        <v>FY2027</v>
      </c>
      <c r="AA6" s="488" t="str">
        <f>W6</f>
        <v>FY2028</v>
      </c>
      <c r="AC6" s="488" t="str">
        <f>Y6</f>
        <v>FY2026</v>
      </c>
      <c r="AD6" s="488" t="str">
        <f>Z6</f>
        <v>FY2027</v>
      </c>
      <c r="AE6" s="488" t="str">
        <f>AA6</f>
        <v>FY2028</v>
      </c>
      <c r="AG6" s="490" t="str">
        <f>AC6</f>
        <v>FY2026</v>
      </c>
      <c r="AH6" s="490" t="str">
        <f>AD6</f>
        <v>FY2027</v>
      </c>
      <c r="AI6" s="490" t="str">
        <f>AE6</f>
        <v>FY2028</v>
      </c>
    </row>
    <row r="7" spans="2:57" s="327" customFormat="1" x14ac:dyDescent="0.35">
      <c r="B7" s="328" t="s">
        <v>2633</v>
      </c>
      <c r="D7" s="328" t="s">
        <v>1811</v>
      </c>
      <c r="E7" s="488" t="s">
        <v>2589</v>
      </c>
      <c r="F7" s="342"/>
      <c r="G7" s="488" t="s">
        <v>2589</v>
      </c>
      <c r="H7" s="488" t="s">
        <v>2622</v>
      </c>
      <c r="I7" s="488" t="s">
        <v>2622</v>
      </c>
      <c r="J7" s="488" t="s">
        <v>2622</v>
      </c>
      <c r="K7" s="342"/>
      <c r="L7" s="488" t="s">
        <v>2652</v>
      </c>
      <c r="M7" s="488" t="s">
        <v>2652</v>
      </c>
      <c r="N7" s="488" t="s">
        <v>2652</v>
      </c>
      <c r="O7" s="342"/>
      <c r="P7" s="488"/>
      <c r="Q7" s="488"/>
      <c r="R7" s="488"/>
      <c r="U7" s="488" t="s">
        <v>2652</v>
      </c>
      <c r="V7" s="488" t="s">
        <v>2652</v>
      </c>
      <c r="W7" s="488" t="s">
        <v>2652</v>
      </c>
      <c r="Y7" s="488" t="s">
        <v>2652</v>
      </c>
      <c r="Z7" s="488" t="s">
        <v>2652</v>
      </c>
      <c r="AA7" s="488" t="s">
        <v>2652</v>
      </c>
      <c r="AC7" s="488" t="s">
        <v>2652</v>
      </c>
      <c r="AD7" s="488" t="s">
        <v>2652</v>
      </c>
      <c r="AE7" s="488" t="s">
        <v>2652</v>
      </c>
      <c r="AG7" s="490" t="s">
        <v>2652</v>
      </c>
      <c r="AH7" s="490" t="s">
        <v>2652</v>
      </c>
      <c r="AI7" s="490" t="s">
        <v>2652</v>
      </c>
    </row>
    <row r="8" spans="2:57" s="327" customFormat="1" x14ac:dyDescent="0.35">
      <c r="E8" s="342" t="s">
        <v>2571</v>
      </c>
      <c r="G8" s="342" t="s">
        <v>2571</v>
      </c>
      <c r="H8" s="342" t="s">
        <v>2571</v>
      </c>
      <c r="I8" s="342" t="s">
        <v>2571</v>
      </c>
      <c r="J8" s="342" t="s">
        <v>2571</v>
      </c>
      <c r="L8" s="342" t="s">
        <v>2571</v>
      </c>
      <c r="M8" s="342" t="s">
        <v>2571</v>
      </c>
      <c r="N8" s="342" t="s">
        <v>2571</v>
      </c>
      <c r="P8" s="342" t="s">
        <v>2571</v>
      </c>
      <c r="Q8" s="342" t="s">
        <v>2571</v>
      </c>
      <c r="R8" s="342" t="s">
        <v>2571</v>
      </c>
      <c r="U8" s="342" t="s">
        <v>2571</v>
      </c>
      <c r="V8" s="342" t="s">
        <v>2571</v>
      </c>
      <c r="W8" s="342" t="s">
        <v>2571</v>
      </c>
      <c r="Y8" s="342" t="s">
        <v>2571</v>
      </c>
      <c r="Z8" s="342" t="s">
        <v>2571</v>
      </c>
      <c r="AA8" s="342" t="s">
        <v>2571</v>
      </c>
      <c r="AC8" s="342" t="s">
        <v>2571</v>
      </c>
      <c r="AD8" s="342" t="s">
        <v>2571</v>
      </c>
      <c r="AE8" s="342" t="s">
        <v>2571</v>
      </c>
      <c r="AG8" s="342" t="s">
        <v>2571</v>
      </c>
      <c r="AH8" s="342" t="s">
        <v>2571</v>
      </c>
      <c r="AI8" s="342" t="s">
        <v>2571</v>
      </c>
    </row>
    <row r="9" spans="2:57" x14ac:dyDescent="0.35">
      <c r="P9" s="327"/>
      <c r="Q9" s="327"/>
      <c r="R9" s="327"/>
      <c r="S9" s="327"/>
      <c r="T9" s="327"/>
      <c r="X9" s="327"/>
      <c r="AB9" s="327"/>
      <c r="AF9" s="327"/>
      <c r="AJ9" s="327"/>
      <c r="AK9" s="327"/>
      <c r="AL9" s="327"/>
      <c r="AM9" s="327"/>
      <c r="AN9" s="327"/>
      <c r="AO9" s="327"/>
      <c r="AP9" s="327"/>
      <c r="AQ9" s="327"/>
      <c r="AR9" s="327"/>
      <c r="AS9" s="327"/>
      <c r="AT9" s="327"/>
    </row>
    <row r="10" spans="2:57" x14ac:dyDescent="0.35">
      <c r="B10" s="434">
        <v>1</v>
      </c>
      <c r="C10" s="332" t="s">
        <v>2653</v>
      </c>
      <c r="D10" s="327" t="s">
        <v>446</v>
      </c>
      <c r="E10" s="10">
        <f>'Cash Flow Summary'!V54</f>
        <v>0</v>
      </c>
      <c r="F10" s="452"/>
      <c r="G10" s="522">
        <f>SUMIF('Cash Flow Summary'!$AA$4:$AL$4, 0, 'Cash Flow Summary'!AA54:AL54)</f>
        <v>0</v>
      </c>
      <c r="H10" s="10">
        <f>'Cash Flow Summary'!W54</f>
        <v>0</v>
      </c>
      <c r="I10" s="10">
        <f>'Cash Flow Summary'!X54</f>
        <v>0</v>
      </c>
      <c r="J10" s="10">
        <f>'Cash Flow Summary'!Y54</f>
        <v>0</v>
      </c>
      <c r="K10" s="452"/>
      <c r="L10" s="10">
        <f t="shared" ref="L10:L15" si="0">INDEX(U10:AI10, 1, MATCH(L$5, $U$5:$AI$5, 0))</f>
        <v>0</v>
      </c>
      <c r="M10" s="10">
        <f t="shared" ref="M10:M15" si="1">INDEX(V10:AJ10, 1, MATCH(L$5, $U$5:$AI$5, 0))</f>
        <v>0</v>
      </c>
      <c r="N10" s="10">
        <f t="shared" ref="N10:N15" si="2">INDEX(W10:AK10, 1, MATCH(L$5, $U$5:$AI$5, 0))</f>
        <v>0</v>
      </c>
      <c r="O10" s="452"/>
      <c r="P10" s="10">
        <f t="shared" ref="P10:R15" si="3">+H10-L10</f>
        <v>0</v>
      </c>
      <c r="Q10" s="10">
        <f t="shared" si="3"/>
        <v>0</v>
      </c>
      <c r="R10" s="10">
        <f t="shared" si="3"/>
        <v>0</v>
      </c>
      <c r="S10" s="327"/>
      <c r="T10" s="327"/>
      <c r="U10" s="114"/>
      <c r="V10" s="114"/>
      <c r="W10" s="114"/>
      <c r="X10" s="327"/>
      <c r="Y10" s="114"/>
      <c r="Z10" s="114"/>
      <c r="AA10" s="114"/>
      <c r="AB10" s="327"/>
      <c r="AC10" s="114"/>
      <c r="AD10" s="114"/>
      <c r="AE10" s="114"/>
      <c r="AF10" s="327"/>
      <c r="AG10" s="114"/>
      <c r="AH10" s="114"/>
      <c r="AI10" s="114"/>
      <c r="AJ10" s="327"/>
      <c r="AK10" s="327"/>
      <c r="AL10" s="327"/>
      <c r="AM10" s="327"/>
      <c r="AN10" s="327"/>
      <c r="AO10" s="327"/>
      <c r="AP10" s="327"/>
      <c r="AQ10" s="327"/>
      <c r="AR10" s="327"/>
      <c r="AS10" s="327"/>
      <c r="AT10" s="327"/>
    </row>
    <row r="11" spans="2:57" x14ac:dyDescent="0.35">
      <c r="B11" s="434">
        <v>2</v>
      </c>
      <c r="C11" s="332" t="s">
        <v>1533</v>
      </c>
      <c r="D11" s="327" t="s">
        <v>440</v>
      </c>
      <c r="E11" s="10">
        <f>'Cash Flow Summary'!V56</f>
        <v>0</v>
      </c>
      <c r="F11" s="452"/>
      <c r="G11" s="522">
        <f>SUMIF('Cash Flow Summary'!$AA$4:$AL$4, 0, 'Cash Flow Summary'!AA56:AL56)</f>
        <v>0</v>
      </c>
      <c r="H11" s="10">
        <f>'Cash Flow Summary'!W56</f>
        <v>0</v>
      </c>
      <c r="I11" s="10">
        <f>'Cash Flow Summary'!X56</f>
        <v>0</v>
      </c>
      <c r="J11" s="10">
        <f>'Cash Flow Summary'!Y56</f>
        <v>0</v>
      </c>
      <c r="K11" s="452"/>
      <c r="L11" s="10">
        <f t="shared" si="0"/>
        <v>0</v>
      </c>
      <c r="M11" s="10">
        <f t="shared" si="1"/>
        <v>0</v>
      </c>
      <c r="N11" s="10">
        <f t="shared" si="2"/>
        <v>0</v>
      </c>
      <c r="O11" s="452"/>
      <c r="P11" s="10">
        <f t="shared" si="3"/>
        <v>0</v>
      </c>
      <c r="Q11" s="10">
        <f t="shared" si="3"/>
        <v>0</v>
      </c>
      <c r="R11" s="10">
        <f t="shared" si="3"/>
        <v>0</v>
      </c>
      <c r="S11" s="327"/>
      <c r="T11" s="327"/>
      <c r="U11" s="114"/>
      <c r="V11" s="114"/>
      <c r="W11" s="114"/>
      <c r="X11" s="327"/>
      <c r="Y11" s="114"/>
      <c r="Z11" s="114"/>
      <c r="AA11" s="114"/>
      <c r="AB11" s="327"/>
      <c r="AC11" s="114"/>
      <c r="AD11" s="114"/>
      <c r="AE11" s="114"/>
      <c r="AF11" s="327"/>
      <c r="AG11" s="114"/>
      <c r="AH11" s="114"/>
      <c r="AI11" s="114"/>
      <c r="AJ11" s="327"/>
      <c r="AK11" s="327"/>
      <c r="AL11" s="327"/>
      <c r="AM11" s="327"/>
      <c r="AN11" s="327"/>
      <c r="AO11" s="327"/>
      <c r="AP11" s="327"/>
      <c r="AQ11" s="327"/>
      <c r="AR11" s="327"/>
      <c r="AS11" s="327"/>
      <c r="AT11" s="327"/>
    </row>
    <row r="12" spans="2:57" x14ac:dyDescent="0.35">
      <c r="B12" s="434">
        <v>3</v>
      </c>
      <c r="C12" s="332" t="s">
        <v>1812</v>
      </c>
      <c r="D12" s="327" t="s">
        <v>1813</v>
      </c>
      <c r="E12" s="10">
        <f>'Cash Flow Summary'!V57</f>
        <v>0</v>
      </c>
      <c r="F12" s="452"/>
      <c r="G12" s="522">
        <f>SUMIF('Cash Flow Summary'!$AA$4:$AL$4, 0, 'Cash Flow Summary'!AA57:AL57)</f>
        <v>0</v>
      </c>
      <c r="H12" s="10">
        <f>'Cash Flow Summary'!W57</f>
        <v>0</v>
      </c>
      <c r="I12" s="10">
        <f>'Cash Flow Summary'!X57</f>
        <v>0</v>
      </c>
      <c r="J12" s="10">
        <f>'Cash Flow Summary'!Y57</f>
        <v>0</v>
      </c>
      <c r="K12" s="452"/>
      <c r="L12" s="10">
        <f t="shared" si="0"/>
        <v>0</v>
      </c>
      <c r="M12" s="10">
        <f t="shared" si="1"/>
        <v>0</v>
      </c>
      <c r="N12" s="10">
        <f t="shared" si="2"/>
        <v>0</v>
      </c>
      <c r="O12" s="452"/>
      <c r="P12" s="10">
        <f t="shared" si="3"/>
        <v>0</v>
      </c>
      <c r="Q12" s="10">
        <f t="shared" si="3"/>
        <v>0</v>
      </c>
      <c r="R12" s="10">
        <f t="shared" si="3"/>
        <v>0</v>
      </c>
      <c r="S12" s="327"/>
      <c r="T12" s="327"/>
      <c r="U12" s="114"/>
      <c r="V12" s="114"/>
      <c r="W12" s="114"/>
      <c r="X12" s="327"/>
      <c r="Y12" s="114"/>
      <c r="Z12" s="114"/>
      <c r="AA12" s="114"/>
      <c r="AB12" s="327"/>
      <c r="AC12" s="114"/>
      <c r="AD12" s="114"/>
      <c r="AE12" s="114"/>
      <c r="AF12" s="327"/>
      <c r="AG12" s="114"/>
      <c r="AH12" s="114"/>
      <c r="AI12" s="114"/>
      <c r="AJ12" s="327"/>
      <c r="AK12" s="327"/>
      <c r="AL12" s="327"/>
      <c r="AM12" s="327"/>
      <c r="AN12" s="327"/>
      <c r="AO12" s="327"/>
      <c r="AP12" s="327"/>
      <c r="AQ12" s="327"/>
      <c r="AR12" s="327"/>
      <c r="AS12" s="327"/>
      <c r="AT12" s="327"/>
    </row>
    <row r="13" spans="2:57" x14ac:dyDescent="0.35">
      <c r="B13" s="434">
        <v>4</v>
      </c>
      <c r="C13" s="332" t="s">
        <v>1539</v>
      </c>
      <c r="D13" s="327" t="s">
        <v>1540</v>
      </c>
      <c r="E13" s="10">
        <f>'Cash Flow Summary'!V58</f>
        <v>0</v>
      </c>
      <c r="F13" s="452"/>
      <c r="G13" s="522">
        <f>SUMIF('Cash Flow Summary'!$AA$4:$AL$4, 0, 'Cash Flow Summary'!AA58:AL58)</f>
        <v>0</v>
      </c>
      <c r="H13" s="10">
        <f>'Cash Flow Summary'!W58</f>
        <v>0</v>
      </c>
      <c r="I13" s="10">
        <f>'Cash Flow Summary'!X58</f>
        <v>0</v>
      </c>
      <c r="J13" s="10">
        <f>'Cash Flow Summary'!Y58</f>
        <v>0</v>
      </c>
      <c r="K13" s="452"/>
      <c r="L13" s="10">
        <f t="shared" si="0"/>
        <v>0</v>
      </c>
      <c r="M13" s="10">
        <f t="shared" si="1"/>
        <v>0</v>
      </c>
      <c r="N13" s="10">
        <f t="shared" si="2"/>
        <v>0</v>
      </c>
      <c r="O13" s="452"/>
      <c r="P13" s="10">
        <f t="shared" si="3"/>
        <v>0</v>
      </c>
      <c r="Q13" s="10">
        <f t="shared" si="3"/>
        <v>0</v>
      </c>
      <c r="R13" s="10">
        <f t="shared" si="3"/>
        <v>0</v>
      </c>
      <c r="S13" s="327"/>
      <c r="T13" s="327"/>
      <c r="U13" s="114"/>
      <c r="V13" s="114"/>
      <c r="W13" s="114"/>
      <c r="X13" s="327"/>
      <c r="Y13" s="114"/>
      <c r="Z13" s="114"/>
      <c r="AA13" s="114"/>
      <c r="AB13" s="327"/>
      <c r="AC13" s="114"/>
      <c r="AD13" s="114"/>
      <c r="AE13" s="114"/>
      <c r="AF13" s="327"/>
      <c r="AG13" s="114"/>
      <c r="AH13" s="114"/>
      <c r="AI13" s="114"/>
      <c r="AJ13" s="327"/>
      <c r="AK13" s="327"/>
      <c r="AL13" s="327"/>
      <c r="AM13" s="327"/>
      <c r="AN13" s="327"/>
      <c r="AO13" s="327"/>
      <c r="AP13" s="327"/>
      <c r="AQ13" s="327"/>
      <c r="AR13" s="327"/>
      <c r="AS13" s="327"/>
      <c r="AT13" s="327"/>
    </row>
    <row r="14" spans="2:57" x14ac:dyDescent="0.35">
      <c r="B14" s="434">
        <v>5</v>
      </c>
      <c r="C14" s="332" t="s">
        <v>1814</v>
      </c>
      <c r="D14" s="327" t="s">
        <v>1815</v>
      </c>
      <c r="E14" s="475">
        <f>'Cash Flow Summary'!V59</f>
        <v>0</v>
      </c>
      <c r="F14" s="452"/>
      <c r="G14" s="522">
        <f>SUMIF('Cash Flow Summary'!$AA$4:$AL$4, 0, 'Cash Flow Summary'!AA59:AL59)</f>
        <v>0</v>
      </c>
      <c r="H14" s="522">
        <f>'Cash Flow Summary'!W59</f>
        <v>0</v>
      </c>
      <c r="I14" s="522">
        <f>'Cash Flow Summary'!X59</f>
        <v>0</v>
      </c>
      <c r="J14" s="522">
        <f>'Cash Flow Summary'!Y59</f>
        <v>0</v>
      </c>
      <c r="K14" s="452"/>
      <c r="L14" s="475">
        <f t="shared" si="0"/>
        <v>0</v>
      </c>
      <c r="M14" s="475">
        <f t="shared" si="1"/>
        <v>0</v>
      </c>
      <c r="N14" s="475">
        <f t="shared" si="2"/>
        <v>0</v>
      </c>
      <c r="O14" s="452"/>
      <c r="P14" s="475">
        <f t="shared" si="3"/>
        <v>0</v>
      </c>
      <c r="Q14" s="475">
        <f t="shared" si="3"/>
        <v>0</v>
      </c>
      <c r="R14" s="475">
        <f t="shared" si="3"/>
        <v>0</v>
      </c>
      <c r="S14" s="327"/>
      <c r="T14" s="327"/>
      <c r="U14" s="114"/>
      <c r="V14" s="114"/>
      <c r="W14" s="114"/>
      <c r="X14" s="327"/>
      <c r="Y14" s="114"/>
      <c r="Z14" s="114"/>
      <c r="AA14" s="114"/>
      <c r="AB14" s="327"/>
      <c r="AC14" s="114"/>
      <c r="AD14" s="114"/>
      <c r="AE14" s="114"/>
      <c r="AF14" s="327"/>
      <c r="AG14" s="114"/>
      <c r="AH14" s="114"/>
      <c r="AI14" s="114"/>
      <c r="AJ14" s="327"/>
      <c r="AK14" s="327"/>
      <c r="AL14" s="327"/>
      <c r="AM14" s="327"/>
      <c r="AN14" s="327"/>
      <c r="AO14" s="327"/>
      <c r="AP14" s="327"/>
      <c r="AQ14" s="327"/>
      <c r="AR14" s="327"/>
      <c r="AS14" s="327"/>
      <c r="AT14" s="327"/>
    </row>
    <row r="15" spans="2:57" x14ac:dyDescent="0.35">
      <c r="B15" s="434">
        <v>6</v>
      </c>
      <c r="C15" s="332" t="s">
        <v>1582</v>
      </c>
      <c r="D15" s="327" t="s">
        <v>1583</v>
      </c>
      <c r="E15" s="10">
        <f>'Cash Flow Summary'!V65</f>
        <v>0</v>
      </c>
      <c r="F15" s="452"/>
      <c r="G15" s="522">
        <f>SUMIF('Cash Flow Summary'!$AA$4:$AL$4, 0, 'Cash Flow Summary'!AA65:AL65)</f>
        <v>0</v>
      </c>
      <c r="H15" s="522">
        <f>'Cash Flow Summary'!W65</f>
        <v>0</v>
      </c>
      <c r="I15" s="522">
        <f>'Cash Flow Summary'!X65</f>
        <v>0</v>
      </c>
      <c r="J15" s="522">
        <f>'Cash Flow Summary'!Y65</f>
        <v>0</v>
      </c>
      <c r="K15" s="452"/>
      <c r="L15" s="475">
        <f t="shared" si="0"/>
        <v>0</v>
      </c>
      <c r="M15" s="475">
        <f t="shared" si="1"/>
        <v>0</v>
      </c>
      <c r="N15" s="475">
        <f t="shared" si="2"/>
        <v>0</v>
      </c>
      <c r="O15" s="452"/>
      <c r="P15" s="475">
        <f t="shared" si="3"/>
        <v>0</v>
      </c>
      <c r="Q15" s="475">
        <f t="shared" si="3"/>
        <v>0</v>
      </c>
      <c r="R15" s="475">
        <f t="shared" si="3"/>
        <v>0</v>
      </c>
      <c r="S15" s="327"/>
      <c r="T15" s="327"/>
      <c r="U15" s="114"/>
      <c r="V15" s="114"/>
      <c r="W15" s="114"/>
      <c r="X15" s="327"/>
      <c r="Y15" s="114"/>
      <c r="Z15" s="114"/>
      <c r="AA15" s="114"/>
      <c r="AB15" s="327"/>
      <c r="AC15" s="114"/>
      <c r="AD15" s="114"/>
      <c r="AE15" s="114"/>
      <c r="AF15" s="327"/>
      <c r="AG15" s="114"/>
      <c r="AH15" s="114"/>
      <c r="AI15" s="114"/>
      <c r="AJ15" s="327"/>
      <c r="AK15" s="327"/>
      <c r="AL15" s="327"/>
      <c r="AM15" s="327"/>
      <c r="AN15" s="327"/>
      <c r="AO15" s="327"/>
      <c r="AP15" s="327"/>
      <c r="AQ15" s="327"/>
      <c r="AR15" s="327"/>
      <c r="AS15" s="327"/>
      <c r="AT15" s="327"/>
    </row>
    <row r="16" spans="2:57" x14ac:dyDescent="0.35">
      <c r="D16" s="328" t="s">
        <v>2654</v>
      </c>
      <c r="E16" s="12">
        <f>SUM(E10:E15)</f>
        <v>0</v>
      </c>
      <c r="F16" s="333"/>
      <c r="G16" s="12">
        <f>SUM(G10:G15)</f>
        <v>0</v>
      </c>
      <c r="H16" s="12">
        <f>SUM(H10:H15)</f>
        <v>0</v>
      </c>
      <c r="I16" s="12">
        <f>SUM(I10:I15)</f>
        <v>0</v>
      </c>
      <c r="J16" s="12">
        <f>SUM(J10:J15)</f>
        <v>0</v>
      </c>
      <c r="K16" s="333"/>
      <c r="L16" s="12">
        <f>SUM(L10:L15)</f>
        <v>0</v>
      </c>
      <c r="M16" s="12">
        <f>SUM(M10:M15)</f>
        <v>0</v>
      </c>
      <c r="N16" s="12">
        <f>SUM(N10:N15)</f>
        <v>0</v>
      </c>
      <c r="O16" s="333"/>
      <c r="P16" s="12">
        <f>SUM(P10:P15)</f>
        <v>0</v>
      </c>
      <c r="Q16" s="12">
        <f>SUM(Q10:Q15)</f>
        <v>0</v>
      </c>
      <c r="R16" s="12">
        <f>SUM(R10:R15)</f>
        <v>0</v>
      </c>
      <c r="S16" s="327"/>
      <c r="T16" s="327"/>
      <c r="U16" s="12">
        <f>SUM(U10:U15)</f>
        <v>0</v>
      </c>
      <c r="V16" s="12">
        <f>SUM(V10:V15)</f>
        <v>0</v>
      </c>
      <c r="W16" s="12">
        <f>SUM(W10:W15)</f>
        <v>0</v>
      </c>
      <c r="X16" s="327"/>
      <c r="Y16" s="12">
        <f>SUM(Y10:Y15)</f>
        <v>0</v>
      </c>
      <c r="Z16" s="12">
        <f>SUM(Z10:Z15)</f>
        <v>0</v>
      </c>
      <c r="AA16" s="12">
        <f>SUM(AA10:AA15)</f>
        <v>0</v>
      </c>
      <c r="AB16" s="327"/>
      <c r="AC16" s="12">
        <f>SUM(AC10:AC15)</f>
        <v>0</v>
      </c>
      <c r="AD16" s="12">
        <f>SUM(AD10:AD15)</f>
        <v>0</v>
      </c>
      <c r="AE16" s="12">
        <f>SUM(AE10:AE15)</f>
        <v>0</v>
      </c>
      <c r="AF16" s="327"/>
      <c r="AG16" s="12">
        <f>SUM(AG10:AG15)</f>
        <v>0</v>
      </c>
      <c r="AH16" s="12">
        <f>SUM(AH10:AH15)</f>
        <v>0</v>
      </c>
      <c r="AI16" s="12">
        <f>SUM(AI10:AI15)</f>
        <v>0</v>
      </c>
      <c r="AJ16" s="327"/>
      <c r="AK16" s="327"/>
      <c r="AL16" s="327"/>
      <c r="AM16" s="327"/>
      <c r="AN16" s="327"/>
      <c r="AO16" s="327"/>
      <c r="AP16" s="327"/>
      <c r="AQ16" s="327"/>
      <c r="AR16" s="327"/>
      <c r="AS16" s="327"/>
      <c r="AT16" s="327"/>
    </row>
    <row r="17" spans="2:46" x14ac:dyDescent="0.35">
      <c r="B17"/>
      <c r="C17"/>
      <c r="D17"/>
      <c r="E17"/>
      <c r="F17"/>
      <c r="G17"/>
      <c r="H17" s="506"/>
      <c r="I17"/>
      <c r="J17"/>
      <c r="K17"/>
      <c r="L17"/>
      <c r="M17"/>
      <c r="N17"/>
      <c r="O17"/>
      <c r="U17"/>
      <c r="V17"/>
      <c r="W17"/>
      <c r="Y17"/>
      <c r="Z17"/>
      <c r="AA17"/>
      <c r="AC17"/>
      <c r="AD17"/>
      <c r="AE17"/>
      <c r="AG17"/>
      <c r="AH17"/>
      <c r="AI17"/>
    </row>
    <row r="18" spans="2:46" x14ac:dyDescent="0.35">
      <c r="B18"/>
      <c r="C18"/>
      <c r="D18"/>
      <c r="E18"/>
      <c r="F18"/>
      <c r="G18"/>
      <c r="H18"/>
      <c r="I18"/>
      <c r="J18"/>
      <c r="K18"/>
      <c r="L18"/>
      <c r="M18"/>
      <c r="N18"/>
      <c r="O18"/>
      <c r="U18"/>
      <c r="V18"/>
      <c r="W18"/>
      <c r="Y18"/>
      <c r="Z18"/>
      <c r="AA18"/>
      <c r="AC18"/>
      <c r="AD18"/>
      <c r="AE18"/>
      <c r="AG18"/>
      <c r="AH18"/>
      <c r="AI18"/>
    </row>
    <row r="19" spans="2:46" x14ac:dyDescent="0.35">
      <c r="B19" s="434">
        <v>7</v>
      </c>
      <c r="C19" s="332" t="s">
        <v>1816</v>
      </c>
      <c r="D19" s="327" t="s">
        <v>1817</v>
      </c>
      <c r="E19" s="10">
        <f>'Cash Flow Summary'!V61</f>
        <v>0</v>
      </c>
      <c r="F19" s="452"/>
      <c r="G19" s="522">
        <f>SUMIF('Cash Flow Summary'!$AA$4:$AL$4, 0, 'Cash Flow Summary'!AA61:AL61)</f>
        <v>0</v>
      </c>
      <c r="H19" s="10">
        <f>'Cash Flow Summary'!W61</f>
        <v>0</v>
      </c>
      <c r="I19" s="10">
        <f>'Cash Flow Summary'!X61</f>
        <v>0</v>
      </c>
      <c r="J19" s="10">
        <f>'Cash Flow Summary'!Y61</f>
        <v>0</v>
      </c>
      <c r="K19" s="452"/>
      <c r="L19" s="10">
        <f>INDEX(U19:AI19, 1, MATCH(L$5, $U$5:$AI$5, 0))</f>
        <v>0</v>
      </c>
      <c r="M19" s="10">
        <f>INDEX(V19:AJ19, 1, MATCH(L$5, $U$5:$AI$5, 0))</f>
        <v>0</v>
      </c>
      <c r="N19" s="10">
        <f>INDEX(W19:AK19, 1, MATCH(L$5, $U$5:$AI$5, 0))</f>
        <v>0</v>
      </c>
      <c r="O19" s="452"/>
      <c r="P19" s="10">
        <f t="shared" ref="P19:R21" si="4">+H19-L19</f>
        <v>0</v>
      </c>
      <c r="Q19" s="10">
        <f t="shared" si="4"/>
        <v>0</v>
      </c>
      <c r="R19" s="10">
        <f t="shared" si="4"/>
        <v>0</v>
      </c>
      <c r="S19" s="327"/>
      <c r="T19" s="327"/>
      <c r="U19" s="114"/>
      <c r="V19" s="114"/>
      <c r="W19" s="114"/>
      <c r="X19" s="327"/>
      <c r="Y19" s="114"/>
      <c r="Z19" s="114"/>
      <c r="AA19" s="114"/>
      <c r="AB19" s="327"/>
      <c r="AC19" s="114"/>
      <c r="AD19" s="114"/>
      <c r="AE19" s="114"/>
      <c r="AF19" s="327"/>
      <c r="AG19" s="114"/>
      <c r="AH19" s="114"/>
      <c r="AI19" s="114"/>
      <c r="AJ19" s="327"/>
      <c r="AK19" s="327"/>
      <c r="AL19" s="327"/>
      <c r="AM19" s="327"/>
      <c r="AN19" s="327"/>
      <c r="AO19" s="327"/>
      <c r="AP19" s="327"/>
      <c r="AQ19" s="327"/>
      <c r="AR19" s="327"/>
      <c r="AS19" s="327"/>
      <c r="AT19" s="327"/>
    </row>
    <row r="20" spans="2:46" x14ac:dyDescent="0.35">
      <c r="B20" s="434">
        <v>8</v>
      </c>
      <c r="C20" s="332" t="s">
        <v>1818</v>
      </c>
      <c r="D20" s="327" t="s">
        <v>1819</v>
      </c>
      <c r="E20" s="10">
        <f>'Cash Flow Summary'!V62</f>
        <v>0</v>
      </c>
      <c r="F20" s="452"/>
      <c r="G20" s="522">
        <f>SUMIF('Cash Flow Summary'!$AA$4:$AL$4, 0, 'Cash Flow Summary'!AA62:AL62)</f>
        <v>0</v>
      </c>
      <c r="H20" s="10">
        <f>'Cash Flow Summary'!W62</f>
        <v>0</v>
      </c>
      <c r="I20" s="10">
        <f>'Cash Flow Summary'!X62</f>
        <v>0</v>
      </c>
      <c r="J20" s="10">
        <f>'Cash Flow Summary'!Y62</f>
        <v>0</v>
      </c>
      <c r="K20" s="452"/>
      <c r="L20" s="10">
        <f>INDEX(U20:AI20, 1, MATCH(L$5, $U$5:$AI$5, 0))</f>
        <v>0</v>
      </c>
      <c r="M20" s="10">
        <f>INDEX(V20:AJ20, 1, MATCH(L$5, $U$5:$AI$5, 0))</f>
        <v>0</v>
      </c>
      <c r="N20" s="10">
        <f>INDEX(W20:AK20, 1, MATCH(L$5, $U$5:$AI$5, 0))</f>
        <v>0</v>
      </c>
      <c r="O20" s="452"/>
      <c r="P20" s="10">
        <f t="shared" si="4"/>
        <v>0</v>
      </c>
      <c r="Q20" s="10">
        <f t="shared" si="4"/>
        <v>0</v>
      </c>
      <c r="R20" s="10">
        <f t="shared" si="4"/>
        <v>0</v>
      </c>
      <c r="S20" s="327"/>
      <c r="T20" s="327"/>
      <c r="U20" s="114"/>
      <c r="V20" s="114"/>
      <c r="W20" s="114"/>
      <c r="X20" s="327"/>
      <c r="Y20" s="114"/>
      <c r="Z20" s="114"/>
      <c r="AA20" s="114"/>
      <c r="AB20" s="327"/>
      <c r="AC20" s="114"/>
      <c r="AD20" s="114"/>
      <c r="AE20" s="114"/>
      <c r="AF20" s="327"/>
      <c r="AG20" s="114"/>
      <c r="AH20" s="114"/>
      <c r="AI20" s="114"/>
      <c r="AJ20" s="327"/>
      <c r="AK20" s="327"/>
      <c r="AL20" s="327"/>
      <c r="AM20" s="327"/>
      <c r="AN20" s="327"/>
      <c r="AO20" s="327"/>
      <c r="AP20" s="327"/>
      <c r="AQ20" s="327"/>
      <c r="AR20" s="327"/>
      <c r="AS20" s="327"/>
      <c r="AT20" s="327"/>
    </row>
    <row r="21" spans="2:46" x14ac:dyDescent="0.35">
      <c r="B21" s="434">
        <v>9</v>
      </c>
      <c r="C21" s="332" t="s">
        <v>1820</v>
      </c>
      <c r="D21" s="327" t="s">
        <v>1821</v>
      </c>
      <c r="E21" s="10">
        <f>'Cash Flow Summary'!V63</f>
        <v>0</v>
      </c>
      <c r="F21" s="452"/>
      <c r="G21" s="522">
        <f>SUMIF('Cash Flow Summary'!$AA$4:$AL$4, 0, 'Cash Flow Summary'!AA63:AL63)</f>
        <v>0</v>
      </c>
      <c r="H21" s="10">
        <f>'Cash Flow Summary'!W63</f>
        <v>0</v>
      </c>
      <c r="I21" s="10">
        <f>'Cash Flow Summary'!X63</f>
        <v>0</v>
      </c>
      <c r="J21" s="10">
        <f>'Cash Flow Summary'!Y63</f>
        <v>0</v>
      </c>
      <c r="K21" s="452"/>
      <c r="L21" s="10">
        <f>INDEX(U21:AI21, 1, MATCH(L$5, $U$5:$AI$5, 0))</f>
        <v>0</v>
      </c>
      <c r="M21" s="10">
        <f>INDEX(V21:AJ21, 1, MATCH(L$5, $U$5:$AI$5, 0))</f>
        <v>0</v>
      </c>
      <c r="N21" s="10">
        <f>INDEX(W21:AK21, 1, MATCH(L$5, $U$5:$AI$5, 0))</f>
        <v>0</v>
      </c>
      <c r="O21" s="452"/>
      <c r="P21" s="10">
        <f t="shared" si="4"/>
        <v>0</v>
      </c>
      <c r="Q21" s="10">
        <f t="shared" si="4"/>
        <v>0</v>
      </c>
      <c r="R21" s="10">
        <f t="shared" si="4"/>
        <v>0</v>
      </c>
      <c r="S21" s="327"/>
      <c r="T21" s="327"/>
      <c r="U21" s="114"/>
      <c r="V21" s="114"/>
      <c r="W21" s="114"/>
      <c r="X21" s="327"/>
      <c r="Y21" s="114"/>
      <c r="Z21" s="114"/>
      <c r="AA21" s="114"/>
      <c r="AB21" s="327"/>
      <c r="AC21" s="114"/>
      <c r="AD21" s="114"/>
      <c r="AE21" s="114"/>
      <c r="AF21" s="327"/>
      <c r="AG21" s="114"/>
      <c r="AH21" s="114"/>
      <c r="AI21" s="114"/>
      <c r="AJ21" s="327"/>
      <c r="AK21" s="327"/>
      <c r="AL21" s="327"/>
      <c r="AM21" s="327"/>
      <c r="AN21" s="327"/>
      <c r="AO21" s="327"/>
      <c r="AP21" s="327"/>
      <c r="AQ21" s="327"/>
      <c r="AR21" s="327"/>
      <c r="AS21" s="327"/>
      <c r="AT21" s="327"/>
    </row>
    <row r="22" spans="2:46" x14ac:dyDescent="0.35">
      <c r="D22" s="328" t="s">
        <v>2655</v>
      </c>
      <c r="E22" s="12">
        <f>SUM(E19:E21)</f>
        <v>0</v>
      </c>
      <c r="F22" s="333"/>
      <c r="G22" s="12">
        <f>SUM(G19:G21)</f>
        <v>0</v>
      </c>
      <c r="H22" s="12">
        <f>SUM(H19:H21)</f>
        <v>0</v>
      </c>
      <c r="I22" s="12">
        <f>SUM(I19:I21)</f>
        <v>0</v>
      </c>
      <c r="J22" s="12">
        <f>SUM(J19:J21)</f>
        <v>0</v>
      </c>
      <c r="K22" s="333"/>
      <c r="L22" s="12">
        <f>SUM(L19:L21)</f>
        <v>0</v>
      </c>
      <c r="M22" s="12">
        <f>SUM(M19:M21)</f>
        <v>0</v>
      </c>
      <c r="N22" s="12">
        <f>SUM(N19:N21)</f>
        <v>0</v>
      </c>
      <c r="O22" s="333"/>
      <c r="P22" s="12">
        <f>SUM(P19:P21)</f>
        <v>0</v>
      </c>
      <c r="Q22" s="12">
        <f>SUM(Q19:Q21)</f>
        <v>0</v>
      </c>
      <c r="R22" s="12">
        <f>SUM(R19:R21)</f>
        <v>0</v>
      </c>
      <c r="S22" s="327"/>
      <c r="T22" s="327"/>
      <c r="U22" s="12">
        <f>SUM(U19:U21)</f>
        <v>0</v>
      </c>
      <c r="V22" s="12">
        <f>SUM(V19:V21)</f>
        <v>0</v>
      </c>
      <c r="W22" s="12">
        <f>SUM(W19:W21)</f>
        <v>0</v>
      </c>
      <c r="X22" s="327"/>
      <c r="Y22" s="12">
        <f>SUM(Y19:Y21)</f>
        <v>0</v>
      </c>
      <c r="Z22" s="12">
        <f>SUM(Z19:Z21)</f>
        <v>0</v>
      </c>
      <c r="AA22" s="12">
        <f>SUM(AA19:AA21)</f>
        <v>0</v>
      </c>
      <c r="AB22" s="327"/>
      <c r="AC22" s="12">
        <f>SUM(AC19:AC21)</f>
        <v>0</v>
      </c>
      <c r="AD22" s="12">
        <f>SUM(AD19:AD21)</f>
        <v>0</v>
      </c>
      <c r="AE22" s="12">
        <f>SUM(AE19:AE21)</f>
        <v>0</v>
      </c>
      <c r="AF22" s="327"/>
      <c r="AG22" s="12">
        <f>SUM(AG19:AG21)</f>
        <v>0</v>
      </c>
      <c r="AH22" s="12">
        <f>SUM(AH19:AH21)</f>
        <v>0</v>
      </c>
      <c r="AI22" s="12">
        <f>SUM(AI19:AI21)</f>
        <v>0</v>
      </c>
      <c r="AJ22" s="327"/>
      <c r="AK22" s="327"/>
      <c r="AL22" s="327"/>
      <c r="AM22" s="327"/>
      <c r="AN22" s="327"/>
      <c r="AO22" s="327"/>
      <c r="AP22" s="327"/>
      <c r="AQ22" s="327"/>
      <c r="AR22" s="327"/>
      <c r="AS22" s="327"/>
      <c r="AT22" s="327"/>
    </row>
    <row r="23" spans="2:46" ht="9" customHeight="1" x14ac:dyDescent="0.35">
      <c r="E23" s="452"/>
      <c r="F23" s="452"/>
      <c r="G23" s="452"/>
      <c r="H23" s="452"/>
      <c r="I23" s="452"/>
      <c r="J23" s="452"/>
      <c r="K23" s="452"/>
      <c r="L23" s="452"/>
      <c r="M23" s="452"/>
      <c r="N23" s="452"/>
      <c r="O23" s="452"/>
      <c r="P23" s="452"/>
      <c r="Q23" s="452"/>
      <c r="R23" s="452"/>
      <c r="S23" s="327"/>
      <c r="T23" s="327"/>
      <c r="X23" s="327"/>
      <c r="AB23" s="327"/>
      <c r="AF23" s="327"/>
      <c r="AJ23" s="327"/>
      <c r="AK23" s="327"/>
      <c r="AL23" s="327"/>
      <c r="AM23" s="327"/>
      <c r="AN23" s="327"/>
      <c r="AO23" s="327"/>
      <c r="AP23" s="327"/>
      <c r="AQ23" s="327"/>
      <c r="AR23" s="327"/>
      <c r="AS23" s="327"/>
      <c r="AT23" s="327"/>
    </row>
    <row r="24" spans="2:46" ht="9.75" customHeight="1" x14ac:dyDescent="0.35">
      <c r="E24" s="452"/>
      <c r="F24" s="452"/>
      <c r="G24" s="452"/>
      <c r="H24" s="452"/>
      <c r="I24" s="452"/>
      <c r="J24" s="452"/>
      <c r="K24" s="452"/>
      <c r="L24" s="452"/>
      <c r="M24" s="452"/>
      <c r="N24" s="452"/>
      <c r="O24" s="452"/>
      <c r="P24" s="452"/>
      <c r="Q24" s="452"/>
      <c r="R24" s="452"/>
      <c r="S24" s="327"/>
      <c r="T24" s="327"/>
      <c r="X24" s="327"/>
      <c r="AB24" s="327"/>
      <c r="AF24" s="327"/>
      <c r="AJ24" s="327"/>
      <c r="AK24" s="327"/>
      <c r="AL24" s="327"/>
      <c r="AM24" s="327"/>
      <c r="AN24" s="327"/>
      <c r="AO24" s="327"/>
      <c r="AP24" s="327"/>
      <c r="AQ24" s="327"/>
      <c r="AR24" s="327"/>
      <c r="AS24" s="327"/>
      <c r="AT24" s="327"/>
    </row>
    <row r="25" spans="2:46" x14ac:dyDescent="0.35">
      <c r="B25" s="434">
        <v>10</v>
      </c>
      <c r="C25" s="332" t="s">
        <v>1587</v>
      </c>
      <c r="D25" s="327" t="s">
        <v>1823</v>
      </c>
      <c r="E25" s="10">
        <f>'Cash Flow Summary'!V71</f>
        <v>0</v>
      </c>
      <c r="F25" s="452"/>
      <c r="G25" s="522">
        <f>SUMIF('Cash Flow Summary'!$AA$4:$AL$4, 0, 'Cash Flow Summary'!AA71:AL71)</f>
        <v>0</v>
      </c>
      <c r="H25" s="10">
        <f>'Cash Flow Summary'!W71</f>
        <v>0</v>
      </c>
      <c r="I25" s="10">
        <f>'Cash Flow Summary'!X71</f>
        <v>0</v>
      </c>
      <c r="J25" s="10">
        <f>'Cash Flow Summary'!Y71</f>
        <v>0</v>
      </c>
      <c r="K25" s="452"/>
      <c r="L25" s="10">
        <f t="shared" ref="L25:L31" si="5">INDEX(U25:AI25, 1, MATCH(L$5, $U$5:$AI$5, 0))</f>
        <v>0</v>
      </c>
      <c r="M25" s="10">
        <f t="shared" ref="M25:M31" si="6">INDEX(V25:AJ25, 1, MATCH(L$5, $U$5:$AI$5, 0))</f>
        <v>0</v>
      </c>
      <c r="N25" s="10">
        <f t="shared" ref="N25:N31" si="7">INDEX(W25:AK25, 1, MATCH(L$5, $U$5:$AI$5, 0))</f>
        <v>0</v>
      </c>
      <c r="O25" s="452"/>
      <c r="P25" s="10">
        <f t="shared" ref="P25:R31" si="8">+H25-L25</f>
        <v>0</v>
      </c>
      <c r="Q25" s="10">
        <f t="shared" si="8"/>
        <v>0</v>
      </c>
      <c r="R25" s="10">
        <f t="shared" si="8"/>
        <v>0</v>
      </c>
      <c r="S25" s="327"/>
      <c r="T25" s="327"/>
      <c r="U25" s="114"/>
      <c r="V25" s="114"/>
      <c r="W25" s="114"/>
      <c r="X25" s="327"/>
      <c r="Y25" s="114"/>
      <c r="Z25" s="114"/>
      <c r="AA25" s="114"/>
      <c r="AB25" s="327"/>
      <c r="AC25" s="114"/>
      <c r="AD25" s="114"/>
      <c r="AE25" s="114"/>
      <c r="AF25" s="327"/>
      <c r="AG25" s="114"/>
      <c r="AH25" s="114"/>
      <c r="AI25" s="114"/>
      <c r="AJ25" s="327"/>
      <c r="AK25" s="327"/>
      <c r="AL25" s="327"/>
      <c r="AM25" s="327"/>
      <c r="AN25" s="327"/>
      <c r="AO25" s="327"/>
      <c r="AP25" s="327"/>
      <c r="AQ25" s="327"/>
      <c r="AR25" s="327"/>
      <c r="AS25" s="327"/>
      <c r="AT25" s="327"/>
    </row>
    <row r="26" spans="2:46" x14ac:dyDescent="0.35">
      <c r="B26" s="434">
        <v>11</v>
      </c>
      <c r="C26" s="332" t="s">
        <v>1589</v>
      </c>
      <c r="D26" s="327" t="s">
        <v>1824</v>
      </c>
      <c r="E26" s="10">
        <f>'Cash Flow Summary'!V72</f>
        <v>0</v>
      </c>
      <c r="F26" s="452"/>
      <c r="G26" s="522">
        <f>SUMIF('Cash Flow Summary'!$AA$4:$AL$4, 0, 'Cash Flow Summary'!AA72:AL72)</f>
        <v>0</v>
      </c>
      <c r="H26" s="10">
        <f>'Cash Flow Summary'!W72</f>
        <v>0</v>
      </c>
      <c r="I26" s="10">
        <f>'Cash Flow Summary'!X72</f>
        <v>0</v>
      </c>
      <c r="J26" s="10">
        <f>'Cash Flow Summary'!Y72</f>
        <v>0</v>
      </c>
      <c r="K26" s="452"/>
      <c r="L26" s="10">
        <f t="shared" si="5"/>
        <v>0</v>
      </c>
      <c r="M26" s="10">
        <f t="shared" si="6"/>
        <v>0</v>
      </c>
      <c r="N26" s="10">
        <f t="shared" si="7"/>
        <v>0</v>
      </c>
      <c r="O26" s="452"/>
      <c r="P26" s="10">
        <f t="shared" si="8"/>
        <v>0</v>
      </c>
      <c r="Q26" s="10">
        <f t="shared" si="8"/>
        <v>0</v>
      </c>
      <c r="R26" s="10">
        <f t="shared" si="8"/>
        <v>0</v>
      </c>
      <c r="S26" s="327"/>
      <c r="T26" s="327"/>
      <c r="U26" s="114"/>
      <c r="V26" s="114"/>
      <c r="W26" s="114"/>
      <c r="X26" s="327"/>
      <c r="Y26" s="114"/>
      <c r="Z26" s="114"/>
      <c r="AA26" s="114"/>
      <c r="AB26" s="327"/>
      <c r="AC26" s="114"/>
      <c r="AD26" s="114"/>
      <c r="AE26" s="114"/>
      <c r="AF26" s="327"/>
      <c r="AG26" s="114"/>
      <c r="AH26" s="114"/>
      <c r="AI26" s="114"/>
      <c r="AJ26" s="327"/>
      <c r="AK26" s="327"/>
      <c r="AL26" s="327"/>
      <c r="AM26" s="327"/>
      <c r="AN26" s="327"/>
      <c r="AO26" s="327"/>
      <c r="AP26" s="327"/>
      <c r="AQ26" s="327"/>
      <c r="AR26" s="327"/>
      <c r="AS26" s="327"/>
      <c r="AT26" s="327"/>
    </row>
    <row r="27" spans="2:46" x14ac:dyDescent="0.35">
      <c r="B27" s="434">
        <v>12</v>
      </c>
      <c r="C27" s="332" t="s">
        <v>1825</v>
      </c>
      <c r="D27" s="327" t="s">
        <v>1826</v>
      </c>
      <c r="E27" s="10">
        <f>'Cash Flow Summary'!V73</f>
        <v>0</v>
      </c>
      <c r="F27" s="452"/>
      <c r="G27" s="522">
        <f>SUMIF('Cash Flow Summary'!$AA$4:$AL$4, 0, 'Cash Flow Summary'!AA73:AL73)</f>
        <v>0</v>
      </c>
      <c r="H27" s="10">
        <f>'Cash Flow Summary'!W73</f>
        <v>0</v>
      </c>
      <c r="I27" s="10">
        <f>'Cash Flow Summary'!X73</f>
        <v>0</v>
      </c>
      <c r="J27" s="10">
        <f>'Cash Flow Summary'!Y73</f>
        <v>0</v>
      </c>
      <c r="K27" s="452"/>
      <c r="L27" s="10">
        <f t="shared" si="5"/>
        <v>0</v>
      </c>
      <c r="M27" s="10">
        <f t="shared" si="6"/>
        <v>0</v>
      </c>
      <c r="N27" s="10">
        <f t="shared" si="7"/>
        <v>0</v>
      </c>
      <c r="O27" s="452"/>
      <c r="P27" s="10">
        <f t="shared" si="8"/>
        <v>0</v>
      </c>
      <c r="Q27" s="10">
        <f t="shared" si="8"/>
        <v>0</v>
      </c>
      <c r="R27" s="10">
        <f t="shared" si="8"/>
        <v>0</v>
      </c>
      <c r="S27" s="327"/>
      <c r="T27" s="327"/>
      <c r="U27" s="114"/>
      <c r="V27" s="114"/>
      <c r="W27" s="114"/>
      <c r="X27" s="327"/>
      <c r="Y27" s="114"/>
      <c r="Z27" s="114"/>
      <c r="AA27" s="114"/>
      <c r="AB27" s="327"/>
      <c r="AC27" s="114"/>
      <c r="AD27" s="114"/>
      <c r="AE27" s="114"/>
      <c r="AF27" s="327"/>
      <c r="AG27" s="114"/>
      <c r="AH27" s="114"/>
      <c r="AI27" s="114"/>
      <c r="AJ27" s="327"/>
      <c r="AK27" s="327"/>
      <c r="AL27" s="327"/>
      <c r="AM27" s="327"/>
      <c r="AN27" s="327"/>
      <c r="AO27" s="327"/>
      <c r="AP27" s="327"/>
      <c r="AQ27" s="327"/>
      <c r="AR27" s="327"/>
      <c r="AS27" s="327"/>
      <c r="AT27" s="327"/>
    </row>
    <row r="28" spans="2:46" x14ac:dyDescent="0.35">
      <c r="B28" s="434">
        <v>13</v>
      </c>
      <c r="C28" s="332" t="s">
        <v>1603</v>
      </c>
      <c r="D28" s="327" t="s">
        <v>1604</v>
      </c>
      <c r="E28" s="10">
        <f>'Cash Flow Summary'!V74</f>
        <v>0</v>
      </c>
      <c r="F28" s="452"/>
      <c r="G28" s="522">
        <f>SUMIF('Cash Flow Summary'!$AA$4:$AL$4, 0, 'Cash Flow Summary'!AA74:AL74)</f>
        <v>0</v>
      </c>
      <c r="H28" s="10">
        <f>'Cash Flow Summary'!W74</f>
        <v>0</v>
      </c>
      <c r="I28" s="10">
        <f>'Cash Flow Summary'!X74</f>
        <v>0</v>
      </c>
      <c r="J28" s="10">
        <f>'Cash Flow Summary'!Y74</f>
        <v>0</v>
      </c>
      <c r="K28" s="452"/>
      <c r="L28" s="10">
        <f t="shared" si="5"/>
        <v>0</v>
      </c>
      <c r="M28" s="10">
        <f t="shared" si="6"/>
        <v>0</v>
      </c>
      <c r="N28" s="10">
        <f t="shared" si="7"/>
        <v>0</v>
      </c>
      <c r="O28" s="452"/>
      <c r="P28" s="10">
        <f t="shared" si="8"/>
        <v>0</v>
      </c>
      <c r="Q28" s="10">
        <f t="shared" si="8"/>
        <v>0</v>
      </c>
      <c r="R28" s="10">
        <f t="shared" si="8"/>
        <v>0</v>
      </c>
      <c r="S28" s="327"/>
      <c r="T28" s="327"/>
      <c r="U28" s="114"/>
      <c r="V28" s="114"/>
      <c r="W28" s="114"/>
      <c r="X28" s="327"/>
      <c r="Y28" s="114"/>
      <c r="Z28" s="114"/>
      <c r="AA28" s="114"/>
      <c r="AB28" s="327"/>
      <c r="AC28" s="114"/>
      <c r="AD28" s="114"/>
      <c r="AE28" s="114"/>
      <c r="AF28" s="327"/>
      <c r="AG28" s="114"/>
      <c r="AH28" s="114"/>
      <c r="AI28" s="114"/>
      <c r="AJ28" s="327"/>
      <c r="AK28" s="327"/>
      <c r="AL28" s="327"/>
      <c r="AM28" s="327"/>
      <c r="AN28" s="327"/>
      <c r="AO28" s="327"/>
      <c r="AP28" s="327"/>
      <c r="AQ28" s="327"/>
      <c r="AR28" s="327"/>
      <c r="AS28" s="327"/>
      <c r="AT28" s="327"/>
    </row>
    <row r="29" spans="2:46" x14ac:dyDescent="0.35">
      <c r="B29" s="434">
        <v>14</v>
      </c>
      <c r="C29" s="332" t="s">
        <v>1605</v>
      </c>
      <c r="D29" s="327" t="s">
        <v>1827</v>
      </c>
      <c r="E29" s="10">
        <f>'Cash Flow Summary'!V75</f>
        <v>0</v>
      </c>
      <c r="F29" s="452"/>
      <c r="G29" s="522">
        <f>SUMIF('Cash Flow Summary'!$AA$4:$AL$4, 0, 'Cash Flow Summary'!AA75:AL75)</f>
        <v>0</v>
      </c>
      <c r="H29" s="10">
        <f>'Cash Flow Summary'!W75</f>
        <v>0</v>
      </c>
      <c r="I29" s="10">
        <f>'Cash Flow Summary'!X75</f>
        <v>0</v>
      </c>
      <c r="J29" s="10">
        <f>'Cash Flow Summary'!Y75</f>
        <v>0</v>
      </c>
      <c r="K29" s="452"/>
      <c r="L29" s="10">
        <f t="shared" si="5"/>
        <v>0</v>
      </c>
      <c r="M29" s="10">
        <f t="shared" si="6"/>
        <v>0</v>
      </c>
      <c r="N29" s="10">
        <f t="shared" si="7"/>
        <v>0</v>
      </c>
      <c r="O29" s="452"/>
      <c r="P29" s="10">
        <f t="shared" si="8"/>
        <v>0</v>
      </c>
      <c r="Q29" s="10">
        <f t="shared" si="8"/>
        <v>0</v>
      </c>
      <c r="R29" s="10">
        <f t="shared" si="8"/>
        <v>0</v>
      </c>
      <c r="S29" s="327"/>
      <c r="T29" s="327"/>
      <c r="U29" s="114"/>
      <c r="V29" s="114"/>
      <c r="W29" s="114"/>
      <c r="X29" s="327"/>
      <c r="Y29" s="114"/>
      <c r="Z29" s="114"/>
      <c r="AA29" s="114"/>
      <c r="AB29" s="327"/>
      <c r="AC29" s="114"/>
      <c r="AD29" s="114"/>
      <c r="AE29" s="114"/>
      <c r="AF29" s="327"/>
      <c r="AG29" s="114"/>
      <c r="AH29" s="114"/>
      <c r="AI29" s="114"/>
      <c r="AJ29" s="327"/>
      <c r="AK29" s="327"/>
      <c r="AL29" s="327"/>
      <c r="AM29" s="327"/>
      <c r="AN29" s="327"/>
      <c r="AO29" s="327"/>
      <c r="AP29" s="327"/>
      <c r="AQ29" s="327"/>
      <c r="AR29" s="327"/>
      <c r="AS29" s="327"/>
      <c r="AT29" s="327"/>
    </row>
    <row r="30" spans="2:46" x14ac:dyDescent="0.35">
      <c r="B30" s="434">
        <v>15</v>
      </c>
      <c r="C30" s="332" t="s">
        <v>1607</v>
      </c>
      <c r="D30" s="327" t="s">
        <v>1828</v>
      </c>
      <c r="E30" s="10">
        <f>'Cash Flow Summary'!V76</f>
        <v>0</v>
      </c>
      <c r="F30" s="452"/>
      <c r="G30" s="522">
        <f>SUMIF('Cash Flow Summary'!$AA$4:$AL$4, 0, 'Cash Flow Summary'!AA76:AL76)</f>
        <v>0</v>
      </c>
      <c r="H30" s="10">
        <f>'Cash Flow Summary'!W76</f>
        <v>0</v>
      </c>
      <c r="I30" s="10">
        <f>'Cash Flow Summary'!X76</f>
        <v>0</v>
      </c>
      <c r="J30" s="10">
        <f>'Cash Flow Summary'!Y76</f>
        <v>0</v>
      </c>
      <c r="K30" s="452"/>
      <c r="L30" s="475">
        <f t="shared" si="5"/>
        <v>0</v>
      </c>
      <c r="M30" s="475">
        <f t="shared" si="6"/>
        <v>0</v>
      </c>
      <c r="N30" s="475">
        <f t="shared" si="7"/>
        <v>0</v>
      </c>
      <c r="O30" s="452"/>
      <c r="P30" s="475">
        <f t="shared" si="8"/>
        <v>0</v>
      </c>
      <c r="Q30" s="475">
        <f t="shared" si="8"/>
        <v>0</v>
      </c>
      <c r="R30" s="475">
        <f t="shared" si="8"/>
        <v>0</v>
      </c>
      <c r="S30" s="327"/>
      <c r="T30" s="327"/>
      <c r="U30" s="114"/>
      <c r="V30" s="114"/>
      <c r="W30" s="114"/>
      <c r="X30" s="327"/>
      <c r="Y30" s="114"/>
      <c r="Z30" s="114"/>
      <c r="AA30" s="114"/>
      <c r="AB30" s="327"/>
      <c r="AC30" s="114"/>
      <c r="AD30" s="114"/>
      <c r="AE30" s="114"/>
      <c r="AF30" s="327"/>
      <c r="AG30" s="114"/>
      <c r="AH30" s="114"/>
      <c r="AI30" s="114"/>
      <c r="AJ30" s="327"/>
      <c r="AK30" s="327"/>
      <c r="AL30" s="327"/>
      <c r="AM30" s="327"/>
      <c r="AN30" s="327"/>
      <c r="AO30" s="327"/>
      <c r="AP30" s="327"/>
      <c r="AQ30" s="327"/>
      <c r="AR30" s="327"/>
      <c r="AS30" s="327"/>
      <c r="AT30" s="327"/>
    </row>
    <row r="31" spans="2:46" x14ac:dyDescent="0.35">
      <c r="B31" s="434">
        <v>16</v>
      </c>
      <c r="C31" s="332" t="s">
        <v>1609</v>
      </c>
      <c r="D31" s="327" t="s">
        <v>441</v>
      </c>
      <c r="E31" s="10">
        <f>'Cash Flow Summary'!V77</f>
        <v>0</v>
      </c>
      <c r="F31" s="452"/>
      <c r="G31" s="522">
        <f>SUMIF('Cash Flow Summary'!$AA$4:$AL$4, 0, 'Cash Flow Summary'!AA77:AL77)</f>
        <v>0</v>
      </c>
      <c r="H31" s="10">
        <f>'Cash Flow Summary'!W77</f>
        <v>0</v>
      </c>
      <c r="I31" s="10">
        <f>'Cash Flow Summary'!X77</f>
        <v>0</v>
      </c>
      <c r="J31" s="10">
        <f>'Cash Flow Summary'!Y77</f>
        <v>0</v>
      </c>
      <c r="K31" s="452"/>
      <c r="L31" s="475">
        <f t="shared" si="5"/>
        <v>0</v>
      </c>
      <c r="M31" s="475">
        <f t="shared" si="6"/>
        <v>0</v>
      </c>
      <c r="N31" s="475">
        <f t="shared" si="7"/>
        <v>0</v>
      </c>
      <c r="O31" s="452"/>
      <c r="P31" s="475">
        <f t="shared" si="8"/>
        <v>0</v>
      </c>
      <c r="Q31" s="475">
        <f t="shared" si="8"/>
        <v>0</v>
      </c>
      <c r="R31" s="475">
        <f t="shared" si="8"/>
        <v>0</v>
      </c>
      <c r="S31" s="327"/>
      <c r="T31" s="327"/>
      <c r="U31" s="114"/>
      <c r="V31" s="114"/>
      <c r="W31" s="114"/>
      <c r="X31" s="327"/>
      <c r="Y31" s="114"/>
      <c r="Z31" s="114"/>
      <c r="AA31" s="114"/>
      <c r="AB31" s="327"/>
      <c r="AC31" s="114"/>
      <c r="AD31" s="114"/>
      <c r="AE31" s="114"/>
      <c r="AF31" s="327"/>
      <c r="AG31" s="114"/>
      <c r="AH31" s="114"/>
      <c r="AI31" s="114"/>
      <c r="AJ31" s="327"/>
      <c r="AK31" s="327"/>
      <c r="AL31" s="327"/>
      <c r="AM31" s="327"/>
      <c r="AN31" s="327"/>
      <c r="AO31" s="327"/>
      <c r="AP31" s="327"/>
      <c r="AQ31" s="327"/>
      <c r="AR31" s="327"/>
      <c r="AS31" s="327"/>
      <c r="AT31" s="327"/>
    </row>
    <row r="32" spans="2:46" x14ac:dyDescent="0.35">
      <c r="B32" s="434"/>
      <c r="C32" s="523" t="s">
        <v>1611</v>
      </c>
      <c r="D32" s="5" t="s">
        <v>1829</v>
      </c>
      <c r="E32" s="12">
        <f>SUM(E25:E31)</f>
        <v>0</v>
      </c>
      <c r="F32" s="333"/>
      <c r="G32" s="12">
        <f>SUM(G25:G31)</f>
        <v>0</v>
      </c>
      <c r="H32" s="12">
        <f>SUM(H25:H31)</f>
        <v>0</v>
      </c>
      <c r="I32" s="12">
        <f>SUM(I25:I31)</f>
        <v>0</v>
      </c>
      <c r="J32" s="12">
        <f>SUM(J25:J31)</f>
        <v>0</v>
      </c>
      <c r="K32" s="333"/>
      <c r="L32" s="12">
        <f>SUM(L25:L31)</f>
        <v>0</v>
      </c>
      <c r="M32" s="12">
        <f>SUM(M25:M31)</f>
        <v>0</v>
      </c>
      <c r="N32" s="12">
        <f>SUM(N25:N31)</f>
        <v>0</v>
      </c>
      <c r="O32" s="333"/>
      <c r="P32" s="12">
        <f>SUM(P25:P31)</f>
        <v>0</v>
      </c>
      <c r="Q32" s="12">
        <f>SUM(Q25:Q31)</f>
        <v>0</v>
      </c>
      <c r="R32" s="12">
        <f>SUM(R25:R31)</f>
        <v>0</v>
      </c>
      <c r="S32" s="327"/>
      <c r="T32" s="327"/>
      <c r="U32" s="12">
        <f>SUM(U25:U31)</f>
        <v>0</v>
      </c>
      <c r="V32" s="12">
        <f>SUM(V25:V31)</f>
        <v>0</v>
      </c>
      <c r="W32" s="12">
        <f>SUM(W25:W31)</f>
        <v>0</v>
      </c>
      <c r="X32" s="452"/>
      <c r="Y32" s="12">
        <f>SUM(Y25:Y31)</f>
        <v>0</v>
      </c>
      <c r="Z32" s="12">
        <f>SUM(Z25:Z31)</f>
        <v>0</v>
      </c>
      <c r="AA32" s="12">
        <f>SUM(AA25:AA31)</f>
        <v>0</v>
      </c>
      <c r="AB32" s="452"/>
      <c r="AC32" s="12">
        <f>SUM(AC25:AC31)</f>
        <v>0</v>
      </c>
      <c r="AD32" s="12">
        <f>SUM(AD25:AD31)</f>
        <v>0</v>
      </c>
      <c r="AE32" s="12">
        <f>SUM(AE25:AE31)</f>
        <v>0</v>
      </c>
      <c r="AF32" s="452"/>
      <c r="AG32" s="12">
        <f>SUM(AG25:AG31)</f>
        <v>0</v>
      </c>
      <c r="AH32" s="12">
        <f>SUM(AH25:AH31)</f>
        <v>0</v>
      </c>
      <c r="AI32" s="12">
        <f>SUM(AI25:AI31)</f>
        <v>0</v>
      </c>
      <c r="AJ32" s="327"/>
      <c r="AK32" s="327"/>
      <c r="AL32" s="327"/>
      <c r="AM32" s="327"/>
      <c r="AN32" s="327"/>
      <c r="AO32" s="327"/>
      <c r="AP32" s="327"/>
      <c r="AQ32" s="327"/>
      <c r="AR32" s="327"/>
      <c r="AS32" s="327"/>
      <c r="AT32" s="327"/>
    </row>
    <row r="33" spans="2:46" x14ac:dyDescent="0.35">
      <c r="B33"/>
      <c r="C33"/>
      <c r="D33"/>
      <c r="E33"/>
      <c r="F33"/>
      <c r="G33"/>
      <c r="H33"/>
      <c r="I33"/>
      <c r="J33"/>
      <c r="K33"/>
      <c r="L33"/>
      <c r="M33"/>
      <c r="N33"/>
      <c r="O33"/>
      <c r="U33"/>
      <c r="V33"/>
      <c r="W33"/>
      <c r="Y33"/>
      <c r="Z33"/>
      <c r="AA33"/>
      <c r="AC33"/>
      <c r="AD33"/>
      <c r="AE33"/>
      <c r="AG33"/>
      <c r="AH33"/>
      <c r="AI33"/>
    </row>
    <row r="34" spans="2:46" x14ac:dyDescent="0.35">
      <c r="B34" s="434">
        <v>17</v>
      </c>
      <c r="C34" s="332" t="s">
        <v>1831</v>
      </c>
      <c r="D34" s="327" t="s">
        <v>1832</v>
      </c>
      <c r="E34" s="10">
        <f>'Cash Flow Summary'!V82</f>
        <v>0</v>
      </c>
      <c r="F34" s="452"/>
      <c r="G34" s="522">
        <f>SUMIF('Cash Flow Summary'!$AA$4:$AL$4, 0, 'Cash Flow Summary'!AA82:AL82)</f>
        <v>0</v>
      </c>
      <c r="H34" s="10">
        <f>'Cash Flow Summary'!W82</f>
        <v>0</v>
      </c>
      <c r="I34" s="10">
        <f>'Cash Flow Summary'!X82</f>
        <v>0</v>
      </c>
      <c r="J34" s="10">
        <f>'Cash Flow Summary'!Y82</f>
        <v>0</v>
      </c>
      <c r="K34" s="452"/>
      <c r="L34" s="10">
        <f t="shared" ref="L34:L39" si="9">INDEX(U34:AI34, 1, MATCH(L$5, $U$5:$AI$5, 0))</f>
        <v>0</v>
      </c>
      <c r="M34" s="10">
        <f t="shared" ref="M34:M39" si="10">INDEX(V34:AJ34, 1, MATCH(L$5, $U$5:$AI$5, 0))</f>
        <v>0</v>
      </c>
      <c r="N34" s="10">
        <f t="shared" ref="N34:N39" si="11">INDEX(W34:AK34, 1, MATCH(L$5, $U$5:$AI$5, 0))</f>
        <v>0</v>
      </c>
      <c r="O34" s="452"/>
      <c r="P34" s="10">
        <f t="shared" ref="P34:R40" si="12">+H34-L34</f>
        <v>0</v>
      </c>
      <c r="Q34" s="10">
        <f t="shared" si="12"/>
        <v>0</v>
      </c>
      <c r="R34" s="10">
        <f t="shared" si="12"/>
        <v>0</v>
      </c>
      <c r="S34" s="327"/>
      <c r="T34" s="327"/>
      <c r="U34" s="114"/>
      <c r="V34" s="114"/>
      <c r="W34" s="114"/>
      <c r="X34" s="327"/>
      <c r="Y34" s="114"/>
      <c r="Z34" s="114"/>
      <c r="AA34" s="114"/>
      <c r="AB34" s="327"/>
      <c r="AC34" s="114"/>
      <c r="AD34" s="114"/>
      <c r="AE34" s="114"/>
      <c r="AF34" s="327"/>
      <c r="AG34" s="114"/>
      <c r="AH34" s="114"/>
      <c r="AI34" s="114"/>
      <c r="AJ34" s="327"/>
      <c r="AK34" s="327"/>
      <c r="AL34" s="327"/>
      <c r="AM34" s="327"/>
      <c r="AN34" s="327"/>
      <c r="AO34" s="327"/>
      <c r="AP34" s="327"/>
      <c r="AQ34" s="327"/>
      <c r="AR34" s="327"/>
      <c r="AS34" s="327"/>
      <c r="AT34" s="327"/>
    </row>
    <row r="35" spans="2:46" x14ac:dyDescent="0.35">
      <c r="B35" s="434">
        <v>18</v>
      </c>
      <c r="C35" s="332" t="s">
        <v>1618</v>
      </c>
      <c r="D35" s="327" t="s">
        <v>2656</v>
      </c>
      <c r="E35" s="10">
        <f>'Cash Flow Summary'!V83</f>
        <v>0</v>
      </c>
      <c r="F35" s="452"/>
      <c r="G35" s="522">
        <f>SUMIF('Cash Flow Summary'!$AA$4:$AL$4, 0, 'Cash Flow Summary'!AA83:AL83)</f>
        <v>0</v>
      </c>
      <c r="H35" s="10">
        <f>'Cash Flow Summary'!W83</f>
        <v>0</v>
      </c>
      <c r="I35" s="10">
        <f>'Cash Flow Summary'!X83</f>
        <v>0</v>
      </c>
      <c r="J35" s="10">
        <f>'Cash Flow Summary'!Y83</f>
        <v>0</v>
      </c>
      <c r="K35" s="452"/>
      <c r="L35" s="10">
        <f t="shared" si="9"/>
        <v>0</v>
      </c>
      <c r="M35" s="10">
        <f t="shared" si="10"/>
        <v>0</v>
      </c>
      <c r="N35" s="10">
        <f t="shared" si="11"/>
        <v>0</v>
      </c>
      <c r="O35" s="452"/>
      <c r="P35" s="10">
        <f t="shared" si="12"/>
        <v>0</v>
      </c>
      <c r="Q35" s="10">
        <f t="shared" si="12"/>
        <v>0</v>
      </c>
      <c r="R35" s="10">
        <f t="shared" si="12"/>
        <v>0</v>
      </c>
      <c r="S35" s="327"/>
      <c r="T35" s="327"/>
      <c r="U35" s="114"/>
      <c r="V35" s="114"/>
      <c r="W35" s="114"/>
      <c r="X35" s="327"/>
      <c r="Y35" s="114"/>
      <c r="Z35" s="114"/>
      <c r="AA35" s="114"/>
      <c r="AB35" s="327"/>
      <c r="AC35" s="114"/>
      <c r="AD35" s="114"/>
      <c r="AE35" s="114"/>
      <c r="AF35" s="327"/>
      <c r="AG35" s="114"/>
      <c r="AH35" s="114"/>
      <c r="AI35" s="114"/>
      <c r="AJ35" s="327"/>
      <c r="AK35" s="327"/>
      <c r="AL35" s="327"/>
      <c r="AM35" s="327"/>
      <c r="AN35" s="327"/>
      <c r="AO35" s="327"/>
      <c r="AP35" s="327"/>
      <c r="AQ35" s="327"/>
      <c r="AR35" s="327"/>
      <c r="AS35" s="327"/>
      <c r="AT35" s="327"/>
    </row>
    <row r="36" spans="2:46" x14ac:dyDescent="0.35">
      <c r="B36" s="434">
        <v>19</v>
      </c>
      <c r="C36" s="332" t="s">
        <v>1620</v>
      </c>
      <c r="D36" s="327" t="s">
        <v>2657</v>
      </c>
      <c r="E36" s="10">
        <f>'Cash Flow Summary'!V84</f>
        <v>0</v>
      </c>
      <c r="F36" s="452"/>
      <c r="G36" s="522">
        <f>SUMIF('Cash Flow Summary'!$AA$4:$AL$4, 0, 'Cash Flow Summary'!AA84:AL84)</f>
        <v>0</v>
      </c>
      <c r="H36" s="10">
        <f>'Cash Flow Summary'!W84</f>
        <v>0</v>
      </c>
      <c r="I36" s="10">
        <f>'Cash Flow Summary'!X84</f>
        <v>0</v>
      </c>
      <c r="J36" s="10">
        <f>'Cash Flow Summary'!Y84</f>
        <v>0</v>
      </c>
      <c r="K36" s="452"/>
      <c r="L36" s="10">
        <f t="shared" si="9"/>
        <v>0</v>
      </c>
      <c r="M36" s="10">
        <f t="shared" si="10"/>
        <v>0</v>
      </c>
      <c r="N36" s="10">
        <f t="shared" si="11"/>
        <v>0</v>
      </c>
      <c r="O36" s="452"/>
      <c r="P36" s="10">
        <f t="shared" si="12"/>
        <v>0</v>
      </c>
      <c r="Q36" s="10">
        <f t="shared" si="12"/>
        <v>0</v>
      </c>
      <c r="R36" s="10">
        <f t="shared" si="12"/>
        <v>0</v>
      </c>
      <c r="S36" s="327"/>
      <c r="T36" s="327"/>
      <c r="U36" s="114"/>
      <c r="V36" s="114"/>
      <c r="W36" s="114"/>
      <c r="X36" s="327"/>
      <c r="Y36" s="114"/>
      <c r="Z36" s="114"/>
      <c r="AA36" s="114"/>
      <c r="AB36" s="327"/>
      <c r="AC36" s="114"/>
      <c r="AD36" s="114"/>
      <c r="AE36" s="114"/>
      <c r="AF36" s="327"/>
      <c r="AG36" s="114"/>
      <c r="AH36" s="114"/>
      <c r="AI36" s="114"/>
      <c r="AJ36" s="327"/>
      <c r="AK36" s="327"/>
      <c r="AL36" s="327"/>
      <c r="AM36" s="327"/>
      <c r="AN36" s="327"/>
      <c r="AO36" s="327"/>
      <c r="AP36" s="327"/>
      <c r="AQ36" s="327"/>
      <c r="AR36" s="327"/>
      <c r="AS36" s="327"/>
      <c r="AT36" s="327"/>
    </row>
    <row r="37" spans="2:46" x14ac:dyDescent="0.35">
      <c r="B37" s="434">
        <v>20</v>
      </c>
      <c r="C37" s="332" t="s">
        <v>1835</v>
      </c>
      <c r="D37" s="327" t="s">
        <v>1836</v>
      </c>
      <c r="E37" s="10">
        <f>'Cash Flow Summary'!V85</f>
        <v>0</v>
      </c>
      <c r="F37" s="452"/>
      <c r="G37" s="522">
        <f>SUMIF('Cash Flow Summary'!$AA$4:$AL$4, 0, 'Cash Flow Summary'!AA85:AL85)</f>
        <v>0</v>
      </c>
      <c r="H37" s="10">
        <f>'Cash Flow Summary'!W85</f>
        <v>0</v>
      </c>
      <c r="I37" s="10">
        <f>'Cash Flow Summary'!X85</f>
        <v>0</v>
      </c>
      <c r="J37" s="10">
        <f>'Cash Flow Summary'!Y85</f>
        <v>0</v>
      </c>
      <c r="K37" s="452"/>
      <c r="L37" s="10">
        <f t="shared" si="9"/>
        <v>0</v>
      </c>
      <c r="M37" s="10">
        <f t="shared" si="10"/>
        <v>0</v>
      </c>
      <c r="N37" s="10">
        <f t="shared" si="11"/>
        <v>0</v>
      </c>
      <c r="O37" s="452"/>
      <c r="P37" s="10">
        <f t="shared" si="12"/>
        <v>0</v>
      </c>
      <c r="Q37" s="10">
        <f t="shared" si="12"/>
        <v>0</v>
      </c>
      <c r="R37" s="10">
        <f t="shared" si="12"/>
        <v>0</v>
      </c>
      <c r="S37" s="327"/>
      <c r="T37" s="327"/>
      <c r="U37" s="114"/>
      <c r="V37" s="114"/>
      <c r="W37" s="114"/>
      <c r="X37" s="327"/>
      <c r="Y37" s="114"/>
      <c r="Z37" s="114"/>
      <c r="AA37" s="114"/>
      <c r="AB37" s="327"/>
      <c r="AC37" s="114"/>
      <c r="AD37" s="114"/>
      <c r="AE37" s="114"/>
      <c r="AF37" s="327"/>
      <c r="AG37" s="114"/>
      <c r="AH37" s="114"/>
      <c r="AI37" s="114"/>
      <c r="AJ37" s="327"/>
      <c r="AK37" s="327"/>
      <c r="AL37" s="327"/>
      <c r="AM37" s="327"/>
      <c r="AN37" s="327"/>
      <c r="AO37" s="327"/>
      <c r="AP37" s="327"/>
      <c r="AQ37" s="327"/>
      <c r="AR37" s="327"/>
      <c r="AS37" s="327"/>
      <c r="AT37" s="327"/>
    </row>
    <row r="38" spans="2:46" x14ac:dyDescent="0.35">
      <c r="B38" s="434">
        <v>21</v>
      </c>
      <c r="C38" s="332" t="s">
        <v>1624</v>
      </c>
      <c r="D38" s="327" t="s">
        <v>2658</v>
      </c>
      <c r="E38" s="10">
        <f>'Cash Flow Summary'!V86</f>
        <v>0</v>
      </c>
      <c r="F38" s="452"/>
      <c r="G38" s="522">
        <f>SUMIF('Cash Flow Summary'!$AA$4:$AL$4, 0, 'Cash Flow Summary'!AA86:AL86)</f>
        <v>0</v>
      </c>
      <c r="H38" s="10">
        <f>'Cash Flow Summary'!W86</f>
        <v>0</v>
      </c>
      <c r="I38" s="10">
        <f>'Cash Flow Summary'!X86</f>
        <v>0</v>
      </c>
      <c r="J38" s="10">
        <f>'Cash Flow Summary'!Y86</f>
        <v>0</v>
      </c>
      <c r="K38" s="452"/>
      <c r="L38" s="10">
        <f t="shared" si="9"/>
        <v>0</v>
      </c>
      <c r="M38" s="10">
        <f t="shared" si="10"/>
        <v>0</v>
      </c>
      <c r="N38" s="10">
        <f t="shared" si="11"/>
        <v>0</v>
      </c>
      <c r="O38" s="452"/>
      <c r="P38" s="10">
        <f t="shared" si="12"/>
        <v>0</v>
      </c>
      <c r="Q38" s="10">
        <f t="shared" si="12"/>
        <v>0</v>
      </c>
      <c r="R38" s="10">
        <f t="shared" si="12"/>
        <v>0</v>
      </c>
      <c r="S38" s="327"/>
      <c r="T38" s="327"/>
      <c r="U38" s="114"/>
      <c r="V38" s="114"/>
      <c r="W38" s="114"/>
      <c r="X38" s="327"/>
      <c r="Y38" s="114"/>
      <c r="Z38" s="114"/>
      <c r="AA38" s="114"/>
      <c r="AB38" s="327"/>
      <c r="AC38" s="114"/>
      <c r="AD38" s="114"/>
      <c r="AE38" s="114"/>
      <c r="AF38" s="327"/>
      <c r="AG38" s="114"/>
      <c r="AH38" s="114"/>
      <c r="AI38" s="114"/>
      <c r="AJ38" s="327"/>
      <c r="AK38" s="327"/>
      <c r="AL38" s="327"/>
      <c r="AM38" s="327"/>
      <c r="AN38" s="327"/>
      <c r="AO38" s="327"/>
      <c r="AP38" s="327"/>
      <c r="AQ38" s="327"/>
      <c r="AR38" s="327"/>
      <c r="AS38" s="327"/>
      <c r="AT38" s="327"/>
    </row>
    <row r="39" spans="2:46" x14ac:dyDescent="0.35">
      <c r="B39" s="434">
        <v>22</v>
      </c>
      <c r="C39" s="332" t="s">
        <v>1626</v>
      </c>
      <c r="D39" s="327" t="s">
        <v>1627</v>
      </c>
      <c r="E39" s="10">
        <f>'Cash Flow Summary'!V87</f>
        <v>0</v>
      </c>
      <c r="F39" s="452"/>
      <c r="G39" s="522">
        <f>SUMIF('Cash Flow Summary'!$AA$4:$AL$4, 0, 'Cash Flow Summary'!AA87:AL87)</f>
        <v>0</v>
      </c>
      <c r="H39" s="10">
        <f>'Cash Flow Summary'!W87</f>
        <v>0</v>
      </c>
      <c r="I39" s="10">
        <f>'Cash Flow Summary'!X87</f>
        <v>0</v>
      </c>
      <c r="J39" s="10">
        <f>'Cash Flow Summary'!Y87</f>
        <v>0</v>
      </c>
      <c r="K39" s="452"/>
      <c r="L39" s="475">
        <f t="shared" si="9"/>
        <v>0</v>
      </c>
      <c r="M39" s="475">
        <f t="shared" si="10"/>
        <v>0</v>
      </c>
      <c r="N39" s="475">
        <f t="shared" si="11"/>
        <v>0</v>
      </c>
      <c r="O39" s="452"/>
      <c r="P39" s="475">
        <f t="shared" si="12"/>
        <v>0</v>
      </c>
      <c r="Q39" s="475">
        <f t="shared" si="12"/>
        <v>0</v>
      </c>
      <c r="R39" s="475">
        <f t="shared" si="12"/>
        <v>0</v>
      </c>
      <c r="S39" s="327"/>
      <c r="T39" s="327"/>
      <c r="U39" s="114"/>
      <c r="V39" s="114"/>
      <c r="W39" s="114"/>
      <c r="X39" s="327"/>
      <c r="Y39" s="114"/>
      <c r="Z39" s="114"/>
      <c r="AA39" s="114"/>
      <c r="AB39" s="327"/>
      <c r="AC39" s="114"/>
      <c r="AD39" s="114"/>
      <c r="AE39" s="114"/>
      <c r="AF39" s="327"/>
      <c r="AG39" s="114"/>
      <c r="AH39" s="114"/>
      <c r="AI39" s="114"/>
      <c r="AJ39" s="327"/>
      <c r="AK39" s="327"/>
      <c r="AL39" s="327"/>
      <c r="AM39" s="327"/>
      <c r="AN39" s="327"/>
      <c r="AO39" s="327"/>
      <c r="AP39" s="327"/>
      <c r="AQ39" s="327"/>
      <c r="AR39" s="327"/>
      <c r="AS39" s="327"/>
      <c r="AT39" s="327"/>
    </row>
    <row r="40" spans="2:46" x14ac:dyDescent="0.35">
      <c r="B40" s="434"/>
      <c r="C40" s="523" t="s">
        <v>1628</v>
      </c>
      <c r="D40" s="328" t="s">
        <v>1629</v>
      </c>
      <c r="E40" s="12">
        <f>SUM(E34:E39)</f>
        <v>0</v>
      </c>
      <c r="F40" s="452"/>
      <c r="G40" s="12">
        <f>SUM(G34:G39)</f>
        <v>0</v>
      </c>
      <c r="H40" s="12">
        <f>SUM(H34:H39)</f>
        <v>0</v>
      </c>
      <c r="I40" s="12">
        <f>SUM(I34:I39)</f>
        <v>0</v>
      </c>
      <c r="J40" s="12">
        <f>SUM(J34:J39)</f>
        <v>0</v>
      </c>
      <c r="K40" s="333"/>
      <c r="L40" s="12">
        <f>SUM(L34:L39)</f>
        <v>0</v>
      </c>
      <c r="M40" s="12">
        <f>SUM(M34:M39)</f>
        <v>0</v>
      </c>
      <c r="N40" s="12">
        <f>SUM(N34:N39)</f>
        <v>0</v>
      </c>
      <c r="O40" s="333"/>
      <c r="P40" s="12">
        <f t="shared" si="12"/>
        <v>0</v>
      </c>
      <c r="Q40" s="12">
        <f t="shared" si="12"/>
        <v>0</v>
      </c>
      <c r="R40" s="12">
        <f t="shared" si="12"/>
        <v>0</v>
      </c>
      <c r="S40" s="327"/>
      <c r="T40" s="327"/>
      <c r="U40" s="12">
        <f>SUM(U34:U39)</f>
        <v>0</v>
      </c>
      <c r="V40" s="12">
        <f>SUM(V34:V39)</f>
        <v>0</v>
      </c>
      <c r="W40" s="12">
        <f>SUM(W34:W39)</f>
        <v>0</v>
      </c>
      <c r="X40" s="452"/>
      <c r="Y40" s="12">
        <f>SUM(Y34:Y39)</f>
        <v>0</v>
      </c>
      <c r="Z40" s="12">
        <f>SUM(Z34:Z39)</f>
        <v>0</v>
      </c>
      <c r="AA40" s="12">
        <f>SUM(AA34:AA39)</f>
        <v>0</v>
      </c>
      <c r="AB40" s="452"/>
      <c r="AC40" s="12">
        <f>SUM(AC34:AC39)</f>
        <v>0</v>
      </c>
      <c r="AD40" s="12">
        <f>SUM(AD34:AD39)</f>
        <v>0</v>
      </c>
      <c r="AE40" s="12">
        <f>SUM(AE34:AE39)</f>
        <v>0</v>
      </c>
      <c r="AF40" s="452"/>
      <c r="AG40" s="12">
        <f>SUM(AG34:AG39)</f>
        <v>0</v>
      </c>
      <c r="AH40" s="12">
        <f>SUM(AH34:AH39)</f>
        <v>0</v>
      </c>
      <c r="AI40" s="12">
        <f>SUM(AI34:AI39)</f>
        <v>0</v>
      </c>
      <c r="AJ40" s="327"/>
      <c r="AK40" s="327"/>
      <c r="AL40" s="327"/>
      <c r="AM40" s="327"/>
      <c r="AN40" s="327"/>
      <c r="AO40" s="327"/>
      <c r="AP40" s="327"/>
      <c r="AQ40" s="327"/>
      <c r="AR40" s="327"/>
      <c r="AS40" s="327"/>
      <c r="AT40" s="327"/>
    </row>
    <row r="41" spans="2:46" x14ac:dyDescent="0.35">
      <c r="B41" s="434"/>
      <c r="D41" s="328"/>
      <c r="E41" s="452"/>
      <c r="F41" s="452"/>
      <c r="G41" s="452"/>
      <c r="H41" s="452"/>
      <c r="I41" s="452"/>
      <c r="J41" s="452"/>
      <c r="K41" s="452"/>
      <c r="L41" s="452"/>
      <c r="M41" s="452"/>
      <c r="N41" s="452"/>
      <c r="O41" s="333"/>
      <c r="P41" s="452"/>
      <c r="Q41" s="452"/>
      <c r="R41" s="452"/>
      <c r="S41" s="327"/>
      <c r="T41" s="327"/>
      <c r="U41" s="452"/>
      <c r="V41" s="452"/>
      <c r="W41" s="452"/>
      <c r="X41" s="452"/>
      <c r="Y41" s="452"/>
      <c r="Z41" s="452"/>
      <c r="AA41" s="452"/>
      <c r="AB41" s="452"/>
      <c r="AC41" s="452"/>
      <c r="AD41" s="452"/>
      <c r="AE41" s="452"/>
      <c r="AF41" s="452"/>
      <c r="AG41" s="452"/>
      <c r="AH41" s="452"/>
      <c r="AI41" s="452"/>
      <c r="AJ41" s="327"/>
      <c r="AK41" s="327"/>
      <c r="AL41" s="327"/>
      <c r="AM41" s="327"/>
      <c r="AN41" s="327"/>
      <c r="AO41" s="327"/>
      <c r="AP41" s="327"/>
      <c r="AQ41" s="327"/>
      <c r="AR41" s="327"/>
      <c r="AS41" s="327"/>
      <c r="AT41" s="327"/>
    </row>
    <row r="42" spans="2:46" x14ac:dyDescent="0.35">
      <c r="B42" s="434"/>
      <c r="C42" s="523" t="s">
        <v>1630</v>
      </c>
      <c r="D42" s="328" t="s">
        <v>1631</v>
      </c>
      <c r="E42" s="12">
        <f>+E32+E22+E16+E40</f>
        <v>0</v>
      </c>
      <c r="F42" s="333"/>
      <c r="G42" s="12">
        <f>+G32+G22+G16+G40</f>
        <v>0</v>
      </c>
      <c r="H42" s="12">
        <f>+H32+H22+H16+H40</f>
        <v>0</v>
      </c>
      <c r="I42" s="12">
        <f>+I32+I22+I16+I40</f>
        <v>0</v>
      </c>
      <c r="J42" s="12">
        <f>+J32+J22+J16+J40</f>
        <v>0</v>
      </c>
      <c r="K42" s="333"/>
      <c r="L42" s="12">
        <f>+L32+L22+L16+L40</f>
        <v>0</v>
      </c>
      <c r="M42" s="12">
        <f>+M32+M22+M16+M40</f>
        <v>0</v>
      </c>
      <c r="N42" s="12">
        <f>+N32+N22+N16+N40</f>
        <v>0</v>
      </c>
      <c r="O42" s="333"/>
      <c r="P42" s="12">
        <f>+H42-L42</f>
        <v>0</v>
      </c>
      <c r="Q42" s="12">
        <f>+I42-M42</f>
        <v>0</v>
      </c>
      <c r="R42" s="12">
        <f>+J42-N42</f>
        <v>0</v>
      </c>
      <c r="S42" s="327"/>
      <c r="T42" s="327"/>
      <c r="U42" s="12">
        <f t="shared" ref="U42:AI42" si="13">+U32+U22+U16+U40</f>
        <v>0</v>
      </c>
      <c r="V42" s="12">
        <f t="shared" si="13"/>
        <v>0</v>
      </c>
      <c r="W42" s="12">
        <f t="shared" si="13"/>
        <v>0</v>
      </c>
      <c r="X42" s="327"/>
      <c r="Y42" s="12">
        <f t="shared" si="13"/>
        <v>0</v>
      </c>
      <c r="Z42" s="12">
        <f t="shared" si="13"/>
        <v>0</v>
      </c>
      <c r="AA42" s="12">
        <f t="shared" si="13"/>
        <v>0</v>
      </c>
      <c r="AB42" s="327"/>
      <c r="AC42" s="12">
        <f t="shared" si="13"/>
        <v>0</v>
      </c>
      <c r="AD42" s="12">
        <f t="shared" si="13"/>
        <v>0</v>
      </c>
      <c r="AE42" s="12">
        <f t="shared" si="13"/>
        <v>0</v>
      </c>
      <c r="AF42" s="452"/>
      <c r="AG42" s="12">
        <f t="shared" si="13"/>
        <v>0</v>
      </c>
      <c r="AH42" s="12">
        <f t="shared" si="13"/>
        <v>0</v>
      </c>
      <c r="AI42" s="12">
        <f t="shared" si="13"/>
        <v>0</v>
      </c>
      <c r="AJ42" s="327"/>
      <c r="AK42" s="327"/>
      <c r="AL42" s="327"/>
      <c r="AM42" s="327"/>
      <c r="AN42" s="327"/>
      <c r="AO42" s="327"/>
      <c r="AP42" s="327"/>
      <c r="AQ42" s="327"/>
      <c r="AR42" s="327"/>
      <c r="AS42" s="327"/>
      <c r="AT42" s="327"/>
    </row>
    <row r="43" spans="2:46" x14ac:dyDescent="0.35">
      <c r="B43" s="434"/>
      <c r="D43" s="328"/>
      <c r="O43" s="328"/>
      <c r="P43" s="327"/>
      <c r="Q43" s="327"/>
      <c r="R43" s="327"/>
      <c r="S43" s="327"/>
      <c r="T43" s="327"/>
      <c r="X43" s="327"/>
      <c r="AB43" s="327"/>
      <c r="AF43" s="327"/>
      <c r="AJ43" s="327"/>
      <c r="AK43" s="327"/>
      <c r="AL43" s="327"/>
      <c r="AM43" s="327"/>
      <c r="AN43" s="327"/>
      <c r="AO43" s="327"/>
      <c r="AP43" s="327"/>
      <c r="AQ43" s="327"/>
      <c r="AR43" s="327"/>
      <c r="AS43" s="327"/>
      <c r="AT43" s="327"/>
    </row>
    <row r="44" spans="2:46" x14ac:dyDescent="0.35">
      <c r="D44" s="328" t="s">
        <v>1636</v>
      </c>
      <c r="E44" s="12">
        <f>'Cash Flow Summary'!V96</f>
        <v>0</v>
      </c>
      <c r="F44" s="473"/>
      <c r="G44" s="12">
        <f>E44+G42</f>
        <v>0</v>
      </c>
      <c r="H44" s="12">
        <f>E44+H42</f>
        <v>0</v>
      </c>
      <c r="I44" s="12">
        <f>I42+H44</f>
        <v>0</v>
      </c>
      <c r="J44" s="12">
        <f>J42+I44</f>
        <v>0</v>
      </c>
      <c r="K44" s="473"/>
      <c r="L44" s="12">
        <f>$E$44+L42</f>
        <v>0</v>
      </c>
      <c r="M44" s="12">
        <f>L44+M42</f>
        <v>0</v>
      </c>
      <c r="N44" s="12">
        <f>M44+N42</f>
        <v>0</v>
      </c>
      <c r="O44" s="473"/>
      <c r="P44" s="12">
        <f>H44-L44</f>
        <v>0</v>
      </c>
      <c r="Q44" s="12">
        <f>I44-M44</f>
        <v>0</v>
      </c>
      <c r="R44" s="12">
        <f>J44-N44</f>
        <v>0</v>
      </c>
      <c r="S44" s="327"/>
      <c r="T44" s="327"/>
      <c r="X44" s="327"/>
      <c r="AB44" s="327"/>
      <c r="AF44" s="327"/>
      <c r="AJ44" s="327"/>
      <c r="AK44" s="327"/>
      <c r="AL44" s="327"/>
      <c r="AM44" s="327"/>
      <c r="AN44" s="327"/>
      <c r="AO44" s="327"/>
      <c r="AP44" s="327"/>
      <c r="AQ44" s="327"/>
      <c r="AR44" s="327"/>
      <c r="AS44" s="327"/>
      <c r="AT44" s="327"/>
    </row>
    <row r="45" spans="2:46" x14ac:dyDescent="0.35">
      <c r="O45" s="328"/>
      <c r="P45" s="327"/>
      <c r="Q45" s="327"/>
      <c r="R45" s="327"/>
      <c r="S45" s="327"/>
      <c r="T45" s="327"/>
      <c r="X45" s="327"/>
      <c r="AB45" s="327"/>
      <c r="AF45" s="327"/>
      <c r="AJ45" s="327"/>
      <c r="AK45" s="327"/>
      <c r="AL45" s="327"/>
      <c r="AM45" s="327"/>
      <c r="AN45" s="327"/>
      <c r="AO45" s="327"/>
      <c r="AP45" s="327"/>
      <c r="AQ45" s="327"/>
      <c r="AR45" s="327"/>
      <c r="AS45" s="327"/>
      <c r="AT45" s="327"/>
    </row>
    <row r="46" spans="2:46" x14ac:dyDescent="0.35">
      <c r="D46" s="327" t="s">
        <v>2659</v>
      </c>
      <c r="E46"/>
      <c r="F46" s="447"/>
      <c r="G46" s="451"/>
      <c r="H46" s="10">
        <f>'Cash Flow Summary'!W96</f>
        <v>0</v>
      </c>
      <c r="I46" s="10">
        <f>'Cash Flow Summary'!X96</f>
        <v>0</v>
      </c>
      <c r="J46" s="10">
        <f>'Cash Flow Summary'!Y96</f>
        <v>0</v>
      </c>
      <c r="O46" s="328"/>
      <c r="P46" s="327"/>
      <c r="Q46" s="327"/>
      <c r="R46" s="327"/>
      <c r="S46" s="327"/>
      <c r="T46" s="327"/>
      <c r="X46" s="327"/>
      <c r="AB46" s="327"/>
      <c r="AF46" s="327"/>
      <c r="AJ46" s="327"/>
      <c r="AK46" s="327"/>
      <c r="AL46" s="327"/>
      <c r="AM46" s="327"/>
      <c r="AN46" s="327"/>
      <c r="AO46" s="327"/>
      <c r="AP46" s="327"/>
      <c r="AQ46" s="327"/>
      <c r="AR46" s="327"/>
      <c r="AS46" s="327"/>
      <c r="AT46" s="327"/>
    </row>
    <row r="47" spans="2:46" x14ac:dyDescent="0.35">
      <c r="D47" s="327" t="s">
        <v>2660</v>
      </c>
      <c r="E47" s="500"/>
      <c r="G47" s="451"/>
      <c r="H47" s="505">
        <f>ROUND(H44-H46,0)</f>
        <v>0</v>
      </c>
      <c r="I47" s="505">
        <f>ROUND(I44-I46,0)</f>
        <v>0</v>
      </c>
      <c r="J47" s="505">
        <f>ROUND(J44-J46,0)</f>
        <v>0</v>
      </c>
      <c r="P47" s="327"/>
      <c r="Q47" s="327"/>
      <c r="R47" s="327"/>
      <c r="S47" s="327"/>
      <c r="T47" s="327"/>
      <c r="X47" s="327"/>
      <c r="AB47" s="327"/>
      <c r="AF47" s="327"/>
      <c r="AJ47" s="327"/>
      <c r="AK47" s="327"/>
      <c r="AL47" s="327"/>
      <c r="AM47" s="327"/>
      <c r="AN47" s="327"/>
      <c r="AO47" s="327"/>
      <c r="AP47" s="327"/>
      <c r="AQ47" s="327"/>
      <c r="AR47" s="327"/>
      <c r="AS47" s="327"/>
      <c r="AT47" s="327"/>
    </row>
    <row r="48" spans="2:46" x14ac:dyDescent="0.35">
      <c r="P48" s="327"/>
      <c r="Q48" s="327"/>
      <c r="R48" s="327"/>
      <c r="S48" s="327"/>
      <c r="T48" s="327"/>
      <c r="X48" s="327"/>
      <c r="AB48" s="327"/>
      <c r="AF48" s="327"/>
      <c r="AJ48" s="327"/>
      <c r="AK48" s="327"/>
      <c r="AL48" s="327"/>
      <c r="AM48" s="327"/>
      <c r="AN48" s="327"/>
      <c r="AO48" s="327"/>
      <c r="AP48" s="327"/>
      <c r="AQ48" s="327"/>
      <c r="AR48" s="327"/>
      <c r="AS48" s="327"/>
      <c r="AT48" s="327"/>
    </row>
    <row r="49" spans="2:46" x14ac:dyDescent="0.35">
      <c r="B49" s="328" t="s">
        <v>2661</v>
      </c>
      <c r="P49" s="327"/>
      <c r="Q49" s="327"/>
      <c r="R49" s="327"/>
      <c r="S49" s="327"/>
      <c r="T49" s="327"/>
      <c r="V49"/>
      <c r="W49" s="332"/>
      <c r="X49" s="327"/>
      <c r="AB49" s="327"/>
      <c r="AF49" s="327"/>
      <c r="AJ49" s="327"/>
      <c r="AK49" s="327"/>
      <c r="AL49" s="327"/>
      <c r="AM49" s="327"/>
      <c r="AN49" s="327"/>
      <c r="AO49" s="327"/>
      <c r="AP49" s="327"/>
      <c r="AQ49" s="327"/>
      <c r="AR49" s="327"/>
      <c r="AS49" s="327"/>
      <c r="AT49" s="327"/>
    </row>
    <row r="50" spans="2:46" x14ac:dyDescent="0.35">
      <c r="P50" s="327"/>
      <c r="Q50" s="327"/>
      <c r="R50" s="327"/>
      <c r="S50" s="327"/>
      <c r="T50" s="327"/>
      <c r="V50" s="470">
        <v>1</v>
      </c>
      <c r="X50" s="327"/>
      <c r="AB50" s="327"/>
      <c r="AF50" s="327"/>
      <c r="AJ50" s="327"/>
      <c r="AK50" s="327"/>
      <c r="AL50" s="327"/>
      <c r="AM50" s="327"/>
      <c r="AN50" s="327"/>
      <c r="AO50" s="327"/>
      <c r="AP50" s="327"/>
      <c r="AQ50" s="327"/>
      <c r="AR50" s="327"/>
      <c r="AS50" s="327"/>
      <c r="AT50" s="327"/>
    </row>
    <row r="51" spans="2:46" x14ac:dyDescent="0.35">
      <c r="B51" s="428" t="s">
        <v>2633</v>
      </c>
      <c r="C51" s="428"/>
      <c r="D51" s="428" t="s">
        <v>2662</v>
      </c>
      <c r="E51" s="721" t="s">
        <v>2631</v>
      </c>
      <c r="F51" s="722"/>
      <c r="G51" s="723"/>
      <c r="H51" s="721" t="s">
        <v>2642</v>
      </c>
      <c r="I51" s="722"/>
      <c r="J51" s="722"/>
      <c r="K51" s="722"/>
      <c r="L51" s="722"/>
      <c r="M51" s="722"/>
      <c r="N51" s="722"/>
      <c r="O51" s="722"/>
      <c r="P51" s="722"/>
      <c r="Q51" s="722"/>
      <c r="R51" s="723"/>
      <c r="S51" s="327"/>
      <c r="T51" s="327"/>
      <c r="V51" s="470">
        <v>2</v>
      </c>
      <c r="X51" s="327"/>
      <c r="AB51" s="327"/>
      <c r="AF51" s="327"/>
      <c r="AJ51" s="327"/>
      <c r="AK51" s="327"/>
      <c r="AL51" s="327"/>
      <c r="AM51" s="327"/>
      <c r="AN51" s="327"/>
      <c r="AO51" s="327"/>
      <c r="AP51" s="327"/>
      <c r="AQ51" s="327"/>
      <c r="AR51" s="327"/>
      <c r="AS51" s="327"/>
      <c r="AT51" s="327"/>
    </row>
    <row r="52" spans="2:46" x14ac:dyDescent="0.35">
      <c r="B52" s="486">
        <f>B19</f>
        <v>7</v>
      </c>
      <c r="C52" s="331"/>
      <c r="D52" s="436" t="str">
        <f>VLOOKUP(B52, $B$10:$R$39, 3, FALSE)</f>
        <v>Movement in Working Capital</v>
      </c>
      <c r="E52" s="461" t="str">
        <f>$P$6</f>
        <v>FY2026</v>
      </c>
      <c r="F52" s="339"/>
      <c r="G52" s="458">
        <f>VLOOKUP($B$52, $B$10:$R$39, 15, FALSE)</f>
        <v>0</v>
      </c>
      <c r="H52" s="714"/>
      <c r="I52" s="715"/>
      <c r="J52" s="715"/>
      <c r="K52" s="715"/>
      <c r="L52" s="715"/>
      <c r="M52" s="715"/>
      <c r="N52" s="715"/>
      <c r="O52" s="715"/>
      <c r="P52" s="715"/>
      <c r="Q52" s="715"/>
      <c r="R52" s="716"/>
      <c r="S52" s="327"/>
      <c r="T52" s="327"/>
      <c r="V52" s="470">
        <v>3</v>
      </c>
      <c r="X52" s="327"/>
      <c r="AB52" s="327"/>
      <c r="AF52" s="327"/>
      <c r="AJ52" s="327"/>
      <c r="AK52" s="327"/>
      <c r="AL52" s="327"/>
      <c r="AM52" s="327"/>
      <c r="AN52" s="327"/>
      <c r="AO52" s="327"/>
      <c r="AP52" s="327"/>
      <c r="AQ52" s="327"/>
      <c r="AR52" s="327"/>
      <c r="AS52" s="327"/>
      <c r="AT52" s="327"/>
    </row>
    <row r="53" spans="2:46" x14ac:dyDescent="0.35">
      <c r="B53" s="438"/>
      <c r="C53" s="331"/>
      <c r="D53" s="437"/>
      <c r="E53" s="462" t="str">
        <f>$Q$6</f>
        <v>FY2027</v>
      </c>
      <c r="F53" s="339"/>
      <c r="G53" s="459">
        <f>VLOOKUP($B$52, $B$10:$R$39, 16, FALSE)</f>
        <v>0</v>
      </c>
      <c r="H53" s="717"/>
      <c r="I53" s="718"/>
      <c r="J53" s="718"/>
      <c r="K53" s="718"/>
      <c r="L53" s="718"/>
      <c r="M53" s="718"/>
      <c r="N53" s="718"/>
      <c r="O53" s="718"/>
      <c r="P53" s="718"/>
      <c r="Q53" s="718"/>
      <c r="R53" s="719"/>
      <c r="S53" s="327"/>
      <c r="T53" s="327"/>
      <c r="V53" s="470">
        <v>4</v>
      </c>
      <c r="X53" s="327"/>
      <c r="AB53" s="327"/>
      <c r="AF53" s="327"/>
      <c r="AJ53" s="327"/>
      <c r="AK53" s="327"/>
      <c r="AL53" s="327"/>
      <c r="AM53" s="327"/>
      <c r="AN53" s="327"/>
      <c r="AO53" s="327"/>
      <c r="AP53" s="327"/>
      <c r="AQ53" s="327"/>
      <c r="AR53" s="327"/>
      <c r="AS53" s="327"/>
      <c r="AT53" s="327"/>
    </row>
    <row r="54" spans="2:46" x14ac:dyDescent="0.35">
      <c r="B54" s="439"/>
      <c r="C54" s="331"/>
      <c r="D54" s="440"/>
      <c r="E54" s="463" t="str">
        <f>$R$6</f>
        <v>FY2028</v>
      </c>
      <c r="F54" s="441"/>
      <c r="G54" s="460">
        <f>VLOOKUP($B$52, $B$10:$R$39, 17, FALSE)</f>
        <v>0</v>
      </c>
      <c r="H54" s="711"/>
      <c r="I54" s="712"/>
      <c r="J54" s="712"/>
      <c r="K54" s="712"/>
      <c r="L54" s="712"/>
      <c r="M54" s="712"/>
      <c r="N54" s="712"/>
      <c r="O54" s="712"/>
      <c r="P54" s="712"/>
      <c r="Q54" s="712"/>
      <c r="R54" s="713"/>
      <c r="S54" s="327"/>
      <c r="T54" s="327"/>
      <c r="V54" s="470">
        <v>5</v>
      </c>
      <c r="X54" s="327"/>
      <c r="AB54" s="327"/>
      <c r="AF54" s="327"/>
      <c r="AJ54" s="327"/>
      <c r="AK54" s="327"/>
      <c r="AL54" s="327"/>
      <c r="AM54" s="327"/>
      <c r="AN54" s="327"/>
      <c r="AO54" s="327"/>
      <c r="AP54" s="327"/>
      <c r="AQ54" s="327"/>
      <c r="AR54" s="327"/>
      <c r="AS54" s="327"/>
      <c r="AT54" s="327"/>
    </row>
    <row r="55" spans="2:46" x14ac:dyDescent="0.35">
      <c r="B55" s="442"/>
      <c r="C55" s="442"/>
      <c r="D55"/>
      <c r="E55"/>
      <c r="F55"/>
      <c r="G55"/>
      <c r="H55"/>
      <c r="I55"/>
      <c r="J55"/>
      <c r="K55"/>
      <c r="L55"/>
      <c r="M55"/>
      <c r="N55"/>
      <c r="O55"/>
      <c r="S55" s="327"/>
      <c r="T55" s="327"/>
      <c r="U55" s="448"/>
      <c r="V55" s="470">
        <v>6</v>
      </c>
      <c r="X55" s="327"/>
      <c r="AB55" s="327"/>
      <c r="AF55" s="327"/>
      <c r="AJ55" s="327"/>
      <c r="AK55" s="327"/>
      <c r="AL55" s="327"/>
      <c r="AM55" s="327"/>
      <c r="AN55" s="327"/>
      <c r="AO55" s="327"/>
      <c r="AP55" s="327"/>
      <c r="AQ55" s="327"/>
      <c r="AR55" s="327"/>
      <c r="AS55" s="327"/>
      <c r="AT55" s="327"/>
    </row>
    <row r="56" spans="2:46" x14ac:dyDescent="0.35">
      <c r="B56" s="486">
        <f>B20</f>
        <v>8</v>
      </c>
      <c r="C56" s="331"/>
      <c r="D56" s="456" t="str">
        <f>VLOOKUP($B$56, $B$10:$R$39, 3, FALSE)</f>
        <v>Movements in taxes</v>
      </c>
      <c r="E56" s="461" t="str">
        <f>$P$6</f>
        <v>FY2026</v>
      </c>
      <c r="F56" s="457"/>
      <c r="G56" s="458">
        <f>VLOOKUP($B$56, $B$10:$R$39, 15, FALSE)</f>
        <v>0</v>
      </c>
      <c r="H56" s="714"/>
      <c r="I56" s="715"/>
      <c r="J56" s="715"/>
      <c r="K56" s="715"/>
      <c r="L56" s="715"/>
      <c r="M56" s="715"/>
      <c r="N56" s="715"/>
      <c r="O56" s="715"/>
      <c r="P56" s="715"/>
      <c r="Q56" s="715"/>
      <c r="R56" s="716"/>
      <c r="S56" s="327"/>
      <c r="T56" s="327"/>
      <c r="U56" s="448"/>
      <c r="V56" s="470">
        <v>11</v>
      </c>
      <c r="X56" s="327"/>
      <c r="AB56" s="327"/>
      <c r="AF56" s="327"/>
      <c r="AJ56" s="327"/>
      <c r="AK56" s="327"/>
      <c r="AL56" s="327"/>
      <c r="AM56" s="327"/>
      <c r="AN56" s="327"/>
      <c r="AO56" s="327"/>
      <c r="AP56" s="327"/>
      <c r="AQ56" s="327"/>
      <c r="AR56" s="327"/>
      <c r="AS56" s="327"/>
      <c r="AT56" s="327"/>
    </row>
    <row r="57" spans="2:46" x14ac:dyDescent="0.35">
      <c r="B57" s="438"/>
      <c r="C57" s="331"/>
      <c r="D57" s="437"/>
      <c r="E57" s="462" t="str">
        <f>$Q$6</f>
        <v>FY2027</v>
      </c>
      <c r="G57" s="459">
        <f>VLOOKUP($B$56, $B$10:$R$39, 16, FALSE)</f>
        <v>0</v>
      </c>
      <c r="H57" s="717"/>
      <c r="I57" s="718"/>
      <c r="J57" s="718"/>
      <c r="K57" s="718"/>
      <c r="L57" s="718"/>
      <c r="M57" s="718"/>
      <c r="N57" s="718"/>
      <c r="O57" s="718"/>
      <c r="P57" s="718"/>
      <c r="Q57" s="718"/>
      <c r="R57" s="719"/>
      <c r="S57" s="327"/>
      <c r="T57" s="327"/>
      <c r="U57" s="448"/>
      <c r="V57" s="470">
        <v>12</v>
      </c>
      <c r="X57" s="327"/>
      <c r="AB57" s="327"/>
      <c r="AF57" s="327"/>
      <c r="AJ57" s="327"/>
      <c r="AK57" s="327"/>
      <c r="AL57" s="327"/>
      <c r="AM57" s="327"/>
      <c r="AN57" s="327"/>
      <c r="AO57" s="327"/>
      <c r="AP57" s="327"/>
      <c r="AQ57" s="327"/>
      <c r="AR57" s="327"/>
      <c r="AS57" s="327"/>
      <c r="AT57" s="327"/>
    </row>
    <row r="58" spans="2:46" x14ac:dyDescent="0.35">
      <c r="B58" s="439"/>
      <c r="C58" s="331"/>
      <c r="D58" s="440"/>
      <c r="E58" s="463" t="str">
        <f>$R$6</f>
        <v>FY2028</v>
      </c>
      <c r="F58" s="435"/>
      <c r="G58" s="460">
        <f>VLOOKUP($B$56, $B$10:$R$39, 17, FALSE)</f>
        <v>0</v>
      </c>
      <c r="H58" s="711"/>
      <c r="I58" s="712"/>
      <c r="J58" s="712"/>
      <c r="K58" s="712"/>
      <c r="L58" s="712"/>
      <c r="M58" s="712"/>
      <c r="N58" s="712"/>
      <c r="O58" s="712"/>
      <c r="P58" s="712"/>
      <c r="Q58" s="712"/>
      <c r="R58" s="713"/>
      <c r="S58" s="327"/>
      <c r="T58" s="327"/>
      <c r="U58" s="448"/>
      <c r="V58" s="470">
        <v>13</v>
      </c>
      <c r="X58" s="327"/>
      <c r="AB58" s="327"/>
      <c r="AF58" s="327"/>
      <c r="AJ58" s="327"/>
      <c r="AK58" s="327"/>
      <c r="AL58" s="327"/>
      <c r="AM58" s="327"/>
      <c r="AN58" s="327"/>
      <c r="AO58" s="327"/>
      <c r="AP58" s="327"/>
      <c r="AQ58" s="327"/>
      <c r="AR58" s="327"/>
      <c r="AS58" s="327"/>
      <c r="AT58" s="327"/>
    </row>
    <row r="59" spans="2:46" x14ac:dyDescent="0.35">
      <c r="B59" s="442"/>
      <c r="C59" s="442"/>
      <c r="D59"/>
      <c r="E59"/>
      <c r="F59"/>
      <c r="G59" s="447"/>
      <c r="H59"/>
      <c r="I59"/>
      <c r="J59"/>
      <c r="K59"/>
      <c r="L59"/>
      <c r="M59"/>
      <c r="N59"/>
      <c r="O59"/>
      <c r="S59" s="327"/>
      <c r="T59" s="327"/>
      <c r="U59" s="448"/>
      <c r="V59" s="470">
        <v>14</v>
      </c>
      <c r="X59" s="327"/>
      <c r="AB59" s="327"/>
      <c r="AF59" s="327"/>
      <c r="AJ59" s="327"/>
      <c r="AK59" s="327"/>
      <c r="AL59" s="327"/>
      <c r="AM59" s="327"/>
      <c r="AN59" s="327"/>
      <c r="AO59" s="327"/>
      <c r="AP59" s="327"/>
      <c r="AQ59" s="327"/>
      <c r="AR59" s="327"/>
      <c r="AS59" s="327"/>
      <c r="AT59" s="327"/>
    </row>
    <row r="60" spans="2:46" x14ac:dyDescent="0.35">
      <c r="B60" s="486">
        <f>B21</f>
        <v>9</v>
      </c>
      <c r="C60" s="331"/>
      <c r="D60" s="456" t="str">
        <f>VLOOKUP($B$60, $B$10:$R$39, 3, FALSE)</f>
        <v>Movements in other accruals, deferrals and provisions</v>
      </c>
      <c r="E60" s="461" t="str">
        <f>$P$6</f>
        <v>FY2026</v>
      </c>
      <c r="F60" s="443"/>
      <c r="G60" s="458">
        <f>VLOOKUP($B$60, $B$10:$R$39, 15, FALSE)</f>
        <v>0</v>
      </c>
      <c r="H60" s="714"/>
      <c r="I60" s="715"/>
      <c r="J60" s="715"/>
      <c r="K60" s="715"/>
      <c r="L60" s="715"/>
      <c r="M60" s="715"/>
      <c r="N60" s="715"/>
      <c r="O60" s="715"/>
      <c r="P60" s="715"/>
      <c r="Q60" s="715"/>
      <c r="R60" s="716"/>
      <c r="S60" s="327"/>
      <c r="T60" s="327"/>
      <c r="U60" s="448"/>
      <c r="V60" s="470">
        <v>15</v>
      </c>
      <c r="X60" s="327"/>
      <c r="AB60" s="327"/>
      <c r="AF60" s="327"/>
      <c r="AJ60" s="327"/>
      <c r="AK60" s="327"/>
      <c r="AL60" s="327"/>
      <c r="AM60" s="327"/>
      <c r="AN60" s="327"/>
      <c r="AO60" s="327"/>
      <c r="AP60" s="327"/>
      <c r="AQ60" s="327"/>
      <c r="AR60" s="327"/>
      <c r="AS60" s="327"/>
      <c r="AT60" s="327"/>
    </row>
    <row r="61" spans="2:46" x14ac:dyDescent="0.35">
      <c r="B61" s="438"/>
      <c r="D61" s="437"/>
      <c r="E61" s="462" t="str">
        <f>$Q$6</f>
        <v>FY2027</v>
      </c>
      <c r="F61" s="339"/>
      <c r="G61" s="459">
        <f>VLOOKUP($B$60, $B$10:$R$39, 16, FALSE)</f>
        <v>0</v>
      </c>
      <c r="H61" s="717"/>
      <c r="I61" s="718"/>
      <c r="J61" s="718"/>
      <c r="K61" s="718"/>
      <c r="L61" s="718"/>
      <c r="M61" s="718"/>
      <c r="N61" s="718"/>
      <c r="O61" s="718"/>
      <c r="P61" s="718"/>
      <c r="Q61" s="718"/>
      <c r="R61" s="719"/>
      <c r="S61" s="327"/>
      <c r="T61" s="327"/>
      <c r="U61" s="448"/>
      <c r="V61" s="470">
        <v>16</v>
      </c>
      <c r="X61" s="327"/>
      <c r="AB61" s="327"/>
      <c r="AF61" s="327"/>
      <c r="AJ61" s="327"/>
      <c r="AK61" s="327"/>
      <c r="AL61" s="327"/>
      <c r="AM61" s="327"/>
      <c r="AN61" s="327"/>
      <c r="AO61" s="327"/>
      <c r="AP61" s="327"/>
      <c r="AQ61" s="327"/>
      <c r="AR61" s="327"/>
      <c r="AS61" s="327"/>
      <c r="AT61" s="327"/>
    </row>
    <row r="62" spans="2:46" x14ac:dyDescent="0.35">
      <c r="B62" s="439"/>
      <c r="D62" s="440"/>
      <c r="E62" s="463" t="str">
        <f>$R$6</f>
        <v>FY2028</v>
      </c>
      <c r="F62" s="441"/>
      <c r="G62" s="460">
        <f>VLOOKUP($B$60, $B$10:$R$39, 17, FALSE)</f>
        <v>0</v>
      </c>
      <c r="H62" s="711"/>
      <c r="I62" s="712"/>
      <c r="J62" s="712"/>
      <c r="K62" s="712"/>
      <c r="L62" s="712"/>
      <c r="M62" s="712"/>
      <c r="N62" s="712"/>
      <c r="O62" s="712"/>
      <c r="P62" s="712"/>
      <c r="Q62" s="712"/>
      <c r="R62" s="713"/>
      <c r="S62" s="327"/>
      <c r="T62" s="327"/>
      <c r="U62" s="448"/>
      <c r="V62" s="470">
        <v>17</v>
      </c>
      <c r="X62" s="327"/>
      <c r="AB62" s="327"/>
      <c r="AF62" s="327"/>
      <c r="AJ62" s="327"/>
      <c r="AK62" s="327"/>
      <c r="AL62" s="327"/>
      <c r="AM62" s="327"/>
      <c r="AN62" s="327"/>
      <c r="AO62" s="327"/>
      <c r="AP62" s="327"/>
      <c r="AQ62" s="327"/>
      <c r="AR62" s="327"/>
      <c r="AS62" s="327"/>
      <c r="AT62" s="327"/>
    </row>
    <row r="63" spans="2:46" x14ac:dyDescent="0.35">
      <c r="B63" s="442"/>
      <c r="C63" s="442"/>
      <c r="D63"/>
      <c r="E63"/>
      <c r="F63"/>
      <c r="G63" s="447"/>
      <c r="H63"/>
      <c r="I63"/>
      <c r="J63"/>
      <c r="K63"/>
      <c r="L63"/>
      <c r="M63"/>
      <c r="N63"/>
      <c r="O63"/>
      <c r="S63" s="327"/>
      <c r="T63" s="327"/>
      <c r="U63" s="448"/>
      <c r="V63" s="470">
        <v>18</v>
      </c>
      <c r="X63" s="327"/>
      <c r="AB63" s="327"/>
      <c r="AF63" s="327"/>
      <c r="AJ63" s="327"/>
      <c r="AK63" s="327"/>
      <c r="AL63" s="327"/>
      <c r="AM63" s="327"/>
      <c r="AN63" s="327"/>
      <c r="AO63" s="327"/>
      <c r="AP63" s="327"/>
      <c r="AQ63" s="327"/>
      <c r="AR63" s="327"/>
      <c r="AS63" s="327"/>
      <c r="AT63" s="327"/>
    </row>
    <row r="64" spans="2:46" x14ac:dyDescent="0.35">
      <c r="B64" s="486">
        <f>B25</f>
        <v>10</v>
      </c>
      <c r="C64" s="331"/>
      <c r="D64" s="456" t="str">
        <f>VLOOKUP($B$64, $B$10:$R$39, 3, FALSE)</f>
        <v>Receipts from sale of non-current assets</v>
      </c>
      <c r="E64" s="461" t="str">
        <f>$P$6</f>
        <v>FY2026</v>
      </c>
      <c r="F64" s="457"/>
      <c r="G64" s="458">
        <f>VLOOKUP($B$64, $B$10:$R$39, 15, FALSE)</f>
        <v>0</v>
      </c>
      <c r="H64" s="714"/>
      <c r="I64" s="715"/>
      <c r="J64" s="715"/>
      <c r="K64" s="715"/>
      <c r="L64" s="715"/>
      <c r="M64" s="715"/>
      <c r="N64" s="715"/>
      <c r="O64" s="715"/>
      <c r="P64" s="715"/>
      <c r="Q64" s="715"/>
      <c r="R64" s="716"/>
      <c r="S64" s="327"/>
      <c r="T64" s="327"/>
      <c r="U64" s="448"/>
      <c r="X64" s="327"/>
      <c r="AB64" s="327"/>
      <c r="AF64" s="327"/>
      <c r="AJ64" s="327"/>
      <c r="AK64" s="327"/>
      <c r="AL64" s="327"/>
      <c r="AM64" s="327"/>
      <c r="AN64" s="327"/>
      <c r="AO64" s="327"/>
      <c r="AP64" s="327"/>
      <c r="AQ64" s="327"/>
      <c r="AR64" s="327"/>
      <c r="AS64" s="327"/>
      <c r="AT64" s="327"/>
    </row>
    <row r="65" spans="2:46" x14ac:dyDescent="0.35">
      <c r="B65" s="444"/>
      <c r="C65" s="331"/>
      <c r="D65" s="437"/>
      <c r="E65" s="462" t="str">
        <f>$Q$6</f>
        <v>FY2027</v>
      </c>
      <c r="G65" s="459">
        <f>VLOOKUP($B$64, $B$10:$R$39, 16, FALSE)</f>
        <v>0</v>
      </c>
      <c r="H65" s="717"/>
      <c r="I65" s="718"/>
      <c r="J65" s="718"/>
      <c r="K65" s="718"/>
      <c r="L65" s="718"/>
      <c r="M65" s="718"/>
      <c r="N65" s="718"/>
      <c r="O65" s="718"/>
      <c r="P65" s="718"/>
      <c r="Q65" s="718"/>
      <c r="R65" s="719"/>
      <c r="S65" s="327"/>
      <c r="T65" s="327"/>
      <c r="U65" s="448"/>
      <c r="X65" s="327"/>
      <c r="AB65" s="327"/>
      <c r="AF65" s="327"/>
      <c r="AJ65" s="327"/>
      <c r="AK65" s="327"/>
      <c r="AL65" s="327"/>
      <c r="AM65" s="327"/>
      <c r="AN65" s="327"/>
      <c r="AO65" s="327"/>
      <c r="AP65" s="327"/>
      <c r="AQ65" s="327"/>
      <c r="AR65" s="327"/>
      <c r="AS65" s="327"/>
      <c r="AT65" s="327"/>
    </row>
    <row r="66" spans="2:46" x14ac:dyDescent="0.35">
      <c r="B66" s="445"/>
      <c r="C66" s="331"/>
      <c r="D66" s="440"/>
      <c r="E66" s="463" t="str">
        <f>$R$6</f>
        <v>FY2028</v>
      </c>
      <c r="F66" s="435"/>
      <c r="G66" s="460">
        <f>VLOOKUP($B$64, $B$10:$R$39, 17, FALSE)</f>
        <v>0</v>
      </c>
      <c r="H66" s="711"/>
      <c r="I66" s="712"/>
      <c r="J66" s="712"/>
      <c r="K66" s="712"/>
      <c r="L66" s="712"/>
      <c r="M66" s="712"/>
      <c r="N66" s="712"/>
      <c r="O66" s="712"/>
      <c r="P66" s="712"/>
      <c r="Q66" s="712"/>
      <c r="R66" s="713"/>
      <c r="S66" s="327"/>
      <c r="T66" s="327"/>
      <c r="U66" s="448"/>
      <c r="X66" s="327"/>
      <c r="AB66" s="327"/>
      <c r="AF66" s="327"/>
      <c r="AJ66" s="327"/>
      <c r="AK66" s="327"/>
      <c r="AL66" s="327"/>
      <c r="AM66" s="327"/>
      <c r="AN66" s="327"/>
      <c r="AO66" s="327"/>
      <c r="AP66" s="327"/>
      <c r="AQ66" s="327"/>
      <c r="AR66" s="327"/>
      <c r="AS66" s="327"/>
      <c r="AT66" s="327"/>
    </row>
    <row r="67" spans="2:46" x14ac:dyDescent="0.35">
      <c r="B67" s="442"/>
      <c r="C67" s="442"/>
      <c r="D67"/>
      <c r="E67"/>
      <c r="F67"/>
      <c r="G67" s="447"/>
      <c r="H67"/>
      <c r="I67"/>
      <c r="J67"/>
      <c r="K67"/>
      <c r="L67"/>
      <c r="M67"/>
      <c r="N67"/>
      <c r="O67"/>
      <c r="S67" s="327"/>
      <c r="T67" s="327"/>
      <c r="U67" s="448"/>
      <c r="V67" s="332"/>
      <c r="X67" s="327"/>
      <c r="AB67" s="327"/>
      <c r="AF67" s="327"/>
      <c r="AJ67" s="327"/>
      <c r="AK67" s="327"/>
      <c r="AL67" s="327"/>
      <c r="AM67" s="327"/>
      <c r="AN67" s="327"/>
      <c r="AO67" s="327"/>
      <c r="AP67" s="327"/>
      <c r="AQ67" s="327"/>
      <c r="AR67" s="327"/>
      <c r="AS67" s="327"/>
      <c r="AT67" s="327"/>
    </row>
    <row r="68" spans="2:46" x14ac:dyDescent="0.35">
      <c r="B68" s="486">
        <f>B26</f>
        <v>11</v>
      </c>
      <c r="C68" s="331"/>
      <c r="D68" s="456" t="str">
        <f>VLOOKUP($B$68, $B$10:$R$39, 3, FALSE)</f>
        <v>Repayment of capital grants</v>
      </c>
      <c r="E68" s="461" t="str">
        <f>$P$6</f>
        <v>FY2026</v>
      </c>
      <c r="F68" s="457"/>
      <c r="G68" s="458">
        <f>VLOOKUP($B$68, $B$10:$R$39, 15, FALSE)</f>
        <v>0</v>
      </c>
      <c r="H68" s="714"/>
      <c r="I68" s="715"/>
      <c r="J68" s="715"/>
      <c r="K68" s="715"/>
      <c r="L68" s="715"/>
      <c r="M68" s="715"/>
      <c r="N68" s="715"/>
      <c r="O68" s="715"/>
      <c r="P68" s="715"/>
      <c r="Q68" s="715"/>
      <c r="R68" s="716"/>
      <c r="S68" s="327"/>
      <c r="T68" s="327"/>
      <c r="U68" s="448"/>
      <c r="X68" s="327"/>
      <c r="AB68" s="327"/>
      <c r="AF68" s="327"/>
      <c r="AJ68" s="327"/>
      <c r="AK68" s="327"/>
      <c r="AL68" s="327"/>
      <c r="AM68" s="327"/>
      <c r="AN68" s="327"/>
      <c r="AO68" s="327"/>
      <c r="AP68" s="327"/>
      <c r="AQ68" s="327"/>
      <c r="AR68" s="327"/>
      <c r="AS68" s="327"/>
      <c r="AT68" s="327"/>
    </row>
    <row r="69" spans="2:46" x14ac:dyDescent="0.35">
      <c r="B69" s="438"/>
      <c r="D69" s="437"/>
      <c r="E69" s="462" t="str">
        <f>$Q$6</f>
        <v>FY2027</v>
      </c>
      <c r="G69" s="459">
        <f>VLOOKUP($B$68, $B$10:$R$39, 16, FALSE)</f>
        <v>0</v>
      </c>
      <c r="H69" s="717"/>
      <c r="I69" s="718"/>
      <c r="J69" s="718"/>
      <c r="K69" s="718"/>
      <c r="L69" s="718"/>
      <c r="M69" s="718"/>
      <c r="N69" s="718"/>
      <c r="O69" s="718"/>
      <c r="P69" s="718"/>
      <c r="Q69" s="718"/>
      <c r="R69" s="719"/>
      <c r="S69" s="327"/>
      <c r="T69" s="327"/>
      <c r="U69" s="448"/>
      <c r="X69" s="327"/>
      <c r="AB69" s="327"/>
      <c r="AF69" s="327"/>
      <c r="AJ69" s="327"/>
      <c r="AK69" s="327"/>
      <c r="AL69" s="327"/>
      <c r="AM69" s="327"/>
      <c r="AN69" s="327"/>
      <c r="AO69" s="327"/>
      <c r="AP69" s="327"/>
      <c r="AQ69" s="327"/>
      <c r="AR69" s="327"/>
      <c r="AS69" s="327"/>
      <c r="AT69" s="327"/>
    </row>
    <row r="70" spans="2:46" x14ac:dyDescent="0.35">
      <c r="B70" s="439"/>
      <c r="D70" s="440"/>
      <c r="E70" s="463" t="str">
        <f>$R$6</f>
        <v>FY2028</v>
      </c>
      <c r="F70" s="435"/>
      <c r="G70" s="460">
        <f>VLOOKUP($B$68, $B$10:$R$39, 17, FALSE)</f>
        <v>0</v>
      </c>
      <c r="H70" s="711"/>
      <c r="I70" s="712"/>
      <c r="J70" s="712"/>
      <c r="K70" s="712"/>
      <c r="L70" s="712"/>
      <c r="M70" s="712"/>
      <c r="N70" s="712"/>
      <c r="O70" s="712"/>
      <c r="P70" s="712"/>
      <c r="Q70" s="712"/>
      <c r="R70" s="713"/>
      <c r="S70" s="327"/>
      <c r="T70" s="327"/>
      <c r="U70" s="448"/>
      <c r="X70" s="327"/>
      <c r="AB70" s="327"/>
      <c r="AF70" s="327"/>
      <c r="AJ70" s="327"/>
      <c r="AK70" s="327"/>
      <c r="AL70" s="327"/>
      <c r="AM70" s="327"/>
      <c r="AN70" s="327"/>
      <c r="AO70" s="327"/>
      <c r="AP70" s="327"/>
      <c r="AQ70" s="327"/>
      <c r="AR70" s="327"/>
      <c r="AS70" s="327"/>
      <c r="AT70" s="327"/>
    </row>
    <row r="71" spans="2:46" x14ac:dyDescent="0.35">
      <c r="G71" s="452"/>
      <c r="P71" s="327"/>
      <c r="Q71" s="327"/>
      <c r="R71" s="327"/>
      <c r="S71" s="327"/>
      <c r="T71" s="327"/>
      <c r="U71" s="448"/>
      <c r="X71" s="327"/>
      <c r="AB71" s="327"/>
      <c r="AF71" s="327"/>
      <c r="AJ71" s="327"/>
      <c r="AK71" s="327"/>
      <c r="AL71" s="327"/>
      <c r="AM71" s="327"/>
      <c r="AN71" s="327"/>
      <c r="AO71" s="327"/>
      <c r="AP71" s="327"/>
      <c r="AQ71" s="327"/>
      <c r="AR71" s="327"/>
      <c r="AS71" s="327"/>
      <c r="AT71" s="327"/>
    </row>
    <row r="72" spans="2:46" x14ac:dyDescent="0.35">
      <c r="B72" s="486">
        <f>B27</f>
        <v>12</v>
      </c>
      <c r="C72" s="331"/>
      <c r="D72" s="456" t="str">
        <f>VLOOKUP($B$72, $B$10:$R$39, 3, FALSE)</f>
        <v>Payments made to acquire non-current assets and investments</v>
      </c>
      <c r="E72" s="461" t="str">
        <f>$P$6</f>
        <v>FY2026</v>
      </c>
      <c r="F72" s="457"/>
      <c r="G72" s="458">
        <f>VLOOKUP($B$72, $B$10:$R$39, 15, FALSE)</f>
        <v>0</v>
      </c>
      <c r="H72" s="714"/>
      <c r="I72" s="715"/>
      <c r="J72" s="715"/>
      <c r="K72" s="715"/>
      <c r="L72" s="715"/>
      <c r="M72" s="715"/>
      <c r="N72" s="715"/>
      <c r="O72" s="715"/>
      <c r="P72" s="715"/>
      <c r="Q72" s="715"/>
      <c r="R72" s="716"/>
      <c r="S72" s="327"/>
      <c r="T72" s="327"/>
      <c r="U72" s="448"/>
      <c r="X72" s="327"/>
      <c r="AB72" s="327"/>
      <c r="AF72" s="327"/>
      <c r="AJ72" s="327"/>
      <c r="AK72" s="327"/>
      <c r="AL72" s="327"/>
      <c r="AM72" s="327"/>
      <c r="AN72" s="327"/>
      <c r="AO72" s="327"/>
      <c r="AP72" s="327"/>
      <c r="AQ72" s="327"/>
      <c r="AR72" s="327"/>
      <c r="AS72" s="327"/>
      <c r="AT72" s="327"/>
    </row>
    <row r="73" spans="2:46" x14ac:dyDescent="0.35">
      <c r="B73" s="444"/>
      <c r="D73" s="437"/>
      <c r="E73" s="462" t="str">
        <f>$Q$6</f>
        <v>FY2027</v>
      </c>
      <c r="G73" s="459">
        <f>VLOOKUP($B$72, $B$10:$R$39, 16, FALSE)</f>
        <v>0</v>
      </c>
      <c r="H73" s="717"/>
      <c r="I73" s="718"/>
      <c r="J73" s="718"/>
      <c r="K73" s="718"/>
      <c r="L73" s="718"/>
      <c r="M73" s="718"/>
      <c r="N73" s="718"/>
      <c r="O73" s="718"/>
      <c r="P73" s="718"/>
      <c r="Q73" s="718"/>
      <c r="R73" s="719"/>
      <c r="S73" s="327"/>
      <c r="T73" s="327"/>
      <c r="X73" s="327"/>
      <c r="AB73" s="327"/>
      <c r="AF73" s="327"/>
      <c r="AJ73" s="327"/>
      <c r="AK73" s="327"/>
      <c r="AL73" s="327"/>
      <c r="AM73" s="327"/>
      <c r="AN73" s="327"/>
      <c r="AO73" s="327"/>
      <c r="AP73" s="327"/>
      <c r="AQ73" s="327"/>
      <c r="AR73" s="327"/>
      <c r="AS73" s="327"/>
      <c r="AT73" s="327"/>
    </row>
    <row r="74" spans="2:46" x14ac:dyDescent="0.35">
      <c r="B74" s="445"/>
      <c r="D74" s="440"/>
      <c r="E74" s="463" t="str">
        <f>$R$6</f>
        <v>FY2028</v>
      </c>
      <c r="F74" s="435"/>
      <c r="G74" s="460">
        <f>VLOOKUP($B$72, $B$10:$R$39, 17, FALSE)</f>
        <v>0</v>
      </c>
      <c r="H74" s="711"/>
      <c r="I74" s="712"/>
      <c r="J74" s="712"/>
      <c r="K74" s="712"/>
      <c r="L74" s="712"/>
      <c r="M74" s="712"/>
      <c r="N74" s="712"/>
      <c r="O74" s="712"/>
      <c r="P74" s="712"/>
      <c r="Q74" s="712"/>
      <c r="R74" s="713"/>
      <c r="S74" s="327"/>
      <c r="T74" s="327"/>
      <c r="X74" s="327"/>
      <c r="AB74" s="327"/>
      <c r="AF74" s="327"/>
      <c r="AJ74" s="327"/>
      <c r="AK74" s="327"/>
      <c r="AL74" s="327"/>
      <c r="AM74" s="327"/>
      <c r="AN74" s="327"/>
      <c r="AO74" s="327"/>
      <c r="AP74" s="327"/>
      <c r="AQ74" s="327"/>
      <c r="AR74" s="327"/>
      <c r="AS74" s="327"/>
      <c r="AT74" s="327"/>
    </row>
    <row r="75" spans="2:46" x14ac:dyDescent="0.35">
      <c r="B75" s="442"/>
      <c r="G75" s="452"/>
      <c r="P75" s="327"/>
      <c r="Q75" s="327"/>
      <c r="R75" s="327"/>
      <c r="S75" s="327"/>
      <c r="T75" s="327"/>
      <c r="X75" s="327"/>
      <c r="AB75" s="327"/>
      <c r="AF75" s="327"/>
      <c r="AJ75" s="327"/>
      <c r="AK75" s="327"/>
      <c r="AL75" s="327"/>
      <c r="AM75" s="327"/>
      <c r="AN75" s="327"/>
      <c r="AO75" s="327"/>
      <c r="AP75" s="327"/>
      <c r="AQ75" s="327"/>
      <c r="AR75" s="327"/>
      <c r="AS75" s="327"/>
      <c r="AT75" s="327"/>
    </row>
    <row r="76" spans="2:46" x14ac:dyDescent="0.35">
      <c r="B76" s="486">
        <f>B28</f>
        <v>13</v>
      </c>
      <c r="C76" s="331"/>
      <c r="D76" s="456" t="str">
        <f>VLOOKUP($B$76, $B$10:$R$39, 3, FALSE)</f>
        <v>Increase in/release of restricted cash</v>
      </c>
      <c r="E76" s="461" t="str">
        <f>$P$6</f>
        <v>FY2026</v>
      </c>
      <c r="F76" s="443"/>
      <c r="G76" s="458">
        <f>VLOOKUP($B$76, $B$10:$R$39, 15, FALSE)</f>
        <v>0</v>
      </c>
      <c r="H76" s="714"/>
      <c r="I76" s="715"/>
      <c r="J76" s="715"/>
      <c r="K76" s="715"/>
      <c r="L76" s="715"/>
      <c r="M76" s="715"/>
      <c r="N76" s="715"/>
      <c r="O76" s="715"/>
      <c r="P76" s="715"/>
      <c r="Q76" s="715"/>
      <c r="R76" s="716"/>
      <c r="S76" s="327"/>
      <c r="T76" s="327"/>
      <c r="X76" s="327"/>
      <c r="AB76" s="327"/>
      <c r="AF76" s="327"/>
      <c r="AJ76" s="327"/>
      <c r="AK76" s="327"/>
      <c r="AL76" s="327"/>
      <c r="AM76" s="327"/>
      <c r="AN76" s="327"/>
      <c r="AO76" s="327"/>
      <c r="AP76" s="327"/>
      <c r="AQ76" s="327"/>
      <c r="AR76" s="327"/>
      <c r="AS76" s="327"/>
      <c r="AT76" s="327"/>
    </row>
    <row r="77" spans="2:46" x14ac:dyDescent="0.35">
      <c r="B77" s="438"/>
      <c r="D77" s="437"/>
      <c r="E77" s="462" t="str">
        <f>$Q$6</f>
        <v>FY2027</v>
      </c>
      <c r="F77" s="339"/>
      <c r="G77" s="459">
        <f>VLOOKUP($B$76, $B$10:$R$39, 16, FALSE)</f>
        <v>0</v>
      </c>
      <c r="H77" s="717"/>
      <c r="I77" s="718"/>
      <c r="J77" s="718"/>
      <c r="K77" s="718"/>
      <c r="L77" s="718"/>
      <c r="M77" s="718"/>
      <c r="N77" s="718"/>
      <c r="O77" s="718"/>
      <c r="P77" s="718"/>
      <c r="Q77" s="718"/>
      <c r="R77" s="719"/>
      <c r="S77" s="327"/>
      <c r="T77" s="327"/>
      <c r="X77" s="327"/>
      <c r="AB77" s="327"/>
      <c r="AF77" s="327"/>
      <c r="AJ77" s="327"/>
      <c r="AK77" s="327"/>
      <c r="AL77" s="327"/>
      <c r="AM77" s="327"/>
      <c r="AN77" s="327"/>
      <c r="AO77" s="327"/>
      <c r="AP77" s="327"/>
      <c r="AQ77" s="327"/>
      <c r="AR77" s="327"/>
      <c r="AS77" s="327"/>
      <c r="AT77" s="327"/>
    </row>
    <row r="78" spans="2:46" x14ac:dyDescent="0.35">
      <c r="B78" s="439"/>
      <c r="D78" s="440"/>
      <c r="E78" s="463" t="str">
        <f>$R$6</f>
        <v>FY2028</v>
      </c>
      <c r="F78" s="441"/>
      <c r="G78" s="460">
        <f>VLOOKUP($B$76, $B$10:$R$39, 17, FALSE)</f>
        <v>0</v>
      </c>
      <c r="H78" s="711"/>
      <c r="I78" s="712"/>
      <c r="J78" s="712"/>
      <c r="K78" s="712"/>
      <c r="L78" s="712"/>
      <c r="M78" s="712"/>
      <c r="N78" s="712"/>
      <c r="O78" s="712"/>
      <c r="P78" s="712"/>
      <c r="Q78" s="712"/>
      <c r="R78" s="713"/>
      <c r="S78" s="327"/>
      <c r="T78" s="327"/>
      <c r="X78" s="327"/>
      <c r="AB78" s="327"/>
      <c r="AF78" s="327"/>
      <c r="AJ78" s="327"/>
      <c r="AK78" s="327"/>
      <c r="AL78" s="327"/>
      <c r="AM78" s="327"/>
      <c r="AN78" s="327"/>
      <c r="AO78" s="327"/>
      <c r="AP78" s="327"/>
      <c r="AQ78" s="327"/>
      <c r="AR78" s="327"/>
      <c r="AS78" s="327"/>
      <c r="AT78" s="327"/>
    </row>
    <row r="79" spans="2:46" x14ac:dyDescent="0.35">
      <c r="G79" s="452"/>
      <c r="P79" s="327"/>
      <c r="Q79" s="327"/>
      <c r="R79" s="327"/>
      <c r="S79" s="327"/>
      <c r="T79" s="327"/>
      <c r="X79" s="327"/>
      <c r="AB79" s="327"/>
      <c r="AF79" s="327"/>
      <c r="AJ79" s="327"/>
      <c r="AK79" s="327"/>
      <c r="AL79" s="327"/>
      <c r="AM79" s="327"/>
      <c r="AN79" s="327"/>
      <c r="AO79" s="327"/>
      <c r="AP79" s="327"/>
      <c r="AQ79" s="327"/>
      <c r="AR79" s="327"/>
      <c r="AS79" s="327"/>
      <c r="AT79" s="327"/>
    </row>
    <row r="80" spans="2:46" x14ac:dyDescent="0.35">
      <c r="B80" s="486">
        <f>B29</f>
        <v>14</v>
      </c>
      <c r="C80" s="331"/>
      <c r="D80" s="456" t="str">
        <f>VLOOKUP($B$80, $B$10:$R$39, 3, FALSE)</f>
        <v>Receipt of deferred capital grants</v>
      </c>
      <c r="E80" s="461" t="str">
        <f>$P$6</f>
        <v>FY2026</v>
      </c>
      <c r="F80" s="443"/>
      <c r="G80" s="458">
        <f>VLOOKUP($B$80, $B$10:$R$39, 15, FALSE)</f>
        <v>0</v>
      </c>
      <c r="H80" s="714"/>
      <c r="I80" s="715"/>
      <c r="J80" s="715"/>
      <c r="K80" s="715"/>
      <c r="L80" s="715"/>
      <c r="M80" s="715"/>
      <c r="N80" s="715"/>
      <c r="O80" s="715"/>
      <c r="P80" s="715"/>
      <c r="Q80" s="715"/>
      <c r="R80" s="716"/>
      <c r="S80" s="327"/>
      <c r="T80" s="327"/>
      <c r="X80" s="327"/>
      <c r="AB80" s="327"/>
      <c r="AF80" s="327"/>
      <c r="AJ80" s="327"/>
      <c r="AK80" s="327"/>
      <c r="AL80" s="327"/>
      <c r="AM80" s="327"/>
      <c r="AN80" s="327"/>
      <c r="AO80" s="327"/>
      <c r="AP80" s="327"/>
      <c r="AQ80" s="327"/>
      <c r="AR80" s="327"/>
      <c r="AS80" s="327"/>
      <c r="AT80" s="327"/>
    </row>
    <row r="81" spans="2:46" x14ac:dyDescent="0.35">
      <c r="B81" s="444"/>
      <c r="D81" s="437"/>
      <c r="E81" s="462" t="str">
        <f>$Q$6</f>
        <v>FY2027</v>
      </c>
      <c r="F81" s="339"/>
      <c r="G81" s="459">
        <f>VLOOKUP($B$80, $B$10:$R$39, 16, FALSE)</f>
        <v>0</v>
      </c>
      <c r="H81" s="717"/>
      <c r="I81" s="718"/>
      <c r="J81" s="718"/>
      <c r="K81" s="718"/>
      <c r="L81" s="718"/>
      <c r="M81" s="718"/>
      <c r="N81" s="718"/>
      <c r="O81" s="718"/>
      <c r="P81" s="718"/>
      <c r="Q81" s="718"/>
      <c r="R81" s="719"/>
      <c r="S81" s="327"/>
      <c r="T81" s="327"/>
      <c r="X81" s="327"/>
      <c r="AB81" s="327"/>
      <c r="AF81" s="327"/>
      <c r="AJ81" s="327"/>
      <c r="AK81" s="327"/>
      <c r="AL81" s="327"/>
      <c r="AM81" s="327"/>
      <c r="AN81" s="327"/>
      <c r="AO81" s="327"/>
      <c r="AP81" s="327"/>
      <c r="AQ81" s="327"/>
      <c r="AR81" s="327"/>
      <c r="AS81" s="327"/>
      <c r="AT81" s="327"/>
    </row>
    <row r="82" spans="2:46" x14ac:dyDescent="0.35">
      <c r="B82" s="445"/>
      <c r="D82" s="440"/>
      <c r="E82" s="463" t="str">
        <f>$R$6</f>
        <v>FY2028</v>
      </c>
      <c r="F82" s="441"/>
      <c r="G82" s="460">
        <f>VLOOKUP($B$80, $B$10:$R$39, 17, FALSE)</f>
        <v>0</v>
      </c>
      <c r="H82" s="711"/>
      <c r="I82" s="712"/>
      <c r="J82" s="712"/>
      <c r="K82" s="712"/>
      <c r="L82" s="712"/>
      <c r="M82" s="712"/>
      <c r="N82" s="712"/>
      <c r="O82" s="712"/>
      <c r="P82" s="712"/>
      <c r="Q82" s="712"/>
      <c r="R82" s="713"/>
      <c r="S82" s="327"/>
      <c r="T82" s="327"/>
      <c r="X82" s="327"/>
      <c r="AB82" s="327"/>
      <c r="AF82" s="327"/>
      <c r="AJ82" s="327"/>
      <c r="AK82" s="327"/>
      <c r="AL82" s="327"/>
      <c r="AM82" s="327"/>
      <c r="AN82" s="327"/>
      <c r="AO82" s="327"/>
      <c r="AP82" s="327"/>
      <c r="AQ82" s="327"/>
      <c r="AR82" s="327"/>
      <c r="AS82" s="327"/>
      <c r="AT82" s="327"/>
    </row>
    <row r="83" spans="2:46" x14ac:dyDescent="0.35">
      <c r="G83" s="452"/>
      <c r="P83" s="327"/>
      <c r="Q83" s="327"/>
      <c r="R83" s="327"/>
      <c r="S83" s="327"/>
      <c r="T83" s="327"/>
      <c r="X83" s="327"/>
      <c r="AB83" s="327"/>
      <c r="AF83" s="327"/>
      <c r="AJ83" s="327"/>
      <c r="AK83" s="327"/>
      <c r="AL83" s="327"/>
      <c r="AM83" s="327"/>
      <c r="AN83" s="327"/>
      <c r="AO83" s="327"/>
      <c r="AP83" s="327"/>
      <c r="AQ83" s="327"/>
      <c r="AR83" s="327"/>
      <c r="AS83" s="327"/>
      <c r="AT83" s="327"/>
    </row>
    <row r="84" spans="2:46" x14ac:dyDescent="0.35">
      <c r="B84" s="486">
        <f>B30</f>
        <v>15</v>
      </c>
      <c r="C84" s="331"/>
      <c r="D84" s="456" t="str">
        <f>VLOOKUP($B$84, $B$10:$R$39, 3, FALSE)</f>
        <v>Dividends received from investment in JVs</v>
      </c>
      <c r="E84" s="461" t="str">
        <f>$P$6</f>
        <v>FY2026</v>
      </c>
      <c r="F84" s="443"/>
      <c r="G84" s="458">
        <f>VLOOKUP($B$84, $B$10:$R$39, 15, FALSE)</f>
        <v>0</v>
      </c>
      <c r="H84" s="714"/>
      <c r="I84" s="715"/>
      <c r="J84" s="715"/>
      <c r="K84" s="715"/>
      <c r="L84" s="715"/>
      <c r="M84" s="715"/>
      <c r="N84" s="715"/>
      <c r="O84" s="715"/>
      <c r="P84" s="715"/>
      <c r="Q84" s="715"/>
      <c r="R84" s="716"/>
      <c r="S84" s="327"/>
      <c r="T84" s="327"/>
      <c r="X84" s="327"/>
      <c r="AB84" s="327"/>
      <c r="AF84" s="327"/>
      <c r="AJ84" s="327"/>
      <c r="AK84" s="327"/>
      <c r="AL84" s="327"/>
      <c r="AM84" s="327"/>
      <c r="AN84" s="327"/>
      <c r="AO84" s="327"/>
      <c r="AP84" s="327"/>
      <c r="AQ84" s="327"/>
      <c r="AR84" s="327"/>
      <c r="AS84" s="327"/>
      <c r="AT84" s="327"/>
    </row>
    <row r="85" spans="2:46" x14ac:dyDescent="0.35">
      <c r="B85" s="444"/>
      <c r="D85" s="437"/>
      <c r="E85" s="462" t="str">
        <f>$Q$6</f>
        <v>FY2027</v>
      </c>
      <c r="F85" s="339"/>
      <c r="G85" s="459">
        <f>VLOOKUP($B$84, $B$10:$R$39, 16, FALSE)</f>
        <v>0</v>
      </c>
      <c r="H85" s="717"/>
      <c r="I85" s="718"/>
      <c r="J85" s="718"/>
      <c r="K85" s="718"/>
      <c r="L85" s="718"/>
      <c r="M85" s="718"/>
      <c r="N85" s="718"/>
      <c r="O85" s="718"/>
      <c r="P85" s="718"/>
      <c r="Q85" s="718"/>
      <c r="R85" s="719"/>
      <c r="S85" s="327"/>
      <c r="T85" s="327"/>
      <c r="X85" s="327"/>
      <c r="AB85" s="327"/>
      <c r="AF85" s="327"/>
      <c r="AJ85" s="327"/>
      <c r="AK85" s="327"/>
      <c r="AL85" s="327"/>
      <c r="AM85" s="327"/>
      <c r="AN85" s="327"/>
      <c r="AO85" s="327"/>
      <c r="AP85" s="327"/>
      <c r="AQ85" s="327"/>
      <c r="AR85" s="327"/>
      <c r="AS85" s="327"/>
      <c r="AT85" s="327"/>
    </row>
    <row r="86" spans="2:46" x14ac:dyDescent="0.35">
      <c r="B86" s="445"/>
      <c r="D86" s="440"/>
      <c r="E86" s="463" t="str">
        <f>$R$6</f>
        <v>FY2028</v>
      </c>
      <c r="F86" s="441"/>
      <c r="G86" s="460">
        <f>VLOOKUP($B$84, $B$10:$R$39, 17, FALSE)</f>
        <v>0</v>
      </c>
      <c r="H86" s="711"/>
      <c r="I86" s="712"/>
      <c r="J86" s="712"/>
      <c r="K86" s="712"/>
      <c r="L86" s="712"/>
      <c r="M86" s="712"/>
      <c r="N86" s="712"/>
      <c r="O86" s="712"/>
      <c r="P86" s="712"/>
      <c r="Q86" s="712"/>
      <c r="R86" s="713"/>
      <c r="S86" s="327"/>
      <c r="T86" s="327"/>
      <c r="X86" s="327"/>
      <c r="AB86" s="327"/>
      <c r="AF86" s="327"/>
      <c r="AJ86" s="327"/>
      <c r="AK86" s="327"/>
      <c r="AL86" s="327"/>
      <c r="AM86" s="327"/>
      <c r="AN86" s="327"/>
      <c r="AO86" s="327"/>
      <c r="AP86" s="327"/>
      <c r="AQ86" s="327"/>
      <c r="AR86" s="327"/>
      <c r="AS86" s="327"/>
      <c r="AT86" s="327"/>
    </row>
    <row r="87" spans="2:46" x14ac:dyDescent="0.35">
      <c r="P87" s="327"/>
      <c r="Q87" s="327"/>
      <c r="R87" s="327"/>
      <c r="S87" s="327"/>
      <c r="T87" s="327"/>
      <c r="X87" s="327"/>
      <c r="AB87" s="327"/>
      <c r="AF87" s="327"/>
      <c r="AJ87" s="327"/>
      <c r="AK87" s="327"/>
      <c r="AL87" s="327"/>
      <c r="AM87" s="327"/>
      <c r="AN87" s="327"/>
      <c r="AO87" s="327"/>
      <c r="AP87" s="327"/>
      <c r="AQ87" s="327"/>
      <c r="AR87" s="327"/>
      <c r="AS87" s="327"/>
      <c r="AT87" s="327"/>
    </row>
    <row r="88" spans="2:46" x14ac:dyDescent="0.35">
      <c r="B88" s="486">
        <f>B31</f>
        <v>16</v>
      </c>
      <c r="C88" s="331"/>
      <c r="D88" s="436" t="str">
        <f>VLOOKUP($B$88, $B$10:$R$39, 3, FALSE)</f>
        <v>Interest and investment income</v>
      </c>
      <c r="E88" s="461" t="str">
        <f>$P$6</f>
        <v>FY2026</v>
      </c>
      <c r="F88" s="339"/>
      <c r="G88" s="458">
        <f>VLOOKUP($B$88, $B$10:$R$39, 15, FALSE)</f>
        <v>0</v>
      </c>
      <c r="H88" s="714"/>
      <c r="I88" s="715"/>
      <c r="J88" s="715"/>
      <c r="K88" s="715"/>
      <c r="L88" s="715"/>
      <c r="M88" s="715"/>
      <c r="N88" s="715"/>
      <c r="O88" s="715"/>
      <c r="P88" s="715"/>
      <c r="Q88" s="715"/>
      <c r="R88" s="716"/>
      <c r="S88" s="327"/>
      <c r="T88" s="327"/>
      <c r="V88" s="470">
        <v>3</v>
      </c>
      <c r="X88" s="327"/>
      <c r="AB88" s="327"/>
      <c r="AF88" s="327"/>
      <c r="AJ88" s="327"/>
      <c r="AK88" s="327"/>
      <c r="AL88" s="327"/>
      <c r="AM88" s="327"/>
      <c r="AN88" s="327"/>
      <c r="AO88" s="327"/>
      <c r="AP88" s="327"/>
      <c r="AQ88" s="327"/>
      <c r="AR88" s="327"/>
      <c r="AS88" s="327"/>
      <c r="AT88" s="327"/>
    </row>
    <row r="89" spans="2:46" x14ac:dyDescent="0.35">
      <c r="B89" s="438"/>
      <c r="C89" s="331"/>
      <c r="D89" s="437"/>
      <c r="E89" s="462" t="str">
        <f>$Q$6</f>
        <v>FY2027</v>
      </c>
      <c r="F89" s="339"/>
      <c r="G89" s="459">
        <f>VLOOKUP($B$88, $B$10:$R$39, 16, FALSE)</f>
        <v>0</v>
      </c>
      <c r="H89" s="717"/>
      <c r="I89" s="718"/>
      <c r="J89" s="718"/>
      <c r="K89" s="718"/>
      <c r="L89" s="718"/>
      <c r="M89" s="718"/>
      <c r="N89" s="718"/>
      <c r="O89" s="718"/>
      <c r="P89" s="718"/>
      <c r="Q89" s="718"/>
      <c r="R89" s="719"/>
      <c r="S89" s="327"/>
      <c r="T89" s="327"/>
      <c r="V89" s="470">
        <v>4</v>
      </c>
      <c r="X89" s="327"/>
      <c r="AB89" s="327"/>
      <c r="AF89" s="327"/>
      <c r="AJ89" s="327"/>
      <c r="AK89" s="327"/>
      <c r="AL89" s="327"/>
      <c r="AM89" s="327"/>
      <c r="AN89" s="327"/>
      <c r="AO89" s="327"/>
      <c r="AP89" s="327"/>
      <c r="AQ89" s="327"/>
      <c r="AR89" s="327"/>
      <c r="AS89" s="327"/>
      <c r="AT89" s="327"/>
    </row>
    <row r="90" spans="2:46" x14ac:dyDescent="0.35">
      <c r="B90" s="439"/>
      <c r="C90" s="331"/>
      <c r="D90" s="440"/>
      <c r="E90" s="463" t="str">
        <f>$R$6</f>
        <v>FY2028</v>
      </c>
      <c r="F90" s="441"/>
      <c r="G90" s="460">
        <f>VLOOKUP($B$88, $B$10:$R$39, 17, FALSE)</f>
        <v>0</v>
      </c>
      <c r="H90" s="711"/>
      <c r="I90" s="712"/>
      <c r="J90" s="712"/>
      <c r="K90" s="712"/>
      <c r="L90" s="712"/>
      <c r="M90" s="712"/>
      <c r="N90" s="712"/>
      <c r="O90" s="712"/>
      <c r="P90" s="712"/>
      <c r="Q90" s="712"/>
      <c r="R90" s="713"/>
      <c r="S90" s="327"/>
      <c r="T90" s="327"/>
      <c r="V90" s="470">
        <v>5</v>
      </c>
      <c r="X90" s="327"/>
      <c r="AB90" s="327"/>
      <c r="AF90" s="327"/>
      <c r="AJ90" s="327"/>
      <c r="AK90" s="327"/>
      <c r="AL90" s="327"/>
      <c r="AM90" s="327"/>
      <c r="AN90" s="327"/>
      <c r="AO90" s="327"/>
      <c r="AP90" s="327"/>
      <c r="AQ90" s="327"/>
      <c r="AR90" s="327"/>
      <c r="AS90" s="327"/>
      <c r="AT90" s="327"/>
    </row>
    <row r="91" spans="2:46" x14ac:dyDescent="0.35">
      <c r="B91" s="442"/>
      <c r="C91" s="442"/>
      <c r="D91"/>
      <c r="E91"/>
      <c r="F91"/>
      <c r="G91"/>
      <c r="H91"/>
      <c r="I91"/>
      <c r="J91"/>
      <c r="K91"/>
      <c r="L91"/>
      <c r="M91"/>
      <c r="N91"/>
      <c r="O91"/>
      <c r="S91" s="327"/>
      <c r="T91" s="327"/>
      <c r="U91" s="448"/>
      <c r="V91" s="470">
        <v>6</v>
      </c>
      <c r="X91" s="327"/>
      <c r="AB91" s="327"/>
      <c r="AF91" s="327"/>
      <c r="AJ91" s="327"/>
      <c r="AK91" s="327"/>
      <c r="AL91" s="327"/>
      <c r="AM91" s="327"/>
      <c r="AN91" s="327"/>
      <c r="AO91" s="327"/>
      <c r="AP91" s="327"/>
      <c r="AQ91" s="327"/>
      <c r="AR91" s="327"/>
      <c r="AS91" s="327"/>
      <c r="AT91" s="327"/>
    </row>
    <row r="92" spans="2:46" x14ac:dyDescent="0.35">
      <c r="B92" s="486">
        <f>B34</f>
        <v>17</v>
      </c>
      <c r="C92" s="331"/>
      <c r="D92" s="436" t="str">
        <f>VLOOKUP(B92, $B$10:$R$39, 3, FALSE)</f>
        <v>Interest and finance fee payments</v>
      </c>
      <c r="E92" s="461" t="str">
        <f>$P$6</f>
        <v>FY2026</v>
      </c>
      <c r="F92" s="443"/>
      <c r="G92" s="458">
        <f>VLOOKUP($B$92, $B$10:$R$39, 15, FALSE)</f>
        <v>0</v>
      </c>
      <c r="H92" s="714"/>
      <c r="I92" s="715"/>
      <c r="J92" s="715"/>
      <c r="K92" s="715"/>
      <c r="L92" s="715"/>
      <c r="M92" s="715"/>
      <c r="N92" s="715"/>
      <c r="O92" s="715"/>
      <c r="P92" s="715"/>
      <c r="Q92" s="715"/>
      <c r="R92" s="716"/>
      <c r="S92" s="327"/>
      <c r="T92" s="327"/>
      <c r="U92" s="448"/>
      <c r="V92" s="470">
        <v>7</v>
      </c>
      <c r="X92" s="327"/>
      <c r="AB92" s="327"/>
      <c r="AF92" s="327"/>
      <c r="AJ92" s="327"/>
      <c r="AK92" s="327"/>
      <c r="AL92" s="327"/>
      <c r="AM92" s="327"/>
      <c r="AN92" s="327"/>
      <c r="AO92" s="327"/>
      <c r="AP92" s="327"/>
      <c r="AQ92" s="327"/>
      <c r="AR92" s="327"/>
      <c r="AS92" s="327"/>
      <c r="AT92" s="327"/>
    </row>
    <row r="93" spans="2:46" x14ac:dyDescent="0.35">
      <c r="B93" s="444"/>
      <c r="D93" s="437"/>
      <c r="E93" s="462" t="str">
        <f>$Q$6</f>
        <v>FY2027</v>
      </c>
      <c r="F93" s="339"/>
      <c r="G93" s="459">
        <f>VLOOKUP($B$92, $B$10:$R$39, 16, FALSE)</f>
        <v>0</v>
      </c>
      <c r="H93" s="717"/>
      <c r="I93" s="718"/>
      <c r="J93" s="718"/>
      <c r="K93" s="718"/>
      <c r="L93" s="718"/>
      <c r="M93" s="718"/>
      <c r="N93" s="718"/>
      <c r="O93" s="718"/>
      <c r="P93" s="718"/>
      <c r="Q93" s="718"/>
      <c r="R93" s="719"/>
      <c r="S93" s="327"/>
      <c r="T93" s="327"/>
      <c r="U93" s="448"/>
      <c r="V93" s="470">
        <v>8</v>
      </c>
      <c r="X93" s="327"/>
      <c r="AB93" s="327"/>
      <c r="AF93" s="327"/>
      <c r="AJ93" s="327"/>
      <c r="AK93" s="327"/>
      <c r="AL93" s="327"/>
      <c r="AM93" s="327"/>
      <c r="AN93" s="327"/>
      <c r="AO93" s="327"/>
      <c r="AP93" s="327"/>
      <c r="AQ93" s="327"/>
      <c r="AR93" s="327"/>
      <c r="AS93" s="327"/>
      <c r="AT93" s="327"/>
    </row>
    <row r="94" spans="2:46" x14ac:dyDescent="0.35">
      <c r="B94" s="445"/>
      <c r="D94" s="440"/>
      <c r="E94" s="463" t="str">
        <f>$R$6</f>
        <v>FY2028</v>
      </c>
      <c r="F94" s="441"/>
      <c r="G94" s="460">
        <f>VLOOKUP($B$92, $B$10:$R$39, 17, FALSE)</f>
        <v>0</v>
      </c>
      <c r="H94" s="711"/>
      <c r="I94" s="712"/>
      <c r="J94" s="712"/>
      <c r="K94" s="712"/>
      <c r="L94" s="712"/>
      <c r="M94" s="712"/>
      <c r="N94" s="712"/>
      <c r="O94" s="712"/>
      <c r="P94" s="712"/>
      <c r="Q94" s="712"/>
      <c r="R94" s="713"/>
      <c r="S94" s="327"/>
      <c r="T94" s="327"/>
      <c r="U94" s="448"/>
      <c r="V94" s="470">
        <v>9</v>
      </c>
      <c r="X94" s="327"/>
      <c r="AB94" s="327"/>
      <c r="AF94" s="327"/>
      <c r="AJ94" s="327"/>
      <c r="AK94" s="327"/>
      <c r="AL94" s="327"/>
      <c r="AM94" s="327"/>
      <c r="AN94" s="327"/>
      <c r="AO94" s="327"/>
      <c r="AP94" s="327"/>
      <c r="AQ94" s="327"/>
      <c r="AR94" s="327"/>
      <c r="AS94" s="327"/>
      <c r="AT94" s="327"/>
    </row>
    <row r="95" spans="2:46" x14ac:dyDescent="0.35">
      <c r="B95" s="442"/>
      <c r="C95" s="442"/>
      <c r="D95"/>
      <c r="E95"/>
      <c r="F95"/>
      <c r="G95"/>
      <c r="H95"/>
      <c r="I95"/>
      <c r="J95"/>
      <c r="K95"/>
      <c r="L95"/>
      <c r="M95"/>
      <c r="N95"/>
      <c r="O95"/>
      <c r="S95" s="327"/>
      <c r="T95" s="327"/>
      <c r="U95" s="448"/>
      <c r="V95" s="470">
        <v>10</v>
      </c>
      <c r="X95" s="327"/>
      <c r="AB95" s="327"/>
      <c r="AF95" s="327"/>
      <c r="AJ95" s="327"/>
      <c r="AK95" s="327"/>
      <c r="AL95" s="327"/>
      <c r="AM95" s="327"/>
      <c r="AN95" s="327"/>
      <c r="AO95" s="327"/>
      <c r="AP95" s="327"/>
      <c r="AQ95" s="327"/>
      <c r="AR95" s="327"/>
      <c r="AS95" s="327"/>
      <c r="AT95" s="327"/>
    </row>
    <row r="96" spans="2:46" x14ac:dyDescent="0.35">
      <c r="B96" s="486">
        <f>B35</f>
        <v>18</v>
      </c>
      <c r="C96" s="331"/>
      <c r="D96" s="436" t="str">
        <f>VLOOKUP(B96, $B$10:$R$39, 3, FALSE)</f>
        <v>Interest element of finance lease rental payments</v>
      </c>
      <c r="E96" s="461" t="str">
        <f>$P$6</f>
        <v>FY2026</v>
      </c>
      <c r="F96" s="457"/>
      <c r="G96" s="458">
        <f>VLOOKUP($B$96, $B$10:$R$39, 15, FALSE)</f>
        <v>0</v>
      </c>
      <c r="H96" s="714"/>
      <c r="I96" s="715"/>
      <c r="J96" s="715"/>
      <c r="K96" s="715"/>
      <c r="L96" s="715"/>
      <c r="M96" s="715"/>
      <c r="N96" s="715"/>
      <c r="O96" s="715"/>
      <c r="P96" s="715"/>
      <c r="Q96" s="715"/>
      <c r="R96" s="716"/>
      <c r="S96" s="327"/>
      <c r="T96" s="327"/>
      <c r="U96" s="448"/>
      <c r="V96" s="470">
        <v>11</v>
      </c>
      <c r="X96" s="327"/>
      <c r="AB96" s="327"/>
      <c r="AF96" s="327"/>
      <c r="AJ96" s="327"/>
      <c r="AK96" s="327"/>
      <c r="AL96" s="327"/>
      <c r="AM96" s="327"/>
      <c r="AN96" s="327"/>
      <c r="AO96" s="327"/>
      <c r="AP96" s="327"/>
      <c r="AQ96" s="327"/>
      <c r="AR96" s="327"/>
      <c r="AS96" s="327"/>
      <c r="AT96" s="327"/>
    </row>
    <row r="97" spans="2:46" x14ac:dyDescent="0.35">
      <c r="B97" s="438"/>
      <c r="C97" s="331"/>
      <c r="D97" s="437"/>
      <c r="E97" s="462" t="str">
        <f>$Q$6</f>
        <v>FY2027</v>
      </c>
      <c r="G97" s="459">
        <f>VLOOKUP($B$96, $B$10:$R$39, 16, FALSE)</f>
        <v>0</v>
      </c>
      <c r="H97" s="717"/>
      <c r="I97" s="718"/>
      <c r="J97" s="718"/>
      <c r="K97" s="718"/>
      <c r="L97" s="718"/>
      <c r="M97" s="718"/>
      <c r="N97" s="718"/>
      <c r="O97" s="718"/>
      <c r="P97" s="718"/>
      <c r="Q97" s="718"/>
      <c r="R97" s="719"/>
      <c r="S97" s="327"/>
      <c r="T97" s="327"/>
      <c r="U97" s="448"/>
      <c r="V97" s="470">
        <v>12</v>
      </c>
      <c r="X97" s="327"/>
      <c r="AB97" s="327"/>
      <c r="AF97" s="327"/>
      <c r="AJ97" s="327"/>
      <c r="AK97" s="327"/>
      <c r="AL97" s="327"/>
      <c r="AM97" s="327"/>
      <c r="AN97" s="327"/>
      <c r="AO97" s="327"/>
      <c r="AP97" s="327"/>
      <c r="AQ97" s="327"/>
      <c r="AR97" s="327"/>
      <c r="AS97" s="327"/>
      <c r="AT97" s="327"/>
    </row>
    <row r="98" spans="2:46" x14ac:dyDescent="0.35">
      <c r="B98" s="439"/>
      <c r="C98" s="331"/>
      <c r="D98" s="440"/>
      <c r="E98" s="463" t="str">
        <f>$R$6</f>
        <v>FY2028</v>
      </c>
      <c r="F98" s="435"/>
      <c r="G98" s="460">
        <f>VLOOKUP($B$96, $B$10:$R$39, 17, FALSE)</f>
        <v>0</v>
      </c>
      <c r="H98" s="711"/>
      <c r="I98" s="712"/>
      <c r="J98" s="712"/>
      <c r="K98" s="712"/>
      <c r="L98" s="712"/>
      <c r="M98" s="712"/>
      <c r="N98" s="712"/>
      <c r="O98" s="712"/>
      <c r="P98" s="712"/>
      <c r="Q98" s="712"/>
      <c r="R98" s="713"/>
      <c r="S98" s="327"/>
      <c r="T98" s="327"/>
      <c r="U98" s="448"/>
      <c r="V98" s="470">
        <v>13</v>
      </c>
      <c r="X98" s="327"/>
      <c r="AB98" s="327"/>
      <c r="AF98" s="327"/>
      <c r="AJ98" s="327"/>
      <c r="AK98" s="327"/>
      <c r="AL98" s="327"/>
      <c r="AM98" s="327"/>
      <c r="AN98" s="327"/>
      <c r="AO98" s="327"/>
      <c r="AP98" s="327"/>
      <c r="AQ98" s="327"/>
      <c r="AR98" s="327"/>
      <c r="AS98" s="327"/>
      <c r="AT98" s="327"/>
    </row>
    <row r="99" spans="2:46" x14ac:dyDescent="0.35">
      <c r="B99" s="442"/>
      <c r="C99" s="442"/>
      <c r="D99"/>
      <c r="E99"/>
      <c r="F99"/>
      <c r="G99" s="447"/>
      <c r="H99"/>
      <c r="I99"/>
      <c r="J99"/>
      <c r="K99"/>
      <c r="L99"/>
      <c r="M99"/>
      <c r="N99"/>
      <c r="O99"/>
      <c r="S99" s="327"/>
      <c r="T99" s="327"/>
      <c r="U99" s="448"/>
      <c r="V99" s="470">
        <v>14</v>
      </c>
      <c r="X99" s="327"/>
      <c r="AB99" s="327"/>
      <c r="AF99" s="327"/>
      <c r="AJ99" s="327"/>
      <c r="AK99" s="327"/>
      <c r="AL99" s="327"/>
      <c r="AM99" s="327"/>
      <c r="AN99" s="327"/>
      <c r="AO99" s="327"/>
      <c r="AP99" s="327"/>
      <c r="AQ99" s="327"/>
      <c r="AR99" s="327"/>
      <c r="AS99" s="327"/>
      <c r="AT99" s="327"/>
    </row>
    <row r="100" spans="2:46" x14ac:dyDescent="0.35">
      <c r="B100" s="486">
        <f>B36</f>
        <v>19</v>
      </c>
      <c r="C100" s="331"/>
      <c r="D100" s="436" t="str">
        <f>VLOOKUP(B100, $B$10:$R$39, 3, FALSE)</f>
        <v>New long term loans/Finance leases</v>
      </c>
      <c r="E100" s="461" t="str">
        <f>$P$6</f>
        <v>FY2026</v>
      </c>
      <c r="F100" s="443"/>
      <c r="G100" s="458">
        <f>VLOOKUP($B$100, $B$10:$R$39, 15, FALSE)</f>
        <v>0</v>
      </c>
      <c r="H100" s="714"/>
      <c r="I100" s="715"/>
      <c r="J100" s="715"/>
      <c r="K100" s="715"/>
      <c r="L100" s="715"/>
      <c r="M100" s="715"/>
      <c r="N100" s="715"/>
      <c r="O100" s="715"/>
      <c r="P100" s="715"/>
      <c r="Q100" s="715"/>
      <c r="R100" s="716"/>
      <c r="S100" s="327"/>
      <c r="T100" s="327"/>
      <c r="U100" s="448"/>
      <c r="V100" s="470">
        <v>15</v>
      </c>
      <c r="X100" s="327"/>
      <c r="AB100" s="327"/>
      <c r="AF100" s="327"/>
      <c r="AJ100" s="327"/>
      <c r="AK100" s="327"/>
      <c r="AL100" s="327"/>
      <c r="AM100" s="327"/>
      <c r="AN100" s="327"/>
      <c r="AO100" s="327"/>
      <c r="AP100" s="327"/>
      <c r="AQ100" s="327"/>
      <c r="AR100" s="327"/>
      <c r="AS100" s="327"/>
      <c r="AT100" s="327"/>
    </row>
    <row r="101" spans="2:46" x14ac:dyDescent="0.35">
      <c r="B101" s="444"/>
      <c r="D101" s="437"/>
      <c r="E101" s="462" t="str">
        <f>$Q$6</f>
        <v>FY2027</v>
      </c>
      <c r="F101" s="339"/>
      <c r="G101" s="459">
        <f>VLOOKUP($B$100, $B$10:$R$39, 16, FALSE)</f>
        <v>0</v>
      </c>
      <c r="H101" s="717"/>
      <c r="I101" s="718"/>
      <c r="J101" s="718"/>
      <c r="K101" s="718"/>
      <c r="L101" s="718"/>
      <c r="M101" s="718"/>
      <c r="N101" s="718"/>
      <c r="O101" s="718"/>
      <c r="P101" s="718"/>
      <c r="Q101" s="718"/>
      <c r="R101" s="719"/>
      <c r="S101" s="327"/>
      <c r="T101" s="327"/>
      <c r="U101" s="448"/>
      <c r="V101" s="470">
        <v>16</v>
      </c>
      <c r="X101" s="327"/>
      <c r="AB101" s="327"/>
      <c r="AF101" s="327"/>
      <c r="AJ101" s="327"/>
      <c r="AK101" s="327"/>
      <c r="AL101" s="327"/>
      <c r="AM101" s="327"/>
      <c r="AN101" s="327"/>
      <c r="AO101" s="327"/>
      <c r="AP101" s="327"/>
      <c r="AQ101" s="327"/>
      <c r="AR101" s="327"/>
      <c r="AS101" s="327"/>
      <c r="AT101" s="327"/>
    </row>
    <row r="102" spans="2:46" x14ac:dyDescent="0.35">
      <c r="B102" s="445"/>
      <c r="D102" s="440"/>
      <c r="E102" s="463" t="str">
        <f>$R$6</f>
        <v>FY2028</v>
      </c>
      <c r="F102" s="441"/>
      <c r="G102" s="460">
        <f>VLOOKUP($B$100, $B$10:$R$39, 17, FALSE)</f>
        <v>0</v>
      </c>
      <c r="H102" s="711"/>
      <c r="I102" s="712"/>
      <c r="J102" s="712"/>
      <c r="K102" s="712"/>
      <c r="L102" s="712"/>
      <c r="M102" s="712"/>
      <c r="N102" s="712"/>
      <c r="O102" s="712"/>
      <c r="P102" s="712"/>
      <c r="Q102" s="712"/>
      <c r="R102" s="713"/>
      <c r="S102" s="327"/>
      <c r="T102" s="327"/>
      <c r="U102" s="448"/>
      <c r="V102" s="470">
        <v>17</v>
      </c>
      <c r="X102" s="327"/>
      <c r="AB102" s="327"/>
      <c r="AF102" s="327"/>
      <c r="AJ102" s="327"/>
      <c r="AK102" s="327"/>
      <c r="AL102" s="327"/>
      <c r="AM102" s="327"/>
      <c r="AN102" s="327"/>
      <c r="AO102" s="327"/>
      <c r="AP102" s="327"/>
      <c r="AQ102" s="327"/>
      <c r="AR102" s="327"/>
      <c r="AS102" s="327"/>
      <c r="AT102" s="327"/>
    </row>
    <row r="103" spans="2:46" x14ac:dyDescent="0.35">
      <c r="B103" s="442"/>
      <c r="C103" s="442"/>
      <c r="D103"/>
      <c r="E103"/>
      <c r="F103"/>
      <c r="G103" s="447"/>
      <c r="H103"/>
      <c r="I103"/>
      <c r="J103"/>
      <c r="K103"/>
      <c r="L103"/>
      <c r="M103"/>
      <c r="N103"/>
      <c r="O103"/>
      <c r="S103" s="327"/>
      <c r="T103" s="327"/>
      <c r="U103" s="448"/>
      <c r="V103" s="470">
        <v>18</v>
      </c>
      <c r="X103" s="327"/>
      <c r="AB103" s="327"/>
      <c r="AF103" s="327"/>
      <c r="AJ103" s="327"/>
      <c r="AK103" s="327"/>
      <c r="AL103" s="327"/>
      <c r="AM103" s="327"/>
      <c r="AN103" s="327"/>
      <c r="AO103" s="327"/>
      <c r="AP103" s="327"/>
      <c r="AQ103" s="327"/>
      <c r="AR103" s="327"/>
      <c r="AS103" s="327"/>
      <c r="AT103" s="327"/>
    </row>
    <row r="104" spans="2:46" x14ac:dyDescent="0.35">
      <c r="B104" s="486">
        <f>B37</f>
        <v>20</v>
      </c>
      <c r="C104" s="331"/>
      <c r="D104" s="436" t="str">
        <f>VLOOKUP(B104, $B$10:$R$39, 3, FALSE)</f>
        <v xml:space="preserve">Loan Capital Repayment </v>
      </c>
      <c r="E104" s="461" t="str">
        <f>$P$6</f>
        <v>FY2026</v>
      </c>
      <c r="F104" s="457"/>
      <c r="G104" s="458">
        <f>VLOOKUP($B$104, $B$10:$R$39, 15, FALSE)</f>
        <v>0</v>
      </c>
      <c r="H104" s="714"/>
      <c r="I104" s="715"/>
      <c r="J104" s="715"/>
      <c r="K104" s="715"/>
      <c r="L104" s="715"/>
      <c r="M104" s="715"/>
      <c r="N104" s="715"/>
      <c r="O104" s="715"/>
      <c r="P104" s="715"/>
      <c r="Q104" s="715"/>
      <c r="R104" s="716"/>
      <c r="S104" s="327"/>
      <c r="T104" s="327"/>
      <c r="U104" s="448"/>
      <c r="X104" s="327"/>
      <c r="AB104" s="327"/>
      <c r="AF104" s="327"/>
      <c r="AJ104" s="327"/>
      <c r="AK104" s="327"/>
      <c r="AL104" s="327"/>
      <c r="AM104" s="327"/>
      <c r="AN104" s="327"/>
      <c r="AO104" s="327"/>
      <c r="AP104" s="327"/>
      <c r="AQ104" s="327"/>
      <c r="AR104" s="327"/>
      <c r="AS104" s="327"/>
      <c r="AT104" s="327"/>
    </row>
    <row r="105" spans="2:46" x14ac:dyDescent="0.35">
      <c r="B105" s="438"/>
      <c r="C105" s="331"/>
      <c r="D105" s="437"/>
      <c r="E105" s="462" t="str">
        <f>$Q$6</f>
        <v>FY2027</v>
      </c>
      <c r="G105" s="459">
        <f>VLOOKUP($B$104, $B$10:$R$39, 16, FALSE)</f>
        <v>0</v>
      </c>
      <c r="H105" s="717"/>
      <c r="I105" s="718"/>
      <c r="J105" s="718"/>
      <c r="K105" s="718"/>
      <c r="L105" s="718"/>
      <c r="M105" s="718"/>
      <c r="N105" s="718"/>
      <c r="O105" s="718"/>
      <c r="P105" s="718"/>
      <c r="Q105" s="718"/>
      <c r="R105" s="719"/>
      <c r="S105" s="327"/>
      <c r="T105" s="327"/>
      <c r="U105" s="448"/>
      <c r="X105" s="327"/>
      <c r="AB105" s="327"/>
      <c r="AF105" s="327"/>
      <c r="AJ105" s="327"/>
      <c r="AK105" s="327"/>
      <c r="AL105" s="327"/>
      <c r="AM105" s="327"/>
      <c r="AN105" s="327"/>
      <c r="AO105" s="327"/>
      <c r="AP105" s="327"/>
      <c r="AQ105" s="327"/>
      <c r="AR105" s="327"/>
      <c r="AS105" s="327"/>
      <c r="AT105" s="327"/>
    </row>
    <row r="106" spans="2:46" x14ac:dyDescent="0.35">
      <c r="B106" s="439"/>
      <c r="C106" s="331"/>
      <c r="D106" s="440"/>
      <c r="E106" s="463" t="str">
        <f>$R$6</f>
        <v>FY2028</v>
      </c>
      <c r="F106" s="435"/>
      <c r="G106" s="460">
        <f>VLOOKUP($B$104, $B$10:$R$39, 17, FALSE)</f>
        <v>0</v>
      </c>
      <c r="H106" s="711"/>
      <c r="I106" s="712"/>
      <c r="J106" s="712"/>
      <c r="K106" s="712"/>
      <c r="L106" s="712"/>
      <c r="M106" s="712"/>
      <c r="N106" s="712"/>
      <c r="O106" s="712"/>
      <c r="P106" s="712"/>
      <c r="Q106" s="712"/>
      <c r="R106" s="713"/>
      <c r="S106" s="327"/>
      <c r="T106" s="327"/>
      <c r="U106" s="448"/>
      <c r="X106" s="327"/>
      <c r="AB106" s="327"/>
      <c r="AF106" s="327"/>
      <c r="AJ106" s="327"/>
      <c r="AK106" s="327"/>
      <c r="AL106" s="327"/>
      <c r="AM106" s="327"/>
      <c r="AN106" s="327"/>
      <c r="AO106" s="327"/>
      <c r="AP106" s="327"/>
      <c r="AQ106" s="327"/>
      <c r="AR106" s="327"/>
      <c r="AS106" s="327"/>
      <c r="AT106" s="327"/>
    </row>
    <row r="107" spans="2:46" x14ac:dyDescent="0.35">
      <c r="B107" s="442"/>
      <c r="C107" s="442"/>
      <c r="D107"/>
      <c r="E107"/>
      <c r="F107"/>
      <c r="G107" s="447"/>
      <c r="H107"/>
      <c r="I107"/>
      <c r="J107"/>
      <c r="K107"/>
      <c r="L107"/>
      <c r="M107"/>
      <c r="N107"/>
      <c r="O107"/>
      <c r="S107" s="327"/>
      <c r="T107" s="327"/>
      <c r="U107" s="448"/>
      <c r="V107" s="332"/>
      <c r="X107" s="327"/>
      <c r="AB107" s="327"/>
      <c r="AF107" s="327"/>
      <c r="AJ107" s="327"/>
      <c r="AK107" s="327"/>
      <c r="AL107" s="327"/>
      <c r="AM107" s="327"/>
      <c r="AN107" s="327"/>
      <c r="AO107" s="327"/>
      <c r="AP107" s="327"/>
      <c r="AQ107" s="327"/>
      <c r="AR107" s="327"/>
      <c r="AS107" s="327"/>
      <c r="AT107" s="327"/>
    </row>
    <row r="108" spans="2:46" x14ac:dyDescent="0.35">
      <c r="B108" s="486">
        <f>B38</f>
        <v>21</v>
      </c>
      <c r="C108" s="331"/>
      <c r="D108" s="436" t="str">
        <f>VLOOKUP(B108, $B$10:$R$39, 3, FALSE)</f>
        <v>Capital element of finance lease rental payments</v>
      </c>
      <c r="E108" s="461" t="str">
        <f>$P$6</f>
        <v>FY2026</v>
      </c>
      <c r="F108" s="457"/>
      <c r="G108" s="458">
        <f>VLOOKUP($B$108, $B$10:$R$39, 15, FALSE)</f>
        <v>0</v>
      </c>
      <c r="H108" s="714"/>
      <c r="I108" s="715"/>
      <c r="J108" s="715"/>
      <c r="K108" s="715"/>
      <c r="L108" s="715"/>
      <c r="M108" s="715"/>
      <c r="N108" s="715"/>
      <c r="O108" s="715"/>
      <c r="P108" s="715"/>
      <c r="Q108" s="715"/>
      <c r="R108" s="716"/>
      <c r="S108" s="327"/>
      <c r="T108" s="327"/>
      <c r="U108" s="448"/>
      <c r="X108" s="327"/>
      <c r="AB108" s="327"/>
      <c r="AF108" s="327"/>
      <c r="AJ108" s="327"/>
      <c r="AK108" s="327"/>
      <c r="AL108" s="327"/>
      <c r="AM108" s="327"/>
      <c r="AN108" s="327"/>
      <c r="AO108" s="327"/>
      <c r="AP108" s="327"/>
      <c r="AQ108" s="327"/>
      <c r="AR108" s="327"/>
      <c r="AS108" s="327"/>
      <c r="AT108" s="327"/>
    </row>
    <row r="109" spans="2:46" x14ac:dyDescent="0.35">
      <c r="B109" s="444"/>
      <c r="D109" s="437"/>
      <c r="E109" s="462" t="str">
        <f>$Q$6</f>
        <v>FY2027</v>
      </c>
      <c r="G109" s="459">
        <f>VLOOKUP($B$108, $B$10:$R$39, 16, FALSE)</f>
        <v>0</v>
      </c>
      <c r="H109" s="717"/>
      <c r="I109" s="718"/>
      <c r="J109" s="718"/>
      <c r="K109" s="718"/>
      <c r="L109" s="718"/>
      <c r="M109" s="718"/>
      <c r="N109" s="718"/>
      <c r="O109" s="718"/>
      <c r="P109" s="718"/>
      <c r="Q109" s="718"/>
      <c r="R109" s="719"/>
      <c r="S109" s="327"/>
      <c r="T109" s="327"/>
      <c r="U109" s="448"/>
      <c r="X109" s="327"/>
      <c r="AB109" s="327"/>
      <c r="AF109" s="327"/>
      <c r="AJ109" s="327"/>
      <c r="AK109" s="327"/>
      <c r="AL109" s="327"/>
      <c r="AM109" s="327"/>
      <c r="AN109" s="327"/>
      <c r="AO109" s="327"/>
      <c r="AP109" s="327"/>
      <c r="AQ109" s="327"/>
      <c r="AR109" s="327"/>
      <c r="AS109" s="327"/>
      <c r="AT109" s="327"/>
    </row>
    <row r="110" spans="2:46" x14ac:dyDescent="0.35">
      <c r="B110" s="445"/>
      <c r="D110" s="440"/>
      <c r="E110" s="463" t="str">
        <f>$R$6</f>
        <v>FY2028</v>
      </c>
      <c r="F110" s="435"/>
      <c r="G110" s="460">
        <f>VLOOKUP($B$108, $B$10:$R$39, 17, FALSE)</f>
        <v>0</v>
      </c>
      <c r="H110" s="711"/>
      <c r="I110" s="712"/>
      <c r="J110" s="712"/>
      <c r="K110" s="712"/>
      <c r="L110" s="712"/>
      <c r="M110" s="712"/>
      <c r="N110" s="712"/>
      <c r="O110" s="712"/>
      <c r="P110" s="712"/>
      <c r="Q110" s="712"/>
      <c r="R110" s="713"/>
      <c r="S110" s="327"/>
      <c r="T110" s="327"/>
      <c r="U110" s="448"/>
      <c r="X110" s="327"/>
      <c r="AB110" s="327"/>
      <c r="AF110" s="327"/>
      <c r="AJ110" s="327"/>
      <c r="AK110" s="327"/>
      <c r="AL110" s="327"/>
      <c r="AM110" s="327"/>
      <c r="AN110" s="327"/>
      <c r="AO110" s="327"/>
      <c r="AP110" s="327"/>
      <c r="AQ110" s="327"/>
      <c r="AR110" s="327"/>
      <c r="AS110" s="327"/>
      <c r="AT110" s="327"/>
    </row>
    <row r="111" spans="2:46" x14ac:dyDescent="0.35">
      <c r="G111" s="452"/>
      <c r="P111" s="327"/>
      <c r="Q111" s="327"/>
      <c r="R111" s="327"/>
      <c r="S111" s="327"/>
      <c r="T111" s="327"/>
      <c r="U111" s="448"/>
      <c r="X111" s="327"/>
      <c r="AB111" s="327"/>
      <c r="AF111" s="327"/>
      <c r="AJ111" s="327"/>
      <c r="AK111" s="327"/>
      <c r="AL111" s="327"/>
      <c r="AM111" s="327"/>
      <c r="AN111" s="327"/>
      <c r="AO111" s="327"/>
      <c r="AP111" s="327"/>
      <c r="AQ111" s="327"/>
      <c r="AR111" s="327"/>
      <c r="AS111" s="327"/>
      <c r="AT111" s="327"/>
    </row>
    <row r="112" spans="2:46" x14ac:dyDescent="0.35">
      <c r="B112" s="486">
        <f>B39</f>
        <v>22</v>
      </c>
      <c r="C112" s="331"/>
      <c r="D112" s="436" t="str">
        <f>VLOOKUP(B112, $B$10:$R$39, 3, FALSE)</f>
        <v>Cash movement due to merger / de-merger</v>
      </c>
      <c r="E112" s="461" t="str">
        <f>$P$6</f>
        <v>FY2026</v>
      </c>
      <c r="F112" s="457"/>
      <c r="G112" s="458">
        <f>VLOOKUP($B$112, $B$10:$R$39, 15, FALSE)</f>
        <v>0</v>
      </c>
      <c r="H112" s="714"/>
      <c r="I112" s="715"/>
      <c r="J112" s="715"/>
      <c r="K112" s="715"/>
      <c r="L112" s="715"/>
      <c r="M112" s="715"/>
      <c r="N112" s="715"/>
      <c r="O112" s="715"/>
      <c r="P112" s="715"/>
      <c r="Q112" s="715"/>
      <c r="R112" s="716"/>
      <c r="S112" s="327"/>
      <c r="T112" s="327"/>
      <c r="U112" s="448"/>
      <c r="X112" s="327"/>
      <c r="AB112" s="327"/>
      <c r="AF112" s="327"/>
      <c r="AJ112" s="327"/>
      <c r="AK112" s="327"/>
      <c r="AL112" s="327"/>
      <c r="AM112" s="327"/>
      <c r="AN112" s="327"/>
      <c r="AO112" s="327"/>
      <c r="AP112" s="327"/>
      <c r="AQ112" s="327"/>
      <c r="AR112" s="327"/>
      <c r="AS112" s="327"/>
      <c r="AT112" s="327"/>
    </row>
    <row r="113" spans="2:46" x14ac:dyDescent="0.35">
      <c r="B113" s="444"/>
      <c r="D113" s="437"/>
      <c r="E113" s="462" t="str">
        <f>$Q$6</f>
        <v>FY2027</v>
      </c>
      <c r="G113" s="459">
        <f>VLOOKUP($B$112, $B$10:$R$39, 16, FALSE)</f>
        <v>0</v>
      </c>
      <c r="H113" s="717"/>
      <c r="I113" s="718"/>
      <c r="J113" s="718"/>
      <c r="K113" s="718"/>
      <c r="L113" s="718"/>
      <c r="M113" s="718"/>
      <c r="N113" s="718"/>
      <c r="O113" s="718"/>
      <c r="P113" s="718"/>
      <c r="Q113" s="718"/>
      <c r="R113" s="719"/>
      <c r="S113" s="327"/>
      <c r="T113" s="327"/>
      <c r="X113" s="327"/>
      <c r="AB113" s="327"/>
      <c r="AF113" s="327"/>
      <c r="AJ113" s="327"/>
      <c r="AK113" s="327"/>
      <c r="AL113" s="327"/>
      <c r="AM113" s="327"/>
      <c r="AN113" s="327"/>
      <c r="AO113" s="327"/>
      <c r="AP113" s="327"/>
      <c r="AQ113" s="327"/>
      <c r="AR113" s="327"/>
      <c r="AS113" s="327"/>
      <c r="AT113" s="327"/>
    </row>
    <row r="114" spans="2:46" x14ac:dyDescent="0.35">
      <c r="B114" s="445"/>
      <c r="D114" s="440"/>
      <c r="E114" s="463" t="str">
        <f>$R$6</f>
        <v>FY2028</v>
      </c>
      <c r="F114" s="435"/>
      <c r="G114" s="460">
        <f>VLOOKUP($B$112, $B$10:$R$39, 17, FALSE)</f>
        <v>0</v>
      </c>
      <c r="H114" s="711"/>
      <c r="I114" s="712"/>
      <c r="J114" s="712"/>
      <c r="K114" s="712"/>
      <c r="L114" s="712"/>
      <c r="M114" s="712"/>
      <c r="N114" s="712"/>
      <c r="O114" s="712"/>
      <c r="P114" s="712"/>
      <c r="Q114" s="712"/>
      <c r="R114" s="713"/>
      <c r="S114" s="327"/>
      <c r="T114" s="327"/>
      <c r="X114" s="327"/>
      <c r="AB114" s="327"/>
      <c r="AF114" s="327"/>
      <c r="AJ114" s="327"/>
      <c r="AK114" s="327"/>
      <c r="AL114" s="327"/>
      <c r="AM114" s="327"/>
      <c r="AN114" s="327"/>
      <c r="AO114" s="327"/>
      <c r="AP114" s="327"/>
      <c r="AQ114" s="327"/>
      <c r="AR114" s="327"/>
      <c r="AS114" s="327"/>
      <c r="AT114" s="327"/>
    </row>
    <row r="115" spans="2:46" x14ac:dyDescent="0.35">
      <c r="G115" s="452"/>
      <c r="P115" s="327"/>
      <c r="Q115" s="327"/>
      <c r="R115" s="327"/>
      <c r="S115" s="327"/>
      <c r="T115" s="327"/>
      <c r="X115" s="327"/>
      <c r="AB115" s="327"/>
      <c r="AF115" s="327"/>
      <c r="AJ115" s="327"/>
      <c r="AK115" s="327"/>
      <c r="AL115" s="327"/>
      <c r="AM115" s="327"/>
      <c r="AN115" s="327"/>
      <c r="AO115" s="327"/>
      <c r="AP115" s="327"/>
      <c r="AQ115" s="327"/>
      <c r="AR115" s="327"/>
      <c r="AS115" s="327"/>
      <c r="AT115" s="327"/>
    </row>
    <row r="116" spans="2:46" x14ac:dyDescent="0.35">
      <c r="P116" s="327"/>
      <c r="Q116" s="327"/>
      <c r="R116" s="327"/>
      <c r="S116" s="327"/>
      <c r="T116" s="327"/>
      <c r="X116" s="327"/>
      <c r="AB116" s="327"/>
      <c r="AF116" s="327"/>
      <c r="AJ116" s="327"/>
      <c r="AK116" s="327"/>
      <c r="AL116" s="327"/>
      <c r="AM116" s="327"/>
      <c r="AN116" s="327"/>
      <c r="AO116" s="327"/>
      <c r="AP116" s="327"/>
      <c r="AQ116" s="327"/>
      <c r="AR116" s="327"/>
      <c r="AS116" s="327"/>
      <c r="AT116" s="327"/>
    </row>
    <row r="117" spans="2:46" x14ac:dyDescent="0.35">
      <c r="P117" s="327"/>
      <c r="Q117" s="327"/>
      <c r="R117" s="327"/>
      <c r="S117" s="327"/>
      <c r="T117" s="327"/>
      <c r="X117" s="327"/>
      <c r="AB117" s="327"/>
      <c r="AF117" s="327"/>
      <c r="AJ117" s="327"/>
      <c r="AK117" s="327"/>
      <c r="AL117" s="327"/>
      <c r="AM117" s="327"/>
      <c r="AN117" s="327"/>
      <c r="AO117" s="327"/>
      <c r="AP117" s="327"/>
      <c r="AQ117" s="327"/>
      <c r="AR117" s="327"/>
      <c r="AS117" s="327"/>
      <c r="AT117" s="327"/>
    </row>
    <row r="118" spans="2:46" x14ac:dyDescent="0.35">
      <c r="P118" s="327"/>
      <c r="Q118" s="327"/>
      <c r="R118" s="327"/>
      <c r="S118" s="327"/>
      <c r="T118" s="327"/>
      <c r="X118" s="327"/>
      <c r="AB118" s="327"/>
      <c r="AF118" s="327"/>
      <c r="AJ118" s="327"/>
      <c r="AK118" s="327"/>
      <c r="AL118" s="327"/>
      <c r="AM118" s="327"/>
      <c r="AN118" s="327"/>
      <c r="AO118" s="327"/>
      <c r="AP118" s="327"/>
      <c r="AQ118" s="327"/>
      <c r="AR118" s="327"/>
      <c r="AS118" s="327"/>
      <c r="AT118" s="327"/>
    </row>
    <row r="119" spans="2:46" x14ac:dyDescent="0.35">
      <c r="P119" s="327"/>
      <c r="Q119" s="327"/>
      <c r="R119" s="327"/>
      <c r="S119" s="327"/>
      <c r="T119" s="327"/>
      <c r="X119" s="327"/>
      <c r="AB119" s="327"/>
      <c r="AF119" s="327"/>
      <c r="AJ119" s="327"/>
      <c r="AK119" s="327"/>
      <c r="AL119" s="327"/>
      <c r="AM119" s="327"/>
      <c r="AN119" s="327"/>
      <c r="AO119" s="327"/>
      <c r="AP119" s="327"/>
      <c r="AQ119" s="327"/>
      <c r="AR119" s="327"/>
      <c r="AS119" s="327"/>
      <c r="AT119" s="327"/>
    </row>
    <row r="120" spans="2:46" x14ac:dyDescent="0.35">
      <c r="P120" s="327"/>
      <c r="Q120" s="327"/>
      <c r="R120" s="327"/>
      <c r="S120" s="327"/>
      <c r="T120" s="327"/>
      <c r="X120" s="327"/>
      <c r="AB120" s="327"/>
      <c r="AF120" s="327"/>
      <c r="AJ120" s="327"/>
      <c r="AK120" s="327"/>
      <c r="AL120" s="327"/>
      <c r="AM120" s="327"/>
      <c r="AN120" s="327"/>
      <c r="AO120" s="327"/>
      <c r="AP120" s="327"/>
      <c r="AQ120" s="327"/>
      <c r="AR120" s="327"/>
      <c r="AS120" s="327"/>
      <c r="AT120" s="327"/>
    </row>
    <row r="121" spans="2:46" x14ac:dyDescent="0.35">
      <c r="P121" s="327"/>
      <c r="Q121" s="327"/>
      <c r="R121" s="327"/>
      <c r="S121" s="327"/>
      <c r="T121" s="327"/>
      <c r="X121" s="327"/>
      <c r="AB121" s="327"/>
      <c r="AF121" s="327"/>
      <c r="AJ121" s="327"/>
      <c r="AK121" s="327"/>
      <c r="AL121" s="327"/>
      <c r="AM121" s="327"/>
      <c r="AN121" s="327"/>
      <c r="AO121" s="327"/>
      <c r="AP121" s="327"/>
      <c r="AQ121" s="327"/>
      <c r="AR121" s="327"/>
      <c r="AS121" s="327"/>
      <c r="AT121" s="327"/>
    </row>
    <row r="122" spans="2:46" x14ac:dyDescent="0.35">
      <c r="P122" s="327"/>
      <c r="Q122" s="327"/>
      <c r="R122" s="327"/>
      <c r="S122" s="327"/>
      <c r="T122" s="327"/>
      <c r="X122" s="327"/>
      <c r="AB122" s="327"/>
      <c r="AF122" s="327"/>
      <c r="AJ122" s="327"/>
      <c r="AK122" s="327"/>
      <c r="AL122" s="327"/>
      <c r="AM122" s="327"/>
      <c r="AN122" s="327"/>
      <c r="AO122" s="327"/>
      <c r="AP122" s="327"/>
      <c r="AQ122" s="327"/>
      <c r="AR122" s="327"/>
      <c r="AS122" s="327"/>
      <c r="AT122" s="327"/>
    </row>
    <row r="123" spans="2:46" x14ac:dyDescent="0.35">
      <c r="P123" s="327"/>
      <c r="Q123" s="327"/>
      <c r="R123" s="327"/>
      <c r="S123" s="327"/>
      <c r="T123" s="327"/>
      <c r="X123" s="327"/>
      <c r="AB123" s="327"/>
      <c r="AF123" s="327"/>
      <c r="AJ123" s="327"/>
      <c r="AK123" s="327"/>
      <c r="AL123" s="327"/>
      <c r="AM123" s="327"/>
      <c r="AN123" s="327"/>
      <c r="AO123" s="327"/>
      <c r="AP123" s="327"/>
      <c r="AQ123" s="327"/>
      <c r="AR123" s="327"/>
      <c r="AS123" s="327"/>
      <c r="AT123" s="327"/>
    </row>
    <row r="124" spans="2:46" x14ac:dyDescent="0.35">
      <c r="P124" s="327"/>
      <c r="Q124" s="327"/>
      <c r="R124" s="327"/>
      <c r="S124" s="327"/>
      <c r="T124" s="327"/>
      <c r="X124" s="327"/>
      <c r="AB124" s="327"/>
      <c r="AF124" s="327"/>
      <c r="AJ124" s="327"/>
      <c r="AK124" s="327"/>
      <c r="AL124" s="327"/>
      <c r="AM124" s="327"/>
      <c r="AN124" s="327"/>
      <c r="AO124" s="327"/>
      <c r="AP124" s="327"/>
      <c r="AQ124" s="327"/>
      <c r="AR124" s="327"/>
      <c r="AS124" s="327"/>
      <c r="AT124" s="327"/>
    </row>
    <row r="125" spans="2:46" x14ac:dyDescent="0.35">
      <c r="P125" s="327"/>
      <c r="Q125" s="327"/>
      <c r="R125" s="327"/>
      <c r="S125" s="327"/>
      <c r="T125" s="327"/>
      <c r="X125" s="327"/>
      <c r="AB125" s="327"/>
      <c r="AF125" s="327"/>
      <c r="AJ125" s="327"/>
      <c r="AK125" s="327"/>
      <c r="AL125" s="327"/>
      <c r="AM125" s="327"/>
      <c r="AN125" s="327"/>
      <c r="AO125" s="327"/>
      <c r="AP125" s="327"/>
      <c r="AQ125" s="327"/>
      <c r="AR125" s="327"/>
      <c r="AS125" s="327"/>
      <c r="AT125" s="327"/>
    </row>
    <row r="126" spans="2:46" x14ac:dyDescent="0.35">
      <c r="P126" s="327"/>
      <c r="Q126" s="327"/>
      <c r="R126" s="327"/>
      <c r="S126" s="327"/>
      <c r="T126" s="327"/>
      <c r="X126" s="327"/>
      <c r="AB126" s="327"/>
      <c r="AF126" s="327"/>
      <c r="AJ126" s="327"/>
      <c r="AK126" s="327"/>
      <c r="AL126" s="327"/>
      <c r="AM126" s="327"/>
      <c r="AN126" s="327"/>
      <c r="AO126" s="327"/>
      <c r="AP126" s="327"/>
      <c r="AQ126" s="327"/>
      <c r="AR126" s="327"/>
      <c r="AS126" s="327"/>
      <c r="AT126" s="327"/>
    </row>
    <row r="127" spans="2:46" x14ac:dyDescent="0.35">
      <c r="P127" s="327"/>
      <c r="Q127" s="327"/>
      <c r="R127" s="327"/>
      <c r="S127" s="327"/>
      <c r="T127" s="327"/>
      <c r="X127" s="327"/>
      <c r="AB127" s="327"/>
      <c r="AF127" s="327"/>
      <c r="AJ127" s="327"/>
      <c r="AK127" s="327"/>
      <c r="AL127" s="327"/>
      <c r="AM127" s="327"/>
      <c r="AN127" s="327"/>
      <c r="AO127" s="327"/>
      <c r="AP127" s="327"/>
      <c r="AQ127" s="327"/>
      <c r="AR127" s="327"/>
      <c r="AS127" s="327"/>
      <c r="AT127" s="327"/>
    </row>
    <row r="128" spans="2:46" x14ac:dyDescent="0.35">
      <c r="P128" s="327"/>
      <c r="Q128" s="327"/>
      <c r="R128" s="327"/>
      <c r="S128" s="327"/>
      <c r="T128" s="327"/>
      <c r="X128" s="327"/>
      <c r="AB128" s="327"/>
      <c r="AF128" s="327"/>
      <c r="AJ128" s="327"/>
      <c r="AK128" s="327"/>
      <c r="AL128" s="327"/>
      <c r="AM128" s="327"/>
      <c r="AN128" s="327"/>
      <c r="AO128" s="327"/>
      <c r="AP128" s="327"/>
      <c r="AQ128" s="327"/>
      <c r="AR128" s="327"/>
      <c r="AS128" s="327"/>
      <c r="AT128" s="327"/>
    </row>
    <row r="129" spans="16:46" x14ac:dyDescent="0.35">
      <c r="P129" s="327"/>
      <c r="Q129" s="327"/>
      <c r="R129" s="327"/>
      <c r="S129" s="327"/>
      <c r="T129" s="327"/>
      <c r="X129" s="327"/>
      <c r="AB129" s="327"/>
      <c r="AF129" s="327"/>
      <c r="AJ129" s="327"/>
      <c r="AK129" s="327"/>
      <c r="AL129" s="327"/>
      <c r="AM129" s="327"/>
      <c r="AN129" s="327"/>
      <c r="AO129" s="327"/>
      <c r="AP129" s="327"/>
      <c r="AQ129" s="327"/>
      <c r="AR129" s="327"/>
      <c r="AS129" s="327"/>
      <c r="AT129" s="327"/>
    </row>
    <row r="130" spans="16:46" x14ac:dyDescent="0.35">
      <c r="P130" s="327"/>
      <c r="Q130" s="327"/>
      <c r="R130" s="327"/>
      <c r="S130" s="327"/>
      <c r="T130" s="327"/>
      <c r="X130" s="327"/>
      <c r="AB130" s="327"/>
      <c r="AF130" s="327"/>
      <c r="AJ130" s="327"/>
      <c r="AK130" s="327"/>
      <c r="AL130" s="327"/>
      <c r="AM130" s="327"/>
      <c r="AN130" s="327"/>
      <c r="AO130" s="327"/>
      <c r="AP130" s="327"/>
      <c r="AQ130" s="327"/>
      <c r="AR130" s="327"/>
      <c r="AS130" s="327"/>
      <c r="AT130" s="327"/>
    </row>
    <row r="131" spans="16:46" x14ac:dyDescent="0.35">
      <c r="P131" s="327"/>
      <c r="Q131" s="327"/>
      <c r="R131" s="327"/>
      <c r="S131" s="327"/>
      <c r="T131" s="327"/>
      <c r="X131" s="327"/>
      <c r="AB131" s="327"/>
      <c r="AF131" s="327"/>
      <c r="AJ131" s="327"/>
      <c r="AK131" s="327"/>
      <c r="AL131" s="327"/>
      <c r="AM131" s="327"/>
      <c r="AN131" s="327"/>
      <c r="AO131" s="327"/>
      <c r="AP131" s="327"/>
      <c r="AQ131" s="327"/>
      <c r="AR131" s="327"/>
      <c r="AS131" s="327"/>
      <c r="AT131" s="327"/>
    </row>
    <row r="132" spans="16:46" x14ac:dyDescent="0.35">
      <c r="P132" s="327"/>
      <c r="Q132" s="327"/>
      <c r="R132" s="327"/>
      <c r="S132" s="327"/>
      <c r="T132" s="327"/>
      <c r="X132" s="327"/>
      <c r="AB132" s="327"/>
      <c r="AF132" s="327"/>
      <c r="AJ132" s="327"/>
      <c r="AK132" s="327"/>
      <c r="AL132" s="327"/>
      <c r="AM132" s="327"/>
      <c r="AN132" s="327"/>
      <c r="AO132" s="327"/>
      <c r="AP132" s="327"/>
      <c r="AQ132" s="327"/>
      <c r="AR132" s="327"/>
      <c r="AS132" s="327"/>
      <c r="AT132" s="327"/>
    </row>
    <row r="133" spans="16:46" x14ac:dyDescent="0.35">
      <c r="P133" s="327"/>
      <c r="Q133" s="327"/>
      <c r="R133" s="327"/>
      <c r="S133" s="327"/>
      <c r="T133" s="327"/>
      <c r="X133" s="327"/>
      <c r="AB133" s="327"/>
      <c r="AF133" s="327"/>
      <c r="AJ133" s="327"/>
      <c r="AK133" s="327"/>
      <c r="AL133" s="327"/>
      <c r="AM133" s="327"/>
      <c r="AN133" s="327"/>
      <c r="AO133" s="327"/>
      <c r="AP133" s="327"/>
      <c r="AQ133" s="327"/>
      <c r="AR133" s="327"/>
      <c r="AS133" s="327"/>
      <c r="AT133" s="327"/>
    </row>
    <row r="134" spans="16:46" x14ac:dyDescent="0.35">
      <c r="P134" s="327"/>
      <c r="Q134" s="327"/>
      <c r="R134" s="327"/>
      <c r="S134" s="327"/>
      <c r="T134" s="327"/>
      <c r="X134" s="327"/>
      <c r="AB134" s="327"/>
      <c r="AF134" s="327"/>
      <c r="AJ134" s="327"/>
      <c r="AK134" s="327"/>
      <c r="AL134" s="327"/>
      <c r="AM134" s="327"/>
      <c r="AN134" s="327"/>
      <c r="AO134" s="327"/>
      <c r="AP134" s="327"/>
      <c r="AQ134" s="327"/>
      <c r="AR134" s="327"/>
      <c r="AS134" s="327"/>
      <c r="AT134" s="327"/>
    </row>
    <row r="135" spans="16:46" x14ac:dyDescent="0.35">
      <c r="P135" s="327"/>
      <c r="Q135" s="327"/>
      <c r="R135" s="327"/>
      <c r="S135" s="327"/>
      <c r="T135" s="327"/>
      <c r="X135" s="327"/>
      <c r="AB135" s="327"/>
      <c r="AF135" s="327"/>
      <c r="AJ135" s="327"/>
      <c r="AK135" s="327"/>
      <c r="AL135" s="327"/>
      <c r="AM135" s="327"/>
      <c r="AN135" s="327"/>
      <c r="AO135" s="327"/>
      <c r="AP135" s="327"/>
      <c r="AQ135" s="327"/>
      <c r="AR135" s="327"/>
      <c r="AS135" s="327"/>
      <c r="AT135" s="327"/>
    </row>
    <row r="136" spans="16:46" x14ac:dyDescent="0.35">
      <c r="P136" s="327"/>
      <c r="Q136" s="327"/>
      <c r="R136" s="327"/>
      <c r="S136" s="327"/>
      <c r="T136" s="327"/>
      <c r="X136" s="327"/>
      <c r="AB136" s="327"/>
      <c r="AF136" s="327"/>
      <c r="AJ136" s="327"/>
      <c r="AK136" s="327"/>
      <c r="AL136" s="327"/>
      <c r="AM136" s="327"/>
      <c r="AN136" s="327"/>
      <c r="AO136" s="327"/>
      <c r="AP136" s="327"/>
      <c r="AQ136" s="327"/>
      <c r="AR136" s="327"/>
      <c r="AS136" s="327"/>
      <c r="AT136" s="327"/>
    </row>
    <row r="137" spans="16:46" x14ac:dyDescent="0.35">
      <c r="P137" s="327"/>
      <c r="Q137" s="327"/>
      <c r="R137" s="327"/>
      <c r="S137" s="327"/>
      <c r="T137" s="327"/>
      <c r="X137" s="327"/>
      <c r="AB137" s="327"/>
      <c r="AF137" s="327"/>
      <c r="AJ137" s="327"/>
      <c r="AK137" s="327"/>
      <c r="AL137" s="327"/>
      <c r="AM137" s="327"/>
      <c r="AN137" s="327"/>
      <c r="AO137" s="327"/>
      <c r="AP137" s="327"/>
      <c r="AQ137" s="327"/>
      <c r="AR137" s="327"/>
      <c r="AS137" s="327"/>
      <c r="AT137" s="327"/>
    </row>
    <row r="138" spans="16:46" x14ac:dyDescent="0.35">
      <c r="P138" s="327"/>
      <c r="Q138" s="327"/>
      <c r="R138" s="327"/>
      <c r="S138" s="327"/>
      <c r="T138" s="327"/>
      <c r="X138" s="327"/>
      <c r="AB138" s="327"/>
      <c r="AF138" s="327"/>
      <c r="AJ138" s="327"/>
      <c r="AK138" s="327"/>
      <c r="AL138" s="327"/>
      <c r="AM138" s="327"/>
      <c r="AN138" s="327"/>
      <c r="AO138" s="327"/>
      <c r="AP138" s="327"/>
      <c r="AQ138" s="327"/>
      <c r="AR138" s="327"/>
      <c r="AS138" s="327"/>
      <c r="AT138" s="327"/>
    </row>
    <row r="139" spans="16:46" x14ac:dyDescent="0.35">
      <c r="P139" s="327"/>
      <c r="Q139" s="327"/>
      <c r="R139" s="327"/>
      <c r="S139" s="327"/>
      <c r="T139" s="327"/>
      <c r="X139" s="327"/>
      <c r="AB139" s="327"/>
      <c r="AF139" s="327"/>
      <c r="AJ139" s="327"/>
      <c r="AK139" s="327"/>
      <c r="AL139" s="327"/>
      <c r="AM139" s="327"/>
      <c r="AN139" s="327"/>
      <c r="AO139" s="327"/>
      <c r="AP139" s="327"/>
      <c r="AQ139" s="327"/>
      <c r="AR139" s="327"/>
      <c r="AS139" s="327"/>
      <c r="AT139" s="327"/>
    </row>
    <row r="140" spans="16:46" x14ac:dyDescent="0.35">
      <c r="P140" s="327"/>
      <c r="Q140" s="327"/>
      <c r="R140" s="327"/>
      <c r="S140" s="327"/>
      <c r="T140" s="327"/>
      <c r="X140" s="327"/>
      <c r="AB140" s="327"/>
      <c r="AF140" s="327"/>
      <c r="AJ140" s="327"/>
      <c r="AK140" s="327"/>
      <c r="AL140" s="327"/>
      <c r="AM140" s="327"/>
      <c r="AN140" s="327"/>
      <c r="AO140" s="327"/>
      <c r="AP140" s="327"/>
      <c r="AQ140" s="327"/>
      <c r="AR140" s="327"/>
      <c r="AS140" s="327"/>
      <c r="AT140" s="327"/>
    </row>
    <row r="141" spans="16:46" x14ac:dyDescent="0.35">
      <c r="P141" s="327"/>
      <c r="Q141" s="327"/>
      <c r="R141" s="327"/>
      <c r="S141" s="327"/>
      <c r="T141" s="327"/>
      <c r="X141" s="327"/>
      <c r="AB141" s="327"/>
      <c r="AF141" s="327"/>
      <c r="AJ141" s="327"/>
      <c r="AK141" s="327"/>
      <c r="AL141" s="327"/>
      <c r="AM141" s="327"/>
      <c r="AN141" s="327"/>
      <c r="AO141" s="327"/>
      <c r="AP141" s="327"/>
      <c r="AQ141" s="327"/>
      <c r="AR141" s="327"/>
      <c r="AS141" s="327"/>
      <c r="AT141" s="327"/>
    </row>
    <row r="142" spans="16:46" x14ac:dyDescent="0.35">
      <c r="P142" s="327"/>
      <c r="Q142" s="327"/>
      <c r="R142" s="327"/>
      <c r="S142" s="327"/>
      <c r="T142" s="327"/>
      <c r="X142" s="327"/>
      <c r="AB142" s="327"/>
      <c r="AF142" s="327"/>
      <c r="AJ142" s="327"/>
      <c r="AK142" s="327"/>
      <c r="AL142" s="327"/>
      <c r="AM142" s="327"/>
      <c r="AN142" s="327"/>
      <c r="AO142" s="327"/>
      <c r="AP142" s="327"/>
      <c r="AQ142" s="327"/>
      <c r="AR142" s="327"/>
      <c r="AS142" s="327"/>
      <c r="AT142" s="327"/>
    </row>
    <row r="143" spans="16:46" x14ac:dyDescent="0.35">
      <c r="P143" s="327"/>
      <c r="Q143" s="327"/>
      <c r="R143" s="327"/>
      <c r="S143" s="327"/>
      <c r="T143" s="327"/>
      <c r="X143" s="327"/>
      <c r="AB143" s="327"/>
      <c r="AF143" s="327"/>
      <c r="AJ143" s="327"/>
      <c r="AK143" s="327"/>
      <c r="AL143" s="327"/>
      <c r="AM143" s="327"/>
      <c r="AN143" s="327"/>
      <c r="AO143" s="327"/>
      <c r="AP143" s="327"/>
      <c r="AQ143" s="327"/>
      <c r="AR143" s="327"/>
      <c r="AS143" s="327"/>
      <c r="AT143" s="327"/>
    </row>
    <row r="144" spans="16:46" x14ac:dyDescent="0.35">
      <c r="P144" s="327"/>
      <c r="Q144" s="327"/>
      <c r="R144" s="327"/>
      <c r="S144" s="327"/>
      <c r="T144" s="327"/>
      <c r="X144" s="327"/>
      <c r="AB144" s="327"/>
      <c r="AF144" s="327"/>
      <c r="AJ144" s="327"/>
      <c r="AK144" s="327"/>
      <c r="AL144" s="327"/>
      <c r="AM144" s="327"/>
      <c r="AN144" s="327"/>
      <c r="AO144" s="327"/>
      <c r="AP144" s="327"/>
      <c r="AQ144" s="327"/>
      <c r="AR144" s="327"/>
      <c r="AS144" s="327"/>
      <c r="AT144" s="327"/>
    </row>
    <row r="145" spans="16:46" x14ac:dyDescent="0.35">
      <c r="P145" s="327"/>
      <c r="Q145" s="327"/>
      <c r="R145" s="327"/>
      <c r="S145" s="327"/>
      <c r="T145" s="327"/>
      <c r="X145" s="327"/>
      <c r="AB145" s="327"/>
      <c r="AF145" s="327"/>
      <c r="AJ145" s="327"/>
      <c r="AK145" s="327"/>
      <c r="AL145" s="327"/>
      <c r="AM145" s="327"/>
      <c r="AN145" s="327"/>
      <c r="AO145" s="327"/>
      <c r="AP145" s="327"/>
      <c r="AQ145" s="327"/>
      <c r="AR145" s="327"/>
      <c r="AS145" s="327"/>
      <c r="AT145" s="327"/>
    </row>
    <row r="146" spans="16:46" x14ac:dyDescent="0.35">
      <c r="P146" s="327"/>
      <c r="Q146" s="327"/>
      <c r="R146" s="327"/>
      <c r="S146" s="327"/>
      <c r="T146" s="327"/>
      <c r="X146" s="327"/>
      <c r="AB146" s="327"/>
      <c r="AF146" s="327"/>
      <c r="AJ146" s="327"/>
      <c r="AK146" s="327"/>
      <c r="AL146" s="327"/>
      <c r="AM146" s="327"/>
      <c r="AN146" s="327"/>
      <c r="AO146" s="327"/>
      <c r="AP146" s="327"/>
      <c r="AQ146" s="327"/>
      <c r="AR146" s="327"/>
      <c r="AS146" s="327"/>
      <c r="AT146" s="327"/>
    </row>
    <row r="147" spans="16:46" x14ac:dyDescent="0.35">
      <c r="P147" s="327"/>
      <c r="Q147" s="327"/>
      <c r="R147" s="327"/>
      <c r="S147" s="327"/>
      <c r="T147" s="327"/>
      <c r="X147" s="327"/>
      <c r="AB147" s="327"/>
      <c r="AF147" s="327"/>
      <c r="AJ147" s="327"/>
      <c r="AK147" s="327"/>
      <c r="AL147" s="327"/>
      <c r="AM147" s="327"/>
      <c r="AN147" s="327"/>
      <c r="AO147" s="327"/>
      <c r="AP147" s="327"/>
      <c r="AQ147" s="327"/>
      <c r="AR147" s="327"/>
      <c r="AS147" s="327"/>
      <c r="AT147" s="327"/>
    </row>
    <row r="148" spans="16:46" x14ac:dyDescent="0.35">
      <c r="P148" s="327"/>
      <c r="Q148" s="327"/>
      <c r="R148" s="327"/>
      <c r="S148" s="327"/>
      <c r="T148" s="327"/>
      <c r="X148" s="327"/>
      <c r="AB148" s="327"/>
      <c r="AF148" s="327"/>
      <c r="AJ148" s="327"/>
      <c r="AK148" s="327"/>
      <c r="AL148" s="327"/>
      <c r="AM148" s="327"/>
      <c r="AN148" s="327"/>
      <c r="AO148" s="327"/>
      <c r="AP148" s="327"/>
      <c r="AQ148" s="327"/>
      <c r="AR148" s="327"/>
      <c r="AS148" s="327"/>
      <c r="AT148" s="327"/>
    </row>
    <row r="149" spans="16:46" x14ac:dyDescent="0.35">
      <c r="P149" s="327"/>
      <c r="Q149" s="327"/>
      <c r="R149" s="327"/>
      <c r="S149" s="327"/>
      <c r="T149" s="327"/>
      <c r="X149" s="327"/>
      <c r="AB149" s="327"/>
      <c r="AF149" s="327"/>
      <c r="AJ149" s="327"/>
      <c r="AK149" s="327"/>
      <c r="AL149" s="327"/>
      <c r="AM149" s="327"/>
      <c r="AN149" s="327"/>
      <c r="AO149" s="327"/>
      <c r="AP149" s="327"/>
      <c r="AQ149" s="327"/>
      <c r="AR149" s="327"/>
      <c r="AS149" s="327"/>
      <c r="AT149" s="327"/>
    </row>
    <row r="150" spans="16:46" x14ac:dyDescent="0.35">
      <c r="P150" s="327"/>
      <c r="Q150" s="327"/>
      <c r="R150" s="327"/>
      <c r="S150" s="327"/>
      <c r="T150" s="327"/>
      <c r="X150" s="327"/>
      <c r="AB150" s="327"/>
      <c r="AF150" s="327"/>
      <c r="AJ150" s="327"/>
      <c r="AK150" s="327"/>
      <c r="AL150" s="327"/>
      <c r="AM150" s="327"/>
      <c r="AN150" s="327"/>
      <c r="AO150" s="327"/>
      <c r="AP150" s="327"/>
      <c r="AQ150" s="327"/>
      <c r="AR150" s="327"/>
      <c r="AS150" s="327"/>
      <c r="AT150" s="327"/>
    </row>
    <row r="151" spans="16:46" x14ac:dyDescent="0.35">
      <c r="P151" s="327"/>
      <c r="Q151" s="327"/>
      <c r="R151" s="327"/>
      <c r="S151" s="327"/>
      <c r="T151" s="327"/>
      <c r="X151" s="327"/>
      <c r="AB151" s="327"/>
      <c r="AF151" s="327"/>
      <c r="AJ151" s="327"/>
      <c r="AK151" s="327"/>
      <c r="AL151" s="327"/>
      <c r="AM151" s="327"/>
      <c r="AN151" s="327"/>
      <c r="AO151" s="327"/>
      <c r="AP151" s="327"/>
      <c r="AQ151" s="327"/>
      <c r="AR151" s="327"/>
      <c r="AS151" s="327"/>
      <c r="AT151" s="327"/>
    </row>
    <row r="152" spans="16:46" x14ac:dyDescent="0.35">
      <c r="P152" s="327"/>
      <c r="Q152" s="327"/>
      <c r="R152" s="327"/>
      <c r="S152" s="327"/>
      <c r="T152" s="327"/>
      <c r="X152" s="327"/>
      <c r="AB152" s="327"/>
      <c r="AF152" s="327"/>
      <c r="AJ152" s="327"/>
      <c r="AK152" s="327"/>
      <c r="AL152" s="327"/>
      <c r="AM152" s="327"/>
      <c r="AN152" s="327"/>
      <c r="AO152" s="327"/>
      <c r="AP152" s="327"/>
      <c r="AQ152" s="327"/>
      <c r="AR152" s="327"/>
      <c r="AS152" s="327"/>
      <c r="AT152" s="327"/>
    </row>
    <row r="153" spans="16:46" x14ac:dyDescent="0.35">
      <c r="P153" s="327"/>
      <c r="Q153" s="327"/>
      <c r="R153" s="327"/>
      <c r="S153" s="327"/>
      <c r="T153" s="327"/>
      <c r="X153" s="327"/>
      <c r="AB153" s="327"/>
      <c r="AF153" s="327"/>
      <c r="AJ153" s="327"/>
      <c r="AK153" s="327"/>
      <c r="AL153" s="327"/>
      <c r="AM153" s="327"/>
      <c r="AN153" s="327"/>
      <c r="AO153" s="327"/>
      <c r="AP153" s="327"/>
      <c r="AQ153" s="327"/>
      <c r="AR153" s="327"/>
      <c r="AS153" s="327"/>
      <c r="AT153" s="327"/>
    </row>
    <row r="154" spans="16:46" x14ac:dyDescent="0.35">
      <c r="P154" s="327"/>
      <c r="Q154" s="327"/>
      <c r="R154" s="327"/>
      <c r="S154" s="327"/>
      <c r="T154" s="327"/>
      <c r="X154" s="327"/>
      <c r="AB154" s="327"/>
      <c r="AF154" s="327"/>
      <c r="AJ154" s="327"/>
      <c r="AK154" s="327"/>
      <c r="AL154" s="327"/>
      <c r="AM154" s="327"/>
      <c r="AN154" s="327"/>
      <c r="AO154" s="327"/>
      <c r="AP154" s="327"/>
      <c r="AQ154" s="327"/>
      <c r="AR154" s="327"/>
      <c r="AS154" s="327"/>
      <c r="AT154" s="327"/>
    </row>
    <row r="155" spans="16:46" x14ac:dyDescent="0.35">
      <c r="P155" s="327"/>
      <c r="Q155" s="327"/>
      <c r="R155" s="327"/>
      <c r="S155" s="327"/>
      <c r="T155" s="327"/>
      <c r="X155" s="327"/>
      <c r="AB155" s="327"/>
      <c r="AF155" s="327"/>
      <c r="AJ155" s="327"/>
      <c r="AK155" s="327"/>
      <c r="AL155" s="327"/>
      <c r="AM155" s="327"/>
      <c r="AN155" s="327"/>
      <c r="AO155" s="327"/>
      <c r="AP155" s="327"/>
      <c r="AQ155" s="327"/>
      <c r="AR155" s="327"/>
      <c r="AS155" s="327"/>
      <c r="AT155" s="327"/>
    </row>
    <row r="156" spans="16:46" x14ac:dyDescent="0.35">
      <c r="P156" s="327"/>
      <c r="Q156" s="327"/>
      <c r="R156" s="327"/>
      <c r="S156" s="327"/>
      <c r="T156" s="327"/>
      <c r="X156" s="327"/>
      <c r="AB156" s="327"/>
      <c r="AF156" s="327"/>
      <c r="AJ156" s="327"/>
      <c r="AK156" s="327"/>
      <c r="AL156" s="327"/>
      <c r="AM156" s="327"/>
      <c r="AN156" s="327"/>
      <c r="AO156" s="327"/>
      <c r="AP156" s="327"/>
      <c r="AQ156" s="327"/>
      <c r="AR156" s="327"/>
      <c r="AS156" s="327"/>
      <c r="AT156" s="327"/>
    </row>
    <row r="157" spans="16:46" x14ac:dyDescent="0.35">
      <c r="P157" s="327"/>
      <c r="Q157" s="327"/>
      <c r="R157" s="327"/>
      <c r="S157" s="327"/>
      <c r="T157" s="327"/>
      <c r="X157" s="327"/>
      <c r="AB157" s="327"/>
      <c r="AF157" s="327"/>
      <c r="AJ157" s="327"/>
      <c r="AK157" s="327"/>
      <c r="AL157" s="327"/>
      <c r="AM157" s="327"/>
      <c r="AN157" s="327"/>
      <c r="AO157" s="327"/>
      <c r="AP157" s="327"/>
      <c r="AQ157" s="327"/>
      <c r="AR157" s="327"/>
      <c r="AS157" s="327"/>
      <c r="AT157" s="327"/>
    </row>
    <row r="158" spans="16:46" x14ac:dyDescent="0.35">
      <c r="P158" s="327"/>
      <c r="Q158" s="327"/>
      <c r="R158" s="327"/>
      <c r="S158" s="327"/>
      <c r="T158" s="327"/>
      <c r="X158" s="327"/>
      <c r="AB158" s="327"/>
      <c r="AF158" s="327"/>
      <c r="AJ158" s="327"/>
      <c r="AK158" s="327"/>
      <c r="AL158" s="327"/>
      <c r="AM158" s="327"/>
      <c r="AN158" s="327"/>
      <c r="AO158" s="327"/>
      <c r="AP158" s="327"/>
      <c r="AQ158" s="327"/>
      <c r="AR158" s="327"/>
      <c r="AS158" s="327"/>
      <c r="AT158" s="327"/>
    </row>
    <row r="159" spans="16:46" x14ac:dyDescent="0.35">
      <c r="P159" s="327"/>
      <c r="Q159" s="327"/>
      <c r="R159" s="327"/>
      <c r="S159" s="327"/>
      <c r="T159" s="327"/>
      <c r="X159" s="327"/>
      <c r="AB159" s="327"/>
      <c r="AF159" s="327"/>
      <c r="AJ159" s="327"/>
      <c r="AK159" s="327"/>
      <c r="AL159" s="327"/>
      <c r="AM159" s="327"/>
      <c r="AN159" s="327"/>
      <c r="AO159" s="327"/>
      <c r="AP159" s="327"/>
      <c r="AQ159" s="327"/>
      <c r="AR159" s="327"/>
      <c r="AS159" s="327"/>
      <c r="AT159" s="327"/>
    </row>
    <row r="160" spans="16:46" x14ac:dyDescent="0.35">
      <c r="P160" s="327"/>
      <c r="Q160" s="327"/>
      <c r="R160" s="327"/>
      <c r="S160" s="327"/>
      <c r="T160" s="327"/>
      <c r="X160" s="327"/>
      <c r="AB160" s="327"/>
      <c r="AF160" s="327"/>
      <c r="AJ160" s="327"/>
      <c r="AK160" s="327"/>
      <c r="AL160" s="327"/>
      <c r="AM160" s="327"/>
      <c r="AN160" s="327"/>
      <c r="AO160" s="327"/>
      <c r="AP160" s="327"/>
      <c r="AQ160" s="327"/>
      <c r="AR160" s="327"/>
      <c r="AS160" s="327"/>
      <c r="AT160" s="327"/>
    </row>
    <row r="161" spans="16:46" x14ac:dyDescent="0.35">
      <c r="P161" s="327"/>
      <c r="Q161" s="327"/>
      <c r="R161" s="327"/>
      <c r="S161" s="327"/>
      <c r="T161" s="327"/>
      <c r="X161" s="327"/>
      <c r="AB161" s="327"/>
      <c r="AF161" s="327"/>
      <c r="AJ161" s="327"/>
      <c r="AK161" s="327"/>
      <c r="AL161" s="327"/>
      <c r="AM161" s="327"/>
      <c r="AN161" s="327"/>
      <c r="AO161" s="327"/>
      <c r="AP161" s="327"/>
      <c r="AQ161" s="327"/>
      <c r="AR161" s="327"/>
      <c r="AS161" s="327"/>
      <c r="AT161" s="327"/>
    </row>
    <row r="162" spans="16:46" x14ac:dyDescent="0.35">
      <c r="P162" s="327"/>
      <c r="Q162" s="327"/>
      <c r="R162" s="327"/>
      <c r="S162" s="327"/>
      <c r="T162" s="327"/>
      <c r="X162" s="327"/>
      <c r="AB162" s="327"/>
      <c r="AF162" s="327"/>
      <c r="AJ162" s="327"/>
      <c r="AK162" s="327"/>
      <c r="AL162" s="327"/>
      <c r="AM162" s="327"/>
      <c r="AN162" s="327"/>
      <c r="AO162" s="327"/>
      <c r="AP162" s="327"/>
      <c r="AQ162" s="327"/>
      <c r="AR162" s="327"/>
      <c r="AS162" s="327"/>
      <c r="AT162" s="327"/>
    </row>
    <row r="163" spans="16:46" x14ac:dyDescent="0.35">
      <c r="P163" s="327"/>
      <c r="Q163" s="327"/>
      <c r="R163" s="327"/>
      <c r="S163" s="327"/>
      <c r="T163" s="327"/>
      <c r="X163" s="327"/>
      <c r="AB163" s="327"/>
      <c r="AF163" s="327"/>
      <c r="AJ163" s="327"/>
      <c r="AK163" s="327"/>
      <c r="AL163" s="327"/>
      <c r="AM163" s="327"/>
      <c r="AN163" s="327"/>
      <c r="AO163" s="327"/>
      <c r="AP163" s="327"/>
      <c r="AQ163" s="327"/>
      <c r="AR163" s="327"/>
      <c r="AS163" s="327"/>
      <c r="AT163" s="327"/>
    </row>
    <row r="164" spans="16:46" x14ac:dyDescent="0.35">
      <c r="P164" s="327"/>
      <c r="Q164" s="327"/>
      <c r="R164" s="327"/>
      <c r="S164" s="327"/>
      <c r="T164" s="327"/>
      <c r="X164" s="327"/>
      <c r="AB164" s="327"/>
      <c r="AF164" s="327"/>
      <c r="AJ164" s="327"/>
      <c r="AK164" s="327"/>
      <c r="AL164" s="327"/>
      <c r="AM164" s="327"/>
      <c r="AN164" s="327"/>
      <c r="AO164" s="327"/>
      <c r="AP164" s="327"/>
      <c r="AQ164" s="327"/>
      <c r="AR164" s="327"/>
      <c r="AS164" s="327"/>
      <c r="AT164" s="327"/>
    </row>
    <row r="165" spans="16:46" x14ac:dyDescent="0.35">
      <c r="P165" s="327"/>
      <c r="Q165" s="327"/>
      <c r="R165" s="327"/>
      <c r="S165" s="327"/>
      <c r="T165" s="327"/>
      <c r="X165" s="327"/>
      <c r="AB165" s="327"/>
      <c r="AF165" s="327"/>
      <c r="AJ165" s="327"/>
      <c r="AK165" s="327"/>
      <c r="AL165" s="327"/>
      <c r="AM165" s="327"/>
      <c r="AN165" s="327"/>
      <c r="AO165" s="327"/>
      <c r="AP165" s="327"/>
      <c r="AQ165" s="327"/>
      <c r="AR165" s="327"/>
      <c r="AS165" s="327"/>
      <c r="AT165" s="327"/>
    </row>
    <row r="166" spans="16:46" x14ac:dyDescent="0.35">
      <c r="P166" s="327"/>
      <c r="Q166" s="327"/>
      <c r="R166" s="327"/>
      <c r="S166" s="327"/>
      <c r="T166" s="327"/>
      <c r="X166" s="327"/>
      <c r="AB166" s="327"/>
      <c r="AF166" s="327"/>
      <c r="AJ166" s="327"/>
      <c r="AK166" s="327"/>
      <c r="AL166" s="327"/>
      <c r="AM166" s="327"/>
      <c r="AN166" s="327"/>
      <c r="AO166" s="327"/>
      <c r="AP166" s="327"/>
      <c r="AQ166" s="327"/>
      <c r="AR166" s="327"/>
      <c r="AS166" s="327"/>
      <c r="AT166" s="327"/>
    </row>
    <row r="167" spans="16:46" x14ac:dyDescent="0.35">
      <c r="P167" s="327"/>
      <c r="Q167" s="327"/>
      <c r="R167" s="327"/>
      <c r="S167" s="327"/>
      <c r="T167" s="327"/>
      <c r="X167" s="327"/>
      <c r="AB167" s="327"/>
      <c r="AF167" s="327"/>
      <c r="AJ167" s="327"/>
      <c r="AK167" s="327"/>
      <c r="AL167" s="327"/>
      <c r="AM167" s="327"/>
      <c r="AN167" s="327"/>
      <c r="AO167" s="327"/>
      <c r="AP167" s="327"/>
      <c r="AQ167" s="327"/>
      <c r="AR167" s="327"/>
      <c r="AS167" s="327"/>
      <c r="AT167" s="327"/>
    </row>
    <row r="168" spans="16:46" x14ac:dyDescent="0.35">
      <c r="P168" s="327"/>
      <c r="Q168" s="327"/>
      <c r="R168" s="327"/>
      <c r="S168" s="327"/>
      <c r="T168" s="327"/>
      <c r="X168" s="327"/>
      <c r="AB168" s="327"/>
      <c r="AF168" s="327"/>
      <c r="AJ168" s="327"/>
      <c r="AK168" s="327"/>
      <c r="AL168" s="327"/>
      <c r="AM168" s="327"/>
      <c r="AN168" s="327"/>
      <c r="AO168" s="327"/>
      <c r="AP168" s="327"/>
      <c r="AQ168" s="327"/>
      <c r="AR168" s="327"/>
      <c r="AS168" s="327"/>
      <c r="AT168" s="327"/>
    </row>
    <row r="169" spans="16:46" x14ac:dyDescent="0.35">
      <c r="P169" s="327"/>
      <c r="Q169" s="327"/>
      <c r="R169" s="327"/>
      <c r="S169" s="327"/>
      <c r="T169" s="327"/>
      <c r="X169" s="327"/>
      <c r="AB169" s="327"/>
      <c r="AF169" s="327"/>
      <c r="AJ169" s="327"/>
      <c r="AK169" s="327"/>
      <c r="AL169" s="327"/>
      <c r="AM169" s="327"/>
      <c r="AN169" s="327"/>
      <c r="AO169" s="327"/>
      <c r="AP169" s="327"/>
      <c r="AQ169" s="327"/>
      <c r="AR169" s="327"/>
      <c r="AS169" s="327"/>
      <c r="AT169" s="327"/>
    </row>
    <row r="170" spans="16:46" x14ac:dyDescent="0.35">
      <c r="P170" s="327"/>
      <c r="Q170" s="327"/>
      <c r="R170" s="327"/>
      <c r="S170" s="327"/>
      <c r="T170" s="327"/>
      <c r="X170" s="327"/>
      <c r="AB170" s="327"/>
      <c r="AF170" s="327"/>
      <c r="AJ170" s="327"/>
      <c r="AK170" s="327"/>
      <c r="AL170" s="327"/>
      <c r="AM170" s="327"/>
      <c r="AN170" s="327"/>
      <c r="AO170" s="327"/>
      <c r="AP170" s="327"/>
      <c r="AQ170" s="327"/>
      <c r="AR170" s="327"/>
      <c r="AS170" s="327"/>
      <c r="AT170" s="327"/>
    </row>
    <row r="171" spans="16:46" x14ac:dyDescent="0.35">
      <c r="P171" s="327"/>
      <c r="Q171" s="327"/>
      <c r="R171" s="327"/>
      <c r="S171" s="327"/>
      <c r="T171" s="327"/>
      <c r="X171" s="327"/>
      <c r="AB171" s="327"/>
      <c r="AF171" s="327"/>
      <c r="AJ171" s="327"/>
      <c r="AK171" s="327"/>
      <c r="AL171" s="327"/>
      <c r="AM171" s="327"/>
      <c r="AN171" s="327"/>
      <c r="AO171" s="327"/>
      <c r="AP171" s="327"/>
      <c r="AQ171" s="327"/>
      <c r="AR171" s="327"/>
      <c r="AS171" s="327"/>
      <c r="AT171" s="327"/>
    </row>
    <row r="172" spans="16:46" x14ac:dyDescent="0.35">
      <c r="P172" s="327"/>
      <c r="Q172" s="327"/>
      <c r="R172" s="327"/>
      <c r="S172" s="327"/>
      <c r="T172" s="327"/>
      <c r="X172" s="327"/>
      <c r="AB172" s="327"/>
      <c r="AF172" s="327"/>
      <c r="AJ172" s="327"/>
      <c r="AK172" s="327"/>
      <c r="AL172" s="327"/>
      <c r="AM172" s="327"/>
      <c r="AN172" s="327"/>
      <c r="AO172" s="327"/>
      <c r="AP172" s="327"/>
      <c r="AQ172" s="327"/>
      <c r="AR172" s="327"/>
      <c r="AS172" s="327"/>
      <c r="AT172" s="327"/>
    </row>
    <row r="173" spans="16:46" x14ac:dyDescent="0.35">
      <c r="P173" s="327"/>
      <c r="Q173" s="327"/>
      <c r="R173" s="327"/>
      <c r="S173" s="327"/>
      <c r="T173" s="327"/>
      <c r="X173" s="327"/>
      <c r="AB173" s="327"/>
      <c r="AF173" s="327"/>
      <c r="AJ173" s="327"/>
      <c r="AK173" s="327"/>
      <c r="AL173" s="327"/>
      <c r="AM173" s="327"/>
      <c r="AN173" s="327"/>
      <c r="AO173" s="327"/>
      <c r="AP173" s="327"/>
      <c r="AQ173" s="327"/>
      <c r="AR173" s="327"/>
      <c r="AS173" s="327"/>
      <c r="AT173" s="327"/>
    </row>
    <row r="174" spans="16:46" x14ac:dyDescent="0.35">
      <c r="P174" s="327"/>
      <c r="Q174" s="327"/>
      <c r="R174" s="327"/>
      <c r="S174" s="327"/>
      <c r="T174" s="327"/>
      <c r="X174" s="327"/>
      <c r="AB174" s="327"/>
      <c r="AF174" s="327"/>
      <c r="AJ174" s="327"/>
      <c r="AK174" s="327"/>
      <c r="AL174" s="327"/>
      <c r="AM174" s="327"/>
      <c r="AN174" s="327"/>
      <c r="AO174" s="327"/>
      <c r="AP174" s="327"/>
      <c r="AQ174" s="327"/>
      <c r="AR174" s="327"/>
      <c r="AS174" s="327"/>
      <c r="AT174" s="327"/>
    </row>
    <row r="175" spans="16:46" x14ac:dyDescent="0.35">
      <c r="P175" s="327"/>
      <c r="Q175" s="327"/>
      <c r="R175" s="327"/>
      <c r="S175" s="327"/>
      <c r="T175" s="327"/>
      <c r="X175" s="327"/>
      <c r="AB175" s="327"/>
      <c r="AF175" s="327"/>
      <c r="AJ175" s="327"/>
      <c r="AK175" s="327"/>
      <c r="AL175" s="327"/>
      <c r="AM175" s="327"/>
      <c r="AN175" s="327"/>
      <c r="AO175" s="327"/>
      <c r="AP175" s="327"/>
      <c r="AQ175" s="327"/>
      <c r="AR175" s="327"/>
      <c r="AS175" s="327"/>
      <c r="AT175" s="327"/>
    </row>
    <row r="176" spans="16:46" x14ac:dyDescent="0.35">
      <c r="P176" s="327"/>
      <c r="Q176" s="327"/>
      <c r="R176" s="327"/>
      <c r="S176" s="327"/>
      <c r="T176" s="327"/>
      <c r="X176" s="327"/>
      <c r="AB176" s="327"/>
      <c r="AF176" s="327"/>
      <c r="AJ176" s="327"/>
      <c r="AK176" s="327"/>
      <c r="AL176" s="327"/>
      <c r="AM176" s="327"/>
      <c r="AN176" s="327"/>
      <c r="AO176" s="327"/>
      <c r="AP176" s="327"/>
      <c r="AQ176" s="327"/>
      <c r="AR176" s="327"/>
      <c r="AS176" s="327"/>
      <c r="AT176" s="327"/>
    </row>
    <row r="177" spans="16:46" x14ac:dyDescent="0.35">
      <c r="P177" s="327"/>
      <c r="Q177" s="327"/>
      <c r="R177" s="327"/>
      <c r="S177" s="327"/>
      <c r="T177" s="327"/>
      <c r="X177" s="327"/>
      <c r="AB177" s="327"/>
      <c r="AF177" s="327"/>
      <c r="AJ177" s="327"/>
      <c r="AK177" s="327"/>
      <c r="AL177" s="327"/>
      <c r="AM177" s="327"/>
      <c r="AN177" s="327"/>
      <c r="AO177" s="327"/>
      <c r="AP177" s="327"/>
      <c r="AQ177" s="327"/>
      <c r="AR177" s="327"/>
      <c r="AS177" s="327"/>
      <c r="AT177" s="327"/>
    </row>
    <row r="178" spans="16:46" x14ac:dyDescent="0.35">
      <c r="P178" s="327"/>
      <c r="Q178" s="327"/>
      <c r="R178" s="327"/>
      <c r="S178" s="327"/>
      <c r="T178" s="327"/>
      <c r="X178" s="327"/>
      <c r="AB178" s="327"/>
      <c r="AF178" s="327"/>
      <c r="AJ178" s="327"/>
      <c r="AK178" s="327"/>
      <c r="AL178" s="327"/>
      <c r="AM178" s="327"/>
      <c r="AN178" s="327"/>
      <c r="AO178" s="327"/>
      <c r="AP178" s="327"/>
      <c r="AQ178" s="327"/>
      <c r="AR178" s="327"/>
      <c r="AS178" s="327"/>
      <c r="AT178" s="327"/>
    </row>
    <row r="179" spans="16:46" x14ac:dyDescent="0.35">
      <c r="P179" s="327"/>
      <c r="Q179" s="327"/>
      <c r="R179" s="327"/>
      <c r="S179" s="327"/>
      <c r="T179" s="327"/>
      <c r="X179" s="327"/>
      <c r="AB179" s="327"/>
      <c r="AF179" s="327"/>
      <c r="AJ179" s="327"/>
      <c r="AK179" s="327"/>
      <c r="AL179" s="327"/>
      <c r="AM179" s="327"/>
      <c r="AN179" s="327"/>
      <c r="AO179" s="327"/>
      <c r="AP179" s="327"/>
      <c r="AQ179" s="327"/>
      <c r="AR179" s="327"/>
      <c r="AS179" s="327"/>
      <c r="AT179" s="327"/>
    </row>
    <row r="180" spans="16:46" x14ac:dyDescent="0.35">
      <c r="P180" s="327"/>
      <c r="Q180" s="327"/>
      <c r="R180" s="327"/>
      <c r="S180" s="327"/>
      <c r="T180" s="327"/>
      <c r="X180" s="327"/>
      <c r="AB180" s="327"/>
      <c r="AF180" s="327"/>
      <c r="AJ180" s="327"/>
      <c r="AK180" s="327"/>
      <c r="AL180" s="327"/>
      <c r="AM180" s="327"/>
      <c r="AN180" s="327"/>
      <c r="AO180" s="327"/>
      <c r="AP180" s="327"/>
      <c r="AQ180" s="327"/>
      <c r="AR180" s="327"/>
      <c r="AS180" s="327"/>
      <c r="AT180" s="327"/>
    </row>
    <row r="181" spans="16:46" x14ac:dyDescent="0.35">
      <c r="P181" s="327"/>
      <c r="Q181" s="327"/>
      <c r="R181" s="327"/>
      <c r="S181" s="327"/>
      <c r="T181" s="327"/>
      <c r="X181" s="327"/>
      <c r="AB181" s="327"/>
      <c r="AF181" s="327"/>
      <c r="AJ181" s="327"/>
      <c r="AK181" s="327"/>
      <c r="AL181" s="327"/>
      <c r="AM181" s="327"/>
      <c r="AN181" s="327"/>
      <c r="AO181" s="327"/>
      <c r="AP181" s="327"/>
      <c r="AQ181" s="327"/>
      <c r="AR181" s="327"/>
      <c r="AS181" s="327"/>
      <c r="AT181" s="327"/>
    </row>
    <row r="182" spans="16:46" x14ac:dyDescent="0.35">
      <c r="P182" s="327"/>
      <c r="Q182" s="327"/>
      <c r="R182" s="327"/>
      <c r="S182" s="327"/>
      <c r="T182" s="327"/>
      <c r="X182" s="327"/>
      <c r="AB182" s="327"/>
      <c r="AF182" s="327"/>
      <c r="AJ182" s="327"/>
      <c r="AK182" s="327"/>
      <c r="AL182" s="327"/>
      <c r="AM182" s="327"/>
      <c r="AN182" s="327"/>
      <c r="AO182" s="327"/>
      <c r="AP182" s="327"/>
      <c r="AQ182" s="327"/>
      <c r="AR182" s="327"/>
      <c r="AS182" s="327"/>
      <c r="AT182" s="327"/>
    </row>
    <row r="183" spans="16:46" x14ac:dyDescent="0.35">
      <c r="P183" s="327"/>
      <c r="Q183" s="327"/>
      <c r="R183" s="327"/>
      <c r="S183" s="327"/>
      <c r="T183" s="327"/>
      <c r="X183" s="327"/>
      <c r="AB183" s="327"/>
      <c r="AF183" s="327"/>
      <c r="AJ183" s="327"/>
      <c r="AK183" s="327"/>
      <c r="AL183" s="327"/>
      <c r="AM183" s="327"/>
      <c r="AN183" s="327"/>
      <c r="AO183" s="327"/>
      <c r="AP183" s="327"/>
      <c r="AQ183" s="327"/>
      <c r="AR183" s="327"/>
      <c r="AS183" s="327"/>
      <c r="AT183" s="327"/>
    </row>
    <row r="184" spans="16:46" x14ac:dyDescent="0.35">
      <c r="P184" s="327"/>
      <c r="Q184" s="327"/>
      <c r="R184" s="327"/>
      <c r="S184" s="327"/>
      <c r="T184" s="327"/>
      <c r="X184" s="327"/>
      <c r="AB184" s="327"/>
      <c r="AF184" s="327"/>
      <c r="AJ184" s="327"/>
      <c r="AK184" s="327"/>
      <c r="AL184" s="327"/>
      <c r="AM184" s="327"/>
      <c r="AN184" s="327"/>
      <c r="AO184" s="327"/>
      <c r="AP184" s="327"/>
      <c r="AQ184" s="327"/>
      <c r="AR184" s="327"/>
      <c r="AS184" s="327"/>
      <c r="AT184" s="327"/>
    </row>
    <row r="185" spans="16:46" x14ac:dyDescent="0.35">
      <c r="P185" s="327"/>
      <c r="Q185" s="327"/>
      <c r="R185" s="327"/>
      <c r="S185" s="327"/>
      <c r="T185" s="327"/>
      <c r="X185" s="327"/>
      <c r="AB185" s="327"/>
      <c r="AF185" s="327"/>
      <c r="AJ185" s="327"/>
      <c r="AK185" s="327"/>
      <c r="AL185" s="327"/>
      <c r="AM185" s="327"/>
      <c r="AN185" s="327"/>
      <c r="AO185" s="327"/>
      <c r="AP185" s="327"/>
      <c r="AQ185" s="327"/>
      <c r="AR185" s="327"/>
      <c r="AS185" s="327"/>
      <c r="AT185" s="327"/>
    </row>
    <row r="186" spans="16:46" x14ac:dyDescent="0.35">
      <c r="P186" s="327"/>
      <c r="Q186" s="327"/>
      <c r="R186" s="327"/>
      <c r="S186" s="327"/>
      <c r="T186" s="327"/>
      <c r="X186" s="327"/>
      <c r="AB186" s="327"/>
      <c r="AF186" s="327"/>
      <c r="AJ186" s="327"/>
      <c r="AK186" s="327"/>
      <c r="AL186" s="327"/>
      <c r="AM186" s="327"/>
      <c r="AN186" s="327"/>
      <c r="AO186" s="327"/>
      <c r="AP186" s="327"/>
      <c r="AQ186" s="327"/>
      <c r="AR186" s="327"/>
      <c r="AS186" s="327"/>
      <c r="AT186" s="327"/>
    </row>
    <row r="187" spans="16:46" x14ac:dyDescent="0.35">
      <c r="P187" s="327"/>
      <c r="Q187" s="327"/>
      <c r="R187" s="327"/>
      <c r="S187" s="327"/>
      <c r="T187" s="327"/>
      <c r="X187" s="327"/>
      <c r="AB187" s="327"/>
      <c r="AF187" s="327"/>
      <c r="AJ187" s="327"/>
      <c r="AK187" s="327"/>
      <c r="AL187" s="327"/>
      <c r="AM187" s="327"/>
      <c r="AN187" s="327"/>
      <c r="AO187" s="327"/>
      <c r="AP187" s="327"/>
      <c r="AQ187" s="327"/>
      <c r="AR187" s="327"/>
      <c r="AS187" s="327"/>
      <c r="AT187" s="327"/>
    </row>
    <row r="188" spans="16:46" x14ac:dyDescent="0.35">
      <c r="P188" s="327"/>
      <c r="Q188" s="327"/>
      <c r="R188" s="327"/>
      <c r="S188" s="327"/>
      <c r="T188" s="327"/>
      <c r="X188" s="327"/>
      <c r="AB188" s="327"/>
      <c r="AF188" s="327"/>
      <c r="AJ188" s="327"/>
      <c r="AK188" s="327"/>
      <c r="AL188" s="327"/>
      <c r="AM188" s="327"/>
      <c r="AN188" s="327"/>
      <c r="AO188" s="327"/>
      <c r="AP188" s="327"/>
      <c r="AQ188" s="327"/>
      <c r="AR188" s="327"/>
      <c r="AS188" s="327"/>
      <c r="AT188" s="327"/>
    </row>
    <row r="189" spans="16:46" x14ac:dyDescent="0.35">
      <c r="P189" s="327"/>
      <c r="Q189" s="327"/>
      <c r="R189" s="327"/>
      <c r="S189" s="327"/>
      <c r="T189" s="327"/>
      <c r="X189" s="327"/>
      <c r="AB189" s="327"/>
      <c r="AF189" s="327"/>
      <c r="AJ189" s="327"/>
      <c r="AK189" s="327"/>
      <c r="AL189" s="327"/>
      <c r="AM189" s="327"/>
      <c r="AN189" s="327"/>
      <c r="AO189" s="327"/>
      <c r="AP189" s="327"/>
      <c r="AQ189" s="327"/>
      <c r="AR189" s="327"/>
      <c r="AS189" s="327"/>
      <c r="AT189" s="327"/>
    </row>
    <row r="190" spans="16:46" x14ac:dyDescent="0.35">
      <c r="P190" s="327"/>
      <c r="Q190" s="327"/>
      <c r="R190" s="327"/>
      <c r="S190" s="327"/>
      <c r="T190" s="327"/>
      <c r="X190" s="327"/>
      <c r="AB190" s="327"/>
      <c r="AF190" s="327"/>
      <c r="AJ190" s="327"/>
      <c r="AK190" s="327"/>
      <c r="AL190" s="327"/>
      <c r="AM190" s="327"/>
      <c r="AN190" s="327"/>
      <c r="AO190" s="327"/>
      <c r="AP190" s="327"/>
      <c r="AQ190" s="327"/>
      <c r="AR190" s="327"/>
      <c r="AS190" s="327"/>
      <c r="AT190" s="327"/>
    </row>
    <row r="191" spans="16:46" x14ac:dyDescent="0.35">
      <c r="P191" s="327"/>
      <c r="Q191" s="327"/>
      <c r="R191" s="327"/>
      <c r="S191" s="327"/>
      <c r="T191" s="327"/>
      <c r="X191" s="327"/>
      <c r="AB191" s="327"/>
      <c r="AF191" s="327"/>
      <c r="AJ191" s="327"/>
      <c r="AK191" s="327"/>
      <c r="AL191" s="327"/>
      <c r="AM191" s="327"/>
      <c r="AN191" s="327"/>
      <c r="AO191" s="327"/>
      <c r="AP191" s="327"/>
      <c r="AQ191" s="327"/>
      <c r="AR191" s="327"/>
      <c r="AS191" s="327"/>
      <c r="AT191" s="327"/>
    </row>
    <row r="192" spans="16:46" x14ac:dyDescent="0.35">
      <c r="P192" s="327"/>
      <c r="Q192" s="327"/>
      <c r="R192" s="327"/>
      <c r="S192" s="327"/>
      <c r="T192" s="327"/>
      <c r="X192" s="327"/>
      <c r="AB192" s="327"/>
      <c r="AF192" s="327"/>
      <c r="AJ192" s="327"/>
      <c r="AK192" s="327"/>
      <c r="AL192" s="327"/>
      <c r="AM192" s="327"/>
      <c r="AN192" s="327"/>
      <c r="AO192" s="327"/>
      <c r="AP192" s="327"/>
      <c r="AQ192" s="327"/>
      <c r="AR192" s="327"/>
      <c r="AS192" s="327"/>
      <c r="AT192" s="327"/>
    </row>
    <row r="193" spans="16:46" x14ac:dyDescent="0.35">
      <c r="P193" s="327"/>
      <c r="Q193" s="327"/>
      <c r="R193" s="327"/>
      <c r="S193" s="327"/>
      <c r="T193" s="327"/>
      <c r="X193" s="327"/>
      <c r="AB193" s="327"/>
      <c r="AF193" s="327"/>
      <c r="AJ193" s="327"/>
      <c r="AK193" s="327"/>
      <c r="AL193" s="327"/>
      <c r="AM193" s="327"/>
      <c r="AN193" s="327"/>
      <c r="AO193" s="327"/>
      <c r="AP193" s="327"/>
      <c r="AQ193" s="327"/>
      <c r="AR193" s="327"/>
      <c r="AS193" s="327"/>
      <c r="AT193" s="327"/>
    </row>
    <row r="194" spans="16:46" x14ac:dyDescent="0.35">
      <c r="P194" s="327"/>
      <c r="Q194" s="327"/>
      <c r="R194" s="327"/>
      <c r="S194" s="327"/>
      <c r="T194" s="327"/>
      <c r="X194" s="327"/>
      <c r="AB194" s="327"/>
      <c r="AF194" s="327"/>
      <c r="AJ194" s="327"/>
      <c r="AK194" s="327"/>
      <c r="AL194" s="327"/>
      <c r="AM194" s="327"/>
      <c r="AN194" s="327"/>
      <c r="AO194" s="327"/>
      <c r="AP194" s="327"/>
      <c r="AQ194" s="327"/>
      <c r="AR194" s="327"/>
      <c r="AS194" s="327"/>
      <c r="AT194" s="327"/>
    </row>
    <row r="195" spans="16:46" x14ac:dyDescent="0.35">
      <c r="P195" s="327"/>
      <c r="Q195" s="327"/>
      <c r="R195" s="327"/>
      <c r="S195" s="327"/>
      <c r="T195" s="327"/>
      <c r="X195" s="327"/>
      <c r="AB195" s="327"/>
      <c r="AF195" s="327"/>
      <c r="AJ195" s="327"/>
      <c r="AK195" s="327"/>
      <c r="AL195" s="327"/>
      <c r="AM195" s="327"/>
      <c r="AN195" s="327"/>
      <c r="AO195" s="327"/>
      <c r="AP195" s="327"/>
      <c r="AQ195" s="327"/>
      <c r="AR195" s="327"/>
      <c r="AS195" s="327"/>
      <c r="AT195" s="327"/>
    </row>
    <row r="196" spans="16:46" x14ac:dyDescent="0.35">
      <c r="P196" s="327"/>
      <c r="Q196" s="327"/>
      <c r="R196" s="327"/>
      <c r="S196" s="327"/>
      <c r="T196" s="327"/>
      <c r="X196" s="327"/>
      <c r="AB196" s="327"/>
      <c r="AF196" s="327"/>
      <c r="AJ196" s="327"/>
      <c r="AK196" s="327"/>
      <c r="AL196" s="327"/>
      <c r="AM196" s="327"/>
      <c r="AN196" s="327"/>
      <c r="AO196" s="327"/>
      <c r="AP196" s="327"/>
      <c r="AQ196" s="327"/>
      <c r="AR196" s="327"/>
      <c r="AS196" s="327"/>
      <c r="AT196" s="327"/>
    </row>
    <row r="197" spans="16:46" x14ac:dyDescent="0.35">
      <c r="P197" s="327"/>
      <c r="Q197" s="327"/>
      <c r="R197" s="327"/>
      <c r="S197" s="327"/>
      <c r="T197" s="327"/>
      <c r="X197" s="327"/>
      <c r="AB197" s="327"/>
      <c r="AF197" s="327"/>
      <c r="AJ197" s="327"/>
      <c r="AK197" s="327"/>
      <c r="AL197" s="327"/>
      <c r="AM197" s="327"/>
      <c r="AN197" s="327"/>
      <c r="AO197" s="327"/>
      <c r="AP197" s="327"/>
      <c r="AQ197" s="327"/>
      <c r="AR197" s="327"/>
      <c r="AS197" s="327"/>
      <c r="AT197" s="327"/>
    </row>
    <row r="198" spans="16:46" x14ac:dyDescent="0.35">
      <c r="P198" s="327"/>
      <c r="Q198" s="327"/>
      <c r="R198" s="327"/>
      <c r="S198" s="327"/>
      <c r="T198" s="327"/>
      <c r="X198" s="327"/>
      <c r="AB198" s="327"/>
      <c r="AF198" s="327"/>
      <c r="AJ198" s="327"/>
      <c r="AK198" s="327"/>
      <c r="AL198" s="327"/>
      <c r="AM198" s="327"/>
      <c r="AN198" s="327"/>
      <c r="AO198" s="327"/>
      <c r="AP198" s="327"/>
      <c r="AQ198" s="327"/>
      <c r="AR198" s="327"/>
      <c r="AS198" s="327"/>
      <c r="AT198" s="327"/>
    </row>
    <row r="199" spans="16:46" x14ac:dyDescent="0.35">
      <c r="P199" s="327"/>
      <c r="Q199" s="327"/>
      <c r="R199" s="327"/>
      <c r="S199" s="327"/>
      <c r="T199" s="327"/>
      <c r="X199" s="327"/>
      <c r="AB199" s="327"/>
      <c r="AF199" s="327"/>
      <c r="AJ199" s="327"/>
      <c r="AK199" s="327"/>
      <c r="AL199" s="327"/>
      <c r="AM199" s="327"/>
      <c r="AN199" s="327"/>
      <c r="AO199" s="327"/>
      <c r="AP199" s="327"/>
      <c r="AQ199" s="327"/>
      <c r="AR199" s="327"/>
      <c r="AS199" s="327"/>
      <c r="AT199" s="327"/>
    </row>
    <row r="200" spans="16:46" x14ac:dyDescent="0.35">
      <c r="P200" s="327"/>
      <c r="Q200" s="327"/>
      <c r="R200" s="327"/>
      <c r="S200" s="327"/>
      <c r="T200" s="327"/>
      <c r="X200" s="327"/>
      <c r="AB200" s="327"/>
      <c r="AF200" s="327"/>
      <c r="AJ200" s="327"/>
      <c r="AK200" s="327"/>
      <c r="AL200" s="327"/>
      <c r="AM200" s="327"/>
      <c r="AN200" s="327"/>
      <c r="AO200" s="327"/>
      <c r="AP200" s="327"/>
      <c r="AQ200" s="327"/>
      <c r="AR200" s="327"/>
      <c r="AS200" s="327"/>
      <c r="AT200" s="327"/>
    </row>
    <row r="201" spans="16:46" x14ac:dyDescent="0.35">
      <c r="P201" s="327"/>
      <c r="Q201" s="327"/>
      <c r="R201" s="327"/>
      <c r="S201" s="327"/>
      <c r="T201" s="327"/>
      <c r="X201" s="327"/>
      <c r="AB201" s="327"/>
      <c r="AF201" s="327"/>
      <c r="AJ201" s="327"/>
      <c r="AK201" s="327"/>
      <c r="AL201" s="327"/>
      <c r="AM201" s="327"/>
      <c r="AN201" s="327"/>
      <c r="AO201" s="327"/>
      <c r="AP201" s="327"/>
      <c r="AQ201" s="327"/>
      <c r="AR201" s="327"/>
      <c r="AS201" s="327"/>
      <c r="AT201" s="327"/>
    </row>
    <row r="202" spans="16:46" x14ac:dyDescent="0.35">
      <c r="P202" s="327"/>
      <c r="Q202" s="327"/>
      <c r="R202" s="327"/>
      <c r="S202" s="327"/>
      <c r="T202" s="327"/>
      <c r="X202" s="327"/>
      <c r="AB202" s="327"/>
      <c r="AF202" s="327"/>
      <c r="AJ202" s="327"/>
      <c r="AK202" s="327"/>
      <c r="AL202" s="327"/>
      <c r="AM202" s="327"/>
      <c r="AN202" s="327"/>
      <c r="AO202" s="327"/>
      <c r="AP202" s="327"/>
      <c r="AQ202" s="327"/>
      <c r="AR202" s="327"/>
      <c r="AS202" s="327"/>
      <c r="AT202" s="327"/>
    </row>
    <row r="203" spans="16:46" x14ac:dyDescent="0.35">
      <c r="P203" s="327"/>
      <c r="Q203" s="327"/>
      <c r="R203" s="327"/>
      <c r="S203" s="327"/>
      <c r="T203" s="327"/>
      <c r="X203" s="327"/>
      <c r="AB203" s="327"/>
      <c r="AF203" s="327"/>
      <c r="AJ203" s="327"/>
      <c r="AK203" s="327"/>
      <c r="AL203" s="327"/>
      <c r="AM203" s="327"/>
      <c r="AN203" s="327"/>
      <c r="AO203" s="327"/>
      <c r="AP203" s="327"/>
      <c r="AQ203" s="327"/>
      <c r="AR203" s="327"/>
      <c r="AS203" s="327"/>
      <c r="AT203" s="327"/>
    </row>
    <row r="204" spans="16:46" x14ac:dyDescent="0.35">
      <c r="P204" s="327"/>
      <c r="Q204" s="327"/>
      <c r="R204" s="327"/>
      <c r="S204" s="327"/>
      <c r="T204" s="327"/>
      <c r="X204" s="327"/>
      <c r="AB204" s="327"/>
      <c r="AF204" s="327"/>
      <c r="AJ204" s="327"/>
      <c r="AK204" s="327"/>
      <c r="AL204" s="327"/>
      <c r="AM204" s="327"/>
      <c r="AN204" s="327"/>
      <c r="AO204" s="327"/>
      <c r="AP204" s="327"/>
      <c r="AQ204" s="327"/>
      <c r="AR204" s="327"/>
      <c r="AS204" s="327"/>
      <c r="AT204" s="327"/>
    </row>
    <row r="205" spans="16:46" x14ac:dyDescent="0.35">
      <c r="P205" s="327"/>
      <c r="Q205" s="327"/>
      <c r="R205" s="327"/>
      <c r="S205" s="327"/>
      <c r="T205" s="327"/>
      <c r="X205" s="327"/>
      <c r="AB205" s="327"/>
      <c r="AF205" s="327"/>
      <c r="AJ205" s="327"/>
      <c r="AK205" s="327"/>
      <c r="AL205" s="327"/>
      <c r="AM205" s="327"/>
      <c r="AN205" s="327"/>
      <c r="AO205" s="327"/>
      <c r="AP205" s="327"/>
      <c r="AQ205" s="327"/>
      <c r="AR205" s="327"/>
      <c r="AS205" s="327"/>
      <c r="AT205" s="327"/>
    </row>
    <row r="206" spans="16:46" x14ac:dyDescent="0.35">
      <c r="P206" s="327"/>
      <c r="Q206" s="327"/>
      <c r="R206" s="327"/>
      <c r="S206" s="327"/>
      <c r="T206" s="327"/>
      <c r="X206" s="327"/>
      <c r="AB206" s="327"/>
      <c r="AF206" s="327"/>
      <c r="AJ206" s="327"/>
      <c r="AK206" s="327"/>
      <c r="AL206" s="327"/>
      <c r="AM206" s="327"/>
      <c r="AN206" s="327"/>
      <c r="AO206" s="327"/>
      <c r="AP206" s="327"/>
      <c r="AQ206" s="327"/>
      <c r="AR206" s="327"/>
      <c r="AS206" s="327"/>
      <c r="AT206" s="327"/>
    </row>
    <row r="207" spans="16:46" x14ac:dyDescent="0.35">
      <c r="P207" s="327"/>
      <c r="Q207" s="327"/>
      <c r="R207" s="327"/>
      <c r="S207" s="327"/>
      <c r="T207" s="327"/>
      <c r="X207" s="327"/>
      <c r="AB207" s="327"/>
      <c r="AF207" s="327"/>
      <c r="AJ207" s="327"/>
      <c r="AK207" s="327"/>
      <c r="AL207" s="327"/>
      <c r="AM207" s="327"/>
      <c r="AN207" s="327"/>
      <c r="AO207" s="327"/>
      <c r="AP207" s="327"/>
      <c r="AQ207" s="327"/>
      <c r="AR207" s="327"/>
      <c r="AS207" s="327"/>
      <c r="AT207" s="327"/>
    </row>
    <row r="208" spans="16:46" x14ac:dyDescent="0.35">
      <c r="P208" s="327"/>
      <c r="Q208" s="327"/>
      <c r="R208" s="327"/>
      <c r="S208" s="327"/>
      <c r="T208" s="327"/>
      <c r="X208" s="327"/>
      <c r="AB208" s="327"/>
      <c r="AF208" s="327"/>
      <c r="AJ208" s="327"/>
      <c r="AK208" s="327"/>
      <c r="AL208" s="327"/>
      <c r="AM208" s="327"/>
      <c r="AN208" s="327"/>
      <c r="AO208" s="327"/>
      <c r="AP208" s="327"/>
      <c r="AQ208" s="327"/>
      <c r="AR208" s="327"/>
      <c r="AS208" s="327"/>
      <c r="AT208" s="327"/>
    </row>
    <row r="209" spans="16:46" x14ac:dyDescent="0.35">
      <c r="P209" s="327"/>
      <c r="Q209" s="327"/>
      <c r="R209" s="327"/>
      <c r="S209" s="327"/>
      <c r="T209" s="327"/>
      <c r="X209" s="327"/>
      <c r="AB209" s="327"/>
      <c r="AF209" s="327"/>
      <c r="AJ209" s="327"/>
      <c r="AK209" s="327"/>
      <c r="AL209" s="327"/>
      <c r="AM209" s="327"/>
      <c r="AN209" s="327"/>
      <c r="AO209" s="327"/>
      <c r="AP209" s="327"/>
      <c r="AQ209" s="327"/>
      <c r="AR209" s="327"/>
      <c r="AS209" s="327"/>
      <c r="AT209" s="327"/>
    </row>
    <row r="210" spans="16:46" x14ac:dyDescent="0.35">
      <c r="P210" s="327"/>
      <c r="Q210" s="327"/>
      <c r="R210" s="327"/>
      <c r="S210" s="327"/>
      <c r="T210" s="327"/>
      <c r="X210" s="327"/>
      <c r="AB210" s="327"/>
      <c r="AF210" s="327"/>
      <c r="AJ210" s="327"/>
      <c r="AK210" s="327"/>
      <c r="AL210" s="327"/>
      <c r="AM210" s="327"/>
      <c r="AN210" s="327"/>
      <c r="AO210" s="327"/>
      <c r="AP210" s="327"/>
      <c r="AQ210" s="327"/>
      <c r="AR210" s="327"/>
      <c r="AS210" s="327"/>
      <c r="AT210" s="327"/>
    </row>
    <row r="211" spans="16:46" x14ac:dyDescent="0.35">
      <c r="P211" s="327"/>
      <c r="Q211" s="327"/>
      <c r="R211" s="327"/>
      <c r="S211" s="327"/>
      <c r="T211" s="327"/>
      <c r="X211" s="327"/>
      <c r="AB211" s="327"/>
      <c r="AF211" s="327"/>
      <c r="AJ211" s="327"/>
      <c r="AK211" s="327"/>
      <c r="AL211" s="327"/>
      <c r="AM211" s="327"/>
      <c r="AN211" s="327"/>
      <c r="AO211" s="327"/>
      <c r="AP211" s="327"/>
      <c r="AQ211" s="327"/>
      <c r="AR211" s="327"/>
      <c r="AS211" s="327"/>
      <c r="AT211" s="327"/>
    </row>
    <row r="212" spans="16:46" x14ac:dyDescent="0.35">
      <c r="P212" s="327"/>
      <c r="Q212" s="327"/>
      <c r="R212" s="327"/>
      <c r="S212" s="327"/>
      <c r="T212" s="327"/>
      <c r="X212" s="327"/>
      <c r="AB212" s="327"/>
      <c r="AF212" s="327"/>
      <c r="AJ212" s="327"/>
      <c r="AK212" s="327"/>
      <c r="AL212" s="327"/>
      <c r="AM212" s="327"/>
      <c r="AN212" s="327"/>
      <c r="AO212" s="327"/>
      <c r="AP212" s="327"/>
      <c r="AQ212" s="327"/>
      <c r="AR212" s="327"/>
      <c r="AS212" s="327"/>
      <c r="AT212" s="327"/>
    </row>
    <row r="213" spans="16:46" x14ac:dyDescent="0.35">
      <c r="P213" s="327"/>
      <c r="Q213" s="327"/>
      <c r="R213" s="327"/>
      <c r="S213" s="327"/>
      <c r="T213" s="327"/>
      <c r="X213" s="327"/>
      <c r="AB213" s="327"/>
      <c r="AF213" s="327"/>
      <c r="AJ213" s="327"/>
      <c r="AK213" s="327"/>
      <c r="AL213" s="327"/>
      <c r="AM213" s="327"/>
      <c r="AN213" s="327"/>
      <c r="AO213" s="327"/>
      <c r="AP213" s="327"/>
      <c r="AQ213" s="327"/>
      <c r="AR213" s="327"/>
      <c r="AS213" s="327"/>
      <c r="AT213" s="327"/>
    </row>
    <row r="214" spans="16:46" x14ac:dyDescent="0.35">
      <c r="P214" s="327"/>
      <c r="Q214" s="327"/>
      <c r="R214" s="327"/>
      <c r="S214" s="327"/>
      <c r="T214" s="327"/>
      <c r="X214" s="327"/>
      <c r="AB214" s="327"/>
      <c r="AF214" s="327"/>
      <c r="AJ214" s="327"/>
      <c r="AK214" s="327"/>
      <c r="AL214" s="327"/>
      <c r="AM214" s="327"/>
      <c r="AN214" s="327"/>
      <c r="AO214" s="327"/>
      <c r="AP214" s="327"/>
      <c r="AQ214" s="327"/>
      <c r="AR214" s="327"/>
      <c r="AS214" s="327"/>
      <c r="AT214" s="327"/>
    </row>
    <row r="215" spans="16:46" x14ac:dyDescent="0.35">
      <c r="P215" s="327"/>
      <c r="Q215" s="327"/>
      <c r="R215" s="327"/>
      <c r="S215" s="327"/>
      <c r="T215" s="327"/>
      <c r="X215" s="327"/>
      <c r="AB215" s="327"/>
      <c r="AF215" s="327"/>
      <c r="AJ215" s="327"/>
      <c r="AK215" s="327"/>
      <c r="AL215" s="327"/>
      <c r="AM215" s="327"/>
      <c r="AN215" s="327"/>
      <c r="AO215" s="327"/>
      <c r="AP215" s="327"/>
      <c r="AQ215" s="327"/>
      <c r="AR215" s="327"/>
      <c r="AS215" s="327"/>
      <c r="AT215" s="327"/>
    </row>
    <row r="216" spans="16:46" x14ac:dyDescent="0.35">
      <c r="P216" s="327"/>
      <c r="Q216" s="327"/>
      <c r="R216" s="327"/>
      <c r="S216" s="327"/>
      <c r="T216" s="327"/>
      <c r="X216" s="327"/>
      <c r="AB216" s="327"/>
      <c r="AF216" s="327"/>
      <c r="AJ216" s="327"/>
      <c r="AK216" s="327"/>
      <c r="AL216" s="327"/>
      <c r="AM216" s="327"/>
      <c r="AN216" s="327"/>
      <c r="AO216" s="327"/>
      <c r="AP216" s="327"/>
      <c r="AQ216" s="327"/>
      <c r="AR216" s="327"/>
      <c r="AS216" s="327"/>
      <c r="AT216" s="327"/>
    </row>
    <row r="217" spans="16:46" x14ac:dyDescent="0.35">
      <c r="P217" s="327"/>
      <c r="Q217" s="327"/>
      <c r="R217" s="327"/>
      <c r="S217" s="327"/>
      <c r="T217" s="327"/>
      <c r="X217" s="327"/>
      <c r="AB217" s="327"/>
      <c r="AF217" s="327"/>
      <c r="AJ217" s="327"/>
      <c r="AK217" s="327"/>
      <c r="AL217" s="327"/>
      <c r="AM217" s="327"/>
      <c r="AN217" s="327"/>
      <c r="AO217" s="327"/>
      <c r="AP217" s="327"/>
      <c r="AQ217" s="327"/>
      <c r="AR217" s="327"/>
      <c r="AS217" s="327"/>
      <c r="AT217" s="327"/>
    </row>
    <row r="218" spans="16:46" x14ac:dyDescent="0.35">
      <c r="P218" s="327"/>
      <c r="Q218" s="327"/>
      <c r="R218" s="327"/>
      <c r="S218" s="327"/>
      <c r="T218" s="327"/>
      <c r="X218" s="327"/>
      <c r="AB218" s="327"/>
      <c r="AF218" s="327"/>
      <c r="AJ218" s="327"/>
      <c r="AK218" s="327"/>
      <c r="AL218" s="327"/>
      <c r="AM218" s="327"/>
      <c r="AN218" s="327"/>
      <c r="AO218" s="327"/>
      <c r="AP218" s="327"/>
      <c r="AQ218" s="327"/>
      <c r="AR218" s="327"/>
      <c r="AS218" s="327"/>
      <c r="AT218" s="327"/>
    </row>
    <row r="219" spans="16:46" x14ac:dyDescent="0.35">
      <c r="P219" s="327"/>
      <c r="Q219" s="327"/>
      <c r="R219" s="327"/>
      <c r="S219" s="327"/>
      <c r="T219" s="327"/>
      <c r="X219" s="327"/>
      <c r="AB219" s="327"/>
      <c r="AF219" s="327"/>
      <c r="AJ219" s="327"/>
      <c r="AK219" s="327"/>
      <c r="AL219" s="327"/>
      <c r="AM219" s="327"/>
      <c r="AN219" s="327"/>
      <c r="AO219" s="327"/>
      <c r="AP219" s="327"/>
      <c r="AQ219" s="327"/>
      <c r="AR219" s="327"/>
      <c r="AS219" s="327"/>
      <c r="AT219" s="327"/>
    </row>
    <row r="220" spans="16:46" x14ac:dyDescent="0.35">
      <c r="P220" s="327"/>
      <c r="Q220" s="327"/>
      <c r="R220" s="327"/>
      <c r="S220" s="327"/>
      <c r="T220" s="327"/>
      <c r="X220" s="327"/>
      <c r="AB220" s="327"/>
      <c r="AF220" s="327"/>
      <c r="AJ220" s="327"/>
      <c r="AK220" s="327"/>
      <c r="AL220" s="327"/>
      <c r="AM220" s="327"/>
      <c r="AN220" s="327"/>
      <c r="AO220" s="327"/>
      <c r="AP220" s="327"/>
      <c r="AQ220" s="327"/>
      <c r="AR220" s="327"/>
      <c r="AS220" s="327"/>
      <c r="AT220" s="327"/>
    </row>
    <row r="221" spans="16:46" x14ac:dyDescent="0.35">
      <c r="P221" s="327"/>
      <c r="Q221" s="327"/>
      <c r="R221" s="327"/>
      <c r="S221" s="327"/>
      <c r="T221" s="327"/>
      <c r="X221" s="327"/>
      <c r="AB221" s="327"/>
      <c r="AF221" s="327"/>
      <c r="AJ221" s="327"/>
      <c r="AK221" s="327"/>
      <c r="AL221" s="327"/>
      <c r="AM221" s="327"/>
      <c r="AN221" s="327"/>
      <c r="AO221" s="327"/>
      <c r="AP221" s="327"/>
      <c r="AQ221" s="327"/>
      <c r="AR221" s="327"/>
      <c r="AS221" s="327"/>
      <c r="AT221" s="327"/>
    </row>
    <row r="222" spans="16:46" x14ac:dyDescent="0.35">
      <c r="P222" s="327"/>
      <c r="Q222" s="327"/>
      <c r="R222" s="327"/>
      <c r="S222" s="327"/>
      <c r="T222" s="327"/>
      <c r="X222" s="327"/>
      <c r="AB222" s="327"/>
      <c r="AF222" s="327"/>
      <c r="AJ222" s="327"/>
      <c r="AK222" s="327"/>
      <c r="AL222" s="327"/>
      <c r="AM222" s="327"/>
      <c r="AN222" s="327"/>
      <c r="AO222" s="327"/>
      <c r="AP222" s="327"/>
      <c r="AQ222" s="327"/>
      <c r="AR222" s="327"/>
      <c r="AS222" s="327"/>
      <c r="AT222" s="327"/>
    </row>
    <row r="223" spans="16:46" x14ac:dyDescent="0.35">
      <c r="P223" s="327"/>
      <c r="Q223" s="327"/>
      <c r="R223" s="327"/>
      <c r="S223" s="327"/>
      <c r="T223" s="327"/>
      <c r="X223" s="327"/>
      <c r="AB223" s="327"/>
      <c r="AF223" s="327"/>
      <c r="AJ223" s="327"/>
      <c r="AK223" s="327"/>
      <c r="AL223" s="327"/>
      <c r="AM223" s="327"/>
      <c r="AN223" s="327"/>
      <c r="AO223" s="327"/>
      <c r="AP223" s="327"/>
      <c r="AQ223" s="327"/>
      <c r="AR223" s="327"/>
      <c r="AS223" s="327"/>
      <c r="AT223" s="327"/>
    </row>
    <row r="224" spans="16:46" x14ac:dyDescent="0.35">
      <c r="P224" s="327"/>
      <c r="Q224" s="327"/>
      <c r="R224" s="327"/>
      <c r="S224" s="327"/>
      <c r="T224" s="327"/>
      <c r="X224" s="327"/>
      <c r="AB224" s="327"/>
      <c r="AF224" s="327"/>
      <c r="AJ224" s="327"/>
      <c r="AK224" s="327"/>
      <c r="AL224" s="327"/>
      <c r="AM224" s="327"/>
      <c r="AN224" s="327"/>
      <c r="AO224" s="327"/>
      <c r="AP224" s="327"/>
      <c r="AQ224" s="327"/>
      <c r="AR224" s="327"/>
      <c r="AS224" s="327"/>
      <c r="AT224" s="327"/>
    </row>
    <row r="225" spans="16:46" x14ac:dyDescent="0.35">
      <c r="P225" s="327"/>
      <c r="Q225" s="327"/>
      <c r="R225" s="327"/>
      <c r="S225" s="327"/>
      <c r="T225" s="327"/>
      <c r="X225" s="327"/>
      <c r="AB225" s="327"/>
      <c r="AF225" s="327"/>
      <c r="AJ225" s="327"/>
      <c r="AK225" s="327"/>
      <c r="AL225" s="327"/>
      <c r="AM225" s="327"/>
      <c r="AN225" s="327"/>
      <c r="AO225" s="327"/>
      <c r="AP225" s="327"/>
      <c r="AQ225" s="327"/>
      <c r="AR225" s="327"/>
      <c r="AS225" s="327"/>
      <c r="AT225" s="327"/>
    </row>
    <row r="226" spans="16:46" x14ac:dyDescent="0.35">
      <c r="P226" s="327"/>
      <c r="Q226" s="327"/>
      <c r="R226" s="327"/>
      <c r="S226" s="327"/>
      <c r="T226" s="327"/>
      <c r="X226" s="327"/>
      <c r="AB226" s="327"/>
      <c r="AF226" s="327"/>
      <c r="AJ226" s="327"/>
      <c r="AK226" s="327"/>
      <c r="AL226" s="327"/>
      <c r="AM226" s="327"/>
      <c r="AN226" s="327"/>
      <c r="AO226" s="327"/>
      <c r="AP226" s="327"/>
      <c r="AQ226" s="327"/>
      <c r="AR226" s="327"/>
      <c r="AS226" s="327"/>
      <c r="AT226" s="327"/>
    </row>
    <row r="227" spans="16:46" x14ac:dyDescent="0.35">
      <c r="P227" s="327"/>
      <c r="Q227" s="327"/>
      <c r="R227" s="327"/>
      <c r="S227" s="327"/>
      <c r="T227" s="327"/>
      <c r="X227" s="327"/>
      <c r="AB227" s="327"/>
      <c r="AF227" s="327"/>
      <c r="AJ227" s="327"/>
      <c r="AK227" s="327"/>
      <c r="AL227" s="327"/>
      <c r="AM227" s="327"/>
      <c r="AN227" s="327"/>
      <c r="AO227" s="327"/>
      <c r="AP227" s="327"/>
      <c r="AQ227" s="327"/>
      <c r="AR227" s="327"/>
      <c r="AS227" s="327"/>
      <c r="AT227" s="327"/>
    </row>
    <row r="228" spans="16:46" x14ac:dyDescent="0.35">
      <c r="P228" s="327"/>
      <c r="Q228" s="327"/>
      <c r="R228" s="327"/>
      <c r="S228" s="327"/>
      <c r="T228" s="327"/>
      <c r="X228" s="327"/>
      <c r="AB228" s="327"/>
      <c r="AF228" s="327"/>
      <c r="AJ228" s="327"/>
      <c r="AK228" s="327"/>
      <c r="AL228" s="327"/>
      <c r="AM228" s="327"/>
      <c r="AN228" s="327"/>
      <c r="AO228" s="327"/>
      <c r="AP228" s="327"/>
      <c r="AQ228" s="327"/>
      <c r="AR228" s="327"/>
      <c r="AS228" s="327"/>
      <c r="AT228" s="327"/>
    </row>
    <row r="229" spans="16:46" x14ac:dyDescent="0.35">
      <c r="P229" s="327"/>
      <c r="Q229" s="327"/>
      <c r="R229" s="327"/>
      <c r="S229" s="327"/>
      <c r="T229" s="327"/>
      <c r="X229" s="327"/>
      <c r="AB229" s="327"/>
      <c r="AF229" s="327"/>
      <c r="AJ229" s="327"/>
      <c r="AK229" s="327"/>
      <c r="AL229" s="327"/>
      <c r="AM229" s="327"/>
      <c r="AN229" s="327"/>
      <c r="AO229" s="327"/>
      <c r="AP229" s="327"/>
      <c r="AQ229" s="327"/>
      <c r="AR229" s="327"/>
      <c r="AS229" s="327"/>
      <c r="AT229" s="327"/>
    </row>
    <row r="230" spans="16:46" x14ac:dyDescent="0.35">
      <c r="P230" s="327"/>
      <c r="Q230" s="327"/>
      <c r="R230" s="327"/>
      <c r="S230" s="327"/>
      <c r="T230" s="327"/>
      <c r="X230" s="327"/>
      <c r="AB230" s="327"/>
      <c r="AF230" s="327"/>
      <c r="AJ230" s="327"/>
      <c r="AK230" s="327"/>
      <c r="AL230" s="327"/>
      <c r="AM230" s="327"/>
      <c r="AN230" s="327"/>
      <c r="AO230" s="327"/>
      <c r="AP230" s="327"/>
      <c r="AQ230" s="327"/>
      <c r="AR230" s="327"/>
      <c r="AS230" s="327"/>
      <c r="AT230" s="327"/>
    </row>
    <row r="231" spans="16:46" x14ac:dyDescent="0.35">
      <c r="P231" s="327"/>
      <c r="Q231" s="327"/>
      <c r="R231" s="327"/>
      <c r="S231" s="327"/>
      <c r="T231" s="327"/>
      <c r="X231" s="327"/>
      <c r="AB231" s="327"/>
      <c r="AF231" s="327"/>
      <c r="AJ231" s="327"/>
      <c r="AK231" s="327"/>
      <c r="AL231" s="327"/>
      <c r="AM231" s="327"/>
      <c r="AN231" s="327"/>
      <c r="AO231" s="327"/>
      <c r="AP231" s="327"/>
      <c r="AQ231" s="327"/>
      <c r="AR231" s="327"/>
      <c r="AS231" s="327"/>
      <c r="AT231" s="327"/>
    </row>
    <row r="232" spans="16:46" x14ac:dyDescent="0.35">
      <c r="P232" s="327"/>
      <c r="Q232" s="327"/>
      <c r="R232" s="327"/>
      <c r="S232" s="327"/>
      <c r="T232" s="327"/>
      <c r="X232" s="327"/>
      <c r="AB232" s="327"/>
      <c r="AF232" s="327"/>
      <c r="AJ232" s="327"/>
      <c r="AK232" s="327"/>
      <c r="AL232" s="327"/>
      <c r="AM232" s="327"/>
      <c r="AN232" s="327"/>
      <c r="AO232" s="327"/>
      <c r="AP232" s="327"/>
      <c r="AQ232" s="327"/>
      <c r="AR232" s="327"/>
      <c r="AS232" s="327"/>
      <c r="AT232" s="327"/>
    </row>
    <row r="233" spans="16:46" x14ac:dyDescent="0.35">
      <c r="P233" s="327"/>
      <c r="Q233" s="327"/>
      <c r="R233" s="327"/>
      <c r="S233" s="327"/>
      <c r="T233" s="327"/>
      <c r="X233" s="327"/>
      <c r="AB233" s="327"/>
      <c r="AF233" s="327"/>
      <c r="AJ233" s="327"/>
      <c r="AK233" s="327"/>
      <c r="AL233" s="327"/>
      <c r="AM233" s="327"/>
      <c r="AN233" s="327"/>
      <c r="AO233" s="327"/>
      <c r="AP233" s="327"/>
      <c r="AQ233" s="327"/>
      <c r="AR233" s="327"/>
      <c r="AS233" s="327"/>
      <c r="AT233" s="327"/>
    </row>
    <row r="234" spans="16:46" x14ac:dyDescent="0.35">
      <c r="P234" s="327"/>
      <c r="Q234" s="327"/>
      <c r="R234" s="327"/>
      <c r="S234" s="327"/>
      <c r="T234" s="327"/>
      <c r="X234" s="327"/>
      <c r="AB234" s="327"/>
      <c r="AF234" s="327"/>
      <c r="AJ234" s="327"/>
      <c r="AK234" s="327"/>
      <c r="AL234" s="327"/>
      <c r="AM234" s="327"/>
      <c r="AN234" s="327"/>
      <c r="AO234" s="327"/>
      <c r="AP234" s="327"/>
      <c r="AQ234" s="327"/>
      <c r="AR234" s="327"/>
      <c r="AS234" s="327"/>
      <c r="AT234" s="327"/>
    </row>
    <row r="235" spans="16:46" x14ac:dyDescent="0.35">
      <c r="P235" s="327"/>
      <c r="Q235" s="327"/>
      <c r="R235" s="327"/>
      <c r="S235" s="327"/>
      <c r="T235" s="327"/>
      <c r="X235" s="327"/>
      <c r="AB235" s="327"/>
      <c r="AF235" s="327"/>
      <c r="AJ235" s="327"/>
      <c r="AK235" s="327"/>
      <c r="AL235" s="327"/>
      <c r="AM235" s="327"/>
      <c r="AN235" s="327"/>
      <c r="AO235" s="327"/>
      <c r="AP235" s="327"/>
      <c r="AQ235" s="327"/>
      <c r="AR235" s="327"/>
      <c r="AS235" s="327"/>
      <c r="AT235" s="327"/>
    </row>
    <row r="236" spans="16:46" x14ac:dyDescent="0.35">
      <c r="P236" s="327"/>
      <c r="Q236" s="327"/>
      <c r="R236" s="327"/>
      <c r="S236" s="327"/>
      <c r="T236" s="327"/>
      <c r="X236" s="327"/>
      <c r="AB236" s="327"/>
      <c r="AF236" s="327"/>
      <c r="AJ236" s="327"/>
      <c r="AK236" s="327"/>
      <c r="AL236" s="327"/>
      <c r="AM236" s="327"/>
      <c r="AN236" s="327"/>
      <c r="AO236" s="327"/>
      <c r="AP236" s="327"/>
      <c r="AQ236" s="327"/>
      <c r="AR236" s="327"/>
      <c r="AS236" s="327"/>
      <c r="AT236" s="327"/>
    </row>
    <row r="237" spans="16:46" x14ac:dyDescent="0.35">
      <c r="P237" s="327"/>
      <c r="Q237" s="327"/>
      <c r="R237" s="327"/>
      <c r="S237" s="327"/>
      <c r="T237" s="327"/>
      <c r="X237" s="327"/>
      <c r="AB237" s="327"/>
      <c r="AF237" s="327"/>
      <c r="AJ237" s="327"/>
      <c r="AK237" s="327"/>
      <c r="AL237" s="327"/>
      <c r="AM237" s="327"/>
      <c r="AN237" s="327"/>
      <c r="AO237" s="327"/>
      <c r="AP237" s="327"/>
      <c r="AQ237" s="327"/>
      <c r="AR237" s="327"/>
      <c r="AS237" s="327"/>
      <c r="AT237" s="327"/>
    </row>
    <row r="238" spans="16:46" x14ac:dyDescent="0.35">
      <c r="P238" s="327"/>
      <c r="Q238" s="327"/>
      <c r="R238" s="327"/>
      <c r="S238" s="327"/>
      <c r="T238" s="327"/>
      <c r="X238" s="327"/>
      <c r="AB238" s="327"/>
      <c r="AF238" s="327"/>
      <c r="AJ238" s="327"/>
      <c r="AK238" s="327"/>
      <c r="AL238" s="327"/>
      <c r="AM238" s="327"/>
      <c r="AN238" s="327"/>
      <c r="AO238" s="327"/>
      <c r="AP238" s="327"/>
      <c r="AQ238" s="327"/>
      <c r="AR238" s="327"/>
      <c r="AS238" s="327"/>
      <c r="AT238" s="327"/>
    </row>
    <row r="239" spans="16:46" x14ac:dyDescent="0.35">
      <c r="P239" s="327"/>
      <c r="Q239" s="327"/>
      <c r="R239" s="327"/>
      <c r="S239" s="327"/>
      <c r="T239" s="327"/>
      <c r="X239" s="327"/>
      <c r="AB239" s="327"/>
      <c r="AF239" s="327"/>
      <c r="AJ239" s="327"/>
      <c r="AK239" s="327"/>
      <c r="AL239" s="327"/>
      <c r="AM239" s="327"/>
      <c r="AN239" s="327"/>
      <c r="AO239" s="327"/>
      <c r="AP239" s="327"/>
      <c r="AQ239" s="327"/>
      <c r="AR239" s="327"/>
      <c r="AS239" s="327"/>
      <c r="AT239" s="327"/>
    </row>
    <row r="240" spans="16:46" x14ac:dyDescent="0.35">
      <c r="P240" s="327"/>
      <c r="Q240" s="327"/>
      <c r="R240" s="327"/>
      <c r="S240" s="327"/>
      <c r="T240" s="327"/>
      <c r="X240" s="327"/>
      <c r="AB240" s="327"/>
      <c r="AF240" s="327"/>
      <c r="AJ240" s="327"/>
      <c r="AK240" s="327"/>
      <c r="AL240" s="327"/>
      <c r="AM240" s="327"/>
      <c r="AN240" s="327"/>
      <c r="AO240" s="327"/>
      <c r="AP240" s="327"/>
      <c r="AQ240" s="327"/>
      <c r="AR240" s="327"/>
      <c r="AS240" s="327"/>
      <c r="AT240" s="327"/>
    </row>
    <row r="241" spans="16:46" x14ac:dyDescent="0.35">
      <c r="P241" s="327"/>
      <c r="Q241" s="327"/>
      <c r="R241" s="327"/>
      <c r="S241" s="327"/>
      <c r="T241" s="327"/>
      <c r="X241" s="327"/>
      <c r="AB241" s="327"/>
      <c r="AF241" s="327"/>
      <c r="AJ241" s="327"/>
      <c r="AK241" s="327"/>
      <c r="AL241" s="327"/>
      <c r="AM241" s="327"/>
      <c r="AN241" s="327"/>
      <c r="AO241" s="327"/>
      <c r="AP241" s="327"/>
      <c r="AQ241" s="327"/>
      <c r="AR241" s="327"/>
      <c r="AS241" s="327"/>
      <c r="AT241" s="327"/>
    </row>
    <row r="242" spans="16:46" x14ac:dyDescent="0.35">
      <c r="P242" s="327"/>
      <c r="Q242" s="327"/>
      <c r="R242" s="327"/>
      <c r="S242" s="327"/>
      <c r="T242" s="327"/>
      <c r="X242" s="327"/>
      <c r="AB242" s="327"/>
      <c r="AF242" s="327"/>
      <c r="AJ242" s="327"/>
      <c r="AK242" s="327"/>
      <c r="AL242" s="327"/>
      <c r="AM242" s="327"/>
      <c r="AN242" s="327"/>
      <c r="AO242" s="327"/>
      <c r="AP242" s="327"/>
      <c r="AQ242" s="327"/>
      <c r="AR242" s="327"/>
      <c r="AS242" s="327"/>
      <c r="AT242" s="327"/>
    </row>
    <row r="243" spans="16:46" x14ac:dyDescent="0.35">
      <c r="P243" s="327"/>
      <c r="Q243" s="327"/>
      <c r="R243" s="327"/>
      <c r="S243" s="327"/>
      <c r="T243" s="327"/>
      <c r="X243" s="327"/>
      <c r="AB243" s="327"/>
      <c r="AF243" s="327"/>
      <c r="AJ243" s="327"/>
      <c r="AK243" s="327"/>
      <c r="AL243" s="327"/>
      <c r="AM243" s="327"/>
      <c r="AN243" s="327"/>
      <c r="AO243" s="327"/>
      <c r="AP243" s="327"/>
      <c r="AQ243" s="327"/>
      <c r="AR243" s="327"/>
      <c r="AS243" s="327"/>
      <c r="AT243" s="327"/>
    </row>
    <row r="244" spans="16:46" x14ac:dyDescent="0.35">
      <c r="P244" s="327"/>
      <c r="Q244" s="327"/>
      <c r="R244" s="327"/>
      <c r="S244" s="327"/>
      <c r="T244" s="327"/>
      <c r="X244" s="327"/>
      <c r="AB244" s="327"/>
      <c r="AF244" s="327"/>
      <c r="AJ244" s="327"/>
      <c r="AK244" s="327"/>
      <c r="AL244" s="327"/>
      <c r="AM244" s="327"/>
      <c r="AN244" s="327"/>
      <c r="AO244" s="327"/>
      <c r="AP244" s="327"/>
      <c r="AQ244" s="327"/>
      <c r="AR244" s="327"/>
      <c r="AS244" s="327"/>
      <c r="AT244" s="327"/>
    </row>
    <row r="245" spans="16:46" x14ac:dyDescent="0.35">
      <c r="P245" s="327"/>
      <c r="Q245" s="327"/>
      <c r="R245" s="327"/>
      <c r="S245" s="327"/>
      <c r="T245" s="327"/>
      <c r="X245" s="327"/>
      <c r="AB245" s="327"/>
      <c r="AF245" s="327"/>
      <c r="AJ245" s="327"/>
      <c r="AK245" s="327"/>
      <c r="AL245" s="327"/>
      <c r="AM245" s="327"/>
      <c r="AN245" s="327"/>
      <c r="AO245" s="327"/>
      <c r="AP245" s="327"/>
      <c r="AQ245" s="327"/>
      <c r="AR245" s="327"/>
      <c r="AS245" s="327"/>
      <c r="AT245" s="327"/>
    </row>
    <row r="246" spans="16:46" x14ac:dyDescent="0.35">
      <c r="P246" s="327"/>
      <c r="Q246" s="327"/>
      <c r="R246" s="327"/>
      <c r="S246" s="327"/>
      <c r="T246" s="327"/>
      <c r="X246" s="327"/>
      <c r="AB246" s="327"/>
      <c r="AF246" s="327"/>
      <c r="AJ246" s="327"/>
      <c r="AK246" s="327"/>
      <c r="AL246" s="327"/>
      <c r="AM246" s="327"/>
      <c r="AN246" s="327"/>
      <c r="AO246" s="327"/>
      <c r="AP246" s="327"/>
      <c r="AQ246" s="327"/>
      <c r="AR246" s="327"/>
      <c r="AS246" s="327"/>
      <c r="AT246" s="327"/>
    </row>
    <row r="247" spans="16:46" x14ac:dyDescent="0.35">
      <c r="P247" s="327"/>
      <c r="Q247" s="327"/>
      <c r="R247" s="327"/>
      <c r="S247" s="327"/>
      <c r="T247" s="327"/>
      <c r="X247" s="327"/>
      <c r="AB247" s="327"/>
      <c r="AF247" s="327"/>
      <c r="AJ247" s="327"/>
      <c r="AK247" s="327"/>
      <c r="AL247" s="327"/>
      <c r="AM247" s="327"/>
      <c r="AN247" s="327"/>
      <c r="AO247" s="327"/>
      <c r="AP247" s="327"/>
      <c r="AQ247" s="327"/>
      <c r="AR247" s="327"/>
      <c r="AS247" s="327"/>
      <c r="AT247" s="327"/>
    </row>
    <row r="248" spans="16:46" x14ac:dyDescent="0.35">
      <c r="P248" s="327"/>
      <c r="Q248" s="327"/>
      <c r="R248" s="327"/>
      <c r="S248" s="327"/>
      <c r="T248" s="327"/>
      <c r="X248" s="327"/>
      <c r="AB248" s="327"/>
      <c r="AF248" s="327"/>
      <c r="AJ248" s="327"/>
      <c r="AK248" s="327"/>
      <c r="AL248" s="327"/>
      <c r="AM248" s="327"/>
      <c r="AN248" s="327"/>
      <c r="AO248" s="327"/>
      <c r="AP248" s="327"/>
      <c r="AQ248" s="327"/>
      <c r="AR248" s="327"/>
      <c r="AS248" s="327"/>
      <c r="AT248" s="327"/>
    </row>
    <row r="249" spans="16:46" x14ac:dyDescent="0.35">
      <c r="P249" s="327"/>
      <c r="Q249" s="327"/>
      <c r="R249" s="327"/>
      <c r="S249" s="327"/>
      <c r="T249" s="327"/>
      <c r="X249" s="327"/>
      <c r="AB249" s="327"/>
      <c r="AF249" s="327"/>
      <c r="AJ249" s="327"/>
      <c r="AK249" s="327"/>
      <c r="AL249" s="327"/>
      <c r="AM249" s="327"/>
      <c r="AN249" s="327"/>
      <c r="AO249" s="327"/>
      <c r="AP249" s="327"/>
      <c r="AQ249" s="327"/>
      <c r="AR249" s="327"/>
      <c r="AS249" s="327"/>
      <c r="AT249" s="327"/>
    </row>
    <row r="250" spans="16:46" x14ac:dyDescent="0.35">
      <c r="P250" s="327"/>
      <c r="Q250" s="327"/>
      <c r="R250" s="327"/>
      <c r="S250" s="327"/>
      <c r="T250" s="327"/>
      <c r="X250" s="327"/>
      <c r="AB250" s="327"/>
      <c r="AF250" s="327"/>
      <c r="AJ250" s="327"/>
      <c r="AK250" s="327"/>
      <c r="AL250" s="327"/>
      <c r="AM250" s="327"/>
      <c r="AN250" s="327"/>
      <c r="AO250" s="327"/>
      <c r="AP250" s="327"/>
      <c r="AQ250" s="327"/>
      <c r="AR250" s="327"/>
      <c r="AS250" s="327"/>
      <c r="AT250" s="327"/>
    </row>
    <row r="251" spans="16:46" x14ac:dyDescent="0.35">
      <c r="P251" s="327"/>
      <c r="Q251" s="327"/>
      <c r="R251" s="327"/>
      <c r="S251" s="327"/>
      <c r="T251" s="327"/>
      <c r="X251" s="327"/>
      <c r="AB251" s="327"/>
      <c r="AF251" s="327"/>
      <c r="AJ251" s="327"/>
      <c r="AK251" s="327"/>
      <c r="AL251" s="327"/>
      <c r="AM251" s="327"/>
      <c r="AN251" s="327"/>
      <c r="AO251" s="327"/>
      <c r="AP251" s="327"/>
      <c r="AQ251" s="327"/>
      <c r="AR251" s="327"/>
      <c r="AS251" s="327"/>
      <c r="AT251" s="327"/>
    </row>
    <row r="252" spans="16:46" x14ac:dyDescent="0.35">
      <c r="P252" s="327"/>
      <c r="Q252" s="327"/>
      <c r="R252" s="327"/>
      <c r="S252" s="327"/>
      <c r="T252" s="327"/>
      <c r="X252" s="327"/>
      <c r="AB252" s="327"/>
      <c r="AF252" s="327"/>
      <c r="AJ252" s="327"/>
      <c r="AK252" s="327"/>
      <c r="AL252" s="327"/>
      <c r="AM252" s="327"/>
      <c r="AN252" s="327"/>
      <c r="AO252" s="327"/>
      <c r="AP252" s="327"/>
      <c r="AQ252" s="327"/>
      <c r="AR252" s="327"/>
      <c r="AS252" s="327"/>
      <c r="AT252" s="327"/>
    </row>
    <row r="253" spans="16:46" x14ac:dyDescent="0.35">
      <c r="P253" s="327"/>
      <c r="Q253" s="327"/>
      <c r="R253" s="327"/>
      <c r="S253" s="327"/>
      <c r="T253" s="327"/>
      <c r="X253" s="327"/>
      <c r="AB253" s="327"/>
      <c r="AF253" s="327"/>
      <c r="AJ253" s="327"/>
      <c r="AK253" s="327"/>
      <c r="AL253" s="327"/>
      <c r="AM253" s="327"/>
      <c r="AN253" s="327"/>
      <c r="AO253" s="327"/>
      <c r="AP253" s="327"/>
      <c r="AQ253" s="327"/>
      <c r="AR253" s="327"/>
      <c r="AS253" s="327"/>
      <c r="AT253" s="327"/>
    </row>
    <row r="254" spans="16:46" x14ac:dyDescent="0.35">
      <c r="P254" s="327"/>
      <c r="Q254" s="327"/>
      <c r="R254" s="327"/>
      <c r="S254" s="327"/>
      <c r="T254" s="327"/>
      <c r="X254" s="327"/>
      <c r="AB254" s="327"/>
      <c r="AF254" s="327"/>
      <c r="AJ254" s="327"/>
      <c r="AK254" s="327"/>
      <c r="AL254" s="327"/>
      <c r="AM254" s="327"/>
      <c r="AN254" s="327"/>
      <c r="AO254" s="327"/>
      <c r="AP254" s="327"/>
      <c r="AQ254" s="327"/>
      <c r="AR254" s="327"/>
      <c r="AS254" s="327"/>
      <c r="AT254" s="327"/>
    </row>
    <row r="255" spans="16:46" x14ac:dyDescent="0.35">
      <c r="P255" s="327"/>
      <c r="Q255" s="327"/>
      <c r="R255" s="327"/>
      <c r="S255" s="327"/>
      <c r="T255" s="327"/>
      <c r="X255" s="327"/>
      <c r="AB255" s="327"/>
      <c r="AF255" s="327"/>
      <c r="AJ255" s="327"/>
      <c r="AK255" s="327"/>
      <c r="AL255" s="327"/>
      <c r="AM255" s="327"/>
      <c r="AN255" s="327"/>
      <c r="AO255" s="327"/>
      <c r="AP255" s="327"/>
      <c r="AQ255" s="327"/>
      <c r="AR255" s="327"/>
      <c r="AS255" s="327"/>
      <c r="AT255" s="327"/>
    </row>
    <row r="256" spans="16:46" x14ac:dyDescent="0.35">
      <c r="P256" s="327"/>
      <c r="Q256" s="327"/>
      <c r="R256" s="327"/>
      <c r="S256" s="327"/>
      <c r="T256" s="327"/>
      <c r="X256" s="327"/>
      <c r="AB256" s="327"/>
      <c r="AF256" s="327"/>
      <c r="AJ256" s="327"/>
      <c r="AK256" s="327"/>
      <c r="AL256" s="327"/>
      <c r="AM256" s="327"/>
      <c r="AN256" s="327"/>
      <c r="AO256" s="327"/>
      <c r="AP256" s="327"/>
      <c r="AQ256" s="327"/>
      <c r="AR256" s="327"/>
      <c r="AS256" s="327"/>
      <c r="AT256" s="327"/>
    </row>
    <row r="257" spans="16:46" x14ac:dyDescent="0.35">
      <c r="P257" s="327"/>
      <c r="Q257" s="327"/>
      <c r="R257" s="327"/>
      <c r="S257" s="327"/>
      <c r="T257" s="327"/>
      <c r="X257" s="327"/>
      <c r="AB257" s="327"/>
      <c r="AF257" s="327"/>
      <c r="AJ257" s="327"/>
      <c r="AK257" s="327"/>
      <c r="AL257" s="327"/>
      <c r="AM257" s="327"/>
      <c r="AN257" s="327"/>
      <c r="AO257" s="327"/>
      <c r="AP257" s="327"/>
      <c r="AQ257" s="327"/>
      <c r="AR257" s="327"/>
      <c r="AS257" s="327"/>
      <c r="AT257" s="327"/>
    </row>
    <row r="258" spans="16:46" x14ac:dyDescent="0.35">
      <c r="P258" s="327"/>
      <c r="Q258" s="327"/>
      <c r="R258" s="327"/>
      <c r="S258" s="327"/>
      <c r="T258" s="327"/>
      <c r="X258" s="327"/>
      <c r="AB258" s="327"/>
      <c r="AF258" s="327"/>
      <c r="AJ258" s="327"/>
      <c r="AK258" s="327"/>
      <c r="AL258" s="327"/>
      <c r="AM258" s="327"/>
      <c r="AN258" s="327"/>
      <c r="AO258" s="327"/>
      <c r="AP258" s="327"/>
      <c r="AQ258" s="327"/>
      <c r="AR258" s="327"/>
      <c r="AS258" s="327"/>
      <c r="AT258" s="327"/>
    </row>
    <row r="259" spans="16:46" x14ac:dyDescent="0.35">
      <c r="P259" s="327"/>
      <c r="Q259" s="327"/>
      <c r="R259" s="327"/>
      <c r="S259" s="327"/>
      <c r="T259" s="327"/>
      <c r="X259" s="327"/>
      <c r="AB259" s="327"/>
      <c r="AF259" s="327"/>
      <c r="AJ259" s="327"/>
      <c r="AK259" s="327"/>
      <c r="AL259" s="327"/>
      <c r="AM259" s="327"/>
      <c r="AN259" s="327"/>
      <c r="AO259" s="327"/>
      <c r="AP259" s="327"/>
      <c r="AQ259" s="327"/>
      <c r="AR259" s="327"/>
      <c r="AS259" s="327"/>
      <c r="AT259" s="327"/>
    </row>
    <row r="260" spans="16:46" x14ac:dyDescent="0.35">
      <c r="P260" s="327"/>
      <c r="Q260" s="327"/>
      <c r="R260" s="327"/>
      <c r="S260" s="327"/>
      <c r="T260" s="327"/>
      <c r="X260" s="327"/>
      <c r="AB260" s="327"/>
      <c r="AF260" s="327"/>
      <c r="AJ260" s="327"/>
      <c r="AK260" s="327"/>
      <c r="AL260" s="327"/>
      <c r="AM260" s="327"/>
      <c r="AN260" s="327"/>
      <c r="AO260" s="327"/>
      <c r="AP260" s="327"/>
      <c r="AQ260" s="327"/>
      <c r="AR260" s="327"/>
      <c r="AS260" s="327"/>
      <c r="AT260" s="327"/>
    </row>
    <row r="261" spans="16:46" x14ac:dyDescent="0.35">
      <c r="P261" s="327"/>
      <c r="Q261" s="327"/>
      <c r="R261" s="327"/>
      <c r="S261" s="327"/>
      <c r="T261" s="327"/>
      <c r="X261" s="327"/>
      <c r="AB261" s="327"/>
      <c r="AF261" s="327"/>
      <c r="AJ261" s="327"/>
      <c r="AK261" s="327"/>
      <c r="AL261" s="327"/>
      <c r="AM261" s="327"/>
      <c r="AN261" s="327"/>
      <c r="AO261" s="327"/>
      <c r="AP261" s="327"/>
      <c r="AQ261" s="327"/>
      <c r="AR261" s="327"/>
      <c r="AS261" s="327"/>
      <c r="AT261" s="327"/>
    </row>
    <row r="262" spans="16:46" x14ac:dyDescent="0.35">
      <c r="P262" s="327"/>
      <c r="Q262" s="327"/>
      <c r="R262" s="327"/>
      <c r="S262" s="327"/>
      <c r="T262" s="327"/>
      <c r="X262" s="327"/>
      <c r="AB262" s="327"/>
      <c r="AF262" s="327"/>
      <c r="AJ262" s="327"/>
      <c r="AK262" s="327"/>
      <c r="AL262" s="327"/>
      <c r="AM262" s="327"/>
      <c r="AN262" s="327"/>
      <c r="AO262" s="327"/>
      <c r="AP262" s="327"/>
      <c r="AQ262" s="327"/>
      <c r="AR262" s="327"/>
      <c r="AS262" s="327"/>
      <c r="AT262" s="327"/>
    </row>
    <row r="263" spans="16:46" x14ac:dyDescent="0.35">
      <c r="P263" s="327"/>
      <c r="Q263" s="327"/>
      <c r="R263" s="327"/>
      <c r="S263" s="327"/>
      <c r="T263" s="327"/>
      <c r="X263" s="327"/>
      <c r="AB263" s="327"/>
      <c r="AF263" s="327"/>
      <c r="AJ263" s="327"/>
      <c r="AK263" s="327"/>
      <c r="AL263" s="327"/>
      <c r="AM263" s="327"/>
      <c r="AN263" s="327"/>
      <c r="AO263" s="327"/>
      <c r="AP263" s="327"/>
      <c r="AQ263" s="327"/>
      <c r="AR263" s="327"/>
      <c r="AS263" s="327"/>
      <c r="AT263" s="327"/>
    </row>
    <row r="264" spans="16:46" x14ac:dyDescent="0.35">
      <c r="P264" s="327"/>
      <c r="Q264" s="327"/>
      <c r="R264" s="327"/>
      <c r="S264" s="327"/>
      <c r="T264" s="327"/>
      <c r="X264" s="327"/>
      <c r="AB264" s="327"/>
      <c r="AF264" s="327"/>
      <c r="AJ264" s="327"/>
      <c r="AK264" s="327"/>
      <c r="AL264" s="327"/>
      <c r="AM264" s="327"/>
      <c r="AN264" s="327"/>
      <c r="AO264" s="327"/>
      <c r="AP264" s="327"/>
      <c r="AQ264" s="327"/>
      <c r="AR264" s="327"/>
      <c r="AS264" s="327"/>
      <c r="AT264" s="327"/>
    </row>
    <row r="265" spans="16:46" x14ac:dyDescent="0.35">
      <c r="P265" s="327"/>
      <c r="Q265" s="327"/>
      <c r="R265" s="327"/>
      <c r="S265" s="327"/>
      <c r="T265" s="327"/>
      <c r="X265" s="327"/>
      <c r="AB265" s="327"/>
      <c r="AF265" s="327"/>
      <c r="AJ265" s="327"/>
      <c r="AK265" s="327"/>
      <c r="AL265" s="327"/>
      <c r="AM265" s="327"/>
      <c r="AN265" s="327"/>
      <c r="AO265" s="327"/>
      <c r="AP265" s="327"/>
      <c r="AQ265" s="327"/>
      <c r="AR265" s="327"/>
      <c r="AS265" s="327"/>
      <c r="AT265" s="327"/>
    </row>
    <row r="266" spans="16:46" x14ac:dyDescent="0.35">
      <c r="P266" s="327"/>
      <c r="Q266" s="327"/>
      <c r="R266" s="327"/>
      <c r="S266" s="327"/>
      <c r="T266" s="327"/>
      <c r="X266" s="327"/>
      <c r="AB266" s="327"/>
      <c r="AF266" s="327"/>
      <c r="AJ266" s="327"/>
      <c r="AK266" s="327"/>
      <c r="AL266" s="327"/>
      <c r="AM266" s="327"/>
      <c r="AN266" s="327"/>
      <c r="AO266" s="327"/>
      <c r="AP266" s="327"/>
      <c r="AQ266" s="327"/>
      <c r="AR266" s="327"/>
      <c r="AS266" s="327"/>
      <c r="AT266" s="327"/>
    </row>
    <row r="267" spans="16:46" x14ac:dyDescent="0.35">
      <c r="P267" s="327"/>
      <c r="Q267" s="327"/>
      <c r="R267" s="327"/>
      <c r="S267" s="327"/>
      <c r="T267" s="327"/>
      <c r="X267" s="327"/>
      <c r="AB267" s="327"/>
      <c r="AF267" s="327"/>
      <c r="AJ267" s="327"/>
      <c r="AK267" s="327"/>
      <c r="AL267" s="327"/>
      <c r="AM267" s="327"/>
      <c r="AN267" s="327"/>
      <c r="AO267" s="327"/>
      <c r="AP267" s="327"/>
      <c r="AQ267" s="327"/>
      <c r="AR267" s="327"/>
      <c r="AS267" s="327"/>
      <c r="AT267" s="327"/>
    </row>
    <row r="268" spans="16:46" x14ac:dyDescent="0.35">
      <c r="P268" s="327"/>
      <c r="Q268" s="327"/>
      <c r="R268" s="327"/>
      <c r="S268" s="327"/>
      <c r="T268" s="327"/>
      <c r="X268" s="327"/>
      <c r="AB268" s="327"/>
      <c r="AF268" s="327"/>
      <c r="AJ268" s="327"/>
      <c r="AK268" s="327"/>
      <c r="AL268" s="327"/>
      <c r="AM268" s="327"/>
      <c r="AN268" s="327"/>
      <c r="AO268" s="327"/>
      <c r="AP268" s="327"/>
      <c r="AQ268" s="327"/>
      <c r="AR268" s="327"/>
      <c r="AS268" s="327"/>
      <c r="AT268" s="327"/>
    </row>
    <row r="269" spans="16:46" x14ac:dyDescent="0.35">
      <c r="P269" s="327"/>
      <c r="Q269" s="327"/>
      <c r="R269" s="327"/>
      <c r="S269" s="327"/>
      <c r="T269" s="327"/>
      <c r="X269" s="327"/>
      <c r="AB269" s="327"/>
      <c r="AF269" s="327"/>
      <c r="AJ269" s="327"/>
      <c r="AK269" s="327"/>
      <c r="AL269" s="327"/>
      <c r="AM269" s="327"/>
      <c r="AN269" s="327"/>
      <c r="AO269" s="327"/>
      <c r="AP269" s="327"/>
      <c r="AQ269" s="327"/>
      <c r="AR269" s="327"/>
      <c r="AS269" s="327"/>
      <c r="AT269" s="327"/>
    </row>
    <row r="270" spans="16:46" x14ac:dyDescent="0.35">
      <c r="P270" s="327"/>
      <c r="Q270" s="327"/>
      <c r="R270" s="327"/>
      <c r="S270" s="327"/>
      <c r="T270" s="327"/>
      <c r="X270" s="327"/>
      <c r="AB270" s="327"/>
      <c r="AF270" s="327"/>
      <c r="AJ270" s="327"/>
      <c r="AK270" s="327"/>
      <c r="AL270" s="327"/>
      <c r="AM270" s="327"/>
      <c r="AN270" s="327"/>
      <c r="AO270" s="327"/>
      <c r="AP270" s="327"/>
      <c r="AQ270" s="327"/>
      <c r="AR270" s="327"/>
      <c r="AS270" s="327"/>
      <c r="AT270" s="327"/>
    </row>
    <row r="271" spans="16:46" x14ac:dyDescent="0.35">
      <c r="P271" s="327"/>
      <c r="Q271" s="327"/>
      <c r="R271" s="327"/>
      <c r="S271" s="327"/>
      <c r="T271" s="327"/>
      <c r="X271" s="327"/>
      <c r="AB271" s="327"/>
      <c r="AF271" s="327"/>
      <c r="AJ271" s="327"/>
      <c r="AK271" s="327"/>
      <c r="AL271" s="327"/>
      <c r="AM271" s="327"/>
      <c r="AN271" s="327"/>
      <c r="AO271" s="327"/>
      <c r="AP271" s="327"/>
      <c r="AQ271" s="327"/>
      <c r="AR271" s="327"/>
      <c r="AS271" s="327"/>
      <c r="AT271" s="327"/>
    </row>
    <row r="272" spans="16:46" x14ac:dyDescent="0.35">
      <c r="P272" s="327"/>
      <c r="Q272" s="327"/>
      <c r="R272" s="327"/>
      <c r="S272" s="327"/>
      <c r="T272" s="327"/>
      <c r="X272" s="327"/>
      <c r="AB272" s="327"/>
      <c r="AF272" s="327"/>
      <c r="AJ272" s="327"/>
      <c r="AK272" s="327"/>
      <c r="AL272" s="327"/>
      <c r="AM272" s="327"/>
      <c r="AN272" s="327"/>
      <c r="AO272" s="327"/>
      <c r="AP272" s="327"/>
      <c r="AQ272" s="327"/>
      <c r="AR272" s="327"/>
      <c r="AS272" s="327"/>
      <c r="AT272" s="327"/>
    </row>
    <row r="273" spans="16:46" x14ac:dyDescent="0.35">
      <c r="P273" s="327"/>
      <c r="Q273" s="327"/>
      <c r="R273" s="327"/>
      <c r="S273" s="327"/>
      <c r="T273" s="327"/>
      <c r="X273" s="327"/>
      <c r="AB273" s="327"/>
      <c r="AF273" s="327"/>
      <c r="AJ273" s="327"/>
      <c r="AK273" s="327"/>
      <c r="AL273" s="327"/>
      <c r="AM273" s="327"/>
      <c r="AN273" s="327"/>
      <c r="AO273" s="327"/>
      <c r="AP273" s="327"/>
      <c r="AQ273" s="327"/>
      <c r="AR273" s="327"/>
      <c r="AS273" s="327"/>
      <c r="AT273" s="327"/>
    </row>
    <row r="274" spans="16:46" x14ac:dyDescent="0.35">
      <c r="P274" s="327"/>
      <c r="Q274" s="327"/>
      <c r="R274" s="327"/>
      <c r="S274" s="327"/>
      <c r="T274" s="327"/>
      <c r="X274" s="327"/>
      <c r="AB274" s="327"/>
      <c r="AF274" s="327"/>
      <c r="AJ274" s="327"/>
      <c r="AK274" s="327"/>
      <c r="AL274" s="327"/>
      <c r="AM274" s="327"/>
      <c r="AN274" s="327"/>
      <c r="AO274" s="327"/>
      <c r="AP274" s="327"/>
      <c r="AQ274" s="327"/>
      <c r="AR274" s="327"/>
      <c r="AS274" s="327"/>
      <c r="AT274" s="327"/>
    </row>
    <row r="275" spans="16:46" x14ac:dyDescent="0.35">
      <c r="P275" s="327"/>
      <c r="Q275" s="327"/>
      <c r="R275" s="327"/>
      <c r="S275" s="327"/>
      <c r="T275" s="327"/>
      <c r="X275" s="327"/>
      <c r="AB275" s="327"/>
      <c r="AF275" s="327"/>
      <c r="AJ275" s="327"/>
      <c r="AK275" s="327"/>
      <c r="AL275" s="327"/>
      <c r="AM275" s="327"/>
      <c r="AN275" s="327"/>
      <c r="AO275" s="327"/>
      <c r="AP275" s="327"/>
      <c r="AQ275" s="327"/>
      <c r="AR275" s="327"/>
      <c r="AS275" s="327"/>
      <c r="AT275" s="327"/>
    </row>
    <row r="276" spans="16:46" x14ac:dyDescent="0.35">
      <c r="P276" s="327"/>
      <c r="Q276" s="327"/>
      <c r="R276" s="327"/>
      <c r="S276" s="327"/>
      <c r="T276" s="327"/>
      <c r="X276" s="327"/>
      <c r="AB276" s="327"/>
      <c r="AF276" s="327"/>
      <c r="AJ276" s="327"/>
      <c r="AK276" s="327"/>
      <c r="AL276" s="327"/>
      <c r="AM276" s="327"/>
      <c r="AN276" s="327"/>
      <c r="AO276" s="327"/>
      <c r="AP276" s="327"/>
      <c r="AQ276" s="327"/>
      <c r="AR276" s="327"/>
      <c r="AS276" s="327"/>
      <c r="AT276" s="327"/>
    </row>
    <row r="277" spans="16:46" x14ac:dyDescent="0.35">
      <c r="P277" s="327"/>
      <c r="Q277" s="327"/>
      <c r="R277" s="327"/>
      <c r="S277" s="327"/>
      <c r="T277" s="327"/>
      <c r="X277" s="327"/>
      <c r="AB277" s="327"/>
      <c r="AF277" s="327"/>
      <c r="AJ277" s="327"/>
      <c r="AK277" s="327"/>
      <c r="AL277" s="327"/>
      <c r="AM277" s="327"/>
      <c r="AN277" s="327"/>
      <c r="AO277" s="327"/>
      <c r="AP277" s="327"/>
      <c r="AQ277" s="327"/>
      <c r="AR277" s="327"/>
      <c r="AS277" s="327"/>
      <c r="AT277" s="327"/>
    </row>
    <row r="278" spans="16:46" x14ac:dyDescent="0.35">
      <c r="P278" s="327"/>
      <c r="Q278" s="327"/>
      <c r="R278" s="327"/>
      <c r="S278" s="327"/>
      <c r="T278" s="327"/>
      <c r="X278" s="327"/>
      <c r="AB278" s="327"/>
      <c r="AF278" s="327"/>
      <c r="AJ278" s="327"/>
      <c r="AK278" s="327"/>
      <c r="AL278" s="327"/>
      <c r="AM278" s="327"/>
      <c r="AN278" s="327"/>
      <c r="AO278" s="327"/>
      <c r="AP278" s="327"/>
      <c r="AQ278" s="327"/>
      <c r="AR278" s="327"/>
      <c r="AS278" s="327"/>
      <c r="AT278" s="327"/>
    </row>
    <row r="279" spans="16:46" x14ac:dyDescent="0.35">
      <c r="P279" s="327"/>
      <c r="Q279" s="327"/>
      <c r="R279" s="327"/>
      <c r="S279" s="327"/>
      <c r="T279" s="327"/>
      <c r="X279" s="327"/>
      <c r="AB279" s="327"/>
      <c r="AF279" s="327"/>
      <c r="AJ279" s="327"/>
      <c r="AK279" s="327"/>
      <c r="AL279" s="327"/>
      <c r="AM279" s="327"/>
      <c r="AN279" s="327"/>
      <c r="AO279" s="327"/>
      <c r="AP279" s="327"/>
      <c r="AQ279" s="327"/>
      <c r="AR279" s="327"/>
      <c r="AS279" s="327"/>
      <c r="AT279" s="327"/>
    </row>
    <row r="280" spans="16:46" x14ac:dyDescent="0.35">
      <c r="P280" s="327"/>
      <c r="Q280" s="327"/>
      <c r="R280" s="327"/>
      <c r="S280" s="327"/>
      <c r="T280" s="327"/>
      <c r="X280" s="327"/>
      <c r="AB280" s="327"/>
      <c r="AF280" s="327"/>
      <c r="AJ280" s="327"/>
      <c r="AK280" s="327"/>
      <c r="AL280" s="327"/>
      <c r="AM280" s="327"/>
      <c r="AN280" s="327"/>
      <c r="AO280" s="327"/>
      <c r="AP280" s="327"/>
      <c r="AQ280" s="327"/>
      <c r="AR280" s="327"/>
      <c r="AS280" s="327"/>
      <c r="AT280" s="327"/>
    </row>
    <row r="281" spans="16:46" x14ac:dyDescent="0.35">
      <c r="P281" s="327"/>
      <c r="Q281" s="327"/>
      <c r="R281" s="327"/>
      <c r="S281" s="327"/>
      <c r="T281" s="327"/>
      <c r="AJ281" s="327"/>
      <c r="AK281" s="327"/>
      <c r="AL281" s="327"/>
      <c r="AM281" s="327"/>
      <c r="AN281" s="327"/>
      <c r="AO281" s="327"/>
      <c r="AP281" s="327"/>
      <c r="AQ281" s="327"/>
      <c r="AR281" s="327"/>
      <c r="AS281" s="327"/>
      <c r="AT281" s="327"/>
    </row>
  </sheetData>
  <sheetProtection algorithmName="SHA-512" hashValue="/pQ7IXZt0Vp1nuEH05Nh/3cqQkb/Zitw5drsPEFou3k7YZFmUf6qkZggXyjKPMpMXsVk22AzBji4zye252vdPw==" saltValue="zCMgbl3KAhdAPFC5kJsS9w==" spinCount="100000" sheet="1" objects="1" scenarios="1"/>
  <mergeCells count="57">
    <mergeCell ref="H86:R86"/>
    <mergeCell ref="H80:R80"/>
    <mergeCell ref="H81:R81"/>
    <mergeCell ref="H82:R82"/>
    <mergeCell ref="H84:R84"/>
    <mergeCell ref="H85:R85"/>
    <mergeCell ref="H60:R60"/>
    <mergeCell ref="H61:R61"/>
    <mergeCell ref="H56:R56"/>
    <mergeCell ref="H57:R57"/>
    <mergeCell ref="H58:R58"/>
    <mergeCell ref="H62:R62"/>
    <mergeCell ref="H72:R72"/>
    <mergeCell ref="H73:R73"/>
    <mergeCell ref="H74:R74"/>
    <mergeCell ref="H76:R76"/>
    <mergeCell ref="H64:R64"/>
    <mergeCell ref="H65:R65"/>
    <mergeCell ref="H66:R66"/>
    <mergeCell ref="H77:R77"/>
    <mergeCell ref="H78:R78"/>
    <mergeCell ref="H68:R68"/>
    <mergeCell ref="H69:R69"/>
    <mergeCell ref="H70:R70"/>
    <mergeCell ref="AG5:AI5"/>
    <mergeCell ref="E51:G51"/>
    <mergeCell ref="H51:R51"/>
    <mergeCell ref="H52:R52"/>
    <mergeCell ref="H53:R53"/>
    <mergeCell ref="Y5:AA5"/>
    <mergeCell ref="AC5:AE5"/>
    <mergeCell ref="H54:R54"/>
    <mergeCell ref="G5:J5"/>
    <mergeCell ref="L5:N5"/>
    <mergeCell ref="P5:R5"/>
    <mergeCell ref="U5:W5"/>
    <mergeCell ref="H88:R88"/>
    <mergeCell ref="H89:R89"/>
    <mergeCell ref="H90:R90"/>
    <mergeCell ref="H92:R92"/>
    <mergeCell ref="H93:R93"/>
    <mergeCell ref="H94:R94"/>
    <mergeCell ref="H96:R96"/>
    <mergeCell ref="H97:R97"/>
    <mergeCell ref="H98:R98"/>
    <mergeCell ref="H100:R100"/>
    <mergeCell ref="H101:R101"/>
    <mergeCell ref="H102:R102"/>
    <mergeCell ref="H104:R104"/>
    <mergeCell ref="H105:R105"/>
    <mergeCell ref="H106:R106"/>
    <mergeCell ref="H114:R114"/>
    <mergeCell ref="H108:R108"/>
    <mergeCell ref="H109:R109"/>
    <mergeCell ref="H110:R110"/>
    <mergeCell ref="H112:R112"/>
    <mergeCell ref="H113:R113"/>
  </mergeCells>
  <conditionalFormatting sqref="H47:J47">
    <cfRule type="cellIs" dxfId="278" priority="1" operator="lessThan">
      <formula>0</formula>
    </cfRule>
    <cfRule type="cellIs" dxfId="277" priority="2" operator="equal">
      <formula>0</formula>
    </cfRule>
    <cfRule type="cellIs" dxfId="276" priority="3" operator="greaterThan">
      <formula>0</formula>
    </cfRule>
  </conditionalFormatting>
  <dataValidations count="1">
    <dataValidation type="list" allowBlank="1" showInputMessage="1" showErrorMessage="1" sqref="L5:N5" xr:uid="{19F94603-CBCD-404A-B287-FEFC1160CFAA}">
      <formula1>$AW$2:$AW$5</formula1>
    </dataValidation>
  </dataValidations>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6644-8A5E-496F-9501-A861290FD489}">
  <sheetPr codeName="Sheet16">
    <tabColor theme="7" tint="0.59999389629810485"/>
    <outlinePr summaryBelow="0" summaryRight="0"/>
    <pageSetUpPr autoPageBreaks="0"/>
  </sheetPr>
  <dimension ref="A1:EX88"/>
  <sheetViews>
    <sheetView showGridLines="0" zoomScaleNormal="100" workbookViewId="0">
      <pane xSplit="8" ySplit="7" topLeftCell="CJ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101.81640625" customWidth="1"/>
    <col min="5" max="5" width="19.453125" style="1" customWidth="1"/>
    <col min="6" max="6" width="21.1796875" customWidth="1" collapsed="1"/>
    <col min="7" max="7" width="7.1796875" hidden="1" customWidth="1" outlineLevel="1"/>
    <col min="8" max="8" width="15" hidden="1" customWidth="1" outlineLevel="1"/>
    <col min="9" max="9" width="3" hidden="1" customWidth="1" outlineLevel="1"/>
    <col min="10" max="10" width="2" hidden="1" customWidth="1" outlineLevel="1" collapsed="1"/>
    <col min="11" max="18" width="2" hidden="1" customWidth="1" outlineLevel="1"/>
    <col min="19" max="19" width="3" hidden="1" customWidth="1" outlineLevel="1"/>
    <col min="20" max="21" width="2" hidden="1" customWidth="1" outlineLevel="1"/>
    <col min="22" max="22" width="22.453125" hidden="1" customWidth="1" outlineLevel="1"/>
    <col min="23" max="25" width="8.54296875" hidden="1" customWidth="1" outlineLevel="1"/>
    <col min="26" max="26" width="2" hidden="1" customWidth="1" outlineLevel="1"/>
    <col min="27" max="27" width="18" hidden="1" customWidth="1" outlineLevel="1"/>
    <col min="28" max="28" width="9.453125" hidden="1" customWidth="1" outlineLevel="1"/>
    <col min="29" max="29" width="9.1796875" hidden="1" customWidth="1" outlineLevel="1"/>
    <col min="30" max="30" width="9.81640625" hidden="1" customWidth="1" outlineLevel="1"/>
    <col min="31" max="31" width="9.453125" hidden="1" customWidth="1" outlineLevel="1"/>
    <col min="32" max="32" width="9.1796875" hidden="1" customWidth="1" outlineLevel="1"/>
    <col min="33" max="33" width="9.453125" hidden="1" customWidth="1" outlineLevel="1"/>
    <col min="34" max="34" width="9.81640625" hidden="1" customWidth="1" outlineLevel="1"/>
    <col min="35" max="35" width="9.1796875" hidden="1" customWidth="1" outlineLevel="1"/>
    <col min="36" max="36" width="10.1796875" hidden="1" customWidth="1" outlineLevel="1"/>
    <col min="37" max="37" width="9.1796875" hidden="1" customWidth="1" outlineLevel="1"/>
    <col min="38" max="38" width="8.54296875" hidden="1" customWidth="1" outlineLevel="1"/>
    <col min="39" max="39" width="9.81640625" hidden="1" customWidth="1" outlineLevel="1"/>
    <col min="40" max="40" width="9.453125" hidden="1" customWidth="1" outlineLevel="1"/>
    <col min="41" max="41" width="9.1796875" hidden="1" customWidth="1" outlineLevel="1"/>
    <col min="42" max="42" width="9.81640625" hidden="1" customWidth="1" outlineLevel="1"/>
    <col min="43" max="43" width="9.453125" hidden="1" customWidth="1" outlineLevel="1"/>
    <col min="44" max="44" width="9.1796875" hidden="1" customWidth="1" outlineLevel="1"/>
    <col min="45" max="45" width="9.453125" hidden="1" customWidth="1" outlineLevel="1"/>
    <col min="46" max="46" width="9.81640625" hidden="1" customWidth="1" outlineLevel="1"/>
    <col min="47" max="47" width="9.1796875" hidden="1" customWidth="1" outlineLevel="1"/>
    <col min="48" max="48" width="10.1796875" hidden="1" customWidth="1" outlineLevel="1"/>
    <col min="49" max="49" width="9.1796875" hidden="1" customWidth="1" outlineLevel="1"/>
    <col min="50" max="50" width="8.54296875" hidden="1" customWidth="1" outlineLevel="1"/>
    <col min="51" max="51" width="9.81640625" hidden="1" customWidth="1" outlineLevel="1"/>
    <col min="52" max="52" width="9.453125" hidden="1" customWidth="1" outlineLevel="1"/>
    <col min="53" max="53" width="9.1796875" hidden="1" customWidth="1" outlineLevel="1"/>
    <col min="54" max="54" width="9.81640625" hidden="1" customWidth="1" outlineLevel="1"/>
    <col min="55" max="55" width="9.453125" hidden="1" customWidth="1" outlineLevel="1"/>
    <col min="56" max="56" width="9.1796875" hidden="1" customWidth="1" outlineLevel="1"/>
    <col min="57" max="57" width="9.453125" hidden="1" customWidth="1" outlineLevel="1"/>
    <col min="58" max="58" width="9.81640625" hidden="1" customWidth="1" outlineLevel="1"/>
    <col min="59" max="59" width="9.1796875" hidden="1" customWidth="1" outlineLevel="1"/>
    <col min="60" max="60" width="10.1796875" hidden="1" customWidth="1" outlineLevel="1"/>
    <col min="61" max="61" width="9.1796875" hidden="1" customWidth="1" outlineLevel="1"/>
    <col min="62" max="74" width="8.54296875" hidden="1" customWidth="1" outlineLevel="1"/>
    <col min="75" max="75" width="2" hidden="1" customWidth="1" outlineLevel="1"/>
    <col min="76" max="76" width="23.54296875" hidden="1" customWidth="1" outlineLevel="1"/>
    <col min="77" max="87" width="8.54296875" hidden="1" customWidth="1" outlineLevel="1"/>
    <col min="88" max="88" width="2" bestFit="1" customWidth="1"/>
    <col min="89" max="89" width="3.453125" customWidth="1"/>
    <col min="90" max="90" width="13.1796875" customWidth="1"/>
    <col min="91" max="91" width="3.453125" customWidth="1"/>
    <col min="92" max="94" width="13.1796875" customWidth="1"/>
    <col min="95" max="95" width="2.81640625" customWidth="1"/>
    <col min="97" max="97" width="11.1796875" bestFit="1" customWidth="1"/>
    <col min="153" max="153" width="8.81640625" collapsed="1"/>
    <col min="154" max="154" width="17.81640625" hidden="1" customWidth="1" outlineLevel="1"/>
  </cols>
  <sheetData>
    <row r="1" spans="1:154" x14ac:dyDescent="0.35">
      <c r="A1" s="7">
        <f ca="1">ToC!A1</f>
        <v>0</v>
      </c>
      <c r="B1" s="13" t="s">
        <v>174</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175</v>
      </c>
      <c r="CO1" s="5"/>
      <c r="CP1" s="5" t="s">
        <v>176</v>
      </c>
      <c r="CQ1" s="663"/>
      <c r="EX1" s="5" t="s">
        <v>177</v>
      </c>
    </row>
    <row r="2" spans="1:154" x14ac:dyDescent="0.35">
      <c r="A2" s="220" cm="1">
        <f t="array" aca="1" ref="A2" ca="1">HYPERLINK(CONCATENATE("#",CELL("address",IF(SUM(A$7:A$88)=0,$A$2,INDEX(A$7:A$88,MATCH(1,A$7:A$88,0))))),SUM(A$7:A$88))</f>
        <v>0</v>
      </c>
      <c r="B2" s="67" t="str" cm="1">
        <f t="array" aca="1" ref="B2" ca="1">HYPERLINK(CONCATENATE("#",CELL("address",Guide!$C$91)),Guide!$B$1)</f>
        <v>Guide</v>
      </c>
      <c r="C2" s="23"/>
      <c r="D2" s="280"/>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72" cm="1">
        <f t="array" aca="1" ref="CL2" ca="1">HYPERLINK(CONCATENATE("#",CELL("address",IF(SUM(CL$7:CL$88)=0,$CL$2,INDEX(CL$7:CL$88,MATCH(1,CL$7:CL$88,0))))),SUM(CL$7:CL$88))</f>
        <v>0</v>
      </c>
      <c r="CM2" s="663"/>
      <c r="CQ2" s="663"/>
    </row>
    <row r="3" spans="1:154" ht="32.25" customHeight="1" x14ac:dyDescent="0.35">
      <c r="A3" s="67" t="str" cm="1">
        <f t="array" aca="1" ref="A3" ca="1">HYPERLINK(CONCATENATE("#",CELL("address",ToC!$A$1)),ToC!$C$1)</f>
        <v>ToC</v>
      </c>
      <c r="B3" s="13"/>
      <c r="D3" s="280" t="s">
        <v>178</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664" t="s">
        <v>179</v>
      </c>
      <c r="CM3" s="663"/>
      <c r="CN3" s="664" t="s">
        <v>180</v>
      </c>
      <c r="CO3" s="664" t="s">
        <v>181</v>
      </c>
      <c r="CP3" s="664" t="s">
        <v>182</v>
      </c>
      <c r="CQ3" s="663"/>
    </row>
    <row r="4" spans="1:154" ht="14.25" customHeight="1" x14ac:dyDescent="0.35">
      <c r="A4" s="13"/>
      <c r="B4" s="13"/>
      <c r="C4" s="13"/>
      <c r="D4" s="280"/>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c r="CN4" s="664"/>
      <c r="CO4" s="664"/>
      <c r="CP4" s="664"/>
      <c r="CQ4" s="663"/>
    </row>
    <row r="5" spans="1:154" ht="16.5" customHeight="1" x14ac:dyDescent="0.35">
      <c r="A5" s="13"/>
      <c r="B5" s="13"/>
      <c r="C5" s="13"/>
      <c r="D5" s="279"/>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c r="CN5" s="664"/>
      <c r="CO5" s="664"/>
      <c r="CP5" s="664"/>
      <c r="CQ5" s="663"/>
    </row>
    <row r="6" spans="1:154" x14ac:dyDescent="0.35">
      <c r="A6" s="67" t="str" cm="1">
        <f t="array" aca="1" ref="A6" ca="1">HYPERLINK(CONCATENATE("#",CELL("address",CM7)),"Check")</f>
        <v>Check</v>
      </c>
      <c r="B6" s="13"/>
      <c r="C6" s="13" t="s">
        <v>183</v>
      </c>
      <c r="D6" s="23" t="s">
        <v>19</v>
      </c>
      <c r="E6" s="13"/>
      <c r="F6" s="13"/>
      <c r="G6" s="13"/>
      <c r="H6" s="13"/>
      <c r="I6" s="13"/>
      <c r="J6" s="13"/>
      <c r="K6" s="13"/>
      <c r="L6" s="13"/>
      <c r="M6" s="13"/>
      <c r="N6" s="15"/>
      <c r="O6" s="13"/>
      <c r="P6" s="13"/>
      <c r="Q6" s="13"/>
      <c r="R6" s="13"/>
      <c r="S6" s="13"/>
      <c r="T6" s="13"/>
      <c r="U6" s="13"/>
      <c r="V6" s="532"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2"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c r="CN6" s="664"/>
      <c r="CO6" s="664"/>
      <c r="CP6" s="664"/>
      <c r="CQ6" s="663"/>
    </row>
    <row r="7" spans="1:154" x14ac:dyDescent="0.35">
      <c r="B7" s="97" t="s">
        <v>184</v>
      </c>
      <c r="D7" s="1"/>
      <c r="E7"/>
      <c r="BY7" s="6"/>
      <c r="CK7" s="35"/>
      <c r="CL7" s="85" t="s">
        <v>122</v>
      </c>
      <c r="CM7" s="35"/>
      <c r="CN7" s="85" t="s">
        <v>122</v>
      </c>
      <c r="CO7" s="85" t="s">
        <v>122</v>
      </c>
      <c r="CP7" s="85" t="s">
        <v>122</v>
      </c>
      <c r="CQ7" s="35"/>
    </row>
    <row r="8" spans="1:154" x14ac:dyDescent="0.35">
      <c r="A8" s="34"/>
      <c r="B8" s="34"/>
      <c r="C8" s="34"/>
      <c r="D8" s="34" t="s">
        <v>185</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Q8" s="35"/>
      <c r="EX8" s="10" t="str">
        <f t="shared" ref="EX8:EX34" si="0">IF($C8="","",$D8)</f>
        <v/>
      </c>
    </row>
    <row r="9" spans="1:154" ht="6.75" customHeight="1" x14ac:dyDescent="0.35">
      <c r="D9" s="1"/>
      <c r="E9"/>
      <c r="BY9" s="6"/>
      <c r="CK9" s="35"/>
      <c r="CM9" s="35"/>
      <c r="CQ9" s="35"/>
      <c r="EX9" s="10" t="str">
        <f t="shared" si="0"/>
        <v/>
      </c>
    </row>
    <row r="10" spans="1:154" x14ac:dyDescent="0.35">
      <c r="A10" s="220" cm="1">
        <f t="array" aca="1" ref="A10" ca="1">HYPERLINK(CONCATENATE("#",CELL("address",IF(MAX($CM10:$CQ10)=0,A10,INDEX($CM10:$CQ10,MATCH(1,$CM10:$CQ10,0))))),MAX($CM10:$CQ10))</f>
        <v>0</v>
      </c>
      <c r="C10" s="211" t="s">
        <v>186</v>
      </c>
      <c r="D10" s="1" t="s">
        <v>187</v>
      </c>
      <c r="E10" s="263"/>
      <c r="F10" s="14"/>
      <c r="CK10" s="11"/>
      <c r="CM10" s="11"/>
      <c r="CO10" s="7">
        <f>IF(CollegeNameInput="", 0, IFERROR(MATCH(CollegeNameInput, 'List of Colleges'!$A$2:$A$232, 0)*0, 1))</f>
        <v>0</v>
      </c>
      <c r="CQ10" s="35"/>
      <c r="EX10" s="10" t="str">
        <f t="shared" si="0"/>
        <v>College Name</v>
      </c>
    </row>
    <row r="11" spans="1:154" ht="6.75" customHeight="1" x14ac:dyDescent="0.35">
      <c r="C11" s="211"/>
      <c r="D11" s="1"/>
      <c r="E11"/>
      <c r="BY11" s="6"/>
      <c r="CK11" s="35"/>
      <c r="CM11" s="35"/>
      <c r="CQ11" s="35"/>
      <c r="EX11" s="10" t="str">
        <f t="shared" si="0"/>
        <v/>
      </c>
    </row>
    <row r="12" spans="1:154" x14ac:dyDescent="0.35">
      <c r="A12" s="220" cm="1">
        <f t="array" aca="1" ref="A12" ca="1">HYPERLINK(CONCATENATE("#",CELL("address",IF(MAX($CM12:$CQ12)=0,A12,INDEX($CM12:$CQ12,MATCH(1,$CM12:$CQ12,0))))),MAX($CM12:$CQ12))</f>
        <v>0</v>
      </c>
      <c r="C12" s="211" t="s">
        <v>188</v>
      </c>
      <c r="D12" s="14" t="s">
        <v>189</v>
      </c>
      <c r="E12" s="10" t="str">
        <f>IFERROR(INDEX('List of Colleges'!$B$2:$B$223, MATCH(CollegeNameInput, 'List of Colleges'!$A$2:$A$223, 0)), "")</f>
        <v/>
      </c>
      <c r="F12" s="14"/>
      <c r="CK12" s="11"/>
      <c r="CM12" s="11"/>
      <c r="CP12" s="7">
        <f>IF(CollegeNameInput="", 0, IFERROR(MATCH($E12, 'List of Colleges'!$B$2:$B$232, 0)*0, 1))</f>
        <v>0</v>
      </c>
      <c r="CQ12" s="35"/>
      <c r="EX12" s="10" t="str">
        <f t="shared" si="0"/>
        <v>College Type</v>
      </c>
    </row>
    <row r="13" spans="1:154" x14ac:dyDescent="0.35">
      <c r="A13" s="220" cm="1">
        <f t="array" aca="1" ref="A13" ca="1">HYPERLINK(CONCATENATE("#",CELL("address",IF(MAX($CM13:$CQ13)=0,A13,INDEX($CM13:$CQ13,MATCH(1,$CM13:$CQ13,0))))),MAX($CM13:$CQ13))</f>
        <v>0</v>
      </c>
      <c r="C13" s="211" t="s">
        <v>190</v>
      </c>
      <c r="D13" s="1" t="s">
        <v>191</v>
      </c>
      <c r="E13" s="10" t="str">
        <f>IFERROR(INDEX('List of Colleges'!$C$2:$C$223, MATCH(CollegeNameInput, 'List of Colleges'!$A$2:$A$223, 0)), "")</f>
        <v/>
      </c>
      <c r="F13" s="14"/>
      <c r="CK13" s="11"/>
      <c r="CM13" s="11"/>
      <c r="CP13" s="7">
        <f>IF(CollegeNameInput="", 0, IFERROR(MATCH($E13, 'List of Colleges'!$C$2:$C$232, 0)*0, 1))</f>
        <v>0</v>
      </c>
      <c r="CQ13" s="35"/>
      <c r="EX13" s="10" t="str">
        <f t="shared" si="0"/>
        <v>College Code</v>
      </c>
    </row>
    <row r="14" spans="1:154" x14ac:dyDescent="0.35">
      <c r="A14" s="220" cm="1">
        <f t="array" aca="1" ref="A14" ca="1">HYPERLINK(CONCATENATE("#",CELL("address",IF(MAX($CM14:$CQ14)=0,A14,INDEX($CM14:$CQ14,MATCH(1,$CM14:$CQ14,0))))),MAX($CM14:$CQ14))</f>
        <v>0</v>
      </c>
      <c r="C14" s="211" t="s">
        <v>192</v>
      </c>
      <c r="D14" s="1" t="s">
        <v>193</v>
      </c>
      <c r="E14" s="318" t="str">
        <f>IFERROR(INDEX('List of Colleges'!$D$2:$D$223, MATCH(CollegeNameInput, 'List of Colleges'!$A$2:$A$223, 0)), "")</f>
        <v/>
      </c>
      <c r="F14" s="14"/>
      <c r="CK14" s="11"/>
      <c r="CM14" s="11"/>
      <c r="CP14" s="7">
        <f>IF(CollegeNameInput="", 0, IFERROR(MATCH($E14, 'List of Colleges'!$D$2:$D$232, 0)*0, 1))</f>
        <v>0</v>
      </c>
      <c r="CQ14" s="35"/>
      <c r="EX14" s="10" t="str">
        <f t="shared" si="0"/>
        <v>College UPIN</v>
      </c>
    </row>
    <row r="15" spans="1:154" x14ac:dyDescent="0.35">
      <c r="A15" s="220" cm="1">
        <f t="array" aca="1" ref="A15" ca="1">HYPERLINK(CONCATENATE("#",CELL("address",IF(MAX($CM15:$CQ15)=0,A15,INDEX($CM15:$CQ15,MATCH(1,$CM15:$CQ15,0))))),MAX($CM15:$CQ15))</f>
        <v>0</v>
      </c>
      <c r="C15" s="211" t="s">
        <v>194</v>
      </c>
      <c r="D15" s="1" t="s">
        <v>195</v>
      </c>
      <c r="E15" s="318" t="str">
        <f>IFERROR(INDEX('List of Colleges'!$E$2:$E$223, MATCH(CollegeNameInput, 'List of Colleges'!$A$2:$A$223, 0)), "")</f>
        <v/>
      </c>
      <c r="F15" s="14"/>
      <c r="CK15" s="11"/>
      <c r="CM15" s="11"/>
      <c r="CP15" s="7">
        <f>IF(CollegeNameInput="", 0, IFERROR(MATCH($E15, 'List of Colleges'!$E$2:$E$232, 0)*0, 1))</f>
        <v>0</v>
      </c>
      <c r="CQ15" s="35"/>
      <c r="EX15" s="10" t="str">
        <f t="shared" si="0"/>
        <v>College UKPRN</v>
      </c>
    </row>
    <row r="16" spans="1:154" ht="6.75" customHeight="1" x14ac:dyDescent="0.35">
      <c r="C16" s="211"/>
      <c r="D16" s="1"/>
      <c r="E16"/>
      <c r="BY16" s="6"/>
      <c r="CK16" s="35"/>
      <c r="CM16" s="35"/>
      <c r="CQ16" s="35"/>
      <c r="EX16" s="10" t="str">
        <f t="shared" si="0"/>
        <v/>
      </c>
    </row>
    <row r="17" spans="1:154" x14ac:dyDescent="0.35">
      <c r="A17" s="34"/>
      <c r="B17" s="34"/>
      <c r="C17" s="238"/>
      <c r="D17" s="34" t="s">
        <v>196</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11"/>
      <c r="CM17" s="11"/>
      <c r="CQ17" s="35"/>
      <c r="EX17" s="10" t="str">
        <f t="shared" si="0"/>
        <v/>
      </c>
    </row>
    <row r="18" spans="1:154" ht="6.75" customHeight="1" x14ac:dyDescent="0.35">
      <c r="C18" s="211"/>
      <c r="D18" s="1"/>
      <c r="E18"/>
      <c r="BY18" s="6"/>
      <c r="CK18" s="35"/>
      <c r="CM18" s="35"/>
      <c r="CQ18" s="35"/>
      <c r="EX18" s="10" t="str">
        <f t="shared" si="0"/>
        <v/>
      </c>
    </row>
    <row r="19" spans="1:154" x14ac:dyDescent="0.35">
      <c r="A19" s="220" cm="1">
        <f t="array" aca="1" ref="A19" ca="1">HYPERLINK(CONCATENATE("#",CELL("address",IF(MAX($CM19:$CQ19)=0,A19,INDEX($CM19:$CQ19,MATCH(1,$CM19:$CQ19,0))))),MAX($CM19:$CQ19))</f>
        <v>0</v>
      </c>
      <c r="B19" s="85" t="s">
        <v>122</v>
      </c>
      <c r="C19" s="211" t="s">
        <v>197</v>
      </c>
      <c r="D19" s="1" t="s">
        <v>198</v>
      </c>
      <c r="E19" s="130">
        <v>45870</v>
      </c>
      <c r="CK19" s="35"/>
      <c r="CM19" s="35"/>
      <c r="CN19" s="7">
        <f>IF(E19=E23, 0, 1)</f>
        <v>0</v>
      </c>
      <c r="CQ19" s="35"/>
      <c r="EX19" s="10" t="str">
        <f t="shared" si="0"/>
        <v>First day of monthly actuals:</v>
      </c>
    </row>
    <row r="20" spans="1:154" ht="6.75" customHeight="1" x14ac:dyDescent="0.35">
      <c r="C20" s="211"/>
      <c r="D20" s="1"/>
      <c r="E20"/>
      <c r="BY20" s="6"/>
      <c r="CK20" s="35"/>
      <c r="CM20" s="35"/>
      <c r="CQ20" s="35"/>
      <c r="EX20" s="10" t="str">
        <f t="shared" si="0"/>
        <v/>
      </c>
    </row>
    <row r="21" spans="1:154" x14ac:dyDescent="0.35">
      <c r="A21" s="220" cm="1">
        <f t="array" aca="1" ref="A21" ca="1">HYPERLINK(CONCATENATE("#",CELL("address",IF(MAX($CM21:$CQ21)=0,A21,INDEX($CM21:$CQ21,MATCH(1,$CM21:$CQ21,0))))),MAX($CM21:$CQ21))</f>
        <v>0</v>
      </c>
      <c r="B21" s="85" t="s">
        <v>122</v>
      </c>
      <c r="C21" s="211" t="s">
        <v>199</v>
      </c>
      <c r="D21" s="1" t="s">
        <v>200</v>
      </c>
      <c r="E21" s="130">
        <v>46112</v>
      </c>
      <c r="CK21" s="35"/>
      <c r="CM21" s="35"/>
      <c r="CN21" s="7">
        <f>IF(E21=E27, 0,1)</f>
        <v>0</v>
      </c>
      <c r="CQ21" s="35"/>
      <c r="EX21" s="10" t="str">
        <f t="shared" si="0"/>
        <v>Last day of monthly actuals:</v>
      </c>
    </row>
    <row r="22" spans="1:154" ht="6.75" customHeight="1" x14ac:dyDescent="0.35">
      <c r="C22" s="211"/>
      <c r="D22" s="1"/>
      <c r="E22"/>
      <c r="BY22" s="6"/>
      <c r="CK22" s="35"/>
      <c r="CM22" s="35"/>
      <c r="CQ22" s="35"/>
      <c r="EX22" s="10" t="str">
        <f t="shared" si="0"/>
        <v/>
      </c>
    </row>
    <row r="23" spans="1:154" x14ac:dyDescent="0.35">
      <c r="B23" s="85" t="s">
        <v>122</v>
      </c>
      <c r="C23" s="211" t="s">
        <v>201</v>
      </c>
      <c r="D23" s="1" t="s">
        <v>202</v>
      </c>
      <c r="E23" s="32">
        <f>IF(MONTH(E19)&gt;8, DATE(YEAR(E19)+1, 8, 1), DATE(YEAR(E19), 8, 1))</f>
        <v>45870</v>
      </c>
      <c r="CK23" s="35"/>
      <c r="CM23" s="35"/>
      <c r="CQ23" s="35"/>
      <c r="EX23" s="10" t="str">
        <f t="shared" si="0"/>
        <v>First day of monthly actuals calculated:</v>
      </c>
    </row>
    <row r="24" spans="1:154" ht="6.75" customHeight="1" x14ac:dyDescent="0.35">
      <c r="C24" s="211"/>
      <c r="D24" s="1"/>
      <c r="E24"/>
      <c r="BY24" s="6"/>
      <c r="CK24" s="35"/>
      <c r="CM24" s="35"/>
      <c r="CQ24" s="35"/>
      <c r="EX24" s="10" t="str">
        <f t="shared" si="0"/>
        <v/>
      </c>
    </row>
    <row r="25" spans="1:154" x14ac:dyDescent="0.35">
      <c r="B25" s="85" t="s">
        <v>122</v>
      </c>
      <c r="C25" s="211" t="s">
        <v>203</v>
      </c>
      <c r="D25" s="1" t="s">
        <v>204</v>
      </c>
      <c r="E25" s="32">
        <f>EOMONTH(E23,Parameters!$D$14-1)</f>
        <v>46356</v>
      </c>
      <c r="CK25" s="35"/>
      <c r="CM25" s="35"/>
      <c r="CQ25" s="35"/>
      <c r="EX25" s="10" t="str">
        <f t="shared" si="0"/>
        <v>Maximum last date of actuals:</v>
      </c>
    </row>
    <row r="26" spans="1:154" ht="6.75" customHeight="1" x14ac:dyDescent="0.35">
      <c r="C26" s="211"/>
      <c r="D26" s="1"/>
      <c r="E26"/>
      <c r="BY26" s="6"/>
      <c r="CK26" s="35"/>
      <c r="CM26" s="35"/>
      <c r="CQ26" s="35"/>
      <c r="EX26" s="10" t="str">
        <f t="shared" si="0"/>
        <v/>
      </c>
    </row>
    <row r="27" spans="1:154" x14ac:dyDescent="0.35">
      <c r="B27" s="85" t="s">
        <v>122</v>
      </c>
      <c r="C27" s="211" t="s">
        <v>205</v>
      </c>
      <c r="D27" s="1" t="s">
        <v>206</v>
      </c>
      <c r="E27" s="32">
        <f>MIN(IF(EOMONTH(E21, 0)=E21, E21, EOMONTH(E21, -1)), E25)</f>
        <v>46112</v>
      </c>
      <c r="CK27" s="35"/>
      <c r="CM27" s="35"/>
      <c r="CQ27" s="35"/>
      <c r="EX27" s="10" t="str">
        <f t="shared" si="0"/>
        <v>Last day of monthly actuals calculated:</v>
      </c>
    </row>
    <row r="28" spans="1:154" ht="6.75" customHeight="1" x14ac:dyDescent="0.35">
      <c r="C28" s="211"/>
      <c r="D28" s="1"/>
      <c r="E28"/>
      <c r="BY28" s="6"/>
      <c r="CK28" s="35"/>
      <c r="CM28" s="35"/>
      <c r="CQ28" s="35"/>
      <c r="EX28" s="10" t="str">
        <f t="shared" si="0"/>
        <v/>
      </c>
    </row>
    <row r="29" spans="1:154" x14ac:dyDescent="0.35">
      <c r="B29" s="85" t="s">
        <v>122</v>
      </c>
      <c r="C29" s="211" t="s">
        <v>207</v>
      </c>
      <c r="D29" s="1" t="s">
        <v>208</v>
      </c>
      <c r="E29" s="264">
        <v>1</v>
      </c>
      <c r="CK29" s="35"/>
      <c r="CM29" s="35"/>
      <c r="CQ29" s="35"/>
      <c r="EX29" s="10" t="str">
        <f t="shared" si="0"/>
        <v>Monthly breakdown provided for actuals for the outturn year:</v>
      </c>
    </row>
    <row r="30" spans="1:154" ht="6.75" customHeight="1" x14ac:dyDescent="0.35">
      <c r="C30" s="211"/>
      <c r="D30" s="1"/>
      <c r="E30"/>
      <c r="BY30" s="6"/>
      <c r="CK30" s="35"/>
      <c r="CM30" s="35"/>
      <c r="CQ30" s="35"/>
      <c r="EX30" s="10" t="str">
        <f t="shared" si="0"/>
        <v/>
      </c>
    </row>
    <row r="31" spans="1:154" x14ac:dyDescent="0.35">
      <c r="A31" s="34"/>
      <c r="B31" s="34"/>
      <c r="C31" s="238"/>
      <c r="D31" s="34" t="s">
        <v>209</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11"/>
      <c r="CM31" s="35"/>
      <c r="CQ31" s="35"/>
      <c r="EX31" s="10" t="str">
        <f t="shared" si="0"/>
        <v/>
      </c>
    </row>
    <row r="32" spans="1:154" ht="6.75" customHeight="1" x14ac:dyDescent="0.35">
      <c r="C32" s="211"/>
      <c r="D32" s="1"/>
      <c r="E32"/>
      <c r="BY32" s="6"/>
      <c r="CK32" s="35"/>
      <c r="CM32" s="35"/>
      <c r="CQ32" s="35"/>
      <c r="EX32" s="10" t="str">
        <f t="shared" si="0"/>
        <v/>
      </c>
    </row>
    <row r="33" spans="1:154" x14ac:dyDescent="0.35">
      <c r="D33" s="5" t="s">
        <v>210</v>
      </c>
      <c r="CK33" s="35"/>
      <c r="CM33" s="35"/>
      <c r="CQ33" s="35"/>
      <c r="EX33" s="10" t="str">
        <f t="shared" si="0"/>
        <v/>
      </c>
    </row>
    <row r="34" spans="1:154" x14ac:dyDescent="0.35">
      <c r="B34" s="85" t="s">
        <v>122</v>
      </c>
      <c r="D34" s="281">
        <f>DATE(YEAR($E$19)+1, 7, 31)</f>
        <v>46234</v>
      </c>
      <c r="CK34" s="35"/>
      <c r="CM34" s="35"/>
      <c r="CQ34" s="35"/>
      <c r="EX34" s="10" t="str">
        <f t="shared" si="0"/>
        <v/>
      </c>
    </row>
    <row r="35" spans="1:154" x14ac:dyDescent="0.35">
      <c r="C35" s="211" t="s">
        <v>211</v>
      </c>
      <c r="D35" t="s">
        <v>212</v>
      </c>
      <c r="E35" s="163" t="str">
        <f>'Financial Health'!$W$29</f>
        <v/>
      </c>
      <c r="CK35" s="35"/>
      <c r="CM35" s="35"/>
      <c r="CQ35" s="35"/>
      <c r="EX35" s="12" t="str">
        <f>IF($C35="","",_xlfn.CONCAT(TEXT(D$34,"dd.yy.yyyy")," ",$D35))</f>
        <v>31.26.2026 Automated Financial Health Grade</v>
      </c>
    </row>
    <row r="36" spans="1:154" x14ac:dyDescent="0.35">
      <c r="B36" s="85" t="s">
        <v>122</v>
      </c>
      <c r="C36" s="211" t="s">
        <v>213</v>
      </c>
      <c r="D36" t="s">
        <v>214</v>
      </c>
      <c r="E36" s="163" t="str">
        <f>'Financial Health'!$W$31</f>
        <v/>
      </c>
      <c r="CK36" s="35"/>
      <c r="CM36" s="35"/>
      <c r="CQ36" s="35"/>
      <c r="EX36" s="12" t="str">
        <f>IF($C36="","",_xlfn.CONCAT(TEXT(D$34,"dd.yy.yyyy")," ",$D36))</f>
        <v xml:space="preserve">31.26.2026 Financial Health Grade Self-Assessment </v>
      </c>
    </row>
    <row r="37" spans="1:154" ht="6.75" customHeight="1" x14ac:dyDescent="0.35">
      <c r="C37" s="211"/>
      <c r="D37" s="1"/>
      <c r="E37"/>
      <c r="BY37" s="6"/>
      <c r="CK37" s="35"/>
      <c r="CM37" s="35"/>
      <c r="CQ37" s="35"/>
      <c r="EX37" s="10" t="str">
        <f>IF($C37="","",$D37)</f>
        <v/>
      </c>
    </row>
    <row r="38" spans="1:154" x14ac:dyDescent="0.35">
      <c r="D38" s="281">
        <f>DATE(YEAR($E$19)+2, 7, 31)</f>
        <v>46599</v>
      </c>
      <c r="CK38" s="35"/>
      <c r="CM38" s="35"/>
      <c r="CQ38" s="35"/>
      <c r="EX38" s="10" t="str">
        <f>IF($C38="","",$D38)</f>
        <v/>
      </c>
    </row>
    <row r="39" spans="1:154" x14ac:dyDescent="0.35">
      <c r="C39" s="211" t="s">
        <v>215</v>
      </c>
      <c r="D39" t="s">
        <v>212</v>
      </c>
      <c r="E39" s="163" t="str">
        <f>'Financial Health'!$X$29</f>
        <v/>
      </c>
      <c r="CK39" s="35"/>
      <c r="CM39" s="35"/>
      <c r="CQ39" s="35"/>
      <c r="EX39" s="12" t="str">
        <f>IF($C39="","",_xlfn.CONCAT(TEXT(D$38,"dd.yy.yyyy")," ",$D39))</f>
        <v>31.27.2027 Automated Financial Health Grade</v>
      </c>
    </row>
    <row r="40" spans="1:154" x14ac:dyDescent="0.35">
      <c r="B40" s="85" t="s">
        <v>122</v>
      </c>
      <c r="C40" s="211" t="s">
        <v>216</v>
      </c>
      <c r="D40" t="s">
        <v>214</v>
      </c>
      <c r="E40" s="163" t="str">
        <f>'Financial Health'!$X$31</f>
        <v/>
      </c>
      <c r="CK40" s="35"/>
      <c r="CM40" s="35"/>
      <c r="CQ40" s="35"/>
      <c r="EX40" s="12" t="str">
        <f>IF($C40="","",_xlfn.CONCAT(TEXT(D$38,"dd.yy.yyyy")," ",$D40))</f>
        <v xml:space="preserve">31.27.2027 Financial Health Grade Self-Assessment </v>
      </c>
    </row>
    <row r="41" spans="1:154" ht="6.75" customHeight="1" x14ac:dyDescent="0.35">
      <c r="C41" s="211"/>
      <c r="D41" s="1"/>
      <c r="E41"/>
      <c r="BY41" s="6"/>
      <c r="CK41" s="35"/>
      <c r="CM41" s="35"/>
      <c r="CQ41" s="35"/>
      <c r="EX41" s="10" t="str">
        <f>IF($C41="","",$D41)</f>
        <v/>
      </c>
    </row>
    <row r="42" spans="1:154" x14ac:dyDescent="0.35">
      <c r="D42" s="281">
        <f>DATE(YEAR($E$19)+3, 7, 31)</f>
        <v>46965</v>
      </c>
      <c r="CK42" s="35"/>
      <c r="CM42" s="35"/>
      <c r="CQ42" s="35"/>
      <c r="EX42" s="10" t="str">
        <f>IF($C42="","",$D42)</f>
        <v/>
      </c>
    </row>
    <row r="43" spans="1:154" x14ac:dyDescent="0.35">
      <c r="C43" s="211" t="s">
        <v>217</v>
      </c>
      <c r="D43" t="s">
        <v>212</v>
      </c>
      <c r="E43" s="163" t="str">
        <f>'Financial Health'!$Y$29</f>
        <v/>
      </c>
      <c r="CK43" s="35"/>
      <c r="CM43" s="35"/>
      <c r="CQ43" s="35"/>
      <c r="EX43" s="12" t="str">
        <f>IF($C43="","",_xlfn.CONCAT(TEXT(D$42,"dd.yy.yyyy")," ",$D43))</f>
        <v>31.28.2028 Automated Financial Health Grade</v>
      </c>
    </row>
    <row r="44" spans="1:154" x14ac:dyDescent="0.35">
      <c r="B44" s="85" t="s">
        <v>122</v>
      </c>
      <c r="C44" s="211" t="s">
        <v>218</v>
      </c>
      <c r="D44" t="s">
        <v>214</v>
      </c>
      <c r="E44" s="163" t="str">
        <f>'Financial Health'!$Y$31</f>
        <v/>
      </c>
      <c r="CK44" s="35"/>
      <c r="CM44" s="35"/>
      <c r="CQ44" s="35"/>
      <c r="EX44" s="12" t="str">
        <f>IF($C44="","",_xlfn.CONCAT(TEXT(D$42,"dd.yy.yyyy")," ",$D44))</f>
        <v xml:space="preserve">31.28.2028 Financial Health Grade Self-Assessment </v>
      </c>
    </row>
    <row r="45" spans="1:154" ht="6.75" customHeight="1" x14ac:dyDescent="0.35">
      <c r="C45" s="211"/>
      <c r="D45" s="1"/>
      <c r="E45"/>
      <c r="BY45" s="6"/>
      <c r="CK45" s="35"/>
      <c r="CM45" s="35"/>
      <c r="CQ45" s="35"/>
      <c r="EX45" s="10" t="str">
        <f t="shared" ref="EX45:EX88" si="1">IF($C45="","",$D45)</f>
        <v/>
      </c>
    </row>
    <row r="46" spans="1:154" x14ac:dyDescent="0.35">
      <c r="A46" s="34"/>
      <c r="B46" s="34"/>
      <c r="C46" s="238"/>
      <c r="D46" s="34" t="s">
        <v>219</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5"/>
      <c r="CM46" s="35"/>
      <c r="CQ46" s="35"/>
      <c r="EX46" s="10" t="str">
        <f t="shared" si="1"/>
        <v/>
      </c>
    </row>
    <row r="47" spans="1:154" ht="6.75" customHeight="1" x14ac:dyDescent="0.35">
      <c r="C47" s="211"/>
      <c r="D47" s="1"/>
      <c r="E47"/>
      <c r="BY47" s="6"/>
      <c r="CK47" s="35"/>
      <c r="CM47" s="35"/>
      <c r="CQ47" s="35"/>
      <c r="EX47" s="10" t="str">
        <f t="shared" si="1"/>
        <v/>
      </c>
    </row>
    <row r="48" spans="1:154" x14ac:dyDescent="0.35">
      <c r="C48" s="211" t="s">
        <v>220</v>
      </c>
      <c r="D48" s="1" t="s">
        <v>221</v>
      </c>
      <c r="E48" s="243"/>
      <c r="CK48" s="35"/>
      <c r="CM48" s="35"/>
      <c r="CQ48" s="35"/>
      <c r="EX48" s="10" t="str">
        <f t="shared" si="1"/>
        <v>Name of College merged with</v>
      </c>
    </row>
    <row r="49" spans="1:154" x14ac:dyDescent="0.35">
      <c r="C49" s="211" t="s">
        <v>222</v>
      </c>
      <c r="D49" s="1" t="str">
        <f>CONCATENATE("Is ",CollegeNameInput, " the acquiring college?")</f>
        <v>Is  the acquiring college?</v>
      </c>
      <c r="E49" s="264"/>
      <c r="CK49" s="11"/>
      <c r="CM49" s="11"/>
      <c r="CQ49" s="35"/>
      <c r="EX49" s="10" t="str">
        <f t="shared" si="1"/>
        <v>Is  the acquiring college?</v>
      </c>
    </row>
    <row r="50" spans="1:154" x14ac:dyDescent="0.35">
      <c r="C50" s="211" t="s">
        <v>223</v>
      </c>
      <c r="D50" s="1" t="s">
        <v>224</v>
      </c>
      <c r="E50" s="130"/>
      <c r="CK50" s="35"/>
      <c r="CL50" s="241">
        <f>IF(E50="", 0, IF(AND(E50&gt;=$E$23, E50&lt;=$E$27), 0, 1))</f>
        <v>0</v>
      </c>
      <c r="CM50" s="35"/>
      <c r="CQ50" s="35"/>
      <c r="EX50" s="10" t="str">
        <f t="shared" si="1"/>
        <v>Merger date:</v>
      </c>
    </row>
    <row r="51" spans="1:154" ht="6.75" customHeight="1" x14ac:dyDescent="0.35">
      <c r="C51" s="211"/>
      <c r="D51" s="1"/>
      <c r="E51"/>
      <c r="BY51" s="6"/>
      <c r="CK51" s="35"/>
      <c r="CM51" s="35"/>
      <c r="CQ51" s="35"/>
      <c r="EX51" s="10" t="str">
        <f t="shared" si="1"/>
        <v/>
      </c>
    </row>
    <row r="52" spans="1:154" x14ac:dyDescent="0.35">
      <c r="A52" s="34"/>
      <c r="B52" s="34"/>
      <c r="C52" s="238"/>
      <c r="D52" s="34" t="s">
        <v>225</v>
      </c>
      <c r="E52" s="34"/>
      <c r="F52" s="34" t="s">
        <v>226</v>
      </c>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5"/>
      <c r="CM52" s="35"/>
      <c r="CQ52" s="35"/>
      <c r="EX52" s="10" t="str">
        <f t="shared" si="1"/>
        <v/>
      </c>
    </row>
    <row r="53" spans="1:154" ht="6.75" customHeight="1" x14ac:dyDescent="0.35">
      <c r="C53" s="211"/>
      <c r="D53" s="1"/>
      <c r="E53"/>
      <c r="BY53" s="6"/>
      <c r="CK53" s="35"/>
      <c r="CM53" s="35"/>
      <c r="CQ53" s="35"/>
      <c r="EX53" s="10" t="str">
        <f t="shared" si="1"/>
        <v/>
      </c>
    </row>
    <row r="54" spans="1:154" ht="43.5" x14ac:dyDescent="0.35">
      <c r="C54" s="211" t="s">
        <v>227</v>
      </c>
      <c r="D54" s="120" t="s">
        <v>228</v>
      </c>
      <c r="E54" s="264"/>
      <c r="F54" s="61" t="s">
        <v>229</v>
      </c>
      <c r="CK54" s="35"/>
      <c r="CM54" s="35"/>
      <c r="CQ54" s="35"/>
      <c r="EX54" s="10" t="str">
        <f t="shared" si="1"/>
        <v>I confirm that the most appropriate financial health grade for each of the three years is as shown above.</v>
      </c>
    </row>
    <row r="55" spans="1:154" ht="6.75" customHeight="1" x14ac:dyDescent="0.35">
      <c r="C55" s="239"/>
      <c r="D55" s="57"/>
      <c r="E55"/>
      <c r="F55" s="120"/>
      <c r="BY55" s="6"/>
      <c r="CK55" s="35"/>
      <c r="CM55" s="35"/>
      <c r="CQ55" s="35"/>
      <c r="EX55" s="10" t="str">
        <f t="shared" si="1"/>
        <v/>
      </c>
    </row>
    <row r="56" spans="1:154" ht="43.5" x14ac:dyDescent="0.35">
      <c r="C56" s="211" t="s">
        <v>230</v>
      </c>
      <c r="D56" s="57" t="str">
        <f>CONCATENATE("I confirm that this return is consistent with the college's budget for the year ending  ", TEXT(D38,"dd-mmm-yyyy"), " and that this budget has been approved by the governing body.")</f>
        <v>I confirm that this return is consistent with the college's budget for the year ending  31-Jul-2027 and that this budget has been approved by the governing body.</v>
      </c>
      <c r="E56" s="264"/>
      <c r="F56" s="61" t="s">
        <v>229</v>
      </c>
      <c r="CK56" s="35"/>
      <c r="CM56" s="35"/>
      <c r="CQ56" s="35"/>
      <c r="EX56" s="10" t="str">
        <f t="shared" si="1"/>
        <v>I confirm that this return is consistent with the college's budget for the year ending  31-Jul-2027 and that this budget has been approved by the governing body.</v>
      </c>
    </row>
    <row r="57" spans="1:154" ht="6.75" customHeight="1" x14ac:dyDescent="0.35">
      <c r="C57" s="239"/>
      <c r="D57" s="57"/>
      <c r="E57"/>
      <c r="F57" s="120"/>
      <c r="BY57" s="6"/>
      <c r="CK57" s="35"/>
      <c r="CM57" s="35"/>
      <c r="CQ57" s="35"/>
      <c r="EX57" s="10" t="str">
        <f t="shared" si="1"/>
        <v/>
      </c>
    </row>
    <row r="58" spans="1:154" ht="43.5" x14ac:dyDescent="0.35">
      <c r="C58" s="211" t="s">
        <v>231</v>
      </c>
      <c r="D58" s="57" t="s">
        <v>232</v>
      </c>
      <c r="E58" s="264"/>
      <c r="F58" s="61" t="s">
        <v>229</v>
      </c>
      <c r="CK58" s="35"/>
      <c r="CM58" s="35"/>
      <c r="CQ58" s="35"/>
      <c r="EX58" s="10" t="str">
        <f t="shared" si="1"/>
        <v>I confirm that this return is consistent with the college's strategic plan and that the plan and accompanying commentary have been reviewed in accordance with the method agreed by the governing body. I agree that the data provided may be published by Department for Education.</v>
      </c>
    </row>
    <row r="59" spans="1:154" ht="6.75" customHeight="1" x14ac:dyDescent="0.35">
      <c r="C59" s="239"/>
      <c r="D59" s="57"/>
      <c r="E59"/>
      <c r="F59" s="120"/>
      <c r="BY59" s="6"/>
      <c r="CK59" s="35"/>
      <c r="CM59" s="35"/>
      <c r="CQ59" s="35"/>
      <c r="EX59" s="10" t="str">
        <f t="shared" si="1"/>
        <v/>
      </c>
    </row>
    <row r="60" spans="1:154" ht="43.5" x14ac:dyDescent="0.35">
      <c r="C60" s="211" t="s">
        <v>233</v>
      </c>
      <c r="D60" s="57" t="s">
        <v>234</v>
      </c>
      <c r="E60" s="264"/>
      <c r="F60" s="61" t="s">
        <v>229</v>
      </c>
      <c r="CK60" s="35"/>
      <c r="CM60" s="35"/>
      <c r="CQ60" s="35"/>
      <c r="EX60" s="10" t="str">
        <f t="shared" si="1"/>
        <v>I confirm that the supporting commentary has been prepared with due regard to the financial planning checklist in the College Financial Planning Handbook.</v>
      </c>
    </row>
    <row r="61" spans="1:154" ht="6.75" customHeight="1" x14ac:dyDescent="0.35">
      <c r="C61" s="239"/>
      <c r="D61" s="57"/>
      <c r="E61"/>
      <c r="F61" s="120"/>
      <c r="BY61" s="6"/>
      <c r="CK61" s="35"/>
      <c r="CM61" s="35"/>
      <c r="CQ61" s="35"/>
      <c r="EX61" s="10" t="str">
        <f t="shared" si="1"/>
        <v/>
      </c>
    </row>
    <row r="62" spans="1:154" ht="29" x14ac:dyDescent="0.35">
      <c r="C62" s="213" t="s">
        <v>235</v>
      </c>
      <c r="D62" s="57" t="s">
        <v>236</v>
      </c>
      <c r="E62" s="618"/>
      <c r="F62" s="61" t="s">
        <v>237</v>
      </c>
      <c r="CK62" s="35"/>
      <c r="CM62" s="35"/>
      <c r="CQ62" s="35"/>
      <c r="EX62" s="10" t="str">
        <f t="shared" si="1"/>
        <v>I confirm that this return includes the capital project and reflects the project financing as per the capital grant application.</v>
      </c>
    </row>
    <row r="63" spans="1:154" ht="6.75" customHeight="1" x14ac:dyDescent="0.35">
      <c r="C63" s="239"/>
      <c r="D63" s="57"/>
      <c r="E63"/>
      <c r="F63" s="120"/>
      <c r="BY63" s="6"/>
      <c r="CK63" s="35"/>
      <c r="CM63" s="35"/>
      <c r="CQ63" s="35"/>
      <c r="EX63" s="10" t="str">
        <f t="shared" si="1"/>
        <v/>
      </c>
    </row>
    <row r="64" spans="1:154" ht="48.75" customHeight="1" x14ac:dyDescent="0.35">
      <c r="C64" s="211" t="s">
        <v>238</v>
      </c>
      <c r="D64" s="57" t="str">
        <f>CONCATENATE("I confirm that the cash balance output in this return, as at ",TEXT(E21,"dd-mmm-yyyy"), " matches the college's reconciled cash position on that date.  Furthermore, that a bank reconciliation has been carried out on the indicated date and that there are no concerns or unresolved issues arising from the reconciliation itself or since.")</f>
        <v>I confirm that the cash balance output in this return, as at 31-Mar-2026 matches the college's reconciled cash position on that date.  Furthermore, that a bank reconciliation has been carried out on the indicated date and that there are no concerns or unresolved issues arising from the reconciliation itself or since.</v>
      </c>
      <c r="E64" s="264"/>
      <c r="F64" s="61" t="s">
        <v>239</v>
      </c>
      <c r="CK64" s="35"/>
      <c r="CM64" s="35"/>
      <c r="CQ64" s="35"/>
      <c r="EX64" s="10" t="str">
        <f t="shared" si="1"/>
        <v>I confirm that the cash balance output in this return, as at 31-Mar-2026 matches the college's reconciled cash position on that date.  Furthermore, that a bank reconciliation has been carried out on the indicated date and that there are no concerns or unresolved issues arising from the reconciliation itself or since.</v>
      </c>
    </row>
    <row r="65" spans="2:154" x14ac:dyDescent="0.35">
      <c r="C65" s="211" t="s">
        <v>240</v>
      </c>
      <c r="D65" s="120" t="s">
        <v>241</v>
      </c>
      <c r="E65" s="130"/>
      <c r="F65" s="61" t="s">
        <v>239</v>
      </c>
      <c r="CK65" s="35"/>
      <c r="CM65" s="35"/>
      <c r="CQ65" s="35"/>
      <c r="EX65" s="10" t="str">
        <f t="shared" si="1"/>
        <v>Date of closest bank reconciliation:</v>
      </c>
    </row>
    <row r="66" spans="2:154" ht="6.75" customHeight="1" x14ac:dyDescent="0.35">
      <c r="C66" s="239"/>
      <c r="D66" s="57"/>
      <c r="E66"/>
      <c r="BY66" s="6"/>
      <c r="CK66" s="35"/>
      <c r="CM66" s="35"/>
      <c r="CQ66" s="35"/>
      <c r="EX66" s="10" t="str">
        <f t="shared" si="1"/>
        <v/>
      </c>
    </row>
    <row r="67" spans="2:154" x14ac:dyDescent="0.35">
      <c r="C67" s="120"/>
      <c r="D67" s="107" t="s">
        <v>242</v>
      </c>
      <c r="CK67" s="35"/>
      <c r="CM67" s="35"/>
      <c r="CQ67" s="35"/>
      <c r="EX67" s="10" t="str">
        <f t="shared" si="1"/>
        <v/>
      </c>
    </row>
    <row r="68" spans="2:154" ht="43.5" x14ac:dyDescent="0.35">
      <c r="C68" s="211" t="s">
        <v>243</v>
      </c>
      <c r="D68" s="57" t="str">
        <f>CONCATENATE("In completing my name and date in lines with Ref. No. ", C70, " and ", C71," below, I confirm that this return is an honest and realistic reflection of the college’s financial position, the contents of this declaration sheet are correct, and that the typing of my name and date serve as my digital signature.")</f>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c r="E68" s="264"/>
      <c r="F68" s="61" t="s">
        <v>239</v>
      </c>
      <c r="CK68" s="35"/>
      <c r="CM68" s="35"/>
      <c r="CQ68" s="35"/>
      <c r="EX68" s="10" t="str">
        <f t="shared" si="1"/>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row>
    <row r="69" spans="2:154" ht="6.75" customHeight="1" x14ac:dyDescent="0.35">
      <c r="C69" s="239"/>
      <c r="D69" s="1"/>
      <c r="E69"/>
      <c r="BY69" s="6"/>
      <c r="CK69" s="35"/>
      <c r="CM69" s="35"/>
      <c r="CQ69" s="35"/>
      <c r="EX69" s="10" t="str">
        <f t="shared" si="1"/>
        <v/>
      </c>
    </row>
    <row r="70" spans="2:154" x14ac:dyDescent="0.35">
      <c r="C70" s="211" t="s">
        <v>244</v>
      </c>
      <c r="D70" t="s">
        <v>245</v>
      </c>
      <c r="E70" s="282"/>
      <c r="F70" s="61" t="s">
        <v>239</v>
      </c>
      <c r="CK70" s="35"/>
      <c r="CM70" s="35"/>
      <c r="CQ70" s="35"/>
      <c r="EX70" s="10" t="str">
        <f t="shared" si="1"/>
        <v>Name:</v>
      </c>
    </row>
    <row r="71" spans="2:154" x14ac:dyDescent="0.35">
      <c r="C71" s="211" t="s">
        <v>246</v>
      </c>
      <c r="D71" t="s">
        <v>247</v>
      </c>
      <c r="E71" s="130"/>
      <c r="F71" s="61" t="s">
        <v>239</v>
      </c>
      <c r="CK71" s="35"/>
      <c r="CM71" s="35"/>
      <c r="CQ71" s="35"/>
      <c r="EX71" s="10" t="str">
        <f t="shared" si="1"/>
        <v>Date:</v>
      </c>
    </row>
    <row r="72" spans="2:154" x14ac:dyDescent="0.35">
      <c r="C72" s="234" t="s">
        <v>248</v>
      </c>
      <c r="D72" s="4" t="s">
        <v>249</v>
      </c>
      <c r="E72" s="647"/>
      <c r="F72" s="61" t="s">
        <v>239</v>
      </c>
      <c r="CK72" s="35"/>
      <c r="CM72" s="35"/>
      <c r="CQ72" s="35"/>
      <c r="EX72" s="10" t="str">
        <f t="shared" si="1"/>
        <v>Accounting Officer Email Address</v>
      </c>
    </row>
    <row r="73" spans="2:154" x14ac:dyDescent="0.35">
      <c r="C73" s="211" t="s">
        <v>250</v>
      </c>
      <c r="D73" t="s">
        <v>251</v>
      </c>
      <c r="E73" s="282"/>
      <c r="F73" s="61" t="s">
        <v>239</v>
      </c>
      <c r="CK73" s="35"/>
      <c r="CM73" s="35"/>
      <c r="CQ73" s="35"/>
      <c r="EX73" s="10" t="str">
        <f t="shared" si="1"/>
        <v>Name of contact for queries (if different):</v>
      </c>
    </row>
    <row r="74" spans="2:154" x14ac:dyDescent="0.35">
      <c r="C74" s="211" t="s">
        <v>252</v>
      </c>
      <c r="D74" t="s">
        <v>253</v>
      </c>
      <c r="E74" s="315"/>
      <c r="F74" s="61" t="s">
        <v>239</v>
      </c>
      <c r="CK74" s="35"/>
      <c r="CM74" s="35"/>
      <c r="CQ74" s="35"/>
      <c r="EX74" s="10" t="str">
        <f t="shared" si="1"/>
        <v>Telephone Number:</v>
      </c>
    </row>
    <row r="75" spans="2:154" x14ac:dyDescent="0.35">
      <c r="C75" s="211" t="s">
        <v>254</v>
      </c>
      <c r="D75" t="s">
        <v>255</v>
      </c>
      <c r="E75" s="282"/>
      <c r="F75" s="61" t="s">
        <v>239</v>
      </c>
      <c r="CK75" s="35"/>
      <c r="CM75" s="35"/>
      <c r="CQ75" s="35"/>
      <c r="EX75" s="10" t="str">
        <f t="shared" si="1"/>
        <v>Email Address:</v>
      </c>
    </row>
    <row r="76" spans="2:154" x14ac:dyDescent="0.35">
      <c r="C76" s="211"/>
      <c r="F76" s="61"/>
      <c r="CK76" s="35"/>
      <c r="CM76" s="35"/>
      <c r="CQ76" s="35"/>
      <c r="EX76" s="10"/>
    </row>
    <row r="77" spans="2:154" x14ac:dyDescent="0.35">
      <c r="C77" s="234" t="s">
        <v>256</v>
      </c>
      <c r="D77" s="4" t="s">
        <v>257</v>
      </c>
      <c r="E77" s="282"/>
      <c r="F77" s="61" t="s">
        <v>239</v>
      </c>
      <c r="CK77" s="35"/>
      <c r="CM77" s="35"/>
      <c r="CQ77" s="35"/>
      <c r="EX77" s="10" t="str">
        <f t="shared" si="1"/>
        <v>Chair of the Governing Body Name</v>
      </c>
    </row>
    <row r="78" spans="2:154" x14ac:dyDescent="0.35">
      <c r="C78" s="234" t="s">
        <v>258</v>
      </c>
      <c r="D78" s="4" t="s">
        <v>259</v>
      </c>
      <c r="E78" s="282"/>
      <c r="F78" s="61" t="s">
        <v>239</v>
      </c>
      <c r="CK78" s="35"/>
      <c r="CM78" s="35"/>
      <c r="CQ78" s="35"/>
      <c r="EX78" s="10" t="str">
        <f t="shared" si="1"/>
        <v>Chair of the Governing Body Email Address</v>
      </c>
    </row>
    <row r="79" spans="2:154" x14ac:dyDescent="0.35">
      <c r="C79" s="234"/>
      <c r="D79" s="4"/>
      <c r="F79" s="61"/>
      <c r="CK79" s="35"/>
      <c r="CM79" s="35"/>
      <c r="CQ79" s="35"/>
      <c r="EX79" s="10"/>
    </row>
    <row r="80" spans="2:154" x14ac:dyDescent="0.35">
      <c r="B80" s="85" t="s">
        <v>122</v>
      </c>
      <c r="C80" s="234" t="s">
        <v>260</v>
      </c>
      <c r="D80" s="4" t="s">
        <v>261</v>
      </c>
      <c r="E80" s="282"/>
      <c r="F80" s="61" t="s">
        <v>239</v>
      </c>
      <c r="CK80" s="35"/>
      <c r="CM80" s="35"/>
      <c r="CQ80" s="35"/>
      <c r="EX80" s="10" t="str">
        <f t="shared" si="1"/>
        <v>Governance Professional Name</v>
      </c>
    </row>
    <row r="81" spans="1:154" x14ac:dyDescent="0.35">
      <c r="C81" s="234" t="s">
        <v>262</v>
      </c>
      <c r="D81" s="4" t="s">
        <v>263</v>
      </c>
      <c r="E81" s="282"/>
      <c r="F81" s="61" t="s">
        <v>239</v>
      </c>
      <c r="CK81" s="35"/>
      <c r="CM81" s="35"/>
      <c r="CQ81" s="35"/>
      <c r="EX81" s="10" t="str">
        <f t="shared" si="1"/>
        <v>Governance Professional Email Address</v>
      </c>
    </row>
    <row r="82" spans="1:154" x14ac:dyDescent="0.35">
      <c r="C82" s="234"/>
      <c r="D82" s="4"/>
      <c r="F82" s="61"/>
      <c r="CK82" s="35"/>
      <c r="CM82" s="35"/>
      <c r="CQ82" s="35"/>
      <c r="EX82" s="10"/>
    </row>
    <row r="83" spans="1:154" x14ac:dyDescent="0.35">
      <c r="B83" s="85" t="s">
        <v>122</v>
      </c>
      <c r="C83" s="234" t="s">
        <v>264</v>
      </c>
      <c r="D83" s="4" t="s">
        <v>265</v>
      </c>
      <c r="E83" s="282"/>
      <c r="F83" s="61" t="s">
        <v>239</v>
      </c>
      <c r="CK83" s="35"/>
      <c r="CM83" s="35"/>
      <c r="CQ83" s="35"/>
      <c r="EX83" s="10"/>
    </row>
    <row r="84" spans="1:154" x14ac:dyDescent="0.35">
      <c r="C84" s="234" t="s">
        <v>266</v>
      </c>
      <c r="D84" s="4" t="s">
        <v>267</v>
      </c>
      <c r="E84" s="282"/>
      <c r="F84" s="61" t="s">
        <v>239</v>
      </c>
      <c r="CK84" s="35"/>
      <c r="CM84" s="35"/>
      <c r="CQ84" s="35"/>
      <c r="EX84" s="10"/>
    </row>
    <row r="85" spans="1:154" x14ac:dyDescent="0.35">
      <c r="C85" s="211"/>
      <c r="E85"/>
      <c r="F85" s="61"/>
      <c r="CK85" s="35"/>
      <c r="CM85" s="35"/>
      <c r="CQ85" s="35"/>
      <c r="EX85" s="10"/>
    </row>
    <row r="86" spans="1:154" ht="38.15" customHeight="1" x14ac:dyDescent="0.35">
      <c r="C86" s="211"/>
      <c r="D86" s="661" t="s">
        <v>268</v>
      </c>
      <c r="E86" s="662"/>
      <c r="F86" s="662"/>
      <c r="G86" s="662"/>
      <c r="CK86" s="35"/>
      <c r="CM86" s="35"/>
      <c r="CQ86" s="35"/>
      <c r="EX86" s="10"/>
    </row>
    <row r="87" spans="1:154" ht="6.75" customHeight="1" x14ac:dyDescent="0.35">
      <c r="C87" s="239"/>
      <c r="D87" s="1"/>
      <c r="E87"/>
      <c r="BY87" s="6"/>
      <c r="CK87" s="35"/>
      <c r="CM87" s="35"/>
      <c r="CQ87" s="35"/>
      <c r="EX87" s="10" t="str">
        <f t="shared" si="1"/>
        <v/>
      </c>
    </row>
    <row r="88" spans="1:154" x14ac:dyDescent="0.35">
      <c r="A88" s="11" t="s">
        <v>16</v>
      </c>
      <c r="B88" s="11" t="s">
        <v>16</v>
      </c>
      <c r="C88" s="11" t="s">
        <v>16</v>
      </c>
      <c r="D88" s="11" t="s">
        <v>16</v>
      </c>
      <c r="E88" s="25" t="s">
        <v>16</v>
      </c>
      <c r="F88" s="11" t="s">
        <v>16</v>
      </c>
      <c r="G88" s="11" t="s">
        <v>16</v>
      </c>
      <c r="H88" s="11" t="s">
        <v>16</v>
      </c>
      <c r="I88" s="11" t="s">
        <v>16</v>
      </c>
      <c r="J88" s="11" t="s">
        <v>16</v>
      </c>
      <c r="K88" s="11" t="s">
        <v>16</v>
      </c>
      <c r="L88" s="11" t="s">
        <v>16</v>
      </c>
      <c r="M88" s="11" t="s">
        <v>16</v>
      </c>
      <c r="N88" s="11" t="s">
        <v>16</v>
      </c>
      <c r="O88" s="11" t="s">
        <v>16</v>
      </c>
      <c r="P88" s="11" t="s">
        <v>16</v>
      </c>
      <c r="Q88" s="11" t="s">
        <v>16</v>
      </c>
      <c r="R88" s="11" t="s">
        <v>16</v>
      </c>
      <c r="S88" s="11"/>
      <c r="T88" s="11" t="s">
        <v>16</v>
      </c>
      <c r="U88" s="11" t="s">
        <v>16</v>
      </c>
      <c r="V88" s="11" t="s">
        <v>16</v>
      </c>
      <c r="W88" s="11" t="s">
        <v>16</v>
      </c>
      <c r="X88" s="11"/>
      <c r="Y88" s="11"/>
      <c r="Z88" s="11" t="s">
        <v>16</v>
      </c>
      <c r="AA88" s="11" t="s">
        <v>16</v>
      </c>
      <c r="AB88" s="11" t="s">
        <v>16</v>
      </c>
      <c r="AC88" s="11" t="s">
        <v>16</v>
      </c>
      <c r="AD88" s="11" t="s">
        <v>16</v>
      </c>
      <c r="AE88" s="11" t="s">
        <v>16</v>
      </c>
      <c r="AF88" s="11" t="s">
        <v>16</v>
      </c>
      <c r="AG88" s="11" t="s">
        <v>16</v>
      </c>
      <c r="AH88" s="11" t="s">
        <v>16</v>
      </c>
      <c r="AI88" s="11" t="s">
        <v>16</v>
      </c>
      <c r="AJ88" s="11" t="s">
        <v>16</v>
      </c>
      <c r="AK88" s="11" t="s">
        <v>16</v>
      </c>
      <c r="AL88" s="11" t="s">
        <v>16</v>
      </c>
      <c r="AM88" s="11" t="s">
        <v>16</v>
      </c>
      <c r="AN88" s="11" t="s">
        <v>16</v>
      </c>
      <c r="AO88" s="11" t="s">
        <v>16</v>
      </c>
      <c r="AP88" s="11" t="s">
        <v>16</v>
      </c>
      <c r="AQ88" s="11" t="s">
        <v>16</v>
      </c>
      <c r="AR88" s="11" t="s">
        <v>16</v>
      </c>
      <c r="AS88" s="11" t="s">
        <v>16</v>
      </c>
      <c r="AT88" s="11" t="s">
        <v>16</v>
      </c>
      <c r="AU88" s="11" t="s">
        <v>16</v>
      </c>
      <c r="AV88" s="11" t="s">
        <v>16</v>
      </c>
      <c r="AW88" s="11" t="s">
        <v>16</v>
      </c>
      <c r="AX88" s="11" t="s">
        <v>16</v>
      </c>
      <c r="AY88" s="11" t="s">
        <v>16</v>
      </c>
      <c r="AZ88" s="11" t="s">
        <v>16</v>
      </c>
      <c r="BA88" s="11" t="s">
        <v>16</v>
      </c>
      <c r="BB88" s="11" t="s">
        <v>16</v>
      </c>
      <c r="BC88" s="11" t="s">
        <v>16</v>
      </c>
      <c r="BD88" s="11" t="s">
        <v>16</v>
      </c>
      <c r="BE88" s="11" t="s">
        <v>16</v>
      </c>
      <c r="BF88" s="11" t="s">
        <v>16</v>
      </c>
      <c r="BG88" s="11" t="s">
        <v>16</v>
      </c>
      <c r="BH88" s="11" t="s">
        <v>16</v>
      </c>
      <c r="BI88" s="11" t="s">
        <v>16</v>
      </c>
      <c r="BJ88" s="11" t="s">
        <v>16</v>
      </c>
      <c r="BK88" s="11" t="s">
        <v>16</v>
      </c>
      <c r="BL88" s="11" t="s">
        <v>16</v>
      </c>
      <c r="BM88" s="11" t="s">
        <v>16</v>
      </c>
      <c r="BN88" s="11" t="s">
        <v>16</v>
      </c>
      <c r="BO88" s="11" t="s">
        <v>16</v>
      </c>
      <c r="BP88" s="11" t="s">
        <v>16</v>
      </c>
      <c r="BQ88" s="11" t="s">
        <v>16</v>
      </c>
      <c r="BR88" s="11" t="s">
        <v>16</v>
      </c>
      <c r="BS88" s="11" t="s">
        <v>16</v>
      </c>
      <c r="BT88" s="11" t="s">
        <v>16</v>
      </c>
      <c r="BU88" s="11" t="s">
        <v>16</v>
      </c>
      <c r="BV88" s="11" t="s">
        <v>16</v>
      </c>
      <c r="BW88" s="11" t="s">
        <v>16</v>
      </c>
      <c r="BX88" s="11" t="s">
        <v>16</v>
      </c>
      <c r="BY88" s="11" t="s">
        <v>16</v>
      </c>
      <c r="BZ88" s="11" t="s">
        <v>16</v>
      </c>
      <c r="CA88" s="11" t="s">
        <v>16</v>
      </c>
      <c r="CB88" s="11" t="s">
        <v>16</v>
      </c>
      <c r="CC88" s="11" t="s">
        <v>16</v>
      </c>
      <c r="CD88" s="11" t="s">
        <v>16</v>
      </c>
      <c r="CE88" s="11" t="s">
        <v>16</v>
      </c>
      <c r="CF88" s="11" t="s">
        <v>16</v>
      </c>
      <c r="CG88" s="11" t="s">
        <v>16</v>
      </c>
      <c r="CH88" s="11" t="s">
        <v>16</v>
      </c>
      <c r="CI88" s="11" t="s">
        <v>16</v>
      </c>
      <c r="CJ88" s="11" t="s">
        <v>16</v>
      </c>
      <c r="CK88" s="11" t="s">
        <v>16</v>
      </c>
      <c r="CL88" s="11" t="s">
        <v>16</v>
      </c>
      <c r="CM88" s="11" t="s">
        <v>16</v>
      </c>
      <c r="CN88" s="11" t="s">
        <v>16</v>
      </c>
      <c r="CO88" s="11" t="s">
        <v>16</v>
      </c>
      <c r="CP88" s="11"/>
      <c r="CQ88" s="11" t="s">
        <v>16</v>
      </c>
      <c r="EX88" s="10" t="str">
        <f t="shared" si="1"/>
        <v>*</v>
      </c>
    </row>
  </sheetData>
  <sheetProtection algorithmName="SHA-512" hashValue="/Y1iPcW3h8k4LuZwOptJcFzv3sNnYuRicP9Jo10J22I3y4G9BqnJJUey/DrzeIzhdlPZi8Y+5JWrzn364L5+ng==" saltValue="D6z60BBfnMuK2VbnB8pqHg==" spinCount="100000" sheet="1" objects="1" scenarios="1"/>
  <mergeCells count="8">
    <mergeCell ref="D86:G86"/>
    <mergeCell ref="CK1:CK6"/>
    <mergeCell ref="CL3:CL6"/>
    <mergeCell ref="CM1:CM6"/>
    <mergeCell ref="CQ1:CQ6"/>
    <mergeCell ref="CN3:CN6"/>
    <mergeCell ref="CO3:CO6"/>
    <mergeCell ref="CP3:CP6"/>
  </mergeCells>
  <phoneticPr fontId="9" type="noConversion"/>
  <conditionalFormatting sqref="A1:A2">
    <cfRule type="cellIs" dxfId="260" priority="73" operator="equal">
      <formula>0</formula>
    </cfRule>
    <cfRule type="cellIs" dxfId="259" priority="74" operator="greaterThan">
      <formula>0</formula>
    </cfRule>
  </conditionalFormatting>
  <conditionalFormatting sqref="A10">
    <cfRule type="cellIs" dxfId="258" priority="80" operator="greaterThan">
      <formula>0</formula>
    </cfRule>
    <cfRule type="cellIs" dxfId="257" priority="79" operator="equal">
      <formula>0</formula>
    </cfRule>
  </conditionalFormatting>
  <conditionalFormatting sqref="A12:A15">
    <cfRule type="cellIs" dxfId="256" priority="69" operator="equal">
      <formula>0</formula>
    </cfRule>
    <cfRule type="cellIs" dxfId="255" priority="70" operator="greaterThan">
      <formula>0</formula>
    </cfRule>
  </conditionalFormatting>
  <conditionalFormatting sqref="A19 A21">
    <cfRule type="cellIs" dxfId="254" priority="75" operator="equal">
      <formula>0</formula>
    </cfRule>
    <cfRule type="cellIs" dxfId="253" priority="76" operator="greaterThan">
      <formula>0</formula>
    </cfRule>
  </conditionalFormatting>
  <conditionalFormatting sqref="E35:E36">
    <cfRule type="containsText" dxfId="252" priority="21" operator="containsText" text="Requires Improvement">
      <formula>NOT(ISERROR(SEARCH("Requires Improvement",E35)))</formula>
    </cfRule>
    <cfRule type="containsText" dxfId="251" priority="22" operator="containsText" text="Inadequate">
      <formula>NOT(ISERROR(SEARCH("Inadequate",E35)))</formula>
    </cfRule>
    <cfRule type="containsText" dxfId="250" priority="23" operator="containsText" text="Good">
      <formula>NOT(ISERROR(SEARCH("Good",E35)))</formula>
    </cfRule>
    <cfRule type="containsText" dxfId="249" priority="24" operator="containsText" text="&quot;&quot;">
      <formula>NOT(ISERROR(SEARCH("""""",E35)))</formula>
    </cfRule>
    <cfRule type="cellIs" dxfId="248" priority="19" operator="equal">
      <formula>0</formula>
    </cfRule>
    <cfRule type="containsText" dxfId="247" priority="20" operator="containsText" text="Outstanding">
      <formula>NOT(ISERROR(SEARCH("Outstanding",E35)))</formula>
    </cfRule>
  </conditionalFormatting>
  <conditionalFormatting sqref="E39:E40">
    <cfRule type="cellIs" dxfId="246" priority="13" operator="equal">
      <formula>0</formula>
    </cfRule>
    <cfRule type="containsText" dxfId="245" priority="14" operator="containsText" text="Outstanding">
      <formula>NOT(ISERROR(SEARCH("Outstanding",E39)))</formula>
    </cfRule>
    <cfRule type="containsText" dxfId="244" priority="15" operator="containsText" text="Requires Improvement">
      <formula>NOT(ISERROR(SEARCH("Requires Improvement",E39)))</formula>
    </cfRule>
    <cfRule type="containsText" dxfId="243" priority="16" operator="containsText" text="Inadequate">
      <formula>NOT(ISERROR(SEARCH("Inadequate",E39)))</formula>
    </cfRule>
    <cfRule type="containsText" dxfId="242" priority="17" operator="containsText" text="Good">
      <formula>NOT(ISERROR(SEARCH("Good",E39)))</formula>
    </cfRule>
    <cfRule type="containsText" dxfId="241" priority="18" operator="containsText" text="&quot;&quot;">
      <formula>NOT(ISERROR(SEARCH("""""",E39)))</formula>
    </cfRule>
  </conditionalFormatting>
  <conditionalFormatting sqref="E43:E44">
    <cfRule type="containsText" dxfId="240" priority="2" operator="containsText" text="Outstanding">
      <formula>NOT(ISERROR(SEARCH("Outstanding",E43)))</formula>
    </cfRule>
    <cfRule type="containsText" dxfId="239" priority="3" operator="containsText" text="Requires Improvement">
      <formula>NOT(ISERROR(SEARCH("Requires Improvement",E43)))</formula>
    </cfRule>
    <cfRule type="containsText" dxfId="238" priority="4" operator="containsText" text="Inadequate">
      <formula>NOT(ISERROR(SEARCH("Inadequate",E43)))</formula>
    </cfRule>
    <cfRule type="containsText" dxfId="237" priority="5" operator="containsText" text="Good">
      <formula>NOT(ISERROR(SEARCH("Good",E43)))</formula>
    </cfRule>
    <cfRule type="containsText" dxfId="236" priority="6" operator="containsText" text="&quot;&quot;">
      <formula>NOT(ISERROR(SEARCH("""""",E43)))</formula>
    </cfRule>
    <cfRule type="cellIs" dxfId="235" priority="1" operator="equal">
      <formula>0</formula>
    </cfRule>
  </conditionalFormatting>
  <conditionalFormatting sqref="CL2">
    <cfRule type="cellIs" dxfId="234" priority="57" operator="greaterThan">
      <formula>0</formula>
    </cfRule>
    <cfRule type="cellIs" dxfId="233" priority="58" operator="equal">
      <formula>0</formula>
    </cfRule>
  </conditionalFormatting>
  <conditionalFormatting sqref="CL50">
    <cfRule type="cellIs" dxfId="232" priority="59" operator="greaterThan">
      <formula>0</formula>
    </cfRule>
    <cfRule type="cellIs" dxfId="231" priority="60" operator="equal">
      <formula>0</formula>
    </cfRule>
  </conditionalFormatting>
  <conditionalFormatting sqref="CN19">
    <cfRule type="cellIs" dxfId="230" priority="51" operator="equal">
      <formula>0</formula>
    </cfRule>
    <cfRule type="cellIs" dxfId="229" priority="52" operator="greaterThan">
      <formula>0</formula>
    </cfRule>
  </conditionalFormatting>
  <conditionalFormatting sqref="CN21">
    <cfRule type="cellIs" dxfId="228" priority="49" operator="equal">
      <formula>0</formula>
    </cfRule>
    <cfRule type="cellIs" dxfId="227" priority="50" operator="greaterThan">
      <formula>0</formula>
    </cfRule>
  </conditionalFormatting>
  <conditionalFormatting sqref="CO10">
    <cfRule type="cellIs" dxfId="226" priority="53" operator="equal">
      <formula>0</formula>
    </cfRule>
    <cfRule type="cellIs" dxfId="225" priority="54" operator="greaterThan">
      <formula>0</formula>
    </cfRule>
  </conditionalFormatting>
  <conditionalFormatting sqref="CP12:CP15">
    <cfRule type="cellIs" dxfId="224" priority="71" operator="equal">
      <formula>0</formula>
    </cfRule>
    <cfRule type="cellIs" dxfId="223" priority="72" operator="greaterThan">
      <formula>0</formula>
    </cfRule>
  </conditionalFormatting>
  <dataValidations count="17">
    <dataValidation type="list" allowBlank="1" showInputMessage="1" showErrorMessage="1" sqref="E49 E29 E54 E56 E58 E64 E60 E68" xr:uid="{810B15A6-BF07-48C8-90DB-35F22002DEED}">
      <formula1>List_YesNo</formula1>
    </dataValidation>
    <dataValidation allowBlank="1" showInputMessage="1" promptTitle="First day of actuals" prompt="The first day of actuals should be on the first day of the financial year, i.e. on 1st August. If a different date is selected the error flag will be triggered._x000a__x000a_It refers to the first date of monthly actuals (not the optional previous year entry)." sqref="B19" xr:uid="{32C54516-F431-4E3D-BEEE-CB171A61D2F7}"/>
    <dataValidation allowBlank="1" showInputMessage="1" promptTitle="Last day of actuals" prompt="Should be on the last day of the month._x000a__x000a_A maximum of 16 months of actuals from the calculated start date can be provided. _x000a__x000a_If the input date is not the last date of a month or is beyond the 16 month threshold, the error flag will be triggered." sqref="B21" xr:uid="{B118FF7E-3F4F-455F-B4E7-69757B8A949A}"/>
    <dataValidation allowBlank="1" showInputMessage="1" promptTitle="Valid College Name" prompt="This checks that a valid college name is selected from the dropdown menu. _x000a__x000a_If the college name entered is not found in the &quot;List of colleges&quot; the check will be triggered." sqref="CO7" xr:uid="{25597E6F-797E-4311-8DAC-BC14439066FD}"/>
    <dataValidation allowBlank="1" showInputMessage="1" promptTitle="Maximum last date of actuals" prompt="Based on the &quot;First day of monthly actuals&quot; provided above, this is the latest possible day of actuals CFFR allows for._x000a__x000a_To roll forward the last date of actuals, you can adjust the first date of actuals so that the monthly actuals start at a later date." sqref="B25" xr:uid="{3E3C5719-4BD9-4121-B98A-4A2D87DD9730}"/>
    <dataValidation allowBlank="1" showInputMessage="1" promptTitle="1st day of monthly actuals calc." prompt="The CFFR applies this date as the starting date for Year 1. _x000a__x000a_In addition, there is an optional prior year field starting one year before Year 1." sqref="B23" xr:uid="{D304D54A-0366-41E6-BC4C-4B5CD46504D7}"/>
    <dataValidation allowBlank="1" showInputMessage="1" promptTitle="Last day of monthly actuals calc" prompt="The CFFR applies this date as the end date for Year 3. _x000a__x000a_In addition, there are 8 optional forecast years after year 3, that can be provided on an annual basis." sqref="B27" xr:uid="{1B55EA31-44AC-4B2C-AA52-5A434CF5AC48}"/>
    <dataValidation allowBlank="1" showInputMessage="1" promptTitle="Monthly data vs year to date" prompt="In the first year of CFFR release, users are allowed to enter actuals data on a year to date basis (in the last month of actuals) instead of providing monthly data. _x000a__x000a_If you are providing monthly breakdown of actuals select &quot;Yes&quot;; otherwise select &quot;No&quot;." sqref="B29" xr:uid="{CBD249CB-E2DC-471C-8AAF-AF600AAE6947}"/>
    <dataValidation allowBlank="1" showInputMessage="1" promptTitle="Valid College data" prompt="This checks that valid college data is given incl. college type, code, UPIN and UKPRN. " sqref="CP7" xr:uid="{3F736DF3-B70A-48DF-AFD4-A019CB7F8F95}"/>
    <dataValidation allowBlank="1" showInputMessage="1" promptTitle="Actuals Dates Check" prompt="This checks that the inputted first and last date of actuals match the calculated first and last date of actuals. If they are not the same, then they need to be adjusted for any of:_x000a_&gt; start on 1st Aug_x000a_&gt; end at month end_x000a_&gt; maximum 16 months of actuals" sqref="CN7" xr:uid="{7B7C2CFE-D840-4BB3-9A4E-0E1BB685C7BB}"/>
    <dataValidation allowBlank="1" showInputMessage="1" promptTitle="Mid Year Merger Date" prompt="This checks whether the date of mid year merger is during the actuals period." sqref="CL7" xr:uid="{D4CD26C6-0B09-438C-8DB7-0B0E77A19CFB}"/>
    <dataValidation allowBlank="1" showInputMessage="1" promptTitle="Financial Health Self-Assessment" prompt="To be filled in on the &quot;Financial Health&quot; sheet." sqref="B36 B40 B44" xr:uid="{4687FD2B-E208-4EAA-AA8C-88723788DE87}"/>
    <dataValidation type="date" operator="greaterThan" allowBlank="1" showInputMessage="1" showErrorMessage="1" error="Please enter your date in dd/mm/yyyy or dd-mon-yy format." sqref="E19 E21 E50 E65 E71" xr:uid="{606A2357-5C97-4653-BC5F-3394C9A1E9B3}">
      <formula1>18264</formula1>
    </dataValidation>
    <dataValidation type="list" allowBlank="1" showInputMessage="1" showErrorMessage="1" sqref="E62" xr:uid="{2AF41242-FE7D-4149-ADFC-C7E394BFF895}">
      <formula1>"Yes, No, N/A"</formula1>
    </dataValidation>
    <dataValidation operator="greaterThan" allowBlank="1" showInputMessage="1" showErrorMessage="1" error="Please enter your date in dd/mm/yyyy or dd-mon-yy format." sqref="E72" xr:uid="{B87B3E47-F707-4CF1-8036-0EABBA166AB7}"/>
    <dataValidation allowBlank="1" showInputMessage="1" prompt=" The term “Governance Professional” is used to reflect the terminology set out in the accountability agreement. In practice, this refers to the Clerk to the Corporation. " sqref="B80" xr:uid="{D0E7C6DA-AAD9-42C0-B363-BF444E7E901B}"/>
    <dataValidation allowBlank="1" showInputMessage="1" prompt="This information should relate to the most senior member of staff with responsibility for finance." sqref="B83" xr:uid="{6B882272-FDD1-445D-80E1-EA1ABADCEF84}"/>
  </dataValidations>
  <hyperlinks>
    <hyperlink ref="D86:G86" r:id="rId1" display="https://onlinecollections.des.fasst.org.uk/fastform/college-financial-data" xr:uid="{AD251FBD-BF1A-455A-A279-CF4CE043F757}"/>
  </hyperlinks>
  <printOptions headings="1"/>
  <pageMargins left="0.70866141732283472" right="0.70866141732283472" top="0.74803149606299213" bottom="0.74803149606299213" header="0.31496062992125984" footer="0.31496062992125984"/>
  <pageSetup paperSize="9" scale="76" fitToWidth="0" fitToHeight="0" orientation="landscape" r:id="rId2"/>
  <headerFooter>
    <oddHeader>&amp;C&amp;"Aptos"&amp;11&amp;K000000 OFFICIAL - FOR PUBLIC RELEASE&amp;1#_x000D_</oddHeader>
    <oddFooter>&amp;C_x000D_&amp;1#&amp;"Aptos"&amp;11&amp;K000000 OFFICIAL - FOR PUBLIC RELEASE</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F56BDE-13A7-45BB-A2DE-878C24E4FA1B}">
          <x14:formula1>
            <xm:f>'List of Colleges'!$A$2:$A$212</xm:f>
          </x14:formula1>
          <xm:sqref>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953D-0339-4C4A-AB8A-9F869ED37CC6}">
  <sheetPr codeName="Sheet17">
    <tabColor theme="7" tint="0.59999389629810485"/>
    <outlinePr summaryBelow="0" summaryRight="0"/>
    <pageSetUpPr autoPageBreaks="0"/>
  </sheetPr>
  <dimension ref="A1:EX25"/>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48.453125" customWidth="1" collapsed="1"/>
    <col min="5" max="5" width="19.453125" style="1" hidden="1" customWidth="1" outlineLevel="1"/>
    <col min="6" max="6" width="1.54296875" customWidth="1"/>
    <col min="7" max="7" width="6.81640625" bestFit="1" customWidth="1"/>
    <col min="8" max="8" width="2" bestFit="1" customWidth="1"/>
    <col min="9" max="9" width="3" bestFit="1" customWidth="1" collapsed="1"/>
    <col min="10" max="10" width="8.81640625" hidden="1" customWidth="1" outlineLevel="1" collapsed="1"/>
    <col min="11" max="18" width="8.81640625" hidden="1" customWidth="1" outlineLevel="1"/>
    <col min="19" max="19" width="3" hidden="1" customWidth="1" outlineLevel="1"/>
    <col min="20" max="20" width="11.54296875" hidden="1" customWidth="1" outlineLevel="1"/>
    <col min="21" max="21" width="9.54296875" hidden="1" customWidth="1" outlineLevel="1"/>
    <col min="22" max="24" width="9.453125" bestFit="1" customWidth="1"/>
    <col min="25" max="25" width="9.453125" bestFit="1" customWidth="1" collapsed="1"/>
    <col min="26" max="26" width="2" hidden="1" customWidth="1" outlineLevel="1"/>
    <col min="27" max="27" width="18" hidden="1" customWidth="1" outlineLevel="1"/>
    <col min="28" max="28" width="9.453125" hidden="1" customWidth="1" outlineLevel="1"/>
    <col min="29" max="29" width="9.1796875" hidden="1" customWidth="1" outlineLevel="1"/>
    <col min="30" max="30" width="9.81640625" hidden="1" customWidth="1" outlineLevel="1"/>
    <col min="31" max="31" width="9.453125" hidden="1" customWidth="1" outlineLevel="1"/>
    <col min="32" max="32" width="9.1796875" hidden="1" customWidth="1" outlineLevel="1"/>
    <col min="33" max="33" width="9.453125" hidden="1" customWidth="1" outlineLevel="1"/>
    <col min="34" max="34" width="9.81640625" hidden="1" customWidth="1" outlineLevel="1"/>
    <col min="35" max="35" width="9.453125" hidden="1" customWidth="1" outlineLevel="1"/>
    <col min="36" max="36" width="10.1796875" hidden="1" customWidth="1" outlineLevel="1"/>
    <col min="37" max="37" width="9.1796875" hidden="1" customWidth="1" outlineLevel="1"/>
    <col min="38" max="38" width="8.54296875" hidden="1" customWidth="1" outlineLevel="1"/>
    <col min="39" max="39" width="9.54296875" hidden="1" customWidth="1" outlineLevel="1"/>
    <col min="40" max="40" width="9.453125" hidden="1" customWidth="1" outlineLevel="1"/>
    <col min="41" max="41" width="9.1796875" hidden="1" customWidth="1" outlineLevel="1"/>
    <col min="42" max="42" width="9.81640625" hidden="1" customWidth="1" outlineLevel="1"/>
    <col min="43" max="43" width="9.453125" hidden="1" customWidth="1" outlineLevel="1"/>
    <col min="44" max="44" width="9.1796875" hidden="1" customWidth="1" outlineLevel="1"/>
    <col min="45" max="45" width="9.453125" hidden="1" customWidth="1" outlineLevel="1"/>
    <col min="46" max="46" width="9.81640625" hidden="1" customWidth="1" outlineLevel="1"/>
    <col min="47" max="47" width="9.453125" hidden="1" customWidth="1" outlineLevel="1"/>
    <col min="48" max="48" width="10.1796875" hidden="1" customWidth="1" outlineLevel="1"/>
    <col min="49" max="49" width="9.1796875" hidden="1" customWidth="1" outlineLevel="1"/>
    <col min="50" max="50" width="8.54296875" hidden="1" customWidth="1" outlineLevel="1"/>
    <col min="51" max="51" width="9.54296875" hidden="1" customWidth="1" outlineLevel="1"/>
    <col min="52" max="52" width="9.453125" hidden="1" customWidth="1" outlineLevel="1"/>
    <col min="53" max="53" width="9.1796875" hidden="1" customWidth="1" outlineLevel="1"/>
    <col min="54" max="54" width="9.81640625" hidden="1" customWidth="1" outlineLevel="1"/>
    <col min="55" max="55" width="9.453125" hidden="1" customWidth="1" outlineLevel="1"/>
    <col min="56" max="56" width="9.1796875" hidden="1" customWidth="1" outlineLevel="1"/>
    <col min="57" max="57" width="9.453125" hidden="1" customWidth="1" outlineLevel="1"/>
    <col min="58" max="58" width="9.81640625" hidden="1" customWidth="1" outlineLevel="1"/>
    <col min="59" max="59" width="9.453125" hidden="1" customWidth="1" outlineLevel="1"/>
    <col min="60" max="60" width="10.1796875" hidden="1" customWidth="1" outlineLevel="1"/>
    <col min="61" max="61" width="9.1796875" hidden="1" customWidth="1" outlineLevel="1"/>
    <col min="62" max="62" width="8.54296875" hidden="1" customWidth="1" outlineLevel="1"/>
    <col min="63" max="63" width="9.54296875" hidden="1" customWidth="1" outlineLevel="1"/>
    <col min="64" max="64" width="9.453125" hidden="1" customWidth="1" outlineLevel="1"/>
    <col min="65" max="65" width="9.1796875" hidden="1" customWidth="1" outlineLevel="1"/>
    <col min="66" max="66" width="9.81640625" hidden="1" customWidth="1" outlineLevel="1"/>
    <col min="67" max="67" width="9.453125" hidden="1" customWidth="1" outlineLevel="1"/>
    <col min="68" max="68" width="9.1796875" hidden="1" customWidth="1" outlineLevel="1"/>
    <col min="69" max="69" width="9.453125" hidden="1" customWidth="1" outlineLevel="1"/>
    <col min="70" max="70" width="9.81640625" hidden="1" customWidth="1" outlineLevel="1"/>
    <col min="71" max="71" width="9.453125" hidden="1" customWidth="1" outlineLevel="1"/>
    <col min="72" max="72" width="10.1796875" hidden="1" customWidth="1" outlineLevel="1"/>
    <col min="73" max="73" width="9.1796875" hidden="1" customWidth="1" outlineLevel="1"/>
    <col min="74" max="74" width="8.54296875" hidden="1" customWidth="1" outlineLevel="1"/>
    <col min="75" max="75" width="2" hidden="1" customWidth="1" outlineLevel="1"/>
    <col min="76" max="76" width="9.54296875" hidden="1" customWidth="1" outlineLevel="1"/>
    <col min="77" max="77" width="10.54296875" hidden="1" customWidth="1" outlineLevel="1"/>
    <col min="78" max="87" width="9.54296875" hidden="1" customWidth="1" outlineLevel="1"/>
    <col min="88" max="88" width="2" bestFit="1" customWidth="1"/>
    <col min="89" max="89" width="3.453125" customWidth="1"/>
    <col min="90" max="90" width="13.1796875" customWidth="1"/>
    <col min="91" max="91" width="2.81640625" customWidth="1"/>
    <col min="92" max="92" width="18.26953125" customWidth="1"/>
    <col min="153" max="153" width="8.81640625" collapsed="1"/>
    <col min="154" max="154" width="35" hidden="1" customWidth="1" outlineLevel="1"/>
  </cols>
  <sheetData>
    <row r="1" spans="1:154" x14ac:dyDescent="0.35">
      <c r="A1" s="7">
        <f ca="1">ToC!A1</f>
        <v>0</v>
      </c>
      <c r="B1" s="13" t="s">
        <v>269</v>
      </c>
      <c r="C1" s="13"/>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63"/>
      <c r="CL1" s="5" t="s">
        <v>175</v>
      </c>
      <c r="CM1" s="663"/>
      <c r="CN1" s="5" t="s">
        <v>270</v>
      </c>
      <c r="EX1" s="5" t="s">
        <v>177</v>
      </c>
    </row>
    <row r="2" spans="1:154" ht="14.65" customHeight="1" x14ac:dyDescent="0.35">
      <c r="A2" s="220" cm="1">
        <f t="array" aca="1" ref="A2" ca="1">HYPERLINK(CONCATENATE("#",CELL("address",IF(SUM(A$7:A$25)=0,$A$2,INDEX(A$7:A$25,MATCH(1,A$7:A$25,0))))),SUM(A$7:A$25))</f>
        <v>0</v>
      </c>
      <c r="B2" s="67" t="str" cm="1">
        <f t="array" aca="1" ref="B2" ca="1">HYPERLINK(CONCATENATE("#",CELL("address",Guide!$C$97)),Guide!$B$1)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M2" s="663"/>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63"/>
      <c r="CL3" s="665" t="s">
        <v>271</v>
      </c>
      <c r="CM3" s="663"/>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63"/>
      <c r="CL4" s="665"/>
      <c r="CM4" s="663"/>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63"/>
      <c r="CL5" s="665"/>
      <c r="CM5" s="663"/>
    </row>
    <row r="6" spans="1:154" x14ac:dyDescent="0.35">
      <c r="A6" s="67" t="str" cm="1">
        <f t="array" aca="1" ref="A6" ca="1">HYPERLINK(CONCATENATE("#",CELL("address",CK7)),"Check")</f>
        <v>Check</v>
      </c>
      <c r="B6" s="13"/>
      <c r="C6" s="13" t="s">
        <v>183</v>
      </c>
      <c r="D6" s="23" t="s">
        <v>19</v>
      </c>
      <c r="E6" s="13"/>
      <c r="F6" s="13"/>
      <c r="G6" s="13" t="s">
        <v>272</v>
      </c>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63"/>
      <c r="CL6" s="665"/>
      <c r="CM6" s="663"/>
    </row>
    <row r="7" spans="1:154" x14ac:dyDescent="0.35">
      <c r="B7" s="97"/>
      <c r="D7" s="1"/>
      <c r="E7"/>
      <c r="BY7" s="6"/>
      <c r="CK7" s="35"/>
      <c r="CL7" s="85" t="s">
        <v>122</v>
      </c>
      <c r="CM7" s="35"/>
      <c r="CN7" s="85" t="s">
        <v>122</v>
      </c>
    </row>
    <row r="8" spans="1:154" ht="6.75" customHeight="1" x14ac:dyDescent="0.35">
      <c r="D8" s="1"/>
      <c r="E8"/>
      <c r="BY8" s="6"/>
      <c r="CK8" s="35"/>
      <c r="CM8" s="35"/>
      <c r="EX8" s="10" t="str">
        <f t="shared" ref="EX8:EX25" si="0">IF($C8="","",$D8)</f>
        <v/>
      </c>
    </row>
    <row r="9" spans="1:154" x14ac:dyDescent="0.35">
      <c r="A9" s="34"/>
      <c r="B9" s="34"/>
      <c r="C9" s="34"/>
      <c r="D9" s="34" t="s">
        <v>273</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5"/>
      <c r="CM9" s="35"/>
      <c r="EX9" s="10" t="str">
        <f t="shared" si="0"/>
        <v/>
      </c>
    </row>
    <row r="10" spans="1:154" x14ac:dyDescent="0.35">
      <c r="C10" s="211"/>
      <c r="D10" s="1"/>
      <c r="E10"/>
      <c r="BY10" s="6"/>
      <c r="CK10" s="35"/>
      <c r="CM10" s="35"/>
      <c r="EX10" s="10" t="str">
        <f t="shared" si="0"/>
        <v/>
      </c>
    </row>
    <row r="11" spans="1:154" x14ac:dyDescent="0.35">
      <c r="B11" s="5"/>
      <c r="C11" s="211"/>
      <c r="D11" s="24" t="s">
        <v>274</v>
      </c>
      <c r="E11" s="5"/>
      <c r="CK11" s="11"/>
      <c r="CM11" s="35"/>
      <c r="EX11" s="10" t="str">
        <f t="shared" si="0"/>
        <v/>
      </c>
    </row>
    <row r="12" spans="1:154" x14ac:dyDescent="0.35">
      <c r="A12" s="220" cm="1">
        <f t="array" aca="1" ref="A12" ca="1">HYPERLINK(CONCATENATE("#",CELL("address",IF(MAX($CK12:$CN12)=0,A12,INDEX($CK12:$CN12,MATCH(1,$CK12:$CN12,0))))),MAX($CK12:$CN12))</f>
        <v>0</v>
      </c>
      <c r="B12" s="9"/>
      <c r="C12" s="211" t="s">
        <v>275</v>
      </c>
      <c r="D12" s="1" t="s">
        <v>276</v>
      </c>
      <c r="E12"/>
      <c r="G12" t="s">
        <v>277</v>
      </c>
      <c r="V12" s="109"/>
      <c r="W12" s="114"/>
      <c r="X12" s="131"/>
      <c r="Y12" s="131"/>
      <c r="CK12" s="128"/>
      <c r="CL12" s="7">
        <f>IF(MIN($V12:$CI12)&lt;0, 1,0)</f>
        <v>0</v>
      </c>
      <c r="CM12" s="35"/>
      <c r="CN12" s="7" cm="1">
        <f t="array" ref="CN12">SUMPRODUCT(--NOT(ISNUMBER(V12:Y12)),--NOT(ISBLANK(V12:Y12)))</f>
        <v>0</v>
      </c>
      <c r="EX12" s="10" t="str">
        <f t="shared" si="0"/>
        <v>16-19 Allocated Students (Lagged student number)</v>
      </c>
    </row>
    <row r="13" spans="1:154" x14ac:dyDescent="0.35">
      <c r="A13" s="220" cm="1">
        <f t="array" aca="1" ref="A13" ca="1">HYPERLINK(CONCATENATE("#",CELL("address",IF(MAX($CK13:$CN13)=0,A13,INDEX($CK13:$CN13,MATCH(1,$CK13:$CN13,0))))),MAX($CK13:$CN13))</f>
        <v>0</v>
      </c>
      <c r="C13" s="211" t="s">
        <v>278</v>
      </c>
      <c r="D13" s="1" t="s">
        <v>279</v>
      </c>
      <c r="E13"/>
      <c r="G13" t="s">
        <v>277</v>
      </c>
      <c r="V13" s="109"/>
      <c r="W13" s="114"/>
      <c r="X13" s="114"/>
      <c r="Y13" s="114"/>
      <c r="CK13" s="11"/>
      <c r="CL13" s="7">
        <f>IF(MIN($V13:$CI13)&lt;0, 1,0)</f>
        <v>0</v>
      </c>
      <c r="CM13" s="35"/>
      <c r="CN13" s="7" cm="1">
        <f t="array" ref="CN13">SUMPRODUCT(--NOT(ISNUMBER(V13:Y13)),--NOT(ISBLANK(V13:Y13)))</f>
        <v>0</v>
      </c>
      <c r="EX13" s="10" t="str">
        <f t="shared" si="0"/>
        <v>16-19 Forecast Student Outturn</v>
      </c>
    </row>
    <row r="14" spans="1:154" x14ac:dyDescent="0.35">
      <c r="C14" s="211"/>
      <c r="D14" s="1"/>
      <c r="E14"/>
      <c r="BY14" s="6"/>
      <c r="CK14" s="35"/>
      <c r="CM14" s="35"/>
      <c r="EX14" s="10" t="str">
        <f t="shared" si="0"/>
        <v/>
      </c>
    </row>
    <row r="15" spans="1:154" x14ac:dyDescent="0.35">
      <c r="B15" s="5"/>
      <c r="C15" s="232"/>
      <c r="D15" s="5" t="s">
        <v>280</v>
      </c>
      <c r="E15"/>
      <c r="CK15" s="11"/>
      <c r="CM15" s="35"/>
      <c r="EX15" s="10" t="str">
        <f t="shared" si="0"/>
        <v/>
      </c>
    </row>
    <row r="16" spans="1:154" x14ac:dyDescent="0.35">
      <c r="A16" s="220" cm="1">
        <f t="array" aca="1" ref="A16" ca="1">HYPERLINK(CONCATENATE("#",CELL("address",IF(MAX($CK16:$CN16)=0,A16,INDEX($CK16:$CN16,MATCH(1,$CK16:$CN16,0))))),MAX($CK16:$CN16))</f>
        <v>0</v>
      </c>
      <c r="C16" s="211" t="s">
        <v>281</v>
      </c>
      <c r="D16" t="s">
        <v>282</v>
      </c>
      <c r="E16"/>
      <c r="G16" t="s">
        <v>277</v>
      </c>
      <c r="V16" s="109"/>
      <c r="W16" s="114"/>
      <c r="X16" s="114"/>
      <c r="Y16" s="114"/>
      <c r="CK16" s="11"/>
      <c r="CL16" s="7">
        <f>IF(MIN($V16:$Y16)&lt;0, 1,0)</f>
        <v>0</v>
      </c>
      <c r="CM16" s="35"/>
      <c r="CN16" s="7" cm="1">
        <f t="array" ref="CN16">SUMPRODUCT(--NOT(ISNUMBER(V16:Y16)),--NOT(ISBLANK(V16:Y16)))</f>
        <v>0</v>
      </c>
      <c r="EX16" s="10" t="str">
        <f t="shared" si="0"/>
        <v>16-18 Apprenticeship learners</v>
      </c>
    </row>
    <row r="17" spans="1:154" s="5" customFormat="1" x14ac:dyDescent="0.35">
      <c r="A17" s="220" cm="1">
        <f t="array" aca="1" ref="A17" ca="1">HYPERLINK(CONCATENATE("#",CELL("address",IF(MAX($CK17:$CN17)=0,A17,INDEX($CK17:$CN17,MATCH(1,$CK17:$CN17,0))))),MAX($CK17:$CN17))</f>
        <v>0</v>
      </c>
      <c r="B17"/>
      <c r="C17" s="211" t="s">
        <v>283</v>
      </c>
      <c r="D17" t="s">
        <v>284</v>
      </c>
      <c r="E17"/>
      <c r="F17"/>
      <c r="G17" t="s">
        <v>277</v>
      </c>
      <c r="H17"/>
      <c r="I17"/>
      <c r="J17"/>
      <c r="K17"/>
      <c r="L17"/>
      <c r="M17"/>
      <c r="N17"/>
      <c r="O17"/>
      <c r="P17"/>
      <c r="Q17"/>
      <c r="R17"/>
      <c r="S17"/>
      <c r="T17"/>
      <c r="U17"/>
      <c r="V17" s="109"/>
      <c r="W17" s="114"/>
      <c r="X17" s="114"/>
      <c r="Y17" s="11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s="11"/>
      <c r="CL17" s="7">
        <f>IF(MIN($V17:$CI17)&lt;0, 1,0)</f>
        <v>0</v>
      </c>
      <c r="CM17" s="35"/>
      <c r="CN17" s="7" cm="1">
        <f t="array" ref="CN17">SUMPRODUCT(--NOT(ISNUMBER(V17:Y17)),--NOT(ISBLANK(V17:Y17)))</f>
        <v>0</v>
      </c>
      <c r="EX17" s="10" t="str">
        <f t="shared" si="0"/>
        <v>19+ Apprenticeship learners</v>
      </c>
    </row>
    <row r="18" spans="1:154" x14ac:dyDescent="0.35">
      <c r="C18" s="211" t="s">
        <v>285</v>
      </c>
      <c r="D18" s="5" t="s">
        <v>286</v>
      </c>
      <c r="E18"/>
      <c r="G18" s="5" t="s">
        <v>277</v>
      </c>
      <c r="V18" s="99">
        <f>SUM(V16:V17)</f>
        <v>0</v>
      </c>
      <c r="W18" s="99">
        <f>SUM(W16:W17)</f>
        <v>0</v>
      </c>
      <c r="X18" s="99">
        <f>SUM(X16:X17)</f>
        <v>0</v>
      </c>
      <c r="Y18" s="99">
        <f>SUM(Y16:Y17)</f>
        <v>0</v>
      </c>
      <c r="CK18" s="11"/>
      <c r="CM18" s="35"/>
      <c r="EX18" s="10" t="str">
        <f t="shared" si="0"/>
        <v>Total Apprenticeship learners</v>
      </c>
    </row>
    <row r="19" spans="1:154" x14ac:dyDescent="0.35">
      <c r="C19" s="211"/>
      <c r="D19" s="1"/>
      <c r="E19"/>
      <c r="BY19" s="6"/>
      <c r="CK19" s="35"/>
      <c r="CM19" s="35"/>
      <c r="EX19" s="10" t="str">
        <f t="shared" si="0"/>
        <v/>
      </c>
    </row>
    <row r="20" spans="1:154" x14ac:dyDescent="0.35">
      <c r="C20" s="211"/>
      <c r="D20" s="5" t="s">
        <v>287</v>
      </c>
      <c r="E20"/>
      <c r="CK20" s="11"/>
      <c r="CM20" s="35"/>
      <c r="EX20" s="10" t="str">
        <f t="shared" si="0"/>
        <v/>
      </c>
    </row>
    <row r="21" spans="1:154" x14ac:dyDescent="0.35">
      <c r="A21" s="220" cm="1">
        <f t="array" aca="1" ref="A21" ca="1">HYPERLINK(CONCATENATE("#",CELL("address",IF(MAX($CK21:$CN21)=0,A21,INDEX($CK21:$CN21,MATCH(1,$CK21:$CN21,0))))),MAX($CK21:$CN21))</f>
        <v>0</v>
      </c>
      <c r="C21" s="211" t="s">
        <v>288</v>
      </c>
      <c r="D21" t="s">
        <v>289</v>
      </c>
      <c r="E21"/>
      <c r="G21" t="s">
        <v>277</v>
      </c>
      <c r="V21" s="109"/>
      <c r="W21" s="114"/>
      <c r="X21" s="114"/>
      <c r="Y21" s="114"/>
      <c r="CK21" s="11"/>
      <c r="CL21" s="7">
        <f>IF(MIN($V21:$CI21)&lt;0, 1,0)</f>
        <v>0</v>
      </c>
      <c r="CM21" s="35"/>
      <c r="CN21" s="7" cm="1">
        <f t="array" ref="CN21">SUMPRODUCT(--NOT(ISNUMBER(V21:Y21)),--NOT(ISBLANK(V21:Y21)))</f>
        <v>0</v>
      </c>
      <c r="EX21" s="10" t="str">
        <f t="shared" si="0"/>
        <v>Teaching staff FTE</v>
      </c>
    </row>
    <row r="22" spans="1:154" x14ac:dyDescent="0.35">
      <c r="A22" s="220" cm="1">
        <f t="array" aca="1" ref="A22" ca="1">HYPERLINK(CONCATENATE("#",CELL("address",IF(MAX($CK22:$CN22)=0,A22,INDEX($CK22:$CN22,MATCH(1,$CK22:$CN22,0))))),MAX($CK22:$CN22))</f>
        <v>0</v>
      </c>
      <c r="C22" s="211" t="s">
        <v>290</v>
      </c>
      <c r="D22" t="s">
        <v>291</v>
      </c>
      <c r="E22"/>
      <c r="G22" t="s">
        <v>277</v>
      </c>
      <c r="V22" s="109"/>
      <c r="W22" s="114"/>
      <c r="X22" s="114"/>
      <c r="Y22" s="114"/>
      <c r="CK22" s="11"/>
      <c r="CL22" s="7">
        <f>IF(MIN($V22:$CI22)&lt;0, 1,0)</f>
        <v>0</v>
      </c>
      <c r="CM22" s="35"/>
      <c r="CN22" s="7" cm="1">
        <f t="array" ref="CN22">SUMPRODUCT(--NOT(ISNUMBER(V22:Y22)),--NOT(ISBLANK(V22:Y22)))</f>
        <v>0</v>
      </c>
      <c r="EX22" s="10" t="str">
        <f t="shared" si="0"/>
        <v>Non-teaching staff FTE</v>
      </c>
    </row>
    <row r="23" spans="1:154" x14ac:dyDescent="0.35">
      <c r="C23" s="211" t="s">
        <v>292</v>
      </c>
      <c r="D23" s="5" t="s">
        <v>293</v>
      </c>
      <c r="E23"/>
      <c r="G23" s="5" t="s">
        <v>277</v>
      </c>
      <c r="V23" s="99">
        <f>SUM(V21:V22)</f>
        <v>0</v>
      </c>
      <c r="W23" s="99">
        <f>SUM(W21:W22)</f>
        <v>0</v>
      </c>
      <c r="X23" s="99">
        <f>SUM(X21:X22)</f>
        <v>0</v>
      </c>
      <c r="Y23" s="99">
        <f>SUM(Y21:Y22)</f>
        <v>0</v>
      </c>
      <c r="CK23" s="11"/>
      <c r="CM23" s="35"/>
      <c r="EX23" s="10" t="str">
        <f t="shared" si="0"/>
        <v>Total Staff FTE</v>
      </c>
    </row>
    <row r="24" spans="1:154" ht="6.75" customHeight="1" x14ac:dyDescent="0.35">
      <c r="C24" s="210"/>
      <c r="D24" s="1"/>
      <c r="E24"/>
      <c r="BY24" s="6"/>
      <c r="CK24" s="35"/>
      <c r="CM24" s="35"/>
      <c r="EX24" s="10" t="str">
        <f t="shared" si="0"/>
        <v/>
      </c>
    </row>
    <row r="25" spans="1:154" x14ac:dyDescent="0.35">
      <c r="A25" s="11" t="s">
        <v>16</v>
      </c>
      <c r="B25" s="11" t="s">
        <v>16</v>
      </c>
      <c r="C25" s="11" t="s">
        <v>16</v>
      </c>
      <c r="D25" s="11" t="s">
        <v>16</v>
      </c>
      <c r="E25" s="25" t="s">
        <v>16</v>
      </c>
      <c r="F25" s="11" t="s">
        <v>16</v>
      </c>
      <c r="G25" s="11" t="s">
        <v>16</v>
      </c>
      <c r="H25" s="11" t="s">
        <v>16</v>
      </c>
      <c r="I25" s="11" t="s">
        <v>16</v>
      </c>
      <c r="J25" s="11" t="s">
        <v>16</v>
      </c>
      <c r="K25" s="11" t="s">
        <v>16</v>
      </c>
      <c r="L25" s="11" t="s">
        <v>16</v>
      </c>
      <c r="M25" s="11" t="s">
        <v>16</v>
      </c>
      <c r="N25" s="11" t="s">
        <v>16</v>
      </c>
      <c r="O25" s="11" t="s">
        <v>16</v>
      </c>
      <c r="P25" s="11" t="s">
        <v>16</v>
      </c>
      <c r="Q25" s="11" t="s">
        <v>16</v>
      </c>
      <c r="R25" s="11" t="s">
        <v>16</v>
      </c>
      <c r="S25" s="11"/>
      <c r="T25" s="11" t="s">
        <v>16</v>
      </c>
      <c r="U25" s="11" t="s">
        <v>16</v>
      </c>
      <c r="V25" s="11" t="s">
        <v>16</v>
      </c>
      <c r="W25" s="11" t="s">
        <v>16</v>
      </c>
      <c r="X25" s="11"/>
      <c r="Y25" s="11"/>
      <c r="Z25" s="11" t="s">
        <v>16</v>
      </c>
      <c r="AA25" s="11" t="s">
        <v>16</v>
      </c>
      <c r="AB25" s="11" t="s">
        <v>16</v>
      </c>
      <c r="AC25" s="11" t="s">
        <v>16</v>
      </c>
      <c r="AD25" s="11" t="s">
        <v>16</v>
      </c>
      <c r="AE25" s="11" t="s">
        <v>16</v>
      </c>
      <c r="AF25" s="11" t="s">
        <v>16</v>
      </c>
      <c r="AG25" s="11" t="s">
        <v>16</v>
      </c>
      <c r="AH25" s="11" t="s">
        <v>16</v>
      </c>
      <c r="AI25" s="11" t="s">
        <v>16</v>
      </c>
      <c r="AJ25" s="11" t="s">
        <v>16</v>
      </c>
      <c r="AK25" s="11" t="s">
        <v>16</v>
      </c>
      <c r="AL25" s="11" t="s">
        <v>16</v>
      </c>
      <c r="AM25" s="11" t="s">
        <v>16</v>
      </c>
      <c r="AN25" s="11" t="s">
        <v>16</v>
      </c>
      <c r="AO25" s="11" t="s">
        <v>16</v>
      </c>
      <c r="AP25" s="11" t="s">
        <v>16</v>
      </c>
      <c r="AQ25" s="11" t="s">
        <v>16</v>
      </c>
      <c r="AR25" s="11" t="s">
        <v>16</v>
      </c>
      <c r="AS25" s="11" t="s">
        <v>16</v>
      </c>
      <c r="AT25" s="11" t="s">
        <v>16</v>
      </c>
      <c r="AU25" s="11" t="s">
        <v>16</v>
      </c>
      <c r="AV25" s="11" t="s">
        <v>16</v>
      </c>
      <c r="AW25" s="11" t="s">
        <v>16</v>
      </c>
      <c r="AX25" s="11" t="s">
        <v>16</v>
      </c>
      <c r="AY25" s="11" t="s">
        <v>16</v>
      </c>
      <c r="AZ25" s="11" t="s">
        <v>16</v>
      </c>
      <c r="BA25" s="11" t="s">
        <v>16</v>
      </c>
      <c r="BB25" s="11" t="s">
        <v>16</v>
      </c>
      <c r="BC25" s="11" t="s">
        <v>16</v>
      </c>
      <c r="BD25" s="11" t="s">
        <v>16</v>
      </c>
      <c r="BE25" s="11" t="s">
        <v>16</v>
      </c>
      <c r="BF25" s="11" t="s">
        <v>16</v>
      </c>
      <c r="BG25" s="11" t="s">
        <v>16</v>
      </c>
      <c r="BH25" s="11" t="s">
        <v>16</v>
      </c>
      <c r="BI25" s="11" t="s">
        <v>16</v>
      </c>
      <c r="BJ25" s="11" t="s">
        <v>16</v>
      </c>
      <c r="BK25" s="11" t="s">
        <v>16</v>
      </c>
      <c r="BL25" s="11" t="s">
        <v>16</v>
      </c>
      <c r="BM25" s="11" t="s">
        <v>16</v>
      </c>
      <c r="BN25" s="11" t="s">
        <v>16</v>
      </c>
      <c r="BO25" s="11" t="s">
        <v>16</v>
      </c>
      <c r="BP25" s="11" t="s">
        <v>16</v>
      </c>
      <c r="BQ25" s="11" t="s">
        <v>16</v>
      </c>
      <c r="BR25" s="11" t="s">
        <v>16</v>
      </c>
      <c r="BS25" s="11" t="s">
        <v>16</v>
      </c>
      <c r="BT25" s="11" t="s">
        <v>16</v>
      </c>
      <c r="BU25" s="11" t="s">
        <v>16</v>
      </c>
      <c r="BV25" s="11" t="s">
        <v>16</v>
      </c>
      <c r="BW25" s="11" t="s">
        <v>16</v>
      </c>
      <c r="BX25" s="11" t="s">
        <v>16</v>
      </c>
      <c r="BY25" s="11" t="s">
        <v>16</v>
      </c>
      <c r="BZ25" s="11" t="s">
        <v>16</v>
      </c>
      <c r="CA25" s="11" t="s">
        <v>16</v>
      </c>
      <c r="CB25" s="11" t="s">
        <v>16</v>
      </c>
      <c r="CC25" s="11" t="s">
        <v>16</v>
      </c>
      <c r="CD25" s="11" t="s">
        <v>16</v>
      </c>
      <c r="CE25" s="11" t="s">
        <v>16</v>
      </c>
      <c r="CF25" s="11" t="s">
        <v>16</v>
      </c>
      <c r="CG25" s="11" t="s">
        <v>16</v>
      </c>
      <c r="CH25" s="11" t="s">
        <v>16</v>
      </c>
      <c r="CI25" s="11" t="s">
        <v>16</v>
      </c>
      <c r="CJ25" s="11" t="s">
        <v>16</v>
      </c>
      <c r="CK25" s="11" t="s">
        <v>16</v>
      </c>
      <c r="CL25" s="11" t="s">
        <v>16</v>
      </c>
      <c r="CM25" s="11" t="s">
        <v>16</v>
      </c>
      <c r="EX25" s="10" t="str">
        <f t="shared" si="0"/>
        <v>*</v>
      </c>
    </row>
  </sheetData>
  <sheetProtection algorithmName="SHA-512" hashValue="P2L5xI8S+OkjmNzzLBNZgPivdeluLk+IiUvlZKXJWenLHwMcfxAOHvYqPn9XabHSkvOXEFehDMXu05MWjpU/bA==" saltValue="kHH41nFXFVe2/gCn9qkirg==" spinCount="100000" sheet="1" objects="1" scenarios="1"/>
  <mergeCells count="3">
    <mergeCell ref="CK1:CK6"/>
    <mergeCell ref="CM1:CM6"/>
    <mergeCell ref="CL3:CL6"/>
  </mergeCells>
  <conditionalFormatting sqref="A1:A2">
    <cfRule type="cellIs" dxfId="222" priority="25" operator="equal">
      <formula>0</formula>
    </cfRule>
    <cfRule type="cellIs" dxfId="221" priority="26" operator="greaterThan">
      <formula>0</formula>
    </cfRule>
  </conditionalFormatting>
  <conditionalFormatting sqref="A12:A13">
    <cfRule type="cellIs" dxfId="220" priority="27" operator="equal">
      <formula>0</formula>
    </cfRule>
    <cfRule type="cellIs" dxfId="219" priority="28" operator="greaterThan">
      <formula>0</formula>
    </cfRule>
  </conditionalFormatting>
  <conditionalFormatting sqref="A16:A17 J16:U17 Z16:CI17 CL16:CL17 CN16:CN17">
    <cfRule type="cellIs" dxfId="218" priority="3" operator="equal">
      <formula>0</formula>
    </cfRule>
    <cfRule type="cellIs" dxfId="217" priority="4" operator="greaterThan">
      <formula>0</formula>
    </cfRule>
  </conditionalFormatting>
  <conditionalFormatting sqref="A21:A22 J21:U22 Z21:CI22 CL21:CL22 CN21:CN22">
    <cfRule type="cellIs" dxfId="216" priority="1" operator="equal">
      <formula>0</formula>
    </cfRule>
    <cfRule type="cellIs" dxfId="215" priority="2" operator="greaterThan">
      <formula>0</formula>
    </cfRule>
  </conditionalFormatting>
  <conditionalFormatting sqref="CL12:CL13">
    <cfRule type="cellIs" dxfId="213" priority="41" operator="equal">
      <formula>0</formula>
    </cfRule>
    <cfRule type="cellIs" dxfId="212" priority="42" operator="greaterThan">
      <formula>0</formula>
    </cfRule>
  </conditionalFormatting>
  <conditionalFormatting sqref="CN12:CN13">
    <cfRule type="cellIs" dxfId="211" priority="13" operator="equal">
      <formula>0</formula>
    </cfRule>
    <cfRule type="cellIs" dxfId="210" priority="14" operator="greaterThan">
      <formula>0</formula>
    </cfRule>
  </conditionalFormatting>
  <dataValidations count="3">
    <dataValidation allowBlank="1" showInputMessage="1" promptTitle=" Number Sign check" prompt="Checks that the number of learners/staff entered is positive." sqref="CL7" xr:uid="{72BE17DA-7C09-4B79-AFDC-553CDB523A1D}"/>
    <dataValidation allowBlank="1" showInputMessage="1" promptTitle="Input validation check" prompt="Flags where a cell contains invalid characters, such as full stops, dashes and spaces._x000a_" sqref="CN7" xr:uid="{D72E1BA1-3EBB-4E96-BDA3-0809F78F7ADF}"/>
    <dataValidation type="whole" operator="greaterThan" allowBlank="1" showInputMessage="1" showErrorMessage="1" sqref="V12:Y12" xr:uid="{082B29EC-2CDA-410A-A796-DE9BD36A83F8}">
      <formula1>0</formula1>
    </dataValidation>
  </dataValidations>
  <printOptions headings="1"/>
  <pageMargins left="0.70866141732283472" right="0.70866141732283472" top="0.74803149606299213" bottom="0.74803149606299213" header="0.31496062992125984" footer="0.31496062992125984"/>
  <pageSetup paperSize="9" scale="76" fitToWidth="0" fitToHeight="0" orientation="landscape"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18" id="{4C8475E9-D6EE-4578-B49C-3A8F59E71FA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69978E-208B-4504-858F-B499A51D9C41}">
          <x14:formula1>
            <xm:f>'Dash Data'!$D$93:$D$100</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6DAD-1161-423E-A5A7-68D427130F97}">
  <sheetPr codeName="Sheet3">
    <tabColor theme="7" tint="0.59999389629810485"/>
    <outlinePr summaryBelow="0" summaryRight="0"/>
    <pageSetUpPr autoPageBreaks="0"/>
  </sheetPr>
  <dimension ref="A1:EY186"/>
  <sheetViews>
    <sheetView showGridLines="0" zoomScaleNormal="100" workbookViewId="0">
      <pane xSplit="8" ySplit="7" topLeftCell="I8" activePane="bottomRight" state="frozen"/>
      <selection pane="topRight" activeCell="D74" sqref="D74"/>
      <selection pane="bottomLeft" activeCell="D74" sqref="D74"/>
      <selection pane="bottomRight"/>
    </sheetView>
  </sheetViews>
  <sheetFormatPr defaultRowHeight="14.5" outlineLevelCol="1" x14ac:dyDescent="0.35"/>
  <cols>
    <col min="1" max="1" width="7.1796875" bestFit="1" customWidth="1"/>
    <col min="2" max="2" width="9.453125" bestFit="1" customWidth="1"/>
    <col min="3" max="3" width="13.1796875" style="120" customWidth="1"/>
    <col min="4" max="4" width="48.453125" style="57" customWidth="1"/>
    <col min="5" max="5" width="17" customWidth="1" outlineLevel="1"/>
    <col min="6" max="6" width="12.1796875" bestFit="1" customWidth="1"/>
    <col min="7" max="7" width="9.81640625" bestFit="1" customWidth="1" outlineLevel="1"/>
    <col min="8" max="8" width="15" customWidth="1" outlineLevel="1"/>
    <col min="9" max="9" width="2" bestFit="1" customWidth="1" collapsed="1"/>
    <col min="10" max="10" width="2.81640625" hidden="1" customWidth="1" outlineLevel="1"/>
    <col min="11" max="15" width="0.81640625" hidden="1" customWidth="1" outlineLevel="1"/>
    <col min="16" max="16" width="8.81640625" hidden="1" customWidth="1" outlineLevel="1"/>
    <col min="17" max="18" width="11.1796875" hidden="1" customWidth="1" outlineLevel="1"/>
    <col min="19" max="19" width="1.1796875" hidden="1" customWidth="1" outlineLevel="1"/>
    <col min="20" max="21" width="11.1796875" hidden="1" customWidth="1" outlineLevel="1"/>
    <col min="22" max="25" width="9.453125" bestFit="1" customWidth="1"/>
    <col min="26" max="26" width="1.1796875" customWidth="1"/>
    <col min="27" max="27" width="14" customWidth="1"/>
    <col min="28" max="29" width="9.81640625" bestFit="1" customWidth="1"/>
    <col min="30" max="30" width="12.1796875" customWidth="1"/>
    <col min="31" max="33" width="9.81640625" bestFit="1" customWidth="1"/>
    <col min="34" max="34" width="13" customWidth="1"/>
    <col min="35" max="35" width="9.81640625" bestFit="1" customWidth="1"/>
    <col min="36" max="36" width="10.453125" customWidth="1"/>
    <col min="37" max="38" width="9.81640625" bestFit="1" customWidth="1"/>
    <col min="39" max="39" width="11.54296875" customWidth="1"/>
    <col min="40" max="41" width="9.81640625" bestFit="1" customWidth="1"/>
    <col min="42" max="42" width="11.26953125" customWidth="1"/>
    <col min="43" max="45" width="9.81640625" bestFit="1" customWidth="1"/>
    <col min="46" max="46" width="12.26953125" customWidth="1"/>
    <col min="47" max="47" width="9.81640625" bestFit="1" customWidth="1"/>
    <col min="48" max="48" width="12.1796875" customWidth="1"/>
    <col min="49" max="57" width="9.81640625" bestFit="1" customWidth="1"/>
    <col min="58" max="58" width="10.81640625" customWidth="1"/>
    <col min="59" max="59" width="9.81640625" bestFit="1" customWidth="1"/>
    <col min="60" max="60" width="11.54296875" customWidth="1"/>
    <col min="61"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2.81640625" customWidth="1"/>
    <col min="90" max="90" width="13.1796875" style="120" customWidth="1"/>
    <col min="91" max="91" width="2.81640625" customWidth="1"/>
    <col min="92" max="96" width="13.1796875" customWidth="1"/>
    <col min="97" max="97" width="2" bestFit="1" customWidth="1"/>
    <col min="98" max="100" width="9.81640625" customWidth="1"/>
    <col min="101" max="101" width="11.453125" customWidth="1"/>
    <col min="102" max="104" width="12.54296875" customWidth="1"/>
    <col min="105" max="105" width="13.1796875" customWidth="1"/>
    <col min="106" max="106" width="2.81640625" customWidth="1"/>
    <col min="124" max="124" width="2" bestFit="1" customWidth="1"/>
    <col min="126" max="126" width="8.81640625"/>
    <col min="127" max="127" width="2" bestFit="1" customWidth="1"/>
    <col min="128" max="153" width="8.81640625"/>
    <col min="154" max="154" width="8.81640625" collapsed="1"/>
    <col min="155" max="155" width="77.1796875" hidden="1" customWidth="1" outlineLevel="1"/>
  </cols>
  <sheetData>
    <row r="1" spans="1:155" x14ac:dyDescent="0.35">
      <c r="A1" s="7">
        <f ca="1">ToC!A1</f>
        <v>0</v>
      </c>
      <c r="B1" s="13" t="s">
        <v>294</v>
      </c>
      <c r="C1" s="81"/>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107" t="s">
        <v>5</v>
      </c>
      <c r="CM1" s="663"/>
      <c r="CN1" s="5" t="s">
        <v>175</v>
      </c>
      <c r="CO1" s="5"/>
      <c r="CP1" s="5" t="s">
        <v>176</v>
      </c>
      <c r="CS1" s="663"/>
      <c r="CT1" s="5" t="s">
        <v>295</v>
      </c>
      <c r="DT1" s="663"/>
      <c r="DU1" s="5" t="s">
        <v>296</v>
      </c>
      <c r="DW1" s="663"/>
      <c r="EY1" s="5" t="s">
        <v>177</v>
      </c>
    </row>
    <row r="2" spans="1:155" ht="14.5" customHeight="1" x14ac:dyDescent="0.35">
      <c r="A2" s="220" cm="1">
        <f t="array" aca="1" ref="A2" ca="1">HYPERLINK( CONCATENATE("#",CELL("address",IF(SUM(A$7:A$186)=0,$A$2,INDEX(A$7:A$186,MATCH(1,A$7:A$186,0))))),SUM(A$7:A$186))</f>
        <v>0</v>
      </c>
      <c r="B2" s="67" t="str" cm="1">
        <f t="array" aca="1" ref="B2" ca="1">HYPERLINK(CONCATENATE("#",CELL("address",Guide!$C$137)),Guide!$B$1)</f>
        <v>Guide</v>
      </c>
      <c r="C2" s="75"/>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72" cm="1">
        <f t="array" aca="1" ref="CL2" ca="1">HYPERLINK(CONCATENATE("#",CELL("address",IF(SUM(CL$7:CL$186)=0,$CL$2,INDEX(CL$7:CL$186,MATCH(1,CL$7:CL$186,0))))),SUM(CL$7:CL$186))</f>
        <v>0</v>
      </c>
      <c r="CM2" s="663"/>
      <c r="CN2" s="664" t="s">
        <v>297</v>
      </c>
      <c r="CO2" s="664" t="s">
        <v>270</v>
      </c>
      <c r="CP2" s="664" t="s">
        <v>298</v>
      </c>
      <c r="CQ2" s="664" t="s">
        <v>299</v>
      </c>
      <c r="CR2" s="664" t="s">
        <v>300</v>
      </c>
      <c r="CS2" s="663"/>
      <c r="CT2" s="667" t="s">
        <v>301</v>
      </c>
      <c r="CU2" s="668" t="s">
        <v>302</v>
      </c>
      <c r="CV2" s="669" t="s">
        <v>303</v>
      </c>
      <c r="CW2" s="667" t="s">
        <v>304</v>
      </c>
      <c r="CX2" s="668" t="s">
        <v>305</v>
      </c>
      <c r="CY2" s="669" t="s">
        <v>306</v>
      </c>
      <c r="CZ2" s="670" t="s">
        <v>300</v>
      </c>
      <c r="DA2" s="667" t="s">
        <v>307</v>
      </c>
      <c r="DB2" s="273"/>
      <c r="DC2" s="274" t="str">
        <f>V3</f>
        <v>FY2025</v>
      </c>
      <c r="DD2" s="274" t="str">
        <f>W3</f>
        <v>FY2026</v>
      </c>
      <c r="DE2" s="274" t="str">
        <f>X3</f>
        <v>FY2027</v>
      </c>
      <c r="DF2" s="274" t="str">
        <f>Y3</f>
        <v>FY2028</v>
      </c>
      <c r="DG2" s="273"/>
      <c r="DH2" s="274" t="str">
        <f t="shared" ref="DH2:DS2" si="0">BX3</f>
        <v>FY2025</v>
      </c>
      <c r="DI2" s="274" t="str">
        <f t="shared" si="0"/>
        <v>FY2026</v>
      </c>
      <c r="DJ2" s="274" t="str">
        <f t="shared" si="0"/>
        <v>FY2027</v>
      </c>
      <c r="DK2" s="274" t="str">
        <f t="shared" si="0"/>
        <v>FY2028</v>
      </c>
      <c r="DL2" s="274" t="str">
        <f t="shared" si="0"/>
        <v>FY2029</v>
      </c>
      <c r="DM2" s="274" t="str">
        <f t="shared" si="0"/>
        <v>FY2030</v>
      </c>
      <c r="DN2" s="274" t="str">
        <f t="shared" si="0"/>
        <v>FY2031</v>
      </c>
      <c r="DO2" s="274" t="str">
        <f t="shared" si="0"/>
        <v>FY2032</v>
      </c>
      <c r="DP2" s="274" t="str">
        <f t="shared" si="0"/>
        <v>FY2033</v>
      </c>
      <c r="DQ2" s="274" t="str">
        <f t="shared" si="0"/>
        <v>FY2034</v>
      </c>
      <c r="DR2" s="274" t="str">
        <f t="shared" si="0"/>
        <v>FY2035</v>
      </c>
      <c r="DS2" s="274" t="str">
        <f t="shared" si="0"/>
        <v>FY2036</v>
      </c>
      <c r="DT2" s="663"/>
      <c r="DU2" s="664" t="s">
        <v>308</v>
      </c>
      <c r="DV2" s="664" t="s">
        <v>309</v>
      </c>
      <c r="DW2" s="663"/>
    </row>
    <row r="3" spans="1:155" ht="14.65" customHeight="1" x14ac:dyDescent="0.35">
      <c r="A3" s="67" t="str" cm="1">
        <f t="array" aca="1" ref="A3" ca="1">HYPERLINK(CONCATENATE("#",CELL("address",ToC!$A$1)),ToC!$C$1)</f>
        <v>ToC</v>
      </c>
      <c r="B3" s="67" t="str" cm="1">
        <f t="array" aca="1" ref="B3" ca="1">HYPERLINK(CONCATENATE("#",CELL("address",$B$8)),"I&amp;E")</f>
        <v>I&amp;E</v>
      </c>
      <c r="C3" s="13"/>
      <c r="D3" s="60"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N3" s="664"/>
      <c r="CO3" s="664"/>
      <c r="CP3" s="664"/>
      <c r="CQ3" s="664"/>
      <c r="CR3" s="664"/>
      <c r="CS3" s="663"/>
      <c r="CT3" s="667"/>
      <c r="CU3" s="668"/>
      <c r="CV3" s="669"/>
      <c r="CW3" s="667"/>
      <c r="CX3" s="668"/>
      <c r="CY3" s="669"/>
      <c r="CZ3" s="670"/>
      <c r="DA3" s="667"/>
      <c r="DC3" s="666" t="s">
        <v>310</v>
      </c>
      <c r="DD3" s="666" t="s">
        <v>310</v>
      </c>
      <c r="DE3" s="666" t="s">
        <v>310</v>
      </c>
      <c r="DF3" s="666" t="s">
        <v>310</v>
      </c>
      <c r="DH3" s="666" t="s">
        <v>310</v>
      </c>
      <c r="DI3" s="666" t="s">
        <v>310</v>
      </c>
      <c r="DJ3" s="666" t="s">
        <v>310</v>
      </c>
      <c r="DK3" s="666" t="s">
        <v>310</v>
      </c>
      <c r="DL3" s="666" t="s">
        <v>310</v>
      </c>
      <c r="DM3" s="666" t="s">
        <v>310</v>
      </c>
      <c r="DN3" s="666" t="s">
        <v>310</v>
      </c>
      <c r="DO3" s="666" t="s">
        <v>310</v>
      </c>
      <c r="DP3" s="666" t="s">
        <v>310</v>
      </c>
      <c r="DQ3" s="666" t="s">
        <v>310</v>
      </c>
      <c r="DR3" s="666" t="s">
        <v>310</v>
      </c>
      <c r="DS3" s="666" t="s">
        <v>310</v>
      </c>
      <c r="DT3" s="663"/>
      <c r="DU3" s="664"/>
      <c r="DV3" s="664"/>
      <c r="DW3" s="663"/>
    </row>
    <row r="4" spans="1:155" x14ac:dyDescent="0.35">
      <c r="A4" s="13"/>
      <c r="B4" s="67" t="str" cm="1">
        <f t="array" aca="1" ref="B4" ca="1">HYPERLINK(CONCATENATE("#",CELL("address",$D$141)),$D$141)</f>
        <v>Net Operating Income</v>
      </c>
      <c r="C4" s="13"/>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311</v>
      </c>
      <c r="CM4" s="663"/>
      <c r="CN4" s="664"/>
      <c r="CO4" s="664"/>
      <c r="CP4" s="664"/>
      <c r="CQ4" s="664"/>
      <c r="CR4" s="664"/>
      <c r="CS4" s="663"/>
      <c r="CT4" s="667"/>
      <c r="CU4" s="668"/>
      <c r="CV4" s="669"/>
      <c r="CW4" s="667"/>
      <c r="CX4" s="668"/>
      <c r="CY4" s="669"/>
      <c r="CZ4" s="670"/>
      <c r="DA4" s="667"/>
      <c r="DC4" s="666"/>
      <c r="DD4" s="666"/>
      <c r="DE4" s="666"/>
      <c r="DF4" s="666"/>
      <c r="DH4" s="666"/>
      <c r="DI4" s="666"/>
      <c r="DJ4" s="666"/>
      <c r="DK4" s="666"/>
      <c r="DL4" s="666"/>
      <c r="DM4" s="666"/>
      <c r="DN4" s="666"/>
      <c r="DO4" s="666"/>
      <c r="DP4" s="666"/>
      <c r="DQ4" s="666"/>
      <c r="DR4" s="666"/>
      <c r="DS4" s="666"/>
      <c r="DT4" s="663"/>
      <c r="DU4" s="664"/>
      <c r="DV4" s="664"/>
      <c r="DW4" s="663"/>
    </row>
    <row r="5" spans="1:155" x14ac:dyDescent="0.35">
      <c r="A5" s="13"/>
      <c r="B5" s="67" t="str" cm="1">
        <f t="array" aca="1" ref="B5" ca="1">HYPERLINK(CONCATENATE("#",CELL("address",$D$181)),$D$172)</f>
        <v>Education-Specific EBITDA</v>
      </c>
      <c r="C5" s="13"/>
      <c r="D5" s="60"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64"/>
      <c r="CO5" s="664"/>
      <c r="CP5" s="664"/>
      <c r="CQ5" s="664"/>
      <c r="CR5" s="664"/>
      <c r="CS5" s="663"/>
      <c r="CT5" s="667"/>
      <c r="CU5" s="668"/>
      <c r="CV5" s="669"/>
      <c r="CW5" s="667"/>
      <c r="CX5" s="668"/>
      <c r="CY5" s="669"/>
      <c r="CZ5" s="670"/>
      <c r="DA5" s="667"/>
      <c r="DC5" s="666"/>
      <c r="DD5" s="666"/>
      <c r="DE5" s="666"/>
      <c r="DF5" s="666"/>
      <c r="DH5" s="666"/>
      <c r="DI5" s="666"/>
      <c r="DJ5" s="666"/>
      <c r="DK5" s="666"/>
      <c r="DL5" s="666"/>
      <c r="DM5" s="666"/>
      <c r="DN5" s="666"/>
      <c r="DO5" s="666"/>
      <c r="DP5" s="666"/>
      <c r="DQ5" s="666"/>
      <c r="DR5" s="666"/>
      <c r="DS5" s="666"/>
      <c r="DT5" s="663"/>
      <c r="DU5" s="664"/>
      <c r="DV5" s="664"/>
      <c r="DW5" s="663"/>
    </row>
    <row r="6" spans="1:155" x14ac:dyDescent="0.35">
      <c r="A6" s="67" t="str" cm="1">
        <f t="array" aca="1" ref="A6" ca="1">HYPERLINK(CONCATENATE("#",CELL("address",CM7)),"Check")</f>
        <v>Check</v>
      </c>
      <c r="B6" s="13"/>
      <c r="C6" s="13" t="s">
        <v>183</v>
      </c>
      <c r="D6" s="81" t="s">
        <v>19</v>
      </c>
      <c r="E6" s="103" t="s">
        <v>312</v>
      </c>
      <c r="F6" s="103"/>
      <c r="G6" s="13"/>
      <c r="H6" s="13" t="s">
        <v>313</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64"/>
      <c r="CO6" s="664"/>
      <c r="CP6" s="664"/>
      <c r="CQ6" s="664"/>
      <c r="CR6" s="664"/>
      <c r="CS6" s="663"/>
      <c r="CT6" s="667"/>
      <c r="CU6" s="668"/>
      <c r="CV6" s="669"/>
      <c r="CW6" s="667"/>
      <c r="CX6" s="668"/>
      <c r="CY6" s="669"/>
      <c r="CZ6" s="670"/>
      <c r="DA6" s="667"/>
      <c r="DB6" s="262"/>
      <c r="DC6" s="666"/>
      <c r="DD6" s="666"/>
      <c r="DE6" s="666"/>
      <c r="DF6" s="666"/>
      <c r="DG6" s="262"/>
      <c r="DH6" s="666"/>
      <c r="DI6" s="666"/>
      <c r="DJ6" s="666"/>
      <c r="DK6" s="666"/>
      <c r="DL6" s="666"/>
      <c r="DM6" s="666"/>
      <c r="DN6" s="666"/>
      <c r="DO6" s="666"/>
      <c r="DP6" s="666"/>
      <c r="DQ6" s="666"/>
      <c r="DR6" s="666"/>
      <c r="DS6" s="666"/>
      <c r="DT6" s="663"/>
      <c r="DU6" s="664"/>
      <c r="DV6" s="664"/>
      <c r="DW6" s="663"/>
    </row>
    <row r="7" spans="1:155" x14ac:dyDescent="0.35">
      <c r="A7" s="220">
        <f>MAX(AH7:AI7)</f>
        <v>0</v>
      </c>
      <c r="B7" s="97" t="s">
        <v>184</v>
      </c>
      <c r="E7" s="57"/>
      <c r="F7" s="57"/>
      <c r="G7" s="57"/>
      <c r="H7" s="9"/>
      <c r="AF7" s="609"/>
      <c r="AG7" s="609"/>
      <c r="AH7" s="609" cm="1">
        <f t="array" ref="AH7">IF(SUM(ABS(AH11:AH178),'Cover Sheet'!$E$29)=0,1,0)</f>
        <v>0</v>
      </c>
      <c r="AI7" s="609" cm="1">
        <f t="array" ref="AI7">IF(SUM(ABS(AI11:AI178),'Cover Sheet'!$E$29)=0,1,0)</f>
        <v>0</v>
      </c>
      <c r="BY7" s="6"/>
      <c r="CK7" s="87"/>
      <c r="CL7" s="85" t="s">
        <v>122</v>
      </c>
      <c r="CM7" s="87"/>
      <c r="CN7" s="85" t="s">
        <v>122</v>
      </c>
      <c r="CO7" s="85" t="s">
        <v>122</v>
      </c>
      <c r="CP7" s="85" t="s">
        <v>122</v>
      </c>
      <c r="CQ7" s="85" t="s">
        <v>122</v>
      </c>
      <c r="CR7" s="85" t="s">
        <v>122</v>
      </c>
      <c r="CS7" s="86"/>
      <c r="DT7" s="86"/>
      <c r="DW7" s="86"/>
    </row>
    <row r="8" spans="1:155" x14ac:dyDescent="0.35">
      <c r="A8" s="34"/>
      <c r="B8" s="34"/>
      <c r="C8" s="231"/>
      <c r="D8" s="34" t="s">
        <v>314</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610"/>
      <c r="AG8" s="610"/>
      <c r="AH8" s="610" t="str">
        <f>IF(AH7=1,"i","")</f>
        <v/>
      </c>
      <c r="AI8" s="610"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S8" s="11"/>
      <c r="DT8" s="11"/>
      <c r="DW8" s="11"/>
      <c r="EY8" s="10" t="str">
        <f t="shared" ref="EY8:EY39" si="1">IF($C8="","",$D8)</f>
        <v/>
      </c>
    </row>
    <row r="9" spans="1:155" ht="6.75" customHeight="1" x14ac:dyDescent="0.35">
      <c r="C9" s="211"/>
      <c r="BY9" s="6"/>
      <c r="CK9" s="11"/>
      <c r="CM9" s="11"/>
      <c r="CS9" s="11"/>
      <c r="DT9" s="11"/>
      <c r="DU9">
        <v>0</v>
      </c>
      <c r="DV9">
        <v>0</v>
      </c>
      <c r="DW9" s="11"/>
      <c r="EY9" s="10" t="str">
        <f t="shared" si="1"/>
        <v/>
      </c>
    </row>
    <row r="10" spans="1:155" x14ac:dyDescent="0.35">
      <c r="B10" s="5"/>
      <c r="C10" s="211"/>
      <c r="D10" s="61" t="s">
        <v>315</v>
      </c>
      <c r="E10" s="5"/>
      <c r="I10" s="2"/>
      <c r="J10" s="2"/>
      <c r="K10" s="2"/>
      <c r="L10" s="2"/>
      <c r="M10" s="2"/>
      <c r="N10" s="2"/>
      <c r="O10" s="2"/>
      <c r="P10" s="2"/>
      <c r="Q10" s="2"/>
      <c r="CK10" s="11"/>
      <c r="CM10" s="11"/>
      <c r="CS10" s="11"/>
      <c r="DT10" s="11"/>
      <c r="DU10">
        <v>0</v>
      </c>
      <c r="DV10">
        <v>0</v>
      </c>
      <c r="DW10" s="11"/>
      <c r="EY10" s="10" t="str">
        <f t="shared" si="1"/>
        <v/>
      </c>
    </row>
    <row r="11" spans="1:155" x14ac:dyDescent="0.35">
      <c r="A11" s="220" cm="1">
        <f t="array" aca="1" ref="A11" ca="1">HYPERLINK("#"&amp;IFERROR(CELL("address",IF(MAX($CM11:$CS11)=0,A11,INDEX($CM11:$CS11,MATCH(1,$CM11:$CS11,0)))),CELL("address",$V11:$CI11)),IFERROR(MAX($CM11:$CS11),1))</f>
        <v>0</v>
      </c>
      <c r="C11" s="213" t="str">
        <f>CONCATENATE("M-", 'I&amp;E Annual'!C11)</f>
        <v>M-IE-1a-1a</v>
      </c>
      <c r="D11" s="57" t="s">
        <v>316</v>
      </c>
      <c r="G11" s="8"/>
      <c r="H11" t="s">
        <v>317</v>
      </c>
      <c r="V11" s="109"/>
      <c r="W11" s="133">
        <f t="shared" ref="W11:Y12" si="2" xml:space="preserve"> SUMIFS($AA11:$BJ11, $AA$3:$BJ$3, W$3)</f>
        <v>0</v>
      </c>
      <c r="X11" s="133">
        <f t="shared" si="2"/>
        <v>0</v>
      </c>
      <c r="Y11" s="133">
        <f t="shared" si="2"/>
        <v>0</v>
      </c>
      <c r="AA11" s="114"/>
      <c r="AB11" s="114"/>
      <c r="AC11" s="519"/>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X11" s="10">
        <f t="shared" ref="BX11:CA12" si="3">V11</f>
        <v>0</v>
      </c>
      <c r="BY11" s="10">
        <f t="shared" si="3"/>
        <v>0</v>
      </c>
      <c r="BZ11" s="10">
        <f t="shared" si="3"/>
        <v>0</v>
      </c>
      <c r="CA11" s="10">
        <f t="shared" si="3"/>
        <v>0</v>
      </c>
      <c r="CB11" s="109"/>
      <c r="CC11" s="109"/>
      <c r="CD11" s="109"/>
      <c r="CE11" s="109"/>
      <c r="CF11" s="109"/>
      <c r="CG11" s="109"/>
      <c r="CH11" s="109"/>
      <c r="CI11" s="109"/>
      <c r="CK11" s="11"/>
      <c r="CL11" s="241">
        <f>IF(MIN($V11:$CI11)&lt;0, 1, 0)</f>
        <v>0</v>
      </c>
      <c r="CM11" s="11"/>
      <c r="CO11" s="7" cm="1">
        <f t="array" ref="CO11">SUMPRODUCT(--NOT(ISNUMBER(V11:CI11)),--NOT(ISBLANK(V11:CI11)))</f>
        <v>0</v>
      </c>
      <c r="CP11" s="7">
        <f>IF(SUM($CT11:$CV11)=0, 0, 1)</f>
        <v>0</v>
      </c>
      <c r="CQ11" s="7">
        <f>IF(SUM($CW11:$CY11)=0, 0, 1)</f>
        <v>0</v>
      </c>
      <c r="CR11" s="7">
        <f>IF($CZ11=0, 0, 1)</f>
        <v>0</v>
      </c>
      <c r="CS11" s="11"/>
      <c r="CT11" s="215">
        <f t="shared" ref="CT11:CV14" si="4">ROUND(W11-SUMIFS($AA11:$BJ11, $AA$3:$BJ$3, W$3), rounding)</f>
        <v>0</v>
      </c>
      <c r="CU11" s="215">
        <f t="shared" si="4"/>
        <v>0</v>
      </c>
      <c r="CV11" s="215">
        <f t="shared" si="4"/>
        <v>0</v>
      </c>
      <c r="CW11" s="215">
        <f>ROUND($BY11-SUMIFS($AA11:$BJ11, $AA$3:$BJ$3, $BY$3), rounding)</f>
        <v>0</v>
      </c>
      <c r="CX11" s="215">
        <f>ROUND($BZ11-SUMIFS($AA11:$BJ11, $AA$3:$BJ$3, $BZ$3), rounding)</f>
        <v>0</v>
      </c>
      <c r="CY11" s="215">
        <f>ROUND($CA11-SUMIFS($AA11:$BJ11, $AA$3:$BJ$3, $CA$3), rounding)</f>
        <v>0</v>
      </c>
      <c r="CZ11" s="215">
        <f>ROUND($V11-$BX11, rounding)</f>
        <v>0</v>
      </c>
      <c r="DT11" s="11"/>
      <c r="DU11" s="4">
        <v>1</v>
      </c>
      <c r="DV11">
        <v>1</v>
      </c>
      <c r="DW11" s="11"/>
      <c r="EY11" s="10" t="str">
        <f t="shared" si="1"/>
        <v>14-16 funding</v>
      </c>
    </row>
    <row r="12" spans="1:155" x14ac:dyDescent="0.35">
      <c r="A12" s="220" cm="1">
        <f t="array" aca="1" ref="A12" ca="1">HYPERLINK("#"&amp;IFERROR(CELL("address",IF(MAX($CM12:$CS12)=0,A12,INDEX($CM12:$CS12,MATCH(1,$CM12:$CS12,0)))),CELL("address",$V12:$CI12)),IFERROR(MAX($CM12:$CS12),1))</f>
        <v>0</v>
      </c>
      <c r="C12" s="213" t="str">
        <f>CONCATENATE("M-", 'I&amp;E Annual'!C12)</f>
        <v>M-IE-1a-1SI</v>
      </c>
      <c r="D12" s="57" t="s">
        <v>318</v>
      </c>
      <c r="G12" s="8"/>
      <c r="H12" t="s">
        <v>317</v>
      </c>
      <c r="V12" s="109"/>
      <c r="W12" s="133">
        <f t="shared" si="2"/>
        <v>0</v>
      </c>
      <c r="X12" s="133">
        <f t="shared" si="2"/>
        <v>0</v>
      </c>
      <c r="Y12" s="133">
        <f t="shared" si="2"/>
        <v>0</v>
      </c>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X12" s="10">
        <f t="shared" si="3"/>
        <v>0</v>
      </c>
      <c r="BY12" s="10">
        <f t="shared" si="3"/>
        <v>0</v>
      </c>
      <c r="BZ12" s="10">
        <f t="shared" si="3"/>
        <v>0</v>
      </c>
      <c r="CA12" s="10">
        <f t="shared" si="3"/>
        <v>0</v>
      </c>
      <c r="CB12" s="109"/>
      <c r="CC12" s="109"/>
      <c r="CD12" s="109"/>
      <c r="CE12" s="109"/>
      <c r="CF12" s="109"/>
      <c r="CG12" s="109"/>
      <c r="CH12" s="109"/>
      <c r="CI12" s="109"/>
      <c r="CK12" s="11"/>
      <c r="CL12" s="241">
        <f>IF(MIN($V12:$CI12)&lt;0, 1, 0)</f>
        <v>0</v>
      </c>
      <c r="CM12" s="11"/>
      <c r="CO12" s="7" cm="1">
        <f t="array" ref="CO12">SUMPRODUCT(--NOT(ISNUMBER(V12:CI12)),--NOT(ISBLANK(V12:CI12)))</f>
        <v>0</v>
      </c>
      <c r="CP12" s="7">
        <f>IF(SUM($CT12:$CV12)=0, 0, 1)</f>
        <v>0</v>
      </c>
      <c r="CQ12" s="7">
        <f>IF(SUM($CW12:$CY12)=0, 0, 1)</f>
        <v>0</v>
      </c>
      <c r="CR12" s="7">
        <f>IF($CZ12=0, 0, 1)</f>
        <v>0</v>
      </c>
      <c r="CS12" s="11"/>
      <c r="CT12" s="215">
        <f t="shared" si="4"/>
        <v>0</v>
      </c>
      <c r="CU12" s="215">
        <f t="shared" si="4"/>
        <v>0</v>
      </c>
      <c r="CV12" s="215">
        <f t="shared" si="4"/>
        <v>0</v>
      </c>
      <c r="CW12" s="215">
        <f>ROUND($BY12-SUMIFS($AA12:$BJ12, $AA$3:$BJ$3, $BY$3), rounding)</f>
        <v>0</v>
      </c>
      <c r="CX12" s="215">
        <f>ROUND($BZ12-SUMIFS($AA12:$BJ12, $AA$3:$BJ$3, $BZ$3), rounding)</f>
        <v>0</v>
      </c>
      <c r="CY12" s="215">
        <f>ROUND($CA12-SUMIFS($AA12:$BJ12, $AA$3:$BJ$3, $CA$3), rounding)</f>
        <v>0</v>
      </c>
      <c r="CZ12" s="215">
        <f>ROUND($V12-$BX12, rounding)</f>
        <v>0</v>
      </c>
      <c r="DT12" s="11"/>
      <c r="DU12" s="4">
        <v>1</v>
      </c>
      <c r="DV12">
        <v>1</v>
      </c>
      <c r="DW12" s="11"/>
      <c r="EY12" s="10" t="str">
        <f t="shared" si="1"/>
        <v>Subcontracted in: 14-16 income</v>
      </c>
    </row>
    <row r="13" spans="1:155" x14ac:dyDescent="0.35">
      <c r="A13" s="220" cm="1">
        <f t="array" aca="1" ref="A13" ca="1">HYPERLINK("#"&amp;IFERROR(CELL("address",IF(MAX($CM13:$CS13)=0,A13,INDEX($CM13:$CS13,MATCH(1,$CM13:$CS13,0)))),CELL("address",$V13:$CI13)),IFERROR(MAX($CM13:$CS13),1))</f>
        <v>0</v>
      </c>
      <c r="C13" s="213" t="str">
        <f>CONCATENATE("M-", 'I&amp;E Annual'!C13)</f>
        <v>M-IE-1a-1</v>
      </c>
      <c r="D13" s="61" t="s">
        <v>319</v>
      </c>
      <c r="E13" s="5"/>
      <c r="G13" s="8"/>
      <c r="H13" t="s">
        <v>317</v>
      </c>
      <c r="V13" s="12">
        <f>SUM(V11:V12)</f>
        <v>0</v>
      </c>
      <c r="W13" s="12">
        <f>SUM(W11:W12)</f>
        <v>0</v>
      </c>
      <c r="X13" s="12">
        <f>SUM(X11:X12)</f>
        <v>0</v>
      </c>
      <c r="Y13" s="12">
        <f>SUM(Y11:Y12)</f>
        <v>0</v>
      </c>
      <c r="AA13" s="12">
        <f t="shared" ref="AA13:BJ13" si="5">SUM(AA11:AA12)</f>
        <v>0</v>
      </c>
      <c r="AB13" s="12">
        <f t="shared" si="5"/>
        <v>0</v>
      </c>
      <c r="AC13" s="12">
        <f t="shared" si="5"/>
        <v>0</v>
      </c>
      <c r="AD13" s="12">
        <f t="shared" si="5"/>
        <v>0</v>
      </c>
      <c r="AE13" s="12">
        <f t="shared" si="5"/>
        <v>0</v>
      </c>
      <c r="AF13" s="12">
        <f t="shared" si="5"/>
        <v>0</v>
      </c>
      <c r="AG13" s="12">
        <f t="shared" si="5"/>
        <v>0</v>
      </c>
      <c r="AH13" s="12">
        <f t="shared" si="5"/>
        <v>0</v>
      </c>
      <c r="AI13" s="12">
        <f t="shared" si="5"/>
        <v>0</v>
      </c>
      <c r="AJ13" s="12">
        <f t="shared" si="5"/>
        <v>0</v>
      </c>
      <c r="AK13" s="12">
        <f t="shared" si="5"/>
        <v>0</v>
      </c>
      <c r="AL13" s="12">
        <f t="shared" si="5"/>
        <v>0</v>
      </c>
      <c r="AM13" s="12">
        <f t="shared" si="5"/>
        <v>0</v>
      </c>
      <c r="AN13" s="12">
        <f t="shared" si="5"/>
        <v>0</v>
      </c>
      <c r="AO13" s="12">
        <f t="shared" si="5"/>
        <v>0</v>
      </c>
      <c r="AP13" s="12">
        <f t="shared" si="5"/>
        <v>0</v>
      </c>
      <c r="AQ13" s="12">
        <f t="shared" si="5"/>
        <v>0</v>
      </c>
      <c r="AR13" s="12">
        <f t="shared" si="5"/>
        <v>0</v>
      </c>
      <c r="AS13" s="12">
        <f t="shared" si="5"/>
        <v>0</v>
      </c>
      <c r="AT13" s="12">
        <f t="shared" si="5"/>
        <v>0</v>
      </c>
      <c r="AU13" s="12">
        <f t="shared" si="5"/>
        <v>0</v>
      </c>
      <c r="AV13" s="12">
        <f t="shared" si="5"/>
        <v>0</v>
      </c>
      <c r="AW13" s="12">
        <f t="shared" si="5"/>
        <v>0</v>
      </c>
      <c r="AX13" s="12">
        <f t="shared" si="5"/>
        <v>0</v>
      </c>
      <c r="AY13" s="12">
        <f t="shared" si="5"/>
        <v>0</v>
      </c>
      <c r="AZ13" s="12">
        <f t="shared" si="5"/>
        <v>0</v>
      </c>
      <c r="BA13" s="12">
        <f t="shared" si="5"/>
        <v>0</v>
      </c>
      <c r="BB13" s="12">
        <f t="shared" si="5"/>
        <v>0</v>
      </c>
      <c r="BC13" s="12">
        <f t="shared" si="5"/>
        <v>0</v>
      </c>
      <c r="BD13" s="12">
        <f t="shared" si="5"/>
        <v>0</v>
      </c>
      <c r="BE13" s="12">
        <f t="shared" si="5"/>
        <v>0</v>
      </c>
      <c r="BF13" s="12">
        <f t="shared" si="5"/>
        <v>0</v>
      </c>
      <c r="BG13" s="12">
        <f t="shared" si="5"/>
        <v>0</v>
      </c>
      <c r="BH13" s="12">
        <f t="shared" si="5"/>
        <v>0</v>
      </c>
      <c r="BI13" s="12">
        <f t="shared" si="5"/>
        <v>0</v>
      </c>
      <c r="BJ13" s="12">
        <f t="shared" si="5"/>
        <v>0</v>
      </c>
      <c r="BX13" s="12">
        <f t="shared" ref="BX13:CI13" si="6">SUM(BX11:BX12)</f>
        <v>0</v>
      </c>
      <c r="BY13" s="12">
        <f t="shared" si="6"/>
        <v>0</v>
      </c>
      <c r="BZ13" s="12">
        <f t="shared" si="6"/>
        <v>0</v>
      </c>
      <c r="CA13" s="12">
        <f t="shared" si="6"/>
        <v>0</v>
      </c>
      <c r="CB13" s="12">
        <f t="shared" si="6"/>
        <v>0</v>
      </c>
      <c r="CC13" s="12">
        <f t="shared" si="6"/>
        <v>0</v>
      </c>
      <c r="CD13" s="12">
        <f t="shared" si="6"/>
        <v>0</v>
      </c>
      <c r="CE13" s="12">
        <f t="shared" si="6"/>
        <v>0</v>
      </c>
      <c r="CF13" s="12">
        <f t="shared" si="6"/>
        <v>0</v>
      </c>
      <c r="CG13" s="12">
        <f t="shared" si="6"/>
        <v>0</v>
      </c>
      <c r="CH13" s="12">
        <f t="shared" si="6"/>
        <v>0</v>
      </c>
      <c r="CI13" s="12">
        <f t="shared" si="6"/>
        <v>0</v>
      </c>
      <c r="CK13" s="11"/>
      <c r="CL13" s="241">
        <f>IF(MIN($V13:$CI13)&lt;0, 1, 0)</f>
        <v>0</v>
      </c>
      <c r="CM13" s="11"/>
      <c r="CP13" s="7">
        <f>IF(SUM($CT13:$CV13)=0, 0, 1)</f>
        <v>0</v>
      </c>
      <c r="CQ13" s="7">
        <f>IF(SUM($CW13:$CY13)=0, 0, 1)</f>
        <v>0</v>
      </c>
      <c r="CR13" s="7">
        <f>IF($CZ13=0, 0, 1)</f>
        <v>0</v>
      </c>
      <c r="CS13" s="11"/>
      <c r="CT13" s="215">
        <f t="shared" si="4"/>
        <v>0</v>
      </c>
      <c r="CU13" s="215">
        <f t="shared" si="4"/>
        <v>0</v>
      </c>
      <c r="CV13" s="215">
        <f t="shared" si="4"/>
        <v>0</v>
      </c>
      <c r="CW13" s="215">
        <f>ROUND($BY13-SUMIFS($AA13:$BJ13, $AA$3:$BJ$3, $BY$3), rounding)</f>
        <v>0</v>
      </c>
      <c r="CX13" s="215">
        <f>ROUND($BZ13-SUMIFS($AA13:$BJ13, $AA$3:$BJ$3, $BZ$3), rounding)</f>
        <v>0</v>
      </c>
      <c r="CY13" s="215">
        <f>ROUND($CA13-SUMIFS($AA13:$BJ13, $AA$3:$BJ$3, $CA$3), rounding)</f>
        <v>0</v>
      </c>
      <c r="CZ13" s="215">
        <f>ROUND($V13-$BX13, rounding)</f>
        <v>0</v>
      </c>
      <c r="DT13" s="11"/>
      <c r="DU13">
        <v>0</v>
      </c>
      <c r="DV13">
        <v>0</v>
      </c>
      <c r="DW13" s="11"/>
      <c r="EY13" s="10" t="str">
        <f t="shared" si="1"/>
        <v>Total 14-16 Income</v>
      </c>
    </row>
    <row r="14" spans="1:155" x14ac:dyDescent="0.35">
      <c r="A14" s="220" cm="1">
        <f t="array" aca="1" ref="A14" ca="1">HYPERLINK("#"&amp;IFERROR(CELL("address",IF(MAX($CM14:$CS14)=0,A14,INDEX($CM14:$CS14,MATCH(1,$CM14:$CS14,0)))),CELL("address",$V14:$CI14)),IFERROR(MAX($CM14:$CS14),1))</f>
        <v>0</v>
      </c>
      <c r="C14" s="213" t="str">
        <f>CONCATENATE("M-", 'I&amp;E Annual'!C14)</f>
        <v>M-IE-1a-1SO</v>
      </c>
      <c r="D14" s="57" t="s">
        <v>320</v>
      </c>
      <c r="G14" s="8"/>
      <c r="H14" t="s">
        <v>317</v>
      </c>
      <c r="V14" s="109"/>
      <c r="W14" s="133">
        <f xml:space="preserve"> SUMIFS($AA14:$BJ14, $AA$3:$BJ$3, W$3)</f>
        <v>0</v>
      </c>
      <c r="X14" s="133">
        <f xml:space="preserve"> SUMIFS($AA14:$BJ14, $AA$3:$BJ$3, X$3)</f>
        <v>0</v>
      </c>
      <c r="Y14" s="133">
        <f xml:space="preserve"> SUMIFS($AA14:$BJ14, $AA$3:$BJ$3, Y$3)</f>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0">
        <f>V14</f>
        <v>0</v>
      </c>
      <c r="BY14" s="10">
        <f>W14</f>
        <v>0</v>
      </c>
      <c r="BZ14" s="10">
        <f>X14</f>
        <v>0</v>
      </c>
      <c r="CA14" s="10">
        <f>Y14</f>
        <v>0</v>
      </c>
      <c r="CB14" s="109"/>
      <c r="CC14" s="109"/>
      <c r="CD14" s="109"/>
      <c r="CE14" s="109"/>
      <c r="CF14" s="109"/>
      <c r="CG14" s="109"/>
      <c r="CH14" s="109"/>
      <c r="CI14" s="109"/>
      <c r="CK14" s="11"/>
      <c r="CL14" s="241">
        <f>IF(MIN($V14:$CI14)&lt;0, 1, 0)</f>
        <v>0</v>
      </c>
      <c r="CM14" s="11"/>
      <c r="CN14" s="7">
        <f>IF(DA14=0, 0, 1)</f>
        <v>0</v>
      </c>
      <c r="CO14" s="7" cm="1">
        <f t="array" ref="CO14">SUMPRODUCT(--NOT(ISNUMBER(V14:CI14)),--NOT(ISBLANK(V14:CI14)))</f>
        <v>0</v>
      </c>
      <c r="CP14" s="7">
        <f>IF(SUM($CT14:$CV14)=0, 0, 1)</f>
        <v>0</v>
      </c>
      <c r="CQ14" s="7">
        <f>IF(SUM($CW14:$CY14)=0, 0, 1)</f>
        <v>0</v>
      </c>
      <c r="CR14" s="7">
        <f>IF($CZ14=0, 0, 1)</f>
        <v>0</v>
      </c>
      <c r="CS14" s="11"/>
      <c r="CT14" s="215">
        <f t="shared" si="4"/>
        <v>0</v>
      </c>
      <c r="CU14" s="215">
        <f t="shared" si="4"/>
        <v>0</v>
      </c>
      <c r="CV14" s="215">
        <f t="shared" si="4"/>
        <v>0</v>
      </c>
      <c r="CW14" s="215">
        <f>ROUND($BY14-SUMIFS($AA14:$BJ14, $AA$3:$BJ$3, $BY$3), rounding)</f>
        <v>0</v>
      </c>
      <c r="CX14" s="215">
        <f>ROUND($BZ14-SUMIFS($AA14:$BJ14, $AA$3:$BJ$3, $BZ$3), rounding)</f>
        <v>0</v>
      </c>
      <c r="CY14" s="215">
        <f>ROUND($CA14-SUMIFS($AA14:$BJ14, $AA$3:$BJ$3, $CA$3), rounding)</f>
        <v>0</v>
      </c>
      <c r="CZ14" s="215">
        <f>ROUND($V14-$BX14, rounding)</f>
        <v>0</v>
      </c>
      <c r="DA14" s="508">
        <f>SUM(DC14:DS14)</f>
        <v>0</v>
      </c>
      <c r="DC14" s="7">
        <f>IF(V14&gt;V13, 1, 0)</f>
        <v>0</v>
      </c>
      <c r="DD14" s="7">
        <f>IF(W14&gt;W13, 1, 0)</f>
        <v>0</v>
      </c>
      <c r="DE14" s="7">
        <f>IF(X14&gt;X13, 1, 0)</f>
        <v>0</v>
      </c>
      <c r="DF14" s="7">
        <f>IF(Y14&gt;Y13, 1, 0)</f>
        <v>0</v>
      </c>
      <c r="DH14" s="7">
        <f t="shared" ref="DH14:DS14" si="7">IF(BX14&gt;BX13, 1, 0)</f>
        <v>0</v>
      </c>
      <c r="DI14" s="7">
        <f t="shared" si="7"/>
        <v>0</v>
      </c>
      <c r="DJ14" s="7">
        <f t="shared" si="7"/>
        <v>0</v>
      </c>
      <c r="DK14" s="7">
        <f t="shared" si="7"/>
        <v>0</v>
      </c>
      <c r="DL14" s="7">
        <f t="shared" si="7"/>
        <v>0</v>
      </c>
      <c r="DM14" s="7">
        <f t="shared" si="7"/>
        <v>0</v>
      </c>
      <c r="DN14" s="7">
        <f t="shared" si="7"/>
        <v>0</v>
      </c>
      <c r="DO14" s="7">
        <f t="shared" si="7"/>
        <v>0</v>
      </c>
      <c r="DP14" s="7">
        <f t="shared" si="7"/>
        <v>0</v>
      </c>
      <c r="DQ14" s="7">
        <f t="shared" si="7"/>
        <v>0</v>
      </c>
      <c r="DR14" s="7">
        <f t="shared" si="7"/>
        <v>0</v>
      </c>
      <c r="DS14" s="7">
        <f t="shared" si="7"/>
        <v>0</v>
      </c>
      <c r="DT14" s="11"/>
      <c r="DU14" s="4">
        <v>0</v>
      </c>
      <c r="DV14">
        <v>0</v>
      </c>
      <c r="DW14" s="11"/>
      <c r="EY14" s="10" t="str">
        <f t="shared" si="1"/>
        <v>Of which: subcontracted out: 14-16 income</v>
      </c>
    </row>
    <row r="15" spans="1:155" ht="6.75" customHeight="1" x14ac:dyDescent="0.35">
      <c r="C15" s="213"/>
      <c r="BY15" s="6"/>
      <c r="CK15" s="35"/>
      <c r="CM15" s="35"/>
      <c r="CS15" s="35"/>
      <c r="DT15" s="35"/>
      <c r="DU15">
        <v>0</v>
      </c>
      <c r="DV15">
        <v>0</v>
      </c>
      <c r="DW15" s="35"/>
      <c r="EY15" s="10" t="str">
        <f t="shared" si="1"/>
        <v/>
      </c>
    </row>
    <row r="16" spans="1:155" x14ac:dyDescent="0.35">
      <c r="B16" s="5"/>
      <c r="C16" s="213"/>
      <c r="D16" s="61" t="s">
        <v>321</v>
      </c>
      <c r="E16" s="5"/>
      <c r="CK16" s="11"/>
      <c r="CM16" s="11"/>
      <c r="CS16" s="11"/>
      <c r="DT16" s="11"/>
      <c r="DU16">
        <v>0</v>
      </c>
      <c r="DV16">
        <v>0</v>
      </c>
      <c r="DW16" s="11"/>
      <c r="EY16" s="10" t="str">
        <f t="shared" si="1"/>
        <v/>
      </c>
    </row>
    <row r="17" spans="1:155" x14ac:dyDescent="0.35">
      <c r="A17" s="220" cm="1">
        <f t="array" aca="1" ref="A17" ca="1">HYPERLINK("#"&amp;IFERROR(CELL("address",IF(MAX($CM17:$CS17)=0,A17,INDEX($CM17:$CS17,MATCH(1,$CM17:$CS17,0)))),CELL("address",$V17:$CI17)),IFERROR(MAX($CM17:$CS17),1))</f>
        <v>0</v>
      </c>
      <c r="B17" s="85" t="s">
        <v>122</v>
      </c>
      <c r="C17" s="213" t="str">
        <f>CONCATENATE("M-", 'I&amp;E Annual'!C17)</f>
        <v>M-IE-1a-2a</v>
      </c>
      <c r="D17" s="57" t="s">
        <v>322</v>
      </c>
      <c r="E17" s="4"/>
      <c r="H17" t="s">
        <v>317</v>
      </c>
      <c r="V17" s="109"/>
      <c r="W17" s="133">
        <f t="shared" ref="W17:Y22" si="8" xml:space="preserve"> SUMIFS($AA17:$BJ17, $AA$3:$BJ$3, W$3)</f>
        <v>0</v>
      </c>
      <c r="X17" s="133">
        <f t="shared" si="8"/>
        <v>0</v>
      </c>
      <c r="Y17" s="133">
        <f t="shared" si="8"/>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0">
        <f t="shared" ref="BX17:CA22" si="9">V17</f>
        <v>0</v>
      </c>
      <c r="BY17" s="10">
        <f t="shared" si="9"/>
        <v>0</v>
      </c>
      <c r="BZ17" s="10">
        <f t="shared" si="9"/>
        <v>0</v>
      </c>
      <c r="CA17" s="10">
        <f t="shared" si="9"/>
        <v>0</v>
      </c>
      <c r="CB17" s="109"/>
      <c r="CC17" s="109"/>
      <c r="CD17" s="109"/>
      <c r="CE17" s="109"/>
      <c r="CF17" s="109"/>
      <c r="CG17" s="109"/>
      <c r="CH17" s="109"/>
      <c r="CI17" s="109"/>
      <c r="CK17" s="11"/>
      <c r="CL17" s="241">
        <f t="shared" ref="CL17:CL24" si="10">IF(MIN($V17:$CI17)&lt;0, 1, 0)</f>
        <v>0</v>
      </c>
      <c r="CM17" s="11"/>
      <c r="CO17" s="7" cm="1">
        <f t="array" ref="CO17">SUMPRODUCT(--NOT(ISNUMBER(V17:CI17)),--NOT(ISBLANK(V17:CI17)))</f>
        <v>0</v>
      </c>
      <c r="CP17" s="7">
        <f t="shared" ref="CP17:CP24" si="11">IF(SUM($CT17:$CV17)=0, 0, 1)</f>
        <v>0</v>
      </c>
      <c r="CQ17" s="7">
        <f t="shared" ref="CQ17:CQ24" si="12">IF(SUM($CW17:$CY17)=0, 0, 1)</f>
        <v>0</v>
      </c>
      <c r="CR17" s="7">
        <f t="shared" ref="CR17:CR24" si="13">IF($CZ17=0, 0, 1)</f>
        <v>0</v>
      </c>
      <c r="CS17" s="11"/>
      <c r="CT17" s="215">
        <f t="shared" ref="CT17:CV24" si="14">ROUND(W17-SUMIFS($AA17:$BJ17, $AA$3:$BJ$3, W$3), rounding)</f>
        <v>0</v>
      </c>
      <c r="CU17" s="215">
        <f t="shared" si="14"/>
        <v>0</v>
      </c>
      <c r="CV17" s="215">
        <f t="shared" si="14"/>
        <v>0</v>
      </c>
      <c r="CW17" s="215">
        <f t="shared" ref="CW17:CW24" si="15">ROUND($BY17-SUMIFS($AA17:$BJ17, $AA$3:$BJ$3, $BY$3), rounding)</f>
        <v>0</v>
      </c>
      <c r="CX17" s="215">
        <f t="shared" ref="CX17:CX24" si="16">ROUND($BZ17-SUMIFS($AA17:$BJ17, $AA$3:$BJ$3, $BZ$3), rounding)</f>
        <v>0</v>
      </c>
      <c r="CY17" s="215">
        <f t="shared" ref="CY17:CY24" si="17">ROUND($CA17-SUMIFS($AA17:$BJ17, $AA$3:$BJ$3, $CA$3), rounding)</f>
        <v>0</v>
      </c>
      <c r="CZ17" s="215">
        <f t="shared" ref="CZ17:CZ24" si="18">ROUND($V17-$BX17, rounding)</f>
        <v>0</v>
      </c>
      <c r="DT17" s="11"/>
      <c r="DU17" s="4">
        <v>1</v>
      </c>
      <c r="DV17">
        <v>1</v>
      </c>
      <c r="DW17" s="11"/>
      <c r="EY17" s="10" t="str">
        <f t="shared" si="1"/>
        <v>16-19 programme funding</v>
      </c>
    </row>
    <row r="18" spans="1:155" x14ac:dyDescent="0.35">
      <c r="A18" s="220" cm="1">
        <f t="array" aca="1" ref="A18" ca="1">HYPERLINK("#"&amp;IFERROR(CELL("address",IF(MAX($CM18:$CS18)=0,A18,INDEX($CM18:$CS18,MATCH(1,$CM18:$CS18,0)))),CELL("address",$V18:$CI18)),IFERROR(MAX($CM18:$CS18),1))</f>
        <v>0</v>
      </c>
      <c r="B18" s="85" t="s">
        <v>122</v>
      </c>
      <c r="C18" s="213" t="str">
        <f>CONCATENATE("M-", 'I&amp;E Annual'!C18)</f>
        <v>M-IE-1a-2b</v>
      </c>
      <c r="D18" s="57" t="s">
        <v>323</v>
      </c>
      <c r="E18" s="4"/>
      <c r="H18" t="s">
        <v>317</v>
      </c>
      <c r="V18" s="109"/>
      <c r="W18" s="133">
        <f t="shared" si="8"/>
        <v>0</v>
      </c>
      <c r="X18" s="133">
        <f t="shared" si="8"/>
        <v>0</v>
      </c>
      <c r="Y18" s="133">
        <f t="shared" si="8"/>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9"/>
        <v>0</v>
      </c>
      <c r="BY18" s="10">
        <f t="shared" si="9"/>
        <v>0</v>
      </c>
      <c r="BZ18" s="10">
        <f t="shared" si="9"/>
        <v>0</v>
      </c>
      <c r="CA18" s="10">
        <f t="shared" si="9"/>
        <v>0</v>
      </c>
      <c r="CB18" s="109"/>
      <c r="CC18" s="109"/>
      <c r="CD18" s="109"/>
      <c r="CE18" s="109"/>
      <c r="CF18" s="109"/>
      <c r="CG18" s="109"/>
      <c r="CH18" s="109"/>
      <c r="CI18" s="109"/>
      <c r="CK18" s="11"/>
      <c r="CL18" s="241">
        <f t="shared" si="10"/>
        <v>0</v>
      </c>
      <c r="CM18" s="11"/>
      <c r="CO18" s="7" cm="1">
        <f t="array" ref="CO18">SUMPRODUCT(--NOT(ISNUMBER(V18:CI18)),--NOT(ISBLANK(V18:CI18)))</f>
        <v>0</v>
      </c>
      <c r="CP18" s="7">
        <f t="shared" si="11"/>
        <v>0</v>
      </c>
      <c r="CQ18" s="7">
        <f t="shared" si="12"/>
        <v>0</v>
      </c>
      <c r="CR18" s="7">
        <f t="shared" si="13"/>
        <v>0</v>
      </c>
      <c r="CS18" s="11"/>
      <c r="CT18" s="215">
        <f t="shared" si="14"/>
        <v>0</v>
      </c>
      <c r="CU18" s="215">
        <f t="shared" si="14"/>
        <v>0</v>
      </c>
      <c r="CV18" s="215">
        <f t="shared" si="14"/>
        <v>0</v>
      </c>
      <c r="CW18" s="215">
        <f t="shared" si="15"/>
        <v>0</v>
      </c>
      <c r="CX18" s="215">
        <f t="shared" si="16"/>
        <v>0</v>
      </c>
      <c r="CY18" s="215">
        <f t="shared" si="17"/>
        <v>0</v>
      </c>
      <c r="CZ18" s="215">
        <f t="shared" si="18"/>
        <v>0</v>
      </c>
      <c r="DT18" s="11"/>
      <c r="DU18" s="4">
        <v>1</v>
      </c>
      <c r="DV18">
        <v>1</v>
      </c>
      <c r="DW18" s="11"/>
      <c r="EY18" s="10" t="str">
        <f t="shared" si="1"/>
        <v>16-19  other programme funding (exc. Bursaries)</v>
      </c>
    </row>
    <row r="19" spans="1:155" x14ac:dyDescent="0.35">
      <c r="A19" s="220" cm="1">
        <f t="array" aca="1" ref="A19" ca="1">HYPERLINK("#"&amp;IFERROR(CELL("address",IF(MAX($CM19:$CS19)=0,A19,INDEX($CM19:$CS19,MATCH(1,$CM19:$CS19,0)))),CELL("address",$V19:$CI19)),IFERROR(MAX($CM19:$CS19),1))</f>
        <v>0</v>
      </c>
      <c r="C19" s="213" t="str">
        <f>CONCATENATE("M-", 'I&amp;E Annual'!C19)</f>
        <v>M-IE-1a-2c</v>
      </c>
      <c r="D19" s="57" t="s">
        <v>324</v>
      </c>
      <c r="E19" s="4"/>
      <c r="H19" t="s">
        <v>317</v>
      </c>
      <c r="V19" s="109"/>
      <c r="W19" s="133">
        <f t="shared" si="8"/>
        <v>0</v>
      </c>
      <c r="X19" s="133">
        <f t="shared" si="8"/>
        <v>0</v>
      </c>
      <c r="Y19" s="133">
        <f t="shared" si="8"/>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9"/>
        <v>0</v>
      </c>
      <c r="BY19" s="10">
        <f t="shared" si="9"/>
        <v>0</v>
      </c>
      <c r="BZ19" s="10">
        <f t="shared" si="9"/>
        <v>0</v>
      </c>
      <c r="CA19" s="10">
        <f t="shared" si="9"/>
        <v>0</v>
      </c>
      <c r="CB19" s="109"/>
      <c r="CC19" s="109"/>
      <c r="CD19" s="109"/>
      <c r="CE19" s="109"/>
      <c r="CF19" s="109"/>
      <c r="CG19" s="109"/>
      <c r="CH19" s="109"/>
      <c r="CI19" s="109"/>
      <c r="CK19" s="11"/>
      <c r="CL19" s="241">
        <f t="shared" si="10"/>
        <v>0</v>
      </c>
      <c r="CM19" s="11"/>
      <c r="CO19" s="7" cm="1">
        <f t="array" ref="CO19">SUMPRODUCT(--NOT(ISNUMBER(V19:CI19)),--NOT(ISBLANK(V19:CI19)))</f>
        <v>0</v>
      </c>
      <c r="CP19" s="7">
        <f t="shared" si="11"/>
        <v>0</v>
      </c>
      <c r="CQ19" s="7">
        <f t="shared" si="12"/>
        <v>0</v>
      </c>
      <c r="CR19" s="7">
        <f t="shared" si="13"/>
        <v>0</v>
      </c>
      <c r="CS19" s="11"/>
      <c r="CT19" s="215">
        <f t="shared" si="14"/>
        <v>0</v>
      </c>
      <c r="CU19" s="215">
        <f t="shared" si="14"/>
        <v>0</v>
      </c>
      <c r="CV19" s="215">
        <f t="shared" si="14"/>
        <v>0</v>
      </c>
      <c r="CW19" s="215">
        <f t="shared" si="15"/>
        <v>0</v>
      </c>
      <c r="CX19" s="215">
        <f t="shared" si="16"/>
        <v>0</v>
      </c>
      <c r="CY19" s="215">
        <f t="shared" si="17"/>
        <v>0</v>
      </c>
      <c r="CZ19" s="215">
        <f t="shared" si="18"/>
        <v>0</v>
      </c>
      <c r="DT19" s="11"/>
      <c r="DU19" s="4">
        <v>1</v>
      </c>
      <c r="DV19">
        <v>1</v>
      </c>
      <c r="DW19" s="11"/>
      <c r="EY19" s="10" t="str">
        <f t="shared" si="1"/>
        <v>High Needs - element 2</v>
      </c>
    </row>
    <row r="20" spans="1:155" x14ac:dyDescent="0.35">
      <c r="A20" s="220" cm="1">
        <f t="array" aca="1" ref="A20" ca="1">HYPERLINK("#"&amp;IFERROR(CELL("address",IF(MAX($CM20:$CS20)=0,A20,INDEX($CM20:$CS20,MATCH(1,$CM20:$CS20,0)))),CELL("address",$V20:$CI20)),IFERROR(MAX($CM20:$CS20),1))</f>
        <v>0</v>
      </c>
      <c r="C20" s="213" t="str">
        <f>CONCATENATE("M-", 'I&amp;E Annual'!C20)</f>
        <v>M-IE-1a-2d</v>
      </c>
      <c r="D20" s="57" t="s">
        <v>325</v>
      </c>
      <c r="E20" s="4"/>
      <c r="H20" t="s">
        <v>317</v>
      </c>
      <c r="V20" s="109"/>
      <c r="W20" s="133">
        <f t="shared" si="8"/>
        <v>0</v>
      </c>
      <c r="X20" s="133">
        <f t="shared" si="8"/>
        <v>0</v>
      </c>
      <c r="Y20" s="133">
        <f t="shared" si="8"/>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9"/>
        <v>0</v>
      </c>
      <c r="BY20" s="10">
        <f t="shared" si="9"/>
        <v>0</v>
      </c>
      <c r="BZ20" s="10">
        <f t="shared" si="9"/>
        <v>0</v>
      </c>
      <c r="CA20" s="10">
        <f t="shared" si="9"/>
        <v>0</v>
      </c>
      <c r="CB20" s="109"/>
      <c r="CC20" s="109"/>
      <c r="CD20" s="109"/>
      <c r="CE20" s="109"/>
      <c r="CF20" s="109"/>
      <c r="CG20" s="109"/>
      <c r="CH20" s="109"/>
      <c r="CI20" s="109"/>
      <c r="CK20" s="11"/>
      <c r="CL20" s="241">
        <f t="shared" si="10"/>
        <v>0</v>
      </c>
      <c r="CM20" s="11"/>
      <c r="CO20" s="7" cm="1">
        <f t="array" ref="CO20">SUMPRODUCT(--NOT(ISNUMBER(V20:CI20)),--NOT(ISBLANK(V20:CI20)))</f>
        <v>0</v>
      </c>
      <c r="CP20" s="7">
        <f t="shared" si="11"/>
        <v>0</v>
      </c>
      <c r="CQ20" s="7">
        <f t="shared" si="12"/>
        <v>0</v>
      </c>
      <c r="CR20" s="7">
        <f t="shared" si="13"/>
        <v>0</v>
      </c>
      <c r="CS20" s="11"/>
      <c r="CT20" s="215">
        <f t="shared" si="14"/>
        <v>0</v>
      </c>
      <c r="CU20" s="215">
        <f t="shared" si="14"/>
        <v>0</v>
      </c>
      <c r="CV20" s="215">
        <f t="shared" si="14"/>
        <v>0</v>
      </c>
      <c r="CW20" s="215">
        <f t="shared" si="15"/>
        <v>0</v>
      </c>
      <c r="CX20" s="215">
        <f t="shared" si="16"/>
        <v>0</v>
      </c>
      <c r="CY20" s="215">
        <f t="shared" si="17"/>
        <v>0</v>
      </c>
      <c r="CZ20" s="215">
        <f t="shared" si="18"/>
        <v>0</v>
      </c>
      <c r="DT20" s="11"/>
      <c r="DU20" s="4">
        <v>1</v>
      </c>
      <c r="DV20">
        <v>1</v>
      </c>
      <c r="DW20" s="11"/>
      <c r="EY20" s="10" t="str">
        <f t="shared" si="1"/>
        <v>Local Authority High Needs - element 3</v>
      </c>
    </row>
    <row r="21" spans="1:155" x14ac:dyDescent="0.35">
      <c r="A21" s="220" cm="1">
        <f t="array" aca="1" ref="A21" ca="1">HYPERLINK("#"&amp;IFERROR(CELL("address",IF(MAX($CM21:$CS21)=0,A21,INDEX($CM21:$CS21,MATCH(1,$CM21:$CS21,0)))),CELL("address",$V21:$CI21)),IFERROR(MAX($CM21:$CS21),1))</f>
        <v>0</v>
      </c>
      <c r="B21" s="85" t="s">
        <v>122</v>
      </c>
      <c r="C21" s="213" t="str">
        <f>CONCATENATE("M-", 'I&amp;E Annual'!C21)</f>
        <v>M-IE-1a-2e</v>
      </c>
      <c r="D21" s="57" t="s">
        <v>326</v>
      </c>
      <c r="E21" s="4"/>
      <c r="H21" t="s">
        <v>317</v>
      </c>
      <c r="V21" s="109"/>
      <c r="W21" s="133">
        <f t="shared" si="8"/>
        <v>0</v>
      </c>
      <c r="X21" s="133">
        <f t="shared" si="8"/>
        <v>0</v>
      </c>
      <c r="Y21" s="133">
        <f t="shared" si="8"/>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9"/>
        <v>0</v>
      </c>
      <c r="BY21" s="10">
        <f t="shared" si="9"/>
        <v>0</v>
      </c>
      <c r="BZ21" s="10">
        <f t="shared" si="9"/>
        <v>0</v>
      </c>
      <c r="CA21" s="10">
        <f t="shared" si="9"/>
        <v>0</v>
      </c>
      <c r="CB21" s="109"/>
      <c r="CC21" s="109"/>
      <c r="CD21" s="109"/>
      <c r="CE21" s="109"/>
      <c r="CF21" s="109"/>
      <c r="CG21" s="109"/>
      <c r="CH21" s="109"/>
      <c r="CI21" s="109"/>
      <c r="CK21" s="11"/>
      <c r="CL21" s="241">
        <f t="shared" si="10"/>
        <v>0</v>
      </c>
      <c r="CM21" s="11"/>
      <c r="CO21" s="7" cm="1">
        <f t="array" ref="CO21">SUMPRODUCT(--NOT(ISNUMBER(V21:CI21)),--NOT(ISBLANK(V21:CI21)))</f>
        <v>0</v>
      </c>
      <c r="CP21" s="7">
        <f t="shared" si="11"/>
        <v>0</v>
      </c>
      <c r="CQ21" s="7">
        <f t="shared" si="12"/>
        <v>0</v>
      </c>
      <c r="CR21" s="7">
        <f t="shared" si="13"/>
        <v>0</v>
      </c>
      <c r="CS21" s="11"/>
      <c r="CT21" s="215">
        <f t="shared" si="14"/>
        <v>0</v>
      </c>
      <c r="CU21" s="215">
        <f t="shared" si="14"/>
        <v>0</v>
      </c>
      <c r="CV21" s="215">
        <f t="shared" si="14"/>
        <v>0</v>
      </c>
      <c r="CW21" s="215">
        <f t="shared" si="15"/>
        <v>0</v>
      </c>
      <c r="CX21" s="215">
        <f t="shared" si="16"/>
        <v>0</v>
      </c>
      <c r="CY21" s="215">
        <f t="shared" si="17"/>
        <v>0</v>
      </c>
      <c r="CZ21" s="215">
        <f t="shared" si="18"/>
        <v>0</v>
      </c>
      <c r="DT21" s="11"/>
      <c r="DU21" s="4">
        <v>1</v>
      </c>
      <c r="DV21">
        <v>1</v>
      </c>
      <c r="DW21" s="11"/>
      <c r="EY21" s="10" t="str">
        <f t="shared" si="1"/>
        <v>Other funding including Local Authority and schools</v>
      </c>
    </row>
    <row r="22" spans="1:155" x14ac:dyDescent="0.35">
      <c r="A22" s="220" cm="1">
        <f t="array" aca="1" ref="A22" ca="1">HYPERLINK("#"&amp;IFERROR(CELL("address",IF(MAX($CM22:$CS22)=0,A22,INDEX($CM22:$CS22,MATCH(1,$CM22:$CS22,0)))),CELL("address",$V22:$CI22)),IFERROR(MAX($CM22:$CS22),1))</f>
        <v>0</v>
      </c>
      <c r="C22" s="213" t="str">
        <f>CONCATENATE("M-", 'I&amp;E Annual'!C22)</f>
        <v>M-IE-1a-2SI</v>
      </c>
      <c r="D22" s="57" t="s">
        <v>327</v>
      </c>
      <c r="H22" t="s">
        <v>317</v>
      </c>
      <c r="V22" s="109"/>
      <c r="W22" s="133">
        <f t="shared" si="8"/>
        <v>0</v>
      </c>
      <c r="X22" s="133">
        <f t="shared" si="8"/>
        <v>0</v>
      </c>
      <c r="Y22" s="133">
        <f t="shared" si="8"/>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9"/>
        <v>0</v>
      </c>
      <c r="BY22" s="10">
        <f t="shared" si="9"/>
        <v>0</v>
      </c>
      <c r="BZ22" s="10">
        <f t="shared" si="9"/>
        <v>0</v>
      </c>
      <c r="CA22" s="10">
        <f t="shared" si="9"/>
        <v>0</v>
      </c>
      <c r="CB22" s="109"/>
      <c r="CC22" s="109"/>
      <c r="CD22" s="109"/>
      <c r="CE22" s="109"/>
      <c r="CF22" s="109"/>
      <c r="CG22" s="109"/>
      <c r="CH22" s="109"/>
      <c r="CI22" s="109"/>
      <c r="CK22" s="11"/>
      <c r="CL22" s="241">
        <f t="shared" si="10"/>
        <v>0</v>
      </c>
      <c r="CM22" s="11"/>
      <c r="CO22" s="7" cm="1">
        <f t="array" ref="CO22">SUMPRODUCT(--NOT(ISNUMBER(V22:CI22)),--NOT(ISBLANK(V22:CI22)))</f>
        <v>0</v>
      </c>
      <c r="CP22" s="7">
        <f t="shared" si="11"/>
        <v>0</v>
      </c>
      <c r="CQ22" s="7">
        <f t="shared" si="12"/>
        <v>0</v>
      </c>
      <c r="CR22" s="7">
        <f t="shared" si="13"/>
        <v>0</v>
      </c>
      <c r="CS22" s="11"/>
      <c r="CT22" s="215">
        <f t="shared" si="14"/>
        <v>0</v>
      </c>
      <c r="CU22" s="215">
        <f t="shared" si="14"/>
        <v>0</v>
      </c>
      <c r="CV22" s="215">
        <f t="shared" si="14"/>
        <v>0</v>
      </c>
      <c r="CW22" s="215">
        <f t="shared" si="15"/>
        <v>0</v>
      </c>
      <c r="CX22" s="215">
        <f t="shared" si="16"/>
        <v>0</v>
      </c>
      <c r="CY22" s="215">
        <f t="shared" si="17"/>
        <v>0</v>
      </c>
      <c r="CZ22" s="215">
        <f t="shared" si="18"/>
        <v>0</v>
      </c>
      <c r="DT22" s="11"/>
      <c r="DU22" s="4">
        <v>1</v>
      </c>
      <c r="DV22">
        <v>1</v>
      </c>
      <c r="DW22" s="11"/>
      <c r="EY22" s="10" t="str">
        <f t="shared" si="1"/>
        <v>Subcontracted in: 16-19 income</v>
      </c>
    </row>
    <row r="23" spans="1:155" s="5" customFormat="1" x14ac:dyDescent="0.35">
      <c r="A23" s="220" cm="1">
        <f t="array" aca="1" ref="A23" ca="1">HYPERLINK("#"&amp;IFERROR(CELL("address",IF(MAX($CM23:$CS23)=0,A23,INDEX($CM23:$CS23,MATCH(1,$CM23:$CS23,0)))),CELL("address",$V23:$CI23)),IFERROR(MAX($CM23:$CS23),1))</f>
        <v>0</v>
      </c>
      <c r="C23" s="213" t="str">
        <f>CONCATENATE("M-", 'I&amp;E Annual'!C23)</f>
        <v>M-IE-1a-2</v>
      </c>
      <c r="D23" s="61" t="s">
        <v>328</v>
      </c>
      <c r="H23" s="76" t="s">
        <v>317</v>
      </c>
      <c r="S23"/>
      <c r="T23"/>
      <c r="U23"/>
      <c r="V23" s="12">
        <f>SUM(V17:V22)</f>
        <v>0</v>
      </c>
      <c r="W23" s="12">
        <f>SUM(W17:W22)</f>
        <v>0</v>
      </c>
      <c r="X23" s="12">
        <f>SUM(X17:X22)</f>
        <v>0</v>
      </c>
      <c r="Y23" s="12">
        <f>SUM(Y17:Y22)</f>
        <v>0</v>
      </c>
      <c r="AA23" s="12">
        <f t="shared" ref="AA23:BJ23" si="19">SUM(AA17:AA22)</f>
        <v>0</v>
      </c>
      <c r="AB23" s="12">
        <f t="shared" si="19"/>
        <v>0</v>
      </c>
      <c r="AC23" s="12">
        <f t="shared" si="19"/>
        <v>0</v>
      </c>
      <c r="AD23" s="12">
        <f t="shared" si="19"/>
        <v>0</v>
      </c>
      <c r="AE23" s="12">
        <f t="shared" si="19"/>
        <v>0</v>
      </c>
      <c r="AF23" s="12">
        <f t="shared" si="19"/>
        <v>0</v>
      </c>
      <c r="AG23" s="12">
        <f t="shared" si="19"/>
        <v>0</v>
      </c>
      <c r="AH23" s="12">
        <f t="shared" si="19"/>
        <v>0</v>
      </c>
      <c r="AI23" s="12">
        <f t="shared" si="19"/>
        <v>0</v>
      </c>
      <c r="AJ23" s="12">
        <f t="shared" si="19"/>
        <v>0</v>
      </c>
      <c r="AK23" s="12">
        <f t="shared" si="19"/>
        <v>0</v>
      </c>
      <c r="AL23" s="12">
        <f t="shared" si="19"/>
        <v>0</v>
      </c>
      <c r="AM23" s="12">
        <f t="shared" si="19"/>
        <v>0</v>
      </c>
      <c r="AN23" s="12">
        <f t="shared" si="19"/>
        <v>0</v>
      </c>
      <c r="AO23" s="12">
        <f t="shared" si="19"/>
        <v>0</v>
      </c>
      <c r="AP23" s="12">
        <f t="shared" si="19"/>
        <v>0</v>
      </c>
      <c r="AQ23" s="12">
        <f t="shared" si="19"/>
        <v>0</v>
      </c>
      <c r="AR23" s="12">
        <f t="shared" si="19"/>
        <v>0</v>
      </c>
      <c r="AS23" s="12">
        <f t="shared" si="19"/>
        <v>0</v>
      </c>
      <c r="AT23" s="12">
        <f t="shared" si="19"/>
        <v>0</v>
      </c>
      <c r="AU23" s="12">
        <f t="shared" si="19"/>
        <v>0</v>
      </c>
      <c r="AV23" s="12">
        <f t="shared" si="19"/>
        <v>0</v>
      </c>
      <c r="AW23" s="12">
        <f t="shared" si="19"/>
        <v>0</v>
      </c>
      <c r="AX23" s="12">
        <f t="shared" si="19"/>
        <v>0</v>
      </c>
      <c r="AY23" s="12">
        <f t="shared" si="19"/>
        <v>0</v>
      </c>
      <c r="AZ23" s="12">
        <f t="shared" si="19"/>
        <v>0</v>
      </c>
      <c r="BA23" s="12">
        <f t="shared" si="19"/>
        <v>0</v>
      </c>
      <c r="BB23" s="12">
        <f t="shared" si="19"/>
        <v>0</v>
      </c>
      <c r="BC23" s="12">
        <f t="shared" si="19"/>
        <v>0</v>
      </c>
      <c r="BD23" s="12">
        <f t="shared" si="19"/>
        <v>0</v>
      </c>
      <c r="BE23" s="12">
        <f t="shared" si="19"/>
        <v>0</v>
      </c>
      <c r="BF23" s="12">
        <f t="shared" si="19"/>
        <v>0</v>
      </c>
      <c r="BG23" s="12">
        <f t="shared" si="19"/>
        <v>0</v>
      </c>
      <c r="BH23" s="12">
        <f t="shared" si="19"/>
        <v>0</v>
      </c>
      <c r="BI23" s="12">
        <f t="shared" si="19"/>
        <v>0</v>
      </c>
      <c r="BJ23" s="12">
        <f t="shared" si="19"/>
        <v>0</v>
      </c>
      <c r="BK23"/>
      <c r="BL23"/>
      <c r="BM23"/>
      <c r="BN23"/>
      <c r="BO23"/>
      <c r="BP23"/>
      <c r="BQ23"/>
      <c r="BR23"/>
      <c r="BS23"/>
      <c r="BT23"/>
      <c r="BU23"/>
      <c r="BV23"/>
      <c r="BX23" s="12">
        <f t="shared" ref="BX23:CI23" si="20">SUM(BX17:BX22)</f>
        <v>0</v>
      </c>
      <c r="BY23" s="12">
        <f t="shared" si="20"/>
        <v>0</v>
      </c>
      <c r="BZ23" s="12">
        <f t="shared" si="20"/>
        <v>0</v>
      </c>
      <c r="CA23" s="12">
        <f t="shared" si="20"/>
        <v>0</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41">
        <f t="shared" si="10"/>
        <v>0</v>
      </c>
      <c r="CM23" s="11"/>
      <c r="CN23"/>
      <c r="CO23"/>
      <c r="CP23" s="7">
        <f t="shared" si="11"/>
        <v>0</v>
      </c>
      <c r="CQ23" s="7">
        <f t="shared" si="12"/>
        <v>0</v>
      </c>
      <c r="CR23" s="7">
        <f t="shared" si="13"/>
        <v>0</v>
      </c>
      <c r="CS23" s="11"/>
      <c r="CT23" s="215">
        <f t="shared" si="14"/>
        <v>0</v>
      </c>
      <c r="CU23" s="215">
        <f t="shared" si="14"/>
        <v>0</v>
      </c>
      <c r="CV23" s="215">
        <f t="shared" si="14"/>
        <v>0</v>
      </c>
      <c r="CW23" s="215">
        <f t="shared" si="15"/>
        <v>0</v>
      </c>
      <c r="CX23" s="215">
        <f t="shared" si="16"/>
        <v>0</v>
      </c>
      <c r="CY23" s="215">
        <f t="shared" si="17"/>
        <v>0</v>
      </c>
      <c r="CZ23" s="215">
        <f t="shared" si="18"/>
        <v>0</v>
      </c>
      <c r="DA23"/>
      <c r="DG23"/>
      <c r="DT23" s="11"/>
      <c r="DU23" s="5">
        <v>0</v>
      </c>
      <c r="DV23" s="5">
        <v>0</v>
      </c>
      <c r="DW23" s="11"/>
      <c r="DX23"/>
      <c r="DY23"/>
      <c r="DZ23"/>
      <c r="EA23"/>
      <c r="EB23"/>
      <c r="EC23"/>
      <c r="ED23"/>
      <c r="EE23"/>
      <c r="EF23"/>
      <c r="EG23"/>
      <c r="EH23"/>
      <c r="EI23"/>
      <c r="EJ23"/>
      <c r="EK23"/>
      <c r="EL23"/>
      <c r="EM23"/>
      <c r="EN23"/>
      <c r="EO23"/>
      <c r="EP23"/>
      <c r="EQ23"/>
      <c r="ER23"/>
      <c r="ES23"/>
      <c r="ET23"/>
      <c r="EU23"/>
      <c r="EV23"/>
      <c r="EW23"/>
      <c r="EX23"/>
      <c r="EY23" s="10" t="str">
        <f t="shared" si="1"/>
        <v>Total 16-19 Income</v>
      </c>
    </row>
    <row r="24" spans="1:155" x14ac:dyDescent="0.35">
      <c r="A24" s="220" cm="1">
        <f t="array" aca="1" ref="A24" ca="1">HYPERLINK("#"&amp;IFERROR(CELL("address",IF(MAX($CM24:$CS24)=0,A24,INDEX($CM24:$CS24,MATCH(1,$CM24:$CS24,0)))),CELL("address",$V24:$CI24)),IFERROR(MAX($CM24:$CS24),1))</f>
        <v>0</v>
      </c>
      <c r="C24" s="213" t="str">
        <f>CONCATENATE("M-", 'I&amp;E Annual'!C24)</f>
        <v>M-IE-1a-2SO</v>
      </c>
      <c r="D24" s="57" t="s">
        <v>329</v>
      </c>
      <c r="H24" t="s">
        <v>317</v>
      </c>
      <c r="V24" s="109"/>
      <c r="W24" s="133">
        <f xml:space="preserve"> SUMIFS($AA24:$BJ24, $AA$3:$BJ$3, W$3)</f>
        <v>0</v>
      </c>
      <c r="X24" s="133">
        <f xml:space="preserve"> SUMIFS($AA24:$BJ24, $AA$3:$BJ$3, X$3)</f>
        <v>0</v>
      </c>
      <c r="Y24" s="133">
        <f xml:space="preserve"> SUMIFS($AA24:$BJ24, $AA$3:$BJ$3, Y$3)</f>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V24</f>
        <v>0</v>
      </c>
      <c r="BY24" s="10">
        <f>W24</f>
        <v>0</v>
      </c>
      <c r="BZ24" s="10">
        <f>X24</f>
        <v>0</v>
      </c>
      <c r="CA24" s="10">
        <f>Y24</f>
        <v>0</v>
      </c>
      <c r="CB24" s="109"/>
      <c r="CC24" s="109"/>
      <c r="CD24" s="109"/>
      <c r="CE24" s="109"/>
      <c r="CF24" s="109"/>
      <c r="CG24" s="109"/>
      <c r="CH24" s="109"/>
      <c r="CI24" s="109"/>
      <c r="CK24" s="11"/>
      <c r="CL24" s="241">
        <f t="shared" si="10"/>
        <v>0</v>
      </c>
      <c r="CM24" s="11"/>
      <c r="CN24" s="7">
        <f>IF(DA24=0, 0, 1)</f>
        <v>0</v>
      </c>
      <c r="CO24" s="7" cm="1">
        <f t="array" ref="CO24">SUMPRODUCT(--NOT(ISNUMBER(V24:CI24)),--NOT(ISBLANK(V24:CI24)))</f>
        <v>0</v>
      </c>
      <c r="CP24" s="7">
        <f t="shared" si="11"/>
        <v>0</v>
      </c>
      <c r="CQ24" s="7">
        <f t="shared" si="12"/>
        <v>0</v>
      </c>
      <c r="CR24" s="7">
        <f t="shared" si="13"/>
        <v>0</v>
      </c>
      <c r="CS24" s="11"/>
      <c r="CT24" s="215">
        <f t="shared" si="14"/>
        <v>0</v>
      </c>
      <c r="CU24" s="215">
        <f t="shared" si="14"/>
        <v>0</v>
      </c>
      <c r="CV24" s="215">
        <f t="shared" si="14"/>
        <v>0</v>
      </c>
      <c r="CW24" s="215">
        <f t="shared" si="15"/>
        <v>0</v>
      </c>
      <c r="CX24" s="215">
        <f t="shared" si="16"/>
        <v>0</v>
      </c>
      <c r="CY24" s="215">
        <f t="shared" si="17"/>
        <v>0</v>
      </c>
      <c r="CZ24" s="215">
        <f t="shared" si="18"/>
        <v>0</v>
      </c>
      <c r="DA24" s="508">
        <f>SUM(DC24:DS24)</f>
        <v>0</v>
      </c>
      <c r="DC24" s="7">
        <f>IF(V24&gt;V23, 1, 0)</f>
        <v>0</v>
      </c>
      <c r="DD24" s="7">
        <f>IF(W24&gt;W23, 1, 0)</f>
        <v>0</v>
      </c>
      <c r="DE24" s="7">
        <f>IF(X24&gt;X23, 1, 0)</f>
        <v>0</v>
      </c>
      <c r="DF24" s="7">
        <f>IF(Y24&gt;Y23, 1, 0)</f>
        <v>0</v>
      </c>
      <c r="DH24" s="7">
        <f t="shared" ref="DH24:DS24" si="21">IF(BX24&gt;BX23, 1, 0)</f>
        <v>0</v>
      </c>
      <c r="DI24" s="7">
        <f t="shared" si="21"/>
        <v>0</v>
      </c>
      <c r="DJ24" s="7">
        <f t="shared" si="21"/>
        <v>0</v>
      </c>
      <c r="DK24" s="7">
        <f t="shared" si="21"/>
        <v>0</v>
      </c>
      <c r="DL24" s="7">
        <f t="shared" si="21"/>
        <v>0</v>
      </c>
      <c r="DM24" s="7">
        <f t="shared" si="21"/>
        <v>0</v>
      </c>
      <c r="DN24" s="7">
        <f t="shared" si="21"/>
        <v>0</v>
      </c>
      <c r="DO24" s="7">
        <f t="shared" si="21"/>
        <v>0</v>
      </c>
      <c r="DP24" s="7">
        <f t="shared" si="21"/>
        <v>0</v>
      </c>
      <c r="DQ24" s="7">
        <f t="shared" si="21"/>
        <v>0</v>
      </c>
      <c r="DR24" s="7">
        <f t="shared" si="21"/>
        <v>0</v>
      </c>
      <c r="DS24" s="7">
        <f t="shared" si="21"/>
        <v>0</v>
      </c>
      <c r="DT24" s="11"/>
      <c r="DU24" s="4">
        <v>0</v>
      </c>
      <c r="DV24">
        <v>0</v>
      </c>
      <c r="DW24" s="11"/>
      <c r="EY24" s="10" t="str">
        <f t="shared" si="1"/>
        <v>Of which: subcontracted out 16-19 income</v>
      </c>
    </row>
    <row r="25" spans="1:155" ht="6.75" customHeight="1" x14ac:dyDescent="0.35">
      <c r="C25" s="213"/>
      <c r="BY25" s="6"/>
      <c r="CK25" s="35"/>
      <c r="CM25" s="35"/>
      <c r="CS25" s="35"/>
      <c r="CT25" s="215"/>
      <c r="CU25" s="215"/>
      <c r="CV25" s="215"/>
      <c r="CW25" s="215">
        <f>$BY25-SUMIFS($AA25:$BJ25, $AA$3:$BJ$3, $BY$3)</f>
        <v>0</v>
      </c>
      <c r="DT25" s="35"/>
      <c r="DU25">
        <v>0</v>
      </c>
      <c r="DV25">
        <v>0</v>
      </c>
      <c r="DW25" s="35"/>
      <c r="EY25" s="10" t="str">
        <f t="shared" si="1"/>
        <v/>
      </c>
    </row>
    <row r="26" spans="1:155" x14ac:dyDescent="0.35">
      <c r="B26" s="5"/>
      <c r="C26" s="213"/>
      <c r="D26" s="61" t="s">
        <v>330</v>
      </c>
      <c r="E26" s="5"/>
      <c r="CK26" s="11"/>
      <c r="CM26" s="11"/>
      <c r="CS26" s="11"/>
      <c r="CT26" s="215"/>
      <c r="CU26" s="215"/>
      <c r="CV26" s="215"/>
      <c r="CW26" s="215"/>
      <c r="DT26" s="11"/>
      <c r="DU26">
        <v>0</v>
      </c>
      <c r="DV26">
        <v>0</v>
      </c>
      <c r="DW26" s="11"/>
      <c r="EY26" s="10" t="str">
        <f t="shared" si="1"/>
        <v/>
      </c>
    </row>
    <row r="27" spans="1:155" x14ac:dyDescent="0.35">
      <c r="A27" s="220" cm="1">
        <f t="array" aca="1" ref="A27" ca="1">HYPERLINK("#"&amp;IFERROR(CELL("address",IF(MAX($CM27:$CS27)=0,A27,INDEX($CM27:$CS27,MATCH(1,$CM27:$CS27,0)))),CELL("address",$V27:$CI27)),IFERROR(MAX($CM27:$CS27),1))</f>
        <v>0</v>
      </c>
      <c r="C27" s="213" t="str">
        <f>CONCATENATE("M-", 'I&amp;E Annual'!C27)</f>
        <v>M-IE-1b-1</v>
      </c>
      <c r="D27" s="57" t="s">
        <v>331</v>
      </c>
      <c r="H27" t="s">
        <v>317</v>
      </c>
      <c r="V27" s="109"/>
      <c r="W27" s="133">
        <f t="shared" ref="W27:Y28" si="22" xml:space="preserve"> SUMIFS($AA27:$BJ27, $AA$3:$BJ$3, W$3)</f>
        <v>0</v>
      </c>
      <c r="X27" s="133">
        <f t="shared" si="22"/>
        <v>0</v>
      </c>
      <c r="Y27" s="133">
        <f t="shared" si="22"/>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ref="BX27:CA28" si="23">V27</f>
        <v>0</v>
      </c>
      <c r="BY27" s="10">
        <f t="shared" si="23"/>
        <v>0</v>
      </c>
      <c r="BZ27" s="10">
        <f t="shared" si="23"/>
        <v>0</v>
      </c>
      <c r="CA27" s="10">
        <f t="shared" si="23"/>
        <v>0</v>
      </c>
      <c r="CB27" s="109"/>
      <c r="CC27" s="109"/>
      <c r="CD27" s="109"/>
      <c r="CE27" s="109"/>
      <c r="CF27" s="109"/>
      <c r="CG27" s="109"/>
      <c r="CH27" s="109"/>
      <c r="CI27" s="109"/>
      <c r="CK27" s="11"/>
      <c r="CL27" s="241">
        <f>IF(MIN($V27:$CI27)&lt;0, 1, 0)</f>
        <v>0</v>
      </c>
      <c r="CM27" s="11"/>
      <c r="CO27" s="7" cm="1">
        <f t="array" ref="CO27">SUMPRODUCT(--NOT(ISNUMBER(V27:CI27)),--NOT(ISBLANK(V27:CI27)))</f>
        <v>0</v>
      </c>
      <c r="CP27" s="7">
        <f>IF(SUM($CT27:$CV27)=0, 0, 1)</f>
        <v>0</v>
      </c>
      <c r="CQ27" s="7">
        <f>IF(SUM($CW27:$CY27)=0, 0, 1)</f>
        <v>0</v>
      </c>
      <c r="CR27" s="7">
        <f>IF($CZ27=0, 0, 1)</f>
        <v>0</v>
      </c>
      <c r="CS27" s="11"/>
      <c r="CT27" s="215">
        <f t="shared" ref="CT27:CV30" si="24">ROUND(W27-SUMIFS($AA27:$BJ27, $AA$3:$BJ$3, W$3), rounding)</f>
        <v>0</v>
      </c>
      <c r="CU27" s="215">
        <f t="shared" si="24"/>
        <v>0</v>
      </c>
      <c r="CV27" s="215">
        <f t="shared" si="24"/>
        <v>0</v>
      </c>
      <c r="CW27" s="215">
        <f>ROUND($BY27-SUMIFS($AA27:$BJ27, $AA$3:$BJ$3, $BY$3), rounding)</f>
        <v>0</v>
      </c>
      <c r="CX27" s="215">
        <f>ROUND($BZ27-SUMIFS($AA27:$BJ27, $AA$3:$BJ$3, $BZ$3), rounding)</f>
        <v>0</v>
      </c>
      <c r="CY27" s="215">
        <f>ROUND($CA27-SUMIFS($AA27:$BJ27, $AA$3:$BJ$3, $CA$3), rounding)</f>
        <v>0</v>
      </c>
      <c r="CZ27" s="215">
        <f>ROUND($V27-$BX27, rounding)</f>
        <v>0</v>
      </c>
      <c r="DT27" s="11"/>
      <c r="DU27" s="4">
        <v>1</v>
      </c>
      <c r="DV27">
        <v>1</v>
      </c>
      <c r="DW27" s="11"/>
      <c r="EY27" s="10" t="str">
        <f t="shared" si="1"/>
        <v>Total apprenticeship programme funding</v>
      </c>
    </row>
    <row r="28" spans="1:155" x14ac:dyDescent="0.35">
      <c r="A28" s="220" cm="1">
        <f t="array" aca="1" ref="A28" ca="1">HYPERLINK("#"&amp;IFERROR(CELL("address",IF(MAX($CM28:$CS28)=0,A28,INDEX($CM28:$CS28,MATCH(1,$CM28:$CS28,0)))),CELL("address",$V28:$CI28)),IFERROR(MAX($CM28:$CS28),1))</f>
        <v>0</v>
      </c>
      <c r="B28" s="85" t="s">
        <v>122</v>
      </c>
      <c r="C28" s="213" t="str">
        <f>CONCATENATE("M-", 'I&amp;E Annual'!C28)</f>
        <v>M-IE-1b-SI</v>
      </c>
      <c r="D28" s="57" t="s">
        <v>332</v>
      </c>
      <c r="H28" t="s">
        <v>317</v>
      </c>
      <c r="V28" s="109"/>
      <c r="W28" s="133">
        <f t="shared" si="22"/>
        <v>0</v>
      </c>
      <c r="X28" s="133">
        <f t="shared" si="22"/>
        <v>0</v>
      </c>
      <c r="Y28" s="133">
        <f t="shared" si="22"/>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0">
        <f t="shared" si="23"/>
        <v>0</v>
      </c>
      <c r="BY28" s="10">
        <f t="shared" si="23"/>
        <v>0</v>
      </c>
      <c r="BZ28" s="10">
        <f t="shared" si="23"/>
        <v>0</v>
      </c>
      <c r="CA28" s="10">
        <f t="shared" si="23"/>
        <v>0</v>
      </c>
      <c r="CB28" s="109"/>
      <c r="CC28" s="109"/>
      <c r="CD28" s="109"/>
      <c r="CE28" s="109"/>
      <c r="CF28" s="109"/>
      <c r="CG28" s="109"/>
      <c r="CH28" s="109"/>
      <c r="CI28" s="109"/>
      <c r="CK28" s="11"/>
      <c r="CL28" s="241">
        <f>IF(MIN($V28:$CI28)&lt;0, 1, 0)</f>
        <v>0</v>
      </c>
      <c r="CM28" s="11"/>
      <c r="CO28" s="7" cm="1">
        <f t="array" ref="CO28">SUMPRODUCT(--NOT(ISNUMBER(V28:CI28)),--NOT(ISBLANK(V28:CI28)))</f>
        <v>0</v>
      </c>
      <c r="CP28" s="7">
        <f>IF(SUM($CT28:$CV28)=0, 0, 1)</f>
        <v>0</v>
      </c>
      <c r="CQ28" s="7">
        <f>IF(SUM($CW28:$CY28)=0, 0, 1)</f>
        <v>0</v>
      </c>
      <c r="CR28" s="7">
        <f>IF($CZ28=0, 0, 1)</f>
        <v>0</v>
      </c>
      <c r="CS28" s="11"/>
      <c r="CT28" s="215">
        <f t="shared" si="24"/>
        <v>0</v>
      </c>
      <c r="CU28" s="215">
        <f t="shared" si="24"/>
        <v>0</v>
      </c>
      <c r="CV28" s="215">
        <f t="shared" si="24"/>
        <v>0</v>
      </c>
      <c r="CW28" s="215">
        <f>ROUND($BY28-SUMIFS($AA28:$BJ28, $AA$3:$BJ$3, $BY$3), rounding)</f>
        <v>0</v>
      </c>
      <c r="CX28" s="215">
        <f>ROUND($BZ28-SUMIFS($AA28:$BJ28, $AA$3:$BJ$3, $BZ$3), rounding)</f>
        <v>0</v>
      </c>
      <c r="CY28" s="215">
        <f>ROUND($CA28-SUMIFS($AA28:$BJ28, $AA$3:$BJ$3, $CA$3), rounding)</f>
        <v>0</v>
      </c>
      <c r="CZ28" s="215">
        <f>ROUND($V28-$BX28, rounding)</f>
        <v>0</v>
      </c>
      <c r="DT28" s="11"/>
      <c r="DU28" s="4">
        <v>1</v>
      </c>
      <c r="DV28">
        <v>1</v>
      </c>
      <c r="DW28" s="11"/>
      <c r="EY28" s="10" t="str">
        <f t="shared" si="1"/>
        <v>Subcontracted in: Apprenticeship income</v>
      </c>
    </row>
    <row r="29" spans="1:155" s="5" customFormat="1" x14ac:dyDescent="0.35">
      <c r="A29" s="220" cm="1">
        <f t="array" aca="1" ref="A29" ca="1">HYPERLINK("#"&amp;IFERROR(CELL("address",IF(MAX($CM29:$CS29)=0,A29,INDEX($CM29:$CS29,MATCH(1,$CM29:$CS29,0)))),CELL("address",$V29:$CI29)),IFERROR(MAX($CM29:$CS29),1))</f>
        <v>0</v>
      </c>
      <c r="C29" s="213" t="str">
        <f>CONCATENATE("M-", 'I&amp;E Annual'!C29)</f>
        <v>M-IE-1b</v>
      </c>
      <c r="D29" s="61" t="s">
        <v>333</v>
      </c>
      <c r="H29" t="s">
        <v>317</v>
      </c>
      <c r="S29"/>
      <c r="T29"/>
      <c r="U29"/>
      <c r="V29" s="12">
        <f>SUM(V27:V28)</f>
        <v>0</v>
      </c>
      <c r="W29" s="12">
        <f>SUM(W27:W28)</f>
        <v>0</v>
      </c>
      <c r="X29" s="12">
        <f>SUM(X27:X28)</f>
        <v>0</v>
      </c>
      <c r="Y29" s="12">
        <f>SUM(Y27:Y28)</f>
        <v>0</v>
      </c>
      <c r="Z29"/>
      <c r="AA29" s="12">
        <f t="shared" ref="AA29:BJ29" si="25">SUM(AA27:AA28)</f>
        <v>0</v>
      </c>
      <c r="AB29" s="12">
        <f t="shared" si="25"/>
        <v>0</v>
      </c>
      <c r="AC29" s="12">
        <f t="shared" si="25"/>
        <v>0</v>
      </c>
      <c r="AD29" s="12">
        <f t="shared" si="25"/>
        <v>0</v>
      </c>
      <c r="AE29" s="12">
        <f t="shared" si="25"/>
        <v>0</v>
      </c>
      <c r="AF29" s="12">
        <f t="shared" si="25"/>
        <v>0</v>
      </c>
      <c r="AG29" s="12">
        <f t="shared" si="25"/>
        <v>0</v>
      </c>
      <c r="AH29" s="12">
        <f t="shared" si="25"/>
        <v>0</v>
      </c>
      <c r="AI29" s="12">
        <f t="shared" si="25"/>
        <v>0</v>
      </c>
      <c r="AJ29" s="12">
        <f t="shared" si="25"/>
        <v>0</v>
      </c>
      <c r="AK29" s="12">
        <f t="shared" si="25"/>
        <v>0</v>
      </c>
      <c r="AL29" s="12">
        <f t="shared" si="25"/>
        <v>0</v>
      </c>
      <c r="AM29" s="12">
        <f t="shared" si="25"/>
        <v>0</v>
      </c>
      <c r="AN29" s="12">
        <f t="shared" si="25"/>
        <v>0</v>
      </c>
      <c r="AO29" s="12">
        <f t="shared" si="25"/>
        <v>0</v>
      </c>
      <c r="AP29" s="12">
        <f t="shared" si="25"/>
        <v>0</v>
      </c>
      <c r="AQ29" s="12">
        <f t="shared" si="25"/>
        <v>0</v>
      </c>
      <c r="AR29" s="12">
        <f t="shared" si="25"/>
        <v>0</v>
      </c>
      <c r="AS29" s="12">
        <f t="shared" si="25"/>
        <v>0</v>
      </c>
      <c r="AT29" s="12">
        <f t="shared" si="25"/>
        <v>0</v>
      </c>
      <c r="AU29" s="12">
        <f t="shared" si="25"/>
        <v>0</v>
      </c>
      <c r="AV29" s="12">
        <f t="shared" si="25"/>
        <v>0</v>
      </c>
      <c r="AW29" s="12">
        <f t="shared" si="25"/>
        <v>0</v>
      </c>
      <c r="AX29" s="12">
        <f t="shared" si="25"/>
        <v>0</v>
      </c>
      <c r="AY29" s="12">
        <f t="shared" si="25"/>
        <v>0</v>
      </c>
      <c r="AZ29" s="12">
        <f t="shared" si="25"/>
        <v>0</v>
      </c>
      <c r="BA29" s="12">
        <f t="shared" si="25"/>
        <v>0</v>
      </c>
      <c r="BB29" s="12">
        <f t="shared" si="25"/>
        <v>0</v>
      </c>
      <c r="BC29" s="12">
        <f t="shared" si="25"/>
        <v>0</v>
      </c>
      <c r="BD29" s="12">
        <f t="shared" si="25"/>
        <v>0</v>
      </c>
      <c r="BE29" s="12">
        <f t="shared" si="25"/>
        <v>0</v>
      </c>
      <c r="BF29" s="12">
        <f t="shared" si="25"/>
        <v>0</v>
      </c>
      <c r="BG29" s="12">
        <f t="shared" si="25"/>
        <v>0</v>
      </c>
      <c r="BH29" s="12">
        <f t="shared" si="25"/>
        <v>0</v>
      </c>
      <c r="BI29" s="12">
        <f t="shared" si="25"/>
        <v>0</v>
      </c>
      <c r="BJ29" s="12">
        <f t="shared" si="25"/>
        <v>0</v>
      </c>
      <c r="BK29"/>
      <c r="BL29"/>
      <c r="BM29"/>
      <c r="BN29"/>
      <c r="BO29"/>
      <c r="BP29"/>
      <c r="BQ29"/>
      <c r="BR29"/>
      <c r="BS29"/>
      <c r="BT29"/>
      <c r="BU29"/>
      <c r="BV29"/>
      <c r="BW29"/>
      <c r="BX29" s="12">
        <f t="shared" ref="BX29:CI29" si="26">SUM(BX27:BX28)</f>
        <v>0</v>
      </c>
      <c r="BY29" s="12">
        <f t="shared" si="26"/>
        <v>0</v>
      </c>
      <c r="BZ29" s="12">
        <f t="shared" si="26"/>
        <v>0</v>
      </c>
      <c r="CA29" s="12">
        <f t="shared" si="26"/>
        <v>0</v>
      </c>
      <c r="CB29" s="12">
        <f t="shared" si="26"/>
        <v>0</v>
      </c>
      <c r="CC29" s="12">
        <f t="shared" si="26"/>
        <v>0</v>
      </c>
      <c r="CD29" s="12">
        <f t="shared" si="26"/>
        <v>0</v>
      </c>
      <c r="CE29" s="12">
        <f t="shared" si="26"/>
        <v>0</v>
      </c>
      <c r="CF29" s="12">
        <f t="shared" si="26"/>
        <v>0</v>
      </c>
      <c r="CG29" s="12">
        <f t="shared" si="26"/>
        <v>0</v>
      </c>
      <c r="CH29" s="12">
        <f t="shared" si="26"/>
        <v>0</v>
      </c>
      <c r="CI29" s="12">
        <f t="shared" si="26"/>
        <v>0</v>
      </c>
      <c r="CK29" s="11"/>
      <c r="CL29" s="241">
        <f>IF(MIN($V29:$CI29)&lt;0, 1, 0)</f>
        <v>0</v>
      </c>
      <c r="CM29" s="11"/>
      <c r="CN29"/>
      <c r="CO29"/>
      <c r="CP29" s="7">
        <f>IF(SUM($CT29:$CV29)=0, 0, 1)</f>
        <v>0</v>
      </c>
      <c r="CQ29" s="7">
        <f>IF(SUM($CW29:$CY29)=0, 0, 1)</f>
        <v>0</v>
      </c>
      <c r="CR29" s="7">
        <f>IF($CZ29=0, 0, 1)</f>
        <v>0</v>
      </c>
      <c r="CS29" s="11"/>
      <c r="CT29" s="215">
        <f t="shared" si="24"/>
        <v>0</v>
      </c>
      <c r="CU29" s="215">
        <f t="shared" si="24"/>
        <v>0</v>
      </c>
      <c r="CV29" s="215">
        <f t="shared" si="24"/>
        <v>0</v>
      </c>
      <c r="CW29" s="215">
        <f>ROUND($BY29-SUMIFS($AA29:$BJ29, $AA$3:$BJ$3, $BY$3), rounding)</f>
        <v>0</v>
      </c>
      <c r="CX29" s="215">
        <f>ROUND($BZ29-SUMIFS($AA29:$BJ29, $AA$3:$BJ$3, $BZ$3), rounding)</f>
        <v>0</v>
      </c>
      <c r="CY29" s="215">
        <f>ROUND($CA29-SUMIFS($AA29:$BJ29, $AA$3:$BJ$3, $CA$3), rounding)</f>
        <v>0</v>
      </c>
      <c r="CZ29" s="215">
        <f>ROUND($V29-$BX29, rounding)</f>
        <v>0</v>
      </c>
      <c r="DA29"/>
      <c r="DG29"/>
      <c r="DT29" s="11"/>
      <c r="DU29" s="5">
        <v>0</v>
      </c>
      <c r="DV29" s="5">
        <v>0</v>
      </c>
      <c r="DW29" s="11"/>
      <c r="DX29"/>
      <c r="DY29"/>
      <c r="DZ29"/>
      <c r="EA29"/>
      <c r="EB29"/>
      <c r="EC29"/>
      <c r="ED29"/>
      <c r="EE29"/>
      <c r="EF29"/>
      <c r="EG29"/>
      <c r="EH29"/>
      <c r="EI29"/>
      <c r="EJ29"/>
      <c r="EK29"/>
      <c r="EL29"/>
      <c r="EM29"/>
      <c r="EN29"/>
      <c r="EO29"/>
      <c r="EP29"/>
      <c r="EQ29"/>
      <c r="ER29"/>
      <c r="ES29"/>
      <c r="ET29"/>
      <c r="EU29"/>
      <c r="EV29"/>
      <c r="EW29"/>
      <c r="EX29"/>
      <c r="EY29" s="10" t="str">
        <f t="shared" si="1"/>
        <v>Total Apprenticeships Income</v>
      </c>
    </row>
    <row r="30" spans="1:155" x14ac:dyDescent="0.35">
      <c r="A30" s="220" cm="1">
        <f t="array" aca="1" ref="A30" ca="1">HYPERLINK("#"&amp;IFERROR(CELL("address",IF(MAX($CM30:$CS30)=0,A30,INDEX($CM30:$CS30,MATCH(1,$CM30:$CS30,0)))),CELL("address",$V30:$CI30)),IFERROR(MAX($CM30:$CS30),1))</f>
        <v>0</v>
      </c>
      <c r="C30" s="213" t="str">
        <f>CONCATENATE("M-", 'I&amp;E Annual'!C30)</f>
        <v>M-IE-1b-SO</v>
      </c>
      <c r="D30" s="57" t="s">
        <v>334</v>
      </c>
      <c r="H30" t="s">
        <v>317</v>
      </c>
      <c r="V30" s="109"/>
      <c r="W30" s="133">
        <f xml:space="preserve"> SUMIFS($AA30:$BJ30, $AA$3:$BJ$3, W$3)</f>
        <v>0</v>
      </c>
      <c r="X30" s="133">
        <f xml:space="preserve"> SUMIFS($AA30:$BJ30, $AA$3:$BJ$3, X$3)</f>
        <v>0</v>
      </c>
      <c r="Y30" s="133">
        <f xml:space="preserve"> SUMIFS($AA30:$BJ30, $AA$3:$BJ$3, Y$3)</f>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0">
        <f>V30</f>
        <v>0</v>
      </c>
      <c r="BY30" s="10">
        <f>W30</f>
        <v>0</v>
      </c>
      <c r="BZ30" s="10">
        <f>X30</f>
        <v>0</v>
      </c>
      <c r="CA30" s="10">
        <f>Y30</f>
        <v>0</v>
      </c>
      <c r="CB30" s="109"/>
      <c r="CC30" s="109"/>
      <c r="CD30" s="109"/>
      <c r="CE30" s="109"/>
      <c r="CF30" s="109"/>
      <c r="CG30" s="109"/>
      <c r="CH30" s="109"/>
      <c r="CI30" s="109"/>
      <c r="CK30" s="11"/>
      <c r="CL30" s="241">
        <f>IF(MIN($V30:$CI30)&lt;0, 1, 0)</f>
        <v>0</v>
      </c>
      <c r="CM30" s="11"/>
      <c r="CN30" s="7">
        <f>IF(DA30=0, 0, 1)</f>
        <v>0</v>
      </c>
      <c r="CO30" s="7" cm="1">
        <f t="array" ref="CO30">SUMPRODUCT(--NOT(ISNUMBER(V30:CI30)),--NOT(ISBLANK(V30:CI30)))</f>
        <v>0</v>
      </c>
      <c r="CP30" s="7">
        <f>IF(SUM($CT30:$CV30)=0, 0, 1)</f>
        <v>0</v>
      </c>
      <c r="CQ30" s="7">
        <f>IF(SUM($CW30:$CY30)=0, 0, 1)</f>
        <v>0</v>
      </c>
      <c r="CR30" s="7">
        <f>IF($CZ30=0, 0, 1)</f>
        <v>0</v>
      </c>
      <c r="CS30" s="11"/>
      <c r="CT30" s="215">
        <f t="shared" si="24"/>
        <v>0</v>
      </c>
      <c r="CU30" s="215">
        <f t="shared" si="24"/>
        <v>0</v>
      </c>
      <c r="CV30" s="215">
        <f t="shared" si="24"/>
        <v>0</v>
      </c>
      <c r="CW30" s="215">
        <f>ROUND($BY30-SUMIFS($AA30:$BJ30, $AA$3:$BJ$3, $BY$3), rounding)</f>
        <v>0</v>
      </c>
      <c r="CX30" s="215">
        <f>ROUND($BZ30-SUMIFS($AA30:$BJ30, $AA$3:$BJ$3, $BZ$3), rounding)</f>
        <v>0</v>
      </c>
      <c r="CY30" s="215">
        <f>ROUND($CA30-SUMIFS($AA30:$BJ30, $AA$3:$BJ$3, $CA$3), rounding)</f>
        <v>0</v>
      </c>
      <c r="CZ30" s="215">
        <f>ROUND($V30-$BX30, rounding)</f>
        <v>0</v>
      </c>
      <c r="DA30" s="508">
        <f>SUM(DC30:DS30)</f>
        <v>0</v>
      </c>
      <c r="DC30" s="7">
        <f>IF(V30&gt;V29, 1, 0)</f>
        <v>0</v>
      </c>
      <c r="DD30" s="7">
        <f>IF(W30&gt;W29, 1, 0)</f>
        <v>0</v>
      </c>
      <c r="DE30" s="7">
        <f>IF(X30&gt;X29, 1, 0)</f>
        <v>0</v>
      </c>
      <c r="DF30" s="7">
        <f>IF(Y30&gt;Y29, 1, 0)</f>
        <v>0</v>
      </c>
      <c r="DH30" s="7">
        <f t="shared" ref="DH30:DS30" si="27">IF(BX30&gt;BX29, 1, 0)</f>
        <v>0</v>
      </c>
      <c r="DI30" s="7">
        <f t="shared" si="27"/>
        <v>0</v>
      </c>
      <c r="DJ30" s="7">
        <f t="shared" si="27"/>
        <v>0</v>
      </c>
      <c r="DK30" s="7">
        <f t="shared" si="27"/>
        <v>0</v>
      </c>
      <c r="DL30" s="7">
        <f t="shared" si="27"/>
        <v>0</v>
      </c>
      <c r="DM30" s="7">
        <f t="shared" si="27"/>
        <v>0</v>
      </c>
      <c r="DN30" s="7">
        <f t="shared" si="27"/>
        <v>0</v>
      </c>
      <c r="DO30" s="7">
        <f t="shared" si="27"/>
        <v>0</v>
      </c>
      <c r="DP30" s="7">
        <f t="shared" si="27"/>
        <v>0</v>
      </c>
      <c r="DQ30" s="7">
        <f t="shared" si="27"/>
        <v>0</v>
      </c>
      <c r="DR30" s="7">
        <f t="shared" si="27"/>
        <v>0</v>
      </c>
      <c r="DS30" s="7">
        <f t="shared" si="27"/>
        <v>0</v>
      </c>
      <c r="DT30" s="11"/>
      <c r="DU30" s="4">
        <v>0</v>
      </c>
      <c r="DV30">
        <v>0</v>
      </c>
      <c r="DW30" s="11"/>
      <c r="EY30" s="10" t="str">
        <f t="shared" si="1"/>
        <v>Of which: subcontracted out Apprenticeship income</v>
      </c>
    </row>
    <row r="31" spans="1:155" ht="6.75" customHeight="1" x14ac:dyDescent="0.35">
      <c r="C31" s="213"/>
      <c r="BY31" s="6"/>
      <c r="CK31" s="35"/>
      <c r="CM31" s="35"/>
      <c r="CS31" s="35"/>
      <c r="CT31" s="215"/>
      <c r="CU31" s="215"/>
      <c r="CV31" s="215"/>
      <c r="CW31" s="215">
        <f>$BY31-SUMIFS($AA31:$BJ31, $AA$3:$BJ$3, $BY$3)</f>
        <v>0</v>
      </c>
      <c r="DT31" s="35"/>
      <c r="DU31">
        <v>0</v>
      </c>
      <c r="DV31">
        <v>0</v>
      </c>
      <c r="DW31" s="35"/>
      <c r="EY31" s="10" t="str">
        <f t="shared" si="1"/>
        <v/>
      </c>
    </row>
    <row r="32" spans="1:155" ht="29" x14ac:dyDescent="0.35">
      <c r="B32" s="5"/>
      <c r="C32" s="213"/>
      <c r="D32" s="61" t="s">
        <v>335</v>
      </c>
      <c r="E32" s="5"/>
      <c r="CK32" s="11"/>
      <c r="CM32" s="11"/>
      <c r="CS32" s="11"/>
      <c r="CT32" s="215"/>
      <c r="CU32" s="215"/>
      <c r="CV32" s="215"/>
      <c r="CW32" s="215"/>
      <c r="DT32" s="11"/>
      <c r="DU32">
        <v>0</v>
      </c>
      <c r="DV32">
        <v>0</v>
      </c>
      <c r="DW32" s="11"/>
      <c r="EY32" s="10" t="str">
        <f t="shared" si="1"/>
        <v/>
      </c>
    </row>
    <row r="33" spans="1:155" x14ac:dyDescent="0.35">
      <c r="A33" s="220" cm="1">
        <f t="array" aca="1" ref="A33" ca="1">HYPERLINK("#"&amp;IFERROR(CELL("address",IF(MAX($CM33:$CS33)=0,A33,INDEX($CM33:$CS33,MATCH(1,$CM33:$CS33,0)))),CELL("address",$V33:$CI33)),IFERROR(MAX($CM33:$CS33),1))</f>
        <v>0</v>
      </c>
      <c r="B33" s="85" t="s">
        <v>122</v>
      </c>
      <c r="C33" s="213" t="str">
        <f>CONCATENATE("M-", 'I&amp;E Annual'!C33)</f>
        <v>M-IE-1c-1</v>
      </c>
      <c r="D33" s="57" t="s">
        <v>336</v>
      </c>
      <c r="H33" t="s">
        <v>317</v>
      </c>
      <c r="V33" s="109"/>
      <c r="W33" s="133">
        <f t="shared" ref="W33:Y37" si="28" xml:space="preserve"> SUMIFS($AA33:$BJ33, $AA$3:$BJ$3, W$3)</f>
        <v>0</v>
      </c>
      <c r="X33" s="133">
        <f t="shared" si="28"/>
        <v>0</v>
      </c>
      <c r="Y33" s="133">
        <f t="shared" si="28"/>
        <v>0</v>
      </c>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X33" s="10">
        <f t="shared" ref="BX33:CA37" si="29">V33</f>
        <v>0</v>
      </c>
      <c r="BY33" s="10">
        <f t="shared" si="29"/>
        <v>0</v>
      </c>
      <c r="BZ33" s="10">
        <f t="shared" si="29"/>
        <v>0</v>
      </c>
      <c r="CA33" s="10">
        <f t="shared" si="29"/>
        <v>0</v>
      </c>
      <c r="CB33" s="109"/>
      <c r="CC33" s="109"/>
      <c r="CD33" s="109"/>
      <c r="CE33" s="109"/>
      <c r="CF33" s="109"/>
      <c r="CG33" s="109"/>
      <c r="CH33" s="109"/>
      <c r="CI33" s="109"/>
      <c r="CK33" s="11"/>
      <c r="CL33" s="241">
        <f t="shared" ref="CL33:CL39" si="30">IF(MIN($V33:$CI33)&lt;0, 1, 0)</f>
        <v>0</v>
      </c>
      <c r="CM33" s="11"/>
      <c r="CO33" s="7" cm="1">
        <f t="array" ref="CO33">SUMPRODUCT(--NOT(ISNUMBER(V33:CI33)),--NOT(ISBLANK(V33:CI33)))</f>
        <v>0</v>
      </c>
      <c r="CP33" s="7">
        <f t="shared" ref="CP33:CP39" si="31">IF(SUM($CT33:$CV33)=0, 0, 1)</f>
        <v>0</v>
      </c>
      <c r="CQ33" s="7">
        <f t="shared" ref="CQ33:CQ39" si="32">IF(SUM($CW33:$CY33)=0, 0, 1)</f>
        <v>0</v>
      </c>
      <c r="CR33" s="7">
        <f t="shared" ref="CR33:CR39" si="33">IF($CZ33=0, 0, 1)</f>
        <v>0</v>
      </c>
      <c r="CS33" s="11"/>
      <c r="CT33" s="215">
        <f t="shared" ref="CT33:CV39" si="34">ROUND(W33-SUMIFS($AA33:$BJ33, $AA$3:$BJ$3, W$3), rounding)</f>
        <v>0</v>
      </c>
      <c r="CU33" s="215">
        <f t="shared" si="34"/>
        <v>0</v>
      </c>
      <c r="CV33" s="215">
        <f t="shared" si="34"/>
        <v>0</v>
      </c>
      <c r="CW33" s="215">
        <f t="shared" ref="CW33:CW39" si="35">ROUND($BY33-SUMIFS($AA33:$BJ33, $AA$3:$BJ$3, $BY$3), rounding)</f>
        <v>0</v>
      </c>
      <c r="CX33" s="215">
        <f t="shared" ref="CX33:CX39" si="36">ROUND($BZ33-SUMIFS($AA33:$BJ33, $AA$3:$BJ$3, $BZ$3), rounding)</f>
        <v>0</v>
      </c>
      <c r="CY33" s="215">
        <f t="shared" ref="CY33:CY39" si="37">ROUND($CA33-SUMIFS($AA33:$BJ33, $AA$3:$BJ$3, $CA$3), rounding)</f>
        <v>0</v>
      </c>
      <c r="CZ33" s="215">
        <f t="shared" ref="CZ33:CZ39" si="38">ROUND($V33-$BX33, rounding)</f>
        <v>0</v>
      </c>
      <c r="DT33" s="11"/>
      <c r="DU33" s="4">
        <v>1</v>
      </c>
      <c r="DV33">
        <v>1</v>
      </c>
      <c r="DW33" s="11"/>
      <c r="EY33" s="10" t="str">
        <f t="shared" si="1"/>
        <v>Adult Skills Fund Grant</v>
      </c>
    </row>
    <row r="34" spans="1:155" x14ac:dyDescent="0.35">
      <c r="A34" s="220" cm="1">
        <f t="array" aca="1" ref="A34" ca="1">HYPERLINK("#"&amp;IFERROR(CELL("address",IF(MAX($CM34:$CS34)=0,A34,INDEX($CM34:$CS34,MATCH(1,$CM34:$CS34,0)))),CELL("address",$V34:$CI34)),IFERROR(MAX($CM34:$CS34),1))</f>
        <v>0</v>
      </c>
      <c r="B34" s="85" t="s">
        <v>122</v>
      </c>
      <c r="C34" s="213" t="str">
        <f>CONCATENATE("M-", 'I&amp;E Annual'!C34)</f>
        <v>M-IE-1c-2</v>
      </c>
      <c r="D34" s="57" t="s">
        <v>337</v>
      </c>
      <c r="H34" t="s">
        <v>317</v>
      </c>
      <c r="V34" s="109"/>
      <c r="W34" s="133">
        <f t="shared" si="28"/>
        <v>0</v>
      </c>
      <c r="X34" s="133">
        <f t="shared" si="28"/>
        <v>0</v>
      </c>
      <c r="Y34" s="133">
        <f t="shared" si="28"/>
        <v>0</v>
      </c>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X34" s="10">
        <f t="shared" si="29"/>
        <v>0</v>
      </c>
      <c r="BY34" s="10">
        <f t="shared" si="29"/>
        <v>0</v>
      </c>
      <c r="BZ34" s="10">
        <f t="shared" si="29"/>
        <v>0</v>
      </c>
      <c r="CA34" s="10">
        <f t="shared" si="29"/>
        <v>0</v>
      </c>
      <c r="CB34" s="109"/>
      <c r="CC34" s="109"/>
      <c r="CD34" s="109"/>
      <c r="CE34" s="109"/>
      <c r="CF34" s="109"/>
      <c r="CG34" s="109"/>
      <c r="CH34" s="109"/>
      <c r="CI34" s="109"/>
      <c r="CK34" s="11"/>
      <c r="CL34" s="241">
        <f t="shared" si="30"/>
        <v>0</v>
      </c>
      <c r="CM34" s="11"/>
      <c r="CO34" s="7" cm="1">
        <f t="array" ref="CO34">SUMPRODUCT(--NOT(ISNUMBER(V34:CI34)),--NOT(ISBLANK(V34:CI34)))</f>
        <v>0</v>
      </c>
      <c r="CP34" s="7">
        <f t="shared" si="31"/>
        <v>0</v>
      </c>
      <c r="CQ34" s="7">
        <f t="shared" si="32"/>
        <v>0</v>
      </c>
      <c r="CR34" s="7">
        <f t="shared" si="33"/>
        <v>0</v>
      </c>
      <c r="CS34" s="11"/>
      <c r="CT34" s="215">
        <f t="shared" si="34"/>
        <v>0</v>
      </c>
      <c r="CU34" s="215">
        <f t="shared" si="34"/>
        <v>0</v>
      </c>
      <c r="CV34" s="215">
        <f t="shared" si="34"/>
        <v>0</v>
      </c>
      <c r="CW34" s="215">
        <f t="shared" si="35"/>
        <v>0</v>
      </c>
      <c r="CX34" s="215">
        <f t="shared" si="36"/>
        <v>0</v>
      </c>
      <c r="CY34" s="215">
        <f t="shared" si="37"/>
        <v>0</v>
      </c>
      <c r="CZ34" s="215">
        <f t="shared" si="38"/>
        <v>0</v>
      </c>
      <c r="DT34" s="11"/>
      <c r="DU34" s="4">
        <v>1</v>
      </c>
      <c r="DV34">
        <v>1</v>
      </c>
      <c r="DW34" s="11"/>
      <c r="EY34" s="10" t="str">
        <f t="shared" si="1"/>
        <v>Adult Skills Fund Procured</v>
      </c>
    </row>
    <row r="35" spans="1:155" x14ac:dyDescent="0.35">
      <c r="A35" s="220" cm="1">
        <f t="array" aca="1" ref="A35" ca="1">HYPERLINK("#"&amp;IFERROR(CELL("address",IF(MAX($CM35:$CS35)=0,A35,INDEX($CM35:$CS35,MATCH(1,$CM35:$CS35,0)))),CELL("address",$V35:$CI35)),IFERROR(MAX($CM35:$CS35),1))</f>
        <v>0</v>
      </c>
      <c r="B35" s="85" t="s">
        <v>122</v>
      </c>
      <c r="C35" s="213" t="str">
        <f>CONCATENATE("M-", 'I&amp;E Annual'!C35)</f>
        <v>M-IE-1c-3</v>
      </c>
      <c r="D35" s="57" t="s">
        <v>338</v>
      </c>
      <c r="H35" t="s">
        <v>317</v>
      </c>
      <c r="V35" s="109"/>
      <c r="W35" s="133">
        <f t="shared" si="28"/>
        <v>0</v>
      </c>
      <c r="X35" s="133">
        <f t="shared" si="28"/>
        <v>0</v>
      </c>
      <c r="Y35" s="133">
        <f t="shared" si="28"/>
        <v>0</v>
      </c>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X35" s="10">
        <f t="shared" si="29"/>
        <v>0</v>
      </c>
      <c r="BY35" s="10">
        <f t="shared" si="29"/>
        <v>0</v>
      </c>
      <c r="BZ35" s="10">
        <f t="shared" si="29"/>
        <v>0</v>
      </c>
      <c r="CA35" s="10">
        <f t="shared" si="29"/>
        <v>0</v>
      </c>
      <c r="CB35" s="109"/>
      <c r="CC35" s="109"/>
      <c r="CD35" s="109"/>
      <c r="CE35" s="109"/>
      <c r="CF35" s="109"/>
      <c r="CG35" s="109"/>
      <c r="CH35" s="109"/>
      <c r="CI35" s="109"/>
      <c r="CK35" s="11"/>
      <c r="CL35" s="241">
        <f t="shared" si="30"/>
        <v>0</v>
      </c>
      <c r="CM35" s="11"/>
      <c r="CO35" s="7" cm="1">
        <f t="array" ref="CO35">SUMPRODUCT(--NOT(ISNUMBER(V35:CI35)),--NOT(ISBLANK(V35:CI35)))</f>
        <v>0</v>
      </c>
      <c r="CP35" s="7">
        <f t="shared" si="31"/>
        <v>0</v>
      </c>
      <c r="CQ35" s="7">
        <f t="shared" si="32"/>
        <v>0</v>
      </c>
      <c r="CR35" s="7">
        <f t="shared" si="33"/>
        <v>0</v>
      </c>
      <c r="CS35" s="11"/>
      <c r="CT35" s="215">
        <f t="shared" si="34"/>
        <v>0</v>
      </c>
      <c r="CU35" s="215">
        <f t="shared" si="34"/>
        <v>0</v>
      </c>
      <c r="CV35" s="215">
        <f t="shared" si="34"/>
        <v>0</v>
      </c>
      <c r="CW35" s="215">
        <f t="shared" si="35"/>
        <v>0</v>
      </c>
      <c r="CX35" s="215">
        <f t="shared" si="36"/>
        <v>0</v>
      </c>
      <c r="CY35" s="215">
        <f t="shared" si="37"/>
        <v>0</v>
      </c>
      <c r="CZ35" s="215">
        <f t="shared" si="38"/>
        <v>0</v>
      </c>
      <c r="DT35" s="11"/>
      <c r="DU35" s="4">
        <v>1</v>
      </c>
      <c r="DV35">
        <v>1</v>
      </c>
      <c r="DW35" s="11"/>
      <c r="EY35" s="10" t="str">
        <f t="shared" si="1"/>
        <v>Adult Skills Fund - Devolved Authorities</v>
      </c>
    </row>
    <row r="36" spans="1:155" x14ac:dyDescent="0.35">
      <c r="A36" s="220" cm="1">
        <f t="array" aca="1" ref="A36" ca="1">HYPERLINK("#"&amp;IFERROR(CELL("address",IF(MAX($CM36:$CS36)=0,A36,INDEX($CM36:$CS36,MATCH(1,$CM36:$CS36,0)))),CELL("address",$V36:$CI36)),IFERROR(MAX($CM36:$CS36),1))</f>
        <v>0</v>
      </c>
      <c r="C36" s="213" t="str">
        <f>CONCATENATE("M-", 'I&amp;E Annual'!C36)</f>
        <v>M-IE-1c-4</v>
      </c>
      <c r="D36" s="57" t="s">
        <v>339</v>
      </c>
      <c r="H36" t="s">
        <v>317</v>
      </c>
      <c r="V36" s="109"/>
      <c r="W36" s="133">
        <f t="shared" si="28"/>
        <v>0</v>
      </c>
      <c r="X36" s="133">
        <f t="shared" si="28"/>
        <v>0</v>
      </c>
      <c r="Y36" s="133">
        <f t="shared" si="28"/>
        <v>0</v>
      </c>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X36" s="10">
        <f t="shared" si="29"/>
        <v>0</v>
      </c>
      <c r="BY36" s="10">
        <f t="shared" si="29"/>
        <v>0</v>
      </c>
      <c r="BZ36" s="10">
        <f t="shared" si="29"/>
        <v>0</v>
      </c>
      <c r="CA36" s="10">
        <f t="shared" si="29"/>
        <v>0</v>
      </c>
      <c r="CB36" s="109"/>
      <c r="CC36" s="109"/>
      <c r="CD36" s="109"/>
      <c r="CE36" s="109"/>
      <c r="CF36" s="109"/>
      <c r="CG36" s="109"/>
      <c r="CH36" s="109"/>
      <c r="CI36" s="109"/>
      <c r="CK36" s="11"/>
      <c r="CL36" s="241">
        <f t="shared" si="30"/>
        <v>0</v>
      </c>
      <c r="CM36" s="11"/>
      <c r="CO36" s="7" cm="1">
        <f t="array" ref="CO36">SUMPRODUCT(--NOT(ISNUMBER(V36:CI36)),--NOT(ISBLANK(V36:CI36)))</f>
        <v>0</v>
      </c>
      <c r="CP36" s="7">
        <f t="shared" si="31"/>
        <v>0</v>
      </c>
      <c r="CQ36" s="7">
        <f t="shared" si="32"/>
        <v>0</v>
      </c>
      <c r="CR36" s="7">
        <f t="shared" si="33"/>
        <v>0</v>
      </c>
      <c r="CS36" s="11"/>
      <c r="CT36" s="215">
        <f t="shared" si="34"/>
        <v>0</v>
      </c>
      <c r="CU36" s="215">
        <f t="shared" si="34"/>
        <v>0</v>
      </c>
      <c r="CV36" s="215">
        <f t="shared" si="34"/>
        <v>0</v>
      </c>
      <c r="CW36" s="215">
        <f t="shared" si="35"/>
        <v>0</v>
      </c>
      <c r="CX36" s="215">
        <f t="shared" si="36"/>
        <v>0</v>
      </c>
      <c r="CY36" s="215">
        <f t="shared" si="37"/>
        <v>0</v>
      </c>
      <c r="CZ36" s="215">
        <f t="shared" si="38"/>
        <v>0</v>
      </c>
      <c r="DT36" s="11"/>
      <c r="DU36" s="4">
        <v>1</v>
      </c>
      <c r="DV36">
        <v>1</v>
      </c>
      <c r="DW36" s="11"/>
      <c r="EY36" s="10" t="str">
        <f t="shared" si="1"/>
        <v>Advanced Learner Loans income (excl. bursary)</v>
      </c>
    </row>
    <row r="37" spans="1:155" x14ac:dyDescent="0.35">
      <c r="A37" s="220" cm="1">
        <f t="array" aca="1" ref="A37" ca="1">HYPERLINK("#"&amp;IFERROR(CELL("address",IF(MAX($CM37:$CS37)=0,A37,INDEX($CM37:$CS37,MATCH(1,$CM37:$CS37,0)))),CELL("address",$V37:$CI37)),IFERROR(MAX($CM37:$CS37),1))</f>
        <v>0</v>
      </c>
      <c r="C37" s="213" t="str">
        <f>CONCATENATE("M-", 'I&amp;E Annual'!C37)</f>
        <v>M-IE-1c-SI</v>
      </c>
      <c r="D37" s="57" t="s">
        <v>340</v>
      </c>
      <c r="H37" t="s">
        <v>317</v>
      </c>
      <c r="V37" s="109"/>
      <c r="W37" s="133">
        <f t="shared" si="28"/>
        <v>0</v>
      </c>
      <c r="X37" s="133">
        <f t="shared" si="28"/>
        <v>0</v>
      </c>
      <c r="Y37" s="133">
        <f t="shared" si="28"/>
        <v>0</v>
      </c>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X37" s="10">
        <f t="shared" si="29"/>
        <v>0</v>
      </c>
      <c r="BY37" s="10">
        <f t="shared" si="29"/>
        <v>0</v>
      </c>
      <c r="BZ37" s="10">
        <f t="shared" si="29"/>
        <v>0</v>
      </c>
      <c r="CA37" s="10">
        <f t="shared" si="29"/>
        <v>0</v>
      </c>
      <c r="CB37" s="109"/>
      <c r="CC37" s="109"/>
      <c r="CD37" s="109"/>
      <c r="CE37" s="109"/>
      <c r="CF37" s="109"/>
      <c r="CG37" s="109"/>
      <c r="CH37" s="109"/>
      <c r="CI37" s="109"/>
      <c r="CK37" s="11"/>
      <c r="CL37" s="241">
        <f t="shared" si="30"/>
        <v>0</v>
      </c>
      <c r="CM37" s="11"/>
      <c r="CO37" s="7" cm="1">
        <f t="array" ref="CO37">SUMPRODUCT(--NOT(ISNUMBER(V37:CI37)),--NOT(ISBLANK(V37:CI37)))</f>
        <v>0</v>
      </c>
      <c r="CP37" s="7">
        <f t="shared" si="31"/>
        <v>0</v>
      </c>
      <c r="CQ37" s="7">
        <f t="shared" si="32"/>
        <v>0</v>
      </c>
      <c r="CR37" s="7">
        <f t="shared" si="33"/>
        <v>0</v>
      </c>
      <c r="CS37" s="11"/>
      <c r="CT37" s="215">
        <f t="shared" si="34"/>
        <v>0</v>
      </c>
      <c r="CU37" s="215">
        <f t="shared" si="34"/>
        <v>0</v>
      </c>
      <c r="CV37" s="215">
        <f t="shared" si="34"/>
        <v>0</v>
      </c>
      <c r="CW37" s="215">
        <f t="shared" si="35"/>
        <v>0</v>
      </c>
      <c r="CX37" s="215">
        <f t="shared" si="36"/>
        <v>0</v>
      </c>
      <c r="CY37" s="215">
        <f t="shared" si="37"/>
        <v>0</v>
      </c>
      <c r="CZ37" s="215">
        <f t="shared" si="38"/>
        <v>0</v>
      </c>
      <c r="DT37" s="11"/>
      <c r="DU37" s="4">
        <v>1</v>
      </c>
      <c r="DV37">
        <v>1</v>
      </c>
      <c r="DW37" s="11"/>
      <c r="EY37" s="10" t="str">
        <f t="shared" si="1"/>
        <v>Subcontracted in - Adult Education and Training Income</v>
      </c>
    </row>
    <row r="38" spans="1:155" s="5" customFormat="1" ht="29" x14ac:dyDescent="0.35">
      <c r="A38" s="220" cm="1">
        <f t="array" aca="1" ref="A38" ca="1">HYPERLINK("#"&amp;IFERROR(CELL("address",IF(MAX($CM38:$CS38)=0,A38,INDEX($CM38:$CS38,MATCH(1,$CM38:$CS38,0)))),CELL("address",$V38:$CI38)),IFERROR(MAX($CM38:$CS38),1))</f>
        <v>0</v>
      </c>
      <c r="C38" s="213" t="str">
        <f>CONCATENATE("M-", 'I&amp;E Annual'!C38)</f>
        <v>M-IE-1c</v>
      </c>
      <c r="D38" s="61" t="s">
        <v>341</v>
      </c>
      <c r="S38"/>
      <c r="T38"/>
      <c r="U38"/>
      <c r="V38" s="12">
        <f>SUM(V33:V37)</f>
        <v>0</v>
      </c>
      <c r="W38" s="12">
        <f>SUM(W33:W37)</f>
        <v>0</v>
      </c>
      <c r="X38" s="12">
        <f>SUM(X33:X37)</f>
        <v>0</v>
      </c>
      <c r="Y38" s="12">
        <f>SUM(Y33:Y37)</f>
        <v>0</v>
      </c>
      <c r="Z38"/>
      <c r="AA38" s="12">
        <f t="shared" ref="AA38:BJ38" si="39">SUM(AA33:AA37)</f>
        <v>0</v>
      </c>
      <c r="AB38" s="12">
        <f t="shared" si="39"/>
        <v>0</v>
      </c>
      <c r="AC38" s="12">
        <f t="shared" si="39"/>
        <v>0</v>
      </c>
      <c r="AD38" s="12">
        <f t="shared" si="39"/>
        <v>0</v>
      </c>
      <c r="AE38" s="12">
        <f t="shared" si="39"/>
        <v>0</v>
      </c>
      <c r="AF38" s="12">
        <f t="shared" si="39"/>
        <v>0</v>
      </c>
      <c r="AG38" s="12">
        <f t="shared" si="39"/>
        <v>0</v>
      </c>
      <c r="AH38" s="12">
        <f t="shared" si="39"/>
        <v>0</v>
      </c>
      <c r="AI38" s="12">
        <f t="shared" si="39"/>
        <v>0</v>
      </c>
      <c r="AJ38" s="12">
        <f t="shared" si="39"/>
        <v>0</v>
      </c>
      <c r="AK38" s="12">
        <f t="shared" si="39"/>
        <v>0</v>
      </c>
      <c r="AL38" s="12">
        <f t="shared" si="39"/>
        <v>0</v>
      </c>
      <c r="AM38" s="12">
        <f t="shared" si="39"/>
        <v>0</v>
      </c>
      <c r="AN38" s="12">
        <f t="shared" si="39"/>
        <v>0</v>
      </c>
      <c r="AO38" s="12">
        <f t="shared" si="39"/>
        <v>0</v>
      </c>
      <c r="AP38" s="12">
        <f t="shared" si="39"/>
        <v>0</v>
      </c>
      <c r="AQ38" s="12">
        <f t="shared" si="39"/>
        <v>0</v>
      </c>
      <c r="AR38" s="12">
        <f t="shared" si="39"/>
        <v>0</v>
      </c>
      <c r="AS38" s="12">
        <f t="shared" si="39"/>
        <v>0</v>
      </c>
      <c r="AT38" s="12">
        <f t="shared" si="39"/>
        <v>0</v>
      </c>
      <c r="AU38" s="12">
        <f t="shared" si="39"/>
        <v>0</v>
      </c>
      <c r="AV38" s="12">
        <f t="shared" si="39"/>
        <v>0</v>
      </c>
      <c r="AW38" s="12">
        <f t="shared" si="39"/>
        <v>0</v>
      </c>
      <c r="AX38" s="12">
        <f t="shared" si="39"/>
        <v>0</v>
      </c>
      <c r="AY38" s="12">
        <f t="shared" si="39"/>
        <v>0</v>
      </c>
      <c r="AZ38" s="12">
        <f t="shared" si="39"/>
        <v>0</v>
      </c>
      <c r="BA38" s="12">
        <f t="shared" si="39"/>
        <v>0</v>
      </c>
      <c r="BB38" s="12">
        <f t="shared" si="39"/>
        <v>0</v>
      </c>
      <c r="BC38" s="12">
        <f t="shared" si="39"/>
        <v>0</v>
      </c>
      <c r="BD38" s="12">
        <f t="shared" si="39"/>
        <v>0</v>
      </c>
      <c r="BE38" s="12">
        <f t="shared" si="39"/>
        <v>0</v>
      </c>
      <c r="BF38" s="12">
        <f t="shared" si="39"/>
        <v>0</v>
      </c>
      <c r="BG38" s="12">
        <f t="shared" si="39"/>
        <v>0</v>
      </c>
      <c r="BH38" s="12">
        <f t="shared" si="39"/>
        <v>0</v>
      </c>
      <c r="BI38" s="12">
        <f t="shared" si="39"/>
        <v>0</v>
      </c>
      <c r="BJ38" s="12">
        <f t="shared" si="39"/>
        <v>0</v>
      </c>
      <c r="BK38"/>
      <c r="BL38"/>
      <c r="BM38"/>
      <c r="BN38"/>
      <c r="BO38"/>
      <c r="BP38"/>
      <c r="BQ38"/>
      <c r="BR38"/>
      <c r="BS38"/>
      <c r="BT38"/>
      <c r="BU38"/>
      <c r="BV38"/>
      <c r="BW38"/>
      <c r="BX38" s="12">
        <f t="shared" ref="BX38:CI38" si="40">SUM(BX33:BX37)</f>
        <v>0</v>
      </c>
      <c r="BY38" s="12">
        <f t="shared" si="40"/>
        <v>0</v>
      </c>
      <c r="BZ38" s="12">
        <f t="shared" si="40"/>
        <v>0</v>
      </c>
      <c r="CA38" s="12">
        <f t="shared" si="40"/>
        <v>0</v>
      </c>
      <c r="CB38" s="12">
        <f t="shared" si="40"/>
        <v>0</v>
      </c>
      <c r="CC38" s="12">
        <f t="shared" si="40"/>
        <v>0</v>
      </c>
      <c r="CD38" s="12">
        <f t="shared" si="40"/>
        <v>0</v>
      </c>
      <c r="CE38" s="12">
        <f t="shared" si="40"/>
        <v>0</v>
      </c>
      <c r="CF38" s="12">
        <f t="shared" si="40"/>
        <v>0</v>
      </c>
      <c r="CG38" s="12">
        <f t="shared" si="40"/>
        <v>0</v>
      </c>
      <c r="CH38" s="12">
        <f t="shared" si="40"/>
        <v>0</v>
      </c>
      <c r="CI38" s="12">
        <f t="shared" si="40"/>
        <v>0</v>
      </c>
      <c r="CK38" s="11"/>
      <c r="CL38" s="241">
        <f t="shared" si="30"/>
        <v>0</v>
      </c>
      <c r="CM38" s="11"/>
      <c r="CN38"/>
      <c r="CO38"/>
      <c r="CP38" s="7">
        <f t="shared" si="31"/>
        <v>0</v>
      </c>
      <c r="CQ38" s="7">
        <f t="shared" si="32"/>
        <v>0</v>
      </c>
      <c r="CR38" s="7">
        <f t="shared" si="33"/>
        <v>0</v>
      </c>
      <c r="CS38" s="11"/>
      <c r="CT38" s="215">
        <f t="shared" si="34"/>
        <v>0</v>
      </c>
      <c r="CU38" s="215">
        <f t="shared" si="34"/>
        <v>0</v>
      </c>
      <c r="CV38" s="215">
        <f t="shared" si="34"/>
        <v>0</v>
      </c>
      <c r="CW38" s="215">
        <f t="shared" si="35"/>
        <v>0</v>
      </c>
      <c r="CX38" s="215">
        <f t="shared" si="36"/>
        <v>0</v>
      </c>
      <c r="CY38" s="215">
        <f t="shared" si="37"/>
        <v>0</v>
      </c>
      <c r="CZ38" s="215">
        <f t="shared" si="38"/>
        <v>0</v>
      </c>
      <c r="DA38"/>
      <c r="DG38"/>
      <c r="DT38" s="11"/>
      <c r="DU38" s="5">
        <v>0</v>
      </c>
      <c r="DV38" s="5">
        <v>0</v>
      </c>
      <c r="DW38" s="11"/>
      <c r="DX38"/>
      <c r="DY38"/>
      <c r="DZ38"/>
      <c r="EA38"/>
      <c r="EB38"/>
      <c r="EC38"/>
      <c r="ED38"/>
      <c r="EE38"/>
      <c r="EF38"/>
      <c r="EG38"/>
      <c r="EH38"/>
      <c r="EI38"/>
      <c r="EJ38"/>
      <c r="EK38"/>
      <c r="EL38"/>
      <c r="EM38"/>
      <c r="EN38"/>
      <c r="EO38"/>
      <c r="EP38"/>
      <c r="EQ38"/>
      <c r="ER38"/>
      <c r="ES38"/>
      <c r="ET38"/>
      <c r="EU38"/>
      <c r="EV38"/>
      <c r="EW38"/>
      <c r="EX38"/>
      <c r="EY38" s="10" t="str">
        <f t="shared" si="1"/>
        <v>Total Adult Education and Training Income (Excluding clawbacks)</v>
      </c>
    </row>
    <row r="39" spans="1:155" ht="29" x14ac:dyDescent="0.35">
      <c r="A39" s="220" cm="1">
        <f t="array" aca="1" ref="A39" ca="1">HYPERLINK("#"&amp;IFERROR(CELL("address",IF(MAX($CM39:$CS39)=0,A39,INDEX($CM39:$CS39,MATCH(1,$CM39:$CS39,0)))),CELL("address",$V39:$CI39)),IFERROR(MAX($CM39:$CS39),1))</f>
        <v>0</v>
      </c>
      <c r="C39" s="213" t="str">
        <f>CONCATENATE("M-", 'I&amp;E Annual'!C39)</f>
        <v>M-IE-1c-SO</v>
      </c>
      <c r="D39" s="57" t="s">
        <v>342</v>
      </c>
      <c r="H39" t="s">
        <v>317</v>
      </c>
      <c r="V39" s="109"/>
      <c r="W39" s="133">
        <f xml:space="preserve"> SUMIFS($AA39:$BJ39, $AA$3:$BJ$3, W$3)</f>
        <v>0</v>
      </c>
      <c r="X39" s="133">
        <f xml:space="preserve"> SUMIFS($AA39:$BJ39, $AA$3:$BJ$3, X$3)</f>
        <v>0</v>
      </c>
      <c r="Y39" s="133">
        <f xml:space="preserve"> SUMIFS($AA39:$BJ39, $AA$3:$BJ$3, Y$3)</f>
        <v>0</v>
      </c>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X39" s="10">
        <f>V39</f>
        <v>0</v>
      </c>
      <c r="BY39" s="10">
        <f>W39</f>
        <v>0</v>
      </c>
      <c r="BZ39" s="10">
        <f>X39</f>
        <v>0</v>
      </c>
      <c r="CA39" s="10">
        <f>Y39</f>
        <v>0</v>
      </c>
      <c r="CB39" s="109"/>
      <c r="CC39" s="109"/>
      <c r="CD39" s="109"/>
      <c r="CE39" s="109"/>
      <c r="CF39" s="109"/>
      <c r="CG39" s="109"/>
      <c r="CH39" s="109"/>
      <c r="CI39" s="109"/>
      <c r="CK39" s="11"/>
      <c r="CL39" s="241">
        <f t="shared" si="30"/>
        <v>0</v>
      </c>
      <c r="CM39" s="11"/>
      <c r="CN39" s="7">
        <f>IF(DA39=0, 0, 1)</f>
        <v>0</v>
      </c>
      <c r="CO39" s="7" cm="1">
        <f t="array" ref="CO39">SUMPRODUCT(--NOT(ISNUMBER(V39:CI39)),--NOT(ISBLANK(V39:CI39)))</f>
        <v>0</v>
      </c>
      <c r="CP39" s="7">
        <f t="shared" si="31"/>
        <v>0</v>
      </c>
      <c r="CQ39" s="7">
        <f t="shared" si="32"/>
        <v>0</v>
      </c>
      <c r="CR39" s="7">
        <f t="shared" si="33"/>
        <v>0</v>
      </c>
      <c r="CS39" s="11"/>
      <c r="CT39" s="215">
        <f t="shared" si="34"/>
        <v>0</v>
      </c>
      <c r="CU39" s="215">
        <f t="shared" si="34"/>
        <v>0</v>
      </c>
      <c r="CV39" s="215">
        <f t="shared" si="34"/>
        <v>0</v>
      </c>
      <c r="CW39" s="215">
        <f t="shared" si="35"/>
        <v>0</v>
      </c>
      <c r="CX39" s="215">
        <f t="shared" si="36"/>
        <v>0</v>
      </c>
      <c r="CY39" s="215">
        <f t="shared" si="37"/>
        <v>0</v>
      </c>
      <c r="CZ39" s="215">
        <f t="shared" si="38"/>
        <v>0</v>
      </c>
      <c r="DA39" s="508">
        <f>SUM(DC39:DS39)</f>
        <v>0</v>
      </c>
      <c r="DC39" s="7">
        <f>IF(V39&gt;V38, 1, 0)</f>
        <v>0</v>
      </c>
      <c r="DD39" s="7">
        <f>IF(W39&gt;W38, 1, 0)</f>
        <v>0</v>
      </c>
      <c r="DE39" s="7">
        <f>IF(X39&gt;X38, 1, 0)</f>
        <v>0</v>
      </c>
      <c r="DF39" s="7">
        <f>IF(Y39&gt;Y38, 1, 0)</f>
        <v>0</v>
      </c>
      <c r="DH39" s="7">
        <f t="shared" ref="DH39:DS39" si="41">IF(BX39&gt;BX38, 1, 0)</f>
        <v>0</v>
      </c>
      <c r="DI39" s="7">
        <f t="shared" si="41"/>
        <v>0</v>
      </c>
      <c r="DJ39" s="7">
        <f t="shared" si="41"/>
        <v>0</v>
      </c>
      <c r="DK39" s="7">
        <f t="shared" si="41"/>
        <v>0</v>
      </c>
      <c r="DL39" s="7">
        <f t="shared" si="41"/>
        <v>0</v>
      </c>
      <c r="DM39" s="7">
        <f t="shared" si="41"/>
        <v>0</v>
      </c>
      <c r="DN39" s="7">
        <f t="shared" si="41"/>
        <v>0</v>
      </c>
      <c r="DO39" s="7">
        <f t="shared" si="41"/>
        <v>0</v>
      </c>
      <c r="DP39" s="7">
        <f t="shared" si="41"/>
        <v>0</v>
      </c>
      <c r="DQ39" s="7">
        <f t="shared" si="41"/>
        <v>0</v>
      </c>
      <c r="DR39" s="7">
        <f t="shared" si="41"/>
        <v>0</v>
      </c>
      <c r="DS39" s="7">
        <f t="shared" si="41"/>
        <v>0</v>
      </c>
      <c r="DT39" s="11"/>
      <c r="DU39" s="4">
        <v>0</v>
      </c>
      <c r="DV39">
        <v>0</v>
      </c>
      <c r="DW39" s="11"/>
      <c r="EY39" s="10" t="str">
        <f t="shared" si="1"/>
        <v>Of which: subcontracted out Adult Education and Training Income</v>
      </c>
    </row>
    <row r="40" spans="1:155" ht="6.75" customHeight="1" x14ac:dyDescent="0.35">
      <c r="C40" s="213"/>
      <c r="BY40" s="6"/>
      <c r="CK40" s="35"/>
      <c r="CM40" s="35"/>
      <c r="CS40" s="35"/>
      <c r="CT40" s="215"/>
      <c r="CU40" s="215"/>
      <c r="CV40" s="215"/>
      <c r="CW40" s="215">
        <f>$BY40-SUMIFS($AA40:$BJ40, $AA$3:$BJ$3, $BY$3)</f>
        <v>0</v>
      </c>
      <c r="DT40" s="35"/>
      <c r="DU40">
        <v>0</v>
      </c>
      <c r="DV40">
        <v>0</v>
      </c>
      <c r="DW40" s="35"/>
      <c r="EY40" s="10" t="str">
        <f t="shared" ref="EY40:EY78" si="42">IF($C40="","",$D40)</f>
        <v/>
      </c>
    </row>
    <row r="41" spans="1:155" x14ac:dyDescent="0.35">
      <c r="B41" s="5"/>
      <c r="C41" s="213"/>
      <c r="D41" s="61" t="s">
        <v>343</v>
      </c>
      <c r="E41" s="5"/>
      <c r="CK41" s="11"/>
      <c r="CM41" s="11"/>
      <c r="CS41" s="11"/>
      <c r="CT41" s="215"/>
      <c r="CU41" s="215"/>
      <c r="CV41" s="215"/>
      <c r="CW41" s="215"/>
      <c r="DT41" s="11"/>
      <c r="DU41">
        <v>0</v>
      </c>
      <c r="DV41">
        <v>0</v>
      </c>
      <c r="DW41" s="11"/>
      <c r="EY41" s="10" t="str">
        <f t="shared" si="42"/>
        <v/>
      </c>
    </row>
    <row r="42" spans="1:155" x14ac:dyDescent="0.35">
      <c r="A42" s="220" cm="1">
        <f t="array" aca="1" ref="A42" ca="1">HYPERLINK("#"&amp;IFERROR(CELL("address",IF(MAX($CM42:$CS42)=0,A42,INDEX($CM42:$CS42,MATCH(1,$CM42:$CS42,0)))),CELL("address",$V42:$CI42)),IFERROR(MAX($CM42:$CS42),1))</f>
        <v>0</v>
      </c>
      <c r="C42" s="213" t="str">
        <f>CONCATENATE("M-", 'I&amp;E Annual'!C42)</f>
        <v>M-IE-1d-1</v>
      </c>
      <c r="D42" s="57" t="s">
        <v>344</v>
      </c>
      <c r="H42" t="s">
        <v>317</v>
      </c>
      <c r="V42" s="109"/>
      <c r="W42" s="133">
        <f t="shared" ref="W42:Y45" si="43" xml:space="preserve"> SUMIFS($AA42:$BJ42, $AA$3:$BJ$3, W$3)</f>
        <v>0</v>
      </c>
      <c r="X42" s="133">
        <f t="shared" si="43"/>
        <v>0</v>
      </c>
      <c r="Y42" s="133">
        <f t="shared" si="43"/>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5" si="44">V42</f>
        <v>0</v>
      </c>
      <c r="BY42" s="10">
        <f t="shared" si="44"/>
        <v>0</v>
      </c>
      <c r="BZ42" s="10">
        <f t="shared" si="44"/>
        <v>0</v>
      </c>
      <c r="CA42" s="10">
        <f t="shared" si="44"/>
        <v>0</v>
      </c>
      <c r="CB42" s="109"/>
      <c r="CC42" s="109"/>
      <c r="CD42" s="109"/>
      <c r="CE42" s="109"/>
      <c r="CF42" s="109"/>
      <c r="CG42" s="109"/>
      <c r="CH42" s="109"/>
      <c r="CI42" s="109"/>
      <c r="CK42" s="11"/>
      <c r="CL42" s="241">
        <f t="shared" ref="CL42:CL47" si="45">IF(MIN($V42:$CI42)&lt;0, 1, 0)</f>
        <v>0</v>
      </c>
      <c r="CM42" s="11"/>
      <c r="CO42" s="7" cm="1">
        <f t="array" ref="CO42">SUMPRODUCT(--NOT(ISNUMBER(V42:CI42)),--NOT(ISBLANK(V42:CI42)))</f>
        <v>0</v>
      </c>
      <c r="CP42" s="7">
        <f t="shared" ref="CP42:CP47" si="46">IF(SUM($CT42:$CV42)=0, 0, 1)</f>
        <v>0</v>
      </c>
      <c r="CQ42" s="7">
        <f t="shared" ref="CQ42:CQ47" si="47">IF(SUM($CW42:$CY42)=0, 0, 1)</f>
        <v>0</v>
      </c>
      <c r="CR42" s="7">
        <f t="shared" ref="CR42:CR47" si="48">IF($CZ42=0, 0, 1)</f>
        <v>0</v>
      </c>
      <c r="CS42" s="11"/>
      <c r="CT42" s="215">
        <f t="shared" ref="CT42:CV47" si="49">ROUND(W42-SUMIFS($AA42:$BJ42, $AA$3:$BJ$3, W$3), rounding)</f>
        <v>0</v>
      </c>
      <c r="CU42" s="215">
        <f t="shared" si="49"/>
        <v>0</v>
      </c>
      <c r="CV42" s="215">
        <f t="shared" si="49"/>
        <v>0</v>
      </c>
      <c r="CW42" s="215">
        <f t="shared" ref="CW42:CW47" si="50">ROUND($BY42-SUMIFS($AA42:$BJ42, $AA$3:$BJ$3, $BY$3), rounding)</f>
        <v>0</v>
      </c>
      <c r="CX42" s="215">
        <f t="shared" ref="CX42:CX47" si="51">ROUND($BZ42-SUMIFS($AA42:$BJ42, $AA$3:$BJ$3, $BZ$3), rounding)</f>
        <v>0</v>
      </c>
      <c r="CY42" s="215">
        <f t="shared" ref="CY42:CY47" si="52">ROUND($CA42-SUMIFS($AA42:$BJ42, $AA$3:$BJ$3, $CA$3), rounding)</f>
        <v>0</v>
      </c>
      <c r="CZ42" s="215">
        <f t="shared" ref="CZ42:CZ47" si="53">ROUND($V42-$BX42, rounding)</f>
        <v>0</v>
      </c>
      <c r="DT42" s="11"/>
      <c r="DU42" s="4">
        <v>1</v>
      </c>
      <c r="DV42">
        <v>1</v>
      </c>
      <c r="DW42" s="11"/>
      <c r="EY42" s="10" t="str">
        <f t="shared" si="42"/>
        <v xml:space="preserve">HE loans </v>
      </c>
    </row>
    <row r="43" spans="1:155" x14ac:dyDescent="0.35">
      <c r="A43" s="220" cm="1">
        <f t="array" aca="1" ref="A43" ca="1">HYPERLINK("#"&amp;IFERROR(CELL("address",IF(MAX($CM43:$CS43)=0,A43,INDEX($CM43:$CS43,MATCH(1,$CM43:$CS43,0)))),CELL("address",$V43:$CI43)),IFERROR(MAX($CM43:$CS43),1))</f>
        <v>0</v>
      </c>
      <c r="B43" s="85" t="s">
        <v>122</v>
      </c>
      <c r="C43" s="213" t="str">
        <f>CONCATENATE("M-", 'I&amp;E Annual'!C43)</f>
        <v>M-IE-1d-2</v>
      </c>
      <c r="D43" s="57" t="s">
        <v>345</v>
      </c>
      <c r="H43" t="s">
        <v>317</v>
      </c>
      <c r="V43" s="109"/>
      <c r="W43" s="133">
        <f t="shared" si="43"/>
        <v>0</v>
      </c>
      <c r="X43" s="133">
        <f t="shared" si="43"/>
        <v>0</v>
      </c>
      <c r="Y43" s="133">
        <f t="shared" si="43"/>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0">
        <f t="shared" si="44"/>
        <v>0</v>
      </c>
      <c r="BY43" s="10">
        <f t="shared" si="44"/>
        <v>0</v>
      </c>
      <c r="BZ43" s="10">
        <f t="shared" si="44"/>
        <v>0</v>
      </c>
      <c r="CA43" s="10">
        <f t="shared" si="44"/>
        <v>0</v>
      </c>
      <c r="CB43" s="109"/>
      <c r="CC43" s="109"/>
      <c r="CD43" s="109"/>
      <c r="CE43" s="109"/>
      <c r="CF43" s="109"/>
      <c r="CG43" s="109"/>
      <c r="CH43" s="109"/>
      <c r="CI43" s="109"/>
      <c r="CK43" s="11"/>
      <c r="CL43" s="241">
        <f t="shared" si="45"/>
        <v>0</v>
      </c>
      <c r="CM43" s="11"/>
      <c r="CO43" s="7" cm="1">
        <f t="array" ref="CO43">SUMPRODUCT(--NOT(ISNUMBER(V43:CI43)),--NOT(ISBLANK(V43:CI43)))</f>
        <v>0</v>
      </c>
      <c r="CP43" s="7">
        <f t="shared" si="46"/>
        <v>0</v>
      </c>
      <c r="CQ43" s="7">
        <f t="shared" si="47"/>
        <v>0</v>
      </c>
      <c r="CR43" s="7">
        <f t="shared" si="48"/>
        <v>0</v>
      </c>
      <c r="CS43" s="11"/>
      <c r="CT43" s="215">
        <f t="shared" si="49"/>
        <v>0</v>
      </c>
      <c r="CU43" s="215">
        <f t="shared" si="49"/>
        <v>0</v>
      </c>
      <c r="CV43" s="215">
        <f t="shared" si="49"/>
        <v>0</v>
      </c>
      <c r="CW43" s="215">
        <f t="shared" si="50"/>
        <v>0</v>
      </c>
      <c r="CX43" s="215">
        <f t="shared" si="51"/>
        <v>0</v>
      </c>
      <c r="CY43" s="215">
        <f t="shared" si="52"/>
        <v>0</v>
      </c>
      <c r="CZ43" s="215">
        <f t="shared" si="53"/>
        <v>0</v>
      </c>
      <c r="DT43" s="11"/>
      <c r="DU43" s="4">
        <v>1</v>
      </c>
      <c r="DV43">
        <v>1</v>
      </c>
      <c r="DW43" s="11"/>
      <c r="EY43" s="10" t="str">
        <f t="shared" si="42"/>
        <v>OfS grants</v>
      </c>
    </row>
    <row r="44" spans="1:155" x14ac:dyDescent="0.35">
      <c r="A44" s="220" cm="1">
        <f t="array" aca="1" ref="A44" ca="1">HYPERLINK("#"&amp;IFERROR(CELL("address",IF(MAX($CM44:$CS44)=0,A44,INDEX($CM44:$CS44,MATCH(1,$CM44:$CS44,0)))),CELL("address",$V44:$CI44)),IFERROR(MAX($CM44:$CS44),1))</f>
        <v>0</v>
      </c>
      <c r="C44" s="213" t="str">
        <f>CONCATENATE("M-", 'I&amp;E Annual'!C44)</f>
        <v>M-IE-1d-3</v>
      </c>
      <c r="D44" s="57" t="s">
        <v>346</v>
      </c>
      <c r="H44" t="s">
        <v>317</v>
      </c>
      <c r="V44" s="109"/>
      <c r="W44" s="133">
        <f t="shared" si="43"/>
        <v>0</v>
      </c>
      <c r="X44" s="133">
        <f t="shared" si="43"/>
        <v>0</v>
      </c>
      <c r="Y44" s="133">
        <f t="shared" si="43"/>
        <v>0</v>
      </c>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X44" s="10">
        <f t="shared" si="44"/>
        <v>0</v>
      </c>
      <c r="BY44" s="10">
        <f t="shared" si="44"/>
        <v>0</v>
      </c>
      <c r="BZ44" s="10">
        <f t="shared" si="44"/>
        <v>0</v>
      </c>
      <c r="CA44" s="10">
        <f t="shared" si="44"/>
        <v>0</v>
      </c>
      <c r="CB44" s="109"/>
      <c r="CC44" s="109"/>
      <c r="CD44" s="109"/>
      <c r="CE44" s="109"/>
      <c r="CF44" s="109"/>
      <c r="CG44" s="109"/>
      <c r="CH44" s="109"/>
      <c r="CI44" s="109"/>
      <c r="CK44" s="11"/>
      <c r="CL44" s="241">
        <f t="shared" si="45"/>
        <v>0</v>
      </c>
      <c r="CM44" s="11"/>
      <c r="CO44" s="7" cm="1">
        <f t="array" ref="CO44">SUMPRODUCT(--NOT(ISNUMBER(V44:CI44)),--NOT(ISBLANK(V44:CI44)))</f>
        <v>0</v>
      </c>
      <c r="CP44" s="7">
        <f t="shared" si="46"/>
        <v>0</v>
      </c>
      <c r="CQ44" s="7">
        <f t="shared" si="47"/>
        <v>0</v>
      </c>
      <c r="CR44" s="7">
        <f t="shared" si="48"/>
        <v>0</v>
      </c>
      <c r="CS44" s="11"/>
      <c r="CT44" s="215">
        <f t="shared" si="49"/>
        <v>0</v>
      </c>
      <c r="CU44" s="215">
        <f t="shared" si="49"/>
        <v>0</v>
      </c>
      <c r="CV44" s="215">
        <f t="shared" si="49"/>
        <v>0</v>
      </c>
      <c r="CW44" s="215">
        <f t="shared" si="50"/>
        <v>0</v>
      </c>
      <c r="CX44" s="215">
        <f t="shared" si="51"/>
        <v>0</v>
      </c>
      <c r="CY44" s="215">
        <f t="shared" si="52"/>
        <v>0</v>
      </c>
      <c r="CZ44" s="215">
        <f t="shared" si="53"/>
        <v>0</v>
      </c>
      <c r="DT44" s="11"/>
      <c r="DU44" s="4">
        <v>1</v>
      </c>
      <c r="DV44">
        <v>1</v>
      </c>
      <c r="DW44" s="11"/>
      <c r="EY44" s="10" t="str">
        <f t="shared" si="42"/>
        <v>Other HE income (excl. fees)</v>
      </c>
    </row>
    <row r="45" spans="1:155" x14ac:dyDescent="0.35">
      <c r="A45" s="220" cm="1">
        <f t="array" aca="1" ref="A45" ca="1">HYPERLINK("#"&amp;IFERROR(CELL("address",IF(MAX($CM45:$CS45)=0,A45,INDEX($CM45:$CS45,MATCH(1,$CM45:$CS45,0)))),CELL("address",$V45:$CI45)),IFERROR(MAX($CM45:$CS45),1))</f>
        <v>0</v>
      </c>
      <c r="B45" s="85" t="s">
        <v>122</v>
      </c>
      <c r="C45" s="213" t="str">
        <f>CONCATENATE("M-", 'I&amp;E Annual'!C45)</f>
        <v>M-IE-1d-SI</v>
      </c>
      <c r="D45" s="57" t="s">
        <v>347</v>
      </c>
      <c r="H45" t="s">
        <v>317</v>
      </c>
      <c r="V45" s="109"/>
      <c r="W45" s="133">
        <f t="shared" si="43"/>
        <v>0</v>
      </c>
      <c r="X45" s="133">
        <f t="shared" si="43"/>
        <v>0</v>
      </c>
      <c r="Y45" s="133">
        <f t="shared" si="43"/>
        <v>0</v>
      </c>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X45" s="10">
        <f t="shared" si="44"/>
        <v>0</v>
      </c>
      <c r="BY45" s="10">
        <f t="shared" si="44"/>
        <v>0</v>
      </c>
      <c r="BZ45" s="10">
        <f t="shared" si="44"/>
        <v>0</v>
      </c>
      <c r="CA45" s="10">
        <f t="shared" si="44"/>
        <v>0</v>
      </c>
      <c r="CB45" s="109"/>
      <c r="CC45" s="109"/>
      <c r="CD45" s="109"/>
      <c r="CE45" s="109"/>
      <c r="CF45" s="109"/>
      <c r="CG45" s="109"/>
      <c r="CH45" s="109"/>
      <c r="CI45" s="109"/>
      <c r="CK45" s="11"/>
      <c r="CL45" s="241">
        <f t="shared" si="45"/>
        <v>0</v>
      </c>
      <c r="CM45" s="11"/>
      <c r="CO45" s="7" cm="1">
        <f t="array" ref="CO45">SUMPRODUCT(--NOT(ISNUMBER(V45:CI45)),--NOT(ISBLANK(V45:CI45)))</f>
        <v>0</v>
      </c>
      <c r="CP45" s="7">
        <f t="shared" si="46"/>
        <v>0</v>
      </c>
      <c r="CQ45" s="7">
        <f t="shared" si="47"/>
        <v>0</v>
      </c>
      <c r="CR45" s="7">
        <f t="shared" si="48"/>
        <v>0</v>
      </c>
      <c r="CS45" s="11"/>
      <c r="CT45" s="215">
        <f t="shared" si="49"/>
        <v>0</v>
      </c>
      <c r="CU45" s="215">
        <f t="shared" si="49"/>
        <v>0</v>
      </c>
      <c r="CV45" s="215">
        <f t="shared" si="49"/>
        <v>0</v>
      </c>
      <c r="CW45" s="215">
        <f t="shared" si="50"/>
        <v>0</v>
      </c>
      <c r="CX45" s="215">
        <f t="shared" si="51"/>
        <v>0</v>
      </c>
      <c r="CY45" s="215">
        <f t="shared" si="52"/>
        <v>0</v>
      </c>
      <c r="CZ45" s="215">
        <f t="shared" si="53"/>
        <v>0</v>
      </c>
      <c r="DT45" s="11"/>
      <c r="DU45" s="4">
        <v>1</v>
      </c>
      <c r="DV45">
        <v>1</v>
      </c>
      <c r="DW45" s="11"/>
      <c r="EY45" s="10" t="str">
        <f t="shared" si="42"/>
        <v>Subcontracted in - HE (Franchised)</v>
      </c>
    </row>
    <row r="46" spans="1:155" x14ac:dyDescent="0.35">
      <c r="A46" s="220" cm="1">
        <f t="array" aca="1" ref="A46" ca="1">HYPERLINK("#"&amp;IFERROR(CELL("address",IF(MAX($CM46:$CS46)=0,A46,INDEX($CM46:$CS46,MATCH(1,$CM46:$CS46,0)))),CELL("address",$V46:$CI46)),IFERROR(MAX($CM46:$CS46),1))</f>
        <v>0</v>
      </c>
      <c r="C46" s="213" t="str">
        <f>CONCATENATE("M-", 'I&amp;E Annual'!C46)</f>
        <v>M-IE-1d</v>
      </c>
      <c r="D46" s="61" t="s">
        <v>348</v>
      </c>
      <c r="E46" s="5"/>
      <c r="G46" s="5"/>
      <c r="V46" s="12">
        <f>SUM(V42:V45)</f>
        <v>0</v>
      </c>
      <c r="W46" s="12">
        <f>SUM(W42:W45)</f>
        <v>0</v>
      </c>
      <c r="X46" s="12">
        <f>SUM(X42:X45)</f>
        <v>0</v>
      </c>
      <c r="Y46" s="12">
        <f>SUM(Y42:Y45)</f>
        <v>0</v>
      </c>
      <c r="AA46" s="12">
        <f t="shared" ref="AA46:BJ46" si="54">SUM(AA42:AA45)</f>
        <v>0</v>
      </c>
      <c r="AB46" s="12">
        <f t="shared" si="54"/>
        <v>0</v>
      </c>
      <c r="AC46" s="12">
        <f t="shared" si="54"/>
        <v>0</v>
      </c>
      <c r="AD46" s="12">
        <f t="shared" si="54"/>
        <v>0</v>
      </c>
      <c r="AE46" s="12">
        <f t="shared" si="54"/>
        <v>0</v>
      </c>
      <c r="AF46" s="12">
        <f t="shared" si="54"/>
        <v>0</v>
      </c>
      <c r="AG46" s="12">
        <f t="shared" si="54"/>
        <v>0</v>
      </c>
      <c r="AH46" s="12">
        <f t="shared" si="54"/>
        <v>0</v>
      </c>
      <c r="AI46" s="12">
        <f t="shared" si="54"/>
        <v>0</v>
      </c>
      <c r="AJ46" s="12">
        <f t="shared" si="54"/>
        <v>0</v>
      </c>
      <c r="AK46" s="12">
        <f t="shared" si="54"/>
        <v>0</v>
      </c>
      <c r="AL46" s="12">
        <f t="shared" si="54"/>
        <v>0</v>
      </c>
      <c r="AM46" s="12">
        <f t="shared" si="54"/>
        <v>0</v>
      </c>
      <c r="AN46" s="12">
        <f t="shared" si="54"/>
        <v>0</v>
      </c>
      <c r="AO46" s="12">
        <f t="shared" si="54"/>
        <v>0</v>
      </c>
      <c r="AP46" s="12">
        <f t="shared" si="54"/>
        <v>0</v>
      </c>
      <c r="AQ46" s="12">
        <f t="shared" si="54"/>
        <v>0</v>
      </c>
      <c r="AR46" s="12">
        <f t="shared" si="54"/>
        <v>0</v>
      </c>
      <c r="AS46" s="12">
        <f t="shared" si="54"/>
        <v>0</v>
      </c>
      <c r="AT46" s="12">
        <f t="shared" si="54"/>
        <v>0</v>
      </c>
      <c r="AU46" s="12">
        <f t="shared" si="54"/>
        <v>0</v>
      </c>
      <c r="AV46" s="12">
        <f t="shared" si="54"/>
        <v>0</v>
      </c>
      <c r="AW46" s="12">
        <f t="shared" si="54"/>
        <v>0</v>
      </c>
      <c r="AX46" s="12">
        <f t="shared" si="54"/>
        <v>0</v>
      </c>
      <c r="AY46" s="12">
        <f t="shared" si="54"/>
        <v>0</v>
      </c>
      <c r="AZ46" s="12">
        <f t="shared" si="54"/>
        <v>0</v>
      </c>
      <c r="BA46" s="12">
        <f t="shared" si="54"/>
        <v>0</v>
      </c>
      <c r="BB46" s="12">
        <f t="shared" si="54"/>
        <v>0</v>
      </c>
      <c r="BC46" s="12">
        <f t="shared" si="54"/>
        <v>0</v>
      </c>
      <c r="BD46" s="12">
        <f t="shared" si="54"/>
        <v>0</v>
      </c>
      <c r="BE46" s="12">
        <f t="shared" si="54"/>
        <v>0</v>
      </c>
      <c r="BF46" s="12">
        <f t="shared" si="54"/>
        <v>0</v>
      </c>
      <c r="BG46" s="12">
        <f t="shared" si="54"/>
        <v>0</v>
      </c>
      <c r="BH46" s="12">
        <f t="shared" si="54"/>
        <v>0</v>
      </c>
      <c r="BI46" s="12">
        <f t="shared" si="54"/>
        <v>0</v>
      </c>
      <c r="BJ46" s="12">
        <f t="shared" si="54"/>
        <v>0</v>
      </c>
      <c r="BX46" s="12">
        <f t="shared" ref="BX46:CI46" si="55">SUM(BX42:BX45)</f>
        <v>0</v>
      </c>
      <c r="BY46" s="12">
        <f t="shared" si="55"/>
        <v>0</v>
      </c>
      <c r="BZ46" s="12">
        <f t="shared" si="55"/>
        <v>0</v>
      </c>
      <c r="CA46" s="12">
        <f t="shared" si="55"/>
        <v>0</v>
      </c>
      <c r="CB46" s="12">
        <f t="shared" si="55"/>
        <v>0</v>
      </c>
      <c r="CC46" s="12">
        <f t="shared" si="55"/>
        <v>0</v>
      </c>
      <c r="CD46" s="12">
        <f t="shared" si="55"/>
        <v>0</v>
      </c>
      <c r="CE46" s="12">
        <f t="shared" si="55"/>
        <v>0</v>
      </c>
      <c r="CF46" s="12">
        <f t="shared" si="55"/>
        <v>0</v>
      </c>
      <c r="CG46" s="12">
        <f t="shared" si="55"/>
        <v>0</v>
      </c>
      <c r="CH46" s="12">
        <f t="shared" si="55"/>
        <v>0</v>
      </c>
      <c r="CI46" s="12">
        <f t="shared" si="55"/>
        <v>0</v>
      </c>
      <c r="CK46" s="11"/>
      <c r="CL46" s="241">
        <f t="shared" si="45"/>
        <v>0</v>
      </c>
      <c r="CM46" s="11"/>
      <c r="CP46" s="7">
        <f t="shared" si="46"/>
        <v>0</v>
      </c>
      <c r="CQ46" s="7">
        <f t="shared" si="47"/>
        <v>0</v>
      </c>
      <c r="CR46" s="7">
        <f t="shared" si="48"/>
        <v>0</v>
      </c>
      <c r="CS46" s="11"/>
      <c r="CT46" s="215">
        <f t="shared" si="49"/>
        <v>0</v>
      </c>
      <c r="CU46" s="215">
        <f t="shared" si="49"/>
        <v>0</v>
      </c>
      <c r="CV46" s="215">
        <f t="shared" si="49"/>
        <v>0</v>
      </c>
      <c r="CW46" s="215">
        <f t="shared" si="50"/>
        <v>0</v>
      </c>
      <c r="CX46" s="215">
        <f t="shared" si="51"/>
        <v>0</v>
      </c>
      <c r="CY46" s="215">
        <f t="shared" si="52"/>
        <v>0</v>
      </c>
      <c r="CZ46" s="215">
        <f t="shared" si="53"/>
        <v>0</v>
      </c>
      <c r="DT46" s="11"/>
      <c r="DU46">
        <v>0</v>
      </c>
      <c r="DV46">
        <v>0</v>
      </c>
      <c r="DW46" s="11"/>
      <c r="EY46" s="10" t="str">
        <f t="shared" si="42"/>
        <v>Total HE Income</v>
      </c>
    </row>
    <row r="47" spans="1:155" x14ac:dyDescent="0.35">
      <c r="A47" s="220" cm="1">
        <f t="array" aca="1" ref="A47" ca="1">HYPERLINK("#"&amp;IFERROR(CELL("address",IF(MAX($CM47:$CS47)=0,A47,INDEX($CM47:$CS47,MATCH(1,$CM47:$CS47,0)))),CELL("address",$V47:$CI47)),IFERROR(MAX($CM47:$CS47),1))</f>
        <v>0</v>
      </c>
      <c r="C47" s="213" t="str">
        <f>CONCATENATE("M-", 'I&amp;E Annual'!C47)</f>
        <v>M-IE-1d-SO</v>
      </c>
      <c r="D47" s="57" t="s">
        <v>349</v>
      </c>
      <c r="H47" t="s">
        <v>317</v>
      </c>
      <c r="V47" s="109"/>
      <c r="W47" s="133">
        <f xml:space="preserve"> SUMIFS($AA47:$BJ47, $AA$3:$BJ$3, W$3)</f>
        <v>0</v>
      </c>
      <c r="X47" s="133">
        <f xml:space="preserve"> SUMIFS($AA47:$BJ47, $AA$3:$BJ$3, X$3)</f>
        <v>0</v>
      </c>
      <c r="Y47" s="133">
        <f xml:space="preserve"> SUMIFS($AA47:$BJ47, $AA$3:$BJ$3, Y$3)</f>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0">
        <f>V47</f>
        <v>0</v>
      </c>
      <c r="BY47" s="10">
        <f>W47</f>
        <v>0</v>
      </c>
      <c r="BZ47" s="10">
        <f>X47</f>
        <v>0</v>
      </c>
      <c r="CA47" s="10">
        <f>Y47</f>
        <v>0</v>
      </c>
      <c r="CB47" s="109"/>
      <c r="CC47" s="109"/>
      <c r="CD47" s="109"/>
      <c r="CE47" s="109"/>
      <c r="CF47" s="109"/>
      <c r="CG47" s="109"/>
      <c r="CH47" s="109"/>
      <c r="CI47" s="109"/>
      <c r="CK47" s="11"/>
      <c r="CL47" s="241">
        <f t="shared" si="45"/>
        <v>0</v>
      </c>
      <c r="CM47" s="11"/>
      <c r="CN47" s="7">
        <f>IF(DA47=0, 0, 1)</f>
        <v>0</v>
      </c>
      <c r="CO47" s="7" cm="1">
        <f t="array" ref="CO47">SUMPRODUCT(--NOT(ISNUMBER(V47:CI47)),--NOT(ISBLANK(V47:CI47)))</f>
        <v>0</v>
      </c>
      <c r="CP47" s="7">
        <f t="shared" si="46"/>
        <v>0</v>
      </c>
      <c r="CQ47" s="7">
        <f t="shared" si="47"/>
        <v>0</v>
      </c>
      <c r="CR47" s="7">
        <f t="shared" si="48"/>
        <v>0</v>
      </c>
      <c r="CS47" s="11"/>
      <c r="CT47" s="215">
        <f t="shared" si="49"/>
        <v>0</v>
      </c>
      <c r="CU47" s="215">
        <f t="shared" si="49"/>
        <v>0</v>
      </c>
      <c r="CV47" s="215">
        <f t="shared" si="49"/>
        <v>0</v>
      </c>
      <c r="CW47" s="215">
        <f t="shared" si="50"/>
        <v>0</v>
      </c>
      <c r="CX47" s="215">
        <f t="shared" si="51"/>
        <v>0</v>
      </c>
      <c r="CY47" s="215">
        <f t="shared" si="52"/>
        <v>0</v>
      </c>
      <c r="CZ47" s="215">
        <f t="shared" si="53"/>
        <v>0</v>
      </c>
      <c r="DA47" s="508">
        <f>SUM(DC47:DS47)</f>
        <v>0</v>
      </c>
      <c r="DC47" s="7">
        <f>IF(V47&gt;V46, 1, 0)</f>
        <v>0</v>
      </c>
      <c r="DD47" s="7">
        <f>IF(W47&gt;W46, 1, 0)</f>
        <v>0</v>
      </c>
      <c r="DE47" s="7">
        <f>IF(X47&gt;X46, 1, 0)</f>
        <v>0</v>
      </c>
      <c r="DF47" s="7">
        <f>IF(Y47&gt;Y46, 1, 0)</f>
        <v>0</v>
      </c>
      <c r="DH47" s="7">
        <f t="shared" ref="DH47:DS47" si="56">IF(BX47&gt;BX46, 1, 0)</f>
        <v>0</v>
      </c>
      <c r="DI47" s="7">
        <f t="shared" si="56"/>
        <v>0</v>
      </c>
      <c r="DJ47" s="7">
        <f t="shared" si="56"/>
        <v>0</v>
      </c>
      <c r="DK47" s="7">
        <f t="shared" si="56"/>
        <v>0</v>
      </c>
      <c r="DL47" s="7">
        <f t="shared" si="56"/>
        <v>0</v>
      </c>
      <c r="DM47" s="7">
        <f t="shared" si="56"/>
        <v>0</v>
      </c>
      <c r="DN47" s="7">
        <f t="shared" si="56"/>
        <v>0</v>
      </c>
      <c r="DO47" s="7">
        <f t="shared" si="56"/>
        <v>0</v>
      </c>
      <c r="DP47" s="7">
        <f t="shared" si="56"/>
        <v>0</v>
      </c>
      <c r="DQ47" s="7">
        <f t="shared" si="56"/>
        <v>0</v>
      </c>
      <c r="DR47" s="7">
        <f t="shared" si="56"/>
        <v>0</v>
      </c>
      <c r="DS47" s="7">
        <f t="shared" si="56"/>
        <v>0</v>
      </c>
      <c r="DT47" s="11"/>
      <c r="DU47" s="4">
        <v>0</v>
      </c>
      <c r="DV47">
        <v>0</v>
      </c>
      <c r="DW47" s="11"/>
      <c r="EY47" s="10" t="str">
        <f t="shared" si="42"/>
        <v>Of which: subcontracted out HE income</v>
      </c>
    </row>
    <row r="48" spans="1:155" ht="6.75" customHeight="1" x14ac:dyDescent="0.35">
      <c r="C48" s="213"/>
      <c r="BY48" s="6"/>
      <c r="CK48" s="35"/>
      <c r="CM48" s="35"/>
      <c r="CS48" s="35"/>
      <c r="DT48" s="35"/>
      <c r="DU48">
        <v>0</v>
      </c>
      <c r="DV48">
        <v>0</v>
      </c>
      <c r="DW48" s="35"/>
      <c r="EY48" s="10" t="str">
        <f t="shared" si="42"/>
        <v/>
      </c>
    </row>
    <row r="49" spans="1:155" x14ac:dyDescent="0.35">
      <c r="B49" s="5"/>
      <c r="C49" s="213"/>
      <c r="D49" s="61" t="s">
        <v>350</v>
      </c>
      <c r="E49" s="5"/>
      <c r="CK49" s="11"/>
      <c r="CM49" s="11"/>
      <c r="CS49" s="11"/>
      <c r="DT49" s="11"/>
      <c r="DU49">
        <v>0</v>
      </c>
      <c r="DV49">
        <v>0</v>
      </c>
      <c r="DW49" s="11"/>
      <c r="EY49" s="10" t="str">
        <f t="shared" si="42"/>
        <v/>
      </c>
    </row>
    <row r="50" spans="1:155" x14ac:dyDescent="0.35">
      <c r="A50" s="220" cm="1">
        <f t="array" aca="1" ref="A50" ca="1">HYPERLINK("#"&amp;IFERROR(CELL("address",IF(MAX($CM50:$CS50)=0,A50,INDEX($CM50:$CS50,MATCH(1,$CM50:$CS50,0)))),CELL("address",$V50:$CI50)),IFERROR(MAX($CM50:$CS50),1))</f>
        <v>0</v>
      </c>
      <c r="C50" s="213" t="str">
        <f>CONCATENATE("M-", 'I&amp;E Annual'!C50)</f>
        <v>M-IE-1e-1</v>
      </c>
      <c r="D50" s="57" t="s">
        <v>351</v>
      </c>
      <c r="H50" t="s">
        <v>317</v>
      </c>
      <c r="V50" s="109"/>
      <c r="W50" s="133">
        <f t="shared" ref="W50:Y52" si="57" xml:space="preserve"> SUMIFS($AA50:$BJ50, $AA$3:$BJ$3, W$3)</f>
        <v>0</v>
      </c>
      <c r="X50" s="133">
        <f t="shared" si="57"/>
        <v>0</v>
      </c>
      <c r="Y50" s="133">
        <f t="shared" si="57"/>
        <v>0</v>
      </c>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X50" s="10">
        <f t="shared" ref="BX50:CA52" si="58">V50</f>
        <v>0</v>
      </c>
      <c r="BY50" s="10">
        <f t="shared" si="58"/>
        <v>0</v>
      </c>
      <c r="BZ50" s="10">
        <f t="shared" si="58"/>
        <v>0</v>
      </c>
      <c r="CA50" s="10">
        <f t="shared" si="58"/>
        <v>0</v>
      </c>
      <c r="CB50" s="109"/>
      <c r="CC50" s="109"/>
      <c r="CD50" s="109"/>
      <c r="CE50" s="109"/>
      <c r="CF50" s="109"/>
      <c r="CG50" s="109"/>
      <c r="CH50" s="109"/>
      <c r="CI50" s="109"/>
      <c r="CK50" s="11"/>
      <c r="CL50" s="241">
        <f>IF(MIN($V50:$CI50)&lt;0, 1, 0)</f>
        <v>0</v>
      </c>
      <c r="CM50" s="11"/>
      <c r="CO50" s="7" cm="1">
        <f t="array" ref="CO50">SUMPRODUCT(--NOT(ISNUMBER(V50:CI50)),--NOT(ISBLANK(V50:CI50)))</f>
        <v>0</v>
      </c>
      <c r="CP50" s="7">
        <f>IF(SUM($CT50:$CV50)=0, 0, 1)</f>
        <v>0</v>
      </c>
      <c r="CQ50" s="7">
        <f>IF(SUM($CW50:$CY50)=0, 0, 1)</f>
        <v>0</v>
      </c>
      <c r="CR50" s="7">
        <f>IF($CZ50=0, 0, 1)</f>
        <v>0</v>
      </c>
      <c r="CS50" s="11"/>
      <c r="CT50" s="215">
        <f t="shared" ref="CT50:CV54" si="59">ROUND(W50-SUMIFS($AA50:$BJ50, $AA$3:$BJ$3, W$3), rounding)</f>
        <v>0</v>
      </c>
      <c r="CU50" s="215">
        <f t="shared" si="59"/>
        <v>0</v>
      </c>
      <c r="CV50" s="215">
        <f t="shared" si="59"/>
        <v>0</v>
      </c>
      <c r="CW50" s="215">
        <f>ROUND($BY50-SUMIFS($AA50:$BJ50, $AA$3:$BJ$3, $BY$3), rounding)</f>
        <v>0</v>
      </c>
      <c r="CX50" s="215">
        <f>ROUND($BZ50-SUMIFS($AA50:$BJ50, $AA$3:$BJ$3, $BZ$3), rounding)</f>
        <v>0</v>
      </c>
      <c r="CY50" s="215">
        <f>ROUND($CA50-SUMIFS($AA50:$BJ50, $AA$3:$BJ$3, $CA$3), rounding)</f>
        <v>0</v>
      </c>
      <c r="CZ50" s="215">
        <f>ROUND($V50-$BX50, rounding)</f>
        <v>0</v>
      </c>
      <c r="DT50" s="11"/>
      <c r="DU50" s="4">
        <v>1</v>
      </c>
      <c r="DV50">
        <v>1</v>
      </c>
      <c r="DW50" s="11"/>
      <c r="EY50" s="10" t="str">
        <f t="shared" si="42"/>
        <v>European Social Fund - direct</v>
      </c>
    </row>
    <row r="51" spans="1:155" x14ac:dyDescent="0.35">
      <c r="A51" s="220" cm="1">
        <f t="array" aca="1" ref="A51" ca="1">HYPERLINK("#"&amp;IFERROR(CELL("address",IF(MAX($CM51:$CS51)=0,A51,INDEX($CM51:$CS51,MATCH(1,$CM51:$CS51,0)))),CELL("address",$V51:$CI51)),IFERROR(MAX($CM51:$CS51),1))</f>
        <v>0</v>
      </c>
      <c r="B51" s="85" t="s">
        <v>122</v>
      </c>
      <c r="C51" s="213" t="str">
        <f>CONCATENATE("M-", 'I&amp;E Annual'!C51)</f>
        <v>M-IE-1e-2</v>
      </c>
      <c r="D51" s="57" t="s">
        <v>352</v>
      </c>
      <c r="H51" t="s">
        <v>317</v>
      </c>
      <c r="V51" s="109"/>
      <c r="W51" s="133">
        <f t="shared" si="57"/>
        <v>0</v>
      </c>
      <c r="X51" s="133">
        <f t="shared" si="57"/>
        <v>0</v>
      </c>
      <c r="Y51" s="133">
        <f t="shared" si="57"/>
        <v>0</v>
      </c>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X51" s="10">
        <f t="shared" si="58"/>
        <v>0</v>
      </c>
      <c r="BY51" s="10">
        <f t="shared" si="58"/>
        <v>0</v>
      </c>
      <c r="BZ51" s="10">
        <f t="shared" si="58"/>
        <v>0</v>
      </c>
      <c r="CA51" s="10">
        <f t="shared" si="58"/>
        <v>0</v>
      </c>
      <c r="CB51" s="109"/>
      <c r="CC51" s="109"/>
      <c r="CD51" s="109"/>
      <c r="CE51" s="109"/>
      <c r="CF51" s="109"/>
      <c r="CG51" s="109"/>
      <c r="CH51" s="109"/>
      <c r="CI51" s="109"/>
      <c r="CK51" s="11"/>
      <c r="CL51" s="241">
        <f>IF(MIN($V51:$CI51)&lt;0, 1, 0)</f>
        <v>0</v>
      </c>
      <c r="CM51" s="11"/>
      <c r="CO51" s="7" cm="1">
        <f t="array" ref="CO51">SUMPRODUCT(--NOT(ISNUMBER(V51:CI51)),--NOT(ISBLANK(V51:CI51)))</f>
        <v>0</v>
      </c>
      <c r="CP51" s="7">
        <f>IF(SUM($CT51:$CV51)=0, 0, 1)</f>
        <v>0</v>
      </c>
      <c r="CQ51" s="7">
        <f>IF(SUM($CW51:$CY51)=0, 0, 1)</f>
        <v>0</v>
      </c>
      <c r="CR51" s="7">
        <f>IF($CZ51=0, 0, 1)</f>
        <v>0</v>
      </c>
      <c r="CS51" s="11"/>
      <c r="CT51" s="215">
        <f t="shared" si="59"/>
        <v>0</v>
      </c>
      <c r="CU51" s="215">
        <f t="shared" si="59"/>
        <v>0</v>
      </c>
      <c r="CV51" s="215">
        <f t="shared" si="59"/>
        <v>0</v>
      </c>
      <c r="CW51" s="215">
        <f>ROUND($BY51-SUMIFS($AA51:$BJ51, $AA$3:$BJ$3, $BY$3), rounding)</f>
        <v>0</v>
      </c>
      <c r="CX51" s="215">
        <f>ROUND($BZ51-SUMIFS($AA51:$BJ51, $AA$3:$BJ$3, $BZ$3), rounding)</f>
        <v>0</v>
      </c>
      <c r="CY51" s="215">
        <f>ROUND($CA51-SUMIFS($AA51:$BJ51, $AA$3:$BJ$3, $CA$3), rounding)</f>
        <v>0</v>
      </c>
      <c r="CZ51" s="215">
        <f>ROUND($V51-$BX51, rounding)</f>
        <v>0</v>
      </c>
      <c r="DT51" s="11"/>
      <c r="DU51" s="4">
        <v>1</v>
      </c>
      <c r="DV51">
        <v>1</v>
      </c>
      <c r="DW51" s="11"/>
      <c r="EY51" s="10" t="str">
        <f t="shared" si="42"/>
        <v>Other European Funding</v>
      </c>
    </row>
    <row r="52" spans="1:155" x14ac:dyDescent="0.35">
      <c r="A52" s="220" cm="1">
        <f t="array" aca="1" ref="A52" ca="1">HYPERLINK("#"&amp;IFERROR(CELL("address",IF(MAX($CM52:$CS52)=0,A52,INDEX($CM52:$CS52,MATCH(1,$CM52:$CS52,0)))),CELL("address",$V52:$CI52)),IFERROR(MAX($CM52:$CS52),1))</f>
        <v>0</v>
      </c>
      <c r="C52" s="213" t="str">
        <f>CONCATENATE("M-", 'I&amp;E Annual'!C52)</f>
        <v>M-IE-1e-SI</v>
      </c>
      <c r="D52" s="57" t="s">
        <v>353</v>
      </c>
      <c r="H52" t="s">
        <v>317</v>
      </c>
      <c r="V52" s="109"/>
      <c r="W52" s="133">
        <f t="shared" si="57"/>
        <v>0</v>
      </c>
      <c r="X52" s="133">
        <f t="shared" si="57"/>
        <v>0</v>
      </c>
      <c r="Y52" s="133">
        <f t="shared" si="57"/>
        <v>0</v>
      </c>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X52" s="10">
        <f t="shared" si="58"/>
        <v>0</v>
      </c>
      <c r="BY52" s="10">
        <f t="shared" si="58"/>
        <v>0</v>
      </c>
      <c r="BZ52" s="10">
        <f t="shared" si="58"/>
        <v>0</v>
      </c>
      <c r="CA52" s="10">
        <f t="shared" si="58"/>
        <v>0</v>
      </c>
      <c r="CB52" s="109"/>
      <c r="CC52" s="109"/>
      <c r="CD52" s="109"/>
      <c r="CE52" s="109"/>
      <c r="CF52" s="109"/>
      <c r="CG52" s="109"/>
      <c r="CH52" s="109"/>
      <c r="CI52" s="109"/>
      <c r="CK52" s="11"/>
      <c r="CL52" s="241">
        <f>IF(MIN($V52:$CI52)&lt;0, 1, 0)</f>
        <v>0</v>
      </c>
      <c r="CM52" s="11"/>
      <c r="CO52" s="7" cm="1">
        <f t="array" ref="CO52">SUMPRODUCT(--NOT(ISNUMBER(V52:CI52)),--NOT(ISBLANK(V52:CI52)))</f>
        <v>0</v>
      </c>
      <c r="CP52" s="7">
        <f>IF(SUM($CT52:$CV52)=0, 0, 1)</f>
        <v>0</v>
      </c>
      <c r="CQ52" s="7">
        <f>IF(SUM($CW52:$CY52)=0, 0, 1)</f>
        <v>0</v>
      </c>
      <c r="CR52" s="7">
        <f>IF($CZ52=0, 0, 1)</f>
        <v>0</v>
      </c>
      <c r="CS52" s="11"/>
      <c r="CT52" s="215">
        <f t="shared" si="59"/>
        <v>0</v>
      </c>
      <c r="CU52" s="215">
        <f t="shared" si="59"/>
        <v>0</v>
      </c>
      <c r="CV52" s="215">
        <f t="shared" si="59"/>
        <v>0</v>
      </c>
      <c r="CW52" s="215">
        <f>ROUND($BY52-SUMIFS($AA52:$BJ52, $AA$3:$BJ$3, $BY$3), rounding)</f>
        <v>0</v>
      </c>
      <c r="CX52" s="215">
        <f>ROUND($BZ52-SUMIFS($AA52:$BJ52, $AA$3:$BJ$3, $BZ$3), rounding)</f>
        <v>0</v>
      </c>
      <c r="CY52" s="215">
        <f>ROUND($CA52-SUMIFS($AA52:$BJ52, $AA$3:$BJ$3, $CA$3), rounding)</f>
        <v>0</v>
      </c>
      <c r="CZ52" s="215">
        <f>ROUND($V52-$BX52, rounding)</f>
        <v>0</v>
      </c>
      <c r="DT52" s="11"/>
      <c r="DU52" s="4">
        <v>1</v>
      </c>
      <c r="DV52">
        <v>1</v>
      </c>
      <c r="DW52" s="11"/>
      <c r="EY52" s="10" t="str">
        <f t="shared" si="42"/>
        <v>Subcontracted in - European Funding</v>
      </c>
    </row>
    <row r="53" spans="1:155" x14ac:dyDescent="0.35">
      <c r="A53" s="220" cm="1">
        <f t="array" aca="1" ref="A53" ca="1">HYPERLINK("#"&amp;IFERROR(CELL("address",IF(MAX($CM53:$CS53)=0,A53,INDEX($CM53:$CS53,MATCH(1,$CM53:$CS53,0)))),CELL("address",$V53:$CI53)),IFERROR(MAX($CM53:$CS53),1))</f>
        <v>0</v>
      </c>
      <c r="C53" s="213" t="str">
        <f>CONCATENATE("M-", 'I&amp;E Annual'!C53)</f>
        <v>M-IE-1e</v>
      </c>
      <c r="D53" s="61" t="s">
        <v>354</v>
      </c>
      <c r="H53" t="s">
        <v>317</v>
      </c>
      <c r="V53" s="12">
        <f>SUM(V50:V52)</f>
        <v>0</v>
      </c>
      <c r="W53" s="12">
        <f>SUM(W50:W52)</f>
        <v>0</v>
      </c>
      <c r="X53" s="12">
        <f>SUM(X50:X52)</f>
        <v>0</v>
      </c>
      <c r="Y53" s="12">
        <f>SUM(Y50:Y52)</f>
        <v>0</v>
      </c>
      <c r="AA53" s="12">
        <f t="shared" ref="AA53:BJ53" si="60">SUM(AA50:AA52)</f>
        <v>0</v>
      </c>
      <c r="AB53" s="12">
        <f t="shared" si="60"/>
        <v>0</v>
      </c>
      <c r="AC53" s="12">
        <f t="shared" si="60"/>
        <v>0</v>
      </c>
      <c r="AD53" s="12">
        <f t="shared" si="60"/>
        <v>0</v>
      </c>
      <c r="AE53" s="12">
        <f t="shared" si="60"/>
        <v>0</v>
      </c>
      <c r="AF53" s="12">
        <f t="shared" si="60"/>
        <v>0</v>
      </c>
      <c r="AG53" s="12">
        <f t="shared" si="60"/>
        <v>0</v>
      </c>
      <c r="AH53" s="12">
        <f t="shared" si="60"/>
        <v>0</v>
      </c>
      <c r="AI53" s="12">
        <f t="shared" si="60"/>
        <v>0</v>
      </c>
      <c r="AJ53" s="12">
        <f t="shared" si="60"/>
        <v>0</v>
      </c>
      <c r="AK53" s="12">
        <f t="shared" si="60"/>
        <v>0</v>
      </c>
      <c r="AL53" s="12">
        <f t="shared" si="60"/>
        <v>0</v>
      </c>
      <c r="AM53" s="12">
        <f t="shared" si="60"/>
        <v>0</v>
      </c>
      <c r="AN53" s="12">
        <f t="shared" si="60"/>
        <v>0</v>
      </c>
      <c r="AO53" s="12">
        <f t="shared" si="60"/>
        <v>0</v>
      </c>
      <c r="AP53" s="12">
        <f t="shared" si="60"/>
        <v>0</v>
      </c>
      <c r="AQ53" s="12">
        <f t="shared" si="60"/>
        <v>0</v>
      </c>
      <c r="AR53" s="12">
        <f t="shared" si="60"/>
        <v>0</v>
      </c>
      <c r="AS53" s="12">
        <f t="shared" si="60"/>
        <v>0</v>
      </c>
      <c r="AT53" s="12">
        <f t="shared" si="60"/>
        <v>0</v>
      </c>
      <c r="AU53" s="12">
        <f t="shared" si="60"/>
        <v>0</v>
      </c>
      <c r="AV53" s="12">
        <f t="shared" si="60"/>
        <v>0</v>
      </c>
      <c r="AW53" s="12">
        <f t="shared" si="60"/>
        <v>0</v>
      </c>
      <c r="AX53" s="12">
        <f t="shared" si="60"/>
        <v>0</v>
      </c>
      <c r="AY53" s="12">
        <f t="shared" si="60"/>
        <v>0</v>
      </c>
      <c r="AZ53" s="12">
        <f t="shared" si="60"/>
        <v>0</v>
      </c>
      <c r="BA53" s="12">
        <f t="shared" si="60"/>
        <v>0</v>
      </c>
      <c r="BB53" s="12">
        <f t="shared" si="60"/>
        <v>0</v>
      </c>
      <c r="BC53" s="12">
        <f t="shared" si="60"/>
        <v>0</v>
      </c>
      <c r="BD53" s="12">
        <f t="shared" si="60"/>
        <v>0</v>
      </c>
      <c r="BE53" s="12">
        <f t="shared" si="60"/>
        <v>0</v>
      </c>
      <c r="BF53" s="12">
        <f t="shared" si="60"/>
        <v>0</v>
      </c>
      <c r="BG53" s="12">
        <f t="shared" si="60"/>
        <v>0</v>
      </c>
      <c r="BH53" s="12">
        <f t="shared" si="60"/>
        <v>0</v>
      </c>
      <c r="BI53" s="12">
        <f t="shared" si="60"/>
        <v>0</v>
      </c>
      <c r="BJ53" s="12">
        <f t="shared" si="60"/>
        <v>0</v>
      </c>
      <c r="BX53" s="12">
        <f t="shared" ref="BX53:CI53" si="61">SUM(BX50:BX52)</f>
        <v>0</v>
      </c>
      <c r="BY53" s="12">
        <f t="shared" si="61"/>
        <v>0</v>
      </c>
      <c r="BZ53" s="12">
        <f t="shared" si="61"/>
        <v>0</v>
      </c>
      <c r="CA53" s="12">
        <f t="shared" si="61"/>
        <v>0</v>
      </c>
      <c r="CB53" s="12">
        <f t="shared" si="61"/>
        <v>0</v>
      </c>
      <c r="CC53" s="12">
        <f t="shared" si="61"/>
        <v>0</v>
      </c>
      <c r="CD53" s="12">
        <f t="shared" si="61"/>
        <v>0</v>
      </c>
      <c r="CE53" s="12">
        <f t="shared" si="61"/>
        <v>0</v>
      </c>
      <c r="CF53" s="12">
        <f t="shared" si="61"/>
        <v>0</v>
      </c>
      <c r="CG53" s="12">
        <f t="shared" si="61"/>
        <v>0</v>
      </c>
      <c r="CH53" s="12">
        <f t="shared" si="61"/>
        <v>0</v>
      </c>
      <c r="CI53" s="12">
        <f t="shared" si="61"/>
        <v>0</v>
      </c>
      <c r="CK53" s="11"/>
      <c r="CL53" s="241">
        <f>IF(MIN($V53:$CI53)&lt;0, 1, 0)</f>
        <v>0</v>
      </c>
      <c r="CM53" s="11"/>
      <c r="CP53" s="7">
        <f>IF(SUM($CT53:$CV53)=0, 0, 1)</f>
        <v>0</v>
      </c>
      <c r="CQ53" s="7">
        <f>IF(SUM($CW53:$CY53)=0, 0, 1)</f>
        <v>0</v>
      </c>
      <c r="CR53" s="7">
        <f>IF($CZ53=0, 0, 1)</f>
        <v>0</v>
      </c>
      <c r="CS53" s="11"/>
      <c r="CT53" s="215">
        <f t="shared" si="59"/>
        <v>0</v>
      </c>
      <c r="CU53" s="215">
        <f t="shared" si="59"/>
        <v>0</v>
      </c>
      <c r="CV53" s="215">
        <f t="shared" si="59"/>
        <v>0</v>
      </c>
      <c r="CW53" s="215">
        <f>ROUND($BY53-SUMIFS($AA53:$BJ53, $AA$3:$BJ$3, $BY$3), rounding)</f>
        <v>0</v>
      </c>
      <c r="CX53" s="215">
        <f>ROUND($BZ53-SUMIFS($AA53:$BJ53, $AA$3:$BJ$3, $BZ$3), rounding)</f>
        <v>0</v>
      </c>
      <c r="CY53" s="215">
        <f>ROUND($CA53-SUMIFS($AA53:$BJ53, $AA$3:$BJ$3, $CA$3), rounding)</f>
        <v>0</v>
      </c>
      <c r="CZ53" s="215">
        <f>ROUND($V53-$BX53, rounding)</f>
        <v>0</v>
      </c>
      <c r="DT53" s="11"/>
      <c r="DU53">
        <v>0</v>
      </c>
      <c r="DV53">
        <v>0</v>
      </c>
      <c r="DW53" s="11"/>
      <c r="EY53" s="10" t="str">
        <f t="shared" si="42"/>
        <v>Total European Funding</v>
      </c>
    </row>
    <row r="54" spans="1:155" x14ac:dyDescent="0.35">
      <c r="A54" s="220" cm="1">
        <f t="array" aca="1" ref="A54" ca="1">HYPERLINK("#"&amp;IFERROR(CELL("address",IF(MAX($CM54:$CS54)=0,A54,INDEX($CM54:$CS54,MATCH(1,$CM54:$CS54,0)))),CELL("address",$V54:$CI54)),IFERROR(MAX($CM54:$CS54),1))</f>
        <v>0</v>
      </c>
      <c r="C54" s="213" t="str">
        <f>CONCATENATE("M-", 'I&amp;E Annual'!C54)</f>
        <v>M-IE-1e-SO</v>
      </c>
      <c r="D54" s="57" t="s">
        <v>355</v>
      </c>
      <c r="H54" t="s">
        <v>317</v>
      </c>
      <c r="V54" s="109"/>
      <c r="W54" s="133">
        <f xml:space="preserve"> SUMIFS($AA54:$BJ54, $AA$3:$BJ$3, W$3)</f>
        <v>0</v>
      </c>
      <c r="X54" s="133">
        <f xml:space="preserve"> SUMIFS($AA54:$BJ54, $AA$3:$BJ$3, X$3)</f>
        <v>0</v>
      </c>
      <c r="Y54" s="133">
        <f xml:space="preserve"> SUMIFS($AA54:$BJ54, $AA$3:$BJ$3, Y$3)</f>
        <v>0</v>
      </c>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X54" s="10">
        <f>V54</f>
        <v>0</v>
      </c>
      <c r="BY54" s="10">
        <f>W54</f>
        <v>0</v>
      </c>
      <c r="BZ54" s="10">
        <f>X54</f>
        <v>0</v>
      </c>
      <c r="CA54" s="10">
        <f>Y54</f>
        <v>0</v>
      </c>
      <c r="CB54" s="109"/>
      <c r="CC54" s="109"/>
      <c r="CD54" s="109"/>
      <c r="CE54" s="109"/>
      <c r="CF54" s="109"/>
      <c r="CG54" s="109"/>
      <c r="CH54" s="109"/>
      <c r="CI54" s="109"/>
      <c r="CK54" s="11"/>
      <c r="CL54" s="241">
        <f>IF(MIN($V54:$CI54)&lt;0, 1, 0)</f>
        <v>0</v>
      </c>
      <c r="CM54" s="11"/>
      <c r="CN54" s="7">
        <f>IF(DA54=0, 0, 1)</f>
        <v>0</v>
      </c>
      <c r="CO54" s="7" cm="1">
        <f t="array" ref="CO54">SUMPRODUCT(--NOT(ISNUMBER(V54:CI54)),--NOT(ISBLANK(V54:CI54)))</f>
        <v>0</v>
      </c>
      <c r="CP54" s="7">
        <f>IF(SUM($CT54:$CV54)=0, 0, 1)</f>
        <v>0</v>
      </c>
      <c r="CQ54" s="7">
        <f>IF(SUM($CW54:$CY54)=0, 0, 1)</f>
        <v>0</v>
      </c>
      <c r="CR54" s="7">
        <f>IF($CZ54=0, 0, 1)</f>
        <v>0</v>
      </c>
      <c r="CS54" s="11"/>
      <c r="CT54" s="215">
        <f t="shared" si="59"/>
        <v>0</v>
      </c>
      <c r="CU54" s="215">
        <f t="shared" si="59"/>
        <v>0</v>
      </c>
      <c r="CV54" s="215">
        <f t="shared" si="59"/>
        <v>0</v>
      </c>
      <c r="CW54" s="215">
        <f>ROUND($BY54-SUMIFS($AA54:$BJ54, $AA$3:$BJ$3, $BY$3), rounding)</f>
        <v>0</v>
      </c>
      <c r="CX54" s="215">
        <f>ROUND($BZ54-SUMIFS($AA54:$BJ54, $AA$3:$BJ$3, $BZ$3), rounding)</f>
        <v>0</v>
      </c>
      <c r="CY54" s="215">
        <f>ROUND($CA54-SUMIFS($AA54:$BJ54, $AA$3:$BJ$3, $CA$3), rounding)</f>
        <v>0</v>
      </c>
      <c r="CZ54" s="215">
        <f>ROUND($V54-$BX54, rounding)</f>
        <v>0</v>
      </c>
      <c r="DA54" s="508">
        <f>SUM(DC54:DS54)</f>
        <v>0</v>
      </c>
      <c r="DC54" s="7">
        <f>IF(V54&gt;V53, 1, 0)</f>
        <v>0</v>
      </c>
      <c r="DD54" s="7">
        <f>IF(W54&gt;W53, 1, 0)</f>
        <v>0</v>
      </c>
      <c r="DE54" s="7">
        <f>IF(X54&gt;X53, 1, 0)</f>
        <v>0</v>
      </c>
      <c r="DF54" s="7">
        <f>IF(Y54&gt;Y53, 1, 0)</f>
        <v>0</v>
      </c>
      <c r="DH54" s="7">
        <f t="shared" ref="DH54:DS54" si="62">IF(BX54&gt;BX53, 1, 0)</f>
        <v>0</v>
      </c>
      <c r="DI54" s="7">
        <f t="shared" si="62"/>
        <v>0</v>
      </c>
      <c r="DJ54" s="7">
        <f t="shared" si="62"/>
        <v>0</v>
      </c>
      <c r="DK54" s="7">
        <f t="shared" si="62"/>
        <v>0</v>
      </c>
      <c r="DL54" s="7">
        <f t="shared" si="62"/>
        <v>0</v>
      </c>
      <c r="DM54" s="7">
        <f t="shared" si="62"/>
        <v>0</v>
      </c>
      <c r="DN54" s="7">
        <f t="shared" si="62"/>
        <v>0</v>
      </c>
      <c r="DO54" s="7">
        <f t="shared" si="62"/>
        <v>0</v>
      </c>
      <c r="DP54" s="7">
        <f t="shared" si="62"/>
        <v>0</v>
      </c>
      <c r="DQ54" s="7">
        <f t="shared" si="62"/>
        <v>0</v>
      </c>
      <c r="DR54" s="7">
        <f t="shared" si="62"/>
        <v>0</v>
      </c>
      <c r="DS54" s="7">
        <f t="shared" si="62"/>
        <v>0</v>
      </c>
      <c r="DT54" s="11"/>
      <c r="DU54" s="4">
        <v>0</v>
      </c>
      <c r="DV54">
        <v>0</v>
      </c>
      <c r="DW54" s="11"/>
      <c r="EY54" s="10" t="str">
        <f t="shared" si="42"/>
        <v>Of which: subcontracted out European Funding income</v>
      </c>
    </row>
    <row r="55" spans="1:155" ht="6.75" customHeight="1" x14ac:dyDescent="0.35">
      <c r="C55" s="213"/>
      <c r="BY55" s="6"/>
      <c r="CK55" s="35"/>
      <c r="CM55" s="35"/>
      <c r="CS55" s="35"/>
      <c r="DT55" s="35"/>
      <c r="DU55">
        <v>0</v>
      </c>
      <c r="DV55">
        <v>0</v>
      </c>
      <c r="DW55" s="35"/>
      <c r="EY55" s="10" t="str">
        <f t="shared" si="42"/>
        <v/>
      </c>
    </row>
    <row r="56" spans="1:155" x14ac:dyDescent="0.35">
      <c r="C56" s="213"/>
      <c r="D56" s="61" t="s">
        <v>356</v>
      </c>
      <c r="E56" s="5"/>
      <c r="G56" s="5"/>
      <c r="CK56" s="35"/>
      <c r="CL56"/>
      <c r="CM56" s="35"/>
      <c r="CS56" s="11"/>
      <c r="DT56" s="35"/>
      <c r="DU56" s="4">
        <v>0</v>
      </c>
      <c r="DV56">
        <v>0</v>
      </c>
      <c r="DW56" s="35"/>
      <c r="EY56" s="10"/>
    </row>
    <row r="57" spans="1:155" x14ac:dyDescent="0.35">
      <c r="A57" s="220" cm="1">
        <f t="array" aca="1" ref="A57" ca="1">HYPERLINK("#"&amp;IFERROR(CELL("address",IF(MAX($CM57:$CS57)=0,A57,INDEX($CM57:$CS57,MATCH(1,$CM57:$CS57,0)))),CELL("address",$V57:$CI57)),IFERROR(MAX($CM57:$CS57),1))</f>
        <v>0</v>
      </c>
      <c r="C57" s="213" t="s">
        <v>357</v>
      </c>
      <c r="D57" s="57" t="s">
        <v>358</v>
      </c>
      <c r="E57" s="5"/>
      <c r="G57" s="5"/>
      <c r="H57" t="s">
        <v>317</v>
      </c>
      <c r="V57" s="109"/>
      <c r="W57" s="133">
        <f t="shared" ref="W57:Y59" si="63" xml:space="preserve"> SUMIFS($AA57:$BJ57, $AA$3:$BJ$3, W$3)</f>
        <v>0</v>
      </c>
      <c r="X57" s="133">
        <f t="shared" si="63"/>
        <v>0</v>
      </c>
      <c r="Y57" s="133">
        <f t="shared" si="63"/>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0">
        <f t="shared" ref="BX57:BX61" si="64">V57</f>
        <v>0</v>
      </c>
      <c r="BY57" s="10">
        <f t="shared" ref="BY57:BY59" si="65">W57</f>
        <v>0</v>
      </c>
      <c r="BZ57" s="10">
        <f t="shared" ref="BZ57:BZ59" si="66">X57</f>
        <v>0</v>
      </c>
      <c r="CA57" s="10">
        <f t="shared" ref="CA57:CA59" si="67">Y57</f>
        <v>0</v>
      </c>
      <c r="CB57" s="109"/>
      <c r="CC57" s="109"/>
      <c r="CD57" s="109"/>
      <c r="CE57" s="109"/>
      <c r="CF57" s="109"/>
      <c r="CG57" s="109"/>
      <c r="CH57" s="109"/>
      <c r="CI57" s="109"/>
      <c r="CK57" s="11"/>
      <c r="CL57" s="241">
        <f>IF(MIN($V57:$CI57)&lt;0, 1, 0)</f>
        <v>0</v>
      </c>
      <c r="CM57" s="11"/>
      <c r="CO57" s="7" cm="1">
        <f t="array" ref="CO57">SUMPRODUCT(--NOT(ISNUMBER(V57:CI57)),--NOT(ISBLANK(V57:CI57)))</f>
        <v>0</v>
      </c>
      <c r="CP57" s="7">
        <f>IF(SUM($CT57:$CV57)=0, 0, 1)</f>
        <v>0</v>
      </c>
      <c r="CQ57" s="7">
        <f>IF(SUM($CW57:$CY57)=0, 0, 1)</f>
        <v>0</v>
      </c>
      <c r="CR57" s="7">
        <f>IF($CZ57=0, 0, 1)</f>
        <v>0</v>
      </c>
      <c r="CS57" s="11"/>
      <c r="CT57" s="215">
        <f t="shared" ref="CT57:CV61" si="68">ROUND(W57-SUMIFS($AA57:$BJ57, $AA$3:$BJ$3, W$3), rounding)</f>
        <v>0</v>
      </c>
      <c r="CU57" s="215">
        <f t="shared" si="68"/>
        <v>0</v>
      </c>
      <c r="CV57" s="215">
        <f t="shared" si="68"/>
        <v>0</v>
      </c>
      <c r="CW57" s="215">
        <f>ROUND($BY57-SUMIFS($AA57:$BJ57, $AA$3:$BJ$3, $BY$3), rounding)</f>
        <v>0</v>
      </c>
      <c r="CX57" s="215">
        <f>ROUND($BZ57-SUMIFS($AA57:$BJ57, $AA$3:$BJ$3, $BZ$3), rounding)</f>
        <v>0</v>
      </c>
      <c r="CY57" s="215">
        <f>ROUND($CA57-SUMIFS($AA57:$BJ57, $AA$3:$BJ$3, $CA$3), rounding)</f>
        <v>0</v>
      </c>
      <c r="CZ57" s="215">
        <f>ROUND($V57-$BX57, rounding)</f>
        <v>0</v>
      </c>
      <c r="DT57" s="11"/>
      <c r="DU57" s="4">
        <v>1</v>
      </c>
      <c r="DV57">
        <v>1</v>
      </c>
      <c r="DW57" s="11"/>
      <c r="EY57" s="10"/>
    </row>
    <row r="58" spans="1:155" x14ac:dyDescent="0.35">
      <c r="A58" s="220" cm="1">
        <f t="array" aca="1" ref="A58" ca="1">HYPERLINK("#"&amp;IFERROR(CELL("address",IF(MAX($CM58:$CS58)=0,A58,INDEX($CM58:$CS58,MATCH(1,$CM58:$CS58,0)))),CELL("address",$V58:$CI58)),IFERROR(MAX($CM58:$CS58),1))</f>
        <v>0</v>
      </c>
      <c r="C58" s="213" t="s">
        <v>359</v>
      </c>
      <c r="D58" s="57" t="s">
        <v>360</v>
      </c>
      <c r="E58" s="5"/>
      <c r="G58" s="5"/>
      <c r="H58" t="s">
        <v>317</v>
      </c>
      <c r="V58" s="109"/>
      <c r="W58" s="133">
        <f t="shared" si="63"/>
        <v>0</v>
      </c>
      <c r="X58" s="133">
        <f t="shared" si="63"/>
        <v>0</v>
      </c>
      <c r="Y58" s="133">
        <f t="shared" si="63"/>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X58" s="10">
        <f t="shared" si="64"/>
        <v>0</v>
      </c>
      <c r="BY58" s="10">
        <f t="shared" si="65"/>
        <v>0</v>
      </c>
      <c r="BZ58" s="10">
        <f t="shared" si="66"/>
        <v>0</v>
      </c>
      <c r="CA58" s="10">
        <f t="shared" si="67"/>
        <v>0</v>
      </c>
      <c r="CB58" s="109"/>
      <c r="CC58" s="109"/>
      <c r="CD58" s="109"/>
      <c r="CE58" s="109"/>
      <c r="CF58" s="109"/>
      <c r="CG58" s="109"/>
      <c r="CH58" s="109"/>
      <c r="CI58" s="109"/>
      <c r="CK58" s="11"/>
      <c r="CL58" s="241">
        <f>IF(MIN($V58:$CI58)&lt;0, 1, 0)</f>
        <v>0</v>
      </c>
      <c r="CM58" s="11"/>
      <c r="CO58" s="7" cm="1">
        <f t="array" ref="CO58">SUMPRODUCT(--NOT(ISNUMBER(V58:CI58)),--NOT(ISBLANK(V58:CI58)))</f>
        <v>0</v>
      </c>
      <c r="CP58" s="7">
        <f>IF(SUM($CT58:$CV58)=0, 0, 1)</f>
        <v>0</v>
      </c>
      <c r="CQ58" s="7">
        <f>IF(SUM($CW58:$CY58)=0, 0, 1)</f>
        <v>0</v>
      </c>
      <c r="CR58" s="7">
        <f>IF($CZ58=0, 0, 1)</f>
        <v>0</v>
      </c>
      <c r="CS58" s="11"/>
      <c r="CT58" s="215">
        <f t="shared" si="68"/>
        <v>0</v>
      </c>
      <c r="CU58" s="215">
        <f t="shared" si="68"/>
        <v>0</v>
      </c>
      <c r="CV58" s="215">
        <f t="shared" si="68"/>
        <v>0</v>
      </c>
      <c r="CW58" s="215">
        <f>ROUND($BY58-SUMIFS($AA58:$BJ58, $AA$3:$BJ$3, $BY$3), rounding)</f>
        <v>0</v>
      </c>
      <c r="CX58" s="215">
        <f>ROUND($BZ58-SUMIFS($AA58:$BJ58, $AA$3:$BJ$3, $BZ$3), rounding)</f>
        <v>0</v>
      </c>
      <c r="CY58" s="215">
        <f>ROUND($CA58-SUMIFS($AA58:$BJ58, $AA$3:$BJ$3, $CA$3), rounding)</f>
        <v>0</v>
      </c>
      <c r="CZ58" s="215">
        <f>ROUND($V58-$BX58, rounding)</f>
        <v>0</v>
      </c>
      <c r="DT58" s="11"/>
      <c r="DU58" s="4">
        <v>1</v>
      </c>
      <c r="DV58">
        <v>1</v>
      </c>
      <c r="DW58" s="11"/>
      <c r="EY58" s="10"/>
    </row>
    <row r="59" spans="1:155" x14ac:dyDescent="0.35">
      <c r="A59" s="220" cm="1">
        <f t="array" aca="1" ref="A59" ca="1">HYPERLINK("#"&amp;IFERROR(CELL("address",IF(MAX($CM59:$CS59)=0,A59,INDEX($CM59:$CS59,MATCH(1,$CM59:$CS59,0)))),CELL("address",$V59:$CI59)),IFERROR(MAX($CM59:$CS59),1))</f>
        <v>0</v>
      </c>
      <c r="C59" s="213" t="s">
        <v>361</v>
      </c>
      <c r="D59" s="57" t="s">
        <v>362</v>
      </c>
      <c r="E59" s="5"/>
      <c r="G59" s="5"/>
      <c r="H59" t="s">
        <v>317</v>
      </c>
      <c r="V59" s="109"/>
      <c r="W59" s="133">
        <f t="shared" si="63"/>
        <v>0</v>
      </c>
      <c r="X59" s="133">
        <f t="shared" si="63"/>
        <v>0</v>
      </c>
      <c r="Y59" s="133">
        <f t="shared" si="63"/>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si="64"/>
        <v>0</v>
      </c>
      <c r="BY59" s="10">
        <f t="shared" si="65"/>
        <v>0</v>
      </c>
      <c r="BZ59" s="10">
        <f t="shared" si="66"/>
        <v>0</v>
      </c>
      <c r="CA59" s="10">
        <f t="shared" si="67"/>
        <v>0</v>
      </c>
      <c r="CB59" s="109"/>
      <c r="CC59" s="109"/>
      <c r="CD59" s="109"/>
      <c r="CE59" s="109"/>
      <c r="CF59" s="109"/>
      <c r="CG59" s="109"/>
      <c r="CH59" s="109"/>
      <c r="CI59" s="109"/>
      <c r="CK59" s="11"/>
      <c r="CL59" s="241">
        <f>IF(MIN($V59:$CI59)&lt;0, 1, 0)</f>
        <v>0</v>
      </c>
      <c r="CM59" s="11"/>
      <c r="CO59" s="7" cm="1">
        <f t="array" ref="CO59">SUMPRODUCT(--NOT(ISNUMBER(V59:CI59)),--NOT(ISBLANK(V59:CI59)))</f>
        <v>0</v>
      </c>
      <c r="CP59" s="7">
        <f>IF(SUM($CT59:$CV59)=0, 0, 1)</f>
        <v>0</v>
      </c>
      <c r="CQ59" s="7">
        <f>IF(SUM($CW59:$CY59)=0, 0, 1)</f>
        <v>0</v>
      </c>
      <c r="CR59" s="7">
        <f>IF($CZ59=0, 0, 1)</f>
        <v>0</v>
      </c>
      <c r="CS59" s="11"/>
      <c r="CT59" s="215">
        <f t="shared" si="68"/>
        <v>0</v>
      </c>
      <c r="CU59" s="215">
        <f t="shared" si="68"/>
        <v>0</v>
      </c>
      <c r="CV59" s="215">
        <f t="shared" si="68"/>
        <v>0</v>
      </c>
      <c r="CW59" s="215">
        <f>ROUND($BY59-SUMIFS($AA59:$BJ59, $AA$3:$BJ$3, $BY$3), rounding)</f>
        <v>0</v>
      </c>
      <c r="CX59" s="215">
        <f>ROUND($BZ59-SUMIFS($AA59:$BJ59, $AA$3:$BJ$3, $BZ$3), rounding)</f>
        <v>0</v>
      </c>
      <c r="CY59" s="215">
        <f>ROUND($CA59-SUMIFS($AA59:$BJ59, $AA$3:$BJ$3, $CA$3), rounding)</f>
        <v>0</v>
      </c>
      <c r="CZ59" s="215">
        <f>ROUND($V59-$BX59, rounding)</f>
        <v>0</v>
      </c>
      <c r="DT59" s="11"/>
      <c r="DU59">
        <v>1</v>
      </c>
      <c r="DV59">
        <v>1</v>
      </c>
      <c r="DW59" s="11"/>
      <c r="EY59" s="10"/>
    </row>
    <row r="60" spans="1:155" x14ac:dyDescent="0.35">
      <c r="A60" s="220" cm="1">
        <f t="array" aca="1" ref="A60" ca="1">HYPERLINK("#"&amp;IFERROR(CELL("address",IF(MAX($CM60:$CS60)=0,A60,INDEX($CM60:$CS60,MATCH(1,$CM60:$CS60,0)))),CELL("address",$V60:$CI60)),IFERROR(MAX($CM60:$CS60),1))</f>
        <v>0</v>
      </c>
      <c r="C60" s="213" t="s">
        <v>363</v>
      </c>
      <c r="D60" s="61" t="s">
        <v>364</v>
      </c>
      <c r="E60" s="5"/>
      <c r="G60" s="5"/>
      <c r="H60" t="s">
        <v>317</v>
      </c>
      <c r="V60" s="12">
        <f>SUM(V57:V59)</f>
        <v>0</v>
      </c>
      <c r="W60" s="12">
        <f t="shared" ref="W60:AA60" si="69">SUM(W57:W59)</f>
        <v>0</v>
      </c>
      <c r="X60" s="12">
        <f t="shared" si="69"/>
        <v>0</v>
      </c>
      <c r="Y60" s="12">
        <f t="shared" si="69"/>
        <v>0</v>
      </c>
      <c r="AA60" s="12">
        <f t="shared" si="69"/>
        <v>0</v>
      </c>
      <c r="AB60" s="12">
        <f t="shared" ref="AB60" si="70">SUM(AB57:AB59)</f>
        <v>0</v>
      </c>
      <c r="AC60" s="12">
        <f t="shared" ref="AC60" si="71">SUM(AC57:AC59)</f>
        <v>0</v>
      </c>
      <c r="AD60" s="12">
        <f t="shared" ref="AD60" si="72">SUM(AD57:AD59)</f>
        <v>0</v>
      </c>
      <c r="AE60" s="12">
        <f t="shared" ref="AE60" si="73">SUM(AE57:AE59)</f>
        <v>0</v>
      </c>
      <c r="AF60" s="12">
        <f t="shared" ref="AF60" si="74">SUM(AF57:AF59)</f>
        <v>0</v>
      </c>
      <c r="AG60" s="12">
        <f t="shared" ref="AG60" si="75">SUM(AG57:AG59)</f>
        <v>0</v>
      </c>
      <c r="AH60" s="12">
        <f t="shared" ref="AH60" si="76">SUM(AH57:AH59)</f>
        <v>0</v>
      </c>
      <c r="AI60" s="12">
        <f t="shared" ref="AI60" si="77">SUM(AI57:AI59)</f>
        <v>0</v>
      </c>
      <c r="AJ60" s="12">
        <f t="shared" ref="AJ60" si="78">SUM(AJ57:AJ59)</f>
        <v>0</v>
      </c>
      <c r="AK60" s="12">
        <f t="shared" ref="AK60" si="79">SUM(AK57:AK59)</f>
        <v>0</v>
      </c>
      <c r="AL60" s="12">
        <f t="shared" ref="AL60" si="80">SUM(AL57:AL59)</f>
        <v>0</v>
      </c>
      <c r="AM60" s="12">
        <f t="shared" ref="AM60" si="81">SUM(AM57:AM59)</f>
        <v>0</v>
      </c>
      <c r="AN60" s="12">
        <f t="shared" ref="AN60" si="82">SUM(AN57:AN59)</f>
        <v>0</v>
      </c>
      <c r="AO60" s="12">
        <f t="shared" ref="AO60" si="83">SUM(AO57:AO59)</f>
        <v>0</v>
      </c>
      <c r="AP60" s="12">
        <f t="shared" ref="AP60" si="84">SUM(AP57:AP59)</f>
        <v>0</v>
      </c>
      <c r="AQ60" s="12">
        <f t="shared" ref="AQ60" si="85">SUM(AQ57:AQ59)</f>
        <v>0</v>
      </c>
      <c r="AR60" s="12">
        <f t="shared" ref="AR60" si="86">SUM(AR57:AR59)</f>
        <v>0</v>
      </c>
      <c r="AS60" s="12">
        <f t="shared" ref="AS60" si="87">SUM(AS57:AS59)</f>
        <v>0</v>
      </c>
      <c r="AT60" s="12">
        <f t="shared" ref="AT60" si="88">SUM(AT57:AT59)</f>
        <v>0</v>
      </c>
      <c r="AU60" s="12">
        <f t="shared" ref="AU60" si="89">SUM(AU57:AU59)</f>
        <v>0</v>
      </c>
      <c r="AV60" s="12">
        <f t="shared" ref="AV60" si="90">SUM(AV57:AV59)</f>
        <v>0</v>
      </c>
      <c r="AW60" s="12">
        <f t="shared" ref="AW60" si="91">SUM(AW57:AW59)</f>
        <v>0</v>
      </c>
      <c r="AX60" s="12">
        <f t="shared" ref="AX60" si="92">SUM(AX57:AX59)</f>
        <v>0</v>
      </c>
      <c r="AY60" s="12">
        <f t="shared" ref="AY60" si="93">SUM(AY57:AY59)</f>
        <v>0</v>
      </c>
      <c r="AZ60" s="12">
        <f t="shared" ref="AZ60" si="94">SUM(AZ57:AZ59)</f>
        <v>0</v>
      </c>
      <c r="BA60" s="12">
        <f t="shared" ref="BA60" si="95">SUM(BA57:BA59)</f>
        <v>0</v>
      </c>
      <c r="BB60" s="12">
        <f t="shared" ref="BB60" si="96">SUM(BB57:BB59)</f>
        <v>0</v>
      </c>
      <c r="BC60" s="12">
        <f t="shared" ref="BC60" si="97">SUM(BC57:BC59)</f>
        <v>0</v>
      </c>
      <c r="BD60" s="12">
        <f t="shared" ref="BD60" si="98">SUM(BD57:BD59)</f>
        <v>0</v>
      </c>
      <c r="BE60" s="12">
        <f t="shared" ref="BE60" si="99">SUM(BE57:BE59)</f>
        <v>0</v>
      </c>
      <c r="BF60" s="12">
        <f t="shared" ref="BF60" si="100">SUM(BF57:BF59)</f>
        <v>0</v>
      </c>
      <c r="BG60" s="12">
        <f t="shared" ref="BG60" si="101">SUM(BG57:BG59)</f>
        <v>0</v>
      </c>
      <c r="BH60" s="12">
        <f t="shared" ref="BH60" si="102">SUM(BH57:BH59)</f>
        <v>0</v>
      </c>
      <c r="BI60" s="12">
        <f t="shared" ref="BI60" si="103">SUM(BI57:BI59)</f>
        <v>0</v>
      </c>
      <c r="BJ60" s="12">
        <f t="shared" ref="BJ60" si="104">SUM(BJ57:BJ59)</f>
        <v>0</v>
      </c>
      <c r="BX60" s="12">
        <f t="shared" ref="BX60" si="105">SUM(BX57:BX59)</f>
        <v>0</v>
      </c>
      <c r="BY60" s="12">
        <f t="shared" ref="BY60" si="106">SUM(BY57:BY59)</f>
        <v>0</v>
      </c>
      <c r="BZ60" s="12">
        <f t="shared" ref="BZ60" si="107">SUM(BZ57:BZ59)</f>
        <v>0</v>
      </c>
      <c r="CA60" s="12">
        <f t="shared" ref="CA60" si="108">SUM(CA57:CA59)</f>
        <v>0</v>
      </c>
      <c r="CB60" s="12">
        <f t="shared" ref="CB60" si="109">SUM(CB57:CB59)</f>
        <v>0</v>
      </c>
      <c r="CC60" s="12">
        <f t="shared" ref="CC60" si="110">SUM(CC57:CC59)</f>
        <v>0</v>
      </c>
      <c r="CD60" s="12">
        <f t="shared" ref="CD60" si="111">SUM(CD57:CD59)</f>
        <v>0</v>
      </c>
      <c r="CE60" s="12">
        <f t="shared" ref="CE60" si="112">SUM(CE57:CE59)</f>
        <v>0</v>
      </c>
      <c r="CF60" s="12">
        <f t="shared" ref="CF60" si="113">SUM(CF57:CF59)</f>
        <v>0</v>
      </c>
      <c r="CG60" s="12">
        <f t="shared" ref="CG60" si="114">SUM(CG57:CG59)</f>
        <v>0</v>
      </c>
      <c r="CH60" s="12">
        <f t="shared" ref="CH60" si="115">SUM(CH57:CH59)</f>
        <v>0</v>
      </c>
      <c r="CI60" s="12">
        <f t="shared" ref="CI60" si="116">SUM(CI57:CI59)</f>
        <v>0</v>
      </c>
      <c r="CK60" s="11"/>
      <c r="CL60" s="241">
        <f>IF(MIN($V60:$CI60)&lt;0, 1, 0)</f>
        <v>0</v>
      </c>
      <c r="CM60" s="11"/>
      <c r="CP60" s="7">
        <f>IF(SUM($CT60:$CV60)=0, 0, 1)</f>
        <v>0</v>
      </c>
      <c r="CQ60" s="7">
        <f>IF(SUM($CW60:$CY60)=0, 0, 1)</f>
        <v>0</v>
      </c>
      <c r="CR60" s="7">
        <f>IF($CZ60=0, 0, 1)</f>
        <v>0</v>
      </c>
      <c r="CS60" s="11"/>
      <c r="CT60" s="215">
        <f t="shared" si="68"/>
        <v>0</v>
      </c>
      <c r="CU60" s="215">
        <f t="shared" si="68"/>
        <v>0</v>
      </c>
      <c r="CV60" s="215">
        <f t="shared" si="68"/>
        <v>0</v>
      </c>
      <c r="CW60" s="215">
        <f>ROUND($BY60-SUMIFS($AA60:$BJ60, $AA$3:$BJ$3, $BY$3), rounding)</f>
        <v>0</v>
      </c>
      <c r="CX60" s="215">
        <f>ROUND($BZ60-SUMIFS($AA60:$BJ60, $AA$3:$BJ$3, $BZ$3), rounding)</f>
        <v>0</v>
      </c>
      <c r="CY60" s="215">
        <f>ROUND($CA60-SUMIFS($AA60:$BJ60, $AA$3:$BJ$3, $CA$3), rounding)</f>
        <v>0</v>
      </c>
      <c r="CZ60" s="215">
        <f>ROUND($V60-$BX60, rounding)</f>
        <v>0</v>
      </c>
      <c r="DT60" s="11"/>
      <c r="DU60">
        <v>0</v>
      </c>
      <c r="DV60">
        <v>0</v>
      </c>
      <c r="DW60" s="11"/>
      <c r="EY60" s="10"/>
    </row>
    <row r="61" spans="1:155" x14ac:dyDescent="0.35">
      <c r="A61" s="220" cm="1">
        <f t="array" aca="1" ref="A61" ca="1">HYPERLINK("#"&amp;IFERROR(CELL("address",IF(MAX($CM61:$CS61)=0,A61,INDEX($CM61:$CS61,MATCH(1,$CM61:$CS61,0)))),CELL("address",$V61:$CI61)),IFERROR(MAX($CM61:$CS61),1))</f>
        <v>0</v>
      </c>
      <c r="C61" s="213" t="s">
        <v>365</v>
      </c>
      <c r="D61" s="57" t="s">
        <v>366</v>
      </c>
      <c r="E61" s="5"/>
      <c r="G61" s="5"/>
      <c r="H61" t="s">
        <v>317</v>
      </c>
      <c r="V61" s="109"/>
      <c r="W61" s="133">
        <f xml:space="preserve"> SUMIFS($AA61:$BJ61, $AA$3:$BJ$3, W$3)</f>
        <v>0</v>
      </c>
      <c r="X61" s="133">
        <f t="shared" ref="X61:Y61" si="117" xml:space="preserve"> SUMIFS($AA61:$BJ61, $AA$3:$BJ$3, X$3)</f>
        <v>0</v>
      </c>
      <c r="Y61" s="133">
        <f t="shared" si="117"/>
        <v>0</v>
      </c>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X61" s="10">
        <f t="shared" si="64"/>
        <v>0</v>
      </c>
      <c r="BY61" s="10">
        <f t="shared" ref="BY61" si="118">W61</f>
        <v>0</v>
      </c>
      <c r="BZ61" s="10">
        <f t="shared" ref="BZ61" si="119">X61</f>
        <v>0</v>
      </c>
      <c r="CA61" s="10">
        <f t="shared" ref="CA61" si="120">Y61</f>
        <v>0</v>
      </c>
      <c r="CB61" s="109"/>
      <c r="CC61" s="109"/>
      <c r="CD61" s="109"/>
      <c r="CE61" s="109"/>
      <c r="CF61" s="109"/>
      <c r="CG61" s="109"/>
      <c r="CH61" s="109"/>
      <c r="CI61" s="109"/>
      <c r="CK61" s="11"/>
      <c r="CL61" s="241">
        <f>IF(MIN($V61:$CI61)&lt;0, 1, 0)</f>
        <v>0</v>
      </c>
      <c r="CM61" s="11"/>
      <c r="CN61" s="7">
        <f>IF(DA61=0, 0, 1)</f>
        <v>0</v>
      </c>
      <c r="CO61" s="7" cm="1">
        <f t="array" ref="CO61">SUMPRODUCT(--NOT(ISNUMBER(V61:CI61)),--NOT(ISBLANK(V61:CI61)))</f>
        <v>0</v>
      </c>
      <c r="CP61" s="7">
        <f>IF(SUM($CT61:$CV61)=0, 0, 1)</f>
        <v>0</v>
      </c>
      <c r="CQ61" s="7">
        <f>IF(SUM($CW61:$CY61)=0, 0, 1)</f>
        <v>0</v>
      </c>
      <c r="CR61" s="7">
        <f>IF($CZ61=0, 0, 1)</f>
        <v>0</v>
      </c>
      <c r="CS61" s="11"/>
      <c r="CT61" s="215">
        <f t="shared" si="68"/>
        <v>0</v>
      </c>
      <c r="CU61" s="215">
        <f t="shared" si="68"/>
        <v>0</v>
      </c>
      <c r="CV61" s="215">
        <f t="shared" si="68"/>
        <v>0</v>
      </c>
      <c r="CW61" s="215">
        <f>ROUND($BY61-SUMIFS($AA61:$BJ61, $AA$3:$BJ$3, $BY$3), rounding)</f>
        <v>0</v>
      </c>
      <c r="CX61" s="215">
        <f>ROUND($BZ61-SUMIFS($AA61:$BJ61, $AA$3:$BJ$3, $BZ$3), rounding)</f>
        <v>0</v>
      </c>
      <c r="CY61" s="215">
        <f>ROUND($CA61-SUMIFS($AA61:$BJ61, $AA$3:$BJ$3, $CA$3), rounding)</f>
        <v>0</v>
      </c>
      <c r="CZ61" s="215">
        <f>ROUND($V61-$BX61, rounding)</f>
        <v>0</v>
      </c>
      <c r="DA61" s="508">
        <f>SUM(DC61:DS61)</f>
        <v>0</v>
      </c>
      <c r="DC61" s="7">
        <f>IF(V61&gt;V60, 1, 0)</f>
        <v>0</v>
      </c>
      <c r="DD61" s="7">
        <f t="shared" ref="DD61:DF61" si="121">IF(W61&gt;W60, 1, 0)</f>
        <v>0</v>
      </c>
      <c r="DE61" s="7">
        <f t="shared" si="121"/>
        <v>0</v>
      </c>
      <c r="DF61" s="7">
        <f t="shared" si="121"/>
        <v>0</v>
      </c>
      <c r="DH61" s="7">
        <f t="shared" ref="DH61" si="122">IF(BX61&gt;BX60, 1, 0)</f>
        <v>0</v>
      </c>
      <c r="DI61" s="7">
        <f t="shared" ref="DI61" si="123">IF(BY61&gt;BY60, 1, 0)</f>
        <v>0</v>
      </c>
      <c r="DJ61" s="7">
        <f t="shared" ref="DJ61" si="124">IF(BZ61&gt;BZ60, 1, 0)</f>
        <v>0</v>
      </c>
      <c r="DK61" s="7">
        <f t="shared" ref="DK61" si="125">IF(CA61&gt;CA60, 1, 0)</f>
        <v>0</v>
      </c>
      <c r="DL61" s="7">
        <f t="shared" ref="DL61" si="126">IF(CB61&gt;CB60, 1, 0)</f>
        <v>0</v>
      </c>
      <c r="DM61" s="7">
        <f t="shared" ref="DM61" si="127">IF(CC61&gt;CC60, 1, 0)</f>
        <v>0</v>
      </c>
      <c r="DN61" s="7">
        <f t="shared" ref="DN61" si="128">IF(CD61&gt;CD60, 1, 0)</f>
        <v>0</v>
      </c>
      <c r="DO61" s="7">
        <f t="shared" ref="DO61" si="129">IF(CE61&gt;CE60, 1, 0)</f>
        <v>0</v>
      </c>
      <c r="DP61" s="7">
        <f t="shared" ref="DP61" si="130">IF(CF61&gt;CF60, 1, 0)</f>
        <v>0</v>
      </c>
      <c r="DQ61" s="7">
        <f t="shared" ref="DQ61" si="131">IF(CG61&gt;CG60, 1, 0)</f>
        <v>0</v>
      </c>
      <c r="DR61" s="7">
        <f t="shared" ref="DR61" si="132">IF(CH61&gt;CH60, 1, 0)</f>
        <v>0</v>
      </c>
      <c r="DS61" s="7">
        <f t="shared" ref="DS61" si="133">IF(CI61&gt;CI60, 1, 0)</f>
        <v>0</v>
      </c>
      <c r="DT61" s="11"/>
      <c r="DU61" s="4">
        <v>0</v>
      </c>
      <c r="DV61">
        <v>0</v>
      </c>
      <c r="DW61" s="11"/>
      <c r="EY61" s="10"/>
    </row>
    <row r="62" spans="1:155" ht="6.75" customHeight="1" x14ac:dyDescent="0.35">
      <c r="C62" s="213"/>
      <c r="BY62" s="6"/>
      <c r="CK62" s="35"/>
      <c r="CM62" s="35"/>
      <c r="CS62" s="35"/>
      <c r="DT62" s="35"/>
      <c r="DU62">
        <v>0</v>
      </c>
      <c r="DV62">
        <v>0</v>
      </c>
      <c r="DW62" s="35"/>
      <c r="EY62" s="10" t="str">
        <f>IF($C62="","",$D62)</f>
        <v/>
      </c>
    </row>
    <row r="63" spans="1:155" x14ac:dyDescent="0.35">
      <c r="B63" s="5"/>
      <c r="C63" s="213"/>
      <c r="D63" s="61" t="s">
        <v>367</v>
      </c>
      <c r="E63" s="5"/>
      <c r="CK63" s="11"/>
      <c r="CM63" s="11"/>
      <c r="CS63" s="11"/>
      <c r="DT63" s="11"/>
      <c r="DU63">
        <v>0</v>
      </c>
      <c r="DV63">
        <v>0</v>
      </c>
      <c r="DW63" s="11"/>
      <c r="EY63" s="10" t="str">
        <f t="shared" si="42"/>
        <v/>
      </c>
    </row>
    <row r="64" spans="1:155" x14ac:dyDescent="0.35">
      <c r="A64" s="220" cm="1">
        <f t="array" aca="1" ref="A64" ca="1">HYPERLINK("#"&amp;IFERROR(CELL("address",IF(MAX($CM64:$CS64)=0,A64,INDEX($CM64:$CS64,MATCH(1,$CM64:$CS64,0)))),CELL("address",$V64:$CI64)),IFERROR(MAX($CM64:$CS64),1))</f>
        <v>0</v>
      </c>
      <c r="B64" s="85" t="s">
        <v>122</v>
      </c>
      <c r="C64" s="213" t="str">
        <f>CONCATENATE("M-", 'I&amp;E Annual'!C64)</f>
        <v>M-IE-1f-1</v>
      </c>
      <c r="D64" s="57" t="s">
        <v>368</v>
      </c>
      <c r="H64" t="s">
        <v>317</v>
      </c>
      <c r="V64" s="109"/>
      <c r="W64" s="133">
        <f t="shared" ref="W64:Y73" si="134" xml:space="preserve"> SUMIFS($AA64:$BJ64, $AA$3:$BJ$3, W$3)</f>
        <v>0</v>
      </c>
      <c r="X64" s="133">
        <f t="shared" si="134"/>
        <v>0</v>
      </c>
      <c r="Y64" s="133">
        <f t="shared" si="134"/>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X64" s="10">
        <f t="shared" ref="BX64:BX73" si="135">V64</f>
        <v>0</v>
      </c>
      <c r="BY64" s="10">
        <f t="shared" ref="BY64:BY73" si="136">W64</f>
        <v>0</v>
      </c>
      <c r="BZ64" s="10">
        <f t="shared" ref="BZ64:BZ73" si="137">X64</f>
        <v>0</v>
      </c>
      <c r="CA64" s="10">
        <f t="shared" ref="CA64:CA73" si="138">Y64</f>
        <v>0</v>
      </c>
      <c r="CB64" s="109"/>
      <c r="CC64" s="109"/>
      <c r="CD64" s="109"/>
      <c r="CE64" s="109"/>
      <c r="CF64" s="109"/>
      <c r="CG64" s="109"/>
      <c r="CH64" s="109"/>
      <c r="CI64" s="109"/>
      <c r="CK64" s="11"/>
      <c r="CL64" s="241">
        <f t="shared" ref="CL64:CL74" si="139">IF(MIN($V64:$CI64)&lt;0, 1, 0)</f>
        <v>0</v>
      </c>
      <c r="CM64" s="11"/>
      <c r="CO64" s="7" cm="1">
        <f t="array" ref="CO64">SUMPRODUCT(--NOT(ISNUMBER(V64:CI64)),--NOT(ISBLANK(V64:CI64)))</f>
        <v>0</v>
      </c>
      <c r="CP64" s="7">
        <f t="shared" ref="CP64:CP74" si="140">IF(SUM($CT64:$CV64)=0, 0, 1)</f>
        <v>0</v>
      </c>
      <c r="CQ64" s="7">
        <f t="shared" ref="CQ64:CQ74" si="141">IF(SUM($CW64:$CY64)=0, 0, 1)</f>
        <v>0</v>
      </c>
      <c r="CR64" s="7">
        <f t="shared" ref="CR64:CR74" si="142">IF($CZ64=0, 0, 1)</f>
        <v>0</v>
      </c>
      <c r="CS64" s="11"/>
      <c r="CT64" s="215">
        <f t="shared" ref="CT64:CT74" si="143">ROUND(W64-SUMIFS($AA64:$BJ64, $AA$3:$BJ$3, W$3), rounding)</f>
        <v>0</v>
      </c>
      <c r="CU64" s="215">
        <f t="shared" ref="CU64:CU74" si="144">ROUND(X64-SUMIFS($AA64:$BJ64, $AA$3:$BJ$3, X$3), rounding)</f>
        <v>0</v>
      </c>
      <c r="CV64" s="215">
        <f t="shared" ref="CV64:CV74" si="145">ROUND(Y64-SUMIFS($AA64:$BJ64, $AA$3:$BJ$3, Y$3), rounding)</f>
        <v>0</v>
      </c>
      <c r="CW64" s="215">
        <f t="shared" ref="CW64:CW74" si="146">ROUND($BY64-SUMIFS($AA64:$BJ64, $AA$3:$BJ$3, $BY$3), rounding)</f>
        <v>0</v>
      </c>
      <c r="CX64" s="215">
        <f t="shared" ref="CX64:CX74" si="147">ROUND($BZ64-SUMIFS($AA64:$BJ64, $AA$3:$BJ$3, $BZ$3), rounding)</f>
        <v>0</v>
      </c>
      <c r="CY64" s="215">
        <f t="shared" ref="CY64:CY74" si="148">ROUND($CA64-SUMIFS($AA64:$BJ64, $AA$3:$BJ$3, $CA$3), rounding)</f>
        <v>0</v>
      </c>
      <c r="CZ64" s="215">
        <f t="shared" ref="CZ64:CZ74" si="149">ROUND($V64-$BX64, rounding)</f>
        <v>0</v>
      </c>
      <c r="DT64" s="11"/>
      <c r="DU64" s="4">
        <v>1</v>
      </c>
      <c r="DV64">
        <v>1</v>
      </c>
      <c r="DW64" s="11"/>
      <c r="EY64" s="10" t="str">
        <f t="shared" si="42"/>
        <v>Full cost provision</v>
      </c>
    </row>
    <row r="65" spans="1:155" x14ac:dyDescent="0.35">
      <c r="A65" s="220" cm="1">
        <f t="array" aca="1" ref="A65" ca="1">HYPERLINK("#"&amp;IFERROR(CELL("address",IF(MAX($CM65:$CS65)=0,A65,INDEX($CM65:$CS65,MATCH(1,$CM65:$CS65,0)))),CELL("address",$V65:$CI65)),IFERROR(MAX($CM65:$CS65),1))</f>
        <v>0</v>
      </c>
      <c r="C65" s="213" t="str">
        <f>CONCATENATE("M-", 'I&amp;E Annual'!C65)</f>
        <v>M-IE-1f-2</v>
      </c>
      <c r="D65" s="57" t="s">
        <v>369</v>
      </c>
      <c r="H65" t="s">
        <v>317</v>
      </c>
      <c r="V65" s="109"/>
      <c r="W65" s="133">
        <f t="shared" si="134"/>
        <v>0</v>
      </c>
      <c r="X65" s="133">
        <f t="shared" si="134"/>
        <v>0</v>
      </c>
      <c r="Y65" s="133">
        <f t="shared" si="134"/>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0">
        <f t="shared" si="135"/>
        <v>0</v>
      </c>
      <c r="BY65" s="10">
        <f t="shared" si="136"/>
        <v>0</v>
      </c>
      <c r="BZ65" s="10">
        <f t="shared" si="137"/>
        <v>0</v>
      </c>
      <c r="CA65" s="10">
        <f t="shared" si="138"/>
        <v>0</v>
      </c>
      <c r="CB65" s="109"/>
      <c r="CC65" s="109"/>
      <c r="CD65" s="109"/>
      <c r="CE65" s="109"/>
      <c r="CF65" s="109"/>
      <c r="CG65" s="109"/>
      <c r="CH65" s="109"/>
      <c r="CI65" s="109"/>
      <c r="CK65" s="11"/>
      <c r="CL65" s="241">
        <f t="shared" si="139"/>
        <v>0</v>
      </c>
      <c r="CM65" s="11"/>
      <c r="CO65" s="7" cm="1">
        <f t="array" ref="CO65">SUMPRODUCT(--NOT(ISNUMBER(V65:CI65)),--NOT(ISBLANK(V65:CI65)))</f>
        <v>0</v>
      </c>
      <c r="CP65" s="7">
        <f t="shared" si="140"/>
        <v>0</v>
      </c>
      <c r="CQ65" s="7">
        <f t="shared" si="141"/>
        <v>0</v>
      </c>
      <c r="CR65" s="7">
        <f t="shared" si="142"/>
        <v>0</v>
      </c>
      <c r="CS65" s="11"/>
      <c r="CT65" s="215">
        <f t="shared" si="143"/>
        <v>0</v>
      </c>
      <c r="CU65" s="215">
        <f t="shared" si="144"/>
        <v>0</v>
      </c>
      <c r="CV65" s="215">
        <f t="shared" si="145"/>
        <v>0</v>
      </c>
      <c r="CW65" s="215">
        <f t="shared" si="146"/>
        <v>0</v>
      </c>
      <c r="CX65" s="215">
        <f t="shared" si="147"/>
        <v>0</v>
      </c>
      <c r="CY65" s="215">
        <f t="shared" si="148"/>
        <v>0</v>
      </c>
      <c r="CZ65" s="215">
        <f t="shared" si="149"/>
        <v>0</v>
      </c>
      <c r="DT65" s="11"/>
      <c r="DU65" s="4">
        <v>1</v>
      </c>
      <c r="DV65">
        <v>1</v>
      </c>
      <c r="DW65" s="11"/>
      <c r="EY65" s="10" t="str">
        <f t="shared" si="42"/>
        <v>HE home student fees (not loans)</v>
      </c>
    </row>
    <row r="66" spans="1:155" x14ac:dyDescent="0.35">
      <c r="A66" s="220" cm="1">
        <f t="array" aca="1" ref="A66" ca="1">HYPERLINK("#"&amp;IFERROR(CELL("address",IF(MAX($CM66:$CS66)=0,A66,INDEX($CM66:$CS66,MATCH(1,$CM66:$CS66,0)))),CELL("address",$V66:$CI66)),IFERROR(MAX($CM66:$CS66),1))</f>
        <v>0</v>
      </c>
      <c r="B66" s="85" t="s">
        <v>122</v>
      </c>
      <c r="C66" s="213" t="str">
        <f>CONCATENATE("M-", 'I&amp;E Annual'!C66)</f>
        <v>M-IE-1f-3</v>
      </c>
      <c r="D66" s="57" t="s">
        <v>370</v>
      </c>
      <c r="H66" t="s">
        <v>317</v>
      </c>
      <c r="V66" s="109"/>
      <c r="W66" s="133">
        <f t="shared" si="134"/>
        <v>0</v>
      </c>
      <c r="X66" s="133">
        <f t="shared" si="134"/>
        <v>0</v>
      </c>
      <c r="Y66" s="133">
        <f t="shared" si="134"/>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X66" s="10">
        <f t="shared" si="135"/>
        <v>0</v>
      </c>
      <c r="BY66" s="10">
        <f t="shared" si="136"/>
        <v>0</v>
      </c>
      <c r="BZ66" s="10">
        <f t="shared" si="137"/>
        <v>0</v>
      </c>
      <c r="CA66" s="10">
        <f t="shared" si="138"/>
        <v>0</v>
      </c>
      <c r="CB66" s="109"/>
      <c r="CC66" s="109"/>
      <c r="CD66" s="109"/>
      <c r="CE66" s="109"/>
      <c r="CF66" s="109"/>
      <c r="CG66" s="109"/>
      <c r="CH66" s="109"/>
      <c r="CI66" s="109"/>
      <c r="CK66" s="11"/>
      <c r="CL66" s="241">
        <f t="shared" si="139"/>
        <v>0</v>
      </c>
      <c r="CM66" s="11"/>
      <c r="CO66" s="7" cm="1">
        <f t="array" ref="CO66">SUMPRODUCT(--NOT(ISNUMBER(V66:CI66)),--NOT(ISBLANK(V66:CI66)))</f>
        <v>0</v>
      </c>
      <c r="CP66" s="7">
        <f t="shared" si="140"/>
        <v>0</v>
      </c>
      <c r="CQ66" s="7">
        <f t="shared" si="141"/>
        <v>0</v>
      </c>
      <c r="CR66" s="7">
        <f t="shared" si="142"/>
        <v>0</v>
      </c>
      <c r="CS66" s="11"/>
      <c r="CT66" s="215">
        <f t="shared" si="143"/>
        <v>0</v>
      </c>
      <c r="CU66" s="215">
        <f t="shared" si="144"/>
        <v>0</v>
      </c>
      <c r="CV66" s="215">
        <f t="shared" si="145"/>
        <v>0</v>
      </c>
      <c r="CW66" s="215">
        <f t="shared" si="146"/>
        <v>0</v>
      </c>
      <c r="CX66" s="215">
        <f t="shared" si="147"/>
        <v>0</v>
      </c>
      <c r="CY66" s="215">
        <f t="shared" si="148"/>
        <v>0</v>
      </c>
      <c r="CZ66" s="215">
        <f t="shared" si="149"/>
        <v>0</v>
      </c>
      <c r="DT66" s="11"/>
      <c r="DU66" s="4">
        <v>1</v>
      </c>
      <c r="DV66">
        <v>1</v>
      </c>
      <c r="DW66" s="11"/>
      <c r="EY66" s="10" t="str">
        <f t="shared" si="42"/>
        <v>International students - fee income</v>
      </c>
    </row>
    <row r="67" spans="1:155" ht="29" x14ac:dyDescent="0.35">
      <c r="A67" s="220" cm="1">
        <f t="array" aca="1" ref="A67" ca="1">HYPERLINK("#"&amp;IFERROR(CELL("address",IF(MAX($CM67:$CS67)=0,A67,INDEX($CM67:$CS67,MATCH(1,$CM67:$CS67,0)))),CELL("address",$V67:$CI67)),IFERROR(MAX($CM67:$CS67),1))</f>
        <v>0</v>
      </c>
      <c r="B67" s="85" t="s">
        <v>122</v>
      </c>
      <c r="C67" s="213" t="str">
        <f>CONCATENATE("M-", 'I&amp;E Annual'!C67)</f>
        <v>M-IE-1f-4</v>
      </c>
      <c r="D67" s="57" t="s">
        <v>371</v>
      </c>
      <c r="H67" t="s">
        <v>317</v>
      </c>
      <c r="V67" s="109"/>
      <c r="W67" s="133">
        <f t="shared" si="134"/>
        <v>0</v>
      </c>
      <c r="X67" s="133">
        <f t="shared" si="134"/>
        <v>0</v>
      </c>
      <c r="Y67" s="133">
        <f t="shared" si="134"/>
        <v>0</v>
      </c>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X67" s="10">
        <f t="shared" si="135"/>
        <v>0</v>
      </c>
      <c r="BY67" s="10">
        <f t="shared" si="136"/>
        <v>0</v>
      </c>
      <c r="BZ67" s="10">
        <f t="shared" si="137"/>
        <v>0</v>
      </c>
      <c r="CA67" s="10">
        <f t="shared" si="138"/>
        <v>0</v>
      </c>
      <c r="CB67" s="109"/>
      <c r="CC67" s="109"/>
      <c r="CD67" s="109"/>
      <c r="CE67" s="109"/>
      <c r="CF67" s="109"/>
      <c r="CG67" s="109"/>
      <c r="CH67" s="109"/>
      <c r="CI67" s="109"/>
      <c r="CK67" s="11"/>
      <c r="CL67" s="241">
        <f t="shared" si="139"/>
        <v>0</v>
      </c>
      <c r="CM67" s="11"/>
      <c r="CO67" s="7" cm="1">
        <f t="array" ref="CO67">SUMPRODUCT(--NOT(ISNUMBER(V67:CI67)),--NOT(ISBLANK(V67:CI67)))</f>
        <v>0</v>
      </c>
      <c r="CP67" s="7">
        <f t="shared" si="140"/>
        <v>0</v>
      </c>
      <c r="CQ67" s="7">
        <f t="shared" si="141"/>
        <v>0</v>
      </c>
      <c r="CR67" s="7">
        <f t="shared" si="142"/>
        <v>0</v>
      </c>
      <c r="CS67" s="11"/>
      <c r="CT67" s="215">
        <f t="shared" si="143"/>
        <v>0</v>
      </c>
      <c r="CU67" s="215">
        <f t="shared" si="144"/>
        <v>0</v>
      </c>
      <c r="CV67" s="215">
        <f t="shared" si="145"/>
        <v>0</v>
      </c>
      <c r="CW67" s="215">
        <f t="shared" si="146"/>
        <v>0</v>
      </c>
      <c r="CX67" s="215">
        <f t="shared" si="147"/>
        <v>0</v>
      </c>
      <c r="CY67" s="215">
        <f t="shared" si="148"/>
        <v>0</v>
      </c>
      <c r="CZ67" s="215">
        <f t="shared" si="149"/>
        <v>0</v>
      </c>
      <c r="DT67" s="11"/>
      <c r="DU67" s="4">
        <v>1</v>
      </c>
      <c r="DV67">
        <v>1</v>
      </c>
      <c r="DW67" s="11"/>
      <c r="EY67" s="10" t="str">
        <f t="shared" si="42"/>
        <v>Total employer contributions contracted apprenticeships</v>
      </c>
    </row>
    <row r="68" spans="1:155" x14ac:dyDescent="0.35">
      <c r="A68" s="220" cm="1">
        <f t="array" aca="1" ref="A68" ca="1">HYPERLINK("#"&amp;IFERROR(CELL("address",IF(MAX($CM68:$CS68)=0,A68,INDEX($CM68:$CS68,MATCH(1,$CM68:$CS68,0)))),CELL("address",$V68:$CI68)),IFERROR(MAX($CM68:$CS68),1))</f>
        <v>0</v>
      </c>
      <c r="C68" s="213" t="str">
        <f>CONCATENATE("M-", 'I&amp;E Annual'!C68)</f>
        <v>M-IE-1f-5</v>
      </c>
      <c r="D68" s="57" t="s">
        <v>372</v>
      </c>
      <c r="H68" t="s">
        <v>317</v>
      </c>
      <c r="V68" s="109"/>
      <c r="W68" s="133">
        <f t="shared" si="134"/>
        <v>0</v>
      </c>
      <c r="X68" s="133">
        <f t="shared" si="134"/>
        <v>0</v>
      </c>
      <c r="Y68" s="133">
        <f t="shared" si="134"/>
        <v>0</v>
      </c>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X68" s="10">
        <f t="shared" si="135"/>
        <v>0</v>
      </c>
      <c r="BY68" s="10">
        <f t="shared" si="136"/>
        <v>0</v>
      </c>
      <c r="BZ68" s="10">
        <f t="shared" si="137"/>
        <v>0</v>
      </c>
      <c r="CA68" s="10">
        <f t="shared" si="138"/>
        <v>0</v>
      </c>
      <c r="CB68" s="109"/>
      <c r="CC68" s="109"/>
      <c r="CD68" s="109"/>
      <c r="CE68" s="109"/>
      <c r="CF68" s="109"/>
      <c r="CG68" s="109"/>
      <c r="CH68" s="109"/>
      <c r="CI68" s="109"/>
      <c r="CK68" s="11"/>
      <c r="CL68" s="241">
        <f t="shared" si="139"/>
        <v>0</v>
      </c>
      <c r="CM68" s="11"/>
      <c r="CO68" s="7" cm="1">
        <f t="array" ref="CO68">SUMPRODUCT(--NOT(ISNUMBER(V68:CI68)),--NOT(ISBLANK(V68:CI68)))</f>
        <v>0</v>
      </c>
      <c r="CP68" s="7">
        <f t="shared" si="140"/>
        <v>0</v>
      </c>
      <c r="CQ68" s="7">
        <f t="shared" si="141"/>
        <v>0</v>
      </c>
      <c r="CR68" s="7">
        <f t="shared" si="142"/>
        <v>0</v>
      </c>
      <c r="CS68" s="11"/>
      <c r="CT68" s="215">
        <f t="shared" si="143"/>
        <v>0</v>
      </c>
      <c r="CU68" s="215">
        <f t="shared" si="144"/>
        <v>0</v>
      </c>
      <c r="CV68" s="215">
        <f t="shared" si="145"/>
        <v>0</v>
      </c>
      <c r="CW68" s="215">
        <f t="shared" si="146"/>
        <v>0</v>
      </c>
      <c r="CX68" s="215">
        <f t="shared" si="147"/>
        <v>0</v>
      </c>
      <c r="CY68" s="215">
        <f t="shared" si="148"/>
        <v>0</v>
      </c>
      <c r="CZ68" s="215">
        <f t="shared" si="149"/>
        <v>0</v>
      </c>
      <c r="DT68" s="11"/>
      <c r="DU68" s="4">
        <v>1</v>
      </c>
      <c r="DV68">
        <v>1</v>
      </c>
      <c r="DW68" s="11"/>
      <c r="EY68" s="10" t="str">
        <f t="shared" si="42"/>
        <v>Other fees (including non-apprenticeship co-funded)</v>
      </c>
    </row>
    <row r="69" spans="1:155" x14ac:dyDescent="0.35">
      <c r="A69" s="220" cm="1">
        <f t="array" aca="1" ref="A69" ca="1">HYPERLINK("#"&amp;IFERROR(CELL("address",IF(MAX($CM69:$CS69)=0,A69,INDEX($CM69:$CS69,MATCH(1,$CM69:$CS69,0)))),CELL("address",$V69:$CI69)),IFERROR(MAX($CM69:$CS69),1))</f>
        <v>0</v>
      </c>
      <c r="C69" s="213" t="str">
        <f>CONCATENATE("M-", 'I&amp;E Annual'!C69)</f>
        <v>M-IE-1f-6</v>
      </c>
      <c r="D69" s="120" t="s">
        <v>373</v>
      </c>
      <c r="H69" t="s">
        <v>317</v>
      </c>
      <c r="V69" s="109"/>
      <c r="W69" s="133">
        <f t="shared" si="134"/>
        <v>0</v>
      </c>
      <c r="X69" s="133">
        <f t="shared" si="134"/>
        <v>0</v>
      </c>
      <c r="Y69" s="133">
        <f t="shared" si="134"/>
        <v>0</v>
      </c>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X69" s="10">
        <f t="shared" si="135"/>
        <v>0</v>
      </c>
      <c r="BY69" s="10">
        <f t="shared" si="136"/>
        <v>0</v>
      </c>
      <c r="BZ69" s="10">
        <f t="shared" si="137"/>
        <v>0</v>
      </c>
      <c r="CA69" s="10">
        <f t="shared" si="138"/>
        <v>0</v>
      </c>
      <c r="CB69" s="109"/>
      <c r="CC69" s="109"/>
      <c r="CD69" s="109"/>
      <c r="CE69" s="109"/>
      <c r="CF69" s="109"/>
      <c r="CG69" s="109"/>
      <c r="CH69" s="109"/>
      <c r="CI69" s="109"/>
      <c r="CK69" s="11"/>
      <c r="CL69" s="241">
        <f t="shared" si="139"/>
        <v>0</v>
      </c>
      <c r="CM69" s="11"/>
      <c r="CO69" s="7" cm="1">
        <f t="array" ref="CO69">SUMPRODUCT(--NOT(ISNUMBER(V69:CI69)),--NOT(ISBLANK(V69:CI69)))</f>
        <v>0</v>
      </c>
      <c r="CP69" s="7">
        <f t="shared" si="140"/>
        <v>0</v>
      </c>
      <c r="CQ69" s="7">
        <f t="shared" si="141"/>
        <v>0</v>
      </c>
      <c r="CR69" s="7">
        <f t="shared" si="142"/>
        <v>0</v>
      </c>
      <c r="CS69" s="11"/>
      <c r="CT69" s="215">
        <f t="shared" si="143"/>
        <v>0</v>
      </c>
      <c r="CU69" s="215">
        <f t="shared" si="144"/>
        <v>0</v>
      </c>
      <c r="CV69" s="215">
        <f t="shared" si="145"/>
        <v>0</v>
      </c>
      <c r="CW69" s="215">
        <f t="shared" si="146"/>
        <v>0</v>
      </c>
      <c r="CX69" s="215">
        <f t="shared" si="147"/>
        <v>0</v>
      </c>
      <c r="CY69" s="215">
        <f t="shared" si="148"/>
        <v>0</v>
      </c>
      <c r="CZ69" s="215">
        <f t="shared" si="149"/>
        <v>0</v>
      </c>
      <c r="DT69" s="11"/>
      <c r="DU69" s="4">
        <v>1</v>
      </c>
      <c r="DV69">
        <v>1</v>
      </c>
      <c r="DW69" s="11"/>
      <c r="EY69" s="10" t="str">
        <f t="shared" si="42"/>
        <v>LEP learning provision activities</v>
      </c>
    </row>
    <row r="70" spans="1:155" ht="29" x14ac:dyDescent="0.35">
      <c r="A70" s="220" cm="1">
        <f t="array" aca="1" ref="A70" ca="1">HYPERLINK("#"&amp;IFERROR(CELL("address",IF(MAX($CM70:$CS70)=0,A70,INDEX($CM70:$CS70,MATCH(1,$CM70:$CS70,0)))),CELL("address",$V70:$CI70)),IFERROR(MAX($CM70:$CS70),1))</f>
        <v>0</v>
      </c>
      <c r="C70" s="213" t="str">
        <f>CONCATENATE("M-", 'I&amp;E Annual'!C70)</f>
        <v>M-IE-1f-7</v>
      </c>
      <c r="D70" s="57" t="s">
        <v>374</v>
      </c>
      <c r="H70" t="s">
        <v>317</v>
      </c>
      <c r="V70" s="109"/>
      <c r="W70" s="133">
        <f t="shared" si="134"/>
        <v>0</v>
      </c>
      <c r="X70" s="133">
        <f t="shared" si="134"/>
        <v>0</v>
      </c>
      <c r="Y70" s="133">
        <f t="shared" si="134"/>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0">
        <f t="shared" si="135"/>
        <v>0</v>
      </c>
      <c r="BY70" s="10">
        <f t="shared" si="136"/>
        <v>0</v>
      </c>
      <c r="BZ70" s="10">
        <f t="shared" si="137"/>
        <v>0</v>
      </c>
      <c r="CA70" s="10">
        <f t="shared" si="138"/>
        <v>0</v>
      </c>
      <c r="CB70" s="109"/>
      <c r="CC70" s="109"/>
      <c r="CD70" s="109"/>
      <c r="CE70" s="109"/>
      <c r="CF70" s="109"/>
      <c r="CG70" s="109"/>
      <c r="CH70" s="109"/>
      <c r="CI70" s="109"/>
      <c r="CK70" s="11"/>
      <c r="CL70" s="241">
        <f t="shared" si="139"/>
        <v>0</v>
      </c>
      <c r="CM70" s="11"/>
      <c r="CO70" s="7" cm="1">
        <f t="array" ref="CO70">SUMPRODUCT(--NOT(ISNUMBER(V70:CI70)),--NOT(ISBLANK(V70:CI70)))</f>
        <v>0</v>
      </c>
      <c r="CP70" s="7">
        <f t="shared" si="140"/>
        <v>0</v>
      </c>
      <c r="CQ70" s="7">
        <f t="shared" si="141"/>
        <v>0</v>
      </c>
      <c r="CR70" s="7">
        <f t="shared" si="142"/>
        <v>0</v>
      </c>
      <c r="CS70" s="11"/>
      <c r="CT70" s="215">
        <f t="shared" si="143"/>
        <v>0</v>
      </c>
      <c r="CU70" s="215">
        <f t="shared" si="144"/>
        <v>0</v>
      </c>
      <c r="CV70" s="215">
        <f t="shared" si="145"/>
        <v>0</v>
      </c>
      <c r="CW70" s="215">
        <f t="shared" si="146"/>
        <v>0</v>
      </c>
      <c r="CX70" s="215">
        <f t="shared" si="147"/>
        <v>0</v>
      </c>
      <c r="CY70" s="215">
        <f t="shared" si="148"/>
        <v>0</v>
      </c>
      <c r="CZ70" s="215">
        <f t="shared" si="149"/>
        <v>0</v>
      </c>
      <c r="DT70" s="11"/>
      <c r="DU70" s="4">
        <v>1</v>
      </c>
      <c r="DV70">
        <v>1</v>
      </c>
      <c r="DW70" s="11"/>
      <c r="EY70" s="10" t="str">
        <f t="shared" si="42"/>
        <v>Bursaries - net income (5% admin fee, ALLB and Free Meals)</v>
      </c>
    </row>
    <row r="71" spans="1:155" x14ac:dyDescent="0.35">
      <c r="A71" s="220" cm="1">
        <f t="array" aca="1" ref="A71" ca="1">HYPERLINK("#"&amp;IFERROR(CELL("address",IF(MAX($CM71:$CS71)=0,A71,INDEX($CM71:$CS71,MATCH(1,$CM71:$CS71,0)))),CELL("address",$V71:$CI71)),IFERROR(MAX($CM71:$CS71),1))</f>
        <v>0</v>
      </c>
      <c r="C71" s="213" t="str">
        <f>CONCATENATE("M-", 'I&amp;E Annual'!C71)</f>
        <v>M-IE-1f-8</v>
      </c>
      <c r="D71" s="57" t="s">
        <v>375</v>
      </c>
      <c r="H71" t="s">
        <v>317</v>
      </c>
      <c r="V71" s="109"/>
      <c r="W71" s="133">
        <f t="shared" si="134"/>
        <v>0</v>
      </c>
      <c r="X71" s="133">
        <f t="shared" si="134"/>
        <v>0</v>
      </c>
      <c r="Y71" s="133">
        <f t="shared" si="134"/>
        <v>0</v>
      </c>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X71" s="10">
        <f t="shared" si="135"/>
        <v>0</v>
      </c>
      <c r="BY71" s="10">
        <f t="shared" si="136"/>
        <v>0</v>
      </c>
      <c r="BZ71" s="10">
        <f t="shared" si="137"/>
        <v>0</v>
      </c>
      <c r="CA71" s="10">
        <f t="shared" si="138"/>
        <v>0</v>
      </c>
      <c r="CB71" s="109"/>
      <c r="CC71" s="109"/>
      <c r="CD71" s="109"/>
      <c r="CE71" s="109"/>
      <c r="CF71" s="109"/>
      <c r="CG71" s="109"/>
      <c r="CH71" s="109"/>
      <c r="CI71" s="109"/>
      <c r="CK71" s="11"/>
      <c r="CL71" s="241">
        <f t="shared" si="139"/>
        <v>0</v>
      </c>
      <c r="CM71" s="11"/>
      <c r="CO71" s="7" cm="1">
        <f t="array" ref="CO71">SUMPRODUCT(--NOT(ISNUMBER(V71:CI71)),--NOT(ISBLANK(V71:CI71)))</f>
        <v>0</v>
      </c>
      <c r="CP71" s="7">
        <f t="shared" si="140"/>
        <v>0</v>
      </c>
      <c r="CQ71" s="7">
        <f t="shared" si="141"/>
        <v>0</v>
      </c>
      <c r="CR71" s="7">
        <f t="shared" si="142"/>
        <v>0</v>
      </c>
      <c r="CS71" s="11"/>
      <c r="CT71" s="215">
        <f t="shared" si="143"/>
        <v>0</v>
      </c>
      <c r="CU71" s="215">
        <f t="shared" si="144"/>
        <v>0</v>
      </c>
      <c r="CV71" s="215">
        <f t="shared" si="145"/>
        <v>0</v>
      </c>
      <c r="CW71" s="215">
        <f t="shared" si="146"/>
        <v>0</v>
      </c>
      <c r="CX71" s="215">
        <f t="shared" si="147"/>
        <v>0</v>
      </c>
      <c r="CY71" s="215">
        <f t="shared" si="148"/>
        <v>0</v>
      </c>
      <c r="CZ71" s="215">
        <f t="shared" si="149"/>
        <v>0</v>
      </c>
      <c r="DT71" s="11"/>
      <c r="DU71" s="4">
        <v>1</v>
      </c>
      <c r="DV71">
        <v>1</v>
      </c>
      <c r="DW71" s="11"/>
      <c r="EY71" s="10" t="str">
        <f t="shared" si="42"/>
        <v>Teachers Pension Scheme Grant</v>
      </c>
    </row>
    <row r="72" spans="1:155" x14ac:dyDescent="0.35">
      <c r="A72" s="220" cm="1">
        <f t="array" aca="1" ref="A72" ca="1">HYPERLINK("#"&amp;IFERROR(CELL("address",IF(MAX($CM72:$CS72)=0,A72,INDEX($CM72:$CS72,MATCH(1,$CM72:$CS72,0)))),CELL("address",$V72:$CI72)),IFERROR(MAX($CM72:$CS72),1))</f>
        <v>0</v>
      </c>
      <c r="C72" s="213" t="str">
        <f>CONCATENATE("M-", 'I&amp;E Annual'!C72)</f>
        <v>M-IE-1f-9</v>
      </c>
      <c r="D72" s="120" t="s">
        <v>376</v>
      </c>
      <c r="H72" t="s">
        <v>317</v>
      </c>
      <c r="V72" s="109"/>
      <c r="W72" s="133">
        <f t="shared" si="134"/>
        <v>0</v>
      </c>
      <c r="X72" s="133">
        <f t="shared" si="134"/>
        <v>0</v>
      </c>
      <c r="Y72" s="133">
        <f t="shared" si="134"/>
        <v>0</v>
      </c>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X72" s="10">
        <f t="shared" si="135"/>
        <v>0</v>
      </c>
      <c r="BY72" s="10">
        <f t="shared" si="136"/>
        <v>0</v>
      </c>
      <c r="BZ72" s="10">
        <f t="shared" si="137"/>
        <v>0</v>
      </c>
      <c r="CA72" s="10">
        <f t="shared" si="138"/>
        <v>0</v>
      </c>
      <c r="CB72" s="109"/>
      <c r="CC72" s="109"/>
      <c r="CD72" s="109"/>
      <c r="CE72" s="109"/>
      <c r="CF72" s="109"/>
      <c r="CG72" s="109"/>
      <c r="CH72" s="109"/>
      <c r="CI72" s="109"/>
      <c r="CK72" s="11"/>
      <c r="CL72" s="241">
        <f t="shared" si="139"/>
        <v>0</v>
      </c>
      <c r="CM72" s="11"/>
      <c r="CO72" s="7" cm="1">
        <f t="array" ref="CO72">SUMPRODUCT(--NOT(ISNUMBER(V72:CI72)),--NOT(ISBLANK(V72:CI72)))</f>
        <v>0</v>
      </c>
      <c r="CP72" s="7">
        <f t="shared" si="140"/>
        <v>0</v>
      </c>
      <c r="CQ72" s="7">
        <f t="shared" si="141"/>
        <v>0</v>
      </c>
      <c r="CR72" s="7">
        <f t="shared" si="142"/>
        <v>0</v>
      </c>
      <c r="CS72" s="11"/>
      <c r="CT72" s="215">
        <f t="shared" si="143"/>
        <v>0</v>
      </c>
      <c r="CU72" s="215">
        <f t="shared" si="144"/>
        <v>0</v>
      </c>
      <c r="CV72" s="215">
        <f t="shared" si="145"/>
        <v>0</v>
      </c>
      <c r="CW72" s="215">
        <f t="shared" si="146"/>
        <v>0</v>
      </c>
      <c r="CX72" s="215">
        <f t="shared" si="147"/>
        <v>0</v>
      </c>
      <c r="CY72" s="215">
        <f t="shared" si="148"/>
        <v>0</v>
      </c>
      <c r="CZ72" s="215">
        <f t="shared" si="149"/>
        <v>0</v>
      </c>
      <c r="DT72" s="11"/>
      <c r="DU72" s="4">
        <v>1</v>
      </c>
      <c r="DV72">
        <v>1</v>
      </c>
      <c r="DW72" s="11"/>
      <c r="EY72" s="10" t="str">
        <f t="shared" si="42"/>
        <v>Exam and registration income</v>
      </c>
    </row>
    <row r="73" spans="1:155" x14ac:dyDescent="0.35">
      <c r="A73" s="220" cm="1">
        <f t="array" aca="1" ref="A73" ca="1">HYPERLINK("#"&amp;IFERROR(CELL("address",IF(MAX($CM73:$CS73)=0,A73,INDEX($CM73:$CS73,MATCH(1,$CM73:$CS73,0)))),CELL("address",$V73:$CI73)),IFERROR(MAX($CM73:$CS73),1))</f>
        <v>0</v>
      </c>
      <c r="C73" s="213" t="str">
        <f>CONCATENATE("M-", 'I&amp;E Annual'!C73)</f>
        <v>M-IE-1f-10</v>
      </c>
      <c r="D73" s="120" t="s">
        <v>367</v>
      </c>
      <c r="H73" t="s">
        <v>317</v>
      </c>
      <c r="V73" s="109"/>
      <c r="W73" s="133">
        <f t="shared" si="134"/>
        <v>0</v>
      </c>
      <c r="X73" s="133">
        <f t="shared" si="134"/>
        <v>0</v>
      </c>
      <c r="Y73" s="133">
        <f t="shared" si="134"/>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 t="shared" si="135"/>
        <v>0</v>
      </c>
      <c r="BY73" s="10">
        <f t="shared" si="136"/>
        <v>0</v>
      </c>
      <c r="BZ73" s="10">
        <f t="shared" si="137"/>
        <v>0</v>
      </c>
      <c r="CA73" s="10">
        <f t="shared" si="138"/>
        <v>0</v>
      </c>
      <c r="CB73" s="109"/>
      <c r="CC73" s="109"/>
      <c r="CD73" s="109"/>
      <c r="CE73" s="109"/>
      <c r="CF73" s="109"/>
      <c r="CG73" s="109"/>
      <c r="CH73" s="109"/>
      <c r="CI73" s="109"/>
      <c r="CK73" s="11"/>
      <c r="CL73" s="241">
        <f t="shared" si="139"/>
        <v>0</v>
      </c>
      <c r="CM73" s="11"/>
      <c r="CO73" s="7" cm="1">
        <f t="array" ref="CO73">SUMPRODUCT(--NOT(ISNUMBER(V73:CI73)),--NOT(ISBLANK(V73:CI73)))</f>
        <v>0</v>
      </c>
      <c r="CP73" s="7">
        <f t="shared" si="140"/>
        <v>0</v>
      </c>
      <c r="CQ73" s="7">
        <f t="shared" si="141"/>
        <v>0</v>
      </c>
      <c r="CR73" s="7">
        <f t="shared" si="142"/>
        <v>0</v>
      </c>
      <c r="CS73" s="11"/>
      <c r="CT73" s="215">
        <f t="shared" si="143"/>
        <v>0</v>
      </c>
      <c r="CU73" s="215">
        <f t="shared" si="144"/>
        <v>0</v>
      </c>
      <c r="CV73" s="215">
        <f t="shared" si="145"/>
        <v>0</v>
      </c>
      <c r="CW73" s="215">
        <f t="shared" si="146"/>
        <v>0</v>
      </c>
      <c r="CX73" s="215">
        <f t="shared" si="147"/>
        <v>0</v>
      </c>
      <c r="CY73" s="215">
        <f t="shared" si="148"/>
        <v>0</v>
      </c>
      <c r="CZ73" s="215">
        <f t="shared" si="149"/>
        <v>0</v>
      </c>
      <c r="DT73" s="11"/>
      <c r="DU73" s="4">
        <v>1</v>
      </c>
      <c r="DV73">
        <v>1</v>
      </c>
      <c r="DW73" s="11"/>
      <c r="EY73" s="10" t="str">
        <f t="shared" si="42"/>
        <v>Other income from provision of education and training</v>
      </c>
    </row>
    <row r="74" spans="1:155" ht="29" x14ac:dyDescent="0.35">
      <c r="A74" s="220" cm="1">
        <f t="array" aca="1" ref="A74" ca="1">HYPERLINK("#"&amp;IFERROR(CELL("address",IF(MAX($CM74:$CS74)=0,A74,INDEX($CM74:$CS74,MATCH(1,$CM74:$CS74,0)))),CELL("address",$V74:$CI74)),IFERROR(MAX($CM74:$CS74),1))</f>
        <v>0</v>
      </c>
      <c r="C74" s="213" t="str">
        <f>CONCATENATE("M-", 'I&amp;E Annual'!C74)</f>
        <v>M-IE-1f</v>
      </c>
      <c r="D74" s="61" t="s">
        <v>377</v>
      </c>
      <c r="E74" s="5"/>
      <c r="G74" s="5"/>
      <c r="V74" s="12">
        <f>SUM(V64:V73)</f>
        <v>0</v>
      </c>
      <c r="W74" s="12">
        <f>SUM(W64:W73)</f>
        <v>0</v>
      </c>
      <c r="X74" s="12">
        <f>SUM(X64:X73)</f>
        <v>0</v>
      </c>
      <c r="Y74" s="12">
        <f>SUM(Y64:Y73)</f>
        <v>0</v>
      </c>
      <c r="AA74" s="12">
        <f t="shared" ref="AA74:BJ74" si="150">SUM(AA64:AA73)</f>
        <v>0</v>
      </c>
      <c r="AB74" s="12">
        <f t="shared" si="150"/>
        <v>0</v>
      </c>
      <c r="AC74" s="12">
        <f t="shared" si="150"/>
        <v>0</v>
      </c>
      <c r="AD74" s="12">
        <f t="shared" si="150"/>
        <v>0</v>
      </c>
      <c r="AE74" s="12">
        <f t="shared" si="150"/>
        <v>0</v>
      </c>
      <c r="AF74" s="12">
        <f t="shared" si="150"/>
        <v>0</v>
      </c>
      <c r="AG74" s="12">
        <f t="shared" si="150"/>
        <v>0</v>
      </c>
      <c r="AH74" s="12">
        <f t="shared" si="150"/>
        <v>0</v>
      </c>
      <c r="AI74" s="12">
        <f t="shared" si="150"/>
        <v>0</v>
      </c>
      <c r="AJ74" s="12">
        <f t="shared" si="150"/>
        <v>0</v>
      </c>
      <c r="AK74" s="12">
        <f t="shared" si="150"/>
        <v>0</v>
      </c>
      <c r="AL74" s="12">
        <f t="shared" si="150"/>
        <v>0</v>
      </c>
      <c r="AM74" s="12">
        <f t="shared" si="150"/>
        <v>0</v>
      </c>
      <c r="AN74" s="12">
        <f t="shared" si="150"/>
        <v>0</v>
      </c>
      <c r="AO74" s="12">
        <f t="shared" si="150"/>
        <v>0</v>
      </c>
      <c r="AP74" s="12">
        <f t="shared" si="150"/>
        <v>0</v>
      </c>
      <c r="AQ74" s="12">
        <f t="shared" si="150"/>
        <v>0</v>
      </c>
      <c r="AR74" s="12">
        <f t="shared" si="150"/>
        <v>0</v>
      </c>
      <c r="AS74" s="12">
        <f t="shared" si="150"/>
        <v>0</v>
      </c>
      <c r="AT74" s="12">
        <f t="shared" si="150"/>
        <v>0</v>
      </c>
      <c r="AU74" s="12">
        <f t="shared" si="150"/>
        <v>0</v>
      </c>
      <c r="AV74" s="12">
        <f t="shared" si="150"/>
        <v>0</v>
      </c>
      <c r="AW74" s="12">
        <f t="shared" si="150"/>
        <v>0</v>
      </c>
      <c r="AX74" s="12">
        <f t="shared" si="150"/>
        <v>0</v>
      </c>
      <c r="AY74" s="12">
        <f t="shared" si="150"/>
        <v>0</v>
      </c>
      <c r="AZ74" s="12">
        <f t="shared" si="150"/>
        <v>0</v>
      </c>
      <c r="BA74" s="12">
        <f t="shared" si="150"/>
        <v>0</v>
      </c>
      <c r="BB74" s="12">
        <f t="shared" si="150"/>
        <v>0</v>
      </c>
      <c r="BC74" s="12">
        <f t="shared" si="150"/>
        <v>0</v>
      </c>
      <c r="BD74" s="12">
        <f t="shared" si="150"/>
        <v>0</v>
      </c>
      <c r="BE74" s="12">
        <f t="shared" si="150"/>
        <v>0</v>
      </c>
      <c r="BF74" s="12">
        <f t="shared" si="150"/>
        <v>0</v>
      </c>
      <c r="BG74" s="12">
        <f t="shared" si="150"/>
        <v>0</v>
      </c>
      <c r="BH74" s="12">
        <f t="shared" si="150"/>
        <v>0</v>
      </c>
      <c r="BI74" s="12">
        <f t="shared" si="150"/>
        <v>0</v>
      </c>
      <c r="BJ74" s="12">
        <f t="shared" si="150"/>
        <v>0</v>
      </c>
      <c r="BX74" s="12">
        <f t="shared" ref="BX74:CI74" si="151">SUM(BX64:BX73)</f>
        <v>0</v>
      </c>
      <c r="BY74" s="12">
        <f t="shared" si="151"/>
        <v>0</v>
      </c>
      <c r="BZ74" s="12">
        <f t="shared" si="151"/>
        <v>0</v>
      </c>
      <c r="CA74" s="12">
        <f t="shared" si="151"/>
        <v>0</v>
      </c>
      <c r="CB74" s="12">
        <f t="shared" si="151"/>
        <v>0</v>
      </c>
      <c r="CC74" s="12">
        <f t="shared" si="151"/>
        <v>0</v>
      </c>
      <c r="CD74" s="12">
        <f t="shared" si="151"/>
        <v>0</v>
      </c>
      <c r="CE74" s="12">
        <f t="shared" si="151"/>
        <v>0</v>
      </c>
      <c r="CF74" s="12">
        <f t="shared" si="151"/>
        <v>0</v>
      </c>
      <c r="CG74" s="12">
        <f t="shared" si="151"/>
        <v>0</v>
      </c>
      <c r="CH74" s="12">
        <f t="shared" si="151"/>
        <v>0</v>
      </c>
      <c r="CI74" s="12">
        <f t="shared" si="151"/>
        <v>0</v>
      </c>
      <c r="CK74" s="11"/>
      <c r="CL74" s="241">
        <f t="shared" si="139"/>
        <v>0</v>
      </c>
      <c r="CM74" s="11"/>
      <c r="CP74" s="7">
        <f t="shared" si="140"/>
        <v>0</v>
      </c>
      <c r="CQ74" s="7">
        <f t="shared" si="141"/>
        <v>0</v>
      </c>
      <c r="CR74" s="7">
        <f t="shared" si="142"/>
        <v>0</v>
      </c>
      <c r="CS74" s="11"/>
      <c r="CT74" s="215">
        <f t="shared" si="143"/>
        <v>0</v>
      </c>
      <c r="CU74" s="215">
        <f t="shared" si="144"/>
        <v>0</v>
      </c>
      <c r="CV74" s="215">
        <f t="shared" si="145"/>
        <v>0</v>
      </c>
      <c r="CW74" s="215">
        <f t="shared" si="146"/>
        <v>0</v>
      </c>
      <c r="CX74" s="215">
        <f t="shared" si="147"/>
        <v>0</v>
      </c>
      <c r="CY74" s="215">
        <f t="shared" si="148"/>
        <v>0</v>
      </c>
      <c r="CZ74" s="215">
        <f t="shared" si="149"/>
        <v>0</v>
      </c>
      <c r="DT74" s="11"/>
      <c r="DU74">
        <v>0</v>
      </c>
      <c r="DV74">
        <v>0</v>
      </c>
      <c r="DW74" s="11"/>
      <c r="EY74" s="10" t="str">
        <f t="shared" si="42"/>
        <v>Total Other Income from Provision of Education and Training</v>
      </c>
    </row>
    <row r="75" spans="1:155" ht="6.75" customHeight="1" x14ac:dyDescent="0.35">
      <c r="C75" s="213"/>
      <c r="BY75" s="6"/>
      <c r="CK75" s="35"/>
      <c r="CL75"/>
      <c r="CM75" s="35"/>
      <c r="CS75" s="35"/>
      <c r="DT75" s="35"/>
      <c r="DU75">
        <v>0</v>
      </c>
      <c r="DV75">
        <v>0</v>
      </c>
      <c r="DW75" s="35"/>
      <c r="EY75" s="10" t="str">
        <f>IF($C75="","",$D75)</f>
        <v/>
      </c>
    </row>
    <row r="76" spans="1:155" x14ac:dyDescent="0.35">
      <c r="B76" s="5"/>
      <c r="C76" s="213"/>
      <c r="D76" s="61" t="s">
        <v>378</v>
      </c>
      <c r="E76" s="5"/>
      <c r="CK76" s="11"/>
      <c r="CM76" s="11"/>
      <c r="CS76" s="11"/>
      <c r="DT76" s="11"/>
      <c r="DU76">
        <v>0</v>
      </c>
      <c r="DV76">
        <v>0</v>
      </c>
      <c r="DW76" s="11"/>
      <c r="EY76" s="10" t="str">
        <f t="shared" si="42"/>
        <v/>
      </c>
    </row>
    <row r="77" spans="1:155" x14ac:dyDescent="0.35">
      <c r="A77" s="220" cm="1">
        <f t="array" aca="1" ref="A77" ca="1">HYPERLINK("#"&amp;IFERROR(CELL("address",IF(MAX($CM77:$CS77)=0,A77,INDEX($CM77:$CS77,MATCH(1,$CM77:$CS77,0)))),CELL("address",$V77:$CI77)),IFERROR(MAX($CM77:$CS77),1))</f>
        <v>0</v>
      </c>
      <c r="C77" s="213" t="str">
        <f>CONCATENATE("M-", 'I&amp;E Annual'!C77)</f>
        <v>M-IE-1g-1</v>
      </c>
      <c r="D77" s="57" t="s">
        <v>379</v>
      </c>
      <c r="H77" t="s">
        <v>317</v>
      </c>
      <c r="V77" s="109"/>
      <c r="W77" s="133">
        <f t="shared" ref="W77:Y84" si="152" xml:space="preserve"> SUMIFS($AA77:$BJ77, $AA$3:$BJ$3, W$3)</f>
        <v>0</v>
      </c>
      <c r="X77" s="133">
        <f t="shared" si="152"/>
        <v>0</v>
      </c>
      <c r="Y77" s="133">
        <f t="shared" si="152"/>
        <v>0</v>
      </c>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X77" s="10">
        <f t="shared" ref="BX77:CA84" si="153">V77</f>
        <v>0</v>
      </c>
      <c r="BY77" s="10">
        <f t="shared" si="153"/>
        <v>0</v>
      </c>
      <c r="BZ77" s="10">
        <f t="shared" si="153"/>
        <v>0</v>
      </c>
      <c r="CA77" s="10">
        <f t="shared" si="153"/>
        <v>0</v>
      </c>
      <c r="CB77" s="109"/>
      <c r="CC77" s="109"/>
      <c r="CD77" s="109"/>
      <c r="CE77" s="109"/>
      <c r="CF77" s="109"/>
      <c r="CG77" s="109"/>
      <c r="CH77" s="109"/>
      <c r="CI77" s="109"/>
      <c r="CK77" s="11"/>
      <c r="CL77" s="241">
        <f t="shared" ref="CL77:CL85" si="154">IF(MIN($V77:$CI77)&lt;0, 1, 0)</f>
        <v>0</v>
      </c>
      <c r="CM77" s="11"/>
      <c r="CO77" s="7" cm="1">
        <f t="array" ref="CO77">SUMPRODUCT(--NOT(ISNUMBER(V77:CI77)),--NOT(ISBLANK(V77:CI77)))</f>
        <v>0</v>
      </c>
      <c r="CP77" s="7">
        <f t="shared" ref="CP77:CP85" si="155">IF(SUM($CT77:$CV77)=0, 0, 1)</f>
        <v>0</v>
      </c>
      <c r="CQ77" s="7">
        <f t="shared" ref="CQ77:CQ85" si="156">IF(SUM($CW77:$CY77)=0, 0, 1)</f>
        <v>0</v>
      </c>
      <c r="CR77" s="7">
        <f t="shared" ref="CR77:CR85" si="157">IF($CZ77=0, 0, 1)</f>
        <v>0</v>
      </c>
      <c r="CS77" s="11"/>
      <c r="CT77" s="215">
        <f t="shared" ref="CT77:CT85" si="158">ROUND(W77-SUMIFS($AA77:$BJ77, $AA$3:$BJ$3, W$3), rounding)</f>
        <v>0</v>
      </c>
      <c r="CU77" s="215">
        <f t="shared" ref="CU77:CU85" si="159">ROUND(X77-SUMIFS($AA77:$BJ77, $AA$3:$BJ$3, X$3), rounding)</f>
        <v>0</v>
      </c>
      <c r="CV77" s="215">
        <f t="shared" ref="CV77:CV85" si="160">ROUND(Y77-SUMIFS($AA77:$BJ77, $AA$3:$BJ$3, Y$3), rounding)</f>
        <v>0</v>
      </c>
      <c r="CW77" s="215">
        <f t="shared" ref="CW77:CW85" si="161">ROUND($BY77-SUMIFS($AA77:$BJ77, $AA$3:$BJ$3, $BY$3), rounding)</f>
        <v>0</v>
      </c>
      <c r="CX77" s="215">
        <f t="shared" ref="CX77:CX85" si="162">ROUND($BZ77-SUMIFS($AA77:$BJ77, $AA$3:$BJ$3, $BZ$3), rounding)</f>
        <v>0</v>
      </c>
      <c r="CY77" s="215">
        <f t="shared" ref="CY77:CY85" si="163">ROUND($CA77-SUMIFS($AA77:$BJ77, $AA$3:$BJ$3, $CA$3), rounding)</f>
        <v>0</v>
      </c>
      <c r="CZ77" s="215">
        <f t="shared" ref="CZ77:CZ85" si="164">ROUND($V77-$BX77, rounding)</f>
        <v>0</v>
      </c>
      <c r="DT77" s="11"/>
      <c r="DU77" s="4">
        <v>1</v>
      </c>
      <c r="DV77">
        <v>1</v>
      </c>
      <c r="DW77" s="11"/>
      <c r="EY77" s="10" t="str">
        <f t="shared" si="42"/>
        <v>Student training facilities</v>
      </c>
    </row>
    <row r="78" spans="1:155" x14ac:dyDescent="0.35">
      <c r="A78" s="220" cm="1">
        <f t="array" aca="1" ref="A78" ca="1">HYPERLINK("#"&amp;IFERROR(CELL("address",IF(MAX($CM78:$CS78)=0,A78,INDEX($CM78:$CS78,MATCH(1,$CM78:$CS78,0)))),CELL("address",$V78:$CI78)),IFERROR(MAX($CM78:$CS78),1))</f>
        <v>0</v>
      </c>
      <c r="C78" s="213" t="str">
        <f>CONCATENATE("M-", 'I&amp;E Annual'!C78)</f>
        <v>M-IE-1g-2</v>
      </c>
      <c r="D78" s="57" t="s">
        <v>380</v>
      </c>
      <c r="H78" t="s">
        <v>317</v>
      </c>
      <c r="V78" s="109"/>
      <c r="W78" s="133">
        <f t="shared" si="152"/>
        <v>0</v>
      </c>
      <c r="X78" s="133">
        <f t="shared" si="152"/>
        <v>0</v>
      </c>
      <c r="Y78" s="133">
        <f t="shared" si="152"/>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X78" s="10">
        <f t="shared" si="153"/>
        <v>0</v>
      </c>
      <c r="BY78" s="10">
        <f t="shared" si="153"/>
        <v>0</v>
      </c>
      <c r="BZ78" s="10">
        <f t="shared" si="153"/>
        <v>0</v>
      </c>
      <c r="CA78" s="10">
        <f t="shared" si="153"/>
        <v>0</v>
      </c>
      <c r="CB78" s="109"/>
      <c r="CC78" s="109"/>
      <c r="CD78" s="109"/>
      <c r="CE78" s="109"/>
      <c r="CF78" s="109"/>
      <c r="CG78" s="109"/>
      <c r="CH78" s="109"/>
      <c r="CI78" s="109"/>
      <c r="CK78" s="11"/>
      <c r="CL78" s="241">
        <f t="shared" si="154"/>
        <v>0</v>
      </c>
      <c r="CM78" s="11"/>
      <c r="CO78" s="7" cm="1">
        <f t="array" ref="CO78">SUMPRODUCT(--NOT(ISNUMBER(V78:CI78)),--NOT(ISBLANK(V78:CI78)))</f>
        <v>0</v>
      </c>
      <c r="CP78" s="7">
        <f t="shared" si="155"/>
        <v>0</v>
      </c>
      <c r="CQ78" s="7">
        <f t="shared" si="156"/>
        <v>0</v>
      </c>
      <c r="CR78" s="7">
        <f t="shared" si="157"/>
        <v>0</v>
      </c>
      <c r="CS78" s="11"/>
      <c r="CT78" s="215">
        <f t="shared" si="158"/>
        <v>0</v>
      </c>
      <c r="CU78" s="215">
        <f t="shared" si="159"/>
        <v>0</v>
      </c>
      <c r="CV78" s="215">
        <f t="shared" si="160"/>
        <v>0</v>
      </c>
      <c r="CW78" s="215">
        <f t="shared" si="161"/>
        <v>0</v>
      </c>
      <c r="CX78" s="215">
        <f t="shared" si="162"/>
        <v>0</v>
      </c>
      <c r="CY78" s="215">
        <f t="shared" si="163"/>
        <v>0</v>
      </c>
      <c r="CZ78" s="215">
        <f t="shared" si="164"/>
        <v>0</v>
      </c>
      <c r="DT78" s="11"/>
      <c r="DU78" s="4">
        <v>1</v>
      </c>
      <c r="DV78">
        <v>1</v>
      </c>
      <c r="DW78" s="11"/>
      <c r="EY78" s="10" t="str">
        <f t="shared" si="42"/>
        <v>Catering</v>
      </c>
    </row>
    <row r="79" spans="1:155" x14ac:dyDescent="0.35">
      <c r="A79" s="220" cm="1">
        <f t="array" aca="1" ref="A79" ca="1">HYPERLINK("#"&amp;IFERROR(CELL("address",IF(MAX($CM79:$CS79)=0,A79,INDEX($CM79:$CS79,MATCH(1,$CM79:$CS79,0)))),CELL("address",$V79:$CI79)),IFERROR(MAX($CM79:$CS79),1))</f>
        <v>0</v>
      </c>
      <c r="C79" s="213" t="str">
        <f>CONCATENATE("M-", 'I&amp;E Annual'!C79)</f>
        <v>M-IE-1g-3</v>
      </c>
      <c r="D79" s="57" t="s">
        <v>381</v>
      </c>
      <c r="H79" t="s">
        <v>317</v>
      </c>
      <c r="V79" s="109"/>
      <c r="W79" s="133">
        <f t="shared" si="152"/>
        <v>0</v>
      </c>
      <c r="X79" s="133">
        <f t="shared" si="152"/>
        <v>0</v>
      </c>
      <c r="Y79" s="133">
        <f t="shared" si="152"/>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X79" s="10">
        <f t="shared" si="153"/>
        <v>0</v>
      </c>
      <c r="BY79" s="10">
        <f t="shared" si="153"/>
        <v>0</v>
      </c>
      <c r="BZ79" s="10">
        <f t="shared" si="153"/>
        <v>0</v>
      </c>
      <c r="CA79" s="10">
        <f t="shared" si="153"/>
        <v>0</v>
      </c>
      <c r="CB79" s="109"/>
      <c r="CC79" s="109"/>
      <c r="CD79" s="109"/>
      <c r="CE79" s="109"/>
      <c r="CF79" s="109"/>
      <c r="CG79" s="109"/>
      <c r="CH79" s="109"/>
      <c r="CI79" s="109"/>
      <c r="CK79" s="11"/>
      <c r="CL79" s="241">
        <f t="shared" si="154"/>
        <v>0</v>
      </c>
      <c r="CM79" s="11"/>
      <c r="CO79" s="7" cm="1">
        <f t="array" ref="CO79">SUMPRODUCT(--NOT(ISNUMBER(V79:CI79)),--NOT(ISBLANK(V79:CI79)))</f>
        <v>0</v>
      </c>
      <c r="CP79" s="7">
        <f t="shared" si="155"/>
        <v>0</v>
      </c>
      <c r="CQ79" s="7">
        <f t="shared" si="156"/>
        <v>0</v>
      </c>
      <c r="CR79" s="7">
        <f t="shared" si="157"/>
        <v>0</v>
      </c>
      <c r="CS79" s="11"/>
      <c r="CT79" s="215">
        <f t="shared" si="158"/>
        <v>0</v>
      </c>
      <c r="CU79" s="215">
        <f t="shared" si="159"/>
        <v>0</v>
      </c>
      <c r="CV79" s="215">
        <f t="shared" si="160"/>
        <v>0</v>
      </c>
      <c r="CW79" s="215">
        <f t="shared" si="161"/>
        <v>0</v>
      </c>
      <c r="CX79" s="215">
        <f t="shared" si="162"/>
        <v>0</v>
      </c>
      <c r="CY79" s="215">
        <f t="shared" si="163"/>
        <v>0</v>
      </c>
      <c r="CZ79" s="215">
        <f t="shared" si="164"/>
        <v>0</v>
      </c>
      <c r="DT79" s="11"/>
      <c r="DU79" s="4">
        <v>1</v>
      </c>
      <c r="DV79">
        <v>1</v>
      </c>
      <c r="DW79" s="11"/>
      <c r="EY79" s="10" t="str">
        <f t="shared" ref="EY79:EY109" si="165">IF($C79="","",$D79)</f>
        <v>Nursery</v>
      </c>
    </row>
    <row r="80" spans="1:155" x14ac:dyDescent="0.35">
      <c r="A80" s="220" cm="1">
        <f t="array" aca="1" ref="A80" ca="1">HYPERLINK("#"&amp;IFERROR(CELL("address",IF(MAX($CM80:$CS80)=0,A80,INDEX($CM80:$CS80,MATCH(1,$CM80:$CS80,0)))),CELL("address",$V80:$CI80)),IFERROR(MAX($CM80:$CS80),1))</f>
        <v>0</v>
      </c>
      <c r="C80" s="213" t="str">
        <f>CONCATENATE("M-", 'I&amp;E Annual'!C80)</f>
        <v>M-IE-1g-4</v>
      </c>
      <c r="D80" s="57" t="s">
        <v>382</v>
      </c>
      <c r="H80" t="s">
        <v>317</v>
      </c>
      <c r="V80" s="109"/>
      <c r="W80" s="133">
        <f t="shared" si="152"/>
        <v>0</v>
      </c>
      <c r="X80" s="133">
        <f t="shared" si="152"/>
        <v>0</v>
      </c>
      <c r="Y80" s="133">
        <f t="shared" si="152"/>
        <v>0</v>
      </c>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X80" s="10">
        <f t="shared" si="153"/>
        <v>0</v>
      </c>
      <c r="BY80" s="10">
        <f t="shared" si="153"/>
        <v>0</v>
      </c>
      <c r="BZ80" s="10">
        <f t="shared" si="153"/>
        <v>0</v>
      </c>
      <c r="CA80" s="10">
        <f t="shared" si="153"/>
        <v>0</v>
      </c>
      <c r="CB80" s="109"/>
      <c r="CC80" s="109"/>
      <c r="CD80" s="109"/>
      <c r="CE80" s="109"/>
      <c r="CF80" s="109"/>
      <c r="CG80" s="109"/>
      <c r="CH80" s="109"/>
      <c r="CI80" s="109"/>
      <c r="CK80" s="11"/>
      <c r="CL80" s="241">
        <f t="shared" si="154"/>
        <v>0</v>
      </c>
      <c r="CM80" s="11"/>
      <c r="CO80" s="7" cm="1">
        <f t="array" ref="CO80">SUMPRODUCT(--NOT(ISNUMBER(V80:CI80)),--NOT(ISBLANK(V80:CI80)))</f>
        <v>0</v>
      </c>
      <c r="CP80" s="7">
        <f t="shared" si="155"/>
        <v>0</v>
      </c>
      <c r="CQ80" s="7">
        <f t="shared" si="156"/>
        <v>0</v>
      </c>
      <c r="CR80" s="7">
        <f t="shared" si="157"/>
        <v>0</v>
      </c>
      <c r="CS80" s="11"/>
      <c r="CT80" s="215">
        <f t="shared" si="158"/>
        <v>0</v>
      </c>
      <c r="CU80" s="215">
        <f t="shared" si="159"/>
        <v>0</v>
      </c>
      <c r="CV80" s="215">
        <f t="shared" si="160"/>
        <v>0</v>
      </c>
      <c r="CW80" s="215">
        <f t="shared" si="161"/>
        <v>0</v>
      </c>
      <c r="CX80" s="215">
        <f t="shared" si="162"/>
        <v>0</v>
      </c>
      <c r="CY80" s="215">
        <f t="shared" si="163"/>
        <v>0</v>
      </c>
      <c r="CZ80" s="215">
        <f t="shared" si="164"/>
        <v>0</v>
      </c>
      <c r="DT80" s="11"/>
      <c r="DU80" s="4">
        <v>1</v>
      </c>
      <c r="DV80">
        <v>1</v>
      </c>
      <c r="DW80" s="11"/>
      <c r="EY80" s="10" t="str">
        <f t="shared" si="165"/>
        <v>Residences and conferences</v>
      </c>
    </row>
    <row r="81" spans="1:155" x14ac:dyDescent="0.35">
      <c r="A81" s="220" cm="1">
        <f t="array" aca="1" ref="A81" ca="1">HYPERLINK("#"&amp;IFERROR(CELL("address",IF(MAX($CM81:$CS81)=0,A81,INDEX($CM81:$CS81,MATCH(1,$CM81:$CS81,0)))),CELL("address",$V81:$CI81)),IFERROR(MAX($CM81:$CS81),1))</f>
        <v>0</v>
      </c>
      <c r="C81" s="213" t="str">
        <f>CONCATENATE("M-", 'I&amp;E Annual'!C81)</f>
        <v>M-IE-1g-5</v>
      </c>
      <c r="D81" s="57" t="s">
        <v>383</v>
      </c>
      <c r="H81" t="s">
        <v>317</v>
      </c>
      <c r="V81" s="109"/>
      <c r="W81" s="133">
        <f t="shared" si="152"/>
        <v>0</v>
      </c>
      <c r="X81" s="133">
        <f t="shared" si="152"/>
        <v>0</v>
      </c>
      <c r="Y81" s="133">
        <f t="shared" si="152"/>
        <v>0</v>
      </c>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X81" s="10">
        <f t="shared" si="153"/>
        <v>0</v>
      </c>
      <c r="BY81" s="10">
        <f t="shared" si="153"/>
        <v>0</v>
      </c>
      <c r="BZ81" s="10">
        <f t="shared" si="153"/>
        <v>0</v>
      </c>
      <c r="CA81" s="10">
        <f t="shared" si="153"/>
        <v>0</v>
      </c>
      <c r="CB81" s="109"/>
      <c r="CC81" s="109"/>
      <c r="CD81" s="109"/>
      <c r="CE81" s="109"/>
      <c r="CF81" s="109"/>
      <c r="CG81" s="109"/>
      <c r="CH81" s="109"/>
      <c r="CI81" s="109"/>
      <c r="CK81" s="11"/>
      <c r="CL81" s="241">
        <f t="shared" si="154"/>
        <v>0</v>
      </c>
      <c r="CM81" s="11"/>
      <c r="CO81" s="7" cm="1">
        <f t="array" ref="CO81">SUMPRODUCT(--NOT(ISNUMBER(V81:CI81)),--NOT(ISBLANK(V81:CI81)))</f>
        <v>0</v>
      </c>
      <c r="CP81" s="7">
        <f t="shared" si="155"/>
        <v>0</v>
      </c>
      <c r="CQ81" s="7">
        <f t="shared" si="156"/>
        <v>0</v>
      </c>
      <c r="CR81" s="7">
        <f t="shared" si="157"/>
        <v>0</v>
      </c>
      <c r="CS81" s="11"/>
      <c r="CT81" s="215">
        <f t="shared" si="158"/>
        <v>0</v>
      </c>
      <c r="CU81" s="215">
        <f t="shared" si="159"/>
        <v>0</v>
      </c>
      <c r="CV81" s="215">
        <f t="shared" si="160"/>
        <v>0</v>
      </c>
      <c r="CW81" s="215">
        <f t="shared" si="161"/>
        <v>0</v>
      </c>
      <c r="CX81" s="215">
        <f t="shared" si="162"/>
        <v>0</v>
      </c>
      <c r="CY81" s="215">
        <f t="shared" si="163"/>
        <v>0</v>
      </c>
      <c r="CZ81" s="215">
        <f t="shared" si="164"/>
        <v>0</v>
      </c>
      <c r="DT81" s="11"/>
      <c r="DU81" s="4">
        <v>1</v>
      </c>
      <c r="DV81">
        <v>1</v>
      </c>
      <c r="DW81" s="11"/>
      <c r="EY81" s="10" t="str">
        <f t="shared" si="165"/>
        <v>Consultancy</v>
      </c>
    </row>
    <row r="82" spans="1:155" x14ac:dyDescent="0.35">
      <c r="A82" s="220" cm="1">
        <f t="array" aca="1" ref="A82" ca="1">HYPERLINK("#"&amp;IFERROR(CELL("address",IF(MAX($CM82:$CS82)=0,A82,INDEX($CM82:$CS82,MATCH(1,$CM82:$CS82,0)))),CELL("address",$V82:$CI82)),IFERROR(MAX($CM82:$CS82),1))</f>
        <v>0</v>
      </c>
      <c r="C82" s="213" t="str">
        <f>CONCATENATE("M-", 'I&amp;E Annual'!C82)</f>
        <v>M-IE-1g-6</v>
      </c>
      <c r="D82" s="57" t="s">
        <v>384</v>
      </c>
      <c r="H82" t="s">
        <v>317</v>
      </c>
      <c r="V82" s="109"/>
      <c r="W82" s="133">
        <f t="shared" si="152"/>
        <v>0</v>
      </c>
      <c r="X82" s="133">
        <f t="shared" si="152"/>
        <v>0</v>
      </c>
      <c r="Y82" s="133">
        <f t="shared" si="152"/>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0">
        <f t="shared" si="153"/>
        <v>0</v>
      </c>
      <c r="BY82" s="10">
        <f t="shared" si="153"/>
        <v>0</v>
      </c>
      <c r="BZ82" s="10">
        <f t="shared" si="153"/>
        <v>0</v>
      </c>
      <c r="CA82" s="10">
        <f t="shared" si="153"/>
        <v>0</v>
      </c>
      <c r="CB82" s="109"/>
      <c r="CC82" s="109"/>
      <c r="CD82" s="109"/>
      <c r="CE82" s="109"/>
      <c r="CF82" s="109"/>
      <c r="CG82" s="109"/>
      <c r="CH82" s="109"/>
      <c r="CI82" s="109"/>
      <c r="CK82" s="11"/>
      <c r="CL82" s="241">
        <f t="shared" si="154"/>
        <v>0</v>
      </c>
      <c r="CM82" s="11"/>
      <c r="CO82" s="7" cm="1">
        <f t="array" ref="CO82">SUMPRODUCT(--NOT(ISNUMBER(V82:CI82)),--NOT(ISBLANK(V82:CI82)))</f>
        <v>0</v>
      </c>
      <c r="CP82" s="7">
        <f t="shared" si="155"/>
        <v>0</v>
      </c>
      <c r="CQ82" s="7">
        <f t="shared" si="156"/>
        <v>0</v>
      </c>
      <c r="CR82" s="7">
        <f t="shared" si="157"/>
        <v>0</v>
      </c>
      <c r="CS82" s="11"/>
      <c r="CT82" s="215">
        <f t="shared" si="158"/>
        <v>0</v>
      </c>
      <c r="CU82" s="215">
        <f t="shared" si="159"/>
        <v>0</v>
      </c>
      <c r="CV82" s="215">
        <f t="shared" si="160"/>
        <v>0</v>
      </c>
      <c r="CW82" s="215">
        <f t="shared" si="161"/>
        <v>0</v>
      </c>
      <c r="CX82" s="215">
        <f t="shared" si="162"/>
        <v>0</v>
      </c>
      <c r="CY82" s="215">
        <f t="shared" si="163"/>
        <v>0</v>
      </c>
      <c r="CZ82" s="215">
        <f t="shared" si="164"/>
        <v>0</v>
      </c>
      <c r="DT82" s="11"/>
      <c r="DU82" s="4">
        <v>1</v>
      </c>
      <c r="DV82">
        <v>1</v>
      </c>
      <c r="DW82" s="11"/>
      <c r="EY82" s="10" t="str">
        <f t="shared" si="165"/>
        <v>International overseas delivery</v>
      </c>
    </row>
    <row r="83" spans="1:155" x14ac:dyDescent="0.35">
      <c r="A83" s="220" cm="1">
        <f t="array" aca="1" ref="A83" ca="1">HYPERLINK("#"&amp;IFERROR(CELL("address",IF(MAX($CM83:$CS83)=0,A83,INDEX($CM83:$CS83,MATCH(1,$CM83:$CS83,0)))),CELL("address",$V83:$CI83)),IFERROR(MAX($CM83:$CS83),1))</f>
        <v>0</v>
      </c>
      <c r="C83" s="213" t="str">
        <f>CONCATENATE("M-", 'I&amp;E Annual'!C83)</f>
        <v>M-IE-1g-7</v>
      </c>
      <c r="D83" s="57" t="s">
        <v>385</v>
      </c>
      <c r="H83" t="s">
        <v>317</v>
      </c>
      <c r="V83" s="109"/>
      <c r="W83" s="133">
        <f t="shared" si="152"/>
        <v>0</v>
      </c>
      <c r="X83" s="133">
        <f t="shared" si="152"/>
        <v>0</v>
      </c>
      <c r="Y83" s="133">
        <f t="shared" si="152"/>
        <v>0</v>
      </c>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X83" s="10">
        <f t="shared" si="153"/>
        <v>0</v>
      </c>
      <c r="BY83" s="10">
        <f t="shared" si="153"/>
        <v>0</v>
      </c>
      <c r="BZ83" s="10">
        <f t="shared" si="153"/>
        <v>0</v>
      </c>
      <c r="CA83" s="10">
        <f t="shared" si="153"/>
        <v>0</v>
      </c>
      <c r="CB83" s="109"/>
      <c r="CC83" s="109"/>
      <c r="CD83" s="109"/>
      <c r="CE83" s="109"/>
      <c r="CF83" s="109"/>
      <c r="CG83" s="109"/>
      <c r="CH83" s="109"/>
      <c r="CI83" s="109"/>
      <c r="CK83" s="11"/>
      <c r="CL83" s="241">
        <f t="shared" si="154"/>
        <v>0</v>
      </c>
      <c r="CM83" s="11"/>
      <c r="CO83" s="7" cm="1">
        <f t="array" ref="CO83">SUMPRODUCT(--NOT(ISNUMBER(V83:CI83)),--NOT(ISBLANK(V83:CI83)))</f>
        <v>0</v>
      </c>
      <c r="CP83" s="7">
        <f t="shared" si="155"/>
        <v>0</v>
      </c>
      <c r="CQ83" s="7">
        <f t="shared" si="156"/>
        <v>0</v>
      </c>
      <c r="CR83" s="7">
        <f t="shared" si="157"/>
        <v>0</v>
      </c>
      <c r="CS83" s="11"/>
      <c r="CT83" s="215">
        <f t="shared" si="158"/>
        <v>0</v>
      </c>
      <c r="CU83" s="215">
        <f t="shared" si="159"/>
        <v>0</v>
      </c>
      <c r="CV83" s="215">
        <f t="shared" si="160"/>
        <v>0</v>
      </c>
      <c r="CW83" s="215">
        <f t="shared" si="161"/>
        <v>0</v>
      </c>
      <c r="CX83" s="215">
        <f t="shared" si="162"/>
        <v>0</v>
      </c>
      <c r="CY83" s="215">
        <f t="shared" si="163"/>
        <v>0</v>
      </c>
      <c r="CZ83" s="215">
        <f t="shared" si="164"/>
        <v>0</v>
      </c>
      <c r="DT83" s="11"/>
      <c r="DU83" s="4">
        <v>1</v>
      </c>
      <c r="DV83">
        <v>1</v>
      </c>
      <c r="DW83" s="11"/>
      <c r="EY83" s="10" t="str">
        <f t="shared" si="165"/>
        <v>Farming</v>
      </c>
    </row>
    <row r="84" spans="1:155" x14ac:dyDescent="0.35">
      <c r="A84" s="220" cm="1">
        <f t="array" aca="1" ref="A84" ca="1">HYPERLINK("#"&amp;IFERROR(CELL("address",IF(MAX($CM84:$CS84)=0,A84,INDEX($CM84:$CS84,MATCH(1,$CM84:$CS84,0)))),CELL("address",$V84:$CI84)),IFERROR(MAX($CM84:$CS84),1))</f>
        <v>0</v>
      </c>
      <c r="C84" s="213" t="str">
        <f>CONCATENATE("M-", 'I&amp;E Annual'!C84)</f>
        <v>M-IE-1g-8</v>
      </c>
      <c r="D84" s="57" t="s">
        <v>386</v>
      </c>
      <c r="H84" t="s">
        <v>317</v>
      </c>
      <c r="V84" s="109"/>
      <c r="W84" s="133">
        <f t="shared" si="152"/>
        <v>0</v>
      </c>
      <c r="X84" s="133">
        <f t="shared" si="152"/>
        <v>0</v>
      </c>
      <c r="Y84" s="133">
        <f t="shared" si="152"/>
        <v>0</v>
      </c>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X84" s="10">
        <f t="shared" si="153"/>
        <v>0</v>
      </c>
      <c r="BY84" s="10">
        <f t="shared" si="153"/>
        <v>0</v>
      </c>
      <c r="BZ84" s="10">
        <f t="shared" si="153"/>
        <v>0</v>
      </c>
      <c r="CA84" s="10">
        <f t="shared" si="153"/>
        <v>0</v>
      </c>
      <c r="CB84" s="109"/>
      <c r="CC84" s="109"/>
      <c r="CD84" s="109"/>
      <c r="CE84" s="109"/>
      <c r="CF84" s="109"/>
      <c r="CG84" s="109"/>
      <c r="CH84" s="109"/>
      <c r="CI84" s="109"/>
      <c r="CK84" s="11"/>
      <c r="CL84" s="241">
        <f t="shared" si="154"/>
        <v>0</v>
      </c>
      <c r="CM84" s="11"/>
      <c r="CO84" s="7" cm="1">
        <f t="array" ref="CO84">SUMPRODUCT(--NOT(ISNUMBER(V84:CI84)),--NOT(ISBLANK(V84:CI84)))</f>
        <v>0</v>
      </c>
      <c r="CP84" s="7">
        <f t="shared" si="155"/>
        <v>0</v>
      </c>
      <c r="CQ84" s="7">
        <f t="shared" si="156"/>
        <v>0</v>
      </c>
      <c r="CR84" s="7">
        <f t="shared" si="157"/>
        <v>0</v>
      </c>
      <c r="CS84" s="11"/>
      <c r="CT84" s="215">
        <f t="shared" si="158"/>
        <v>0</v>
      </c>
      <c r="CU84" s="215">
        <f t="shared" si="159"/>
        <v>0</v>
      </c>
      <c r="CV84" s="215">
        <f t="shared" si="160"/>
        <v>0</v>
      </c>
      <c r="CW84" s="215">
        <f t="shared" si="161"/>
        <v>0</v>
      </c>
      <c r="CX84" s="215">
        <f t="shared" si="162"/>
        <v>0</v>
      </c>
      <c r="CY84" s="215">
        <f t="shared" si="163"/>
        <v>0</v>
      </c>
      <c r="CZ84" s="215">
        <f t="shared" si="164"/>
        <v>0</v>
      </c>
      <c r="DT84" s="11"/>
      <c r="DU84" s="4">
        <v>1</v>
      </c>
      <c r="DV84">
        <v>1</v>
      </c>
      <c r="DW84" s="11"/>
      <c r="EY84" s="10" t="str">
        <f t="shared" si="165"/>
        <v>Other commercial income</v>
      </c>
    </row>
    <row r="85" spans="1:155" x14ac:dyDescent="0.35">
      <c r="A85" s="220" cm="1">
        <f t="array" aca="1" ref="A85" ca="1">HYPERLINK("#"&amp;IFERROR(CELL("address",IF(MAX($CM85:$CS85)=0,A85,INDEX($CM85:$CS85,MATCH(1,$CM85:$CS85,0)))),CELL("address",$V85:$CI85)),IFERROR(MAX($CM85:$CS85),1))</f>
        <v>0</v>
      </c>
      <c r="C85" s="213" t="str">
        <f>CONCATENATE("M-", 'I&amp;E Annual'!C85)</f>
        <v>M-IE-1g</v>
      </c>
      <c r="D85" s="61" t="s">
        <v>387</v>
      </c>
      <c r="G85" s="5"/>
      <c r="V85" s="12">
        <f>SUM(V77:V84)</f>
        <v>0</v>
      </c>
      <c r="W85" s="12">
        <f>SUM(W77:W84)</f>
        <v>0</v>
      </c>
      <c r="X85" s="12">
        <f>SUM(X77:X84)</f>
        <v>0</v>
      </c>
      <c r="Y85" s="12">
        <f>SUM(Y77:Y84)</f>
        <v>0</v>
      </c>
      <c r="AA85" s="12">
        <f t="shared" ref="AA85:BJ85" si="166">SUM(AA77:AA84)</f>
        <v>0</v>
      </c>
      <c r="AB85" s="12">
        <f t="shared" si="166"/>
        <v>0</v>
      </c>
      <c r="AC85" s="12">
        <f t="shared" si="166"/>
        <v>0</v>
      </c>
      <c r="AD85" s="12">
        <f t="shared" si="166"/>
        <v>0</v>
      </c>
      <c r="AE85" s="12">
        <f t="shared" si="166"/>
        <v>0</v>
      </c>
      <c r="AF85" s="12">
        <f t="shared" si="166"/>
        <v>0</v>
      </c>
      <c r="AG85" s="12">
        <f t="shared" si="166"/>
        <v>0</v>
      </c>
      <c r="AH85" s="12">
        <f t="shared" si="166"/>
        <v>0</v>
      </c>
      <c r="AI85" s="12">
        <f t="shared" si="166"/>
        <v>0</v>
      </c>
      <c r="AJ85" s="12">
        <f t="shared" si="166"/>
        <v>0</v>
      </c>
      <c r="AK85" s="12">
        <f t="shared" si="166"/>
        <v>0</v>
      </c>
      <c r="AL85" s="12">
        <f t="shared" si="166"/>
        <v>0</v>
      </c>
      <c r="AM85" s="12">
        <f t="shared" si="166"/>
        <v>0</v>
      </c>
      <c r="AN85" s="12">
        <f t="shared" si="166"/>
        <v>0</v>
      </c>
      <c r="AO85" s="12">
        <f t="shared" si="166"/>
        <v>0</v>
      </c>
      <c r="AP85" s="12">
        <f t="shared" si="166"/>
        <v>0</v>
      </c>
      <c r="AQ85" s="12">
        <f t="shared" si="166"/>
        <v>0</v>
      </c>
      <c r="AR85" s="12">
        <f t="shared" si="166"/>
        <v>0</v>
      </c>
      <c r="AS85" s="12">
        <f t="shared" si="166"/>
        <v>0</v>
      </c>
      <c r="AT85" s="12">
        <f t="shared" si="166"/>
        <v>0</v>
      </c>
      <c r="AU85" s="12">
        <f t="shared" si="166"/>
        <v>0</v>
      </c>
      <c r="AV85" s="12">
        <f t="shared" si="166"/>
        <v>0</v>
      </c>
      <c r="AW85" s="12">
        <f t="shared" si="166"/>
        <v>0</v>
      </c>
      <c r="AX85" s="12">
        <f t="shared" si="166"/>
        <v>0</v>
      </c>
      <c r="AY85" s="12">
        <f t="shared" si="166"/>
        <v>0</v>
      </c>
      <c r="AZ85" s="12">
        <f t="shared" si="166"/>
        <v>0</v>
      </c>
      <c r="BA85" s="12">
        <f t="shared" si="166"/>
        <v>0</v>
      </c>
      <c r="BB85" s="12">
        <f t="shared" si="166"/>
        <v>0</v>
      </c>
      <c r="BC85" s="12">
        <f t="shared" si="166"/>
        <v>0</v>
      </c>
      <c r="BD85" s="12">
        <f t="shared" si="166"/>
        <v>0</v>
      </c>
      <c r="BE85" s="12">
        <f t="shared" si="166"/>
        <v>0</v>
      </c>
      <c r="BF85" s="12">
        <f t="shared" si="166"/>
        <v>0</v>
      </c>
      <c r="BG85" s="12">
        <f t="shared" si="166"/>
        <v>0</v>
      </c>
      <c r="BH85" s="12">
        <f t="shared" si="166"/>
        <v>0</v>
      </c>
      <c r="BI85" s="12">
        <f t="shared" si="166"/>
        <v>0</v>
      </c>
      <c r="BJ85" s="12">
        <f t="shared" si="166"/>
        <v>0</v>
      </c>
      <c r="BX85" s="12">
        <f t="shared" ref="BX85:CI85" si="167">SUM(BX77:BX84)</f>
        <v>0</v>
      </c>
      <c r="BY85" s="12">
        <f t="shared" si="167"/>
        <v>0</v>
      </c>
      <c r="BZ85" s="12">
        <f t="shared" si="167"/>
        <v>0</v>
      </c>
      <c r="CA85" s="12">
        <f t="shared" si="167"/>
        <v>0</v>
      </c>
      <c r="CB85" s="12">
        <f t="shared" si="167"/>
        <v>0</v>
      </c>
      <c r="CC85" s="12">
        <f t="shared" si="167"/>
        <v>0</v>
      </c>
      <c r="CD85" s="12">
        <f t="shared" si="167"/>
        <v>0</v>
      </c>
      <c r="CE85" s="12">
        <f t="shared" si="167"/>
        <v>0</v>
      </c>
      <c r="CF85" s="12">
        <f t="shared" si="167"/>
        <v>0</v>
      </c>
      <c r="CG85" s="12">
        <f t="shared" si="167"/>
        <v>0</v>
      </c>
      <c r="CH85" s="12">
        <f t="shared" si="167"/>
        <v>0</v>
      </c>
      <c r="CI85" s="12">
        <f t="shared" si="167"/>
        <v>0</v>
      </c>
      <c r="CK85" s="11"/>
      <c r="CL85" s="241">
        <f t="shared" si="154"/>
        <v>0</v>
      </c>
      <c r="CM85" s="11"/>
      <c r="CP85" s="7">
        <f t="shared" si="155"/>
        <v>0</v>
      </c>
      <c r="CQ85" s="7">
        <f t="shared" si="156"/>
        <v>0</v>
      </c>
      <c r="CR85" s="7">
        <f t="shared" si="157"/>
        <v>0</v>
      </c>
      <c r="CS85" s="11"/>
      <c r="CT85" s="215">
        <f t="shared" si="158"/>
        <v>0</v>
      </c>
      <c r="CU85" s="215">
        <f t="shared" si="159"/>
        <v>0</v>
      </c>
      <c r="CV85" s="215">
        <f t="shared" si="160"/>
        <v>0</v>
      </c>
      <c r="CW85" s="215">
        <f t="shared" si="161"/>
        <v>0</v>
      </c>
      <c r="CX85" s="215">
        <f t="shared" si="162"/>
        <v>0</v>
      </c>
      <c r="CY85" s="215">
        <f t="shared" si="163"/>
        <v>0</v>
      </c>
      <c r="CZ85" s="215">
        <f t="shared" si="164"/>
        <v>0</v>
      </c>
      <c r="DT85" s="11"/>
      <c r="DU85">
        <v>0</v>
      </c>
      <c r="DV85">
        <v>0</v>
      </c>
      <c r="DW85" s="11"/>
      <c r="EY85" s="10" t="str">
        <f t="shared" si="165"/>
        <v>Total commercial income</v>
      </c>
    </row>
    <row r="86" spans="1:155" ht="6.75" customHeight="1" x14ac:dyDescent="0.35">
      <c r="C86" s="213"/>
      <c r="BY86" s="6"/>
      <c r="CK86" s="35"/>
      <c r="CM86" s="35"/>
      <c r="CS86" s="35"/>
      <c r="DT86" s="35"/>
      <c r="DU86">
        <v>0</v>
      </c>
      <c r="DV86">
        <v>0</v>
      </c>
      <c r="DW86" s="35"/>
      <c r="EY86" s="10" t="str">
        <f t="shared" si="165"/>
        <v/>
      </c>
    </row>
    <row r="87" spans="1:155" x14ac:dyDescent="0.35">
      <c r="B87" s="5"/>
      <c r="C87" s="213"/>
      <c r="D87" s="61" t="s">
        <v>388</v>
      </c>
      <c r="E87" s="5"/>
      <c r="CK87" s="11"/>
      <c r="CM87" s="11"/>
      <c r="CS87" s="11"/>
      <c r="DT87" s="11"/>
      <c r="DU87">
        <v>0</v>
      </c>
      <c r="DV87">
        <v>0</v>
      </c>
      <c r="DW87" s="11"/>
      <c r="EY87" s="10" t="str">
        <f t="shared" si="165"/>
        <v/>
      </c>
    </row>
    <row r="88" spans="1:155" ht="29" x14ac:dyDescent="0.35">
      <c r="A88" s="220" cm="1">
        <f t="array" aca="1" ref="A88" ca="1">HYPERLINK("#"&amp;IFERROR(CELL("address",IF(MAX($CM88:$CS88)=0,A88,INDEX($CM88:$CS88,MATCH(1,$CM88:$CS88,0)))),CELL("address",$V88:$CI88)),IFERROR(MAX($CM88:$CS88),1))</f>
        <v>0</v>
      </c>
      <c r="B88" s="126" t="s">
        <v>122</v>
      </c>
      <c r="C88" s="213" t="str">
        <f>CONCATENATE("M-", 'I&amp;E Annual'!C88)</f>
        <v>M-IE-1h-1</v>
      </c>
      <c r="D88" s="57" t="s">
        <v>389</v>
      </c>
      <c r="H88" t="s">
        <v>317</v>
      </c>
      <c r="V88" s="109"/>
      <c r="W88" s="133">
        <f t="shared" ref="W88:Y89" si="168" xml:space="preserve"> SUMIFS($AA88:$BJ88, $AA$3:$BJ$3, W$3)</f>
        <v>0</v>
      </c>
      <c r="X88" s="133">
        <f t="shared" si="168"/>
        <v>0</v>
      </c>
      <c r="Y88" s="133">
        <f t="shared" si="168"/>
        <v>0</v>
      </c>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X88" s="10">
        <f t="shared" ref="BX88:CA89" si="169">V88</f>
        <v>0</v>
      </c>
      <c r="BY88" s="10">
        <f t="shared" si="169"/>
        <v>0</v>
      </c>
      <c r="BZ88" s="10">
        <f t="shared" si="169"/>
        <v>0</v>
      </c>
      <c r="CA88" s="10">
        <f t="shared" si="169"/>
        <v>0</v>
      </c>
      <c r="CB88" s="109"/>
      <c r="CC88" s="109"/>
      <c r="CD88" s="109"/>
      <c r="CE88" s="109"/>
      <c r="CF88" s="109"/>
      <c r="CG88" s="109"/>
      <c r="CH88" s="109"/>
      <c r="CI88" s="109"/>
      <c r="CK88" s="11"/>
      <c r="CL88" s="241">
        <f>IF(MIN($V88:$CI88)&lt;0, 1, 0)</f>
        <v>0</v>
      </c>
      <c r="CM88" s="11"/>
      <c r="CO88" s="7" cm="1">
        <f t="array" ref="CO88">SUMPRODUCT(--NOT(ISNUMBER(V88:CI88)),--NOT(ISBLANK(V88:CI88)))</f>
        <v>0</v>
      </c>
      <c r="CP88" s="7">
        <f>IF(SUM($CT88:$CV88)=0, 0, 1)</f>
        <v>0</v>
      </c>
      <c r="CQ88" s="7">
        <f>IF(SUM($CW88:$CY88)=0, 0, 1)</f>
        <v>0</v>
      </c>
      <c r="CR88" s="7">
        <f>IF($CZ88=0, 0, 1)</f>
        <v>0</v>
      </c>
      <c r="CS88" s="11"/>
      <c r="CT88" s="215">
        <f t="shared" ref="CT88:CV90" si="170">ROUND(W88-SUMIFS($AA88:$BJ88, $AA$3:$BJ$3, W$3), rounding)</f>
        <v>0</v>
      </c>
      <c r="CU88" s="215">
        <f t="shared" si="170"/>
        <v>0</v>
      </c>
      <c r="CV88" s="215">
        <f t="shared" si="170"/>
        <v>0</v>
      </c>
      <c r="CW88" s="215">
        <f>ROUND($BY88-SUMIFS($AA88:$BJ88, $AA$3:$BJ$3, $BY$3), rounding)</f>
        <v>0</v>
      </c>
      <c r="CX88" s="215">
        <f>ROUND($BZ88-SUMIFS($AA88:$BJ88, $AA$3:$BJ$3, $BZ$3), rounding)</f>
        <v>0</v>
      </c>
      <c r="CY88" s="215">
        <f>ROUND($CA88-SUMIFS($AA88:$BJ88, $AA$3:$BJ$3, $CA$3), rounding)</f>
        <v>0</v>
      </c>
      <c r="CZ88" s="215">
        <f>ROUND($V88-$BX88, rounding)</f>
        <v>0</v>
      </c>
      <c r="DT88" s="11"/>
      <c r="DU88" s="4">
        <v>1</v>
      </c>
      <c r="DV88">
        <v>1</v>
      </c>
      <c r="DW88" s="11"/>
      <c r="EY88" s="10" t="str">
        <f t="shared" si="165"/>
        <v>Other income from non-learning activities incl. VAT recovered</v>
      </c>
    </row>
    <row r="89" spans="1:155" x14ac:dyDescent="0.35">
      <c r="A89" s="220" cm="1">
        <f t="array" aca="1" ref="A89" ca="1">HYPERLINK("#"&amp;IFERROR(CELL("address",IF(MAX($CM89:$CS89)=0,A89,INDEX($CM89:$CS89,MATCH(1,$CM89:$CS89,0)))),CELL("address",$V89:$CI89)),IFERROR(MAX($CM89:$CS89),1))</f>
        <v>0</v>
      </c>
      <c r="B89" s="85" t="s">
        <v>122</v>
      </c>
      <c r="C89" s="213" t="str">
        <f>CONCATENATE("M-", 'I&amp;E Annual'!C89)</f>
        <v>M-IE-1h-2</v>
      </c>
      <c r="D89" s="57" t="s">
        <v>390</v>
      </c>
      <c r="H89" t="s">
        <v>317</v>
      </c>
      <c r="V89" s="109"/>
      <c r="W89" s="133">
        <f t="shared" si="168"/>
        <v>0</v>
      </c>
      <c r="X89" s="133">
        <f t="shared" si="168"/>
        <v>0</v>
      </c>
      <c r="Y89" s="133">
        <f t="shared" si="168"/>
        <v>0</v>
      </c>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X89" s="10">
        <f t="shared" si="169"/>
        <v>0</v>
      </c>
      <c r="BY89" s="10">
        <f t="shared" si="169"/>
        <v>0</v>
      </c>
      <c r="BZ89" s="10">
        <f t="shared" si="169"/>
        <v>0</v>
      </c>
      <c r="CA89" s="10">
        <f t="shared" si="169"/>
        <v>0</v>
      </c>
      <c r="CB89" s="109"/>
      <c r="CC89" s="109"/>
      <c r="CD89" s="109"/>
      <c r="CE89" s="109"/>
      <c r="CF89" s="109"/>
      <c r="CG89" s="109"/>
      <c r="CH89" s="109"/>
      <c r="CI89" s="109"/>
      <c r="CK89" s="11"/>
      <c r="CL89" s="241">
        <f>IF(MIN($V89:$CI89)&lt;0, 1, 0)</f>
        <v>0</v>
      </c>
      <c r="CM89" s="11"/>
      <c r="CO89" s="7" cm="1">
        <f t="array" ref="CO89">SUMPRODUCT(--NOT(ISNUMBER(V89:CI89)),--NOT(ISBLANK(V89:CI89)))</f>
        <v>0</v>
      </c>
      <c r="CP89" s="7">
        <f>IF(SUM($CT89:$CV89)=0, 0, 1)</f>
        <v>0</v>
      </c>
      <c r="CQ89" s="7">
        <f>IF(SUM($CW89:$CY89)=0, 0, 1)</f>
        <v>0</v>
      </c>
      <c r="CR89" s="7">
        <f>IF($CZ89=0, 0, 1)</f>
        <v>0</v>
      </c>
      <c r="CS89" s="11"/>
      <c r="CT89" s="215">
        <f t="shared" si="170"/>
        <v>0</v>
      </c>
      <c r="CU89" s="215">
        <f t="shared" si="170"/>
        <v>0</v>
      </c>
      <c r="CV89" s="215">
        <f t="shared" si="170"/>
        <v>0</v>
      </c>
      <c r="CW89" s="215">
        <f>ROUND($BY89-SUMIFS($AA89:$BJ89, $AA$3:$BJ$3, $BY$3), rounding)</f>
        <v>0</v>
      </c>
      <c r="CX89" s="215">
        <f>ROUND($BZ89-SUMIFS($AA89:$BJ89, $AA$3:$BJ$3, $BZ$3), rounding)</f>
        <v>0</v>
      </c>
      <c r="CY89" s="215">
        <f>ROUND($CA89-SUMIFS($AA89:$BJ89, $AA$3:$BJ$3, $CA$3), rounding)</f>
        <v>0</v>
      </c>
      <c r="CZ89" s="215">
        <f>ROUND($V89-$BX89, rounding)</f>
        <v>0</v>
      </c>
      <c r="DT89" s="11"/>
      <c r="DU89" s="4">
        <v>1</v>
      </c>
      <c r="DV89">
        <v>1</v>
      </c>
      <c r="DW89" s="11"/>
      <c r="EY89" s="10" t="str">
        <f t="shared" si="165"/>
        <v>Endowment income</v>
      </c>
    </row>
    <row r="90" spans="1:155" x14ac:dyDescent="0.35">
      <c r="A90" s="220" cm="1">
        <f t="array" aca="1" ref="A90" ca="1">HYPERLINK("#"&amp;IFERROR(CELL("address",IF(MAX($CM90:$CS90)=0,A90,INDEX($CM90:$CS90,MATCH(1,$CM90:$CS90,0)))),CELL("address",$V90:$CI90)),IFERROR(MAX($CM90:$CS90),1))</f>
        <v>0</v>
      </c>
      <c r="C90" s="213" t="str">
        <f>CONCATENATE("M-", 'I&amp;E Annual'!C90)</f>
        <v>M-IE-1h</v>
      </c>
      <c r="D90" s="61" t="s">
        <v>391</v>
      </c>
      <c r="E90" s="5"/>
      <c r="G90" s="5"/>
      <c r="V90" s="12">
        <f>SUM(V88:V89)</f>
        <v>0</v>
      </c>
      <c r="W90" s="12">
        <f>SUM(W88:W89)</f>
        <v>0</v>
      </c>
      <c r="X90" s="12">
        <f>SUM(X88:X89)</f>
        <v>0</v>
      </c>
      <c r="Y90" s="12">
        <f>SUM(Y88:Y89)</f>
        <v>0</v>
      </c>
      <c r="AA90" s="12">
        <f t="shared" ref="AA90:BJ90" si="171">SUM(AA88:AA89)</f>
        <v>0</v>
      </c>
      <c r="AB90" s="12">
        <f t="shared" si="171"/>
        <v>0</v>
      </c>
      <c r="AC90" s="12">
        <f t="shared" si="171"/>
        <v>0</v>
      </c>
      <c r="AD90" s="12">
        <f t="shared" si="171"/>
        <v>0</v>
      </c>
      <c r="AE90" s="12">
        <f t="shared" si="171"/>
        <v>0</v>
      </c>
      <c r="AF90" s="12">
        <f t="shared" si="171"/>
        <v>0</v>
      </c>
      <c r="AG90" s="12">
        <f t="shared" si="171"/>
        <v>0</v>
      </c>
      <c r="AH90" s="12">
        <f t="shared" si="171"/>
        <v>0</v>
      </c>
      <c r="AI90" s="12">
        <f t="shared" si="171"/>
        <v>0</v>
      </c>
      <c r="AJ90" s="12">
        <f t="shared" si="171"/>
        <v>0</v>
      </c>
      <c r="AK90" s="12">
        <f t="shared" si="171"/>
        <v>0</v>
      </c>
      <c r="AL90" s="12">
        <f t="shared" si="171"/>
        <v>0</v>
      </c>
      <c r="AM90" s="12">
        <f t="shared" si="171"/>
        <v>0</v>
      </c>
      <c r="AN90" s="12">
        <f t="shared" si="171"/>
        <v>0</v>
      </c>
      <c r="AO90" s="12">
        <f t="shared" si="171"/>
        <v>0</v>
      </c>
      <c r="AP90" s="12">
        <f t="shared" si="171"/>
        <v>0</v>
      </c>
      <c r="AQ90" s="12">
        <f t="shared" si="171"/>
        <v>0</v>
      </c>
      <c r="AR90" s="12">
        <f t="shared" si="171"/>
        <v>0</v>
      </c>
      <c r="AS90" s="12">
        <f t="shared" si="171"/>
        <v>0</v>
      </c>
      <c r="AT90" s="12">
        <f t="shared" si="171"/>
        <v>0</v>
      </c>
      <c r="AU90" s="12">
        <f t="shared" si="171"/>
        <v>0</v>
      </c>
      <c r="AV90" s="12">
        <f t="shared" si="171"/>
        <v>0</v>
      </c>
      <c r="AW90" s="12">
        <f t="shared" si="171"/>
        <v>0</v>
      </c>
      <c r="AX90" s="12">
        <f t="shared" si="171"/>
        <v>0</v>
      </c>
      <c r="AY90" s="12">
        <f t="shared" si="171"/>
        <v>0</v>
      </c>
      <c r="AZ90" s="12">
        <f t="shared" si="171"/>
        <v>0</v>
      </c>
      <c r="BA90" s="12">
        <f t="shared" si="171"/>
        <v>0</v>
      </c>
      <c r="BB90" s="12">
        <f t="shared" si="171"/>
        <v>0</v>
      </c>
      <c r="BC90" s="12">
        <f t="shared" si="171"/>
        <v>0</v>
      </c>
      <c r="BD90" s="12">
        <f t="shared" si="171"/>
        <v>0</v>
      </c>
      <c r="BE90" s="12">
        <f t="shared" si="171"/>
        <v>0</v>
      </c>
      <c r="BF90" s="12">
        <f t="shared" si="171"/>
        <v>0</v>
      </c>
      <c r="BG90" s="12">
        <f t="shared" si="171"/>
        <v>0</v>
      </c>
      <c r="BH90" s="12">
        <f t="shared" si="171"/>
        <v>0</v>
      </c>
      <c r="BI90" s="12">
        <f t="shared" si="171"/>
        <v>0</v>
      </c>
      <c r="BJ90" s="12">
        <f t="shared" si="171"/>
        <v>0</v>
      </c>
      <c r="BX90" s="12">
        <f t="shared" ref="BX90:CI90" si="172">SUM(BX88:BX89)</f>
        <v>0</v>
      </c>
      <c r="BY90" s="12">
        <f t="shared" si="172"/>
        <v>0</v>
      </c>
      <c r="BZ90" s="12">
        <f t="shared" si="172"/>
        <v>0</v>
      </c>
      <c r="CA90" s="12">
        <f t="shared" si="172"/>
        <v>0</v>
      </c>
      <c r="CB90" s="12">
        <f t="shared" si="172"/>
        <v>0</v>
      </c>
      <c r="CC90" s="12">
        <f t="shared" si="172"/>
        <v>0</v>
      </c>
      <c r="CD90" s="12">
        <f t="shared" si="172"/>
        <v>0</v>
      </c>
      <c r="CE90" s="12">
        <f t="shared" si="172"/>
        <v>0</v>
      </c>
      <c r="CF90" s="12">
        <f t="shared" si="172"/>
        <v>0</v>
      </c>
      <c r="CG90" s="12">
        <f t="shared" si="172"/>
        <v>0</v>
      </c>
      <c r="CH90" s="12">
        <f t="shared" si="172"/>
        <v>0</v>
      </c>
      <c r="CI90" s="12">
        <f t="shared" si="172"/>
        <v>0</v>
      </c>
      <c r="CK90" s="11"/>
      <c r="CL90" s="241">
        <f>IF(MIN($V90:$CI90)&lt;0, 1, 0)</f>
        <v>0</v>
      </c>
      <c r="CM90" s="11"/>
      <c r="CP90" s="7">
        <f>IF(SUM($CT90:$CV90)=0, 0, 1)</f>
        <v>0</v>
      </c>
      <c r="CQ90" s="7">
        <f>IF(SUM($CW90:$CY90)=0, 0, 1)</f>
        <v>0</v>
      </c>
      <c r="CR90" s="7">
        <f>IF($CZ90=0, 0, 1)</f>
        <v>0</v>
      </c>
      <c r="CS90" s="11"/>
      <c r="CT90" s="215">
        <f t="shared" si="170"/>
        <v>0</v>
      </c>
      <c r="CU90" s="215">
        <f t="shared" si="170"/>
        <v>0</v>
      </c>
      <c r="CV90" s="215">
        <f t="shared" si="170"/>
        <v>0</v>
      </c>
      <c r="CW90" s="215">
        <f>ROUND($BY90-SUMIFS($AA90:$BJ90, $AA$3:$BJ$3, $BY$3), rounding)</f>
        <v>0</v>
      </c>
      <c r="CX90" s="215">
        <f>ROUND($BZ90-SUMIFS($AA90:$BJ90, $AA$3:$BJ$3, $BZ$3), rounding)</f>
        <v>0</v>
      </c>
      <c r="CY90" s="215">
        <f>ROUND($CA90-SUMIFS($AA90:$BJ90, $AA$3:$BJ$3, $CA$3), rounding)</f>
        <v>0</v>
      </c>
      <c r="CZ90" s="215">
        <f>ROUND($V90-$BX90, rounding)</f>
        <v>0</v>
      </c>
      <c r="DT90" s="11"/>
      <c r="DU90">
        <v>0</v>
      </c>
      <c r="DV90">
        <v>0</v>
      </c>
      <c r="DW90" s="11"/>
      <c r="EY90" s="10" t="str">
        <f t="shared" si="165"/>
        <v>Total Other Income</v>
      </c>
    </row>
    <row r="91" spans="1:155" ht="6.75" customHeight="1" x14ac:dyDescent="0.35">
      <c r="C91" s="213"/>
      <c r="BY91" s="6"/>
      <c r="CK91" s="35"/>
      <c r="CM91" s="35"/>
      <c r="CS91" s="35"/>
      <c r="DT91" s="35"/>
      <c r="DU91">
        <v>0</v>
      </c>
      <c r="DV91">
        <v>0</v>
      </c>
      <c r="DW91" s="35"/>
      <c r="EY91" s="10" t="str">
        <f t="shared" si="165"/>
        <v/>
      </c>
    </row>
    <row r="92" spans="1:155" x14ac:dyDescent="0.35">
      <c r="B92" s="5"/>
      <c r="C92" s="213"/>
      <c r="D92" s="61" t="s">
        <v>392</v>
      </c>
      <c r="E92" s="5"/>
      <c r="CK92" s="11"/>
      <c r="CM92" s="11"/>
      <c r="CS92" s="11"/>
      <c r="DT92" s="11"/>
      <c r="DU92">
        <v>0</v>
      </c>
      <c r="DV92">
        <v>0</v>
      </c>
      <c r="DW92" s="11"/>
      <c r="EY92" s="10" t="str">
        <f t="shared" si="165"/>
        <v/>
      </c>
    </row>
    <row r="93" spans="1:155" x14ac:dyDescent="0.35">
      <c r="A93" s="220" cm="1">
        <f t="array" aca="1" ref="A93" ca="1">HYPERLINK("#"&amp;IFERROR(CELL("address",IF(MAX($CM93:$CS93)=0,A93,INDEX($CM93:$CS93,MATCH(1,$CM93:$CS93,0)))),CELL("address",$V93:$CI93)),IFERROR(MAX($CM93:$CS93),1))</f>
        <v>0</v>
      </c>
      <c r="C93" s="213" t="str">
        <f>CONCATENATE("M-", 'I&amp;E Annual'!C93)</f>
        <v>M-IE-1i-1</v>
      </c>
      <c r="D93" s="534" t="s">
        <v>393</v>
      </c>
      <c r="H93" t="s">
        <v>317</v>
      </c>
      <c r="V93" s="109"/>
      <c r="W93" s="133">
        <f t="shared" ref="W93:Y95" si="173" xml:space="preserve"> SUMIFS($AA93:$BJ93, $AA$3:$BJ$3, W$3)</f>
        <v>0</v>
      </c>
      <c r="X93" s="133">
        <f t="shared" si="173"/>
        <v>0</v>
      </c>
      <c r="Y93" s="133">
        <f t="shared" si="173"/>
        <v>0</v>
      </c>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X93" s="10">
        <f t="shared" ref="BX93:CA95" si="174">V93</f>
        <v>0</v>
      </c>
      <c r="BY93" s="10">
        <f t="shared" si="174"/>
        <v>0</v>
      </c>
      <c r="BZ93" s="10">
        <f t="shared" si="174"/>
        <v>0</v>
      </c>
      <c r="CA93" s="10">
        <f t="shared" si="174"/>
        <v>0</v>
      </c>
      <c r="CB93" s="109"/>
      <c r="CC93" s="109"/>
      <c r="CD93" s="109"/>
      <c r="CE93" s="109"/>
      <c r="CF93" s="109"/>
      <c r="CG93" s="109"/>
      <c r="CH93" s="109"/>
      <c r="CI93" s="109"/>
      <c r="CK93" s="11"/>
      <c r="CL93" s="241">
        <f>IF(MIN($V93:$CI93)&lt;0, 1, 0)</f>
        <v>0</v>
      </c>
      <c r="CM93" s="11"/>
      <c r="CO93" s="7" cm="1">
        <f t="array" ref="CO93">SUMPRODUCT(--NOT(ISNUMBER(V93:CI93)),--NOT(ISBLANK(V93:CI93)))</f>
        <v>0</v>
      </c>
      <c r="CP93" s="7">
        <f>IF(SUM($CT93:$CV93)=0, 0, 1)</f>
        <v>0</v>
      </c>
      <c r="CQ93" s="7">
        <f>IF(SUM($CW93:$CY93)=0, 0, 1)</f>
        <v>0</v>
      </c>
      <c r="CR93" s="7">
        <f>IF($CZ93=0, 0, 1)</f>
        <v>0</v>
      </c>
      <c r="CS93" s="11"/>
      <c r="CT93" s="215">
        <f t="shared" ref="CT93:CV96" si="175">ROUND(W93-SUMIFS($AA93:$BJ93, $AA$3:$BJ$3, W$3), rounding)</f>
        <v>0</v>
      </c>
      <c r="CU93" s="215">
        <f t="shared" si="175"/>
        <v>0</v>
      </c>
      <c r="CV93" s="215">
        <f t="shared" si="175"/>
        <v>0</v>
      </c>
      <c r="CW93" s="215">
        <f>ROUND($BY93-SUMIFS($AA93:$BJ93, $AA$3:$BJ$3, $BY$3), rounding)</f>
        <v>0</v>
      </c>
      <c r="CX93" s="215">
        <f>ROUND($BZ93-SUMIFS($AA93:$BJ93, $AA$3:$BJ$3, $BZ$3), rounding)</f>
        <v>0</v>
      </c>
      <c r="CY93" s="215">
        <f>ROUND($CA93-SUMIFS($AA93:$BJ93, $AA$3:$BJ$3, $CA$3), rounding)</f>
        <v>0</v>
      </c>
      <c r="CZ93" s="215">
        <f>ROUND($V93-$BX93, rounding)</f>
        <v>0</v>
      </c>
      <c r="DT93" s="11"/>
      <c r="DU93" s="4">
        <v>1</v>
      </c>
      <c r="DV93">
        <v>1</v>
      </c>
      <c r="DW93" s="11"/>
      <c r="EY93" s="10" t="str">
        <f t="shared" si="165"/>
        <v>Emergency Funding</v>
      </c>
    </row>
    <row r="94" spans="1:155" x14ac:dyDescent="0.35">
      <c r="A94" s="220" cm="1">
        <f t="array" aca="1" ref="A94" ca="1">HYPERLINK("#"&amp;IFERROR(CELL("address",IF(MAX($CM94:$CS94)=0,A94,INDEX($CM94:$CS94,MATCH(1,$CM94:$CS94,0)))),CELL("address",$V94:$CI94)),IFERROR(MAX($CM94:$CS94),1))</f>
        <v>0</v>
      </c>
      <c r="C94" s="213" t="str">
        <f>CONCATENATE("M-", 'I&amp;E Annual'!C94)</f>
        <v>M-IE-1i-2</v>
      </c>
      <c r="D94" s="534" t="s">
        <v>394</v>
      </c>
      <c r="H94" t="s">
        <v>317</v>
      </c>
      <c r="V94" s="109"/>
      <c r="W94" s="133">
        <f t="shared" si="173"/>
        <v>0</v>
      </c>
      <c r="X94" s="133">
        <f t="shared" si="173"/>
        <v>0</v>
      </c>
      <c r="Y94" s="133">
        <f t="shared" si="173"/>
        <v>0</v>
      </c>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X94" s="10">
        <f t="shared" si="174"/>
        <v>0</v>
      </c>
      <c r="BY94" s="10">
        <f t="shared" si="174"/>
        <v>0</v>
      </c>
      <c r="BZ94" s="10">
        <f t="shared" si="174"/>
        <v>0</v>
      </c>
      <c r="CA94" s="10">
        <f t="shared" si="174"/>
        <v>0</v>
      </c>
      <c r="CB94" s="109"/>
      <c r="CC94" s="109"/>
      <c r="CD94" s="109"/>
      <c r="CE94" s="109"/>
      <c r="CF94" s="109"/>
      <c r="CG94" s="109"/>
      <c r="CH94" s="109"/>
      <c r="CI94" s="109"/>
      <c r="CK94" s="11"/>
      <c r="CL94" s="241">
        <f>IF(MIN($V94:$CI94)&lt;0, 1, 0)</f>
        <v>0</v>
      </c>
      <c r="CM94" s="11"/>
      <c r="CO94" s="7" cm="1">
        <f t="array" ref="CO94">SUMPRODUCT(--NOT(ISNUMBER(V94:CI94)),--NOT(ISBLANK(V94:CI94)))</f>
        <v>0</v>
      </c>
      <c r="CP94" s="7">
        <f>IF(SUM($CT94:$CV94)=0, 0, 1)</f>
        <v>0</v>
      </c>
      <c r="CQ94" s="7">
        <f>IF(SUM($CW94:$CY94)=0, 0, 1)</f>
        <v>0</v>
      </c>
      <c r="CR94" s="7">
        <f>IF($CZ94=0, 0, 1)</f>
        <v>0</v>
      </c>
      <c r="CS94" s="11"/>
      <c r="CT94" s="215">
        <f t="shared" si="175"/>
        <v>0</v>
      </c>
      <c r="CU94" s="215">
        <f t="shared" si="175"/>
        <v>0</v>
      </c>
      <c r="CV94" s="215">
        <f t="shared" si="175"/>
        <v>0</v>
      </c>
      <c r="CW94" s="215">
        <f>ROUND($BY94-SUMIFS($AA94:$BJ94, $AA$3:$BJ$3, $BY$3), rounding)</f>
        <v>0</v>
      </c>
      <c r="CX94" s="215">
        <f>ROUND($BZ94-SUMIFS($AA94:$BJ94, $AA$3:$BJ$3, $BZ$3), rounding)</f>
        <v>0</v>
      </c>
      <c r="CY94" s="215">
        <f>ROUND($CA94-SUMIFS($AA94:$BJ94, $AA$3:$BJ$3, $CA$3), rounding)</f>
        <v>0</v>
      </c>
      <c r="CZ94" s="215">
        <f>ROUND($V94-$BX94, rounding)</f>
        <v>0</v>
      </c>
      <c r="DT94" s="11"/>
      <c r="DU94" s="4">
        <v>1</v>
      </c>
      <c r="DV94">
        <v>1</v>
      </c>
      <c r="DW94" s="11"/>
      <c r="EY94" s="10" t="str">
        <f t="shared" si="165"/>
        <v>Exceptional Restructuring Funding</v>
      </c>
    </row>
    <row r="95" spans="1:155" x14ac:dyDescent="0.35">
      <c r="A95" s="220" cm="1">
        <f t="array" aca="1" ref="A95" ca="1">HYPERLINK("#"&amp;IFERROR(CELL("address",IF(MAX($CM95:$CS95)=0,A95,INDEX($CM95:$CS95,MATCH(1,$CM95:$CS95,0)))),CELL("address",$V95:$CI95)),IFERROR(MAX($CM95:$CS95),1))</f>
        <v>0</v>
      </c>
      <c r="C95" s="213" t="str">
        <f>CONCATENATE("M-", 'I&amp;E Annual'!C95)</f>
        <v>M-IE-1i-3</v>
      </c>
      <c r="D95" s="574" t="s">
        <v>395</v>
      </c>
      <c r="H95" t="s">
        <v>317</v>
      </c>
      <c r="V95" s="109"/>
      <c r="W95" s="133">
        <f t="shared" si="173"/>
        <v>0</v>
      </c>
      <c r="X95" s="133">
        <f t="shared" si="173"/>
        <v>0</v>
      </c>
      <c r="Y95" s="133">
        <f t="shared" si="173"/>
        <v>0</v>
      </c>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X95" s="10">
        <f t="shared" si="174"/>
        <v>0</v>
      </c>
      <c r="BY95" s="10">
        <f t="shared" si="174"/>
        <v>0</v>
      </c>
      <c r="BZ95" s="10">
        <f t="shared" si="174"/>
        <v>0</v>
      </c>
      <c r="CA95" s="10">
        <f t="shared" si="174"/>
        <v>0</v>
      </c>
      <c r="CB95" s="109"/>
      <c r="CC95" s="109"/>
      <c r="CD95" s="109"/>
      <c r="CE95" s="109"/>
      <c r="CF95" s="109"/>
      <c r="CG95" s="109"/>
      <c r="CH95" s="109"/>
      <c r="CI95" s="109"/>
      <c r="CK95" s="11"/>
      <c r="CL95" s="241">
        <f>IF(MIN($V95:$CI95)&lt;0, 1, 0)</f>
        <v>0</v>
      </c>
      <c r="CM95" s="11"/>
      <c r="CO95" s="7" cm="1">
        <f t="array" ref="CO95">SUMPRODUCT(--NOT(ISNUMBER(V95:CI95)),--NOT(ISBLANK(V95:CI95)))</f>
        <v>0</v>
      </c>
      <c r="CP95" s="7">
        <f>IF(SUM($CT95:$CV95)=0, 0, 1)</f>
        <v>0</v>
      </c>
      <c r="CQ95" s="7">
        <f>IF(SUM($CW95:$CY95)=0, 0, 1)</f>
        <v>0</v>
      </c>
      <c r="CR95" s="7">
        <f>IF($CZ95=0, 0, 1)</f>
        <v>0</v>
      </c>
      <c r="CS95" s="11"/>
      <c r="CT95" s="215">
        <f t="shared" si="175"/>
        <v>0</v>
      </c>
      <c r="CU95" s="215">
        <f t="shared" si="175"/>
        <v>0</v>
      </c>
      <c r="CV95" s="215">
        <f t="shared" si="175"/>
        <v>0</v>
      </c>
      <c r="CW95" s="215">
        <f>ROUND($BY95-SUMIFS($AA95:$BJ95, $AA$3:$BJ$3, $BY$3), rounding)</f>
        <v>0</v>
      </c>
      <c r="CX95" s="215">
        <f>ROUND($BZ95-SUMIFS($AA95:$BJ95, $AA$3:$BJ$3, $BZ$3), rounding)</f>
        <v>0</v>
      </c>
      <c r="CY95" s="215">
        <f>ROUND($CA95-SUMIFS($AA95:$BJ95, $AA$3:$BJ$3, $CA$3), rounding)</f>
        <v>0</v>
      </c>
      <c r="CZ95" s="215">
        <f>ROUND($V95-$BX95, rounding)</f>
        <v>0</v>
      </c>
      <c r="DT95" s="11"/>
      <c r="DU95" s="4">
        <v>1</v>
      </c>
      <c r="DV95">
        <v>1</v>
      </c>
      <c r="DW95" s="11"/>
      <c r="EY95" s="10" t="str">
        <f t="shared" si="165"/>
        <v>Other Government Support</v>
      </c>
    </row>
    <row r="96" spans="1:155" x14ac:dyDescent="0.35">
      <c r="A96" s="220" cm="1">
        <f t="array" aca="1" ref="A96" ca="1">HYPERLINK("#"&amp;IFERROR(CELL("address",IF(MAX($CM96:$CS96)=0,A96,INDEX($CM96:$CS96,MATCH(1,$CM96:$CS96,0)))),CELL("address",$V96:$CI96)),IFERROR(MAX($CM96:$CS96),1))</f>
        <v>0</v>
      </c>
      <c r="C96" s="213" t="str">
        <f>CONCATENATE("M-", 'I&amp;E Annual'!C96)</f>
        <v>M-IE-1i</v>
      </c>
      <c r="D96" s="61" t="s">
        <v>396</v>
      </c>
      <c r="E96" s="5"/>
      <c r="G96" s="5"/>
      <c r="H96" s="5" t="s">
        <v>317</v>
      </c>
      <c r="V96" s="12">
        <f>SUM(V93:V95)</f>
        <v>0</v>
      </c>
      <c r="W96" s="12">
        <f>SUM(W93:W95)</f>
        <v>0</v>
      </c>
      <c r="X96" s="12">
        <f>SUM(X93:X95)</f>
        <v>0</v>
      </c>
      <c r="Y96" s="12">
        <f>SUM(Y93:Y95)</f>
        <v>0</v>
      </c>
      <c r="AA96" s="12">
        <f t="shared" ref="AA96:BJ96" si="176">SUM(AA93:AA95)</f>
        <v>0</v>
      </c>
      <c r="AB96" s="12">
        <f t="shared" si="176"/>
        <v>0</v>
      </c>
      <c r="AC96" s="12">
        <f t="shared" si="176"/>
        <v>0</v>
      </c>
      <c r="AD96" s="12">
        <f t="shared" si="176"/>
        <v>0</v>
      </c>
      <c r="AE96" s="12">
        <f t="shared" si="176"/>
        <v>0</v>
      </c>
      <c r="AF96" s="12">
        <f t="shared" si="176"/>
        <v>0</v>
      </c>
      <c r="AG96" s="12">
        <f t="shared" si="176"/>
        <v>0</v>
      </c>
      <c r="AH96" s="12">
        <f t="shared" si="176"/>
        <v>0</v>
      </c>
      <c r="AI96" s="12">
        <f t="shared" si="176"/>
        <v>0</v>
      </c>
      <c r="AJ96" s="12">
        <f t="shared" si="176"/>
        <v>0</v>
      </c>
      <c r="AK96" s="12">
        <f t="shared" si="176"/>
        <v>0</v>
      </c>
      <c r="AL96" s="12">
        <f t="shared" si="176"/>
        <v>0</v>
      </c>
      <c r="AM96" s="12">
        <f t="shared" si="176"/>
        <v>0</v>
      </c>
      <c r="AN96" s="12">
        <f t="shared" si="176"/>
        <v>0</v>
      </c>
      <c r="AO96" s="12">
        <f t="shared" si="176"/>
        <v>0</v>
      </c>
      <c r="AP96" s="12">
        <f t="shared" si="176"/>
        <v>0</v>
      </c>
      <c r="AQ96" s="12">
        <f t="shared" si="176"/>
        <v>0</v>
      </c>
      <c r="AR96" s="12">
        <f t="shared" si="176"/>
        <v>0</v>
      </c>
      <c r="AS96" s="12">
        <f t="shared" si="176"/>
        <v>0</v>
      </c>
      <c r="AT96" s="12">
        <f t="shared" si="176"/>
        <v>0</v>
      </c>
      <c r="AU96" s="12">
        <f t="shared" si="176"/>
        <v>0</v>
      </c>
      <c r="AV96" s="12">
        <f t="shared" si="176"/>
        <v>0</v>
      </c>
      <c r="AW96" s="12">
        <f t="shared" si="176"/>
        <v>0</v>
      </c>
      <c r="AX96" s="12">
        <f t="shared" si="176"/>
        <v>0</v>
      </c>
      <c r="AY96" s="12">
        <f t="shared" si="176"/>
        <v>0</v>
      </c>
      <c r="AZ96" s="12">
        <f t="shared" si="176"/>
        <v>0</v>
      </c>
      <c r="BA96" s="12">
        <f t="shared" si="176"/>
        <v>0</v>
      </c>
      <c r="BB96" s="12">
        <f t="shared" si="176"/>
        <v>0</v>
      </c>
      <c r="BC96" s="12">
        <f t="shared" si="176"/>
        <v>0</v>
      </c>
      <c r="BD96" s="12">
        <f t="shared" si="176"/>
        <v>0</v>
      </c>
      <c r="BE96" s="12">
        <f t="shared" si="176"/>
        <v>0</v>
      </c>
      <c r="BF96" s="12">
        <f t="shared" si="176"/>
        <v>0</v>
      </c>
      <c r="BG96" s="12">
        <f t="shared" si="176"/>
        <v>0</v>
      </c>
      <c r="BH96" s="12">
        <f t="shared" si="176"/>
        <v>0</v>
      </c>
      <c r="BI96" s="12">
        <f t="shared" si="176"/>
        <v>0</v>
      </c>
      <c r="BJ96" s="12">
        <f t="shared" si="176"/>
        <v>0</v>
      </c>
      <c r="BX96" s="12">
        <f t="shared" ref="BX96:CI96" si="177">SUM(BX93:BX95)</f>
        <v>0</v>
      </c>
      <c r="BY96" s="12">
        <f t="shared" si="177"/>
        <v>0</v>
      </c>
      <c r="BZ96" s="12">
        <f t="shared" si="177"/>
        <v>0</v>
      </c>
      <c r="CA96" s="12">
        <f t="shared" si="177"/>
        <v>0</v>
      </c>
      <c r="CB96" s="12">
        <f t="shared" si="177"/>
        <v>0</v>
      </c>
      <c r="CC96" s="12">
        <f t="shared" si="177"/>
        <v>0</v>
      </c>
      <c r="CD96" s="12">
        <f t="shared" si="177"/>
        <v>0</v>
      </c>
      <c r="CE96" s="12">
        <f t="shared" si="177"/>
        <v>0</v>
      </c>
      <c r="CF96" s="12">
        <f t="shared" si="177"/>
        <v>0</v>
      </c>
      <c r="CG96" s="12">
        <f t="shared" si="177"/>
        <v>0</v>
      </c>
      <c r="CH96" s="12">
        <f t="shared" si="177"/>
        <v>0</v>
      </c>
      <c r="CI96" s="12">
        <f t="shared" si="177"/>
        <v>0</v>
      </c>
      <c r="CK96" s="11"/>
      <c r="CL96" s="241">
        <f>IF(MIN($V96:$CI96)&lt;0, 1, 0)</f>
        <v>0</v>
      </c>
      <c r="CM96" s="11"/>
      <c r="CP96" s="7">
        <f>IF(SUM($CT96:$CV96)=0, 0, 1)</f>
        <v>0</v>
      </c>
      <c r="CQ96" s="7">
        <f>IF(SUM($CW96:$CY96)=0, 0, 1)</f>
        <v>0</v>
      </c>
      <c r="CR96" s="7">
        <f>IF($CZ96=0, 0, 1)</f>
        <v>0</v>
      </c>
      <c r="CS96" s="11"/>
      <c r="CT96" s="215">
        <f t="shared" si="175"/>
        <v>0</v>
      </c>
      <c r="CU96" s="215">
        <f t="shared" si="175"/>
        <v>0</v>
      </c>
      <c r="CV96" s="215">
        <f t="shared" si="175"/>
        <v>0</v>
      </c>
      <c r="CW96" s="215">
        <f>ROUND($BY96-SUMIFS($AA96:$BJ96, $AA$3:$BJ$3, $BY$3), rounding)</f>
        <v>0</v>
      </c>
      <c r="CX96" s="215">
        <f>ROUND($BZ96-SUMIFS($AA96:$BJ96, $AA$3:$BJ$3, $BZ$3), rounding)</f>
        <v>0</v>
      </c>
      <c r="CY96" s="215">
        <f>ROUND($CA96-SUMIFS($AA96:$BJ96, $AA$3:$BJ$3, $CA$3), rounding)</f>
        <v>0</v>
      </c>
      <c r="CZ96" s="215">
        <f>ROUND($V96-$BX96, rounding)</f>
        <v>0</v>
      </c>
      <c r="DT96" s="11"/>
      <c r="DU96">
        <v>0</v>
      </c>
      <c r="DV96">
        <v>0</v>
      </c>
      <c r="DW96" s="11"/>
      <c r="EY96" s="10" t="str">
        <f t="shared" si="165"/>
        <v>Total Funding Support</v>
      </c>
    </row>
    <row r="97" spans="1:155" ht="6.75" customHeight="1" x14ac:dyDescent="0.35">
      <c r="C97" s="213"/>
      <c r="BY97" s="6"/>
      <c r="CK97" s="35"/>
      <c r="CM97" s="35"/>
      <c r="CS97" s="35"/>
      <c r="DT97" s="35"/>
      <c r="DU97">
        <v>0</v>
      </c>
      <c r="DV97">
        <v>0</v>
      </c>
      <c r="DW97" s="35"/>
      <c r="EY97" s="10" t="str">
        <f t="shared" si="165"/>
        <v/>
      </c>
    </row>
    <row r="98" spans="1:155" ht="29" x14ac:dyDescent="0.35">
      <c r="A98" s="220" cm="1">
        <f t="array" aca="1" ref="A98" ca="1">HYPERLINK("#"&amp;IFERROR(CELL("address",IF(MAX($CM98:$CS98)=0,A98,INDEX($CM98:$CS98,MATCH(1,$CM98:$CS98,0)))),CELL("address",$V98:$CI98)),IFERROR(MAX($CM98:$CS98),1))</f>
        <v>0</v>
      </c>
      <c r="B98" s="126" t="s">
        <v>122</v>
      </c>
      <c r="C98" s="213" t="str">
        <f>CONCATENATE("M-", 'I&amp;E Annual'!C98)</f>
        <v>M-IE-1j-1</v>
      </c>
      <c r="D98" s="57" t="s">
        <v>397</v>
      </c>
      <c r="H98" t="s">
        <v>317</v>
      </c>
      <c r="V98" s="109"/>
      <c r="W98" s="133">
        <f xml:space="preserve"> SUMIFS($AA98:$BJ98, $AA$3:$BJ$3, W$3)</f>
        <v>0</v>
      </c>
      <c r="X98" s="133">
        <f xml:space="preserve"> SUMIFS($AA98:$BJ98, $AA$3:$BJ$3, X$3)</f>
        <v>0</v>
      </c>
      <c r="Y98" s="133">
        <f xml:space="preserve"> SUMIFS($AA98:$BJ98, $AA$3:$BJ$3, Y$3)</f>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X98" s="10">
        <f>V98</f>
        <v>0</v>
      </c>
      <c r="BY98" s="10">
        <f>W98</f>
        <v>0</v>
      </c>
      <c r="BZ98" s="10">
        <f>X98</f>
        <v>0</v>
      </c>
      <c r="CA98" s="10">
        <f>Y98</f>
        <v>0</v>
      </c>
      <c r="CB98" s="109"/>
      <c r="CC98" s="109"/>
      <c r="CD98" s="109"/>
      <c r="CE98" s="109"/>
      <c r="CF98" s="109"/>
      <c r="CG98" s="109"/>
      <c r="CH98" s="109"/>
      <c r="CI98" s="109"/>
      <c r="CK98" s="11"/>
      <c r="CL98" s="241">
        <f>IF(MIN($V98:$CI98)&lt;0, 1, 0)</f>
        <v>0</v>
      </c>
      <c r="CM98" s="11"/>
      <c r="CO98" s="7" cm="1">
        <f t="array" ref="CO98">SUMPRODUCT(--NOT(ISNUMBER(V98:CI98)),--NOT(ISBLANK(V98:CI98)))</f>
        <v>0</v>
      </c>
      <c r="CP98" s="7">
        <f>IF(SUM($CT98:$CV98)=0, 0, 1)</f>
        <v>0</v>
      </c>
      <c r="CQ98" s="7">
        <f>IF(SUM($CW98:$CY98)=0, 0, 1)</f>
        <v>0</v>
      </c>
      <c r="CR98" s="7">
        <f>IF($CZ98=0, 0, 1)</f>
        <v>0</v>
      </c>
      <c r="CS98" s="11"/>
      <c r="CT98" s="215">
        <f t="shared" ref="CT98:CV100" si="178">ROUND(W98-SUMIFS($AA98:$BJ98, $AA$3:$BJ$3, W$3), rounding)</f>
        <v>0</v>
      </c>
      <c r="CU98" s="215">
        <f t="shared" si="178"/>
        <v>0</v>
      </c>
      <c r="CV98" s="215">
        <f t="shared" si="178"/>
        <v>0</v>
      </c>
      <c r="CW98" s="215">
        <f>ROUND($BY98-SUMIFS($AA98:$BJ98, $AA$3:$BJ$3, $BY$3), rounding)</f>
        <v>0</v>
      </c>
      <c r="CX98" s="215">
        <f>ROUND($BZ98-SUMIFS($AA98:$BJ98, $AA$3:$BJ$3, $BZ$3), rounding)</f>
        <v>0</v>
      </c>
      <c r="CY98" s="215">
        <f>ROUND($CA98-SUMIFS($AA98:$BJ98, $AA$3:$BJ$3, $CA$3), rounding)</f>
        <v>0</v>
      </c>
      <c r="CZ98" s="215">
        <f>ROUND($V98-$BX98, rounding)</f>
        <v>0</v>
      </c>
      <c r="DT98" s="11"/>
      <c r="DU98" s="4">
        <v>1</v>
      </c>
      <c r="DV98">
        <v>1</v>
      </c>
      <c r="DW98" s="11"/>
      <c r="EY98" s="10" t="str">
        <f t="shared" si="165"/>
        <v>Non-cash accounting receipts or non-exchange transactions (gifts) excl. donated assets</v>
      </c>
    </row>
    <row r="99" spans="1:155" ht="49.5" customHeight="1" x14ac:dyDescent="0.35">
      <c r="A99" s="220" cm="1">
        <f t="array" aca="1" ref="A99" ca="1">HYPERLINK("#"&amp;IFERROR(CELL("address",IF(MAX($CM99:$CS99)=0,A99,INDEX($CM99:$CS99,MATCH(1,$CM99:$CS99,0)))),CELL("address",$V99:$CI99)),IFERROR(MAX($CM99:$CS99),1))</f>
        <v>0</v>
      </c>
      <c r="C99" s="213" t="str">
        <f>CONCATENATE("M-", 'I&amp;E Annual'!C99)</f>
        <v>M-IE-1j-2</v>
      </c>
      <c r="D99" s="57" t="s">
        <v>398</v>
      </c>
      <c r="E99" s="630" t="str" cm="1">
        <f t="array" aca="1" ref="E99" ca="1">HYPERLINK(CONCATENATE("#",CELL("address",'Investing Inputs'!$D$39)),'Investing Inputs'!$D$39)</f>
        <v>Total Capital Expenditure Donations</v>
      </c>
      <c r="H99" t="s">
        <v>317</v>
      </c>
      <c r="V99" s="10">
        <f>'Investing Inputs'!V39</f>
        <v>0</v>
      </c>
      <c r="W99" s="10">
        <f>'Investing Inputs'!W39</f>
        <v>0</v>
      </c>
      <c r="X99" s="10">
        <f>'Investing Inputs'!X39</f>
        <v>0</v>
      </c>
      <c r="Y99" s="10">
        <f>'Investing Inputs'!Y39</f>
        <v>0</v>
      </c>
      <c r="AA99" s="10">
        <f>'Investing Inputs'!AA39</f>
        <v>0</v>
      </c>
      <c r="AB99" s="10">
        <f>'Investing Inputs'!AB39</f>
        <v>0</v>
      </c>
      <c r="AC99" s="10">
        <f>'Investing Inputs'!AC39</f>
        <v>0</v>
      </c>
      <c r="AD99" s="10">
        <f>'Investing Inputs'!AD39</f>
        <v>0</v>
      </c>
      <c r="AE99" s="10">
        <f>'Investing Inputs'!AE39</f>
        <v>0</v>
      </c>
      <c r="AF99" s="10">
        <f>'Investing Inputs'!AF39</f>
        <v>0</v>
      </c>
      <c r="AG99" s="10">
        <f>'Investing Inputs'!AG39</f>
        <v>0</v>
      </c>
      <c r="AH99" s="10">
        <f>'Investing Inputs'!AH39</f>
        <v>0</v>
      </c>
      <c r="AI99" s="10">
        <f>'Investing Inputs'!AI39</f>
        <v>0</v>
      </c>
      <c r="AJ99" s="10">
        <f>'Investing Inputs'!AJ39</f>
        <v>0</v>
      </c>
      <c r="AK99" s="10">
        <f>'Investing Inputs'!AK39</f>
        <v>0</v>
      </c>
      <c r="AL99" s="10">
        <f>'Investing Inputs'!AL39</f>
        <v>0</v>
      </c>
      <c r="AM99" s="10">
        <f>'Investing Inputs'!AM39</f>
        <v>0</v>
      </c>
      <c r="AN99" s="10">
        <f>'Investing Inputs'!AN39</f>
        <v>0</v>
      </c>
      <c r="AO99" s="10">
        <f>'Investing Inputs'!AO39</f>
        <v>0</v>
      </c>
      <c r="AP99" s="10">
        <f>'Investing Inputs'!AP39</f>
        <v>0</v>
      </c>
      <c r="AQ99" s="10">
        <f>'Investing Inputs'!AQ39</f>
        <v>0</v>
      </c>
      <c r="AR99" s="10">
        <f>'Investing Inputs'!AR39</f>
        <v>0</v>
      </c>
      <c r="AS99" s="10">
        <f>'Investing Inputs'!AS39</f>
        <v>0</v>
      </c>
      <c r="AT99" s="10">
        <f>'Investing Inputs'!AT39</f>
        <v>0</v>
      </c>
      <c r="AU99" s="10">
        <f>'Investing Inputs'!AU39</f>
        <v>0</v>
      </c>
      <c r="AV99" s="10">
        <f>'Investing Inputs'!AV39</f>
        <v>0</v>
      </c>
      <c r="AW99" s="10">
        <f>'Investing Inputs'!AW39</f>
        <v>0</v>
      </c>
      <c r="AX99" s="10">
        <f>'Investing Inputs'!AX39</f>
        <v>0</v>
      </c>
      <c r="AY99" s="10">
        <f>'Investing Inputs'!AY39</f>
        <v>0</v>
      </c>
      <c r="AZ99" s="10">
        <f>'Investing Inputs'!AZ39</f>
        <v>0</v>
      </c>
      <c r="BA99" s="10">
        <f>'Investing Inputs'!BA39</f>
        <v>0</v>
      </c>
      <c r="BB99" s="10">
        <f>'Investing Inputs'!BB39</f>
        <v>0</v>
      </c>
      <c r="BC99" s="10">
        <f>'Investing Inputs'!BC39</f>
        <v>0</v>
      </c>
      <c r="BD99" s="10">
        <f>'Investing Inputs'!BD39</f>
        <v>0</v>
      </c>
      <c r="BE99" s="10">
        <f>'Investing Inputs'!BE39</f>
        <v>0</v>
      </c>
      <c r="BF99" s="10">
        <f>'Investing Inputs'!BF39</f>
        <v>0</v>
      </c>
      <c r="BG99" s="10">
        <f>'Investing Inputs'!BG39</f>
        <v>0</v>
      </c>
      <c r="BH99" s="10">
        <f>'Investing Inputs'!BH39</f>
        <v>0</v>
      </c>
      <c r="BI99" s="10">
        <f>'Investing Inputs'!BI39</f>
        <v>0</v>
      </c>
      <c r="BJ99" s="10">
        <f>'Investing Inputs'!BJ39</f>
        <v>0</v>
      </c>
      <c r="BX99" s="10">
        <f>'Investing Inputs'!BX39</f>
        <v>0</v>
      </c>
      <c r="BY99" s="10">
        <f>'Investing Inputs'!BY39</f>
        <v>0</v>
      </c>
      <c r="BZ99" s="10">
        <f>'Investing Inputs'!BZ39</f>
        <v>0</v>
      </c>
      <c r="CA99" s="10">
        <f>'Investing Inputs'!CA39</f>
        <v>0</v>
      </c>
      <c r="CB99" s="10">
        <f>'Investing Inputs'!CB39</f>
        <v>0</v>
      </c>
      <c r="CC99" s="10">
        <f>'Investing Inputs'!CC39</f>
        <v>0</v>
      </c>
      <c r="CD99" s="10">
        <f>'Investing Inputs'!CD39</f>
        <v>0</v>
      </c>
      <c r="CE99" s="10">
        <f>'Investing Inputs'!CE39</f>
        <v>0</v>
      </c>
      <c r="CF99" s="10">
        <f>'Investing Inputs'!CF39</f>
        <v>0</v>
      </c>
      <c r="CG99" s="10">
        <f>'Investing Inputs'!CG39</f>
        <v>0</v>
      </c>
      <c r="CH99" s="10">
        <f>'Investing Inputs'!CH39</f>
        <v>0</v>
      </c>
      <c r="CI99" s="10">
        <f>'Investing Inputs'!CI39</f>
        <v>0</v>
      </c>
      <c r="CK99" s="11"/>
      <c r="CL99" s="241">
        <f>IF(MIN($V99:$CI99)&lt;0, 1, 0)</f>
        <v>0</v>
      </c>
      <c r="CM99" s="11"/>
      <c r="CP99" s="7">
        <f>IF(SUM($CT99:$CV99)=0, 0, 1)</f>
        <v>0</v>
      </c>
      <c r="CQ99" s="7">
        <f>IF(SUM($CW99:$CY99)=0, 0, 1)</f>
        <v>0</v>
      </c>
      <c r="CR99" s="7">
        <f>IF($CZ99=0, 0, 1)</f>
        <v>0</v>
      </c>
      <c r="CS99" s="11"/>
      <c r="CT99" s="215">
        <f t="shared" si="178"/>
        <v>0</v>
      </c>
      <c r="CU99" s="215">
        <f t="shared" si="178"/>
        <v>0</v>
      </c>
      <c r="CV99" s="215">
        <f t="shared" si="178"/>
        <v>0</v>
      </c>
      <c r="CW99" s="215">
        <f>ROUND($BY99-SUMIFS($AA99:$BJ99, $AA$3:$BJ$3, $BY$3), rounding)</f>
        <v>0</v>
      </c>
      <c r="CX99" s="215">
        <f>ROUND($BZ99-SUMIFS($AA99:$BJ99, $AA$3:$BJ$3, $BZ$3), rounding)</f>
        <v>0</v>
      </c>
      <c r="CY99" s="215">
        <f>ROUND($CA99-SUMIFS($AA99:$BJ99, $AA$3:$BJ$3, $CA$3), rounding)</f>
        <v>0</v>
      </c>
      <c r="CZ99" s="215">
        <f>ROUND($V99-$BX99, rounding)</f>
        <v>0</v>
      </c>
      <c r="DT99" s="11"/>
      <c r="DU99">
        <v>0</v>
      </c>
      <c r="DV99">
        <v>0</v>
      </c>
      <c r="DW99" s="11"/>
      <c r="EY99" s="10" t="str">
        <f t="shared" si="165"/>
        <v>Donated Assets</v>
      </c>
    </row>
    <row r="100" spans="1:155" x14ac:dyDescent="0.35">
      <c r="A100" s="220" cm="1">
        <f t="array" aca="1" ref="A100" ca="1">HYPERLINK("#"&amp;IFERROR(CELL("address",IF(MAX($CM100:$CS100)=0,A100,INDEX($CM100:$CS100,MATCH(1,$CM100:$CS100,0)))),CELL("address",$V100:$CI100)),IFERROR(MAX($CM100:$CS100),1))</f>
        <v>0</v>
      </c>
      <c r="C100" s="213" t="str">
        <f>CONCATENATE("M-", 'I&amp;E Annual'!C100)</f>
        <v>M-IE-1j</v>
      </c>
      <c r="D100" s="61" t="s">
        <v>399</v>
      </c>
      <c r="H100" t="s">
        <v>317</v>
      </c>
      <c r="V100" s="12">
        <f>SUM(V98:V99)</f>
        <v>0</v>
      </c>
      <c r="W100" s="12">
        <f>SUM(W98:W99)</f>
        <v>0</v>
      </c>
      <c r="X100" s="12">
        <f>SUM(X98:X99)</f>
        <v>0</v>
      </c>
      <c r="Y100" s="12">
        <f>SUM(Y98:Y99)</f>
        <v>0</v>
      </c>
      <c r="AA100" s="12">
        <f t="shared" ref="AA100:BJ100" si="179">SUM(AA98:AA99)</f>
        <v>0</v>
      </c>
      <c r="AB100" s="12">
        <f t="shared" si="179"/>
        <v>0</v>
      </c>
      <c r="AC100" s="12">
        <f t="shared" si="179"/>
        <v>0</v>
      </c>
      <c r="AD100" s="12">
        <f t="shared" si="179"/>
        <v>0</v>
      </c>
      <c r="AE100" s="12">
        <f t="shared" si="179"/>
        <v>0</v>
      </c>
      <c r="AF100" s="12">
        <f t="shared" si="179"/>
        <v>0</v>
      </c>
      <c r="AG100" s="12">
        <f t="shared" si="179"/>
        <v>0</v>
      </c>
      <c r="AH100" s="12">
        <f t="shared" si="179"/>
        <v>0</v>
      </c>
      <c r="AI100" s="12">
        <f t="shared" si="179"/>
        <v>0</v>
      </c>
      <c r="AJ100" s="12">
        <f t="shared" si="179"/>
        <v>0</v>
      </c>
      <c r="AK100" s="12">
        <f t="shared" si="179"/>
        <v>0</v>
      </c>
      <c r="AL100" s="12">
        <f t="shared" si="179"/>
        <v>0</v>
      </c>
      <c r="AM100" s="12">
        <f t="shared" si="179"/>
        <v>0</v>
      </c>
      <c r="AN100" s="12">
        <f t="shared" si="179"/>
        <v>0</v>
      </c>
      <c r="AO100" s="12">
        <f t="shared" si="179"/>
        <v>0</v>
      </c>
      <c r="AP100" s="12">
        <f t="shared" si="179"/>
        <v>0</v>
      </c>
      <c r="AQ100" s="12">
        <f t="shared" si="179"/>
        <v>0</v>
      </c>
      <c r="AR100" s="12">
        <f t="shared" si="179"/>
        <v>0</v>
      </c>
      <c r="AS100" s="12">
        <f t="shared" si="179"/>
        <v>0</v>
      </c>
      <c r="AT100" s="12">
        <f t="shared" si="179"/>
        <v>0</v>
      </c>
      <c r="AU100" s="12">
        <f t="shared" si="179"/>
        <v>0</v>
      </c>
      <c r="AV100" s="12">
        <f t="shared" si="179"/>
        <v>0</v>
      </c>
      <c r="AW100" s="12">
        <f t="shared" si="179"/>
        <v>0</v>
      </c>
      <c r="AX100" s="12">
        <f t="shared" si="179"/>
        <v>0</v>
      </c>
      <c r="AY100" s="12">
        <f t="shared" si="179"/>
        <v>0</v>
      </c>
      <c r="AZ100" s="12">
        <f t="shared" si="179"/>
        <v>0</v>
      </c>
      <c r="BA100" s="12">
        <f t="shared" si="179"/>
        <v>0</v>
      </c>
      <c r="BB100" s="12">
        <f t="shared" si="179"/>
        <v>0</v>
      </c>
      <c r="BC100" s="12">
        <f t="shared" si="179"/>
        <v>0</v>
      </c>
      <c r="BD100" s="12">
        <f t="shared" si="179"/>
        <v>0</v>
      </c>
      <c r="BE100" s="12">
        <f t="shared" si="179"/>
        <v>0</v>
      </c>
      <c r="BF100" s="12">
        <f t="shared" si="179"/>
        <v>0</v>
      </c>
      <c r="BG100" s="12">
        <f t="shared" si="179"/>
        <v>0</v>
      </c>
      <c r="BH100" s="12">
        <f t="shared" si="179"/>
        <v>0</v>
      </c>
      <c r="BI100" s="12">
        <f t="shared" si="179"/>
        <v>0</v>
      </c>
      <c r="BJ100" s="12">
        <f t="shared" si="179"/>
        <v>0</v>
      </c>
      <c r="BX100" s="12">
        <f t="shared" ref="BX100:CI100" si="180">SUM(BX98:BX99)</f>
        <v>0</v>
      </c>
      <c r="BY100" s="12">
        <f t="shared" si="180"/>
        <v>0</v>
      </c>
      <c r="BZ100" s="12">
        <f t="shared" si="180"/>
        <v>0</v>
      </c>
      <c r="CA100" s="12">
        <f t="shared" si="180"/>
        <v>0</v>
      </c>
      <c r="CB100" s="12">
        <f t="shared" si="180"/>
        <v>0</v>
      </c>
      <c r="CC100" s="12">
        <f t="shared" si="180"/>
        <v>0</v>
      </c>
      <c r="CD100" s="12">
        <f t="shared" si="180"/>
        <v>0</v>
      </c>
      <c r="CE100" s="12">
        <f t="shared" si="180"/>
        <v>0</v>
      </c>
      <c r="CF100" s="12">
        <f t="shared" si="180"/>
        <v>0</v>
      </c>
      <c r="CG100" s="12">
        <f t="shared" si="180"/>
        <v>0</v>
      </c>
      <c r="CH100" s="12">
        <f t="shared" si="180"/>
        <v>0</v>
      </c>
      <c r="CI100" s="12">
        <f t="shared" si="180"/>
        <v>0</v>
      </c>
      <c r="CK100" s="11"/>
      <c r="CL100" s="241">
        <f>IF(MIN($V100:$CI100)&lt;0, 1, 0)</f>
        <v>0</v>
      </c>
      <c r="CM100" s="11"/>
      <c r="CP100" s="7">
        <f>IF(SUM($CT100:$CV100)=0, 0, 1)</f>
        <v>0</v>
      </c>
      <c r="CQ100" s="7">
        <f>IF(SUM($CW100:$CY100)=0, 0, 1)</f>
        <v>0</v>
      </c>
      <c r="CR100" s="7">
        <f>IF($CZ100=0, 0, 1)</f>
        <v>0</v>
      </c>
      <c r="CS100" s="11"/>
      <c r="CT100" s="215">
        <f t="shared" si="178"/>
        <v>0</v>
      </c>
      <c r="CU100" s="215">
        <f t="shared" si="178"/>
        <v>0</v>
      </c>
      <c r="CV100" s="215">
        <f t="shared" si="178"/>
        <v>0</v>
      </c>
      <c r="CW100" s="215">
        <f>ROUND($BY100-SUMIFS($AA100:$BJ100, $AA$3:$BJ$3, $BY$3), rounding)</f>
        <v>0</v>
      </c>
      <c r="CX100" s="215">
        <f>ROUND($BZ100-SUMIFS($AA100:$BJ100, $AA$3:$BJ$3, $BZ$3), rounding)</f>
        <v>0</v>
      </c>
      <c r="CY100" s="215">
        <f>ROUND($CA100-SUMIFS($AA100:$BJ100, $AA$3:$BJ$3, $CA$3), rounding)</f>
        <v>0</v>
      </c>
      <c r="CZ100" s="215">
        <f>ROUND($V100-$BX100, rounding)</f>
        <v>0</v>
      </c>
      <c r="DT100" s="11"/>
      <c r="DU100">
        <v>0</v>
      </c>
      <c r="DV100">
        <v>0</v>
      </c>
      <c r="DW100" s="11"/>
      <c r="EY100" s="10" t="str">
        <f t="shared" si="165"/>
        <v>Total gifts and donated assets</v>
      </c>
    </row>
    <row r="101" spans="1:155" ht="6.75" customHeight="1" x14ac:dyDescent="0.35">
      <c r="C101" s="213"/>
      <c r="CK101" s="35"/>
      <c r="CM101" s="35"/>
      <c r="CS101" s="35"/>
      <c r="DT101" s="35"/>
      <c r="DU101">
        <v>0</v>
      </c>
      <c r="DV101">
        <v>0</v>
      </c>
      <c r="DW101" s="35"/>
      <c r="EY101" s="10" t="str">
        <f t="shared" si="165"/>
        <v/>
      </c>
    </row>
    <row r="102" spans="1:155" x14ac:dyDescent="0.35">
      <c r="A102" s="220" cm="1">
        <f t="array" aca="1" ref="A102" ca="1">HYPERLINK("#"&amp;IFERROR(CELL("address",IF(MAX($CM102:$CS102)=0,A102,INDEX($CM102:$CS102,MATCH(1,$CM102:$CS102,0)))),CELL("address",$V102:$CI102)),IFERROR(MAX($CM102:$CS102),1))</f>
        <v>0</v>
      </c>
      <c r="C102" s="213" t="str">
        <f>CONCATENATE("M-", 'I&amp;E Annual'!C102)</f>
        <v>M-IE-1</v>
      </c>
      <c r="D102" s="61" t="s">
        <v>400</v>
      </c>
      <c r="E102" s="5"/>
      <c r="G102" s="5"/>
      <c r="V102" s="12">
        <f>V13+V23+V29+V38+V46+V53+V60+V74+V85+V90+V96+V100</f>
        <v>0</v>
      </c>
      <c r="W102" s="12">
        <f t="shared" ref="W102:BJ102" si="181">W13+W23+W29+W38+W46+W53+W60+W74+W85+W90+W96+W100</f>
        <v>0</v>
      </c>
      <c r="X102" s="12">
        <f t="shared" si="181"/>
        <v>0</v>
      </c>
      <c r="Y102" s="12">
        <f t="shared" si="181"/>
        <v>0</v>
      </c>
      <c r="AA102" s="12">
        <f t="shared" si="181"/>
        <v>0</v>
      </c>
      <c r="AB102" s="12">
        <f t="shared" si="181"/>
        <v>0</v>
      </c>
      <c r="AC102" s="12">
        <f t="shared" si="181"/>
        <v>0</v>
      </c>
      <c r="AD102" s="12">
        <f t="shared" si="181"/>
        <v>0</v>
      </c>
      <c r="AE102" s="12">
        <f t="shared" si="181"/>
        <v>0</v>
      </c>
      <c r="AF102" s="12">
        <f t="shared" si="181"/>
        <v>0</v>
      </c>
      <c r="AG102" s="12">
        <f t="shared" si="181"/>
        <v>0</v>
      </c>
      <c r="AH102" s="12">
        <f t="shared" si="181"/>
        <v>0</v>
      </c>
      <c r="AI102" s="12">
        <f t="shared" si="181"/>
        <v>0</v>
      </c>
      <c r="AJ102" s="12">
        <f t="shared" si="181"/>
        <v>0</v>
      </c>
      <c r="AK102" s="12">
        <f t="shared" si="181"/>
        <v>0</v>
      </c>
      <c r="AL102" s="12">
        <f t="shared" si="181"/>
        <v>0</v>
      </c>
      <c r="AM102" s="12">
        <f t="shared" si="181"/>
        <v>0</v>
      </c>
      <c r="AN102" s="12">
        <f t="shared" si="181"/>
        <v>0</v>
      </c>
      <c r="AO102" s="12">
        <f t="shared" si="181"/>
        <v>0</v>
      </c>
      <c r="AP102" s="12">
        <f t="shared" si="181"/>
        <v>0</v>
      </c>
      <c r="AQ102" s="12">
        <f t="shared" si="181"/>
        <v>0</v>
      </c>
      <c r="AR102" s="12">
        <f t="shared" si="181"/>
        <v>0</v>
      </c>
      <c r="AS102" s="12">
        <f t="shared" si="181"/>
        <v>0</v>
      </c>
      <c r="AT102" s="12">
        <f t="shared" si="181"/>
        <v>0</v>
      </c>
      <c r="AU102" s="12">
        <f t="shared" si="181"/>
        <v>0</v>
      </c>
      <c r="AV102" s="12">
        <f t="shared" si="181"/>
        <v>0</v>
      </c>
      <c r="AW102" s="12">
        <f t="shared" si="181"/>
        <v>0</v>
      </c>
      <c r="AX102" s="12">
        <f t="shared" si="181"/>
        <v>0</v>
      </c>
      <c r="AY102" s="12">
        <f t="shared" si="181"/>
        <v>0</v>
      </c>
      <c r="AZ102" s="12">
        <f t="shared" si="181"/>
        <v>0</v>
      </c>
      <c r="BA102" s="12">
        <f t="shared" si="181"/>
        <v>0</v>
      </c>
      <c r="BB102" s="12">
        <f t="shared" si="181"/>
        <v>0</v>
      </c>
      <c r="BC102" s="12">
        <f t="shared" si="181"/>
        <v>0</v>
      </c>
      <c r="BD102" s="12">
        <f t="shared" si="181"/>
        <v>0</v>
      </c>
      <c r="BE102" s="12">
        <f t="shared" si="181"/>
        <v>0</v>
      </c>
      <c r="BF102" s="12">
        <f t="shared" si="181"/>
        <v>0</v>
      </c>
      <c r="BG102" s="12">
        <f t="shared" si="181"/>
        <v>0</v>
      </c>
      <c r="BH102" s="12">
        <f t="shared" si="181"/>
        <v>0</v>
      </c>
      <c r="BI102" s="12">
        <f t="shared" si="181"/>
        <v>0</v>
      </c>
      <c r="BJ102" s="12">
        <f t="shared" si="181"/>
        <v>0</v>
      </c>
      <c r="BX102" s="12">
        <f t="shared" ref="BX102:CI102" si="182">BX13+BX23+BX29+BX38+BX46+BX53+BX60+BX74+BX85+BX90+BX96+BX100</f>
        <v>0</v>
      </c>
      <c r="BY102" s="12">
        <f t="shared" si="182"/>
        <v>0</v>
      </c>
      <c r="BZ102" s="12">
        <f t="shared" si="182"/>
        <v>0</v>
      </c>
      <c r="CA102" s="12">
        <f t="shared" si="182"/>
        <v>0</v>
      </c>
      <c r="CB102" s="12">
        <f t="shared" si="182"/>
        <v>0</v>
      </c>
      <c r="CC102" s="12">
        <f t="shared" si="182"/>
        <v>0</v>
      </c>
      <c r="CD102" s="12">
        <f t="shared" si="182"/>
        <v>0</v>
      </c>
      <c r="CE102" s="12">
        <f t="shared" si="182"/>
        <v>0</v>
      </c>
      <c r="CF102" s="12">
        <f t="shared" si="182"/>
        <v>0</v>
      </c>
      <c r="CG102" s="12">
        <f t="shared" si="182"/>
        <v>0</v>
      </c>
      <c r="CH102" s="12">
        <f t="shared" si="182"/>
        <v>0</v>
      </c>
      <c r="CI102" s="12">
        <f t="shared" si="182"/>
        <v>0</v>
      </c>
      <c r="CK102" s="11"/>
      <c r="CM102" s="11"/>
      <c r="CP102" s="7">
        <f>IF(SUM($CT102:$CV102)=0, 0, 1)</f>
        <v>0</v>
      </c>
      <c r="CQ102" s="7">
        <f>IF(SUM($CW102:$CY102)=0, 0, 1)</f>
        <v>0</v>
      </c>
      <c r="CR102" s="7">
        <f>IF($CZ102=0, 0, 1)</f>
        <v>0</v>
      </c>
      <c r="CS102" s="11"/>
      <c r="CT102" s="215">
        <f>ROUND(W102-SUMIFS($AA102:$BJ102, $AA$3:$BJ$3, W$3), rounding)</f>
        <v>0</v>
      </c>
      <c r="CU102" s="215">
        <f>ROUND(X102-SUMIFS($AA102:$BJ102, $AA$3:$BJ$3, X$3), rounding)</f>
        <v>0</v>
      </c>
      <c r="CV102" s="215">
        <f>ROUND(Y102-SUMIFS($AA102:$BJ102, $AA$3:$BJ$3, Y$3), rounding)</f>
        <v>0</v>
      </c>
      <c r="CW102" s="215">
        <f>ROUND($BY102-SUMIFS($AA102:$BJ102, $AA$3:$BJ$3, $BY$3), rounding)</f>
        <v>0</v>
      </c>
      <c r="CX102" s="215">
        <f>ROUND($BZ102-SUMIFS($AA102:$BJ102, $AA$3:$BJ$3, $BZ$3), rounding)</f>
        <v>0</v>
      </c>
      <c r="CY102" s="215">
        <f>ROUND($CA102-SUMIFS($AA102:$BJ102, $AA$3:$BJ$3, $CA$3), rounding)</f>
        <v>0</v>
      </c>
      <c r="CZ102" s="215">
        <f>ROUND($V102-$BX102, rounding)</f>
        <v>0</v>
      </c>
      <c r="DT102" s="11"/>
      <c r="DU102">
        <v>0</v>
      </c>
      <c r="DV102">
        <v>0</v>
      </c>
      <c r="DW102" s="11"/>
      <c r="EY102" s="10" t="str">
        <f t="shared" si="165"/>
        <v>Total Operating Income</v>
      </c>
    </row>
    <row r="103" spans="1:155" ht="11.65" customHeight="1" x14ac:dyDescent="0.35">
      <c r="C103" s="213"/>
      <c r="CK103" s="35"/>
      <c r="CM103" s="35"/>
      <c r="CS103" s="35"/>
      <c r="DT103" s="35"/>
      <c r="DU103">
        <v>0</v>
      </c>
      <c r="DV103">
        <v>0</v>
      </c>
      <c r="DW103" s="35"/>
      <c r="EY103" s="10" t="str">
        <f t="shared" si="165"/>
        <v/>
      </c>
    </row>
    <row r="104" spans="1:155" x14ac:dyDescent="0.35">
      <c r="B104" s="5"/>
      <c r="C104" s="213"/>
      <c r="D104" s="61" t="s">
        <v>401</v>
      </c>
      <c r="E104" s="5"/>
      <c r="CK104" s="11"/>
      <c r="CM104" s="11"/>
      <c r="CS104" s="11"/>
      <c r="DT104" s="11"/>
      <c r="DU104">
        <v>0</v>
      </c>
      <c r="DV104">
        <v>0</v>
      </c>
      <c r="DW104" s="11"/>
      <c r="EY104" s="10" t="str">
        <f t="shared" si="165"/>
        <v/>
      </c>
    </row>
    <row r="105" spans="1:155" x14ac:dyDescent="0.35">
      <c r="A105" s="220" cm="1">
        <f t="array" aca="1" ref="A105" ca="1">HYPERLINK("#"&amp;IFERROR(CELL("address",IF(MAX($CM105:$CS105)=0,A105,INDEX($CM105:$CS105,MATCH(1,$CM105:$CS105,0)))),CELL("address",$V105:$CI105)),IFERROR(MAX($CM105:$CS105),1))</f>
        <v>0</v>
      </c>
      <c r="B105" s="85" t="s">
        <v>122</v>
      </c>
      <c r="C105" s="213" t="str">
        <f>CONCATENATE("M-", 'I&amp;E Annual'!C105)</f>
        <v>M-IE-2a-1</v>
      </c>
      <c r="D105" s="57" t="s">
        <v>402</v>
      </c>
      <c r="H105" t="s">
        <v>403</v>
      </c>
      <c r="V105" s="109"/>
      <c r="W105" s="133">
        <f t="shared" ref="W105:Y112" si="183" xml:space="preserve"> SUMIFS($AA105:$BJ105, $AA$3:$BJ$3, W$3)</f>
        <v>0</v>
      </c>
      <c r="X105" s="133">
        <f t="shared" si="183"/>
        <v>0</v>
      </c>
      <c r="Y105" s="133">
        <f t="shared" si="183"/>
        <v>0</v>
      </c>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X105" s="133">
        <f t="shared" ref="BX105:CA112" si="184">V105</f>
        <v>0</v>
      </c>
      <c r="BY105" s="133">
        <f t="shared" si="184"/>
        <v>0</v>
      </c>
      <c r="BZ105" s="133">
        <f t="shared" si="184"/>
        <v>0</v>
      </c>
      <c r="CA105" s="133">
        <f t="shared" si="184"/>
        <v>0</v>
      </c>
      <c r="CB105" s="109"/>
      <c r="CC105" s="109"/>
      <c r="CD105" s="109"/>
      <c r="CE105" s="109"/>
      <c r="CF105" s="109"/>
      <c r="CG105" s="109"/>
      <c r="CH105" s="109"/>
      <c r="CI105" s="109"/>
      <c r="CK105" s="11"/>
      <c r="CL105" s="241">
        <f t="shared" ref="CL105:CL112" si="185">IF(MIN($V105:$CI105)&lt;0, 1, 0)</f>
        <v>0</v>
      </c>
      <c r="CM105" s="11"/>
      <c r="CO105" s="7" cm="1">
        <f t="array" ref="CO105">SUMPRODUCT(--NOT(ISNUMBER(V105:CI105)),--NOT(ISBLANK(V105:CI105)))</f>
        <v>0</v>
      </c>
      <c r="CP105" s="7">
        <f t="shared" ref="CP105:CP114" si="186">IF(SUM($CT105:$CV105)=0, 0, 1)</f>
        <v>0</v>
      </c>
      <c r="CQ105" s="7">
        <f t="shared" ref="CQ105:CQ114" si="187">IF(SUM($CW105:$CY105)=0, 0, 1)</f>
        <v>0</v>
      </c>
      <c r="CR105" s="7">
        <f t="shared" ref="CR105:CR114" si="188">IF($CZ105=0, 0, 1)</f>
        <v>0</v>
      </c>
      <c r="CS105" s="11"/>
      <c r="CT105" s="215">
        <f t="shared" ref="CT105:CT114" si="189">ROUND(W105-SUMIFS($AA105:$BJ105, $AA$3:$BJ$3, W$3), rounding)</f>
        <v>0</v>
      </c>
      <c r="CU105" s="215">
        <f t="shared" ref="CU105:CU114" si="190">ROUND(X105-SUMIFS($AA105:$BJ105, $AA$3:$BJ$3, X$3), rounding)</f>
        <v>0</v>
      </c>
      <c r="CV105" s="215">
        <f t="shared" ref="CV105:CV114" si="191">ROUND(Y105-SUMIFS($AA105:$BJ105, $AA$3:$BJ$3, Y$3), rounding)</f>
        <v>0</v>
      </c>
      <c r="CW105" s="215">
        <f t="shared" ref="CW105:CW114" si="192">ROUND($BY105-SUMIFS($AA105:$BJ105, $AA$3:$BJ$3, $BY$3), rounding)</f>
        <v>0</v>
      </c>
      <c r="CX105" s="215">
        <f t="shared" ref="CX105:CX114" si="193">ROUND($BZ105-SUMIFS($AA105:$BJ105, $AA$3:$BJ$3, $BZ$3), rounding)</f>
        <v>0</v>
      </c>
      <c r="CY105" s="215">
        <f t="shared" ref="CY105:CY114" si="194">ROUND($CA105-SUMIFS($AA105:$BJ105, $AA$3:$BJ$3, $CA$3), rounding)</f>
        <v>0</v>
      </c>
      <c r="CZ105" s="215">
        <f t="shared" ref="CZ105:CZ114" si="195">ROUND($V105-$BX105, rounding)</f>
        <v>0</v>
      </c>
      <c r="DT105" s="11"/>
      <c r="DU105" s="4">
        <v>1</v>
      </c>
      <c r="DV105">
        <v>1</v>
      </c>
      <c r="DW105" s="11"/>
      <c r="EY105" s="10" t="str">
        <f t="shared" si="165"/>
        <v>Teaching staff</v>
      </c>
    </row>
    <row r="106" spans="1:155" x14ac:dyDescent="0.35">
      <c r="A106" s="220" cm="1">
        <f t="array" aca="1" ref="A106" ca="1">HYPERLINK("#"&amp;IFERROR(CELL("address",IF(MAX($CM106:$CS106)=0,A106,INDEX($CM106:$CS106,MATCH(1,$CM106:$CS106,0)))),CELL("address",$V106:$CI106)),IFERROR(MAX($CM106:$CS106),1))</f>
        <v>0</v>
      </c>
      <c r="B106" s="85" t="s">
        <v>122</v>
      </c>
      <c r="C106" s="213" t="str">
        <f>CONCATENATE("M-", 'I&amp;E Annual'!C106)</f>
        <v>M-IE-2a-2</v>
      </c>
      <c r="D106" s="57" t="s">
        <v>404</v>
      </c>
      <c r="H106" t="s">
        <v>403</v>
      </c>
      <c r="V106" s="109"/>
      <c r="W106" s="133">
        <f t="shared" si="183"/>
        <v>0</v>
      </c>
      <c r="X106" s="133">
        <f t="shared" si="183"/>
        <v>0</v>
      </c>
      <c r="Y106" s="133">
        <f t="shared" si="183"/>
        <v>0</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X106" s="10">
        <f t="shared" si="184"/>
        <v>0</v>
      </c>
      <c r="BY106" s="10">
        <f t="shared" si="184"/>
        <v>0</v>
      </c>
      <c r="BZ106" s="10">
        <f t="shared" si="184"/>
        <v>0</v>
      </c>
      <c r="CA106" s="10">
        <f t="shared" si="184"/>
        <v>0</v>
      </c>
      <c r="CB106" s="109"/>
      <c r="CC106" s="109"/>
      <c r="CD106" s="109"/>
      <c r="CE106" s="109"/>
      <c r="CF106" s="109"/>
      <c r="CG106" s="109"/>
      <c r="CH106" s="109"/>
      <c r="CI106" s="109"/>
      <c r="CK106" s="11"/>
      <c r="CL106" s="241">
        <f t="shared" si="185"/>
        <v>0</v>
      </c>
      <c r="CM106" s="11"/>
      <c r="CO106" s="7" cm="1">
        <f t="array" ref="CO106">SUMPRODUCT(--NOT(ISNUMBER(V106:CI106)),--NOT(ISBLANK(V106:CI106)))</f>
        <v>0</v>
      </c>
      <c r="CP106" s="7">
        <f t="shared" si="186"/>
        <v>0</v>
      </c>
      <c r="CQ106" s="7">
        <f t="shared" si="187"/>
        <v>0</v>
      </c>
      <c r="CR106" s="7">
        <f t="shared" si="188"/>
        <v>0</v>
      </c>
      <c r="CS106" s="11"/>
      <c r="CT106" s="215">
        <f t="shared" si="189"/>
        <v>0</v>
      </c>
      <c r="CU106" s="215">
        <f t="shared" si="190"/>
        <v>0</v>
      </c>
      <c r="CV106" s="215">
        <f t="shared" si="191"/>
        <v>0</v>
      </c>
      <c r="CW106" s="215">
        <f t="shared" si="192"/>
        <v>0</v>
      </c>
      <c r="CX106" s="215">
        <f t="shared" si="193"/>
        <v>0</v>
      </c>
      <c r="CY106" s="215">
        <f t="shared" si="194"/>
        <v>0</v>
      </c>
      <c r="CZ106" s="215">
        <f t="shared" si="195"/>
        <v>0</v>
      </c>
      <c r="DT106" s="11"/>
      <c r="DU106" s="4">
        <v>1</v>
      </c>
      <c r="DV106">
        <v>1</v>
      </c>
      <c r="DW106" s="11"/>
      <c r="EY106" s="10" t="str">
        <f t="shared" si="165"/>
        <v>Contracted tuition services</v>
      </c>
    </row>
    <row r="107" spans="1:155" x14ac:dyDescent="0.35">
      <c r="A107" s="220" cm="1">
        <f t="array" aca="1" ref="A107" ca="1">HYPERLINK("#"&amp;IFERROR(CELL("address",IF(MAX($CM107:$CS107)=0,A107,INDEX($CM107:$CS107,MATCH(1,$CM107:$CS107,0)))),CELL("address",$V107:$CI107)),IFERROR(MAX($CM107:$CS107),1))</f>
        <v>0</v>
      </c>
      <c r="B107" s="85" t="s">
        <v>122</v>
      </c>
      <c r="C107" s="213" t="str">
        <f>CONCATENATE("M-", 'I&amp;E Annual'!C107)</f>
        <v>M-IE-2a-3</v>
      </c>
      <c r="D107" s="57" t="s">
        <v>405</v>
      </c>
      <c r="H107" t="s">
        <v>403</v>
      </c>
      <c r="V107" s="109"/>
      <c r="W107" s="133">
        <f t="shared" si="183"/>
        <v>0</v>
      </c>
      <c r="X107" s="133">
        <f t="shared" si="183"/>
        <v>0</v>
      </c>
      <c r="Y107" s="133">
        <f t="shared" si="183"/>
        <v>0</v>
      </c>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X107" s="10">
        <f t="shared" si="184"/>
        <v>0</v>
      </c>
      <c r="BY107" s="10">
        <f t="shared" si="184"/>
        <v>0</v>
      </c>
      <c r="BZ107" s="10">
        <f t="shared" si="184"/>
        <v>0</v>
      </c>
      <c r="CA107" s="10">
        <f t="shared" si="184"/>
        <v>0</v>
      </c>
      <c r="CB107" s="109"/>
      <c r="CC107" s="109"/>
      <c r="CD107" s="109"/>
      <c r="CE107" s="109"/>
      <c r="CF107" s="109"/>
      <c r="CG107" s="109"/>
      <c r="CH107" s="109"/>
      <c r="CI107" s="109"/>
      <c r="CK107" s="11"/>
      <c r="CL107" s="241">
        <f t="shared" si="185"/>
        <v>0</v>
      </c>
      <c r="CM107" s="11"/>
      <c r="CO107" s="7" cm="1">
        <f t="array" ref="CO107">SUMPRODUCT(--NOT(ISNUMBER(V107:CI107)),--NOT(ISBLANK(V107:CI107)))</f>
        <v>0</v>
      </c>
      <c r="CP107" s="7">
        <f t="shared" si="186"/>
        <v>0</v>
      </c>
      <c r="CQ107" s="7">
        <f t="shared" si="187"/>
        <v>0</v>
      </c>
      <c r="CR107" s="7">
        <f t="shared" si="188"/>
        <v>0</v>
      </c>
      <c r="CS107" s="11"/>
      <c r="CT107" s="215">
        <f t="shared" si="189"/>
        <v>0</v>
      </c>
      <c r="CU107" s="215">
        <f t="shared" si="190"/>
        <v>0</v>
      </c>
      <c r="CV107" s="215">
        <f t="shared" si="191"/>
        <v>0</v>
      </c>
      <c r="CW107" s="215">
        <f t="shared" si="192"/>
        <v>0</v>
      </c>
      <c r="CX107" s="215">
        <f t="shared" si="193"/>
        <v>0</v>
      </c>
      <c r="CY107" s="215">
        <f t="shared" si="194"/>
        <v>0</v>
      </c>
      <c r="CZ107" s="215">
        <f t="shared" si="195"/>
        <v>0</v>
      </c>
      <c r="DT107" s="11"/>
      <c r="DU107" s="4">
        <v>1</v>
      </c>
      <c r="DV107">
        <v>1</v>
      </c>
      <c r="DW107" s="11"/>
      <c r="EY107" s="10" t="str">
        <f t="shared" si="165"/>
        <v>Teaching and other support staff</v>
      </c>
    </row>
    <row r="108" spans="1:155" x14ac:dyDescent="0.35">
      <c r="A108" s="220" cm="1">
        <f t="array" aca="1" ref="A108" ca="1">HYPERLINK("#"&amp;IFERROR(CELL("address",IF(MAX($CM108:$CS108)=0,A108,INDEX($CM108:$CS108,MATCH(1,$CM108:$CS108,0)))),CELL("address",$V108:$CI108)),IFERROR(MAX($CM108:$CS108),1))</f>
        <v>0</v>
      </c>
      <c r="B108" s="85" t="s">
        <v>122</v>
      </c>
      <c r="C108" s="213" t="str">
        <f>CONCATENATE("M-", 'I&amp;E Annual'!C108)</f>
        <v>M-IE-2a-4</v>
      </c>
      <c r="D108" s="57" t="s">
        <v>406</v>
      </c>
      <c r="H108" t="s">
        <v>403</v>
      </c>
      <c r="V108" s="109"/>
      <c r="W108" s="133">
        <f t="shared" si="183"/>
        <v>0</v>
      </c>
      <c r="X108" s="133">
        <f t="shared" si="183"/>
        <v>0</v>
      </c>
      <c r="Y108" s="133">
        <f t="shared" si="183"/>
        <v>0</v>
      </c>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X108" s="10">
        <f t="shared" si="184"/>
        <v>0</v>
      </c>
      <c r="BY108" s="10">
        <f t="shared" si="184"/>
        <v>0</v>
      </c>
      <c r="BZ108" s="10">
        <f t="shared" si="184"/>
        <v>0</v>
      </c>
      <c r="CA108" s="10">
        <f t="shared" si="184"/>
        <v>0</v>
      </c>
      <c r="CB108" s="109"/>
      <c r="CC108" s="109"/>
      <c r="CD108" s="109"/>
      <c r="CE108" s="109"/>
      <c r="CF108" s="109"/>
      <c r="CG108" s="109"/>
      <c r="CH108" s="109"/>
      <c r="CI108" s="109"/>
      <c r="CK108" s="11"/>
      <c r="CL108" s="241">
        <f t="shared" si="185"/>
        <v>0</v>
      </c>
      <c r="CM108" s="11"/>
      <c r="CO108" s="7" cm="1">
        <f t="array" ref="CO108">SUMPRODUCT(--NOT(ISNUMBER(V108:CI108)),--NOT(ISBLANK(V108:CI108)))</f>
        <v>0</v>
      </c>
      <c r="CP108" s="7">
        <f t="shared" si="186"/>
        <v>0</v>
      </c>
      <c r="CQ108" s="7">
        <f t="shared" si="187"/>
        <v>0</v>
      </c>
      <c r="CR108" s="7">
        <f t="shared" si="188"/>
        <v>0</v>
      </c>
      <c r="CS108" s="11"/>
      <c r="CT108" s="215">
        <f t="shared" si="189"/>
        <v>0</v>
      </c>
      <c r="CU108" s="215">
        <f t="shared" si="190"/>
        <v>0</v>
      </c>
      <c r="CV108" s="215">
        <f t="shared" si="191"/>
        <v>0</v>
      </c>
      <c r="CW108" s="215">
        <f t="shared" si="192"/>
        <v>0</v>
      </c>
      <c r="CX108" s="215">
        <f t="shared" si="193"/>
        <v>0</v>
      </c>
      <c r="CY108" s="215">
        <f t="shared" si="194"/>
        <v>0</v>
      </c>
      <c r="CZ108" s="215">
        <f t="shared" si="195"/>
        <v>0</v>
      </c>
      <c r="DT108" s="11"/>
      <c r="DU108" s="4">
        <v>1</v>
      </c>
      <c r="DV108">
        <v>1</v>
      </c>
      <c r="DW108" s="11"/>
      <c r="EY108" s="10" t="str">
        <f t="shared" si="165"/>
        <v>Administration staff</v>
      </c>
    </row>
    <row r="109" spans="1:155" x14ac:dyDescent="0.35">
      <c r="A109" s="220" cm="1">
        <f t="array" aca="1" ref="A109" ca="1">HYPERLINK("#"&amp;IFERROR(CELL("address",IF(MAX($CM109:$CS109)=0,A109,INDEX($CM109:$CS109,MATCH(1,$CM109:$CS109,0)))),CELL("address",$V109:$CI109)),IFERROR(MAX($CM109:$CS109),1))</f>
        <v>0</v>
      </c>
      <c r="B109" s="85" t="s">
        <v>122</v>
      </c>
      <c r="C109" s="213" t="str">
        <f>CONCATENATE("M-", 'I&amp;E Annual'!C109)</f>
        <v>M-IE-2a-5</v>
      </c>
      <c r="D109" s="57" t="s">
        <v>407</v>
      </c>
      <c r="H109" t="s">
        <v>403</v>
      </c>
      <c r="V109" s="109"/>
      <c r="W109" s="133">
        <f t="shared" si="183"/>
        <v>0</v>
      </c>
      <c r="X109" s="133">
        <f t="shared" si="183"/>
        <v>0</v>
      </c>
      <c r="Y109" s="133">
        <f t="shared" si="183"/>
        <v>0</v>
      </c>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X109" s="10">
        <f t="shared" si="184"/>
        <v>0</v>
      </c>
      <c r="BY109" s="10">
        <f t="shared" si="184"/>
        <v>0</v>
      </c>
      <c r="BZ109" s="10">
        <f t="shared" si="184"/>
        <v>0</v>
      </c>
      <c r="CA109" s="10">
        <f t="shared" si="184"/>
        <v>0</v>
      </c>
      <c r="CB109" s="109"/>
      <c r="CC109" s="109"/>
      <c r="CD109" s="109"/>
      <c r="CE109" s="109"/>
      <c r="CF109" s="109"/>
      <c r="CG109" s="109"/>
      <c r="CH109" s="109"/>
      <c r="CI109" s="109"/>
      <c r="CK109" s="11"/>
      <c r="CL109" s="241">
        <f t="shared" si="185"/>
        <v>0</v>
      </c>
      <c r="CM109" s="11"/>
      <c r="CO109" s="7" cm="1">
        <f t="array" ref="CO109">SUMPRODUCT(--NOT(ISNUMBER(V109:CI109)),--NOT(ISBLANK(V109:CI109)))</f>
        <v>0</v>
      </c>
      <c r="CP109" s="7">
        <f t="shared" si="186"/>
        <v>0</v>
      </c>
      <c r="CQ109" s="7">
        <f t="shared" si="187"/>
        <v>0</v>
      </c>
      <c r="CR109" s="7">
        <f t="shared" si="188"/>
        <v>0</v>
      </c>
      <c r="CS109" s="11"/>
      <c r="CT109" s="215">
        <f t="shared" si="189"/>
        <v>0</v>
      </c>
      <c r="CU109" s="215">
        <f t="shared" si="190"/>
        <v>0</v>
      </c>
      <c r="CV109" s="215">
        <f t="shared" si="191"/>
        <v>0</v>
      </c>
      <c r="CW109" s="215">
        <f t="shared" si="192"/>
        <v>0</v>
      </c>
      <c r="CX109" s="215">
        <f t="shared" si="193"/>
        <v>0</v>
      </c>
      <c r="CY109" s="215">
        <f t="shared" si="194"/>
        <v>0</v>
      </c>
      <c r="CZ109" s="215">
        <f t="shared" si="195"/>
        <v>0</v>
      </c>
      <c r="DT109" s="11"/>
      <c r="DU109" s="4">
        <v>1</v>
      </c>
      <c r="DV109">
        <v>1</v>
      </c>
      <c r="DW109" s="11"/>
      <c r="EY109" s="10" t="str">
        <f t="shared" si="165"/>
        <v>Operational &amp; maintenance staff</v>
      </c>
    </row>
    <row r="110" spans="1:155" x14ac:dyDescent="0.35">
      <c r="A110" s="220" cm="1">
        <f t="array" aca="1" ref="A110" ca="1">HYPERLINK("#"&amp;IFERROR(CELL("address",IF(MAX($CM110:$CS110)=0,A110,INDEX($CM110:$CS110,MATCH(1,$CM110:$CS110,0)))),CELL("address",$V110:$CI110)),IFERROR(MAX($CM110:$CS110),1))</f>
        <v>0</v>
      </c>
      <c r="B110" s="85" t="s">
        <v>122</v>
      </c>
      <c r="C110" s="213" t="str">
        <f>CONCATENATE("M-", 'I&amp;E Annual'!C110)</f>
        <v>M-IE-2a-6</v>
      </c>
      <c r="D110" s="57" t="s">
        <v>408</v>
      </c>
      <c r="H110" t="s">
        <v>403</v>
      </c>
      <c r="V110" s="109"/>
      <c r="W110" s="133">
        <f t="shared" si="183"/>
        <v>0</v>
      </c>
      <c r="X110" s="133">
        <f t="shared" si="183"/>
        <v>0</v>
      </c>
      <c r="Y110" s="133">
        <f t="shared" si="183"/>
        <v>0</v>
      </c>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X110" s="10">
        <f t="shared" si="184"/>
        <v>0</v>
      </c>
      <c r="BY110" s="10">
        <f t="shared" si="184"/>
        <v>0</v>
      </c>
      <c r="BZ110" s="10">
        <f t="shared" si="184"/>
        <v>0</v>
      </c>
      <c r="CA110" s="10">
        <f t="shared" si="184"/>
        <v>0</v>
      </c>
      <c r="CB110" s="109"/>
      <c r="CC110" s="109"/>
      <c r="CD110" s="109"/>
      <c r="CE110" s="109"/>
      <c r="CF110" s="109"/>
      <c r="CG110" s="109"/>
      <c r="CH110" s="109"/>
      <c r="CI110" s="109"/>
      <c r="CK110" s="11"/>
      <c r="CL110" s="241">
        <f t="shared" si="185"/>
        <v>0</v>
      </c>
      <c r="CM110" s="11"/>
      <c r="CO110" s="7" cm="1">
        <f t="array" ref="CO110">SUMPRODUCT(--NOT(ISNUMBER(V110:CI110)),--NOT(ISBLANK(V110:CI110)))</f>
        <v>0</v>
      </c>
      <c r="CP110" s="7">
        <f t="shared" si="186"/>
        <v>0</v>
      </c>
      <c r="CQ110" s="7">
        <f t="shared" si="187"/>
        <v>0</v>
      </c>
      <c r="CR110" s="7">
        <f t="shared" si="188"/>
        <v>0</v>
      </c>
      <c r="CS110" s="11"/>
      <c r="CT110" s="215">
        <f t="shared" si="189"/>
        <v>0</v>
      </c>
      <c r="CU110" s="215">
        <f t="shared" si="190"/>
        <v>0</v>
      </c>
      <c r="CV110" s="215">
        <f t="shared" si="191"/>
        <v>0</v>
      </c>
      <c r="CW110" s="215">
        <f t="shared" si="192"/>
        <v>0</v>
      </c>
      <c r="CX110" s="215">
        <f t="shared" si="193"/>
        <v>0</v>
      </c>
      <c r="CY110" s="215">
        <f t="shared" si="194"/>
        <v>0</v>
      </c>
      <c r="CZ110" s="215">
        <f t="shared" si="195"/>
        <v>0</v>
      </c>
      <c r="DT110" s="11"/>
      <c r="DU110" s="4">
        <v>1</v>
      </c>
      <c r="DV110">
        <v>1</v>
      </c>
      <c r="DW110" s="11"/>
      <c r="EY110" s="10" t="str">
        <f t="shared" ref="EY110:EY145" si="196">IF($C110="","",$D110)</f>
        <v>Commercial staff costs</v>
      </c>
    </row>
    <row r="111" spans="1:155" x14ac:dyDescent="0.35">
      <c r="A111" s="220" cm="1">
        <f t="array" aca="1" ref="A111" ca="1">HYPERLINK("#"&amp;IFERROR(CELL("address",IF(MAX($CM111:$CS111)=0,A111,INDEX($CM111:$CS111,MATCH(1,$CM111:$CS111,0)))),CELL("address",$V111:$CI111)),IFERROR(MAX($CM111:$CS111),1))</f>
        <v>0</v>
      </c>
      <c r="C111" s="213" t="str">
        <f>CONCATENATE("M-", 'I&amp;E Annual'!C111)</f>
        <v>M-IE-2a-7</v>
      </c>
      <c r="D111" s="57" t="s">
        <v>409</v>
      </c>
      <c r="H111" t="s">
        <v>403</v>
      </c>
      <c r="V111" s="109"/>
      <c r="W111" s="133">
        <f t="shared" si="183"/>
        <v>0</v>
      </c>
      <c r="X111" s="133">
        <f t="shared" si="183"/>
        <v>0</v>
      </c>
      <c r="Y111" s="133">
        <f t="shared" si="183"/>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 t="shared" si="184"/>
        <v>0</v>
      </c>
      <c r="BY111" s="10">
        <f t="shared" si="184"/>
        <v>0</v>
      </c>
      <c r="BZ111" s="10">
        <f t="shared" si="184"/>
        <v>0</v>
      </c>
      <c r="CA111" s="10">
        <f t="shared" si="184"/>
        <v>0</v>
      </c>
      <c r="CB111" s="109"/>
      <c r="CC111" s="109"/>
      <c r="CD111" s="109"/>
      <c r="CE111" s="109"/>
      <c r="CF111" s="109"/>
      <c r="CG111" s="109"/>
      <c r="CH111" s="109"/>
      <c r="CI111" s="109"/>
      <c r="CK111" s="11"/>
      <c r="CL111" s="241">
        <f t="shared" si="185"/>
        <v>0</v>
      </c>
      <c r="CM111" s="11"/>
      <c r="CO111" s="7" cm="1">
        <f t="array" ref="CO111">SUMPRODUCT(--NOT(ISNUMBER(V111:CI111)),--NOT(ISBLANK(V111:CI111)))</f>
        <v>0</v>
      </c>
      <c r="CP111" s="7">
        <f t="shared" si="186"/>
        <v>0</v>
      </c>
      <c r="CQ111" s="7">
        <f t="shared" si="187"/>
        <v>0</v>
      </c>
      <c r="CR111" s="7">
        <f t="shared" si="188"/>
        <v>0</v>
      </c>
      <c r="CS111" s="11"/>
      <c r="CT111" s="215">
        <f t="shared" si="189"/>
        <v>0</v>
      </c>
      <c r="CU111" s="215">
        <f t="shared" si="190"/>
        <v>0</v>
      </c>
      <c r="CV111" s="215">
        <f t="shared" si="191"/>
        <v>0</v>
      </c>
      <c r="CW111" s="215">
        <f t="shared" si="192"/>
        <v>0</v>
      </c>
      <c r="CX111" s="215">
        <f t="shared" si="193"/>
        <v>0</v>
      </c>
      <c r="CY111" s="215">
        <f t="shared" si="194"/>
        <v>0</v>
      </c>
      <c r="CZ111" s="215">
        <f t="shared" si="195"/>
        <v>0</v>
      </c>
      <c r="DT111" s="11"/>
      <c r="DU111" s="4">
        <v>1</v>
      </c>
      <c r="DV111">
        <v>1</v>
      </c>
      <c r="DW111" s="11"/>
      <c r="EY111" s="10" t="str">
        <f t="shared" si="196"/>
        <v>Apprenticeship 2% payroll levy charge</v>
      </c>
    </row>
    <row r="112" spans="1:155" x14ac:dyDescent="0.35">
      <c r="A112" s="220" cm="1">
        <f t="array" aca="1" ref="A112" ca="1">HYPERLINK("#"&amp;IFERROR(CELL("address",IF(MAX($CM112:$CS112)=0,A112,INDEX($CM112:$CS112,MATCH(1,$CM112:$CS112,0)))),CELL("address",$V112:$CI112)),IFERROR(MAX($CM112:$CS112),1))</f>
        <v>0</v>
      </c>
      <c r="B112" s="85" t="s">
        <v>122</v>
      </c>
      <c r="C112" s="213" t="str">
        <f>CONCATENATE("M-", 'I&amp;E Annual'!C112)</f>
        <v>M-IE-2a-8</v>
      </c>
      <c r="D112" s="57" t="s">
        <v>410</v>
      </c>
      <c r="H112" t="s">
        <v>403</v>
      </c>
      <c r="V112" s="109"/>
      <c r="W112" s="133">
        <f t="shared" si="183"/>
        <v>0</v>
      </c>
      <c r="X112" s="133">
        <f t="shared" si="183"/>
        <v>0</v>
      </c>
      <c r="Y112" s="133">
        <f t="shared" si="183"/>
        <v>0</v>
      </c>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 t="shared" si="184"/>
        <v>0</v>
      </c>
      <c r="BY112" s="10">
        <f t="shared" si="184"/>
        <v>0</v>
      </c>
      <c r="BZ112" s="10">
        <f t="shared" si="184"/>
        <v>0</v>
      </c>
      <c r="CA112" s="10">
        <f t="shared" si="184"/>
        <v>0</v>
      </c>
      <c r="CB112" s="109"/>
      <c r="CC112" s="109"/>
      <c r="CD112" s="109"/>
      <c r="CE112" s="109"/>
      <c r="CF112" s="109"/>
      <c r="CG112" s="109"/>
      <c r="CH112" s="109"/>
      <c r="CI112" s="109"/>
      <c r="CK112" s="11"/>
      <c r="CL112" s="241">
        <f t="shared" si="185"/>
        <v>0</v>
      </c>
      <c r="CM112" s="11"/>
      <c r="CO112" s="7" cm="1">
        <f t="array" ref="CO112">SUMPRODUCT(--NOT(ISNUMBER(V112:CI112)),--NOT(ISBLANK(V112:CI112)))</f>
        <v>0</v>
      </c>
      <c r="CP112" s="7">
        <f t="shared" si="186"/>
        <v>0</v>
      </c>
      <c r="CQ112" s="7">
        <f t="shared" si="187"/>
        <v>0</v>
      </c>
      <c r="CR112" s="7">
        <f t="shared" si="188"/>
        <v>0</v>
      </c>
      <c r="CS112" s="11"/>
      <c r="CT112" s="215">
        <f t="shared" si="189"/>
        <v>0</v>
      </c>
      <c r="CU112" s="215">
        <f t="shared" si="190"/>
        <v>0</v>
      </c>
      <c r="CV112" s="215">
        <f t="shared" si="191"/>
        <v>0</v>
      </c>
      <c r="CW112" s="215">
        <f t="shared" si="192"/>
        <v>0</v>
      </c>
      <c r="CX112" s="215">
        <f t="shared" si="193"/>
        <v>0</v>
      </c>
      <c r="CY112" s="215">
        <f t="shared" si="194"/>
        <v>0</v>
      </c>
      <c r="CZ112" s="215">
        <f t="shared" si="195"/>
        <v>0</v>
      </c>
      <c r="DT112" s="11"/>
      <c r="DU112" s="4">
        <v>1</v>
      </c>
      <c r="DV112">
        <v>1</v>
      </c>
      <c r="DW112" s="11"/>
      <c r="EY112" s="10" t="str">
        <f t="shared" si="196"/>
        <v>Other staff costs</v>
      </c>
    </row>
    <row r="113" spans="1:155" ht="58.5" customHeight="1" x14ac:dyDescent="0.35">
      <c r="A113" s="220" cm="1">
        <f t="array" aca="1" ref="A113" ca="1">HYPERLINK("#"&amp;IFERROR(CELL("address",IF(MAX($CM113:$CS113)=0,A113,INDEX($CM113:$CS113,MATCH(1,$CM113:$CS113,0)))),CELL("address",$V113:$CI113)),IFERROR(MAX($CM113:$CS113),1))</f>
        <v>0</v>
      </c>
      <c r="B113" s="126" t="s">
        <v>122</v>
      </c>
      <c r="C113" s="213" t="str">
        <f>CONCATENATE("M-", 'I&amp;E Annual'!C113)</f>
        <v>M-IE-2a-9</v>
      </c>
      <c r="D113" s="57" t="s">
        <v>411</v>
      </c>
      <c r="E113" s="631" t="str" cm="1">
        <f t="array" aca="1" ref="E113" ca="1">HYPERLINK(CONCATENATE("#",CELL("address",'BS Forecasts'!$D$207)),"LPGS Costs")</f>
        <v>LPGS Costs</v>
      </c>
      <c r="F113" s="631" t="str" cm="1">
        <f t="array" aca="1" ref="F113" ca="1">HYPERLINK(CONCATENATE("#",CELL("address",'BS Forecasts'!$D$230)),'BS Forecasts'!$D$228)</f>
        <v>Other Pension Provisions</v>
      </c>
      <c r="G113" s="631" t="str" cm="1">
        <f t="array" aca="1" ref="G113" ca="1">HYPERLINK(CONCATENATE("#",CELL("address",'BS Forecasts'!$D$232)),'BS Forecasts'!$D$228)</f>
        <v>Other Pension Provisions</v>
      </c>
      <c r="H113" t="s">
        <v>403</v>
      </c>
      <c r="V113" s="10">
        <f>SUM('BS Forecasts'!V207:V211)+'BS Forecasts'!V230+'BS Forecasts'!V232</f>
        <v>0</v>
      </c>
      <c r="W113" s="10">
        <f>SUM('BS Forecasts'!W207:W211)+'BS Forecasts'!W230+'BS Forecasts'!W232</f>
        <v>0</v>
      </c>
      <c r="X113" s="10">
        <f>SUM('BS Forecasts'!X207:X211)+'BS Forecasts'!X230+'BS Forecasts'!X232</f>
        <v>0</v>
      </c>
      <c r="Y113" s="10">
        <f>SUM('BS Forecasts'!Y207:Y211)+'BS Forecasts'!Y230+'BS Forecasts'!Y232</f>
        <v>0</v>
      </c>
      <c r="AA113" s="10">
        <f>SUM('BS Forecasts'!AA207:AA211)+'BS Forecasts'!AA230+'BS Forecasts'!AA232</f>
        <v>0</v>
      </c>
      <c r="AB113" s="10">
        <f>SUM('BS Forecasts'!AB207:AB211)+'BS Forecasts'!AB230+'BS Forecasts'!AB232</f>
        <v>0</v>
      </c>
      <c r="AC113" s="10">
        <f>SUM('BS Forecasts'!AC207:AC211)+'BS Forecasts'!AC230+'BS Forecasts'!AC232</f>
        <v>0</v>
      </c>
      <c r="AD113" s="10">
        <f>SUM('BS Forecasts'!AD207:AD211)+'BS Forecasts'!AD230+'BS Forecasts'!AD232</f>
        <v>0</v>
      </c>
      <c r="AE113" s="10">
        <f>SUM('BS Forecasts'!AE207:AE211)+'BS Forecasts'!AE230+'BS Forecasts'!AE232</f>
        <v>0</v>
      </c>
      <c r="AF113" s="10">
        <f>SUM('BS Forecasts'!AF207:AF211)+'BS Forecasts'!AF230+'BS Forecasts'!AF232</f>
        <v>0</v>
      </c>
      <c r="AG113" s="10">
        <f>SUM('BS Forecasts'!AG207:AG211)+'BS Forecasts'!AG230+'BS Forecasts'!AG232</f>
        <v>0</v>
      </c>
      <c r="AH113" s="10">
        <f>SUM('BS Forecasts'!AH207:AH211)+'BS Forecasts'!AH230+'BS Forecasts'!AH232</f>
        <v>0</v>
      </c>
      <c r="AI113" s="10">
        <f>SUM('BS Forecasts'!AI207:AI211)+'BS Forecasts'!AI230+'BS Forecasts'!AI232</f>
        <v>0</v>
      </c>
      <c r="AJ113" s="10">
        <f>SUM('BS Forecasts'!AJ207:AJ211)+'BS Forecasts'!AJ230+'BS Forecasts'!AJ232</f>
        <v>0</v>
      </c>
      <c r="AK113" s="10">
        <f>SUM('BS Forecasts'!AK207:AK211)+'BS Forecasts'!AK230+'BS Forecasts'!AK232</f>
        <v>0</v>
      </c>
      <c r="AL113" s="10">
        <f>SUM('BS Forecasts'!AL207:AL211)+'BS Forecasts'!AL230+'BS Forecasts'!AL232</f>
        <v>0</v>
      </c>
      <c r="AM113" s="10">
        <f>SUM('BS Forecasts'!AM207:AM211)+'BS Forecasts'!AM230+'BS Forecasts'!AM232</f>
        <v>0</v>
      </c>
      <c r="AN113" s="10">
        <f>SUM('BS Forecasts'!AN207:AN211)+'BS Forecasts'!AN230+'BS Forecasts'!AN232</f>
        <v>0</v>
      </c>
      <c r="AO113" s="10">
        <f>SUM('BS Forecasts'!AO207:AO211)+'BS Forecasts'!AO230+'BS Forecasts'!AO232</f>
        <v>0</v>
      </c>
      <c r="AP113" s="10">
        <f>SUM('BS Forecasts'!AP207:AP211)+'BS Forecasts'!AP230+'BS Forecasts'!AP232</f>
        <v>0</v>
      </c>
      <c r="AQ113" s="10">
        <f>SUM('BS Forecasts'!AQ207:AQ211)+'BS Forecasts'!AQ230+'BS Forecasts'!AQ232</f>
        <v>0</v>
      </c>
      <c r="AR113" s="10">
        <f>SUM('BS Forecasts'!AR207:AR211)+'BS Forecasts'!AR230+'BS Forecasts'!AR232</f>
        <v>0</v>
      </c>
      <c r="AS113" s="10">
        <f>SUM('BS Forecasts'!AS207:AS211)+'BS Forecasts'!AS230+'BS Forecasts'!AS232</f>
        <v>0</v>
      </c>
      <c r="AT113" s="10">
        <f>SUM('BS Forecasts'!AT207:AT211)+'BS Forecasts'!AT230+'BS Forecasts'!AT232</f>
        <v>0</v>
      </c>
      <c r="AU113" s="10">
        <f>SUM('BS Forecasts'!AU207:AU211)+'BS Forecasts'!AU230+'BS Forecasts'!AU232</f>
        <v>0</v>
      </c>
      <c r="AV113" s="10">
        <f>SUM('BS Forecasts'!AV207:AV211)+'BS Forecasts'!AV230+'BS Forecasts'!AV232</f>
        <v>0</v>
      </c>
      <c r="AW113" s="10">
        <f>SUM('BS Forecasts'!AW207:AW211)+'BS Forecasts'!AW230+'BS Forecasts'!AW232</f>
        <v>0</v>
      </c>
      <c r="AX113" s="10">
        <f>SUM('BS Forecasts'!AX207:AX211)+'BS Forecasts'!AX230+'BS Forecasts'!AX232</f>
        <v>0</v>
      </c>
      <c r="AY113" s="10">
        <f>SUM('BS Forecasts'!AY207:AY211)+'BS Forecasts'!AY230+'BS Forecasts'!AY232</f>
        <v>0</v>
      </c>
      <c r="AZ113" s="10">
        <f>SUM('BS Forecasts'!AZ207:AZ211)+'BS Forecasts'!AZ230+'BS Forecasts'!AZ232</f>
        <v>0</v>
      </c>
      <c r="BA113" s="10">
        <f>SUM('BS Forecasts'!BA207:BA211)+'BS Forecasts'!BA230+'BS Forecasts'!BA232</f>
        <v>0</v>
      </c>
      <c r="BB113" s="10">
        <f>SUM('BS Forecasts'!BB207:BB211)+'BS Forecasts'!BB230+'BS Forecasts'!BB232</f>
        <v>0</v>
      </c>
      <c r="BC113" s="10">
        <f>SUM('BS Forecasts'!BC207:BC211)+'BS Forecasts'!BC230+'BS Forecasts'!BC232</f>
        <v>0</v>
      </c>
      <c r="BD113" s="10">
        <f>SUM('BS Forecasts'!BD207:BD211)+'BS Forecasts'!BD230+'BS Forecasts'!BD232</f>
        <v>0</v>
      </c>
      <c r="BE113" s="10">
        <f>SUM('BS Forecasts'!BE207:BE211)+'BS Forecasts'!BE230+'BS Forecasts'!BE232</f>
        <v>0</v>
      </c>
      <c r="BF113" s="10">
        <f>SUM('BS Forecasts'!BF207:BF211)+'BS Forecasts'!BF230+'BS Forecasts'!BF232</f>
        <v>0</v>
      </c>
      <c r="BG113" s="10">
        <f>SUM('BS Forecasts'!BG207:BG211)+'BS Forecasts'!BG230+'BS Forecasts'!BG232</f>
        <v>0</v>
      </c>
      <c r="BH113" s="10">
        <f>SUM('BS Forecasts'!BH207:BH211)+'BS Forecasts'!BH230+'BS Forecasts'!BH232</f>
        <v>0</v>
      </c>
      <c r="BI113" s="10">
        <f>SUM('BS Forecasts'!BI207:BI211)+'BS Forecasts'!BI230+'BS Forecasts'!BI232</f>
        <v>0</v>
      </c>
      <c r="BJ113" s="10">
        <f>SUM('BS Forecasts'!BJ207:BJ211)+'BS Forecasts'!BJ230+'BS Forecasts'!BJ232</f>
        <v>0</v>
      </c>
      <c r="BX113" s="10">
        <f>SUM('BS Forecasts'!BX207:BX211)+'BS Forecasts'!BX230+'BS Forecasts'!BX232</f>
        <v>0</v>
      </c>
      <c r="BY113" s="10">
        <f>SUM('BS Forecasts'!BY207:BY211)+'BS Forecasts'!BY230+'BS Forecasts'!BY232</f>
        <v>0</v>
      </c>
      <c r="BZ113" s="10">
        <f>SUM('BS Forecasts'!BZ207:BZ211)+'BS Forecasts'!BZ230+'BS Forecasts'!BZ232</f>
        <v>0</v>
      </c>
      <c r="CA113" s="10">
        <f>SUM('BS Forecasts'!CA207:CA211)+'BS Forecasts'!CA230+'BS Forecasts'!CA232</f>
        <v>0</v>
      </c>
      <c r="CB113" s="10">
        <f>SUM('BS Forecasts'!CB207:CB211)+'BS Forecasts'!CB230+'BS Forecasts'!CB232</f>
        <v>0</v>
      </c>
      <c r="CC113" s="10">
        <f>SUM('BS Forecasts'!CC207:CC211)+'BS Forecasts'!CC230+'BS Forecasts'!CC232</f>
        <v>0</v>
      </c>
      <c r="CD113" s="10">
        <f>SUM('BS Forecasts'!CD207:CD211)+'BS Forecasts'!CD230+'BS Forecasts'!CD232</f>
        <v>0</v>
      </c>
      <c r="CE113" s="10">
        <f>SUM('BS Forecasts'!CE207:CE211)+'BS Forecasts'!CE230+'BS Forecasts'!CE232</f>
        <v>0</v>
      </c>
      <c r="CF113" s="10">
        <f>SUM('BS Forecasts'!CF207:CF211)+'BS Forecasts'!CF230+'BS Forecasts'!CF232</f>
        <v>0</v>
      </c>
      <c r="CG113" s="10">
        <f>SUM('BS Forecasts'!CG207:CG211)+'BS Forecasts'!CG230+'BS Forecasts'!CG232</f>
        <v>0</v>
      </c>
      <c r="CH113" s="10">
        <f>SUM('BS Forecasts'!CH207:CH211)+'BS Forecasts'!CH230+'BS Forecasts'!CH232</f>
        <v>0</v>
      </c>
      <c r="CI113" s="10">
        <f>SUM('BS Forecasts'!CI207:CI211)+'BS Forecasts'!CI230+'BS Forecasts'!CI232</f>
        <v>0</v>
      </c>
      <c r="CK113" s="11"/>
      <c r="CM113" s="11"/>
      <c r="CP113" s="7">
        <f t="shared" si="186"/>
        <v>0</v>
      </c>
      <c r="CQ113" s="7">
        <f t="shared" si="187"/>
        <v>0</v>
      </c>
      <c r="CR113" s="7">
        <f t="shared" si="188"/>
        <v>0</v>
      </c>
      <c r="CS113" s="11"/>
      <c r="CT113" s="215">
        <f t="shared" si="189"/>
        <v>0</v>
      </c>
      <c r="CU113" s="215">
        <f t="shared" si="190"/>
        <v>0</v>
      </c>
      <c r="CV113" s="215">
        <f t="shared" si="191"/>
        <v>0</v>
      </c>
      <c r="CW113" s="215">
        <f t="shared" si="192"/>
        <v>0</v>
      </c>
      <c r="CX113" s="215">
        <f t="shared" si="193"/>
        <v>0</v>
      </c>
      <c r="CY113" s="215">
        <f t="shared" si="194"/>
        <v>0</v>
      </c>
      <c r="CZ113" s="215">
        <f t="shared" si="195"/>
        <v>0</v>
      </c>
      <c r="DT113" s="11"/>
      <c r="DU113">
        <v>0</v>
      </c>
      <c r="DV113">
        <v>0</v>
      </c>
      <c r="DW113" s="11"/>
      <c r="EY113" s="10" t="str">
        <f t="shared" si="196"/>
        <v>FRS102 adj. - LGPS and EPP current service costs (non-cash)</v>
      </c>
    </row>
    <row r="114" spans="1:155" x14ac:dyDescent="0.35">
      <c r="A114" s="220" cm="1">
        <f t="array" aca="1" ref="A114" ca="1">HYPERLINK("#"&amp;IFERROR(CELL("address",IF(MAX($CM114:$CS114)=0,A114,INDEX($CM114:$CS114,MATCH(1,$CM114:$CS114,0)))),CELL("address",$V114:$CI114)),IFERROR(MAX($CM114:$CS114),1))</f>
        <v>0</v>
      </c>
      <c r="C114" s="213" t="str">
        <f>CONCATENATE("M-", 'I&amp;E Annual'!C114)</f>
        <v>M-IE-2a</v>
      </c>
      <c r="D114" s="61" t="s">
        <v>412</v>
      </c>
      <c r="E114" s="5"/>
      <c r="G114" s="5"/>
      <c r="V114" s="12">
        <f>SUM(V105:V113)</f>
        <v>0</v>
      </c>
      <c r="W114" s="12">
        <f>SUM(W105:W113)</f>
        <v>0</v>
      </c>
      <c r="X114" s="12">
        <f>SUM(X105:X113)</f>
        <v>0</v>
      </c>
      <c r="Y114" s="12">
        <f>SUM(Y105:Y113)</f>
        <v>0</v>
      </c>
      <c r="AA114" s="12">
        <f t="shared" ref="AA114:BJ114" si="197">SUM(AA105:AA113)</f>
        <v>0</v>
      </c>
      <c r="AB114" s="12">
        <f t="shared" si="197"/>
        <v>0</v>
      </c>
      <c r="AC114" s="12">
        <f t="shared" si="197"/>
        <v>0</v>
      </c>
      <c r="AD114" s="12">
        <f t="shared" si="197"/>
        <v>0</v>
      </c>
      <c r="AE114" s="12">
        <f t="shared" si="197"/>
        <v>0</v>
      </c>
      <c r="AF114" s="12">
        <f t="shared" si="197"/>
        <v>0</v>
      </c>
      <c r="AG114" s="12">
        <f t="shared" si="197"/>
        <v>0</v>
      </c>
      <c r="AH114" s="12">
        <f t="shared" si="197"/>
        <v>0</v>
      </c>
      <c r="AI114" s="12">
        <f t="shared" si="197"/>
        <v>0</v>
      </c>
      <c r="AJ114" s="12">
        <f t="shared" si="197"/>
        <v>0</v>
      </c>
      <c r="AK114" s="12">
        <f t="shared" si="197"/>
        <v>0</v>
      </c>
      <c r="AL114" s="12">
        <f t="shared" si="197"/>
        <v>0</v>
      </c>
      <c r="AM114" s="12">
        <f t="shared" si="197"/>
        <v>0</v>
      </c>
      <c r="AN114" s="12">
        <f t="shared" si="197"/>
        <v>0</v>
      </c>
      <c r="AO114" s="12">
        <f t="shared" si="197"/>
        <v>0</v>
      </c>
      <c r="AP114" s="12">
        <f t="shared" si="197"/>
        <v>0</v>
      </c>
      <c r="AQ114" s="12">
        <f t="shared" si="197"/>
        <v>0</v>
      </c>
      <c r="AR114" s="12">
        <f t="shared" si="197"/>
        <v>0</v>
      </c>
      <c r="AS114" s="12">
        <f t="shared" si="197"/>
        <v>0</v>
      </c>
      <c r="AT114" s="12">
        <f t="shared" si="197"/>
        <v>0</v>
      </c>
      <c r="AU114" s="12">
        <f t="shared" si="197"/>
        <v>0</v>
      </c>
      <c r="AV114" s="12">
        <f t="shared" si="197"/>
        <v>0</v>
      </c>
      <c r="AW114" s="12">
        <f t="shared" si="197"/>
        <v>0</v>
      </c>
      <c r="AX114" s="12">
        <f t="shared" si="197"/>
        <v>0</v>
      </c>
      <c r="AY114" s="12">
        <f t="shared" si="197"/>
        <v>0</v>
      </c>
      <c r="AZ114" s="12">
        <f t="shared" si="197"/>
        <v>0</v>
      </c>
      <c r="BA114" s="12">
        <f t="shared" si="197"/>
        <v>0</v>
      </c>
      <c r="BB114" s="12">
        <f t="shared" si="197"/>
        <v>0</v>
      </c>
      <c r="BC114" s="12">
        <f t="shared" si="197"/>
        <v>0</v>
      </c>
      <c r="BD114" s="12">
        <f t="shared" si="197"/>
        <v>0</v>
      </c>
      <c r="BE114" s="12">
        <f t="shared" si="197"/>
        <v>0</v>
      </c>
      <c r="BF114" s="12">
        <f t="shared" si="197"/>
        <v>0</v>
      </c>
      <c r="BG114" s="12">
        <f t="shared" si="197"/>
        <v>0</v>
      </c>
      <c r="BH114" s="12">
        <f t="shared" si="197"/>
        <v>0</v>
      </c>
      <c r="BI114" s="12">
        <f t="shared" si="197"/>
        <v>0</v>
      </c>
      <c r="BJ114" s="12">
        <f t="shared" si="197"/>
        <v>0</v>
      </c>
      <c r="BX114" s="12">
        <f t="shared" ref="BX114:CI114" si="198">SUM(BX105:BX113)</f>
        <v>0</v>
      </c>
      <c r="BY114" s="12">
        <f t="shared" si="198"/>
        <v>0</v>
      </c>
      <c r="BZ114" s="12">
        <f t="shared" si="198"/>
        <v>0</v>
      </c>
      <c r="CA114" s="12">
        <f t="shared" si="198"/>
        <v>0</v>
      </c>
      <c r="CB114" s="12">
        <f t="shared" si="198"/>
        <v>0</v>
      </c>
      <c r="CC114" s="12">
        <f t="shared" si="198"/>
        <v>0</v>
      </c>
      <c r="CD114" s="12">
        <f t="shared" si="198"/>
        <v>0</v>
      </c>
      <c r="CE114" s="12">
        <f t="shared" si="198"/>
        <v>0</v>
      </c>
      <c r="CF114" s="12">
        <f t="shared" si="198"/>
        <v>0</v>
      </c>
      <c r="CG114" s="12">
        <f t="shared" si="198"/>
        <v>0</v>
      </c>
      <c r="CH114" s="12">
        <f t="shared" si="198"/>
        <v>0</v>
      </c>
      <c r="CI114" s="12">
        <f t="shared" si="198"/>
        <v>0</v>
      </c>
      <c r="CK114" s="11"/>
      <c r="CM114" s="11"/>
      <c r="CP114" s="7">
        <f t="shared" si="186"/>
        <v>0</v>
      </c>
      <c r="CQ114" s="7">
        <f t="shared" si="187"/>
        <v>0</v>
      </c>
      <c r="CR114" s="7">
        <f t="shared" si="188"/>
        <v>0</v>
      </c>
      <c r="CS114" s="11"/>
      <c r="CT114" s="215">
        <f t="shared" si="189"/>
        <v>0</v>
      </c>
      <c r="CU114" s="215">
        <f t="shared" si="190"/>
        <v>0</v>
      </c>
      <c r="CV114" s="215">
        <f t="shared" si="191"/>
        <v>0</v>
      </c>
      <c r="CW114" s="215">
        <f t="shared" si="192"/>
        <v>0</v>
      </c>
      <c r="CX114" s="215">
        <f t="shared" si="193"/>
        <v>0</v>
      </c>
      <c r="CY114" s="215">
        <f t="shared" si="194"/>
        <v>0</v>
      </c>
      <c r="CZ114" s="215">
        <f t="shared" si="195"/>
        <v>0</v>
      </c>
      <c r="DT114" s="11"/>
      <c r="DU114">
        <v>0</v>
      </c>
      <c r="DV114">
        <v>0</v>
      </c>
      <c r="DW114" s="11"/>
      <c r="EY114" s="10" t="str">
        <f t="shared" si="196"/>
        <v>Total Staff Costs (excl. restructuring)</v>
      </c>
    </row>
    <row r="115" spans="1:155" ht="12" customHeight="1" x14ac:dyDescent="0.35">
      <c r="C115" s="213"/>
      <c r="BY115" s="6"/>
      <c r="CK115" s="35"/>
      <c r="CM115" s="35"/>
      <c r="CS115" s="35"/>
      <c r="DT115" s="35"/>
      <c r="DU115">
        <v>0</v>
      </c>
      <c r="DV115">
        <v>0</v>
      </c>
      <c r="DW115" s="35"/>
      <c r="EY115" s="10" t="str">
        <f t="shared" si="196"/>
        <v/>
      </c>
    </row>
    <row r="116" spans="1:155" x14ac:dyDescent="0.35">
      <c r="B116" s="5"/>
      <c r="C116" s="213"/>
      <c r="D116" s="61" t="s">
        <v>413</v>
      </c>
      <c r="E116" s="5"/>
      <c r="CK116" s="11"/>
      <c r="CM116" s="11"/>
      <c r="CS116" s="11"/>
      <c r="DT116" s="11"/>
      <c r="DU116">
        <v>0</v>
      </c>
      <c r="DV116">
        <v>0</v>
      </c>
      <c r="DW116" s="11"/>
      <c r="EY116" s="10" t="str">
        <f t="shared" si="196"/>
        <v/>
      </c>
    </row>
    <row r="117" spans="1:155" x14ac:dyDescent="0.35">
      <c r="A117" s="220" cm="1">
        <f t="array" aca="1" ref="A117" ca="1">HYPERLINK("#"&amp;IFERROR(CELL("address",IF(MAX($CM117:$CS117)=0,A117,INDEX($CM117:$CS117,MATCH(1,$CM117:$CS117,0)))),CELL("address",$V117:$CI117)),IFERROR(MAX($CM117:$CS117),1))</f>
        <v>0</v>
      </c>
      <c r="B117" s="85" t="s">
        <v>122</v>
      </c>
      <c r="C117" s="213" t="str">
        <f>CONCATENATE("M-", 'I&amp;E Annual'!C117)</f>
        <v>M-IE-2b-1</v>
      </c>
      <c r="D117" s="57" t="s">
        <v>414</v>
      </c>
      <c r="H117" t="s">
        <v>403</v>
      </c>
      <c r="V117" s="109"/>
      <c r="W117" s="133">
        <f t="shared" ref="W117:Y130" si="199" xml:space="preserve"> SUMIFS($AA117:$BJ117, $AA$3:$BJ$3, W$3)</f>
        <v>0</v>
      </c>
      <c r="X117" s="133">
        <f t="shared" si="199"/>
        <v>0</v>
      </c>
      <c r="Y117" s="133">
        <f t="shared" si="199"/>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X117" s="10">
        <f t="shared" ref="BX117:BX123" si="200">V117</f>
        <v>0</v>
      </c>
      <c r="BY117" s="10">
        <f t="shared" ref="BY117:BY123" si="201">W117</f>
        <v>0</v>
      </c>
      <c r="BZ117" s="10">
        <f t="shared" ref="BZ117:BZ123" si="202">X117</f>
        <v>0</v>
      </c>
      <c r="CA117" s="10">
        <f t="shared" ref="CA117:CA123" si="203">Y117</f>
        <v>0</v>
      </c>
      <c r="CB117" s="109"/>
      <c r="CC117" s="109"/>
      <c r="CD117" s="109"/>
      <c r="CE117" s="109"/>
      <c r="CF117" s="109"/>
      <c r="CG117" s="109"/>
      <c r="CH117" s="109"/>
      <c r="CI117" s="109"/>
      <c r="CK117" s="11"/>
      <c r="CL117" s="241">
        <f t="shared" ref="CL117:CL131" si="204">IF(MIN($V117:$CI117)&lt;0, 1, 0)</f>
        <v>0</v>
      </c>
      <c r="CM117" s="11"/>
      <c r="CO117" s="7" cm="1">
        <f t="array" ref="CO117">SUMPRODUCT(--NOT(ISNUMBER(V117:CI117)),--NOT(ISBLANK(V117:CI117)))</f>
        <v>0</v>
      </c>
      <c r="CP117" s="7">
        <f t="shared" ref="CP117:CP132" si="205">IF(SUM($CT117:$CV117)=0, 0, 1)</f>
        <v>0</v>
      </c>
      <c r="CQ117" s="7">
        <f t="shared" ref="CQ117:CQ132" si="206">IF(SUM($CW117:$CY117)=0, 0, 1)</f>
        <v>0</v>
      </c>
      <c r="CR117" s="7">
        <f t="shared" ref="CR117:CR132" si="207">IF($CZ117=0, 0, 1)</f>
        <v>0</v>
      </c>
      <c r="CS117" s="11"/>
      <c r="CT117" s="215">
        <f t="shared" ref="CT117:CT132" si="208">ROUND(W117-SUMIFS($AA117:$BJ117, $AA$3:$BJ$3, W$3), rounding)</f>
        <v>0</v>
      </c>
      <c r="CU117" s="215">
        <f t="shared" ref="CU117:CU132" si="209">ROUND(X117-SUMIFS($AA117:$BJ117, $AA$3:$BJ$3, X$3), rounding)</f>
        <v>0</v>
      </c>
      <c r="CV117" s="215">
        <f t="shared" ref="CV117:CV132" si="210">ROUND(Y117-SUMIFS($AA117:$BJ117, $AA$3:$BJ$3, Y$3), rounding)</f>
        <v>0</v>
      </c>
      <c r="CW117" s="215">
        <f t="shared" ref="CW117:CW132" si="211">ROUND($BY117-SUMIFS($AA117:$BJ117, $AA$3:$BJ$3, $BY$3), rounding)</f>
        <v>0</v>
      </c>
      <c r="CX117" s="215">
        <f t="shared" ref="CX117:CX132" si="212">ROUND($BZ117-SUMIFS($AA117:$BJ117, $AA$3:$BJ$3, $BZ$3), rounding)</f>
        <v>0</v>
      </c>
      <c r="CY117" s="215">
        <f t="shared" ref="CY117:CY132" si="213">ROUND($CA117-SUMIFS($AA117:$BJ117, $AA$3:$BJ$3, $CA$3), rounding)</f>
        <v>0</v>
      </c>
      <c r="CZ117" s="215">
        <f t="shared" ref="CZ117:CZ132" si="214">ROUND($V117-$BX117, rounding)</f>
        <v>0</v>
      </c>
      <c r="DT117" s="11"/>
      <c r="DU117" s="4">
        <v>1</v>
      </c>
      <c r="DV117">
        <v>1</v>
      </c>
      <c r="DW117" s="11"/>
      <c r="EY117" s="10" t="str">
        <f t="shared" si="196"/>
        <v>Teaching costs</v>
      </c>
    </row>
    <row r="118" spans="1:155" x14ac:dyDescent="0.35">
      <c r="A118" s="220" cm="1">
        <f t="array" aca="1" ref="A118" ca="1">HYPERLINK("#"&amp;IFERROR(CELL("address",IF(MAX($CM118:$CS118)=0,A118,INDEX($CM118:$CS118,MATCH(1,$CM118:$CS118,0)))),CELL("address",$V118:$CI118)),IFERROR(MAX($CM118:$CS118),1))</f>
        <v>0</v>
      </c>
      <c r="B118" s="85" t="s">
        <v>122</v>
      </c>
      <c r="C118" s="213" t="str">
        <f>CONCATENATE("M-", 'I&amp;E Annual'!C118)</f>
        <v>M-IE-2b-2</v>
      </c>
      <c r="D118" s="57" t="s">
        <v>415</v>
      </c>
      <c r="H118" t="s">
        <v>403</v>
      </c>
      <c r="V118" s="109"/>
      <c r="W118" s="133">
        <f t="shared" si="199"/>
        <v>0</v>
      </c>
      <c r="X118" s="133">
        <f t="shared" si="199"/>
        <v>0</v>
      </c>
      <c r="Y118" s="133">
        <f t="shared" si="199"/>
        <v>0</v>
      </c>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X118" s="10">
        <f t="shared" si="200"/>
        <v>0</v>
      </c>
      <c r="BY118" s="10">
        <f t="shared" si="201"/>
        <v>0</v>
      </c>
      <c r="BZ118" s="10">
        <f t="shared" si="202"/>
        <v>0</v>
      </c>
      <c r="CA118" s="10">
        <f t="shared" si="203"/>
        <v>0</v>
      </c>
      <c r="CB118" s="109"/>
      <c r="CC118" s="109"/>
      <c r="CD118" s="109"/>
      <c r="CE118" s="109"/>
      <c r="CF118" s="109"/>
      <c r="CG118" s="109"/>
      <c r="CH118" s="109"/>
      <c r="CI118" s="109"/>
      <c r="CK118" s="11"/>
      <c r="CL118" s="241">
        <f t="shared" si="204"/>
        <v>0</v>
      </c>
      <c r="CM118" s="11"/>
      <c r="CO118" s="7" cm="1">
        <f t="array" ref="CO118">SUMPRODUCT(--NOT(ISNUMBER(V118:CI118)),--NOT(ISBLANK(V118:CI118)))</f>
        <v>0</v>
      </c>
      <c r="CP118" s="7">
        <f t="shared" si="205"/>
        <v>0</v>
      </c>
      <c r="CQ118" s="7">
        <f t="shared" si="206"/>
        <v>0</v>
      </c>
      <c r="CR118" s="7">
        <f t="shared" si="207"/>
        <v>0</v>
      </c>
      <c r="CS118" s="11"/>
      <c r="CT118" s="215">
        <f t="shared" si="208"/>
        <v>0</v>
      </c>
      <c r="CU118" s="215">
        <f t="shared" si="209"/>
        <v>0</v>
      </c>
      <c r="CV118" s="215">
        <f t="shared" si="210"/>
        <v>0</v>
      </c>
      <c r="CW118" s="215">
        <f t="shared" si="211"/>
        <v>0</v>
      </c>
      <c r="CX118" s="215">
        <f t="shared" si="212"/>
        <v>0</v>
      </c>
      <c r="CY118" s="215">
        <f t="shared" si="213"/>
        <v>0</v>
      </c>
      <c r="CZ118" s="215">
        <f t="shared" si="214"/>
        <v>0</v>
      </c>
      <c r="DT118" s="11"/>
      <c r="DU118" s="4">
        <v>1</v>
      </c>
      <c r="DV118">
        <v>1</v>
      </c>
      <c r="DW118" s="11"/>
      <c r="EY118" s="10" t="str">
        <f t="shared" si="196"/>
        <v>Teaching and other support costs</v>
      </c>
    </row>
    <row r="119" spans="1:155" x14ac:dyDescent="0.35">
      <c r="A119" s="220" cm="1">
        <f t="array" aca="1" ref="A119" ca="1">HYPERLINK("#"&amp;IFERROR(CELL("address",IF(MAX($CM119:$CS119)=0,A119,INDEX($CM119:$CS119,MATCH(1,$CM119:$CS119,0)))),CELL("address",$V119:$CI119)),IFERROR(MAX($CM119:$CS119),1))</f>
        <v>0</v>
      </c>
      <c r="B119" s="85" t="s">
        <v>122</v>
      </c>
      <c r="C119" s="213" t="str">
        <f>CONCATENATE("M-", 'I&amp;E Annual'!C119)</f>
        <v>M-IE-2b-3</v>
      </c>
      <c r="D119" s="57" t="s">
        <v>416</v>
      </c>
      <c r="H119" t="s">
        <v>403</v>
      </c>
      <c r="V119" s="109"/>
      <c r="W119" s="133">
        <f t="shared" si="199"/>
        <v>0</v>
      </c>
      <c r="X119" s="133">
        <f t="shared" si="199"/>
        <v>0</v>
      </c>
      <c r="Y119" s="133">
        <f t="shared" si="199"/>
        <v>0</v>
      </c>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X119" s="10">
        <f t="shared" si="200"/>
        <v>0</v>
      </c>
      <c r="BY119" s="10">
        <f t="shared" si="201"/>
        <v>0</v>
      </c>
      <c r="BZ119" s="10">
        <f t="shared" si="202"/>
        <v>0</v>
      </c>
      <c r="CA119" s="10">
        <f t="shared" si="203"/>
        <v>0</v>
      </c>
      <c r="CB119" s="109"/>
      <c r="CC119" s="109"/>
      <c r="CD119" s="109"/>
      <c r="CE119" s="109"/>
      <c r="CF119" s="109"/>
      <c r="CG119" s="109"/>
      <c r="CH119" s="109"/>
      <c r="CI119" s="109"/>
      <c r="CK119" s="11"/>
      <c r="CL119" s="241">
        <f t="shared" si="204"/>
        <v>0</v>
      </c>
      <c r="CM119" s="11"/>
      <c r="CO119" s="7" cm="1">
        <f t="array" ref="CO119">SUMPRODUCT(--NOT(ISNUMBER(V119:CI119)),--NOT(ISBLANK(V119:CI119)))</f>
        <v>0</v>
      </c>
      <c r="CP119" s="7">
        <f t="shared" si="205"/>
        <v>0</v>
      </c>
      <c r="CQ119" s="7">
        <f t="shared" si="206"/>
        <v>0</v>
      </c>
      <c r="CR119" s="7">
        <f t="shared" si="207"/>
        <v>0</v>
      </c>
      <c r="CS119" s="11"/>
      <c r="CT119" s="215">
        <f t="shared" si="208"/>
        <v>0</v>
      </c>
      <c r="CU119" s="215">
        <f t="shared" si="209"/>
        <v>0</v>
      </c>
      <c r="CV119" s="215">
        <f t="shared" si="210"/>
        <v>0</v>
      </c>
      <c r="CW119" s="215">
        <f t="shared" si="211"/>
        <v>0</v>
      </c>
      <c r="CX119" s="215">
        <f t="shared" si="212"/>
        <v>0</v>
      </c>
      <c r="CY119" s="215">
        <f t="shared" si="213"/>
        <v>0</v>
      </c>
      <c r="CZ119" s="215">
        <f t="shared" si="214"/>
        <v>0</v>
      </c>
      <c r="DT119" s="11"/>
      <c r="DU119" s="4">
        <v>1</v>
      </c>
      <c r="DV119">
        <v>1</v>
      </c>
      <c r="DW119" s="11"/>
      <c r="EY119" s="10" t="str">
        <f t="shared" si="196"/>
        <v>Administration costs</v>
      </c>
    </row>
    <row r="120" spans="1:155" x14ac:dyDescent="0.35">
      <c r="A120" s="220" cm="1">
        <f t="array" aca="1" ref="A120" ca="1">HYPERLINK("#"&amp;IFERROR(CELL("address",IF(MAX($CM120:$CS120)=0,A120,INDEX($CM120:$CS120,MATCH(1,$CM120:$CS120,0)))),CELL("address",$V120:$CI120)),IFERROR(MAX($CM120:$CS120),1))</f>
        <v>0</v>
      </c>
      <c r="C120" s="213" t="str">
        <f>CONCATENATE("M-", 'I&amp;E Annual'!C120)</f>
        <v>M-IE-2b-5</v>
      </c>
      <c r="D120" s="57" t="s">
        <v>417</v>
      </c>
      <c r="H120" t="s">
        <v>403</v>
      </c>
      <c r="V120" s="109"/>
      <c r="W120" s="133">
        <f t="shared" si="199"/>
        <v>0</v>
      </c>
      <c r="X120" s="133">
        <f t="shared" si="199"/>
        <v>0</v>
      </c>
      <c r="Y120" s="133">
        <f t="shared" si="199"/>
        <v>0</v>
      </c>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X120" s="10">
        <f t="shared" si="200"/>
        <v>0</v>
      </c>
      <c r="BY120" s="10">
        <f t="shared" si="201"/>
        <v>0</v>
      </c>
      <c r="BZ120" s="10">
        <f t="shared" si="202"/>
        <v>0</v>
      </c>
      <c r="CA120" s="10">
        <f t="shared" si="203"/>
        <v>0</v>
      </c>
      <c r="CB120" s="109"/>
      <c r="CC120" s="109"/>
      <c r="CD120" s="109"/>
      <c r="CE120" s="109"/>
      <c r="CF120" s="109"/>
      <c r="CG120" s="109"/>
      <c r="CH120" s="109"/>
      <c r="CI120" s="109"/>
      <c r="CK120" s="11"/>
      <c r="CL120" s="241">
        <f t="shared" si="204"/>
        <v>0</v>
      </c>
      <c r="CM120" s="11"/>
      <c r="CO120" s="7" cm="1">
        <f t="array" ref="CO120">SUMPRODUCT(--NOT(ISNUMBER(V120:CI120)),--NOT(ISBLANK(V120:CI120)))</f>
        <v>0</v>
      </c>
      <c r="CP120" s="7">
        <f t="shared" si="205"/>
        <v>0</v>
      </c>
      <c r="CQ120" s="7">
        <f t="shared" si="206"/>
        <v>0</v>
      </c>
      <c r="CR120" s="7">
        <f t="shared" si="207"/>
        <v>0</v>
      </c>
      <c r="CS120" s="11"/>
      <c r="CT120" s="215">
        <f t="shared" si="208"/>
        <v>0</v>
      </c>
      <c r="CU120" s="215">
        <f t="shared" si="209"/>
        <v>0</v>
      </c>
      <c r="CV120" s="215">
        <f t="shared" si="210"/>
        <v>0</v>
      </c>
      <c r="CW120" s="215">
        <f t="shared" si="211"/>
        <v>0</v>
      </c>
      <c r="CX120" s="215">
        <f t="shared" si="212"/>
        <v>0</v>
      </c>
      <c r="CY120" s="215">
        <f t="shared" si="213"/>
        <v>0</v>
      </c>
      <c r="CZ120" s="215">
        <f t="shared" si="214"/>
        <v>0</v>
      </c>
      <c r="DT120" s="11"/>
      <c r="DU120" s="4">
        <v>1</v>
      </c>
      <c r="DV120">
        <v>1</v>
      </c>
      <c r="DW120" s="11"/>
      <c r="EY120" s="10" t="str">
        <f t="shared" si="196"/>
        <v>Examination costs</v>
      </c>
    </row>
    <row r="121" spans="1:155" x14ac:dyDescent="0.35">
      <c r="A121" s="220" cm="1">
        <f t="array" aca="1" ref="A121" ca="1">HYPERLINK("#"&amp;IFERROR(CELL("address",IF(MAX($CM121:$CS121)=0,A121,INDEX($CM121:$CS121,MATCH(1,$CM121:$CS121,0)))),CELL("address",$V121:$CI121)),IFERROR(MAX($CM121:$CS121),1))</f>
        <v>0</v>
      </c>
      <c r="C121" s="213" t="str">
        <f>CONCATENATE("M-", 'I&amp;E Annual'!C121)</f>
        <v>M-IE-2b-6</v>
      </c>
      <c r="D121" s="57" t="s">
        <v>418</v>
      </c>
      <c r="H121" t="s">
        <v>403</v>
      </c>
      <c r="V121" s="109"/>
      <c r="W121" s="133">
        <f t="shared" si="199"/>
        <v>0</v>
      </c>
      <c r="X121" s="133">
        <f t="shared" si="199"/>
        <v>0</v>
      </c>
      <c r="Y121" s="133">
        <f t="shared" si="199"/>
        <v>0</v>
      </c>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X121" s="10">
        <f t="shared" si="200"/>
        <v>0</v>
      </c>
      <c r="BY121" s="10">
        <f t="shared" si="201"/>
        <v>0</v>
      </c>
      <c r="BZ121" s="10">
        <f t="shared" si="202"/>
        <v>0</v>
      </c>
      <c r="CA121" s="10">
        <f t="shared" si="203"/>
        <v>0</v>
      </c>
      <c r="CB121" s="109"/>
      <c r="CC121" s="109"/>
      <c r="CD121" s="109"/>
      <c r="CE121" s="109"/>
      <c r="CF121" s="109"/>
      <c r="CG121" s="109"/>
      <c r="CH121" s="109"/>
      <c r="CI121" s="109"/>
      <c r="CK121" s="11"/>
      <c r="CL121" s="241">
        <f t="shared" si="204"/>
        <v>0</v>
      </c>
      <c r="CM121" s="11"/>
      <c r="CO121" s="7" cm="1">
        <f t="array" ref="CO121">SUMPRODUCT(--NOT(ISNUMBER(V121:CI121)),--NOT(ISBLANK(V121:CI121)))</f>
        <v>0</v>
      </c>
      <c r="CP121" s="7">
        <f t="shared" si="205"/>
        <v>0</v>
      </c>
      <c r="CQ121" s="7">
        <f t="shared" si="206"/>
        <v>0</v>
      </c>
      <c r="CR121" s="7">
        <f t="shared" si="207"/>
        <v>0</v>
      </c>
      <c r="CS121" s="11"/>
      <c r="CT121" s="215">
        <f t="shared" si="208"/>
        <v>0</v>
      </c>
      <c r="CU121" s="215">
        <f t="shared" si="209"/>
        <v>0</v>
      </c>
      <c r="CV121" s="215">
        <f t="shared" si="210"/>
        <v>0</v>
      </c>
      <c r="CW121" s="215">
        <f t="shared" si="211"/>
        <v>0</v>
      </c>
      <c r="CX121" s="215">
        <f t="shared" si="212"/>
        <v>0</v>
      </c>
      <c r="CY121" s="215">
        <f t="shared" si="213"/>
        <v>0</v>
      </c>
      <c r="CZ121" s="215">
        <f t="shared" si="214"/>
        <v>0</v>
      </c>
      <c r="DT121" s="11"/>
      <c r="DU121" s="4">
        <v>1</v>
      </c>
      <c r="DV121">
        <v>1</v>
      </c>
      <c r="DW121" s="11"/>
      <c r="EY121" s="10" t="str">
        <f t="shared" si="196"/>
        <v>Rent and lease costs</v>
      </c>
    </row>
    <row r="122" spans="1:155" x14ac:dyDescent="0.35">
      <c r="A122" s="220" cm="1">
        <f t="array" aca="1" ref="A122" ca="1">HYPERLINK("#"&amp;IFERROR(CELL("address",IF(MAX($CM122:$CS122)=0,A122,INDEX($CM122:$CS122,MATCH(1,$CM122:$CS122,0)))),CELL("address",$V122:$CI122)),IFERROR(MAX($CM122:$CS122),1))</f>
        <v>0</v>
      </c>
      <c r="C122" s="213" t="str">
        <f>CONCATENATE("M-", 'I&amp;E Annual'!C122)</f>
        <v>M-IE-2b-7</v>
      </c>
      <c r="D122" s="57" t="s">
        <v>419</v>
      </c>
      <c r="H122" t="s">
        <v>403</v>
      </c>
      <c r="V122" s="109"/>
      <c r="W122" s="133">
        <f t="shared" si="199"/>
        <v>0</v>
      </c>
      <c r="X122" s="133">
        <f t="shared" si="199"/>
        <v>0</v>
      </c>
      <c r="Y122" s="133">
        <f t="shared" si="199"/>
        <v>0</v>
      </c>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X122" s="10">
        <f t="shared" si="200"/>
        <v>0</v>
      </c>
      <c r="BY122" s="10">
        <f t="shared" si="201"/>
        <v>0</v>
      </c>
      <c r="BZ122" s="10">
        <f t="shared" si="202"/>
        <v>0</v>
      </c>
      <c r="CA122" s="10">
        <f t="shared" si="203"/>
        <v>0</v>
      </c>
      <c r="CB122" s="109"/>
      <c r="CC122" s="109"/>
      <c r="CD122" s="109"/>
      <c r="CE122" s="109"/>
      <c r="CF122" s="109"/>
      <c r="CG122" s="109"/>
      <c r="CH122" s="109"/>
      <c r="CI122" s="109"/>
      <c r="CK122" s="11"/>
      <c r="CL122" s="241">
        <f t="shared" si="204"/>
        <v>0</v>
      </c>
      <c r="CM122" s="11"/>
      <c r="CO122" s="7" cm="1">
        <f t="array" ref="CO122">SUMPRODUCT(--NOT(ISNUMBER(V122:CI122)),--NOT(ISBLANK(V122:CI122)))</f>
        <v>0</v>
      </c>
      <c r="CP122" s="7">
        <f t="shared" si="205"/>
        <v>0</v>
      </c>
      <c r="CQ122" s="7">
        <f t="shared" si="206"/>
        <v>0</v>
      </c>
      <c r="CR122" s="7">
        <f t="shared" si="207"/>
        <v>0</v>
      </c>
      <c r="CS122" s="11"/>
      <c r="CT122" s="215">
        <f t="shared" si="208"/>
        <v>0</v>
      </c>
      <c r="CU122" s="215">
        <f t="shared" si="209"/>
        <v>0</v>
      </c>
      <c r="CV122" s="215">
        <f t="shared" si="210"/>
        <v>0</v>
      </c>
      <c r="CW122" s="215">
        <f t="shared" si="211"/>
        <v>0</v>
      </c>
      <c r="CX122" s="215">
        <f t="shared" si="212"/>
        <v>0</v>
      </c>
      <c r="CY122" s="215">
        <f t="shared" si="213"/>
        <v>0</v>
      </c>
      <c r="CZ122" s="215">
        <f t="shared" si="214"/>
        <v>0</v>
      </c>
      <c r="DT122" s="11"/>
      <c r="DU122" s="4">
        <v>1</v>
      </c>
      <c r="DV122">
        <v>1</v>
      </c>
      <c r="DW122" s="11"/>
      <c r="EY122" s="10" t="str">
        <f t="shared" si="196"/>
        <v>Commercial costs</v>
      </c>
    </row>
    <row r="123" spans="1:155" x14ac:dyDescent="0.35">
      <c r="A123" s="220" cm="1">
        <f t="array" aca="1" ref="A123" ca="1">HYPERLINK("#"&amp;IFERROR(CELL("address",IF(MAX($CM123:$DS123)=0,A123,INDEX($CM123:$DS123,MATCH(1,$CM123:$DS123,0)))),CELL("address",$V123:$CI123)),IFERROR(MAX($CM123:$DS123),1))</f>
        <v>0</v>
      </c>
      <c r="B123" s="85" t="s">
        <v>122</v>
      </c>
      <c r="C123" s="213" t="str">
        <f>CONCATENATE("M-", 'I&amp;E Annual'!C123)</f>
        <v>M-IE-2b-8</v>
      </c>
      <c r="D123" s="57" t="s">
        <v>420</v>
      </c>
      <c r="E123" s="611"/>
      <c r="H123" t="s">
        <v>403</v>
      </c>
      <c r="V123" s="109"/>
      <c r="W123" s="133">
        <f t="shared" si="199"/>
        <v>0</v>
      </c>
      <c r="X123" s="133">
        <f t="shared" si="199"/>
        <v>0</v>
      </c>
      <c r="Y123" s="133">
        <f t="shared" si="199"/>
        <v>0</v>
      </c>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X123" s="10">
        <f t="shared" si="200"/>
        <v>0</v>
      </c>
      <c r="BY123" s="10">
        <f t="shared" si="201"/>
        <v>0</v>
      </c>
      <c r="BZ123" s="10">
        <f t="shared" si="202"/>
        <v>0</v>
      </c>
      <c r="CA123" s="10">
        <f t="shared" si="203"/>
        <v>0</v>
      </c>
      <c r="CB123" s="109"/>
      <c r="CC123" s="109"/>
      <c r="CD123" s="109"/>
      <c r="CE123" s="109"/>
      <c r="CF123" s="109"/>
      <c r="CG123" s="109"/>
      <c r="CH123" s="109"/>
      <c r="CI123" s="109"/>
      <c r="CK123" s="11"/>
      <c r="CL123" s="241">
        <f t="shared" si="204"/>
        <v>0</v>
      </c>
      <c r="CM123" s="11"/>
      <c r="CO123" s="7" cm="1">
        <f t="array" ref="CO123">SUMPRODUCT(--NOT(ISNUMBER(V123:CI123)),--NOT(ISBLANK(V123:CI123)))</f>
        <v>0</v>
      </c>
      <c r="CP123" s="7">
        <f t="shared" si="205"/>
        <v>0</v>
      </c>
      <c r="CQ123" s="7">
        <f t="shared" si="206"/>
        <v>0</v>
      </c>
      <c r="CR123" s="7">
        <f t="shared" si="207"/>
        <v>0</v>
      </c>
      <c r="CS123" s="11"/>
      <c r="CT123" s="215">
        <f t="shared" si="208"/>
        <v>0</v>
      </c>
      <c r="CU123" s="215">
        <f t="shared" si="209"/>
        <v>0</v>
      </c>
      <c r="CV123" s="215">
        <f t="shared" si="210"/>
        <v>0</v>
      </c>
      <c r="CW123" s="215">
        <f t="shared" si="211"/>
        <v>0</v>
      </c>
      <c r="CX123" s="215">
        <f t="shared" si="212"/>
        <v>0</v>
      </c>
      <c r="CY123" s="215">
        <f t="shared" si="213"/>
        <v>0</v>
      </c>
      <c r="CZ123" s="215">
        <f t="shared" si="214"/>
        <v>0</v>
      </c>
      <c r="DB123" s="85" t="s">
        <v>122</v>
      </c>
      <c r="DC123" s="7">
        <f>IF(AND(V123&lt;&gt;0,V14=0,V24=0,V30=0,V39=0,V47=0,V54=0, V61=0),1,0)</f>
        <v>0</v>
      </c>
      <c r="DD123" s="7"/>
      <c r="DE123" s="7"/>
      <c r="DF123" s="7"/>
      <c r="DH123" s="7">
        <f>IF(AND(BX123&lt;&gt;0,BX14=0,BX24=0,BX30=0,BX39=0,BX47=0,BX54=0,BX61=0),1,0)</f>
        <v>0</v>
      </c>
      <c r="DI123" s="7"/>
      <c r="DJ123" s="7"/>
      <c r="DK123" s="7"/>
      <c r="DL123" s="7">
        <f>IF(AND(CB123&lt;&gt;0,CB14=0,CB24=0,CB30=0,CB39=0,CB47=0,CB54=0,CB61=0),1,0)</f>
        <v>0</v>
      </c>
      <c r="DM123" s="7">
        <f t="shared" ref="DM123:DS123" si="215">IF(AND(CC123&lt;&gt;0,CC14=0,CC24=0,CC30=0,CC39=0,CC47=0,CC54=0,CC61=0),1,0)</f>
        <v>0</v>
      </c>
      <c r="DN123" s="7">
        <f t="shared" si="215"/>
        <v>0</v>
      </c>
      <c r="DO123" s="7">
        <f t="shared" si="215"/>
        <v>0</v>
      </c>
      <c r="DP123" s="7">
        <f t="shared" si="215"/>
        <v>0</v>
      </c>
      <c r="DQ123" s="7">
        <f t="shared" si="215"/>
        <v>0</v>
      </c>
      <c r="DR123" s="7">
        <f t="shared" si="215"/>
        <v>0</v>
      </c>
      <c r="DS123" s="7">
        <f t="shared" si="215"/>
        <v>0</v>
      </c>
      <c r="DT123" s="11"/>
      <c r="DU123" s="4">
        <v>1</v>
      </c>
      <c r="DV123">
        <v>1</v>
      </c>
      <c r="DW123" s="11"/>
      <c r="EY123" s="10" t="str">
        <f t="shared" si="196"/>
        <v>Subcontracting out costs</v>
      </c>
    </row>
    <row r="124" spans="1:155" x14ac:dyDescent="0.35">
      <c r="A124" s="220" cm="1">
        <f t="array" aca="1" ref="A124" ca="1">HYPERLINK("#"&amp;IFERROR(CELL("address",IF(MAX($CM124:$CS124)=0,A124,INDEX($CM124:$CS124,MATCH(1,$CM124:$CS124,0)))),CELL("address",$V124:$CI124)),IFERROR(MAX($CM124:$CS124),1))</f>
        <v>0</v>
      </c>
      <c r="B124" s="85" t="s">
        <v>122</v>
      </c>
      <c r="C124" s="213" t="str">
        <f>CONCATENATE("M-", 'I&amp;E Annual'!C124)</f>
        <v>M-IE-2b-9</v>
      </c>
      <c r="D124" s="57" t="s">
        <v>421</v>
      </c>
      <c r="H124" t="s">
        <v>403</v>
      </c>
      <c r="V124" s="109"/>
      <c r="W124" s="133">
        <f t="shared" si="199"/>
        <v>0</v>
      </c>
      <c r="X124" s="133">
        <f t="shared" si="199"/>
        <v>0</v>
      </c>
      <c r="Y124" s="133">
        <f t="shared" si="199"/>
        <v>0</v>
      </c>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X124" s="10">
        <f t="shared" ref="BX124:BX130" si="216">V124</f>
        <v>0</v>
      </c>
      <c r="BY124" s="10">
        <f t="shared" ref="BY124:BY130" si="217">W124</f>
        <v>0</v>
      </c>
      <c r="BZ124" s="10">
        <f t="shared" ref="BZ124:BZ130" si="218">X124</f>
        <v>0</v>
      </c>
      <c r="CA124" s="10">
        <f t="shared" ref="CA124:CA130" si="219">Y124</f>
        <v>0</v>
      </c>
      <c r="CB124" s="109"/>
      <c r="CC124" s="109"/>
      <c r="CD124" s="109"/>
      <c r="CE124" s="109"/>
      <c r="CF124" s="109"/>
      <c r="CG124" s="109"/>
      <c r="CH124" s="109"/>
      <c r="CI124" s="109"/>
      <c r="CK124" s="11"/>
      <c r="CL124" s="241">
        <f t="shared" si="204"/>
        <v>0</v>
      </c>
      <c r="CM124" s="11"/>
      <c r="CO124" s="7" cm="1">
        <f t="array" ref="CO124">SUMPRODUCT(--NOT(ISNUMBER(V124:CI124)),--NOT(ISBLANK(V124:CI124)))</f>
        <v>0</v>
      </c>
      <c r="CP124" s="7">
        <f t="shared" si="205"/>
        <v>0</v>
      </c>
      <c r="CQ124" s="7">
        <f t="shared" si="206"/>
        <v>0</v>
      </c>
      <c r="CR124" s="7">
        <f t="shared" si="207"/>
        <v>0</v>
      </c>
      <c r="CS124" s="11"/>
      <c r="CT124" s="215">
        <f t="shared" si="208"/>
        <v>0</v>
      </c>
      <c r="CU124" s="215">
        <f t="shared" si="209"/>
        <v>0</v>
      </c>
      <c r="CV124" s="215">
        <f t="shared" si="210"/>
        <v>0</v>
      </c>
      <c r="CW124" s="215">
        <f t="shared" si="211"/>
        <v>0</v>
      </c>
      <c r="CX124" s="215">
        <f t="shared" si="212"/>
        <v>0</v>
      </c>
      <c r="CY124" s="215">
        <f t="shared" si="213"/>
        <v>0</v>
      </c>
      <c r="CZ124" s="215">
        <f t="shared" si="214"/>
        <v>0</v>
      </c>
      <c r="DT124" s="11"/>
      <c r="DU124" s="4">
        <v>1</v>
      </c>
      <c r="DV124">
        <v>1</v>
      </c>
      <c r="DW124" s="11"/>
      <c r="EY124" s="10" t="str">
        <f t="shared" si="196"/>
        <v>Bad debt provision costs</v>
      </c>
    </row>
    <row r="125" spans="1:155" x14ac:dyDescent="0.35">
      <c r="A125" s="220" cm="1">
        <f t="array" aca="1" ref="A125" ca="1">HYPERLINK("#"&amp;IFERROR(CELL("address",IF(MAX($CM125:$CS125)=0,A125,INDEX($CM125:$CS125,MATCH(1,$CM125:$CS125,0)))),CELL("address",$V125:$CI125)),IFERROR(MAX($CM125:$CS125),1))</f>
        <v>0</v>
      </c>
      <c r="B125" s="85" t="s">
        <v>122</v>
      </c>
      <c r="C125" s="213" t="str">
        <f>CONCATENATE("M-", 'I&amp;E Annual'!C125)</f>
        <v>M-IE-2b-10</v>
      </c>
      <c r="D125" s="57" t="s">
        <v>422</v>
      </c>
      <c r="H125" t="s">
        <v>403</v>
      </c>
      <c r="V125" s="109"/>
      <c r="W125" s="133">
        <f t="shared" si="199"/>
        <v>0</v>
      </c>
      <c r="X125" s="133">
        <f t="shared" si="199"/>
        <v>0</v>
      </c>
      <c r="Y125" s="133">
        <f t="shared" si="199"/>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X125" s="10">
        <f t="shared" si="216"/>
        <v>0</v>
      </c>
      <c r="BY125" s="10">
        <f t="shared" si="217"/>
        <v>0</v>
      </c>
      <c r="BZ125" s="10">
        <f t="shared" si="218"/>
        <v>0</v>
      </c>
      <c r="CA125" s="10">
        <f t="shared" si="219"/>
        <v>0</v>
      </c>
      <c r="CB125" s="109"/>
      <c r="CC125" s="109"/>
      <c r="CD125" s="109"/>
      <c r="CE125" s="109"/>
      <c r="CF125" s="109"/>
      <c r="CG125" s="109"/>
      <c r="CH125" s="109"/>
      <c r="CI125" s="109"/>
      <c r="CK125" s="11"/>
      <c r="CL125" s="241">
        <f t="shared" si="204"/>
        <v>0</v>
      </c>
      <c r="CM125" s="11"/>
      <c r="CO125" s="7" cm="1">
        <f t="array" ref="CO125">SUMPRODUCT(--NOT(ISNUMBER(V125:CI125)),--NOT(ISBLANK(V125:CI125)))</f>
        <v>0</v>
      </c>
      <c r="CP125" s="7">
        <f t="shared" si="205"/>
        <v>0</v>
      </c>
      <c r="CQ125" s="7">
        <f t="shared" si="206"/>
        <v>0</v>
      </c>
      <c r="CR125" s="7">
        <f t="shared" si="207"/>
        <v>0</v>
      </c>
      <c r="CS125" s="11"/>
      <c r="CT125" s="215">
        <f t="shared" si="208"/>
        <v>0</v>
      </c>
      <c r="CU125" s="215">
        <f t="shared" si="209"/>
        <v>0</v>
      </c>
      <c r="CV125" s="215">
        <f t="shared" si="210"/>
        <v>0</v>
      </c>
      <c r="CW125" s="215">
        <f t="shared" si="211"/>
        <v>0</v>
      </c>
      <c r="CX125" s="215">
        <f t="shared" si="212"/>
        <v>0</v>
      </c>
      <c r="CY125" s="215">
        <f t="shared" si="213"/>
        <v>0</v>
      </c>
      <c r="CZ125" s="215">
        <f t="shared" si="214"/>
        <v>0</v>
      </c>
      <c r="DT125" s="11"/>
      <c r="DU125" s="4">
        <v>1</v>
      </c>
      <c r="DV125">
        <v>1</v>
      </c>
      <c r="DW125" s="11"/>
      <c r="EY125" s="10" t="str">
        <f t="shared" si="196"/>
        <v>Other operating expenditure costs</v>
      </c>
    </row>
    <row r="126" spans="1:155" x14ac:dyDescent="0.35">
      <c r="A126" s="220" cm="1">
        <f t="array" aca="1" ref="A126" ca="1">HYPERLINK("#"&amp;IFERROR(CELL("address",IF(MAX($CM126:$CS126)=0,A126,INDEX($CM126:$CS126,MATCH(1,$CM126:$CS126,0)))),CELL("address",$V126:$CI126)),IFERROR(MAX($CM126:$CS126),1))</f>
        <v>0</v>
      </c>
      <c r="B126" s="126"/>
      <c r="C126" s="213" t="str">
        <f>CONCATENATE("M-", 'I&amp;E Annual'!C126)</f>
        <v>M-IE-2b-11</v>
      </c>
      <c r="D126" s="185" t="s">
        <v>423</v>
      </c>
      <c r="E126" s="630" t="str" cm="1">
        <f t="array" aca="1" ref="E126" ca="1">HYPERLINK(CONCATENATE("#",CELL("address",'BS Forecasts'!$D$240)),'BS Forecasts'!$D$238)</f>
        <v>Other Provisions</v>
      </c>
      <c r="H126" t="s">
        <v>403</v>
      </c>
      <c r="V126" s="133">
        <f>'BS Forecasts'!V240</f>
        <v>0</v>
      </c>
      <c r="W126" s="133">
        <f>'BS Forecasts'!W240</f>
        <v>0</v>
      </c>
      <c r="X126" s="133">
        <f>'BS Forecasts'!X240</f>
        <v>0</v>
      </c>
      <c r="Y126" s="133">
        <f>'BS Forecasts'!Y240</f>
        <v>0</v>
      </c>
      <c r="AA126" s="133">
        <f>'BS Forecasts'!AA240</f>
        <v>0</v>
      </c>
      <c r="AB126" s="133">
        <f>'BS Forecasts'!AB240</f>
        <v>0</v>
      </c>
      <c r="AC126" s="133">
        <f>'BS Forecasts'!AC240</f>
        <v>0</v>
      </c>
      <c r="AD126" s="133">
        <f>'BS Forecasts'!AD240</f>
        <v>0</v>
      </c>
      <c r="AE126" s="133">
        <f>'BS Forecasts'!AE240</f>
        <v>0</v>
      </c>
      <c r="AF126" s="133">
        <f>'BS Forecasts'!AF240</f>
        <v>0</v>
      </c>
      <c r="AG126" s="133">
        <f>'BS Forecasts'!AG240</f>
        <v>0</v>
      </c>
      <c r="AH126" s="133">
        <f>'BS Forecasts'!AH240</f>
        <v>0</v>
      </c>
      <c r="AI126" s="133">
        <f>'BS Forecasts'!AI240</f>
        <v>0</v>
      </c>
      <c r="AJ126" s="133">
        <f>'BS Forecasts'!AJ240</f>
        <v>0</v>
      </c>
      <c r="AK126" s="133">
        <f>'BS Forecasts'!AK240</f>
        <v>0</v>
      </c>
      <c r="AL126" s="133">
        <f>'BS Forecasts'!AL240</f>
        <v>0</v>
      </c>
      <c r="AM126" s="133">
        <f>'BS Forecasts'!AM240</f>
        <v>0</v>
      </c>
      <c r="AN126" s="133">
        <f>'BS Forecasts'!AN240</f>
        <v>0</v>
      </c>
      <c r="AO126" s="133">
        <f>'BS Forecasts'!AO240</f>
        <v>0</v>
      </c>
      <c r="AP126" s="133">
        <f>'BS Forecasts'!AP240</f>
        <v>0</v>
      </c>
      <c r="AQ126" s="133">
        <f>'BS Forecasts'!AQ240</f>
        <v>0</v>
      </c>
      <c r="AR126" s="133">
        <f>'BS Forecasts'!AR240</f>
        <v>0</v>
      </c>
      <c r="AS126" s="133">
        <f>'BS Forecasts'!AS240</f>
        <v>0</v>
      </c>
      <c r="AT126" s="133">
        <f>'BS Forecasts'!AT240</f>
        <v>0</v>
      </c>
      <c r="AU126" s="133">
        <f>'BS Forecasts'!AU240</f>
        <v>0</v>
      </c>
      <c r="AV126" s="133">
        <f>'BS Forecasts'!AV240</f>
        <v>0</v>
      </c>
      <c r="AW126" s="133">
        <f>'BS Forecasts'!AW240</f>
        <v>0</v>
      </c>
      <c r="AX126" s="133">
        <f>'BS Forecasts'!AX240</f>
        <v>0</v>
      </c>
      <c r="AY126" s="133">
        <f>'BS Forecasts'!AY240</f>
        <v>0</v>
      </c>
      <c r="AZ126" s="133">
        <f>'BS Forecasts'!AZ240</f>
        <v>0</v>
      </c>
      <c r="BA126" s="133">
        <f>'BS Forecasts'!BA240</f>
        <v>0</v>
      </c>
      <c r="BB126" s="133">
        <f>'BS Forecasts'!BB240</f>
        <v>0</v>
      </c>
      <c r="BC126" s="133">
        <f>'BS Forecasts'!BC240</f>
        <v>0</v>
      </c>
      <c r="BD126" s="133">
        <f>'BS Forecasts'!BD240</f>
        <v>0</v>
      </c>
      <c r="BE126" s="133">
        <f>'BS Forecasts'!BE240</f>
        <v>0</v>
      </c>
      <c r="BF126" s="133">
        <f>'BS Forecasts'!BF240</f>
        <v>0</v>
      </c>
      <c r="BG126" s="133">
        <f>'BS Forecasts'!BG240</f>
        <v>0</v>
      </c>
      <c r="BH126" s="133">
        <f>'BS Forecasts'!BH240</f>
        <v>0</v>
      </c>
      <c r="BI126" s="133">
        <f>'BS Forecasts'!BI240</f>
        <v>0</v>
      </c>
      <c r="BJ126" s="133">
        <f>'BS Forecasts'!BJ240</f>
        <v>0</v>
      </c>
      <c r="BX126" s="133">
        <f>'BS Forecasts'!BX240</f>
        <v>0</v>
      </c>
      <c r="BY126" s="133">
        <f>'BS Forecasts'!BY240</f>
        <v>0</v>
      </c>
      <c r="BZ126" s="133">
        <f>'BS Forecasts'!BZ240</f>
        <v>0</v>
      </c>
      <c r="CA126" s="133">
        <f>'BS Forecasts'!CA240</f>
        <v>0</v>
      </c>
      <c r="CB126" s="133">
        <f>'BS Forecasts'!CB240</f>
        <v>0</v>
      </c>
      <c r="CC126" s="133">
        <f>'BS Forecasts'!CC240</f>
        <v>0</v>
      </c>
      <c r="CD126" s="133">
        <f>'BS Forecasts'!CD240</f>
        <v>0</v>
      </c>
      <c r="CE126" s="133">
        <f>'BS Forecasts'!CE240</f>
        <v>0</v>
      </c>
      <c r="CF126" s="133">
        <f>'BS Forecasts'!CF240</f>
        <v>0</v>
      </c>
      <c r="CG126" s="133">
        <f>'BS Forecasts'!CG240</f>
        <v>0</v>
      </c>
      <c r="CH126" s="133">
        <f>'BS Forecasts'!CH240</f>
        <v>0</v>
      </c>
      <c r="CI126" s="133">
        <f>'BS Forecasts'!CI240</f>
        <v>0</v>
      </c>
      <c r="CK126" s="11"/>
      <c r="CL126" s="241">
        <f t="shared" si="204"/>
        <v>0</v>
      </c>
      <c r="CM126" s="11"/>
      <c r="CO126" s="7" cm="1">
        <f t="array" ref="CO126">SUMPRODUCT(--NOT(ISNUMBER(V126:CI126)),--NOT(ISBLANK(V126:CI126)))</f>
        <v>0</v>
      </c>
      <c r="CP126" s="7">
        <f t="shared" si="205"/>
        <v>0</v>
      </c>
      <c r="CQ126" s="7">
        <f t="shared" si="206"/>
        <v>0</v>
      </c>
      <c r="CR126" s="7">
        <f t="shared" si="207"/>
        <v>0</v>
      </c>
      <c r="CS126" s="11"/>
      <c r="CT126" s="215">
        <f t="shared" ref="CT126:CV131" si="220">ROUND(W126-SUMIFS($AA126:$BJ126, $AA$3:$BJ$3, W$3), rounding)</f>
        <v>0</v>
      </c>
      <c r="CU126" s="215">
        <f t="shared" si="220"/>
        <v>0</v>
      </c>
      <c r="CV126" s="215">
        <f t="shared" si="220"/>
        <v>0</v>
      </c>
      <c r="CW126" s="215">
        <f t="shared" si="211"/>
        <v>0</v>
      </c>
      <c r="CX126" s="215">
        <f t="shared" si="212"/>
        <v>0</v>
      </c>
      <c r="CY126" s="215">
        <f t="shared" si="213"/>
        <v>0</v>
      </c>
      <c r="CZ126" s="215">
        <f t="shared" si="214"/>
        <v>0</v>
      </c>
      <c r="DT126" s="11"/>
      <c r="DU126">
        <v>0</v>
      </c>
      <c r="DV126">
        <v>0</v>
      </c>
      <c r="DW126" s="11"/>
      <c r="EY126" s="10" t="str">
        <f t="shared" si="196"/>
        <v>Provisions made (released)</v>
      </c>
    </row>
    <row r="127" spans="1:155" x14ac:dyDescent="0.35">
      <c r="A127" s="220" cm="1">
        <f t="array" aca="1" ref="A127" ca="1">HYPERLINK("#"&amp;IFERROR(CELL("address",IF(MAX($CM127:$CS127)=0,A127,INDEX($CM127:$CS127,MATCH(1,$CM127:$CS127,0)))),CELL("address",$V127:$CI127)),IFERROR(MAX($CM127:$CS127),1))</f>
        <v>0</v>
      </c>
      <c r="B127" s="85" t="s">
        <v>122</v>
      </c>
      <c r="C127" s="213" t="str">
        <f>CONCATENATE("M-", 'I&amp;E Annual'!C127)</f>
        <v>M-IE-2b-12</v>
      </c>
      <c r="D127" s="57" t="s">
        <v>424</v>
      </c>
      <c r="H127" t="s">
        <v>403</v>
      </c>
      <c r="V127" s="109"/>
      <c r="W127" s="133">
        <f xml:space="preserve"> SUMIFS($AA127:$BJ127, $AA$3:$BJ$3, W$3)</f>
        <v>0</v>
      </c>
      <c r="X127" s="133">
        <f xml:space="preserve"> SUMIFS($AA127:$BJ127, $AA$3:$BJ$3, X$3)</f>
        <v>0</v>
      </c>
      <c r="Y127" s="133">
        <f xml:space="preserve"> SUMIFS($AA127:$BJ127, $AA$3:$BJ$3, Y$3)</f>
        <v>0</v>
      </c>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X127" s="10">
        <f>V127</f>
        <v>0</v>
      </c>
      <c r="BY127" s="10">
        <f>W127</f>
        <v>0</v>
      </c>
      <c r="BZ127" s="10">
        <f>X127</f>
        <v>0</v>
      </c>
      <c r="CA127" s="10">
        <f>Y127</f>
        <v>0</v>
      </c>
      <c r="CB127" s="109"/>
      <c r="CC127" s="109"/>
      <c r="CD127" s="109"/>
      <c r="CE127" s="109"/>
      <c r="CF127" s="109"/>
      <c r="CG127" s="109"/>
      <c r="CH127" s="109"/>
      <c r="CI127" s="109"/>
      <c r="CK127" s="11"/>
      <c r="CL127" s="241">
        <f>IF(MIN($V127:$CI127)&lt;0, 1, 0)</f>
        <v>0</v>
      </c>
      <c r="CM127" s="11"/>
      <c r="CO127" s="7" cm="1">
        <f t="array" ref="CO127">SUMPRODUCT(--NOT(ISNUMBER(V127:CI127)),--NOT(ISBLANK(V127:CI127)))</f>
        <v>0</v>
      </c>
      <c r="CP127" s="7">
        <f>IF(SUM($CT127:$CV127)=0, 0, 1)</f>
        <v>0</v>
      </c>
      <c r="CQ127" s="7">
        <f>IF(SUM($CW127:$CY127)=0, 0, 1)</f>
        <v>0</v>
      </c>
      <c r="CR127" s="7">
        <f>IF($CZ127=0, 0, 1)</f>
        <v>0</v>
      </c>
      <c r="CS127" s="11"/>
      <c r="CT127" s="215">
        <f>ROUND(W127-SUMIFS($AA127:$BJ127, $AA$3:$BJ$3, W$3), rounding)</f>
        <v>0</v>
      </c>
      <c r="CU127" s="215">
        <f>ROUND(X127-SUMIFS($AA127:$BJ127, $AA$3:$BJ$3, X$3), rounding)</f>
        <v>0</v>
      </c>
      <c r="CV127" s="215">
        <f>ROUND(Y127-SUMIFS($AA127:$BJ127, $AA$3:$BJ$3, Y$3), rounding)</f>
        <v>0</v>
      </c>
      <c r="CW127" s="215">
        <f>ROUND($BY127-SUMIFS($AA127:$BJ127, $AA$3:$BJ$3, $BY$3), rounding)</f>
        <v>0</v>
      </c>
      <c r="CX127" s="215">
        <f>ROUND($BZ127-SUMIFS($AA127:$BJ127, $AA$3:$BJ$3, $BZ$3), rounding)</f>
        <v>0</v>
      </c>
      <c r="CY127" s="215">
        <f>ROUND($CA127-SUMIFS($AA127:$BJ127, $AA$3:$BJ$3, $CA$3), rounding)</f>
        <v>0</v>
      </c>
      <c r="CZ127" s="215">
        <f>ROUND($V127-$BX127, rounding)</f>
        <v>0</v>
      </c>
      <c r="DT127" s="11"/>
      <c r="DU127" s="4">
        <v>1</v>
      </c>
      <c r="DV127">
        <v>1</v>
      </c>
      <c r="DW127" s="11"/>
      <c r="EY127" s="10" t="str">
        <f>IF($C127="","",$D127)</f>
        <v>Operational &amp; maintenance costs (excl. energy costs)</v>
      </c>
    </row>
    <row r="128" spans="1:155" x14ac:dyDescent="0.35">
      <c r="A128" s="220" cm="1">
        <f t="array" aca="1" ref="A128" ca="1">HYPERLINK("#"&amp;IFERROR(CELL("address",IF(MAX($CM128:$CS128)=0,A128,INDEX($CM128:$CS128,MATCH(1,$CM128:$CS128,0)))),CELL("address",$V128:$CI128)),IFERROR(MAX($CM128:$CS128),1))</f>
        <v>0</v>
      </c>
      <c r="C128" s="213" t="str">
        <f>CONCATENATE("M-", 'I&amp;E Annual'!C128)</f>
        <v>M-S1.5c</v>
      </c>
      <c r="D128" s="185" t="s">
        <v>425</v>
      </c>
      <c r="H128" t="s">
        <v>403</v>
      </c>
      <c r="V128" s="109"/>
      <c r="W128" s="133">
        <f t="shared" si="199"/>
        <v>0</v>
      </c>
      <c r="X128" s="133">
        <f t="shared" si="199"/>
        <v>0</v>
      </c>
      <c r="Y128" s="133">
        <f t="shared" si="199"/>
        <v>0</v>
      </c>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X128" s="10">
        <f t="shared" si="216"/>
        <v>0</v>
      </c>
      <c r="BY128" s="10">
        <f t="shared" si="217"/>
        <v>0</v>
      </c>
      <c r="BZ128" s="10">
        <f t="shared" si="218"/>
        <v>0</v>
      </c>
      <c r="CA128" s="10">
        <f t="shared" si="219"/>
        <v>0</v>
      </c>
      <c r="CB128" s="109"/>
      <c r="CC128" s="109"/>
      <c r="CD128" s="109"/>
      <c r="CE128" s="109"/>
      <c r="CF128" s="109"/>
      <c r="CG128" s="109"/>
      <c r="CH128" s="109"/>
      <c r="CI128" s="109"/>
      <c r="CK128" s="11"/>
      <c r="CL128" s="241">
        <f t="shared" si="204"/>
        <v>0</v>
      </c>
      <c r="CM128" s="11"/>
      <c r="CO128" s="7" cm="1">
        <f t="array" ref="CO128">SUMPRODUCT(--NOT(ISNUMBER(V128:CI128)),--NOT(ISBLANK(V128:CI128)))</f>
        <v>0</v>
      </c>
      <c r="CP128" s="7">
        <f t="shared" si="205"/>
        <v>0</v>
      </c>
      <c r="CQ128" s="7">
        <f t="shared" si="206"/>
        <v>0</v>
      </c>
      <c r="CR128" s="7">
        <f t="shared" si="207"/>
        <v>0</v>
      </c>
      <c r="CS128" s="11"/>
      <c r="CT128" s="215">
        <f t="shared" si="220"/>
        <v>0</v>
      </c>
      <c r="CU128" s="215">
        <f t="shared" si="220"/>
        <v>0</v>
      </c>
      <c r="CV128" s="215">
        <f t="shared" si="220"/>
        <v>0</v>
      </c>
      <c r="CW128" s="215">
        <f t="shared" si="211"/>
        <v>0</v>
      </c>
      <c r="CX128" s="215">
        <f t="shared" si="212"/>
        <v>0</v>
      </c>
      <c r="CY128" s="215">
        <f t="shared" si="213"/>
        <v>0</v>
      </c>
      <c r="CZ128" s="215">
        <f t="shared" si="214"/>
        <v>0</v>
      </c>
      <c r="DT128" s="11"/>
      <c r="DW128" s="11"/>
      <c r="EY128" s="10"/>
    </row>
    <row r="129" spans="1:155" x14ac:dyDescent="0.35">
      <c r="A129" s="220" cm="1">
        <f t="array" aca="1" ref="A129" ca="1">HYPERLINK("#"&amp;IFERROR(CELL("address",IF(MAX($CM129:$CS129)=0,A129,INDEX($CM129:$CS129,MATCH(1,$CM129:$CS129,0)))),CELL("address",$V129:$CI129)),IFERROR(MAX($CM129:$CS129),1))</f>
        <v>0</v>
      </c>
      <c r="C129" s="213" t="str">
        <f>CONCATENATE("M-", 'I&amp;E Annual'!C129)</f>
        <v>M-S1.5d</v>
      </c>
      <c r="D129" s="185" t="s">
        <v>426</v>
      </c>
      <c r="H129" t="s">
        <v>403</v>
      </c>
      <c r="V129" s="109"/>
      <c r="W129" s="133">
        <f t="shared" si="199"/>
        <v>0</v>
      </c>
      <c r="X129" s="133">
        <f t="shared" si="199"/>
        <v>0</v>
      </c>
      <c r="Y129" s="133">
        <f t="shared" si="199"/>
        <v>0</v>
      </c>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X129" s="10">
        <f t="shared" si="216"/>
        <v>0</v>
      </c>
      <c r="BY129" s="10">
        <f t="shared" si="217"/>
        <v>0</v>
      </c>
      <c r="BZ129" s="10">
        <f t="shared" si="218"/>
        <v>0</v>
      </c>
      <c r="CA129" s="10">
        <f t="shared" si="219"/>
        <v>0</v>
      </c>
      <c r="CB129" s="109"/>
      <c r="CC129" s="109"/>
      <c r="CD129" s="109"/>
      <c r="CE129" s="109"/>
      <c r="CF129" s="109"/>
      <c r="CG129" s="109"/>
      <c r="CH129" s="109"/>
      <c r="CI129" s="109"/>
      <c r="CK129" s="11"/>
      <c r="CL129" s="241">
        <f t="shared" si="204"/>
        <v>0</v>
      </c>
      <c r="CM129" s="11"/>
      <c r="CO129" s="7" cm="1">
        <f t="array" ref="CO129">SUMPRODUCT(--NOT(ISNUMBER(V129:CI129)),--NOT(ISBLANK(V129:CI129)))</f>
        <v>0</v>
      </c>
      <c r="CP129" s="7">
        <f t="shared" si="205"/>
        <v>0</v>
      </c>
      <c r="CQ129" s="7">
        <f t="shared" si="206"/>
        <v>0</v>
      </c>
      <c r="CR129" s="7">
        <f t="shared" si="207"/>
        <v>0</v>
      </c>
      <c r="CS129" s="11"/>
      <c r="CT129" s="215">
        <f t="shared" si="220"/>
        <v>0</v>
      </c>
      <c r="CU129" s="215">
        <f t="shared" si="220"/>
        <v>0</v>
      </c>
      <c r="CV129" s="215">
        <f t="shared" si="220"/>
        <v>0</v>
      </c>
      <c r="CW129" s="215">
        <f t="shared" si="211"/>
        <v>0</v>
      </c>
      <c r="CX129" s="215">
        <f t="shared" si="212"/>
        <v>0</v>
      </c>
      <c r="CY129" s="215">
        <f t="shared" si="213"/>
        <v>0</v>
      </c>
      <c r="CZ129" s="215">
        <f t="shared" si="214"/>
        <v>0</v>
      </c>
      <c r="DT129" s="11"/>
      <c r="DW129" s="11"/>
      <c r="EY129" s="10"/>
    </row>
    <row r="130" spans="1:155" x14ac:dyDescent="0.35">
      <c r="A130" s="220" cm="1">
        <f t="array" aca="1" ref="A130" ca="1">HYPERLINK("#"&amp;IFERROR(CELL("address",IF(MAX($CM130:$CS130)=0,A130,INDEX($CM130:$CS130,MATCH(1,$CM130:$CS130,0)))),CELL("address",$V130:$CI130)),IFERROR(MAX($CM130:$CS130),1))</f>
        <v>0</v>
      </c>
      <c r="C130" s="213" t="str">
        <f>CONCATENATE("M-", 'I&amp;E Annual'!C130)</f>
        <v>M-S1.5e</v>
      </c>
      <c r="D130" s="185" t="s">
        <v>427</v>
      </c>
      <c r="H130" t="s">
        <v>403</v>
      </c>
      <c r="V130" s="109"/>
      <c r="W130" s="133">
        <f t="shared" si="199"/>
        <v>0</v>
      </c>
      <c r="X130" s="133">
        <f t="shared" si="199"/>
        <v>0</v>
      </c>
      <c r="Y130" s="133">
        <f t="shared" si="199"/>
        <v>0</v>
      </c>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X130" s="10">
        <f t="shared" si="216"/>
        <v>0</v>
      </c>
      <c r="BY130" s="10">
        <f t="shared" si="217"/>
        <v>0</v>
      </c>
      <c r="BZ130" s="10">
        <f t="shared" si="218"/>
        <v>0</v>
      </c>
      <c r="CA130" s="10">
        <f t="shared" si="219"/>
        <v>0</v>
      </c>
      <c r="CB130" s="109"/>
      <c r="CC130" s="109"/>
      <c r="CD130" s="109"/>
      <c r="CE130" s="109"/>
      <c r="CF130" s="109"/>
      <c r="CG130" s="109"/>
      <c r="CH130" s="109"/>
      <c r="CI130" s="109"/>
      <c r="CK130" s="11"/>
      <c r="CL130" s="241">
        <f t="shared" si="204"/>
        <v>0</v>
      </c>
      <c r="CM130" s="11"/>
      <c r="CO130" s="7" cm="1">
        <f t="array" ref="CO130">SUMPRODUCT(--NOT(ISNUMBER(V130:CI130)),--NOT(ISBLANK(V130:CI130)))</f>
        <v>0</v>
      </c>
      <c r="CP130" s="7">
        <f t="shared" si="205"/>
        <v>0</v>
      </c>
      <c r="CQ130" s="7">
        <f t="shared" si="206"/>
        <v>0</v>
      </c>
      <c r="CR130" s="7">
        <f t="shared" si="207"/>
        <v>0</v>
      </c>
      <c r="CS130" s="11"/>
      <c r="CT130" s="215">
        <f t="shared" si="220"/>
        <v>0</v>
      </c>
      <c r="CU130" s="215">
        <f t="shared" si="220"/>
        <v>0</v>
      </c>
      <c r="CV130" s="215">
        <f t="shared" si="220"/>
        <v>0</v>
      </c>
      <c r="CW130" s="215">
        <f t="shared" si="211"/>
        <v>0</v>
      </c>
      <c r="CX130" s="215">
        <f t="shared" si="212"/>
        <v>0</v>
      </c>
      <c r="CY130" s="215">
        <f t="shared" si="213"/>
        <v>0</v>
      </c>
      <c r="CZ130" s="215">
        <f t="shared" si="214"/>
        <v>0</v>
      </c>
      <c r="DT130" s="11"/>
      <c r="DW130" s="11"/>
      <c r="EY130" s="10"/>
    </row>
    <row r="131" spans="1:155" x14ac:dyDescent="0.35">
      <c r="A131" s="220" cm="1">
        <f t="array" aca="1" ref="A131" ca="1">HYPERLINK("#"&amp;IFERROR(CELL("address",IF(MAX($CM131:$CS131)=0,A131,INDEX($CM131:$CS131,MATCH(1,$CM131:$CS131,0)))),CELL("address",$V131:$CI131)),IFERROR(MAX($CM131:$CS131),1))</f>
        <v>0</v>
      </c>
      <c r="C131" s="213" t="str">
        <f>CONCATENATE("M-", 'I&amp;E Annual'!C131)</f>
        <v>M-S1.5f</v>
      </c>
      <c r="D131" s="196" t="s">
        <v>428</v>
      </c>
      <c r="V131" s="10">
        <f>SUM(V128:V130)</f>
        <v>0</v>
      </c>
      <c r="W131" s="10">
        <f>SUM(W128:W130)</f>
        <v>0</v>
      </c>
      <c r="X131" s="10">
        <f>SUM(X128:X130)</f>
        <v>0</v>
      </c>
      <c r="Y131" s="10">
        <f>SUM(Y128:Y130)</f>
        <v>0</v>
      </c>
      <c r="AA131" s="10">
        <f>SUM(AA128:AA130)</f>
        <v>0</v>
      </c>
      <c r="AB131" s="10">
        <f t="shared" ref="AB131:BJ131" si="221">SUM(AB128:AB130)</f>
        <v>0</v>
      </c>
      <c r="AC131" s="10">
        <f t="shared" si="221"/>
        <v>0</v>
      </c>
      <c r="AD131" s="10">
        <f t="shared" si="221"/>
        <v>0</v>
      </c>
      <c r="AE131" s="10">
        <f t="shared" si="221"/>
        <v>0</v>
      </c>
      <c r="AF131" s="10">
        <f t="shared" si="221"/>
        <v>0</v>
      </c>
      <c r="AG131" s="10">
        <f t="shared" si="221"/>
        <v>0</v>
      </c>
      <c r="AH131" s="10">
        <f t="shared" si="221"/>
        <v>0</v>
      </c>
      <c r="AI131" s="10">
        <f t="shared" si="221"/>
        <v>0</v>
      </c>
      <c r="AJ131" s="10">
        <f t="shared" si="221"/>
        <v>0</v>
      </c>
      <c r="AK131" s="10">
        <f t="shared" si="221"/>
        <v>0</v>
      </c>
      <c r="AL131" s="10">
        <f t="shared" si="221"/>
        <v>0</v>
      </c>
      <c r="AM131" s="10">
        <f t="shared" si="221"/>
        <v>0</v>
      </c>
      <c r="AN131" s="10">
        <f t="shared" si="221"/>
        <v>0</v>
      </c>
      <c r="AO131" s="10">
        <f t="shared" si="221"/>
        <v>0</v>
      </c>
      <c r="AP131" s="10">
        <f t="shared" si="221"/>
        <v>0</v>
      </c>
      <c r="AQ131" s="10">
        <f t="shared" si="221"/>
        <v>0</v>
      </c>
      <c r="AR131" s="10">
        <f t="shared" si="221"/>
        <v>0</v>
      </c>
      <c r="AS131" s="10">
        <f t="shared" si="221"/>
        <v>0</v>
      </c>
      <c r="AT131" s="10">
        <f t="shared" si="221"/>
        <v>0</v>
      </c>
      <c r="AU131" s="10">
        <f t="shared" si="221"/>
        <v>0</v>
      </c>
      <c r="AV131" s="10">
        <f t="shared" si="221"/>
        <v>0</v>
      </c>
      <c r="AW131" s="10">
        <f t="shared" si="221"/>
        <v>0</v>
      </c>
      <c r="AX131" s="10">
        <f t="shared" si="221"/>
        <v>0</v>
      </c>
      <c r="AY131" s="10">
        <f t="shared" si="221"/>
        <v>0</v>
      </c>
      <c r="AZ131" s="10">
        <f t="shared" si="221"/>
        <v>0</v>
      </c>
      <c r="BA131" s="10">
        <f t="shared" si="221"/>
        <v>0</v>
      </c>
      <c r="BB131" s="10">
        <f t="shared" si="221"/>
        <v>0</v>
      </c>
      <c r="BC131" s="10">
        <f t="shared" si="221"/>
        <v>0</v>
      </c>
      <c r="BD131" s="10">
        <f t="shared" si="221"/>
        <v>0</v>
      </c>
      <c r="BE131" s="10">
        <f t="shared" si="221"/>
        <v>0</v>
      </c>
      <c r="BF131" s="10">
        <f t="shared" si="221"/>
        <v>0</v>
      </c>
      <c r="BG131" s="10">
        <f t="shared" si="221"/>
        <v>0</v>
      </c>
      <c r="BH131" s="10">
        <f t="shared" si="221"/>
        <v>0</v>
      </c>
      <c r="BI131" s="10">
        <f t="shared" si="221"/>
        <v>0</v>
      </c>
      <c r="BJ131" s="10">
        <f t="shared" si="221"/>
        <v>0</v>
      </c>
      <c r="BX131" s="10">
        <f>SUM(BX128:BX130)</f>
        <v>0</v>
      </c>
      <c r="BY131" s="10">
        <f t="shared" ref="BY131:CI131" si="222">SUM(BY128:BY130)</f>
        <v>0</v>
      </c>
      <c r="BZ131" s="10">
        <f t="shared" si="222"/>
        <v>0</v>
      </c>
      <c r="CA131" s="10">
        <f t="shared" si="222"/>
        <v>0</v>
      </c>
      <c r="CB131" s="10">
        <f t="shared" si="222"/>
        <v>0</v>
      </c>
      <c r="CC131" s="10">
        <f t="shared" si="222"/>
        <v>0</v>
      </c>
      <c r="CD131" s="10">
        <f t="shared" si="222"/>
        <v>0</v>
      </c>
      <c r="CE131" s="10">
        <f t="shared" si="222"/>
        <v>0</v>
      </c>
      <c r="CF131" s="10">
        <f t="shared" si="222"/>
        <v>0</v>
      </c>
      <c r="CG131" s="10">
        <f t="shared" si="222"/>
        <v>0</v>
      </c>
      <c r="CH131" s="10">
        <f t="shared" si="222"/>
        <v>0</v>
      </c>
      <c r="CI131" s="10">
        <f t="shared" si="222"/>
        <v>0</v>
      </c>
      <c r="CK131" s="11"/>
      <c r="CL131" s="241">
        <f t="shared" si="204"/>
        <v>0</v>
      </c>
      <c r="CM131" s="11"/>
      <c r="CP131" s="7"/>
      <c r="CQ131" s="7"/>
      <c r="CR131" s="7"/>
      <c r="CS131" s="11"/>
      <c r="CT131" s="215">
        <f t="shared" si="220"/>
        <v>0</v>
      </c>
      <c r="CU131" s="215">
        <f t="shared" si="220"/>
        <v>0</v>
      </c>
      <c r="CV131" s="215">
        <f t="shared" si="220"/>
        <v>0</v>
      </c>
      <c r="CW131" s="215">
        <f t="shared" si="211"/>
        <v>0</v>
      </c>
      <c r="CX131" s="215">
        <f t="shared" si="212"/>
        <v>0</v>
      </c>
      <c r="CY131" s="215">
        <f t="shared" si="213"/>
        <v>0</v>
      </c>
      <c r="CZ131" s="215">
        <f t="shared" si="214"/>
        <v>0</v>
      </c>
      <c r="DT131" s="11"/>
      <c r="DW131" s="11"/>
      <c r="EY131" s="10"/>
    </row>
    <row r="132" spans="1:155" x14ac:dyDescent="0.35">
      <c r="A132" s="220" cm="1">
        <f t="array" aca="1" ref="A132" ca="1">HYPERLINK("#"&amp;IFERROR(CELL("address",IF(MAX($CM132:$CS132)=0,A132,INDEX($CM132:$CS132,MATCH(1,$CM132:$CS132,0)))),CELL("address",$V132:$CI132)),IFERROR(MAX($CM132:$CS132),1))</f>
        <v>0</v>
      </c>
      <c r="C132" s="213" t="str">
        <f>CONCATENATE("M-", 'I&amp;E Annual'!C132)</f>
        <v>M-IE-2b</v>
      </c>
      <c r="D132" s="61" t="s">
        <v>429</v>
      </c>
      <c r="E132" s="5"/>
      <c r="G132" s="5"/>
      <c r="V132" s="12">
        <f>SUM(V117:V127)+V131</f>
        <v>0</v>
      </c>
      <c r="W132" s="12">
        <f t="shared" ref="W132:Y132" si="223">SUM(W117:W127)+W131</f>
        <v>0</v>
      </c>
      <c r="X132" s="12">
        <f t="shared" si="223"/>
        <v>0</v>
      </c>
      <c r="Y132" s="12">
        <f t="shared" si="223"/>
        <v>0</v>
      </c>
      <c r="AA132" s="12">
        <f>SUM(AA117:AA127)+AA131</f>
        <v>0</v>
      </c>
      <c r="AB132" s="12">
        <f t="shared" ref="AB132:BJ132" si="224">SUM(AB117:AB127)+AB131</f>
        <v>0</v>
      </c>
      <c r="AC132" s="12">
        <f t="shared" si="224"/>
        <v>0</v>
      </c>
      <c r="AD132" s="12">
        <f t="shared" si="224"/>
        <v>0</v>
      </c>
      <c r="AE132" s="12">
        <f t="shared" si="224"/>
        <v>0</v>
      </c>
      <c r="AF132" s="12">
        <f t="shared" si="224"/>
        <v>0</v>
      </c>
      <c r="AG132" s="12">
        <f t="shared" si="224"/>
        <v>0</v>
      </c>
      <c r="AH132" s="12">
        <f t="shared" si="224"/>
        <v>0</v>
      </c>
      <c r="AI132" s="12">
        <f t="shared" si="224"/>
        <v>0</v>
      </c>
      <c r="AJ132" s="12">
        <f t="shared" si="224"/>
        <v>0</v>
      </c>
      <c r="AK132" s="12">
        <f t="shared" si="224"/>
        <v>0</v>
      </c>
      <c r="AL132" s="12">
        <f t="shared" si="224"/>
        <v>0</v>
      </c>
      <c r="AM132" s="12">
        <f t="shared" si="224"/>
        <v>0</v>
      </c>
      <c r="AN132" s="12">
        <f t="shared" si="224"/>
        <v>0</v>
      </c>
      <c r="AO132" s="12">
        <f t="shared" si="224"/>
        <v>0</v>
      </c>
      <c r="AP132" s="12">
        <f t="shared" si="224"/>
        <v>0</v>
      </c>
      <c r="AQ132" s="12">
        <f t="shared" si="224"/>
        <v>0</v>
      </c>
      <c r="AR132" s="12">
        <f t="shared" si="224"/>
        <v>0</v>
      </c>
      <c r="AS132" s="12">
        <f t="shared" si="224"/>
        <v>0</v>
      </c>
      <c r="AT132" s="12">
        <f t="shared" si="224"/>
        <v>0</v>
      </c>
      <c r="AU132" s="12">
        <f t="shared" si="224"/>
        <v>0</v>
      </c>
      <c r="AV132" s="12">
        <f t="shared" si="224"/>
        <v>0</v>
      </c>
      <c r="AW132" s="12">
        <f t="shared" si="224"/>
        <v>0</v>
      </c>
      <c r="AX132" s="12">
        <f t="shared" si="224"/>
        <v>0</v>
      </c>
      <c r="AY132" s="12">
        <f t="shared" si="224"/>
        <v>0</v>
      </c>
      <c r="AZ132" s="12">
        <f t="shared" si="224"/>
        <v>0</v>
      </c>
      <c r="BA132" s="12">
        <f t="shared" si="224"/>
        <v>0</v>
      </c>
      <c r="BB132" s="12">
        <f t="shared" si="224"/>
        <v>0</v>
      </c>
      <c r="BC132" s="12">
        <f t="shared" si="224"/>
        <v>0</v>
      </c>
      <c r="BD132" s="12">
        <f t="shared" si="224"/>
        <v>0</v>
      </c>
      <c r="BE132" s="12">
        <f t="shared" si="224"/>
        <v>0</v>
      </c>
      <c r="BF132" s="12">
        <f t="shared" si="224"/>
        <v>0</v>
      </c>
      <c r="BG132" s="12">
        <f t="shared" si="224"/>
        <v>0</v>
      </c>
      <c r="BH132" s="12">
        <f t="shared" si="224"/>
        <v>0</v>
      </c>
      <c r="BI132" s="12">
        <f t="shared" si="224"/>
        <v>0</v>
      </c>
      <c r="BJ132" s="12">
        <f t="shared" si="224"/>
        <v>0</v>
      </c>
      <c r="BX132" s="12">
        <f>SUM(BX117:BX127)+BX131</f>
        <v>0</v>
      </c>
      <c r="BY132" s="12">
        <f t="shared" ref="BY132:CI132" si="225">SUM(BY117:BY127)+BY131</f>
        <v>0</v>
      </c>
      <c r="BZ132" s="12">
        <f t="shared" si="225"/>
        <v>0</v>
      </c>
      <c r="CA132" s="12">
        <f t="shared" si="225"/>
        <v>0</v>
      </c>
      <c r="CB132" s="12">
        <f t="shared" si="225"/>
        <v>0</v>
      </c>
      <c r="CC132" s="12">
        <f t="shared" si="225"/>
        <v>0</v>
      </c>
      <c r="CD132" s="12">
        <f t="shared" si="225"/>
        <v>0</v>
      </c>
      <c r="CE132" s="12">
        <f t="shared" si="225"/>
        <v>0</v>
      </c>
      <c r="CF132" s="12">
        <f t="shared" si="225"/>
        <v>0</v>
      </c>
      <c r="CG132" s="12">
        <f t="shared" si="225"/>
        <v>0</v>
      </c>
      <c r="CH132" s="12">
        <f t="shared" si="225"/>
        <v>0</v>
      </c>
      <c r="CI132" s="12">
        <f t="shared" si="225"/>
        <v>0</v>
      </c>
      <c r="CK132" s="11"/>
      <c r="CL132" s="241">
        <f>IF(MIN($V132:$CI132)&lt;0, 1, 0)</f>
        <v>0</v>
      </c>
      <c r="CM132" s="11"/>
      <c r="CP132" s="7">
        <f t="shared" si="205"/>
        <v>0</v>
      </c>
      <c r="CQ132" s="7">
        <f t="shared" si="206"/>
        <v>0</v>
      </c>
      <c r="CR132" s="7">
        <f t="shared" si="207"/>
        <v>0</v>
      </c>
      <c r="CS132" s="11"/>
      <c r="CT132" s="215">
        <f t="shared" si="208"/>
        <v>0</v>
      </c>
      <c r="CU132" s="215">
        <f t="shared" si="209"/>
        <v>0</v>
      </c>
      <c r="CV132" s="215">
        <f t="shared" si="210"/>
        <v>0</v>
      </c>
      <c r="CW132" s="215">
        <f t="shared" si="211"/>
        <v>0</v>
      </c>
      <c r="CX132" s="215">
        <f t="shared" si="212"/>
        <v>0</v>
      </c>
      <c r="CY132" s="215">
        <f t="shared" si="213"/>
        <v>0</v>
      </c>
      <c r="CZ132" s="215">
        <f t="shared" si="214"/>
        <v>0</v>
      </c>
      <c r="DT132" s="11"/>
      <c r="DU132">
        <v>0</v>
      </c>
      <c r="DV132">
        <v>0</v>
      </c>
      <c r="DW132" s="11"/>
      <c r="EY132" s="10" t="str">
        <f t="shared" si="196"/>
        <v>Total Other operating expenditure</v>
      </c>
    </row>
    <row r="133" spans="1:155" ht="12" customHeight="1" x14ac:dyDescent="0.35">
      <c r="C133" s="213"/>
      <c r="BY133" s="6"/>
      <c r="CK133" s="35"/>
      <c r="CM133" s="35"/>
      <c r="CS133" s="35"/>
      <c r="DT133" s="35"/>
      <c r="DU133">
        <v>0</v>
      </c>
      <c r="DV133">
        <v>0</v>
      </c>
      <c r="DW133" s="35"/>
      <c r="EY133" s="10" t="str">
        <f t="shared" si="196"/>
        <v/>
      </c>
    </row>
    <row r="134" spans="1:155" x14ac:dyDescent="0.35">
      <c r="B134" s="5"/>
      <c r="C134" s="235"/>
      <c r="D134" s="61" t="s">
        <v>430</v>
      </c>
      <c r="E134" s="5"/>
      <c r="CK134" s="11"/>
      <c r="CM134" s="11"/>
      <c r="CS134" s="11"/>
      <c r="DT134" s="11"/>
      <c r="DU134">
        <v>0</v>
      </c>
      <c r="DV134">
        <v>0</v>
      </c>
      <c r="DW134" s="11"/>
      <c r="EY134" s="10" t="str">
        <f t="shared" si="196"/>
        <v/>
      </c>
    </row>
    <row r="135" spans="1:155" x14ac:dyDescent="0.35">
      <c r="A135" s="220" cm="1">
        <f t="array" aca="1" ref="A135" ca="1">HYPERLINK("#"&amp;IFERROR(CELL("address",IF(MAX($CM135:$CS135)=0,A135,INDEX($CM135:$CS135,MATCH(1,$CM135:$CS135,0)))),CELL("address",$V135:$CI135)),IFERROR(MAX($CM135:$CS135),1))</f>
        <v>0</v>
      </c>
      <c r="C135" s="213" t="str">
        <f>CONCATENATE("M-", 'I&amp;E Annual'!C135)</f>
        <v>M-IE-2c-1</v>
      </c>
      <c r="D135" s="57" t="s">
        <v>431</v>
      </c>
      <c r="H135" t="s">
        <v>403</v>
      </c>
      <c r="V135" s="109"/>
      <c r="W135" s="133">
        <f xml:space="preserve"> SUMIFS($AA135:$BJ135, $AA$3:$BJ$3, W$3)</f>
        <v>0</v>
      </c>
      <c r="X135" s="133">
        <f xml:space="preserve"> SUMIFS($AA135:$BJ135, $AA$3:$BJ$3, X$3)</f>
        <v>0</v>
      </c>
      <c r="Y135" s="133">
        <f xml:space="preserve"> SUMIFS($AA135:$BJ135, $AA$3:$BJ$3, Y$3)</f>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X135" s="10">
        <f>V135</f>
        <v>0</v>
      </c>
      <c r="BY135" s="10">
        <f>W135</f>
        <v>0</v>
      </c>
      <c r="BZ135" s="10">
        <f>X135</f>
        <v>0</v>
      </c>
      <c r="CA135" s="10">
        <f>Y135</f>
        <v>0</v>
      </c>
      <c r="CB135" s="109"/>
      <c r="CC135" s="109"/>
      <c r="CD135" s="109"/>
      <c r="CE135" s="109"/>
      <c r="CF135" s="109"/>
      <c r="CG135" s="109"/>
      <c r="CH135" s="109"/>
      <c r="CI135" s="109"/>
      <c r="CK135" s="11"/>
      <c r="CL135" s="241">
        <f>IF(MIN($V135:$CI135)&lt;0, 1, 0)</f>
        <v>0</v>
      </c>
      <c r="CM135" s="11"/>
      <c r="CO135" s="7" cm="1">
        <f t="array" ref="CO135">SUMPRODUCT(--NOT(ISNUMBER(V135:CI135)),--NOT(ISBLANK(V135:CI135)))</f>
        <v>0</v>
      </c>
      <c r="CP135" s="7">
        <f>IF(SUM($CT135:$CV135)=0, 0, 1)</f>
        <v>0</v>
      </c>
      <c r="CQ135" s="7">
        <f>IF(SUM($CW135:$CY135)=0, 0, 1)</f>
        <v>0</v>
      </c>
      <c r="CR135" s="7">
        <f>IF($CZ135=0, 0, 1)</f>
        <v>0</v>
      </c>
      <c r="CS135" s="11"/>
      <c r="CT135" s="215">
        <f t="shared" ref="CT135:CV137" si="226">ROUND(W135-SUMIFS($AA135:$BJ135, $AA$3:$BJ$3, W$3), rounding)</f>
        <v>0</v>
      </c>
      <c r="CU135" s="215">
        <f t="shared" si="226"/>
        <v>0</v>
      </c>
      <c r="CV135" s="215">
        <f t="shared" si="226"/>
        <v>0</v>
      </c>
      <c r="CW135" s="215">
        <f>ROUND($BY135-SUMIFS($AA135:$BJ135, $AA$3:$BJ$3, $BY$3), rounding)</f>
        <v>0</v>
      </c>
      <c r="CX135" s="215">
        <f>ROUND($BZ135-SUMIFS($AA135:$BJ135, $AA$3:$BJ$3, $BZ$3), rounding)</f>
        <v>0</v>
      </c>
      <c r="CY135" s="215">
        <f>ROUND($CA135-SUMIFS($AA135:$BJ135, $AA$3:$BJ$3, $CA$3), rounding)</f>
        <v>0</v>
      </c>
      <c r="CZ135" s="215">
        <f>ROUND($V135-$BX135, rounding)</f>
        <v>0</v>
      </c>
      <c r="DT135" s="11"/>
      <c r="DU135" s="4">
        <v>1</v>
      </c>
      <c r="DV135">
        <v>1</v>
      </c>
      <c r="DW135" s="11"/>
      <c r="EY135" s="10" t="str">
        <f t="shared" si="196"/>
        <v>Staff restructuring costs  (excl. enhanced pension costs)</v>
      </c>
    </row>
    <row r="136" spans="1:155" ht="29" x14ac:dyDescent="0.35">
      <c r="A136" s="220" cm="1">
        <f t="array" aca="1" ref="A136" ca="1">HYPERLINK("#"&amp;IFERROR(CELL("address",IF(MAX($CM136:$CS136)=0,A136,INDEX($CM136:$CS136,MATCH(1,$CM136:$CS136,0)))),CELL("address",$V136:$CI136)),IFERROR(MAX($CM136:$CS136),1))</f>
        <v>0</v>
      </c>
      <c r="C136" s="213" t="str">
        <f>CONCATENATE("M-", 'I&amp;E Annual'!C136)</f>
        <v>M-IE-2c-2</v>
      </c>
      <c r="D136" s="57" t="s">
        <v>432</v>
      </c>
      <c r="E136" s="631" t="str" cm="1">
        <f t="array" aca="1" ref="E136" ca="1">HYPERLINK(CONCATENATE("#",CELL("address",'BS Forecasts'!$D$221)),'BS Forecasts'!$D$219)</f>
        <v>Enhanced Pension Provision</v>
      </c>
      <c r="H136" t="s">
        <v>403</v>
      </c>
      <c r="V136" s="133">
        <f>'BS Forecasts'!V$221</f>
        <v>0</v>
      </c>
      <c r="W136" s="133">
        <f>'BS Forecasts'!W$221</f>
        <v>0</v>
      </c>
      <c r="X136" s="133">
        <f>'BS Forecasts'!X$221</f>
        <v>0</v>
      </c>
      <c r="Y136" s="133">
        <f>'BS Forecasts'!Y$221</f>
        <v>0</v>
      </c>
      <c r="AA136" s="133">
        <f>'BS Forecasts'!AA$221</f>
        <v>0</v>
      </c>
      <c r="AB136" s="133">
        <f>'BS Forecasts'!AB$221</f>
        <v>0</v>
      </c>
      <c r="AC136" s="133">
        <f>'BS Forecasts'!AC$221</f>
        <v>0</v>
      </c>
      <c r="AD136" s="133">
        <f>'BS Forecasts'!AD$221</f>
        <v>0</v>
      </c>
      <c r="AE136" s="133">
        <f>'BS Forecasts'!AE$221</f>
        <v>0</v>
      </c>
      <c r="AF136" s="133">
        <f>'BS Forecasts'!AF$221</f>
        <v>0</v>
      </c>
      <c r="AG136" s="133">
        <f>'BS Forecasts'!AG$221</f>
        <v>0</v>
      </c>
      <c r="AH136" s="133">
        <f>'BS Forecasts'!AH$221</f>
        <v>0</v>
      </c>
      <c r="AI136" s="133">
        <f>'BS Forecasts'!AI$221</f>
        <v>0</v>
      </c>
      <c r="AJ136" s="133">
        <f>'BS Forecasts'!AJ$221</f>
        <v>0</v>
      </c>
      <c r="AK136" s="133">
        <f>'BS Forecasts'!AK$221</f>
        <v>0</v>
      </c>
      <c r="AL136" s="133">
        <f>'BS Forecasts'!AL$221</f>
        <v>0</v>
      </c>
      <c r="AM136" s="133">
        <f>'BS Forecasts'!AM$221</f>
        <v>0</v>
      </c>
      <c r="AN136" s="133">
        <f>'BS Forecasts'!AN$221</f>
        <v>0</v>
      </c>
      <c r="AO136" s="133">
        <f>'BS Forecasts'!AO$221</f>
        <v>0</v>
      </c>
      <c r="AP136" s="133">
        <f>'BS Forecasts'!AP$221</f>
        <v>0</v>
      </c>
      <c r="AQ136" s="133">
        <f>'BS Forecasts'!AQ$221</f>
        <v>0</v>
      </c>
      <c r="AR136" s="133">
        <f>'BS Forecasts'!AR$221</f>
        <v>0</v>
      </c>
      <c r="AS136" s="133">
        <f>'BS Forecasts'!AS$221</f>
        <v>0</v>
      </c>
      <c r="AT136" s="133">
        <f>'BS Forecasts'!AT$221</f>
        <v>0</v>
      </c>
      <c r="AU136" s="133">
        <f>'BS Forecasts'!AU$221</f>
        <v>0</v>
      </c>
      <c r="AV136" s="133">
        <f>'BS Forecasts'!AV$221</f>
        <v>0</v>
      </c>
      <c r="AW136" s="133">
        <f>'BS Forecasts'!AW$221</f>
        <v>0</v>
      </c>
      <c r="AX136" s="133">
        <f>'BS Forecasts'!AX$221</f>
        <v>0</v>
      </c>
      <c r="AY136" s="133">
        <f>'BS Forecasts'!AY$221</f>
        <v>0</v>
      </c>
      <c r="AZ136" s="133">
        <f>'BS Forecasts'!AZ$221</f>
        <v>0</v>
      </c>
      <c r="BA136" s="133">
        <f>'BS Forecasts'!BA$221</f>
        <v>0</v>
      </c>
      <c r="BB136" s="133">
        <f>'BS Forecasts'!BB$221</f>
        <v>0</v>
      </c>
      <c r="BC136" s="133">
        <f>'BS Forecasts'!BC$221</f>
        <v>0</v>
      </c>
      <c r="BD136" s="133">
        <f>'BS Forecasts'!BD$221</f>
        <v>0</v>
      </c>
      <c r="BE136" s="133">
        <f>'BS Forecasts'!BE$221</f>
        <v>0</v>
      </c>
      <c r="BF136" s="133">
        <f>'BS Forecasts'!BF$221</f>
        <v>0</v>
      </c>
      <c r="BG136" s="133">
        <f>'BS Forecasts'!BG$221</f>
        <v>0</v>
      </c>
      <c r="BH136" s="133">
        <f>'BS Forecasts'!BH$221</f>
        <v>0</v>
      </c>
      <c r="BI136" s="133">
        <f>'BS Forecasts'!BI$221</f>
        <v>0</v>
      </c>
      <c r="BJ136" s="133">
        <f>'BS Forecasts'!BJ$221</f>
        <v>0</v>
      </c>
      <c r="BX136" s="133">
        <f>'BS Forecasts'!BX$221</f>
        <v>0</v>
      </c>
      <c r="BY136" s="133">
        <f>'BS Forecasts'!BY$221</f>
        <v>0</v>
      </c>
      <c r="BZ136" s="133">
        <f>'BS Forecasts'!BZ$221</f>
        <v>0</v>
      </c>
      <c r="CA136" s="133">
        <f>'BS Forecasts'!CA$221</f>
        <v>0</v>
      </c>
      <c r="CB136" s="133">
        <f>'BS Forecasts'!CB$221</f>
        <v>0</v>
      </c>
      <c r="CC136" s="133">
        <f>'BS Forecasts'!CC$221</f>
        <v>0</v>
      </c>
      <c r="CD136" s="133">
        <f>'BS Forecasts'!CD$221</f>
        <v>0</v>
      </c>
      <c r="CE136" s="133">
        <f>'BS Forecasts'!CE$221</f>
        <v>0</v>
      </c>
      <c r="CF136" s="133">
        <f>'BS Forecasts'!CF$221</f>
        <v>0</v>
      </c>
      <c r="CG136" s="133">
        <f>'BS Forecasts'!CG$221</f>
        <v>0</v>
      </c>
      <c r="CH136" s="133">
        <f>'BS Forecasts'!CH$221</f>
        <v>0</v>
      </c>
      <c r="CI136" s="133">
        <f>'BS Forecasts'!CI$221</f>
        <v>0</v>
      </c>
      <c r="CK136" s="11"/>
      <c r="CL136" s="241">
        <f>IF(MIN($V136:$CI136)&lt;0, 1, 0)</f>
        <v>0</v>
      </c>
      <c r="CM136" s="11"/>
      <c r="CP136" s="7">
        <f>IF(SUM($CT136:$CV136)=0, 0, 1)</f>
        <v>0</v>
      </c>
      <c r="CQ136" s="7">
        <f>IF(SUM($CW136:$CY136)=0, 0, 1)</f>
        <v>0</v>
      </c>
      <c r="CR136" s="7">
        <f>IF($CZ136=0, 0, 1)</f>
        <v>0</v>
      </c>
      <c r="CS136" s="11"/>
      <c r="CT136" s="215">
        <f t="shared" si="226"/>
        <v>0</v>
      </c>
      <c r="CU136" s="215">
        <f t="shared" si="226"/>
        <v>0</v>
      </c>
      <c r="CV136" s="215">
        <f t="shared" si="226"/>
        <v>0</v>
      </c>
      <c r="CW136" s="215">
        <f>ROUND($BY136-SUMIFS($AA136:$BJ136, $AA$3:$BJ$3, $BY$3), rounding)</f>
        <v>0</v>
      </c>
      <c r="CX136" s="215">
        <f>ROUND($BZ136-SUMIFS($AA136:$BJ136, $AA$3:$BJ$3, $BZ$3), rounding)</f>
        <v>0</v>
      </c>
      <c r="CY136" s="215">
        <f>ROUND($CA136-SUMIFS($AA136:$BJ136, $AA$3:$BJ$3, $CA$3), rounding)</f>
        <v>0</v>
      </c>
      <c r="CZ136" s="215">
        <f>ROUND($V136-$BX136, rounding)</f>
        <v>0</v>
      </c>
      <c r="DT136" s="11"/>
      <c r="DU136" s="4">
        <v>1</v>
      </c>
      <c r="DV136">
        <v>1</v>
      </c>
      <c r="DW136" s="11"/>
      <c r="EY136" s="10" t="str">
        <f t="shared" si="196"/>
        <v>Staff restructuring enhanced pension costs</v>
      </c>
    </row>
    <row r="137" spans="1:155" x14ac:dyDescent="0.35">
      <c r="A137" s="220" cm="1">
        <f t="array" aca="1" ref="A137" ca="1">HYPERLINK("#"&amp;IFERROR(CELL("address",IF(MAX($CM137:$CS137)=0,A137,INDEX($CM137:$CS137,MATCH(1,$CM137:$CS137,0)))),CELL("address",$V137:$CI137)),IFERROR(MAX($CM137:$CS137),1))</f>
        <v>0</v>
      </c>
      <c r="C137" s="213" t="str">
        <f>CONCATENATE("M-", 'I&amp;E Annual'!C137)</f>
        <v>M-IE-2c</v>
      </c>
      <c r="D137" s="61" t="s">
        <v>433</v>
      </c>
      <c r="E137" s="5"/>
      <c r="G137" s="5"/>
      <c r="V137" s="12">
        <f>SUM(V135:V136)</f>
        <v>0</v>
      </c>
      <c r="W137" s="12">
        <f>SUM(W135:W136)</f>
        <v>0</v>
      </c>
      <c r="X137" s="12">
        <f>SUM(X135:X136)</f>
        <v>0</v>
      </c>
      <c r="Y137" s="12">
        <f>SUM(Y135:Y136)</f>
        <v>0</v>
      </c>
      <c r="AA137" s="12">
        <f t="shared" ref="AA137:BJ137" si="227">SUM(AA135:AA136)</f>
        <v>0</v>
      </c>
      <c r="AB137" s="12">
        <f t="shared" si="227"/>
        <v>0</v>
      </c>
      <c r="AC137" s="12">
        <f t="shared" si="227"/>
        <v>0</v>
      </c>
      <c r="AD137" s="12">
        <f t="shared" si="227"/>
        <v>0</v>
      </c>
      <c r="AE137" s="12">
        <f t="shared" si="227"/>
        <v>0</v>
      </c>
      <c r="AF137" s="12">
        <f t="shared" si="227"/>
        <v>0</v>
      </c>
      <c r="AG137" s="12">
        <f t="shared" si="227"/>
        <v>0</v>
      </c>
      <c r="AH137" s="12">
        <f t="shared" si="227"/>
        <v>0</v>
      </c>
      <c r="AI137" s="12">
        <f t="shared" si="227"/>
        <v>0</v>
      </c>
      <c r="AJ137" s="12">
        <f t="shared" si="227"/>
        <v>0</v>
      </c>
      <c r="AK137" s="12">
        <f t="shared" si="227"/>
        <v>0</v>
      </c>
      <c r="AL137" s="12">
        <f t="shared" si="227"/>
        <v>0</v>
      </c>
      <c r="AM137" s="12">
        <f t="shared" si="227"/>
        <v>0</v>
      </c>
      <c r="AN137" s="12">
        <f t="shared" si="227"/>
        <v>0</v>
      </c>
      <c r="AO137" s="12">
        <f t="shared" si="227"/>
        <v>0</v>
      </c>
      <c r="AP137" s="12">
        <f t="shared" si="227"/>
        <v>0</v>
      </c>
      <c r="AQ137" s="12">
        <f t="shared" si="227"/>
        <v>0</v>
      </c>
      <c r="AR137" s="12">
        <f t="shared" si="227"/>
        <v>0</v>
      </c>
      <c r="AS137" s="12">
        <f t="shared" si="227"/>
        <v>0</v>
      </c>
      <c r="AT137" s="12">
        <f t="shared" si="227"/>
        <v>0</v>
      </c>
      <c r="AU137" s="12">
        <f t="shared" si="227"/>
        <v>0</v>
      </c>
      <c r="AV137" s="12">
        <f t="shared" si="227"/>
        <v>0</v>
      </c>
      <c r="AW137" s="12">
        <f t="shared" si="227"/>
        <v>0</v>
      </c>
      <c r="AX137" s="12">
        <f t="shared" si="227"/>
        <v>0</v>
      </c>
      <c r="AY137" s="12">
        <f t="shared" si="227"/>
        <v>0</v>
      </c>
      <c r="AZ137" s="12">
        <f t="shared" si="227"/>
        <v>0</v>
      </c>
      <c r="BA137" s="12">
        <f t="shared" si="227"/>
        <v>0</v>
      </c>
      <c r="BB137" s="12">
        <f t="shared" si="227"/>
        <v>0</v>
      </c>
      <c r="BC137" s="12">
        <f t="shared" si="227"/>
        <v>0</v>
      </c>
      <c r="BD137" s="12">
        <f t="shared" si="227"/>
        <v>0</v>
      </c>
      <c r="BE137" s="12">
        <f t="shared" si="227"/>
        <v>0</v>
      </c>
      <c r="BF137" s="12">
        <f t="shared" si="227"/>
        <v>0</v>
      </c>
      <c r="BG137" s="12">
        <f t="shared" si="227"/>
        <v>0</v>
      </c>
      <c r="BH137" s="12">
        <f t="shared" si="227"/>
        <v>0</v>
      </c>
      <c r="BI137" s="12">
        <f t="shared" si="227"/>
        <v>0</v>
      </c>
      <c r="BJ137" s="12">
        <f t="shared" si="227"/>
        <v>0</v>
      </c>
      <c r="BX137" s="12">
        <f t="shared" ref="BX137:CI137" si="228">SUM(BX135:BX136)</f>
        <v>0</v>
      </c>
      <c r="BY137" s="12">
        <f t="shared" si="228"/>
        <v>0</v>
      </c>
      <c r="BZ137" s="12">
        <f t="shared" si="228"/>
        <v>0</v>
      </c>
      <c r="CA137" s="12">
        <f t="shared" si="228"/>
        <v>0</v>
      </c>
      <c r="CB137" s="12">
        <f t="shared" si="228"/>
        <v>0</v>
      </c>
      <c r="CC137" s="12">
        <f t="shared" si="228"/>
        <v>0</v>
      </c>
      <c r="CD137" s="12">
        <f t="shared" si="228"/>
        <v>0</v>
      </c>
      <c r="CE137" s="12">
        <f t="shared" si="228"/>
        <v>0</v>
      </c>
      <c r="CF137" s="12">
        <f t="shared" si="228"/>
        <v>0</v>
      </c>
      <c r="CG137" s="12">
        <f t="shared" si="228"/>
        <v>0</v>
      </c>
      <c r="CH137" s="12">
        <f t="shared" si="228"/>
        <v>0</v>
      </c>
      <c r="CI137" s="12">
        <f t="shared" si="228"/>
        <v>0</v>
      </c>
      <c r="CK137" s="11"/>
      <c r="CL137" s="241">
        <f>IF(MIN($V137:$CI137)&lt;0, 1, 0)</f>
        <v>0</v>
      </c>
      <c r="CM137" s="11"/>
      <c r="CP137" s="7">
        <f>IF(SUM($CT137:$CV137)=0, 0, 1)</f>
        <v>0</v>
      </c>
      <c r="CQ137" s="7">
        <f>IF(SUM($CW137:$CY137)=0, 0, 1)</f>
        <v>0</v>
      </c>
      <c r="CR137" s="7">
        <f>IF($CZ137=0, 0, 1)</f>
        <v>0</v>
      </c>
      <c r="CS137" s="11"/>
      <c r="CT137" s="215">
        <f t="shared" si="226"/>
        <v>0</v>
      </c>
      <c r="CU137" s="215">
        <f t="shared" si="226"/>
        <v>0</v>
      </c>
      <c r="CV137" s="215">
        <f t="shared" si="226"/>
        <v>0</v>
      </c>
      <c r="CW137" s="215">
        <f>ROUND($BY137-SUMIFS($AA137:$BJ137, $AA$3:$BJ$3, $BY$3), rounding)</f>
        <v>0</v>
      </c>
      <c r="CX137" s="215">
        <f>ROUND($BZ137-SUMIFS($AA137:$BJ137, $AA$3:$BJ$3, $BZ$3), rounding)</f>
        <v>0</v>
      </c>
      <c r="CY137" s="215">
        <f>ROUND($CA137-SUMIFS($AA137:$BJ137, $AA$3:$BJ$3, $CA$3), rounding)</f>
        <v>0</v>
      </c>
      <c r="CZ137" s="215">
        <f>ROUND($V137-$BX137, rounding)</f>
        <v>0</v>
      </c>
      <c r="DT137" s="11"/>
      <c r="DU137">
        <v>0</v>
      </c>
      <c r="DV137">
        <v>0</v>
      </c>
      <c r="DW137" s="11"/>
      <c r="EY137" s="10" t="str">
        <f t="shared" si="196"/>
        <v>Total Staff Restructuring Costs</v>
      </c>
    </row>
    <row r="138" spans="1:155" ht="6.75" customHeight="1" x14ac:dyDescent="0.35">
      <c r="C138" s="235"/>
      <c r="BY138" s="6"/>
      <c r="CK138" s="35"/>
      <c r="CM138" s="35"/>
      <c r="CS138" s="35"/>
      <c r="DT138" s="35"/>
      <c r="DU138">
        <v>0</v>
      </c>
      <c r="DV138">
        <v>0</v>
      </c>
      <c r="DW138" s="35"/>
      <c r="EY138" s="10" t="str">
        <f t="shared" si="196"/>
        <v/>
      </c>
    </row>
    <row r="139" spans="1:155" x14ac:dyDescent="0.35">
      <c r="A139" s="220" cm="1">
        <f t="array" aca="1" ref="A139" ca="1">HYPERLINK("#"&amp;IFERROR(CELL("address",IF(MAX($CM139:$CS139)=0,A139,INDEX($CM139:$CS139,MATCH(1,$CM139:$CS139,0)))),CELL("address",$V139:$CI139)),IFERROR(MAX($CM139:$CS139),1))</f>
        <v>0</v>
      </c>
      <c r="C139" s="213" t="str">
        <f>CONCATENATE("M-", 'I&amp;E Annual'!C139)</f>
        <v>M-IE-2</v>
      </c>
      <c r="D139" s="61" t="s">
        <v>434</v>
      </c>
      <c r="E139" s="5"/>
      <c r="G139" s="5"/>
      <c r="V139" s="12">
        <f>V114+V132+V137</f>
        <v>0</v>
      </c>
      <c r="W139" s="12">
        <f>W114+W132+W137</f>
        <v>0</v>
      </c>
      <c r="X139" s="12">
        <f>X114+X132+X137</f>
        <v>0</v>
      </c>
      <c r="Y139" s="12">
        <f>Y114+Y132+Y137</f>
        <v>0</v>
      </c>
      <c r="AA139" s="12">
        <f t="shared" ref="AA139:BJ139" si="229">AA114+AA132+AA137</f>
        <v>0</v>
      </c>
      <c r="AB139" s="12">
        <f t="shared" si="229"/>
        <v>0</v>
      </c>
      <c r="AC139" s="12">
        <f t="shared" si="229"/>
        <v>0</v>
      </c>
      <c r="AD139" s="12">
        <f t="shared" si="229"/>
        <v>0</v>
      </c>
      <c r="AE139" s="12">
        <f t="shared" si="229"/>
        <v>0</v>
      </c>
      <c r="AF139" s="12">
        <f t="shared" si="229"/>
        <v>0</v>
      </c>
      <c r="AG139" s="12">
        <f t="shared" si="229"/>
        <v>0</v>
      </c>
      <c r="AH139" s="12">
        <f t="shared" si="229"/>
        <v>0</v>
      </c>
      <c r="AI139" s="12">
        <f t="shared" si="229"/>
        <v>0</v>
      </c>
      <c r="AJ139" s="12">
        <f t="shared" si="229"/>
        <v>0</v>
      </c>
      <c r="AK139" s="12">
        <f t="shared" si="229"/>
        <v>0</v>
      </c>
      <c r="AL139" s="12">
        <f t="shared" si="229"/>
        <v>0</v>
      </c>
      <c r="AM139" s="12">
        <f t="shared" si="229"/>
        <v>0</v>
      </c>
      <c r="AN139" s="12">
        <f t="shared" si="229"/>
        <v>0</v>
      </c>
      <c r="AO139" s="12">
        <f t="shared" si="229"/>
        <v>0</v>
      </c>
      <c r="AP139" s="12">
        <f t="shared" si="229"/>
        <v>0</v>
      </c>
      <c r="AQ139" s="12">
        <f t="shared" si="229"/>
        <v>0</v>
      </c>
      <c r="AR139" s="12">
        <f t="shared" si="229"/>
        <v>0</v>
      </c>
      <c r="AS139" s="12">
        <f t="shared" si="229"/>
        <v>0</v>
      </c>
      <c r="AT139" s="12">
        <f t="shared" si="229"/>
        <v>0</v>
      </c>
      <c r="AU139" s="12">
        <f t="shared" si="229"/>
        <v>0</v>
      </c>
      <c r="AV139" s="12">
        <f t="shared" si="229"/>
        <v>0</v>
      </c>
      <c r="AW139" s="12">
        <f t="shared" si="229"/>
        <v>0</v>
      </c>
      <c r="AX139" s="12">
        <f t="shared" si="229"/>
        <v>0</v>
      </c>
      <c r="AY139" s="12">
        <f t="shared" si="229"/>
        <v>0</v>
      </c>
      <c r="AZ139" s="12">
        <f t="shared" si="229"/>
        <v>0</v>
      </c>
      <c r="BA139" s="12">
        <f t="shared" si="229"/>
        <v>0</v>
      </c>
      <c r="BB139" s="12">
        <f t="shared" si="229"/>
        <v>0</v>
      </c>
      <c r="BC139" s="12">
        <f t="shared" si="229"/>
        <v>0</v>
      </c>
      <c r="BD139" s="12">
        <f t="shared" si="229"/>
        <v>0</v>
      </c>
      <c r="BE139" s="12">
        <f t="shared" si="229"/>
        <v>0</v>
      </c>
      <c r="BF139" s="12">
        <f t="shared" si="229"/>
        <v>0</v>
      </c>
      <c r="BG139" s="12">
        <f t="shared" si="229"/>
        <v>0</v>
      </c>
      <c r="BH139" s="12">
        <f t="shared" si="229"/>
        <v>0</v>
      </c>
      <c r="BI139" s="12">
        <f t="shared" si="229"/>
        <v>0</v>
      </c>
      <c r="BJ139" s="12">
        <f t="shared" si="229"/>
        <v>0</v>
      </c>
      <c r="BX139" s="12">
        <f t="shared" ref="BX139:CI139" si="230">BX114+BX132+BX137</f>
        <v>0</v>
      </c>
      <c r="BY139" s="12">
        <f t="shared" si="230"/>
        <v>0</v>
      </c>
      <c r="BZ139" s="12">
        <f t="shared" si="230"/>
        <v>0</v>
      </c>
      <c r="CA139" s="12">
        <f t="shared" si="230"/>
        <v>0</v>
      </c>
      <c r="CB139" s="12">
        <f t="shared" si="230"/>
        <v>0</v>
      </c>
      <c r="CC139" s="12">
        <f t="shared" si="230"/>
        <v>0</v>
      </c>
      <c r="CD139" s="12">
        <f t="shared" si="230"/>
        <v>0</v>
      </c>
      <c r="CE139" s="12">
        <f t="shared" si="230"/>
        <v>0</v>
      </c>
      <c r="CF139" s="12">
        <f t="shared" si="230"/>
        <v>0</v>
      </c>
      <c r="CG139" s="12">
        <f t="shared" si="230"/>
        <v>0</v>
      </c>
      <c r="CH139" s="12">
        <f t="shared" si="230"/>
        <v>0</v>
      </c>
      <c r="CI139" s="12">
        <f t="shared" si="230"/>
        <v>0</v>
      </c>
      <c r="CK139" s="11"/>
      <c r="CM139" s="11"/>
      <c r="CP139" s="7">
        <f>IF(SUM($CT139:$CV139)=0, 0, 1)</f>
        <v>0</v>
      </c>
      <c r="CQ139" s="7">
        <f>IF(SUM($CW139:$CY139)=0, 0, 1)</f>
        <v>0</v>
      </c>
      <c r="CR139" s="7">
        <f>IF($CZ139=0, 0, 1)</f>
        <v>0</v>
      </c>
      <c r="CS139" s="11"/>
      <c r="CT139" s="215">
        <f>ROUND(W139-SUMIFS($AA139:$BJ139, $AA$3:$BJ$3, W$3), rounding)</f>
        <v>0</v>
      </c>
      <c r="CU139" s="215">
        <f>ROUND(X139-SUMIFS($AA139:$BJ139, $AA$3:$BJ$3, X$3), rounding)</f>
        <v>0</v>
      </c>
      <c r="CV139" s="215">
        <f>ROUND(Y139-SUMIFS($AA139:$BJ139, $AA$3:$BJ$3, Y$3), rounding)</f>
        <v>0</v>
      </c>
      <c r="CW139" s="215">
        <f>ROUND($BY139-SUMIFS($AA139:$BJ139, $AA$3:$BJ$3, $BY$3), rounding)</f>
        <v>0</v>
      </c>
      <c r="CX139" s="215">
        <f>ROUND($BZ139-SUMIFS($AA139:$BJ139, $AA$3:$BJ$3, $BZ$3), rounding)</f>
        <v>0</v>
      </c>
      <c r="CY139" s="215">
        <f>ROUND($CA139-SUMIFS($AA139:$BJ139, $AA$3:$BJ$3, $CA$3), rounding)</f>
        <v>0</v>
      </c>
      <c r="CZ139" s="215">
        <f>ROUND($V139-$BX139, rounding)</f>
        <v>0</v>
      </c>
      <c r="DT139" s="11"/>
      <c r="DU139">
        <v>0</v>
      </c>
      <c r="DV139">
        <v>0</v>
      </c>
      <c r="DW139" s="11"/>
      <c r="EY139" s="10" t="str">
        <f t="shared" si="196"/>
        <v>Total Operating Expenditure</v>
      </c>
    </row>
    <row r="140" spans="1:155" ht="6.75" customHeight="1" x14ac:dyDescent="0.35">
      <c r="C140" s="235"/>
      <c r="BY140" s="6"/>
      <c r="CK140" s="11"/>
      <c r="CM140" s="11"/>
      <c r="CS140" s="35"/>
      <c r="DT140" s="35"/>
      <c r="DU140">
        <v>0</v>
      </c>
      <c r="DV140">
        <v>0</v>
      </c>
      <c r="DW140" s="35"/>
      <c r="EY140" s="10" t="str">
        <f t="shared" si="196"/>
        <v/>
      </c>
    </row>
    <row r="141" spans="1:155" x14ac:dyDescent="0.35">
      <c r="A141" s="220" cm="1">
        <f t="array" aca="1" ref="A141" ca="1">HYPERLINK("#"&amp;IFERROR(CELL("address",IF(MAX($CM141:$CS141)=0,A141,INDEX($CM141:$CS141,MATCH(1,$CM141:$CS141,0)))),CELL("address",$V141:$CI141)),IFERROR(MAX($CM141:$CS141),1))</f>
        <v>0</v>
      </c>
      <c r="C141" s="213" t="str">
        <f>CONCATENATE("M-", 'I&amp;E Annual'!C141)</f>
        <v>M-IE-3</v>
      </c>
      <c r="D141" s="61" t="s">
        <v>435</v>
      </c>
      <c r="E141" s="5"/>
      <c r="G141" s="5"/>
      <c r="V141" s="12">
        <f>V102-V139</f>
        <v>0</v>
      </c>
      <c r="W141" s="12">
        <f>W102-W139</f>
        <v>0</v>
      </c>
      <c r="X141" s="12">
        <f>X102-X139</f>
        <v>0</v>
      </c>
      <c r="Y141" s="12">
        <f>Y102-Y139</f>
        <v>0</v>
      </c>
      <c r="AA141" s="12">
        <f t="shared" ref="AA141:BJ141" si="231">AA102-AA139</f>
        <v>0</v>
      </c>
      <c r="AB141" s="12">
        <f t="shared" si="231"/>
        <v>0</v>
      </c>
      <c r="AC141" s="12">
        <f t="shared" si="231"/>
        <v>0</v>
      </c>
      <c r="AD141" s="12">
        <f t="shared" si="231"/>
        <v>0</v>
      </c>
      <c r="AE141" s="12">
        <f t="shared" si="231"/>
        <v>0</v>
      </c>
      <c r="AF141" s="12">
        <f t="shared" si="231"/>
        <v>0</v>
      </c>
      <c r="AG141" s="12">
        <f t="shared" si="231"/>
        <v>0</v>
      </c>
      <c r="AH141" s="12">
        <f t="shared" si="231"/>
        <v>0</v>
      </c>
      <c r="AI141" s="12">
        <f t="shared" si="231"/>
        <v>0</v>
      </c>
      <c r="AJ141" s="12">
        <f t="shared" si="231"/>
        <v>0</v>
      </c>
      <c r="AK141" s="12">
        <f t="shared" si="231"/>
        <v>0</v>
      </c>
      <c r="AL141" s="12">
        <f t="shared" si="231"/>
        <v>0</v>
      </c>
      <c r="AM141" s="12">
        <f t="shared" si="231"/>
        <v>0</v>
      </c>
      <c r="AN141" s="12">
        <f t="shared" si="231"/>
        <v>0</v>
      </c>
      <c r="AO141" s="12">
        <f t="shared" si="231"/>
        <v>0</v>
      </c>
      <c r="AP141" s="12">
        <f t="shared" si="231"/>
        <v>0</v>
      </c>
      <c r="AQ141" s="12">
        <f t="shared" si="231"/>
        <v>0</v>
      </c>
      <c r="AR141" s="12">
        <f t="shared" si="231"/>
        <v>0</v>
      </c>
      <c r="AS141" s="12">
        <f t="shared" si="231"/>
        <v>0</v>
      </c>
      <c r="AT141" s="12">
        <f t="shared" si="231"/>
        <v>0</v>
      </c>
      <c r="AU141" s="12">
        <f t="shared" si="231"/>
        <v>0</v>
      </c>
      <c r="AV141" s="12">
        <f t="shared" si="231"/>
        <v>0</v>
      </c>
      <c r="AW141" s="12">
        <f t="shared" si="231"/>
        <v>0</v>
      </c>
      <c r="AX141" s="12">
        <f t="shared" si="231"/>
        <v>0</v>
      </c>
      <c r="AY141" s="12">
        <f t="shared" si="231"/>
        <v>0</v>
      </c>
      <c r="AZ141" s="12">
        <f t="shared" si="231"/>
        <v>0</v>
      </c>
      <c r="BA141" s="12">
        <f t="shared" si="231"/>
        <v>0</v>
      </c>
      <c r="BB141" s="12">
        <f t="shared" si="231"/>
        <v>0</v>
      </c>
      <c r="BC141" s="12">
        <f t="shared" si="231"/>
        <v>0</v>
      </c>
      <c r="BD141" s="12">
        <f t="shared" si="231"/>
        <v>0</v>
      </c>
      <c r="BE141" s="12">
        <f t="shared" si="231"/>
        <v>0</v>
      </c>
      <c r="BF141" s="12">
        <f t="shared" si="231"/>
        <v>0</v>
      </c>
      <c r="BG141" s="12">
        <f t="shared" si="231"/>
        <v>0</v>
      </c>
      <c r="BH141" s="12">
        <f t="shared" si="231"/>
        <v>0</v>
      </c>
      <c r="BI141" s="12">
        <f t="shared" si="231"/>
        <v>0</v>
      </c>
      <c r="BJ141" s="12">
        <f t="shared" si="231"/>
        <v>0</v>
      </c>
      <c r="BX141" s="12">
        <f t="shared" ref="BX141:CI141" si="232">BX102-BX139</f>
        <v>0</v>
      </c>
      <c r="BY141" s="12">
        <f t="shared" si="232"/>
        <v>0</v>
      </c>
      <c r="BZ141" s="12">
        <f t="shared" si="232"/>
        <v>0</v>
      </c>
      <c r="CA141" s="12">
        <f t="shared" si="232"/>
        <v>0</v>
      </c>
      <c r="CB141" s="12">
        <f t="shared" si="232"/>
        <v>0</v>
      </c>
      <c r="CC141" s="12">
        <f t="shared" si="232"/>
        <v>0</v>
      </c>
      <c r="CD141" s="12">
        <f t="shared" si="232"/>
        <v>0</v>
      </c>
      <c r="CE141" s="12">
        <f t="shared" si="232"/>
        <v>0</v>
      </c>
      <c r="CF141" s="12">
        <f t="shared" si="232"/>
        <v>0</v>
      </c>
      <c r="CG141" s="12">
        <f t="shared" si="232"/>
        <v>0</v>
      </c>
      <c r="CH141" s="12">
        <f t="shared" si="232"/>
        <v>0</v>
      </c>
      <c r="CI141" s="12">
        <f t="shared" si="232"/>
        <v>0</v>
      </c>
      <c r="CK141" s="11"/>
      <c r="CM141" s="11"/>
      <c r="CP141" s="7">
        <f>IF(SUM($CT141:$CV141)=0, 0, 1)</f>
        <v>0</v>
      </c>
      <c r="CQ141" s="7">
        <f>IF(SUM($CW141:$CY141)=0, 0, 1)</f>
        <v>0</v>
      </c>
      <c r="CR141" s="7">
        <f>IF($CZ141=0, 0, 1)</f>
        <v>0</v>
      </c>
      <c r="CS141" s="11"/>
      <c r="CT141" s="215">
        <f>ROUND(W141-SUMIFS($AA141:$BJ141, $AA$3:$BJ$3, W$3), rounding)</f>
        <v>0</v>
      </c>
      <c r="CU141" s="215">
        <f>ROUND(X141-SUMIFS($AA141:$BJ141, $AA$3:$BJ$3, X$3), rounding)</f>
        <v>0</v>
      </c>
      <c r="CV141" s="215">
        <f>ROUND(Y141-SUMIFS($AA141:$BJ141, $AA$3:$BJ$3, Y$3), rounding)</f>
        <v>0</v>
      </c>
      <c r="CW141" s="215">
        <f>ROUND($BY141-SUMIFS($AA141:$BJ141, $AA$3:$BJ$3, $BY$3), rounding)</f>
        <v>0</v>
      </c>
      <c r="CX141" s="215">
        <f>ROUND($BZ141-SUMIFS($AA141:$BJ141, $AA$3:$BJ$3, $BZ$3), rounding)</f>
        <v>0</v>
      </c>
      <c r="CY141" s="215">
        <f>ROUND($CA141-SUMIFS($AA141:$BJ141, $AA$3:$BJ$3, $CA$3), rounding)</f>
        <v>0</v>
      </c>
      <c r="CZ141" s="215">
        <f>ROUND($V141-$BX141, rounding)</f>
        <v>0</v>
      </c>
      <c r="DT141" s="11"/>
      <c r="DU141">
        <v>0</v>
      </c>
      <c r="DV141">
        <v>0</v>
      </c>
      <c r="DW141" s="11"/>
      <c r="EY141" s="10" t="str">
        <f t="shared" si="196"/>
        <v>Net Operating Income</v>
      </c>
    </row>
    <row r="142" spans="1:155" ht="6.75" customHeight="1" x14ac:dyDescent="0.35">
      <c r="C142" s="213"/>
      <c r="BY142" s="6"/>
      <c r="CK142" s="35"/>
      <c r="CM142" s="35"/>
      <c r="CS142" s="35"/>
      <c r="DT142" s="35"/>
      <c r="DU142">
        <v>0</v>
      </c>
      <c r="DV142">
        <v>0</v>
      </c>
      <c r="DW142" s="35"/>
      <c r="EY142" s="10" t="str">
        <f t="shared" si="196"/>
        <v/>
      </c>
    </row>
    <row r="143" spans="1:155" ht="26.65" customHeight="1" x14ac:dyDescent="0.35">
      <c r="A143" s="220" cm="1">
        <f t="array" aca="1" ref="A143" ca="1">HYPERLINK("#"&amp;IFERROR(CELL("address",IF(MAX($CM143:$CS143)=0,A143,INDEX($CM143:$CS143,MATCH(1,$CM143:$CS143,0)))),CELL("address",$V143:$CI143)),IFERROR(MAX($CM143:$CS143),1))</f>
        <v>0</v>
      </c>
      <c r="C143" s="213" t="str">
        <f>CONCATENATE("M-", 'I&amp;E Annual'!C143)</f>
        <v>M-IE-4a</v>
      </c>
      <c r="D143" s="57" t="s">
        <v>436</v>
      </c>
      <c r="E143" s="630" t="str" cm="1">
        <f t="array" aca="1" ref="E143" ca="1">HYPERLINK(CONCATENATE("#",CELL("address",'BS Forecasts'!$D$151)),'BS Forecasts'!$D$141)</f>
        <v>Deferred Income - Capital Grant Liability</v>
      </c>
      <c r="H143" s="9" t="s">
        <v>317</v>
      </c>
      <c r="V143" s="10">
        <f>0-SUM('BS Forecasts'!V$151:V$154)</f>
        <v>0</v>
      </c>
      <c r="W143" s="10">
        <f>0-SUM('BS Forecasts'!W$151:W$154)</f>
        <v>0</v>
      </c>
      <c r="X143" s="10">
        <f>0-SUM('BS Forecasts'!X$151:X$154)</f>
        <v>0</v>
      </c>
      <c r="Y143" s="10">
        <f>0-SUM('BS Forecasts'!Y$151:Y$154)</f>
        <v>0</v>
      </c>
      <c r="AA143" s="10">
        <f>0-SUM('BS Forecasts'!AA$151:AA$154)</f>
        <v>0</v>
      </c>
      <c r="AB143" s="10">
        <f>0-SUM('BS Forecasts'!AB$151:AB$154)</f>
        <v>0</v>
      </c>
      <c r="AC143" s="10">
        <f>0-SUM('BS Forecasts'!AC$151:AC$154)</f>
        <v>0</v>
      </c>
      <c r="AD143" s="10">
        <f>0-SUM('BS Forecasts'!AD$151:AD$154)</f>
        <v>0</v>
      </c>
      <c r="AE143" s="10">
        <f>0-SUM('BS Forecasts'!AE$151:AE$154)</f>
        <v>0</v>
      </c>
      <c r="AF143" s="10">
        <f>0-SUM('BS Forecasts'!AF$151:AF$154)</f>
        <v>0</v>
      </c>
      <c r="AG143" s="10">
        <f>0-SUM('BS Forecasts'!AG$151:AG$154)</f>
        <v>0</v>
      </c>
      <c r="AH143" s="10">
        <f>0-SUM('BS Forecasts'!AH$151:AH$154)</f>
        <v>0</v>
      </c>
      <c r="AI143" s="10">
        <f>0-SUM('BS Forecasts'!AI$151:AI$154)</f>
        <v>0</v>
      </c>
      <c r="AJ143" s="10">
        <f>0-SUM('BS Forecasts'!AJ$151:AJ$154)</f>
        <v>0</v>
      </c>
      <c r="AK143" s="10">
        <f>0-SUM('BS Forecasts'!AK$151:AK$154)</f>
        <v>0</v>
      </c>
      <c r="AL143" s="10">
        <f>0-SUM('BS Forecasts'!AL$151:AL$154)</f>
        <v>0</v>
      </c>
      <c r="AM143" s="10">
        <f>0-SUM('BS Forecasts'!AM$151:AM$154)</f>
        <v>0</v>
      </c>
      <c r="AN143" s="10">
        <f>0-SUM('BS Forecasts'!AN$151:AN$154)</f>
        <v>0</v>
      </c>
      <c r="AO143" s="10">
        <f>0-SUM('BS Forecasts'!AO$151:AO$154)</f>
        <v>0</v>
      </c>
      <c r="AP143" s="10">
        <f>0-SUM('BS Forecasts'!AP$151:AP$154)</f>
        <v>0</v>
      </c>
      <c r="AQ143" s="10">
        <f>0-SUM('BS Forecasts'!AQ$151:AQ$154)</f>
        <v>0</v>
      </c>
      <c r="AR143" s="10">
        <f>0-SUM('BS Forecasts'!AR$151:AR$154)</f>
        <v>0</v>
      </c>
      <c r="AS143" s="10">
        <f>0-SUM('BS Forecasts'!AS$151:AS$154)</f>
        <v>0</v>
      </c>
      <c r="AT143" s="10">
        <f>0-SUM('BS Forecasts'!AT$151:AT$154)</f>
        <v>0</v>
      </c>
      <c r="AU143" s="10">
        <f>0-SUM('BS Forecasts'!AU$151:AU$154)</f>
        <v>0</v>
      </c>
      <c r="AV143" s="10">
        <f>0-SUM('BS Forecasts'!AV$151:AV$154)</f>
        <v>0</v>
      </c>
      <c r="AW143" s="10">
        <f>0-SUM('BS Forecasts'!AW$151:AW$154)</f>
        <v>0</v>
      </c>
      <c r="AX143" s="10">
        <f>0-SUM('BS Forecasts'!AX$151:AX$154)</f>
        <v>0</v>
      </c>
      <c r="AY143" s="10">
        <f>0-SUM('BS Forecasts'!AY$151:AY$154)</f>
        <v>0</v>
      </c>
      <c r="AZ143" s="10">
        <f>0-SUM('BS Forecasts'!AZ$151:AZ$154)</f>
        <v>0</v>
      </c>
      <c r="BA143" s="10">
        <f>0-SUM('BS Forecasts'!BA$151:BA$154)</f>
        <v>0</v>
      </c>
      <c r="BB143" s="10">
        <f>0-SUM('BS Forecasts'!BB$151:BB$154)</f>
        <v>0</v>
      </c>
      <c r="BC143" s="10">
        <f>0-SUM('BS Forecasts'!BC$151:BC$154)</f>
        <v>0</v>
      </c>
      <c r="BD143" s="10">
        <f>0-SUM('BS Forecasts'!BD$151:BD$154)</f>
        <v>0</v>
      </c>
      <c r="BE143" s="10">
        <f>0-SUM('BS Forecasts'!BE$151:BE$154)</f>
        <v>0</v>
      </c>
      <c r="BF143" s="10">
        <f>0-SUM('BS Forecasts'!BF$151:BF$154)</f>
        <v>0</v>
      </c>
      <c r="BG143" s="10">
        <f>0-SUM('BS Forecasts'!BG$151:BG$154)</f>
        <v>0</v>
      </c>
      <c r="BH143" s="10">
        <f>0-SUM('BS Forecasts'!BH$151:BH$154)</f>
        <v>0</v>
      </c>
      <c r="BI143" s="10">
        <f>0-SUM('BS Forecasts'!BI$151:BI$154)</f>
        <v>0</v>
      </c>
      <c r="BJ143" s="10">
        <f>0-SUM('BS Forecasts'!BJ$151:BJ$154)</f>
        <v>0</v>
      </c>
      <c r="BX143" s="10">
        <f>0-SUM('BS Forecasts'!BX$151:BX$154)</f>
        <v>0</v>
      </c>
      <c r="BY143" s="10">
        <f>0-SUM('BS Forecasts'!BY$151:BY$154)</f>
        <v>0</v>
      </c>
      <c r="BZ143" s="10">
        <f>0-SUM('BS Forecasts'!BZ$151:BZ$154)</f>
        <v>0</v>
      </c>
      <c r="CA143" s="10">
        <f>0-SUM('BS Forecasts'!CA$151:CA$154)</f>
        <v>0</v>
      </c>
      <c r="CB143" s="10">
        <f>0-SUM('BS Forecasts'!CB$151:CB$154)</f>
        <v>0</v>
      </c>
      <c r="CC143" s="10">
        <f>0-SUM('BS Forecasts'!CC$151:CC$154)</f>
        <v>0</v>
      </c>
      <c r="CD143" s="10">
        <f>0-SUM('BS Forecasts'!CD$151:CD$154)</f>
        <v>0</v>
      </c>
      <c r="CE143" s="10">
        <f>0-SUM('BS Forecasts'!CE$151:CE$154)</f>
        <v>0</v>
      </c>
      <c r="CF143" s="10">
        <f>0-SUM('BS Forecasts'!CF$151:CF$154)</f>
        <v>0</v>
      </c>
      <c r="CG143" s="10">
        <f>0-SUM('BS Forecasts'!CG$151:CG$154)</f>
        <v>0</v>
      </c>
      <c r="CH143" s="10">
        <f>0-SUM('BS Forecasts'!CH$151:CH$154)</f>
        <v>0</v>
      </c>
      <c r="CI143" s="10">
        <f>0-SUM('BS Forecasts'!CI$151:CI$154)</f>
        <v>0</v>
      </c>
      <c r="CK143" s="11"/>
      <c r="CM143" s="11"/>
      <c r="CP143" s="7">
        <f>IF(SUM($CT143:$CV143)=0, 0, 1)</f>
        <v>0</v>
      </c>
      <c r="CQ143" s="7">
        <f>IF(SUM($CW143:$CY143)=0, 0, 1)</f>
        <v>0</v>
      </c>
      <c r="CR143" s="7">
        <f>IF($CZ143=0, 0, 1)</f>
        <v>0</v>
      </c>
      <c r="CS143" s="11"/>
      <c r="CT143" s="215">
        <f t="shared" ref="CT143:CV144" si="233">ROUND(W143-SUMIFS($AA143:$BJ143, $AA$3:$BJ$3, W$3), rounding)</f>
        <v>0</v>
      </c>
      <c r="CU143" s="215">
        <f t="shared" si="233"/>
        <v>0</v>
      </c>
      <c r="CV143" s="215">
        <f t="shared" si="233"/>
        <v>0</v>
      </c>
      <c r="CW143" s="215">
        <f>ROUND($BY143-SUMIFS($AA143:$BJ143, $AA$3:$BJ$3, $BY$3), rounding)</f>
        <v>0</v>
      </c>
      <c r="CX143" s="215">
        <f>ROUND($BZ143-SUMIFS($AA143:$BJ143, $AA$3:$BJ$3, $BZ$3), rounding)</f>
        <v>0</v>
      </c>
      <c r="CY143" s="215">
        <f>ROUND($CA143-SUMIFS($AA143:$BJ143, $AA$3:$BJ$3, $CA$3), rounding)</f>
        <v>0</v>
      </c>
      <c r="CZ143" s="215">
        <f>ROUND($V143-$BX143, rounding)</f>
        <v>0</v>
      </c>
      <c r="DT143" s="11"/>
      <c r="DU143">
        <v>0</v>
      </c>
      <c r="DV143">
        <v>0</v>
      </c>
      <c r="DW143" s="11"/>
      <c r="EY143" s="10" t="str">
        <f t="shared" si="196"/>
        <v>Release of Capital Grants</v>
      </c>
    </row>
    <row r="144" spans="1:155" ht="43.5" x14ac:dyDescent="0.35">
      <c r="A144" s="220" cm="1">
        <f t="array" aca="1" ref="A144" ca="1">HYPERLINK("#"&amp;IFERROR(CELL("address",IF(MAX($CM144:$CS144)=0,A144,INDEX($CM144:$CS144,MATCH(1,$CM144:$CS144,0)))),CELL("address",$V144:$CI144)),IFERROR(MAX($CM144:$CS144),1))</f>
        <v>0</v>
      </c>
      <c r="C144" s="213" t="str">
        <f>CONCATENATE("M-", 'I&amp;E Annual'!C144)</f>
        <v>M-IE-4b</v>
      </c>
      <c r="D144" s="57" t="s">
        <v>437</v>
      </c>
      <c r="E144" s="630" t="str" cm="1">
        <f t="array" aca="1" ref="E144" ca="1">HYPERLINK(CONCATENATE("#",CELL("address",'BS Forecasts'!$D$194)),'BS Forecasts'!$D$193)</f>
        <v>Holiday and Sabbatical Pay Accrual</v>
      </c>
      <c r="H144" t="s">
        <v>403</v>
      </c>
      <c r="V144" s="12">
        <f>('Opening Balances'!W53-'Opening Balances'!V53)*'Opening Balances'!$V$86</f>
        <v>0</v>
      </c>
      <c r="W144" s="10">
        <f>('BS Forecasts'!W$194 -'BS Forecasts'!V$194)</f>
        <v>0</v>
      </c>
      <c r="X144" s="10">
        <f>('BS Forecasts'!X$194 -'BS Forecasts'!W$194)</f>
        <v>0</v>
      </c>
      <c r="Y144" s="10">
        <f>('BS Forecasts'!Y$194 -'BS Forecasts'!X$194)</f>
        <v>0</v>
      </c>
      <c r="AA144" s="10">
        <f>('BS Forecasts'!AA$194 -'BS Forecasts'!V$194)</f>
        <v>0</v>
      </c>
      <c r="AB144" s="10">
        <f>('BS Forecasts'!AB$194 -'BS Forecasts'!AA$194)</f>
        <v>0</v>
      </c>
      <c r="AC144" s="10">
        <f>('BS Forecasts'!AC$194 -'BS Forecasts'!AB$194)</f>
        <v>0</v>
      </c>
      <c r="AD144" s="10">
        <f>('BS Forecasts'!AD$194 -'BS Forecasts'!AC$194)</f>
        <v>0</v>
      </c>
      <c r="AE144" s="10">
        <f>('BS Forecasts'!AE$194 -'BS Forecasts'!AD$194)</f>
        <v>0</v>
      </c>
      <c r="AF144" s="10">
        <f>('BS Forecasts'!AF$194 -'BS Forecasts'!AE$194)</f>
        <v>0</v>
      </c>
      <c r="AG144" s="10">
        <f>('BS Forecasts'!AG$194 -'BS Forecasts'!AF$194)</f>
        <v>0</v>
      </c>
      <c r="AH144" s="10">
        <f>('BS Forecasts'!AH$194 -'BS Forecasts'!AG$194)</f>
        <v>0</v>
      </c>
      <c r="AI144" s="10">
        <f>('BS Forecasts'!AI$194 -'BS Forecasts'!AH$194)</f>
        <v>0</v>
      </c>
      <c r="AJ144" s="10">
        <f>('BS Forecasts'!AJ$194 -'BS Forecasts'!AI$194)</f>
        <v>0</v>
      </c>
      <c r="AK144" s="10">
        <f>('BS Forecasts'!AK$194 -'BS Forecasts'!AJ$194)</f>
        <v>0</v>
      </c>
      <c r="AL144" s="10">
        <f>('BS Forecasts'!AL$194 -'BS Forecasts'!AK$194)</f>
        <v>0</v>
      </c>
      <c r="AM144" s="10">
        <f>('BS Forecasts'!AM$194 -'BS Forecasts'!AL$194)</f>
        <v>0</v>
      </c>
      <c r="AN144" s="10">
        <f>('BS Forecasts'!AN$194 -'BS Forecasts'!AM$194)</f>
        <v>0</v>
      </c>
      <c r="AO144" s="10">
        <f>('BS Forecasts'!AO$194 -'BS Forecasts'!AN$194)</f>
        <v>0</v>
      </c>
      <c r="AP144" s="10">
        <f>('BS Forecasts'!AP$194 -'BS Forecasts'!AO$194)</f>
        <v>0</v>
      </c>
      <c r="AQ144" s="10">
        <f>('BS Forecasts'!AQ$194 -'BS Forecasts'!AP$194)</f>
        <v>0</v>
      </c>
      <c r="AR144" s="10">
        <f>('BS Forecasts'!AR$194 -'BS Forecasts'!AQ$194)</f>
        <v>0</v>
      </c>
      <c r="AS144" s="10">
        <f>('BS Forecasts'!AS$194 -'BS Forecasts'!AR$194)</f>
        <v>0</v>
      </c>
      <c r="AT144" s="10">
        <f>('BS Forecasts'!AT$194 -'BS Forecasts'!AS$194)</f>
        <v>0</v>
      </c>
      <c r="AU144" s="10">
        <f>('BS Forecasts'!AU$194 -'BS Forecasts'!AT$194)</f>
        <v>0</v>
      </c>
      <c r="AV144" s="10">
        <f>('BS Forecasts'!AV$194 -'BS Forecasts'!AU$194)</f>
        <v>0</v>
      </c>
      <c r="AW144" s="10">
        <f>('BS Forecasts'!AW$194 -'BS Forecasts'!AV$194)</f>
        <v>0</v>
      </c>
      <c r="AX144" s="10">
        <f>('BS Forecasts'!AX$194 -'BS Forecasts'!AW$194)</f>
        <v>0</v>
      </c>
      <c r="AY144" s="10">
        <f>('BS Forecasts'!AY$194 -'BS Forecasts'!AX$194)</f>
        <v>0</v>
      </c>
      <c r="AZ144" s="10">
        <f>('BS Forecasts'!AZ$194 -'BS Forecasts'!AY$194)</f>
        <v>0</v>
      </c>
      <c r="BA144" s="10">
        <f>('BS Forecasts'!BA$194 -'BS Forecasts'!AZ$194)</f>
        <v>0</v>
      </c>
      <c r="BB144" s="10">
        <f>('BS Forecasts'!BB$194 -'BS Forecasts'!BA$194)</f>
        <v>0</v>
      </c>
      <c r="BC144" s="10">
        <f>('BS Forecasts'!BC$194 -'BS Forecasts'!BB$194)</f>
        <v>0</v>
      </c>
      <c r="BD144" s="10">
        <f>('BS Forecasts'!BD$194 -'BS Forecasts'!BC$194)</f>
        <v>0</v>
      </c>
      <c r="BE144" s="10">
        <f>('BS Forecasts'!BE$194 -'BS Forecasts'!BD$194)</f>
        <v>0</v>
      </c>
      <c r="BF144" s="10">
        <f>('BS Forecasts'!BF$194 -'BS Forecasts'!BE$194)</f>
        <v>0</v>
      </c>
      <c r="BG144" s="10">
        <f>('BS Forecasts'!BG$194 -'BS Forecasts'!BF$194)</f>
        <v>0</v>
      </c>
      <c r="BH144" s="10">
        <f>('BS Forecasts'!BH$194 -'BS Forecasts'!BG$194)</f>
        <v>0</v>
      </c>
      <c r="BI144" s="10">
        <f>('BS Forecasts'!BI$194 -'BS Forecasts'!BH$194)</f>
        <v>0</v>
      </c>
      <c r="BJ144" s="10">
        <f>('BS Forecasts'!BJ$194 -'BS Forecasts'!BI$194)</f>
        <v>0</v>
      </c>
      <c r="BX144" s="12">
        <f>V144</f>
        <v>0</v>
      </c>
      <c r="BY144" s="10">
        <f>('BS Forecasts'!BY$194 -'BS Forecasts'!BX$194)</f>
        <v>0</v>
      </c>
      <c r="BZ144" s="10">
        <f>('BS Forecasts'!BZ$194 -'BS Forecasts'!BY$194)</f>
        <v>0</v>
      </c>
      <c r="CA144" s="10">
        <f>('BS Forecasts'!CA$194 -'BS Forecasts'!BZ$194)</f>
        <v>0</v>
      </c>
      <c r="CB144" s="10">
        <f>('BS Forecasts'!CB$194 -'BS Forecasts'!CA$194)</f>
        <v>0</v>
      </c>
      <c r="CC144" s="10">
        <f>('BS Forecasts'!CC$194 -'BS Forecasts'!CB$194)</f>
        <v>0</v>
      </c>
      <c r="CD144" s="10">
        <f>('BS Forecasts'!CD$194 -'BS Forecasts'!CC$194)</f>
        <v>0</v>
      </c>
      <c r="CE144" s="10">
        <f>('BS Forecasts'!CE$194 -'BS Forecasts'!CD$194)</f>
        <v>0</v>
      </c>
      <c r="CF144" s="10">
        <f>('BS Forecasts'!CF$194 -'BS Forecasts'!CE$194)</f>
        <v>0</v>
      </c>
      <c r="CG144" s="10">
        <f>('BS Forecasts'!CG$194 -'BS Forecasts'!CF$194)</f>
        <v>0</v>
      </c>
      <c r="CH144" s="10">
        <f>('BS Forecasts'!CH$194 -'BS Forecasts'!CG$194)</f>
        <v>0</v>
      </c>
      <c r="CI144" s="10">
        <f>('BS Forecasts'!CI$194 -'BS Forecasts'!CH$194)</f>
        <v>0</v>
      </c>
      <c r="CK144" s="11"/>
      <c r="CM144" s="11"/>
      <c r="CP144" s="7">
        <f>IF(SUM($CT144:$CV144)=0, 0, 1)</f>
        <v>0</v>
      </c>
      <c r="CQ144" s="7">
        <f>IF(SUM($CW144:$CY144)=0, 0, 1)</f>
        <v>0</v>
      </c>
      <c r="CR144" s="7">
        <f>IF($CZ144=0, 0, 1)</f>
        <v>0</v>
      </c>
      <c r="CS144" s="11"/>
      <c r="CT144" s="215">
        <f t="shared" si="233"/>
        <v>0</v>
      </c>
      <c r="CU144" s="215">
        <f t="shared" si="233"/>
        <v>0</v>
      </c>
      <c r="CV144" s="215">
        <f t="shared" si="233"/>
        <v>0</v>
      </c>
      <c r="CW144" s="215">
        <f>ROUND($BY144-SUMIFS($AA144:$BJ144, $AA$3:$BJ$3, $BY$3), rounding)</f>
        <v>0</v>
      </c>
      <c r="CX144" s="215">
        <f>ROUND($BZ144-SUMIFS($AA144:$BJ144, $AA$3:$BJ$3, $BZ$3), rounding)</f>
        <v>0</v>
      </c>
      <c r="CY144" s="215">
        <f>ROUND($CA144-SUMIFS($AA144:$BJ144, $AA$3:$BJ$3, $CA$3), rounding)</f>
        <v>0</v>
      </c>
      <c r="CZ144" s="215">
        <f>ROUND($V144-$BX144, rounding)</f>
        <v>0</v>
      </c>
      <c r="DT144" s="11"/>
      <c r="DU144">
        <v>0</v>
      </c>
      <c r="DV144">
        <v>0</v>
      </c>
      <c r="DW144" s="11"/>
      <c r="EY144" s="10" t="str">
        <f t="shared" si="196"/>
        <v>Movement in holiday pay accrual</v>
      </c>
    </row>
    <row r="145" spans="1:155" ht="6.75" customHeight="1" x14ac:dyDescent="0.35">
      <c r="C145" s="213"/>
      <c r="BY145" s="6"/>
      <c r="CK145" s="35"/>
      <c r="CM145" s="35"/>
      <c r="CS145" s="35"/>
      <c r="DT145" s="35"/>
      <c r="DU145">
        <v>0</v>
      </c>
      <c r="DV145">
        <v>0</v>
      </c>
      <c r="DW145" s="35"/>
      <c r="EY145" s="10" t="str">
        <f t="shared" si="196"/>
        <v/>
      </c>
    </row>
    <row r="146" spans="1:155" x14ac:dyDescent="0.35">
      <c r="A146" s="220" cm="1">
        <f t="array" aca="1" ref="A146" ca="1">HYPERLINK("#"&amp;IFERROR(CELL("address",IF(MAX($CM146:$CS146)=0,A146,INDEX($CM146:$CS146,MATCH(1,$CM146:$CS146,0)))),CELL("address",$V146:$CI146)),IFERROR(MAX($CM146:$CS146),1))</f>
        <v>0</v>
      </c>
      <c r="C146" s="213" t="str">
        <f>CONCATENATE("M-", 'I&amp;E Annual'!C146)</f>
        <v>M-IE-4</v>
      </c>
      <c r="D146" s="61" t="s">
        <v>438</v>
      </c>
      <c r="E146" s="5"/>
      <c r="G146" s="5"/>
      <c r="V146" s="12">
        <f>V141+V143-V144</f>
        <v>0</v>
      </c>
      <c r="W146" s="12">
        <f>W141+W143-W144</f>
        <v>0</v>
      </c>
      <c r="X146" s="12">
        <f>X141+X143-X144</f>
        <v>0</v>
      </c>
      <c r="Y146" s="12">
        <f>Y141+Y143-Y144</f>
        <v>0</v>
      </c>
      <c r="AA146" s="12">
        <f t="shared" ref="AA146:BJ146" si="234">AA141+AA143-AA144</f>
        <v>0</v>
      </c>
      <c r="AB146" s="12">
        <f t="shared" si="234"/>
        <v>0</v>
      </c>
      <c r="AC146" s="12">
        <f t="shared" si="234"/>
        <v>0</v>
      </c>
      <c r="AD146" s="12">
        <f t="shared" si="234"/>
        <v>0</v>
      </c>
      <c r="AE146" s="12">
        <f t="shared" si="234"/>
        <v>0</v>
      </c>
      <c r="AF146" s="12">
        <f t="shared" si="234"/>
        <v>0</v>
      </c>
      <c r="AG146" s="12">
        <f t="shared" si="234"/>
        <v>0</v>
      </c>
      <c r="AH146" s="12">
        <f t="shared" si="234"/>
        <v>0</v>
      </c>
      <c r="AI146" s="12">
        <f t="shared" si="234"/>
        <v>0</v>
      </c>
      <c r="AJ146" s="12">
        <f t="shared" si="234"/>
        <v>0</v>
      </c>
      <c r="AK146" s="12">
        <f t="shared" si="234"/>
        <v>0</v>
      </c>
      <c r="AL146" s="12">
        <f t="shared" si="234"/>
        <v>0</v>
      </c>
      <c r="AM146" s="12">
        <f t="shared" si="234"/>
        <v>0</v>
      </c>
      <c r="AN146" s="12">
        <f t="shared" si="234"/>
        <v>0</v>
      </c>
      <c r="AO146" s="12">
        <f t="shared" si="234"/>
        <v>0</v>
      </c>
      <c r="AP146" s="12">
        <f t="shared" si="234"/>
        <v>0</v>
      </c>
      <c r="AQ146" s="12">
        <f t="shared" si="234"/>
        <v>0</v>
      </c>
      <c r="AR146" s="12">
        <f t="shared" si="234"/>
        <v>0</v>
      </c>
      <c r="AS146" s="12">
        <f t="shared" si="234"/>
        <v>0</v>
      </c>
      <c r="AT146" s="12">
        <f t="shared" si="234"/>
        <v>0</v>
      </c>
      <c r="AU146" s="12">
        <f t="shared" si="234"/>
        <v>0</v>
      </c>
      <c r="AV146" s="12">
        <f t="shared" si="234"/>
        <v>0</v>
      </c>
      <c r="AW146" s="12">
        <f t="shared" si="234"/>
        <v>0</v>
      </c>
      <c r="AX146" s="12">
        <f t="shared" si="234"/>
        <v>0</v>
      </c>
      <c r="AY146" s="12">
        <f t="shared" si="234"/>
        <v>0</v>
      </c>
      <c r="AZ146" s="12">
        <f t="shared" si="234"/>
        <v>0</v>
      </c>
      <c r="BA146" s="12">
        <f t="shared" si="234"/>
        <v>0</v>
      </c>
      <c r="BB146" s="12">
        <f t="shared" si="234"/>
        <v>0</v>
      </c>
      <c r="BC146" s="12">
        <f t="shared" si="234"/>
        <v>0</v>
      </c>
      <c r="BD146" s="12">
        <f t="shared" si="234"/>
        <v>0</v>
      </c>
      <c r="BE146" s="12">
        <f t="shared" si="234"/>
        <v>0</v>
      </c>
      <c r="BF146" s="12">
        <f t="shared" si="234"/>
        <v>0</v>
      </c>
      <c r="BG146" s="12">
        <f t="shared" si="234"/>
        <v>0</v>
      </c>
      <c r="BH146" s="12">
        <f t="shared" si="234"/>
        <v>0</v>
      </c>
      <c r="BI146" s="12">
        <f t="shared" si="234"/>
        <v>0</v>
      </c>
      <c r="BJ146" s="12">
        <f t="shared" si="234"/>
        <v>0</v>
      </c>
      <c r="BX146" s="12">
        <f t="shared" ref="BX146:CI146" si="235">BX141+BX143-BX144</f>
        <v>0</v>
      </c>
      <c r="BY146" s="12">
        <f t="shared" si="235"/>
        <v>0</v>
      </c>
      <c r="BZ146" s="12">
        <f t="shared" si="235"/>
        <v>0</v>
      </c>
      <c r="CA146" s="12">
        <f t="shared" si="235"/>
        <v>0</v>
      </c>
      <c r="CB146" s="12">
        <f t="shared" si="235"/>
        <v>0</v>
      </c>
      <c r="CC146" s="12">
        <f t="shared" si="235"/>
        <v>0</v>
      </c>
      <c r="CD146" s="12">
        <f t="shared" si="235"/>
        <v>0</v>
      </c>
      <c r="CE146" s="12">
        <f t="shared" si="235"/>
        <v>0</v>
      </c>
      <c r="CF146" s="12">
        <f t="shared" si="235"/>
        <v>0</v>
      </c>
      <c r="CG146" s="12">
        <f t="shared" si="235"/>
        <v>0</v>
      </c>
      <c r="CH146" s="12">
        <f t="shared" si="235"/>
        <v>0</v>
      </c>
      <c r="CI146" s="12">
        <f t="shared" si="235"/>
        <v>0</v>
      </c>
      <c r="CK146" s="11"/>
      <c r="CM146" s="11"/>
      <c r="CP146" s="7">
        <f>IF(SUM($CT146:$CV146)=0, 0, 1)</f>
        <v>0</v>
      </c>
      <c r="CQ146" s="7">
        <f>IF(SUM($CW146:$CY146)=0, 0, 1)</f>
        <v>0</v>
      </c>
      <c r="CR146" s="7">
        <f>IF($CZ146=0, 0, 1)</f>
        <v>0</v>
      </c>
      <c r="CS146" s="11"/>
      <c r="CT146" s="215">
        <f>ROUND(W146-SUMIFS($AA146:$BJ146, $AA$3:$BJ$3, W$3), rounding)</f>
        <v>0</v>
      </c>
      <c r="CU146" s="215">
        <f>ROUND(X146-SUMIFS($AA146:$BJ146, $AA$3:$BJ$3, X$3), rounding)</f>
        <v>0</v>
      </c>
      <c r="CV146" s="215">
        <f>ROUND(Y146-SUMIFS($AA146:$BJ146, $AA$3:$BJ$3, Y$3), rounding)</f>
        <v>0</v>
      </c>
      <c r="CW146" s="215">
        <f>ROUND($BY146-SUMIFS($AA146:$BJ146, $AA$3:$BJ$3, $BY$3), rounding)</f>
        <v>0</v>
      </c>
      <c r="CX146" s="215">
        <f>ROUND($BZ146-SUMIFS($AA146:$BJ146, $AA$3:$BJ$3, $BZ$3), rounding)</f>
        <v>0</v>
      </c>
      <c r="CY146" s="215">
        <f>ROUND($CA146-SUMIFS($AA146:$BJ146, $AA$3:$BJ$3, $CA$3), rounding)</f>
        <v>0</v>
      </c>
      <c r="CZ146" s="215">
        <f>ROUND($V146-$BX146, rounding)</f>
        <v>0</v>
      </c>
      <c r="DT146" s="11"/>
      <c r="DU146">
        <v>0</v>
      </c>
      <c r="DV146">
        <v>0</v>
      </c>
      <c r="DW146" s="11"/>
      <c r="EY146" s="10" t="str">
        <f t="shared" ref="EY146:EY173" si="236">IF($C146="","",$D146)</f>
        <v>Surplus/(deficit) before ITDA</v>
      </c>
    </row>
    <row r="147" spans="1:155" ht="12" customHeight="1" x14ac:dyDescent="0.35">
      <c r="C147" s="213"/>
      <c r="BY147" s="6"/>
      <c r="CK147" s="35"/>
      <c r="CM147" s="35"/>
      <c r="CS147" s="35"/>
      <c r="DT147" s="35"/>
      <c r="DU147">
        <v>0</v>
      </c>
      <c r="DV147">
        <v>0</v>
      </c>
      <c r="DW147" s="35"/>
      <c r="EY147" s="10" t="str">
        <f t="shared" si="236"/>
        <v/>
      </c>
    </row>
    <row r="148" spans="1:155" x14ac:dyDescent="0.35">
      <c r="B148" s="5"/>
      <c r="C148" s="213"/>
      <c r="D148" s="61" t="s">
        <v>439</v>
      </c>
      <c r="E148" s="5"/>
      <c r="CK148" s="11"/>
      <c r="CM148" s="11"/>
      <c r="CS148" s="11"/>
      <c r="DT148" s="11"/>
      <c r="DU148">
        <v>0</v>
      </c>
      <c r="DV148">
        <v>0</v>
      </c>
      <c r="DW148" s="11"/>
      <c r="EY148" s="10" t="str">
        <f t="shared" si="236"/>
        <v/>
      </c>
    </row>
    <row r="149" spans="1:155" ht="29" x14ac:dyDescent="0.35">
      <c r="A149" s="220" cm="1">
        <f t="array" aca="1" ref="A149" ca="1">HYPERLINK("#"&amp;IFERROR(CELL("address",IF(MAX($CM149:$CS149)=0,A149,INDEX($CM149:$CS149,MATCH(1,$CM149:$CS149,0)))),CELL("address",$V149:$CI149)),IFERROR(MAX($CM149:$CS149),1))</f>
        <v>0</v>
      </c>
      <c r="C149" s="213" t="str">
        <f>CONCATENATE("M-", 'I&amp;E Annual'!C149)</f>
        <v>M-IE-5a-1</v>
      </c>
      <c r="D149" s="104" t="s">
        <v>440</v>
      </c>
      <c r="E149" s="630" t="str" cm="1">
        <f t="array" aca="1" ref="E149" ca="1">HYPERLINK(CONCATENATE("#",CELL("address",'Investing Inputs'!$D$226)),'Investing Inputs'!$D$219)</f>
        <v>Land &amp; Buildings</v>
      </c>
      <c r="F149" s="630" t="str" cm="1">
        <f t="array" aca="1" ref="F149" ca="1">HYPERLINK(CONCATENATE("#",CELL("address",'Investing Inputs'!$D$240)),'Investing Inputs'!$D$233)</f>
        <v>Equipment</v>
      </c>
      <c r="G149" s="630" t="str" cm="1">
        <f t="array" aca="1" ref="G149" ca="1">HYPERLINK(CONCATENATE("#",CELL("address",'Investing Inputs'!$D$254)),'Investing Inputs'!$D$247)</f>
        <v>Other NCA</v>
      </c>
      <c r="H149" t="s">
        <v>403</v>
      </c>
      <c r="V149" s="133">
        <f>0-('Investing Inputs'!V$226+'Investing Inputs'!V$240+'Investing Inputs'!V$254)</f>
        <v>0</v>
      </c>
      <c r="W149" s="133">
        <f>0-('Investing Inputs'!W$226+'Investing Inputs'!W$240+'Investing Inputs'!W$254)</f>
        <v>0</v>
      </c>
      <c r="X149" s="133">
        <f>0-('Investing Inputs'!X$226+'Investing Inputs'!X$240+'Investing Inputs'!X$254)</f>
        <v>0</v>
      </c>
      <c r="Y149" s="133">
        <f>0-('Investing Inputs'!Y$226+'Investing Inputs'!Y$240+'Investing Inputs'!Y$254)</f>
        <v>0</v>
      </c>
      <c r="AA149" s="133">
        <f>0-('Investing Inputs'!AA$226+'Investing Inputs'!AA$240+'Investing Inputs'!AA$254)</f>
        <v>0</v>
      </c>
      <c r="AB149" s="133">
        <f>0-('Investing Inputs'!AB$226+'Investing Inputs'!AB$240+'Investing Inputs'!AB$254)</f>
        <v>0</v>
      </c>
      <c r="AC149" s="133">
        <f>0-('Investing Inputs'!AC$226+'Investing Inputs'!AC$240+'Investing Inputs'!AC$254)</f>
        <v>0</v>
      </c>
      <c r="AD149" s="133">
        <f>0-('Investing Inputs'!AD$226+'Investing Inputs'!AD$240+'Investing Inputs'!AD$254)</f>
        <v>0</v>
      </c>
      <c r="AE149" s="133">
        <f>0-('Investing Inputs'!AE$226+'Investing Inputs'!AE$240+'Investing Inputs'!AE$254)</f>
        <v>0</v>
      </c>
      <c r="AF149" s="133">
        <f>0-('Investing Inputs'!AF$226+'Investing Inputs'!AF$240+'Investing Inputs'!AF$254)</f>
        <v>0</v>
      </c>
      <c r="AG149" s="133">
        <f>0-('Investing Inputs'!AG$226+'Investing Inputs'!AG$240+'Investing Inputs'!AG$254)</f>
        <v>0</v>
      </c>
      <c r="AH149" s="133">
        <f>0-('Investing Inputs'!AH$226+'Investing Inputs'!AH$240+'Investing Inputs'!AH$254)</f>
        <v>0</v>
      </c>
      <c r="AI149" s="133">
        <f>0-('Investing Inputs'!AI$226+'Investing Inputs'!AI$240+'Investing Inputs'!AI$254)</f>
        <v>0</v>
      </c>
      <c r="AJ149" s="133">
        <f>0-('Investing Inputs'!AJ$226+'Investing Inputs'!AJ$240+'Investing Inputs'!AJ$254)</f>
        <v>0</v>
      </c>
      <c r="AK149" s="133">
        <f>0-('Investing Inputs'!AK$226+'Investing Inputs'!AK$240+'Investing Inputs'!AK$254)</f>
        <v>0</v>
      </c>
      <c r="AL149" s="133">
        <f>0-('Investing Inputs'!AL$226+'Investing Inputs'!AL$240+'Investing Inputs'!AL$254)</f>
        <v>0</v>
      </c>
      <c r="AM149" s="133">
        <f>0-('Investing Inputs'!AM$226+'Investing Inputs'!AM$240+'Investing Inputs'!AM$254)</f>
        <v>0</v>
      </c>
      <c r="AN149" s="133">
        <f>0-('Investing Inputs'!AN$226+'Investing Inputs'!AN$240+'Investing Inputs'!AN$254)</f>
        <v>0</v>
      </c>
      <c r="AO149" s="133">
        <f>0-('Investing Inputs'!AO$226+'Investing Inputs'!AO$240+'Investing Inputs'!AO$254)</f>
        <v>0</v>
      </c>
      <c r="AP149" s="133">
        <f>0-('Investing Inputs'!AP$226+'Investing Inputs'!AP$240+'Investing Inputs'!AP$254)</f>
        <v>0</v>
      </c>
      <c r="AQ149" s="133">
        <f>0-('Investing Inputs'!AQ$226+'Investing Inputs'!AQ$240+'Investing Inputs'!AQ$254)</f>
        <v>0</v>
      </c>
      <c r="AR149" s="133">
        <f>0-('Investing Inputs'!AR$226+'Investing Inputs'!AR$240+'Investing Inputs'!AR$254)</f>
        <v>0</v>
      </c>
      <c r="AS149" s="133">
        <f>0-('Investing Inputs'!AS$226+'Investing Inputs'!AS$240+'Investing Inputs'!AS$254)</f>
        <v>0</v>
      </c>
      <c r="AT149" s="133">
        <f>0-('Investing Inputs'!AT$226+'Investing Inputs'!AT$240+'Investing Inputs'!AT$254)</f>
        <v>0</v>
      </c>
      <c r="AU149" s="133">
        <f>0-('Investing Inputs'!AU$226+'Investing Inputs'!AU$240+'Investing Inputs'!AU$254)</f>
        <v>0</v>
      </c>
      <c r="AV149" s="133">
        <f>0-('Investing Inputs'!AV$226+'Investing Inputs'!AV$240+'Investing Inputs'!AV$254)</f>
        <v>0</v>
      </c>
      <c r="AW149" s="133">
        <f>0-('Investing Inputs'!AW$226+'Investing Inputs'!AW$240+'Investing Inputs'!AW$254)</f>
        <v>0</v>
      </c>
      <c r="AX149" s="133">
        <f>0-('Investing Inputs'!AX$226+'Investing Inputs'!AX$240+'Investing Inputs'!AX$254)</f>
        <v>0</v>
      </c>
      <c r="AY149" s="133">
        <f>0-('Investing Inputs'!AY$226+'Investing Inputs'!AY$240+'Investing Inputs'!AY$254)</f>
        <v>0</v>
      </c>
      <c r="AZ149" s="133">
        <f>0-('Investing Inputs'!AZ$226+'Investing Inputs'!AZ$240+'Investing Inputs'!AZ$254)</f>
        <v>0</v>
      </c>
      <c r="BA149" s="133">
        <f>0-('Investing Inputs'!BA$226+'Investing Inputs'!BA$240+'Investing Inputs'!BA$254)</f>
        <v>0</v>
      </c>
      <c r="BB149" s="133">
        <f>0-('Investing Inputs'!BB$226+'Investing Inputs'!BB$240+'Investing Inputs'!BB$254)</f>
        <v>0</v>
      </c>
      <c r="BC149" s="133">
        <f>0-('Investing Inputs'!BC$226+'Investing Inputs'!BC$240+'Investing Inputs'!BC$254)</f>
        <v>0</v>
      </c>
      <c r="BD149" s="133">
        <f>0-('Investing Inputs'!BD$226+'Investing Inputs'!BD$240+'Investing Inputs'!BD$254)</f>
        <v>0</v>
      </c>
      <c r="BE149" s="133">
        <f>0-('Investing Inputs'!BE$226+'Investing Inputs'!BE$240+'Investing Inputs'!BE$254)</f>
        <v>0</v>
      </c>
      <c r="BF149" s="133">
        <f>0-('Investing Inputs'!BF$226+'Investing Inputs'!BF$240+'Investing Inputs'!BF$254)</f>
        <v>0</v>
      </c>
      <c r="BG149" s="133">
        <f>0-('Investing Inputs'!BG$226+'Investing Inputs'!BG$240+'Investing Inputs'!BG$254)</f>
        <v>0</v>
      </c>
      <c r="BH149" s="133">
        <f>0-('Investing Inputs'!BH$226+'Investing Inputs'!BH$240+'Investing Inputs'!BH$254)</f>
        <v>0</v>
      </c>
      <c r="BI149" s="133">
        <f>0-('Investing Inputs'!BI$226+'Investing Inputs'!BI$240+'Investing Inputs'!BI$254)</f>
        <v>0</v>
      </c>
      <c r="BJ149" s="133">
        <f>0-('Investing Inputs'!BJ$226+'Investing Inputs'!BJ$240+'Investing Inputs'!BJ$254)</f>
        <v>0</v>
      </c>
      <c r="BX149" s="133">
        <f>0-('Investing Inputs'!BX$226+'Investing Inputs'!BX$240+'Investing Inputs'!BX$254)</f>
        <v>0</v>
      </c>
      <c r="BY149" s="133">
        <f>0-('Investing Inputs'!BY$226+'Investing Inputs'!BY$240+'Investing Inputs'!BY$254)</f>
        <v>0</v>
      </c>
      <c r="BZ149" s="133">
        <f>0-('Investing Inputs'!BZ$226+'Investing Inputs'!BZ$240+'Investing Inputs'!BZ$254)</f>
        <v>0</v>
      </c>
      <c r="CA149" s="133">
        <f>0-('Investing Inputs'!CA$226+'Investing Inputs'!CA$240+'Investing Inputs'!CA$254)</f>
        <v>0</v>
      </c>
      <c r="CB149" s="133">
        <f>0-('Investing Inputs'!CB$226+'Investing Inputs'!CB$240+'Investing Inputs'!CB$254)</f>
        <v>0</v>
      </c>
      <c r="CC149" s="133">
        <f>0-('Investing Inputs'!CC$226+'Investing Inputs'!CC$240+'Investing Inputs'!CC$254)</f>
        <v>0</v>
      </c>
      <c r="CD149" s="133">
        <f>0-('Investing Inputs'!CD$226+'Investing Inputs'!CD$240+'Investing Inputs'!CD$254)</f>
        <v>0</v>
      </c>
      <c r="CE149" s="133">
        <f>0-('Investing Inputs'!CE$226+'Investing Inputs'!CE$240+'Investing Inputs'!CE$254)</f>
        <v>0</v>
      </c>
      <c r="CF149" s="133">
        <f>0-('Investing Inputs'!CF$226+'Investing Inputs'!CF$240+'Investing Inputs'!CF$254)</f>
        <v>0</v>
      </c>
      <c r="CG149" s="133">
        <f>0-('Investing Inputs'!CG$226+'Investing Inputs'!CG$240+'Investing Inputs'!CG$254)</f>
        <v>0</v>
      </c>
      <c r="CH149" s="133">
        <f>0-('Investing Inputs'!CH$226+'Investing Inputs'!CH$240+'Investing Inputs'!CH$254)</f>
        <v>0</v>
      </c>
      <c r="CI149" s="133">
        <f>0-('Investing Inputs'!CI$226+'Investing Inputs'!CI$240+'Investing Inputs'!CI$254)</f>
        <v>0</v>
      </c>
      <c r="CK149" s="11"/>
      <c r="CM149" s="11"/>
      <c r="CP149" s="7">
        <f t="shared" ref="CP149:CP154" si="237">IF(SUM($CT149:$CV149)=0, 0, 1)</f>
        <v>0</v>
      </c>
      <c r="CQ149" s="7">
        <f t="shared" ref="CQ149:CQ154" si="238">IF(SUM($CW149:$CY149)=0, 0, 1)</f>
        <v>0</v>
      </c>
      <c r="CR149" s="7">
        <f t="shared" ref="CR149:CR154" si="239">IF($CZ149=0, 0, 1)</f>
        <v>0</v>
      </c>
      <c r="CS149" s="11"/>
      <c r="CT149" s="215">
        <f t="shared" ref="CT149:CV154" si="240">ROUND(W149-SUMIFS($AA149:$BJ149, $AA$3:$BJ$3, W$3), rounding)</f>
        <v>0</v>
      </c>
      <c r="CU149" s="215">
        <f t="shared" si="240"/>
        <v>0</v>
      </c>
      <c r="CV149" s="215">
        <f t="shared" si="240"/>
        <v>0</v>
      </c>
      <c r="CW149" s="215">
        <f t="shared" ref="CW149:CW154" si="241">ROUND($BY149-SUMIFS($AA149:$BJ149, $AA$3:$BJ$3, $BY$3), rounding)</f>
        <v>0</v>
      </c>
      <c r="CX149" s="215">
        <f t="shared" ref="CX149:CX154" si="242">ROUND($BZ149-SUMIFS($AA149:$BJ149, $AA$3:$BJ$3, $BZ$3), rounding)</f>
        <v>0</v>
      </c>
      <c r="CY149" s="215">
        <f t="shared" ref="CY149:CY154" si="243">ROUND($CA149-SUMIFS($AA149:$BJ149, $AA$3:$BJ$3, $CA$3), rounding)</f>
        <v>0</v>
      </c>
      <c r="CZ149" s="215">
        <f t="shared" ref="CZ149:CZ154" si="244">ROUND($V149-$BX149, rounding)</f>
        <v>0</v>
      </c>
      <c r="DT149" s="11"/>
      <c r="DU149">
        <v>0</v>
      </c>
      <c r="DV149">
        <v>0</v>
      </c>
      <c r="DW149" s="11"/>
      <c r="EY149" s="10" t="str">
        <f t="shared" si="236"/>
        <v>Depreciation and amortisation</v>
      </c>
    </row>
    <row r="150" spans="1:155" x14ac:dyDescent="0.35">
      <c r="A150" s="220" cm="1">
        <f t="array" aca="1" ref="A150" ca="1">HYPERLINK("#"&amp;IFERROR(CELL("address",IF(MAX($CM150:$CS150)=0,A150,INDEX($CM150:$CS150,MATCH(1,$CM150:$CS150,0)))),CELL("address",$V150:$CI150)),IFERROR(MAX($CM150:$CS150),1))</f>
        <v>0</v>
      </c>
      <c r="B150" s="85" t="s">
        <v>122</v>
      </c>
      <c r="C150" s="213" t="str">
        <f>CONCATENATE("M-", 'I&amp;E Annual'!C150)</f>
        <v>M-IE-5a-2</v>
      </c>
      <c r="D150" s="104" t="s">
        <v>441</v>
      </c>
      <c r="H150" t="s">
        <v>317</v>
      </c>
      <c r="V150" s="109"/>
      <c r="W150" s="133">
        <f xml:space="preserve"> SUMIFS($AA150:$BJ150, $AA$3:$BJ$3, W$3)</f>
        <v>0</v>
      </c>
      <c r="X150" s="133">
        <f xml:space="preserve"> SUMIFS($AA150:$BJ150, $AA$3:$BJ$3, X$3)</f>
        <v>0</v>
      </c>
      <c r="Y150" s="133">
        <f xml:space="preserve"> SUMIFS($AA150:$BJ150, $AA$3:$BJ$3, Y$3)</f>
        <v>0</v>
      </c>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X150" s="10">
        <f>V150</f>
        <v>0</v>
      </c>
      <c r="BY150" s="10">
        <f>W150</f>
        <v>0</v>
      </c>
      <c r="BZ150" s="10">
        <f>X150</f>
        <v>0</v>
      </c>
      <c r="CA150" s="10">
        <f>Y150</f>
        <v>0</v>
      </c>
      <c r="CB150" s="109"/>
      <c r="CC150" s="109"/>
      <c r="CD150" s="109"/>
      <c r="CE150" s="109"/>
      <c r="CF150" s="109"/>
      <c r="CG150" s="109"/>
      <c r="CH150" s="109"/>
      <c r="CI150" s="109"/>
      <c r="CK150" s="11"/>
      <c r="CL150" s="241">
        <f>IF(MIN($V150:$CI150)&lt;0, 1, 0)</f>
        <v>0</v>
      </c>
      <c r="CM150" s="11"/>
      <c r="CO150" s="7" cm="1">
        <f t="array" ref="CO150">SUMPRODUCT(--NOT(ISNUMBER(V150:CI150)),--NOT(ISBLANK(V150:CI150)))</f>
        <v>0</v>
      </c>
      <c r="CP150" s="7">
        <f t="shared" si="237"/>
        <v>0</v>
      </c>
      <c r="CQ150" s="7">
        <f t="shared" si="238"/>
        <v>0</v>
      </c>
      <c r="CR150" s="7">
        <f t="shared" si="239"/>
        <v>0</v>
      </c>
      <c r="CS150" s="11"/>
      <c r="CT150" s="215">
        <f t="shared" si="240"/>
        <v>0</v>
      </c>
      <c r="CU150" s="215">
        <f t="shared" si="240"/>
        <v>0</v>
      </c>
      <c r="CV150" s="215">
        <f t="shared" si="240"/>
        <v>0</v>
      </c>
      <c r="CW150" s="215">
        <f t="shared" si="241"/>
        <v>0</v>
      </c>
      <c r="CX150" s="215">
        <f t="shared" si="242"/>
        <v>0</v>
      </c>
      <c r="CY150" s="215">
        <f t="shared" si="243"/>
        <v>0</v>
      </c>
      <c r="CZ150" s="215">
        <f t="shared" si="244"/>
        <v>0</v>
      </c>
      <c r="DT150" s="11"/>
      <c r="DU150" s="4">
        <v>1</v>
      </c>
      <c r="DV150">
        <v>1</v>
      </c>
      <c r="DW150" s="11"/>
      <c r="EY150" s="10" t="str">
        <f t="shared" si="236"/>
        <v>Interest and investment income</v>
      </c>
    </row>
    <row r="151" spans="1:155" ht="72.5" x14ac:dyDescent="0.35">
      <c r="A151" s="220" cm="1">
        <f t="array" aca="1" ref="A151" ca="1">HYPERLINK("#"&amp;IFERROR(CELL("address",IF(MAX($CM151:$CS151)=0,A151,INDEX($CM151:$CS151,MATCH(1,$CM151:$CS151,0)))),CELL("address",$V151:$CI151)),IFERROR(MAX($CM151:$CS151),1))</f>
        <v>0</v>
      </c>
      <c r="C151" s="213" t="str">
        <f>CONCATENATE("M-", 'I&amp;E Annual'!C151)</f>
        <v>M-IE-5a-3</v>
      </c>
      <c r="D151" s="104" t="s">
        <v>442</v>
      </c>
      <c r="E151" s="630" t="str" cm="1">
        <f t="array" aca="1" ref="E151" ca="1">HYPERLINK(CONCATENATE("#",CELL("address",'BS Forecasts'!$D$127)),'BS Forecasts'!$D$124)</f>
        <v>Total Finance and Operating Lease (Right of use) Obligations</v>
      </c>
      <c r="F151" s="630" t="str" cm="1">
        <f t="array" aca="1" ref="F151" ca="1">HYPERLINK(CONCATENATE("#",CELL("address",Loans!$D$1156)),Loans!$D$1152)</f>
        <v>Interest Expense and Early Repayment Fee</v>
      </c>
      <c r="H151" t="s">
        <v>403</v>
      </c>
      <c r="V151" s="133">
        <f>Loans!V$1156+'BS Forecasts'!V$127</f>
        <v>0</v>
      </c>
      <c r="W151" s="133">
        <f>Loans!W$1156+'BS Forecasts'!W$127</f>
        <v>0</v>
      </c>
      <c r="X151" s="133">
        <f>Loans!X$1156+'BS Forecasts'!X$127</f>
        <v>0</v>
      </c>
      <c r="Y151" s="133">
        <f>Loans!Y$1156+'BS Forecasts'!Y$127</f>
        <v>0</v>
      </c>
      <c r="AA151" s="10">
        <f>Loans!AA$1156+'BS Forecasts'!AA$127</f>
        <v>0</v>
      </c>
      <c r="AB151" s="10">
        <f>Loans!AB$1156+'BS Forecasts'!AB$127</f>
        <v>0</v>
      </c>
      <c r="AC151" s="10">
        <f>Loans!AC$1156+'BS Forecasts'!AC$127</f>
        <v>0</v>
      </c>
      <c r="AD151" s="10">
        <f>Loans!AD$1156+'BS Forecasts'!AD$127</f>
        <v>0</v>
      </c>
      <c r="AE151" s="10">
        <f>Loans!AE$1156+'BS Forecasts'!AE$127</f>
        <v>0</v>
      </c>
      <c r="AF151" s="10">
        <f>Loans!AF$1156+'BS Forecasts'!AF$127</f>
        <v>0</v>
      </c>
      <c r="AG151" s="10">
        <f>Loans!AG$1156+'BS Forecasts'!AG$127</f>
        <v>0</v>
      </c>
      <c r="AH151" s="10">
        <f>Loans!AH$1156+'BS Forecasts'!AH$127</f>
        <v>0</v>
      </c>
      <c r="AI151" s="10">
        <f>Loans!AI$1156+'BS Forecasts'!AI$127</f>
        <v>0</v>
      </c>
      <c r="AJ151" s="10">
        <f>Loans!AJ$1156+'BS Forecasts'!AJ$127</f>
        <v>0</v>
      </c>
      <c r="AK151" s="10">
        <f>Loans!AK$1156+'BS Forecasts'!AK$127</f>
        <v>0</v>
      </c>
      <c r="AL151" s="10">
        <f>Loans!AL$1156+'BS Forecasts'!AL$127</f>
        <v>0</v>
      </c>
      <c r="AM151" s="10">
        <f>Loans!AM$1156+'BS Forecasts'!AM$127</f>
        <v>0</v>
      </c>
      <c r="AN151" s="10">
        <f>Loans!AN$1156+'BS Forecasts'!AN$127</f>
        <v>0</v>
      </c>
      <c r="AO151" s="10">
        <f>Loans!AO$1156+'BS Forecasts'!AO$127</f>
        <v>0</v>
      </c>
      <c r="AP151" s="10">
        <f>Loans!AP$1156+'BS Forecasts'!AP$127</f>
        <v>0</v>
      </c>
      <c r="AQ151" s="10">
        <f>Loans!AQ$1156+'BS Forecasts'!AQ$127</f>
        <v>0</v>
      </c>
      <c r="AR151" s="10">
        <f>Loans!AR$1156+'BS Forecasts'!AR$127</f>
        <v>0</v>
      </c>
      <c r="AS151" s="10">
        <f>Loans!AS$1156+'BS Forecasts'!AS$127</f>
        <v>0</v>
      </c>
      <c r="AT151" s="10">
        <f>Loans!AT$1156+'BS Forecasts'!AT$127</f>
        <v>0</v>
      </c>
      <c r="AU151" s="10">
        <f>Loans!AU$1156+'BS Forecasts'!AU$127</f>
        <v>0</v>
      </c>
      <c r="AV151" s="10">
        <f>Loans!AV$1156+'BS Forecasts'!AV$127</f>
        <v>0</v>
      </c>
      <c r="AW151" s="10">
        <f>Loans!AW$1156+'BS Forecasts'!AW$127</f>
        <v>0</v>
      </c>
      <c r="AX151" s="10">
        <f>Loans!AX$1156+'BS Forecasts'!AX$127</f>
        <v>0</v>
      </c>
      <c r="AY151" s="10">
        <f>Loans!AY$1156+'BS Forecasts'!AY$127</f>
        <v>0</v>
      </c>
      <c r="AZ151" s="10">
        <f>Loans!AZ$1156+'BS Forecasts'!AZ$127</f>
        <v>0</v>
      </c>
      <c r="BA151" s="10">
        <f>Loans!BA$1156+'BS Forecasts'!BA$127</f>
        <v>0</v>
      </c>
      <c r="BB151" s="10">
        <f>Loans!BB$1156+'BS Forecasts'!BB$127</f>
        <v>0</v>
      </c>
      <c r="BC151" s="10">
        <f>Loans!BC$1156+'BS Forecasts'!BC$127</f>
        <v>0</v>
      </c>
      <c r="BD151" s="10">
        <f>Loans!BD$1156+'BS Forecasts'!BD$127</f>
        <v>0</v>
      </c>
      <c r="BE151" s="10">
        <f>Loans!BE$1156+'BS Forecasts'!BE$127</f>
        <v>0</v>
      </c>
      <c r="BF151" s="10">
        <f>Loans!BF$1156+'BS Forecasts'!BF$127</f>
        <v>0</v>
      </c>
      <c r="BG151" s="10">
        <f>Loans!BG$1156+'BS Forecasts'!BG$127</f>
        <v>0</v>
      </c>
      <c r="BH151" s="10">
        <f>Loans!BH$1156+'BS Forecasts'!BH$127</f>
        <v>0</v>
      </c>
      <c r="BI151" s="10">
        <f>Loans!BI$1156+'BS Forecasts'!BI$127</f>
        <v>0</v>
      </c>
      <c r="BJ151" s="10">
        <f>Loans!BJ$1156+'BS Forecasts'!BJ$127</f>
        <v>0</v>
      </c>
      <c r="BX151" s="10">
        <f>Loans!BX$1156+'BS Forecasts'!BX$127</f>
        <v>0</v>
      </c>
      <c r="BY151" s="10">
        <f>Loans!BY$1156+'BS Forecasts'!BY$127</f>
        <v>0</v>
      </c>
      <c r="BZ151" s="10">
        <f>Loans!BZ$1156+'BS Forecasts'!BZ$127</f>
        <v>0</v>
      </c>
      <c r="CA151" s="10">
        <f>Loans!CA$1156+'BS Forecasts'!CA$127</f>
        <v>0</v>
      </c>
      <c r="CB151" s="10">
        <f>Loans!CB$1156+'BS Forecasts'!CB$127</f>
        <v>0</v>
      </c>
      <c r="CC151" s="10">
        <f>Loans!CC$1156+'BS Forecasts'!CC$127</f>
        <v>0</v>
      </c>
      <c r="CD151" s="10">
        <f>Loans!CD$1156+'BS Forecasts'!CD$127</f>
        <v>0</v>
      </c>
      <c r="CE151" s="10">
        <f>Loans!CE$1156+'BS Forecasts'!CE$127</f>
        <v>0</v>
      </c>
      <c r="CF151" s="10">
        <f>Loans!CF$1156+'BS Forecasts'!CF$127</f>
        <v>0</v>
      </c>
      <c r="CG151" s="10">
        <f>Loans!CG$1156+'BS Forecasts'!CG$127</f>
        <v>0</v>
      </c>
      <c r="CH151" s="10">
        <f>Loans!CH$1156+'BS Forecasts'!CH$127</f>
        <v>0</v>
      </c>
      <c r="CI151" s="10">
        <f>Loans!CI$1156+'BS Forecasts'!CI$127</f>
        <v>0</v>
      </c>
      <c r="CK151" s="11"/>
      <c r="CM151" s="11"/>
      <c r="CP151" s="7">
        <f t="shared" si="237"/>
        <v>0</v>
      </c>
      <c r="CQ151" s="7">
        <f t="shared" si="238"/>
        <v>0</v>
      </c>
      <c r="CR151" s="7">
        <f t="shared" si="239"/>
        <v>0</v>
      </c>
      <c r="CS151" s="11"/>
      <c r="CT151" s="215">
        <f t="shared" si="240"/>
        <v>0</v>
      </c>
      <c r="CU151" s="215">
        <f t="shared" si="240"/>
        <v>0</v>
      </c>
      <c r="CV151" s="215">
        <f t="shared" si="240"/>
        <v>0</v>
      </c>
      <c r="CW151" s="215">
        <f t="shared" si="241"/>
        <v>0</v>
      </c>
      <c r="CX151" s="215">
        <f t="shared" si="242"/>
        <v>0</v>
      </c>
      <c r="CY151" s="215">
        <f t="shared" si="243"/>
        <v>0</v>
      </c>
      <c r="CZ151" s="215">
        <f t="shared" si="244"/>
        <v>0</v>
      </c>
      <c r="DT151" s="11"/>
      <c r="DU151">
        <v>0</v>
      </c>
      <c r="DV151">
        <v>0</v>
      </c>
      <c r="DW151" s="11"/>
      <c r="EY151" s="10" t="str">
        <f t="shared" si="236"/>
        <v>Interest and other finance costs</v>
      </c>
    </row>
    <row r="152" spans="1:155" ht="51" customHeight="1" x14ac:dyDescent="0.35">
      <c r="A152" s="220" cm="1">
        <f t="array" aca="1" ref="A152" ca="1">HYPERLINK("#"&amp;IFERROR(CELL("address",IF(MAX($CM152:$CS152)=0,A152,INDEX($CM152:$CS152,MATCH(1,$CM152:$CS152,0)))),CELL("address",$V152:$CI152)),IFERROR(MAX($CM152:$CS152),1))</f>
        <v>0</v>
      </c>
      <c r="C152" s="213" t="str">
        <f>CONCATENATE("M-", 'I&amp;E Annual'!C152)</f>
        <v>M-IE-5a-4</v>
      </c>
      <c r="D152" s="105" t="s">
        <v>443</v>
      </c>
      <c r="E152" s="630" t="str" cm="1">
        <f t="array" aca="1" ref="E152" ca="1">HYPERLINK(CONCATENATE("#",CELL("address",'BS Forecasts'!$D$213)),"LPGS Interest")</f>
        <v>LPGS Interest</v>
      </c>
      <c r="F152" s="630" t="str" cm="1">
        <f t="array" aca="1" ref="F152" ca="1">HYPERLINK(CONCATENATE("#",CELL("address",'BS Forecasts'!$D$222)),'BS Forecasts'!$D$219)</f>
        <v>Enhanced Pension Provision</v>
      </c>
      <c r="G152" s="630" t="str" cm="1">
        <f t="array" aca="1" ref="G152" ca="1">HYPERLINK(CONCATENATE("#",CELL("address",'BS Forecasts'!$D$231)),'BS Forecasts'!$D$228)</f>
        <v>Other Pension Provisions</v>
      </c>
      <c r="H152" s="120" t="s">
        <v>403</v>
      </c>
      <c r="V152" s="133">
        <f xml:space="preserve"> SUM('BS Forecasts'!V212:V213)+'BS Forecasts'!V$222+'BS Forecasts'!V$231</f>
        <v>0</v>
      </c>
      <c r="W152" s="133">
        <f xml:space="preserve"> SUM('BS Forecasts'!W212:W213)+'BS Forecasts'!W$222+'BS Forecasts'!W$231</f>
        <v>0</v>
      </c>
      <c r="X152" s="133">
        <f xml:space="preserve"> SUM('BS Forecasts'!X212:X213)+'BS Forecasts'!X$222+'BS Forecasts'!X$231</f>
        <v>0</v>
      </c>
      <c r="Y152" s="133">
        <f xml:space="preserve"> SUM('BS Forecasts'!Y212:Y213)+'BS Forecasts'!Y$222+'BS Forecasts'!Y$231</f>
        <v>0</v>
      </c>
      <c r="AA152" s="133">
        <f xml:space="preserve"> SUM('BS Forecasts'!AA212:AA213)+'BS Forecasts'!AA$222+'BS Forecasts'!AA$231</f>
        <v>0</v>
      </c>
      <c r="AB152" s="133">
        <f xml:space="preserve"> SUM('BS Forecasts'!AB212:AB213)+'BS Forecasts'!AB$222+'BS Forecasts'!AB$231</f>
        <v>0</v>
      </c>
      <c r="AC152" s="133">
        <f xml:space="preserve"> SUM('BS Forecasts'!AC212:AC213)+'BS Forecasts'!AC$222+'BS Forecasts'!AC$231</f>
        <v>0</v>
      </c>
      <c r="AD152" s="133">
        <f xml:space="preserve"> SUM('BS Forecasts'!AD212:AD213)+'BS Forecasts'!AD$222+'BS Forecasts'!AD$231</f>
        <v>0</v>
      </c>
      <c r="AE152" s="133">
        <f xml:space="preserve"> SUM('BS Forecasts'!AE212:AE213)+'BS Forecasts'!AE$222+'BS Forecasts'!AE$231</f>
        <v>0</v>
      </c>
      <c r="AF152" s="133">
        <f xml:space="preserve"> SUM('BS Forecasts'!AF212:AF213)+'BS Forecasts'!AF$222+'BS Forecasts'!AF$231</f>
        <v>0</v>
      </c>
      <c r="AG152" s="133">
        <f xml:space="preserve"> SUM('BS Forecasts'!AG212:AG213)+'BS Forecasts'!AG$222+'BS Forecasts'!AG$231</f>
        <v>0</v>
      </c>
      <c r="AH152" s="133">
        <f xml:space="preserve"> SUM('BS Forecasts'!AH212:AH213)+'BS Forecasts'!AH$222+'BS Forecasts'!AH$231</f>
        <v>0</v>
      </c>
      <c r="AI152" s="133">
        <f xml:space="preserve"> SUM('BS Forecasts'!AI212:AI213)+'BS Forecasts'!AI$222+'BS Forecasts'!AI$231</f>
        <v>0</v>
      </c>
      <c r="AJ152" s="133">
        <f xml:space="preserve"> SUM('BS Forecasts'!AJ212:AJ213)+'BS Forecasts'!AJ$222+'BS Forecasts'!AJ$231</f>
        <v>0</v>
      </c>
      <c r="AK152" s="133">
        <f xml:space="preserve"> SUM('BS Forecasts'!AK212:AK213)+'BS Forecasts'!AK$222+'BS Forecasts'!AK$231</f>
        <v>0</v>
      </c>
      <c r="AL152" s="133">
        <f xml:space="preserve"> SUM('BS Forecasts'!AL212:AL213)+'BS Forecasts'!AL$222+'BS Forecasts'!AL$231</f>
        <v>0</v>
      </c>
      <c r="AM152" s="133">
        <f xml:space="preserve"> SUM('BS Forecasts'!AM212:AM213)+'BS Forecasts'!AM$222+'BS Forecasts'!AM$231</f>
        <v>0</v>
      </c>
      <c r="AN152" s="133">
        <f xml:space="preserve"> SUM('BS Forecasts'!AN212:AN213)+'BS Forecasts'!AN$222+'BS Forecasts'!AN$231</f>
        <v>0</v>
      </c>
      <c r="AO152" s="133">
        <f xml:space="preserve"> SUM('BS Forecasts'!AO212:AO213)+'BS Forecasts'!AO$222+'BS Forecasts'!AO$231</f>
        <v>0</v>
      </c>
      <c r="AP152" s="133">
        <f xml:space="preserve"> SUM('BS Forecasts'!AP212:AP213)+'BS Forecasts'!AP$222+'BS Forecasts'!AP$231</f>
        <v>0</v>
      </c>
      <c r="AQ152" s="133">
        <f xml:space="preserve"> SUM('BS Forecasts'!AQ212:AQ213)+'BS Forecasts'!AQ$222+'BS Forecasts'!AQ$231</f>
        <v>0</v>
      </c>
      <c r="AR152" s="133">
        <f xml:space="preserve"> SUM('BS Forecasts'!AR212:AR213)+'BS Forecasts'!AR$222+'BS Forecasts'!AR$231</f>
        <v>0</v>
      </c>
      <c r="AS152" s="133">
        <f xml:space="preserve"> SUM('BS Forecasts'!AS212:AS213)+'BS Forecasts'!AS$222+'BS Forecasts'!AS$231</f>
        <v>0</v>
      </c>
      <c r="AT152" s="133">
        <f xml:space="preserve"> SUM('BS Forecasts'!AT212:AT213)+'BS Forecasts'!AT$222+'BS Forecasts'!AT$231</f>
        <v>0</v>
      </c>
      <c r="AU152" s="133">
        <f xml:space="preserve"> SUM('BS Forecasts'!AU212:AU213)+'BS Forecasts'!AU$222+'BS Forecasts'!AU$231</f>
        <v>0</v>
      </c>
      <c r="AV152" s="133">
        <f xml:space="preserve"> SUM('BS Forecasts'!AV212:AV213)+'BS Forecasts'!AV$222+'BS Forecasts'!AV$231</f>
        <v>0</v>
      </c>
      <c r="AW152" s="133">
        <f xml:space="preserve"> SUM('BS Forecasts'!AW212:AW213)+'BS Forecasts'!AW$222+'BS Forecasts'!AW$231</f>
        <v>0</v>
      </c>
      <c r="AX152" s="133">
        <f xml:space="preserve"> SUM('BS Forecasts'!AX212:AX213)+'BS Forecasts'!AX$222+'BS Forecasts'!AX$231</f>
        <v>0</v>
      </c>
      <c r="AY152" s="133">
        <f xml:space="preserve"> SUM('BS Forecasts'!AY212:AY213)+'BS Forecasts'!AY$222+'BS Forecasts'!AY$231</f>
        <v>0</v>
      </c>
      <c r="AZ152" s="133">
        <f xml:space="preserve"> SUM('BS Forecasts'!AZ212:AZ213)+'BS Forecasts'!AZ$222+'BS Forecasts'!AZ$231</f>
        <v>0</v>
      </c>
      <c r="BA152" s="133">
        <f xml:space="preserve"> SUM('BS Forecasts'!BA212:BA213)+'BS Forecasts'!BA$222+'BS Forecasts'!BA$231</f>
        <v>0</v>
      </c>
      <c r="BB152" s="133">
        <f xml:space="preserve"> SUM('BS Forecasts'!BB212:BB213)+'BS Forecasts'!BB$222+'BS Forecasts'!BB$231</f>
        <v>0</v>
      </c>
      <c r="BC152" s="133">
        <f xml:space="preserve"> SUM('BS Forecasts'!BC212:BC213)+'BS Forecasts'!BC$222+'BS Forecasts'!BC$231</f>
        <v>0</v>
      </c>
      <c r="BD152" s="133">
        <f xml:space="preserve"> SUM('BS Forecasts'!BD212:BD213)+'BS Forecasts'!BD$222+'BS Forecasts'!BD$231</f>
        <v>0</v>
      </c>
      <c r="BE152" s="133">
        <f xml:space="preserve"> SUM('BS Forecasts'!BE212:BE213)+'BS Forecasts'!BE$222+'BS Forecasts'!BE$231</f>
        <v>0</v>
      </c>
      <c r="BF152" s="133">
        <f xml:space="preserve"> SUM('BS Forecasts'!BF212:BF213)+'BS Forecasts'!BF$222+'BS Forecasts'!BF$231</f>
        <v>0</v>
      </c>
      <c r="BG152" s="133">
        <f xml:space="preserve"> SUM('BS Forecasts'!BG212:BG213)+'BS Forecasts'!BG$222+'BS Forecasts'!BG$231</f>
        <v>0</v>
      </c>
      <c r="BH152" s="133">
        <f xml:space="preserve"> SUM('BS Forecasts'!BH212:BH213)+'BS Forecasts'!BH$222+'BS Forecasts'!BH$231</f>
        <v>0</v>
      </c>
      <c r="BI152" s="133">
        <f xml:space="preserve"> SUM('BS Forecasts'!BI212:BI213)+'BS Forecasts'!BI$222+'BS Forecasts'!BI$231</f>
        <v>0</v>
      </c>
      <c r="BJ152" s="133">
        <f xml:space="preserve"> SUM('BS Forecasts'!BJ212:BJ213)+'BS Forecasts'!BJ$222+'BS Forecasts'!BJ$231</f>
        <v>0</v>
      </c>
      <c r="BX152" s="133">
        <f xml:space="preserve"> SUM('BS Forecasts'!BX212:BX213)+'BS Forecasts'!BX$222+'BS Forecasts'!BX$231</f>
        <v>0</v>
      </c>
      <c r="BY152" s="133">
        <f xml:space="preserve"> SUM('BS Forecasts'!BY212:BY213)+'BS Forecasts'!BY$222+'BS Forecasts'!BY$231</f>
        <v>0</v>
      </c>
      <c r="BZ152" s="133">
        <f xml:space="preserve"> SUM('BS Forecasts'!BZ212:BZ213)+'BS Forecasts'!BZ$222+'BS Forecasts'!BZ$231</f>
        <v>0</v>
      </c>
      <c r="CA152" s="133">
        <f xml:space="preserve"> SUM('BS Forecasts'!CA212:CA213)+'BS Forecasts'!CA$222+'BS Forecasts'!CA$231</f>
        <v>0</v>
      </c>
      <c r="CB152" s="133">
        <f xml:space="preserve"> SUM('BS Forecasts'!CB212:CB213)+'BS Forecasts'!CB$222+'BS Forecasts'!CB$231</f>
        <v>0</v>
      </c>
      <c r="CC152" s="133">
        <f xml:space="preserve"> SUM('BS Forecasts'!CC212:CC213)+'BS Forecasts'!CC$222+'BS Forecasts'!CC$231</f>
        <v>0</v>
      </c>
      <c r="CD152" s="133">
        <f xml:space="preserve"> SUM('BS Forecasts'!CD212:CD213)+'BS Forecasts'!CD$222+'BS Forecasts'!CD$231</f>
        <v>0</v>
      </c>
      <c r="CE152" s="133">
        <f xml:space="preserve"> SUM('BS Forecasts'!CE212:CE213)+'BS Forecasts'!CE$222+'BS Forecasts'!CE$231</f>
        <v>0</v>
      </c>
      <c r="CF152" s="133">
        <f xml:space="preserve"> SUM('BS Forecasts'!CF212:CF213)+'BS Forecasts'!CF$222+'BS Forecasts'!CF$231</f>
        <v>0</v>
      </c>
      <c r="CG152" s="133">
        <f xml:space="preserve"> SUM('BS Forecasts'!CG212:CG213)+'BS Forecasts'!CG$222+'BS Forecasts'!CG$231</f>
        <v>0</v>
      </c>
      <c r="CH152" s="133">
        <f xml:space="preserve"> SUM('BS Forecasts'!CH212:CH213)+'BS Forecasts'!CH$222+'BS Forecasts'!CH$231</f>
        <v>0</v>
      </c>
      <c r="CI152" s="133">
        <f xml:space="preserve"> SUM('BS Forecasts'!CI212:CI213)+'BS Forecasts'!CI$222+'BS Forecasts'!CI$231</f>
        <v>0</v>
      </c>
      <c r="CK152" s="11"/>
      <c r="CM152" s="11"/>
      <c r="CP152" s="7">
        <f t="shared" si="237"/>
        <v>0</v>
      </c>
      <c r="CQ152" s="7">
        <f t="shared" si="238"/>
        <v>0</v>
      </c>
      <c r="CR152" s="7">
        <f t="shared" si="239"/>
        <v>0</v>
      </c>
      <c r="CS152" s="11"/>
      <c r="CT152" s="215">
        <f t="shared" si="240"/>
        <v>0</v>
      </c>
      <c r="CU152" s="215">
        <f t="shared" si="240"/>
        <v>0</v>
      </c>
      <c r="CV152" s="215">
        <f t="shared" si="240"/>
        <v>0</v>
      </c>
      <c r="CW152" s="215">
        <f t="shared" si="241"/>
        <v>0</v>
      </c>
      <c r="CX152" s="215">
        <f t="shared" si="242"/>
        <v>0</v>
      </c>
      <c r="CY152" s="215">
        <f t="shared" si="243"/>
        <v>0</v>
      </c>
      <c r="CZ152" s="215">
        <f t="shared" si="244"/>
        <v>0</v>
      </c>
      <c r="DT152" s="11"/>
      <c r="DU152">
        <v>0</v>
      </c>
      <c r="DV152">
        <v>0</v>
      </c>
      <c r="DW152" s="11"/>
      <c r="EY152" s="10" t="str">
        <f t="shared" si="236"/>
        <v>FRS102 adj. - LGPS and EPP net interest charge (non-cash)</v>
      </c>
    </row>
    <row r="153" spans="1:155" x14ac:dyDescent="0.35">
      <c r="A153" s="220" cm="1">
        <f t="array" aca="1" ref="A153" ca="1">HYPERLINK("#"&amp;IFERROR(CELL("address",IF(MAX($CM153:$CS153)=0,A153,INDEX($CM153:$CS153,MATCH(1,$CM153:$CS153,0)))),CELL("address",$V153:$CI153)),IFERROR(MAX($CM153:$CS153),1))</f>
        <v>0</v>
      </c>
      <c r="C153" s="211" t="str">
        <f>CONCATENATE("M-", 'I&amp;E Annual'!C153)</f>
        <v>M-IE-5a-5</v>
      </c>
      <c r="D153" s="104" t="s">
        <v>444</v>
      </c>
      <c r="H153" t="s">
        <v>403</v>
      </c>
      <c r="V153" s="109"/>
      <c r="W153" s="133">
        <f xml:space="preserve"> SUMIFS($AA153:$BJ153, $AA$3:$BJ$3, W$3)</f>
        <v>0</v>
      </c>
      <c r="X153" s="133">
        <f xml:space="preserve"> SUMIFS($AA153:$BJ153, $AA$3:$BJ$3, X$3)</f>
        <v>0</v>
      </c>
      <c r="Y153" s="133">
        <f xml:space="preserve"> SUMIFS($AA153:$BJ153, $AA$3:$BJ$3, Y$3)</f>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V153</f>
        <v>0</v>
      </c>
      <c r="BY153" s="10">
        <f>W153</f>
        <v>0</v>
      </c>
      <c r="BZ153" s="10">
        <f>X153</f>
        <v>0</v>
      </c>
      <c r="CA153" s="10">
        <f>Y153</f>
        <v>0</v>
      </c>
      <c r="CB153" s="109"/>
      <c r="CC153" s="109"/>
      <c r="CD153" s="109"/>
      <c r="CE153" s="109"/>
      <c r="CF153" s="109"/>
      <c r="CG153" s="109"/>
      <c r="CH153" s="109"/>
      <c r="CI153" s="109"/>
      <c r="CK153" s="11"/>
      <c r="CL153" s="241">
        <f>IF(MIN($V153:$CI153)&lt;0, 1, 0)</f>
        <v>0</v>
      </c>
      <c r="CM153" s="11"/>
      <c r="CO153" s="7" cm="1">
        <f t="array" ref="CO153">SUMPRODUCT(--NOT(ISNUMBER(V153:CI153)),--NOT(ISBLANK(V153:CI153)))</f>
        <v>0</v>
      </c>
      <c r="CP153" s="7">
        <f t="shared" si="237"/>
        <v>0</v>
      </c>
      <c r="CQ153" s="7">
        <f t="shared" si="238"/>
        <v>0</v>
      </c>
      <c r="CR153" s="7">
        <f t="shared" si="239"/>
        <v>0</v>
      </c>
      <c r="CS153" s="11"/>
      <c r="CT153" s="215">
        <f t="shared" si="240"/>
        <v>0</v>
      </c>
      <c r="CU153" s="215">
        <f t="shared" si="240"/>
        <v>0</v>
      </c>
      <c r="CV153" s="215">
        <f t="shared" si="240"/>
        <v>0</v>
      </c>
      <c r="CW153" s="215">
        <f t="shared" si="241"/>
        <v>0</v>
      </c>
      <c r="CX153" s="215">
        <f t="shared" si="242"/>
        <v>0</v>
      </c>
      <c r="CY153" s="215">
        <f t="shared" si="243"/>
        <v>0</v>
      </c>
      <c r="CZ153" s="215">
        <f t="shared" si="244"/>
        <v>0</v>
      </c>
      <c r="DT153" s="11"/>
      <c r="DU153" s="4">
        <v>1</v>
      </c>
      <c r="DV153">
        <v>1</v>
      </c>
      <c r="DW153" s="11"/>
      <c r="EY153" s="10" t="str">
        <f t="shared" si="236"/>
        <v>Taxation</v>
      </c>
    </row>
    <row r="154" spans="1:155" x14ac:dyDescent="0.35">
      <c r="A154" s="220" cm="1">
        <f t="array" aca="1" ref="A154" ca="1">HYPERLINK("#"&amp;IFERROR(CELL("address",IF(MAX($CM154:$CS154)=0,A154,INDEX($CM154:$CS154,MATCH(1,$CM154:$CS154,0)))),CELL("address",$V154:$CI154)),IFERROR(MAX($CM154:$CS154),1))</f>
        <v>0</v>
      </c>
      <c r="C154" s="211" t="str">
        <f>CONCATENATE("M-", 'I&amp;E Annual'!C154)</f>
        <v>M-IE-5a</v>
      </c>
      <c r="D154" s="61" t="s">
        <v>445</v>
      </c>
      <c r="E154" s="5"/>
      <c r="G154" s="5"/>
      <c r="V154" s="12">
        <f>SUM(V149, V151:V153)-V150</f>
        <v>0</v>
      </c>
      <c r="W154" s="12">
        <f>SUM(W149, W151:W153)-W150</f>
        <v>0</v>
      </c>
      <c r="X154" s="12">
        <f>SUM(X149, X151:X153)-X150</f>
        <v>0</v>
      </c>
      <c r="Y154" s="12">
        <f>SUM(Y149, Y151:Y153)-Y150</f>
        <v>0</v>
      </c>
      <c r="AA154" s="12">
        <f t="shared" ref="AA154:BJ154" si="245">SUM(AA149, AA151:AA153)-AA150</f>
        <v>0</v>
      </c>
      <c r="AB154" s="12">
        <f t="shared" si="245"/>
        <v>0</v>
      </c>
      <c r="AC154" s="12">
        <f t="shared" si="245"/>
        <v>0</v>
      </c>
      <c r="AD154" s="12">
        <f t="shared" si="245"/>
        <v>0</v>
      </c>
      <c r="AE154" s="12">
        <f t="shared" si="245"/>
        <v>0</v>
      </c>
      <c r="AF154" s="12">
        <f t="shared" si="245"/>
        <v>0</v>
      </c>
      <c r="AG154" s="12">
        <f t="shared" si="245"/>
        <v>0</v>
      </c>
      <c r="AH154" s="12">
        <f t="shared" si="245"/>
        <v>0</v>
      </c>
      <c r="AI154" s="12">
        <f t="shared" si="245"/>
        <v>0</v>
      </c>
      <c r="AJ154" s="12">
        <f t="shared" si="245"/>
        <v>0</v>
      </c>
      <c r="AK154" s="12">
        <f t="shared" si="245"/>
        <v>0</v>
      </c>
      <c r="AL154" s="12">
        <f t="shared" si="245"/>
        <v>0</v>
      </c>
      <c r="AM154" s="12">
        <f t="shared" si="245"/>
        <v>0</v>
      </c>
      <c r="AN154" s="12">
        <f t="shared" si="245"/>
        <v>0</v>
      </c>
      <c r="AO154" s="12">
        <f t="shared" si="245"/>
        <v>0</v>
      </c>
      <c r="AP154" s="12">
        <f t="shared" si="245"/>
        <v>0</v>
      </c>
      <c r="AQ154" s="12">
        <f t="shared" si="245"/>
        <v>0</v>
      </c>
      <c r="AR154" s="12">
        <f t="shared" si="245"/>
        <v>0</v>
      </c>
      <c r="AS154" s="12">
        <f t="shared" si="245"/>
        <v>0</v>
      </c>
      <c r="AT154" s="12">
        <f t="shared" si="245"/>
        <v>0</v>
      </c>
      <c r="AU154" s="12">
        <f t="shared" si="245"/>
        <v>0</v>
      </c>
      <c r="AV154" s="12">
        <f t="shared" si="245"/>
        <v>0</v>
      </c>
      <c r="AW154" s="12">
        <f t="shared" si="245"/>
        <v>0</v>
      </c>
      <c r="AX154" s="12">
        <f t="shared" si="245"/>
        <v>0</v>
      </c>
      <c r="AY154" s="12">
        <f t="shared" si="245"/>
        <v>0</v>
      </c>
      <c r="AZ154" s="12">
        <f t="shared" si="245"/>
        <v>0</v>
      </c>
      <c r="BA154" s="12">
        <f t="shared" si="245"/>
        <v>0</v>
      </c>
      <c r="BB154" s="12">
        <f t="shared" si="245"/>
        <v>0</v>
      </c>
      <c r="BC154" s="12">
        <f t="shared" si="245"/>
        <v>0</v>
      </c>
      <c r="BD154" s="12">
        <f t="shared" si="245"/>
        <v>0</v>
      </c>
      <c r="BE154" s="12">
        <f t="shared" si="245"/>
        <v>0</v>
      </c>
      <c r="BF154" s="12">
        <f t="shared" si="245"/>
        <v>0</v>
      </c>
      <c r="BG154" s="12">
        <f t="shared" si="245"/>
        <v>0</v>
      </c>
      <c r="BH154" s="12">
        <f t="shared" si="245"/>
        <v>0</v>
      </c>
      <c r="BI154" s="12">
        <f t="shared" si="245"/>
        <v>0</v>
      </c>
      <c r="BJ154" s="12">
        <f t="shared" si="245"/>
        <v>0</v>
      </c>
      <c r="BX154" s="12">
        <f t="shared" ref="BX154:CI154" si="246">SUM(BX149, BX151:BX153)-BX150</f>
        <v>0</v>
      </c>
      <c r="BY154" s="12">
        <f t="shared" si="246"/>
        <v>0</v>
      </c>
      <c r="BZ154" s="12">
        <f t="shared" si="246"/>
        <v>0</v>
      </c>
      <c r="CA154" s="12">
        <f t="shared" si="246"/>
        <v>0</v>
      </c>
      <c r="CB154" s="12">
        <f t="shared" si="246"/>
        <v>0</v>
      </c>
      <c r="CC154" s="12">
        <f t="shared" si="246"/>
        <v>0</v>
      </c>
      <c r="CD154" s="12">
        <f t="shared" si="246"/>
        <v>0</v>
      </c>
      <c r="CE154" s="12">
        <f t="shared" si="246"/>
        <v>0</v>
      </c>
      <c r="CF154" s="12">
        <f t="shared" si="246"/>
        <v>0</v>
      </c>
      <c r="CG154" s="12">
        <f t="shared" si="246"/>
        <v>0</v>
      </c>
      <c r="CH154" s="12">
        <f t="shared" si="246"/>
        <v>0</v>
      </c>
      <c r="CI154" s="12">
        <f t="shared" si="246"/>
        <v>0</v>
      </c>
      <c r="CK154" s="11"/>
      <c r="CM154" s="11"/>
      <c r="CP154" s="7">
        <f t="shared" si="237"/>
        <v>0</v>
      </c>
      <c r="CQ154" s="7">
        <f t="shared" si="238"/>
        <v>0</v>
      </c>
      <c r="CR154" s="7">
        <f t="shared" si="239"/>
        <v>0</v>
      </c>
      <c r="CS154" s="11"/>
      <c r="CT154" s="215">
        <f t="shared" si="240"/>
        <v>0</v>
      </c>
      <c r="CU154" s="215">
        <f t="shared" si="240"/>
        <v>0</v>
      </c>
      <c r="CV154" s="215">
        <f t="shared" si="240"/>
        <v>0</v>
      </c>
      <c r="CW154" s="215">
        <f t="shared" si="241"/>
        <v>0</v>
      </c>
      <c r="CX154" s="215">
        <f t="shared" si="242"/>
        <v>0</v>
      </c>
      <c r="CY154" s="215">
        <f t="shared" si="243"/>
        <v>0</v>
      </c>
      <c r="CZ154" s="215">
        <f t="shared" si="244"/>
        <v>0</v>
      </c>
      <c r="DT154" s="11"/>
      <c r="DU154">
        <v>0</v>
      </c>
      <c r="DV154">
        <v>0</v>
      </c>
      <c r="DW154" s="11"/>
      <c r="EY154" s="10" t="str">
        <f t="shared" si="236"/>
        <v>Total interest, tax, depreciation and amortisation</v>
      </c>
    </row>
    <row r="155" spans="1:155" ht="6.75" customHeight="1" x14ac:dyDescent="0.35">
      <c r="C155" s="211"/>
      <c r="BY155" s="6"/>
      <c r="CK155" s="35"/>
      <c r="CM155" s="35"/>
      <c r="CS155" s="35"/>
      <c r="DT155" s="35"/>
      <c r="DU155">
        <v>0</v>
      </c>
      <c r="DV155">
        <v>0</v>
      </c>
      <c r="DW155" s="35"/>
      <c r="EY155" s="10" t="str">
        <f t="shared" si="236"/>
        <v/>
      </c>
    </row>
    <row r="156" spans="1:155" ht="29" x14ac:dyDescent="0.35">
      <c r="A156" s="220" cm="1">
        <f t="array" aca="1" ref="A156" ca="1">HYPERLINK("#"&amp;IFERROR(CELL("address",IF(MAX($CM156:$CS156)=0,A156,INDEX($CM156:$CS156,MATCH(1,$CM156:$CS156,0)))),CELL("address",$V156:$CI156)),IFERROR(MAX($CM156:$CS156),1))</f>
        <v>0</v>
      </c>
      <c r="C156" s="211" t="str">
        <f>CONCATENATE("M-", 'I&amp;E Annual'!C156)</f>
        <v>M-IE-5</v>
      </c>
      <c r="D156" s="61" t="s">
        <v>446</v>
      </c>
      <c r="E156" s="5"/>
      <c r="G156" s="5"/>
      <c r="V156" s="12">
        <f>V146-V154</f>
        <v>0</v>
      </c>
      <c r="W156" s="12">
        <f>W146-W154</f>
        <v>0</v>
      </c>
      <c r="X156" s="12">
        <f>X146-X154</f>
        <v>0</v>
      </c>
      <c r="Y156" s="12">
        <f>Y146-Y154</f>
        <v>0</v>
      </c>
      <c r="AA156" s="12">
        <f t="shared" ref="AA156:BJ156" si="247">AA146-AA154</f>
        <v>0</v>
      </c>
      <c r="AB156" s="12">
        <f t="shared" si="247"/>
        <v>0</v>
      </c>
      <c r="AC156" s="12">
        <f t="shared" si="247"/>
        <v>0</v>
      </c>
      <c r="AD156" s="12">
        <f t="shared" si="247"/>
        <v>0</v>
      </c>
      <c r="AE156" s="12">
        <f t="shared" si="247"/>
        <v>0</v>
      </c>
      <c r="AF156" s="12">
        <f t="shared" si="247"/>
        <v>0</v>
      </c>
      <c r="AG156" s="12">
        <f t="shared" si="247"/>
        <v>0</v>
      </c>
      <c r="AH156" s="12">
        <f t="shared" si="247"/>
        <v>0</v>
      </c>
      <c r="AI156" s="12">
        <f t="shared" si="247"/>
        <v>0</v>
      </c>
      <c r="AJ156" s="12">
        <f t="shared" si="247"/>
        <v>0</v>
      </c>
      <c r="AK156" s="12">
        <f t="shared" si="247"/>
        <v>0</v>
      </c>
      <c r="AL156" s="12">
        <f t="shared" si="247"/>
        <v>0</v>
      </c>
      <c r="AM156" s="12">
        <f t="shared" si="247"/>
        <v>0</v>
      </c>
      <c r="AN156" s="12">
        <f t="shared" si="247"/>
        <v>0</v>
      </c>
      <c r="AO156" s="12">
        <f t="shared" si="247"/>
        <v>0</v>
      </c>
      <c r="AP156" s="12">
        <f t="shared" si="247"/>
        <v>0</v>
      </c>
      <c r="AQ156" s="12">
        <f t="shared" si="247"/>
        <v>0</v>
      </c>
      <c r="AR156" s="12">
        <f t="shared" si="247"/>
        <v>0</v>
      </c>
      <c r="AS156" s="12">
        <f t="shared" si="247"/>
        <v>0</v>
      </c>
      <c r="AT156" s="12">
        <f t="shared" si="247"/>
        <v>0</v>
      </c>
      <c r="AU156" s="12">
        <f t="shared" si="247"/>
        <v>0</v>
      </c>
      <c r="AV156" s="12">
        <f t="shared" si="247"/>
        <v>0</v>
      </c>
      <c r="AW156" s="12">
        <f t="shared" si="247"/>
        <v>0</v>
      </c>
      <c r="AX156" s="12">
        <f t="shared" si="247"/>
        <v>0</v>
      </c>
      <c r="AY156" s="12">
        <f t="shared" si="247"/>
        <v>0</v>
      </c>
      <c r="AZ156" s="12">
        <f t="shared" si="247"/>
        <v>0</v>
      </c>
      <c r="BA156" s="12">
        <f t="shared" si="247"/>
        <v>0</v>
      </c>
      <c r="BB156" s="12">
        <f t="shared" si="247"/>
        <v>0</v>
      </c>
      <c r="BC156" s="12">
        <f t="shared" si="247"/>
        <v>0</v>
      </c>
      <c r="BD156" s="12">
        <f t="shared" si="247"/>
        <v>0</v>
      </c>
      <c r="BE156" s="12">
        <f t="shared" si="247"/>
        <v>0</v>
      </c>
      <c r="BF156" s="12">
        <f t="shared" si="247"/>
        <v>0</v>
      </c>
      <c r="BG156" s="12">
        <f t="shared" si="247"/>
        <v>0</v>
      </c>
      <c r="BH156" s="12">
        <f t="shared" si="247"/>
        <v>0</v>
      </c>
      <c r="BI156" s="12">
        <f t="shared" si="247"/>
        <v>0</v>
      </c>
      <c r="BJ156" s="12">
        <f t="shared" si="247"/>
        <v>0</v>
      </c>
      <c r="BX156" s="12">
        <f t="shared" ref="BX156:CI156" si="248">BX146-BX154</f>
        <v>0</v>
      </c>
      <c r="BY156" s="12">
        <f t="shared" si="248"/>
        <v>0</v>
      </c>
      <c r="BZ156" s="12">
        <f t="shared" si="248"/>
        <v>0</v>
      </c>
      <c r="CA156" s="12">
        <f t="shared" si="248"/>
        <v>0</v>
      </c>
      <c r="CB156" s="12">
        <f t="shared" si="248"/>
        <v>0</v>
      </c>
      <c r="CC156" s="12">
        <f t="shared" si="248"/>
        <v>0</v>
      </c>
      <c r="CD156" s="12">
        <f t="shared" si="248"/>
        <v>0</v>
      </c>
      <c r="CE156" s="12">
        <f t="shared" si="248"/>
        <v>0</v>
      </c>
      <c r="CF156" s="12">
        <f t="shared" si="248"/>
        <v>0</v>
      </c>
      <c r="CG156" s="12">
        <f t="shared" si="248"/>
        <v>0</v>
      </c>
      <c r="CH156" s="12">
        <f t="shared" si="248"/>
        <v>0</v>
      </c>
      <c r="CI156" s="12">
        <f t="shared" si="248"/>
        <v>0</v>
      </c>
      <c r="CK156" s="11"/>
      <c r="CM156" s="11"/>
      <c r="CP156" s="7">
        <f>IF(SUM($CT156:$CV156)=0, 0, 1)</f>
        <v>0</v>
      </c>
      <c r="CQ156" s="7">
        <f>IF(SUM($CW156:$CY156)=0, 0, 1)</f>
        <v>0</v>
      </c>
      <c r="CR156" s="7">
        <f>IF($CZ156=0, 0, 1)</f>
        <v>0</v>
      </c>
      <c r="CS156" s="11"/>
      <c r="CT156" s="215">
        <f>ROUND(W156-SUMIFS($AA156:$BJ156, $AA$3:$BJ$3, W$3), rounding)</f>
        <v>0</v>
      </c>
      <c r="CU156" s="215">
        <f>ROUND(X156-SUMIFS($AA156:$BJ156, $AA$3:$BJ$3, X$3), rounding)</f>
        <v>0</v>
      </c>
      <c r="CV156" s="215">
        <f>ROUND(Y156-SUMIFS($AA156:$BJ156, $AA$3:$BJ$3, Y$3), rounding)</f>
        <v>0</v>
      </c>
      <c r="CW156" s="215">
        <f>ROUND($BY156-SUMIFS($AA156:$BJ156, $AA$3:$BJ$3, $BY$3), rounding)</f>
        <v>0</v>
      </c>
      <c r="CX156" s="215">
        <f>ROUND($BZ156-SUMIFS($AA156:$BJ156, $AA$3:$BJ$3, $BZ$3), rounding)</f>
        <v>0</v>
      </c>
      <c r="CY156" s="215">
        <f>ROUND($CA156-SUMIFS($AA156:$BJ156, $AA$3:$BJ$3, $CA$3), rounding)</f>
        <v>0</v>
      </c>
      <c r="CZ156" s="215">
        <f>ROUND($V156-$BX156, rounding)</f>
        <v>0</v>
      </c>
      <c r="DT156" s="11"/>
      <c r="DU156">
        <v>0</v>
      </c>
      <c r="DV156">
        <v>0</v>
      </c>
      <c r="DW156" s="11"/>
      <c r="EY156" s="10" t="str">
        <f t="shared" si="236"/>
        <v>Surplus/(deficit) after interest, tax, depreciation and amortisation costs</v>
      </c>
    </row>
    <row r="157" spans="1:155" ht="6.75" customHeight="1" x14ac:dyDescent="0.35">
      <c r="C157" s="211"/>
      <c r="E157" s="5"/>
      <c r="BY157" s="6"/>
      <c r="CK157" s="35"/>
      <c r="CM157" s="35"/>
      <c r="CS157" s="35"/>
      <c r="DT157" s="35"/>
      <c r="DU157">
        <v>0</v>
      </c>
      <c r="DV157">
        <v>0</v>
      </c>
      <c r="DW157" s="35"/>
      <c r="EY157" s="10" t="str">
        <f t="shared" si="236"/>
        <v/>
      </c>
    </row>
    <row r="158" spans="1:155" x14ac:dyDescent="0.35">
      <c r="B158" s="5"/>
      <c r="C158" s="211"/>
      <c r="D158" s="61" t="s">
        <v>447</v>
      </c>
      <c r="E158" s="5"/>
      <c r="CK158" s="11"/>
      <c r="CM158" s="11"/>
      <c r="CS158" s="11"/>
      <c r="DT158" s="11"/>
      <c r="DU158">
        <v>0</v>
      </c>
      <c r="DV158">
        <v>0</v>
      </c>
      <c r="DW158" s="11"/>
      <c r="EY158" s="10" t="str">
        <f t="shared" si="236"/>
        <v/>
      </c>
    </row>
    <row r="159" spans="1:155" ht="29" x14ac:dyDescent="0.35">
      <c r="A159" s="220" cm="1">
        <f t="array" aca="1" ref="A159" ca="1">HYPERLINK("#"&amp;IFERROR(CELL("address",IF(MAX($CM159:$CS159)=0,A159,INDEX($CM159:$CS159,MATCH(1,$CM159:$CS159,0)))),CELL("address",$V159:$CI159)),IFERROR(MAX($CM159:$CS159),1))</f>
        <v>0</v>
      </c>
      <c r="C159" s="211" t="str">
        <f>CONCATENATE("M-", 'I&amp;E Annual'!C159)</f>
        <v>M-IE-6a-1a</v>
      </c>
      <c r="D159" s="104" t="s">
        <v>448</v>
      </c>
      <c r="E159" s="630" t="str" cm="1">
        <f t="array" aca="1" ref="E159" ca="1">HYPERLINK(CONCATENATE("#",CELL("address",'Investing Inputs'!$D$320)),'Investing Inputs'!$D$320)</f>
        <v xml:space="preserve">Gain/Loss on Disposal </v>
      </c>
      <c r="H159" t="s">
        <v>317</v>
      </c>
      <c r="V159" s="133">
        <f>SUM('Investing Inputs'!V$321:V$322,'Investing Inputs'!V$324,'Investing Inputs'!V$325)</f>
        <v>0</v>
      </c>
      <c r="W159" s="133">
        <f>SUM('Investing Inputs'!W$321:W$322,'Investing Inputs'!W$324,'Investing Inputs'!W$325)</f>
        <v>0</v>
      </c>
      <c r="X159" s="133">
        <f>SUM('Investing Inputs'!X$321:X$322,'Investing Inputs'!X$324,'Investing Inputs'!X$325)</f>
        <v>0</v>
      </c>
      <c r="Y159" s="133">
        <f>SUM('Investing Inputs'!Y$321:Y$322,'Investing Inputs'!Y$324,'Investing Inputs'!Y$325)</f>
        <v>0</v>
      </c>
      <c r="AA159" s="133">
        <f>SUM('Investing Inputs'!AA$321:AA$322,'Investing Inputs'!AA$324,'Investing Inputs'!AA$325)</f>
        <v>0</v>
      </c>
      <c r="AB159" s="133">
        <f>SUM('Investing Inputs'!AB$321:AB$322,'Investing Inputs'!AB$324,'Investing Inputs'!AB$325)</f>
        <v>0</v>
      </c>
      <c r="AC159" s="133">
        <f>SUM('Investing Inputs'!AC$321:AC$322,'Investing Inputs'!AC$324,'Investing Inputs'!AC$325)</f>
        <v>0</v>
      </c>
      <c r="AD159" s="133">
        <f>SUM('Investing Inputs'!AD$321:AD$322,'Investing Inputs'!AD$324,'Investing Inputs'!AD$325)</f>
        <v>0</v>
      </c>
      <c r="AE159" s="133">
        <f>SUM('Investing Inputs'!AE$321:AE$322,'Investing Inputs'!AE$324,'Investing Inputs'!AE$325)</f>
        <v>0</v>
      </c>
      <c r="AF159" s="133">
        <f>SUM('Investing Inputs'!AF$321:AF$322,'Investing Inputs'!AF$324,'Investing Inputs'!AF$325)</f>
        <v>0</v>
      </c>
      <c r="AG159" s="133">
        <f>SUM('Investing Inputs'!AG$321:AG$322,'Investing Inputs'!AG$324,'Investing Inputs'!AG$325)</f>
        <v>0</v>
      </c>
      <c r="AH159" s="133">
        <f>SUM('Investing Inputs'!AH$321:AH$322,'Investing Inputs'!AH$324,'Investing Inputs'!AH$325)</f>
        <v>0</v>
      </c>
      <c r="AI159" s="133">
        <f>SUM('Investing Inputs'!AI$321:AI$322,'Investing Inputs'!AI$324,'Investing Inputs'!AI$325)</f>
        <v>0</v>
      </c>
      <c r="AJ159" s="133">
        <f>SUM('Investing Inputs'!AJ$321:AJ$322,'Investing Inputs'!AJ$324,'Investing Inputs'!AJ$325)</f>
        <v>0</v>
      </c>
      <c r="AK159" s="133">
        <f>SUM('Investing Inputs'!AK$321:AK$322,'Investing Inputs'!AK$324,'Investing Inputs'!AK$325)</f>
        <v>0</v>
      </c>
      <c r="AL159" s="133">
        <f>SUM('Investing Inputs'!AL$321:AL$322,'Investing Inputs'!AL$324,'Investing Inputs'!AL$325)</f>
        <v>0</v>
      </c>
      <c r="AM159" s="133">
        <f>SUM('Investing Inputs'!AM$321:AM$322,'Investing Inputs'!AM$324,'Investing Inputs'!AM$325)</f>
        <v>0</v>
      </c>
      <c r="AN159" s="133">
        <f>SUM('Investing Inputs'!AN$321:AN$322,'Investing Inputs'!AN$324,'Investing Inputs'!AN$325)</f>
        <v>0</v>
      </c>
      <c r="AO159" s="133">
        <f>SUM('Investing Inputs'!AO$321:AO$322,'Investing Inputs'!AO$324,'Investing Inputs'!AO$325)</f>
        <v>0</v>
      </c>
      <c r="AP159" s="133">
        <f>SUM('Investing Inputs'!AP$321:AP$322,'Investing Inputs'!AP$324,'Investing Inputs'!AP$325)</f>
        <v>0</v>
      </c>
      <c r="AQ159" s="133">
        <f>SUM('Investing Inputs'!AQ$321:AQ$322,'Investing Inputs'!AQ$324,'Investing Inputs'!AQ$325)</f>
        <v>0</v>
      </c>
      <c r="AR159" s="133">
        <f>SUM('Investing Inputs'!AR$321:AR$322,'Investing Inputs'!AR$324,'Investing Inputs'!AR$325)</f>
        <v>0</v>
      </c>
      <c r="AS159" s="133">
        <f>SUM('Investing Inputs'!AS$321:AS$322,'Investing Inputs'!AS$324,'Investing Inputs'!AS$325)</f>
        <v>0</v>
      </c>
      <c r="AT159" s="133">
        <f>SUM('Investing Inputs'!AT$321:AT$322,'Investing Inputs'!AT$324,'Investing Inputs'!AT$325)</f>
        <v>0</v>
      </c>
      <c r="AU159" s="133">
        <f>SUM('Investing Inputs'!AU$321:AU$322,'Investing Inputs'!AU$324,'Investing Inputs'!AU$325)</f>
        <v>0</v>
      </c>
      <c r="AV159" s="133">
        <f>SUM('Investing Inputs'!AV$321:AV$322,'Investing Inputs'!AV$324,'Investing Inputs'!AV$325)</f>
        <v>0</v>
      </c>
      <c r="AW159" s="133">
        <f>SUM('Investing Inputs'!AW$321:AW$322,'Investing Inputs'!AW$324,'Investing Inputs'!AW$325)</f>
        <v>0</v>
      </c>
      <c r="AX159" s="133">
        <f>SUM('Investing Inputs'!AX$321:AX$322,'Investing Inputs'!AX$324,'Investing Inputs'!AX$325)</f>
        <v>0</v>
      </c>
      <c r="AY159" s="133">
        <f>SUM('Investing Inputs'!AY$321:AY$322,'Investing Inputs'!AY$324,'Investing Inputs'!AY$325)</f>
        <v>0</v>
      </c>
      <c r="AZ159" s="133">
        <f>SUM('Investing Inputs'!AZ$321:AZ$322,'Investing Inputs'!AZ$324,'Investing Inputs'!AZ$325)</f>
        <v>0</v>
      </c>
      <c r="BA159" s="133">
        <f>SUM('Investing Inputs'!BA$321:BA$322,'Investing Inputs'!BA$324,'Investing Inputs'!BA$325)</f>
        <v>0</v>
      </c>
      <c r="BB159" s="133">
        <f>SUM('Investing Inputs'!BB$321:BB$322,'Investing Inputs'!BB$324,'Investing Inputs'!BB$325)</f>
        <v>0</v>
      </c>
      <c r="BC159" s="133">
        <f>SUM('Investing Inputs'!BC$321:BC$322,'Investing Inputs'!BC$324,'Investing Inputs'!BC$325)</f>
        <v>0</v>
      </c>
      <c r="BD159" s="133">
        <f>SUM('Investing Inputs'!BD$321:BD$322,'Investing Inputs'!BD$324,'Investing Inputs'!BD$325)</f>
        <v>0</v>
      </c>
      <c r="BE159" s="133">
        <f>SUM('Investing Inputs'!BE$321:BE$322,'Investing Inputs'!BE$324,'Investing Inputs'!BE$325)</f>
        <v>0</v>
      </c>
      <c r="BF159" s="133">
        <f>SUM('Investing Inputs'!BF$321:BF$322,'Investing Inputs'!BF$324,'Investing Inputs'!BF$325)</f>
        <v>0</v>
      </c>
      <c r="BG159" s="133">
        <f>SUM('Investing Inputs'!BG$321:BG$322,'Investing Inputs'!BG$324,'Investing Inputs'!BG$325)</f>
        <v>0</v>
      </c>
      <c r="BH159" s="133">
        <f>SUM('Investing Inputs'!BH$321:BH$322,'Investing Inputs'!BH$324,'Investing Inputs'!BH$325)</f>
        <v>0</v>
      </c>
      <c r="BI159" s="133">
        <f>SUM('Investing Inputs'!BI$321:BI$322,'Investing Inputs'!BI$324,'Investing Inputs'!BI$325)</f>
        <v>0</v>
      </c>
      <c r="BJ159" s="133">
        <f>SUM('Investing Inputs'!BJ$321:BJ$322,'Investing Inputs'!BJ$324,'Investing Inputs'!BJ$325)</f>
        <v>0</v>
      </c>
      <c r="BX159" s="133">
        <f>SUM('Investing Inputs'!BX$321:BX$322,'Investing Inputs'!BX$324,'Investing Inputs'!BX$325)</f>
        <v>0</v>
      </c>
      <c r="BY159" s="133">
        <f>SUM('Investing Inputs'!BY$321:BY$322,'Investing Inputs'!BY$324,'Investing Inputs'!BY$325)</f>
        <v>0</v>
      </c>
      <c r="BZ159" s="133">
        <f>SUM('Investing Inputs'!BZ$321:BZ$322,'Investing Inputs'!BZ$324,'Investing Inputs'!BZ$325)</f>
        <v>0</v>
      </c>
      <c r="CA159" s="133">
        <f>SUM('Investing Inputs'!CA$321:CA$322,'Investing Inputs'!CA$324,'Investing Inputs'!CA$325)</f>
        <v>0</v>
      </c>
      <c r="CB159" s="133">
        <f>SUM('Investing Inputs'!CB$321:CB$322,'Investing Inputs'!CB$324,'Investing Inputs'!CB$325)</f>
        <v>0</v>
      </c>
      <c r="CC159" s="133">
        <f>SUM('Investing Inputs'!CC$321:CC$322,'Investing Inputs'!CC$324,'Investing Inputs'!CC$325)</f>
        <v>0</v>
      </c>
      <c r="CD159" s="133">
        <f>SUM('Investing Inputs'!CD$321:CD$322,'Investing Inputs'!CD$324,'Investing Inputs'!CD$325)</f>
        <v>0</v>
      </c>
      <c r="CE159" s="133">
        <f>SUM('Investing Inputs'!CE$321:CE$322,'Investing Inputs'!CE$324,'Investing Inputs'!CE$325)</f>
        <v>0</v>
      </c>
      <c r="CF159" s="133">
        <f>SUM('Investing Inputs'!CF$321:CF$322,'Investing Inputs'!CF$324,'Investing Inputs'!CF$325)</f>
        <v>0</v>
      </c>
      <c r="CG159" s="133">
        <f>SUM('Investing Inputs'!CG$321:CG$322,'Investing Inputs'!CG$324,'Investing Inputs'!CG$325)</f>
        <v>0</v>
      </c>
      <c r="CH159" s="133">
        <f>SUM('Investing Inputs'!CH$321:CH$322,'Investing Inputs'!CH$324,'Investing Inputs'!CH$325)</f>
        <v>0</v>
      </c>
      <c r="CI159" s="133">
        <f>SUM('Investing Inputs'!CI$321:CI$322,'Investing Inputs'!CI$324,'Investing Inputs'!CI$325)</f>
        <v>0</v>
      </c>
      <c r="CK159" s="11"/>
      <c r="CM159" s="11"/>
      <c r="CP159" s="7">
        <f t="shared" ref="CP159:CP164" si="249">IF(SUM($CT159:$CV159)=0, 0, 1)</f>
        <v>0</v>
      </c>
      <c r="CQ159" s="7">
        <f t="shared" ref="CQ159:CQ164" si="250">IF(SUM($CW159:$CY159)=0, 0, 1)</f>
        <v>0</v>
      </c>
      <c r="CR159" s="7">
        <f t="shared" ref="CR159:CR164" si="251">IF($CZ159=0, 0, 1)</f>
        <v>0</v>
      </c>
      <c r="CS159" s="11"/>
      <c r="CT159" s="215">
        <f t="shared" ref="CT159:CV164" si="252">ROUND(W159-SUMIFS($AA159:$BJ159, $AA$3:$BJ$3, W$3), rounding)</f>
        <v>0</v>
      </c>
      <c r="CU159" s="215">
        <f t="shared" si="252"/>
        <v>0</v>
      </c>
      <c r="CV159" s="215">
        <f t="shared" si="252"/>
        <v>0</v>
      </c>
      <c r="CW159" s="215">
        <f t="shared" ref="CW159:CW164" si="253">ROUND($BY159-SUMIFS($AA159:$BJ159, $AA$3:$BJ$3, $BY$3), rounding)</f>
        <v>0</v>
      </c>
      <c r="CX159" s="215">
        <f t="shared" ref="CX159:CX164" si="254">ROUND($BZ159-SUMIFS($AA159:$BJ159, $AA$3:$BJ$3, $BZ$3), rounding)</f>
        <v>0</v>
      </c>
      <c r="CY159" s="215">
        <f t="shared" ref="CY159:CY164" si="255">ROUND($CA159-SUMIFS($AA159:$BJ159, $AA$3:$BJ$3, $CA$3), rounding)</f>
        <v>0</v>
      </c>
      <c r="CZ159" s="215">
        <f t="shared" ref="CZ159:CZ164" si="256">ROUND($V159-$BX159, rounding)</f>
        <v>0</v>
      </c>
      <c r="DT159" s="11"/>
      <c r="DU159">
        <v>0</v>
      </c>
      <c r="DV159">
        <v>0</v>
      </c>
      <c r="DW159" s="11"/>
      <c r="EY159" s="10" t="str">
        <f t="shared" si="236"/>
        <v>Gain/(loss) on disposal of fixed assets</v>
      </c>
    </row>
    <row r="160" spans="1:155" ht="29" x14ac:dyDescent="0.35">
      <c r="A160" s="220" cm="1">
        <f t="array" aca="1" ref="A160" ca="1">HYPERLINK("#"&amp;IFERROR(CELL("address",IF(MAX($CM160:$CS160)=0,A160,INDEX($CM160:$CS160,MATCH(1,$CM160:$CS160,0)))),CELL("address",$V160:$CI160)),IFERROR(MAX($CM160:$CS160),1))</f>
        <v>0</v>
      </c>
      <c r="C160" s="211" t="str">
        <f>CONCATENATE("M-", 'I&amp;E Annual'!C160)</f>
        <v>M-IE-6a-1b</v>
      </c>
      <c r="D160" s="104" t="s">
        <v>449</v>
      </c>
      <c r="E160" s="630" t="str" cm="1">
        <f t="array" aca="1" ref="E160" ca="1">HYPERLINK(CONCATENATE("#",CELL("address",'Investing Inputs'!$D$323)),'Investing Inputs'!$D$320)</f>
        <v xml:space="preserve">Gain/Loss on Disposal </v>
      </c>
      <c r="H160" t="s">
        <v>317</v>
      </c>
      <c r="V160" s="133">
        <f>'Investing Inputs'!V$323</f>
        <v>0</v>
      </c>
      <c r="W160" s="133">
        <f>'Investing Inputs'!W$323</f>
        <v>0</v>
      </c>
      <c r="X160" s="133">
        <f>'Investing Inputs'!X$323</f>
        <v>0</v>
      </c>
      <c r="Y160" s="133">
        <f>'Investing Inputs'!Y$323</f>
        <v>0</v>
      </c>
      <c r="AA160" s="10">
        <f>'Investing Inputs'!AA$323</f>
        <v>0</v>
      </c>
      <c r="AB160" s="10">
        <f>'Investing Inputs'!AB$323</f>
        <v>0</v>
      </c>
      <c r="AC160" s="10">
        <f>'Investing Inputs'!AC$323</f>
        <v>0</v>
      </c>
      <c r="AD160" s="10">
        <f>'Investing Inputs'!AD$323</f>
        <v>0</v>
      </c>
      <c r="AE160" s="10">
        <f>'Investing Inputs'!AE$323</f>
        <v>0</v>
      </c>
      <c r="AF160" s="10">
        <f>'Investing Inputs'!AF$323</f>
        <v>0</v>
      </c>
      <c r="AG160" s="10">
        <f>'Investing Inputs'!AG$323</f>
        <v>0</v>
      </c>
      <c r="AH160" s="10">
        <f>'Investing Inputs'!AH$323</f>
        <v>0</v>
      </c>
      <c r="AI160" s="10">
        <f>'Investing Inputs'!AI$323</f>
        <v>0</v>
      </c>
      <c r="AJ160" s="10">
        <f>'Investing Inputs'!AJ$323</f>
        <v>0</v>
      </c>
      <c r="AK160" s="10">
        <f>'Investing Inputs'!AK$323</f>
        <v>0</v>
      </c>
      <c r="AL160" s="10">
        <f>'Investing Inputs'!AL$323</f>
        <v>0</v>
      </c>
      <c r="AM160" s="10">
        <f>'Investing Inputs'!AM$323</f>
        <v>0</v>
      </c>
      <c r="AN160" s="10">
        <f>'Investing Inputs'!AN$323</f>
        <v>0</v>
      </c>
      <c r="AO160" s="10">
        <f>'Investing Inputs'!AO$323</f>
        <v>0</v>
      </c>
      <c r="AP160" s="10">
        <f>'Investing Inputs'!AP$323</f>
        <v>0</v>
      </c>
      <c r="AQ160" s="10">
        <f>'Investing Inputs'!AQ$323</f>
        <v>0</v>
      </c>
      <c r="AR160" s="10">
        <f>'Investing Inputs'!AR$323</f>
        <v>0</v>
      </c>
      <c r="AS160" s="10">
        <f>'Investing Inputs'!AS$323</f>
        <v>0</v>
      </c>
      <c r="AT160" s="10">
        <f>'Investing Inputs'!AT$323</f>
        <v>0</v>
      </c>
      <c r="AU160" s="10">
        <f>'Investing Inputs'!AU$323</f>
        <v>0</v>
      </c>
      <c r="AV160" s="10">
        <f>'Investing Inputs'!AV$323</f>
        <v>0</v>
      </c>
      <c r="AW160" s="10">
        <f>'Investing Inputs'!AW$323</f>
        <v>0</v>
      </c>
      <c r="AX160" s="10">
        <f>'Investing Inputs'!AX$323</f>
        <v>0</v>
      </c>
      <c r="AY160" s="10">
        <f>'Investing Inputs'!AY$323</f>
        <v>0</v>
      </c>
      <c r="AZ160" s="10">
        <f>'Investing Inputs'!AZ$323</f>
        <v>0</v>
      </c>
      <c r="BA160" s="10">
        <f>'Investing Inputs'!BA$323</f>
        <v>0</v>
      </c>
      <c r="BB160" s="10">
        <f>'Investing Inputs'!BB$323</f>
        <v>0</v>
      </c>
      <c r="BC160" s="10">
        <f>'Investing Inputs'!BC$323</f>
        <v>0</v>
      </c>
      <c r="BD160" s="10">
        <f>'Investing Inputs'!BD$323</f>
        <v>0</v>
      </c>
      <c r="BE160" s="10">
        <f>'Investing Inputs'!BE$323</f>
        <v>0</v>
      </c>
      <c r="BF160" s="10">
        <f>'Investing Inputs'!BF$323</f>
        <v>0</v>
      </c>
      <c r="BG160" s="10">
        <f>'Investing Inputs'!BG$323</f>
        <v>0</v>
      </c>
      <c r="BH160" s="10">
        <f>'Investing Inputs'!BH$323</f>
        <v>0</v>
      </c>
      <c r="BI160" s="10">
        <f>'Investing Inputs'!BI$323</f>
        <v>0</v>
      </c>
      <c r="BJ160" s="10">
        <f>'Investing Inputs'!BJ$323</f>
        <v>0</v>
      </c>
      <c r="BX160" s="10">
        <f>'Investing Inputs'!BX$323</f>
        <v>0</v>
      </c>
      <c r="BY160" s="10">
        <f>'Investing Inputs'!BY$323</f>
        <v>0</v>
      </c>
      <c r="BZ160" s="10">
        <f>'Investing Inputs'!BZ$323</f>
        <v>0</v>
      </c>
      <c r="CA160" s="10">
        <f>'Investing Inputs'!CA$323</f>
        <v>0</v>
      </c>
      <c r="CB160" s="10">
        <f>'Investing Inputs'!CB$323</f>
        <v>0</v>
      </c>
      <c r="CC160" s="10">
        <f>'Investing Inputs'!CC$323</f>
        <v>0</v>
      </c>
      <c r="CD160" s="10">
        <f>'Investing Inputs'!CD$323</f>
        <v>0</v>
      </c>
      <c r="CE160" s="10">
        <f>'Investing Inputs'!CE$323</f>
        <v>0</v>
      </c>
      <c r="CF160" s="10">
        <f>'Investing Inputs'!CF$323</f>
        <v>0</v>
      </c>
      <c r="CG160" s="10">
        <f>'Investing Inputs'!CG$323</f>
        <v>0</v>
      </c>
      <c r="CH160" s="10">
        <f>'Investing Inputs'!CH$323</f>
        <v>0</v>
      </c>
      <c r="CI160" s="10">
        <f>'Investing Inputs'!CI$323</f>
        <v>0</v>
      </c>
      <c r="CK160" s="11"/>
      <c r="CM160" s="11"/>
      <c r="CP160" s="7">
        <f t="shared" si="249"/>
        <v>0</v>
      </c>
      <c r="CQ160" s="7">
        <f t="shared" si="250"/>
        <v>0</v>
      </c>
      <c r="CR160" s="7">
        <f t="shared" si="251"/>
        <v>0</v>
      </c>
      <c r="CS160" s="11"/>
      <c r="CT160" s="215">
        <f t="shared" si="252"/>
        <v>0</v>
      </c>
      <c r="CU160" s="215">
        <f t="shared" si="252"/>
        <v>0</v>
      </c>
      <c r="CV160" s="215">
        <f t="shared" si="252"/>
        <v>0</v>
      </c>
      <c r="CW160" s="215">
        <f t="shared" si="253"/>
        <v>0</v>
      </c>
      <c r="CX160" s="215">
        <f t="shared" si="254"/>
        <v>0</v>
      </c>
      <c r="CY160" s="215">
        <f t="shared" si="255"/>
        <v>0</v>
      </c>
      <c r="CZ160" s="215">
        <f t="shared" si="256"/>
        <v>0</v>
      </c>
      <c r="DT160" s="11"/>
      <c r="DU160">
        <v>0</v>
      </c>
      <c r="DV160">
        <v>0</v>
      </c>
      <c r="DW160" s="11"/>
      <c r="EY160" s="10" t="str">
        <f t="shared" si="236"/>
        <v>Gain/(loss) on Disposal of Investments</v>
      </c>
    </row>
    <row r="161" spans="1:155" ht="26.65" customHeight="1" x14ac:dyDescent="0.35">
      <c r="A161" s="220" cm="1">
        <f t="array" aca="1" ref="A161" ca="1">HYPERLINK("#"&amp;IFERROR(CELL("address",IF(MAX($CM161:$CS161)=0,A161,INDEX($CM161:$CS161,MATCH(1,$CM161:$CS161,0)))),CELL("address",$V161:$CI161)),IFERROR(MAX($CM161:$CS161),1))</f>
        <v>0</v>
      </c>
      <c r="C161" s="211" t="str">
        <f>CONCATENATE("M-", 'I&amp;E Annual'!C161)</f>
        <v>M-IE-6a-2</v>
      </c>
      <c r="D161" s="104" t="s">
        <v>450</v>
      </c>
      <c r="E161" s="630" t="str" cm="1">
        <f t="array" aca="1" ref="E161" ca="1">HYPERLINK(CONCATENATE("#",CELL("address",'Investing Inputs'!$D$102)),'Investing Inputs'!$D$102)</f>
        <v>Investments Sub-Total</v>
      </c>
      <c r="H161" t="s">
        <v>317</v>
      </c>
      <c r="V161" s="10">
        <f>'Investing Inputs'!V$102</f>
        <v>0</v>
      </c>
      <c r="W161" s="10">
        <f>'Investing Inputs'!W$102</f>
        <v>0</v>
      </c>
      <c r="X161" s="10">
        <f>'Investing Inputs'!X$102</f>
        <v>0</v>
      </c>
      <c r="Y161" s="10">
        <f>'Investing Inputs'!Y$102</f>
        <v>0</v>
      </c>
      <c r="AA161" s="10">
        <f>'Investing Inputs'!AA$102</f>
        <v>0</v>
      </c>
      <c r="AB161" s="10">
        <f>'Investing Inputs'!AB$102</f>
        <v>0</v>
      </c>
      <c r="AC161" s="10">
        <f>'Investing Inputs'!AC$102</f>
        <v>0</v>
      </c>
      <c r="AD161" s="10">
        <f>'Investing Inputs'!AD$102</f>
        <v>0</v>
      </c>
      <c r="AE161" s="10">
        <f>'Investing Inputs'!AE$102</f>
        <v>0</v>
      </c>
      <c r="AF161" s="10">
        <f>'Investing Inputs'!AF$102</f>
        <v>0</v>
      </c>
      <c r="AG161" s="10">
        <f>'Investing Inputs'!AG$102</f>
        <v>0</v>
      </c>
      <c r="AH161" s="10">
        <f>'Investing Inputs'!AH$102</f>
        <v>0</v>
      </c>
      <c r="AI161" s="10">
        <f>'Investing Inputs'!AI$102</f>
        <v>0</v>
      </c>
      <c r="AJ161" s="10">
        <f>'Investing Inputs'!AJ$102</f>
        <v>0</v>
      </c>
      <c r="AK161" s="10">
        <f>'Investing Inputs'!AK$102</f>
        <v>0</v>
      </c>
      <c r="AL161" s="10">
        <f>'Investing Inputs'!AL$102</f>
        <v>0</v>
      </c>
      <c r="AM161" s="10">
        <f>'Investing Inputs'!AM$102</f>
        <v>0</v>
      </c>
      <c r="AN161" s="10">
        <f>'Investing Inputs'!AN$102</f>
        <v>0</v>
      </c>
      <c r="AO161" s="10">
        <f>'Investing Inputs'!AO$102</f>
        <v>0</v>
      </c>
      <c r="AP161" s="10">
        <f>'Investing Inputs'!AP$102</f>
        <v>0</v>
      </c>
      <c r="AQ161" s="10">
        <f>'Investing Inputs'!AQ$102</f>
        <v>0</v>
      </c>
      <c r="AR161" s="10">
        <f>'Investing Inputs'!AR$102</f>
        <v>0</v>
      </c>
      <c r="AS161" s="10">
        <f>'Investing Inputs'!AS$102</f>
        <v>0</v>
      </c>
      <c r="AT161" s="10">
        <f>'Investing Inputs'!AT$102</f>
        <v>0</v>
      </c>
      <c r="AU161" s="10">
        <f>'Investing Inputs'!AU$102</f>
        <v>0</v>
      </c>
      <c r="AV161" s="10">
        <f>'Investing Inputs'!AV$102</f>
        <v>0</v>
      </c>
      <c r="AW161" s="10">
        <f>'Investing Inputs'!AW$102</f>
        <v>0</v>
      </c>
      <c r="AX161" s="10">
        <f>'Investing Inputs'!AX$102</f>
        <v>0</v>
      </c>
      <c r="AY161" s="10">
        <f>'Investing Inputs'!AY$102</f>
        <v>0</v>
      </c>
      <c r="AZ161" s="10">
        <f>'Investing Inputs'!AZ$102</f>
        <v>0</v>
      </c>
      <c r="BA161" s="10">
        <f>'Investing Inputs'!BA$102</f>
        <v>0</v>
      </c>
      <c r="BB161" s="10">
        <f>'Investing Inputs'!BB$102</f>
        <v>0</v>
      </c>
      <c r="BC161" s="10">
        <f>'Investing Inputs'!BC$102</f>
        <v>0</v>
      </c>
      <c r="BD161" s="10">
        <f>'Investing Inputs'!BD$102</f>
        <v>0</v>
      </c>
      <c r="BE161" s="10">
        <f>'Investing Inputs'!BE$102</f>
        <v>0</v>
      </c>
      <c r="BF161" s="10">
        <f>'Investing Inputs'!BF$102</f>
        <v>0</v>
      </c>
      <c r="BG161" s="10">
        <f>'Investing Inputs'!BG$102</f>
        <v>0</v>
      </c>
      <c r="BH161" s="10">
        <f>'Investing Inputs'!BH$102</f>
        <v>0</v>
      </c>
      <c r="BI161" s="10">
        <f>'Investing Inputs'!BI$102</f>
        <v>0</v>
      </c>
      <c r="BJ161" s="10">
        <f>'Investing Inputs'!BJ$102</f>
        <v>0</v>
      </c>
      <c r="BX161" s="10">
        <f>'Investing Inputs'!BX$102</f>
        <v>0</v>
      </c>
      <c r="BY161" s="10">
        <f>'Investing Inputs'!BY$102</f>
        <v>0</v>
      </c>
      <c r="BZ161" s="10">
        <f>'Investing Inputs'!BZ$102</f>
        <v>0</v>
      </c>
      <c r="CA161" s="10">
        <f>'Investing Inputs'!CA$102</f>
        <v>0</v>
      </c>
      <c r="CB161" s="10">
        <f>'Investing Inputs'!CB$102</f>
        <v>0</v>
      </c>
      <c r="CC161" s="10">
        <f>'Investing Inputs'!CC$102</f>
        <v>0</v>
      </c>
      <c r="CD161" s="10">
        <f>'Investing Inputs'!CD$102</f>
        <v>0</v>
      </c>
      <c r="CE161" s="10">
        <f>'Investing Inputs'!CE$102</f>
        <v>0</v>
      </c>
      <c r="CF161" s="10">
        <f>'Investing Inputs'!CF$102</f>
        <v>0</v>
      </c>
      <c r="CG161" s="10">
        <f>'Investing Inputs'!CG$102</f>
        <v>0</v>
      </c>
      <c r="CH161" s="10">
        <f>'Investing Inputs'!CH$102</f>
        <v>0</v>
      </c>
      <c r="CI161" s="10">
        <f>'Investing Inputs'!CI$102</f>
        <v>0</v>
      </c>
      <c r="CK161" s="11"/>
      <c r="CM161" s="11"/>
      <c r="CP161" s="7">
        <f t="shared" si="249"/>
        <v>0</v>
      </c>
      <c r="CQ161" s="7">
        <f t="shared" si="250"/>
        <v>0</v>
      </c>
      <c r="CR161" s="7">
        <f t="shared" si="251"/>
        <v>0</v>
      </c>
      <c r="CS161" s="11"/>
      <c r="CT161" s="215">
        <f t="shared" si="252"/>
        <v>0</v>
      </c>
      <c r="CU161" s="215">
        <f t="shared" si="252"/>
        <v>0</v>
      </c>
      <c r="CV161" s="215">
        <f t="shared" si="252"/>
        <v>0</v>
      </c>
      <c r="CW161" s="215">
        <f t="shared" si="253"/>
        <v>0</v>
      </c>
      <c r="CX161" s="215">
        <f t="shared" si="254"/>
        <v>0</v>
      </c>
      <c r="CY161" s="215">
        <f t="shared" si="255"/>
        <v>0</v>
      </c>
      <c r="CZ161" s="215">
        <f t="shared" si="256"/>
        <v>0</v>
      </c>
      <c r="DT161" s="11"/>
      <c r="DU161">
        <v>0</v>
      </c>
      <c r="DV161">
        <v>0</v>
      </c>
      <c r="DW161" s="11"/>
      <c r="EY161" s="10" t="str">
        <f t="shared" si="236"/>
        <v>Surplus/(loss) on Revaluation of Investments</v>
      </c>
    </row>
    <row r="162" spans="1:155" ht="29" x14ac:dyDescent="0.35">
      <c r="A162" s="220" cm="1">
        <f t="array" aca="1" ref="A162" ca="1">HYPERLINK("#"&amp;IFERROR(CELL("address",IF(MAX($CM162:$CS162)=0,A162,INDEX($CM162:$CS162,MATCH(1,$CM162:$CS162,0)))),CELL("address",$V162:$CI162)),IFERROR(MAX($CM162:$CS162),1))</f>
        <v>0</v>
      </c>
      <c r="C162" s="211" t="str">
        <f>CONCATENATE("M-", 'I&amp;E Annual'!C162)</f>
        <v>M-IE-6a-3</v>
      </c>
      <c r="D162" s="104" t="s">
        <v>451</v>
      </c>
      <c r="H162" t="s">
        <v>317</v>
      </c>
      <c r="V162" s="109"/>
      <c r="W162" s="133">
        <f t="shared" ref="W162:Y163" si="257" xml:space="preserve"> SUMIFS($AA162:$BJ162, $AA$3:$BJ$3, W$3)</f>
        <v>0</v>
      </c>
      <c r="X162" s="133">
        <f t="shared" si="257"/>
        <v>0</v>
      </c>
      <c r="Y162" s="133">
        <f t="shared" si="257"/>
        <v>0</v>
      </c>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X162" s="10">
        <f t="shared" ref="BX162:CA163" si="258">V162</f>
        <v>0</v>
      </c>
      <c r="BY162" s="10">
        <f t="shared" si="258"/>
        <v>0</v>
      </c>
      <c r="BZ162" s="10">
        <f t="shared" si="258"/>
        <v>0</v>
      </c>
      <c r="CA162" s="10">
        <f t="shared" si="258"/>
        <v>0</v>
      </c>
      <c r="CB162" s="109"/>
      <c r="CC162" s="109"/>
      <c r="CD162" s="109"/>
      <c r="CE162" s="109"/>
      <c r="CF162" s="109"/>
      <c r="CG162" s="109"/>
      <c r="CH162" s="109"/>
      <c r="CI162" s="109"/>
      <c r="CK162" s="11"/>
      <c r="CL162" s="241">
        <f>IF(MIN($V162:$CI162)&lt;0, 1, 0)</f>
        <v>0</v>
      </c>
      <c r="CM162" s="11"/>
      <c r="CO162" s="7" cm="1">
        <f t="array" ref="CO162">SUMPRODUCT(--NOT(ISNUMBER(V162:CI162)),--NOT(ISBLANK(V162:CI162)))</f>
        <v>0</v>
      </c>
      <c r="CP162" s="7">
        <f t="shared" si="249"/>
        <v>0</v>
      </c>
      <c r="CQ162" s="7">
        <f t="shared" si="250"/>
        <v>0</v>
      </c>
      <c r="CR162" s="7">
        <f t="shared" si="251"/>
        <v>0</v>
      </c>
      <c r="CS162" s="11"/>
      <c r="CT162" s="215">
        <f t="shared" si="252"/>
        <v>0</v>
      </c>
      <c r="CU162" s="215">
        <f t="shared" si="252"/>
        <v>0</v>
      </c>
      <c r="CV162" s="215">
        <f t="shared" si="252"/>
        <v>0</v>
      </c>
      <c r="CW162" s="215">
        <f t="shared" si="253"/>
        <v>0</v>
      </c>
      <c r="CX162" s="215">
        <f t="shared" si="254"/>
        <v>0</v>
      </c>
      <c r="CY162" s="215">
        <f t="shared" si="255"/>
        <v>0</v>
      </c>
      <c r="CZ162" s="215">
        <f t="shared" si="256"/>
        <v>0</v>
      </c>
      <c r="DT162" s="11"/>
      <c r="DU162" s="4">
        <v>1</v>
      </c>
      <c r="DV162">
        <v>1</v>
      </c>
      <c r="DW162" s="11"/>
      <c r="EY162" s="10" t="str">
        <f t="shared" si="236"/>
        <v>Share of surplus / (deficit) in JVs and Associates (inc. overseas)</v>
      </c>
    </row>
    <row r="163" spans="1:155" x14ac:dyDescent="0.35">
      <c r="A163" s="220" cm="1">
        <f t="array" aca="1" ref="A163" ca="1">HYPERLINK("#"&amp;IFERROR(CELL("address",IF(MAX($CM163:$CS163)=0,A163,INDEX($CM163:$CS163,MATCH(1,$CM163:$CS163,0)))),CELL("address",$V163:$CI163)),IFERROR(MAX($CM163:$CS163),1))</f>
        <v>0</v>
      </c>
      <c r="C163" s="211" t="str">
        <f>CONCATENATE("M-", 'I&amp;E Annual'!C163)</f>
        <v>M-IE-6a-4</v>
      </c>
      <c r="D163" s="57" t="s">
        <v>452</v>
      </c>
      <c r="H163" t="s">
        <v>317</v>
      </c>
      <c r="V163" s="109"/>
      <c r="W163" s="133">
        <f t="shared" si="257"/>
        <v>0</v>
      </c>
      <c r="X163" s="133">
        <f t="shared" si="257"/>
        <v>0</v>
      </c>
      <c r="Y163" s="133">
        <f t="shared" si="25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 t="shared" si="258"/>
        <v>0</v>
      </c>
      <c r="BY163" s="10">
        <f t="shared" si="258"/>
        <v>0</v>
      </c>
      <c r="BZ163" s="10">
        <f t="shared" si="258"/>
        <v>0</v>
      </c>
      <c r="CA163" s="10">
        <f t="shared" si="258"/>
        <v>0</v>
      </c>
      <c r="CB163" s="109"/>
      <c r="CC163" s="109"/>
      <c r="CD163" s="109"/>
      <c r="CE163" s="109"/>
      <c r="CF163" s="109"/>
      <c r="CG163" s="109"/>
      <c r="CH163" s="109"/>
      <c r="CI163" s="109"/>
      <c r="CK163" s="11"/>
      <c r="CL163" s="241">
        <f>IF(MIN($V163:$CI163)&lt;0, 1, 0)</f>
        <v>0</v>
      </c>
      <c r="CM163" s="11"/>
      <c r="CO163" s="7" cm="1">
        <f t="array" ref="CO163">SUMPRODUCT(--NOT(ISNUMBER(V163:CI163)),--NOT(ISBLANK(V163:CI163)))</f>
        <v>0</v>
      </c>
      <c r="CP163" s="7">
        <f t="shared" si="249"/>
        <v>0</v>
      </c>
      <c r="CQ163" s="7">
        <f t="shared" si="250"/>
        <v>0</v>
      </c>
      <c r="CR163" s="7">
        <f t="shared" si="251"/>
        <v>0</v>
      </c>
      <c r="CS163" s="11"/>
      <c r="CT163" s="215">
        <f t="shared" si="252"/>
        <v>0</v>
      </c>
      <c r="CU163" s="215">
        <f t="shared" si="252"/>
        <v>0</v>
      </c>
      <c r="CV163" s="215">
        <f t="shared" si="252"/>
        <v>0</v>
      </c>
      <c r="CW163" s="215">
        <f t="shared" si="253"/>
        <v>0</v>
      </c>
      <c r="CX163" s="215">
        <f t="shared" si="254"/>
        <v>0</v>
      </c>
      <c r="CY163" s="215">
        <f t="shared" si="255"/>
        <v>0</v>
      </c>
      <c r="CZ163" s="215">
        <f t="shared" si="256"/>
        <v>0</v>
      </c>
      <c r="DT163" s="11"/>
      <c r="DU163" s="4">
        <v>1</v>
      </c>
      <c r="DV163">
        <v>1</v>
      </c>
      <c r="DW163" s="11"/>
      <c r="EY163" s="10" t="str">
        <f t="shared" si="236"/>
        <v>Fair value of Net Assets due to merger / de-merger</v>
      </c>
    </row>
    <row r="164" spans="1:155" s="5" customFormat="1" x14ac:dyDescent="0.35">
      <c r="A164" s="220" cm="1">
        <f t="array" aca="1" ref="A164" ca="1">HYPERLINK("#"&amp;IFERROR(CELL("address",IF(MAX($CM164:$CS164)=0,A164,INDEX($CM164:$CS164,MATCH(1,$CM164:$CS164,0)))),CELL("address",$V164:$CI164)),IFERROR(MAX($CM164:$CS164),1))</f>
        <v>0</v>
      </c>
      <c r="C164" s="211" t="str">
        <f>CONCATENATE("M-", 'I&amp;E Annual'!C164)</f>
        <v>M-IE-6a</v>
      </c>
      <c r="D164" s="61" t="s">
        <v>453</v>
      </c>
      <c r="Q164"/>
      <c r="R164"/>
      <c r="S164"/>
      <c r="T164"/>
      <c r="U164"/>
      <c r="V164" s="12">
        <f>SUM(V159:V163)</f>
        <v>0</v>
      </c>
      <c r="W164" s="12">
        <f>SUM(W159:W163)</f>
        <v>0</v>
      </c>
      <c r="X164" s="12">
        <f>SUM(X159:X163)</f>
        <v>0</v>
      </c>
      <c r="Y164" s="12">
        <f>SUM(Y159:Y163)</f>
        <v>0</v>
      </c>
      <c r="Z164"/>
      <c r="AA164" s="12">
        <f t="shared" ref="AA164:BJ164" si="259">SUM(AA159:AA163)</f>
        <v>0</v>
      </c>
      <c r="AB164" s="12">
        <f t="shared" si="259"/>
        <v>0</v>
      </c>
      <c r="AC164" s="12">
        <f t="shared" si="259"/>
        <v>0</v>
      </c>
      <c r="AD164" s="12">
        <f t="shared" si="259"/>
        <v>0</v>
      </c>
      <c r="AE164" s="12">
        <f t="shared" si="259"/>
        <v>0</v>
      </c>
      <c r="AF164" s="12">
        <f t="shared" si="259"/>
        <v>0</v>
      </c>
      <c r="AG164" s="12">
        <f t="shared" si="259"/>
        <v>0</v>
      </c>
      <c r="AH164" s="12">
        <f t="shared" si="259"/>
        <v>0</v>
      </c>
      <c r="AI164" s="12">
        <f t="shared" si="259"/>
        <v>0</v>
      </c>
      <c r="AJ164" s="12">
        <f t="shared" si="259"/>
        <v>0</v>
      </c>
      <c r="AK164" s="12">
        <f t="shared" si="259"/>
        <v>0</v>
      </c>
      <c r="AL164" s="12">
        <f t="shared" si="259"/>
        <v>0</v>
      </c>
      <c r="AM164" s="12">
        <f t="shared" si="259"/>
        <v>0</v>
      </c>
      <c r="AN164" s="12">
        <f t="shared" si="259"/>
        <v>0</v>
      </c>
      <c r="AO164" s="12">
        <f t="shared" si="259"/>
        <v>0</v>
      </c>
      <c r="AP164" s="12">
        <f t="shared" si="259"/>
        <v>0</v>
      </c>
      <c r="AQ164" s="12">
        <f t="shared" si="259"/>
        <v>0</v>
      </c>
      <c r="AR164" s="12">
        <f t="shared" si="259"/>
        <v>0</v>
      </c>
      <c r="AS164" s="12">
        <f t="shared" si="259"/>
        <v>0</v>
      </c>
      <c r="AT164" s="12">
        <f t="shared" si="259"/>
        <v>0</v>
      </c>
      <c r="AU164" s="12">
        <f t="shared" si="259"/>
        <v>0</v>
      </c>
      <c r="AV164" s="12">
        <f t="shared" si="259"/>
        <v>0</v>
      </c>
      <c r="AW164" s="12">
        <f t="shared" si="259"/>
        <v>0</v>
      </c>
      <c r="AX164" s="12">
        <f t="shared" si="259"/>
        <v>0</v>
      </c>
      <c r="AY164" s="12">
        <f t="shared" si="259"/>
        <v>0</v>
      </c>
      <c r="AZ164" s="12">
        <f t="shared" si="259"/>
        <v>0</v>
      </c>
      <c r="BA164" s="12">
        <f t="shared" si="259"/>
        <v>0</v>
      </c>
      <c r="BB164" s="12">
        <f t="shared" si="259"/>
        <v>0</v>
      </c>
      <c r="BC164" s="12">
        <f t="shared" si="259"/>
        <v>0</v>
      </c>
      <c r="BD164" s="12">
        <f t="shared" si="259"/>
        <v>0</v>
      </c>
      <c r="BE164" s="12">
        <f t="shared" si="259"/>
        <v>0</v>
      </c>
      <c r="BF164" s="12">
        <f t="shared" si="259"/>
        <v>0</v>
      </c>
      <c r="BG164" s="12">
        <f t="shared" si="259"/>
        <v>0</v>
      </c>
      <c r="BH164" s="12">
        <f t="shared" si="259"/>
        <v>0</v>
      </c>
      <c r="BI164" s="12">
        <f t="shared" si="259"/>
        <v>0</v>
      </c>
      <c r="BJ164" s="12">
        <f t="shared" si="259"/>
        <v>0</v>
      </c>
      <c r="BK164"/>
      <c r="BL164"/>
      <c r="BM164"/>
      <c r="BN164"/>
      <c r="BO164"/>
      <c r="BP164"/>
      <c r="BQ164"/>
      <c r="BR164"/>
      <c r="BS164"/>
      <c r="BT164"/>
      <c r="BU164"/>
      <c r="BV164"/>
      <c r="BW164"/>
      <c r="BX164" s="12">
        <f t="shared" ref="BX164:CI164" si="260">SUM(BX159:BX163)</f>
        <v>0</v>
      </c>
      <c r="BY164" s="12">
        <f t="shared" si="260"/>
        <v>0</v>
      </c>
      <c r="BZ164" s="12">
        <f t="shared" si="260"/>
        <v>0</v>
      </c>
      <c r="CA164" s="12">
        <f t="shared" si="260"/>
        <v>0</v>
      </c>
      <c r="CB164" s="12">
        <f t="shared" si="260"/>
        <v>0</v>
      </c>
      <c r="CC164" s="12">
        <f t="shared" si="260"/>
        <v>0</v>
      </c>
      <c r="CD164" s="12">
        <f t="shared" si="260"/>
        <v>0</v>
      </c>
      <c r="CE164" s="12">
        <f t="shared" si="260"/>
        <v>0</v>
      </c>
      <c r="CF164" s="12">
        <f t="shared" si="260"/>
        <v>0</v>
      </c>
      <c r="CG164" s="12">
        <f t="shared" si="260"/>
        <v>0</v>
      </c>
      <c r="CH164" s="12">
        <f t="shared" si="260"/>
        <v>0</v>
      </c>
      <c r="CI164" s="12">
        <f t="shared" si="260"/>
        <v>0</v>
      </c>
      <c r="CK164" s="11"/>
      <c r="CL164" s="120"/>
      <c r="CM164" s="11"/>
      <c r="CN164"/>
      <c r="CO164"/>
      <c r="CP164" s="7">
        <f t="shared" si="249"/>
        <v>0</v>
      </c>
      <c r="CQ164" s="7">
        <f t="shared" si="250"/>
        <v>0</v>
      </c>
      <c r="CR164" s="7">
        <f t="shared" si="251"/>
        <v>0</v>
      </c>
      <c r="CS164" s="11"/>
      <c r="CT164" s="215">
        <f t="shared" si="252"/>
        <v>0</v>
      </c>
      <c r="CU164" s="215">
        <f t="shared" si="252"/>
        <v>0</v>
      </c>
      <c r="CV164" s="215">
        <f t="shared" si="252"/>
        <v>0</v>
      </c>
      <c r="CW164" s="215">
        <f t="shared" si="253"/>
        <v>0</v>
      </c>
      <c r="CX164" s="215">
        <f t="shared" si="254"/>
        <v>0</v>
      </c>
      <c r="CY164" s="215">
        <f t="shared" si="255"/>
        <v>0</v>
      </c>
      <c r="CZ164" s="215">
        <f t="shared" si="256"/>
        <v>0</v>
      </c>
      <c r="DT164" s="11"/>
      <c r="DU164" s="5">
        <v>0</v>
      </c>
      <c r="DV164" s="5">
        <v>0</v>
      </c>
      <c r="DW164" s="11"/>
      <c r="DX164"/>
      <c r="DY164"/>
      <c r="DZ164"/>
      <c r="EA164"/>
      <c r="EB164"/>
      <c r="EC164"/>
      <c r="ED164"/>
      <c r="EE164"/>
      <c r="EF164"/>
      <c r="EG164"/>
      <c r="EH164"/>
      <c r="EI164"/>
      <c r="EJ164"/>
      <c r="EK164"/>
      <c r="EL164"/>
      <c r="EM164"/>
      <c r="EN164"/>
      <c r="EO164"/>
      <c r="EP164"/>
      <c r="EQ164"/>
      <c r="ER164"/>
      <c r="ES164"/>
      <c r="ET164"/>
      <c r="EU164"/>
      <c r="EV164"/>
      <c r="EW164"/>
      <c r="EX164"/>
      <c r="EY164" s="10" t="str">
        <f t="shared" si="236"/>
        <v>Total other gains and losses</v>
      </c>
    </row>
    <row r="165" spans="1:155" ht="12" customHeight="1" x14ac:dyDescent="0.35">
      <c r="C165" s="213"/>
      <c r="CK165" s="35"/>
      <c r="CM165" s="35"/>
      <c r="CS165" s="35"/>
      <c r="DT165" s="35"/>
      <c r="DU165">
        <v>0</v>
      </c>
      <c r="DV165">
        <v>0</v>
      </c>
      <c r="DW165" s="35"/>
      <c r="EY165" s="10" t="str">
        <f t="shared" si="236"/>
        <v/>
      </c>
    </row>
    <row r="166" spans="1:155" s="5" customFormat="1" x14ac:dyDescent="0.35">
      <c r="A166" s="220" cm="1">
        <f t="array" aca="1" ref="A166" ca="1">HYPERLINK("#"&amp;IFERROR(CELL("address",IF(MAX($CM166:$CS166)=0,A166,INDEX($CM166:$CS166,MATCH(1,$CM166:$CS166,0)))),CELL("address",$V166:$CI166)),IFERROR(MAX($CM166:$CS166),1))</f>
        <v>0</v>
      </c>
      <c r="C166" s="211" t="str">
        <f>CONCATENATE("M-", 'I&amp;E Annual'!C166)</f>
        <v>M-IE-6</v>
      </c>
      <c r="D166" s="61" t="s">
        <v>454</v>
      </c>
      <c r="Q166"/>
      <c r="R166"/>
      <c r="S166"/>
      <c r="T166"/>
      <c r="U166"/>
      <c r="V166" s="12">
        <f>V156+V164</f>
        <v>0</v>
      </c>
      <c r="W166" s="12">
        <f>W156+W164</f>
        <v>0</v>
      </c>
      <c r="X166" s="12">
        <f>X156+X164</f>
        <v>0</v>
      </c>
      <c r="Y166" s="12">
        <f>Y156+Y164</f>
        <v>0</v>
      </c>
      <c r="Z166"/>
      <c r="AA166" s="12">
        <f t="shared" ref="AA166:BJ166" si="261">AA156+AA164</f>
        <v>0</v>
      </c>
      <c r="AB166" s="12">
        <f t="shared" si="261"/>
        <v>0</v>
      </c>
      <c r="AC166" s="12">
        <f t="shared" si="261"/>
        <v>0</v>
      </c>
      <c r="AD166" s="12">
        <f t="shared" si="261"/>
        <v>0</v>
      </c>
      <c r="AE166" s="12">
        <f t="shared" si="261"/>
        <v>0</v>
      </c>
      <c r="AF166" s="12">
        <f t="shared" si="261"/>
        <v>0</v>
      </c>
      <c r="AG166" s="12">
        <f t="shared" si="261"/>
        <v>0</v>
      </c>
      <c r="AH166" s="12">
        <f t="shared" si="261"/>
        <v>0</v>
      </c>
      <c r="AI166" s="12">
        <f t="shared" si="261"/>
        <v>0</v>
      </c>
      <c r="AJ166" s="12">
        <f t="shared" si="261"/>
        <v>0</v>
      </c>
      <c r="AK166" s="12">
        <f t="shared" si="261"/>
        <v>0</v>
      </c>
      <c r="AL166" s="12">
        <f t="shared" si="261"/>
        <v>0</v>
      </c>
      <c r="AM166" s="12">
        <f t="shared" si="261"/>
        <v>0</v>
      </c>
      <c r="AN166" s="12">
        <f t="shared" si="261"/>
        <v>0</v>
      </c>
      <c r="AO166" s="12">
        <f t="shared" si="261"/>
        <v>0</v>
      </c>
      <c r="AP166" s="12">
        <f t="shared" si="261"/>
        <v>0</v>
      </c>
      <c r="AQ166" s="12">
        <f t="shared" si="261"/>
        <v>0</v>
      </c>
      <c r="AR166" s="12">
        <f t="shared" si="261"/>
        <v>0</v>
      </c>
      <c r="AS166" s="12">
        <f t="shared" si="261"/>
        <v>0</v>
      </c>
      <c r="AT166" s="12">
        <f t="shared" si="261"/>
        <v>0</v>
      </c>
      <c r="AU166" s="12">
        <f t="shared" si="261"/>
        <v>0</v>
      </c>
      <c r="AV166" s="12">
        <f t="shared" si="261"/>
        <v>0</v>
      </c>
      <c r="AW166" s="12">
        <f t="shared" si="261"/>
        <v>0</v>
      </c>
      <c r="AX166" s="12">
        <f t="shared" si="261"/>
        <v>0</v>
      </c>
      <c r="AY166" s="12">
        <f t="shared" si="261"/>
        <v>0</v>
      </c>
      <c r="AZ166" s="12">
        <f t="shared" si="261"/>
        <v>0</v>
      </c>
      <c r="BA166" s="12">
        <f t="shared" si="261"/>
        <v>0</v>
      </c>
      <c r="BB166" s="12">
        <f t="shared" si="261"/>
        <v>0</v>
      </c>
      <c r="BC166" s="12">
        <f t="shared" si="261"/>
        <v>0</v>
      </c>
      <c r="BD166" s="12">
        <f t="shared" si="261"/>
        <v>0</v>
      </c>
      <c r="BE166" s="12">
        <f t="shared" si="261"/>
        <v>0</v>
      </c>
      <c r="BF166" s="12">
        <f t="shared" si="261"/>
        <v>0</v>
      </c>
      <c r="BG166" s="12">
        <f t="shared" si="261"/>
        <v>0</v>
      </c>
      <c r="BH166" s="12">
        <f t="shared" si="261"/>
        <v>0</v>
      </c>
      <c r="BI166" s="12">
        <f t="shared" si="261"/>
        <v>0</v>
      </c>
      <c r="BJ166" s="12">
        <f t="shared" si="261"/>
        <v>0</v>
      </c>
      <c r="BK166"/>
      <c r="BL166"/>
      <c r="BM166"/>
      <c r="BN166"/>
      <c r="BO166"/>
      <c r="BP166"/>
      <c r="BQ166"/>
      <c r="BR166"/>
      <c r="BS166"/>
      <c r="BT166"/>
      <c r="BU166"/>
      <c r="BV166"/>
      <c r="BW166"/>
      <c r="BX166" s="12">
        <f t="shared" ref="BX166:CI166" si="262">BX156+BX164</f>
        <v>0</v>
      </c>
      <c r="BY166" s="12">
        <f t="shared" si="262"/>
        <v>0</v>
      </c>
      <c r="BZ166" s="12">
        <f t="shared" si="262"/>
        <v>0</v>
      </c>
      <c r="CA166" s="12">
        <f t="shared" si="262"/>
        <v>0</v>
      </c>
      <c r="CB166" s="12">
        <f t="shared" si="262"/>
        <v>0</v>
      </c>
      <c r="CC166" s="12">
        <f t="shared" si="262"/>
        <v>0</v>
      </c>
      <c r="CD166" s="12">
        <f t="shared" si="262"/>
        <v>0</v>
      </c>
      <c r="CE166" s="12">
        <f t="shared" si="262"/>
        <v>0</v>
      </c>
      <c r="CF166" s="12">
        <f t="shared" si="262"/>
        <v>0</v>
      </c>
      <c r="CG166" s="12">
        <f t="shared" si="262"/>
        <v>0</v>
      </c>
      <c r="CH166" s="12">
        <f t="shared" si="262"/>
        <v>0</v>
      </c>
      <c r="CI166" s="12">
        <f t="shared" si="262"/>
        <v>0</v>
      </c>
      <c r="CK166" s="11"/>
      <c r="CL166" s="120"/>
      <c r="CM166" s="11"/>
      <c r="CN166"/>
      <c r="CO166"/>
      <c r="CP166" s="7">
        <f>IF(SUM($CT166:$CV166)=0, 0, 1)</f>
        <v>0</v>
      </c>
      <c r="CQ166" s="7">
        <f>IF(SUM($CW166:$CY166)=0, 0, 1)</f>
        <v>0</v>
      </c>
      <c r="CR166" s="7">
        <f>IF($CZ166=0, 0, 1)</f>
        <v>0</v>
      </c>
      <c r="CS166" s="11"/>
      <c r="CT166" s="215">
        <f>ROUND(W166-SUMIFS($AA166:$BJ166, $AA$3:$BJ$3, W$3), rounding)</f>
        <v>0</v>
      </c>
      <c r="CU166" s="215">
        <f>ROUND(X166-SUMIFS($AA166:$BJ166, $AA$3:$BJ$3, X$3), rounding)</f>
        <v>0</v>
      </c>
      <c r="CV166" s="215">
        <f>ROUND(Y166-SUMIFS($AA166:$BJ166, $AA$3:$BJ$3, Y$3), rounding)</f>
        <v>0</v>
      </c>
      <c r="CW166" s="215">
        <f>ROUND($BY166-SUMIFS($AA166:$BJ166, $AA$3:$BJ$3, $BY$3), rounding)</f>
        <v>0</v>
      </c>
      <c r="CX166" s="215">
        <f>ROUND($BZ166-SUMIFS($AA166:$BJ166, $AA$3:$BJ$3, $BZ$3), rounding)</f>
        <v>0</v>
      </c>
      <c r="CY166" s="215">
        <f>ROUND($CA166-SUMIFS($AA166:$BJ166, $AA$3:$BJ$3, $CA$3), rounding)</f>
        <v>0</v>
      </c>
      <c r="CZ166" s="215">
        <f>ROUND($V166-$BX166, rounding)</f>
        <v>0</v>
      </c>
      <c r="DT166" s="11"/>
      <c r="DU166" s="5">
        <v>0</v>
      </c>
      <c r="DV166" s="5">
        <v>0</v>
      </c>
      <c r="DW166" s="11"/>
      <c r="DX166"/>
      <c r="DY166"/>
      <c r="DZ166"/>
      <c r="EA166"/>
      <c r="EB166"/>
      <c r="EC166"/>
      <c r="ED166"/>
      <c r="EE166"/>
      <c r="EF166"/>
      <c r="EG166"/>
      <c r="EH166"/>
      <c r="EI166"/>
      <c r="EJ166"/>
      <c r="EK166"/>
      <c r="EL166"/>
      <c r="EM166"/>
      <c r="EN166"/>
      <c r="EO166"/>
      <c r="EP166"/>
      <c r="EQ166"/>
      <c r="ER166"/>
      <c r="ES166"/>
      <c r="ET166"/>
      <c r="EU166"/>
      <c r="EV166"/>
      <c r="EW166"/>
      <c r="EX166"/>
      <c r="EY166" s="10" t="str">
        <f t="shared" si="236"/>
        <v>Total surplus/(deficit) for the year</v>
      </c>
    </row>
    <row r="167" spans="1:155" ht="12" customHeight="1" x14ac:dyDescent="0.35">
      <c r="C167" s="213"/>
      <c r="CK167" s="35"/>
      <c r="CM167" s="35"/>
      <c r="CS167" s="35"/>
      <c r="DT167" s="35"/>
      <c r="DU167">
        <v>0</v>
      </c>
      <c r="DV167">
        <v>0</v>
      </c>
      <c r="DW167" s="35"/>
      <c r="EY167" s="10" t="str">
        <f t="shared" si="236"/>
        <v/>
      </c>
    </row>
    <row r="168" spans="1:155" ht="57" customHeight="1" x14ac:dyDescent="0.35">
      <c r="A168" s="220" cm="1">
        <f t="array" aca="1" ref="A168" ca="1">HYPERLINK("#"&amp;IFERROR(CELL("address",IF(MAX($CM168:$CS168)=0,A168,INDEX($CM168:$CS168,MATCH(1,$CM168:$CS168,0)))),CELL("address",$V168:$CI168)),IFERROR(MAX($CM168:$CS168),1))</f>
        <v>0</v>
      </c>
      <c r="C168" s="211" t="str">
        <f>CONCATENATE("M-", 'I&amp;E Annual'!C168)</f>
        <v>M-IE-7a</v>
      </c>
      <c r="D168" s="104" t="s">
        <v>455</v>
      </c>
      <c r="E168" s="630" t="str" cm="1">
        <f t="array" aca="1" ref="E168" ca="1">HYPERLINK(CONCATENATE("#",CELL("address",'BS Forecasts'!$D$258)),'BS Forecasts'!$D$258)</f>
        <v>Transfers to/(from) I&amp;E reserve</v>
      </c>
      <c r="F168" s="5"/>
      <c r="G168" s="5"/>
      <c r="H168" s="5"/>
      <c r="V168" s="133">
        <f>'BS Forecasts'!V258</f>
        <v>0</v>
      </c>
      <c r="W168" s="133">
        <f>'BS Forecasts'!W258</f>
        <v>0</v>
      </c>
      <c r="X168" s="133">
        <f>'BS Forecasts'!X258</f>
        <v>0</v>
      </c>
      <c r="Y168" s="133">
        <f>'BS Forecasts'!Y258</f>
        <v>0</v>
      </c>
      <c r="AA168" s="133">
        <f>'BS Forecasts'!AA258</f>
        <v>0</v>
      </c>
      <c r="AB168" s="133">
        <f>'BS Forecasts'!AB258</f>
        <v>0</v>
      </c>
      <c r="AC168" s="133">
        <f>'BS Forecasts'!AC258</f>
        <v>0</v>
      </c>
      <c r="AD168" s="133">
        <f>'BS Forecasts'!AD258</f>
        <v>0</v>
      </c>
      <c r="AE168" s="133">
        <f>'BS Forecasts'!AE258</f>
        <v>0</v>
      </c>
      <c r="AF168" s="133">
        <f>'BS Forecasts'!AF258</f>
        <v>0</v>
      </c>
      <c r="AG168" s="133">
        <f>'BS Forecasts'!AG258</f>
        <v>0</v>
      </c>
      <c r="AH168" s="133">
        <f>'BS Forecasts'!AH258</f>
        <v>0</v>
      </c>
      <c r="AI168" s="133">
        <f>'BS Forecasts'!AI258</f>
        <v>0</v>
      </c>
      <c r="AJ168" s="133">
        <f>'BS Forecasts'!AJ258</f>
        <v>0</v>
      </c>
      <c r="AK168" s="133">
        <f>'BS Forecasts'!AK258</f>
        <v>0</v>
      </c>
      <c r="AL168" s="133">
        <f>'BS Forecasts'!AL258</f>
        <v>0</v>
      </c>
      <c r="AM168" s="133">
        <f>'BS Forecasts'!AM258</f>
        <v>0</v>
      </c>
      <c r="AN168" s="133">
        <f>'BS Forecasts'!AN258</f>
        <v>0</v>
      </c>
      <c r="AO168" s="133">
        <f>'BS Forecasts'!AO258</f>
        <v>0</v>
      </c>
      <c r="AP168" s="133">
        <f>'BS Forecasts'!AP258</f>
        <v>0</v>
      </c>
      <c r="AQ168" s="133">
        <f>'BS Forecasts'!AQ258</f>
        <v>0</v>
      </c>
      <c r="AR168" s="133">
        <f>'BS Forecasts'!AR258</f>
        <v>0</v>
      </c>
      <c r="AS168" s="133">
        <f>'BS Forecasts'!AS258</f>
        <v>0</v>
      </c>
      <c r="AT168" s="133">
        <f>'BS Forecasts'!AT258</f>
        <v>0</v>
      </c>
      <c r="AU168" s="133">
        <f>'BS Forecasts'!AU258</f>
        <v>0</v>
      </c>
      <c r="AV168" s="133">
        <f>'BS Forecasts'!AV258</f>
        <v>0</v>
      </c>
      <c r="AW168" s="133">
        <f>'BS Forecasts'!AW258</f>
        <v>0</v>
      </c>
      <c r="AX168" s="133">
        <f>'BS Forecasts'!AX258</f>
        <v>0</v>
      </c>
      <c r="AY168" s="133">
        <f>'BS Forecasts'!AY258</f>
        <v>0</v>
      </c>
      <c r="AZ168" s="133">
        <f>'BS Forecasts'!AZ258</f>
        <v>0</v>
      </c>
      <c r="BA168" s="133">
        <f>'BS Forecasts'!BA258</f>
        <v>0</v>
      </c>
      <c r="BB168" s="133">
        <f>'BS Forecasts'!BB258</f>
        <v>0</v>
      </c>
      <c r="BC168" s="133">
        <f>'BS Forecasts'!BC258</f>
        <v>0</v>
      </c>
      <c r="BD168" s="133">
        <f>'BS Forecasts'!BD258</f>
        <v>0</v>
      </c>
      <c r="BE168" s="133">
        <f>'BS Forecasts'!BE258</f>
        <v>0</v>
      </c>
      <c r="BF168" s="133">
        <f>'BS Forecasts'!BF258</f>
        <v>0</v>
      </c>
      <c r="BG168" s="133">
        <f>'BS Forecasts'!BG258</f>
        <v>0</v>
      </c>
      <c r="BH168" s="133">
        <f>'BS Forecasts'!BH258</f>
        <v>0</v>
      </c>
      <c r="BI168" s="133">
        <f>'BS Forecasts'!BI258</f>
        <v>0</v>
      </c>
      <c r="BJ168" s="133">
        <f>'BS Forecasts'!BJ258</f>
        <v>0</v>
      </c>
      <c r="BX168" s="133">
        <f>'BS Forecasts'!BX258</f>
        <v>0</v>
      </c>
      <c r="BY168" s="133">
        <f>'BS Forecasts'!BY258</f>
        <v>0</v>
      </c>
      <c r="BZ168" s="133">
        <f>'BS Forecasts'!BZ258</f>
        <v>0</v>
      </c>
      <c r="CA168" s="133">
        <f>'BS Forecasts'!CA258</f>
        <v>0</v>
      </c>
      <c r="CB168" s="133">
        <f>'BS Forecasts'!CB258</f>
        <v>0</v>
      </c>
      <c r="CC168" s="133">
        <f>'BS Forecasts'!CC258</f>
        <v>0</v>
      </c>
      <c r="CD168" s="133">
        <f>'BS Forecasts'!CD258</f>
        <v>0</v>
      </c>
      <c r="CE168" s="133">
        <f>'BS Forecasts'!CE258</f>
        <v>0</v>
      </c>
      <c r="CF168" s="133">
        <f>'BS Forecasts'!CF258</f>
        <v>0</v>
      </c>
      <c r="CG168" s="133">
        <f>'BS Forecasts'!CG258</f>
        <v>0</v>
      </c>
      <c r="CH168" s="133">
        <f>'BS Forecasts'!CH258</f>
        <v>0</v>
      </c>
      <c r="CI168" s="133">
        <f>'BS Forecasts'!CI258</f>
        <v>0</v>
      </c>
      <c r="CK168" s="11"/>
      <c r="CM168" s="11"/>
      <c r="CP168" s="7">
        <f>IF(SUM($CT168:$CV168)=0, 0, 1)</f>
        <v>0</v>
      </c>
      <c r="CQ168" s="7">
        <f>IF(SUM($CW168:$CY168)=0, 0, 1)</f>
        <v>0</v>
      </c>
      <c r="CR168" s="7">
        <f>IF($CZ168=0, 0, 1)</f>
        <v>0</v>
      </c>
      <c r="CS168" s="11"/>
      <c r="CT168" s="215">
        <f t="shared" ref="CT168:CV170" si="263">ROUND(W168-SUMIFS($AA168:$BJ168, $AA$3:$BJ$3, W$3), rounding)</f>
        <v>0</v>
      </c>
      <c r="CU168" s="215">
        <f t="shared" si="263"/>
        <v>0</v>
      </c>
      <c r="CV168" s="215">
        <f t="shared" si="263"/>
        <v>0</v>
      </c>
      <c r="CW168" s="215">
        <f>ROUND($BY168-SUMIFS($AA168:$BJ168, $AA$3:$BJ$3, $BY$3), rounding)</f>
        <v>0</v>
      </c>
      <c r="CX168" s="215">
        <f>ROUND($BZ168-SUMIFS($AA168:$BJ168, $AA$3:$BJ$3, $BZ$3), rounding)</f>
        <v>0</v>
      </c>
      <c r="CY168" s="215">
        <f>ROUND($CA168-SUMIFS($AA168:$BJ168, $AA$3:$BJ$3, $CA$3), rounding)</f>
        <v>0</v>
      </c>
      <c r="CZ168" s="215">
        <f>ROUND($V168-$BX168, rounding)</f>
        <v>0</v>
      </c>
      <c r="DT168" s="11"/>
      <c r="DU168">
        <v>0</v>
      </c>
      <c r="DV168">
        <v>0</v>
      </c>
      <c r="DW168" s="11"/>
      <c r="EY168" s="10" t="str">
        <f t="shared" si="236"/>
        <v>Transfers (to)/from revaluation reserve adjustment</v>
      </c>
    </row>
    <row r="169" spans="1:155" ht="43.5" x14ac:dyDescent="0.35">
      <c r="A169" s="220" cm="1">
        <f t="array" aca="1" ref="A169" ca="1">HYPERLINK("#"&amp;IFERROR(CELL("address",IF(MAX($CM169:$CS169)=0,A169,INDEX($CM169:$CS169,MATCH(1,$CM169:$CS169,0)))),CELL("address",$V169:$CI169)),IFERROR(MAX($CM169:$CS169),1))</f>
        <v>0</v>
      </c>
      <c r="C169" s="211" t="str">
        <f>CONCATENATE("M-", 'I&amp;E Annual'!C169)</f>
        <v>M-IE-7b</v>
      </c>
      <c r="D169" s="104" t="s">
        <v>456</v>
      </c>
      <c r="E169" s="630" t="str" cm="1">
        <f t="array" aca="1" ref="E169" ca="1">HYPERLINK(CONCATENATE("#",CELL("address",'BS Forecasts'!$D$214)),'BS Forecasts'!$D$205)</f>
        <v>Local Government Pension Scheme Provision</v>
      </c>
      <c r="F169" s="631" t="str" cm="1">
        <f t="array" aca="1" ref="F169" ca="1">HYPERLINK(CONCATENATE("#",CELL("address",'BS Forecasts'!$D$224)),'BS Forecasts'!$D$219)</f>
        <v>Enhanced Pension Provision</v>
      </c>
      <c r="G169" s="631" t="str" cm="1">
        <f t="array" aca="1" ref="G169" ca="1">HYPERLINK(CONCATENATE("#",CELL("address",'BS Forecasts'!$D$233)),'BS Forecasts'!$D$228)</f>
        <v>Other Pension Provisions</v>
      </c>
      <c r="V169" s="133">
        <f>0-('BS Forecasts'!V214+'BS Forecasts'!V224+'BS Forecasts'!V233)</f>
        <v>0</v>
      </c>
      <c r="W169" s="133">
        <f>0-('BS Forecasts'!W214+'BS Forecasts'!W224+'BS Forecasts'!W233)</f>
        <v>0</v>
      </c>
      <c r="X169" s="133">
        <f>0-('BS Forecasts'!X214+'BS Forecasts'!X224+'BS Forecasts'!X233)</f>
        <v>0</v>
      </c>
      <c r="Y169" s="133">
        <f>0-('BS Forecasts'!Y214+'BS Forecasts'!Y224+'BS Forecasts'!Y233)</f>
        <v>0</v>
      </c>
      <c r="AA169" s="133">
        <f>0-('BS Forecasts'!AA214+'BS Forecasts'!AA224+'BS Forecasts'!AA233)</f>
        <v>0</v>
      </c>
      <c r="AB169" s="133">
        <f>0-('BS Forecasts'!AB214+'BS Forecasts'!AB224+'BS Forecasts'!AB233)</f>
        <v>0</v>
      </c>
      <c r="AC169" s="133">
        <f>0-('BS Forecasts'!AC214+'BS Forecasts'!AC224+'BS Forecasts'!AC233)</f>
        <v>0</v>
      </c>
      <c r="AD169" s="133">
        <f>0-('BS Forecasts'!AD214+'BS Forecasts'!AD224+'BS Forecasts'!AD233)</f>
        <v>0</v>
      </c>
      <c r="AE169" s="133">
        <f>0-('BS Forecasts'!AE214+'BS Forecasts'!AE224+'BS Forecasts'!AE233)</f>
        <v>0</v>
      </c>
      <c r="AF169" s="133">
        <f>0-('BS Forecasts'!AF214+'BS Forecasts'!AF224+'BS Forecasts'!AF233)</f>
        <v>0</v>
      </c>
      <c r="AG169" s="133">
        <f>0-('BS Forecasts'!AG214+'BS Forecasts'!AG224+'BS Forecasts'!AG233)</f>
        <v>0</v>
      </c>
      <c r="AH169" s="133">
        <f>0-('BS Forecasts'!AH214+'BS Forecasts'!AH224+'BS Forecasts'!AH233)</f>
        <v>0</v>
      </c>
      <c r="AI169" s="133">
        <f>0-('BS Forecasts'!AI214+'BS Forecasts'!AI224+'BS Forecasts'!AI233)</f>
        <v>0</v>
      </c>
      <c r="AJ169" s="133">
        <f>0-('BS Forecasts'!AJ214+'BS Forecasts'!AJ224+'BS Forecasts'!AJ233)</f>
        <v>0</v>
      </c>
      <c r="AK169" s="133">
        <f>0-('BS Forecasts'!AK214+'BS Forecasts'!AK224+'BS Forecasts'!AK233)</f>
        <v>0</v>
      </c>
      <c r="AL169" s="133">
        <f>0-('BS Forecasts'!AL214+'BS Forecasts'!AL224+'BS Forecasts'!AL233)</f>
        <v>0</v>
      </c>
      <c r="AM169" s="133">
        <f>0-('BS Forecasts'!AM214+'BS Forecasts'!AM224+'BS Forecasts'!AM233)</f>
        <v>0</v>
      </c>
      <c r="AN169" s="133">
        <f>0-('BS Forecasts'!AN214+'BS Forecasts'!AN224+'BS Forecasts'!AN233)</f>
        <v>0</v>
      </c>
      <c r="AO169" s="133">
        <f>0-('BS Forecasts'!AO214+'BS Forecasts'!AO224+'BS Forecasts'!AO233)</f>
        <v>0</v>
      </c>
      <c r="AP169" s="133">
        <f>0-('BS Forecasts'!AP214+'BS Forecasts'!AP224+'BS Forecasts'!AP233)</f>
        <v>0</v>
      </c>
      <c r="AQ169" s="133">
        <f>0-('BS Forecasts'!AQ214+'BS Forecasts'!AQ224+'BS Forecasts'!AQ233)</f>
        <v>0</v>
      </c>
      <c r="AR169" s="133">
        <f>0-('BS Forecasts'!AR214+'BS Forecasts'!AR224+'BS Forecasts'!AR233)</f>
        <v>0</v>
      </c>
      <c r="AS169" s="133">
        <f>0-('BS Forecasts'!AS214+'BS Forecasts'!AS224+'BS Forecasts'!AS233)</f>
        <v>0</v>
      </c>
      <c r="AT169" s="133">
        <f>0-('BS Forecasts'!AT214+'BS Forecasts'!AT224+'BS Forecasts'!AT233)</f>
        <v>0</v>
      </c>
      <c r="AU169" s="133">
        <f>0-('BS Forecasts'!AU214+'BS Forecasts'!AU224+'BS Forecasts'!AU233)</f>
        <v>0</v>
      </c>
      <c r="AV169" s="133">
        <f>0-('BS Forecasts'!AV214+'BS Forecasts'!AV224+'BS Forecasts'!AV233)</f>
        <v>0</v>
      </c>
      <c r="AW169" s="133">
        <f>0-('BS Forecasts'!AW214+'BS Forecasts'!AW224+'BS Forecasts'!AW233)</f>
        <v>0</v>
      </c>
      <c r="AX169" s="133">
        <f>0-('BS Forecasts'!AX214+'BS Forecasts'!AX224+'BS Forecasts'!AX233)</f>
        <v>0</v>
      </c>
      <c r="AY169" s="133">
        <f>0-('BS Forecasts'!AY214+'BS Forecasts'!AY224+'BS Forecasts'!AY233)</f>
        <v>0</v>
      </c>
      <c r="AZ169" s="133">
        <f>0-('BS Forecasts'!AZ214+'BS Forecasts'!AZ224+'BS Forecasts'!AZ233)</f>
        <v>0</v>
      </c>
      <c r="BA169" s="133">
        <f>0-('BS Forecasts'!BA214+'BS Forecasts'!BA224+'BS Forecasts'!BA233)</f>
        <v>0</v>
      </c>
      <c r="BB169" s="133">
        <f>0-('BS Forecasts'!BB214+'BS Forecasts'!BB224+'BS Forecasts'!BB233)</f>
        <v>0</v>
      </c>
      <c r="BC169" s="133">
        <f>0-('BS Forecasts'!BC214+'BS Forecasts'!BC224+'BS Forecasts'!BC233)</f>
        <v>0</v>
      </c>
      <c r="BD169" s="133">
        <f>0-('BS Forecasts'!BD214+'BS Forecasts'!BD224+'BS Forecasts'!BD233)</f>
        <v>0</v>
      </c>
      <c r="BE169" s="133">
        <f>0-('BS Forecasts'!BE214+'BS Forecasts'!BE224+'BS Forecasts'!BE233)</f>
        <v>0</v>
      </c>
      <c r="BF169" s="133">
        <f>0-('BS Forecasts'!BF214+'BS Forecasts'!BF224+'BS Forecasts'!BF233)</f>
        <v>0</v>
      </c>
      <c r="BG169" s="133">
        <f>0-('BS Forecasts'!BG214+'BS Forecasts'!BG224+'BS Forecasts'!BG233)</f>
        <v>0</v>
      </c>
      <c r="BH169" s="133">
        <f>0-('BS Forecasts'!BH214+'BS Forecasts'!BH224+'BS Forecasts'!BH233)</f>
        <v>0</v>
      </c>
      <c r="BI169" s="133">
        <f>0-('BS Forecasts'!BI214+'BS Forecasts'!BI224+'BS Forecasts'!BI233)</f>
        <v>0</v>
      </c>
      <c r="BJ169" s="133">
        <f>0-('BS Forecasts'!BJ214+'BS Forecasts'!BJ224+'BS Forecasts'!BJ233)</f>
        <v>0</v>
      </c>
      <c r="BX169" s="133">
        <f>0-('BS Forecasts'!BX214+'BS Forecasts'!BX224+'BS Forecasts'!BX233)</f>
        <v>0</v>
      </c>
      <c r="BY169" s="133">
        <f>0-('BS Forecasts'!BY214+'BS Forecasts'!BY224+'BS Forecasts'!BY233)</f>
        <v>0</v>
      </c>
      <c r="BZ169" s="133">
        <f>0-('BS Forecasts'!BZ214+'BS Forecasts'!BZ224+'BS Forecasts'!BZ233)</f>
        <v>0</v>
      </c>
      <c r="CA169" s="133">
        <f>0-('BS Forecasts'!CA214+'BS Forecasts'!CA224+'BS Forecasts'!CA233)</f>
        <v>0</v>
      </c>
      <c r="CB169" s="133">
        <f>0-('BS Forecasts'!CB214+'BS Forecasts'!CB224+'BS Forecasts'!CB233)</f>
        <v>0</v>
      </c>
      <c r="CC169" s="133">
        <f>0-('BS Forecasts'!CC214+'BS Forecasts'!CC224+'BS Forecasts'!CC233)</f>
        <v>0</v>
      </c>
      <c r="CD169" s="133">
        <f>0-('BS Forecasts'!CD214+'BS Forecasts'!CD224+'BS Forecasts'!CD233)</f>
        <v>0</v>
      </c>
      <c r="CE169" s="133">
        <f>0-('BS Forecasts'!CE214+'BS Forecasts'!CE224+'BS Forecasts'!CE233)</f>
        <v>0</v>
      </c>
      <c r="CF169" s="133">
        <f>0-('BS Forecasts'!CF214+'BS Forecasts'!CF224+'BS Forecasts'!CF233)</f>
        <v>0</v>
      </c>
      <c r="CG169" s="133">
        <f>0-('BS Forecasts'!CG214+'BS Forecasts'!CG224+'BS Forecasts'!CG233)</f>
        <v>0</v>
      </c>
      <c r="CH169" s="133">
        <f>0-('BS Forecasts'!CH214+'BS Forecasts'!CH224+'BS Forecasts'!CH233)</f>
        <v>0</v>
      </c>
      <c r="CI169" s="133">
        <f>0-('BS Forecasts'!CI214+'BS Forecasts'!CI224+'BS Forecasts'!CI233)</f>
        <v>0</v>
      </c>
      <c r="CK169" s="11"/>
      <c r="CM169" s="11"/>
      <c r="CP169" s="7">
        <f>IF(SUM($CT169:$CV169)=0, 0, 1)</f>
        <v>0</v>
      </c>
      <c r="CQ169" s="7">
        <f>IF(SUM($CW169:$CY169)=0, 0, 1)</f>
        <v>0</v>
      </c>
      <c r="CR169" s="7">
        <f>IF($CZ169=0, 0, 1)</f>
        <v>0</v>
      </c>
      <c r="CS169" s="11"/>
      <c r="CT169" s="215">
        <f t="shared" si="263"/>
        <v>0</v>
      </c>
      <c r="CU169" s="215">
        <f t="shared" si="263"/>
        <v>0</v>
      </c>
      <c r="CV169" s="215">
        <f t="shared" si="263"/>
        <v>0</v>
      </c>
      <c r="CW169" s="215">
        <f>ROUND($BY169-SUMIFS($AA169:$BJ169, $AA$3:$BJ$3, $BY$3), rounding)</f>
        <v>0</v>
      </c>
      <c r="CX169" s="215">
        <f>ROUND($BZ169-SUMIFS($AA169:$BJ169, $AA$3:$BJ$3, $BZ$3), rounding)</f>
        <v>0</v>
      </c>
      <c r="CY169" s="215">
        <f>ROUND($CA169-SUMIFS($AA169:$BJ169, $AA$3:$BJ$3, $CA$3), rounding)</f>
        <v>0</v>
      </c>
      <c r="CZ169" s="215">
        <f>ROUND($V169-$BX169, rounding)</f>
        <v>0</v>
      </c>
      <c r="DT169" s="11"/>
      <c r="DU169">
        <v>0</v>
      </c>
      <c r="DV169">
        <v>0</v>
      </c>
      <c r="DW169" s="11"/>
      <c r="EY169" s="10" t="str">
        <f t="shared" si="236"/>
        <v>Actuarial gain/(loss) on pensions adjustment</v>
      </c>
    </row>
    <row r="170" spans="1:155" s="5" customFormat="1" x14ac:dyDescent="0.35">
      <c r="A170" s="220" cm="1">
        <f t="array" aca="1" ref="A170" ca="1">HYPERLINK("#"&amp;IFERROR(CELL("address",IF(MAX($CM170:$CS170)=0,A170,INDEX($CM170:$CS170,MATCH(1,$CM170:$CS170,0)))),CELL("address",$V170:$CI170)),IFERROR(MAX($CM170:$CS170),1))</f>
        <v>0</v>
      </c>
      <c r="C170" s="211" t="str">
        <f>CONCATENATE("M-", 'I&amp;E Annual'!C170)</f>
        <v>M-IE-7</v>
      </c>
      <c r="D170" s="208" t="s">
        <v>457</v>
      </c>
      <c r="S170"/>
      <c r="T170"/>
      <c r="U170"/>
      <c r="V170" s="12">
        <f>V166+SUM(V168:V169)</f>
        <v>0</v>
      </c>
      <c r="W170" s="12">
        <f>W166+SUM(W168:W169)</f>
        <v>0</v>
      </c>
      <c r="X170" s="12">
        <f>X166+SUM(X168:X169)</f>
        <v>0</v>
      </c>
      <c r="Y170" s="12">
        <f>Y166+SUM(Y168:Y169)</f>
        <v>0</v>
      </c>
      <c r="Z170"/>
      <c r="AA170" s="12">
        <f t="shared" ref="AA170:BJ170" si="264">AA166+SUM(AA168:AA169)</f>
        <v>0</v>
      </c>
      <c r="AB170" s="12">
        <f t="shared" si="264"/>
        <v>0</v>
      </c>
      <c r="AC170" s="12">
        <f t="shared" si="264"/>
        <v>0</v>
      </c>
      <c r="AD170" s="12">
        <f t="shared" si="264"/>
        <v>0</v>
      </c>
      <c r="AE170" s="12">
        <f t="shared" si="264"/>
        <v>0</v>
      </c>
      <c r="AF170" s="12">
        <f t="shared" si="264"/>
        <v>0</v>
      </c>
      <c r="AG170" s="12">
        <f t="shared" si="264"/>
        <v>0</v>
      </c>
      <c r="AH170" s="12">
        <f t="shared" si="264"/>
        <v>0</v>
      </c>
      <c r="AI170" s="12">
        <f t="shared" si="264"/>
        <v>0</v>
      </c>
      <c r="AJ170" s="12">
        <f t="shared" si="264"/>
        <v>0</v>
      </c>
      <c r="AK170" s="12">
        <f t="shared" si="264"/>
        <v>0</v>
      </c>
      <c r="AL170" s="12">
        <f t="shared" si="264"/>
        <v>0</v>
      </c>
      <c r="AM170" s="12">
        <f t="shared" si="264"/>
        <v>0</v>
      </c>
      <c r="AN170" s="12">
        <f t="shared" si="264"/>
        <v>0</v>
      </c>
      <c r="AO170" s="12">
        <f t="shared" si="264"/>
        <v>0</v>
      </c>
      <c r="AP170" s="12">
        <f t="shared" si="264"/>
        <v>0</v>
      </c>
      <c r="AQ170" s="12">
        <f t="shared" si="264"/>
        <v>0</v>
      </c>
      <c r="AR170" s="12">
        <f t="shared" si="264"/>
        <v>0</v>
      </c>
      <c r="AS170" s="12">
        <f t="shared" si="264"/>
        <v>0</v>
      </c>
      <c r="AT170" s="12">
        <f t="shared" si="264"/>
        <v>0</v>
      </c>
      <c r="AU170" s="12">
        <f t="shared" si="264"/>
        <v>0</v>
      </c>
      <c r="AV170" s="12">
        <f t="shared" si="264"/>
        <v>0</v>
      </c>
      <c r="AW170" s="12">
        <f t="shared" si="264"/>
        <v>0</v>
      </c>
      <c r="AX170" s="12">
        <f t="shared" si="264"/>
        <v>0</v>
      </c>
      <c r="AY170" s="12">
        <f t="shared" si="264"/>
        <v>0</v>
      </c>
      <c r="AZ170" s="12">
        <f t="shared" si="264"/>
        <v>0</v>
      </c>
      <c r="BA170" s="12">
        <f t="shared" si="264"/>
        <v>0</v>
      </c>
      <c r="BB170" s="12">
        <f t="shared" si="264"/>
        <v>0</v>
      </c>
      <c r="BC170" s="12">
        <f t="shared" si="264"/>
        <v>0</v>
      </c>
      <c r="BD170" s="12">
        <f t="shared" si="264"/>
        <v>0</v>
      </c>
      <c r="BE170" s="12">
        <f t="shared" si="264"/>
        <v>0</v>
      </c>
      <c r="BF170" s="12">
        <f t="shared" si="264"/>
        <v>0</v>
      </c>
      <c r="BG170" s="12">
        <f t="shared" si="264"/>
        <v>0</v>
      </c>
      <c r="BH170" s="12">
        <f t="shared" si="264"/>
        <v>0</v>
      </c>
      <c r="BI170" s="12">
        <f t="shared" si="264"/>
        <v>0</v>
      </c>
      <c r="BJ170" s="12">
        <f t="shared" si="264"/>
        <v>0</v>
      </c>
      <c r="BK170"/>
      <c r="BL170"/>
      <c r="BM170"/>
      <c r="BN170"/>
      <c r="BO170"/>
      <c r="BP170"/>
      <c r="BQ170"/>
      <c r="BR170"/>
      <c r="BS170"/>
      <c r="BT170"/>
      <c r="BU170"/>
      <c r="BV170"/>
      <c r="BW170"/>
      <c r="BX170" s="12">
        <f t="shared" ref="BX170:CI170" si="265">BX166+SUM(BX168:BX169)</f>
        <v>0</v>
      </c>
      <c r="BY170" s="12">
        <f t="shared" si="265"/>
        <v>0</v>
      </c>
      <c r="BZ170" s="12">
        <f t="shared" si="265"/>
        <v>0</v>
      </c>
      <c r="CA170" s="12">
        <f t="shared" si="265"/>
        <v>0</v>
      </c>
      <c r="CB170" s="12">
        <f t="shared" si="265"/>
        <v>0</v>
      </c>
      <c r="CC170" s="12">
        <f t="shared" si="265"/>
        <v>0</v>
      </c>
      <c r="CD170" s="12">
        <f t="shared" si="265"/>
        <v>0</v>
      </c>
      <c r="CE170" s="12">
        <f t="shared" si="265"/>
        <v>0</v>
      </c>
      <c r="CF170" s="12">
        <f t="shared" si="265"/>
        <v>0</v>
      </c>
      <c r="CG170" s="12">
        <f t="shared" si="265"/>
        <v>0</v>
      </c>
      <c r="CH170" s="12">
        <f t="shared" si="265"/>
        <v>0</v>
      </c>
      <c r="CI170" s="12">
        <f t="shared" si="265"/>
        <v>0</v>
      </c>
      <c r="CK170" s="209"/>
      <c r="CL170" s="107"/>
      <c r="CM170" s="209"/>
      <c r="CP170" s="7">
        <f>IF(SUM($CT170:$CV170)=0, 0, 1)</f>
        <v>0</v>
      </c>
      <c r="CQ170" s="7">
        <f>IF(SUM($CW170:$CY170)=0, 0, 1)</f>
        <v>0</v>
      </c>
      <c r="CR170" s="7">
        <f>IF($CZ170=0, 0, 1)</f>
        <v>0</v>
      </c>
      <c r="CS170" s="209"/>
      <c r="CT170" s="215">
        <f t="shared" si="263"/>
        <v>0</v>
      </c>
      <c r="CU170" s="215">
        <f t="shared" si="263"/>
        <v>0</v>
      </c>
      <c r="CV170" s="215">
        <f t="shared" si="263"/>
        <v>0</v>
      </c>
      <c r="CW170" s="215">
        <f>ROUND($BY170-SUMIFS($AA170:$BJ170, $AA$3:$BJ$3, $BY$3), rounding)</f>
        <v>0</v>
      </c>
      <c r="CX170" s="215">
        <f>ROUND($BZ170-SUMIFS($AA170:$BJ170, $AA$3:$BJ$3, $BZ$3), rounding)</f>
        <v>0</v>
      </c>
      <c r="CY170" s="215">
        <f>ROUND($CA170-SUMIFS($AA170:$BJ170, $AA$3:$BJ$3, $CA$3), rounding)</f>
        <v>0</v>
      </c>
      <c r="CZ170" s="215">
        <f>ROUND($V170-$BX170, rounding)</f>
        <v>0</v>
      </c>
      <c r="DT170" s="209"/>
      <c r="DU170" s="5">
        <v>0</v>
      </c>
      <c r="DV170" s="5">
        <v>0</v>
      </c>
      <c r="DW170" s="209"/>
      <c r="DX170"/>
      <c r="DY170"/>
      <c r="DZ170"/>
      <c r="EA170"/>
      <c r="EB170"/>
      <c r="EC170"/>
      <c r="ED170"/>
      <c r="EE170"/>
      <c r="EF170"/>
      <c r="EG170"/>
      <c r="EH170"/>
      <c r="EI170"/>
      <c r="EJ170"/>
      <c r="EK170"/>
      <c r="EL170"/>
      <c r="EM170"/>
      <c r="EN170"/>
      <c r="EO170"/>
      <c r="EP170"/>
      <c r="EQ170"/>
      <c r="ER170"/>
      <c r="ES170"/>
      <c r="ET170"/>
      <c r="EU170"/>
      <c r="EV170"/>
      <c r="EW170"/>
      <c r="EX170"/>
      <c r="EY170" s="10" t="str">
        <f t="shared" si="236"/>
        <v>Total Comprehensive Income</v>
      </c>
    </row>
    <row r="171" spans="1:155" ht="8.25" customHeight="1" x14ac:dyDescent="0.35">
      <c r="C171" s="211"/>
      <c r="BY171" s="6"/>
      <c r="CK171" s="35"/>
      <c r="CM171" s="35"/>
      <c r="CS171" s="35"/>
      <c r="DT171" s="35"/>
      <c r="DU171">
        <v>0</v>
      </c>
      <c r="DV171">
        <v>0</v>
      </c>
      <c r="DW171" s="35"/>
      <c r="EY171" s="10" t="str">
        <f t="shared" si="236"/>
        <v/>
      </c>
    </row>
    <row r="172" spans="1:155" x14ac:dyDescent="0.35">
      <c r="A172" s="34"/>
      <c r="B172" s="34"/>
      <c r="C172" s="231"/>
      <c r="D172" s="34" t="s">
        <v>458</v>
      </c>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11"/>
      <c r="CM172" s="11"/>
      <c r="CS172" s="11"/>
      <c r="DT172" s="11"/>
      <c r="DU172">
        <v>0</v>
      </c>
      <c r="DV172">
        <v>0</v>
      </c>
      <c r="DW172" s="11"/>
      <c r="EY172" s="10" t="str">
        <f t="shared" si="236"/>
        <v/>
      </c>
    </row>
    <row r="173" spans="1:155" ht="8.25" customHeight="1" x14ac:dyDescent="0.35">
      <c r="C173" s="211"/>
      <c r="BY173" s="6"/>
      <c r="CK173" s="35"/>
      <c r="CM173" s="35"/>
      <c r="CS173" s="35"/>
      <c r="DT173" s="35"/>
      <c r="DU173">
        <v>0</v>
      </c>
      <c r="DV173">
        <v>0</v>
      </c>
      <c r="DW173" s="35"/>
      <c r="EY173" s="10" t="str">
        <f t="shared" si="236"/>
        <v/>
      </c>
    </row>
    <row r="174" spans="1:155" x14ac:dyDescent="0.35">
      <c r="A174" s="220" cm="1">
        <f t="array" aca="1" ref="A174" ca="1">HYPERLINK("#"&amp;IFERROR(CELL("address",IF(MAX($CM174:$CS174)=0,A174,INDEX($CM174:$CS174,MATCH(1,$CM174:$CS174,0)))),CELL("address",$V174:$CI174)),IFERROR(MAX($CM174:$CS174),1))</f>
        <v>0</v>
      </c>
      <c r="C174" s="308" t="str">
        <f>CONCATENATE("M-", 'I&amp;E Annual'!C174)</f>
        <v>M-IE-4</v>
      </c>
      <c r="D174" s="57" t="str">
        <f>D$146</f>
        <v>Surplus/(deficit) before ITDA</v>
      </c>
      <c r="H174" t="s">
        <v>317</v>
      </c>
      <c r="V174" s="10">
        <f>V$146</f>
        <v>0</v>
      </c>
      <c r="W174" s="133">
        <f>W$146</f>
        <v>0</v>
      </c>
      <c r="X174" s="133">
        <f>X$146</f>
        <v>0</v>
      </c>
      <c r="Y174" s="133">
        <f>Y$146</f>
        <v>0</v>
      </c>
      <c r="AA174" s="10">
        <f t="shared" ref="AA174:BJ174" si="266">AA$146</f>
        <v>0</v>
      </c>
      <c r="AB174" s="10">
        <f t="shared" si="266"/>
        <v>0</v>
      </c>
      <c r="AC174" s="10">
        <f t="shared" si="266"/>
        <v>0</v>
      </c>
      <c r="AD174" s="10">
        <f t="shared" si="266"/>
        <v>0</v>
      </c>
      <c r="AE174" s="10">
        <f t="shared" si="266"/>
        <v>0</v>
      </c>
      <c r="AF174" s="10">
        <f t="shared" si="266"/>
        <v>0</v>
      </c>
      <c r="AG174" s="10">
        <f t="shared" si="266"/>
        <v>0</v>
      </c>
      <c r="AH174" s="10">
        <f t="shared" si="266"/>
        <v>0</v>
      </c>
      <c r="AI174" s="10">
        <f t="shared" si="266"/>
        <v>0</v>
      </c>
      <c r="AJ174" s="10">
        <f t="shared" si="266"/>
        <v>0</v>
      </c>
      <c r="AK174" s="10">
        <f t="shared" si="266"/>
        <v>0</v>
      </c>
      <c r="AL174" s="10">
        <f t="shared" si="266"/>
        <v>0</v>
      </c>
      <c r="AM174" s="10">
        <f t="shared" si="266"/>
        <v>0</v>
      </c>
      <c r="AN174" s="10">
        <f t="shared" si="266"/>
        <v>0</v>
      </c>
      <c r="AO174" s="10">
        <f t="shared" si="266"/>
        <v>0</v>
      </c>
      <c r="AP174" s="10">
        <f t="shared" si="266"/>
        <v>0</v>
      </c>
      <c r="AQ174" s="10">
        <f t="shared" si="266"/>
        <v>0</v>
      </c>
      <c r="AR174" s="10">
        <f t="shared" si="266"/>
        <v>0</v>
      </c>
      <c r="AS174" s="10">
        <f t="shared" si="266"/>
        <v>0</v>
      </c>
      <c r="AT174" s="10">
        <f t="shared" si="266"/>
        <v>0</v>
      </c>
      <c r="AU174" s="10">
        <f t="shared" si="266"/>
        <v>0</v>
      </c>
      <c r="AV174" s="10">
        <f t="shared" si="266"/>
        <v>0</v>
      </c>
      <c r="AW174" s="10">
        <f t="shared" si="266"/>
        <v>0</v>
      </c>
      <c r="AX174" s="10">
        <f t="shared" si="266"/>
        <v>0</v>
      </c>
      <c r="AY174" s="10">
        <f t="shared" si="266"/>
        <v>0</v>
      </c>
      <c r="AZ174" s="10">
        <f t="shared" si="266"/>
        <v>0</v>
      </c>
      <c r="BA174" s="10">
        <f t="shared" si="266"/>
        <v>0</v>
      </c>
      <c r="BB174" s="10">
        <f t="shared" si="266"/>
        <v>0</v>
      </c>
      <c r="BC174" s="10">
        <f t="shared" si="266"/>
        <v>0</v>
      </c>
      <c r="BD174" s="10">
        <f t="shared" si="266"/>
        <v>0</v>
      </c>
      <c r="BE174" s="10">
        <f t="shared" si="266"/>
        <v>0</v>
      </c>
      <c r="BF174" s="10">
        <f t="shared" si="266"/>
        <v>0</v>
      </c>
      <c r="BG174" s="10">
        <f t="shared" si="266"/>
        <v>0</v>
      </c>
      <c r="BH174" s="10">
        <f t="shared" si="266"/>
        <v>0</v>
      </c>
      <c r="BI174" s="10">
        <f t="shared" si="266"/>
        <v>0</v>
      </c>
      <c r="BJ174" s="10">
        <f t="shared" si="266"/>
        <v>0</v>
      </c>
      <c r="BX174" s="10">
        <f t="shared" ref="BX174:CI174" si="267">BX$146</f>
        <v>0</v>
      </c>
      <c r="BY174" s="10">
        <f t="shared" si="267"/>
        <v>0</v>
      </c>
      <c r="BZ174" s="10">
        <f t="shared" si="267"/>
        <v>0</v>
      </c>
      <c r="CA174" s="10">
        <f t="shared" si="267"/>
        <v>0</v>
      </c>
      <c r="CB174" s="10">
        <f t="shared" si="267"/>
        <v>0</v>
      </c>
      <c r="CC174" s="10">
        <f t="shared" si="267"/>
        <v>0</v>
      </c>
      <c r="CD174" s="10">
        <f t="shared" si="267"/>
        <v>0</v>
      </c>
      <c r="CE174" s="10">
        <f t="shared" si="267"/>
        <v>0</v>
      </c>
      <c r="CF174" s="10">
        <f t="shared" si="267"/>
        <v>0</v>
      </c>
      <c r="CG174" s="10">
        <f t="shared" si="267"/>
        <v>0</v>
      </c>
      <c r="CH174" s="10">
        <f t="shared" si="267"/>
        <v>0</v>
      </c>
      <c r="CI174" s="10">
        <f t="shared" si="267"/>
        <v>0</v>
      </c>
      <c r="CK174" s="11"/>
      <c r="CM174" s="11"/>
      <c r="CP174" s="7">
        <f t="shared" ref="CP174:CP181" si="268">IF(SUM($CT174:$CV174)=0, 0, 1)</f>
        <v>0</v>
      </c>
      <c r="CQ174" s="7">
        <f t="shared" ref="CQ174:CQ181" si="269">IF(SUM($CW174:$CY174)=0, 0, 1)</f>
        <v>0</v>
      </c>
      <c r="CR174" s="7">
        <f t="shared" ref="CR174:CR181" si="270">IF($CZ174=0, 0, 1)</f>
        <v>0</v>
      </c>
      <c r="CS174" s="11"/>
      <c r="CT174" s="215">
        <f t="shared" ref="CT174:CV181" si="271">ROUND(W174-SUMIFS($AA174:$BJ174, $AA$3:$BJ$3, W$3), rounding)</f>
        <v>0</v>
      </c>
      <c r="CU174" s="215">
        <f t="shared" si="271"/>
        <v>0</v>
      </c>
      <c r="CV174" s="215">
        <f t="shared" si="271"/>
        <v>0</v>
      </c>
      <c r="CW174" s="215">
        <f t="shared" ref="CW174:CW181" si="272">ROUND($BY174-SUMIFS($AA174:$BJ174, $AA$3:$BJ$3, $BY$3), rounding)</f>
        <v>0</v>
      </c>
      <c r="CX174" s="215">
        <f t="shared" ref="CX174:CX181" si="273">ROUND($BZ174-SUMIFS($AA174:$BJ174, $AA$3:$BJ$3, $BZ$3), rounding)</f>
        <v>0</v>
      </c>
      <c r="CY174" s="215">
        <f t="shared" ref="CY174:CY181" si="274">ROUND($CA174-SUMIFS($AA174:$BJ174, $AA$3:$BJ$3, $CA$3), rounding)</f>
        <v>0</v>
      </c>
      <c r="CZ174" s="215">
        <f t="shared" ref="CZ174:CZ181" si="275">ROUND($V174-$BX174, rounding)</f>
        <v>0</v>
      </c>
      <c r="DT174" s="11"/>
      <c r="DU174">
        <v>0</v>
      </c>
      <c r="DV174">
        <v>0</v>
      </c>
      <c r="DW174" s="11"/>
      <c r="EY174" s="12" t="str">
        <f t="shared" ref="EY174:EY179" si="276">IF($C174="","",CONCATENATE(D$172, " ",$D174))</f>
        <v>Education-Specific EBITDA Surplus/(deficit) before ITDA</v>
      </c>
    </row>
    <row r="175" spans="1:155" x14ac:dyDescent="0.35">
      <c r="A175" s="220" cm="1">
        <f t="array" aca="1" ref="A175" ca="1">HYPERLINK("#"&amp;IFERROR(CELL("address",IF(MAX($CM175:$CS175)=0,A175,INDEX($CM175:$CS175,MATCH(1,$CM175:$CS175,0)))),CELL("address",$V175:$CI175)),IFERROR(MAX($CM175:$CS175),1))</f>
        <v>0</v>
      </c>
      <c r="C175" s="308" t="str">
        <f>CONCATENATE("M-", 'I&amp;E Annual'!C175)</f>
        <v>M-IE-1i</v>
      </c>
      <c r="D175" s="57" t="str">
        <f>D$96</f>
        <v>Total Funding Support</v>
      </c>
      <c r="H175" t="str">
        <f>H$96</f>
        <v>+ve/-ve (Cr/Dr)</v>
      </c>
      <c r="V175" s="10">
        <f>V$96</f>
        <v>0</v>
      </c>
      <c r="W175" s="133">
        <f>W$96</f>
        <v>0</v>
      </c>
      <c r="X175" s="133">
        <f>X$96</f>
        <v>0</v>
      </c>
      <c r="Y175" s="133">
        <f>Y$96</f>
        <v>0</v>
      </c>
      <c r="AA175" s="10">
        <f t="shared" ref="AA175:BJ175" si="277">AA$96</f>
        <v>0</v>
      </c>
      <c r="AB175" s="10">
        <f t="shared" si="277"/>
        <v>0</v>
      </c>
      <c r="AC175" s="10">
        <f t="shared" si="277"/>
        <v>0</v>
      </c>
      <c r="AD175" s="10">
        <f t="shared" si="277"/>
        <v>0</v>
      </c>
      <c r="AE175" s="10">
        <f t="shared" si="277"/>
        <v>0</v>
      </c>
      <c r="AF175" s="10">
        <f t="shared" si="277"/>
        <v>0</v>
      </c>
      <c r="AG175" s="10">
        <f t="shared" si="277"/>
        <v>0</v>
      </c>
      <c r="AH175" s="10">
        <f t="shared" si="277"/>
        <v>0</v>
      </c>
      <c r="AI175" s="10">
        <f t="shared" si="277"/>
        <v>0</v>
      </c>
      <c r="AJ175" s="10">
        <f t="shared" si="277"/>
        <v>0</v>
      </c>
      <c r="AK175" s="10">
        <f t="shared" si="277"/>
        <v>0</v>
      </c>
      <c r="AL175" s="10">
        <f t="shared" si="277"/>
        <v>0</v>
      </c>
      <c r="AM175" s="10">
        <f t="shared" si="277"/>
        <v>0</v>
      </c>
      <c r="AN175" s="10">
        <f t="shared" si="277"/>
        <v>0</v>
      </c>
      <c r="AO175" s="10">
        <f t="shared" si="277"/>
        <v>0</v>
      </c>
      <c r="AP175" s="10">
        <f t="shared" si="277"/>
        <v>0</v>
      </c>
      <c r="AQ175" s="10">
        <f t="shared" si="277"/>
        <v>0</v>
      </c>
      <c r="AR175" s="10">
        <f t="shared" si="277"/>
        <v>0</v>
      </c>
      <c r="AS175" s="10">
        <f t="shared" si="277"/>
        <v>0</v>
      </c>
      <c r="AT175" s="10">
        <f t="shared" si="277"/>
        <v>0</v>
      </c>
      <c r="AU175" s="10">
        <f t="shared" si="277"/>
        <v>0</v>
      </c>
      <c r="AV175" s="10">
        <f t="shared" si="277"/>
        <v>0</v>
      </c>
      <c r="AW175" s="10">
        <f t="shared" si="277"/>
        <v>0</v>
      </c>
      <c r="AX175" s="10">
        <f t="shared" si="277"/>
        <v>0</v>
      </c>
      <c r="AY175" s="10">
        <f t="shared" si="277"/>
        <v>0</v>
      </c>
      <c r="AZ175" s="10">
        <f t="shared" si="277"/>
        <v>0</v>
      </c>
      <c r="BA175" s="10">
        <f t="shared" si="277"/>
        <v>0</v>
      </c>
      <c r="BB175" s="10">
        <f t="shared" si="277"/>
        <v>0</v>
      </c>
      <c r="BC175" s="10">
        <f t="shared" si="277"/>
        <v>0</v>
      </c>
      <c r="BD175" s="10">
        <f t="shared" si="277"/>
        <v>0</v>
      </c>
      <c r="BE175" s="10">
        <f t="shared" si="277"/>
        <v>0</v>
      </c>
      <c r="BF175" s="10">
        <f t="shared" si="277"/>
        <v>0</v>
      </c>
      <c r="BG175" s="10">
        <f t="shared" si="277"/>
        <v>0</v>
      </c>
      <c r="BH175" s="10">
        <f t="shared" si="277"/>
        <v>0</v>
      </c>
      <c r="BI175" s="10">
        <f t="shared" si="277"/>
        <v>0</v>
      </c>
      <c r="BJ175" s="10">
        <f t="shared" si="277"/>
        <v>0</v>
      </c>
      <c r="BX175" s="10">
        <f t="shared" ref="BX175:CI175" si="278">BX$96</f>
        <v>0</v>
      </c>
      <c r="BY175" s="10">
        <f t="shared" si="278"/>
        <v>0</v>
      </c>
      <c r="BZ175" s="10">
        <f t="shared" si="278"/>
        <v>0</v>
      </c>
      <c r="CA175" s="10">
        <f t="shared" si="278"/>
        <v>0</v>
      </c>
      <c r="CB175" s="10">
        <f t="shared" si="278"/>
        <v>0</v>
      </c>
      <c r="CC175" s="10">
        <f t="shared" si="278"/>
        <v>0</v>
      </c>
      <c r="CD175" s="10">
        <f t="shared" si="278"/>
        <v>0</v>
      </c>
      <c r="CE175" s="10">
        <f t="shared" si="278"/>
        <v>0</v>
      </c>
      <c r="CF175" s="10">
        <f t="shared" si="278"/>
        <v>0</v>
      </c>
      <c r="CG175" s="10">
        <f t="shared" si="278"/>
        <v>0</v>
      </c>
      <c r="CH175" s="10">
        <f t="shared" si="278"/>
        <v>0</v>
      </c>
      <c r="CI175" s="10">
        <f t="shared" si="278"/>
        <v>0</v>
      </c>
      <c r="CK175" s="35"/>
      <c r="CM175" s="35"/>
      <c r="CP175" s="7">
        <f t="shared" si="268"/>
        <v>0</v>
      </c>
      <c r="CQ175" s="7">
        <f t="shared" si="269"/>
        <v>0</v>
      </c>
      <c r="CR175" s="7">
        <f t="shared" si="270"/>
        <v>0</v>
      </c>
      <c r="CS175" s="35"/>
      <c r="CT175" s="215">
        <f t="shared" si="271"/>
        <v>0</v>
      </c>
      <c r="CU175" s="215">
        <f t="shared" si="271"/>
        <v>0</v>
      </c>
      <c r="CV175" s="215">
        <f t="shared" si="271"/>
        <v>0</v>
      </c>
      <c r="CW175" s="215">
        <f t="shared" si="272"/>
        <v>0</v>
      </c>
      <c r="CX175" s="215">
        <f t="shared" si="273"/>
        <v>0</v>
      </c>
      <c r="CY175" s="215">
        <f t="shared" si="274"/>
        <v>0</v>
      </c>
      <c r="CZ175" s="215">
        <f t="shared" si="275"/>
        <v>0</v>
      </c>
      <c r="DT175" s="35"/>
      <c r="DU175">
        <v>0</v>
      </c>
      <c r="DV175">
        <v>0</v>
      </c>
      <c r="DW175" s="35"/>
      <c r="EY175" s="12" t="str">
        <f t="shared" si="276"/>
        <v>Education-Specific EBITDA Total Funding Support</v>
      </c>
    </row>
    <row r="176" spans="1:155" ht="29" x14ac:dyDescent="0.35">
      <c r="A176" s="220" cm="1">
        <f t="array" aca="1" ref="A176" ca="1">HYPERLINK("#"&amp;IFERROR(CELL("address",IF(MAX($CM176:$CS176)=0,A176,INDEX($CM176:$CS176,MATCH(1,$CM176:$CS176,0)))),CELL("address",$V176:$CI176)),IFERROR(MAX($CM176:$CS176),1))</f>
        <v>0</v>
      </c>
      <c r="C176" s="308" t="str">
        <f>CONCATENATE("M-", 'I&amp;E Annual'!C176)</f>
        <v>M-IE-2a-9</v>
      </c>
      <c r="D176" s="57" t="str">
        <f>D$113</f>
        <v>FRS102 adj. - LGPS and EPP current service costs (non-cash)</v>
      </c>
      <c r="H176" t="str">
        <f>H$113</f>
        <v>+ve/-ve (Dr/Cr)</v>
      </c>
      <c r="V176" s="10">
        <f>V$113</f>
        <v>0</v>
      </c>
      <c r="W176" s="133">
        <f>W$113</f>
        <v>0</v>
      </c>
      <c r="X176" s="133">
        <f>X$113</f>
        <v>0</v>
      </c>
      <c r="Y176" s="133">
        <f>Y$113</f>
        <v>0</v>
      </c>
      <c r="AA176" s="10">
        <f t="shared" ref="AA176:BJ176" si="279">AA$113</f>
        <v>0</v>
      </c>
      <c r="AB176" s="10">
        <f t="shared" si="279"/>
        <v>0</v>
      </c>
      <c r="AC176" s="10">
        <f t="shared" si="279"/>
        <v>0</v>
      </c>
      <c r="AD176" s="10">
        <f t="shared" si="279"/>
        <v>0</v>
      </c>
      <c r="AE176" s="10">
        <f t="shared" si="279"/>
        <v>0</v>
      </c>
      <c r="AF176" s="10">
        <f t="shared" si="279"/>
        <v>0</v>
      </c>
      <c r="AG176" s="10">
        <f t="shared" si="279"/>
        <v>0</v>
      </c>
      <c r="AH176" s="10">
        <f t="shared" si="279"/>
        <v>0</v>
      </c>
      <c r="AI176" s="10">
        <f t="shared" si="279"/>
        <v>0</v>
      </c>
      <c r="AJ176" s="10">
        <f t="shared" si="279"/>
        <v>0</v>
      </c>
      <c r="AK176" s="10">
        <f t="shared" si="279"/>
        <v>0</v>
      </c>
      <c r="AL176" s="10">
        <f t="shared" si="279"/>
        <v>0</v>
      </c>
      <c r="AM176" s="10">
        <f t="shared" si="279"/>
        <v>0</v>
      </c>
      <c r="AN176" s="10">
        <f t="shared" si="279"/>
        <v>0</v>
      </c>
      <c r="AO176" s="10">
        <f t="shared" si="279"/>
        <v>0</v>
      </c>
      <c r="AP176" s="10">
        <f t="shared" si="279"/>
        <v>0</v>
      </c>
      <c r="AQ176" s="10">
        <f t="shared" si="279"/>
        <v>0</v>
      </c>
      <c r="AR176" s="10">
        <f t="shared" si="279"/>
        <v>0</v>
      </c>
      <c r="AS176" s="10">
        <f t="shared" si="279"/>
        <v>0</v>
      </c>
      <c r="AT176" s="10">
        <f t="shared" si="279"/>
        <v>0</v>
      </c>
      <c r="AU176" s="10">
        <f t="shared" si="279"/>
        <v>0</v>
      </c>
      <c r="AV176" s="10">
        <f t="shared" si="279"/>
        <v>0</v>
      </c>
      <c r="AW176" s="10">
        <f t="shared" si="279"/>
        <v>0</v>
      </c>
      <c r="AX176" s="10">
        <f t="shared" si="279"/>
        <v>0</v>
      </c>
      <c r="AY176" s="10">
        <f t="shared" si="279"/>
        <v>0</v>
      </c>
      <c r="AZ176" s="10">
        <f t="shared" si="279"/>
        <v>0</v>
      </c>
      <c r="BA176" s="10">
        <f t="shared" si="279"/>
        <v>0</v>
      </c>
      <c r="BB176" s="10">
        <f t="shared" si="279"/>
        <v>0</v>
      </c>
      <c r="BC176" s="10">
        <f t="shared" si="279"/>
        <v>0</v>
      </c>
      <c r="BD176" s="10">
        <f t="shared" si="279"/>
        <v>0</v>
      </c>
      <c r="BE176" s="10">
        <f t="shared" si="279"/>
        <v>0</v>
      </c>
      <c r="BF176" s="10">
        <f t="shared" si="279"/>
        <v>0</v>
      </c>
      <c r="BG176" s="10">
        <f t="shared" si="279"/>
        <v>0</v>
      </c>
      <c r="BH176" s="10">
        <f t="shared" si="279"/>
        <v>0</v>
      </c>
      <c r="BI176" s="10">
        <f t="shared" si="279"/>
        <v>0</v>
      </c>
      <c r="BJ176" s="10">
        <f t="shared" si="279"/>
        <v>0</v>
      </c>
      <c r="BX176" s="10">
        <f t="shared" ref="BX176:CI176" si="280">BX$113</f>
        <v>0</v>
      </c>
      <c r="BY176" s="10">
        <f t="shared" si="280"/>
        <v>0</v>
      </c>
      <c r="BZ176" s="10">
        <f t="shared" si="280"/>
        <v>0</v>
      </c>
      <c r="CA176" s="10">
        <f t="shared" si="280"/>
        <v>0</v>
      </c>
      <c r="CB176" s="10">
        <f t="shared" si="280"/>
        <v>0</v>
      </c>
      <c r="CC176" s="10">
        <f t="shared" si="280"/>
        <v>0</v>
      </c>
      <c r="CD176" s="10">
        <f t="shared" si="280"/>
        <v>0</v>
      </c>
      <c r="CE176" s="10">
        <f t="shared" si="280"/>
        <v>0</v>
      </c>
      <c r="CF176" s="10">
        <f t="shared" si="280"/>
        <v>0</v>
      </c>
      <c r="CG176" s="10">
        <f t="shared" si="280"/>
        <v>0</v>
      </c>
      <c r="CH176" s="10">
        <f t="shared" si="280"/>
        <v>0</v>
      </c>
      <c r="CI176" s="10">
        <f t="shared" si="280"/>
        <v>0</v>
      </c>
      <c r="CK176" s="11"/>
      <c r="CM176" s="11"/>
      <c r="CP176" s="7">
        <f t="shared" si="268"/>
        <v>0</v>
      </c>
      <c r="CQ176" s="7">
        <f t="shared" si="269"/>
        <v>0</v>
      </c>
      <c r="CR176" s="7">
        <f t="shared" si="270"/>
        <v>0</v>
      </c>
      <c r="CS176" s="11"/>
      <c r="CT176" s="215">
        <f t="shared" si="271"/>
        <v>0</v>
      </c>
      <c r="CU176" s="215">
        <f t="shared" si="271"/>
        <v>0</v>
      </c>
      <c r="CV176" s="215">
        <f t="shared" si="271"/>
        <v>0</v>
      </c>
      <c r="CW176" s="215">
        <f t="shared" si="272"/>
        <v>0</v>
      </c>
      <c r="CX176" s="215">
        <f t="shared" si="273"/>
        <v>0</v>
      </c>
      <c r="CY176" s="215">
        <f t="shared" si="274"/>
        <v>0</v>
      </c>
      <c r="CZ176" s="215">
        <f t="shared" si="275"/>
        <v>0</v>
      </c>
      <c r="DT176" s="11"/>
      <c r="DU176">
        <v>0</v>
      </c>
      <c r="DV176">
        <v>0</v>
      </c>
      <c r="DW176" s="11"/>
      <c r="EY176" s="12" t="str">
        <f t="shared" si="276"/>
        <v>Education-Specific EBITDA FRS102 adj. - LGPS and EPP current service costs (non-cash)</v>
      </c>
    </row>
    <row r="177" spans="1:155" x14ac:dyDescent="0.35">
      <c r="A177" s="220" cm="1">
        <f t="array" aca="1" ref="A177" ca="1">HYPERLINK("#"&amp;IFERROR(CELL("address",IF(MAX($CM177:$CS177)=0,A177,INDEX($CM177:$CS177,MATCH(1,$CM177:$CS177,0)))),CELL("address",$V177:$CI177)),IFERROR(MAX($CM177:$CS177),1))</f>
        <v>0</v>
      </c>
      <c r="C177" s="308" t="str">
        <f>CONCATENATE("M-", 'I&amp;E Annual'!C177)</f>
        <v>M-IE-4a</v>
      </c>
      <c r="D177" s="57" t="str">
        <f>D$143</f>
        <v>Release of Capital Grants</v>
      </c>
      <c r="H177" t="str">
        <f>H$143</f>
        <v>+ve/-ve (Cr/Dr)</v>
      </c>
      <c r="V177" s="10">
        <f>V$143</f>
        <v>0</v>
      </c>
      <c r="W177" s="133">
        <f>W$143</f>
        <v>0</v>
      </c>
      <c r="X177" s="133">
        <f>X$143</f>
        <v>0</v>
      </c>
      <c r="Y177" s="133">
        <f>Y$143</f>
        <v>0</v>
      </c>
      <c r="AA177" s="10">
        <f t="shared" ref="AA177:BJ177" si="281">AA$143</f>
        <v>0</v>
      </c>
      <c r="AB177" s="10">
        <f t="shared" si="281"/>
        <v>0</v>
      </c>
      <c r="AC177" s="10">
        <f t="shared" si="281"/>
        <v>0</v>
      </c>
      <c r="AD177" s="10">
        <f t="shared" si="281"/>
        <v>0</v>
      </c>
      <c r="AE177" s="10">
        <f t="shared" si="281"/>
        <v>0</v>
      </c>
      <c r="AF177" s="10">
        <f t="shared" si="281"/>
        <v>0</v>
      </c>
      <c r="AG177" s="10">
        <f t="shared" si="281"/>
        <v>0</v>
      </c>
      <c r="AH177" s="10">
        <f t="shared" si="281"/>
        <v>0</v>
      </c>
      <c r="AI177" s="10">
        <f t="shared" si="281"/>
        <v>0</v>
      </c>
      <c r="AJ177" s="10">
        <f t="shared" si="281"/>
        <v>0</v>
      </c>
      <c r="AK177" s="10">
        <f t="shared" si="281"/>
        <v>0</v>
      </c>
      <c r="AL177" s="10">
        <f t="shared" si="281"/>
        <v>0</v>
      </c>
      <c r="AM177" s="10">
        <f t="shared" si="281"/>
        <v>0</v>
      </c>
      <c r="AN177" s="10">
        <f t="shared" si="281"/>
        <v>0</v>
      </c>
      <c r="AO177" s="10">
        <f t="shared" si="281"/>
        <v>0</v>
      </c>
      <c r="AP177" s="10">
        <f t="shared" si="281"/>
        <v>0</v>
      </c>
      <c r="AQ177" s="10">
        <f t="shared" si="281"/>
        <v>0</v>
      </c>
      <c r="AR177" s="10">
        <f t="shared" si="281"/>
        <v>0</v>
      </c>
      <c r="AS177" s="10">
        <f t="shared" si="281"/>
        <v>0</v>
      </c>
      <c r="AT177" s="10">
        <f t="shared" si="281"/>
        <v>0</v>
      </c>
      <c r="AU177" s="10">
        <f t="shared" si="281"/>
        <v>0</v>
      </c>
      <c r="AV177" s="10">
        <f t="shared" si="281"/>
        <v>0</v>
      </c>
      <c r="AW177" s="10">
        <f t="shared" si="281"/>
        <v>0</v>
      </c>
      <c r="AX177" s="10">
        <f t="shared" si="281"/>
        <v>0</v>
      </c>
      <c r="AY177" s="10">
        <f t="shared" si="281"/>
        <v>0</v>
      </c>
      <c r="AZ177" s="10">
        <f t="shared" si="281"/>
        <v>0</v>
      </c>
      <c r="BA177" s="10">
        <f t="shared" si="281"/>
        <v>0</v>
      </c>
      <c r="BB177" s="10">
        <f t="shared" si="281"/>
        <v>0</v>
      </c>
      <c r="BC177" s="10">
        <f t="shared" si="281"/>
        <v>0</v>
      </c>
      <c r="BD177" s="10">
        <f t="shared" si="281"/>
        <v>0</v>
      </c>
      <c r="BE177" s="10">
        <f t="shared" si="281"/>
        <v>0</v>
      </c>
      <c r="BF177" s="10">
        <f t="shared" si="281"/>
        <v>0</v>
      </c>
      <c r="BG177" s="10">
        <f t="shared" si="281"/>
        <v>0</v>
      </c>
      <c r="BH177" s="10">
        <f t="shared" si="281"/>
        <v>0</v>
      </c>
      <c r="BI177" s="10">
        <f t="shared" si="281"/>
        <v>0</v>
      </c>
      <c r="BJ177" s="10">
        <f t="shared" si="281"/>
        <v>0</v>
      </c>
      <c r="BX177" s="10">
        <f t="shared" ref="BX177:CI177" si="282">BX$143</f>
        <v>0</v>
      </c>
      <c r="BY177" s="10">
        <f t="shared" si="282"/>
        <v>0</v>
      </c>
      <c r="BZ177" s="10">
        <f t="shared" si="282"/>
        <v>0</v>
      </c>
      <c r="CA177" s="10">
        <f t="shared" si="282"/>
        <v>0</v>
      </c>
      <c r="CB177" s="10">
        <f t="shared" si="282"/>
        <v>0</v>
      </c>
      <c r="CC177" s="10">
        <f t="shared" si="282"/>
        <v>0</v>
      </c>
      <c r="CD177" s="10">
        <f t="shared" si="282"/>
        <v>0</v>
      </c>
      <c r="CE177" s="10">
        <f t="shared" si="282"/>
        <v>0</v>
      </c>
      <c r="CF177" s="10">
        <f t="shared" si="282"/>
        <v>0</v>
      </c>
      <c r="CG177" s="10">
        <f t="shared" si="282"/>
        <v>0</v>
      </c>
      <c r="CH177" s="10">
        <f t="shared" si="282"/>
        <v>0</v>
      </c>
      <c r="CI177" s="10">
        <f t="shared" si="282"/>
        <v>0</v>
      </c>
      <c r="CK177" s="35"/>
      <c r="CM177" s="35"/>
      <c r="CP177" s="7">
        <f t="shared" si="268"/>
        <v>0</v>
      </c>
      <c r="CQ177" s="7">
        <f t="shared" si="269"/>
        <v>0</v>
      </c>
      <c r="CR177" s="7">
        <f t="shared" si="270"/>
        <v>0</v>
      </c>
      <c r="CS177" s="35"/>
      <c r="CT177" s="215">
        <f t="shared" si="271"/>
        <v>0</v>
      </c>
      <c r="CU177" s="215">
        <f t="shared" si="271"/>
        <v>0</v>
      </c>
      <c r="CV177" s="215">
        <f t="shared" si="271"/>
        <v>0</v>
      </c>
      <c r="CW177" s="215">
        <f t="shared" si="272"/>
        <v>0</v>
      </c>
      <c r="CX177" s="215">
        <f t="shared" si="273"/>
        <v>0</v>
      </c>
      <c r="CY177" s="215">
        <f t="shared" si="274"/>
        <v>0</v>
      </c>
      <c r="CZ177" s="215">
        <f t="shared" si="275"/>
        <v>0</v>
      </c>
      <c r="DT177" s="35"/>
      <c r="DU177">
        <v>0</v>
      </c>
      <c r="DV177">
        <v>0</v>
      </c>
      <c r="DW177" s="35"/>
      <c r="EY177" s="12" t="str">
        <f t="shared" si="276"/>
        <v>Education-Specific EBITDA Release of Capital Grants</v>
      </c>
    </row>
    <row r="178" spans="1:155" x14ac:dyDescent="0.35">
      <c r="A178" s="220" cm="1">
        <f t="array" aca="1" ref="A178" ca="1">HYPERLINK("#"&amp;IFERROR(CELL("address",IF(MAX($CM178:$CS178)=0,A178,INDEX($CM178:$CS178,MATCH(1,$CM178:$CS178,0)))),CELL("address",$V178:$CI178)),IFERROR(MAX($CM178:$CS178),1))</f>
        <v>0</v>
      </c>
      <c r="C178" s="308" t="str">
        <f>CONCATENATE("M-", 'I&amp;E Annual'!C178)</f>
        <v>M-IE-4b</v>
      </c>
      <c r="D178" s="57" t="str">
        <f>D$144</f>
        <v>Movement in holiday pay accrual</v>
      </c>
      <c r="H178" t="str">
        <f>H$144</f>
        <v>+ve/-ve (Dr/Cr)</v>
      </c>
      <c r="V178" s="10">
        <f>V$144</f>
        <v>0</v>
      </c>
      <c r="W178" s="10">
        <f>W$144</f>
        <v>0</v>
      </c>
      <c r="X178" s="10">
        <f>X$144</f>
        <v>0</v>
      </c>
      <c r="Y178" s="10">
        <f>Y$144</f>
        <v>0</v>
      </c>
      <c r="AA178" s="10">
        <f t="shared" ref="AA178:BV178" si="283">AA$144</f>
        <v>0</v>
      </c>
      <c r="AB178" s="10">
        <f t="shared" si="283"/>
        <v>0</v>
      </c>
      <c r="AC178" s="10">
        <f t="shared" si="283"/>
        <v>0</v>
      </c>
      <c r="AD178" s="10">
        <f t="shared" si="283"/>
        <v>0</v>
      </c>
      <c r="AE178" s="10">
        <f t="shared" si="283"/>
        <v>0</v>
      </c>
      <c r="AF178" s="10">
        <f t="shared" si="283"/>
        <v>0</v>
      </c>
      <c r="AG178" s="10">
        <f t="shared" si="283"/>
        <v>0</v>
      </c>
      <c r="AH178" s="10">
        <f t="shared" si="283"/>
        <v>0</v>
      </c>
      <c r="AI178" s="10">
        <f t="shared" si="283"/>
        <v>0</v>
      </c>
      <c r="AJ178" s="10">
        <f t="shared" si="283"/>
        <v>0</v>
      </c>
      <c r="AK178" s="10">
        <f t="shared" si="283"/>
        <v>0</v>
      </c>
      <c r="AL178" s="10">
        <f t="shared" si="283"/>
        <v>0</v>
      </c>
      <c r="AM178" s="10">
        <f t="shared" si="283"/>
        <v>0</v>
      </c>
      <c r="AN178" s="10">
        <f t="shared" si="283"/>
        <v>0</v>
      </c>
      <c r="AO178" s="10">
        <f t="shared" si="283"/>
        <v>0</v>
      </c>
      <c r="AP178" s="10">
        <f t="shared" si="283"/>
        <v>0</v>
      </c>
      <c r="AQ178" s="10">
        <f t="shared" si="283"/>
        <v>0</v>
      </c>
      <c r="AR178" s="10">
        <f t="shared" si="283"/>
        <v>0</v>
      </c>
      <c r="AS178" s="10">
        <f t="shared" si="283"/>
        <v>0</v>
      </c>
      <c r="AT178" s="10">
        <f t="shared" si="283"/>
        <v>0</v>
      </c>
      <c r="AU178" s="10">
        <f t="shared" si="283"/>
        <v>0</v>
      </c>
      <c r="AV178" s="10">
        <f t="shared" si="283"/>
        <v>0</v>
      </c>
      <c r="AW178" s="10">
        <f t="shared" si="283"/>
        <v>0</v>
      </c>
      <c r="AX178" s="10">
        <f t="shared" si="283"/>
        <v>0</v>
      </c>
      <c r="AY178" s="10">
        <f t="shared" si="283"/>
        <v>0</v>
      </c>
      <c r="AZ178" s="10">
        <f t="shared" si="283"/>
        <v>0</v>
      </c>
      <c r="BA178" s="10">
        <f t="shared" si="283"/>
        <v>0</v>
      </c>
      <c r="BB178" s="10">
        <f t="shared" si="283"/>
        <v>0</v>
      </c>
      <c r="BC178" s="10">
        <f t="shared" si="283"/>
        <v>0</v>
      </c>
      <c r="BD178" s="10">
        <f t="shared" si="283"/>
        <v>0</v>
      </c>
      <c r="BE178" s="10">
        <f t="shared" si="283"/>
        <v>0</v>
      </c>
      <c r="BF178" s="10">
        <f t="shared" si="283"/>
        <v>0</v>
      </c>
      <c r="BG178" s="10">
        <f t="shared" si="283"/>
        <v>0</v>
      </c>
      <c r="BH178" s="10">
        <f t="shared" si="283"/>
        <v>0</v>
      </c>
      <c r="BI178" s="10">
        <f t="shared" si="283"/>
        <v>0</v>
      </c>
      <c r="BJ178" s="10">
        <f t="shared" si="283"/>
        <v>0</v>
      </c>
      <c r="BK178" s="10">
        <f t="shared" si="283"/>
        <v>0</v>
      </c>
      <c r="BL178" s="10">
        <f t="shared" si="283"/>
        <v>0</v>
      </c>
      <c r="BM178" s="10">
        <f t="shared" si="283"/>
        <v>0</v>
      </c>
      <c r="BN178" s="10">
        <f t="shared" si="283"/>
        <v>0</v>
      </c>
      <c r="BO178" s="10">
        <f t="shared" si="283"/>
        <v>0</v>
      </c>
      <c r="BP178" s="10">
        <f t="shared" si="283"/>
        <v>0</v>
      </c>
      <c r="BQ178" s="10">
        <f t="shared" si="283"/>
        <v>0</v>
      </c>
      <c r="BR178" s="10">
        <f t="shared" si="283"/>
        <v>0</v>
      </c>
      <c r="BS178" s="10">
        <f t="shared" si="283"/>
        <v>0</v>
      </c>
      <c r="BT178" s="10">
        <f t="shared" si="283"/>
        <v>0</v>
      </c>
      <c r="BU178" s="10">
        <f t="shared" si="283"/>
        <v>0</v>
      </c>
      <c r="BV178" s="10">
        <f t="shared" si="283"/>
        <v>0</v>
      </c>
      <c r="BX178" s="10">
        <f t="shared" ref="BX178:CI178" si="284">BX$144</f>
        <v>0</v>
      </c>
      <c r="BY178" s="10">
        <f t="shared" si="284"/>
        <v>0</v>
      </c>
      <c r="BZ178" s="10">
        <f t="shared" si="284"/>
        <v>0</v>
      </c>
      <c r="CA178" s="10">
        <f t="shared" si="284"/>
        <v>0</v>
      </c>
      <c r="CB178" s="10">
        <f t="shared" si="284"/>
        <v>0</v>
      </c>
      <c r="CC178" s="10">
        <f t="shared" si="284"/>
        <v>0</v>
      </c>
      <c r="CD178" s="10">
        <f t="shared" si="284"/>
        <v>0</v>
      </c>
      <c r="CE178" s="10">
        <f t="shared" si="284"/>
        <v>0</v>
      </c>
      <c r="CF178" s="10">
        <f t="shared" si="284"/>
        <v>0</v>
      </c>
      <c r="CG178" s="10">
        <f t="shared" si="284"/>
        <v>0</v>
      </c>
      <c r="CH178" s="10">
        <f t="shared" si="284"/>
        <v>0</v>
      </c>
      <c r="CI178" s="10">
        <f t="shared" si="284"/>
        <v>0</v>
      </c>
      <c r="CK178" s="35"/>
      <c r="CM178" s="35"/>
      <c r="CP178" s="7">
        <f t="shared" si="268"/>
        <v>0</v>
      </c>
      <c r="CQ178" s="7">
        <f t="shared" si="269"/>
        <v>0</v>
      </c>
      <c r="CR178" s="7">
        <f t="shared" si="270"/>
        <v>0</v>
      </c>
      <c r="CS178" s="35"/>
      <c r="CT178" s="215">
        <f t="shared" si="271"/>
        <v>0</v>
      </c>
      <c r="CU178" s="215">
        <f t="shared" si="271"/>
        <v>0</v>
      </c>
      <c r="CV178" s="215">
        <f t="shared" si="271"/>
        <v>0</v>
      </c>
      <c r="CW178" s="215">
        <f t="shared" si="272"/>
        <v>0</v>
      </c>
      <c r="CX178" s="215">
        <f t="shared" si="273"/>
        <v>0</v>
      </c>
      <c r="CY178" s="215">
        <f t="shared" si="274"/>
        <v>0</v>
      </c>
      <c r="CZ178" s="215">
        <f t="shared" si="275"/>
        <v>0</v>
      </c>
      <c r="DT178" s="35"/>
      <c r="DU178">
        <v>0</v>
      </c>
      <c r="DV178">
        <v>0</v>
      </c>
      <c r="DW178" s="35"/>
      <c r="EY178" s="12" t="str">
        <f t="shared" si="276"/>
        <v>Education-Specific EBITDA Movement in holiday pay accrual</v>
      </c>
    </row>
    <row r="179" spans="1:155" x14ac:dyDescent="0.35">
      <c r="A179" s="220" cm="1">
        <f t="array" aca="1" ref="A179" ca="1">HYPERLINK("#"&amp;IFERROR(CELL("address",IF(MAX($CM179:$CS179)=0,A179,INDEX($CM179:$CS179,MATCH(1,$CM179:$CS179,0)))),CELL("address",$V179:$CI179)),IFERROR(MAX($CM179:$CS179),1))</f>
        <v>0</v>
      </c>
      <c r="C179" s="308" t="str">
        <f>CONCATENATE("M-", 'I&amp;E Annual'!C179)</f>
        <v>M-IE-1j</v>
      </c>
      <c r="D179" s="57" t="str">
        <f>D$100</f>
        <v>Total gifts and donated assets</v>
      </c>
      <c r="H179" t="str">
        <f>H$100</f>
        <v>+ve/-ve (Cr/Dr)</v>
      </c>
      <c r="V179" s="10">
        <f>V$100</f>
        <v>0</v>
      </c>
      <c r="W179" s="133">
        <f>W$100</f>
        <v>0</v>
      </c>
      <c r="X179" s="133">
        <f>X$100</f>
        <v>0</v>
      </c>
      <c r="Y179" s="133">
        <f>Y$100</f>
        <v>0</v>
      </c>
      <c r="AA179" s="10">
        <f t="shared" ref="AA179:BJ179" si="285">AA$100</f>
        <v>0</v>
      </c>
      <c r="AB179" s="10">
        <f t="shared" si="285"/>
        <v>0</v>
      </c>
      <c r="AC179" s="10">
        <f t="shared" si="285"/>
        <v>0</v>
      </c>
      <c r="AD179" s="10">
        <f t="shared" si="285"/>
        <v>0</v>
      </c>
      <c r="AE179" s="10">
        <f t="shared" si="285"/>
        <v>0</v>
      </c>
      <c r="AF179" s="10">
        <f t="shared" si="285"/>
        <v>0</v>
      </c>
      <c r="AG179" s="10">
        <f t="shared" si="285"/>
        <v>0</v>
      </c>
      <c r="AH179" s="10">
        <f t="shared" si="285"/>
        <v>0</v>
      </c>
      <c r="AI179" s="10">
        <f t="shared" si="285"/>
        <v>0</v>
      </c>
      <c r="AJ179" s="10">
        <f t="shared" si="285"/>
        <v>0</v>
      </c>
      <c r="AK179" s="10">
        <f t="shared" si="285"/>
        <v>0</v>
      </c>
      <c r="AL179" s="10">
        <f t="shared" si="285"/>
        <v>0</v>
      </c>
      <c r="AM179" s="10">
        <f t="shared" si="285"/>
        <v>0</v>
      </c>
      <c r="AN179" s="10">
        <f t="shared" si="285"/>
        <v>0</v>
      </c>
      <c r="AO179" s="10">
        <f t="shared" si="285"/>
        <v>0</v>
      </c>
      <c r="AP179" s="10">
        <f t="shared" si="285"/>
        <v>0</v>
      </c>
      <c r="AQ179" s="10">
        <f t="shared" si="285"/>
        <v>0</v>
      </c>
      <c r="AR179" s="10">
        <f t="shared" si="285"/>
        <v>0</v>
      </c>
      <c r="AS179" s="10">
        <f t="shared" si="285"/>
        <v>0</v>
      </c>
      <c r="AT179" s="10">
        <f t="shared" si="285"/>
        <v>0</v>
      </c>
      <c r="AU179" s="10">
        <f t="shared" si="285"/>
        <v>0</v>
      </c>
      <c r="AV179" s="10">
        <f t="shared" si="285"/>
        <v>0</v>
      </c>
      <c r="AW179" s="10">
        <f t="shared" si="285"/>
        <v>0</v>
      </c>
      <c r="AX179" s="10">
        <f t="shared" si="285"/>
        <v>0</v>
      </c>
      <c r="AY179" s="10">
        <f t="shared" si="285"/>
        <v>0</v>
      </c>
      <c r="AZ179" s="10">
        <f t="shared" si="285"/>
        <v>0</v>
      </c>
      <c r="BA179" s="10">
        <f t="shared" si="285"/>
        <v>0</v>
      </c>
      <c r="BB179" s="10">
        <f t="shared" si="285"/>
        <v>0</v>
      </c>
      <c r="BC179" s="10">
        <f t="shared" si="285"/>
        <v>0</v>
      </c>
      <c r="BD179" s="10">
        <f t="shared" si="285"/>
        <v>0</v>
      </c>
      <c r="BE179" s="10">
        <f t="shared" si="285"/>
        <v>0</v>
      </c>
      <c r="BF179" s="10">
        <f t="shared" si="285"/>
        <v>0</v>
      </c>
      <c r="BG179" s="10">
        <f t="shared" si="285"/>
        <v>0</v>
      </c>
      <c r="BH179" s="10">
        <f t="shared" si="285"/>
        <v>0</v>
      </c>
      <c r="BI179" s="10">
        <f t="shared" si="285"/>
        <v>0</v>
      </c>
      <c r="BJ179" s="10">
        <f t="shared" si="285"/>
        <v>0</v>
      </c>
      <c r="BX179" s="10">
        <f t="shared" ref="BX179:CI179" si="286">BX$100</f>
        <v>0</v>
      </c>
      <c r="BY179" s="10">
        <f t="shared" si="286"/>
        <v>0</v>
      </c>
      <c r="BZ179" s="10">
        <f t="shared" si="286"/>
        <v>0</v>
      </c>
      <c r="CA179" s="10">
        <f t="shared" si="286"/>
        <v>0</v>
      </c>
      <c r="CB179" s="10">
        <f t="shared" si="286"/>
        <v>0</v>
      </c>
      <c r="CC179" s="10">
        <f t="shared" si="286"/>
        <v>0</v>
      </c>
      <c r="CD179" s="10">
        <f t="shared" si="286"/>
        <v>0</v>
      </c>
      <c r="CE179" s="10">
        <f t="shared" si="286"/>
        <v>0</v>
      </c>
      <c r="CF179" s="10">
        <f t="shared" si="286"/>
        <v>0</v>
      </c>
      <c r="CG179" s="10">
        <f t="shared" si="286"/>
        <v>0</v>
      </c>
      <c r="CH179" s="10">
        <f t="shared" si="286"/>
        <v>0</v>
      </c>
      <c r="CI179" s="10">
        <f t="shared" si="286"/>
        <v>0</v>
      </c>
      <c r="CK179" s="11"/>
      <c r="CM179" s="11"/>
      <c r="CP179" s="7">
        <f t="shared" si="268"/>
        <v>0</v>
      </c>
      <c r="CQ179" s="7">
        <f t="shared" si="269"/>
        <v>0</v>
      </c>
      <c r="CR179" s="7">
        <f t="shared" si="270"/>
        <v>0</v>
      </c>
      <c r="CS179" s="11"/>
      <c r="CT179" s="215">
        <f t="shared" si="271"/>
        <v>0</v>
      </c>
      <c r="CU179" s="215">
        <f t="shared" si="271"/>
        <v>0</v>
      </c>
      <c r="CV179" s="215">
        <f t="shared" si="271"/>
        <v>0</v>
      </c>
      <c r="CW179" s="215">
        <f t="shared" si="272"/>
        <v>0</v>
      </c>
      <c r="CX179" s="215">
        <f t="shared" si="273"/>
        <v>0</v>
      </c>
      <c r="CY179" s="215">
        <f t="shared" si="274"/>
        <v>0</v>
      </c>
      <c r="CZ179" s="215">
        <f t="shared" si="275"/>
        <v>0</v>
      </c>
      <c r="DT179" s="11"/>
      <c r="DU179">
        <v>0</v>
      </c>
      <c r="DV179">
        <v>0</v>
      </c>
      <c r="DW179" s="11"/>
      <c r="EY179" s="12" t="str">
        <f t="shared" si="276"/>
        <v>Education-Specific EBITDA Total gifts and donated assets</v>
      </c>
    </row>
    <row r="180" spans="1:155" ht="29" x14ac:dyDescent="0.35">
      <c r="A180" s="220" cm="1">
        <f t="array" aca="1" ref="A180" ca="1">HYPERLINK("#"&amp;IFERROR(CELL("address",IF(MAX($CM180:$CS180)=0,A180,INDEX($CM180:$CS180,MATCH(1,$CM180:$CS180,0)))),CELL("address",$V180:$CI180)),IFERROR(MAX($CM180:$CS180),1))</f>
        <v>0</v>
      </c>
      <c r="C180" s="211" t="str">
        <f>CONCATENATE("M-", 'I&amp;E Annual'!C180)</f>
        <v>M-IE-8a</v>
      </c>
      <c r="D180" s="574" t="s">
        <v>459</v>
      </c>
      <c r="H180" s="9" t="s">
        <v>403</v>
      </c>
      <c r="V180" s="109"/>
      <c r="W180" s="133">
        <f xml:space="preserve"> SUMIFS($AA180:$BJ180, $AA$3:$BJ$3, W$3)</f>
        <v>0</v>
      </c>
      <c r="X180" s="133">
        <f xml:space="preserve"> SUMIFS($AA180:$BJ180, $AA$3:$BJ$3, X$3)</f>
        <v>0</v>
      </c>
      <c r="Y180" s="133">
        <f xml:space="preserve"> SUMIFS($AA180:$BJ180, $AA$3:$BJ$3, Y$3)</f>
        <v>0</v>
      </c>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X180" s="10">
        <f>V180</f>
        <v>0</v>
      </c>
      <c r="BY180" s="10">
        <f>W180</f>
        <v>0</v>
      </c>
      <c r="BZ180" s="10">
        <f>X180</f>
        <v>0</v>
      </c>
      <c r="CA180" s="10">
        <f>Y180</f>
        <v>0</v>
      </c>
      <c r="CB180" s="109"/>
      <c r="CC180" s="109"/>
      <c r="CD180" s="109"/>
      <c r="CE180" s="109"/>
      <c r="CF180" s="109"/>
      <c r="CG180" s="109"/>
      <c r="CH180" s="109"/>
      <c r="CI180" s="109"/>
      <c r="CK180" s="35"/>
      <c r="CL180" s="241">
        <f>IF(MIN($V180:$CI180)&lt;0, 1, 0)</f>
        <v>0</v>
      </c>
      <c r="CM180" s="35"/>
      <c r="CO180" s="7" cm="1">
        <f t="array" ref="CO180">SUMPRODUCT(--NOT(ISNUMBER(V180:CI180)),--NOT(ISBLANK(V180:CI180)))</f>
        <v>0</v>
      </c>
      <c r="CP180" s="7">
        <f t="shared" si="268"/>
        <v>0</v>
      </c>
      <c r="CQ180" s="7">
        <f t="shared" si="269"/>
        <v>0</v>
      </c>
      <c r="CR180" s="7">
        <f t="shared" si="270"/>
        <v>0</v>
      </c>
      <c r="CS180" s="35"/>
      <c r="CT180" s="215">
        <f t="shared" si="271"/>
        <v>0</v>
      </c>
      <c r="CU180" s="215">
        <f t="shared" si="271"/>
        <v>0</v>
      </c>
      <c r="CV180" s="215">
        <f t="shared" si="271"/>
        <v>0</v>
      </c>
      <c r="CW180" s="215">
        <f t="shared" si="272"/>
        <v>0</v>
      </c>
      <c r="CX180" s="215">
        <f t="shared" si="273"/>
        <v>0</v>
      </c>
      <c r="CY180" s="215">
        <f t="shared" si="274"/>
        <v>0</v>
      </c>
      <c r="CZ180" s="215">
        <f t="shared" si="275"/>
        <v>0</v>
      </c>
      <c r="DT180" s="35"/>
      <c r="DU180" s="4">
        <v>1</v>
      </c>
      <c r="DV180">
        <v>1</v>
      </c>
      <c r="DW180" s="35"/>
      <c r="EY180" s="10" t="str">
        <f t="shared" ref="EY180:EY186" si="287">IF($C180="","",$D180)</f>
        <v>Emergency Funding and Other Government Support Related Expenditure</v>
      </c>
    </row>
    <row r="181" spans="1:155" x14ac:dyDescent="0.35">
      <c r="A181" s="220" cm="1">
        <f t="array" aca="1" ref="A181" ca="1">HYPERLINK("#"&amp;IFERROR(CELL("address",IF(MAX($CM181:$CS181)=0,A181,INDEX($CM181:$CS181,MATCH(1,$CM181:$CS181,0)))),CELL("address",$V181:$CI181)),IFERROR(MAX($CM181:$CS181),1))</f>
        <v>0</v>
      </c>
      <c r="C181" s="211" t="str">
        <f>CONCATENATE("M-", 'I&amp;E Annual'!C181)</f>
        <v>M-IE-8</v>
      </c>
      <c r="D181" s="61" t="s">
        <v>460</v>
      </c>
      <c r="E181" s="5"/>
      <c r="F181" s="5"/>
      <c r="G181" s="5"/>
      <c r="H181" s="5" t="s">
        <v>317</v>
      </c>
      <c r="V181" s="12">
        <f>V174-V175+V176-V177+V178-V179+V180</f>
        <v>0</v>
      </c>
      <c r="W181" s="12">
        <f>W174-W175+W176-W177+W178-W179+W180</f>
        <v>0</v>
      </c>
      <c r="X181" s="12">
        <f>X174-X175+X176-X177+X178-X179+X180</f>
        <v>0</v>
      </c>
      <c r="Y181" s="12">
        <f>Y174-Y175+Y176-Y177+Y178-Y179+Y180</f>
        <v>0</v>
      </c>
      <c r="AA181" s="12">
        <f t="shared" ref="AA181:BJ181" si="288">AA174-AA175+AA176-AA177+AA178-AA179+AA180</f>
        <v>0</v>
      </c>
      <c r="AB181" s="12">
        <f t="shared" si="288"/>
        <v>0</v>
      </c>
      <c r="AC181" s="12">
        <f t="shared" si="288"/>
        <v>0</v>
      </c>
      <c r="AD181" s="12">
        <f t="shared" si="288"/>
        <v>0</v>
      </c>
      <c r="AE181" s="12">
        <f t="shared" si="288"/>
        <v>0</v>
      </c>
      <c r="AF181" s="12">
        <f t="shared" si="288"/>
        <v>0</v>
      </c>
      <c r="AG181" s="12">
        <f t="shared" si="288"/>
        <v>0</v>
      </c>
      <c r="AH181" s="12">
        <f t="shared" si="288"/>
        <v>0</v>
      </c>
      <c r="AI181" s="12">
        <f t="shared" si="288"/>
        <v>0</v>
      </c>
      <c r="AJ181" s="12">
        <f t="shared" si="288"/>
        <v>0</v>
      </c>
      <c r="AK181" s="12">
        <f t="shared" si="288"/>
        <v>0</v>
      </c>
      <c r="AL181" s="12">
        <f t="shared" si="288"/>
        <v>0</v>
      </c>
      <c r="AM181" s="12">
        <f t="shared" si="288"/>
        <v>0</v>
      </c>
      <c r="AN181" s="12">
        <f t="shared" si="288"/>
        <v>0</v>
      </c>
      <c r="AO181" s="12">
        <f t="shared" si="288"/>
        <v>0</v>
      </c>
      <c r="AP181" s="12">
        <f t="shared" si="288"/>
        <v>0</v>
      </c>
      <c r="AQ181" s="12">
        <f t="shared" si="288"/>
        <v>0</v>
      </c>
      <c r="AR181" s="12">
        <f t="shared" si="288"/>
        <v>0</v>
      </c>
      <c r="AS181" s="12">
        <f t="shared" si="288"/>
        <v>0</v>
      </c>
      <c r="AT181" s="12">
        <f t="shared" si="288"/>
        <v>0</v>
      </c>
      <c r="AU181" s="12">
        <f t="shared" si="288"/>
        <v>0</v>
      </c>
      <c r="AV181" s="12">
        <f t="shared" si="288"/>
        <v>0</v>
      </c>
      <c r="AW181" s="12">
        <f t="shared" si="288"/>
        <v>0</v>
      </c>
      <c r="AX181" s="12">
        <f t="shared" si="288"/>
        <v>0</v>
      </c>
      <c r="AY181" s="12">
        <f t="shared" si="288"/>
        <v>0</v>
      </c>
      <c r="AZ181" s="12">
        <f t="shared" si="288"/>
        <v>0</v>
      </c>
      <c r="BA181" s="12">
        <f t="shared" si="288"/>
        <v>0</v>
      </c>
      <c r="BB181" s="12">
        <f t="shared" si="288"/>
        <v>0</v>
      </c>
      <c r="BC181" s="12">
        <f t="shared" si="288"/>
        <v>0</v>
      </c>
      <c r="BD181" s="12">
        <f t="shared" si="288"/>
        <v>0</v>
      </c>
      <c r="BE181" s="12">
        <f t="shared" si="288"/>
        <v>0</v>
      </c>
      <c r="BF181" s="12">
        <f t="shared" si="288"/>
        <v>0</v>
      </c>
      <c r="BG181" s="12">
        <f t="shared" si="288"/>
        <v>0</v>
      </c>
      <c r="BH181" s="12">
        <f t="shared" si="288"/>
        <v>0</v>
      </c>
      <c r="BI181" s="12">
        <f t="shared" si="288"/>
        <v>0</v>
      </c>
      <c r="BJ181" s="12">
        <f t="shared" si="288"/>
        <v>0</v>
      </c>
      <c r="BK181" s="12">
        <f t="shared" ref="BK181:BV181" si="289">BK174-BK175+BK176-BK177-BK178-BK179+BK180</f>
        <v>0</v>
      </c>
      <c r="BL181" s="12">
        <f t="shared" si="289"/>
        <v>0</v>
      </c>
      <c r="BM181" s="12">
        <f t="shared" si="289"/>
        <v>0</v>
      </c>
      <c r="BN181" s="12">
        <f t="shared" si="289"/>
        <v>0</v>
      </c>
      <c r="BO181" s="12">
        <f t="shared" si="289"/>
        <v>0</v>
      </c>
      <c r="BP181" s="12">
        <f t="shared" si="289"/>
        <v>0</v>
      </c>
      <c r="BQ181" s="12">
        <f t="shared" si="289"/>
        <v>0</v>
      </c>
      <c r="BR181" s="12">
        <f t="shared" si="289"/>
        <v>0</v>
      </c>
      <c r="BS181" s="12">
        <f t="shared" si="289"/>
        <v>0</v>
      </c>
      <c r="BT181" s="12">
        <f t="shared" si="289"/>
        <v>0</v>
      </c>
      <c r="BU181" s="12">
        <f t="shared" si="289"/>
        <v>0</v>
      </c>
      <c r="BV181" s="12">
        <f t="shared" si="289"/>
        <v>0</v>
      </c>
      <c r="BX181" s="12">
        <f t="shared" ref="BX181:CI181" si="290">BX174-BX175+BX176-BX177+BX178-BX179+BX180</f>
        <v>0</v>
      </c>
      <c r="BY181" s="12">
        <f t="shared" si="290"/>
        <v>0</v>
      </c>
      <c r="BZ181" s="12">
        <f t="shared" si="290"/>
        <v>0</v>
      </c>
      <c r="CA181" s="12">
        <f t="shared" si="290"/>
        <v>0</v>
      </c>
      <c r="CB181" s="12">
        <f t="shared" si="290"/>
        <v>0</v>
      </c>
      <c r="CC181" s="12">
        <f t="shared" si="290"/>
        <v>0</v>
      </c>
      <c r="CD181" s="12">
        <f t="shared" si="290"/>
        <v>0</v>
      </c>
      <c r="CE181" s="12">
        <f t="shared" si="290"/>
        <v>0</v>
      </c>
      <c r="CF181" s="12">
        <f t="shared" si="290"/>
        <v>0</v>
      </c>
      <c r="CG181" s="12">
        <f t="shared" si="290"/>
        <v>0</v>
      </c>
      <c r="CH181" s="12">
        <f t="shared" si="290"/>
        <v>0</v>
      </c>
      <c r="CI181" s="12">
        <f t="shared" si="290"/>
        <v>0</v>
      </c>
      <c r="CK181" s="11"/>
      <c r="CM181" s="11"/>
      <c r="CP181" s="7">
        <f t="shared" si="268"/>
        <v>0</v>
      </c>
      <c r="CQ181" s="7">
        <f t="shared" si="269"/>
        <v>0</v>
      </c>
      <c r="CR181" s="7">
        <f t="shared" si="270"/>
        <v>0</v>
      </c>
      <c r="CS181" s="11"/>
      <c r="CT181" s="215">
        <f t="shared" si="271"/>
        <v>0</v>
      </c>
      <c r="CU181" s="215">
        <f t="shared" si="271"/>
        <v>0</v>
      </c>
      <c r="CV181" s="215">
        <f t="shared" si="271"/>
        <v>0</v>
      </c>
      <c r="CW181" s="215">
        <f t="shared" si="272"/>
        <v>0</v>
      </c>
      <c r="CX181" s="215">
        <f t="shared" si="273"/>
        <v>0</v>
      </c>
      <c r="CY181" s="215">
        <f t="shared" si="274"/>
        <v>0</v>
      </c>
      <c r="CZ181" s="215">
        <f t="shared" si="275"/>
        <v>0</v>
      </c>
      <c r="DT181" s="11"/>
      <c r="DU181">
        <v>0</v>
      </c>
      <c r="DV181">
        <v>0</v>
      </c>
      <c r="DW181" s="11"/>
      <c r="EY181" s="10" t="str">
        <f t="shared" si="287"/>
        <v>Education-specific EBITDA</v>
      </c>
    </row>
    <row r="182" spans="1:155" ht="12" customHeight="1" x14ac:dyDescent="0.35">
      <c r="C182" s="213"/>
      <c r="BY182" s="6"/>
      <c r="CK182" s="35"/>
      <c r="CM182" s="35"/>
      <c r="CS182" s="35"/>
      <c r="DT182" s="35"/>
      <c r="DW182" s="35"/>
      <c r="EY182" s="10" t="str">
        <f t="shared" si="287"/>
        <v/>
      </c>
    </row>
    <row r="183" spans="1:155" s="5" customFormat="1" x14ac:dyDescent="0.35">
      <c r="A183"/>
      <c r="C183" s="232"/>
      <c r="D183" s="61" t="s">
        <v>461</v>
      </c>
      <c r="E183" t="s">
        <v>462</v>
      </c>
      <c r="R183"/>
      <c r="S183"/>
      <c r="T183"/>
      <c r="U183"/>
      <c r="V183" s="12">
        <f>1*(SUMIFS(V9:V181, $DU$9:$DU$181, 1)&lt;&gt;0)</f>
        <v>0</v>
      </c>
      <c r="W183" s="106"/>
      <c r="X183" s="106"/>
      <c r="Y183" s="106"/>
      <c r="Z183"/>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c r="BL183"/>
      <c r="BM183"/>
      <c r="BN183"/>
      <c r="BO183"/>
      <c r="BP183"/>
      <c r="BQ183"/>
      <c r="BR183"/>
      <c r="BS183"/>
      <c r="BT183"/>
      <c r="BU183"/>
      <c r="BV183"/>
      <c r="BW183"/>
      <c r="BX183" s="106"/>
      <c r="BY183" s="106"/>
      <c r="BZ183" s="106"/>
      <c r="CA183" s="106"/>
      <c r="CB183" s="12">
        <f t="shared" ref="CB183:CI183" si="291">1*(SUMIFS(CB9:CB181, $DV$9:$DV$181, 1)&lt;&gt;0)</f>
        <v>0</v>
      </c>
      <c r="CC183" s="12">
        <f t="shared" si="291"/>
        <v>0</v>
      </c>
      <c r="CD183" s="12">
        <f t="shared" si="291"/>
        <v>0</v>
      </c>
      <c r="CE183" s="12">
        <f t="shared" si="291"/>
        <v>0</v>
      </c>
      <c r="CF183" s="12">
        <f t="shared" si="291"/>
        <v>0</v>
      </c>
      <c r="CG183" s="12">
        <f t="shared" si="291"/>
        <v>0</v>
      </c>
      <c r="CH183" s="12">
        <f t="shared" si="291"/>
        <v>0</v>
      </c>
      <c r="CI183" s="12">
        <f t="shared" si="291"/>
        <v>0</v>
      </c>
      <c r="CK183" s="11"/>
      <c r="CL183" s="120"/>
      <c r="CM183" s="11"/>
      <c r="CN183"/>
      <c r="CO183"/>
      <c r="CP183"/>
      <c r="CQ183"/>
      <c r="CR183"/>
      <c r="CS183" s="11"/>
      <c r="DT183" s="11"/>
      <c r="DW183" s="11"/>
      <c r="DX183"/>
      <c r="DY183"/>
      <c r="DZ183"/>
      <c r="EA183"/>
      <c r="EB183"/>
      <c r="EC183"/>
      <c r="ED183"/>
      <c r="EE183"/>
      <c r="EF183"/>
      <c r="EG183"/>
      <c r="EH183"/>
      <c r="EI183"/>
      <c r="EJ183"/>
      <c r="EK183"/>
      <c r="EL183"/>
      <c r="EM183"/>
      <c r="EN183"/>
      <c r="EO183"/>
      <c r="EP183"/>
      <c r="EQ183"/>
      <c r="ER183"/>
      <c r="ES183"/>
      <c r="ET183"/>
      <c r="EU183"/>
      <c r="EV183"/>
      <c r="EW183"/>
      <c r="EX183"/>
      <c r="EY183" s="10" t="str">
        <f t="shared" si="287"/>
        <v/>
      </c>
    </row>
    <row r="184" spans="1:155" s="5" customFormat="1" x14ac:dyDescent="0.35">
      <c r="A184"/>
      <c r="B184" s="85" t="s">
        <v>122</v>
      </c>
      <c r="C184" s="232"/>
      <c r="D184" s="61" t="s">
        <v>463</v>
      </c>
      <c r="E184" s="38">
        <v>1</v>
      </c>
      <c r="R184"/>
      <c r="S184"/>
      <c r="T184"/>
      <c r="U184"/>
      <c r="V184" s="12">
        <f xml:space="preserve"> IF(V183=0, 0, 1)</f>
        <v>0</v>
      </c>
      <c r="W184" s="38">
        <f>$E184</f>
        <v>1</v>
      </c>
      <c r="X184" s="38">
        <f>$E184</f>
        <v>1</v>
      </c>
      <c r="Y184" s="38">
        <f>$E184</f>
        <v>1</v>
      </c>
      <c r="Z184"/>
      <c r="AA184" s="38">
        <f t="shared" ref="AA184:BJ184" si="292">$E184</f>
        <v>1</v>
      </c>
      <c r="AB184" s="38">
        <f t="shared" si="292"/>
        <v>1</v>
      </c>
      <c r="AC184" s="38">
        <f t="shared" si="292"/>
        <v>1</v>
      </c>
      <c r="AD184" s="38">
        <f t="shared" si="292"/>
        <v>1</v>
      </c>
      <c r="AE184" s="38">
        <f t="shared" si="292"/>
        <v>1</v>
      </c>
      <c r="AF184" s="38">
        <f t="shared" si="292"/>
        <v>1</v>
      </c>
      <c r="AG184" s="38">
        <f t="shared" si="292"/>
        <v>1</v>
      </c>
      <c r="AH184" s="38">
        <f t="shared" si="292"/>
        <v>1</v>
      </c>
      <c r="AI184" s="38">
        <f t="shared" si="292"/>
        <v>1</v>
      </c>
      <c r="AJ184" s="38">
        <f t="shared" si="292"/>
        <v>1</v>
      </c>
      <c r="AK184" s="38">
        <f t="shared" si="292"/>
        <v>1</v>
      </c>
      <c r="AL184" s="38">
        <f t="shared" si="292"/>
        <v>1</v>
      </c>
      <c r="AM184" s="38">
        <f t="shared" si="292"/>
        <v>1</v>
      </c>
      <c r="AN184" s="38">
        <f t="shared" si="292"/>
        <v>1</v>
      </c>
      <c r="AO184" s="38">
        <f t="shared" si="292"/>
        <v>1</v>
      </c>
      <c r="AP184" s="38">
        <f t="shared" si="292"/>
        <v>1</v>
      </c>
      <c r="AQ184" s="38">
        <f t="shared" si="292"/>
        <v>1</v>
      </c>
      <c r="AR184" s="38">
        <f t="shared" si="292"/>
        <v>1</v>
      </c>
      <c r="AS184" s="38">
        <f t="shared" si="292"/>
        <v>1</v>
      </c>
      <c r="AT184" s="38">
        <f t="shared" si="292"/>
        <v>1</v>
      </c>
      <c r="AU184" s="38">
        <f t="shared" si="292"/>
        <v>1</v>
      </c>
      <c r="AV184" s="38">
        <f t="shared" si="292"/>
        <v>1</v>
      </c>
      <c r="AW184" s="38">
        <f t="shared" si="292"/>
        <v>1</v>
      </c>
      <c r="AX184" s="38">
        <f t="shared" si="292"/>
        <v>1</v>
      </c>
      <c r="AY184" s="38">
        <f t="shared" si="292"/>
        <v>1</v>
      </c>
      <c r="AZ184" s="38">
        <f t="shared" si="292"/>
        <v>1</v>
      </c>
      <c r="BA184" s="38">
        <f t="shared" si="292"/>
        <v>1</v>
      </c>
      <c r="BB184" s="38">
        <f t="shared" si="292"/>
        <v>1</v>
      </c>
      <c r="BC184" s="38">
        <f t="shared" si="292"/>
        <v>1</v>
      </c>
      <c r="BD184" s="38">
        <f t="shared" si="292"/>
        <v>1</v>
      </c>
      <c r="BE184" s="38">
        <f t="shared" si="292"/>
        <v>1</v>
      </c>
      <c r="BF184" s="38">
        <f t="shared" si="292"/>
        <v>1</v>
      </c>
      <c r="BG184" s="38">
        <f t="shared" si="292"/>
        <v>1</v>
      </c>
      <c r="BH184" s="38">
        <f t="shared" si="292"/>
        <v>1</v>
      </c>
      <c r="BI184" s="38">
        <f t="shared" si="292"/>
        <v>1</v>
      </c>
      <c r="BJ184" s="38">
        <f t="shared" si="292"/>
        <v>1</v>
      </c>
      <c r="BK184"/>
      <c r="BL184"/>
      <c r="BM184"/>
      <c r="BN184"/>
      <c r="BO184"/>
      <c r="BP184"/>
      <c r="BQ184"/>
      <c r="BR184"/>
      <c r="BS184"/>
      <c r="BT184"/>
      <c r="BU184"/>
      <c r="BV184"/>
      <c r="BW184"/>
      <c r="BX184" s="10">
        <f>V184</f>
        <v>0</v>
      </c>
      <c r="BY184" s="10">
        <f>W184</f>
        <v>1</v>
      </c>
      <c r="BZ184" s="10">
        <f>X184</f>
        <v>1</v>
      </c>
      <c r="CA184" s="10">
        <f>Y184</f>
        <v>1</v>
      </c>
      <c r="CB184" s="12">
        <f t="shared" ref="CB184:CI184" si="293">IF(SUM($CB183:$CI183)=0, 0, 1)</f>
        <v>0</v>
      </c>
      <c r="CC184" s="12">
        <f t="shared" si="293"/>
        <v>0</v>
      </c>
      <c r="CD184" s="12">
        <f t="shared" si="293"/>
        <v>0</v>
      </c>
      <c r="CE184" s="12">
        <f t="shared" si="293"/>
        <v>0</v>
      </c>
      <c r="CF184" s="12">
        <f t="shared" si="293"/>
        <v>0</v>
      </c>
      <c r="CG184" s="12">
        <f t="shared" si="293"/>
        <v>0</v>
      </c>
      <c r="CH184" s="12">
        <f t="shared" si="293"/>
        <v>0</v>
      </c>
      <c r="CI184" s="12">
        <f t="shared" si="293"/>
        <v>0</v>
      </c>
      <c r="CK184" s="11"/>
      <c r="CL184" s="120"/>
      <c r="CM184" s="11"/>
      <c r="CN184"/>
      <c r="CO184"/>
      <c r="CP184"/>
      <c r="CQ184"/>
      <c r="CR184"/>
      <c r="CS184" s="11"/>
      <c r="CT184"/>
      <c r="CU184"/>
      <c r="CV184"/>
      <c r="CW184"/>
      <c r="CX184"/>
      <c r="CY184"/>
      <c r="CZ184"/>
      <c r="DT184" s="11"/>
      <c r="DW184" s="11"/>
      <c r="DX184"/>
      <c r="DY184"/>
      <c r="DZ184"/>
      <c r="EA184"/>
      <c r="EB184"/>
      <c r="EC184"/>
      <c r="ED184"/>
      <c r="EE184"/>
      <c r="EF184"/>
      <c r="EG184"/>
      <c r="EH184"/>
      <c r="EI184"/>
      <c r="EJ184"/>
      <c r="EK184"/>
      <c r="EL184"/>
      <c r="EM184"/>
      <c r="EN184"/>
      <c r="EO184"/>
      <c r="EP184"/>
      <c r="EQ184"/>
      <c r="ER184"/>
      <c r="ES184"/>
      <c r="ET184"/>
      <c r="EU184"/>
      <c r="EV184"/>
      <c r="EW184"/>
      <c r="EX184"/>
      <c r="EY184" s="10" t="str">
        <f t="shared" si="287"/>
        <v/>
      </c>
    </row>
    <row r="185" spans="1:155" ht="8.25" customHeight="1" x14ac:dyDescent="0.35">
      <c r="C185" s="211"/>
      <c r="BY185" s="6"/>
      <c r="CK185" s="35"/>
      <c r="CM185" s="35"/>
      <c r="CS185" s="35"/>
      <c r="DT185" s="35"/>
      <c r="DW185" s="35"/>
      <c r="EY185" s="10" t="str">
        <f t="shared" si="287"/>
        <v/>
      </c>
    </row>
    <row r="186" spans="1:155" x14ac:dyDescent="0.35">
      <c r="A186" s="11" t="s">
        <v>16</v>
      </c>
      <c r="B186" s="11" t="s">
        <v>16</v>
      </c>
      <c r="C186" s="251" t="s">
        <v>16</v>
      </c>
      <c r="D186" s="59" t="s">
        <v>16</v>
      </c>
      <c r="E186" s="11" t="s">
        <v>16</v>
      </c>
      <c r="F186" s="11" t="s">
        <v>16</v>
      </c>
      <c r="G186" s="11" t="s">
        <v>16</v>
      </c>
      <c r="H186" s="11" t="s">
        <v>16</v>
      </c>
      <c r="I186" s="11" t="s">
        <v>16</v>
      </c>
      <c r="J186" s="11" t="s">
        <v>16</v>
      </c>
      <c r="K186" s="11" t="s">
        <v>16</v>
      </c>
      <c r="L186" s="11" t="s">
        <v>16</v>
      </c>
      <c r="M186" s="11" t="s">
        <v>16</v>
      </c>
      <c r="N186" s="11" t="s">
        <v>16</v>
      </c>
      <c r="O186" s="11" t="s">
        <v>16</v>
      </c>
      <c r="P186" s="11" t="s">
        <v>16</v>
      </c>
      <c r="Q186" s="11" t="s">
        <v>16</v>
      </c>
      <c r="R186" s="11" t="s">
        <v>16</v>
      </c>
      <c r="S186" s="11"/>
      <c r="T186" s="11" t="s">
        <v>16</v>
      </c>
      <c r="U186" s="11" t="s">
        <v>16</v>
      </c>
      <c r="V186" s="11" t="s">
        <v>16</v>
      </c>
      <c r="W186" s="11" t="s">
        <v>16</v>
      </c>
      <c r="X186" s="11"/>
      <c r="Y186" s="11"/>
      <c r="Z186" s="11" t="s">
        <v>16</v>
      </c>
      <c r="AA186" s="11" t="s">
        <v>16</v>
      </c>
      <c r="AB186" s="11" t="s">
        <v>16</v>
      </c>
      <c r="AC186" s="11" t="s">
        <v>16</v>
      </c>
      <c r="AD186" s="11" t="s">
        <v>16</v>
      </c>
      <c r="AE186" s="11" t="s">
        <v>16</v>
      </c>
      <c r="AF186" s="11" t="s">
        <v>16</v>
      </c>
      <c r="AG186" s="11" t="s">
        <v>16</v>
      </c>
      <c r="AH186" s="11" t="s">
        <v>16</v>
      </c>
      <c r="AI186" s="11" t="s">
        <v>16</v>
      </c>
      <c r="AJ186" s="11" t="s">
        <v>16</v>
      </c>
      <c r="AK186" s="11" t="s">
        <v>16</v>
      </c>
      <c r="AL186" s="11" t="s">
        <v>16</v>
      </c>
      <c r="AM186" s="11" t="s">
        <v>16</v>
      </c>
      <c r="AN186" s="11" t="s">
        <v>16</v>
      </c>
      <c r="AO186" s="11" t="s">
        <v>16</v>
      </c>
      <c r="AP186" s="11" t="s">
        <v>16</v>
      </c>
      <c r="AQ186" s="11" t="s">
        <v>16</v>
      </c>
      <c r="AR186" s="11" t="s">
        <v>16</v>
      </c>
      <c r="AS186" s="11" t="s">
        <v>16</v>
      </c>
      <c r="AT186" s="11" t="s">
        <v>16</v>
      </c>
      <c r="AU186" s="11" t="s">
        <v>16</v>
      </c>
      <c r="AV186" s="11" t="s">
        <v>16</v>
      </c>
      <c r="AW186" s="11" t="s">
        <v>16</v>
      </c>
      <c r="AX186" s="11" t="s">
        <v>16</v>
      </c>
      <c r="AY186" s="11" t="s">
        <v>16</v>
      </c>
      <c r="AZ186" s="11" t="s">
        <v>16</v>
      </c>
      <c r="BA186" s="11" t="s">
        <v>16</v>
      </c>
      <c r="BB186" s="11" t="s">
        <v>16</v>
      </c>
      <c r="BC186" s="11" t="s">
        <v>16</v>
      </c>
      <c r="BD186" s="11" t="s">
        <v>16</v>
      </c>
      <c r="BE186" s="11" t="s">
        <v>16</v>
      </c>
      <c r="BF186" s="11" t="s">
        <v>16</v>
      </c>
      <c r="BG186" s="11" t="s">
        <v>16</v>
      </c>
      <c r="BH186" s="11" t="s">
        <v>16</v>
      </c>
      <c r="BI186" s="11" t="s">
        <v>16</v>
      </c>
      <c r="BJ186" s="11" t="s">
        <v>16</v>
      </c>
      <c r="BK186" s="11" t="s">
        <v>16</v>
      </c>
      <c r="BL186" s="11" t="s">
        <v>16</v>
      </c>
      <c r="BM186" s="11" t="s">
        <v>16</v>
      </c>
      <c r="BN186" s="11" t="s">
        <v>16</v>
      </c>
      <c r="BO186" s="11" t="s">
        <v>16</v>
      </c>
      <c r="BP186" s="11" t="s">
        <v>16</v>
      </c>
      <c r="BQ186" s="11" t="s">
        <v>16</v>
      </c>
      <c r="BR186" s="11" t="s">
        <v>16</v>
      </c>
      <c r="BS186" s="11" t="s">
        <v>16</v>
      </c>
      <c r="BT186" s="11" t="s">
        <v>16</v>
      </c>
      <c r="BU186" s="11" t="s">
        <v>16</v>
      </c>
      <c r="BV186" s="11" t="s">
        <v>16</v>
      </c>
      <c r="BW186" s="11" t="s">
        <v>16</v>
      </c>
      <c r="BX186" s="11" t="s">
        <v>16</v>
      </c>
      <c r="BY186" s="11" t="s">
        <v>16</v>
      </c>
      <c r="BZ186" s="11" t="s">
        <v>16</v>
      </c>
      <c r="CA186" s="11" t="s">
        <v>16</v>
      </c>
      <c r="CB186" s="11" t="s">
        <v>16</v>
      </c>
      <c r="CC186" s="11" t="s">
        <v>16</v>
      </c>
      <c r="CD186" s="11" t="s">
        <v>16</v>
      </c>
      <c r="CE186" s="11" t="s">
        <v>16</v>
      </c>
      <c r="CF186" s="11" t="s">
        <v>16</v>
      </c>
      <c r="CG186" s="11" t="s">
        <v>16</v>
      </c>
      <c r="CH186" s="11" t="s">
        <v>16</v>
      </c>
      <c r="CI186" s="11" t="s">
        <v>16</v>
      </c>
      <c r="CJ186" s="11" t="s">
        <v>16</v>
      </c>
      <c r="CK186" s="11" t="s">
        <v>16</v>
      </c>
      <c r="CL186" s="121" t="s">
        <v>16</v>
      </c>
      <c r="CM186" s="11" t="s">
        <v>16</v>
      </c>
      <c r="CN186" s="11" t="s">
        <v>16</v>
      </c>
      <c r="CO186" s="11"/>
      <c r="CP186" s="11"/>
      <c r="CQ186" s="11"/>
      <c r="CR186" s="11"/>
      <c r="CS186" s="11" t="s">
        <v>16</v>
      </c>
      <c r="CT186" s="11" t="s">
        <v>16</v>
      </c>
      <c r="CU186" s="11" t="s">
        <v>16</v>
      </c>
      <c r="CV186" s="11" t="s">
        <v>16</v>
      </c>
      <c r="CW186" s="11" t="s">
        <v>16</v>
      </c>
      <c r="CX186" s="11" t="s">
        <v>16</v>
      </c>
      <c r="CY186" s="11" t="s">
        <v>16</v>
      </c>
      <c r="CZ186" s="11" t="s">
        <v>16</v>
      </c>
      <c r="DA186" s="11" t="s">
        <v>16</v>
      </c>
      <c r="DB186" s="11" t="s">
        <v>16</v>
      </c>
      <c r="DC186" s="11" t="s">
        <v>16</v>
      </c>
      <c r="DD186" s="11" t="s">
        <v>16</v>
      </c>
      <c r="DE186" s="11" t="s">
        <v>16</v>
      </c>
      <c r="DF186" s="11" t="s">
        <v>16</v>
      </c>
      <c r="DG186" s="11" t="s">
        <v>16</v>
      </c>
      <c r="DH186" s="11" t="s">
        <v>16</v>
      </c>
      <c r="DI186" s="11" t="s">
        <v>16</v>
      </c>
      <c r="DJ186" s="11" t="s">
        <v>16</v>
      </c>
      <c r="DK186" s="11" t="s">
        <v>16</v>
      </c>
      <c r="DL186" s="11" t="s">
        <v>16</v>
      </c>
      <c r="DM186" s="11" t="s">
        <v>16</v>
      </c>
      <c r="DN186" s="11" t="s">
        <v>16</v>
      </c>
      <c r="DO186" s="11" t="s">
        <v>16</v>
      </c>
      <c r="DP186" s="11" t="s">
        <v>16</v>
      </c>
      <c r="DQ186" s="11" t="s">
        <v>16</v>
      </c>
      <c r="DR186" s="11" t="s">
        <v>16</v>
      </c>
      <c r="DS186" s="11" t="s">
        <v>16</v>
      </c>
      <c r="DT186" s="11" t="s">
        <v>16</v>
      </c>
      <c r="DU186" s="11" t="s">
        <v>16</v>
      </c>
      <c r="DV186" s="11" t="s">
        <v>16</v>
      </c>
      <c r="DW186" s="11" t="s">
        <v>16</v>
      </c>
      <c r="EY186" s="10" t="str">
        <f t="shared" si="287"/>
        <v>*</v>
      </c>
    </row>
  </sheetData>
  <sheetProtection algorithmName="SHA-512" hashValue="5lv6l9uWUu9bizioim04FhyxilFUe2vq3P6ucNmHnP+2wD3ghwhk3L6NKoaODUdAZlrVQi0t4+nGxp3jTIjtpA==" saltValue="RI8LqGNgfxWTI71lGkDywg==" spinCount="100000" sheet="1" objects="1" scenarios="1"/>
  <mergeCells count="36">
    <mergeCell ref="CN2:CN6"/>
    <mergeCell ref="DM3:DM6"/>
    <mergeCell ref="DN3:DN6"/>
    <mergeCell ref="DO3:DO6"/>
    <mergeCell ref="DP3:DP6"/>
    <mergeCell ref="DH3:DH6"/>
    <mergeCell ref="DI3:DI6"/>
    <mergeCell ref="DJ3:DJ6"/>
    <mergeCell ref="DK3:DK6"/>
    <mergeCell ref="DL3:DL6"/>
    <mergeCell ref="DD3:DD6"/>
    <mergeCell ref="DE3:DE6"/>
    <mergeCell ref="DF3:DF6"/>
    <mergeCell ref="DC3:DC6"/>
    <mergeCell ref="CO2:CO6"/>
    <mergeCell ref="DW1:DW6"/>
    <mergeCell ref="DU2:DU6"/>
    <mergeCell ref="DV2:DV6"/>
    <mergeCell ref="DR3:DR6"/>
    <mergeCell ref="DS3:DS6"/>
    <mergeCell ref="DQ3:DQ6"/>
    <mergeCell ref="CQ2:CQ6"/>
    <mergeCell ref="CR2:CR6"/>
    <mergeCell ref="CK1:CK6"/>
    <mergeCell ref="DT1:DT6"/>
    <mergeCell ref="CM1:CM6"/>
    <mergeCell ref="CS1:CS6"/>
    <mergeCell ref="CT2:CT6"/>
    <mergeCell ref="CU2:CU6"/>
    <mergeCell ref="CV2:CV6"/>
    <mergeCell ref="CW2:CW6"/>
    <mergeCell ref="CX2:CX6"/>
    <mergeCell ref="CY2:CY6"/>
    <mergeCell ref="CZ2:CZ6"/>
    <mergeCell ref="DA2:DA6"/>
    <mergeCell ref="CP2:CP6"/>
  </mergeCells>
  <phoneticPr fontId="9" type="noConversion"/>
  <conditionalFormatting sqref="A1:A2 A64:A74 A88:A90 A117:A132">
    <cfRule type="cellIs" dxfId="209" priority="565" operator="greaterThan">
      <formula>0</formula>
    </cfRule>
    <cfRule type="cellIs" dxfId="208" priority="564" operator="equal">
      <formula>0</formula>
    </cfRule>
  </conditionalFormatting>
  <conditionalFormatting sqref="A7">
    <cfRule type="cellIs" dxfId="207" priority="30" operator="equal">
      <formula>0</formula>
    </cfRule>
    <cfRule type="cellIs" dxfId="206" priority="31" operator="greaterThan">
      <formula>0</formula>
    </cfRule>
  </conditionalFormatting>
  <conditionalFormatting sqref="A11:A14">
    <cfRule type="cellIs" dxfId="205" priority="84" operator="equal">
      <formula>0</formula>
    </cfRule>
    <cfRule type="cellIs" dxfId="204" priority="85" operator="greaterThan">
      <formula>0</formula>
    </cfRule>
  </conditionalFormatting>
  <conditionalFormatting sqref="A17:A24">
    <cfRule type="cellIs" dxfId="203" priority="82" operator="equal">
      <formula>0</formula>
    </cfRule>
    <cfRule type="cellIs" dxfId="202" priority="83" operator="greaterThan">
      <formula>0</formula>
    </cfRule>
  </conditionalFormatting>
  <conditionalFormatting sqref="A27:A30">
    <cfRule type="cellIs" dxfId="201" priority="80" operator="equal">
      <formula>0</formula>
    </cfRule>
    <cfRule type="cellIs" dxfId="200" priority="81" operator="greaterThan">
      <formula>0</formula>
    </cfRule>
  </conditionalFormatting>
  <conditionalFormatting sqref="A33:A39">
    <cfRule type="cellIs" dxfId="199" priority="78" operator="equal">
      <formula>0</formula>
    </cfRule>
    <cfRule type="cellIs" dxfId="198" priority="79" operator="greaterThan">
      <formula>0</formula>
    </cfRule>
  </conditionalFormatting>
  <conditionalFormatting sqref="A42:A47">
    <cfRule type="cellIs" dxfId="197" priority="77" operator="greaterThan">
      <formula>0</formula>
    </cfRule>
    <cfRule type="cellIs" dxfId="196" priority="76" operator="equal">
      <formula>0</formula>
    </cfRule>
  </conditionalFormatting>
  <conditionalFormatting sqref="A50:A54">
    <cfRule type="cellIs" dxfId="195" priority="75" operator="greaterThan">
      <formula>0</formula>
    </cfRule>
    <cfRule type="cellIs" dxfId="194" priority="74" operator="equal">
      <formula>0</formula>
    </cfRule>
  </conditionalFormatting>
  <conditionalFormatting sqref="A57:A61">
    <cfRule type="cellIs" dxfId="193" priority="73" operator="greaterThan">
      <formula>0</formula>
    </cfRule>
    <cfRule type="cellIs" dxfId="192" priority="72" operator="equal">
      <formula>0</formula>
    </cfRule>
  </conditionalFormatting>
  <conditionalFormatting sqref="A77:A85">
    <cfRule type="cellIs" dxfId="191" priority="71" operator="greaterThan">
      <formula>0</formula>
    </cfRule>
    <cfRule type="cellIs" dxfId="190" priority="70" operator="equal">
      <formula>0</formula>
    </cfRule>
  </conditionalFormatting>
  <conditionalFormatting sqref="A93:A96">
    <cfRule type="cellIs" dxfId="189" priority="66" operator="equal">
      <formula>0</formula>
    </cfRule>
    <cfRule type="cellIs" dxfId="188" priority="67" operator="greaterThan">
      <formula>0</formula>
    </cfRule>
  </conditionalFormatting>
  <conditionalFormatting sqref="A98:A100">
    <cfRule type="cellIs" dxfId="187" priority="65" operator="greaterThan">
      <formula>0</formula>
    </cfRule>
    <cfRule type="cellIs" dxfId="186" priority="64" operator="equal">
      <formula>0</formula>
    </cfRule>
  </conditionalFormatting>
  <conditionalFormatting sqref="A102">
    <cfRule type="cellIs" dxfId="185" priority="62" operator="equal">
      <formula>0</formula>
    </cfRule>
    <cfRule type="cellIs" dxfId="184" priority="63" operator="greaterThan">
      <formula>0</formula>
    </cfRule>
  </conditionalFormatting>
  <conditionalFormatting sqref="A105:A114">
    <cfRule type="cellIs" dxfId="183" priority="60" operator="equal">
      <formula>0</formula>
    </cfRule>
    <cfRule type="cellIs" dxfId="182" priority="61" operator="greaterThan">
      <formula>0</formula>
    </cfRule>
  </conditionalFormatting>
  <conditionalFormatting sqref="A135:A137">
    <cfRule type="cellIs" dxfId="181" priority="56" operator="equal">
      <formula>0</formula>
    </cfRule>
    <cfRule type="cellIs" dxfId="180" priority="57" operator="greaterThan">
      <formula>0</formula>
    </cfRule>
  </conditionalFormatting>
  <conditionalFormatting sqref="A139">
    <cfRule type="cellIs" dxfId="179" priority="55" operator="greaterThan">
      <formula>0</formula>
    </cfRule>
    <cfRule type="cellIs" dxfId="178" priority="54" operator="equal">
      <formula>0</formula>
    </cfRule>
  </conditionalFormatting>
  <conditionalFormatting sqref="A141">
    <cfRule type="cellIs" dxfId="177" priority="53" operator="greaterThan">
      <formula>0</formula>
    </cfRule>
    <cfRule type="cellIs" dxfId="176" priority="52" operator="equal">
      <formula>0</formula>
    </cfRule>
  </conditionalFormatting>
  <conditionalFormatting sqref="A143:A144">
    <cfRule type="cellIs" dxfId="175" priority="50" operator="equal">
      <formula>0</formula>
    </cfRule>
    <cfRule type="cellIs" dxfId="174" priority="51" operator="greaterThan">
      <formula>0</formula>
    </cfRule>
  </conditionalFormatting>
  <conditionalFormatting sqref="A146">
    <cfRule type="cellIs" dxfId="173" priority="48" operator="equal">
      <formula>0</formula>
    </cfRule>
    <cfRule type="cellIs" dxfId="172" priority="49" operator="greaterThan">
      <formula>0</formula>
    </cfRule>
  </conditionalFormatting>
  <conditionalFormatting sqref="A149:A154">
    <cfRule type="cellIs" dxfId="171" priority="46" operator="equal">
      <formula>0</formula>
    </cfRule>
    <cfRule type="cellIs" dxfId="170" priority="47" operator="greaterThan">
      <formula>0</formula>
    </cfRule>
  </conditionalFormatting>
  <conditionalFormatting sqref="A156">
    <cfRule type="cellIs" dxfId="169" priority="44" operator="equal">
      <formula>0</formula>
    </cfRule>
    <cfRule type="cellIs" dxfId="168" priority="45" operator="greaterThan">
      <formula>0</formula>
    </cfRule>
  </conditionalFormatting>
  <conditionalFormatting sqref="A159:A164">
    <cfRule type="cellIs" dxfId="167" priority="43" operator="greaterThan">
      <formula>0</formula>
    </cfRule>
    <cfRule type="cellIs" dxfId="166" priority="42" operator="equal">
      <formula>0</formula>
    </cfRule>
  </conditionalFormatting>
  <conditionalFormatting sqref="A166">
    <cfRule type="cellIs" dxfId="165" priority="41" operator="greaterThan">
      <formula>0</formula>
    </cfRule>
    <cfRule type="cellIs" dxfId="164" priority="40" operator="equal">
      <formula>0</formula>
    </cfRule>
  </conditionalFormatting>
  <conditionalFormatting sqref="A174:A181">
    <cfRule type="cellIs" dxfId="163" priority="37" operator="greaterThan">
      <formula>0</formula>
    </cfRule>
    <cfRule type="cellIs" dxfId="162" priority="36" operator="equal">
      <formula>0</formula>
    </cfRule>
  </conditionalFormatting>
  <conditionalFormatting sqref="AA1:BI6 AA7:AE8 AJ7:BI8 AA9:BI10 AA11:AG12 AJ11:BI12 AA13:BI13 AA14:AG14 AJ14:BI14 AA15:BI16 AA17:AG22 AJ17:BI22 AA23:BI23 AA24:AG24 AJ24:BI24 AA25:BI26 AA27:AG28 AJ27:BI28 AA29:BI29 AA30:AG30 AJ30:BI30 AA31:BI32 AA33:AG37 AJ33:BI37 AA38:BI38 AA39:AG39 AJ39:BI39 AA40:BI41 AA42:AG45 AJ42:BI45 AA46:BI46 AA47:AG47 AJ47:BI47 AA48:BI49 AA50:AG52 AJ50:BI52 AA53:BI53 AA54:AG54 AJ54:BI54 AA55:BI63 AA64:AG73 AJ64:BI73 AA74:BI76 AA77:AG84 AJ77:BI84 AA85:BI87 AA88:AG89 AJ88:BI89 AA90:BI92 AA93:AG95 AJ93:BI95 AA96:BI97 AA98:AG98 AJ98:BI98 AA99:BI101 AA103:BI104 AA105:AG112 AJ105:BI112 AA113:BI116 AA117:AG125 AJ117:BI125 AA127:AG130 AJ127:BI130 AA131:BI131 AA132:BJ132 AA133:BI134 AA135:AG135 AJ135:BI135 AA136:BI149 AA150:AG150 AJ150:BI150 AA151:BI152 AA153:AG153 AJ153:BI153 AA154:BI161 AA162:AG163 AJ162:BI163 AA164:BI167 AA171:BI179 AA180:AG180 AJ180:BI180 AA181:BI186">
    <cfRule type="expression" dxfId="157" priority="227">
      <formula>AND(AA$4=0,AB$4=1)</formula>
    </cfRule>
  </conditionalFormatting>
  <conditionalFormatting sqref="AF7:AI7">
    <cfRule type="cellIs" dxfId="156" priority="28" operator="greaterThan">
      <formula>0</formula>
    </cfRule>
    <cfRule type="cellIs" dxfId="155" priority="27" operator="equal">
      <formula>0</formula>
    </cfRule>
  </conditionalFormatting>
  <conditionalFormatting sqref="AF8:AI8">
    <cfRule type="expression" dxfId="154" priority="26">
      <formula>AND(AF$4=0,AG$4=1)</formula>
    </cfRule>
  </conditionalFormatting>
  <conditionalFormatting sqref="BJ1:BJ12 BJ14:BJ28 BJ30:BJ52 BJ75 BJ77:BJ84 BJ86:BJ89 BJ91 BJ93:BJ95 BJ97:BJ98 BJ105:BJ112 BJ114:BJ125 BJ127:BJ130 BJ133:BJ135 BJ137:BJ138 BJ140 BJ142 BJ145 BJ147:BJ148 BJ150 BJ153 BJ155 BJ157:BJ158 BJ162:BJ163 BJ166 BJ171 BJ173:BJ177 BJ179:BJ180 BJ182 BJ185">
    <cfRule type="expression" dxfId="153" priority="3391">
      <formula>AND(BJ$4=0,BW$4=1)</formula>
    </cfRule>
  </conditionalFormatting>
  <conditionalFormatting sqref="BJ54:BJ73">
    <cfRule type="expression" dxfId="150" priority="12">
      <formula>AND(BJ$4=0,BW$4=1)</formula>
    </cfRule>
  </conditionalFormatting>
  <conditionalFormatting sqref="BX23:CI23">
    <cfRule type="expression" dxfId="145" priority="1511">
      <formula>AND(BX$4=0,BY$4=1)</formula>
    </cfRule>
  </conditionalFormatting>
  <conditionalFormatting sqref="CL2 CT11:CZ74 CP64:CR74 CT77:CZ164">
    <cfRule type="cellIs" dxfId="144" priority="561" operator="equal">
      <formula>0</formula>
    </cfRule>
  </conditionalFormatting>
  <conditionalFormatting sqref="CL11:CL14">
    <cfRule type="cellIs" dxfId="143" priority="550" operator="greaterThan">
      <formula>0</formula>
    </cfRule>
  </conditionalFormatting>
  <conditionalFormatting sqref="CL13:CL14 CT11:CZ74 CT77:CZ164">
    <cfRule type="cellIs" dxfId="142" priority="553" operator="greaterThan">
      <formula>0</formula>
    </cfRule>
  </conditionalFormatting>
  <conditionalFormatting sqref="CL17:CL21">
    <cfRule type="cellIs" dxfId="141" priority="549" operator="greaterThan">
      <formula>0</formula>
    </cfRule>
  </conditionalFormatting>
  <conditionalFormatting sqref="CL17:CL24">
    <cfRule type="cellIs" dxfId="140" priority="534" operator="greaterThan">
      <formula>0</formula>
    </cfRule>
  </conditionalFormatting>
  <conditionalFormatting sqref="CL23:CL24">
    <cfRule type="cellIs" dxfId="139" priority="537" operator="greaterThan">
      <formula>0</formula>
    </cfRule>
  </conditionalFormatting>
  <conditionalFormatting sqref="CL27:CL54">
    <cfRule type="cellIs" dxfId="138" priority="482" operator="greaterThan">
      <formula>0</formula>
    </cfRule>
    <cfRule type="cellIs" dxfId="137" priority="485" operator="greaterThan">
      <formula>0</formula>
    </cfRule>
  </conditionalFormatting>
  <conditionalFormatting sqref="CL50:CL54">
    <cfRule type="cellIs" dxfId="136" priority="483" operator="equal">
      <formula>0</formula>
    </cfRule>
  </conditionalFormatting>
  <conditionalFormatting sqref="CL57:CL61 CL64:CL74">
    <cfRule type="cellIs" dxfId="135" priority="266" operator="greaterThan">
      <formula>0</formula>
    </cfRule>
    <cfRule type="cellIs" dxfId="134" priority="263" operator="greaterThan">
      <formula>0</formula>
    </cfRule>
    <cfRule type="cellIs" dxfId="133" priority="264" operator="equal">
      <formula>0</formula>
    </cfRule>
  </conditionalFormatting>
  <conditionalFormatting sqref="CL70 CN47 DC47:DF47 DH47:DS47">
    <cfRule type="cellIs" dxfId="132" priority="1523" operator="greaterThan">
      <formula>0</formula>
    </cfRule>
  </conditionalFormatting>
  <conditionalFormatting sqref="CL77:CL85 CO77:CR85">
    <cfRule type="cellIs" dxfId="131" priority="463" operator="equal">
      <formula>0</formula>
    </cfRule>
  </conditionalFormatting>
  <conditionalFormatting sqref="CL77:CL90 A168:A170">
    <cfRule type="cellIs" dxfId="130" priority="39" operator="greaterThan">
      <formula>0</formula>
    </cfRule>
  </conditionalFormatting>
  <conditionalFormatting sqref="CL77:CL95 CL70 CL2">
    <cfRule type="cellIs" dxfId="129" priority="560" operator="greaterThan">
      <formula>0</formula>
    </cfRule>
  </conditionalFormatting>
  <conditionalFormatting sqref="CL88:CL90 CO88:CR90 CL117:CL132 CO117:CR132 C168:E168 A168:A170 CP168:CR170 CT168:CZ170 C169:G169 C170:D170">
    <cfRule type="cellIs" dxfId="128" priority="38" operator="equal">
      <formula>0</formula>
    </cfRule>
  </conditionalFormatting>
  <conditionalFormatting sqref="CL93:CL96">
    <cfRule type="cellIs" dxfId="127" priority="230" operator="equal">
      <formula>0</formula>
    </cfRule>
  </conditionalFormatting>
  <conditionalFormatting sqref="CL93:CL100">
    <cfRule type="cellIs" dxfId="126" priority="449" operator="greaterThan">
      <formula>0</formula>
    </cfRule>
    <cfRule type="cellIs" dxfId="125" priority="446" operator="greaterThan">
      <formula>0</formula>
    </cfRule>
  </conditionalFormatting>
  <conditionalFormatting sqref="CL95">
    <cfRule type="cellIs" dxfId="124" priority="244" operator="greaterThan">
      <formula>0</formula>
    </cfRule>
  </conditionalFormatting>
  <conditionalFormatting sqref="CL98:CL100">
    <cfRule type="cellIs" dxfId="123" priority="447" operator="equal">
      <formula>0</formula>
    </cfRule>
  </conditionalFormatting>
  <conditionalFormatting sqref="CL105:CL112">
    <cfRule type="cellIs" dxfId="122" priority="445" operator="greaterThan">
      <formula>0</formula>
    </cfRule>
    <cfRule type="cellIs" dxfId="121" priority="442" operator="greaterThan">
      <formula>0</formula>
    </cfRule>
    <cfRule type="cellIs" dxfId="120" priority="443" operator="equal">
      <formula>0</formula>
    </cfRule>
  </conditionalFormatting>
  <conditionalFormatting sqref="CL117:CL150">
    <cfRule type="cellIs" dxfId="119" priority="418" operator="greaterThan">
      <formula>0</formula>
    </cfRule>
    <cfRule type="cellIs" dxfId="118" priority="421" operator="greaterThan">
      <formula>0</formula>
    </cfRule>
  </conditionalFormatting>
  <conditionalFormatting sqref="CL135:CL137">
    <cfRule type="cellIs" dxfId="117" priority="427" operator="equal">
      <formula>0</formula>
    </cfRule>
  </conditionalFormatting>
  <conditionalFormatting sqref="CL150">
    <cfRule type="cellIs" dxfId="116" priority="419" operator="equal">
      <formula>0</formula>
    </cfRule>
  </conditionalFormatting>
  <conditionalFormatting sqref="CL153">
    <cfRule type="cellIs" dxfId="115" priority="411" operator="equal">
      <formula>0</formula>
    </cfRule>
    <cfRule type="cellIs" dxfId="114" priority="413" operator="greaterThan">
      <formula>0</formula>
    </cfRule>
    <cfRule type="cellIs" dxfId="113" priority="410" operator="greaterThan">
      <formula>0</formula>
    </cfRule>
  </conditionalFormatting>
  <conditionalFormatting sqref="CL162:CL163">
    <cfRule type="cellIs" dxfId="112" priority="402" operator="greaterThan">
      <formula>0</formula>
    </cfRule>
    <cfRule type="cellIs" dxfId="111" priority="405" operator="greaterThan">
      <formula>0</formula>
    </cfRule>
    <cfRule type="cellIs" dxfId="110" priority="403" operator="equal">
      <formula>0</formula>
    </cfRule>
  </conditionalFormatting>
  <conditionalFormatting sqref="CL163:CL167 CL171:CL180">
    <cfRule type="cellIs" dxfId="109" priority="409" operator="greaterThan">
      <formula>0</formula>
    </cfRule>
    <cfRule type="cellIs" dxfId="108" priority="406" operator="greaterThan">
      <formula>0</formula>
    </cfRule>
  </conditionalFormatting>
  <conditionalFormatting sqref="CL180">
    <cfRule type="cellIs" dxfId="107" priority="407" operator="equal">
      <formula>0</formula>
    </cfRule>
  </conditionalFormatting>
  <conditionalFormatting sqref="CN14">
    <cfRule type="cellIs" dxfId="106" priority="141" operator="greaterThan">
      <formula>0</formula>
    </cfRule>
  </conditionalFormatting>
  <conditionalFormatting sqref="CN24">
    <cfRule type="cellIs" dxfId="105" priority="1444" operator="greaterThan">
      <formula>0</formula>
    </cfRule>
  </conditionalFormatting>
  <conditionalFormatting sqref="CN30">
    <cfRule type="cellIs" dxfId="104" priority="1442" operator="greaterThan">
      <formula>0</formula>
    </cfRule>
  </conditionalFormatting>
  <conditionalFormatting sqref="CN39">
    <cfRule type="cellIs" dxfId="103" priority="1440" operator="greaterThan">
      <formula>0</formula>
    </cfRule>
  </conditionalFormatting>
  <conditionalFormatting sqref="CN54 DC54:DF54 DH54:DS54">
    <cfRule type="cellIs" dxfId="102" priority="1336" operator="greaterThan">
      <formula>0</formula>
    </cfRule>
  </conditionalFormatting>
  <conditionalFormatting sqref="CN61">
    <cfRule type="cellIs" dxfId="101" priority="7" operator="greaterThan">
      <formula>0</formula>
    </cfRule>
  </conditionalFormatting>
  <conditionalFormatting sqref="CN54:CO54">
    <cfRule type="cellIs" dxfId="100" priority="110" operator="equal">
      <formula>0</formula>
    </cfRule>
  </conditionalFormatting>
  <conditionalFormatting sqref="CN61:CO61">
    <cfRule type="cellIs" dxfId="99" priority="6" operator="equal">
      <formula>0</formula>
    </cfRule>
  </conditionalFormatting>
  <conditionalFormatting sqref="CN14:CR14">
    <cfRule type="cellIs" dxfId="98" priority="130" operator="equal">
      <formula>0</formula>
    </cfRule>
  </conditionalFormatting>
  <conditionalFormatting sqref="CN24:CR24">
    <cfRule type="cellIs" dxfId="97" priority="126" operator="equal">
      <formula>0</formula>
    </cfRule>
  </conditionalFormatting>
  <conditionalFormatting sqref="CN30:CR30">
    <cfRule type="cellIs" dxfId="96" priority="122" operator="equal">
      <formula>0</formula>
    </cfRule>
  </conditionalFormatting>
  <conditionalFormatting sqref="CN39:CR39">
    <cfRule type="cellIs" dxfId="95" priority="118" operator="equal">
      <formula>0</formula>
    </cfRule>
  </conditionalFormatting>
  <conditionalFormatting sqref="CN47:CR47">
    <cfRule type="cellIs" dxfId="94" priority="114" operator="equal">
      <formula>0</formula>
    </cfRule>
  </conditionalFormatting>
  <conditionalFormatting sqref="CO11:CO12 CO64:CO73 CO117:CO130">
    <cfRule type="cellIs" dxfId="93" priority="133" operator="equal">
      <formula>1</formula>
    </cfRule>
    <cfRule type="cellIs" dxfId="92" priority="132" operator="equal">
      <formula>0</formula>
    </cfRule>
  </conditionalFormatting>
  <conditionalFormatting sqref="CO14 CP57:CR61 CP64:CR74 CP76:CR181">
    <cfRule type="cellIs" dxfId="91" priority="131" operator="equal">
      <formula>1</formula>
    </cfRule>
  </conditionalFormatting>
  <conditionalFormatting sqref="CO17:CO22">
    <cfRule type="cellIs" dxfId="90" priority="129" operator="equal">
      <formula>1</formula>
    </cfRule>
    <cfRule type="cellIs" dxfId="89" priority="128" operator="equal">
      <formula>0</formula>
    </cfRule>
  </conditionalFormatting>
  <conditionalFormatting sqref="CO24">
    <cfRule type="cellIs" dxfId="88" priority="127" operator="equal">
      <formula>1</formula>
    </cfRule>
  </conditionalFormatting>
  <conditionalFormatting sqref="CO27:CO28">
    <cfRule type="cellIs" dxfId="87" priority="124" operator="equal">
      <formula>0</formula>
    </cfRule>
    <cfRule type="cellIs" dxfId="86" priority="125" operator="equal">
      <formula>1</formula>
    </cfRule>
  </conditionalFormatting>
  <conditionalFormatting sqref="CO30">
    <cfRule type="cellIs" dxfId="85" priority="123" operator="equal">
      <formula>1</formula>
    </cfRule>
  </conditionalFormatting>
  <conditionalFormatting sqref="CO33:CO37">
    <cfRule type="cellIs" dxfId="84" priority="121" operator="equal">
      <formula>1</formula>
    </cfRule>
    <cfRule type="cellIs" dxfId="83" priority="120" operator="equal">
      <formula>0</formula>
    </cfRule>
  </conditionalFormatting>
  <conditionalFormatting sqref="CO39">
    <cfRule type="cellIs" dxfId="82" priority="119" operator="equal">
      <formula>1</formula>
    </cfRule>
  </conditionalFormatting>
  <conditionalFormatting sqref="CO42:CO45">
    <cfRule type="cellIs" dxfId="81" priority="116" operator="equal">
      <formula>0</formula>
    </cfRule>
    <cfRule type="cellIs" dxfId="80" priority="117" operator="equal">
      <formula>1</formula>
    </cfRule>
  </conditionalFormatting>
  <conditionalFormatting sqref="CO47">
    <cfRule type="cellIs" dxfId="79" priority="115" operator="equal">
      <formula>1</formula>
    </cfRule>
  </conditionalFormatting>
  <conditionalFormatting sqref="CO50:CO52">
    <cfRule type="cellIs" dxfId="78" priority="113" operator="equal">
      <formula>1</formula>
    </cfRule>
    <cfRule type="cellIs" dxfId="77" priority="112" operator="equal">
      <formula>0</formula>
    </cfRule>
  </conditionalFormatting>
  <conditionalFormatting sqref="CO54">
    <cfRule type="cellIs" dxfId="76" priority="111" operator="equal">
      <formula>1</formula>
    </cfRule>
  </conditionalFormatting>
  <conditionalFormatting sqref="CO57:CO59 CO61">
    <cfRule type="cellIs" dxfId="75" priority="10" operator="equal">
      <formula>1</formula>
    </cfRule>
  </conditionalFormatting>
  <conditionalFormatting sqref="CO57:CO59">
    <cfRule type="cellIs" dxfId="74" priority="9" operator="equal">
      <formula>0</formula>
    </cfRule>
  </conditionalFormatting>
  <conditionalFormatting sqref="CO77:CO84">
    <cfRule type="cellIs" dxfId="73" priority="106" operator="equal">
      <formula>0</formula>
    </cfRule>
    <cfRule type="cellIs" dxfId="72" priority="107" operator="equal">
      <formula>1</formula>
    </cfRule>
  </conditionalFormatting>
  <conditionalFormatting sqref="CO88:CO89">
    <cfRule type="cellIs" dxfId="71" priority="104" operator="equal">
      <formula>0</formula>
    </cfRule>
    <cfRule type="cellIs" dxfId="70" priority="105" operator="equal">
      <formula>1</formula>
    </cfRule>
  </conditionalFormatting>
  <conditionalFormatting sqref="CO93:CO95">
    <cfRule type="cellIs" dxfId="69" priority="103" operator="equal">
      <formula>1</formula>
    </cfRule>
    <cfRule type="cellIs" dxfId="68" priority="102" operator="equal">
      <formula>0</formula>
    </cfRule>
  </conditionalFormatting>
  <conditionalFormatting sqref="CO98">
    <cfRule type="cellIs" dxfId="67" priority="101" operator="equal">
      <formula>1</formula>
    </cfRule>
    <cfRule type="cellIs" dxfId="66" priority="100" operator="equal">
      <formula>0</formula>
    </cfRule>
  </conditionalFormatting>
  <conditionalFormatting sqref="CO105:CO112">
    <cfRule type="cellIs" dxfId="65" priority="98" operator="equal">
      <formula>0</formula>
    </cfRule>
    <cfRule type="cellIs" dxfId="64" priority="99" operator="equal">
      <formula>1</formula>
    </cfRule>
  </conditionalFormatting>
  <conditionalFormatting sqref="CO135">
    <cfRule type="cellIs" dxfId="63" priority="94" operator="equal">
      <formula>0</formula>
    </cfRule>
    <cfRule type="cellIs" dxfId="62" priority="95" operator="equal">
      <formula>1</formula>
    </cfRule>
  </conditionalFormatting>
  <conditionalFormatting sqref="CO150">
    <cfRule type="cellIs" dxfId="61" priority="93" operator="equal">
      <formula>1</formula>
    </cfRule>
    <cfRule type="cellIs" dxfId="60" priority="92" operator="equal">
      <formula>0</formula>
    </cfRule>
  </conditionalFormatting>
  <conditionalFormatting sqref="CO153">
    <cfRule type="cellIs" dxfId="59" priority="90" operator="equal">
      <formula>0</formula>
    </cfRule>
    <cfRule type="cellIs" dxfId="58" priority="91" operator="equal">
      <formula>1</formula>
    </cfRule>
  </conditionalFormatting>
  <conditionalFormatting sqref="CO162:CO163">
    <cfRule type="cellIs" dxfId="57" priority="88" operator="equal">
      <formula>0</formula>
    </cfRule>
    <cfRule type="cellIs" dxfId="56" priority="89" operator="equal">
      <formula>1</formula>
    </cfRule>
  </conditionalFormatting>
  <conditionalFormatting sqref="CO180">
    <cfRule type="cellIs" dxfId="55" priority="87" operator="equal">
      <formula>1</formula>
    </cfRule>
    <cfRule type="cellIs" dxfId="54" priority="86" operator="equal">
      <formula>0</formula>
    </cfRule>
  </conditionalFormatting>
  <conditionalFormatting sqref="CO11:CR13 CL11:CL14">
    <cfRule type="cellIs" dxfId="53" priority="551" operator="equal">
      <formula>0</formula>
    </cfRule>
  </conditionalFormatting>
  <conditionalFormatting sqref="CO17:CR23 CL17:CL24">
    <cfRule type="cellIs" dxfId="52" priority="535" operator="equal">
      <formula>0</formula>
    </cfRule>
  </conditionalFormatting>
  <conditionalFormatting sqref="CO27:CR29 CL27:CL30">
    <cfRule type="cellIs" dxfId="51" priority="527" operator="equal">
      <formula>0</formula>
    </cfRule>
  </conditionalFormatting>
  <conditionalFormatting sqref="CO33:CR38 CL33:CL39">
    <cfRule type="cellIs" dxfId="50" priority="503" operator="equal">
      <formula>0</formula>
    </cfRule>
  </conditionalFormatting>
  <conditionalFormatting sqref="CO42:CR46 CL42:CL47">
    <cfRule type="cellIs" dxfId="49" priority="491" operator="equal">
      <formula>0</formula>
    </cfRule>
  </conditionalFormatting>
  <conditionalFormatting sqref="CP11:CR14 CP17:CR24 CP27:CR30 CP33:CR39 CP42:CR47">
    <cfRule type="cellIs" dxfId="48" priority="575" operator="equal">
      <formula>1</formula>
    </cfRule>
  </conditionalFormatting>
  <conditionalFormatting sqref="CP50:CR54 CP98:CR100 CP102:CR102 CP135:CR137 CP139:CR139 CP141:CR141 CP143:CR144 CP146:CR146 CP149:CR154 CP156:CR156 CP159:CR164 CP166:CR166">
    <cfRule type="cellIs" dxfId="47" priority="388" operator="equal">
      <formula>0</formula>
    </cfRule>
  </conditionalFormatting>
  <conditionalFormatting sqref="CP50:CR54">
    <cfRule type="cellIs" dxfId="46" priority="389" operator="equal">
      <formula>1</formula>
    </cfRule>
  </conditionalFormatting>
  <conditionalFormatting sqref="CP57:CR61">
    <cfRule type="cellIs" dxfId="45" priority="8" operator="equal">
      <formula>0</formula>
    </cfRule>
  </conditionalFormatting>
  <conditionalFormatting sqref="CP93:CR96">
    <cfRule type="cellIs" dxfId="44" priority="231" operator="equal">
      <formula>0</formula>
    </cfRule>
  </conditionalFormatting>
  <conditionalFormatting sqref="CP105:CR114">
    <cfRule type="cellIs" dxfId="43" priority="574" operator="equal">
      <formula>0</formula>
    </cfRule>
  </conditionalFormatting>
  <conditionalFormatting sqref="CP174:CR181">
    <cfRule type="cellIs" dxfId="42" priority="145" operator="equal">
      <formula>0</formula>
    </cfRule>
  </conditionalFormatting>
  <conditionalFormatting sqref="CT11:CZ74 CT77:CZ170">
    <cfRule type="cellIs" dxfId="41" priority="162" operator="lessThan">
      <formula>0</formula>
    </cfRule>
  </conditionalFormatting>
  <conditionalFormatting sqref="CT166:CZ166">
    <cfRule type="cellIs" dxfId="40" priority="391" operator="greaterThan">
      <formula>0</formula>
    </cfRule>
    <cfRule type="cellIs" dxfId="39" priority="392" operator="equal">
      <formula>0</formula>
    </cfRule>
  </conditionalFormatting>
  <conditionalFormatting sqref="CT168:CZ170">
    <cfRule type="cellIs" dxfId="38" priority="163" operator="greaterThan">
      <formula>0</formula>
    </cfRule>
  </conditionalFormatting>
  <conditionalFormatting sqref="CT174:CZ181">
    <cfRule type="cellIs" dxfId="37" priority="148" operator="greaterThan">
      <formula>0</formula>
    </cfRule>
    <cfRule type="cellIs" dxfId="36" priority="147" operator="lessThan">
      <formula>0</formula>
    </cfRule>
    <cfRule type="cellIs" dxfId="35" priority="149" operator="equal">
      <formula>0</formula>
    </cfRule>
  </conditionalFormatting>
  <conditionalFormatting sqref="DA14">
    <cfRule type="cellIs" dxfId="34" priority="190" operator="lessThan">
      <formula>0</formula>
    </cfRule>
    <cfRule type="cellIs" dxfId="33" priority="191" operator="greaterThan">
      <formula>0</formula>
    </cfRule>
    <cfRule type="cellIs" dxfId="32" priority="192" operator="equal">
      <formula>0</formula>
    </cfRule>
  </conditionalFormatting>
  <conditionalFormatting sqref="DA24">
    <cfRule type="cellIs" dxfId="31" priority="187" operator="lessThan">
      <formula>0</formula>
    </cfRule>
    <cfRule type="cellIs" dxfId="30" priority="188" operator="greaterThan">
      <formula>0</formula>
    </cfRule>
    <cfRule type="cellIs" dxfId="29" priority="189" operator="equal">
      <formula>0</formula>
    </cfRule>
  </conditionalFormatting>
  <conditionalFormatting sqref="DA30">
    <cfRule type="cellIs" dxfId="28" priority="184" operator="lessThan">
      <formula>0</formula>
    </cfRule>
    <cfRule type="cellIs" dxfId="27" priority="185" operator="greaterThan">
      <formula>0</formula>
    </cfRule>
    <cfRule type="cellIs" dxfId="26" priority="186" operator="equal">
      <formula>0</formula>
    </cfRule>
  </conditionalFormatting>
  <conditionalFormatting sqref="DA39">
    <cfRule type="cellIs" dxfId="25" priority="183" operator="equal">
      <formula>0</formula>
    </cfRule>
    <cfRule type="cellIs" dxfId="24" priority="182" operator="greaterThan">
      <formula>0</formula>
    </cfRule>
    <cfRule type="cellIs" dxfId="23" priority="181" operator="lessThan">
      <formula>0</formula>
    </cfRule>
  </conditionalFormatting>
  <conditionalFormatting sqref="DA47">
    <cfRule type="cellIs" dxfId="22" priority="179" operator="greaterThan">
      <formula>0</formula>
    </cfRule>
    <cfRule type="cellIs" dxfId="21" priority="178" operator="lessThan">
      <formula>0</formula>
    </cfRule>
    <cfRule type="cellIs" dxfId="20" priority="180" operator="equal">
      <formula>0</formula>
    </cfRule>
  </conditionalFormatting>
  <conditionalFormatting sqref="DA54">
    <cfRule type="cellIs" dxfId="19" priority="175" operator="lessThan">
      <formula>0</formula>
    </cfRule>
    <cfRule type="cellIs" dxfId="18" priority="176" operator="greaterThan">
      <formula>0</formula>
    </cfRule>
    <cfRule type="cellIs" dxfId="17" priority="177" operator="equal">
      <formula>0</formula>
    </cfRule>
  </conditionalFormatting>
  <conditionalFormatting sqref="DA61">
    <cfRule type="cellIs" dxfId="16" priority="1" operator="lessThan">
      <formula>0</formula>
    </cfRule>
    <cfRule type="cellIs" dxfId="15" priority="2" operator="greaterThan">
      <formula>0</formula>
    </cfRule>
    <cfRule type="cellIs" dxfId="14" priority="3" operator="equal">
      <formula>0</formula>
    </cfRule>
  </conditionalFormatting>
  <conditionalFormatting sqref="DC14:DF14">
    <cfRule type="cellIs" dxfId="13" priority="592" operator="greaterThan">
      <formula>0</formula>
    </cfRule>
    <cfRule type="cellIs" dxfId="12" priority="591" operator="equal">
      <formula>0</formula>
    </cfRule>
  </conditionalFormatting>
  <conditionalFormatting sqref="DC24:DF24 DH24:DS24 DC30:DF30 DH30:DS30 DC39:DF39 DH39:DS39">
    <cfRule type="cellIs" dxfId="11" priority="1461" operator="equal">
      <formula>0</formula>
    </cfRule>
    <cfRule type="cellIs" dxfId="10" priority="1462" operator="greaterThan">
      <formula>0</formula>
    </cfRule>
  </conditionalFormatting>
  <conditionalFormatting sqref="DC47:DF47 DH47:DS47">
    <cfRule type="cellIs" dxfId="9" priority="1522" operator="equal">
      <formula>0</formula>
    </cfRule>
  </conditionalFormatting>
  <conditionalFormatting sqref="DC54:DF54 DH54:DS54">
    <cfRule type="cellIs" dxfId="8" priority="1335" operator="equal">
      <formula>0</formula>
    </cfRule>
  </conditionalFormatting>
  <conditionalFormatting sqref="DC61:DF61 DH61:DS61">
    <cfRule type="cellIs" dxfId="7" priority="4" operator="equal">
      <formula>0</formula>
    </cfRule>
    <cfRule type="cellIs" dxfId="6" priority="5" operator="greaterThan">
      <formula>0</formula>
    </cfRule>
  </conditionalFormatting>
  <conditionalFormatting sqref="DC123:DF123">
    <cfRule type="cellIs" dxfId="5" priority="25" operator="greaterThan">
      <formula>0</formula>
    </cfRule>
    <cfRule type="cellIs" dxfId="4" priority="24" operator="equal">
      <formula>0</formula>
    </cfRule>
  </conditionalFormatting>
  <conditionalFormatting sqref="DH14:DS14">
    <cfRule type="cellIs" dxfId="3" priority="1467" operator="equal">
      <formula>0</formula>
    </cfRule>
    <cfRule type="cellIs" dxfId="2" priority="1468" operator="greaterThan">
      <formula>0</formula>
    </cfRule>
  </conditionalFormatting>
  <conditionalFormatting sqref="DH123:DS123">
    <cfRule type="cellIs" dxfId="1" priority="22" operator="equal">
      <formula>0</formula>
    </cfRule>
    <cfRule type="cellIs" dxfId="0" priority="23" operator="greaterThan">
      <formula>0</formula>
    </cfRule>
  </conditionalFormatting>
  <dataValidations xWindow="102" yWindow="715" count="43">
    <dataValidation allowBlank="1" showInputMessage="1" promptTitle="ESFA 16-19 programme funding" prompt="Includes care standards funding, condition of funding reduction and transitional protection/formula protection funding." sqref="B17" xr:uid="{F1578580-0B50-4581-AE5D-BB3D013AE1A8}"/>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8FF364DE-06B0-4348-BF5D-A5BBE4737E93}"/>
    <dataValidation allowBlank="1" showInputMessage="1" promptTitle="Other Funding" prompt="To include income from local authorities and schools for 14-19 partnerships." sqref="B21" xr:uid="{7A9C83AA-B3AE-44AB-8A74-C8C285B1F15F}"/>
    <dataValidation allowBlank="1" showInputMessage="1" promptTitle="Subcontracted in Apprenticeships" prompt="Including from other Training Providers." sqref="B28" xr:uid="{8F898E55-72B1-480A-B4CA-D7DCAAD13B09}"/>
    <dataValidation allowBlank="1" showInputMessage="1" promptTitle="AEB Grant - ESFA" prompt="AEB clawbacks / reconciliation to be entered via the 'BS Inputs'" sqref="B33" xr:uid="{769581D6-5898-40A4-87DF-D90D8926C0C0}"/>
    <dataValidation allowBlank="1" showInputMessage="1" promptTitle="AEB Funding - Devolv Authorities" prompt="AEB clawbacks / reconciliation to be entered via the 'BS Inputs'" sqref="B35" xr:uid="{EB3ECEAD-D69A-4FB8-8B08-82D3EC62BD48}"/>
    <dataValidation allowBlank="1" showInputMessage="1" promptTitle="AEB Procured - ESFA" prompt="This line should be used for funding associated with the standalone procured AEB contracts that were awarded from July 2017 onwards." sqref="B34" xr:uid="{C0FD2576-1869-4560-8768-0334AFEB639E}"/>
    <dataValidation allowBlank="1" showInputMessage="1" promptTitle="OfS Grants" prompt="To include income received directly from OfS for prescribed HE, including that transferred from ESFA." sqref="B43" xr:uid="{3F7B0658-E395-47B5-A076-BB0265BC6217}"/>
    <dataValidation allowBlank="1" showInputMessage="1" promptTitle="Subcontracted in HE" prompt="To include income from HE institutions for the provision of higher education courses." sqref="B45" xr:uid="{B266EF5F-F3A4-410D-B534-EC769FFE7D7A}"/>
    <dataValidation allowBlank="1" showInputMessage="1" promptTitle="Other European Funding" prompt="Colleges receiving funds (from European structural funds) before incurring costs should recognise a current liability for the unspent proportion of the grant." sqref="B51" xr:uid="{C7068C57-7996-408C-8C91-3199936C728F}"/>
    <dataValidation allowBlank="1" showInputMessage="1" promptTitle="Other income from education" prompt="Include all funding from employers including co-investment payments and any amounts above the funding band." sqref="B67" xr:uid="{B459D3B2-55A7-4DF5-8F77-0808340D97C7}"/>
    <dataValidation allowBlank="1" showInputMessage="1" promptTitle="Other income from non-learning" prompt="To include miscellaneous income, for example VAT recovered if recorded separately in the accounts." sqref="B88" xr:uid="{6496CE4D-6A4F-49DF-93A4-6D5C53514A00}"/>
    <dataValidation allowBlank="1" showInputMessage="1" promptTitle="Endowment income" prompt="To include income from endowments as defined in the FE/HE SORP." sqref="B89" xr:uid="{112E543B-0447-4180-B56F-82D8D87A7245}"/>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8" xr:uid="{F1A5DF25-C0F8-4779-B2C2-C13D41D0ECBF}"/>
    <dataValidation allowBlank="1" showInputMessage="1" promptTitle="Teaching Staff" prompt="To include basic pay costs, overtime, other allowances and additions, employer pension costs and employer NI cost." sqref="B105" xr:uid="{E0C0DE31-F746-4E24-BC03-6D0063D443BE}"/>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6" xr:uid="{9C8DC3D1-56D6-4D9C-ADA1-B901E22EF8CD}"/>
    <dataValidation allowBlank="1" showInputMessage="1" promptTitle="Teaching and other support staff" prompt="To include, for example, library staff, learning support staff, college nurses, welfare officers, recreation tutors, careers officers and counsellors." sqref="B107" xr:uid="{95F7D637-FFBD-4D99-BC82-0BF11BD4961B}"/>
    <dataValidation allowBlank="1" showInputMessage="1" promptTitle="Administration staff" prompt="To include, for example, finance, HR, timetabling and data entry staff." sqref="B108" xr:uid="{554CAB72-B623-47DE-A40B-6429365A9867}"/>
    <dataValidation allowBlank="1" showInputMessage="1" promptTitle="Operational &amp; maintenance staff" prompt="To include, for example, cleaning, caretaking and security staff, maintenance staff and health and safety officers." sqref="B109" xr:uid="{223C3998-2B3D-4782-8106-A9916F8E9B9D}"/>
    <dataValidation allowBlank="1" showInputMessage="1" promptTitle="Commercial Staff costs" prompt="To include staff costs from income generating activities such as catering, creche, farming, residences and conferences." sqref="B110" xr:uid="{0F41BB00-C4F6-4D43-8C65-F0C12BA46ED4}"/>
    <dataValidation allowBlank="1" showInputMessage="1" promptTitle="Other Staff Costs" prompt="To include, for example, marketing staff and exam officers." sqref="B112" xr:uid="{4DE8B004-AB7A-48A5-AABA-187F80B64F72}"/>
    <dataValidation allowBlank="1" showInputMessage="1" promptTitle="Teaching costs" prompt="To include, for example, materials, consumables, equipment, training functions such as hairdressing, marketing, prison contracts and partnership." sqref="B117" xr:uid="{E947913B-616E-47E5-A452-14EFD2D57E14}"/>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8" xr:uid="{80EF5C9D-2D99-4D57-9472-874929817F5B}"/>
    <dataValidation allowBlank="1" showInputMessage="1" promptTitle="Administration Costs" prompt="To include, for example, IT, professional fees, insurance premiums, travel and subsistence, recruitment and bank charges." sqref="B119" xr:uid="{87E8A484-9DC8-4FE7-AEED-1A36C753FE5E}"/>
    <dataValidation allowBlank="1" showInputMessage="1" promptTitle="Operational &amp; maintenance costs" prompt="To include, e.g. cleaning, caretaking, water charges, security, insurance, waste disposal and national non-domestic rates. From a maintenance perspective, this could include unblocking drains, repairing breakages and planned maintenance. Exclude energy." sqref="B127" xr:uid="{0E9FC7FF-1B1E-4DA5-AA33-0C1D4D078150}"/>
    <dataValidation allowBlank="1" showInputMessage="1" promptTitle="Bad debt provision costs" prompt="This is the value of debts provided for in the period." sqref="B124" xr:uid="{9A9F53B7-13B5-4702-A68A-85CCDF0B459B}"/>
    <dataValidation allowBlank="1" showInputMessage="1" promptTitle="Other operating expenditure" prompt="This could include one-off costs ahead of merger." sqref="B125" xr:uid="{DB625AAE-C2E3-414D-AC94-B7B2216CBBFD}"/>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50" xr:uid="{78DAB4BA-A9F1-4835-83A5-E4E2F9F39711}"/>
    <dataValidation allowBlank="1" showInputMessage="1" promptTitle="Other operating expenditure" prompt="Per FRS102, LGPS employer contributions must be replaced with current service costs, past service costs, curtailments and settlements in staff costs" sqref="B113 B126:B127" xr:uid="{CCF9EF17-9181-439C-B2DC-83B503E5544D}"/>
    <dataValidation allowBlank="1" showInputMessage="1" promptTitle="FRS102 adj." prompt="Per FRS102, LGPS employer contributions must be replaced with current service costs, past service costs, curtailments and settlements in staff costs" sqref="B113 B126:B127" xr:uid="{003A9877-A88F-4962-81D2-2D90949822B6}"/>
    <dataValidation allowBlank="1" showInputMessage="1" promptTitle="Reconciliation to 4 year values" prompt="Checks if the monthly amounts = annual amounts on the 4 Year timeline._x000a__x000a_Refer to Differences section (columns CG - CI) in case of flags." sqref="CP7" xr:uid="{82B18519-900B-4981-B60C-0803CF82C6F2}"/>
    <dataValidation allowBlank="1" showInputMessage="1" promptTitle="Reconciliation to 12 year values" prompt="Checks if the monthly amounts = annual amounts on the 12 Year timeline for all 3 years._x000a__x000a_Refer to Differences section (columns CJ - CL) in case of flags." sqref="CQ7" xr:uid="{551F0BF6-3B1A-4AD4-8144-73B97F93F3E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R7" xr:uid="{8B19229C-E5E0-47AA-9771-0841CD801456}"/>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384F038C-03B9-42BE-9154-6F0683D9612B}"/>
    <dataValidation allowBlank="1" showInputMessage="1" promptTitle="Subcontracted out income check" prompt="Checks if subcontracted out income exceeds total income._x000a__x000a_Refer to Differences section (columns CN - EQ) in case of error flags." sqref="CN7" xr:uid="{3E3965EE-59DD-4C61-9E79-B94F96C8B149}"/>
    <dataValidation allowBlank="1" showInputMessage="1" promptTitle="Full cost provision" prompt="Excludes HE and provision to international students" sqref="B64" xr:uid="{07125DC4-3B04-4DAE-91C7-EF78AD9EE56A}"/>
    <dataValidation allowBlank="1" showInputMessage="1" promptTitle="International students fees" prompt="Fees for provision delivered in the UK to international students" sqref="B66" xr:uid="{6D95EC3C-5125-440D-BBEF-F75A841F3A9E}"/>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84" xr:uid="{FEEDA1FD-21D9-4763-8972-B708113ABE68}"/>
    <dataValidation allowBlank="1" showInputMessage="1" promptTitle="Input validation check" prompt="Flags where a cell contains invalid characters, such as full stops, dashes and spaces._x000a_" sqref="CO7" xr:uid="{C190D7BB-46BA-4952-A4A3-935DBCE77EF6}"/>
    <dataValidation allowBlank="1" showInputMessage="1" showErrorMessage="1" promptTitle="Year to date entry" prompt="Year to date figures can only run to the end of March" sqref="AF8:AI8" xr:uid="{7BE7E2D2-50B5-4D1B-BD45-F392DDB0082E}"/>
    <dataValidation allowBlank="1" showInputMessage="1" promptTitle="Subcontracting out costs" prompt="SUBCONTRACTING OUT COSTS MUST NOT BE ENTERED WITHOUT ANY ENTRY FOR SUBCONTRACTED OUT INCOME - FAILURE WILL RESULT IN A REJECTION OF THE RETURN" sqref="B123" xr:uid="{0E3EE984-30C3-4031-877F-6722161B7AD7}"/>
    <dataValidation allowBlank="1" showInputMessage="1" showErrorMessage="1" promptTitle="Check on subcontracting income" prompt=" _x000a_" sqref="DB123" xr:uid="{E72C3425-50E3-42AB-901B-67F5DE348BAB}"/>
    <dataValidation allowBlank="1" sqref="B70:B73" xr:uid="{081ED835-7B8B-4061-999D-2FA484176E1E}"/>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142" id="{71F07CEC-29D0-438D-9B95-73FFF4550B6B}">
            <xm:f>OR($D$2='Dash Data'!$D$95, $D$2='Dash Data'!$D$96, $D$2='Dash Data'!$D$98)</xm:f>
            <x14:dxf>
              <numFmt numFmtId="14" formatCode="0.00%"/>
            </x14:dxf>
          </x14:cfRule>
          <xm:sqref>V2:Y2</xm:sqref>
        </x14:conditionalFormatting>
        <x14:conditionalFormatting xmlns:xm="http://schemas.microsoft.com/office/excel/2006/main">
          <x14:cfRule type="expression" priority="1255" id="{B6DFBA60-7428-4932-9026-16FD5B4A0376}">
            <xm:f>AND('Cover Sheet'!$E$29=0, AA$4=0, AB$4=0)</xm:f>
            <x14:dxf>
              <fill>
                <patternFill>
                  <bgColor theme="0"/>
                </patternFill>
              </fill>
            </x14:dxf>
          </x14:cfRule>
          <xm:sqref>AA11:AG12 AJ11:BI12 AA14:AG14 AJ14:BI14 AA17:AG22 AJ17:BI22 AA24:AG24 AJ24:BI24 AA27:AG28 AJ27:BI28 AA30:AG30 AJ30:BI30 AA33:AG37 AJ33:BI37 AA39:AG39 AJ39:BI39 AA42:AG45 AJ42:BI45 AA47:AG47 AJ47:BI47 AA50:AG52 AJ50:BI52 AA54:AG54 AJ54:BI54 AA64:AG73 AJ64:BI73 AA77:AG84 AJ77:BI84 AA88:AG89 AJ88:BI89 AA93:AG95 AJ93:BI95 AA98:AG98 AJ98:BI98 AA105:AG112 AJ105:BI112 AA117:AG125 AJ117:BI125 AA127:AG130 AJ127:BI130 AA135:AG135 AJ135:BI135 AA150:AG150 AJ150:BI150 AA153:AG153 AJ153:BI153 AA162:AG163 AJ162:BI163 AA180:AG180 AJ180:BI180</xm:sqref>
        </x14:conditionalFormatting>
        <x14:conditionalFormatting xmlns:xm="http://schemas.microsoft.com/office/excel/2006/main">
          <x14:cfRule type="expression" priority="15" id="{0DC9C921-E8DF-455B-AE7B-26028245A7D9}">
            <xm:f>AND('Cover Sheet'!$E$29=0, AA$4=0, AB$4=0)</xm:f>
            <x14:dxf>
              <fill>
                <patternFill>
                  <bgColor theme="0"/>
                </patternFill>
              </fill>
            </x14:dxf>
          </x14:cfRule>
          <xm:sqref>AA57:AG59 AJ57:BI59</xm:sqref>
        </x14:conditionalFormatting>
        <x14:conditionalFormatting xmlns:xm="http://schemas.microsoft.com/office/excel/2006/main">
          <x14:cfRule type="expression" priority="11" id="{67879893-AD7B-4310-9A34-7B4823EBBB53}">
            <xm:f>AND('Cover Sheet'!$E$29=0, AA$4=0, AB$4=0)</xm:f>
            <x14:dxf>
              <fill>
                <patternFill>
                  <bgColor theme="0"/>
                </patternFill>
              </fill>
            </x14:dxf>
          </x14:cfRule>
          <xm:sqref>AA61:AG61 AJ61:BI61</xm:sqref>
        </x14:conditionalFormatting>
        <x14:conditionalFormatting xmlns:xm="http://schemas.microsoft.com/office/excel/2006/main">
          <x14:cfRule type="expression" priority="3568" id="{B6DFBA60-7428-4932-9026-16FD5B4A0376}">
            <xm:f>AND('Cover Sheet'!$E$29=0, BJ$4=0, BW$4=0)</xm:f>
            <x14:dxf>
              <fill>
                <patternFill>
                  <bgColor theme="0"/>
                </patternFill>
              </fill>
            </x14:dxf>
          </x14:cfRule>
          <xm:sqref>BJ11:BJ12 BJ14 BJ17:BJ22 BJ24 BJ27:BJ28 BJ30 BJ33:BJ37 BJ39 BJ42:BJ45 BJ47 BJ50:BJ52 BJ54 BJ64:BJ73 BJ77:BJ84 BJ88:BJ89 BJ93:BJ95 BJ98 BJ105:BJ112 BJ117:BJ125 BJ127:BJ130 BJ135 BJ150 BJ153 BJ162:BJ163 BJ180</xm:sqref>
        </x14:conditionalFormatting>
        <x14:conditionalFormatting xmlns:xm="http://schemas.microsoft.com/office/excel/2006/main">
          <x14:cfRule type="expression" priority="3597" id="{CE9DF597-AC18-4F3C-96DF-8CE75DB88873}">
            <xm:f>AND('Cover Sheet'!$E$29=0, BJ$4=0, BW$4=0)</xm:f>
            <x14:dxf>
              <fill>
                <patternFill>
                  <bgColor theme="0" tint="-0.14996795556505021"/>
                </patternFill>
              </fill>
            </x14:dxf>
          </x14:cfRule>
          <xm:sqref>BJ12 BJ14 BJ17:BJ22 BJ24 BJ27:BJ28 BJ30 BJ33:BJ37 BJ39 BJ42:BJ45 BJ47 BJ50:BJ52 BJ54 BJ64:BJ73 BJ77:BJ84 BJ88:BJ89 BJ93:BJ95 BJ98 BJ105:BJ112 BJ117:BJ125 BJ127:BJ130 BJ135 BJ150 BJ153 BJ162:BJ163 BJ180</xm:sqref>
        </x14:conditionalFormatting>
        <x14:conditionalFormatting xmlns:xm="http://schemas.microsoft.com/office/excel/2006/main">
          <x14:cfRule type="expression" priority="20" id="{232F7E87-84C5-4547-BEDD-642FFFB55DA4}">
            <xm:f>AND('Cover Sheet'!$E$29=0, BJ$4=0, BW$4=0)</xm:f>
            <x14:dxf>
              <fill>
                <patternFill>
                  <bgColor theme="0" tint="-0.14996795556505021"/>
                </patternFill>
              </fill>
            </x14:dxf>
          </x14:cfRule>
          <x14:cfRule type="expression" priority="19" id="{40ABB39F-F5B4-48C1-B68C-A6A4D18C11D8}">
            <xm:f>AND('Cover Sheet'!$E$29=0, BJ$4=0, BW$4=0)</xm:f>
            <x14:dxf>
              <fill>
                <patternFill>
                  <bgColor theme="0"/>
                </patternFill>
              </fill>
            </x14:dxf>
          </x14:cfRule>
          <xm:sqref>BJ57:BJ59</xm:sqref>
        </x14:conditionalFormatting>
        <x14:conditionalFormatting xmlns:xm="http://schemas.microsoft.com/office/excel/2006/main">
          <x14:cfRule type="expression" priority="14" id="{1DEE66FF-C7B8-498A-9853-3DC58D2C9A76}">
            <xm:f>AND('Cover Sheet'!$E$29=0, BJ$4=0, BW$4=0)</xm:f>
            <x14:dxf>
              <fill>
                <patternFill>
                  <bgColor theme="0" tint="-0.14996795556505021"/>
                </patternFill>
              </fill>
            </x14:dxf>
          </x14:cfRule>
          <x14:cfRule type="expression" priority="13" id="{AD969916-437B-4D4F-B30D-52408B244970}">
            <xm:f>AND('Cover Sheet'!$E$29=0, BJ$4=0, BW$4=0)</xm:f>
            <x14:dxf>
              <fill>
                <patternFill>
                  <bgColor theme="0"/>
                </patternFill>
              </fill>
            </x14:dxf>
          </x14:cfRule>
          <xm:sqref>BJ61</xm:sqref>
        </x14:conditionalFormatting>
      </x14:conditionalFormattings>
    </ext>
    <ext xmlns:x14="http://schemas.microsoft.com/office/spreadsheetml/2009/9/main" uri="{CCE6A557-97BC-4b89-ADB6-D9C93CAAB3DF}">
      <x14:dataValidations xmlns:xm="http://schemas.microsoft.com/office/excel/2006/main" xWindow="102" yWindow="715" count="1">
        <x14:dataValidation type="list" allowBlank="1" showInputMessage="1" showErrorMessage="1" xr:uid="{01CF58A9-8EBE-47A2-B76A-163E5F66756D}">
          <x14:formula1>
            <xm:f>'Dash Data'!$D$93:$D$100</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875EE-7FD4-4BF0-B74F-E3FD858896F7}">
  <sheetPr codeName="Sheet4">
    <tabColor rgb="FFBBF7DC"/>
    <outlinePr summaryBelow="0" summaryRight="0"/>
    <pageSetUpPr autoPageBreaks="0"/>
  </sheetPr>
  <dimension ref="A1:FN186"/>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54296875" bestFit="1" customWidth="1"/>
    <col min="2" max="2" width="5.1796875" customWidth="1"/>
    <col min="3" max="3" width="8.1796875" bestFit="1" customWidth="1"/>
    <col min="4" max="4" width="52.54296875" style="1" bestFit="1" customWidth="1"/>
    <col min="5" max="5" width="12.1796875" customWidth="1" outlineLevel="1"/>
    <col min="6" max="6" width="13" customWidth="1"/>
    <col min="7" max="7" width="13" customWidth="1" outlineLevel="1"/>
    <col min="8" max="8" width="15" customWidth="1" outlineLevel="1"/>
    <col min="9" max="9" width="4.81640625" customWidth="1"/>
    <col min="10" max="11" width="9.1796875" customWidth="1"/>
    <col min="12" max="12" width="9.1796875" customWidth="1" collapsed="1"/>
    <col min="13" max="13" width="2.81640625" hidden="1" customWidth="1" outlineLevel="1"/>
    <col min="14" max="14" width="7.81640625" hidden="1" customWidth="1" outlineLevel="1"/>
    <col min="15" max="15" width="8" hidden="1" customWidth="1" outlineLevel="1"/>
    <col min="16" max="16" width="10.54296875" hidden="1" customWidth="1" outlineLevel="1"/>
    <col min="17" max="17" width="12" hidden="1" customWidth="1" outlineLevel="1"/>
    <col min="18" max="18" width="8.453125" hidden="1" customWidth="1" outlineLevel="1"/>
    <col min="19" max="19" width="2.54296875" hidden="1" customWidth="1" outlineLevel="1"/>
    <col min="20" max="20" width="11.1796875" hidden="1" customWidth="1" outlineLevel="1"/>
    <col min="21" max="21" width="2" bestFit="1" customWidth="1"/>
    <col min="22" max="25" width="9.453125" bestFit="1" customWidth="1"/>
    <col min="26" max="26" width="1.1796875" customWidth="1"/>
    <col min="27" max="35" width="9.81640625" bestFit="1" customWidth="1"/>
    <col min="36" max="36" width="10" customWidth="1"/>
    <col min="37" max="47" width="9.81640625" bestFit="1" customWidth="1"/>
    <col min="48" max="48" width="10.1796875" customWidth="1"/>
    <col min="49" max="59" width="9.81640625" bestFit="1" customWidth="1"/>
    <col min="60" max="60" width="10" customWidth="1"/>
    <col min="61"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0" width="13.1796875" customWidth="1"/>
    <col min="91" max="91" width="3.453125" customWidth="1"/>
    <col min="92" max="98" width="13.1796875" customWidth="1"/>
    <col min="99" max="99" width="2.81640625" customWidth="1"/>
    <col min="100" max="103" width="9.81640625" customWidth="1"/>
    <col min="104" max="106" width="12.54296875" customWidth="1"/>
    <col min="107" max="107" width="13.1796875" customWidth="1"/>
    <col min="108" max="108" width="2.81640625" customWidth="1"/>
    <col min="109" max="120" width="8.7265625"/>
    <col min="121" max="122" width="8.81640625" customWidth="1"/>
    <col min="169" max="169" width="8.81640625" collapsed="1"/>
    <col min="170" max="170" width="42.1796875" hidden="1" customWidth="1" outlineLevel="1"/>
  </cols>
  <sheetData>
    <row r="1" spans="1:170" x14ac:dyDescent="0.35">
      <c r="A1" s="7">
        <f ca="1">ToC!A1</f>
        <v>0</v>
      </c>
      <c r="B1" s="13" t="s">
        <v>464</v>
      </c>
      <c r="C1" s="81"/>
      <c r="D1" s="81">
        <f>CollegeNameInput</f>
        <v>0</v>
      </c>
      <c r="E1" s="13"/>
      <c r="F1" s="67"/>
      <c r="G1" s="22"/>
      <c r="H1" s="13"/>
      <c r="I1" s="13"/>
      <c r="J1" s="13" t="s">
        <v>465</v>
      </c>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175</v>
      </c>
      <c r="CO1" s="5"/>
      <c r="CP1" s="5"/>
      <c r="CQ1" s="5"/>
      <c r="CR1" s="5"/>
      <c r="CS1" s="5" t="s">
        <v>176</v>
      </c>
      <c r="CT1" s="5"/>
      <c r="CU1" s="663"/>
      <c r="CV1" s="5" t="s">
        <v>295</v>
      </c>
      <c r="FN1" s="5" t="s">
        <v>177</v>
      </c>
    </row>
    <row r="2" spans="1:170" ht="14.65" customHeight="1" x14ac:dyDescent="0.35">
      <c r="A2" s="220" cm="1">
        <f t="array" aca="1" ref="A2" ca="1">HYPERLINK(CONCATENATE("#",CELL("address",IF(SUM(A$7:A$186)=0,$A$2,INDEX(A$7:A$186,MATCH(1,A$7:A$186,0))))),SUM(A$7:A$186))</f>
        <v>0</v>
      </c>
      <c r="B2" s="67" t="str" cm="1">
        <f t="array" aca="1" ref="B2" ca="1">HYPERLINK(CONCATENATE("#",CELL("address",Guide!$C$154)),Guide!$B$1)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HYPERLINK(CONCATENATE("#",CELL("address",IF(SUM(CL$7:CL$186)=0,$CL$2,INDEX(CL$7:CL$186,MATCH(1,CL$7:CL$186,0))))),SUM(CL$7:CL$186))</f>
        <v>0</v>
      </c>
      <c r="CM2" s="663"/>
      <c r="CN2" s="664" t="s">
        <v>466</v>
      </c>
      <c r="CO2" s="664" t="s">
        <v>270</v>
      </c>
      <c r="CP2" s="664" t="s">
        <v>467</v>
      </c>
      <c r="CQ2" s="664" t="s">
        <v>468</v>
      </c>
      <c r="CR2" s="664" t="s">
        <v>297</v>
      </c>
      <c r="CS2" s="664" t="s">
        <v>299</v>
      </c>
      <c r="CT2" s="664" t="s">
        <v>300</v>
      </c>
      <c r="CU2" s="663"/>
      <c r="CV2" s="667" t="s">
        <v>301</v>
      </c>
      <c r="CW2" s="668" t="s">
        <v>302</v>
      </c>
      <c r="CX2" s="669" t="s">
        <v>303</v>
      </c>
      <c r="CY2" s="667" t="s">
        <v>304</v>
      </c>
      <c r="CZ2" s="668" t="s">
        <v>305</v>
      </c>
      <c r="DA2" s="669" t="s">
        <v>306</v>
      </c>
      <c r="DB2" s="670" t="s">
        <v>469</v>
      </c>
      <c r="DC2" s="667" t="s">
        <v>307</v>
      </c>
      <c r="DD2" s="273"/>
      <c r="DE2" s="274" t="str">
        <f t="shared" ref="DE2:DP2" si="0">BY3</f>
        <v>FY2026</v>
      </c>
      <c r="DF2" s="274" t="str">
        <f t="shared" si="0"/>
        <v>FY2027</v>
      </c>
      <c r="DG2" s="274" t="str">
        <f t="shared" si="0"/>
        <v>FY2028</v>
      </c>
      <c r="DH2" s="274" t="str">
        <f t="shared" si="0"/>
        <v>FY2029</v>
      </c>
      <c r="DI2" s="274" t="str">
        <f t="shared" si="0"/>
        <v>FY2030</v>
      </c>
      <c r="DJ2" s="274" t="str">
        <f t="shared" si="0"/>
        <v>FY2031</v>
      </c>
      <c r="DK2" s="274" t="str">
        <f t="shared" si="0"/>
        <v>FY2032</v>
      </c>
      <c r="DL2" s="274" t="str">
        <f t="shared" si="0"/>
        <v>FY2033</v>
      </c>
      <c r="DM2" s="274" t="str">
        <f t="shared" si="0"/>
        <v>FY2034</v>
      </c>
      <c r="DN2" s="274" t="str">
        <f t="shared" si="0"/>
        <v>FY2035</v>
      </c>
      <c r="DO2" s="274" t="str">
        <f t="shared" si="0"/>
        <v>FY2036</v>
      </c>
      <c r="DP2" s="274">
        <f t="shared" si="0"/>
        <v>0</v>
      </c>
    </row>
    <row r="3" spans="1:170" ht="15" customHeight="1" x14ac:dyDescent="0.35">
      <c r="A3" s="67" t="str" cm="1">
        <f t="array" aca="1" ref="A3" ca="1">HYPERLINK(CONCATENATE("#",CELL("address",ToC!$A$1)),ToC!$C$1)</f>
        <v>ToC</v>
      </c>
      <c r="B3" s="67" t="str" cm="1">
        <f t="array" aca="1" ref="B3" ca="1">HYPERLINK(CONCATENATE("#",CELL("address",$B$8)),"I&amp;E")</f>
        <v>I&amp;E</v>
      </c>
      <c r="C3" s="13"/>
      <c r="D3" s="36" t="str">
        <f>Timeline!D3</f>
        <v>Financial Year</v>
      </c>
      <c r="E3" s="13"/>
      <c r="F3" s="13"/>
      <c r="G3" s="13"/>
      <c r="H3" s="13"/>
      <c r="I3" s="13"/>
      <c r="J3" s="13" t="str">
        <f>W3</f>
        <v>FY2026</v>
      </c>
      <c r="K3" s="13" t="str">
        <f>X3</f>
        <v>FY2027</v>
      </c>
      <c r="L3" s="13" t="str">
        <f>Y3</f>
        <v>FY2028</v>
      </c>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N3" s="664"/>
      <c r="CO3" s="664"/>
      <c r="CP3" s="664"/>
      <c r="CQ3" s="664"/>
      <c r="CR3" s="664"/>
      <c r="CS3" s="664"/>
      <c r="CT3" s="664"/>
      <c r="CU3" s="663"/>
      <c r="CV3" s="672"/>
      <c r="CW3" s="664"/>
      <c r="CX3" s="677"/>
      <c r="CY3" s="672"/>
      <c r="CZ3" s="664"/>
      <c r="DA3" s="677"/>
      <c r="DB3" s="674"/>
      <c r="DC3" s="672"/>
      <c r="DE3" s="666" t="s">
        <v>310</v>
      </c>
      <c r="DF3" s="666" t="s">
        <v>310</v>
      </c>
      <c r="DG3" s="666" t="s">
        <v>310</v>
      </c>
      <c r="DH3" s="666" t="s">
        <v>310</v>
      </c>
      <c r="DI3" s="666" t="s">
        <v>310</v>
      </c>
      <c r="DJ3" s="666" t="s">
        <v>310</v>
      </c>
      <c r="DK3" s="666" t="s">
        <v>310</v>
      </c>
      <c r="DL3" s="666" t="s">
        <v>310</v>
      </c>
      <c r="DM3" s="666" t="s">
        <v>310</v>
      </c>
      <c r="DN3" s="666" t="s">
        <v>310</v>
      </c>
      <c r="DO3" s="666" t="s">
        <v>310</v>
      </c>
      <c r="DP3" s="666" t="s">
        <v>310</v>
      </c>
    </row>
    <row r="4" spans="1:170" ht="15" customHeight="1" x14ac:dyDescent="0.35">
      <c r="A4" s="13"/>
      <c r="B4" s="67" t="str" cm="1">
        <f t="array" aca="1" ref="B4" ca="1">HYPERLINK(CONCATENATE("#",CELL("address",$D$141)),$D$141)</f>
        <v>Net Operating Income</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311</v>
      </c>
      <c r="CM4" s="663"/>
      <c r="CN4" s="664"/>
      <c r="CO4" s="664"/>
      <c r="CP4" s="664"/>
      <c r="CQ4" s="664"/>
      <c r="CR4" s="664"/>
      <c r="CS4" s="664"/>
      <c r="CT4" s="664"/>
      <c r="CU4" s="663"/>
      <c r="CV4" s="672"/>
      <c r="CW4" s="664"/>
      <c r="CX4" s="677"/>
      <c r="CY4" s="672"/>
      <c r="CZ4" s="664"/>
      <c r="DA4" s="677"/>
      <c r="DB4" s="674"/>
      <c r="DC4" s="672"/>
      <c r="DE4" s="666"/>
      <c r="DF4" s="666"/>
      <c r="DG4" s="666"/>
      <c r="DH4" s="666"/>
      <c r="DI4" s="666"/>
      <c r="DJ4" s="666"/>
      <c r="DK4" s="666"/>
      <c r="DL4" s="666"/>
      <c r="DM4" s="666"/>
      <c r="DN4" s="666"/>
      <c r="DO4" s="666"/>
      <c r="DP4" s="666"/>
    </row>
    <row r="5" spans="1:170" x14ac:dyDescent="0.35">
      <c r="A5" s="13"/>
      <c r="B5" s="67" t="str" cm="1">
        <f t="array" aca="1" ref="B5" ca="1">HYPERLINK(CONCATENATE("#",CELL("address",$D$181)),$D$172)</f>
        <v>Education-Specific EBITDA</v>
      </c>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64"/>
      <c r="CO5" s="664"/>
      <c r="CP5" s="664"/>
      <c r="CQ5" s="664"/>
      <c r="CR5" s="664"/>
      <c r="CS5" s="664"/>
      <c r="CT5" s="664"/>
      <c r="CU5" s="663"/>
      <c r="CV5" s="672"/>
      <c r="CW5" s="664"/>
      <c r="CX5" s="677"/>
      <c r="CY5" s="672"/>
      <c r="CZ5" s="664"/>
      <c r="DA5" s="677"/>
      <c r="DB5" s="674"/>
      <c r="DC5" s="672"/>
      <c r="DE5" s="666"/>
      <c r="DF5" s="666"/>
      <c r="DG5" s="666"/>
      <c r="DH5" s="666"/>
      <c r="DI5" s="666"/>
      <c r="DJ5" s="666"/>
      <c r="DK5" s="666"/>
      <c r="DL5" s="666"/>
      <c r="DM5" s="666"/>
      <c r="DN5" s="666"/>
      <c r="DO5" s="666"/>
      <c r="DP5" s="666"/>
    </row>
    <row r="6" spans="1:170" ht="29" x14ac:dyDescent="0.35">
      <c r="A6" s="67" t="str" cm="1">
        <f t="array" aca="1" ref="A6" ca="1">HYPERLINK(CONCATENATE("#",CELL("address",CM7)),"Check")</f>
        <v>Check</v>
      </c>
      <c r="B6" s="13"/>
      <c r="C6" s="13" t="s">
        <v>183</v>
      </c>
      <c r="D6" s="13" t="s">
        <v>19</v>
      </c>
      <c r="E6" s="37" t="s">
        <v>470</v>
      </c>
      <c r="F6" s="37" t="s">
        <v>471</v>
      </c>
      <c r="G6" s="23" t="s">
        <v>472</v>
      </c>
      <c r="H6" s="13" t="s">
        <v>313</v>
      </c>
      <c r="I6" s="23" t="s">
        <v>473</v>
      </c>
      <c r="J6" s="23" t="s">
        <v>474</v>
      </c>
      <c r="K6" s="23" t="s">
        <v>475</v>
      </c>
      <c r="L6" s="23" t="s">
        <v>476</v>
      </c>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64"/>
      <c r="CO6" s="664"/>
      <c r="CP6" s="664"/>
      <c r="CQ6" s="664"/>
      <c r="CR6" s="664"/>
      <c r="CS6" s="664"/>
      <c r="CT6" s="664"/>
      <c r="CU6" s="663"/>
      <c r="CV6" s="673"/>
      <c r="CW6" s="676"/>
      <c r="CX6" s="678"/>
      <c r="CY6" s="673"/>
      <c r="CZ6" s="676"/>
      <c r="DA6" s="678"/>
      <c r="DB6" s="675"/>
      <c r="DC6" s="673"/>
      <c r="DD6" s="262"/>
      <c r="DE6" s="671"/>
      <c r="DF6" s="671"/>
      <c r="DG6" s="671"/>
      <c r="DH6" s="671"/>
      <c r="DI6" s="671"/>
      <c r="DJ6" s="671"/>
      <c r="DK6" s="671"/>
      <c r="DL6" s="671"/>
      <c r="DM6" s="671"/>
      <c r="DN6" s="671"/>
      <c r="DO6" s="671"/>
      <c r="DP6" s="671"/>
    </row>
    <row r="7" spans="1:170" x14ac:dyDescent="0.35">
      <c r="B7" s="97" t="s">
        <v>184</v>
      </c>
      <c r="E7" s="85" t="s">
        <v>122</v>
      </c>
      <c r="G7" s="133" t="str">
        <f>Annual</f>
        <v>Annual</v>
      </c>
      <c r="I7" s="38">
        <f ca="1">IF(COUNTIF($G$8:$G$186,$G$7)=0, 0, 1)</f>
        <v>0</v>
      </c>
      <c r="J7" s="85" t="s">
        <v>122</v>
      </c>
      <c r="K7" s="85" t="s">
        <v>122</v>
      </c>
      <c r="L7" s="85" t="s">
        <v>122</v>
      </c>
      <c r="AA7" s="85" t="s">
        <v>122</v>
      </c>
      <c r="BY7" s="6"/>
      <c r="CK7" s="35"/>
      <c r="CL7" s="85" t="s">
        <v>122</v>
      </c>
      <c r="CM7" s="35"/>
      <c r="CN7" s="85" t="s">
        <v>122</v>
      </c>
      <c r="CO7" s="85" t="s">
        <v>122</v>
      </c>
      <c r="CP7" s="85" t="s">
        <v>122</v>
      </c>
      <c r="CQ7" s="85" t="s">
        <v>122</v>
      </c>
      <c r="CR7" s="85"/>
      <c r="CS7" s="85" t="s">
        <v>122</v>
      </c>
      <c r="CT7" s="85" t="s">
        <v>122</v>
      </c>
      <c r="CU7" s="35"/>
    </row>
    <row r="8" spans="1:170" x14ac:dyDescent="0.35">
      <c r="A8" s="34"/>
      <c r="B8" s="34"/>
      <c r="C8" s="230"/>
      <c r="D8" s="34" t="s">
        <v>314</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U8" s="11"/>
      <c r="FN8" s="10" t="str">
        <f t="shared" ref="FN8:FN39" si="1">IF($C8="","",$D8)</f>
        <v/>
      </c>
    </row>
    <row r="9" spans="1:170" ht="22.5" customHeight="1" x14ac:dyDescent="0.35">
      <c r="C9" s="229"/>
      <c r="BY9" s="6"/>
      <c r="CK9" s="11"/>
      <c r="CM9" s="11"/>
      <c r="CU9" s="11"/>
      <c r="FN9" s="10" t="str">
        <f t="shared" si="1"/>
        <v/>
      </c>
    </row>
    <row r="10" spans="1:170" x14ac:dyDescent="0.35">
      <c r="B10" s="5"/>
      <c r="C10" s="211"/>
      <c r="D10" s="61" t="s">
        <v>315</v>
      </c>
      <c r="K10" s="2"/>
      <c r="L10" s="2"/>
      <c r="M10" s="2"/>
      <c r="N10" s="2"/>
      <c r="O10" s="2"/>
      <c r="P10" s="2"/>
      <c r="Q10" s="2"/>
      <c r="CK10" s="11"/>
      <c r="CM10" s="11"/>
      <c r="CU10" s="11"/>
      <c r="FN10" s="10" t="str">
        <f t="shared" si="1"/>
        <v/>
      </c>
    </row>
    <row r="11" spans="1:170" x14ac:dyDescent="0.35">
      <c r="A11" s="220" cm="1">
        <f t="array" aca="1" ref="A11" ca="1">HYPERLINK(CONCATENATE("#",CELL("address",IF(MAX($CM11:$CU11)=0,A11,INDEX($CM11:$CU11,MATCH(1,$CM11:$CU11,0))))),MAX($CM11:$CU11))</f>
        <v>0</v>
      </c>
      <c r="C11" s="213" t="s">
        <v>477</v>
      </c>
      <c r="D11" s="57" t="s">
        <v>316</v>
      </c>
      <c r="E11" s="114"/>
      <c r="F11" s="79" t="str" cm="1">
        <f t="array" aca="1" ref="F11" ca="1">IF(E11="", "", HYPERLINK(CONCATENATE("#",CELL("address",INDEX('I&amp;E Profiles'!$D$9:$D$93,'I&amp;E Annual'!I11))),E11))</f>
        <v/>
      </c>
      <c r="G11" s="131"/>
      <c r="H11" t="s">
        <v>317</v>
      </c>
      <c r="I11" s="132" t="str">
        <f>IF(E11="", "", MATCH(E11, 'I&amp;E Profiles'!$D$96:$D$180,0))</f>
        <v/>
      </c>
      <c r="J11" s="133">
        <f>IF($G11=$G$7, W11,'I&amp;E Monthly'!W11)-SUMIFS('I&amp;E Monthly'!$AA11:$BJ11, 'I&amp;E Monthly'!$AA$3:$BJ$3, 'I&amp;E Annual'!W$3, 'I&amp;E Monthly'!$AA$4:$BJ$4, 0)</f>
        <v>0</v>
      </c>
      <c r="K11" s="133">
        <f>IF($G11=$G$7, X11,'I&amp;E Monthly'!X11)-SUMIFS('I&amp;E Monthly'!$AA11:$BJ11, 'I&amp;E Monthly'!$AA$3:$BJ$3, 'I&amp;E Annual'!X$3, 'I&amp;E Monthly'!$AA$4:$BJ$4, 0)</f>
        <v>0</v>
      </c>
      <c r="L11" s="133">
        <f>IF($G11=$G$7, Y11,'I&amp;E Monthly'!Y11)-SUMIFS('I&amp;E Monthly'!$AA11:$BJ11, 'I&amp;E Monthly'!$AA$3:$BJ$3, 'I&amp;E Annual'!Y$3, 'I&amp;E Monthly'!$AA$4:$BJ$4, 0)</f>
        <v>0</v>
      </c>
      <c r="Q11" s="2"/>
      <c r="V11" s="133">
        <f>'I&amp;E Monthly'!V11</f>
        <v>0</v>
      </c>
      <c r="W11" s="114"/>
      <c r="X11" s="521"/>
      <c r="Y11" s="131"/>
      <c r="AA11" s="10" cm="1">
        <f t="array" ref="AA11">IF(OR(AA$4=0, $G11&lt;&gt; $G$7, $E11=0), 'I&amp;E Monthly'!AA11, CHOOSE(Timeline!AA$30,$J11,$K11,$L11 )*INDEX('I&amp;E Profiles'!AA$96:AA$180,$I11))</f>
        <v>0</v>
      </c>
      <c r="AB11" s="10" cm="1">
        <f t="array" ref="AB11">IF(OR(AB$4=0, $G11&lt;&gt; $G$7, $E11=0), 'I&amp;E Monthly'!AB11, CHOOSE(Timeline!AB$30,$J11,$K11,$L11 )*INDEX('I&amp;E Profiles'!AB$96:AB$180,$I11))</f>
        <v>0</v>
      </c>
      <c r="AC11" s="10" cm="1">
        <f t="array" ref="AC11">IF(OR(AC$4=0, $G11&lt;&gt; $G$7, $E11=0), 'I&amp;E Monthly'!AC11, CHOOSE(Timeline!AC$30,$J11,$K11,$L11 )*INDEX('I&amp;E Profiles'!AC$96:AC$180,$I11))</f>
        <v>0</v>
      </c>
      <c r="AD11" s="10" cm="1">
        <f t="array" ref="AD11">IF(OR(AD$4=0, $G11&lt;&gt; $G$7, $E11=0), 'I&amp;E Monthly'!AD11, CHOOSE(Timeline!AD$30,$J11,$K11,$L11 )*INDEX('I&amp;E Profiles'!AD$96:AD$180,$I11))</f>
        <v>0</v>
      </c>
      <c r="AE11" s="10" cm="1">
        <f t="array" ref="AE11">IF(OR(AE$4=0, $G11&lt;&gt; $G$7, $E11=0), 'I&amp;E Monthly'!AE11, CHOOSE(Timeline!AE$30,$J11,$K11,$L11 )*INDEX('I&amp;E Profiles'!AE$96:AE$180,$I11))</f>
        <v>0</v>
      </c>
      <c r="AF11" s="10" cm="1">
        <f t="array" ref="AF11">IF(OR(AF$4=0, $G11&lt;&gt; $G$7, $E11=0), 'I&amp;E Monthly'!AF11, CHOOSE(Timeline!AF$30,$J11,$K11,$L11 )*INDEX('I&amp;E Profiles'!AF$96:AF$180,$I11))</f>
        <v>0</v>
      </c>
      <c r="AG11" s="10" cm="1">
        <f t="array" ref="AG11">IF(OR(AG$4=0, $G11&lt;&gt; $G$7, $E11=0), 'I&amp;E Monthly'!AG11, CHOOSE(Timeline!AG$30,$J11,$K11,$L11 )*INDEX('I&amp;E Profiles'!AG$96:AG$180,$I11))</f>
        <v>0</v>
      </c>
      <c r="AH11" s="10" cm="1">
        <f t="array" ref="AH11">IF(OR(AH$4=0, $G11&lt;&gt; $G$7, $E11=0), 'I&amp;E Monthly'!AH11, CHOOSE(Timeline!AH$30,$J11,$K11,$L11 )*INDEX('I&amp;E Profiles'!AH$96:AH$180,$I11))</f>
        <v>0</v>
      </c>
      <c r="AI11" s="10" cm="1">
        <f t="array" ref="AI11">IF(OR(AI$4=0, $G11&lt;&gt; $G$7, $E11=0), 'I&amp;E Monthly'!AI11, CHOOSE(Timeline!AI$30,$J11,$K11,$L11 )*INDEX('I&amp;E Profiles'!AI$96:AI$180,$I11))</f>
        <v>0</v>
      </c>
      <c r="AJ11" s="10" cm="1">
        <f t="array" ref="AJ11">IF(OR(AJ$4=0, $G11&lt;&gt; $G$7, $E11=0), 'I&amp;E Monthly'!AJ11, CHOOSE(Timeline!AJ$30,$J11,$K11,$L11 )*INDEX('I&amp;E Profiles'!AJ$96:AJ$180,$I11))</f>
        <v>0</v>
      </c>
      <c r="AK11" s="10" cm="1">
        <f t="array" ref="AK11">IF(OR(AK$4=0, $G11&lt;&gt; $G$7, $E11=0), 'I&amp;E Monthly'!AK11, CHOOSE(Timeline!AK$30,$J11,$K11,$L11 )*INDEX('I&amp;E Profiles'!AK$96:AK$180,$I11))</f>
        <v>0</v>
      </c>
      <c r="AL11" s="10" cm="1">
        <f t="array" ref="AL11">IF(OR(AL$4=0, $G11&lt;&gt; $G$7, $E11=0), 'I&amp;E Monthly'!AL11, CHOOSE(Timeline!AL$30,$J11,$K11,$L11 )*INDEX('I&amp;E Profiles'!AL$96:AL$180,$I11))</f>
        <v>0</v>
      </c>
      <c r="AM11" s="10" cm="1">
        <f t="array" ref="AM11">IF(OR(AM$4=0, $G11&lt;&gt; $G$7, $E11=0), 'I&amp;E Monthly'!AM11, CHOOSE(Timeline!AM$30,$J11,$K11,$L11 )*INDEX('I&amp;E Profiles'!AM$96:AM$180,$I11))</f>
        <v>0</v>
      </c>
      <c r="AN11" s="10" cm="1">
        <f t="array" ref="AN11">IF(OR(AN$4=0, $G11&lt;&gt; $G$7, $E11=0), 'I&amp;E Monthly'!AN11, CHOOSE(Timeline!AN$30,$J11,$K11,$L11 )*INDEX('I&amp;E Profiles'!AN$96:AN$180,$I11))</f>
        <v>0</v>
      </c>
      <c r="AO11" s="10" cm="1">
        <f t="array" ref="AO11">IF(OR(AO$4=0, $G11&lt;&gt; $G$7, $E11=0), 'I&amp;E Monthly'!AO11, CHOOSE(Timeline!AO$30,$J11,$K11,$L11 )*INDEX('I&amp;E Profiles'!AO$96:AO$180,$I11))</f>
        <v>0</v>
      </c>
      <c r="AP11" s="10" cm="1">
        <f t="array" ref="AP11">IF(OR(AP$4=0, $G11&lt;&gt; $G$7, $E11=0), 'I&amp;E Monthly'!AP11, CHOOSE(Timeline!AP$30,$J11,$K11,$L11 )*INDEX('I&amp;E Profiles'!AP$96:AP$180,$I11))</f>
        <v>0</v>
      </c>
      <c r="AQ11" s="10" cm="1">
        <f t="array" ref="AQ11">IF(OR(AQ$4=0, $G11&lt;&gt; $G$7, $E11=0), 'I&amp;E Monthly'!AQ11, CHOOSE(Timeline!AQ$30,$J11,$K11,$L11 )*INDEX('I&amp;E Profiles'!AQ$96:AQ$180,$I11))</f>
        <v>0</v>
      </c>
      <c r="AR11" s="10" cm="1">
        <f t="array" ref="AR11">IF(OR(AR$4=0, $G11&lt;&gt; $G$7, $E11=0), 'I&amp;E Monthly'!AR11, CHOOSE(Timeline!AR$30,$J11,$K11,$L11 )*INDEX('I&amp;E Profiles'!AR$96:AR$180,$I11))</f>
        <v>0</v>
      </c>
      <c r="AS11" s="10" cm="1">
        <f t="array" ref="AS11">IF(OR(AS$4=0, $G11&lt;&gt; $G$7, $E11=0), 'I&amp;E Monthly'!AS11, CHOOSE(Timeline!AS$30,$J11,$K11,$L11 )*INDEX('I&amp;E Profiles'!AS$96:AS$180,$I11))</f>
        <v>0</v>
      </c>
      <c r="AT11" s="10" cm="1">
        <f t="array" ref="AT11">IF(OR(AT$4=0, $G11&lt;&gt; $G$7, $E11=0), 'I&amp;E Monthly'!AT11, CHOOSE(Timeline!AT$30,$J11,$K11,$L11 )*INDEX('I&amp;E Profiles'!AT$96:AT$180,$I11))</f>
        <v>0</v>
      </c>
      <c r="AU11" s="10" cm="1">
        <f t="array" ref="AU11">IF(OR(AU$4=0, $G11&lt;&gt; $G$7, $E11=0), 'I&amp;E Monthly'!AU11, CHOOSE(Timeline!AU$30,$J11,$K11,$L11 )*INDEX('I&amp;E Profiles'!AU$96:AU$180,$I11))</f>
        <v>0</v>
      </c>
      <c r="AV11" s="10" cm="1">
        <f t="array" ref="AV11">IF(OR(AV$4=0, $G11&lt;&gt; $G$7, $E11=0), 'I&amp;E Monthly'!AV11, CHOOSE(Timeline!AV$30,$J11,$K11,$L11 )*INDEX('I&amp;E Profiles'!AV$96:AV$180,$I11))</f>
        <v>0</v>
      </c>
      <c r="AW11" s="10" cm="1">
        <f t="array" ref="AW11">IF(OR(AW$4=0, $G11&lt;&gt; $G$7, $E11=0), 'I&amp;E Monthly'!AW11, CHOOSE(Timeline!AW$30,$J11,$K11,$L11 )*INDEX('I&amp;E Profiles'!AW$96:AW$180,$I11))</f>
        <v>0</v>
      </c>
      <c r="AX11" s="10" cm="1">
        <f t="array" ref="AX11">IF(OR(AX$4=0, $G11&lt;&gt; $G$7, $E11=0), 'I&amp;E Monthly'!AX11, CHOOSE(Timeline!AX$30,$J11,$K11,$L11 )*INDEX('I&amp;E Profiles'!AX$96:AX$180,$I11))</f>
        <v>0</v>
      </c>
      <c r="AY11" s="10" cm="1">
        <f t="array" ref="AY11">IF(OR(AY$4=0, $G11&lt;&gt; $G$7, $E11=0), 'I&amp;E Monthly'!AY11, CHOOSE(Timeline!AY$30,$J11,$K11,$L11 )*INDEX('I&amp;E Profiles'!AY$96:AY$180,$I11))</f>
        <v>0</v>
      </c>
      <c r="AZ11" s="10" cm="1">
        <f t="array" ref="AZ11">IF(OR(AZ$4=0, $G11&lt;&gt; $G$7, $E11=0), 'I&amp;E Monthly'!AZ11, CHOOSE(Timeline!AZ$30,$J11,$K11,$L11 )*INDEX('I&amp;E Profiles'!AZ$96:AZ$180,$I11))</f>
        <v>0</v>
      </c>
      <c r="BA11" s="10" cm="1">
        <f t="array" ref="BA11">IF(OR(BA$4=0, $G11&lt;&gt; $G$7, $E11=0), 'I&amp;E Monthly'!BA11, CHOOSE(Timeline!BA$30,$J11,$K11,$L11 )*INDEX('I&amp;E Profiles'!BA$96:BA$180,$I11))</f>
        <v>0</v>
      </c>
      <c r="BB11" s="10" cm="1">
        <f t="array" ref="BB11">IF(OR(BB$4=0, $G11&lt;&gt; $G$7, $E11=0), 'I&amp;E Monthly'!BB11, CHOOSE(Timeline!BB$30,$J11,$K11,$L11 )*INDEX('I&amp;E Profiles'!BB$96:BB$180,$I11))</f>
        <v>0</v>
      </c>
      <c r="BC11" s="10" cm="1">
        <f t="array" ref="BC11">IF(OR(BC$4=0, $G11&lt;&gt; $G$7, $E11=0), 'I&amp;E Monthly'!BC11, CHOOSE(Timeline!BC$30,$J11,$K11,$L11 )*INDEX('I&amp;E Profiles'!BC$96:BC$180,$I11))</f>
        <v>0</v>
      </c>
      <c r="BD11" s="10" cm="1">
        <f t="array" ref="BD11">IF(OR(BD$4=0, $G11&lt;&gt; $G$7, $E11=0), 'I&amp;E Monthly'!BD11, CHOOSE(Timeline!BD$30,$J11,$K11,$L11 )*INDEX('I&amp;E Profiles'!BD$96:BD$180,$I11))</f>
        <v>0</v>
      </c>
      <c r="BE11" s="10" cm="1">
        <f t="array" ref="BE11">IF(OR(BE$4=0, $G11&lt;&gt; $G$7, $E11=0), 'I&amp;E Monthly'!BE11, CHOOSE(Timeline!BE$30,$J11,$K11,$L11 )*INDEX('I&amp;E Profiles'!BE$96:BE$180,$I11))</f>
        <v>0</v>
      </c>
      <c r="BF11" s="10" cm="1">
        <f t="array" ref="BF11">IF(OR(BF$4=0, $G11&lt;&gt; $G$7, $E11=0), 'I&amp;E Monthly'!BF11, CHOOSE(Timeline!BF$30,$J11,$K11,$L11 )*INDEX('I&amp;E Profiles'!BF$96:BF$180,$I11))</f>
        <v>0</v>
      </c>
      <c r="BG11" s="10" cm="1">
        <f t="array" ref="BG11">IF(OR(BG$4=0, $G11&lt;&gt; $G$7, $E11=0), 'I&amp;E Monthly'!BG11, CHOOSE(Timeline!BG$30,$J11,$K11,$L11 )*INDEX('I&amp;E Profiles'!BG$96:BG$180,$I11))</f>
        <v>0</v>
      </c>
      <c r="BH11" s="10" cm="1">
        <f t="array" ref="BH11">IF(OR(BH$4=0, $G11&lt;&gt; $G$7, $E11=0), 'I&amp;E Monthly'!BH11, CHOOSE(Timeline!BH$30,$J11,$K11,$L11 )*INDEX('I&amp;E Profiles'!BH$96:BH$180,$I11))</f>
        <v>0</v>
      </c>
      <c r="BI11" s="10" cm="1">
        <f t="array" ref="BI11">IF(OR(BI$4=0, $G11&lt;&gt; $G$7, $E11=0), 'I&amp;E Monthly'!BI11, CHOOSE(Timeline!BI$30,$J11,$K11,$L11 )*INDEX('I&amp;E Profiles'!BI$96:BI$180,$I11))</f>
        <v>0</v>
      </c>
      <c r="BJ11" s="10" cm="1">
        <f t="array" ref="BJ11">IF(OR(BJ$4=0, $G11&lt;&gt; $G$7, $E11=0), 'I&amp;E Monthly'!BJ11, CHOOSE(Timeline!BJ$30,$J11,$K11,$L11 )*INDEX('I&amp;E Profiles'!BJ$96:BJ$180,$I11))</f>
        <v>0</v>
      </c>
      <c r="BX11" s="12">
        <f>V11</f>
        <v>0</v>
      </c>
      <c r="BY11" s="10">
        <f t="shared" ref="BY11:CA12" si="2">SUMIFS($AA11:$BJ11, $AA$3:$BJ$3,BY$3)</f>
        <v>0</v>
      </c>
      <c r="BZ11" s="10">
        <f t="shared" si="2"/>
        <v>0</v>
      </c>
      <c r="CA11" s="10">
        <f t="shared" si="2"/>
        <v>0</v>
      </c>
      <c r="CB11" s="12">
        <f>'I&amp;E Monthly'!CB11</f>
        <v>0</v>
      </c>
      <c r="CC11" s="12">
        <f>'I&amp;E Monthly'!CC11</f>
        <v>0</v>
      </c>
      <c r="CD11" s="12">
        <f>'I&amp;E Monthly'!CD11</f>
        <v>0</v>
      </c>
      <c r="CE11" s="12">
        <f>'I&amp;E Monthly'!CE11</f>
        <v>0</v>
      </c>
      <c r="CF11" s="12">
        <f>'I&amp;E Monthly'!CF11</f>
        <v>0</v>
      </c>
      <c r="CG11" s="12">
        <f>'I&amp;E Monthly'!CG11</f>
        <v>0</v>
      </c>
      <c r="CH11" s="12">
        <f>'I&amp;E Monthly'!CH11</f>
        <v>0</v>
      </c>
      <c r="CI11" s="12">
        <f>'I&amp;E Monthly'!CI11</f>
        <v>0</v>
      </c>
      <c r="CK11" s="11"/>
      <c r="CL11" s="221">
        <f ca="1">IF(MIN($V11:$CI11)&lt;0, 1, 0)*$I$7</f>
        <v>0</v>
      </c>
      <c r="CM11" s="11"/>
      <c r="CN11" s="7">
        <f>IF(AND($G11=$G$7,$E11=""), 1, 0)</f>
        <v>0</v>
      </c>
      <c r="CO11" s="7" cm="1">
        <f t="array" ref="CO11">SUMPRODUCT(--NOT(ISNUMBER(W11:Y11)),--NOT(ISBLANK(W11:Y11)))</f>
        <v>0</v>
      </c>
      <c r="CP11" s="7" cm="1">
        <f t="array" ref="CP11">IF(E11="",0, IF(IFERROR(INDEX('I&amp;E Profiles'!$D$96:$D$180, $I11), "N/A")="N/A", 1, 0))</f>
        <v>0</v>
      </c>
      <c r="CQ11" s="7">
        <f>IF(SUM($CV11:$CX11)=0, 0, 1)</f>
        <v>0</v>
      </c>
      <c r="CS11" s="7">
        <f>IF(SUM($CY11:$DA11)=0, 0, 1)</f>
        <v>0</v>
      </c>
      <c r="CT11" s="7">
        <f>IF(DB11=0, 0, 1)</f>
        <v>0</v>
      </c>
      <c r="CU11" s="11"/>
      <c r="CV11" s="215">
        <f t="shared" ref="CV11:CX14" si="3">IF($G11=$G$7, ROUND(W11-SUMIFS($AA11:$BJ11, $AA$3:$BJ$3, W$3), rounding), 0)</f>
        <v>0</v>
      </c>
      <c r="CW11" s="215">
        <f t="shared" si="3"/>
        <v>0</v>
      </c>
      <c r="CX11" s="215">
        <f t="shared" si="3"/>
        <v>0</v>
      </c>
      <c r="CY11" s="215">
        <f>ROUND($BY11-SUMIFS($AA11:$BJ11, $AA$3:$BJ$3, $BY$3), rounding)</f>
        <v>0</v>
      </c>
      <c r="CZ11" s="215">
        <f>ROUND($BZ11-SUMIFS($AA11:$BJ11, $AA$3:$BJ$3, $BZ$3), rounding)</f>
        <v>0</v>
      </c>
      <c r="DA11" s="215">
        <f>ROUND($CA11-SUMIFS($AA11:$BJ11, $AA$3:$BJ$3, $CA$3), rounding)</f>
        <v>0</v>
      </c>
      <c r="DB11" s="215">
        <f>ROUND($V11-$BX11, rounding)</f>
        <v>0</v>
      </c>
      <c r="FN11" s="10" t="str">
        <f t="shared" si="1"/>
        <v>14-16 funding</v>
      </c>
    </row>
    <row r="12" spans="1:170" x14ac:dyDescent="0.35">
      <c r="A12" s="220" cm="1">
        <f t="array" aca="1" ref="A12" ca="1">HYPERLINK(CONCATENATE("#",CELL("address",IF(MAX($CM12:$CU12)=0,A12,INDEX($CM12:$CU12,MATCH(1,$CM12:$CU12,0))))),MAX($CM12:$CU12))</f>
        <v>0</v>
      </c>
      <c r="C12" s="213" t="s">
        <v>478</v>
      </c>
      <c r="D12" s="57" t="s">
        <v>318</v>
      </c>
      <c r="E12" s="114"/>
      <c r="F12" s="79" t="str" cm="1">
        <f t="array" aca="1" ref="F12" ca="1">IF(E12="", "", HYPERLINK(CONCATENATE("#",CELL("address",INDEX('I&amp;E Profiles'!$D$9:$D$93,'I&amp;E Annual'!I12))),E12))</f>
        <v/>
      </c>
      <c r="G12" s="114"/>
      <c r="H12" t="s">
        <v>317</v>
      </c>
      <c r="I12" s="132" t="str">
        <f>IF(E12="", "", MATCH(E12, 'I&amp;E Profiles'!$D$96:$D$180,0))</f>
        <v/>
      </c>
      <c r="J12" s="133">
        <f>IF($G12=$G$7, W12,'I&amp;E Monthly'!W12)-SUMIFS('I&amp;E Monthly'!$AA12:$BJ12, 'I&amp;E Monthly'!$AA$3:$BJ$3, 'I&amp;E Annual'!W$3, 'I&amp;E Monthly'!$AA$4:$BJ$4, 0)</f>
        <v>0</v>
      </c>
      <c r="K12" s="133">
        <f>IF($G12=$G$7, X12,'I&amp;E Monthly'!X12)-SUMIFS('I&amp;E Monthly'!$AA12:$BJ12, 'I&amp;E Monthly'!$AA$3:$BJ$3, 'I&amp;E Annual'!X$3, 'I&amp;E Monthly'!$AA$4:$BJ$4, 0)</f>
        <v>0</v>
      </c>
      <c r="L12" s="133">
        <f>IF($G12=$G$7, Y12,'I&amp;E Monthly'!Y12)-SUMIFS('I&amp;E Monthly'!$AA12:$BJ12, 'I&amp;E Monthly'!$AA$3:$BJ$3, 'I&amp;E Annual'!Y$3, 'I&amp;E Monthly'!$AA$4:$BJ$4, 0)</f>
        <v>0</v>
      </c>
      <c r="Q12" s="2"/>
      <c r="V12" s="133">
        <f>'I&amp;E Monthly'!V12</f>
        <v>0</v>
      </c>
      <c r="W12" s="114"/>
      <c r="X12" s="131"/>
      <c r="Y12" s="131"/>
      <c r="AA12" s="10" cm="1">
        <f t="array" ref="AA12">IF(OR(AA$4=0, $G12&lt;&gt; $G$7, $E12=0), 'I&amp;E Monthly'!AA12, CHOOSE(Timeline!AA$30,$J12,$K12,$L12 )*INDEX('I&amp;E Profiles'!AA$96:AA$180,$I12))</f>
        <v>0</v>
      </c>
      <c r="AB12" s="10" cm="1">
        <f t="array" ref="AB12">IF(OR(AB$4=0, $G12&lt;&gt; $G$7, $E12=0), 'I&amp;E Monthly'!AB12, CHOOSE(Timeline!AB$30,$J12,$K12,$L12 )*INDEX('I&amp;E Profiles'!AB$96:AB$180,$I12))</f>
        <v>0</v>
      </c>
      <c r="AC12" s="10" cm="1">
        <f t="array" ref="AC12">IF(OR(AC$4=0, $G12&lt;&gt; $G$7, $E12=0), 'I&amp;E Monthly'!AC12, CHOOSE(Timeline!AC$30,$J12,$K12,$L12 )*INDEX('I&amp;E Profiles'!AC$96:AC$180,$I12))</f>
        <v>0</v>
      </c>
      <c r="AD12" s="10" cm="1">
        <f t="array" ref="AD12">IF(OR(AD$4=0, $G12&lt;&gt; $G$7, $E12=0), 'I&amp;E Monthly'!AD12, CHOOSE(Timeline!AD$30,$J12,$K12,$L12 )*INDEX('I&amp;E Profiles'!AD$96:AD$180,$I12))</f>
        <v>0</v>
      </c>
      <c r="AE12" s="10" cm="1">
        <f t="array" ref="AE12">IF(OR(AE$4=0, $G12&lt;&gt; $G$7, $E12=0), 'I&amp;E Monthly'!AE12, CHOOSE(Timeline!AE$30,$J12,$K12,$L12 )*INDEX('I&amp;E Profiles'!AE$96:AE$180,$I12))</f>
        <v>0</v>
      </c>
      <c r="AF12" s="10" cm="1">
        <f t="array" ref="AF12">IF(OR(AF$4=0, $G12&lt;&gt; $G$7, $E12=0), 'I&amp;E Monthly'!AF12, CHOOSE(Timeline!AF$30,$J12,$K12,$L12 )*INDEX('I&amp;E Profiles'!AF$96:AF$180,$I12))</f>
        <v>0</v>
      </c>
      <c r="AG12" s="10" cm="1">
        <f t="array" ref="AG12">IF(OR(AG$4=0, $G12&lt;&gt; $G$7, $E12=0), 'I&amp;E Monthly'!AG12, CHOOSE(Timeline!AG$30,$J12,$K12,$L12 )*INDEX('I&amp;E Profiles'!AG$96:AG$180,$I12))</f>
        <v>0</v>
      </c>
      <c r="AH12" s="10" cm="1">
        <f t="array" ref="AH12">IF(OR(AH$4=0, $G12&lt;&gt; $G$7, $E12=0), 'I&amp;E Monthly'!AH12, CHOOSE(Timeline!AH$30,$J12,$K12,$L12 )*INDEX('I&amp;E Profiles'!AH$96:AH$180,$I12))</f>
        <v>0</v>
      </c>
      <c r="AI12" s="10" cm="1">
        <f t="array" ref="AI12">IF(OR(AI$4=0, $G12&lt;&gt; $G$7, $E12=0), 'I&amp;E Monthly'!AI12, CHOOSE(Timeline!AI$30,$J12,$K12,$L12 )*INDEX('I&amp;E Profiles'!AI$96:AI$180,$I12))</f>
        <v>0</v>
      </c>
      <c r="AJ12" s="10" cm="1">
        <f t="array" ref="AJ12">IF(OR(AJ$4=0, $G12&lt;&gt; $G$7, $E12=0), 'I&amp;E Monthly'!AJ12, CHOOSE(Timeline!AJ$30,$J12,$K12,$L12 )*INDEX('I&amp;E Profiles'!AJ$96:AJ$180,$I12))</f>
        <v>0</v>
      </c>
      <c r="AK12" s="10" cm="1">
        <f t="array" ref="AK12">IF(OR(AK$4=0, $G12&lt;&gt; $G$7, $E12=0), 'I&amp;E Monthly'!AK12, CHOOSE(Timeline!AK$30,$J12,$K12,$L12 )*INDEX('I&amp;E Profiles'!AK$96:AK$180,$I12))</f>
        <v>0</v>
      </c>
      <c r="AL12" s="10" cm="1">
        <f t="array" ref="AL12">IF(OR(AL$4=0, $G12&lt;&gt; $G$7, $E12=0), 'I&amp;E Monthly'!AL12, CHOOSE(Timeline!AL$30,$J12,$K12,$L12 )*INDEX('I&amp;E Profiles'!AL$96:AL$180,$I12))</f>
        <v>0</v>
      </c>
      <c r="AM12" s="10" cm="1">
        <f t="array" ref="AM12">IF(OR(AM$4=0, $G12&lt;&gt; $G$7, $E12=0), 'I&amp;E Monthly'!AM12, CHOOSE(Timeline!AM$30,$J12,$K12,$L12 )*INDEX('I&amp;E Profiles'!AM$96:AM$180,$I12))</f>
        <v>0</v>
      </c>
      <c r="AN12" s="10" cm="1">
        <f t="array" ref="AN12">IF(OR(AN$4=0, $G12&lt;&gt; $G$7, $E12=0), 'I&amp;E Monthly'!AN12, CHOOSE(Timeline!AN$30,$J12,$K12,$L12 )*INDEX('I&amp;E Profiles'!AN$96:AN$180,$I12))</f>
        <v>0</v>
      </c>
      <c r="AO12" s="10" cm="1">
        <f t="array" ref="AO12">IF(OR(AO$4=0, $G12&lt;&gt; $G$7, $E12=0), 'I&amp;E Monthly'!AO12, CHOOSE(Timeline!AO$30,$J12,$K12,$L12 )*INDEX('I&amp;E Profiles'!AO$96:AO$180,$I12))</f>
        <v>0</v>
      </c>
      <c r="AP12" s="10" cm="1">
        <f t="array" ref="AP12">IF(OR(AP$4=0, $G12&lt;&gt; $G$7, $E12=0), 'I&amp;E Monthly'!AP12, CHOOSE(Timeline!AP$30,$J12,$K12,$L12 )*INDEX('I&amp;E Profiles'!AP$96:AP$180,$I12))</f>
        <v>0</v>
      </c>
      <c r="AQ12" s="10" cm="1">
        <f t="array" ref="AQ12">IF(OR(AQ$4=0, $G12&lt;&gt; $G$7, $E12=0), 'I&amp;E Monthly'!AQ12, CHOOSE(Timeline!AQ$30,$J12,$K12,$L12 )*INDEX('I&amp;E Profiles'!AQ$96:AQ$180,$I12))</f>
        <v>0</v>
      </c>
      <c r="AR12" s="10" cm="1">
        <f t="array" ref="AR12">IF(OR(AR$4=0, $G12&lt;&gt; $G$7, $E12=0), 'I&amp;E Monthly'!AR12, CHOOSE(Timeline!AR$30,$J12,$K12,$L12 )*INDEX('I&amp;E Profiles'!AR$96:AR$180,$I12))</f>
        <v>0</v>
      </c>
      <c r="AS12" s="10" cm="1">
        <f t="array" ref="AS12">IF(OR(AS$4=0, $G12&lt;&gt; $G$7, $E12=0), 'I&amp;E Monthly'!AS12, CHOOSE(Timeline!AS$30,$J12,$K12,$L12 )*INDEX('I&amp;E Profiles'!AS$96:AS$180,$I12))</f>
        <v>0</v>
      </c>
      <c r="AT12" s="10" cm="1">
        <f t="array" ref="AT12">IF(OR(AT$4=0, $G12&lt;&gt; $G$7, $E12=0), 'I&amp;E Monthly'!AT12, CHOOSE(Timeline!AT$30,$J12,$K12,$L12 )*INDEX('I&amp;E Profiles'!AT$96:AT$180,$I12))</f>
        <v>0</v>
      </c>
      <c r="AU12" s="10" cm="1">
        <f t="array" ref="AU12">IF(OR(AU$4=0, $G12&lt;&gt; $G$7, $E12=0), 'I&amp;E Monthly'!AU12, CHOOSE(Timeline!AU$30,$J12,$K12,$L12 )*INDEX('I&amp;E Profiles'!AU$96:AU$180,$I12))</f>
        <v>0</v>
      </c>
      <c r="AV12" s="10" cm="1">
        <f t="array" ref="AV12">IF(OR(AV$4=0, $G12&lt;&gt; $G$7, $E12=0), 'I&amp;E Monthly'!AV12, CHOOSE(Timeline!AV$30,$J12,$K12,$L12 )*INDEX('I&amp;E Profiles'!AV$96:AV$180,$I12))</f>
        <v>0</v>
      </c>
      <c r="AW12" s="10" cm="1">
        <f t="array" ref="AW12">IF(OR(AW$4=0, $G12&lt;&gt; $G$7, $E12=0), 'I&amp;E Monthly'!AW12, CHOOSE(Timeline!AW$30,$J12,$K12,$L12 )*INDEX('I&amp;E Profiles'!AW$96:AW$180,$I12))</f>
        <v>0</v>
      </c>
      <c r="AX12" s="10" cm="1">
        <f t="array" ref="AX12">IF(OR(AX$4=0, $G12&lt;&gt; $G$7, $E12=0), 'I&amp;E Monthly'!AX12, CHOOSE(Timeline!AX$30,$J12,$K12,$L12 )*INDEX('I&amp;E Profiles'!AX$96:AX$180,$I12))</f>
        <v>0</v>
      </c>
      <c r="AY12" s="10" cm="1">
        <f t="array" ref="AY12">IF(OR(AY$4=0, $G12&lt;&gt; $G$7, $E12=0), 'I&amp;E Monthly'!AY12, CHOOSE(Timeline!AY$30,$J12,$K12,$L12 )*INDEX('I&amp;E Profiles'!AY$96:AY$180,$I12))</f>
        <v>0</v>
      </c>
      <c r="AZ12" s="10" cm="1">
        <f t="array" ref="AZ12">IF(OR(AZ$4=0, $G12&lt;&gt; $G$7, $E12=0), 'I&amp;E Monthly'!AZ12, CHOOSE(Timeline!AZ$30,$J12,$K12,$L12 )*INDEX('I&amp;E Profiles'!AZ$96:AZ$180,$I12))</f>
        <v>0</v>
      </c>
      <c r="BA12" s="10" cm="1">
        <f t="array" ref="BA12">IF(OR(BA$4=0, $G12&lt;&gt; $G$7, $E12=0), 'I&amp;E Monthly'!BA12, CHOOSE(Timeline!BA$30,$J12,$K12,$L12 )*INDEX('I&amp;E Profiles'!BA$96:BA$180,$I12))</f>
        <v>0</v>
      </c>
      <c r="BB12" s="10" cm="1">
        <f t="array" ref="BB12">IF(OR(BB$4=0, $G12&lt;&gt; $G$7, $E12=0), 'I&amp;E Monthly'!BB12, CHOOSE(Timeline!BB$30,$J12,$K12,$L12 )*INDEX('I&amp;E Profiles'!BB$96:BB$180,$I12))</f>
        <v>0</v>
      </c>
      <c r="BC12" s="10" cm="1">
        <f t="array" ref="BC12">IF(OR(BC$4=0, $G12&lt;&gt; $G$7, $E12=0), 'I&amp;E Monthly'!BC12, CHOOSE(Timeline!BC$30,$J12,$K12,$L12 )*INDEX('I&amp;E Profiles'!BC$96:BC$180,$I12))</f>
        <v>0</v>
      </c>
      <c r="BD12" s="10" cm="1">
        <f t="array" ref="BD12">IF(OR(BD$4=0, $G12&lt;&gt; $G$7, $E12=0), 'I&amp;E Monthly'!BD12, CHOOSE(Timeline!BD$30,$J12,$K12,$L12 )*INDEX('I&amp;E Profiles'!BD$96:BD$180,$I12))</f>
        <v>0</v>
      </c>
      <c r="BE12" s="10" cm="1">
        <f t="array" ref="BE12">IF(OR(BE$4=0, $G12&lt;&gt; $G$7, $E12=0), 'I&amp;E Monthly'!BE12, CHOOSE(Timeline!BE$30,$J12,$K12,$L12 )*INDEX('I&amp;E Profiles'!BE$96:BE$180,$I12))</f>
        <v>0</v>
      </c>
      <c r="BF12" s="10" cm="1">
        <f t="array" ref="BF12">IF(OR(BF$4=0, $G12&lt;&gt; $G$7, $E12=0), 'I&amp;E Monthly'!BF12, CHOOSE(Timeline!BF$30,$J12,$K12,$L12 )*INDEX('I&amp;E Profiles'!BF$96:BF$180,$I12))</f>
        <v>0</v>
      </c>
      <c r="BG12" s="10" cm="1">
        <f t="array" ref="BG12">IF(OR(BG$4=0, $G12&lt;&gt; $G$7, $E12=0), 'I&amp;E Monthly'!BG12, CHOOSE(Timeline!BG$30,$J12,$K12,$L12 )*INDEX('I&amp;E Profiles'!BG$96:BG$180,$I12))</f>
        <v>0</v>
      </c>
      <c r="BH12" s="10" cm="1">
        <f t="array" ref="BH12">IF(OR(BH$4=0, $G12&lt;&gt; $G$7, $E12=0), 'I&amp;E Monthly'!BH12, CHOOSE(Timeline!BH$30,$J12,$K12,$L12 )*INDEX('I&amp;E Profiles'!BH$96:BH$180,$I12))</f>
        <v>0</v>
      </c>
      <c r="BI12" s="10" cm="1">
        <f t="array" ref="BI12">IF(OR(BI$4=0, $G12&lt;&gt; $G$7, $E12=0), 'I&amp;E Monthly'!BI12, CHOOSE(Timeline!BI$30,$J12,$K12,$L12 )*INDEX('I&amp;E Profiles'!BI$96:BI$180,$I12))</f>
        <v>0</v>
      </c>
      <c r="BJ12" s="10" cm="1">
        <f t="array" ref="BJ12">IF(OR(BJ$4=0, $G12&lt;&gt; $G$7, $E12=0), 'I&amp;E Monthly'!BJ12, CHOOSE(Timeline!BJ$30,$J12,$K12,$L12 )*INDEX('I&amp;E Profiles'!BJ$96:BJ$180,$I12))</f>
        <v>0</v>
      </c>
      <c r="BX12" s="12">
        <f>V12</f>
        <v>0</v>
      </c>
      <c r="BY12" s="10">
        <f t="shared" si="2"/>
        <v>0</v>
      </c>
      <c r="BZ12" s="10">
        <f t="shared" si="2"/>
        <v>0</v>
      </c>
      <c r="CA12" s="10">
        <f t="shared" si="2"/>
        <v>0</v>
      </c>
      <c r="CB12" s="12">
        <f>'I&amp;E Monthly'!CB12</f>
        <v>0</v>
      </c>
      <c r="CC12" s="12">
        <f>'I&amp;E Monthly'!CC12</f>
        <v>0</v>
      </c>
      <c r="CD12" s="12">
        <f>'I&amp;E Monthly'!CD12</f>
        <v>0</v>
      </c>
      <c r="CE12" s="12">
        <f>'I&amp;E Monthly'!CE12</f>
        <v>0</v>
      </c>
      <c r="CF12" s="12">
        <f>'I&amp;E Monthly'!CF12</f>
        <v>0</v>
      </c>
      <c r="CG12" s="12">
        <f>'I&amp;E Monthly'!CG12</f>
        <v>0</v>
      </c>
      <c r="CH12" s="12">
        <f>'I&amp;E Monthly'!CH12</f>
        <v>0</v>
      </c>
      <c r="CI12" s="12">
        <f>'I&amp;E Monthly'!CI12</f>
        <v>0</v>
      </c>
      <c r="CK12" s="11"/>
      <c r="CL12" s="221">
        <f ca="1">IF(MIN($V12:$CI12)&lt;0, 1, 0)*$I$7</f>
        <v>0</v>
      </c>
      <c r="CM12" s="11"/>
      <c r="CN12" s="7">
        <f>IF(AND($G12=$G$7,$E12=""), 1, 0)</f>
        <v>0</v>
      </c>
      <c r="CO12" s="7" cm="1">
        <f t="array" ref="CO12">SUMPRODUCT(--NOT(ISNUMBER(W12:Y12)),--NOT(ISBLANK(W12:Y12)))</f>
        <v>0</v>
      </c>
      <c r="CP12" s="7" cm="1">
        <f t="array" ref="CP12">IF(E12="",0, IF(IFERROR(INDEX('I&amp;E Profiles'!$D$96:$D$180, $I12), "N/A")="N/A", 1, 0))</f>
        <v>0</v>
      </c>
      <c r="CQ12" s="7">
        <f>IF(SUM($CV12:$CX12)=0, 0, 1)</f>
        <v>0</v>
      </c>
      <c r="CS12" s="7">
        <f>IF(SUM($CY12:$DA12)=0, 0, 1)</f>
        <v>0</v>
      </c>
      <c r="CT12" s="7">
        <f>IF(DB12=0, 0, 1)</f>
        <v>0</v>
      </c>
      <c r="CU12" s="11"/>
      <c r="CV12" s="215">
        <f t="shared" si="3"/>
        <v>0</v>
      </c>
      <c r="CW12" s="215">
        <f t="shared" si="3"/>
        <v>0</v>
      </c>
      <c r="CX12" s="215">
        <f t="shared" si="3"/>
        <v>0</v>
      </c>
      <c r="CY12" s="215">
        <f>ROUND($BY12-SUMIFS($AA12:$BJ12, $AA$3:$BJ$3, $BY$3), rounding)</f>
        <v>0</v>
      </c>
      <c r="CZ12" s="215">
        <f>ROUND($BZ12-SUMIFS($AA12:$BJ12, $AA$3:$BJ$3, $BZ$3), rounding)</f>
        <v>0</v>
      </c>
      <c r="DA12" s="215">
        <f>ROUND($CA12-SUMIFS($AA12:$BJ12, $AA$3:$BJ$3, $CA$3), rounding)</f>
        <v>0</v>
      </c>
      <c r="DB12" s="215">
        <f>ROUND($V12-$BX12, rounding)</f>
        <v>0</v>
      </c>
      <c r="FN12" s="10" t="str">
        <f t="shared" si="1"/>
        <v>Subcontracted in: 14-16 income</v>
      </c>
    </row>
    <row r="13" spans="1:170" x14ac:dyDescent="0.35">
      <c r="A13" s="220" cm="1">
        <f t="array" aca="1" ref="A13" ca="1">HYPERLINK(CONCATENATE("#",CELL("address",IF(MAX($CM13:$CU13)=0,A13,INDEX($CM13:$CU13,MATCH(1,$CM13:$CU13,0))))),MAX($CM13:$CU13))</f>
        <v>0</v>
      </c>
      <c r="C13" s="213" t="s">
        <v>479</v>
      </c>
      <c r="D13" s="61" t="s">
        <v>319</v>
      </c>
      <c r="E13" s="5"/>
      <c r="G13" s="5"/>
      <c r="H13" t="s">
        <v>317</v>
      </c>
      <c r="Q13" s="2"/>
      <c r="V13" s="12">
        <f>SUM(V11:V12)</f>
        <v>0</v>
      </c>
      <c r="W13" s="12">
        <f>SUM(W11:W12)</f>
        <v>0</v>
      </c>
      <c r="X13" s="12">
        <f>SUM(X11:X12)</f>
        <v>0</v>
      </c>
      <c r="Y13" s="12">
        <f>SUM(Y11:Y12)</f>
        <v>0</v>
      </c>
      <c r="AA13" s="12">
        <f t="shared" ref="AA13:BJ13" si="4">SUM(AA11:AA12)</f>
        <v>0</v>
      </c>
      <c r="AB13" s="12">
        <f t="shared" si="4"/>
        <v>0</v>
      </c>
      <c r="AC13" s="12">
        <f t="shared" si="4"/>
        <v>0</v>
      </c>
      <c r="AD13" s="12">
        <f t="shared" si="4"/>
        <v>0</v>
      </c>
      <c r="AE13" s="12">
        <f t="shared" si="4"/>
        <v>0</v>
      </c>
      <c r="AF13" s="12">
        <f t="shared" si="4"/>
        <v>0</v>
      </c>
      <c r="AG13" s="12">
        <f t="shared" si="4"/>
        <v>0</v>
      </c>
      <c r="AH13" s="12">
        <f t="shared" si="4"/>
        <v>0</v>
      </c>
      <c r="AI13" s="12">
        <f t="shared" si="4"/>
        <v>0</v>
      </c>
      <c r="AJ13" s="12">
        <f t="shared" si="4"/>
        <v>0</v>
      </c>
      <c r="AK13" s="12">
        <f t="shared" si="4"/>
        <v>0</v>
      </c>
      <c r="AL13" s="12">
        <f t="shared" si="4"/>
        <v>0</v>
      </c>
      <c r="AM13" s="12">
        <f t="shared" si="4"/>
        <v>0</v>
      </c>
      <c r="AN13" s="12">
        <f t="shared" si="4"/>
        <v>0</v>
      </c>
      <c r="AO13" s="12">
        <f t="shared" si="4"/>
        <v>0</v>
      </c>
      <c r="AP13" s="12">
        <f t="shared" si="4"/>
        <v>0</v>
      </c>
      <c r="AQ13" s="12">
        <f t="shared" si="4"/>
        <v>0</v>
      </c>
      <c r="AR13" s="12">
        <f t="shared" si="4"/>
        <v>0</v>
      </c>
      <c r="AS13" s="12">
        <f t="shared" si="4"/>
        <v>0</v>
      </c>
      <c r="AT13" s="12">
        <f t="shared" si="4"/>
        <v>0</v>
      </c>
      <c r="AU13" s="12">
        <f t="shared" si="4"/>
        <v>0</v>
      </c>
      <c r="AV13" s="12">
        <f t="shared" si="4"/>
        <v>0</v>
      </c>
      <c r="AW13" s="12">
        <f t="shared" si="4"/>
        <v>0</v>
      </c>
      <c r="AX13" s="12">
        <f t="shared" si="4"/>
        <v>0</v>
      </c>
      <c r="AY13" s="12">
        <f t="shared" si="4"/>
        <v>0</v>
      </c>
      <c r="AZ13" s="12">
        <f t="shared" si="4"/>
        <v>0</v>
      </c>
      <c r="BA13" s="12">
        <f t="shared" si="4"/>
        <v>0</v>
      </c>
      <c r="BB13" s="12">
        <f t="shared" si="4"/>
        <v>0</v>
      </c>
      <c r="BC13" s="12">
        <f t="shared" si="4"/>
        <v>0</v>
      </c>
      <c r="BD13" s="12">
        <f t="shared" si="4"/>
        <v>0</v>
      </c>
      <c r="BE13" s="12">
        <f t="shared" si="4"/>
        <v>0</v>
      </c>
      <c r="BF13" s="12">
        <f t="shared" si="4"/>
        <v>0</v>
      </c>
      <c r="BG13" s="12">
        <f t="shared" si="4"/>
        <v>0</v>
      </c>
      <c r="BH13" s="12">
        <f t="shared" si="4"/>
        <v>0</v>
      </c>
      <c r="BI13" s="12">
        <f t="shared" si="4"/>
        <v>0</v>
      </c>
      <c r="BJ13" s="12">
        <f t="shared" si="4"/>
        <v>0</v>
      </c>
      <c r="BX13" s="12">
        <f t="shared" ref="BX13:CI13" si="5">SUM(BX11:BX12)</f>
        <v>0</v>
      </c>
      <c r="BY13" s="12">
        <f t="shared" si="5"/>
        <v>0</v>
      </c>
      <c r="BZ13" s="12">
        <f t="shared" si="5"/>
        <v>0</v>
      </c>
      <c r="CA13" s="12">
        <f t="shared" si="5"/>
        <v>0</v>
      </c>
      <c r="CB13" s="12">
        <f t="shared" si="5"/>
        <v>0</v>
      </c>
      <c r="CC13" s="12">
        <f t="shared" si="5"/>
        <v>0</v>
      </c>
      <c r="CD13" s="12">
        <f t="shared" si="5"/>
        <v>0</v>
      </c>
      <c r="CE13" s="12">
        <f t="shared" si="5"/>
        <v>0</v>
      </c>
      <c r="CF13" s="12">
        <f t="shared" si="5"/>
        <v>0</v>
      </c>
      <c r="CG13" s="12">
        <f t="shared" si="5"/>
        <v>0</v>
      </c>
      <c r="CH13" s="12">
        <f t="shared" si="5"/>
        <v>0</v>
      </c>
      <c r="CI13" s="12">
        <f t="shared" si="5"/>
        <v>0</v>
      </c>
      <c r="CK13" s="11"/>
      <c r="CL13" s="221">
        <f ca="1">IF(MIN($V13:$CI13)&lt;0, 1, 0)*$I$7</f>
        <v>0</v>
      </c>
      <c r="CM13" s="11"/>
      <c r="CQ13" s="7">
        <f>IF(SUM($CV13:$CX13)=0, 0, 1)</f>
        <v>0</v>
      </c>
      <c r="CS13" s="7">
        <f>IF(SUM($CY13:$DA13)=0, 0, 1)</f>
        <v>0</v>
      </c>
      <c r="CT13" s="7">
        <f>IF(DB13=0, 0, 1)</f>
        <v>0</v>
      </c>
      <c r="CU13" s="11"/>
      <c r="CV13" s="215">
        <f t="shared" si="3"/>
        <v>0</v>
      </c>
      <c r="CW13" s="215">
        <f t="shared" si="3"/>
        <v>0</v>
      </c>
      <c r="CX13" s="215">
        <f t="shared" si="3"/>
        <v>0</v>
      </c>
      <c r="CY13" s="215">
        <f>ROUND($BY13-SUMIFS($AA13:$BJ13, $AA$3:$BJ$3, $BY$3), rounding)</f>
        <v>0</v>
      </c>
      <c r="CZ13" s="215">
        <f>ROUND($BZ13-SUMIFS($AA13:$BJ13, $AA$3:$BJ$3, $BZ$3), rounding)</f>
        <v>0</v>
      </c>
      <c r="DA13" s="215">
        <f>ROUND($CA13-SUMIFS($AA13:$BJ13, $AA$3:$BJ$3, $CA$3), rounding)</f>
        <v>0</v>
      </c>
      <c r="DB13" s="215">
        <f>ROUND($V13-$BX13, rounding)</f>
        <v>0</v>
      </c>
      <c r="FN13" s="10" t="str">
        <f t="shared" si="1"/>
        <v>Total 14-16 Income</v>
      </c>
    </row>
    <row r="14" spans="1:170" x14ac:dyDescent="0.35">
      <c r="A14" s="220" cm="1">
        <f t="array" aca="1" ref="A14" ca="1">HYPERLINK(CONCATENATE("#",CELL("address",IF(MAX($CM14:$CU14)=0,A14,INDEX($CM14:$CU14,MATCH(1,$CM14:$CU14,0))))),MAX($CM14:$CU14))</f>
        <v>0</v>
      </c>
      <c r="C14" s="213" t="s">
        <v>480</v>
      </c>
      <c r="D14" s="57" t="s">
        <v>320</v>
      </c>
      <c r="E14" s="114"/>
      <c r="F14" s="79" t="str" cm="1">
        <f t="array" aca="1" ref="F14" ca="1">IF(E14="", "", HYPERLINK(CONCATENATE("#",CELL("address",INDEX('I&amp;E Profiles'!$D$9:$D$93,'I&amp;E Annual'!I14))),E14))</f>
        <v/>
      </c>
      <c r="G14" s="114"/>
      <c r="H14" t="s">
        <v>317</v>
      </c>
      <c r="I14" s="132" t="str">
        <f>IF(E14="", "", MATCH(E14, 'I&amp;E Profiles'!$D$96:$D$180,0))</f>
        <v/>
      </c>
      <c r="J14" s="133">
        <f>IF($G14=$G$7, W14,'I&amp;E Monthly'!W14)-SUMIFS('I&amp;E Monthly'!$AA14:$BJ14, 'I&amp;E Monthly'!$AA$3:$BJ$3, 'I&amp;E Annual'!W$3, 'I&amp;E Monthly'!$AA$4:$BJ$4, 0)</f>
        <v>0</v>
      </c>
      <c r="K14" s="133">
        <f>IF($G14=$G$7, X14,'I&amp;E Monthly'!X14)-SUMIFS('I&amp;E Monthly'!$AA14:$BJ14, 'I&amp;E Monthly'!$AA$3:$BJ$3, 'I&amp;E Annual'!X$3, 'I&amp;E Monthly'!$AA$4:$BJ$4, 0)</f>
        <v>0</v>
      </c>
      <c r="L14" s="133">
        <f>IF($G14=$G$7, Y14,'I&amp;E Monthly'!Y14)-SUMIFS('I&amp;E Monthly'!$AA14:$BJ14, 'I&amp;E Monthly'!$AA$3:$BJ$3, 'I&amp;E Annual'!Y$3, 'I&amp;E Monthly'!$AA$4:$BJ$4, 0)</f>
        <v>0</v>
      </c>
      <c r="Q14" s="2"/>
      <c r="V14" s="133">
        <f>'I&amp;E Monthly'!V14</f>
        <v>0</v>
      </c>
      <c r="W14" s="114"/>
      <c r="X14" s="131"/>
      <c r="Y14" s="131"/>
      <c r="AA14" s="10" cm="1">
        <f t="array" ref="AA14">IF(OR(AA$4=0, $G14&lt;&gt; $G$7, $E14=0), 'I&amp;E Monthly'!AA14, CHOOSE(Timeline!AA$30,$J14,$K14,$L14 )*INDEX('I&amp;E Profiles'!AA$96:AA$180,$I14))</f>
        <v>0</v>
      </c>
      <c r="AB14" s="10" cm="1">
        <f t="array" ref="AB14">IF(OR(AB$4=0, $G14&lt;&gt; $G$7, $E14=0), 'I&amp;E Monthly'!AB14, CHOOSE(Timeline!AB$30,$J14,$K14,$L14 )*INDEX('I&amp;E Profiles'!AB$96:AB$180,$I14))</f>
        <v>0</v>
      </c>
      <c r="AC14" s="10" cm="1">
        <f t="array" ref="AC14">IF(OR(AC$4=0, $G14&lt;&gt; $G$7, $E14=0), 'I&amp;E Monthly'!AC14, CHOOSE(Timeline!AC$30,$J14,$K14,$L14 )*INDEX('I&amp;E Profiles'!AC$96:AC$180,$I14))</f>
        <v>0</v>
      </c>
      <c r="AD14" s="10" cm="1">
        <f t="array" ref="AD14">IF(OR(AD$4=0, $G14&lt;&gt; $G$7, $E14=0), 'I&amp;E Monthly'!AD14, CHOOSE(Timeline!AD$30,$J14,$K14,$L14 )*INDEX('I&amp;E Profiles'!AD$96:AD$180,$I14))</f>
        <v>0</v>
      </c>
      <c r="AE14" s="10" cm="1">
        <f t="array" ref="AE14">IF(OR(AE$4=0, $G14&lt;&gt; $G$7, $E14=0), 'I&amp;E Monthly'!AE14, CHOOSE(Timeline!AE$30,$J14,$K14,$L14 )*INDEX('I&amp;E Profiles'!AE$96:AE$180,$I14))</f>
        <v>0</v>
      </c>
      <c r="AF14" s="10" cm="1">
        <f t="array" ref="AF14">IF(OR(AF$4=0, $G14&lt;&gt; $G$7, $E14=0), 'I&amp;E Monthly'!AF14, CHOOSE(Timeline!AF$30,$J14,$K14,$L14 )*INDEX('I&amp;E Profiles'!AF$96:AF$180,$I14))</f>
        <v>0</v>
      </c>
      <c r="AG14" s="10" cm="1">
        <f t="array" ref="AG14">IF(OR(AG$4=0, $G14&lt;&gt; $G$7, $E14=0), 'I&amp;E Monthly'!AG14, CHOOSE(Timeline!AG$30,$J14,$K14,$L14 )*INDEX('I&amp;E Profiles'!AG$96:AG$180,$I14))</f>
        <v>0</v>
      </c>
      <c r="AH14" s="10" cm="1">
        <f t="array" ref="AH14">IF(OR(AH$4=0, $G14&lt;&gt; $G$7, $E14=0), 'I&amp;E Monthly'!AH14, CHOOSE(Timeline!AH$30,$J14,$K14,$L14 )*INDEX('I&amp;E Profiles'!AH$96:AH$180,$I14))</f>
        <v>0</v>
      </c>
      <c r="AI14" s="10" cm="1">
        <f t="array" ref="AI14">IF(OR(AI$4=0, $G14&lt;&gt; $G$7, $E14=0), 'I&amp;E Monthly'!AI14, CHOOSE(Timeline!AI$30,$J14,$K14,$L14 )*INDEX('I&amp;E Profiles'!AI$96:AI$180,$I14))</f>
        <v>0</v>
      </c>
      <c r="AJ14" s="10" cm="1">
        <f t="array" ref="AJ14">IF(OR(AJ$4=0, $G14&lt;&gt; $G$7, $E14=0), 'I&amp;E Monthly'!AJ14, CHOOSE(Timeline!AJ$30,$J14,$K14,$L14 )*INDEX('I&amp;E Profiles'!AJ$96:AJ$180,$I14))</f>
        <v>0</v>
      </c>
      <c r="AK14" s="10" cm="1">
        <f t="array" ref="AK14">IF(OR(AK$4=0, $G14&lt;&gt; $G$7, $E14=0), 'I&amp;E Monthly'!AK14, CHOOSE(Timeline!AK$30,$J14,$K14,$L14 )*INDEX('I&amp;E Profiles'!AK$96:AK$180,$I14))</f>
        <v>0</v>
      </c>
      <c r="AL14" s="10" cm="1">
        <f t="array" ref="AL14">IF(OR(AL$4=0, $G14&lt;&gt; $G$7, $E14=0), 'I&amp;E Monthly'!AL14, CHOOSE(Timeline!AL$30,$J14,$K14,$L14 )*INDEX('I&amp;E Profiles'!AL$96:AL$180,$I14))</f>
        <v>0</v>
      </c>
      <c r="AM14" s="10" cm="1">
        <f t="array" ref="AM14">IF(OR(AM$4=0, $G14&lt;&gt; $G$7, $E14=0), 'I&amp;E Monthly'!AM14, CHOOSE(Timeline!AM$30,$J14,$K14,$L14 )*INDEX('I&amp;E Profiles'!AM$96:AM$180,$I14))</f>
        <v>0</v>
      </c>
      <c r="AN14" s="10" cm="1">
        <f t="array" ref="AN14">IF(OR(AN$4=0, $G14&lt;&gt; $G$7, $E14=0), 'I&amp;E Monthly'!AN14, CHOOSE(Timeline!AN$30,$J14,$K14,$L14 )*INDEX('I&amp;E Profiles'!AN$96:AN$180,$I14))</f>
        <v>0</v>
      </c>
      <c r="AO14" s="10" cm="1">
        <f t="array" ref="AO14">IF(OR(AO$4=0, $G14&lt;&gt; $G$7, $E14=0), 'I&amp;E Monthly'!AO14, CHOOSE(Timeline!AO$30,$J14,$K14,$L14 )*INDEX('I&amp;E Profiles'!AO$96:AO$180,$I14))</f>
        <v>0</v>
      </c>
      <c r="AP14" s="10" cm="1">
        <f t="array" ref="AP14">IF(OR(AP$4=0, $G14&lt;&gt; $G$7, $E14=0), 'I&amp;E Monthly'!AP14, CHOOSE(Timeline!AP$30,$J14,$K14,$L14 )*INDEX('I&amp;E Profiles'!AP$96:AP$180,$I14))</f>
        <v>0</v>
      </c>
      <c r="AQ14" s="10" cm="1">
        <f t="array" ref="AQ14">IF(OR(AQ$4=0, $G14&lt;&gt; $G$7, $E14=0), 'I&amp;E Monthly'!AQ14, CHOOSE(Timeline!AQ$30,$J14,$K14,$L14 )*INDEX('I&amp;E Profiles'!AQ$96:AQ$180,$I14))</f>
        <v>0</v>
      </c>
      <c r="AR14" s="10" cm="1">
        <f t="array" ref="AR14">IF(OR(AR$4=0, $G14&lt;&gt; $G$7, $E14=0), 'I&amp;E Monthly'!AR14, CHOOSE(Timeline!AR$30,$J14,$K14,$L14 )*INDEX('I&amp;E Profiles'!AR$96:AR$180,$I14))</f>
        <v>0</v>
      </c>
      <c r="AS14" s="10" cm="1">
        <f t="array" ref="AS14">IF(OR(AS$4=0, $G14&lt;&gt; $G$7, $E14=0), 'I&amp;E Monthly'!AS14, CHOOSE(Timeline!AS$30,$J14,$K14,$L14 )*INDEX('I&amp;E Profiles'!AS$96:AS$180,$I14))</f>
        <v>0</v>
      </c>
      <c r="AT14" s="10" cm="1">
        <f t="array" ref="AT14">IF(OR(AT$4=0, $G14&lt;&gt; $G$7, $E14=0), 'I&amp;E Monthly'!AT14, CHOOSE(Timeline!AT$30,$J14,$K14,$L14 )*INDEX('I&amp;E Profiles'!AT$96:AT$180,$I14))</f>
        <v>0</v>
      </c>
      <c r="AU14" s="10" cm="1">
        <f t="array" ref="AU14">IF(OR(AU$4=0, $G14&lt;&gt; $G$7, $E14=0), 'I&amp;E Monthly'!AU14, CHOOSE(Timeline!AU$30,$J14,$K14,$L14 )*INDEX('I&amp;E Profiles'!AU$96:AU$180,$I14))</f>
        <v>0</v>
      </c>
      <c r="AV14" s="10" cm="1">
        <f t="array" ref="AV14">IF(OR(AV$4=0, $G14&lt;&gt; $G$7, $E14=0), 'I&amp;E Monthly'!AV14, CHOOSE(Timeline!AV$30,$J14,$K14,$L14 )*INDEX('I&amp;E Profiles'!AV$96:AV$180,$I14))</f>
        <v>0</v>
      </c>
      <c r="AW14" s="10" cm="1">
        <f t="array" ref="AW14">IF(OR(AW$4=0, $G14&lt;&gt; $G$7, $E14=0), 'I&amp;E Monthly'!AW14, CHOOSE(Timeline!AW$30,$J14,$K14,$L14 )*INDEX('I&amp;E Profiles'!AW$96:AW$180,$I14))</f>
        <v>0</v>
      </c>
      <c r="AX14" s="10" cm="1">
        <f t="array" ref="AX14">IF(OR(AX$4=0, $G14&lt;&gt; $G$7, $E14=0), 'I&amp;E Monthly'!AX14, CHOOSE(Timeline!AX$30,$J14,$K14,$L14 )*INDEX('I&amp;E Profiles'!AX$96:AX$180,$I14))</f>
        <v>0</v>
      </c>
      <c r="AY14" s="10" cm="1">
        <f t="array" ref="AY14">IF(OR(AY$4=0, $G14&lt;&gt; $G$7, $E14=0), 'I&amp;E Monthly'!AY14, CHOOSE(Timeline!AY$30,$J14,$K14,$L14 )*INDEX('I&amp;E Profiles'!AY$96:AY$180,$I14))</f>
        <v>0</v>
      </c>
      <c r="AZ14" s="10" cm="1">
        <f t="array" ref="AZ14">IF(OR(AZ$4=0, $G14&lt;&gt; $G$7, $E14=0), 'I&amp;E Monthly'!AZ14, CHOOSE(Timeline!AZ$30,$J14,$K14,$L14 )*INDEX('I&amp;E Profiles'!AZ$96:AZ$180,$I14))</f>
        <v>0</v>
      </c>
      <c r="BA14" s="10" cm="1">
        <f t="array" ref="BA14">IF(OR(BA$4=0, $G14&lt;&gt; $G$7, $E14=0), 'I&amp;E Monthly'!BA14, CHOOSE(Timeline!BA$30,$J14,$K14,$L14 )*INDEX('I&amp;E Profiles'!BA$96:BA$180,$I14))</f>
        <v>0</v>
      </c>
      <c r="BB14" s="10" cm="1">
        <f t="array" ref="BB14">IF(OR(BB$4=0, $G14&lt;&gt; $G$7, $E14=0), 'I&amp;E Monthly'!BB14, CHOOSE(Timeline!BB$30,$J14,$K14,$L14 )*INDEX('I&amp;E Profiles'!BB$96:BB$180,$I14))</f>
        <v>0</v>
      </c>
      <c r="BC14" s="10" cm="1">
        <f t="array" ref="BC14">IF(OR(BC$4=0, $G14&lt;&gt; $G$7, $E14=0), 'I&amp;E Monthly'!BC14, CHOOSE(Timeline!BC$30,$J14,$K14,$L14 )*INDEX('I&amp;E Profiles'!BC$96:BC$180,$I14))</f>
        <v>0</v>
      </c>
      <c r="BD14" s="10" cm="1">
        <f t="array" ref="BD14">IF(OR(BD$4=0, $G14&lt;&gt; $G$7, $E14=0), 'I&amp;E Monthly'!BD14, CHOOSE(Timeline!BD$30,$J14,$K14,$L14 )*INDEX('I&amp;E Profiles'!BD$96:BD$180,$I14))</f>
        <v>0</v>
      </c>
      <c r="BE14" s="10" cm="1">
        <f t="array" ref="BE14">IF(OR(BE$4=0, $G14&lt;&gt; $G$7, $E14=0), 'I&amp;E Monthly'!BE14, CHOOSE(Timeline!BE$30,$J14,$K14,$L14 )*INDEX('I&amp;E Profiles'!BE$96:BE$180,$I14))</f>
        <v>0</v>
      </c>
      <c r="BF14" s="10" cm="1">
        <f t="array" ref="BF14">IF(OR(BF$4=0, $G14&lt;&gt; $G$7, $E14=0), 'I&amp;E Monthly'!BF14, CHOOSE(Timeline!BF$30,$J14,$K14,$L14 )*INDEX('I&amp;E Profiles'!BF$96:BF$180,$I14))</f>
        <v>0</v>
      </c>
      <c r="BG14" s="10" cm="1">
        <f t="array" ref="BG14">IF(OR(BG$4=0, $G14&lt;&gt; $G$7, $E14=0), 'I&amp;E Monthly'!BG14, CHOOSE(Timeline!BG$30,$J14,$K14,$L14 )*INDEX('I&amp;E Profiles'!BG$96:BG$180,$I14))</f>
        <v>0</v>
      </c>
      <c r="BH14" s="10" cm="1">
        <f t="array" ref="BH14">IF(OR(BH$4=0, $G14&lt;&gt; $G$7, $E14=0), 'I&amp;E Monthly'!BH14, CHOOSE(Timeline!BH$30,$J14,$K14,$L14 )*INDEX('I&amp;E Profiles'!BH$96:BH$180,$I14))</f>
        <v>0</v>
      </c>
      <c r="BI14" s="10" cm="1">
        <f t="array" ref="BI14">IF(OR(BI$4=0, $G14&lt;&gt; $G$7, $E14=0), 'I&amp;E Monthly'!BI14, CHOOSE(Timeline!BI$30,$J14,$K14,$L14 )*INDEX('I&amp;E Profiles'!BI$96:BI$180,$I14))</f>
        <v>0</v>
      </c>
      <c r="BJ14" s="10" cm="1">
        <f t="array" ref="BJ14">IF(OR(BJ$4=0, $G14&lt;&gt; $G$7, $E14=0), 'I&amp;E Monthly'!BJ14, CHOOSE(Timeline!BJ$30,$J14,$K14,$L14 )*INDEX('I&amp;E Profiles'!BJ$96:BJ$180,$I14))</f>
        <v>0</v>
      </c>
      <c r="BX14" s="12">
        <f>V14</f>
        <v>0</v>
      </c>
      <c r="BY14" s="10">
        <f>SUMIFS($AA14:$BJ14, $AA$3:$BJ$3,BY$3)</f>
        <v>0</v>
      </c>
      <c r="BZ14" s="10">
        <f>SUMIFS($AA14:$BJ14, $AA$3:$BJ$3,BZ$3)</f>
        <v>0</v>
      </c>
      <c r="CA14" s="10">
        <f>SUMIFS($AA14:$BJ14, $AA$3:$BJ$3,CA$3)</f>
        <v>0</v>
      </c>
      <c r="CB14" s="12">
        <f>'I&amp;E Monthly'!CB14</f>
        <v>0</v>
      </c>
      <c r="CC14" s="12">
        <f>'I&amp;E Monthly'!CC14</f>
        <v>0</v>
      </c>
      <c r="CD14" s="12">
        <f>'I&amp;E Monthly'!CD14</f>
        <v>0</v>
      </c>
      <c r="CE14" s="12">
        <f>'I&amp;E Monthly'!CE14</f>
        <v>0</v>
      </c>
      <c r="CF14" s="12">
        <f>'I&amp;E Monthly'!CF14</f>
        <v>0</v>
      </c>
      <c r="CG14" s="12">
        <f>'I&amp;E Monthly'!CG14</f>
        <v>0</v>
      </c>
      <c r="CH14" s="12">
        <f>'I&amp;E Monthly'!CH14</f>
        <v>0</v>
      </c>
      <c r="CI14" s="12">
        <f>'I&amp;E Monthly'!CI14</f>
        <v>0</v>
      </c>
      <c r="CK14" s="11"/>
      <c r="CL14" s="221">
        <f ca="1">IF(MIN($V14:$CI14)&lt;0, 1, 0)*$I$7</f>
        <v>0</v>
      </c>
      <c r="CM14" s="11"/>
      <c r="CN14" s="7">
        <f>IF(AND($G14=$G$7,$E14=""), 1, 0)</f>
        <v>0</v>
      </c>
      <c r="CO14" s="7" cm="1">
        <f t="array" ref="CO14">SUMPRODUCT(--NOT(ISNUMBER(W14:Y14)),--NOT(ISBLANK(W14:Y14)))</f>
        <v>0</v>
      </c>
      <c r="CP14" s="7" cm="1">
        <f t="array" ref="CP14">IF(E14="",0, IF(IFERROR(INDEX('I&amp;E Profiles'!$D$96:$D$180, $I14), "N/A")="N/A", 1, 0))</f>
        <v>0</v>
      </c>
      <c r="CQ14" s="7">
        <f>IF(SUM($CV14:$CX14)=0, 0, 1)</f>
        <v>0</v>
      </c>
      <c r="CR14" s="7">
        <f>IF(DC14=0,0,1)</f>
        <v>0</v>
      </c>
      <c r="CS14" s="7">
        <f>IF(SUM($CY14:$DA14)=0, 0, 1)</f>
        <v>0</v>
      </c>
      <c r="CT14" s="7">
        <f>IF(DB14=0, 0, 1)</f>
        <v>0</v>
      </c>
      <c r="CU14" s="11"/>
      <c r="CV14" s="215">
        <f t="shared" si="3"/>
        <v>0</v>
      </c>
      <c r="CW14" s="215">
        <f t="shared" si="3"/>
        <v>0</v>
      </c>
      <c r="CX14" s="215">
        <f t="shared" si="3"/>
        <v>0</v>
      </c>
      <c r="CY14" s="215">
        <f>ROUND($BY14-SUMIFS($AA14:$BJ14, $AA$3:$BJ$3, $BY$3), rounding)</f>
        <v>0</v>
      </c>
      <c r="CZ14" s="215">
        <f>ROUND($BZ14-SUMIFS($AA14:$BJ14, $AA$3:$BJ$3, $BZ$3), rounding)</f>
        <v>0</v>
      </c>
      <c r="DA14" s="215">
        <f>ROUND($CA14-SUMIFS($AA14:$BJ14, $AA$3:$BJ$3, $CA$3), rounding)</f>
        <v>0</v>
      </c>
      <c r="DB14" s="215">
        <f>ROUND($V14-$BX14, rounding)</f>
        <v>0</v>
      </c>
      <c r="DC14" s="508">
        <f>SUM(DE14:DP14)</f>
        <v>0</v>
      </c>
      <c r="DE14" s="7">
        <f t="shared" ref="DE14:DP14" si="6">IF(BX14&gt;BX13, 1, 0)</f>
        <v>0</v>
      </c>
      <c r="DF14" s="7">
        <f t="shared" si="6"/>
        <v>0</v>
      </c>
      <c r="DG14" s="7">
        <f t="shared" si="6"/>
        <v>0</v>
      </c>
      <c r="DH14" s="7">
        <f t="shared" si="6"/>
        <v>0</v>
      </c>
      <c r="DI14" s="7">
        <f t="shared" si="6"/>
        <v>0</v>
      </c>
      <c r="DJ14" s="7">
        <f t="shared" si="6"/>
        <v>0</v>
      </c>
      <c r="DK14" s="7">
        <f t="shared" si="6"/>
        <v>0</v>
      </c>
      <c r="DL14" s="7">
        <f t="shared" si="6"/>
        <v>0</v>
      </c>
      <c r="DM14" s="7">
        <f t="shared" si="6"/>
        <v>0</v>
      </c>
      <c r="DN14" s="7">
        <f t="shared" si="6"/>
        <v>0</v>
      </c>
      <c r="DO14" s="7">
        <f t="shared" si="6"/>
        <v>0</v>
      </c>
      <c r="DP14" s="7">
        <f t="shared" si="6"/>
        <v>0</v>
      </c>
      <c r="FN14" s="10" t="str">
        <f t="shared" si="1"/>
        <v>Of which: subcontracted out: 14-16 income</v>
      </c>
    </row>
    <row r="15" spans="1:170" ht="6.75" customHeight="1" x14ac:dyDescent="0.35">
      <c r="C15" s="213"/>
      <c r="D15" s="57"/>
      <c r="Q15" s="2"/>
      <c r="BY15" s="6"/>
      <c r="CK15" s="35"/>
      <c r="CM15" s="35"/>
      <c r="CU15" s="35"/>
      <c r="FN15" s="10" t="str">
        <f t="shared" si="1"/>
        <v/>
      </c>
    </row>
    <row r="16" spans="1:170" x14ac:dyDescent="0.35">
      <c r="B16" s="5"/>
      <c r="C16" s="213"/>
      <c r="D16" s="61" t="s">
        <v>321</v>
      </c>
      <c r="E16" s="5"/>
      <c r="Q16" s="2"/>
      <c r="CK16" s="11"/>
      <c r="CM16" s="11"/>
      <c r="CU16" s="11"/>
      <c r="FN16" s="10" t="str">
        <f t="shared" si="1"/>
        <v/>
      </c>
    </row>
    <row r="17" spans="1:170" x14ac:dyDescent="0.35">
      <c r="A17" s="220" cm="1">
        <f t="array" aca="1" ref="A17" ca="1">HYPERLINK(CONCATENATE("#",CELL("address",IF(MAX($CM17:$CU17)=0,A17,INDEX($CM17:$CU17,MATCH(1,$CM17:$CU17,0))))),MAX($CM17:$CU17))</f>
        <v>0</v>
      </c>
      <c r="B17" s="85" t="s">
        <v>122</v>
      </c>
      <c r="C17" s="213" t="s">
        <v>481</v>
      </c>
      <c r="D17" s="57" t="s">
        <v>322</v>
      </c>
      <c r="E17" s="114"/>
      <c r="F17" s="79" t="str" cm="1">
        <f t="array" aca="1" ref="F17" ca="1">IF(E17="", "", HYPERLINK(CONCATENATE("#",CELL("address",INDEX('I&amp;E Profiles'!$D$9:$D$93,'I&amp;E Annual'!I17))),E17))</f>
        <v/>
      </c>
      <c r="G17" s="114"/>
      <c r="H17" t="s">
        <v>317</v>
      </c>
      <c r="I17" s="132" t="str">
        <f>IF(E17="", "", MATCH(E17, 'I&amp;E Profiles'!$D$96:$D$180,0))</f>
        <v/>
      </c>
      <c r="J17" s="133">
        <f>IF($G17=$G$7, W17,'I&amp;E Monthly'!W17)-SUMIFS('I&amp;E Monthly'!$AA17:$BJ17, 'I&amp;E Monthly'!$AA$3:$BJ$3, 'I&amp;E Annual'!W$3, 'I&amp;E Monthly'!$AA$4:$BJ$4, 0)</f>
        <v>0</v>
      </c>
      <c r="K17" s="133">
        <f>IF($G17=$G$7, X17,'I&amp;E Monthly'!X17)-SUMIFS('I&amp;E Monthly'!$AA17:$BJ17, 'I&amp;E Monthly'!$AA$3:$BJ$3, 'I&amp;E Annual'!X$3, 'I&amp;E Monthly'!$AA$4:$BJ$4, 0)</f>
        <v>0</v>
      </c>
      <c r="L17" s="133">
        <f>IF($G17=$G$7, Y17,'I&amp;E Monthly'!Y17)-SUMIFS('I&amp;E Monthly'!$AA17:$BJ17, 'I&amp;E Monthly'!$AA$3:$BJ$3, 'I&amp;E Annual'!Y$3, 'I&amp;E Monthly'!$AA$4:$BJ$4, 0)</f>
        <v>0</v>
      </c>
      <c r="Q17" s="2"/>
      <c r="V17" s="133">
        <f>'I&amp;E Monthly'!V17</f>
        <v>0</v>
      </c>
      <c r="W17" s="114"/>
      <c r="X17" s="131"/>
      <c r="Y17" s="131"/>
      <c r="AA17" s="10" cm="1">
        <f t="array" ref="AA17">IF(OR(AA$4=0, $G17&lt;&gt; $G$7, $E17=0), 'I&amp;E Monthly'!AA17, CHOOSE(Timeline!AA$30,$J17,$K17,$L17 )*INDEX('I&amp;E Profiles'!AA$96:AA$180,$I17))</f>
        <v>0</v>
      </c>
      <c r="AB17" s="10" cm="1">
        <f t="array" ref="AB17">IF(OR(AB$4=0, $G17&lt;&gt; $G$7, $E17=0), 'I&amp;E Monthly'!AB17, CHOOSE(Timeline!AB$30,$J17,$K17,$L17 )*INDEX('I&amp;E Profiles'!AB$96:AB$180,$I17))</f>
        <v>0</v>
      </c>
      <c r="AC17" s="10" cm="1">
        <f t="array" ref="AC17">IF(OR(AC$4=0, $G17&lt;&gt; $G$7, $E17=0), 'I&amp;E Monthly'!AC17, CHOOSE(Timeline!AC$30,$J17,$K17,$L17 )*INDEX('I&amp;E Profiles'!AC$96:AC$180,$I17))</f>
        <v>0</v>
      </c>
      <c r="AD17" s="10" cm="1">
        <f t="array" ref="AD17">IF(OR(AD$4=0, $G17&lt;&gt; $G$7, $E17=0), 'I&amp;E Monthly'!AD17, CHOOSE(Timeline!AD$30,$J17,$K17,$L17 )*INDEX('I&amp;E Profiles'!AD$96:AD$180,$I17))</f>
        <v>0</v>
      </c>
      <c r="AE17" s="10" cm="1">
        <f t="array" ref="AE17">IF(OR(AE$4=0, $G17&lt;&gt; $G$7, $E17=0), 'I&amp;E Monthly'!AE17, CHOOSE(Timeline!AE$30,$J17,$K17,$L17 )*INDEX('I&amp;E Profiles'!AE$96:AE$180,$I17))</f>
        <v>0</v>
      </c>
      <c r="AF17" s="10" cm="1">
        <f t="array" ref="AF17">IF(OR(AF$4=0, $G17&lt;&gt; $G$7, $E17=0), 'I&amp;E Monthly'!AF17, CHOOSE(Timeline!AF$30,$J17,$K17,$L17 )*INDEX('I&amp;E Profiles'!AF$96:AF$180,$I17))</f>
        <v>0</v>
      </c>
      <c r="AG17" s="10" cm="1">
        <f t="array" ref="AG17">IF(OR(AG$4=0, $G17&lt;&gt; $G$7, $E17=0), 'I&amp;E Monthly'!AG17, CHOOSE(Timeline!AG$30,$J17,$K17,$L17 )*INDEX('I&amp;E Profiles'!AG$96:AG$180,$I17))</f>
        <v>0</v>
      </c>
      <c r="AH17" s="10" cm="1">
        <f t="array" ref="AH17">IF(OR(AH$4=0, $G17&lt;&gt; $G$7, $E17=0), 'I&amp;E Monthly'!AH17, CHOOSE(Timeline!AH$30,$J17,$K17,$L17 )*INDEX('I&amp;E Profiles'!AH$96:AH$180,$I17))</f>
        <v>0</v>
      </c>
      <c r="AI17" s="10" cm="1">
        <f t="array" ref="AI17">IF(OR(AI$4=0, $G17&lt;&gt; $G$7, $E17=0), 'I&amp;E Monthly'!AI17, CHOOSE(Timeline!AI$30,$J17,$K17,$L17 )*INDEX('I&amp;E Profiles'!AI$96:AI$180,$I17))</f>
        <v>0</v>
      </c>
      <c r="AJ17" s="10" cm="1">
        <f t="array" ref="AJ17">IF(OR(AJ$4=0, $G17&lt;&gt; $G$7, $E17=0), 'I&amp;E Monthly'!AJ17, CHOOSE(Timeline!AJ$30,$J17,$K17,$L17 )*INDEX('I&amp;E Profiles'!AJ$96:AJ$180,$I17))</f>
        <v>0</v>
      </c>
      <c r="AK17" s="10" cm="1">
        <f t="array" ref="AK17">IF(OR(AK$4=0, $G17&lt;&gt; $G$7, $E17=0), 'I&amp;E Monthly'!AK17, CHOOSE(Timeline!AK$30,$J17,$K17,$L17 )*INDEX('I&amp;E Profiles'!AK$96:AK$180,$I17))</f>
        <v>0</v>
      </c>
      <c r="AL17" s="10" cm="1">
        <f t="array" ref="AL17">IF(OR(AL$4=0, $G17&lt;&gt; $G$7, $E17=0), 'I&amp;E Monthly'!AL17, CHOOSE(Timeline!AL$30,$J17,$K17,$L17 )*INDEX('I&amp;E Profiles'!AL$96:AL$180,$I17))</f>
        <v>0</v>
      </c>
      <c r="AM17" s="10" cm="1">
        <f t="array" ref="AM17">IF(OR(AM$4=0, $G17&lt;&gt; $G$7, $E17=0), 'I&amp;E Monthly'!AM17, CHOOSE(Timeline!AM$30,$J17,$K17,$L17 )*INDEX('I&amp;E Profiles'!AM$96:AM$180,$I17))</f>
        <v>0</v>
      </c>
      <c r="AN17" s="10" cm="1">
        <f t="array" ref="AN17">IF(OR(AN$4=0, $G17&lt;&gt; $G$7, $E17=0), 'I&amp;E Monthly'!AN17, CHOOSE(Timeline!AN$30,$J17,$K17,$L17 )*INDEX('I&amp;E Profiles'!AN$96:AN$180,$I17))</f>
        <v>0</v>
      </c>
      <c r="AO17" s="10" cm="1">
        <f t="array" ref="AO17">IF(OR(AO$4=0, $G17&lt;&gt; $G$7, $E17=0), 'I&amp;E Monthly'!AO17, CHOOSE(Timeline!AO$30,$J17,$K17,$L17 )*INDEX('I&amp;E Profiles'!AO$96:AO$180,$I17))</f>
        <v>0</v>
      </c>
      <c r="AP17" s="10" cm="1">
        <f t="array" ref="AP17">IF(OR(AP$4=0, $G17&lt;&gt; $G$7, $E17=0), 'I&amp;E Monthly'!AP17, CHOOSE(Timeline!AP$30,$J17,$K17,$L17 )*INDEX('I&amp;E Profiles'!AP$96:AP$180,$I17))</f>
        <v>0</v>
      </c>
      <c r="AQ17" s="10" cm="1">
        <f t="array" ref="AQ17">IF(OR(AQ$4=0, $G17&lt;&gt; $G$7, $E17=0), 'I&amp;E Monthly'!AQ17, CHOOSE(Timeline!AQ$30,$J17,$K17,$L17 )*INDEX('I&amp;E Profiles'!AQ$96:AQ$180,$I17))</f>
        <v>0</v>
      </c>
      <c r="AR17" s="10" cm="1">
        <f t="array" ref="AR17">IF(OR(AR$4=0, $G17&lt;&gt; $G$7, $E17=0), 'I&amp;E Monthly'!AR17, CHOOSE(Timeline!AR$30,$J17,$K17,$L17 )*INDEX('I&amp;E Profiles'!AR$96:AR$180,$I17))</f>
        <v>0</v>
      </c>
      <c r="AS17" s="10" cm="1">
        <f t="array" ref="AS17">IF(OR(AS$4=0, $G17&lt;&gt; $G$7, $E17=0), 'I&amp;E Monthly'!AS17, CHOOSE(Timeline!AS$30,$J17,$K17,$L17 )*INDEX('I&amp;E Profiles'!AS$96:AS$180,$I17))</f>
        <v>0</v>
      </c>
      <c r="AT17" s="10" cm="1">
        <f t="array" ref="AT17">IF(OR(AT$4=0, $G17&lt;&gt; $G$7, $E17=0), 'I&amp;E Monthly'!AT17, CHOOSE(Timeline!AT$30,$J17,$K17,$L17 )*INDEX('I&amp;E Profiles'!AT$96:AT$180,$I17))</f>
        <v>0</v>
      </c>
      <c r="AU17" s="10" cm="1">
        <f t="array" ref="AU17">IF(OR(AU$4=0, $G17&lt;&gt; $G$7, $E17=0), 'I&amp;E Monthly'!AU17, CHOOSE(Timeline!AU$30,$J17,$K17,$L17 )*INDEX('I&amp;E Profiles'!AU$96:AU$180,$I17))</f>
        <v>0</v>
      </c>
      <c r="AV17" s="10" cm="1">
        <f t="array" ref="AV17">IF(OR(AV$4=0, $G17&lt;&gt; $G$7, $E17=0), 'I&amp;E Monthly'!AV17, CHOOSE(Timeline!AV$30,$J17,$K17,$L17 )*INDEX('I&amp;E Profiles'!AV$96:AV$180,$I17))</f>
        <v>0</v>
      </c>
      <c r="AW17" s="10" cm="1">
        <f t="array" ref="AW17">IF(OR(AW$4=0, $G17&lt;&gt; $G$7, $E17=0), 'I&amp;E Monthly'!AW17, CHOOSE(Timeline!AW$30,$J17,$K17,$L17 )*INDEX('I&amp;E Profiles'!AW$96:AW$180,$I17))</f>
        <v>0</v>
      </c>
      <c r="AX17" s="10" cm="1">
        <f t="array" ref="AX17">IF(OR(AX$4=0, $G17&lt;&gt; $G$7, $E17=0), 'I&amp;E Monthly'!AX17, CHOOSE(Timeline!AX$30,$J17,$K17,$L17 )*INDEX('I&amp;E Profiles'!AX$96:AX$180,$I17))</f>
        <v>0</v>
      </c>
      <c r="AY17" s="10" cm="1">
        <f t="array" ref="AY17">IF(OR(AY$4=0, $G17&lt;&gt; $G$7, $E17=0), 'I&amp;E Monthly'!AY17, CHOOSE(Timeline!AY$30,$J17,$K17,$L17 )*INDEX('I&amp;E Profiles'!AY$96:AY$180,$I17))</f>
        <v>0</v>
      </c>
      <c r="AZ17" s="10" cm="1">
        <f t="array" ref="AZ17">IF(OR(AZ$4=0, $G17&lt;&gt; $G$7, $E17=0), 'I&amp;E Monthly'!AZ17, CHOOSE(Timeline!AZ$30,$J17,$K17,$L17 )*INDEX('I&amp;E Profiles'!AZ$96:AZ$180,$I17))</f>
        <v>0</v>
      </c>
      <c r="BA17" s="10" cm="1">
        <f t="array" ref="BA17">IF(OR(BA$4=0, $G17&lt;&gt; $G$7, $E17=0), 'I&amp;E Monthly'!BA17, CHOOSE(Timeline!BA$30,$J17,$K17,$L17 )*INDEX('I&amp;E Profiles'!BA$96:BA$180,$I17))</f>
        <v>0</v>
      </c>
      <c r="BB17" s="10" cm="1">
        <f t="array" ref="BB17">IF(OR(BB$4=0, $G17&lt;&gt; $G$7, $E17=0), 'I&amp;E Monthly'!BB17, CHOOSE(Timeline!BB$30,$J17,$K17,$L17 )*INDEX('I&amp;E Profiles'!BB$96:BB$180,$I17))</f>
        <v>0</v>
      </c>
      <c r="BC17" s="10" cm="1">
        <f t="array" ref="BC17">IF(OR(BC$4=0, $G17&lt;&gt; $G$7, $E17=0), 'I&amp;E Monthly'!BC17, CHOOSE(Timeline!BC$30,$J17,$K17,$L17 )*INDEX('I&amp;E Profiles'!BC$96:BC$180,$I17))</f>
        <v>0</v>
      </c>
      <c r="BD17" s="10" cm="1">
        <f t="array" ref="BD17">IF(OR(BD$4=0, $G17&lt;&gt; $G$7, $E17=0), 'I&amp;E Monthly'!BD17, CHOOSE(Timeline!BD$30,$J17,$K17,$L17 )*INDEX('I&amp;E Profiles'!BD$96:BD$180,$I17))</f>
        <v>0</v>
      </c>
      <c r="BE17" s="10" cm="1">
        <f t="array" ref="BE17">IF(OR(BE$4=0, $G17&lt;&gt; $G$7, $E17=0), 'I&amp;E Monthly'!BE17, CHOOSE(Timeline!BE$30,$J17,$K17,$L17 )*INDEX('I&amp;E Profiles'!BE$96:BE$180,$I17))</f>
        <v>0</v>
      </c>
      <c r="BF17" s="10" cm="1">
        <f t="array" ref="BF17">IF(OR(BF$4=0, $G17&lt;&gt; $G$7, $E17=0), 'I&amp;E Monthly'!BF17, CHOOSE(Timeline!BF$30,$J17,$K17,$L17 )*INDEX('I&amp;E Profiles'!BF$96:BF$180,$I17))</f>
        <v>0</v>
      </c>
      <c r="BG17" s="10" cm="1">
        <f t="array" ref="BG17">IF(OR(BG$4=0, $G17&lt;&gt; $G$7, $E17=0), 'I&amp;E Monthly'!BG17, CHOOSE(Timeline!BG$30,$J17,$K17,$L17 )*INDEX('I&amp;E Profiles'!BG$96:BG$180,$I17))</f>
        <v>0</v>
      </c>
      <c r="BH17" s="10" cm="1">
        <f t="array" ref="BH17">IF(OR(BH$4=0, $G17&lt;&gt; $G$7, $E17=0), 'I&amp;E Monthly'!BH17, CHOOSE(Timeline!BH$30,$J17,$K17,$L17 )*INDEX('I&amp;E Profiles'!BH$96:BH$180,$I17))</f>
        <v>0</v>
      </c>
      <c r="BI17" s="10" cm="1">
        <f t="array" ref="BI17">IF(OR(BI$4=0, $G17&lt;&gt; $G$7, $E17=0), 'I&amp;E Monthly'!BI17, CHOOSE(Timeline!BI$30,$J17,$K17,$L17 )*INDEX('I&amp;E Profiles'!BI$96:BI$180,$I17))</f>
        <v>0</v>
      </c>
      <c r="BJ17" s="10" cm="1">
        <f t="array" ref="BJ17">IF(OR(BJ$4=0, $G17&lt;&gt; $G$7, $E17=0), 'I&amp;E Monthly'!BJ17, CHOOSE(Timeline!BJ$30,$J17,$K17,$L17 )*INDEX('I&amp;E Profiles'!BJ$96:BJ$180,$I17))</f>
        <v>0</v>
      </c>
      <c r="BX17" s="12">
        <f t="shared" ref="BX17:BX22" si="7">V17</f>
        <v>0</v>
      </c>
      <c r="BY17" s="10">
        <f t="shared" ref="BY17:CA22" si="8">SUMIFS($AA17:$BJ17, $AA$3:$BJ$3,BY$3)</f>
        <v>0</v>
      </c>
      <c r="BZ17" s="10">
        <f t="shared" si="8"/>
        <v>0</v>
      </c>
      <c r="CA17" s="10">
        <f t="shared" si="8"/>
        <v>0</v>
      </c>
      <c r="CB17" s="12">
        <f>'I&amp;E Monthly'!CB17</f>
        <v>0</v>
      </c>
      <c r="CC17" s="12">
        <f>'I&amp;E Monthly'!CC17</f>
        <v>0</v>
      </c>
      <c r="CD17" s="12">
        <f>'I&amp;E Monthly'!CD17</f>
        <v>0</v>
      </c>
      <c r="CE17" s="12">
        <f>'I&amp;E Monthly'!CE17</f>
        <v>0</v>
      </c>
      <c r="CF17" s="12">
        <f>'I&amp;E Monthly'!CF17</f>
        <v>0</v>
      </c>
      <c r="CG17" s="12">
        <f>'I&amp;E Monthly'!CG17</f>
        <v>0</v>
      </c>
      <c r="CH17" s="12">
        <f>'I&amp;E Monthly'!CH17</f>
        <v>0</v>
      </c>
      <c r="CI17" s="12">
        <f>'I&amp;E Monthly'!CI17</f>
        <v>0</v>
      </c>
      <c r="CK17" s="11"/>
      <c r="CL17" s="221">
        <f t="shared" ref="CL17:CL24" ca="1" si="9">IF(MIN($V17:$CI17)&lt;0, 1, 0)*$I$7</f>
        <v>0</v>
      </c>
      <c r="CM17" s="11"/>
      <c r="CN17" s="7">
        <f t="shared" ref="CN17:CN22" si="10">IF(AND($G17=$G$7,$E17=""), 1, 0)</f>
        <v>0</v>
      </c>
      <c r="CO17" s="7" cm="1">
        <f t="array" ref="CO17">SUMPRODUCT(--NOT(ISNUMBER(W17:Y17)),--NOT(ISBLANK(W17:Y17)))</f>
        <v>0</v>
      </c>
      <c r="CP17" s="7" cm="1">
        <f t="array" ref="CP17">IF(E17="",0, IF(IFERROR(INDEX('I&amp;E Profiles'!$D$96:$D$180, $I17), "N/A")="N/A", 1, 0))</f>
        <v>0</v>
      </c>
      <c r="CQ17" s="7">
        <f t="shared" ref="CQ17:CQ24" si="11">IF(SUM($CV17:$CX17)=0, 0, 1)</f>
        <v>0</v>
      </c>
      <c r="CS17" s="7">
        <f t="shared" ref="CS17:CS24" si="12">IF(SUM($CY17:$DA17)=0, 0, 1)</f>
        <v>0</v>
      </c>
      <c r="CT17" s="7">
        <f t="shared" ref="CT17:CT24" si="13">IF(DB17=0, 0, 1)</f>
        <v>0</v>
      </c>
      <c r="CU17" s="11"/>
      <c r="CV17" s="215">
        <f t="shared" ref="CV17:CX24" si="14">IF($G17=$G$7, ROUND(W17-SUMIFS($AA17:$BJ17, $AA$3:$BJ$3, W$3), rounding), 0)</f>
        <v>0</v>
      </c>
      <c r="CW17" s="215">
        <f t="shared" si="14"/>
        <v>0</v>
      </c>
      <c r="CX17" s="215">
        <f t="shared" si="14"/>
        <v>0</v>
      </c>
      <c r="CY17" s="215">
        <f t="shared" ref="CY17:CY24" si="15">ROUND($BY17-SUMIFS($AA17:$BJ17, $AA$3:$BJ$3, $BY$3), rounding)</f>
        <v>0</v>
      </c>
      <c r="CZ17" s="215">
        <f t="shared" ref="CZ17:CZ24" si="16">ROUND($BZ17-SUMIFS($AA17:$BJ17, $AA$3:$BJ$3, $BZ$3), rounding)</f>
        <v>0</v>
      </c>
      <c r="DA17" s="215">
        <f t="shared" ref="DA17:DA24" si="17">ROUND($CA17-SUMIFS($AA17:$BJ17, $AA$3:$BJ$3, $CA$3), rounding)</f>
        <v>0</v>
      </c>
      <c r="DB17" s="215">
        <f t="shared" ref="DB17:DB24" si="18">ROUND($V17-$BX17, rounding)</f>
        <v>0</v>
      </c>
      <c r="FN17" s="10" t="str">
        <f t="shared" si="1"/>
        <v>16-19 programme funding</v>
      </c>
    </row>
    <row r="18" spans="1:170" x14ac:dyDescent="0.35">
      <c r="A18" s="220" cm="1">
        <f t="array" aca="1" ref="A18" ca="1">HYPERLINK(CONCATENATE("#",CELL("address",IF(MAX($CM18:$CU18)=0,A18,INDEX($CM18:$CU18,MATCH(1,$CM18:$CU18,0))))),MAX($CM18:$CU18))</f>
        <v>0</v>
      </c>
      <c r="B18" s="85" t="s">
        <v>122</v>
      </c>
      <c r="C18" s="213" t="s">
        <v>482</v>
      </c>
      <c r="D18" s="57" t="s">
        <v>323</v>
      </c>
      <c r="E18" s="114"/>
      <c r="F18" s="79" t="str" cm="1">
        <f t="array" aca="1" ref="F18" ca="1">IF(E18="", "", HYPERLINK(CONCATENATE("#",CELL("address",INDEX('I&amp;E Profiles'!$D$9:$D$93,'I&amp;E Annual'!I18))),E18))</f>
        <v/>
      </c>
      <c r="G18" s="114"/>
      <c r="H18" t="s">
        <v>317</v>
      </c>
      <c r="I18" s="132" t="str">
        <f>IF(E18="", "", MATCH(E18, 'I&amp;E Profiles'!$D$96:$D$180,0))</f>
        <v/>
      </c>
      <c r="J18" s="133">
        <f>IF($G18=$G$7, W18,'I&amp;E Monthly'!W18)-SUMIFS('I&amp;E Monthly'!$AA18:$BJ18, 'I&amp;E Monthly'!$AA$3:$BJ$3, 'I&amp;E Annual'!W$3, 'I&amp;E Monthly'!$AA$4:$BJ$4, 0)</f>
        <v>0</v>
      </c>
      <c r="K18" s="133">
        <f>IF($G18=$G$7, X18,'I&amp;E Monthly'!X18)-SUMIFS('I&amp;E Monthly'!$AA18:$BJ18, 'I&amp;E Monthly'!$AA$3:$BJ$3, 'I&amp;E Annual'!X$3, 'I&amp;E Monthly'!$AA$4:$BJ$4, 0)</f>
        <v>0</v>
      </c>
      <c r="L18" s="133">
        <f>IF($G18=$G$7, Y18,'I&amp;E Monthly'!Y18)-SUMIFS('I&amp;E Monthly'!$AA18:$BJ18, 'I&amp;E Monthly'!$AA$3:$BJ$3, 'I&amp;E Annual'!Y$3, 'I&amp;E Monthly'!$AA$4:$BJ$4, 0)</f>
        <v>0</v>
      </c>
      <c r="Q18" s="2"/>
      <c r="V18" s="133">
        <f>'I&amp;E Monthly'!V18</f>
        <v>0</v>
      </c>
      <c r="W18" s="114"/>
      <c r="X18" s="131"/>
      <c r="Y18" s="131"/>
      <c r="AA18" s="10" cm="1">
        <f t="array" ref="AA18">IF(OR(AA$4=0, $G18&lt;&gt; $G$7, $E18=0), 'I&amp;E Monthly'!AA18, CHOOSE(Timeline!AA$30,$J18,$K18,$L18 )*INDEX('I&amp;E Profiles'!AA$96:AA$180,$I18))</f>
        <v>0</v>
      </c>
      <c r="AB18" s="10" cm="1">
        <f t="array" ref="AB18">IF(OR(AB$4=0, $G18&lt;&gt; $G$7, $E18=0), 'I&amp;E Monthly'!AB18, CHOOSE(Timeline!AB$30,$J18,$K18,$L18 )*INDEX('I&amp;E Profiles'!AB$96:AB$180,$I18))</f>
        <v>0</v>
      </c>
      <c r="AC18" s="10" cm="1">
        <f t="array" ref="AC18">IF(OR(AC$4=0, $G18&lt;&gt; $G$7, $E18=0), 'I&amp;E Monthly'!AC18, CHOOSE(Timeline!AC$30,$J18,$K18,$L18 )*INDEX('I&amp;E Profiles'!AC$96:AC$180,$I18))</f>
        <v>0</v>
      </c>
      <c r="AD18" s="10" cm="1">
        <f t="array" ref="AD18">IF(OR(AD$4=0, $G18&lt;&gt; $G$7, $E18=0), 'I&amp;E Monthly'!AD18, CHOOSE(Timeline!AD$30,$J18,$K18,$L18 )*INDEX('I&amp;E Profiles'!AD$96:AD$180,$I18))</f>
        <v>0</v>
      </c>
      <c r="AE18" s="10" cm="1">
        <f t="array" ref="AE18">IF(OR(AE$4=0, $G18&lt;&gt; $G$7, $E18=0), 'I&amp;E Monthly'!AE18, CHOOSE(Timeline!AE$30,$J18,$K18,$L18 )*INDEX('I&amp;E Profiles'!AE$96:AE$180,$I18))</f>
        <v>0</v>
      </c>
      <c r="AF18" s="10" cm="1">
        <f t="array" ref="AF18">IF(OR(AF$4=0, $G18&lt;&gt; $G$7, $E18=0), 'I&amp;E Monthly'!AF18, CHOOSE(Timeline!AF$30,$J18,$K18,$L18 )*INDEX('I&amp;E Profiles'!AF$96:AF$180,$I18))</f>
        <v>0</v>
      </c>
      <c r="AG18" s="10" cm="1">
        <f t="array" ref="AG18">IF(OR(AG$4=0, $G18&lt;&gt; $G$7, $E18=0), 'I&amp;E Monthly'!AG18, CHOOSE(Timeline!AG$30,$J18,$K18,$L18 )*INDEX('I&amp;E Profiles'!AG$96:AG$180,$I18))</f>
        <v>0</v>
      </c>
      <c r="AH18" s="10" cm="1">
        <f t="array" ref="AH18">IF(OR(AH$4=0, $G18&lt;&gt; $G$7, $E18=0), 'I&amp;E Monthly'!AH18, CHOOSE(Timeline!AH$30,$J18,$K18,$L18 )*INDEX('I&amp;E Profiles'!AH$96:AH$180,$I18))</f>
        <v>0</v>
      </c>
      <c r="AI18" s="10" cm="1">
        <f t="array" ref="AI18">IF(OR(AI$4=0, $G18&lt;&gt; $G$7, $E18=0), 'I&amp;E Monthly'!AI18, CHOOSE(Timeline!AI$30,$J18,$K18,$L18 )*INDEX('I&amp;E Profiles'!AI$96:AI$180,$I18))</f>
        <v>0</v>
      </c>
      <c r="AJ18" s="10" cm="1">
        <f t="array" ref="AJ18">IF(OR(AJ$4=0, $G18&lt;&gt; $G$7, $E18=0), 'I&amp;E Monthly'!AJ18, CHOOSE(Timeline!AJ$30,$J18,$K18,$L18 )*INDEX('I&amp;E Profiles'!AJ$96:AJ$180,$I18))</f>
        <v>0</v>
      </c>
      <c r="AK18" s="10" cm="1">
        <f t="array" ref="AK18">IF(OR(AK$4=0, $G18&lt;&gt; $G$7, $E18=0), 'I&amp;E Monthly'!AK18, CHOOSE(Timeline!AK$30,$J18,$K18,$L18 )*INDEX('I&amp;E Profiles'!AK$96:AK$180,$I18))</f>
        <v>0</v>
      </c>
      <c r="AL18" s="10" cm="1">
        <f t="array" ref="AL18">IF(OR(AL$4=0, $G18&lt;&gt; $G$7, $E18=0), 'I&amp;E Monthly'!AL18, CHOOSE(Timeline!AL$30,$J18,$K18,$L18 )*INDEX('I&amp;E Profiles'!AL$96:AL$180,$I18))</f>
        <v>0</v>
      </c>
      <c r="AM18" s="10" cm="1">
        <f t="array" ref="AM18">IF(OR(AM$4=0, $G18&lt;&gt; $G$7, $E18=0), 'I&amp;E Monthly'!AM18, CHOOSE(Timeline!AM$30,$J18,$K18,$L18 )*INDEX('I&amp;E Profiles'!AM$96:AM$180,$I18))</f>
        <v>0</v>
      </c>
      <c r="AN18" s="10" cm="1">
        <f t="array" ref="AN18">IF(OR(AN$4=0, $G18&lt;&gt; $G$7, $E18=0), 'I&amp;E Monthly'!AN18, CHOOSE(Timeline!AN$30,$J18,$K18,$L18 )*INDEX('I&amp;E Profiles'!AN$96:AN$180,$I18))</f>
        <v>0</v>
      </c>
      <c r="AO18" s="10" cm="1">
        <f t="array" ref="AO18">IF(OR(AO$4=0, $G18&lt;&gt; $G$7, $E18=0), 'I&amp;E Monthly'!AO18, CHOOSE(Timeline!AO$30,$J18,$K18,$L18 )*INDEX('I&amp;E Profiles'!AO$96:AO$180,$I18))</f>
        <v>0</v>
      </c>
      <c r="AP18" s="10" cm="1">
        <f t="array" ref="AP18">IF(OR(AP$4=0, $G18&lt;&gt; $G$7, $E18=0), 'I&amp;E Monthly'!AP18, CHOOSE(Timeline!AP$30,$J18,$K18,$L18 )*INDEX('I&amp;E Profiles'!AP$96:AP$180,$I18))</f>
        <v>0</v>
      </c>
      <c r="AQ18" s="10" cm="1">
        <f t="array" ref="AQ18">IF(OR(AQ$4=0, $G18&lt;&gt; $G$7, $E18=0), 'I&amp;E Monthly'!AQ18, CHOOSE(Timeline!AQ$30,$J18,$K18,$L18 )*INDEX('I&amp;E Profiles'!AQ$96:AQ$180,$I18))</f>
        <v>0</v>
      </c>
      <c r="AR18" s="10" cm="1">
        <f t="array" ref="AR18">IF(OR(AR$4=0, $G18&lt;&gt; $G$7, $E18=0), 'I&amp;E Monthly'!AR18, CHOOSE(Timeline!AR$30,$J18,$K18,$L18 )*INDEX('I&amp;E Profiles'!AR$96:AR$180,$I18))</f>
        <v>0</v>
      </c>
      <c r="AS18" s="10" cm="1">
        <f t="array" ref="AS18">IF(OR(AS$4=0, $G18&lt;&gt; $G$7, $E18=0), 'I&amp;E Monthly'!AS18, CHOOSE(Timeline!AS$30,$J18,$K18,$L18 )*INDEX('I&amp;E Profiles'!AS$96:AS$180,$I18))</f>
        <v>0</v>
      </c>
      <c r="AT18" s="10" cm="1">
        <f t="array" ref="AT18">IF(OR(AT$4=0, $G18&lt;&gt; $G$7, $E18=0), 'I&amp;E Monthly'!AT18, CHOOSE(Timeline!AT$30,$J18,$K18,$L18 )*INDEX('I&amp;E Profiles'!AT$96:AT$180,$I18))</f>
        <v>0</v>
      </c>
      <c r="AU18" s="10" cm="1">
        <f t="array" ref="AU18">IF(OR(AU$4=0, $G18&lt;&gt; $G$7, $E18=0), 'I&amp;E Monthly'!AU18, CHOOSE(Timeline!AU$30,$J18,$K18,$L18 )*INDEX('I&amp;E Profiles'!AU$96:AU$180,$I18))</f>
        <v>0</v>
      </c>
      <c r="AV18" s="10" cm="1">
        <f t="array" ref="AV18">IF(OR(AV$4=0, $G18&lt;&gt; $G$7, $E18=0), 'I&amp;E Monthly'!AV18, CHOOSE(Timeline!AV$30,$J18,$K18,$L18 )*INDEX('I&amp;E Profiles'!AV$96:AV$180,$I18))</f>
        <v>0</v>
      </c>
      <c r="AW18" s="10" cm="1">
        <f t="array" ref="AW18">IF(OR(AW$4=0, $G18&lt;&gt; $G$7, $E18=0), 'I&amp;E Monthly'!AW18, CHOOSE(Timeline!AW$30,$J18,$K18,$L18 )*INDEX('I&amp;E Profiles'!AW$96:AW$180,$I18))</f>
        <v>0</v>
      </c>
      <c r="AX18" s="10" cm="1">
        <f t="array" ref="AX18">IF(OR(AX$4=0, $G18&lt;&gt; $G$7, $E18=0), 'I&amp;E Monthly'!AX18, CHOOSE(Timeline!AX$30,$J18,$K18,$L18 )*INDEX('I&amp;E Profiles'!AX$96:AX$180,$I18))</f>
        <v>0</v>
      </c>
      <c r="AY18" s="10" cm="1">
        <f t="array" ref="AY18">IF(OR(AY$4=0, $G18&lt;&gt; $G$7, $E18=0), 'I&amp;E Monthly'!AY18, CHOOSE(Timeline!AY$30,$J18,$K18,$L18 )*INDEX('I&amp;E Profiles'!AY$96:AY$180,$I18))</f>
        <v>0</v>
      </c>
      <c r="AZ18" s="10" cm="1">
        <f t="array" ref="AZ18">IF(OR(AZ$4=0, $G18&lt;&gt; $G$7, $E18=0), 'I&amp;E Monthly'!AZ18, CHOOSE(Timeline!AZ$30,$J18,$K18,$L18 )*INDEX('I&amp;E Profiles'!AZ$96:AZ$180,$I18))</f>
        <v>0</v>
      </c>
      <c r="BA18" s="10" cm="1">
        <f t="array" ref="BA18">IF(OR(BA$4=0, $G18&lt;&gt; $G$7, $E18=0), 'I&amp;E Monthly'!BA18, CHOOSE(Timeline!BA$30,$J18,$K18,$L18 )*INDEX('I&amp;E Profiles'!BA$96:BA$180,$I18))</f>
        <v>0</v>
      </c>
      <c r="BB18" s="10" cm="1">
        <f t="array" ref="BB18">IF(OR(BB$4=0, $G18&lt;&gt; $G$7, $E18=0), 'I&amp;E Monthly'!BB18, CHOOSE(Timeline!BB$30,$J18,$K18,$L18 )*INDEX('I&amp;E Profiles'!BB$96:BB$180,$I18))</f>
        <v>0</v>
      </c>
      <c r="BC18" s="10" cm="1">
        <f t="array" ref="BC18">IF(OR(BC$4=0, $G18&lt;&gt; $G$7, $E18=0), 'I&amp;E Monthly'!BC18, CHOOSE(Timeline!BC$30,$J18,$K18,$L18 )*INDEX('I&amp;E Profiles'!BC$96:BC$180,$I18))</f>
        <v>0</v>
      </c>
      <c r="BD18" s="10" cm="1">
        <f t="array" ref="BD18">IF(OR(BD$4=0, $G18&lt;&gt; $G$7, $E18=0), 'I&amp;E Monthly'!BD18, CHOOSE(Timeline!BD$30,$J18,$K18,$L18 )*INDEX('I&amp;E Profiles'!BD$96:BD$180,$I18))</f>
        <v>0</v>
      </c>
      <c r="BE18" s="10" cm="1">
        <f t="array" ref="BE18">IF(OR(BE$4=0, $G18&lt;&gt; $G$7, $E18=0), 'I&amp;E Monthly'!BE18, CHOOSE(Timeline!BE$30,$J18,$K18,$L18 )*INDEX('I&amp;E Profiles'!BE$96:BE$180,$I18))</f>
        <v>0</v>
      </c>
      <c r="BF18" s="10" cm="1">
        <f t="array" ref="BF18">IF(OR(BF$4=0, $G18&lt;&gt; $G$7, $E18=0), 'I&amp;E Monthly'!BF18, CHOOSE(Timeline!BF$30,$J18,$K18,$L18 )*INDEX('I&amp;E Profiles'!BF$96:BF$180,$I18))</f>
        <v>0</v>
      </c>
      <c r="BG18" s="10" cm="1">
        <f t="array" ref="BG18">IF(OR(BG$4=0, $G18&lt;&gt; $G$7, $E18=0), 'I&amp;E Monthly'!BG18, CHOOSE(Timeline!BG$30,$J18,$K18,$L18 )*INDEX('I&amp;E Profiles'!BG$96:BG$180,$I18))</f>
        <v>0</v>
      </c>
      <c r="BH18" s="10" cm="1">
        <f t="array" ref="BH18">IF(OR(BH$4=0, $G18&lt;&gt; $G$7, $E18=0), 'I&amp;E Monthly'!BH18, CHOOSE(Timeline!BH$30,$J18,$K18,$L18 )*INDEX('I&amp;E Profiles'!BH$96:BH$180,$I18))</f>
        <v>0</v>
      </c>
      <c r="BI18" s="10" cm="1">
        <f t="array" ref="BI18">IF(OR(BI$4=0, $G18&lt;&gt; $G$7, $E18=0), 'I&amp;E Monthly'!BI18, CHOOSE(Timeline!BI$30,$J18,$K18,$L18 )*INDEX('I&amp;E Profiles'!BI$96:BI$180,$I18))</f>
        <v>0</v>
      </c>
      <c r="BJ18" s="10" cm="1">
        <f t="array" ref="BJ18">IF(OR(BJ$4=0, $G18&lt;&gt; $G$7, $E18=0), 'I&amp;E Monthly'!BJ18, CHOOSE(Timeline!BJ$30,$J18,$K18,$L18 )*INDEX('I&amp;E Profiles'!BJ$96:BJ$180,$I18))</f>
        <v>0</v>
      </c>
      <c r="BX18" s="12">
        <f t="shared" si="7"/>
        <v>0</v>
      </c>
      <c r="BY18" s="10">
        <f t="shared" si="8"/>
        <v>0</v>
      </c>
      <c r="BZ18" s="10">
        <f t="shared" si="8"/>
        <v>0</v>
      </c>
      <c r="CA18" s="10">
        <f t="shared" si="8"/>
        <v>0</v>
      </c>
      <c r="CB18" s="12">
        <f>'I&amp;E Monthly'!CB18</f>
        <v>0</v>
      </c>
      <c r="CC18" s="12">
        <f>'I&amp;E Monthly'!CC18</f>
        <v>0</v>
      </c>
      <c r="CD18" s="12">
        <f>'I&amp;E Monthly'!CD18</f>
        <v>0</v>
      </c>
      <c r="CE18" s="12">
        <f>'I&amp;E Monthly'!CE18</f>
        <v>0</v>
      </c>
      <c r="CF18" s="12">
        <f>'I&amp;E Monthly'!CF18</f>
        <v>0</v>
      </c>
      <c r="CG18" s="12">
        <f>'I&amp;E Monthly'!CG18</f>
        <v>0</v>
      </c>
      <c r="CH18" s="12">
        <f>'I&amp;E Monthly'!CH18</f>
        <v>0</v>
      </c>
      <c r="CI18" s="12">
        <f>'I&amp;E Monthly'!CI18</f>
        <v>0</v>
      </c>
      <c r="CK18" s="11"/>
      <c r="CL18" s="221">
        <f t="shared" ca="1" si="9"/>
        <v>0</v>
      </c>
      <c r="CM18" s="11"/>
      <c r="CN18" s="7">
        <f t="shared" si="10"/>
        <v>0</v>
      </c>
      <c r="CO18" s="7" cm="1">
        <f t="array" ref="CO18">SUMPRODUCT(--NOT(ISNUMBER(W18:Y18)),--NOT(ISBLANK(W18:Y18)))</f>
        <v>0</v>
      </c>
      <c r="CP18" s="7" cm="1">
        <f t="array" ref="CP18">IF(E18="",0, IF(IFERROR(INDEX('I&amp;E Profiles'!$D$96:$D$180, $I18), "N/A")="N/A", 1, 0))</f>
        <v>0</v>
      </c>
      <c r="CQ18" s="7">
        <f t="shared" si="11"/>
        <v>0</v>
      </c>
      <c r="CS18" s="7">
        <f t="shared" si="12"/>
        <v>0</v>
      </c>
      <c r="CT18" s="7">
        <f t="shared" si="13"/>
        <v>0</v>
      </c>
      <c r="CU18" s="11"/>
      <c r="CV18" s="215">
        <f t="shared" si="14"/>
        <v>0</v>
      </c>
      <c r="CW18" s="215">
        <f t="shared" si="14"/>
        <v>0</v>
      </c>
      <c r="CX18" s="215">
        <f t="shared" si="14"/>
        <v>0</v>
      </c>
      <c r="CY18" s="215">
        <f t="shared" si="15"/>
        <v>0</v>
      </c>
      <c r="CZ18" s="215">
        <f t="shared" si="16"/>
        <v>0</v>
      </c>
      <c r="DA18" s="215">
        <f t="shared" si="17"/>
        <v>0</v>
      </c>
      <c r="DB18" s="215">
        <f t="shared" si="18"/>
        <v>0</v>
      </c>
      <c r="FN18" s="10" t="str">
        <f t="shared" si="1"/>
        <v>16-19  other programme funding (exc. Bursaries)</v>
      </c>
    </row>
    <row r="19" spans="1:170" x14ac:dyDescent="0.35">
      <c r="A19" s="220" cm="1">
        <f t="array" aca="1" ref="A19" ca="1">HYPERLINK(CONCATENATE("#",CELL("address",IF(MAX($CM19:$CU19)=0,A19,INDEX($CM19:$CU19,MATCH(1,$CM19:$CU19,0))))),MAX($CM19:$CU19))</f>
        <v>0</v>
      </c>
      <c r="C19" s="213" t="s">
        <v>483</v>
      </c>
      <c r="D19" s="57" t="s">
        <v>324</v>
      </c>
      <c r="E19" s="114"/>
      <c r="F19" s="79" t="str" cm="1">
        <f t="array" aca="1" ref="F19" ca="1">IF(E19="", "", HYPERLINK(CONCATENATE("#",CELL("address",INDEX('I&amp;E Profiles'!$D$9:$D$93,'I&amp;E Annual'!I19))),E19))</f>
        <v/>
      </c>
      <c r="G19" s="114"/>
      <c r="H19" t="s">
        <v>317</v>
      </c>
      <c r="I19" s="132" t="str">
        <f>IF(E19="", "", MATCH(E19, 'I&amp;E Profiles'!$D$96:$D$180,0))</f>
        <v/>
      </c>
      <c r="J19" s="133">
        <f>IF($G19=$G$7, W19,'I&amp;E Monthly'!W19)-SUMIFS('I&amp;E Monthly'!$AA19:$BJ19, 'I&amp;E Monthly'!$AA$3:$BJ$3, 'I&amp;E Annual'!W$3, 'I&amp;E Monthly'!$AA$4:$BJ$4, 0)</f>
        <v>0</v>
      </c>
      <c r="K19" s="133">
        <f>IF($G19=$G$7, X19,'I&amp;E Monthly'!X19)-SUMIFS('I&amp;E Monthly'!$AA19:$BJ19, 'I&amp;E Monthly'!$AA$3:$BJ$3, 'I&amp;E Annual'!X$3, 'I&amp;E Monthly'!$AA$4:$BJ$4, 0)</f>
        <v>0</v>
      </c>
      <c r="L19" s="133">
        <f>IF($G19=$G$7, Y19,'I&amp;E Monthly'!Y19)-SUMIFS('I&amp;E Monthly'!$AA19:$BJ19, 'I&amp;E Monthly'!$AA$3:$BJ$3, 'I&amp;E Annual'!Y$3, 'I&amp;E Monthly'!$AA$4:$BJ$4, 0)</f>
        <v>0</v>
      </c>
      <c r="Q19" s="2"/>
      <c r="V19" s="133">
        <f>'I&amp;E Monthly'!V19</f>
        <v>0</v>
      </c>
      <c r="W19" s="114"/>
      <c r="X19" s="131"/>
      <c r="Y19" s="131"/>
      <c r="AA19" s="10" cm="1">
        <f t="array" ref="AA19">IF(OR(AA$4=0, $G19&lt;&gt; $G$7, $E19=0), 'I&amp;E Monthly'!AA19, CHOOSE(Timeline!AA$30,$J19,$K19,$L19 )*INDEX('I&amp;E Profiles'!AA$96:AA$180,$I19))</f>
        <v>0</v>
      </c>
      <c r="AB19" s="10" cm="1">
        <f t="array" ref="AB19">IF(OR(AB$4=0, $G19&lt;&gt; $G$7, $E19=0), 'I&amp;E Monthly'!AB19, CHOOSE(Timeline!AB$30,$J19,$K19,$L19 )*INDEX('I&amp;E Profiles'!AB$96:AB$180,$I19))</f>
        <v>0</v>
      </c>
      <c r="AC19" s="10" cm="1">
        <f t="array" ref="AC19">IF(OR(AC$4=0, $G19&lt;&gt; $G$7, $E19=0), 'I&amp;E Monthly'!AC19, CHOOSE(Timeline!AC$30,$J19,$K19,$L19 )*INDEX('I&amp;E Profiles'!AC$96:AC$180,$I19))</f>
        <v>0</v>
      </c>
      <c r="AD19" s="10" cm="1">
        <f t="array" ref="AD19">IF(OR(AD$4=0, $G19&lt;&gt; $G$7, $E19=0), 'I&amp;E Monthly'!AD19, CHOOSE(Timeline!AD$30,$J19,$K19,$L19 )*INDEX('I&amp;E Profiles'!AD$96:AD$180,$I19))</f>
        <v>0</v>
      </c>
      <c r="AE19" s="10" cm="1">
        <f t="array" ref="AE19">IF(OR(AE$4=0, $G19&lt;&gt; $G$7, $E19=0), 'I&amp;E Monthly'!AE19, CHOOSE(Timeline!AE$30,$J19,$K19,$L19 )*INDEX('I&amp;E Profiles'!AE$96:AE$180,$I19))</f>
        <v>0</v>
      </c>
      <c r="AF19" s="10" cm="1">
        <f t="array" ref="AF19">IF(OR(AF$4=0, $G19&lt;&gt; $G$7, $E19=0), 'I&amp;E Monthly'!AF19, CHOOSE(Timeline!AF$30,$J19,$K19,$L19 )*INDEX('I&amp;E Profiles'!AF$96:AF$180,$I19))</f>
        <v>0</v>
      </c>
      <c r="AG19" s="10" cm="1">
        <f t="array" ref="AG19">IF(OR(AG$4=0, $G19&lt;&gt; $G$7, $E19=0), 'I&amp;E Monthly'!AG19, CHOOSE(Timeline!AG$30,$J19,$K19,$L19 )*INDEX('I&amp;E Profiles'!AG$96:AG$180,$I19))</f>
        <v>0</v>
      </c>
      <c r="AH19" s="10" cm="1">
        <f t="array" ref="AH19">IF(OR(AH$4=0, $G19&lt;&gt; $G$7, $E19=0), 'I&amp;E Monthly'!AH19, CHOOSE(Timeline!AH$30,$J19,$K19,$L19 )*INDEX('I&amp;E Profiles'!AH$96:AH$180,$I19))</f>
        <v>0</v>
      </c>
      <c r="AI19" s="10" cm="1">
        <f t="array" ref="AI19">IF(OR(AI$4=0, $G19&lt;&gt; $G$7, $E19=0), 'I&amp;E Monthly'!AI19, CHOOSE(Timeline!AI$30,$J19,$K19,$L19 )*INDEX('I&amp;E Profiles'!AI$96:AI$180,$I19))</f>
        <v>0</v>
      </c>
      <c r="AJ19" s="10" cm="1">
        <f t="array" ref="AJ19">IF(OR(AJ$4=0, $G19&lt;&gt; $G$7, $E19=0), 'I&amp;E Monthly'!AJ19, CHOOSE(Timeline!AJ$30,$J19,$K19,$L19 )*INDEX('I&amp;E Profiles'!AJ$96:AJ$180,$I19))</f>
        <v>0</v>
      </c>
      <c r="AK19" s="10" cm="1">
        <f t="array" ref="AK19">IF(OR(AK$4=0, $G19&lt;&gt; $G$7, $E19=0), 'I&amp;E Monthly'!AK19, CHOOSE(Timeline!AK$30,$J19,$K19,$L19 )*INDEX('I&amp;E Profiles'!AK$96:AK$180,$I19))</f>
        <v>0</v>
      </c>
      <c r="AL19" s="10" cm="1">
        <f t="array" ref="AL19">IF(OR(AL$4=0, $G19&lt;&gt; $G$7, $E19=0), 'I&amp;E Monthly'!AL19, CHOOSE(Timeline!AL$30,$J19,$K19,$L19 )*INDEX('I&amp;E Profiles'!AL$96:AL$180,$I19))</f>
        <v>0</v>
      </c>
      <c r="AM19" s="10" cm="1">
        <f t="array" ref="AM19">IF(OR(AM$4=0, $G19&lt;&gt; $G$7, $E19=0), 'I&amp;E Monthly'!AM19, CHOOSE(Timeline!AM$30,$J19,$K19,$L19 )*INDEX('I&amp;E Profiles'!AM$96:AM$180,$I19))</f>
        <v>0</v>
      </c>
      <c r="AN19" s="10" cm="1">
        <f t="array" ref="AN19">IF(OR(AN$4=0, $G19&lt;&gt; $G$7, $E19=0), 'I&amp;E Monthly'!AN19, CHOOSE(Timeline!AN$30,$J19,$K19,$L19 )*INDEX('I&amp;E Profiles'!AN$96:AN$180,$I19))</f>
        <v>0</v>
      </c>
      <c r="AO19" s="10" cm="1">
        <f t="array" ref="AO19">IF(OR(AO$4=0, $G19&lt;&gt; $G$7, $E19=0), 'I&amp;E Monthly'!AO19, CHOOSE(Timeline!AO$30,$J19,$K19,$L19 )*INDEX('I&amp;E Profiles'!AO$96:AO$180,$I19))</f>
        <v>0</v>
      </c>
      <c r="AP19" s="10" cm="1">
        <f t="array" ref="AP19">IF(OR(AP$4=0, $G19&lt;&gt; $G$7, $E19=0), 'I&amp;E Monthly'!AP19, CHOOSE(Timeline!AP$30,$J19,$K19,$L19 )*INDEX('I&amp;E Profiles'!AP$96:AP$180,$I19))</f>
        <v>0</v>
      </c>
      <c r="AQ19" s="10" cm="1">
        <f t="array" ref="AQ19">IF(OR(AQ$4=0, $G19&lt;&gt; $G$7, $E19=0), 'I&amp;E Monthly'!AQ19, CHOOSE(Timeline!AQ$30,$J19,$K19,$L19 )*INDEX('I&amp;E Profiles'!AQ$96:AQ$180,$I19))</f>
        <v>0</v>
      </c>
      <c r="AR19" s="10" cm="1">
        <f t="array" ref="AR19">IF(OR(AR$4=0, $G19&lt;&gt; $G$7, $E19=0), 'I&amp;E Monthly'!AR19, CHOOSE(Timeline!AR$30,$J19,$K19,$L19 )*INDEX('I&amp;E Profiles'!AR$96:AR$180,$I19))</f>
        <v>0</v>
      </c>
      <c r="AS19" s="10" cm="1">
        <f t="array" ref="AS19">IF(OR(AS$4=0, $G19&lt;&gt; $G$7, $E19=0), 'I&amp;E Monthly'!AS19, CHOOSE(Timeline!AS$30,$J19,$K19,$L19 )*INDEX('I&amp;E Profiles'!AS$96:AS$180,$I19))</f>
        <v>0</v>
      </c>
      <c r="AT19" s="10" cm="1">
        <f t="array" ref="AT19">IF(OR(AT$4=0, $G19&lt;&gt; $G$7, $E19=0), 'I&amp;E Monthly'!AT19, CHOOSE(Timeline!AT$30,$J19,$K19,$L19 )*INDEX('I&amp;E Profiles'!AT$96:AT$180,$I19))</f>
        <v>0</v>
      </c>
      <c r="AU19" s="10" cm="1">
        <f t="array" ref="AU19">IF(OR(AU$4=0, $G19&lt;&gt; $G$7, $E19=0), 'I&amp;E Monthly'!AU19, CHOOSE(Timeline!AU$30,$J19,$K19,$L19 )*INDEX('I&amp;E Profiles'!AU$96:AU$180,$I19))</f>
        <v>0</v>
      </c>
      <c r="AV19" s="10" cm="1">
        <f t="array" ref="AV19">IF(OR(AV$4=0, $G19&lt;&gt; $G$7, $E19=0), 'I&amp;E Monthly'!AV19, CHOOSE(Timeline!AV$30,$J19,$K19,$L19 )*INDEX('I&amp;E Profiles'!AV$96:AV$180,$I19))</f>
        <v>0</v>
      </c>
      <c r="AW19" s="10" cm="1">
        <f t="array" ref="AW19">IF(OR(AW$4=0, $G19&lt;&gt; $G$7, $E19=0), 'I&amp;E Monthly'!AW19, CHOOSE(Timeline!AW$30,$J19,$K19,$L19 )*INDEX('I&amp;E Profiles'!AW$96:AW$180,$I19))</f>
        <v>0</v>
      </c>
      <c r="AX19" s="10" cm="1">
        <f t="array" ref="AX19">IF(OR(AX$4=0, $G19&lt;&gt; $G$7, $E19=0), 'I&amp;E Monthly'!AX19, CHOOSE(Timeline!AX$30,$J19,$K19,$L19 )*INDEX('I&amp;E Profiles'!AX$96:AX$180,$I19))</f>
        <v>0</v>
      </c>
      <c r="AY19" s="10" cm="1">
        <f t="array" ref="AY19">IF(OR(AY$4=0, $G19&lt;&gt; $G$7, $E19=0), 'I&amp;E Monthly'!AY19, CHOOSE(Timeline!AY$30,$J19,$K19,$L19 )*INDEX('I&amp;E Profiles'!AY$96:AY$180,$I19))</f>
        <v>0</v>
      </c>
      <c r="AZ19" s="10" cm="1">
        <f t="array" ref="AZ19">IF(OR(AZ$4=0, $G19&lt;&gt; $G$7, $E19=0), 'I&amp;E Monthly'!AZ19, CHOOSE(Timeline!AZ$30,$J19,$K19,$L19 )*INDEX('I&amp;E Profiles'!AZ$96:AZ$180,$I19))</f>
        <v>0</v>
      </c>
      <c r="BA19" s="10" cm="1">
        <f t="array" ref="BA19">IF(OR(BA$4=0, $G19&lt;&gt; $G$7, $E19=0), 'I&amp;E Monthly'!BA19, CHOOSE(Timeline!BA$30,$J19,$K19,$L19 )*INDEX('I&amp;E Profiles'!BA$96:BA$180,$I19))</f>
        <v>0</v>
      </c>
      <c r="BB19" s="10" cm="1">
        <f t="array" ref="BB19">IF(OR(BB$4=0, $G19&lt;&gt; $G$7, $E19=0), 'I&amp;E Monthly'!BB19, CHOOSE(Timeline!BB$30,$J19,$K19,$L19 )*INDEX('I&amp;E Profiles'!BB$96:BB$180,$I19))</f>
        <v>0</v>
      </c>
      <c r="BC19" s="10" cm="1">
        <f t="array" ref="BC19">IF(OR(BC$4=0, $G19&lt;&gt; $G$7, $E19=0), 'I&amp;E Monthly'!BC19, CHOOSE(Timeline!BC$30,$J19,$K19,$L19 )*INDEX('I&amp;E Profiles'!BC$96:BC$180,$I19))</f>
        <v>0</v>
      </c>
      <c r="BD19" s="10" cm="1">
        <f t="array" ref="BD19">IF(OR(BD$4=0, $G19&lt;&gt; $G$7, $E19=0), 'I&amp;E Monthly'!BD19, CHOOSE(Timeline!BD$30,$J19,$K19,$L19 )*INDEX('I&amp;E Profiles'!BD$96:BD$180,$I19))</f>
        <v>0</v>
      </c>
      <c r="BE19" s="10" cm="1">
        <f t="array" ref="BE19">IF(OR(BE$4=0, $G19&lt;&gt; $G$7, $E19=0), 'I&amp;E Monthly'!BE19, CHOOSE(Timeline!BE$30,$J19,$K19,$L19 )*INDEX('I&amp;E Profiles'!BE$96:BE$180,$I19))</f>
        <v>0</v>
      </c>
      <c r="BF19" s="10" cm="1">
        <f t="array" ref="BF19">IF(OR(BF$4=0, $G19&lt;&gt; $G$7, $E19=0), 'I&amp;E Monthly'!BF19, CHOOSE(Timeline!BF$30,$J19,$K19,$L19 )*INDEX('I&amp;E Profiles'!BF$96:BF$180,$I19))</f>
        <v>0</v>
      </c>
      <c r="BG19" s="10" cm="1">
        <f t="array" ref="BG19">IF(OR(BG$4=0, $G19&lt;&gt; $G$7, $E19=0), 'I&amp;E Monthly'!BG19, CHOOSE(Timeline!BG$30,$J19,$K19,$L19 )*INDEX('I&amp;E Profiles'!BG$96:BG$180,$I19))</f>
        <v>0</v>
      </c>
      <c r="BH19" s="10" cm="1">
        <f t="array" ref="BH19">IF(OR(BH$4=0, $G19&lt;&gt; $G$7, $E19=0), 'I&amp;E Monthly'!BH19, CHOOSE(Timeline!BH$30,$J19,$K19,$L19 )*INDEX('I&amp;E Profiles'!BH$96:BH$180,$I19))</f>
        <v>0</v>
      </c>
      <c r="BI19" s="10" cm="1">
        <f t="array" ref="BI19">IF(OR(BI$4=0, $G19&lt;&gt; $G$7, $E19=0), 'I&amp;E Monthly'!BI19, CHOOSE(Timeline!BI$30,$J19,$K19,$L19 )*INDEX('I&amp;E Profiles'!BI$96:BI$180,$I19))</f>
        <v>0</v>
      </c>
      <c r="BJ19" s="10" cm="1">
        <f t="array" ref="BJ19">IF(OR(BJ$4=0, $G19&lt;&gt; $G$7, $E19=0), 'I&amp;E Monthly'!BJ19, CHOOSE(Timeline!BJ$30,$J19,$K19,$L19 )*INDEX('I&amp;E Profiles'!BJ$96:BJ$180,$I19))</f>
        <v>0</v>
      </c>
      <c r="BX19" s="12">
        <f t="shared" si="7"/>
        <v>0</v>
      </c>
      <c r="BY19" s="10">
        <f t="shared" si="8"/>
        <v>0</v>
      </c>
      <c r="BZ19" s="10">
        <f t="shared" si="8"/>
        <v>0</v>
      </c>
      <c r="CA19" s="10">
        <f t="shared" si="8"/>
        <v>0</v>
      </c>
      <c r="CB19" s="12">
        <f>'I&amp;E Monthly'!CB19</f>
        <v>0</v>
      </c>
      <c r="CC19" s="12">
        <f>'I&amp;E Monthly'!CC19</f>
        <v>0</v>
      </c>
      <c r="CD19" s="12">
        <f>'I&amp;E Monthly'!CD19</f>
        <v>0</v>
      </c>
      <c r="CE19" s="12">
        <f>'I&amp;E Monthly'!CE19</f>
        <v>0</v>
      </c>
      <c r="CF19" s="12">
        <f>'I&amp;E Monthly'!CF19</f>
        <v>0</v>
      </c>
      <c r="CG19" s="12">
        <f>'I&amp;E Monthly'!CG19</f>
        <v>0</v>
      </c>
      <c r="CH19" s="12">
        <f>'I&amp;E Monthly'!CH19</f>
        <v>0</v>
      </c>
      <c r="CI19" s="12">
        <f>'I&amp;E Monthly'!CI19</f>
        <v>0</v>
      </c>
      <c r="CK19" s="11"/>
      <c r="CL19" s="221">
        <f t="shared" ca="1" si="9"/>
        <v>0</v>
      </c>
      <c r="CM19" s="11"/>
      <c r="CN19" s="7">
        <f t="shared" si="10"/>
        <v>0</v>
      </c>
      <c r="CO19" s="7" cm="1">
        <f t="array" ref="CO19">SUMPRODUCT(--NOT(ISNUMBER(W19:Y19)),--NOT(ISBLANK(W19:Y19)))</f>
        <v>0</v>
      </c>
      <c r="CP19" s="7" cm="1">
        <f t="array" ref="CP19">IF(E19="",0, IF(IFERROR(INDEX('I&amp;E Profiles'!$D$96:$D$180, $I19), "N/A")="N/A", 1, 0))</f>
        <v>0</v>
      </c>
      <c r="CQ19" s="7">
        <f t="shared" si="11"/>
        <v>0</v>
      </c>
      <c r="CS19" s="7">
        <f t="shared" si="12"/>
        <v>0</v>
      </c>
      <c r="CT19" s="7">
        <f t="shared" si="13"/>
        <v>0</v>
      </c>
      <c r="CU19" s="11"/>
      <c r="CV19" s="215">
        <f t="shared" si="14"/>
        <v>0</v>
      </c>
      <c r="CW19" s="215">
        <f t="shared" si="14"/>
        <v>0</v>
      </c>
      <c r="CX19" s="215">
        <f t="shared" si="14"/>
        <v>0</v>
      </c>
      <c r="CY19" s="215">
        <f t="shared" si="15"/>
        <v>0</v>
      </c>
      <c r="CZ19" s="215">
        <f t="shared" si="16"/>
        <v>0</v>
      </c>
      <c r="DA19" s="215">
        <f t="shared" si="17"/>
        <v>0</v>
      </c>
      <c r="DB19" s="215">
        <f t="shared" si="18"/>
        <v>0</v>
      </c>
      <c r="FN19" s="10" t="str">
        <f t="shared" si="1"/>
        <v>High Needs - element 2</v>
      </c>
    </row>
    <row r="20" spans="1:170" x14ac:dyDescent="0.35">
      <c r="A20" s="220" cm="1">
        <f t="array" aca="1" ref="A20" ca="1">HYPERLINK(CONCATENATE("#",CELL("address",IF(MAX($CM20:$CU20)=0,A20,INDEX($CM20:$CU20,MATCH(1,$CM20:$CU20,0))))),MAX($CM20:$CU20))</f>
        <v>0</v>
      </c>
      <c r="C20" s="213" t="s">
        <v>484</v>
      </c>
      <c r="D20" s="57" t="s">
        <v>325</v>
      </c>
      <c r="E20" s="114"/>
      <c r="F20" s="79" t="str" cm="1">
        <f t="array" aca="1" ref="F20" ca="1">IF(E20="", "", HYPERLINK(CONCATENATE("#",CELL("address",INDEX('I&amp;E Profiles'!$D$9:$D$93,'I&amp;E Annual'!I20))),E20))</f>
        <v/>
      </c>
      <c r="G20" s="114"/>
      <c r="H20" t="s">
        <v>317</v>
      </c>
      <c r="I20" s="132" t="str">
        <f>IF(E20="", "", MATCH(E20, 'I&amp;E Profiles'!$D$96:$D$180,0))</f>
        <v/>
      </c>
      <c r="J20" s="133">
        <f>IF($G20=$G$7, W20,'I&amp;E Monthly'!W20)-SUMIFS('I&amp;E Monthly'!$AA20:$BJ20, 'I&amp;E Monthly'!$AA$3:$BJ$3, 'I&amp;E Annual'!W$3, 'I&amp;E Monthly'!$AA$4:$BJ$4, 0)</f>
        <v>0</v>
      </c>
      <c r="K20" s="133">
        <f>IF($G20=$G$7, X20,'I&amp;E Monthly'!X20)-SUMIFS('I&amp;E Monthly'!$AA20:$BJ20, 'I&amp;E Monthly'!$AA$3:$BJ$3, 'I&amp;E Annual'!X$3, 'I&amp;E Monthly'!$AA$4:$BJ$4, 0)</f>
        <v>0</v>
      </c>
      <c r="L20" s="133">
        <f>IF($G20=$G$7, Y20,'I&amp;E Monthly'!Y20)-SUMIFS('I&amp;E Monthly'!$AA20:$BJ20, 'I&amp;E Monthly'!$AA$3:$BJ$3, 'I&amp;E Annual'!Y$3, 'I&amp;E Monthly'!$AA$4:$BJ$4, 0)</f>
        <v>0</v>
      </c>
      <c r="Q20" s="2"/>
      <c r="V20" s="133">
        <f>'I&amp;E Monthly'!V20</f>
        <v>0</v>
      </c>
      <c r="W20" s="114"/>
      <c r="X20" s="131"/>
      <c r="Y20" s="131"/>
      <c r="AA20" s="10" cm="1">
        <f t="array" ref="AA20">IF(OR(AA$4=0, $G20&lt;&gt; $G$7, $E20=0), 'I&amp;E Monthly'!AA20, CHOOSE(Timeline!AA$30,$J20,$K20,$L20 )*INDEX('I&amp;E Profiles'!AA$96:AA$180,$I20))</f>
        <v>0</v>
      </c>
      <c r="AB20" s="10" cm="1">
        <f t="array" ref="AB20">IF(OR(AB$4=0, $G20&lt;&gt; $G$7, $E20=0), 'I&amp;E Monthly'!AB20, CHOOSE(Timeline!AB$30,$J20,$K20,$L20 )*INDEX('I&amp;E Profiles'!AB$96:AB$180,$I20))</f>
        <v>0</v>
      </c>
      <c r="AC20" s="10" cm="1">
        <f t="array" ref="AC20">IF(OR(AC$4=0, $G20&lt;&gt; $G$7, $E20=0), 'I&amp;E Monthly'!AC20, CHOOSE(Timeline!AC$30,$J20,$K20,$L20 )*INDEX('I&amp;E Profiles'!AC$96:AC$180,$I20))</f>
        <v>0</v>
      </c>
      <c r="AD20" s="10" cm="1">
        <f t="array" ref="AD20">IF(OR(AD$4=0, $G20&lt;&gt; $G$7, $E20=0), 'I&amp;E Monthly'!AD20, CHOOSE(Timeline!AD$30,$J20,$K20,$L20 )*INDEX('I&amp;E Profiles'!AD$96:AD$180,$I20))</f>
        <v>0</v>
      </c>
      <c r="AE20" s="10" cm="1">
        <f t="array" ref="AE20">IF(OR(AE$4=0, $G20&lt;&gt; $G$7, $E20=0), 'I&amp;E Monthly'!AE20, CHOOSE(Timeline!AE$30,$J20,$K20,$L20 )*INDEX('I&amp;E Profiles'!AE$96:AE$180,$I20))</f>
        <v>0</v>
      </c>
      <c r="AF20" s="10" cm="1">
        <f t="array" ref="AF20">IF(OR(AF$4=0, $G20&lt;&gt; $G$7, $E20=0), 'I&amp;E Monthly'!AF20, CHOOSE(Timeline!AF$30,$J20,$K20,$L20 )*INDEX('I&amp;E Profiles'!AF$96:AF$180,$I20))</f>
        <v>0</v>
      </c>
      <c r="AG20" s="10" cm="1">
        <f t="array" ref="AG20">IF(OR(AG$4=0, $G20&lt;&gt; $G$7, $E20=0), 'I&amp;E Monthly'!AG20, CHOOSE(Timeline!AG$30,$J20,$K20,$L20 )*INDEX('I&amp;E Profiles'!AG$96:AG$180,$I20))</f>
        <v>0</v>
      </c>
      <c r="AH20" s="10" cm="1">
        <f t="array" ref="AH20">IF(OR(AH$4=0, $G20&lt;&gt; $G$7, $E20=0), 'I&amp;E Monthly'!AH20, CHOOSE(Timeline!AH$30,$J20,$K20,$L20 )*INDEX('I&amp;E Profiles'!AH$96:AH$180,$I20))</f>
        <v>0</v>
      </c>
      <c r="AI20" s="10" cm="1">
        <f t="array" ref="AI20">IF(OR(AI$4=0, $G20&lt;&gt; $G$7, $E20=0), 'I&amp;E Monthly'!AI20, CHOOSE(Timeline!AI$30,$J20,$K20,$L20 )*INDEX('I&amp;E Profiles'!AI$96:AI$180,$I20))</f>
        <v>0</v>
      </c>
      <c r="AJ20" s="10" cm="1">
        <f t="array" ref="AJ20">IF(OR(AJ$4=0, $G20&lt;&gt; $G$7, $E20=0), 'I&amp;E Monthly'!AJ20, CHOOSE(Timeline!AJ$30,$J20,$K20,$L20 )*INDEX('I&amp;E Profiles'!AJ$96:AJ$180,$I20))</f>
        <v>0</v>
      </c>
      <c r="AK20" s="10" cm="1">
        <f t="array" ref="AK20">IF(OR(AK$4=0, $G20&lt;&gt; $G$7, $E20=0), 'I&amp;E Monthly'!AK20, CHOOSE(Timeline!AK$30,$J20,$K20,$L20 )*INDEX('I&amp;E Profiles'!AK$96:AK$180,$I20))</f>
        <v>0</v>
      </c>
      <c r="AL20" s="10" cm="1">
        <f t="array" ref="AL20">IF(OR(AL$4=0, $G20&lt;&gt; $G$7, $E20=0), 'I&amp;E Monthly'!AL20, CHOOSE(Timeline!AL$30,$J20,$K20,$L20 )*INDEX('I&amp;E Profiles'!AL$96:AL$180,$I20))</f>
        <v>0</v>
      </c>
      <c r="AM20" s="10" cm="1">
        <f t="array" ref="AM20">IF(OR(AM$4=0, $G20&lt;&gt; $G$7, $E20=0), 'I&amp;E Monthly'!AM20, CHOOSE(Timeline!AM$30,$J20,$K20,$L20 )*INDEX('I&amp;E Profiles'!AM$96:AM$180,$I20))</f>
        <v>0</v>
      </c>
      <c r="AN20" s="10" cm="1">
        <f t="array" ref="AN20">IF(OR(AN$4=0, $G20&lt;&gt; $G$7, $E20=0), 'I&amp;E Monthly'!AN20, CHOOSE(Timeline!AN$30,$J20,$K20,$L20 )*INDEX('I&amp;E Profiles'!AN$96:AN$180,$I20))</f>
        <v>0</v>
      </c>
      <c r="AO20" s="10" cm="1">
        <f t="array" ref="AO20">IF(OR(AO$4=0, $G20&lt;&gt; $G$7, $E20=0), 'I&amp;E Monthly'!AO20, CHOOSE(Timeline!AO$30,$J20,$K20,$L20 )*INDEX('I&amp;E Profiles'!AO$96:AO$180,$I20))</f>
        <v>0</v>
      </c>
      <c r="AP20" s="10" cm="1">
        <f t="array" ref="AP20">IF(OR(AP$4=0, $G20&lt;&gt; $G$7, $E20=0), 'I&amp;E Monthly'!AP20, CHOOSE(Timeline!AP$30,$J20,$K20,$L20 )*INDEX('I&amp;E Profiles'!AP$96:AP$180,$I20))</f>
        <v>0</v>
      </c>
      <c r="AQ20" s="10" cm="1">
        <f t="array" ref="AQ20">IF(OR(AQ$4=0, $G20&lt;&gt; $G$7, $E20=0), 'I&amp;E Monthly'!AQ20, CHOOSE(Timeline!AQ$30,$J20,$K20,$L20 )*INDEX('I&amp;E Profiles'!AQ$96:AQ$180,$I20))</f>
        <v>0</v>
      </c>
      <c r="AR20" s="10" cm="1">
        <f t="array" ref="AR20">IF(OR(AR$4=0, $G20&lt;&gt; $G$7, $E20=0), 'I&amp;E Monthly'!AR20, CHOOSE(Timeline!AR$30,$J20,$K20,$L20 )*INDEX('I&amp;E Profiles'!AR$96:AR$180,$I20))</f>
        <v>0</v>
      </c>
      <c r="AS20" s="10" cm="1">
        <f t="array" ref="AS20">IF(OR(AS$4=0, $G20&lt;&gt; $G$7, $E20=0), 'I&amp;E Monthly'!AS20, CHOOSE(Timeline!AS$30,$J20,$K20,$L20 )*INDEX('I&amp;E Profiles'!AS$96:AS$180,$I20))</f>
        <v>0</v>
      </c>
      <c r="AT20" s="10" cm="1">
        <f t="array" ref="AT20">IF(OR(AT$4=0, $G20&lt;&gt; $G$7, $E20=0), 'I&amp;E Monthly'!AT20, CHOOSE(Timeline!AT$30,$J20,$K20,$L20 )*INDEX('I&amp;E Profiles'!AT$96:AT$180,$I20))</f>
        <v>0</v>
      </c>
      <c r="AU20" s="10" cm="1">
        <f t="array" ref="AU20">IF(OR(AU$4=0, $G20&lt;&gt; $G$7, $E20=0), 'I&amp;E Monthly'!AU20, CHOOSE(Timeline!AU$30,$J20,$K20,$L20 )*INDEX('I&amp;E Profiles'!AU$96:AU$180,$I20))</f>
        <v>0</v>
      </c>
      <c r="AV20" s="10" cm="1">
        <f t="array" ref="AV20">IF(OR(AV$4=0, $G20&lt;&gt; $G$7, $E20=0), 'I&amp;E Monthly'!AV20, CHOOSE(Timeline!AV$30,$J20,$K20,$L20 )*INDEX('I&amp;E Profiles'!AV$96:AV$180,$I20))</f>
        <v>0</v>
      </c>
      <c r="AW20" s="10" cm="1">
        <f t="array" ref="AW20">IF(OR(AW$4=0, $G20&lt;&gt; $G$7, $E20=0), 'I&amp;E Monthly'!AW20, CHOOSE(Timeline!AW$30,$J20,$K20,$L20 )*INDEX('I&amp;E Profiles'!AW$96:AW$180,$I20))</f>
        <v>0</v>
      </c>
      <c r="AX20" s="10" cm="1">
        <f t="array" ref="AX20">IF(OR(AX$4=0, $G20&lt;&gt; $G$7, $E20=0), 'I&amp;E Monthly'!AX20, CHOOSE(Timeline!AX$30,$J20,$K20,$L20 )*INDEX('I&amp;E Profiles'!AX$96:AX$180,$I20))</f>
        <v>0</v>
      </c>
      <c r="AY20" s="10" cm="1">
        <f t="array" ref="AY20">IF(OR(AY$4=0, $G20&lt;&gt; $G$7, $E20=0), 'I&amp;E Monthly'!AY20, CHOOSE(Timeline!AY$30,$J20,$K20,$L20 )*INDEX('I&amp;E Profiles'!AY$96:AY$180,$I20))</f>
        <v>0</v>
      </c>
      <c r="AZ20" s="10" cm="1">
        <f t="array" ref="AZ20">IF(OR(AZ$4=0, $G20&lt;&gt; $G$7, $E20=0), 'I&amp;E Monthly'!AZ20, CHOOSE(Timeline!AZ$30,$J20,$K20,$L20 )*INDEX('I&amp;E Profiles'!AZ$96:AZ$180,$I20))</f>
        <v>0</v>
      </c>
      <c r="BA20" s="10" cm="1">
        <f t="array" ref="BA20">IF(OR(BA$4=0, $G20&lt;&gt; $G$7, $E20=0), 'I&amp;E Monthly'!BA20, CHOOSE(Timeline!BA$30,$J20,$K20,$L20 )*INDEX('I&amp;E Profiles'!BA$96:BA$180,$I20))</f>
        <v>0</v>
      </c>
      <c r="BB20" s="10" cm="1">
        <f t="array" ref="BB20">IF(OR(BB$4=0, $G20&lt;&gt; $G$7, $E20=0), 'I&amp;E Monthly'!BB20, CHOOSE(Timeline!BB$30,$J20,$K20,$L20 )*INDEX('I&amp;E Profiles'!BB$96:BB$180,$I20))</f>
        <v>0</v>
      </c>
      <c r="BC20" s="10" cm="1">
        <f t="array" ref="BC20">IF(OR(BC$4=0, $G20&lt;&gt; $G$7, $E20=0), 'I&amp;E Monthly'!BC20, CHOOSE(Timeline!BC$30,$J20,$K20,$L20 )*INDEX('I&amp;E Profiles'!BC$96:BC$180,$I20))</f>
        <v>0</v>
      </c>
      <c r="BD20" s="10" cm="1">
        <f t="array" ref="BD20">IF(OR(BD$4=0, $G20&lt;&gt; $G$7, $E20=0), 'I&amp;E Monthly'!BD20, CHOOSE(Timeline!BD$30,$J20,$K20,$L20 )*INDEX('I&amp;E Profiles'!BD$96:BD$180,$I20))</f>
        <v>0</v>
      </c>
      <c r="BE20" s="10" cm="1">
        <f t="array" ref="BE20">IF(OR(BE$4=0, $G20&lt;&gt; $G$7, $E20=0), 'I&amp;E Monthly'!BE20, CHOOSE(Timeline!BE$30,$J20,$K20,$L20 )*INDEX('I&amp;E Profiles'!BE$96:BE$180,$I20))</f>
        <v>0</v>
      </c>
      <c r="BF20" s="10" cm="1">
        <f t="array" ref="BF20">IF(OR(BF$4=0, $G20&lt;&gt; $G$7, $E20=0), 'I&amp;E Monthly'!BF20, CHOOSE(Timeline!BF$30,$J20,$K20,$L20 )*INDEX('I&amp;E Profiles'!BF$96:BF$180,$I20))</f>
        <v>0</v>
      </c>
      <c r="BG20" s="10" cm="1">
        <f t="array" ref="BG20">IF(OR(BG$4=0, $G20&lt;&gt; $G$7, $E20=0), 'I&amp;E Monthly'!BG20, CHOOSE(Timeline!BG$30,$J20,$K20,$L20 )*INDEX('I&amp;E Profiles'!BG$96:BG$180,$I20))</f>
        <v>0</v>
      </c>
      <c r="BH20" s="10" cm="1">
        <f t="array" ref="BH20">IF(OR(BH$4=0, $G20&lt;&gt; $G$7, $E20=0), 'I&amp;E Monthly'!BH20, CHOOSE(Timeline!BH$30,$J20,$K20,$L20 )*INDEX('I&amp;E Profiles'!BH$96:BH$180,$I20))</f>
        <v>0</v>
      </c>
      <c r="BI20" s="10" cm="1">
        <f t="array" ref="BI20">IF(OR(BI$4=0, $G20&lt;&gt; $G$7, $E20=0), 'I&amp;E Monthly'!BI20, CHOOSE(Timeline!BI$30,$J20,$K20,$L20 )*INDEX('I&amp;E Profiles'!BI$96:BI$180,$I20))</f>
        <v>0</v>
      </c>
      <c r="BJ20" s="10" cm="1">
        <f t="array" ref="BJ20">IF(OR(BJ$4=0, $G20&lt;&gt; $G$7, $E20=0), 'I&amp;E Monthly'!BJ20, CHOOSE(Timeline!BJ$30,$J20,$K20,$L20 )*INDEX('I&amp;E Profiles'!BJ$96:BJ$180,$I20))</f>
        <v>0</v>
      </c>
      <c r="BX20" s="12">
        <f t="shared" si="7"/>
        <v>0</v>
      </c>
      <c r="BY20" s="10">
        <f t="shared" si="8"/>
        <v>0</v>
      </c>
      <c r="BZ20" s="10">
        <f t="shared" si="8"/>
        <v>0</v>
      </c>
      <c r="CA20" s="10">
        <f t="shared" si="8"/>
        <v>0</v>
      </c>
      <c r="CB20" s="12">
        <f>'I&amp;E Monthly'!CB20</f>
        <v>0</v>
      </c>
      <c r="CC20" s="12">
        <f>'I&amp;E Monthly'!CC20</f>
        <v>0</v>
      </c>
      <c r="CD20" s="12">
        <f>'I&amp;E Monthly'!CD20</f>
        <v>0</v>
      </c>
      <c r="CE20" s="12">
        <f>'I&amp;E Monthly'!CE20</f>
        <v>0</v>
      </c>
      <c r="CF20" s="12">
        <f>'I&amp;E Monthly'!CF20</f>
        <v>0</v>
      </c>
      <c r="CG20" s="12">
        <f>'I&amp;E Monthly'!CG20</f>
        <v>0</v>
      </c>
      <c r="CH20" s="12">
        <f>'I&amp;E Monthly'!CH20</f>
        <v>0</v>
      </c>
      <c r="CI20" s="12">
        <f>'I&amp;E Monthly'!CI20</f>
        <v>0</v>
      </c>
      <c r="CK20" s="11"/>
      <c r="CL20" s="221">
        <f t="shared" ca="1" si="9"/>
        <v>0</v>
      </c>
      <c r="CM20" s="11"/>
      <c r="CN20" s="7">
        <f t="shared" si="10"/>
        <v>0</v>
      </c>
      <c r="CO20" s="7" cm="1">
        <f t="array" ref="CO20">SUMPRODUCT(--NOT(ISNUMBER(W20:Y20)),--NOT(ISBLANK(W20:Y20)))</f>
        <v>0</v>
      </c>
      <c r="CP20" s="7" cm="1">
        <f t="array" ref="CP20">IF(E20="",0, IF(IFERROR(INDEX('I&amp;E Profiles'!$D$96:$D$180, $I20), "N/A")="N/A", 1, 0))</f>
        <v>0</v>
      </c>
      <c r="CQ20" s="7">
        <f t="shared" si="11"/>
        <v>0</v>
      </c>
      <c r="CS20" s="7">
        <f t="shared" si="12"/>
        <v>0</v>
      </c>
      <c r="CT20" s="7">
        <f t="shared" si="13"/>
        <v>0</v>
      </c>
      <c r="CU20" s="11"/>
      <c r="CV20" s="215">
        <f t="shared" si="14"/>
        <v>0</v>
      </c>
      <c r="CW20" s="215">
        <f t="shared" si="14"/>
        <v>0</v>
      </c>
      <c r="CX20" s="215">
        <f t="shared" si="14"/>
        <v>0</v>
      </c>
      <c r="CY20" s="215">
        <f t="shared" si="15"/>
        <v>0</v>
      </c>
      <c r="CZ20" s="215">
        <f t="shared" si="16"/>
        <v>0</v>
      </c>
      <c r="DA20" s="215">
        <f t="shared" si="17"/>
        <v>0</v>
      </c>
      <c r="DB20" s="215">
        <f t="shared" si="18"/>
        <v>0</v>
      </c>
      <c r="FN20" s="10" t="str">
        <f t="shared" si="1"/>
        <v>Local Authority High Needs - element 3</v>
      </c>
    </row>
    <row r="21" spans="1:170" x14ac:dyDescent="0.35">
      <c r="A21" s="220" cm="1">
        <f t="array" aca="1" ref="A21" ca="1">HYPERLINK(CONCATENATE("#",CELL("address",IF(MAX($CM21:$CU21)=0,A21,INDEX($CM21:$CU21,MATCH(1,$CM21:$CU21,0))))),MAX($CM21:$CU21))</f>
        <v>0</v>
      </c>
      <c r="B21" s="85" t="s">
        <v>122</v>
      </c>
      <c r="C21" s="213" t="s">
        <v>485</v>
      </c>
      <c r="D21" s="57" t="s">
        <v>326</v>
      </c>
      <c r="E21" s="114"/>
      <c r="F21" s="79" t="str" cm="1">
        <f t="array" aca="1" ref="F21" ca="1">IF(E21="", "", HYPERLINK(CONCATENATE("#",CELL("address",INDEX('I&amp;E Profiles'!$D$9:$D$93,'I&amp;E Annual'!I21))),E21))</f>
        <v/>
      </c>
      <c r="G21" s="114"/>
      <c r="H21" t="s">
        <v>317</v>
      </c>
      <c r="I21" s="132" t="str">
        <f>IF(E21="", "", MATCH(E21, 'I&amp;E Profiles'!$D$96:$D$180,0))</f>
        <v/>
      </c>
      <c r="J21" s="133">
        <f>IF($G21=$G$7, W21,'I&amp;E Monthly'!W21)-SUMIFS('I&amp;E Monthly'!$AA21:$BJ21, 'I&amp;E Monthly'!$AA$3:$BJ$3, 'I&amp;E Annual'!W$3, 'I&amp;E Monthly'!$AA$4:$BJ$4, 0)</f>
        <v>0</v>
      </c>
      <c r="K21" s="133">
        <f>IF($G21=$G$7, X21,'I&amp;E Monthly'!X21)-SUMIFS('I&amp;E Monthly'!$AA21:$BJ21, 'I&amp;E Monthly'!$AA$3:$BJ$3, 'I&amp;E Annual'!X$3, 'I&amp;E Monthly'!$AA$4:$BJ$4, 0)</f>
        <v>0</v>
      </c>
      <c r="L21" s="133">
        <f>IF($G21=$G$7, Y21,'I&amp;E Monthly'!Y21)-SUMIFS('I&amp;E Monthly'!$AA21:$BJ21, 'I&amp;E Monthly'!$AA$3:$BJ$3, 'I&amp;E Annual'!Y$3, 'I&amp;E Monthly'!$AA$4:$BJ$4, 0)</f>
        <v>0</v>
      </c>
      <c r="Q21" s="2"/>
      <c r="V21" s="133">
        <f>'I&amp;E Monthly'!V21</f>
        <v>0</v>
      </c>
      <c r="W21" s="114"/>
      <c r="X21" s="131"/>
      <c r="Y21" s="131"/>
      <c r="AA21" s="10" cm="1">
        <f t="array" ref="AA21">IF(OR(AA$4=0, $G21&lt;&gt; $G$7, $E21=0), 'I&amp;E Monthly'!AA21, CHOOSE(Timeline!AA$30,$J21,$K21,$L21 )*INDEX('I&amp;E Profiles'!AA$96:AA$180,$I21))</f>
        <v>0</v>
      </c>
      <c r="AB21" s="10" cm="1">
        <f t="array" ref="AB21">IF(OR(AB$4=0, $G21&lt;&gt; $G$7, $E21=0), 'I&amp;E Monthly'!AB21, CHOOSE(Timeline!AB$30,$J21,$K21,$L21 )*INDEX('I&amp;E Profiles'!AB$96:AB$180,$I21))</f>
        <v>0</v>
      </c>
      <c r="AC21" s="10" cm="1">
        <f t="array" ref="AC21">IF(OR(AC$4=0, $G21&lt;&gt; $G$7, $E21=0), 'I&amp;E Monthly'!AC21, CHOOSE(Timeline!AC$30,$J21,$K21,$L21 )*INDEX('I&amp;E Profiles'!AC$96:AC$180,$I21))</f>
        <v>0</v>
      </c>
      <c r="AD21" s="10" cm="1">
        <f t="array" ref="AD21">IF(OR(AD$4=0, $G21&lt;&gt; $G$7, $E21=0), 'I&amp;E Monthly'!AD21, CHOOSE(Timeline!AD$30,$J21,$K21,$L21 )*INDEX('I&amp;E Profiles'!AD$96:AD$180,$I21))</f>
        <v>0</v>
      </c>
      <c r="AE21" s="10" cm="1">
        <f t="array" ref="AE21">IF(OR(AE$4=0, $G21&lt;&gt; $G$7, $E21=0), 'I&amp;E Monthly'!AE21, CHOOSE(Timeline!AE$30,$J21,$K21,$L21 )*INDEX('I&amp;E Profiles'!AE$96:AE$180,$I21))</f>
        <v>0</v>
      </c>
      <c r="AF21" s="10" cm="1">
        <f t="array" ref="AF21">IF(OR(AF$4=0, $G21&lt;&gt; $G$7, $E21=0), 'I&amp;E Monthly'!AF21, CHOOSE(Timeline!AF$30,$J21,$K21,$L21 )*INDEX('I&amp;E Profiles'!AF$96:AF$180,$I21))</f>
        <v>0</v>
      </c>
      <c r="AG21" s="10" cm="1">
        <f t="array" ref="AG21">IF(OR(AG$4=0, $G21&lt;&gt; $G$7, $E21=0), 'I&amp;E Monthly'!AG21, CHOOSE(Timeline!AG$30,$J21,$K21,$L21 )*INDEX('I&amp;E Profiles'!AG$96:AG$180,$I21))</f>
        <v>0</v>
      </c>
      <c r="AH21" s="10" cm="1">
        <f t="array" ref="AH21">IF(OR(AH$4=0, $G21&lt;&gt; $G$7, $E21=0), 'I&amp;E Monthly'!AH21, CHOOSE(Timeline!AH$30,$J21,$K21,$L21 )*INDEX('I&amp;E Profiles'!AH$96:AH$180,$I21))</f>
        <v>0</v>
      </c>
      <c r="AI21" s="10" cm="1">
        <f t="array" ref="AI21">IF(OR(AI$4=0, $G21&lt;&gt; $G$7, $E21=0), 'I&amp;E Monthly'!AI21, CHOOSE(Timeline!AI$30,$J21,$K21,$L21 )*INDEX('I&amp;E Profiles'!AI$96:AI$180,$I21))</f>
        <v>0</v>
      </c>
      <c r="AJ21" s="10" cm="1">
        <f t="array" ref="AJ21">IF(OR(AJ$4=0, $G21&lt;&gt; $G$7, $E21=0), 'I&amp;E Monthly'!AJ21, CHOOSE(Timeline!AJ$30,$J21,$K21,$L21 )*INDEX('I&amp;E Profiles'!AJ$96:AJ$180,$I21))</f>
        <v>0</v>
      </c>
      <c r="AK21" s="10" cm="1">
        <f t="array" ref="AK21">IF(OR(AK$4=0, $G21&lt;&gt; $G$7, $E21=0), 'I&amp;E Monthly'!AK21, CHOOSE(Timeline!AK$30,$J21,$K21,$L21 )*INDEX('I&amp;E Profiles'!AK$96:AK$180,$I21))</f>
        <v>0</v>
      </c>
      <c r="AL21" s="10" cm="1">
        <f t="array" ref="AL21">IF(OR(AL$4=0, $G21&lt;&gt; $G$7, $E21=0), 'I&amp;E Monthly'!AL21, CHOOSE(Timeline!AL$30,$J21,$K21,$L21 )*INDEX('I&amp;E Profiles'!AL$96:AL$180,$I21))</f>
        <v>0</v>
      </c>
      <c r="AM21" s="10" cm="1">
        <f t="array" ref="AM21">IF(OR(AM$4=0, $G21&lt;&gt; $G$7, $E21=0), 'I&amp;E Monthly'!AM21, CHOOSE(Timeline!AM$30,$J21,$K21,$L21 )*INDEX('I&amp;E Profiles'!AM$96:AM$180,$I21))</f>
        <v>0</v>
      </c>
      <c r="AN21" s="10" cm="1">
        <f t="array" ref="AN21">IF(OR(AN$4=0, $G21&lt;&gt; $G$7, $E21=0), 'I&amp;E Monthly'!AN21, CHOOSE(Timeline!AN$30,$J21,$K21,$L21 )*INDEX('I&amp;E Profiles'!AN$96:AN$180,$I21))</f>
        <v>0</v>
      </c>
      <c r="AO21" s="10" cm="1">
        <f t="array" ref="AO21">IF(OR(AO$4=0, $G21&lt;&gt; $G$7, $E21=0), 'I&amp;E Monthly'!AO21, CHOOSE(Timeline!AO$30,$J21,$K21,$L21 )*INDEX('I&amp;E Profiles'!AO$96:AO$180,$I21))</f>
        <v>0</v>
      </c>
      <c r="AP21" s="10" cm="1">
        <f t="array" ref="AP21">IF(OR(AP$4=0, $G21&lt;&gt; $G$7, $E21=0), 'I&amp;E Monthly'!AP21, CHOOSE(Timeline!AP$30,$J21,$K21,$L21 )*INDEX('I&amp;E Profiles'!AP$96:AP$180,$I21))</f>
        <v>0</v>
      </c>
      <c r="AQ21" s="10" cm="1">
        <f t="array" ref="AQ21">IF(OR(AQ$4=0, $G21&lt;&gt; $G$7, $E21=0), 'I&amp;E Monthly'!AQ21, CHOOSE(Timeline!AQ$30,$J21,$K21,$L21 )*INDEX('I&amp;E Profiles'!AQ$96:AQ$180,$I21))</f>
        <v>0</v>
      </c>
      <c r="AR21" s="10" cm="1">
        <f t="array" ref="AR21">IF(OR(AR$4=0, $G21&lt;&gt; $G$7, $E21=0), 'I&amp;E Monthly'!AR21, CHOOSE(Timeline!AR$30,$J21,$K21,$L21 )*INDEX('I&amp;E Profiles'!AR$96:AR$180,$I21))</f>
        <v>0</v>
      </c>
      <c r="AS21" s="10" cm="1">
        <f t="array" ref="AS21">IF(OR(AS$4=0, $G21&lt;&gt; $G$7, $E21=0), 'I&amp;E Monthly'!AS21, CHOOSE(Timeline!AS$30,$J21,$K21,$L21 )*INDEX('I&amp;E Profiles'!AS$96:AS$180,$I21))</f>
        <v>0</v>
      </c>
      <c r="AT21" s="10" cm="1">
        <f t="array" ref="AT21">IF(OR(AT$4=0, $G21&lt;&gt; $G$7, $E21=0), 'I&amp;E Monthly'!AT21, CHOOSE(Timeline!AT$30,$J21,$K21,$L21 )*INDEX('I&amp;E Profiles'!AT$96:AT$180,$I21))</f>
        <v>0</v>
      </c>
      <c r="AU21" s="10" cm="1">
        <f t="array" ref="AU21">IF(OR(AU$4=0, $G21&lt;&gt; $G$7, $E21=0), 'I&amp;E Monthly'!AU21, CHOOSE(Timeline!AU$30,$J21,$K21,$L21 )*INDEX('I&amp;E Profiles'!AU$96:AU$180,$I21))</f>
        <v>0</v>
      </c>
      <c r="AV21" s="10" cm="1">
        <f t="array" ref="AV21">IF(OR(AV$4=0, $G21&lt;&gt; $G$7, $E21=0), 'I&amp;E Monthly'!AV21, CHOOSE(Timeline!AV$30,$J21,$K21,$L21 )*INDEX('I&amp;E Profiles'!AV$96:AV$180,$I21))</f>
        <v>0</v>
      </c>
      <c r="AW21" s="10" cm="1">
        <f t="array" ref="AW21">IF(OR(AW$4=0, $G21&lt;&gt; $G$7, $E21=0), 'I&amp;E Monthly'!AW21, CHOOSE(Timeline!AW$30,$J21,$K21,$L21 )*INDEX('I&amp;E Profiles'!AW$96:AW$180,$I21))</f>
        <v>0</v>
      </c>
      <c r="AX21" s="10" cm="1">
        <f t="array" ref="AX21">IF(OR(AX$4=0, $G21&lt;&gt; $G$7, $E21=0), 'I&amp;E Monthly'!AX21, CHOOSE(Timeline!AX$30,$J21,$K21,$L21 )*INDEX('I&amp;E Profiles'!AX$96:AX$180,$I21))</f>
        <v>0</v>
      </c>
      <c r="AY21" s="10" cm="1">
        <f t="array" ref="AY21">IF(OR(AY$4=0, $G21&lt;&gt; $G$7, $E21=0), 'I&amp;E Monthly'!AY21, CHOOSE(Timeline!AY$30,$J21,$K21,$L21 )*INDEX('I&amp;E Profiles'!AY$96:AY$180,$I21))</f>
        <v>0</v>
      </c>
      <c r="AZ21" s="10" cm="1">
        <f t="array" ref="AZ21">IF(OR(AZ$4=0, $G21&lt;&gt; $G$7, $E21=0), 'I&amp;E Monthly'!AZ21, CHOOSE(Timeline!AZ$30,$J21,$K21,$L21 )*INDEX('I&amp;E Profiles'!AZ$96:AZ$180,$I21))</f>
        <v>0</v>
      </c>
      <c r="BA21" s="10" cm="1">
        <f t="array" ref="BA21">IF(OR(BA$4=0, $G21&lt;&gt; $G$7, $E21=0), 'I&amp;E Monthly'!BA21, CHOOSE(Timeline!BA$30,$J21,$K21,$L21 )*INDEX('I&amp;E Profiles'!BA$96:BA$180,$I21))</f>
        <v>0</v>
      </c>
      <c r="BB21" s="10" cm="1">
        <f t="array" ref="BB21">IF(OR(BB$4=0, $G21&lt;&gt; $G$7, $E21=0), 'I&amp;E Monthly'!BB21, CHOOSE(Timeline!BB$30,$J21,$K21,$L21 )*INDEX('I&amp;E Profiles'!BB$96:BB$180,$I21))</f>
        <v>0</v>
      </c>
      <c r="BC21" s="10" cm="1">
        <f t="array" ref="BC21">IF(OR(BC$4=0, $G21&lt;&gt; $G$7, $E21=0), 'I&amp;E Monthly'!BC21, CHOOSE(Timeline!BC$30,$J21,$K21,$L21 )*INDEX('I&amp;E Profiles'!BC$96:BC$180,$I21))</f>
        <v>0</v>
      </c>
      <c r="BD21" s="10" cm="1">
        <f t="array" ref="BD21">IF(OR(BD$4=0, $G21&lt;&gt; $G$7, $E21=0), 'I&amp;E Monthly'!BD21, CHOOSE(Timeline!BD$30,$J21,$K21,$L21 )*INDEX('I&amp;E Profiles'!BD$96:BD$180,$I21))</f>
        <v>0</v>
      </c>
      <c r="BE21" s="10" cm="1">
        <f t="array" ref="BE21">IF(OR(BE$4=0, $G21&lt;&gt; $G$7, $E21=0), 'I&amp;E Monthly'!BE21, CHOOSE(Timeline!BE$30,$J21,$K21,$L21 )*INDEX('I&amp;E Profiles'!BE$96:BE$180,$I21))</f>
        <v>0</v>
      </c>
      <c r="BF21" s="10" cm="1">
        <f t="array" ref="BF21">IF(OR(BF$4=0, $G21&lt;&gt; $G$7, $E21=0), 'I&amp;E Monthly'!BF21, CHOOSE(Timeline!BF$30,$J21,$K21,$L21 )*INDEX('I&amp;E Profiles'!BF$96:BF$180,$I21))</f>
        <v>0</v>
      </c>
      <c r="BG21" s="10" cm="1">
        <f t="array" ref="BG21">IF(OR(BG$4=0, $G21&lt;&gt; $G$7, $E21=0), 'I&amp;E Monthly'!BG21, CHOOSE(Timeline!BG$30,$J21,$K21,$L21 )*INDEX('I&amp;E Profiles'!BG$96:BG$180,$I21))</f>
        <v>0</v>
      </c>
      <c r="BH21" s="10" cm="1">
        <f t="array" ref="BH21">IF(OR(BH$4=0, $G21&lt;&gt; $G$7, $E21=0), 'I&amp;E Monthly'!BH21, CHOOSE(Timeline!BH$30,$J21,$K21,$L21 )*INDEX('I&amp;E Profiles'!BH$96:BH$180,$I21))</f>
        <v>0</v>
      </c>
      <c r="BI21" s="10" cm="1">
        <f t="array" ref="BI21">IF(OR(BI$4=0, $G21&lt;&gt; $G$7, $E21=0), 'I&amp;E Monthly'!BI21, CHOOSE(Timeline!BI$30,$J21,$K21,$L21 )*INDEX('I&amp;E Profiles'!BI$96:BI$180,$I21))</f>
        <v>0</v>
      </c>
      <c r="BJ21" s="10" cm="1">
        <f t="array" ref="BJ21">IF(OR(BJ$4=0, $G21&lt;&gt; $G$7, $E21=0), 'I&amp;E Monthly'!BJ21, CHOOSE(Timeline!BJ$30,$J21,$K21,$L21 )*INDEX('I&amp;E Profiles'!BJ$96:BJ$180,$I21))</f>
        <v>0</v>
      </c>
      <c r="BX21" s="12">
        <f t="shared" si="7"/>
        <v>0</v>
      </c>
      <c r="BY21" s="10">
        <f t="shared" si="8"/>
        <v>0</v>
      </c>
      <c r="BZ21" s="10">
        <f t="shared" si="8"/>
        <v>0</v>
      </c>
      <c r="CA21" s="10">
        <f t="shared" si="8"/>
        <v>0</v>
      </c>
      <c r="CB21" s="12">
        <f>'I&amp;E Monthly'!CB21</f>
        <v>0</v>
      </c>
      <c r="CC21" s="12">
        <f>'I&amp;E Monthly'!CC21</f>
        <v>0</v>
      </c>
      <c r="CD21" s="12">
        <f>'I&amp;E Monthly'!CD21</f>
        <v>0</v>
      </c>
      <c r="CE21" s="12">
        <f>'I&amp;E Monthly'!CE21</f>
        <v>0</v>
      </c>
      <c r="CF21" s="12">
        <f>'I&amp;E Monthly'!CF21</f>
        <v>0</v>
      </c>
      <c r="CG21" s="12">
        <f>'I&amp;E Monthly'!CG21</f>
        <v>0</v>
      </c>
      <c r="CH21" s="12">
        <f>'I&amp;E Monthly'!CH21</f>
        <v>0</v>
      </c>
      <c r="CI21" s="12">
        <f>'I&amp;E Monthly'!CI21</f>
        <v>0</v>
      </c>
      <c r="CK21" s="11"/>
      <c r="CL21" s="221">
        <f t="shared" ca="1" si="9"/>
        <v>0</v>
      </c>
      <c r="CM21" s="11"/>
      <c r="CN21" s="7">
        <f t="shared" si="10"/>
        <v>0</v>
      </c>
      <c r="CO21" s="7" cm="1">
        <f t="array" ref="CO21">SUMPRODUCT(--NOT(ISNUMBER(W21:Y21)),--NOT(ISBLANK(W21:Y21)))</f>
        <v>0</v>
      </c>
      <c r="CP21" s="7" cm="1">
        <f t="array" ref="CP21">IF(E21="",0, IF(IFERROR(INDEX('I&amp;E Profiles'!$D$96:$D$180, $I21), "N/A")="N/A", 1, 0))</f>
        <v>0</v>
      </c>
      <c r="CQ21" s="7">
        <f t="shared" si="11"/>
        <v>0</v>
      </c>
      <c r="CS21" s="7">
        <f t="shared" si="12"/>
        <v>0</v>
      </c>
      <c r="CT21" s="7">
        <f t="shared" si="13"/>
        <v>0</v>
      </c>
      <c r="CU21" s="11"/>
      <c r="CV21" s="215">
        <f t="shared" si="14"/>
        <v>0</v>
      </c>
      <c r="CW21" s="215">
        <f t="shared" si="14"/>
        <v>0</v>
      </c>
      <c r="CX21" s="215">
        <f t="shared" si="14"/>
        <v>0</v>
      </c>
      <c r="CY21" s="215">
        <f t="shared" si="15"/>
        <v>0</v>
      </c>
      <c r="CZ21" s="215">
        <f t="shared" si="16"/>
        <v>0</v>
      </c>
      <c r="DA21" s="215">
        <f t="shared" si="17"/>
        <v>0</v>
      </c>
      <c r="DB21" s="215">
        <f t="shared" si="18"/>
        <v>0</v>
      </c>
      <c r="FN21" s="10" t="str">
        <f t="shared" si="1"/>
        <v>Other funding including Local Authority and schools</v>
      </c>
    </row>
    <row r="22" spans="1:170" x14ac:dyDescent="0.35">
      <c r="A22" s="220" cm="1">
        <f t="array" aca="1" ref="A22" ca="1">HYPERLINK(CONCATENATE("#",CELL("address",IF(MAX($CM22:$CU22)=0,A22,INDEX($CM22:$CU22,MATCH(1,$CM22:$CU22,0))))),MAX($CM22:$CU22))</f>
        <v>0</v>
      </c>
      <c r="C22" s="213" t="s">
        <v>486</v>
      </c>
      <c r="D22" s="57" t="s">
        <v>327</v>
      </c>
      <c r="E22" s="114"/>
      <c r="F22" s="79" t="str" cm="1">
        <f t="array" aca="1" ref="F22" ca="1">IF(E22="", "", HYPERLINK(CONCATENATE("#",CELL("address",INDEX('I&amp;E Profiles'!$D$9:$D$93,'I&amp;E Annual'!I22))),E22))</f>
        <v/>
      </c>
      <c r="G22" s="114"/>
      <c r="H22" t="s">
        <v>317</v>
      </c>
      <c r="I22" s="132" t="str">
        <f>IF(E22="", "", MATCH(E22, 'I&amp;E Profiles'!$D$96:$D$180,0))</f>
        <v/>
      </c>
      <c r="J22" s="133">
        <f>IF($G22=$G$7, W22,'I&amp;E Monthly'!W22)-SUMIFS('I&amp;E Monthly'!$AA22:$BJ22, 'I&amp;E Monthly'!$AA$3:$BJ$3, 'I&amp;E Annual'!W$3, 'I&amp;E Monthly'!$AA$4:$BJ$4, 0)</f>
        <v>0</v>
      </c>
      <c r="K22" s="133">
        <f>IF($G22=$G$7, X22,'I&amp;E Monthly'!X22)-SUMIFS('I&amp;E Monthly'!$AA22:$BJ22, 'I&amp;E Monthly'!$AA$3:$BJ$3, 'I&amp;E Annual'!X$3, 'I&amp;E Monthly'!$AA$4:$BJ$4, 0)</f>
        <v>0</v>
      </c>
      <c r="L22" s="133">
        <f>IF($G22=$G$7, Y22,'I&amp;E Monthly'!Y22)-SUMIFS('I&amp;E Monthly'!$AA22:$BJ22, 'I&amp;E Monthly'!$AA$3:$BJ$3, 'I&amp;E Annual'!Y$3, 'I&amp;E Monthly'!$AA$4:$BJ$4, 0)</f>
        <v>0</v>
      </c>
      <c r="Q22" s="2"/>
      <c r="V22" s="133">
        <f>'I&amp;E Monthly'!V22</f>
        <v>0</v>
      </c>
      <c r="W22" s="114"/>
      <c r="X22" s="131"/>
      <c r="Y22" s="131"/>
      <c r="AA22" s="10" cm="1">
        <f t="array" ref="AA22">IF(OR(AA$4=0, $G22&lt;&gt; $G$7, $E22=0), 'I&amp;E Monthly'!AA22, CHOOSE(Timeline!AA$30,$J22,$K22,$L22 )*INDEX('I&amp;E Profiles'!AA$96:AA$180,$I22))</f>
        <v>0</v>
      </c>
      <c r="AB22" s="10" cm="1">
        <f t="array" ref="AB22">IF(OR(AB$4=0, $G22&lt;&gt; $G$7, $E22=0), 'I&amp;E Monthly'!AB22, CHOOSE(Timeline!AB$30,$J22,$K22,$L22 )*INDEX('I&amp;E Profiles'!AB$96:AB$180,$I22))</f>
        <v>0</v>
      </c>
      <c r="AC22" s="10" cm="1">
        <f t="array" ref="AC22">IF(OR(AC$4=0, $G22&lt;&gt; $G$7, $E22=0), 'I&amp;E Monthly'!AC22, CHOOSE(Timeline!AC$30,$J22,$K22,$L22 )*INDEX('I&amp;E Profiles'!AC$96:AC$180,$I22))</f>
        <v>0</v>
      </c>
      <c r="AD22" s="10" cm="1">
        <f t="array" ref="AD22">IF(OR(AD$4=0, $G22&lt;&gt; $G$7, $E22=0), 'I&amp;E Monthly'!AD22, CHOOSE(Timeline!AD$30,$J22,$K22,$L22 )*INDEX('I&amp;E Profiles'!AD$96:AD$180,$I22))</f>
        <v>0</v>
      </c>
      <c r="AE22" s="10" cm="1">
        <f t="array" ref="AE22">IF(OR(AE$4=0, $G22&lt;&gt; $G$7, $E22=0), 'I&amp;E Monthly'!AE22, CHOOSE(Timeline!AE$30,$J22,$K22,$L22 )*INDEX('I&amp;E Profiles'!AE$96:AE$180,$I22))</f>
        <v>0</v>
      </c>
      <c r="AF22" s="10" cm="1">
        <f t="array" ref="AF22">IF(OR(AF$4=0, $G22&lt;&gt; $G$7, $E22=0), 'I&amp;E Monthly'!AF22, CHOOSE(Timeline!AF$30,$J22,$K22,$L22 )*INDEX('I&amp;E Profiles'!AF$96:AF$180,$I22))</f>
        <v>0</v>
      </c>
      <c r="AG22" s="10" cm="1">
        <f t="array" ref="AG22">IF(OR(AG$4=0, $G22&lt;&gt; $G$7, $E22=0), 'I&amp;E Monthly'!AG22, CHOOSE(Timeline!AG$30,$J22,$K22,$L22 )*INDEX('I&amp;E Profiles'!AG$96:AG$180,$I22))</f>
        <v>0</v>
      </c>
      <c r="AH22" s="10" cm="1">
        <f t="array" ref="AH22">IF(OR(AH$4=0, $G22&lt;&gt; $G$7, $E22=0), 'I&amp;E Monthly'!AH22, CHOOSE(Timeline!AH$30,$J22,$K22,$L22 )*INDEX('I&amp;E Profiles'!AH$96:AH$180,$I22))</f>
        <v>0</v>
      </c>
      <c r="AI22" s="10" cm="1">
        <f t="array" ref="AI22">IF(OR(AI$4=0, $G22&lt;&gt; $G$7, $E22=0), 'I&amp;E Monthly'!AI22, CHOOSE(Timeline!AI$30,$J22,$K22,$L22 )*INDEX('I&amp;E Profiles'!AI$96:AI$180,$I22))</f>
        <v>0</v>
      </c>
      <c r="AJ22" s="10" cm="1">
        <f t="array" ref="AJ22">IF(OR(AJ$4=0, $G22&lt;&gt; $G$7, $E22=0), 'I&amp;E Monthly'!AJ22, CHOOSE(Timeline!AJ$30,$J22,$K22,$L22 )*INDEX('I&amp;E Profiles'!AJ$96:AJ$180,$I22))</f>
        <v>0</v>
      </c>
      <c r="AK22" s="10" cm="1">
        <f t="array" ref="AK22">IF(OR(AK$4=0, $G22&lt;&gt; $G$7, $E22=0), 'I&amp;E Monthly'!AK22, CHOOSE(Timeline!AK$30,$J22,$K22,$L22 )*INDEX('I&amp;E Profiles'!AK$96:AK$180,$I22))</f>
        <v>0</v>
      </c>
      <c r="AL22" s="10" cm="1">
        <f t="array" ref="AL22">IF(OR(AL$4=0, $G22&lt;&gt; $G$7, $E22=0), 'I&amp;E Monthly'!AL22, CHOOSE(Timeline!AL$30,$J22,$K22,$L22 )*INDEX('I&amp;E Profiles'!AL$96:AL$180,$I22))</f>
        <v>0</v>
      </c>
      <c r="AM22" s="10" cm="1">
        <f t="array" ref="AM22">IF(OR(AM$4=0, $G22&lt;&gt; $G$7, $E22=0), 'I&amp;E Monthly'!AM22, CHOOSE(Timeline!AM$30,$J22,$K22,$L22 )*INDEX('I&amp;E Profiles'!AM$96:AM$180,$I22))</f>
        <v>0</v>
      </c>
      <c r="AN22" s="10" cm="1">
        <f t="array" ref="AN22">IF(OR(AN$4=0, $G22&lt;&gt; $G$7, $E22=0), 'I&amp;E Monthly'!AN22, CHOOSE(Timeline!AN$30,$J22,$K22,$L22 )*INDEX('I&amp;E Profiles'!AN$96:AN$180,$I22))</f>
        <v>0</v>
      </c>
      <c r="AO22" s="10" cm="1">
        <f t="array" ref="AO22">IF(OR(AO$4=0, $G22&lt;&gt; $G$7, $E22=0), 'I&amp;E Monthly'!AO22, CHOOSE(Timeline!AO$30,$J22,$K22,$L22 )*INDEX('I&amp;E Profiles'!AO$96:AO$180,$I22))</f>
        <v>0</v>
      </c>
      <c r="AP22" s="10" cm="1">
        <f t="array" ref="AP22">IF(OR(AP$4=0, $G22&lt;&gt; $G$7, $E22=0), 'I&amp;E Monthly'!AP22, CHOOSE(Timeline!AP$30,$J22,$K22,$L22 )*INDEX('I&amp;E Profiles'!AP$96:AP$180,$I22))</f>
        <v>0</v>
      </c>
      <c r="AQ22" s="10" cm="1">
        <f t="array" ref="AQ22">IF(OR(AQ$4=0, $G22&lt;&gt; $G$7, $E22=0), 'I&amp;E Monthly'!AQ22, CHOOSE(Timeline!AQ$30,$J22,$K22,$L22 )*INDEX('I&amp;E Profiles'!AQ$96:AQ$180,$I22))</f>
        <v>0</v>
      </c>
      <c r="AR22" s="10" cm="1">
        <f t="array" ref="AR22">IF(OR(AR$4=0, $G22&lt;&gt; $G$7, $E22=0), 'I&amp;E Monthly'!AR22, CHOOSE(Timeline!AR$30,$J22,$K22,$L22 )*INDEX('I&amp;E Profiles'!AR$96:AR$180,$I22))</f>
        <v>0</v>
      </c>
      <c r="AS22" s="10" cm="1">
        <f t="array" ref="AS22">IF(OR(AS$4=0, $G22&lt;&gt; $G$7, $E22=0), 'I&amp;E Monthly'!AS22, CHOOSE(Timeline!AS$30,$J22,$K22,$L22 )*INDEX('I&amp;E Profiles'!AS$96:AS$180,$I22))</f>
        <v>0</v>
      </c>
      <c r="AT22" s="10" cm="1">
        <f t="array" ref="AT22">IF(OR(AT$4=0, $G22&lt;&gt; $G$7, $E22=0), 'I&amp;E Monthly'!AT22, CHOOSE(Timeline!AT$30,$J22,$K22,$L22 )*INDEX('I&amp;E Profiles'!AT$96:AT$180,$I22))</f>
        <v>0</v>
      </c>
      <c r="AU22" s="10" cm="1">
        <f t="array" ref="AU22">IF(OR(AU$4=0, $G22&lt;&gt; $G$7, $E22=0), 'I&amp;E Monthly'!AU22, CHOOSE(Timeline!AU$30,$J22,$K22,$L22 )*INDEX('I&amp;E Profiles'!AU$96:AU$180,$I22))</f>
        <v>0</v>
      </c>
      <c r="AV22" s="10" cm="1">
        <f t="array" ref="AV22">IF(OR(AV$4=0, $G22&lt;&gt; $G$7, $E22=0), 'I&amp;E Monthly'!AV22, CHOOSE(Timeline!AV$30,$J22,$K22,$L22 )*INDEX('I&amp;E Profiles'!AV$96:AV$180,$I22))</f>
        <v>0</v>
      </c>
      <c r="AW22" s="10" cm="1">
        <f t="array" ref="AW22">IF(OR(AW$4=0, $G22&lt;&gt; $G$7, $E22=0), 'I&amp;E Monthly'!AW22, CHOOSE(Timeline!AW$30,$J22,$K22,$L22 )*INDEX('I&amp;E Profiles'!AW$96:AW$180,$I22))</f>
        <v>0</v>
      </c>
      <c r="AX22" s="10" cm="1">
        <f t="array" ref="AX22">IF(OR(AX$4=0, $G22&lt;&gt; $G$7, $E22=0), 'I&amp;E Monthly'!AX22, CHOOSE(Timeline!AX$30,$J22,$K22,$L22 )*INDEX('I&amp;E Profiles'!AX$96:AX$180,$I22))</f>
        <v>0</v>
      </c>
      <c r="AY22" s="10" cm="1">
        <f t="array" ref="AY22">IF(OR(AY$4=0, $G22&lt;&gt; $G$7, $E22=0), 'I&amp;E Monthly'!AY22, CHOOSE(Timeline!AY$30,$J22,$K22,$L22 )*INDEX('I&amp;E Profiles'!AY$96:AY$180,$I22))</f>
        <v>0</v>
      </c>
      <c r="AZ22" s="10" cm="1">
        <f t="array" ref="AZ22">IF(OR(AZ$4=0, $G22&lt;&gt; $G$7, $E22=0), 'I&amp;E Monthly'!AZ22, CHOOSE(Timeline!AZ$30,$J22,$K22,$L22 )*INDEX('I&amp;E Profiles'!AZ$96:AZ$180,$I22))</f>
        <v>0</v>
      </c>
      <c r="BA22" s="10" cm="1">
        <f t="array" ref="BA22">IF(OR(BA$4=0, $G22&lt;&gt; $G$7, $E22=0), 'I&amp;E Monthly'!BA22, CHOOSE(Timeline!BA$30,$J22,$K22,$L22 )*INDEX('I&amp;E Profiles'!BA$96:BA$180,$I22))</f>
        <v>0</v>
      </c>
      <c r="BB22" s="10" cm="1">
        <f t="array" ref="BB22">IF(OR(BB$4=0, $G22&lt;&gt; $G$7, $E22=0), 'I&amp;E Monthly'!BB22, CHOOSE(Timeline!BB$30,$J22,$K22,$L22 )*INDEX('I&amp;E Profiles'!BB$96:BB$180,$I22))</f>
        <v>0</v>
      </c>
      <c r="BC22" s="10" cm="1">
        <f t="array" ref="BC22">IF(OR(BC$4=0, $G22&lt;&gt; $G$7, $E22=0), 'I&amp;E Monthly'!BC22, CHOOSE(Timeline!BC$30,$J22,$K22,$L22 )*INDEX('I&amp;E Profiles'!BC$96:BC$180,$I22))</f>
        <v>0</v>
      </c>
      <c r="BD22" s="10" cm="1">
        <f t="array" ref="BD22">IF(OR(BD$4=0, $G22&lt;&gt; $G$7, $E22=0), 'I&amp;E Monthly'!BD22, CHOOSE(Timeline!BD$30,$J22,$K22,$L22 )*INDEX('I&amp;E Profiles'!BD$96:BD$180,$I22))</f>
        <v>0</v>
      </c>
      <c r="BE22" s="10" cm="1">
        <f t="array" ref="BE22">IF(OR(BE$4=0, $G22&lt;&gt; $G$7, $E22=0), 'I&amp;E Monthly'!BE22, CHOOSE(Timeline!BE$30,$J22,$K22,$L22 )*INDEX('I&amp;E Profiles'!BE$96:BE$180,$I22))</f>
        <v>0</v>
      </c>
      <c r="BF22" s="10" cm="1">
        <f t="array" ref="BF22">IF(OR(BF$4=0, $G22&lt;&gt; $G$7, $E22=0), 'I&amp;E Monthly'!BF22, CHOOSE(Timeline!BF$30,$J22,$K22,$L22 )*INDEX('I&amp;E Profiles'!BF$96:BF$180,$I22))</f>
        <v>0</v>
      </c>
      <c r="BG22" s="10" cm="1">
        <f t="array" ref="BG22">IF(OR(BG$4=0, $G22&lt;&gt; $G$7, $E22=0), 'I&amp;E Monthly'!BG22, CHOOSE(Timeline!BG$30,$J22,$K22,$L22 )*INDEX('I&amp;E Profiles'!BG$96:BG$180,$I22))</f>
        <v>0</v>
      </c>
      <c r="BH22" s="10" cm="1">
        <f t="array" ref="BH22">IF(OR(BH$4=0, $G22&lt;&gt; $G$7, $E22=0), 'I&amp;E Monthly'!BH22, CHOOSE(Timeline!BH$30,$J22,$K22,$L22 )*INDEX('I&amp;E Profiles'!BH$96:BH$180,$I22))</f>
        <v>0</v>
      </c>
      <c r="BI22" s="10" cm="1">
        <f t="array" ref="BI22">IF(OR(BI$4=0, $G22&lt;&gt; $G$7, $E22=0), 'I&amp;E Monthly'!BI22, CHOOSE(Timeline!BI$30,$J22,$K22,$L22 )*INDEX('I&amp;E Profiles'!BI$96:BI$180,$I22))</f>
        <v>0</v>
      </c>
      <c r="BJ22" s="10" cm="1">
        <f t="array" ref="BJ22">IF(OR(BJ$4=0, $G22&lt;&gt; $G$7, $E22=0), 'I&amp;E Monthly'!BJ22, CHOOSE(Timeline!BJ$30,$J22,$K22,$L22 )*INDEX('I&amp;E Profiles'!BJ$96:BJ$180,$I22))</f>
        <v>0</v>
      </c>
      <c r="BX22" s="12">
        <f t="shared" si="7"/>
        <v>0</v>
      </c>
      <c r="BY22" s="10">
        <f t="shared" si="8"/>
        <v>0</v>
      </c>
      <c r="BZ22" s="10">
        <f t="shared" si="8"/>
        <v>0</v>
      </c>
      <c r="CA22" s="10">
        <f t="shared" si="8"/>
        <v>0</v>
      </c>
      <c r="CB22" s="12">
        <f>'I&amp;E Monthly'!CB22</f>
        <v>0</v>
      </c>
      <c r="CC22" s="12">
        <f>'I&amp;E Monthly'!CC22</f>
        <v>0</v>
      </c>
      <c r="CD22" s="12">
        <f>'I&amp;E Monthly'!CD22</f>
        <v>0</v>
      </c>
      <c r="CE22" s="12">
        <f>'I&amp;E Monthly'!CE22</f>
        <v>0</v>
      </c>
      <c r="CF22" s="12">
        <f>'I&amp;E Monthly'!CF22</f>
        <v>0</v>
      </c>
      <c r="CG22" s="12">
        <f>'I&amp;E Monthly'!CG22</f>
        <v>0</v>
      </c>
      <c r="CH22" s="12">
        <f>'I&amp;E Monthly'!CH22</f>
        <v>0</v>
      </c>
      <c r="CI22" s="12">
        <f>'I&amp;E Monthly'!CI22</f>
        <v>0</v>
      </c>
      <c r="CK22" s="11"/>
      <c r="CL22" s="221">
        <f t="shared" ca="1" si="9"/>
        <v>0</v>
      </c>
      <c r="CM22" s="11"/>
      <c r="CN22" s="7">
        <f t="shared" si="10"/>
        <v>0</v>
      </c>
      <c r="CO22" s="7" cm="1">
        <f t="array" ref="CO22">SUMPRODUCT(--NOT(ISNUMBER(W22:Y22)),--NOT(ISBLANK(W22:Y22)))</f>
        <v>0</v>
      </c>
      <c r="CP22" s="7" cm="1">
        <f t="array" ref="CP22">IF(E22="",0, IF(IFERROR(INDEX('I&amp;E Profiles'!$D$96:$D$180, $I22), "N/A")="N/A", 1, 0))</f>
        <v>0</v>
      </c>
      <c r="CQ22" s="7">
        <f t="shared" si="11"/>
        <v>0</v>
      </c>
      <c r="CS22" s="7">
        <f t="shared" si="12"/>
        <v>0</v>
      </c>
      <c r="CT22" s="7">
        <f t="shared" si="13"/>
        <v>0</v>
      </c>
      <c r="CU22" s="11"/>
      <c r="CV22" s="215">
        <f t="shared" si="14"/>
        <v>0</v>
      </c>
      <c r="CW22" s="215">
        <f t="shared" si="14"/>
        <v>0</v>
      </c>
      <c r="CX22" s="215">
        <f t="shared" si="14"/>
        <v>0</v>
      </c>
      <c r="CY22" s="215">
        <f t="shared" si="15"/>
        <v>0</v>
      </c>
      <c r="CZ22" s="215">
        <f t="shared" si="16"/>
        <v>0</v>
      </c>
      <c r="DA22" s="215">
        <f t="shared" si="17"/>
        <v>0</v>
      </c>
      <c r="DB22" s="215">
        <f t="shared" si="18"/>
        <v>0</v>
      </c>
      <c r="FN22" s="10" t="str">
        <f t="shared" si="1"/>
        <v>Subcontracted in: 16-19 income</v>
      </c>
    </row>
    <row r="23" spans="1:170" s="5" customFormat="1" x14ac:dyDescent="0.35">
      <c r="A23" s="220" cm="1">
        <f t="array" aca="1" ref="A23" ca="1">HYPERLINK(CONCATENATE("#",CELL("address",IF(MAX($CM23:$CU23)=0,A23,INDEX($CM23:$CU23,MATCH(1,$CM23:$CU23,0))))),MAX($CM23:$CU23))</f>
        <v>0</v>
      </c>
      <c r="C23" s="213" t="s">
        <v>487</v>
      </c>
      <c r="D23" s="61" t="s">
        <v>328</v>
      </c>
      <c r="H23" s="5" t="s">
        <v>317</v>
      </c>
      <c r="Q23" s="2"/>
      <c r="R23"/>
      <c r="S23"/>
      <c r="T23"/>
      <c r="U23"/>
      <c r="V23" s="12">
        <f>SUM(V17:V22)</f>
        <v>0</v>
      </c>
      <c r="W23" s="12">
        <f>SUM(W17:W22)</f>
        <v>0</v>
      </c>
      <c r="X23" s="12">
        <f>SUM(X17:X22)</f>
        <v>0</v>
      </c>
      <c r="Y23" s="12">
        <f>SUM(Y17:Y22)</f>
        <v>0</v>
      </c>
      <c r="AA23" s="12">
        <f t="shared" ref="AA23:BJ23" si="19">SUM(AA17:AA22)</f>
        <v>0</v>
      </c>
      <c r="AB23" s="12">
        <f t="shared" si="19"/>
        <v>0</v>
      </c>
      <c r="AC23" s="12">
        <f t="shared" si="19"/>
        <v>0</v>
      </c>
      <c r="AD23" s="12">
        <f t="shared" si="19"/>
        <v>0</v>
      </c>
      <c r="AE23" s="12">
        <f t="shared" si="19"/>
        <v>0</v>
      </c>
      <c r="AF23" s="12">
        <f t="shared" si="19"/>
        <v>0</v>
      </c>
      <c r="AG23" s="12">
        <f t="shared" si="19"/>
        <v>0</v>
      </c>
      <c r="AH23" s="12">
        <f t="shared" si="19"/>
        <v>0</v>
      </c>
      <c r="AI23" s="12">
        <f t="shared" si="19"/>
        <v>0</v>
      </c>
      <c r="AJ23" s="12">
        <f t="shared" si="19"/>
        <v>0</v>
      </c>
      <c r="AK23" s="12">
        <f t="shared" si="19"/>
        <v>0</v>
      </c>
      <c r="AL23" s="12">
        <f t="shared" si="19"/>
        <v>0</v>
      </c>
      <c r="AM23" s="12">
        <f t="shared" si="19"/>
        <v>0</v>
      </c>
      <c r="AN23" s="12">
        <f t="shared" si="19"/>
        <v>0</v>
      </c>
      <c r="AO23" s="12">
        <f t="shared" si="19"/>
        <v>0</v>
      </c>
      <c r="AP23" s="12">
        <f t="shared" si="19"/>
        <v>0</v>
      </c>
      <c r="AQ23" s="12">
        <f t="shared" si="19"/>
        <v>0</v>
      </c>
      <c r="AR23" s="12">
        <f t="shared" si="19"/>
        <v>0</v>
      </c>
      <c r="AS23" s="12">
        <f t="shared" si="19"/>
        <v>0</v>
      </c>
      <c r="AT23" s="12">
        <f t="shared" si="19"/>
        <v>0</v>
      </c>
      <c r="AU23" s="12">
        <f t="shared" si="19"/>
        <v>0</v>
      </c>
      <c r="AV23" s="12">
        <f t="shared" si="19"/>
        <v>0</v>
      </c>
      <c r="AW23" s="12">
        <f t="shared" si="19"/>
        <v>0</v>
      </c>
      <c r="AX23" s="12">
        <f t="shared" si="19"/>
        <v>0</v>
      </c>
      <c r="AY23" s="12">
        <f t="shared" si="19"/>
        <v>0</v>
      </c>
      <c r="AZ23" s="12">
        <f t="shared" si="19"/>
        <v>0</v>
      </c>
      <c r="BA23" s="12">
        <f t="shared" si="19"/>
        <v>0</v>
      </c>
      <c r="BB23" s="12">
        <f t="shared" si="19"/>
        <v>0</v>
      </c>
      <c r="BC23" s="12">
        <f t="shared" si="19"/>
        <v>0</v>
      </c>
      <c r="BD23" s="12">
        <f t="shared" si="19"/>
        <v>0</v>
      </c>
      <c r="BE23" s="12">
        <f t="shared" si="19"/>
        <v>0</v>
      </c>
      <c r="BF23" s="12">
        <f t="shared" si="19"/>
        <v>0</v>
      </c>
      <c r="BG23" s="12">
        <f t="shared" si="19"/>
        <v>0</v>
      </c>
      <c r="BH23" s="12">
        <f t="shared" si="19"/>
        <v>0</v>
      </c>
      <c r="BI23" s="12">
        <f t="shared" si="19"/>
        <v>0</v>
      </c>
      <c r="BJ23" s="12">
        <f t="shared" si="19"/>
        <v>0</v>
      </c>
      <c r="BK23"/>
      <c r="BL23"/>
      <c r="BM23"/>
      <c r="BN23"/>
      <c r="BO23"/>
      <c r="BP23"/>
      <c r="BQ23"/>
      <c r="BR23"/>
      <c r="BS23"/>
      <c r="BT23"/>
      <c r="BU23"/>
      <c r="BV23"/>
      <c r="BX23" s="12">
        <f t="shared" ref="BX23:CI23" si="20">SUM(BX17:BX22)</f>
        <v>0</v>
      </c>
      <c r="BY23" s="12">
        <f t="shared" si="20"/>
        <v>0</v>
      </c>
      <c r="BZ23" s="12">
        <f t="shared" si="20"/>
        <v>0</v>
      </c>
      <c r="CA23" s="12">
        <f t="shared" si="20"/>
        <v>0</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21">
        <f t="shared" ca="1" si="9"/>
        <v>0</v>
      </c>
      <c r="CM23" s="11"/>
      <c r="CN23"/>
      <c r="CO23"/>
      <c r="CP23"/>
      <c r="CQ23" s="7">
        <f t="shared" si="11"/>
        <v>0</v>
      </c>
      <c r="CR23"/>
      <c r="CS23" s="7">
        <f t="shared" si="12"/>
        <v>0</v>
      </c>
      <c r="CT23" s="7">
        <f t="shared" si="13"/>
        <v>0</v>
      </c>
      <c r="CU23" s="11"/>
      <c r="CV23" s="215">
        <f t="shared" si="14"/>
        <v>0</v>
      </c>
      <c r="CW23" s="215">
        <f t="shared" si="14"/>
        <v>0</v>
      </c>
      <c r="CX23" s="215">
        <f t="shared" si="14"/>
        <v>0</v>
      </c>
      <c r="CY23" s="215">
        <f t="shared" si="15"/>
        <v>0</v>
      </c>
      <c r="CZ23" s="215">
        <f t="shared" si="16"/>
        <v>0</v>
      </c>
      <c r="DA23" s="215">
        <f t="shared" si="17"/>
        <v>0</v>
      </c>
      <c r="DB23" s="215">
        <f t="shared" si="18"/>
        <v>0</v>
      </c>
      <c r="DC23"/>
      <c r="FN23" s="10" t="str">
        <f t="shared" si="1"/>
        <v>Total 16-19 Income</v>
      </c>
    </row>
    <row r="24" spans="1:170" x14ac:dyDescent="0.35">
      <c r="A24" s="220" cm="1">
        <f t="array" aca="1" ref="A24" ca="1">HYPERLINK(CONCATENATE("#",CELL("address",IF(MAX($CM24:$CU24)=0,A24,INDEX($CM24:$CU24,MATCH(1,$CM24:$CU24,0))))),MAX($CM24:$CU24))</f>
        <v>0</v>
      </c>
      <c r="C24" s="213" t="s">
        <v>488</v>
      </c>
      <c r="D24" s="57" t="s">
        <v>329</v>
      </c>
      <c r="E24" s="114"/>
      <c r="F24" s="79" t="str" cm="1">
        <f t="array" aca="1" ref="F24" ca="1">IF(E24="", "", HYPERLINK(CONCATENATE("#",CELL("address",INDEX('I&amp;E Profiles'!$D$9:$D$93,'I&amp;E Annual'!I24))),E24))</f>
        <v/>
      </c>
      <c r="G24" s="114"/>
      <c r="H24" t="s">
        <v>317</v>
      </c>
      <c r="I24" s="132" t="str">
        <f>IF(E24="", "", MATCH(E24, 'I&amp;E Profiles'!$D$96:$D$180,0))</f>
        <v/>
      </c>
      <c r="J24" s="133">
        <f>IF($G24=$G$7, W24,'I&amp;E Monthly'!W24)-SUMIFS('I&amp;E Monthly'!$AA24:$BJ24, 'I&amp;E Monthly'!$AA$3:$BJ$3, 'I&amp;E Annual'!W$3, 'I&amp;E Monthly'!$AA$4:$BJ$4, 0)</f>
        <v>0</v>
      </c>
      <c r="K24" s="133">
        <f>IF($G24=$G$7, X24,'I&amp;E Monthly'!X24)-SUMIFS('I&amp;E Monthly'!$AA24:$BJ24, 'I&amp;E Monthly'!$AA$3:$BJ$3, 'I&amp;E Annual'!X$3, 'I&amp;E Monthly'!$AA$4:$BJ$4, 0)</f>
        <v>0</v>
      </c>
      <c r="L24" s="133">
        <f>IF($G24=$G$7, Y24,'I&amp;E Monthly'!Y24)-SUMIFS('I&amp;E Monthly'!$AA24:$BJ24, 'I&amp;E Monthly'!$AA$3:$BJ$3, 'I&amp;E Annual'!Y$3, 'I&amp;E Monthly'!$AA$4:$BJ$4, 0)</f>
        <v>0</v>
      </c>
      <c r="Q24" s="2"/>
      <c r="V24" s="133">
        <f>'I&amp;E Monthly'!V24</f>
        <v>0</v>
      </c>
      <c r="W24" s="114"/>
      <c r="X24" s="131"/>
      <c r="Y24" s="131"/>
      <c r="AA24" s="10" cm="1">
        <f t="array" ref="AA24">IF(OR(AA$4=0, $G24&lt;&gt; $G$7, $E24=0), 'I&amp;E Monthly'!AA24, CHOOSE(Timeline!AA$30,$J24,$K24,$L24 )*INDEX('I&amp;E Profiles'!AA$96:AA$180,$I24))</f>
        <v>0</v>
      </c>
      <c r="AB24" s="10" cm="1">
        <f t="array" ref="AB24">IF(OR(AB$4=0, $G24&lt;&gt; $G$7, $E24=0), 'I&amp;E Monthly'!AB24, CHOOSE(Timeline!AB$30,$J24,$K24,$L24 )*INDEX('I&amp;E Profiles'!AB$96:AB$180,$I24))</f>
        <v>0</v>
      </c>
      <c r="AC24" s="10" cm="1">
        <f t="array" ref="AC24">IF(OR(AC$4=0, $G24&lt;&gt; $G$7, $E24=0), 'I&amp;E Monthly'!AC24, CHOOSE(Timeline!AC$30,$J24,$K24,$L24 )*INDEX('I&amp;E Profiles'!AC$96:AC$180,$I24))</f>
        <v>0</v>
      </c>
      <c r="AD24" s="10" cm="1">
        <f t="array" ref="AD24">IF(OR(AD$4=0, $G24&lt;&gt; $G$7, $E24=0), 'I&amp;E Monthly'!AD24, CHOOSE(Timeline!AD$30,$J24,$K24,$L24 )*INDEX('I&amp;E Profiles'!AD$96:AD$180,$I24))</f>
        <v>0</v>
      </c>
      <c r="AE24" s="10" cm="1">
        <f t="array" ref="AE24">IF(OR(AE$4=0, $G24&lt;&gt; $G$7, $E24=0), 'I&amp;E Monthly'!AE24, CHOOSE(Timeline!AE$30,$J24,$K24,$L24 )*INDEX('I&amp;E Profiles'!AE$96:AE$180,$I24))</f>
        <v>0</v>
      </c>
      <c r="AF24" s="10" cm="1">
        <f t="array" ref="AF24">IF(OR(AF$4=0, $G24&lt;&gt; $G$7, $E24=0), 'I&amp;E Monthly'!AF24, CHOOSE(Timeline!AF$30,$J24,$K24,$L24 )*INDEX('I&amp;E Profiles'!AF$96:AF$180,$I24))</f>
        <v>0</v>
      </c>
      <c r="AG24" s="10" cm="1">
        <f t="array" ref="AG24">IF(OR(AG$4=0, $G24&lt;&gt; $G$7, $E24=0), 'I&amp;E Monthly'!AG24, CHOOSE(Timeline!AG$30,$J24,$K24,$L24 )*INDEX('I&amp;E Profiles'!AG$96:AG$180,$I24))</f>
        <v>0</v>
      </c>
      <c r="AH24" s="10" cm="1">
        <f t="array" ref="AH24">IF(OR(AH$4=0, $G24&lt;&gt; $G$7, $E24=0), 'I&amp;E Monthly'!AH24, CHOOSE(Timeline!AH$30,$J24,$K24,$L24 )*INDEX('I&amp;E Profiles'!AH$96:AH$180,$I24))</f>
        <v>0</v>
      </c>
      <c r="AI24" s="10" cm="1">
        <f t="array" ref="AI24">IF(OR(AI$4=0, $G24&lt;&gt; $G$7, $E24=0), 'I&amp;E Monthly'!AI24, CHOOSE(Timeline!AI$30,$J24,$K24,$L24 )*INDEX('I&amp;E Profiles'!AI$96:AI$180,$I24))</f>
        <v>0</v>
      </c>
      <c r="AJ24" s="10" cm="1">
        <f t="array" ref="AJ24">IF(OR(AJ$4=0, $G24&lt;&gt; $G$7, $E24=0), 'I&amp;E Monthly'!AJ24, CHOOSE(Timeline!AJ$30,$J24,$K24,$L24 )*INDEX('I&amp;E Profiles'!AJ$96:AJ$180,$I24))</f>
        <v>0</v>
      </c>
      <c r="AK24" s="10" cm="1">
        <f t="array" ref="AK24">IF(OR(AK$4=0, $G24&lt;&gt; $G$7, $E24=0), 'I&amp;E Monthly'!AK24, CHOOSE(Timeline!AK$30,$J24,$K24,$L24 )*INDEX('I&amp;E Profiles'!AK$96:AK$180,$I24))</f>
        <v>0</v>
      </c>
      <c r="AL24" s="10" cm="1">
        <f t="array" ref="AL24">IF(OR(AL$4=0, $G24&lt;&gt; $G$7, $E24=0), 'I&amp;E Monthly'!AL24, CHOOSE(Timeline!AL$30,$J24,$K24,$L24 )*INDEX('I&amp;E Profiles'!AL$96:AL$180,$I24))</f>
        <v>0</v>
      </c>
      <c r="AM24" s="10" cm="1">
        <f t="array" ref="AM24">IF(OR(AM$4=0, $G24&lt;&gt; $G$7, $E24=0), 'I&amp;E Monthly'!AM24, CHOOSE(Timeline!AM$30,$J24,$K24,$L24 )*INDEX('I&amp;E Profiles'!AM$96:AM$180,$I24))</f>
        <v>0</v>
      </c>
      <c r="AN24" s="10" cm="1">
        <f t="array" ref="AN24">IF(OR(AN$4=0, $G24&lt;&gt; $G$7, $E24=0), 'I&amp;E Monthly'!AN24, CHOOSE(Timeline!AN$30,$J24,$K24,$L24 )*INDEX('I&amp;E Profiles'!AN$96:AN$180,$I24))</f>
        <v>0</v>
      </c>
      <c r="AO24" s="10" cm="1">
        <f t="array" ref="AO24">IF(OR(AO$4=0, $G24&lt;&gt; $G$7, $E24=0), 'I&amp;E Monthly'!AO24, CHOOSE(Timeline!AO$30,$J24,$K24,$L24 )*INDEX('I&amp;E Profiles'!AO$96:AO$180,$I24))</f>
        <v>0</v>
      </c>
      <c r="AP24" s="10" cm="1">
        <f t="array" ref="AP24">IF(OR(AP$4=0, $G24&lt;&gt; $G$7, $E24=0), 'I&amp;E Monthly'!AP24, CHOOSE(Timeline!AP$30,$J24,$K24,$L24 )*INDEX('I&amp;E Profiles'!AP$96:AP$180,$I24))</f>
        <v>0</v>
      </c>
      <c r="AQ24" s="10" cm="1">
        <f t="array" ref="AQ24">IF(OR(AQ$4=0, $G24&lt;&gt; $G$7, $E24=0), 'I&amp;E Monthly'!AQ24, CHOOSE(Timeline!AQ$30,$J24,$K24,$L24 )*INDEX('I&amp;E Profiles'!AQ$96:AQ$180,$I24))</f>
        <v>0</v>
      </c>
      <c r="AR24" s="10" cm="1">
        <f t="array" ref="AR24">IF(OR(AR$4=0, $G24&lt;&gt; $G$7, $E24=0), 'I&amp;E Monthly'!AR24, CHOOSE(Timeline!AR$30,$J24,$K24,$L24 )*INDEX('I&amp;E Profiles'!AR$96:AR$180,$I24))</f>
        <v>0</v>
      </c>
      <c r="AS24" s="10" cm="1">
        <f t="array" ref="AS24">IF(OR(AS$4=0, $G24&lt;&gt; $G$7, $E24=0), 'I&amp;E Monthly'!AS24, CHOOSE(Timeline!AS$30,$J24,$K24,$L24 )*INDEX('I&amp;E Profiles'!AS$96:AS$180,$I24))</f>
        <v>0</v>
      </c>
      <c r="AT24" s="10" cm="1">
        <f t="array" ref="AT24">IF(OR(AT$4=0, $G24&lt;&gt; $G$7, $E24=0), 'I&amp;E Monthly'!AT24, CHOOSE(Timeline!AT$30,$J24,$K24,$L24 )*INDEX('I&amp;E Profiles'!AT$96:AT$180,$I24))</f>
        <v>0</v>
      </c>
      <c r="AU24" s="10" cm="1">
        <f t="array" ref="AU24">IF(OR(AU$4=0, $G24&lt;&gt; $G$7, $E24=0), 'I&amp;E Monthly'!AU24, CHOOSE(Timeline!AU$30,$J24,$K24,$L24 )*INDEX('I&amp;E Profiles'!AU$96:AU$180,$I24))</f>
        <v>0</v>
      </c>
      <c r="AV24" s="10" cm="1">
        <f t="array" ref="AV24">IF(OR(AV$4=0, $G24&lt;&gt; $G$7, $E24=0), 'I&amp;E Monthly'!AV24, CHOOSE(Timeline!AV$30,$J24,$K24,$L24 )*INDEX('I&amp;E Profiles'!AV$96:AV$180,$I24))</f>
        <v>0</v>
      </c>
      <c r="AW24" s="10" cm="1">
        <f t="array" ref="AW24">IF(OR(AW$4=0, $G24&lt;&gt; $G$7, $E24=0), 'I&amp;E Monthly'!AW24, CHOOSE(Timeline!AW$30,$J24,$K24,$L24 )*INDEX('I&amp;E Profiles'!AW$96:AW$180,$I24))</f>
        <v>0</v>
      </c>
      <c r="AX24" s="10" cm="1">
        <f t="array" ref="AX24">IF(OR(AX$4=0, $G24&lt;&gt; $G$7, $E24=0), 'I&amp;E Monthly'!AX24, CHOOSE(Timeline!AX$30,$J24,$K24,$L24 )*INDEX('I&amp;E Profiles'!AX$96:AX$180,$I24))</f>
        <v>0</v>
      </c>
      <c r="AY24" s="10" cm="1">
        <f t="array" ref="AY24">IF(OR(AY$4=0, $G24&lt;&gt; $G$7, $E24=0), 'I&amp;E Monthly'!AY24, CHOOSE(Timeline!AY$30,$J24,$K24,$L24 )*INDEX('I&amp;E Profiles'!AY$96:AY$180,$I24))</f>
        <v>0</v>
      </c>
      <c r="AZ24" s="10" cm="1">
        <f t="array" ref="AZ24">IF(OR(AZ$4=0, $G24&lt;&gt; $G$7, $E24=0), 'I&amp;E Monthly'!AZ24, CHOOSE(Timeline!AZ$30,$J24,$K24,$L24 )*INDEX('I&amp;E Profiles'!AZ$96:AZ$180,$I24))</f>
        <v>0</v>
      </c>
      <c r="BA24" s="10" cm="1">
        <f t="array" ref="BA24">IF(OR(BA$4=0, $G24&lt;&gt; $G$7, $E24=0), 'I&amp;E Monthly'!BA24, CHOOSE(Timeline!BA$30,$J24,$K24,$L24 )*INDEX('I&amp;E Profiles'!BA$96:BA$180,$I24))</f>
        <v>0</v>
      </c>
      <c r="BB24" s="10" cm="1">
        <f t="array" ref="BB24">IF(OR(BB$4=0, $G24&lt;&gt; $G$7, $E24=0), 'I&amp;E Monthly'!BB24, CHOOSE(Timeline!BB$30,$J24,$K24,$L24 )*INDEX('I&amp;E Profiles'!BB$96:BB$180,$I24))</f>
        <v>0</v>
      </c>
      <c r="BC24" s="10" cm="1">
        <f t="array" ref="BC24">IF(OR(BC$4=0, $G24&lt;&gt; $G$7, $E24=0), 'I&amp;E Monthly'!BC24, CHOOSE(Timeline!BC$30,$J24,$K24,$L24 )*INDEX('I&amp;E Profiles'!BC$96:BC$180,$I24))</f>
        <v>0</v>
      </c>
      <c r="BD24" s="10" cm="1">
        <f t="array" ref="BD24">IF(OR(BD$4=0, $G24&lt;&gt; $G$7, $E24=0), 'I&amp;E Monthly'!BD24, CHOOSE(Timeline!BD$30,$J24,$K24,$L24 )*INDEX('I&amp;E Profiles'!BD$96:BD$180,$I24))</f>
        <v>0</v>
      </c>
      <c r="BE24" s="10" cm="1">
        <f t="array" ref="BE24">IF(OR(BE$4=0, $G24&lt;&gt; $G$7, $E24=0), 'I&amp;E Monthly'!BE24, CHOOSE(Timeline!BE$30,$J24,$K24,$L24 )*INDEX('I&amp;E Profiles'!BE$96:BE$180,$I24))</f>
        <v>0</v>
      </c>
      <c r="BF24" s="10" cm="1">
        <f t="array" ref="BF24">IF(OR(BF$4=0, $G24&lt;&gt; $G$7, $E24=0), 'I&amp;E Monthly'!BF24, CHOOSE(Timeline!BF$30,$J24,$K24,$L24 )*INDEX('I&amp;E Profiles'!BF$96:BF$180,$I24))</f>
        <v>0</v>
      </c>
      <c r="BG24" s="10" cm="1">
        <f t="array" ref="BG24">IF(OR(BG$4=0, $G24&lt;&gt; $G$7, $E24=0), 'I&amp;E Monthly'!BG24, CHOOSE(Timeline!BG$30,$J24,$K24,$L24 )*INDEX('I&amp;E Profiles'!BG$96:BG$180,$I24))</f>
        <v>0</v>
      </c>
      <c r="BH24" s="10" cm="1">
        <f t="array" ref="BH24">IF(OR(BH$4=0, $G24&lt;&gt; $G$7, $E24=0), 'I&amp;E Monthly'!BH24, CHOOSE(Timeline!BH$30,$J24,$K24,$L24 )*INDEX('I&amp;E Profiles'!BH$96:BH$180,$I24))</f>
        <v>0</v>
      </c>
      <c r="BI24" s="10" cm="1">
        <f t="array" ref="BI24">IF(OR(BI$4=0, $G24&lt;&gt; $G$7, $E24=0), 'I&amp;E Monthly'!BI24, CHOOSE(Timeline!BI$30,$J24,$K24,$L24 )*INDEX('I&amp;E Profiles'!BI$96:BI$180,$I24))</f>
        <v>0</v>
      </c>
      <c r="BJ24" s="10" cm="1">
        <f t="array" ref="BJ24">IF(OR(BJ$4=0, $G24&lt;&gt; $G$7, $E24=0), 'I&amp;E Monthly'!BJ24, CHOOSE(Timeline!BJ$30,$J24,$K24,$L24 )*INDEX('I&amp;E Profiles'!BJ$96:BJ$180,$I24))</f>
        <v>0</v>
      </c>
      <c r="BX24" s="12">
        <f>V24</f>
        <v>0</v>
      </c>
      <c r="BY24" s="10">
        <f>SUMIFS($AA24:$BJ24, $AA$3:$BJ$3,BY$3)</f>
        <v>0</v>
      </c>
      <c r="BZ24" s="10">
        <f>SUMIFS($AA24:$BJ24, $AA$3:$BJ$3,BZ$3)</f>
        <v>0</v>
      </c>
      <c r="CA24" s="10">
        <f>SUMIFS($AA24:$BJ24, $AA$3:$BJ$3,CA$3)</f>
        <v>0</v>
      </c>
      <c r="CB24" s="12">
        <f>'I&amp;E Monthly'!CB24</f>
        <v>0</v>
      </c>
      <c r="CC24" s="12">
        <f>'I&amp;E Monthly'!CC24</f>
        <v>0</v>
      </c>
      <c r="CD24" s="12">
        <f>'I&amp;E Monthly'!CD24</f>
        <v>0</v>
      </c>
      <c r="CE24" s="12">
        <f>'I&amp;E Monthly'!CE24</f>
        <v>0</v>
      </c>
      <c r="CF24" s="12">
        <f>'I&amp;E Monthly'!CF24</f>
        <v>0</v>
      </c>
      <c r="CG24" s="12">
        <f>'I&amp;E Monthly'!CG24</f>
        <v>0</v>
      </c>
      <c r="CH24" s="12">
        <f>'I&amp;E Monthly'!CH24</f>
        <v>0</v>
      </c>
      <c r="CI24" s="12">
        <f>'I&amp;E Monthly'!CI24</f>
        <v>0</v>
      </c>
      <c r="CK24" s="11"/>
      <c r="CL24" s="221">
        <f t="shared" ca="1" si="9"/>
        <v>0</v>
      </c>
      <c r="CM24" s="11"/>
      <c r="CN24" s="7">
        <f>IF(AND($G24=$G$7,$E24=""), 1, 0)</f>
        <v>0</v>
      </c>
      <c r="CO24" s="7" cm="1">
        <f t="array" ref="CO24">SUMPRODUCT(--NOT(ISNUMBER(W24:Y24)),--NOT(ISBLANK(W24:Y24)))</f>
        <v>0</v>
      </c>
      <c r="CP24" s="7" cm="1">
        <f t="array" ref="CP24">IF(E24="",0, IF(IFERROR(INDEX('I&amp;E Profiles'!$D$96:$D$180, $I24), "N/A")="N/A", 1, 0))</f>
        <v>0</v>
      </c>
      <c r="CQ24" s="7">
        <f t="shared" si="11"/>
        <v>0</v>
      </c>
      <c r="CR24" s="7">
        <f>IF(DC24=0,0,1)</f>
        <v>0</v>
      </c>
      <c r="CS24" s="7">
        <f t="shared" si="12"/>
        <v>0</v>
      </c>
      <c r="CT24" s="7">
        <f t="shared" si="13"/>
        <v>0</v>
      </c>
      <c r="CU24" s="11"/>
      <c r="CV24" s="215">
        <f t="shared" si="14"/>
        <v>0</v>
      </c>
      <c r="CW24" s="215">
        <f t="shared" si="14"/>
        <v>0</v>
      </c>
      <c r="CX24" s="215">
        <f t="shared" si="14"/>
        <v>0</v>
      </c>
      <c r="CY24" s="215">
        <f t="shared" si="15"/>
        <v>0</v>
      </c>
      <c r="CZ24" s="215">
        <f t="shared" si="16"/>
        <v>0</v>
      </c>
      <c r="DA24" s="215">
        <f t="shared" si="17"/>
        <v>0</v>
      </c>
      <c r="DB24" s="215">
        <f t="shared" si="18"/>
        <v>0</v>
      </c>
      <c r="DC24" s="508">
        <f>SUM(DE24:DP24)</f>
        <v>0</v>
      </c>
      <c r="DE24" s="7">
        <f t="shared" ref="DE24:DP24" si="21">IF(BX24&gt;BX23, 1, 0)</f>
        <v>0</v>
      </c>
      <c r="DF24" s="7">
        <f t="shared" si="21"/>
        <v>0</v>
      </c>
      <c r="DG24" s="7">
        <f t="shared" si="21"/>
        <v>0</v>
      </c>
      <c r="DH24" s="7">
        <f t="shared" si="21"/>
        <v>0</v>
      </c>
      <c r="DI24" s="7">
        <f t="shared" si="21"/>
        <v>0</v>
      </c>
      <c r="DJ24" s="7">
        <f t="shared" si="21"/>
        <v>0</v>
      </c>
      <c r="DK24" s="7">
        <f t="shared" si="21"/>
        <v>0</v>
      </c>
      <c r="DL24" s="7">
        <f t="shared" si="21"/>
        <v>0</v>
      </c>
      <c r="DM24" s="7">
        <f t="shared" si="21"/>
        <v>0</v>
      </c>
      <c r="DN24" s="7">
        <f t="shared" si="21"/>
        <v>0</v>
      </c>
      <c r="DO24" s="7">
        <f t="shared" si="21"/>
        <v>0</v>
      </c>
      <c r="DP24" s="7">
        <f t="shared" si="21"/>
        <v>0</v>
      </c>
      <c r="FN24" s="10" t="str">
        <f t="shared" si="1"/>
        <v>Of which: subcontracted out 16-19 income</v>
      </c>
    </row>
    <row r="25" spans="1:170" ht="6.75" customHeight="1" x14ac:dyDescent="0.35">
      <c r="C25" s="213"/>
      <c r="D25" s="57"/>
      <c r="Q25" s="2"/>
      <c r="BY25" s="6"/>
      <c r="CK25" s="35"/>
      <c r="CM25" s="35"/>
      <c r="CU25" s="35"/>
      <c r="CV25" s="215"/>
      <c r="CW25" s="215"/>
      <c r="CX25" s="215"/>
      <c r="CY25" s="215"/>
      <c r="FN25" s="10" t="str">
        <f t="shared" si="1"/>
        <v/>
      </c>
    </row>
    <row r="26" spans="1:170" x14ac:dyDescent="0.35">
      <c r="B26" s="5"/>
      <c r="C26" s="213"/>
      <c r="D26" s="61" t="s">
        <v>330</v>
      </c>
      <c r="E26" s="5"/>
      <c r="Q26" s="2"/>
      <c r="CK26" s="11"/>
      <c r="CM26" s="11"/>
      <c r="CU26" s="11"/>
      <c r="CV26" s="215"/>
      <c r="CW26" s="215"/>
      <c r="CX26" s="215"/>
      <c r="CY26" s="215"/>
      <c r="FN26" s="10" t="str">
        <f t="shared" si="1"/>
        <v/>
      </c>
    </row>
    <row r="27" spans="1:170" x14ac:dyDescent="0.35">
      <c r="A27" s="220" cm="1">
        <f t="array" aca="1" ref="A27" ca="1">HYPERLINK(CONCATENATE("#",CELL("address",IF(MAX($CM27:$CU27)=0,A27,INDEX($CM27:$CU27,MATCH(1,$CM27:$CU27,0))))),MAX($CM27:$CU27))</f>
        <v>0</v>
      </c>
      <c r="C27" s="213" t="s">
        <v>489</v>
      </c>
      <c r="D27" s="57" t="s">
        <v>331</v>
      </c>
      <c r="E27" s="114"/>
      <c r="F27" s="79" t="str" cm="1">
        <f t="array" aca="1" ref="F27" ca="1">IF(E27="", "", HYPERLINK(CONCATENATE("#",CELL("address",INDEX('I&amp;E Profiles'!$D$9:$D$93,'I&amp;E Annual'!I27))),E27))</f>
        <v/>
      </c>
      <c r="G27" s="114"/>
      <c r="H27" t="s">
        <v>317</v>
      </c>
      <c r="I27" s="132" t="str">
        <f>IF(E27="", "", MATCH(E27, 'I&amp;E Profiles'!$D$96:$D$180,0))</f>
        <v/>
      </c>
      <c r="J27" s="133">
        <f>IF($G27=$G$7, W27,'I&amp;E Monthly'!W27)-SUMIFS('I&amp;E Monthly'!$AA27:$BJ27, 'I&amp;E Monthly'!$AA$3:$BJ$3, 'I&amp;E Annual'!W$3, 'I&amp;E Monthly'!$AA$4:$BJ$4, 0)</f>
        <v>0</v>
      </c>
      <c r="K27" s="133">
        <f>IF($G27=$G$7, X27,'I&amp;E Monthly'!X27)-SUMIFS('I&amp;E Monthly'!$AA27:$BJ27, 'I&amp;E Monthly'!$AA$3:$BJ$3, 'I&amp;E Annual'!X$3, 'I&amp;E Monthly'!$AA$4:$BJ$4, 0)</f>
        <v>0</v>
      </c>
      <c r="L27" s="133">
        <f>IF($G27=$G$7, Y27,'I&amp;E Monthly'!Y27)-SUMIFS('I&amp;E Monthly'!$AA27:$BJ27, 'I&amp;E Monthly'!$AA$3:$BJ$3, 'I&amp;E Annual'!Y$3, 'I&amp;E Monthly'!$AA$4:$BJ$4, 0)</f>
        <v>0</v>
      </c>
      <c r="Q27" s="2"/>
      <c r="V27" s="133">
        <f>'I&amp;E Monthly'!V27</f>
        <v>0</v>
      </c>
      <c r="W27" s="114"/>
      <c r="X27" s="131"/>
      <c r="Y27" s="131"/>
      <c r="AA27" s="10" cm="1">
        <f t="array" ref="AA27">IF(OR(AA$4=0, $G27&lt;&gt; $G$7, $E27=0), 'I&amp;E Monthly'!AA27, CHOOSE(Timeline!AA$30,$J27,$K27,$L27 )*INDEX('I&amp;E Profiles'!AA$96:AA$180,$I27))</f>
        <v>0</v>
      </c>
      <c r="AB27" s="10" cm="1">
        <f t="array" ref="AB27">IF(OR(AB$4=0, $G27&lt;&gt; $G$7, $E27=0), 'I&amp;E Monthly'!AB27, CHOOSE(Timeline!AB$30,$J27,$K27,$L27 )*INDEX('I&amp;E Profiles'!AB$96:AB$180,$I27))</f>
        <v>0</v>
      </c>
      <c r="AC27" s="10" cm="1">
        <f t="array" ref="AC27">IF(OR(AC$4=0, $G27&lt;&gt; $G$7, $E27=0), 'I&amp;E Monthly'!AC27, CHOOSE(Timeline!AC$30,$J27,$K27,$L27 )*INDEX('I&amp;E Profiles'!AC$96:AC$180,$I27))</f>
        <v>0</v>
      </c>
      <c r="AD27" s="10" cm="1">
        <f t="array" ref="AD27">IF(OR(AD$4=0, $G27&lt;&gt; $G$7, $E27=0), 'I&amp;E Monthly'!AD27, CHOOSE(Timeline!AD$30,$J27,$K27,$L27 )*INDEX('I&amp;E Profiles'!AD$96:AD$180,$I27))</f>
        <v>0</v>
      </c>
      <c r="AE27" s="10" cm="1">
        <f t="array" ref="AE27">IF(OR(AE$4=0, $G27&lt;&gt; $G$7, $E27=0), 'I&amp;E Monthly'!AE27, CHOOSE(Timeline!AE$30,$J27,$K27,$L27 )*INDEX('I&amp;E Profiles'!AE$96:AE$180,$I27))</f>
        <v>0</v>
      </c>
      <c r="AF27" s="10" cm="1">
        <f t="array" ref="AF27">IF(OR(AF$4=0, $G27&lt;&gt; $G$7, $E27=0), 'I&amp;E Monthly'!AF27, CHOOSE(Timeline!AF$30,$J27,$K27,$L27 )*INDEX('I&amp;E Profiles'!AF$96:AF$180,$I27))</f>
        <v>0</v>
      </c>
      <c r="AG27" s="10" cm="1">
        <f t="array" ref="AG27">IF(OR(AG$4=0, $G27&lt;&gt; $G$7, $E27=0), 'I&amp;E Monthly'!AG27, CHOOSE(Timeline!AG$30,$J27,$K27,$L27 )*INDEX('I&amp;E Profiles'!AG$96:AG$180,$I27))</f>
        <v>0</v>
      </c>
      <c r="AH27" s="10" cm="1">
        <f t="array" ref="AH27">IF(OR(AH$4=0, $G27&lt;&gt; $G$7, $E27=0), 'I&amp;E Monthly'!AH27, CHOOSE(Timeline!AH$30,$J27,$K27,$L27 )*INDEX('I&amp;E Profiles'!AH$96:AH$180,$I27))</f>
        <v>0</v>
      </c>
      <c r="AI27" s="10" cm="1">
        <f t="array" ref="AI27">IF(OR(AI$4=0, $G27&lt;&gt; $G$7, $E27=0), 'I&amp;E Monthly'!AI27, CHOOSE(Timeline!AI$30,$J27,$K27,$L27 )*INDEX('I&amp;E Profiles'!AI$96:AI$180,$I27))</f>
        <v>0</v>
      </c>
      <c r="AJ27" s="10" cm="1">
        <f t="array" ref="AJ27">IF(OR(AJ$4=0, $G27&lt;&gt; $G$7, $E27=0), 'I&amp;E Monthly'!AJ27, CHOOSE(Timeline!AJ$30,$J27,$K27,$L27 )*INDEX('I&amp;E Profiles'!AJ$96:AJ$180,$I27))</f>
        <v>0</v>
      </c>
      <c r="AK27" s="10" cm="1">
        <f t="array" ref="AK27">IF(OR(AK$4=0, $G27&lt;&gt; $G$7, $E27=0), 'I&amp;E Monthly'!AK27, CHOOSE(Timeline!AK$30,$J27,$K27,$L27 )*INDEX('I&amp;E Profiles'!AK$96:AK$180,$I27))</f>
        <v>0</v>
      </c>
      <c r="AL27" s="10" cm="1">
        <f t="array" ref="AL27">IF(OR(AL$4=0, $G27&lt;&gt; $G$7, $E27=0), 'I&amp;E Monthly'!AL27, CHOOSE(Timeline!AL$30,$J27,$K27,$L27 )*INDEX('I&amp;E Profiles'!AL$96:AL$180,$I27))</f>
        <v>0</v>
      </c>
      <c r="AM27" s="10" cm="1">
        <f t="array" ref="AM27">IF(OR(AM$4=0, $G27&lt;&gt; $G$7, $E27=0), 'I&amp;E Monthly'!AM27, CHOOSE(Timeline!AM$30,$J27,$K27,$L27 )*INDEX('I&amp;E Profiles'!AM$96:AM$180,$I27))</f>
        <v>0</v>
      </c>
      <c r="AN27" s="10" cm="1">
        <f t="array" ref="AN27">IF(OR(AN$4=0, $G27&lt;&gt; $G$7, $E27=0), 'I&amp;E Monthly'!AN27, CHOOSE(Timeline!AN$30,$J27,$K27,$L27 )*INDEX('I&amp;E Profiles'!AN$96:AN$180,$I27))</f>
        <v>0</v>
      </c>
      <c r="AO27" s="10" cm="1">
        <f t="array" ref="AO27">IF(OR(AO$4=0, $G27&lt;&gt; $G$7, $E27=0), 'I&amp;E Monthly'!AO27, CHOOSE(Timeline!AO$30,$J27,$K27,$L27 )*INDEX('I&amp;E Profiles'!AO$96:AO$180,$I27))</f>
        <v>0</v>
      </c>
      <c r="AP27" s="10" cm="1">
        <f t="array" ref="AP27">IF(OR(AP$4=0, $G27&lt;&gt; $G$7, $E27=0), 'I&amp;E Monthly'!AP27, CHOOSE(Timeline!AP$30,$J27,$K27,$L27 )*INDEX('I&amp;E Profiles'!AP$96:AP$180,$I27))</f>
        <v>0</v>
      </c>
      <c r="AQ27" s="10" cm="1">
        <f t="array" ref="AQ27">IF(OR(AQ$4=0, $G27&lt;&gt; $G$7, $E27=0), 'I&amp;E Monthly'!AQ27, CHOOSE(Timeline!AQ$30,$J27,$K27,$L27 )*INDEX('I&amp;E Profiles'!AQ$96:AQ$180,$I27))</f>
        <v>0</v>
      </c>
      <c r="AR27" s="10" cm="1">
        <f t="array" ref="AR27">IF(OR(AR$4=0, $G27&lt;&gt; $G$7, $E27=0), 'I&amp;E Monthly'!AR27, CHOOSE(Timeline!AR$30,$J27,$K27,$L27 )*INDEX('I&amp;E Profiles'!AR$96:AR$180,$I27))</f>
        <v>0</v>
      </c>
      <c r="AS27" s="10" cm="1">
        <f t="array" ref="AS27">IF(OR(AS$4=0, $G27&lt;&gt; $G$7, $E27=0), 'I&amp;E Monthly'!AS27, CHOOSE(Timeline!AS$30,$J27,$K27,$L27 )*INDEX('I&amp;E Profiles'!AS$96:AS$180,$I27))</f>
        <v>0</v>
      </c>
      <c r="AT27" s="10" cm="1">
        <f t="array" ref="AT27">IF(OR(AT$4=0, $G27&lt;&gt; $G$7, $E27=0), 'I&amp;E Monthly'!AT27, CHOOSE(Timeline!AT$30,$J27,$K27,$L27 )*INDEX('I&amp;E Profiles'!AT$96:AT$180,$I27))</f>
        <v>0</v>
      </c>
      <c r="AU27" s="10" cm="1">
        <f t="array" ref="AU27">IF(OR(AU$4=0, $G27&lt;&gt; $G$7, $E27=0), 'I&amp;E Monthly'!AU27, CHOOSE(Timeline!AU$30,$J27,$K27,$L27 )*INDEX('I&amp;E Profiles'!AU$96:AU$180,$I27))</f>
        <v>0</v>
      </c>
      <c r="AV27" s="10" cm="1">
        <f t="array" ref="AV27">IF(OR(AV$4=0, $G27&lt;&gt; $G$7, $E27=0), 'I&amp;E Monthly'!AV27, CHOOSE(Timeline!AV$30,$J27,$K27,$L27 )*INDEX('I&amp;E Profiles'!AV$96:AV$180,$I27))</f>
        <v>0</v>
      </c>
      <c r="AW27" s="10" cm="1">
        <f t="array" ref="AW27">IF(OR(AW$4=0, $G27&lt;&gt; $G$7, $E27=0), 'I&amp;E Monthly'!AW27, CHOOSE(Timeline!AW$30,$J27,$K27,$L27 )*INDEX('I&amp;E Profiles'!AW$96:AW$180,$I27))</f>
        <v>0</v>
      </c>
      <c r="AX27" s="10" cm="1">
        <f t="array" ref="AX27">IF(OR(AX$4=0, $G27&lt;&gt; $G$7, $E27=0), 'I&amp;E Monthly'!AX27, CHOOSE(Timeline!AX$30,$J27,$K27,$L27 )*INDEX('I&amp;E Profiles'!AX$96:AX$180,$I27))</f>
        <v>0</v>
      </c>
      <c r="AY27" s="10" cm="1">
        <f t="array" ref="AY27">IF(OR(AY$4=0, $G27&lt;&gt; $G$7, $E27=0), 'I&amp;E Monthly'!AY27, CHOOSE(Timeline!AY$30,$J27,$K27,$L27 )*INDEX('I&amp;E Profiles'!AY$96:AY$180,$I27))</f>
        <v>0</v>
      </c>
      <c r="AZ27" s="10" cm="1">
        <f t="array" ref="AZ27">IF(OR(AZ$4=0, $G27&lt;&gt; $G$7, $E27=0), 'I&amp;E Monthly'!AZ27, CHOOSE(Timeline!AZ$30,$J27,$K27,$L27 )*INDEX('I&amp;E Profiles'!AZ$96:AZ$180,$I27))</f>
        <v>0</v>
      </c>
      <c r="BA27" s="10" cm="1">
        <f t="array" ref="BA27">IF(OR(BA$4=0, $G27&lt;&gt; $G$7, $E27=0), 'I&amp;E Monthly'!BA27, CHOOSE(Timeline!BA$30,$J27,$K27,$L27 )*INDEX('I&amp;E Profiles'!BA$96:BA$180,$I27))</f>
        <v>0</v>
      </c>
      <c r="BB27" s="10" cm="1">
        <f t="array" ref="BB27">IF(OR(BB$4=0, $G27&lt;&gt; $G$7, $E27=0), 'I&amp;E Monthly'!BB27, CHOOSE(Timeline!BB$30,$J27,$K27,$L27 )*INDEX('I&amp;E Profiles'!BB$96:BB$180,$I27))</f>
        <v>0</v>
      </c>
      <c r="BC27" s="10" cm="1">
        <f t="array" ref="BC27">IF(OR(BC$4=0, $G27&lt;&gt; $G$7, $E27=0), 'I&amp;E Monthly'!BC27, CHOOSE(Timeline!BC$30,$J27,$K27,$L27 )*INDEX('I&amp;E Profiles'!BC$96:BC$180,$I27))</f>
        <v>0</v>
      </c>
      <c r="BD27" s="10" cm="1">
        <f t="array" ref="BD27">IF(OR(BD$4=0, $G27&lt;&gt; $G$7, $E27=0), 'I&amp;E Monthly'!BD27, CHOOSE(Timeline!BD$30,$J27,$K27,$L27 )*INDEX('I&amp;E Profiles'!BD$96:BD$180,$I27))</f>
        <v>0</v>
      </c>
      <c r="BE27" s="10" cm="1">
        <f t="array" ref="BE27">IF(OR(BE$4=0, $G27&lt;&gt; $G$7, $E27=0), 'I&amp;E Monthly'!BE27, CHOOSE(Timeline!BE$30,$J27,$K27,$L27 )*INDEX('I&amp;E Profiles'!BE$96:BE$180,$I27))</f>
        <v>0</v>
      </c>
      <c r="BF27" s="10" cm="1">
        <f t="array" ref="BF27">IF(OR(BF$4=0, $G27&lt;&gt; $G$7, $E27=0), 'I&amp;E Monthly'!BF27, CHOOSE(Timeline!BF$30,$J27,$K27,$L27 )*INDEX('I&amp;E Profiles'!BF$96:BF$180,$I27))</f>
        <v>0</v>
      </c>
      <c r="BG27" s="10" cm="1">
        <f t="array" ref="BG27">IF(OR(BG$4=0, $G27&lt;&gt; $G$7, $E27=0), 'I&amp;E Monthly'!BG27, CHOOSE(Timeline!BG$30,$J27,$K27,$L27 )*INDEX('I&amp;E Profiles'!BG$96:BG$180,$I27))</f>
        <v>0</v>
      </c>
      <c r="BH27" s="10" cm="1">
        <f t="array" ref="BH27">IF(OR(BH$4=0, $G27&lt;&gt; $G$7, $E27=0), 'I&amp;E Monthly'!BH27, CHOOSE(Timeline!BH$30,$J27,$K27,$L27 )*INDEX('I&amp;E Profiles'!BH$96:BH$180,$I27))</f>
        <v>0</v>
      </c>
      <c r="BI27" s="10" cm="1">
        <f t="array" ref="BI27">IF(OR(BI$4=0, $G27&lt;&gt; $G$7, $E27=0), 'I&amp;E Monthly'!BI27, CHOOSE(Timeline!BI$30,$J27,$K27,$L27 )*INDEX('I&amp;E Profiles'!BI$96:BI$180,$I27))</f>
        <v>0</v>
      </c>
      <c r="BJ27" s="10" cm="1">
        <f t="array" ref="BJ27">IF(OR(BJ$4=0, $G27&lt;&gt; $G$7, $E27=0), 'I&amp;E Monthly'!BJ27, CHOOSE(Timeline!BJ$30,$J27,$K27,$L27 )*INDEX('I&amp;E Profiles'!BJ$96:BJ$180,$I27))</f>
        <v>0</v>
      </c>
      <c r="BX27" s="12">
        <f>V27</f>
        <v>0</v>
      </c>
      <c r="BY27" s="10">
        <f t="shared" ref="BY27:CA28" si="22">SUMIFS($AA27:$BJ27, $AA$3:$BJ$3,BY$3)</f>
        <v>0</v>
      </c>
      <c r="BZ27" s="10">
        <f t="shared" si="22"/>
        <v>0</v>
      </c>
      <c r="CA27" s="10">
        <f t="shared" si="22"/>
        <v>0</v>
      </c>
      <c r="CB27" s="12">
        <f>'I&amp;E Monthly'!CB27</f>
        <v>0</v>
      </c>
      <c r="CC27" s="12">
        <f>'I&amp;E Monthly'!CC27</f>
        <v>0</v>
      </c>
      <c r="CD27" s="12">
        <f>'I&amp;E Monthly'!CD27</f>
        <v>0</v>
      </c>
      <c r="CE27" s="12">
        <f>'I&amp;E Monthly'!CE27</f>
        <v>0</v>
      </c>
      <c r="CF27" s="12">
        <f>'I&amp;E Monthly'!CF27</f>
        <v>0</v>
      </c>
      <c r="CG27" s="12">
        <f>'I&amp;E Monthly'!CG27</f>
        <v>0</v>
      </c>
      <c r="CH27" s="12">
        <f>'I&amp;E Monthly'!CH27</f>
        <v>0</v>
      </c>
      <c r="CI27" s="12">
        <f>'I&amp;E Monthly'!CI27</f>
        <v>0</v>
      </c>
      <c r="CK27" s="11"/>
      <c r="CL27" s="221">
        <f ca="1">IF(MIN($V27:$CI27)&lt;0, 1, 0)*$I$7</f>
        <v>0</v>
      </c>
      <c r="CM27" s="11"/>
      <c r="CN27" s="7">
        <f>IF(AND($G27=$G$7,$E27=""), 1, 0)</f>
        <v>0</v>
      </c>
      <c r="CO27" s="7" cm="1">
        <f t="array" ref="CO27">SUMPRODUCT(--NOT(ISNUMBER(W27:Y27)),--NOT(ISBLANK(W27:Y27)))</f>
        <v>0</v>
      </c>
      <c r="CP27" s="7" cm="1">
        <f t="array" ref="CP27">IF(E27="",0, IF(IFERROR(INDEX('I&amp;E Profiles'!$D$96:$D$180, $I27), "N/A")="N/A", 1, 0))</f>
        <v>0</v>
      </c>
      <c r="CQ27" s="7">
        <f>IF(SUM($CV27:$CX27)=0, 0, 1)</f>
        <v>0</v>
      </c>
      <c r="CS27" s="7">
        <f>IF(SUM($CY27:$DA27)=0, 0, 1)</f>
        <v>0</v>
      </c>
      <c r="CT27" s="7">
        <f>IF(DB27=0, 0, 1)</f>
        <v>0</v>
      </c>
      <c r="CU27" s="11"/>
      <c r="CV27" s="215">
        <f t="shared" ref="CV27:CX30" si="23">IF($G27=$G$7, ROUND(W27-SUMIFS($AA27:$BJ27, $AA$3:$BJ$3, W$3), rounding), 0)</f>
        <v>0</v>
      </c>
      <c r="CW27" s="215">
        <f t="shared" si="23"/>
        <v>0</v>
      </c>
      <c r="CX27" s="215">
        <f t="shared" si="23"/>
        <v>0</v>
      </c>
      <c r="CY27" s="215">
        <f>ROUND($BY27-SUMIFS($AA27:$BJ27, $AA$3:$BJ$3, $BY$3), rounding)</f>
        <v>0</v>
      </c>
      <c r="CZ27" s="215">
        <f>ROUND($BZ27-SUMIFS($AA27:$BJ27, $AA$3:$BJ$3, $BZ$3), rounding)</f>
        <v>0</v>
      </c>
      <c r="DA27" s="215">
        <f>ROUND($CA27-SUMIFS($AA27:$BJ27, $AA$3:$BJ$3, $CA$3), rounding)</f>
        <v>0</v>
      </c>
      <c r="DB27" s="215">
        <f>ROUND($V27-$BX27, rounding)</f>
        <v>0</v>
      </c>
      <c r="FN27" s="10" t="str">
        <f t="shared" si="1"/>
        <v>Total apprenticeship programme funding</v>
      </c>
    </row>
    <row r="28" spans="1:170" x14ac:dyDescent="0.35">
      <c r="A28" s="220" cm="1">
        <f t="array" aca="1" ref="A28" ca="1">HYPERLINK(CONCATENATE("#",CELL("address",IF(MAX($CM28:$CU28)=0,A28,INDEX($CM28:$CU28,MATCH(1,$CM28:$CU28,0))))),MAX($CM28:$CU28))</f>
        <v>0</v>
      </c>
      <c r="B28" s="85" t="s">
        <v>122</v>
      </c>
      <c r="C28" s="213" t="s">
        <v>490</v>
      </c>
      <c r="D28" s="57" t="s">
        <v>332</v>
      </c>
      <c r="E28" s="114"/>
      <c r="F28" s="79" t="str" cm="1">
        <f t="array" aca="1" ref="F28" ca="1">IF(E28="", "", HYPERLINK(CONCATENATE("#",CELL("address",INDEX('I&amp;E Profiles'!$D$9:$D$93,'I&amp;E Annual'!I28))),E28))</f>
        <v/>
      </c>
      <c r="G28" s="114"/>
      <c r="H28" t="s">
        <v>317</v>
      </c>
      <c r="I28" s="132" t="str">
        <f>IF(E28="", "", MATCH(E28, 'I&amp;E Profiles'!$D$96:$D$180,0))</f>
        <v/>
      </c>
      <c r="J28" s="133">
        <f>IF($G28=$G$7, W28,'I&amp;E Monthly'!W28)-SUMIFS('I&amp;E Monthly'!$AA28:$BJ28, 'I&amp;E Monthly'!$AA$3:$BJ$3, 'I&amp;E Annual'!W$3, 'I&amp;E Monthly'!$AA$4:$BJ$4, 0)</f>
        <v>0</v>
      </c>
      <c r="K28" s="133">
        <f>IF($G28=$G$7, X28,'I&amp;E Monthly'!X28)-SUMIFS('I&amp;E Monthly'!$AA28:$BJ28, 'I&amp;E Monthly'!$AA$3:$BJ$3, 'I&amp;E Annual'!X$3, 'I&amp;E Monthly'!$AA$4:$BJ$4, 0)</f>
        <v>0</v>
      </c>
      <c r="L28" s="133">
        <f>IF($G28=$G$7, Y28,'I&amp;E Monthly'!Y28)-SUMIFS('I&amp;E Monthly'!$AA28:$BJ28, 'I&amp;E Monthly'!$AA$3:$BJ$3, 'I&amp;E Annual'!Y$3, 'I&amp;E Monthly'!$AA$4:$BJ$4, 0)</f>
        <v>0</v>
      </c>
      <c r="Q28" s="2"/>
      <c r="V28" s="133">
        <f>'I&amp;E Monthly'!V28</f>
        <v>0</v>
      </c>
      <c r="W28" s="114"/>
      <c r="X28" s="131"/>
      <c r="Y28" s="131"/>
      <c r="AA28" s="10" cm="1">
        <f t="array" ref="AA28">IF(OR(AA$4=0, $G28&lt;&gt; $G$7, $E28=0), 'I&amp;E Monthly'!AA28, CHOOSE(Timeline!AA$30,$J28,$K28,$L28 )*INDEX('I&amp;E Profiles'!AA$96:AA$180,$I28))</f>
        <v>0</v>
      </c>
      <c r="AB28" s="10" cm="1">
        <f t="array" ref="AB28">IF(OR(AB$4=0, $G28&lt;&gt; $G$7, $E28=0), 'I&amp;E Monthly'!AB28, CHOOSE(Timeline!AB$30,$J28,$K28,$L28 )*INDEX('I&amp;E Profiles'!AB$96:AB$180,$I28))</f>
        <v>0</v>
      </c>
      <c r="AC28" s="10" cm="1">
        <f t="array" ref="AC28">IF(OR(AC$4=0, $G28&lt;&gt; $G$7, $E28=0), 'I&amp;E Monthly'!AC28, CHOOSE(Timeline!AC$30,$J28,$K28,$L28 )*INDEX('I&amp;E Profiles'!AC$96:AC$180,$I28))</f>
        <v>0</v>
      </c>
      <c r="AD28" s="10" cm="1">
        <f t="array" ref="AD28">IF(OR(AD$4=0, $G28&lt;&gt; $G$7, $E28=0), 'I&amp;E Monthly'!AD28, CHOOSE(Timeline!AD$30,$J28,$K28,$L28 )*INDEX('I&amp;E Profiles'!AD$96:AD$180,$I28))</f>
        <v>0</v>
      </c>
      <c r="AE28" s="10" cm="1">
        <f t="array" ref="AE28">IF(OR(AE$4=0, $G28&lt;&gt; $G$7, $E28=0), 'I&amp;E Monthly'!AE28, CHOOSE(Timeline!AE$30,$J28,$K28,$L28 )*INDEX('I&amp;E Profiles'!AE$96:AE$180,$I28))</f>
        <v>0</v>
      </c>
      <c r="AF28" s="10" cm="1">
        <f t="array" ref="AF28">IF(OR(AF$4=0, $G28&lt;&gt; $G$7, $E28=0), 'I&amp;E Monthly'!AF28, CHOOSE(Timeline!AF$30,$J28,$K28,$L28 )*INDEX('I&amp;E Profiles'!AF$96:AF$180,$I28))</f>
        <v>0</v>
      </c>
      <c r="AG28" s="10" cm="1">
        <f t="array" ref="AG28">IF(OR(AG$4=0, $G28&lt;&gt; $G$7, $E28=0), 'I&amp;E Monthly'!AG28, CHOOSE(Timeline!AG$30,$J28,$K28,$L28 )*INDEX('I&amp;E Profiles'!AG$96:AG$180,$I28))</f>
        <v>0</v>
      </c>
      <c r="AH28" s="10" cm="1">
        <f t="array" ref="AH28">IF(OR(AH$4=0, $G28&lt;&gt; $G$7, $E28=0), 'I&amp;E Monthly'!AH28, CHOOSE(Timeline!AH$30,$J28,$K28,$L28 )*INDEX('I&amp;E Profiles'!AH$96:AH$180,$I28))</f>
        <v>0</v>
      </c>
      <c r="AI28" s="10" cm="1">
        <f t="array" ref="AI28">IF(OR(AI$4=0, $G28&lt;&gt; $G$7, $E28=0), 'I&amp;E Monthly'!AI28, CHOOSE(Timeline!AI$30,$J28,$K28,$L28 )*INDEX('I&amp;E Profiles'!AI$96:AI$180,$I28))</f>
        <v>0</v>
      </c>
      <c r="AJ28" s="10" cm="1">
        <f t="array" ref="AJ28">IF(OR(AJ$4=0, $G28&lt;&gt; $G$7, $E28=0), 'I&amp;E Monthly'!AJ28, CHOOSE(Timeline!AJ$30,$J28,$K28,$L28 )*INDEX('I&amp;E Profiles'!AJ$96:AJ$180,$I28))</f>
        <v>0</v>
      </c>
      <c r="AK28" s="10" cm="1">
        <f t="array" ref="AK28">IF(OR(AK$4=0, $G28&lt;&gt; $G$7, $E28=0), 'I&amp;E Monthly'!AK28, CHOOSE(Timeline!AK$30,$J28,$K28,$L28 )*INDEX('I&amp;E Profiles'!AK$96:AK$180,$I28))</f>
        <v>0</v>
      </c>
      <c r="AL28" s="10" cm="1">
        <f t="array" ref="AL28">IF(OR(AL$4=0, $G28&lt;&gt; $G$7, $E28=0), 'I&amp;E Monthly'!AL28, CHOOSE(Timeline!AL$30,$J28,$K28,$L28 )*INDEX('I&amp;E Profiles'!AL$96:AL$180,$I28))</f>
        <v>0</v>
      </c>
      <c r="AM28" s="10" cm="1">
        <f t="array" ref="AM28">IF(OR(AM$4=0, $G28&lt;&gt; $G$7, $E28=0), 'I&amp;E Monthly'!AM28, CHOOSE(Timeline!AM$30,$J28,$K28,$L28 )*INDEX('I&amp;E Profiles'!AM$96:AM$180,$I28))</f>
        <v>0</v>
      </c>
      <c r="AN28" s="10" cm="1">
        <f t="array" ref="AN28">IF(OR(AN$4=0, $G28&lt;&gt; $G$7, $E28=0), 'I&amp;E Monthly'!AN28, CHOOSE(Timeline!AN$30,$J28,$K28,$L28 )*INDEX('I&amp;E Profiles'!AN$96:AN$180,$I28))</f>
        <v>0</v>
      </c>
      <c r="AO28" s="10" cm="1">
        <f t="array" ref="AO28">IF(OR(AO$4=0, $G28&lt;&gt; $G$7, $E28=0), 'I&amp;E Monthly'!AO28, CHOOSE(Timeline!AO$30,$J28,$K28,$L28 )*INDEX('I&amp;E Profiles'!AO$96:AO$180,$I28))</f>
        <v>0</v>
      </c>
      <c r="AP28" s="10" cm="1">
        <f t="array" ref="AP28">IF(OR(AP$4=0, $G28&lt;&gt; $G$7, $E28=0), 'I&amp;E Monthly'!AP28, CHOOSE(Timeline!AP$30,$J28,$K28,$L28 )*INDEX('I&amp;E Profiles'!AP$96:AP$180,$I28))</f>
        <v>0</v>
      </c>
      <c r="AQ28" s="10" cm="1">
        <f t="array" ref="AQ28">IF(OR(AQ$4=0, $G28&lt;&gt; $G$7, $E28=0), 'I&amp;E Monthly'!AQ28, CHOOSE(Timeline!AQ$30,$J28,$K28,$L28 )*INDEX('I&amp;E Profiles'!AQ$96:AQ$180,$I28))</f>
        <v>0</v>
      </c>
      <c r="AR28" s="10" cm="1">
        <f t="array" ref="AR28">IF(OR(AR$4=0, $G28&lt;&gt; $G$7, $E28=0), 'I&amp;E Monthly'!AR28, CHOOSE(Timeline!AR$30,$J28,$K28,$L28 )*INDEX('I&amp;E Profiles'!AR$96:AR$180,$I28))</f>
        <v>0</v>
      </c>
      <c r="AS28" s="10" cm="1">
        <f t="array" ref="AS28">IF(OR(AS$4=0, $G28&lt;&gt; $G$7, $E28=0), 'I&amp;E Monthly'!AS28, CHOOSE(Timeline!AS$30,$J28,$K28,$L28 )*INDEX('I&amp;E Profiles'!AS$96:AS$180,$I28))</f>
        <v>0</v>
      </c>
      <c r="AT28" s="10" cm="1">
        <f t="array" ref="AT28">IF(OR(AT$4=0, $G28&lt;&gt; $G$7, $E28=0), 'I&amp;E Monthly'!AT28, CHOOSE(Timeline!AT$30,$J28,$K28,$L28 )*INDEX('I&amp;E Profiles'!AT$96:AT$180,$I28))</f>
        <v>0</v>
      </c>
      <c r="AU28" s="10" cm="1">
        <f t="array" ref="AU28">IF(OR(AU$4=0, $G28&lt;&gt; $G$7, $E28=0), 'I&amp;E Monthly'!AU28, CHOOSE(Timeline!AU$30,$J28,$K28,$L28 )*INDEX('I&amp;E Profiles'!AU$96:AU$180,$I28))</f>
        <v>0</v>
      </c>
      <c r="AV28" s="10" cm="1">
        <f t="array" ref="AV28">IF(OR(AV$4=0, $G28&lt;&gt; $G$7, $E28=0), 'I&amp;E Monthly'!AV28, CHOOSE(Timeline!AV$30,$J28,$K28,$L28 )*INDEX('I&amp;E Profiles'!AV$96:AV$180,$I28))</f>
        <v>0</v>
      </c>
      <c r="AW28" s="10" cm="1">
        <f t="array" ref="AW28">IF(OR(AW$4=0, $G28&lt;&gt; $G$7, $E28=0), 'I&amp;E Monthly'!AW28, CHOOSE(Timeline!AW$30,$J28,$K28,$L28 )*INDEX('I&amp;E Profiles'!AW$96:AW$180,$I28))</f>
        <v>0</v>
      </c>
      <c r="AX28" s="10" cm="1">
        <f t="array" ref="AX28">IF(OR(AX$4=0, $G28&lt;&gt; $G$7, $E28=0), 'I&amp;E Monthly'!AX28, CHOOSE(Timeline!AX$30,$J28,$K28,$L28 )*INDEX('I&amp;E Profiles'!AX$96:AX$180,$I28))</f>
        <v>0</v>
      </c>
      <c r="AY28" s="10" cm="1">
        <f t="array" ref="AY28">IF(OR(AY$4=0, $G28&lt;&gt; $G$7, $E28=0), 'I&amp;E Monthly'!AY28, CHOOSE(Timeline!AY$30,$J28,$K28,$L28 )*INDEX('I&amp;E Profiles'!AY$96:AY$180,$I28))</f>
        <v>0</v>
      </c>
      <c r="AZ28" s="10" cm="1">
        <f t="array" ref="AZ28">IF(OR(AZ$4=0, $G28&lt;&gt; $G$7, $E28=0), 'I&amp;E Monthly'!AZ28, CHOOSE(Timeline!AZ$30,$J28,$K28,$L28 )*INDEX('I&amp;E Profiles'!AZ$96:AZ$180,$I28))</f>
        <v>0</v>
      </c>
      <c r="BA28" s="10" cm="1">
        <f t="array" ref="BA28">IF(OR(BA$4=0, $G28&lt;&gt; $G$7, $E28=0), 'I&amp;E Monthly'!BA28, CHOOSE(Timeline!BA$30,$J28,$K28,$L28 )*INDEX('I&amp;E Profiles'!BA$96:BA$180,$I28))</f>
        <v>0</v>
      </c>
      <c r="BB28" s="10" cm="1">
        <f t="array" ref="BB28">IF(OR(BB$4=0, $G28&lt;&gt; $G$7, $E28=0), 'I&amp;E Monthly'!BB28, CHOOSE(Timeline!BB$30,$J28,$K28,$L28 )*INDEX('I&amp;E Profiles'!BB$96:BB$180,$I28))</f>
        <v>0</v>
      </c>
      <c r="BC28" s="10" cm="1">
        <f t="array" ref="BC28">IF(OR(BC$4=0, $G28&lt;&gt; $G$7, $E28=0), 'I&amp;E Monthly'!BC28, CHOOSE(Timeline!BC$30,$J28,$K28,$L28 )*INDEX('I&amp;E Profiles'!BC$96:BC$180,$I28))</f>
        <v>0</v>
      </c>
      <c r="BD28" s="10" cm="1">
        <f t="array" ref="BD28">IF(OR(BD$4=0, $G28&lt;&gt; $G$7, $E28=0), 'I&amp;E Monthly'!BD28, CHOOSE(Timeline!BD$30,$J28,$K28,$L28 )*INDEX('I&amp;E Profiles'!BD$96:BD$180,$I28))</f>
        <v>0</v>
      </c>
      <c r="BE28" s="10" cm="1">
        <f t="array" ref="BE28">IF(OR(BE$4=0, $G28&lt;&gt; $G$7, $E28=0), 'I&amp;E Monthly'!BE28, CHOOSE(Timeline!BE$30,$J28,$K28,$L28 )*INDEX('I&amp;E Profiles'!BE$96:BE$180,$I28))</f>
        <v>0</v>
      </c>
      <c r="BF28" s="10" cm="1">
        <f t="array" ref="BF28">IF(OR(BF$4=0, $G28&lt;&gt; $G$7, $E28=0), 'I&amp;E Monthly'!BF28, CHOOSE(Timeline!BF$30,$J28,$K28,$L28 )*INDEX('I&amp;E Profiles'!BF$96:BF$180,$I28))</f>
        <v>0</v>
      </c>
      <c r="BG28" s="10" cm="1">
        <f t="array" ref="BG28">IF(OR(BG$4=0, $G28&lt;&gt; $G$7, $E28=0), 'I&amp;E Monthly'!BG28, CHOOSE(Timeline!BG$30,$J28,$K28,$L28 )*INDEX('I&amp;E Profiles'!BG$96:BG$180,$I28))</f>
        <v>0</v>
      </c>
      <c r="BH28" s="10" cm="1">
        <f t="array" ref="BH28">IF(OR(BH$4=0, $G28&lt;&gt; $G$7, $E28=0), 'I&amp;E Monthly'!BH28, CHOOSE(Timeline!BH$30,$J28,$K28,$L28 )*INDEX('I&amp;E Profiles'!BH$96:BH$180,$I28))</f>
        <v>0</v>
      </c>
      <c r="BI28" s="10" cm="1">
        <f t="array" ref="BI28">IF(OR(BI$4=0, $G28&lt;&gt; $G$7, $E28=0), 'I&amp;E Monthly'!BI28, CHOOSE(Timeline!BI$30,$J28,$K28,$L28 )*INDEX('I&amp;E Profiles'!BI$96:BI$180,$I28))</f>
        <v>0</v>
      </c>
      <c r="BJ28" s="10" cm="1">
        <f t="array" ref="BJ28">IF(OR(BJ$4=0, $G28&lt;&gt; $G$7, $E28=0), 'I&amp;E Monthly'!BJ28, CHOOSE(Timeline!BJ$30,$J28,$K28,$L28 )*INDEX('I&amp;E Profiles'!BJ$96:BJ$180,$I28))</f>
        <v>0</v>
      </c>
      <c r="BX28" s="12">
        <f>V28</f>
        <v>0</v>
      </c>
      <c r="BY28" s="10">
        <f t="shared" si="22"/>
        <v>0</v>
      </c>
      <c r="BZ28" s="10">
        <f t="shared" si="22"/>
        <v>0</v>
      </c>
      <c r="CA28" s="10">
        <f t="shared" si="22"/>
        <v>0</v>
      </c>
      <c r="CB28" s="12">
        <f>'I&amp;E Monthly'!CB28</f>
        <v>0</v>
      </c>
      <c r="CC28" s="12">
        <f>'I&amp;E Monthly'!CC28</f>
        <v>0</v>
      </c>
      <c r="CD28" s="12">
        <f>'I&amp;E Monthly'!CD28</f>
        <v>0</v>
      </c>
      <c r="CE28" s="12">
        <f>'I&amp;E Monthly'!CE28</f>
        <v>0</v>
      </c>
      <c r="CF28" s="12">
        <f>'I&amp;E Monthly'!CF28</f>
        <v>0</v>
      </c>
      <c r="CG28" s="12">
        <f>'I&amp;E Monthly'!CG28</f>
        <v>0</v>
      </c>
      <c r="CH28" s="12">
        <f>'I&amp;E Monthly'!CH28</f>
        <v>0</v>
      </c>
      <c r="CI28" s="12">
        <f>'I&amp;E Monthly'!CI28</f>
        <v>0</v>
      </c>
      <c r="CK28" s="11"/>
      <c r="CL28" s="221">
        <f ca="1">IF(MIN($V28:$CI28)&lt;0, 1, 0)*$I$7</f>
        <v>0</v>
      </c>
      <c r="CM28" s="11"/>
      <c r="CN28" s="7">
        <f>IF(AND($G28=$G$7,$E28=""), 1, 0)</f>
        <v>0</v>
      </c>
      <c r="CO28" s="7" cm="1">
        <f t="array" ref="CO28">SUMPRODUCT(--NOT(ISNUMBER(W28:Y28)),--NOT(ISBLANK(W28:Y28)))</f>
        <v>0</v>
      </c>
      <c r="CP28" s="7" cm="1">
        <f t="array" ref="CP28">IF(E28="",0, IF(IFERROR(INDEX('I&amp;E Profiles'!$D$96:$D$180, $I28), "N/A")="N/A", 1, 0))</f>
        <v>0</v>
      </c>
      <c r="CQ28" s="7">
        <f>IF(SUM($CV28:$CX28)=0, 0, 1)</f>
        <v>0</v>
      </c>
      <c r="CS28" s="7">
        <f>IF(SUM($CY28:$DA28)=0, 0, 1)</f>
        <v>0</v>
      </c>
      <c r="CT28" s="7">
        <f>IF(DB28=0, 0, 1)</f>
        <v>0</v>
      </c>
      <c r="CU28" s="11"/>
      <c r="CV28" s="215">
        <f t="shared" si="23"/>
        <v>0</v>
      </c>
      <c r="CW28" s="215">
        <f t="shared" si="23"/>
        <v>0</v>
      </c>
      <c r="CX28" s="215">
        <f t="shared" si="23"/>
        <v>0</v>
      </c>
      <c r="CY28" s="215">
        <f>ROUND($BY28-SUMIFS($AA28:$BJ28, $AA$3:$BJ$3, $BY$3), rounding)</f>
        <v>0</v>
      </c>
      <c r="CZ28" s="215">
        <f>ROUND($BZ28-SUMIFS($AA28:$BJ28, $AA$3:$BJ$3, $BZ$3), rounding)</f>
        <v>0</v>
      </c>
      <c r="DA28" s="215">
        <f>ROUND($CA28-SUMIFS($AA28:$BJ28, $AA$3:$BJ$3, $CA$3), rounding)</f>
        <v>0</v>
      </c>
      <c r="DB28" s="215">
        <f>ROUND($V28-$BX28, rounding)</f>
        <v>0</v>
      </c>
      <c r="FN28" s="10" t="str">
        <f t="shared" si="1"/>
        <v>Subcontracted in: Apprenticeship income</v>
      </c>
    </row>
    <row r="29" spans="1:170" s="5" customFormat="1" x14ac:dyDescent="0.35">
      <c r="A29" s="220" cm="1">
        <f t="array" aca="1" ref="A29" ca="1">HYPERLINK(CONCATENATE("#",CELL("address",IF(MAX($CM29:$CU29)=0,A29,INDEX($CM29:$CU29,MATCH(1,$CM29:$CU29,0))))),MAX($CM29:$CU29))</f>
        <v>0</v>
      </c>
      <c r="C29" s="213" t="s">
        <v>491</v>
      </c>
      <c r="D29" s="61" t="s">
        <v>333</v>
      </c>
      <c r="F29"/>
      <c r="H29" t="s">
        <v>317</v>
      </c>
      <c r="Q29" s="2"/>
      <c r="R29"/>
      <c r="S29"/>
      <c r="T29"/>
      <c r="U29"/>
      <c r="V29" s="12">
        <f xml:space="preserve"> SUM(V27:V28)</f>
        <v>0</v>
      </c>
      <c r="W29" s="12">
        <f xml:space="preserve"> SUM(W27:W28)</f>
        <v>0</v>
      </c>
      <c r="X29" s="12">
        <f xml:space="preserve"> SUM(X27:X28)</f>
        <v>0</v>
      </c>
      <c r="Y29" s="12">
        <f xml:space="preserve"> SUM(Y27:Y28)</f>
        <v>0</v>
      </c>
      <c r="Z29"/>
      <c r="AA29" s="12">
        <f t="shared" ref="AA29:BJ29" si="24" xml:space="preserve"> SUM(AA27:AA28)</f>
        <v>0</v>
      </c>
      <c r="AB29" s="12">
        <f t="shared" si="24"/>
        <v>0</v>
      </c>
      <c r="AC29" s="12">
        <f t="shared" si="24"/>
        <v>0</v>
      </c>
      <c r="AD29" s="12">
        <f t="shared" si="24"/>
        <v>0</v>
      </c>
      <c r="AE29" s="12">
        <f t="shared" si="24"/>
        <v>0</v>
      </c>
      <c r="AF29" s="12">
        <f t="shared" si="24"/>
        <v>0</v>
      </c>
      <c r="AG29" s="12">
        <f t="shared" si="24"/>
        <v>0</v>
      </c>
      <c r="AH29" s="12">
        <f t="shared" si="24"/>
        <v>0</v>
      </c>
      <c r="AI29" s="12">
        <f t="shared" si="24"/>
        <v>0</v>
      </c>
      <c r="AJ29" s="12">
        <f t="shared" si="24"/>
        <v>0</v>
      </c>
      <c r="AK29" s="12">
        <f t="shared" si="24"/>
        <v>0</v>
      </c>
      <c r="AL29" s="12">
        <f t="shared" si="24"/>
        <v>0</v>
      </c>
      <c r="AM29" s="12">
        <f t="shared" si="24"/>
        <v>0</v>
      </c>
      <c r="AN29" s="12">
        <f t="shared" si="24"/>
        <v>0</v>
      </c>
      <c r="AO29" s="12">
        <f t="shared" si="24"/>
        <v>0</v>
      </c>
      <c r="AP29" s="12">
        <f t="shared" si="24"/>
        <v>0</v>
      </c>
      <c r="AQ29" s="12">
        <f t="shared" si="24"/>
        <v>0</v>
      </c>
      <c r="AR29" s="12">
        <f t="shared" si="24"/>
        <v>0</v>
      </c>
      <c r="AS29" s="12">
        <f t="shared" si="24"/>
        <v>0</v>
      </c>
      <c r="AT29" s="12">
        <f t="shared" si="24"/>
        <v>0</v>
      </c>
      <c r="AU29" s="12">
        <f t="shared" si="24"/>
        <v>0</v>
      </c>
      <c r="AV29" s="12">
        <f t="shared" si="24"/>
        <v>0</v>
      </c>
      <c r="AW29" s="12">
        <f t="shared" si="24"/>
        <v>0</v>
      </c>
      <c r="AX29" s="12">
        <f t="shared" si="24"/>
        <v>0</v>
      </c>
      <c r="AY29" s="12">
        <f t="shared" si="24"/>
        <v>0</v>
      </c>
      <c r="AZ29" s="12">
        <f t="shared" si="24"/>
        <v>0</v>
      </c>
      <c r="BA29" s="12">
        <f t="shared" si="24"/>
        <v>0</v>
      </c>
      <c r="BB29" s="12">
        <f t="shared" si="24"/>
        <v>0</v>
      </c>
      <c r="BC29" s="12">
        <f t="shared" si="24"/>
        <v>0</v>
      </c>
      <c r="BD29" s="12">
        <f t="shared" si="24"/>
        <v>0</v>
      </c>
      <c r="BE29" s="12">
        <f t="shared" si="24"/>
        <v>0</v>
      </c>
      <c r="BF29" s="12">
        <f t="shared" si="24"/>
        <v>0</v>
      </c>
      <c r="BG29" s="12">
        <f t="shared" si="24"/>
        <v>0</v>
      </c>
      <c r="BH29" s="12">
        <f t="shared" si="24"/>
        <v>0</v>
      </c>
      <c r="BI29" s="12">
        <f t="shared" si="24"/>
        <v>0</v>
      </c>
      <c r="BJ29" s="12">
        <f t="shared" si="24"/>
        <v>0</v>
      </c>
      <c r="BK29"/>
      <c r="BL29"/>
      <c r="BM29"/>
      <c r="BN29"/>
      <c r="BO29"/>
      <c r="BP29"/>
      <c r="BQ29"/>
      <c r="BR29"/>
      <c r="BS29"/>
      <c r="BT29"/>
      <c r="BU29"/>
      <c r="BV29"/>
      <c r="BW29"/>
      <c r="BX29" s="12">
        <f t="shared" ref="BX29:CI29" si="25" xml:space="preserve"> SUM(BX27:BX28)</f>
        <v>0</v>
      </c>
      <c r="BY29" s="12">
        <f t="shared" si="25"/>
        <v>0</v>
      </c>
      <c r="BZ29" s="12">
        <f t="shared" si="25"/>
        <v>0</v>
      </c>
      <c r="CA29" s="12">
        <f t="shared" si="25"/>
        <v>0</v>
      </c>
      <c r="CB29" s="12">
        <f t="shared" si="25"/>
        <v>0</v>
      </c>
      <c r="CC29" s="12">
        <f t="shared" si="25"/>
        <v>0</v>
      </c>
      <c r="CD29" s="12">
        <f t="shared" si="25"/>
        <v>0</v>
      </c>
      <c r="CE29" s="12">
        <f t="shared" si="25"/>
        <v>0</v>
      </c>
      <c r="CF29" s="12">
        <f t="shared" si="25"/>
        <v>0</v>
      </c>
      <c r="CG29" s="12">
        <f t="shared" si="25"/>
        <v>0</v>
      </c>
      <c r="CH29" s="12">
        <f t="shared" si="25"/>
        <v>0</v>
      </c>
      <c r="CI29" s="12">
        <f t="shared" si="25"/>
        <v>0</v>
      </c>
      <c r="CK29" s="11"/>
      <c r="CL29" s="221">
        <f ca="1">IF(MIN($V29:$CI29)&lt;0, 1, 0)*$I$7</f>
        <v>0</v>
      </c>
      <c r="CM29" s="11"/>
      <c r="CN29"/>
      <c r="CO29"/>
      <c r="CP29"/>
      <c r="CQ29" s="7">
        <f>IF(SUM($CV29:$CX29)=0, 0, 1)</f>
        <v>0</v>
      </c>
      <c r="CR29"/>
      <c r="CS29" s="7">
        <f>IF(SUM($CY29:$DA29)=0, 0, 1)</f>
        <v>0</v>
      </c>
      <c r="CT29" s="7">
        <f>IF(DB29=0, 0, 1)</f>
        <v>0</v>
      </c>
      <c r="CU29" s="11"/>
      <c r="CV29" s="215">
        <f t="shared" si="23"/>
        <v>0</v>
      </c>
      <c r="CW29" s="215">
        <f t="shared" si="23"/>
        <v>0</v>
      </c>
      <c r="CX29" s="215">
        <f t="shared" si="23"/>
        <v>0</v>
      </c>
      <c r="CY29" s="215">
        <f>ROUND($BY29-SUMIFS($AA29:$BJ29, $AA$3:$BJ$3, $BY$3), rounding)</f>
        <v>0</v>
      </c>
      <c r="CZ29" s="215">
        <f>ROUND($BZ29-SUMIFS($AA29:$BJ29, $AA$3:$BJ$3, $BZ$3), rounding)</f>
        <v>0</v>
      </c>
      <c r="DA29" s="215">
        <f>ROUND($CA29-SUMIFS($AA29:$BJ29, $AA$3:$BJ$3, $CA$3), rounding)</f>
        <v>0</v>
      </c>
      <c r="DB29" s="215">
        <f>ROUND($V29-$BX29, rounding)</f>
        <v>0</v>
      </c>
      <c r="DC29"/>
      <c r="FN29" s="10" t="str">
        <f t="shared" si="1"/>
        <v>Total Apprenticeships Income</v>
      </c>
    </row>
    <row r="30" spans="1:170" x14ac:dyDescent="0.35">
      <c r="A30" s="220" cm="1">
        <f t="array" aca="1" ref="A30" ca="1">HYPERLINK(CONCATENATE("#",CELL("address",IF(MAX($CM30:$CU30)=0,A30,INDEX($CM30:$CU30,MATCH(1,$CM30:$CU30,0))))),MAX($CM30:$CU30))</f>
        <v>0</v>
      </c>
      <c r="C30" s="213" t="s">
        <v>492</v>
      </c>
      <c r="D30" s="57" t="s">
        <v>334</v>
      </c>
      <c r="E30" s="114"/>
      <c r="F30" s="79" t="str" cm="1">
        <f t="array" aca="1" ref="F30" ca="1">IF(E30="", "", HYPERLINK(CONCATENATE("#",CELL("address",INDEX('I&amp;E Profiles'!$D$9:$D$93,'I&amp;E Annual'!I30))),E30))</f>
        <v/>
      </c>
      <c r="G30" s="114"/>
      <c r="H30" t="s">
        <v>317</v>
      </c>
      <c r="I30" s="132" t="str">
        <f>IF(E30="", "", MATCH(E30, 'I&amp;E Profiles'!$D$96:$D$180,0))</f>
        <v/>
      </c>
      <c r="J30" s="133">
        <f>IF($G30=$G$7, W30,'I&amp;E Monthly'!W30)-SUMIFS('I&amp;E Monthly'!$AA30:$BJ30, 'I&amp;E Monthly'!$AA$3:$BJ$3, 'I&amp;E Annual'!W$3, 'I&amp;E Monthly'!$AA$4:$BJ$4, 0)</f>
        <v>0</v>
      </c>
      <c r="K30" s="133">
        <f>IF($G30=$G$7, X30,'I&amp;E Monthly'!X30)-SUMIFS('I&amp;E Monthly'!$AA30:$BJ30, 'I&amp;E Monthly'!$AA$3:$BJ$3, 'I&amp;E Annual'!X$3, 'I&amp;E Monthly'!$AA$4:$BJ$4, 0)</f>
        <v>0</v>
      </c>
      <c r="L30" s="133">
        <f>IF($G30=$G$7, Y30,'I&amp;E Monthly'!Y30)-SUMIFS('I&amp;E Monthly'!$AA30:$BJ30, 'I&amp;E Monthly'!$AA$3:$BJ$3, 'I&amp;E Annual'!Y$3, 'I&amp;E Monthly'!$AA$4:$BJ$4, 0)</f>
        <v>0</v>
      </c>
      <c r="Q30" s="2"/>
      <c r="V30" s="133">
        <f>'I&amp;E Monthly'!V30</f>
        <v>0</v>
      </c>
      <c r="W30" s="114"/>
      <c r="X30" s="131"/>
      <c r="Y30" s="131"/>
      <c r="AA30" s="10" cm="1">
        <f t="array" ref="AA30">IF(OR(AA$4=0, $G30&lt;&gt; $G$7, $E30=0), 'I&amp;E Monthly'!AA30, CHOOSE(Timeline!AA$30,$J30,$K30,$L30 )*INDEX('I&amp;E Profiles'!AA$96:AA$180,$I30))</f>
        <v>0</v>
      </c>
      <c r="AB30" s="10" cm="1">
        <f t="array" ref="AB30">IF(OR(AB$4=0, $G30&lt;&gt; $G$7, $E30=0), 'I&amp;E Monthly'!AB30, CHOOSE(Timeline!AB$30,$J30,$K30,$L30 )*INDEX('I&amp;E Profiles'!AB$96:AB$180,$I30))</f>
        <v>0</v>
      </c>
      <c r="AC30" s="10" cm="1">
        <f t="array" ref="AC30">IF(OR(AC$4=0, $G30&lt;&gt; $G$7, $E30=0), 'I&amp;E Monthly'!AC30, CHOOSE(Timeline!AC$30,$J30,$K30,$L30 )*INDEX('I&amp;E Profiles'!AC$96:AC$180,$I30))</f>
        <v>0</v>
      </c>
      <c r="AD30" s="10" cm="1">
        <f t="array" ref="AD30">IF(OR(AD$4=0, $G30&lt;&gt; $G$7, $E30=0), 'I&amp;E Monthly'!AD30, CHOOSE(Timeline!AD$30,$J30,$K30,$L30 )*INDEX('I&amp;E Profiles'!AD$96:AD$180,$I30))</f>
        <v>0</v>
      </c>
      <c r="AE30" s="10" cm="1">
        <f t="array" ref="AE30">IF(OR(AE$4=0, $G30&lt;&gt; $G$7, $E30=0), 'I&amp;E Monthly'!AE30, CHOOSE(Timeline!AE$30,$J30,$K30,$L30 )*INDEX('I&amp;E Profiles'!AE$96:AE$180,$I30))</f>
        <v>0</v>
      </c>
      <c r="AF30" s="10" cm="1">
        <f t="array" ref="AF30">IF(OR(AF$4=0, $G30&lt;&gt; $G$7, $E30=0), 'I&amp;E Monthly'!AF30, CHOOSE(Timeline!AF$30,$J30,$K30,$L30 )*INDEX('I&amp;E Profiles'!AF$96:AF$180,$I30))</f>
        <v>0</v>
      </c>
      <c r="AG30" s="10" cm="1">
        <f t="array" ref="AG30">IF(OR(AG$4=0, $G30&lt;&gt; $G$7, $E30=0), 'I&amp;E Monthly'!AG30, CHOOSE(Timeline!AG$30,$J30,$K30,$L30 )*INDEX('I&amp;E Profiles'!AG$96:AG$180,$I30))</f>
        <v>0</v>
      </c>
      <c r="AH30" s="10" cm="1">
        <f t="array" ref="AH30">IF(OR(AH$4=0, $G30&lt;&gt; $G$7, $E30=0), 'I&amp;E Monthly'!AH30, CHOOSE(Timeline!AH$30,$J30,$K30,$L30 )*INDEX('I&amp;E Profiles'!AH$96:AH$180,$I30))</f>
        <v>0</v>
      </c>
      <c r="AI30" s="10" cm="1">
        <f t="array" ref="AI30">IF(OR(AI$4=0, $G30&lt;&gt; $G$7, $E30=0), 'I&amp;E Monthly'!AI30, CHOOSE(Timeline!AI$30,$J30,$K30,$L30 )*INDEX('I&amp;E Profiles'!AI$96:AI$180,$I30))</f>
        <v>0</v>
      </c>
      <c r="AJ30" s="10" cm="1">
        <f t="array" ref="AJ30">IF(OR(AJ$4=0, $G30&lt;&gt; $G$7, $E30=0), 'I&amp;E Monthly'!AJ30, CHOOSE(Timeline!AJ$30,$J30,$K30,$L30 )*INDEX('I&amp;E Profiles'!AJ$96:AJ$180,$I30))</f>
        <v>0</v>
      </c>
      <c r="AK30" s="10" cm="1">
        <f t="array" ref="AK30">IF(OR(AK$4=0, $G30&lt;&gt; $G$7, $E30=0), 'I&amp;E Monthly'!AK30, CHOOSE(Timeline!AK$30,$J30,$K30,$L30 )*INDEX('I&amp;E Profiles'!AK$96:AK$180,$I30))</f>
        <v>0</v>
      </c>
      <c r="AL30" s="10" cm="1">
        <f t="array" ref="AL30">IF(OR(AL$4=0, $G30&lt;&gt; $G$7, $E30=0), 'I&amp;E Monthly'!AL30, CHOOSE(Timeline!AL$30,$J30,$K30,$L30 )*INDEX('I&amp;E Profiles'!AL$96:AL$180,$I30))</f>
        <v>0</v>
      </c>
      <c r="AM30" s="10" cm="1">
        <f t="array" ref="AM30">IF(OR(AM$4=0, $G30&lt;&gt; $G$7, $E30=0), 'I&amp;E Monthly'!AM30, CHOOSE(Timeline!AM$30,$J30,$K30,$L30 )*INDEX('I&amp;E Profiles'!AM$96:AM$180,$I30))</f>
        <v>0</v>
      </c>
      <c r="AN30" s="10" cm="1">
        <f t="array" ref="AN30">IF(OR(AN$4=0, $G30&lt;&gt; $G$7, $E30=0), 'I&amp;E Monthly'!AN30, CHOOSE(Timeline!AN$30,$J30,$K30,$L30 )*INDEX('I&amp;E Profiles'!AN$96:AN$180,$I30))</f>
        <v>0</v>
      </c>
      <c r="AO30" s="10" cm="1">
        <f t="array" ref="AO30">IF(OR(AO$4=0, $G30&lt;&gt; $G$7, $E30=0), 'I&amp;E Monthly'!AO30, CHOOSE(Timeline!AO$30,$J30,$K30,$L30 )*INDEX('I&amp;E Profiles'!AO$96:AO$180,$I30))</f>
        <v>0</v>
      </c>
      <c r="AP30" s="10" cm="1">
        <f t="array" ref="AP30">IF(OR(AP$4=0, $G30&lt;&gt; $G$7, $E30=0), 'I&amp;E Monthly'!AP30, CHOOSE(Timeline!AP$30,$J30,$K30,$L30 )*INDEX('I&amp;E Profiles'!AP$96:AP$180,$I30))</f>
        <v>0</v>
      </c>
      <c r="AQ30" s="10" cm="1">
        <f t="array" ref="AQ30">IF(OR(AQ$4=0, $G30&lt;&gt; $G$7, $E30=0), 'I&amp;E Monthly'!AQ30, CHOOSE(Timeline!AQ$30,$J30,$K30,$L30 )*INDEX('I&amp;E Profiles'!AQ$96:AQ$180,$I30))</f>
        <v>0</v>
      </c>
      <c r="AR30" s="10" cm="1">
        <f t="array" ref="AR30">IF(OR(AR$4=0, $G30&lt;&gt; $G$7, $E30=0), 'I&amp;E Monthly'!AR30, CHOOSE(Timeline!AR$30,$J30,$K30,$L30 )*INDEX('I&amp;E Profiles'!AR$96:AR$180,$I30))</f>
        <v>0</v>
      </c>
      <c r="AS30" s="10" cm="1">
        <f t="array" ref="AS30">IF(OR(AS$4=0, $G30&lt;&gt; $G$7, $E30=0), 'I&amp;E Monthly'!AS30, CHOOSE(Timeline!AS$30,$J30,$K30,$L30 )*INDEX('I&amp;E Profiles'!AS$96:AS$180,$I30))</f>
        <v>0</v>
      </c>
      <c r="AT30" s="10" cm="1">
        <f t="array" ref="AT30">IF(OR(AT$4=0, $G30&lt;&gt; $G$7, $E30=0), 'I&amp;E Monthly'!AT30, CHOOSE(Timeline!AT$30,$J30,$K30,$L30 )*INDEX('I&amp;E Profiles'!AT$96:AT$180,$I30))</f>
        <v>0</v>
      </c>
      <c r="AU30" s="10" cm="1">
        <f t="array" ref="AU30">IF(OR(AU$4=0, $G30&lt;&gt; $G$7, $E30=0), 'I&amp;E Monthly'!AU30, CHOOSE(Timeline!AU$30,$J30,$K30,$L30 )*INDEX('I&amp;E Profiles'!AU$96:AU$180,$I30))</f>
        <v>0</v>
      </c>
      <c r="AV30" s="10" cm="1">
        <f t="array" ref="AV30">IF(OR(AV$4=0, $G30&lt;&gt; $G$7, $E30=0), 'I&amp;E Monthly'!AV30, CHOOSE(Timeline!AV$30,$J30,$K30,$L30 )*INDEX('I&amp;E Profiles'!AV$96:AV$180,$I30))</f>
        <v>0</v>
      </c>
      <c r="AW30" s="10" cm="1">
        <f t="array" ref="AW30">IF(OR(AW$4=0, $G30&lt;&gt; $G$7, $E30=0), 'I&amp;E Monthly'!AW30, CHOOSE(Timeline!AW$30,$J30,$K30,$L30 )*INDEX('I&amp;E Profiles'!AW$96:AW$180,$I30))</f>
        <v>0</v>
      </c>
      <c r="AX30" s="10" cm="1">
        <f t="array" ref="AX30">IF(OR(AX$4=0, $G30&lt;&gt; $G$7, $E30=0), 'I&amp;E Monthly'!AX30, CHOOSE(Timeline!AX$30,$J30,$K30,$L30 )*INDEX('I&amp;E Profiles'!AX$96:AX$180,$I30))</f>
        <v>0</v>
      </c>
      <c r="AY30" s="10" cm="1">
        <f t="array" ref="AY30">IF(OR(AY$4=0, $G30&lt;&gt; $G$7, $E30=0), 'I&amp;E Monthly'!AY30, CHOOSE(Timeline!AY$30,$J30,$K30,$L30 )*INDEX('I&amp;E Profiles'!AY$96:AY$180,$I30))</f>
        <v>0</v>
      </c>
      <c r="AZ30" s="10" cm="1">
        <f t="array" ref="AZ30">IF(OR(AZ$4=0, $G30&lt;&gt; $G$7, $E30=0), 'I&amp;E Monthly'!AZ30, CHOOSE(Timeline!AZ$30,$J30,$K30,$L30 )*INDEX('I&amp;E Profiles'!AZ$96:AZ$180,$I30))</f>
        <v>0</v>
      </c>
      <c r="BA30" s="10" cm="1">
        <f t="array" ref="BA30">IF(OR(BA$4=0, $G30&lt;&gt; $G$7, $E30=0), 'I&amp;E Monthly'!BA30, CHOOSE(Timeline!BA$30,$J30,$K30,$L30 )*INDEX('I&amp;E Profiles'!BA$96:BA$180,$I30))</f>
        <v>0</v>
      </c>
      <c r="BB30" s="10" cm="1">
        <f t="array" ref="BB30">IF(OR(BB$4=0, $G30&lt;&gt; $G$7, $E30=0), 'I&amp;E Monthly'!BB30, CHOOSE(Timeline!BB$30,$J30,$K30,$L30 )*INDEX('I&amp;E Profiles'!BB$96:BB$180,$I30))</f>
        <v>0</v>
      </c>
      <c r="BC30" s="10" cm="1">
        <f t="array" ref="BC30">IF(OR(BC$4=0, $G30&lt;&gt; $G$7, $E30=0), 'I&amp;E Monthly'!BC30, CHOOSE(Timeline!BC$30,$J30,$K30,$L30 )*INDEX('I&amp;E Profiles'!BC$96:BC$180,$I30))</f>
        <v>0</v>
      </c>
      <c r="BD30" s="10" cm="1">
        <f t="array" ref="BD30">IF(OR(BD$4=0, $G30&lt;&gt; $G$7, $E30=0), 'I&amp;E Monthly'!BD30, CHOOSE(Timeline!BD$30,$J30,$K30,$L30 )*INDEX('I&amp;E Profiles'!BD$96:BD$180,$I30))</f>
        <v>0</v>
      </c>
      <c r="BE30" s="10" cm="1">
        <f t="array" ref="BE30">IF(OR(BE$4=0, $G30&lt;&gt; $G$7, $E30=0), 'I&amp;E Monthly'!BE30, CHOOSE(Timeline!BE$30,$J30,$K30,$L30 )*INDEX('I&amp;E Profiles'!BE$96:BE$180,$I30))</f>
        <v>0</v>
      </c>
      <c r="BF30" s="10" cm="1">
        <f t="array" ref="BF30">IF(OR(BF$4=0, $G30&lt;&gt; $G$7, $E30=0), 'I&amp;E Monthly'!BF30, CHOOSE(Timeline!BF$30,$J30,$K30,$L30 )*INDEX('I&amp;E Profiles'!BF$96:BF$180,$I30))</f>
        <v>0</v>
      </c>
      <c r="BG30" s="10" cm="1">
        <f t="array" ref="BG30">IF(OR(BG$4=0, $G30&lt;&gt; $G$7, $E30=0), 'I&amp;E Monthly'!BG30, CHOOSE(Timeline!BG$30,$J30,$K30,$L30 )*INDEX('I&amp;E Profiles'!BG$96:BG$180,$I30))</f>
        <v>0</v>
      </c>
      <c r="BH30" s="10" cm="1">
        <f t="array" ref="BH30">IF(OR(BH$4=0, $G30&lt;&gt; $G$7, $E30=0), 'I&amp;E Monthly'!BH30, CHOOSE(Timeline!BH$30,$J30,$K30,$L30 )*INDEX('I&amp;E Profiles'!BH$96:BH$180,$I30))</f>
        <v>0</v>
      </c>
      <c r="BI30" s="10" cm="1">
        <f t="array" ref="BI30">IF(OR(BI$4=0, $G30&lt;&gt; $G$7, $E30=0), 'I&amp;E Monthly'!BI30, CHOOSE(Timeline!BI$30,$J30,$K30,$L30 )*INDEX('I&amp;E Profiles'!BI$96:BI$180,$I30))</f>
        <v>0</v>
      </c>
      <c r="BJ30" s="10" cm="1">
        <f t="array" ref="BJ30">IF(OR(BJ$4=0, $G30&lt;&gt; $G$7, $E30=0), 'I&amp;E Monthly'!BJ30, CHOOSE(Timeline!BJ$30,$J30,$K30,$L30 )*INDEX('I&amp;E Profiles'!BJ$96:BJ$180,$I30))</f>
        <v>0</v>
      </c>
      <c r="BX30" s="12">
        <f>V30</f>
        <v>0</v>
      </c>
      <c r="BY30" s="10">
        <f>SUMIFS($AA30:$BJ30, $AA$3:$BJ$3,BY$3)</f>
        <v>0</v>
      </c>
      <c r="BZ30" s="10">
        <f>SUMIFS($AA30:$BJ30, $AA$3:$BJ$3,BZ$3)</f>
        <v>0</v>
      </c>
      <c r="CA30" s="10">
        <f>SUMIFS($AA30:$BJ30, $AA$3:$BJ$3,CA$3)</f>
        <v>0</v>
      </c>
      <c r="CB30" s="12">
        <f>'I&amp;E Monthly'!CB30</f>
        <v>0</v>
      </c>
      <c r="CC30" s="12">
        <f>'I&amp;E Monthly'!CC30</f>
        <v>0</v>
      </c>
      <c r="CD30" s="12">
        <f>'I&amp;E Monthly'!CD30</f>
        <v>0</v>
      </c>
      <c r="CE30" s="12">
        <f>'I&amp;E Monthly'!CE30</f>
        <v>0</v>
      </c>
      <c r="CF30" s="12">
        <f>'I&amp;E Monthly'!CF30</f>
        <v>0</v>
      </c>
      <c r="CG30" s="12">
        <f>'I&amp;E Monthly'!CG30</f>
        <v>0</v>
      </c>
      <c r="CH30" s="12">
        <f>'I&amp;E Monthly'!CH30</f>
        <v>0</v>
      </c>
      <c r="CI30" s="12">
        <f>'I&amp;E Monthly'!CI30</f>
        <v>0</v>
      </c>
      <c r="CK30" s="11"/>
      <c r="CL30" s="221">
        <f ca="1">IF(MIN($V30:$CI30)&lt;0, 1, 0)*$I$7</f>
        <v>0</v>
      </c>
      <c r="CM30" s="11"/>
      <c r="CN30" s="7">
        <f>IF(AND($G30=$G$7,$E30=""), 1, 0)</f>
        <v>0</v>
      </c>
      <c r="CO30" s="7" cm="1">
        <f t="array" ref="CO30">SUMPRODUCT(--NOT(ISNUMBER(W30:Y30)),--NOT(ISBLANK(W30:Y30)))</f>
        <v>0</v>
      </c>
      <c r="CP30" s="7" cm="1">
        <f t="array" ref="CP30">IF(E30="",0, IF(IFERROR(INDEX('I&amp;E Profiles'!$D$96:$D$180, $I30), "N/A")="N/A", 1, 0))</f>
        <v>0</v>
      </c>
      <c r="CQ30" s="7">
        <f>IF(SUM($CV30:$CX30)=0, 0, 1)</f>
        <v>0</v>
      </c>
      <c r="CR30" s="7">
        <f>IF(DC30=0,0,1)</f>
        <v>0</v>
      </c>
      <c r="CS30" s="7">
        <f>IF(SUM($CY30:$DA30)=0, 0, 1)</f>
        <v>0</v>
      </c>
      <c r="CT30" s="7">
        <f>IF(DB30=0, 0, 1)</f>
        <v>0</v>
      </c>
      <c r="CU30" s="11"/>
      <c r="CV30" s="215">
        <f t="shared" si="23"/>
        <v>0</v>
      </c>
      <c r="CW30" s="215">
        <f t="shared" si="23"/>
        <v>0</v>
      </c>
      <c r="CX30" s="215">
        <f t="shared" si="23"/>
        <v>0</v>
      </c>
      <c r="CY30" s="215">
        <f>ROUND($BY30-SUMIFS($AA30:$BJ30, $AA$3:$BJ$3, $BY$3), rounding)</f>
        <v>0</v>
      </c>
      <c r="CZ30" s="215">
        <f>ROUND($BZ30-SUMIFS($AA30:$BJ30, $AA$3:$BJ$3, $BZ$3), rounding)</f>
        <v>0</v>
      </c>
      <c r="DA30" s="215">
        <f>ROUND($CA30-SUMIFS($AA30:$BJ30, $AA$3:$BJ$3, $CA$3), rounding)</f>
        <v>0</v>
      </c>
      <c r="DB30" s="215">
        <f>ROUND($V30-$BX30, rounding)</f>
        <v>0</v>
      </c>
      <c r="DC30" s="508">
        <f>SUM(DE30:DP30)</f>
        <v>0</v>
      </c>
      <c r="DE30" s="7">
        <f t="shared" ref="DE30:DP30" si="26">IF(BX30&gt;BX29, 1, 0)</f>
        <v>0</v>
      </c>
      <c r="DF30" s="7">
        <f t="shared" si="26"/>
        <v>0</v>
      </c>
      <c r="DG30" s="7">
        <f t="shared" si="26"/>
        <v>0</v>
      </c>
      <c r="DH30" s="7">
        <f t="shared" si="26"/>
        <v>0</v>
      </c>
      <c r="DI30" s="7">
        <f t="shared" si="26"/>
        <v>0</v>
      </c>
      <c r="DJ30" s="7">
        <f t="shared" si="26"/>
        <v>0</v>
      </c>
      <c r="DK30" s="7">
        <f t="shared" si="26"/>
        <v>0</v>
      </c>
      <c r="DL30" s="7">
        <f t="shared" si="26"/>
        <v>0</v>
      </c>
      <c r="DM30" s="7">
        <f t="shared" si="26"/>
        <v>0</v>
      </c>
      <c r="DN30" s="7">
        <f t="shared" si="26"/>
        <v>0</v>
      </c>
      <c r="DO30" s="7">
        <f t="shared" si="26"/>
        <v>0</v>
      </c>
      <c r="DP30" s="7">
        <f t="shared" si="26"/>
        <v>0</v>
      </c>
      <c r="FN30" s="10" t="str">
        <f t="shared" si="1"/>
        <v>Of which: subcontracted out Apprenticeship income</v>
      </c>
    </row>
    <row r="31" spans="1:170" ht="6.75" customHeight="1" x14ac:dyDescent="0.35">
      <c r="C31" s="213"/>
      <c r="D31" s="57"/>
      <c r="Q31" s="2"/>
      <c r="BY31" s="6"/>
      <c r="CK31" s="35"/>
      <c r="CM31" s="35"/>
      <c r="CU31" s="35"/>
      <c r="CV31" s="215"/>
      <c r="CW31" s="215"/>
      <c r="CX31" s="215"/>
      <c r="CY31" s="215"/>
      <c r="FN31" s="10" t="str">
        <f t="shared" si="1"/>
        <v/>
      </c>
    </row>
    <row r="32" spans="1:170" x14ac:dyDescent="0.35">
      <c r="B32" s="5"/>
      <c r="C32" s="213"/>
      <c r="D32" s="61" t="s">
        <v>335</v>
      </c>
      <c r="E32" s="5"/>
      <c r="Q32" s="2"/>
      <c r="CK32" s="11"/>
      <c r="CM32" s="11"/>
      <c r="CU32" s="11"/>
      <c r="CV32" s="215"/>
      <c r="CW32" s="215"/>
      <c r="CX32" s="215"/>
      <c r="CY32" s="215"/>
      <c r="FN32" s="10" t="str">
        <f t="shared" si="1"/>
        <v/>
      </c>
    </row>
    <row r="33" spans="1:170" x14ac:dyDescent="0.35">
      <c r="A33" s="220" cm="1">
        <f t="array" aca="1" ref="A33" ca="1">HYPERLINK(CONCATENATE("#",CELL("address",IF(MAX($CM33:$CU33)=0,A33,INDEX($CM33:$CU33,MATCH(1,$CM33:$CU33,0))))),MAX($CM33:$CU33))</f>
        <v>0</v>
      </c>
      <c r="B33" s="85" t="s">
        <v>122</v>
      </c>
      <c r="C33" s="213" t="s">
        <v>493</v>
      </c>
      <c r="D33" s="57" t="s">
        <v>336</v>
      </c>
      <c r="E33" s="114"/>
      <c r="F33" s="79" t="str" cm="1">
        <f t="array" aca="1" ref="F33" ca="1">IF(E33="", "", HYPERLINK(CONCATENATE("#",CELL("address",INDEX('I&amp;E Profiles'!$D$9:$D$93,'I&amp;E Annual'!I33))),E33))</f>
        <v/>
      </c>
      <c r="G33" s="114"/>
      <c r="H33" t="s">
        <v>317</v>
      </c>
      <c r="I33" s="132" t="str">
        <f>IF(E33="", "", MATCH(E33, 'I&amp;E Profiles'!$D$96:$D$180,0))</f>
        <v/>
      </c>
      <c r="J33" s="133">
        <f>IF($G33=$G$7, W33,'I&amp;E Monthly'!W33)-SUMIFS('I&amp;E Monthly'!$AA33:$BJ33, 'I&amp;E Monthly'!$AA$3:$BJ$3, 'I&amp;E Annual'!W$3, 'I&amp;E Monthly'!$AA$4:$BJ$4, 0)</f>
        <v>0</v>
      </c>
      <c r="K33" s="133">
        <f>IF($G33=$G$7, X33,'I&amp;E Monthly'!X33)-SUMIFS('I&amp;E Monthly'!$AA33:$BJ33, 'I&amp;E Monthly'!$AA$3:$BJ$3, 'I&amp;E Annual'!X$3, 'I&amp;E Monthly'!$AA$4:$BJ$4, 0)</f>
        <v>0</v>
      </c>
      <c r="L33" s="133">
        <f>IF($G33=$G$7, Y33,'I&amp;E Monthly'!Y33)-SUMIFS('I&amp;E Monthly'!$AA33:$BJ33, 'I&amp;E Monthly'!$AA$3:$BJ$3, 'I&amp;E Annual'!Y$3, 'I&amp;E Monthly'!$AA$4:$BJ$4, 0)</f>
        <v>0</v>
      </c>
      <c r="Q33" s="2"/>
      <c r="V33" s="133">
        <f>'I&amp;E Monthly'!V33</f>
        <v>0</v>
      </c>
      <c r="W33" s="114"/>
      <c r="X33" s="131"/>
      <c r="Y33" s="131"/>
      <c r="AA33" s="10" cm="1">
        <f t="array" ref="AA33">IF(OR(AA$4=0, $G33&lt;&gt; $G$7, $E33=0), 'I&amp;E Monthly'!AA33, CHOOSE(Timeline!AA$30,$J33,$K33,$L33 )*INDEX('I&amp;E Profiles'!AA$96:AA$180,$I33))</f>
        <v>0</v>
      </c>
      <c r="AB33" s="10" cm="1">
        <f t="array" ref="AB33">IF(OR(AB$4=0, $G33&lt;&gt; $G$7, $E33=0), 'I&amp;E Monthly'!AB33, CHOOSE(Timeline!AB$30,$J33,$K33,$L33 )*INDEX('I&amp;E Profiles'!AB$96:AB$180,$I33))</f>
        <v>0</v>
      </c>
      <c r="AC33" s="10" cm="1">
        <f t="array" ref="AC33">IF(OR(AC$4=0, $G33&lt;&gt; $G$7, $E33=0), 'I&amp;E Monthly'!AC33, CHOOSE(Timeline!AC$30,$J33,$K33,$L33 )*INDEX('I&amp;E Profiles'!AC$96:AC$180,$I33))</f>
        <v>0</v>
      </c>
      <c r="AD33" s="10" cm="1">
        <f t="array" ref="AD33">IF(OR(AD$4=0, $G33&lt;&gt; $G$7, $E33=0), 'I&amp;E Monthly'!AD33, CHOOSE(Timeline!AD$30,$J33,$K33,$L33 )*INDEX('I&amp;E Profiles'!AD$96:AD$180,$I33))</f>
        <v>0</v>
      </c>
      <c r="AE33" s="10" cm="1">
        <f t="array" ref="AE33">IF(OR(AE$4=0, $G33&lt;&gt; $G$7, $E33=0), 'I&amp;E Monthly'!AE33, CHOOSE(Timeline!AE$30,$J33,$K33,$L33 )*INDEX('I&amp;E Profiles'!AE$96:AE$180,$I33))</f>
        <v>0</v>
      </c>
      <c r="AF33" s="10" cm="1">
        <f t="array" ref="AF33">IF(OR(AF$4=0, $G33&lt;&gt; $G$7, $E33=0), 'I&amp;E Monthly'!AF33, CHOOSE(Timeline!AF$30,$J33,$K33,$L33 )*INDEX('I&amp;E Profiles'!AF$96:AF$180,$I33))</f>
        <v>0</v>
      </c>
      <c r="AG33" s="10" cm="1">
        <f t="array" ref="AG33">IF(OR(AG$4=0, $G33&lt;&gt; $G$7, $E33=0), 'I&amp;E Monthly'!AG33, CHOOSE(Timeline!AG$30,$J33,$K33,$L33 )*INDEX('I&amp;E Profiles'!AG$96:AG$180,$I33))</f>
        <v>0</v>
      </c>
      <c r="AH33" s="10" cm="1">
        <f t="array" ref="AH33">IF(OR(AH$4=0, $G33&lt;&gt; $G$7, $E33=0), 'I&amp;E Monthly'!AH33, CHOOSE(Timeline!AH$30,$J33,$K33,$L33 )*INDEX('I&amp;E Profiles'!AH$96:AH$180,$I33))</f>
        <v>0</v>
      </c>
      <c r="AI33" s="10" cm="1">
        <f t="array" ref="AI33">IF(OR(AI$4=0, $G33&lt;&gt; $G$7, $E33=0), 'I&amp;E Monthly'!AI33, CHOOSE(Timeline!AI$30,$J33,$K33,$L33 )*INDEX('I&amp;E Profiles'!AI$96:AI$180,$I33))</f>
        <v>0</v>
      </c>
      <c r="AJ33" s="10" cm="1">
        <f t="array" ref="AJ33">IF(OR(AJ$4=0, $G33&lt;&gt; $G$7, $E33=0), 'I&amp;E Monthly'!AJ33, CHOOSE(Timeline!AJ$30,$J33,$K33,$L33 )*INDEX('I&amp;E Profiles'!AJ$96:AJ$180,$I33))</f>
        <v>0</v>
      </c>
      <c r="AK33" s="10" cm="1">
        <f t="array" ref="AK33">IF(OR(AK$4=0, $G33&lt;&gt; $G$7, $E33=0), 'I&amp;E Monthly'!AK33, CHOOSE(Timeline!AK$30,$J33,$K33,$L33 )*INDEX('I&amp;E Profiles'!AK$96:AK$180,$I33))</f>
        <v>0</v>
      </c>
      <c r="AL33" s="10" cm="1">
        <f t="array" ref="AL33">IF(OR(AL$4=0, $G33&lt;&gt; $G$7, $E33=0), 'I&amp;E Monthly'!AL33, CHOOSE(Timeline!AL$30,$J33,$K33,$L33 )*INDEX('I&amp;E Profiles'!AL$96:AL$180,$I33))</f>
        <v>0</v>
      </c>
      <c r="AM33" s="10" cm="1">
        <f t="array" ref="AM33">IF(OR(AM$4=0, $G33&lt;&gt; $G$7, $E33=0), 'I&amp;E Monthly'!AM33, CHOOSE(Timeline!AM$30,$J33,$K33,$L33 )*INDEX('I&amp;E Profiles'!AM$96:AM$180,$I33))</f>
        <v>0</v>
      </c>
      <c r="AN33" s="10" cm="1">
        <f t="array" ref="AN33">IF(OR(AN$4=0, $G33&lt;&gt; $G$7, $E33=0), 'I&amp;E Monthly'!AN33, CHOOSE(Timeline!AN$30,$J33,$K33,$L33 )*INDEX('I&amp;E Profiles'!AN$96:AN$180,$I33))</f>
        <v>0</v>
      </c>
      <c r="AO33" s="10" cm="1">
        <f t="array" ref="AO33">IF(OR(AO$4=0, $G33&lt;&gt; $G$7, $E33=0), 'I&amp;E Monthly'!AO33, CHOOSE(Timeline!AO$30,$J33,$K33,$L33 )*INDEX('I&amp;E Profiles'!AO$96:AO$180,$I33))</f>
        <v>0</v>
      </c>
      <c r="AP33" s="10" cm="1">
        <f t="array" ref="AP33">IF(OR(AP$4=0, $G33&lt;&gt; $G$7, $E33=0), 'I&amp;E Monthly'!AP33, CHOOSE(Timeline!AP$30,$J33,$K33,$L33 )*INDEX('I&amp;E Profiles'!AP$96:AP$180,$I33))</f>
        <v>0</v>
      </c>
      <c r="AQ33" s="10" cm="1">
        <f t="array" ref="AQ33">IF(OR(AQ$4=0, $G33&lt;&gt; $G$7, $E33=0), 'I&amp;E Monthly'!AQ33, CHOOSE(Timeline!AQ$30,$J33,$K33,$L33 )*INDEX('I&amp;E Profiles'!AQ$96:AQ$180,$I33))</f>
        <v>0</v>
      </c>
      <c r="AR33" s="10" cm="1">
        <f t="array" ref="AR33">IF(OR(AR$4=0, $G33&lt;&gt; $G$7, $E33=0), 'I&amp;E Monthly'!AR33, CHOOSE(Timeline!AR$30,$J33,$K33,$L33 )*INDEX('I&amp;E Profiles'!AR$96:AR$180,$I33))</f>
        <v>0</v>
      </c>
      <c r="AS33" s="10" cm="1">
        <f t="array" ref="AS33">IF(OR(AS$4=0, $G33&lt;&gt; $G$7, $E33=0), 'I&amp;E Monthly'!AS33, CHOOSE(Timeline!AS$30,$J33,$K33,$L33 )*INDEX('I&amp;E Profiles'!AS$96:AS$180,$I33))</f>
        <v>0</v>
      </c>
      <c r="AT33" s="10" cm="1">
        <f t="array" ref="AT33">IF(OR(AT$4=0, $G33&lt;&gt; $G$7, $E33=0), 'I&amp;E Monthly'!AT33, CHOOSE(Timeline!AT$30,$J33,$K33,$L33 )*INDEX('I&amp;E Profiles'!AT$96:AT$180,$I33))</f>
        <v>0</v>
      </c>
      <c r="AU33" s="10" cm="1">
        <f t="array" ref="AU33">IF(OR(AU$4=0, $G33&lt;&gt; $G$7, $E33=0), 'I&amp;E Monthly'!AU33, CHOOSE(Timeline!AU$30,$J33,$K33,$L33 )*INDEX('I&amp;E Profiles'!AU$96:AU$180,$I33))</f>
        <v>0</v>
      </c>
      <c r="AV33" s="10" cm="1">
        <f t="array" ref="AV33">IF(OR(AV$4=0, $G33&lt;&gt; $G$7, $E33=0), 'I&amp;E Monthly'!AV33, CHOOSE(Timeline!AV$30,$J33,$K33,$L33 )*INDEX('I&amp;E Profiles'!AV$96:AV$180,$I33))</f>
        <v>0</v>
      </c>
      <c r="AW33" s="10" cm="1">
        <f t="array" ref="AW33">IF(OR(AW$4=0, $G33&lt;&gt; $G$7, $E33=0), 'I&amp;E Monthly'!AW33, CHOOSE(Timeline!AW$30,$J33,$K33,$L33 )*INDEX('I&amp;E Profiles'!AW$96:AW$180,$I33))</f>
        <v>0</v>
      </c>
      <c r="AX33" s="10" cm="1">
        <f t="array" ref="AX33">IF(OR(AX$4=0, $G33&lt;&gt; $G$7, $E33=0), 'I&amp;E Monthly'!AX33, CHOOSE(Timeline!AX$30,$J33,$K33,$L33 )*INDEX('I&amp;E Profiles'!AX$96:AX$180,$I33))</f>
        <v>0</v>
      </c>
      <c r="AY33" s="10" cm="1">
        <f t="array" ref="AY33">IF(OR(AY$4=0, $G33&lt;&gt; $G$7, $E33=0), 'I&amp;E Monthly'!AY33, CHOOSE(Timeline!AY$30,$J33,$K33,$L33 )*INDEX('I&amp;E Profiles'!AY$96:AY$180,$I33))</f>
        <v>0</v>
      </c>
      <c r="AZ33" s="10" cm="1">
        <f t="array" ref="AZ33">IF(OR(AZ$4=0, $G33&lt;&gt; $G$7, $E33=0), 'I&amp;E Monthly'!AZ33, CHOOSE(Timeline!AZ$30,$J33,$K33,$L33 )*INDEX('I&amp;E Profiles'!AZ$96:AZ$180,$I33))</f>
        <v>0</v>
      </c>
      <c r="BA33" s="10" cm="1">
        <f t="array" ref="BA33">IF(OR(BA$4=0, $G33&lt;&gt; $G$7, $E33=0), 'I&amp;E Monthly'!BA33, CHOOSE(Timeline!BA$30,$J33,$K33,$L33 )*INDEX('I&amp;E Profiles'!BA$96:BA$180,$I33))</f>
        <v>0</v>
      </c>
      <c r="BB33" s="10" cm="1">
        <f t="array" ref="BB33">IF(OR(BB$4=0, $G33&lt;&gt; $G$7, $E33=0), 'I&amp;E Monthly'!BB33, CHOOSE(Timeline!BB$30,$J33,$K33,$L33 )*INDEX('I&amp;E Profiles'!BB$96:BB$180,$I33))</f>
        <v>0</v>
      </c>
      <c r="BC33" s="10" cm="1">
        <f t="array" ref="BC33">IF(OR(BC$4=0, $G33&lt;&gt; $G$7, $E33=0), 'I&amp;E Monthly'!BC33, CHOOSE(Timeline!BC$30,$J33,$K33,$L33 )*INDEX('I&amp;E Profiles'!BC$96:BC$180,$I33))</f>
        <v>0</v>
      </c>
      <c r="BD33" s="10" cm="1">
        <f t="array" ref="BD33">IF(OR(BD$4=0, $G33&lt;&gt; $G$7, $E33=0), 'I&amp;E Monthly'!BD33, CHOOSE(Timeline!BD$30,$J33,$K33,$L33 )*INDEX('I&amp;E Profiles'!BD$96:BD$180,$I33))</f>
        <v>0</v>
      </c>
      <c r="BE33" s="10" cm="1">
        <f t="array" ref="BE33">IF(OR(BE$4=0, $G33&lt;&gt; $G$7, $E33=0), 'I&amp;E Monthly'!BE33, CHOOSE(Timeline!BE$30,$J33,$K33,$L33 )*INDEX('I&amp;E Profiles'!BE$96:BE$180,$I33))</f>
        <v>0</v>
      </c>
      <c r="BF33" s="10" cm="1">
        <f t="array" ref="BF33">IF(OR(BF$4=0, $G33&lt;&gt; $G$7, $E33=0), 'I&amp;E Monthly'!BF33, CHOOSE(Timeline!BF$30,$J33,$K33,$L33 )*INDEX('I&amp;E Profiles'!BF$96:BF$180,$I33))</f>
        <v>0</v>
      </c>
      <c r="BG33" s="10" cm="1">
        <f t="array" ref="BG33">IF(OR(BG$4=0, $G33&lt;&gt; $G$7, $E33=0), 'I&amp;E Monthly'!BG33, CHOOSE(Timeline!BG$30,$J33,$K33,$L33 )*INDEX('I&amp;E Profiles'!BG$96:BG$180,$I33))</f>
        <v>0</v>
      </c>
      <c r="BH33" s="10" cm="1">
        <f t="array" ref="BH33">IF(OR(BH$4=0, $G33&lt;&gt; $G$7, $E33=0), 'I&amp;E Monthly'!BH33, CHOOSE(Timeline!BH$30,$J33,$K33,$L33 )*INDEX('I&amp;E Profiles'!BH$96:BH$180,$I33))</f>
        <v>0</v>
      </c>
      <c r="BI33" s="10" cm="1">
        <f t="array" ref="BI33">IF(OR(BI$4=0, $G33&lt;&gt; $G$7, $E33=0), 'I&amp;E Monthly'!BI33, CHOOSE(Timeline!BI$30,$J33,$K33,$L33 )*INDEX('I&amp;E Profiles'!BI$96:BI$180,$I33))</f>
        <v>0</v>
      </c>
      <c r="BJ33" s="10" cm="1">
        <f t="array" ref="BJ33">IF(OR(BJ$4=0, $G33&lt;&gt; $G$7, $E33=0), 'I&amp;E Monthly'!BJ33, CHOOSE(Timeline!BJ$30,$J33,$K33,$L33 )*INDEX('I&amp;E Profiles'!BJ$96:BJ$180,$I33))</f>
        <v>0</v>
      </c>
      <c r="BX33" s="12">
        <f>V33</f>
        <v>0</v>
      </c>
      <c r="BY33" s="10">
        <f t="shared" ref="BY33:CA37" si="27">SUMIFS($AA33:$BJ33, $AA$3:$BJ$3,BY$3)</f>
        <v>0</v>
      </c>
      <c r="BZ33" s="10">
        <f t="shared" si="27"/>
        <v>0</v>
      </c>
      <c r="CA33" s="10">
        <f t="shared" si="27"/>
        <v>0</v>
      </c>
      <c r="CB33" s="12">
        <f>'I&amp;E Monthly'!CB33</f>
        <v>0</v>
      </c>
      <c r="CC33" s="12">
        <f>'I&amp;E Monthly'!CC33</f>
        <v>0</v>
      </c>
      <c r="CD33" s="12">
        <f>'I&amp;E Monthly'!CD33</f>
        <v>0</v>
      </c>
      <c r="CE33" s="12">
        <f>'I&amp;E Monthly'!CE33</f>
        <v>0</v>
      </c>
      <c r="CF33" s="12">
        <f>'I&amp;E Monthly'!CF33</f>
        <v>0</v>
      </c>
      <c r="CG33" s="12">
        <f>'I&amp;E Monthly'!CG33</f>
        <v>0</v>
      </c>
      <c r="CH33" s="12">
        <f>'I&amp;E Monthly'!CH33</f>
        <v>0</v>
      </c>
      <c r="CI33" s="12">
        <f>'I&amp;E Monthly'!CI33</f>
        <v>0</v>
      </c>
      <c r="CK33" s="11"/>
      <c r="CL33" s="221">
        <f t="shared" ref="CL33:CL39" ca="1" si="28">IF(MIN($V33:$CI33)&lt;0, 1, 0)*$I$7</f>
        <v>0</v>
      </c>
      <c r="CM33" s="11"/>
      <c r="CN33" s="7">
        <f>IF(AND($G33=$G$7,$E33=""), 1, 0)</f>
        <v>0</v>
      </c>
      <c r="CO33" s="7" cm="1">
        <f t="array" ref="CO33">SUMPRODUCT(--NOT(ISNUMBER(W33:Y33)),--NOT(ISBLANK(W33:Y33)))</f>
        <v>0</v>
      </c>
      <c r="CP33" s="7" cm="1">
        <f t="array" ref="CP33">IF(E33="",0, IF(IFERROR(INDEX('I&amp;E Profiles'!$D$96:$D$180, $I33), "N/A")="N/A", 1, 0))</f>
        <v>0</v>
      </c>
      <c r="CQ33" s="7">
        <f t="shared" ref="CQ33:CQ39" si="29">IF(SUM($CV33:$CX33)=0, 0, 1)</f>
        <v>0</v>
      </c>
      <c r="CS33" s="7">
        <f t="shared" ref="CS33:CS39" si="30">IF(SUM($CY33:$DA33)=0, 0, 1)</f>
        <v>0</v>
      </c>
      <c r="CT33" s="7">
        <f t="shared" ref="CT33:CT39" si="31">IF(DB33=0, 0, 1)</f>
        <v>0</v>
      </c>
      <c r="CU33" s="11"/>
      <c r="CV33" s="215">
        <f t="shared" ref="CV33:CX39" si="32">IF($G33=$G$7, ROUND(W33-SUMIFS($AA33:$BJ33, $AA$3:$BJ$3, W$3), rounding), 0)</f>
        <v>0</v>
      </c>
      <c r="CW33" s="215">
        <f t="shared" si="32"/>
        <v>0</v>
      </c>
      <c r="CX33" s="215">
        <f t="shared" si="32"/>
        <v>0</v>
      </c>
      <c r="CY33" s="215">
        <f t="shared" ref="CY33:CY39" si="33">ROUND($BY33-SUMIFS($AA33:$BJ33, $AA$3:$BJ$3, $BY$3), rounding)</f>
        <v>0</v>
      </c>
      <c r="CZ33" s="215">
        <f t="shared" ref="CZ33:CZ39" si="34">ROUND($BZ33-SUMIFS($AA33:$BJ33, $AA$3:$BJ$3, $BZ$3), rounding)</f>
        <v>0</v>
      </c>
      <c r="DA33" s="215">
        <f t="shared" ref="DA33:DA39" si="35">ROUND($CA33-SUMIFS($AA33:$BJ33, $AA$3:$BJ$3, $CA$3), rounding)</f>
        <v>0</v>
      </c>
      <c r="DB33" s="215">
        <f t="shared" ref="DB33:DB39" si="36">ROUND($V33-$BX33, rounding)</f>
        <v>0</v>
      </c>
      <c r="FN33" s="10" t="str">
        <f t="shared" si="1"/>
        <v>Adult Skills Fund Grant</v>
      </c>
    </row>
    <row r="34" spans="1:170" x14ac:dyDescent="0.35">
      <c r="A34" s="220" cm="1">
        <f t="array" aca="1" ref="A34" ca="1">HYPERLINK(CONCATENATE("#",CELL("address",IF(MAX($CM34:$CU34)=0,A34,INDEX($CM34:$CU34,MATCH(1,$CM34:$CU34,0))))),MAX($CM34:$CU34))</f>
        <v>0</v>
      </c>
      <c r="B34" s="85" t="s">
        <v>122</v>
      </c>
      <c r="C34" s="213" t="s">
        <v>494</v>
      </c>
      <c r="D34" s="57" t="s">
        <v>337</v>
      </c>
      <c r="E34" s="114"/>
      <c r="F34" s="79" t="str" cm="1">
        <f t="array" aca="1" ref="F34" ca="1">IF(E34="", "", HYPERLINK(CONCATENATE("#",CELL("address",INDEX('I&amp;E Profiles'!$D$9:$D$93,'I&amp;E Annual'!I34))),E34))</f>
        <v/>
      </c>
      <c r="G34" s="114"/>
      <c r="H34" t="s">
        <v>317</v>
      </c>
      <c r="I34" s="132" t="str">
        <f>IF(E34="", "", MATCH(E34, 'I&amp;E Profiles'!$D$96:$D$180,0))</f>
        <v/>
      </c>
      <c r="J34" s="133">
        <f>IF($G34=$G$7, W34,'I&amp;E Monthly'!W34)-SUMIFS('I&amp;E Monthly'!$AA34:$BJ34, 'I&amp;E Monthly'!$AA$3:$BJ$3, 'I&amp;E Annual'!W$3, 'I&amp;E Monthly'!$AA$4:$BJ$4, 0)</f>
        <v>0</v>
      </c>
      <c r="K34" s="133">
        <f>IF($G34=$G$7, X34,'I&amp;E Monthly'!X34)-SUMIFS('I&amp;E Monthly'!$AA34:$BJ34, 'I&amp;E Monthly'!$AA$3:$BJ$3, 'I&amp;E Annual'!X$3, 'I&amp;E Monthly'!$AA$4:$BJ$4, 0)</f>
        <v>0</v>
      </c>
      <c r="L34" s="133">
        <f>IF($G34=$G$7, Y34,'I&amp;E Monthly'!Y34)-SUMIFS('I&amp;E Monthly'!$AA34:$BJ34, 'I&amp;E Monthly'!$AA$3:$BJ$3, 'I&amp;E Annual'!Y$3, 'I&amp;E Monthly'!$AA$4:$BJ$4, 0)</f>
        <v>0</v>
      </c>
      <c r="Q34" s="2"/>
      <c r="V34" s="133">
        <f>'I&amp;E Monthly'!V34</f>
        <v>0</v>
      </c>
      <c r="W34" s="114"/>
      <c r="X34" s="131"/>
      <c r="Y34" s="131"/>
      <c r="AA34" s="10" cm="1">
        <f t="array" ref="AA34">IF(OR(AA$4=0, $G34&lt;&gt; $G$7, $E34=0), 'I&amp;E Monthly'!AA34, CHOOSE(Timeline!AA$30,$J34,$K34,$L34 )*INDEX('I&amp;E Profiles'!AA$96:AA$180,$I34))</f>
        <v>0</v>
      </c>
      <c r="AB34" s="10" cm="1">
        <f t="array" ref="AB34">IF(OR(AB$4=0, $G34&lt;&gt; $G$7, $E34=0), 'I&amp;E Monthly'!AB34, CHOOSE(Timeline!AB$30,$J34,$K34,$L34 )*INDEX('I&amp;E Profiles'!AB$96:AB$180,$I34))</f>
        <v>0</v>
      </c>
      <c r="AC34" s="10" cm="1">
        <f t="array" ref="AC34">IF(OR(AC$4=0, $G34&lt;&gt; $G$7, $E34=0), 'I&amp;E Monthly'!AC34, CHOOSE(Timeline!AC$30,$J34,$K34,$L34 )*INDEX('I&amp;E Profiles'!AC$96:AC$180,$I34))</f>
        <v>0</v>
      </c>
      <c r="AD34" s="10" cm="1">
        <f t="array" ref="AD34">IF(OR(AD$4=0, $G34&lt;&gt; $G$7, $E34=0), 'I&amp;E Monthly'!AD34, CHOOSE(Timeline!AD$30,$J34,$K34,$L34 )*INDEX('I&amp;E Profiles'!AD$96:AD$180,$I34))</f>
        <v>0</v>
      </c>
      <c r="AE34" s="10" cm="1">
        <f t="array" ref="AE34">IF(OR(AE$4=0, $G34&lt;&gt; $G$7, $E34=0), 'I&amp;E Monthly'!AE34, CHOOSE(Timeline!AE$30,$J34,$K34,$L34 )*INDEX('I&amp;E Profiles'!AE$96:AE$180,$I34))</f>
        <v>0</v>
      </c>
      <c r="AF34" s="10" cm="1">
        <f t="array" ref="AF34">IF(OR(AF$4=0, $G34&lt;&gt; $G$7, $E34=0), 'I&amp;E Monthly'!AF34, CHOOSE(Timeline!AF$30,$J34,$K34,$L34 )*INDEX('I&amp;E Profiles'!AF$96:AF$180,$I34))</f>
        <v>0</v>
      </c>
      <c r="AG34" s="10" cm="1">
        <f t="array" ref="AG34">IF(OR(AG$4=0, $G34&lt;&gt; $G$7, $E34=0), 'I&amp;E Monthly'!AG34, CHOOSE(Timeline!AG$30,$J34,$K34,$L34 )*INDEX('I&amp;E Profiles'!AG$96:AG$180,$I34))</f>
        <v>0</v>
      </c>
      <c r="AH34" s="10" cm="1">
        <f t="array" ref="AH34">IF(OR(AH$4=0, $G34&lt;&gt; $G$7, $E34=0), 'I&amp;E Monthly'!AH34, CHOOSE(Timeline!AH$30,$J34,$K34,$L34 )*INDEX('I&amp;E Profiles'!AH$96:AH$180,$I34))</f>
        <v>0</v>
      </c>
      <c r="AI34" s="10" cm="1">
        <f t="array" ref="AI34">IF(OR(AI$4=0, $G34&lt;&gt; $G$7, $E34=0), 'I&amp;E Monthly'!AI34, CHOOSE(Timeline!AI$30,$J34,$K34,$L34 )*INDEX('I&amp;E Profiles'!AI$96:AI$180,$I34))</f>
        <v>0</v>
      </c>
      <c r="AJ34" s="10" cm="1">
        <f t="array" ref="AJ34">IF(OR(AJ$4=0, $G34&lt;&gt; $G$7, $E34=0), 'I&amp;E Monthly'!AJ34, CHOOSE(Timeline!AJ$30,$J34,$K34,$L34 )*INDEX('I&amp;E Profiles'!AJ$96:AJ$180,$I34))</f>
        <v>0</v>
      </c>
      <c r="AK34" s="10" cm="1">
        <f t="array" ref="AK34">IF(OR(AK$4=0, $G34&lt;&gt; $G$7, $E34=0), 'I&amp;E Monthly'!AK34, CHOOSE(Timeline!AK$30,$J34,$K34,$L34 )*INDEX('I&amp;E Profiles'!AK$96:AK$180,$I34))</f>
        <v>0</v>
      </c>
      <c r="AL34" s="10" cm="1">
        <f t="array" ref="AL34">IF(OR(AL$4=0, $G34&lt;&gt; $G$7, $E34=0), 'I&amp;E Monthly'!AL34, CHOOSE(Timeline!AL$30,$J34,$K34,$L34 )*INDEX('I&amp;E Profiles'!AL$96:AL$180,$I34))</f>
        <v>0</v>
      </c>
      <c r="AM34" s="10" cm="1">
        <f t="array" ref="AM34">IF(OR(AM$4=0, $G34&lt;&gt; $G$7, $E34=0), 'I&amp;E Monthly'!AM34, CHOOSE(Timeline!AM$30,$J34,$K34,$L34 )*INDEX('I&amp;E Profiles'!AM$96:AM$180,$I34))</f>
        <v>0</v>
      </c>
      <c r="AN34" s="10" cm="1">
        <f t="array" ref="AN34">IF(OR(AN$4=0, $G34&lt;&gt; $G$7, $E34=0), 'I&amp;E Monthly'!AN34, CHOOSE(Timeline!AN$30,$J34,$K34,$L34 )*INDEX('I&amp;E Profiles'!AN$96:AN$180,$I34))</f>
        <v>0</v>
      </c>
      <c r="AO34" s="10" cm="1">
        <f t="array" ref="AO34">IF(OR(AO$4=0, $G34&lt;&gt; $G$7, $E34=0), 'I&amp;E Monthly'!AO34, CHOOSE(Timeline!AO$30,$J34,$K34,$L34 )*INDEX('I&amp;E Profiles'!AO$96:AO$180,$I34))</f>
        <v>0</v>
      </c>
      <c r="AP34" s="10" cm="1">
        <f t="array" ref="AP34">IF(OR(AP$4=0, $G34&lt;&gt; $G$7, $E34=0), 'I&amp;E Monthly'!AP34, CHOOSE(Timeline!AP$30,$J34,$K34,$L34 )*INDEX('I&amp;E Profiles'!AP$96:AP$180,$I34))</f>
        <v>0</v>
      </c>
      <c r="AQ34" s="10" cm="1">
        <f t="array" ref="AQ34">IF(OR(AQ$4=0, $G34&lt;&gt; $G$7, $E34=0), 'I&amp;E Monthly'!AQ34, CHOOSE(Timeline!AQ$30,$J34,$K34,$L34 )*INDEX('I&amp;E Profiles'!AQ$96:AQ$180,$I34))</f>
        <v>0</v>
      </c>
      <c r="AR34" s="10" cm="1">
        <f t="array" ref="AR34">IF(OR(AR$4=0, $G34&lt;&gt; $G$7, $E34=0), 'I&amp;E Monthly'!AR34, CHOOSE(Timeline!AR$30,$J34,$K34,$L34 )*INDEX('I&amp;E Profiles'!AR$96:AR$180,$I34))</f>
        <v>0</v>
      </c>
      <c r="AS34" s="10" cm="1">
        <f t="array" ref="AS34">IF(OR(AS$4=0, $G34&lt;&gt; $G$7, $E34=0), 'I&amp;E Monthly'!AS34, CHOOSE(Timeline!AS$30,$J34,$K34,$L34 )*INDEX('I&amp;E Profiles'!AS$96:AS$180,$I34))</f>
        <v>0</v>
      </c>
      <c r="AT34" s="10" cm="1">
        <f t="array" ref="AT34">IF(OR(AT$4=0, $G34&lt;&gt; $G$7, $E34=0), 'I&amp;E Monthly'!AT34, CHOOSE(Timeline!AT$30,$J34,$K34,$L34 )*INDEX('I&amp;E Profiles'!AT$96:AT$180,$I34))</f>
        <v>0</v>
      </c>
      <c r="AU34" s="10" cm="1">
        <f t="array" ref="AU34">IF(OR(AU$4=0, $G34&lt;&gt; $G$7, $E34=0), 'I&amp;E Monthly'!AU34, CHOOSE(Timeline!AU$30,$J34,$K34,$L34 )*INDEX('I&amp;E Profiles'!AU$96:AU$180,$I34))</f>
        <v>0</v>
      </c>
      <c r="AV34" s="10" cm="1">
        <f t="array" ref="AV34">IF(OR(AV$4=0, $G34&lt;&gt; $G$7, $E34=0), 'I&amp;E Monthly'!AV34, CHOOSE(Timeline!AV$30,$J34,$K34,$L34 )*INDEX('I&amp;E Profiles'!AV$96:AV$180,$I34))</f>
        <v>0</v>
      </c>
      <c r="AW34" s="10" cm="1">
        <f t="array" ref="AW34">IF(OR(AW$4=0, $G34&lt;&gt; $G$7, $E34=0), 'I&amp;E Monthly'!AW34, CHOOSE(Timeline!AW$30,$J34,$K34,$L34 )*INDEX('I&amp;E Profiles'!AW$96:AW$180,$I34))</f>
        <v>0</v>
      </c>
      <c r="AX34" s="10" cm="1">
        <f t="array" ref="AX34">IF(OR(AX$4=0, $G34&lt;&gt; $G$7, $E34=0), 'I&amp;E Monthly'!AX34, CHOOSE(Timeline!AX$30,$J34,$K34,$L34 )*INDEX('I&amp;E Profiles'!AX$96:AX$180,$I34))</f>
        <v>0</v>
      </c>
      <c r="AY34" s="10" cm="1">
        <f t="array" ref="AY34">IF(OR(AY$4=0, $G34&lt;&gt; $G$7, $E34=0), 'I&amp;E Monthly'!AY34, CHOOSE(Timeline!AY$30,$J34,$K34,$L34 )*INDEX('I&amp;E Profiles'!AY$96:AY$180,$I34))</f>
        <v>0</v>
      </c>
      <c r="AZ34" s="10" cm="1">
        <f t="array" ref="AZ34">IF(OR(AZ$4=0, $G34&lt;&gt; $G$7, $E34=0), 'I&amp;E Monthly'!AZ34, CHOOSE(Timeline!AZ$30,$J34,$K34,$L34 )*INDEX('I&amp;E Profiles'!AZ$96:AZ$180,$I34))</f>
        <v>0</v>
      </c>
      <c r="BA34" s="10" cm="1">
        <f t="array" ref="BA34">IF(OR(BA$4=0, $G34&lt;&gt; $G$7, $E34=0), 'I&amp;E Monthly'!BA34, CHOOSE(Timeline!BA$30,$J34,$K34,$L34 )*INDEX('I&amp;E Profiles'!BA$96:BA$180,$I34))</f>
        <v>0</v>
      </c>
      <c r="BB34" s="10" cm="1">
        <f t="array" ref="BB34">IF(OR(BB$4=0, $G34&lt;&gt; $G$7, $E34=0), 'I&amp;E Monthly'!BB34, CHOOSE(Timeline!BB$30,$J34,$K34,$L34 )*INDEX('I&amp;E Profiles'!BB$96:BB$180,$I34))</f>
        <v>0</v>
      </c>
      <c r="BC34" s="10" cm="1">
        <f t="array" ref="BC34">IF(OR(BC$4=0, $G34&lt;&gt; $G$7, $E34=0), 'I&amp;E Monthly'!BC34, CHOOSE(Timeline!BC$30,$J34,$K34,$L34 )*INDEX('I&amp;E Profiles'!BC$96:BC$180,$I34))</f>
        <v>0</v>
      </c>
      <c r="BD34" s="10" cm="1">
        <f t="array" ref="BD34">IF(OR(BD$4=0, $G34&lt;&gt; $G$7, $E34=0), 'I&amp;E Monthly'!BD34, CHOOSE(Timeline!BD$30,$J34,$K34,$L34 )*INDEX('I&amp;E Profiles'!BD$96:BD$180,$I34))</f>
        <v>0</v>
      </c>
      <c r="BE34" s="10" cm="1">
        <f t="array" ref="BE34">IF(OR(BE$4=0, $G34&lt;&gt; $G$7, $E34=0), 'I&amp;E Monthly'!BE34, CHOOSE(Timeline!BE$30,$J34,$K34,$L34 )*INDEX('I&amp;E Profiles'!BE$96:BE$180,$I34))</f>
        <v>0</v>
      </c>
      <c r="BF34" s="10" cm="1">
        <f t="array" ref="BF34">IF(OR(BF$4=0, $G34&lt;&gt; $G$7, $E34=0), 'I&amp;E Monthly'!BF34, CHOOSE(Timeline!BF$30,$J34,$K34,$L34 )*INDEX('I&amp;E Profiles'!BF$96:BF$180,$I34))</f>
        <v>0</v>
      </c>
      <c r="BG34" s="10" cm="1">
        <f t="array" ref="BG34">IF(OR(BG$4=0, $G34&lt;&gt; $G$7, $E34=0), 'I&amp;E Monthly'!BG34, CHOOSE(Timeline!BG$30,$J34,$K34,$L34 )*INDEX('I&amp;E Profiles'!BG$96:BG$180,$I34))</f>
        <v>0</v>
      </c>
      <c r="BH34" s="10" cm="1">
        <f t="array" ref="BH34">IF(OR(BH$4=0, $G34&lt;&gt; $G$7, $E34=0), 'I&amp;E Monthly'!BH34, CHOOSE(Timeline!BH$30,$J34,$K34,$L34 )*INDEX('I&amp;E Profiles'!BH$96:BH$180,$I34))</f>
        <v>0</v>
      </c>
      <c r="BI34" s="10" cm="1">
        <f t="array" ref="BI34">IF(OR(BI$4=0, $G34&lt;&gt; $G$7, $E34=0), 'I&amp;E Monthly'!BI34, CHOOSE(Timeline!BI$30,$J34,$K34,$L34 )*INDEX('I&amp;E Profiles'!BI$96:BI$180,$I34))</f>
        <v>0</v>
      </c>
      <c r="BJ34" s="10" cm="1">
        <f t="array" ref="BJ34">IF(OR(BJ$4=0, $G34&lt;&gt; $G$7, $E34=0), 'I&amp;E Monthly'!BJ34, CHOOSE(Timeline!BJ$30,$J34,$K34,$L34 )*INDEX('I&amp;E Profiles'!BJ$96:BJ$180,$I34))</f>
        <v>0</v>
      </c>
      <c r="BX34" s="12">
        <f>V34</f>
        <v>0</v>
      </c>
      <c r="BY34" s="10">
        <f t="shared" si="27"/>
        <v>0</v>
      </c>
      <c r="BZ34" s="10">
        <f t="shared" si="27"/>
        <v>0</v>
      </c>
      <c r="CA34" s="10">
        <f t="shared" si="27"/>
        <v>0</v>
      </c>
      <c r="CB34" s="12">
        <f>'I&amp;E Monthly'!CB34</f>
        <v>0</v>
      </c>
      <c r="CC34" s="12">
        <f>'I&amp;E Monthly'!CC34</f>
        <v>0</v>
      </c>
      <c r="CD34" s="12">
        <f>'I&amp;E Monthly'!CD34</f>
        <v>0</v>
      </c>
      <c r="CE34" s="12">
        <f>'I&amp;E Monthly'!CE34</f>
        <v>0</v>
      </c>
      <c r="CF34" s="12">
        <f>'I&amp;E Monthly'!CF34</f>
        <v>0</v>
      </c>
      <c r="CG34" s="12">
        <f>'I&amp;E Monthly'!CG34</f>
        <v>0</v>
      </c>
      <c r="CH34" s="12">
        <f>'I&amp;E Monthly'!CH34</f>
        <v>0</v>
      </c>
      <c r="CI34" s="12">
        <f>'I&amp;E Monthly'!CI34</f>
        <v>0</v>
      </c>
      <c r="CK34" s="11"/>
      <c r="CL34" s="221">
        <f t="shared" ca="1" si="28"/>
        <v>0</v>
      </c>
      <c r="CM34" s="11"/>
      <c r="CN34" s="7">
        <f>IF(AND($G34=$G$7,$E34=""), 1, 0)</f>
        <v>0</v>
      </c>
      <c r="CO34" s="7" cm="1">
        <f t="array" ref="CO34">SUMPRODUCT(--NOT(ISNUMBER(W34:Y34)),--NOT(ISBLANK(W34:Y34)))</f>
        <v>0</v>
      </c>
      <c r="CP34" s="7" cm="1">
        <f t="array" ref="CP34">IF(E34="",0, IF(IFERROR(INDEX('I&amp;E Profiles'!$D$96:$D$180, $I34), "N/A")="N/A", 1, 0))</f>
        <v>0</v>
      </c>
      <c r="CQ34" s="7">
        <f t="shared" si="29"/>
        <v>0</v>
      </c>
      <c r="CS34" s="7">
        <f t="shared" si="30"/>
        <v>0</v>
      </c>
      <c r="CT34" s="7">
        <f t="shared" si="31"/>
        <v>0</v>
      </c>
      <c r="CU34" s="11"/>
      <c r="CV34" s="215">
        <f t="shared" si="32"/>
        <v>0</v>
      </c>
      <c r="CW34" s="215">
        <f t="shared" si="32"/>
        <v>0</v>
      </c>
      <c r="CX34" s="215">
        <f t="shared" si="32"/>
        <v>0</v>
      </c>
      <c r="CY34" s="215">
        <f t="shared" si="33"/>
        <v>0</v>
      </c>
      <c r="CZ34" s="215">
        <f t="shared" si="34"/>
        <v>0</v>
      </c>
      <c r="DA34" s="215">
        <f t="shared" si="35"/>
        <v>0</v>
      </c>
      <c r="DB34" s="215">
        <f t="shared" si="36"/>
        <v>0</v>
      </c>
      <c r="FN34" s="10" t="str">
        <f t="shared" si="1"/>
        <v>Adult Skills Fund Procured</v>
      </c>
    </row>
    <row r="35" spans="1:170" x14ac:dyDescent="0.35">
      <c r="A35" s="220" cm="1">
        <f t="array" aca="1" ref="A35" ca="1">HYPERLINK(CONCATENATE("#",CELL("address",IF(MAX($CM35:$CU35)=0,A35,INDEX($CM35:$CU35,MATCH(1,$CM35:$CU35,0))))),MAX($CM35:$CU35))</f>
        <v>0</v>
      </c>
      <c r="B35" s="85" t="s">
        <v>122</v>
      </c>
      <c r="C35" s="213" t="s">
        <v>495</v>
      </c>
      <c r="D35" s="57" t="s">
        <v>338</v>
      </c>
      <c r="E35" s="114"/>
      <c r="F35" s="79" t="str" cm="1">
        <f t="array" aca="1" ref="F35" ca="1">IF(E35="", "", HYPERLINK(CONCATENATE("#",CELL("address",INDEX('I&amp;E Profiles'!$D$9:$D$93,'I&amp;E Annual'!I35))),E35))</f>
        <v/>
      </c>
      <c r="G35" s="114"/>
      <c r="H35" t="s">
        <v>317</v>
      </c>
      <c r="I35" s="132" t="str">
        <f>IF(E35="", "", MATCH(E35, 'I&amp;E Profiles'!$D$96:$D$180,0))</f>
        <v/>
      </c>
      <c r="J35" s="133">
        <f>IF($G35=$G$7, W35,'I&amp;E Monthly'!W35)-SUMIFS('I&amp;E Monthly'!$AA35:$BJ35, 'I&amp;E Monthly'!$AA$3:$BJ$3, 'I&amp;E Annual'!W$3, 'I&amp;E Monthly'!$AA$4:$BJ$4, 0)</f>
        <v>0</v>
      </c>
      <c r="K35" s="133">
        <f>IF($G35=$G$7, X35,'I&amp;E Monthly'!X35)-SUMIFS('I&amp;E Monthly'!$AA35:$BJ35, 'I&amp;E Monthly'!$AA$3:$BJ$3, 'I&amp;E Annual'!X$3, 'I&amp;E Monthly'!$AA$4:$BJ$4, 0)</f>
        <v>0</v>
      </c>
      <c r="L35" s="133">
        <f>IF($G35=$G$7, Y35,'I&amp;E Monthly'!Y35)-SUMIFS('I&amp;E Monthly'!$AA35:$BJ35, 'I&amp;E Monthly'!$AA$3:$BJ$3, 'I&amp;E Annual'!Y$3, 'I&amp;E Monthly'!$AA$4:$BJ$4, 0)</f>
        <v>0</v>
      </c>
      <c r="Q35" s="2"/>
      <c r="V35" s="133">
        <f>'I&amp;E Monthly'!V35</f>
        <v>0</v>
      </c>
      <c r="W35" s="114"/>
      <c r="X35" s="131"/>
      <c r="Y35" s="131"/>
      <c r="AA35" s="10" cm="1">
        <f t="array" ref="AA35">IF(OR(AA$4=0, $G35&lt;&gt; $G$7, $E35=0), 'I&amp;E Monthly'!AA35, CHOOSE(Timeline!AA$30,$J35,$K35,$L35 )*INDEX('I&amp;E Profiles'!AA$96:AA$180,$I35))</f>
        <v>0</v>
      </c>
      <c r="AB35" s="10" cm="1">
        <f t="array" ref="AB35">IF(OR(AB$4=0, $G35&lt;&gt; $G$7, $E35=0), 'I&amp;E Monthly'!AB35, CHOOSE(Timeline!AB$30,$J35,$K35,$L35 )*INDEX('I&amp;E Profiles'!AB$96:AB$180,$I35))</f>
        <v>0</v>
      </c>
      <c r="AC35" s="10" cm="1">
        <f t="array" ref="AC35">IF(OR(AC$4=0, $G35&lt;&gt; $G$7, $E35=0), 'I&amp;E Monthly'!AC35, CHOOSE(Timeline!AC$30,$J35,$K35,$L35 )*INDEX('I&amp;E Profiles'!AC$96:AC$180,$I35))</f>
        <v>0</v>
      </c>
      <c r="AD35" s="10" cm="1">
        <f t="array" ref="AD35">IF(OR(AD$4=0, $G35&lt;&gt; $G$7, $E35=0), 'I&amp;E Monthly'!AD35, CHOOSE(Timeline!AD$30,$J35,$K35,$L35 )*INDEX('I&amp;E Profiles'!AD$96:AD$180,$I35))</f>
        <v>0</v>
      </c>
      <c r="AE35" s="10" cm="1">
        <f t="array" ref="AE35">IF(OR(AE$4=0, $G35&lt;&gt; $G$7, $E35=0), 'I&amp;E Monthly'!AE35, CHOOSE(Timeline!AE$30,$J35,$K35,$L35 )*INDEX('I&amp;E Profiles'!AE$96:AE$180,$I35))</f>
        <v>0</v>
      </c>
      <c r="AF35" s="10" cm="1">
        <f t="array" ref="AF35">IF(OR(AF$4=0, $G35&lt;&gt; $G$7, $E35=0), 'I&amp;E Monthly'!AF35, CHOOSE(Timeline!AF$30,$J35,$K35,$L35 )*INDEX('I&amp;E Profiles'!AF$96:AF$180,$I35))</f>
        <v>0</v>
      </c>
      <c r="AG35" s="10" cm="1">
        <f t="array" ref="AG35">IF(OR(AG$4=0, $G35&lt;&gt; $G$7, $E35=0), 'I&amp;E Monthly'!AG35, CHOOSE(Timeline!AG$30,$J35,$K35,$L35 )*INDEX('I&amp;E Profiles'!AG$96:AG$180,$I35))</f>
        <v>0</v>
      </c>
      <c r="AH35" s="10" cm="1">
        <f t="array" ref="AH35">IF(OR(AH$4=0, $G35&lt;&gt; $G$7, $E35=0), 'I&amp;E Monthly'!AH35, CHOOSE(Timeline!AH$30,$J35,$K35,$L35 )*INDEX('I&amp;E Profiles'!AH$96:AH$180,$I35))</f>
        <v>0</v>
      </c>
      <c r="AI35" s="10" cm="1">
        <f t="array" ref="AI35">IF(OR(AI$4=0, $G35&lt;&gt; $G$7, $E35=0), 'I&amp;E Monthly'!AI35, CHOOSE(Timeline!AI$30,$J35,$K35,$L35 )*INDEX('I&amp;E Profiles'!AI$96:AI$180,$I35))</f>
        <v>0</v>
      </c>
      <c r="AJ35" s="10" cm="1">
        <f t="array" ref="AJ35">IF(OR(AJ$4=0, $G35&lt;&gt; $G$7, $E35=0), 'I&amp;E Monthly'!AJ35, CHOOSE(Timeline!AJ$30,$J35,$K35,$L35 )*INDEX('I&amp;E Profiles'!AJ$96:AJ$180,$I35))</f>
        <v>0</v>
      </c>
      <c r="AK35" s="10" cm="1">
        <f t="array" ref="AK35">IF(OR(AK$4=0, $G35&lt;&gt; $G$7, $E35=0), 'I&amp;E Monthly'!AK35, CHOOSE(Timeline!AK$30,$J35,$K35,$L35 )*INDEX('I&amp;E Profiles'!AK$96:AK$180,$I35))</f>
        <v>0</v>
      </c>
      <c r="AL35" s="10" cm="1">
        <f t="array" ref="AL35">IF(OR(AL$4=0, $G35&lt;&gt; $G$7, $E35=0), 'I&amp;E Monthly'!AL35, CHOOSE(Timeline!AL$30,$J35,$K35,$L35 )*INDEX('I&amp;E Profiles'!AL$96:AL$180,$I35))</f>
        <v>0</v>
      </c>
      <c r="AM35" s="10" cm="1">
        <f t="array" ref="AM35">IF(OR(AM$4=0, $G35&lt;&gt; $G$7, $E35=0), 'I&amp;E Monthly'!AM35, CHOOSE(Timeline!AM$30,$J35,$K35,$L35 )*INDEX('I&amp;E Profiles'!AM$96:AM$180,$I35))</f>
        <v>0</v>
      </c>
      <c r="AN35" s="10" cm="1">
        <f t="array" ref="AN35">IF(OR(AN$4=0, $G35&lt;&gt; $G$7, $E35=0), 'I&amp;E Monthly'!AN35, CHOOSE(Timeline!AN$30,$J35,$K35,$L35 )*INDEX('I&amp;E Profiles'!AN$96:AN$180,$I35))</f>
        <v>0</v>
      </c>
      <c r="AO35" s="10" cm="1">
        <f t="array" ref="AO35">IF(OR(AO$4=0, $G35&lt;&gt; $G$7, $E35=0), 'I&amp;E Monthly'!AO35, CHOOSE(Timeline!AO$30,$J35,$K35,$L35 )*INDEX('I&amp;E Profiles'!AO$96:AO$180,$I35))</f>
        <v>0</v>
      </c>
      <c r="AP35" s="10" cm="1">
        <f t="array" ref="AP35">IF(OR(AP$4=0, $G35&lt;&gt; $G$7, $E35=0), 'I&amp;E Monthly'!AP35, CHOOSE(Timeline!AP$30,$J35,$K35,$L35 )*INDEX('I&amp;E Profiles'!AP$96:AP$180,$I35))</f>
        <v>0</v>
      </c>
      <c r="AQ35" s="10" cm="1">
        <f t="array" ref="AQ35">IF(OR(AQ$4=0, $G35&lt;&gt; $G$7, $E35=0), 'I&amp;E Monthly'!AQ35, CHOOSE(Timeline!AQ$30,$J35,$K35,$L35 )*INDEX('I&amp;E Profiles'!AQ$96:AQ$180,$I35))</f>
        <v>0</v>
      </c>
      <c r="AR35" s="10" cm="1">
        <f t="array" ref="AR35">IF(OR(AR$4=0, $G35&lt;&gt; $G$7, $E35=0), 'I&amp;E Monthly'!AR35, CHOOSE(Timeline!AR$30,$J35,$K35,$L35 )*INDEX('I&amp;E Profiles'!AR$96:AR$180,$I35))</f>
        <v>0</v>
      </c>
      <c r="AS35" s="10" cm="1">
        <f t="array" ref="AS35">IF(OR(AS$4=0, $G35&lt;&gt; $G$7, $E35=0), 'I&amp;E Monthly'!AS35, CHOOSE(Timeline!AS$30,$J35,$K35,$L35 )*INDEX('I&amp;E Profiles'!AS$96:AS$180,$I35))</f>
        <v>0</v>
      </c>
      <c r="AT35" s="10" cm="1">
        <f t="array" ref="AT35">IF(OR(AT$4=0, $G35&lt;&gt; $G$7, $E35=0), 'I&amp;E Monthly'!AT35, CHOOSE(Timeline!AT$30,$J35,$K35,$L35 )*INDEX('I&amp;E Profiles'!AT$96:AT$180,$I35))</f>
        <v>0</v>
      </c>
      <c r="AU35" s="10" cm="1">
        <f t="array" ref="AU35">IF(OR(AU$4=0, $G35&lt;&gt; $G$7, $E35=0), 'I&amp;E Monthly'!AU35, CHOOSE(Timeline!AU$30,$J35,$K35,$L35 )*INDEX('I&amp;E Profiles'!AU$96:AU$180,$I35))</f>
        <v>0</v>
      </c>
      <c r="AV35" s="10" cm="1">
        <f t="array" ref="AV35">IF(OR(AV$4=0, $G35&lt;&gt; $G$7, $E35=0), 'I&amp;E Monthly'!AV35, CHOOSE(Timeline!AV$30,$J35,$K35,$L35 )*INDEX('I&amp;E Profiles'!AV$96:AV$180,$I35))</f>
        <v>0</v>
      </c>
      <c r="AW35" s="10" cm="1">
        <f t="array" ref="AW35">IF(OR(AW$4=0, $G35&lt;&gt; $G$7, $E35=0), 'I&amp;E Monthly'!AW35, CHOOSE(Timeline!AW$30,$J35,$K35,$L35 )*INDEX('I&amp;E Profiles'!AW$96:AW$180,$I35))</f>
        <v>0</v>
      </c>
      <c r="AX35" s="10" cm="1">
        <f t="array" ref="AX35">IF(OR(AX$4=0, $G35&lt;&gt; $G$7, $E35=0), 'I&amp;E Monthly'!AX35, CHOOSE(Timeline!AX$30,$J35,$K35,$L35 )*INDEX('I&amp;E Profiles'!AX$96:AX$180,$I35))</f>
        <v>0</v>
      </c>
      <c r="AY35" s="10" cm="1">
        <f t="array" ref="AY35">IF(OR(AY$4=0, $G35&lt;&gt; $G$7, $E35=0), 'I&amp;E Monthly'!AY35, CHOOSE(Timeline!AY$30,$J35,$K35,$L35 )*INDEX('I&amp;E Profiles'!AY$96:AY$180,$I35))</f>
        <v>0</v>
      </c>
      <c r="AZ35" s="10" cm="1">
        <f t="array" ref="AZ35">IF(OR(AZ$4=0, $G35&lt;&gt; $G$7, $E35=0), 'I&amp;E Monthly'!AZ35, CHOOSE(Timeline!AZ$30,$J35,$K35,$L35 )*INDEX('I&amp;E Profiles'!AZ$96:AZ$180,$I35))</f>
        <v>0</v>
      </c>
      <c r="BA35" s="10" cm="1">
        <f t="array" ref="BA35">IF(OR(BA$4=0, $G35&lt;&gt; $G$7, $E35=0), 'I&amp;E Monthly'!BA35, CHOOSE(Timeline!BA$30,$J35,$K35,$L35 )*INDEX('I&amp;E Profiles'!BA$96:BA$180,$I35))</f>
        <v>0</v>
      </c>
      <c r="BB35" s="10" cm="1">
        <f t="array" ref="BB35">IF(OR(BB$4=0, $G35&lt;&gt; $G$7, $E35=0), 'I&amp;E Monthly'!BB35, CHOOSE(Timeline!BB$30,$J35,$K35,$L35 )*INDEX('I&amp;E Profiles'!BB$96:BB$180,$I35))</f>
        <v>0</v>
      </c>
      <c r="BC35" s="10" cm="1">
        <f t="array" ref="BC35">IF(OR(BC$4=0, $G35&lt;&gt; $G$7, $E35=0), 'I&amp;E Monthly'!BC35, CHOOSE(Timeline!BC$30,$J35,$K35,$L35 )*INDEX('I&amp;E Profiles'!BC$96:BC$180,$I35))</f>
        <v>0</v>
      </c>
      <c r="BD35" s="10" cm="1">
        <f t="array" ref="BD35">IF(OR(BD$4=0, $G35&lt;&gt; $G$7, $E35=0), 'I&amp;E Monthly'!BD35, CHOOSE(Timeline!BD$30,$J35,$K35,$L35 )*INDEX('I&amp;E Profiles'!BD$96:BD$180,$I35))</f>
        <v>0</v>
      </c>
      <c r="BE35" s="10" cm="1">
        <f t="array" ref="BE35">IF(OR(BE$4=0, $G35&lt;&gt; $G$7, $E35=0), 'I&amp;E Monthly'!BE35, CHOOSE(Timeline!BE$30,$J35,$K35,$L35 )*INDEX('I&amp;E Profiles'!BE$96:BE$180,$I35))</f>
        <v>0</v>
      </c>
      <c r="BF35" s="10" cm="1">
        <f t="array" ref="BF35">IF(OR(BF$4=0, $G35&lt;&gt; $G$7, $E35=0), 'I&amp;E Monthly'!BF35, CHOOSE(Timeline!BF$30,$J35,$K35,$L35 )*INDEX('I&amp;E Profiles'!BF$96:BF$180,$I35))</f>
        <v>0</v>
      </c>
      <c r="BG35" s="10" cm="1">
        <f t="array" ref="BG35">IF(OR(BG$4=0, $G35&lt;&gt; $G$7, $E35=0), 'I&amp;E Monthly'!BG35, CHOOSE(Timeline!BG$30,$J35,$K35,$L35 )*INDEX('I&amp;E Profiles'!BG$96:BG$180,$I35))</f>
        <v>0</v>
      </c>
      <c r="BH35" s="10" cm="1">
        <f t="array" ref="BH35">IF(OR(BH$4=0, $G35&lt;&gt; $G$7, $E35=0), 'I&amp;E Monthly'!BH35, CHOOSE(Timeline!BH$30,$J35,$K35,$L35 )*INDEX('I&amp;E Profiles'!BH$96:BH$180,$I35))</f>
        <v>0</v>
      </c>
      <c r="BI35" s="10" cm="1">
        <f t="array" ref="BI35">IF(OR(BI$4=0, $G35&lt;&gt; $G$7, $E35=0), 'I&amp;E Monthly'!BI35, CHOOSE(Timeline!BI$30,$J35,$K35,$L35 )*INDEX('I&amp;E Profiles'!BI$96:BI$180,$I35))</f>
        <v>0</v>
      </c>
      <c r="BJ35" s="10" cm="1">
        <f t="array" ref="BJ35">IF(OR(BJ$4=0, $G35&lt;&gt; $G$7, $E35=0), 'I&amp;E Monthly'!BJ35, CHOOSE(Timeline!BJ$30,$J35,$K35,$L35 )*INDEX('I&amp;E Profiles'!BJ$96:BJ$180,$I35))</f>
        <v>0</v>
      </c>
      <c r="BX35" s="12">
        <f>V35</f>
        <v>0</v>
      </c>
      <c r="BY35" s="10">
        <f t="shared" si="27"/>
        <v>0</v>
      </c>
      <c r="BZ35" s="10">
        <f t="shared" si="27"/>
        <v>0</v>
      </c>
      <c r="CA35" s="10">
        <f t="shared" si="27"/>
        <v>0</v>
      </c>
      <c r="CB35" s="12">
        <f>'I&amp;E Monthly'!CB35</f>
        <v>0</v>
      </c>
      <c r="CC35" s="12">
        <f>'I&amp;E Monthly'!CC35</f>
        <v>0</v>
      </c>
      <c r="CD35" s="12">
        <f>'I&amp;E Monthly'!CD35</f>
        <v>0</v>
      </c>
      <c r="CE35" s="12">
        <f>'I&amp;E Monthly'!CE35</f>
        <v>0</v>
      </c>
      <c r="CF35" s="12">
        <f>'I&amp;E Monthly'!CF35</f>
        <v>0</v>
      </c>
      <c r="CG35" s="12">
        <f>'I&amp;E Monthly'!CG35</f>
        <v>0</v>
      </c>
      <c r="CH35" s="12">
        <f>'I&amp;E Monthly'!CH35</f>
        <v>0</v>
      </c>
      <c r="CI35" s="12">
        <f>'I&amp;E Monthly'!CI35</f>
        <v>0</v>
      </c>
      <c r="CK35" s="11"/>
      <c r="CL35" s="221">
        <f t="shared" ca="1" si="28"/>
        <v>0</v>
      </c>
      <c r="CM35" s="11"/>
      <c r="CN35" s="7">
        <f>IF(AND($G35=$G$7,$E35=""), 1, 0)</f>
        <v>0</v>
      </c>
      <c r="CO35" s="7" cm="1">
        <f t="array" ref="CO35">SUMPRODUCT(--NOT(ISNUMBER(W35:Y35)),--NOT(ISBLANK(W35:Y35)))</f>
        <v>0</v>
      </c>
      <c r="CP35" s="7" cm="1">
        <f t="array" ref="CP35">IF(E35="",0, IF(IFERROR(INDEX('I&amp;E Profiles'!$D$96:$D$180, $I35), "N/A")="N/A", 1, 0))</f>
        <v>0</v>
      </c>
      <c r="CQ35" s="7">
        <f t="shared" si="29"/>
        <v>0</v>
      </c>
      <c r="CS35" s="7">
        <f t="shared" si="30"/>
        <v>0</v>
      </c>
      <c r="CT35" s="7">
        <f t="shared" si="31"/>
        <v>0</v>
      </c>
      <c r="CU35" s="11"/>
      <c r="CV35" s="215">
        <f t="shared" si="32"/>
        <v>0</v>
      </c>
      <c r="CW35" s="215">
        <f t="shared" si="32"/>
        <v>0</v>
      </c>
      <c r="CX35" s="215">
        <f t="shared" si="32"/>
        <v>0</v>
      </c>
      <c r="CY35" s="215">
        <f t="shared" si="33"/>
        <v>0</v>
      </c>
      <c r="CZ35" s="215">
        <f t="shared" si="34"/>
        <v>0</v>
      </c>
      <c r="DA35" s="215">
        <f t="shared" si="35"/>
        <v>0</v>
      </c>
      <c r="DB35" s="215">
        <f t="shared" si="36"/>
        <v>0</v>
      </c>
      <c r="FN35" s="10" t="str">
        <f t="shared" si="1"/>
        <v>Adult Skills Fund - Devolved Authorities</v>
      </c>
    </row>
    <row r="36" spans="1:170" x14ac:dyDescent="0.35">
      <c r="A36" s="220" cm="1">
        <f t="array" aca="1" ref="A36" ca="1">HYPERLINK(CONCATENATE("#",CELL("address",IF(MAX($CM36:$CU36)=0,A36,INDEX($CM36:$CU36,MATCH(1,$CM36:$CU36,0))))),MAX($CM36:$CU36))</f>
        <v>0</v>
      </c>
      <c r="C36" s="213" t="s">
        <v>496</v>
      </c>
      <c r="D36" s="57" t="s">
        <v>339</v>
      </c>
      <c r="E36" s="114"/>
      <c r="F36" s="79" t="str" cm="1">
        <f t="array" aca="1" ref="F36" ca="1">IF(E36="", "", HYPERLINK(CONCATENATE("#",CELL("address",INDEX('I&amp;E Profiles'!$D$9:$D$93,'I&amp;E Annual'!I36))),E36))</f>
        <v/>
      </c>
      <c r="G36" s="114"/>
      <c r="H36" t="s">
        <v>317</v>
      </c>
      <c r="I36" s="132" t="str">
        <f>IF(E36="", "", MATCH(E36, 'I&amp;E Profiles'!$D$96:$D$180,0))</f>
        <v/>
      </c>
      <c r="J36" s="133">
        <f>IF($G36=$G$7, W36,'I&amp;E Monthly'!W36)-SUMIFS('I&amp;E Monthly'!$AA36:$BJ36, 'I&amp;E Monthly'!$AA$3:$BJ$3, 'I&amp;E Annual'!W$3, 'I&amp;E Monthly'!$AA$4:$BJ$4, 0)</f>
        <v>0</v>
      </c>
      <c r="K36" s="133">
        <f>IF($G36=$G$7, X36,'I&amp;E Monthly'!X36)-SUMIFS('I&amp;E Monthly'!$AA36:$BJ36, 'I&amp;E Monthly'!$AA$3:$BJ$3, 'I&amp;E Annual'!X$3, 'I&amp;E Monthly'!$AA$4:$BJ$4, 0)</f>
        <v>0</v>
      </c>
      <c r="L36" s="133">
        <f>IF($G36=$G$7, Y36,'I&amp;E Monthly'!Y36)-SUMIFS('I&amp;E Monthly'!$AA36:$BJ36, 'I&amp;E Monthly'!$AA$3:$BJ$3, 'I&amp;E Annual'!Y$3, 'I&amp;E Monthly'!$AA$4:$BJ$4, 0)</f>
        <v>0</v>
      </c>
      <c r="Q36" s="2"/>
      <c r="V36" s="133">
        <f>'I&amp;E Monthly'!V36</f>
        <v>0</v>
      </c>
      <c r="W36" s="114"/>
      <c r="X36" s="131"/>
      <c r="Y36" s="131"/>
      <c r="AA36" s="10" cm="1">
        <f t="array" ref="AA36">IF(OR(AA$4=0, $G36&lt;&gt; $G$7, $E36=0), 'I&amp;E Monthly'!AA36, CHOOSE(Timeline!AA$30,$J36,$K36,$L36 )*INDEX('I&amp;E Profiles'!AA$96:AA$180,$I36))</f>
        <v>0</v>
      </c>
      <c r="AB36" s="10" cm="1">
        <f t="array" ref="AB36">IF(OR(AB$4=0, $G36&lt;&gt; $G$7, $E36=0), 'I&amp;E Monthly'!AB36, CHOOSE(Timeline!AB$30,$J36,$K36,$L36 )*INDEX('I&amp;E Profiles'!AB$96:AB$180,$I36))</f>
        <v>0</v>
      </c>
      <c r="AC36" s="10" cm="1">
        <f t="array" ref="AC36">IF(OR(AC$4=0, $G36&lt;&gt; $G$7, $E36=0), 'I&amp;E Monthly'!AC36, CHOOSE(Timeline!AC$30,$J36,$K36,$L36 )*INDEX('I&amp;E Profiles'!AC$96:AC$180,$I36))</f>
        <v>0</v>
      </c>
      <c r="AD36" s="10" cm="1">
        <f t="array" ref="AD36">IF(OR(AD$4=0, $G36&lt;&gt; $G$7, $E36=0), 'I&amp;E Monthly'!AD36, CHOOSE(Timeline!AD$30,$J36,$K36,$L36 )*INDEX('I&amp;E Profiles'!AD$96:AD$180,$I36))</f>
        <v>0</v>
      </c>
      <c r="AE36" s="10" cm="1">
        <f t="array" ref="AE36">IF(OR(AE$4=0, $G36&lt;&gt; $G$7, $E36=0), 'I&amp;E Monthly'!AE36, CHOOSE(Timeline!AE$30,$J36,$K36,$L36 )*INDEX('I&amp;E Profiles'!AE$96:AE$180,$I36))</f>
        <v>0</v>
      </c>
      <c r="AF36" s="10" cm="1">
        <f t="array" ref="AF36">IF(OR(AF$4=0, $G36&lt;&gt; $G$7, $E36=0), 'I&amp;E Monthly'!AF36, CHOOSE(Timeline!AF$30,$J36,$K36,$L36 )*INDEX('I&amp;E Profiles'!AF$96:AF$180,$I36))</f>
        <v>0</v>
      </c>
      <c r="AG36" s="10" cm="1">
        <f t="array" ref="AG36">IF(OR(AG$4=0, $G36&lt;&gt; $G$7, $E36=0), 'I&amp;E Monthly'!AG36, CHOOSE(Timeline!AG$30,$J36,$K36,$L36 )*INDEX('I&amp;E Profiles'!AG$96:AG$180,$I36))</f>
        <v>0</v>
      </c>
      <c r="AH36" s="10" cm="1">
        <f t="array" ref="AH36">IF(OR(AH$4=0, $G36&lt;&gt; $G$7, $E36=0), 'I&amp;E Monthly'!AH36, CHOOSE(Timeline!AH$30,$J36,$K36,$L36 )*INDEX('I&amp;E Profiles'!AH$96:AH$180,$I36))</f>
        <v>0</v>
      </c>
      <c r="AI36" s="10" cm="1">
        <f t="array" ref="AI36">IF(OR(AI$4=0, $G36&lt;&gt; $G$7, $E36=0), 'I&amp;E Monthly'!AI36, CHOOSE(Timeline!AI$30,$J36,$K36,$L36 )*INDEX('I&amp;E Profiles'!AI$96:AI$180,$I36))</f>
        <v>0</v>
      </c>
      <c r="AJ36" s="10" cm="1">
        <f t="array" ref="AJ36">IF(OR(AJ$4=0, $G36&lt;&gt; $G$7, $E36=0), 'I&amp;E Monthly'!AJ36, CHOOSE(Timeline!AJ$30,$J36,$K36,$L36 )*INDEX('I&amp;E Profiles'!AJ$96:AJ$180,$I36))</f>
        <v>0</v>
      </c>
      <c r="AK36" s="10" cm="1">
        <f t="array" ref="AK36">IF(OR(AK$4=0, $G36&lt;&gt; $G$7, $E36=0), 'I&amp;E Monthly'!AK36, CHOOSE(Timeline!AK$30,$J36,$K36,$L36 )*INDEX('I&amp;E Profiles'!AK$96:AK$180,$I36))</f>
        <v>0</v>
      </c>
      <c r="AL36" s="10" cm="1">
        <f t="array" ref="AL36">IF(OR(AL$4=0, $G36&lt;&gt; $G$7, $E36=0), 'I&amp;E Monthly'!AL36, CHOOSE(Timeline!AL$30,$J36,$K36,$L36 )*INDEX('I&amp;E Profiles'!AL$96:AL$180,$I36))</f>
        <v>0</v>
      </c>
      <c r="AM36" s="10" cm="1">
        <f t="array" ref="AM36">IF(OR(AM$4=0, $G36&lt;&gt; $G$7, $E36=0), 'I&amp;E Monthly'!AM36, CHOOSE(Timeline!AM$30,$J36,$K36,$L36 )*INDEX('I&amp;E Profiles'!AM$96:AM$180,$I36))</f>
        <v>0</v>
      </c>
      <c r="AN36" s="10" cm="1">
        <f t="array" ref="AN36">IF(OR(AN$4=0, $G36&lt;&gt; $G$7, $E36=0), 'I&amp;E Monthly'!AN36, CHOOSE(Timeline!AN$30,$J36,$K36,$L36 )*INDEX('I&amp;E Profiles'!AN$96:AN$180,$I36))</f>
        <v>0</v>
      </c>
      <c r="AO36" s="10" cm="1">
        <f t="array" ref="AO36">IF(OR(AO$4=0, $G36&lt;&gt; $G$7, $E36=0), 'I&amp;E Monthly'!AO36, CHOOSE(Timeline!AO$30,$J36,$K36,$L36 )*INDEX('I&amp;E Profiles'!AO$96:AO$180,$I36))</f>
        <v>0</v>
      </c>
      <c r="AP36" s="10" cm="1">
        <f t="array" ref="AP36">IF(OR(AP$4=0, $G36&lt;&gt; $G$7, $E36=0), 'I&amp;E Monthly'!AP36, CHOOSE(Timeline!AP$30,$J36,$K36,$L36 )*INDEX('I&amp;E Profiles'!AP$96:AP$180,$I36))</f>
        <v>0</v>
      </c>
      <c r="AQ36" s="10" cm="1">
        <f t="array" ref="AQ36">IF(OR(AQ$4=0, $G36&lt;&gt; $G$7, $E36=0), 'I&amp;E Monthly'!AQ36, CHOOSE(Timeline!AQ$30,$J36,$K36,$L36 )*INDEX('I&amp;E Profiles'!AQ$96:AQ$180,$I36))</f>
        <v>0</v>
      </c>
      <c r="AR36" s="10" cm="1">
        <f t="array" ref="AR36">IF(OR(AR$4=0, $G36&lt;&gt; $G$7, $E36=0), 'I&amp;E Monthly'!AR36, CHOOSE(Timeline!AR$30,$J36,$K36,$L36 )*INDEX('I&amp;E Profiles'!AR$96:AR$180,$I36))</f>
        <v>0</v>
      </c>
      <c r="AS36" s="10" cm="1">
        <f t="array" ref="AS36">IF(OR(AS$4=0, $G36&lt;&gt; $G$7, $E36=0), 'I&amp;E Monthly'!AS36, CHOOSE(Timeline!AS$30,$J36,$K36,$L36 )*INDEX('I&amp;E Profiles'!AS$96:AS$180,$I36))</f>
        <v>0</v>
      </c>
      <c r="AT36" s="10" cm="1">
        <f t="array" ref="AT36">IF(OR(AT$4=0, $G36&lt;&gt; $G$7, $E36=0), 'I&amp;E Monthly'!AT36, CHOOSE(Timeline!AT$30,$J36,$K36,$L36 )*INDEX('I&amp;E Profiles'!AT$96:AT$180,$I36))</f>
        <v>0</v>
      </c>
      <c r="AU36" s="10" cm="1">
        <f t="array" ref="AU36">IF(OR(AU$4=0, $G36&lt;&gt; $G$7, $E36=0), 'I&amp;E Monthly'!AU36, CHOOSE(Timeline!AU$30,$J36,$K36,$L36 )*INDEX('I&amp;E Profiles'!AU$96:AU$180,$I36))</f>
        <v>0</v>
      </c>
      <c r="AV36" s="10" cm="1">
        <f t="array" ref="AV36">IF(OR(AV$4=0, $G36&lt;&gt; $G$7, $E36=0), 'I&amp;E Monthly'!AV36, CHOOSE(Timeline!AV$30,$J36,$K36,$L36 )*INDEX('I&amp;E Profiles'!AV$96:AV$180,$I36))</f>
        <v>0</v>
      </c>
      <c r="AW36" s="10" cm="1">
        <f t="array" ref="AW36">IF(OR(AW$4=0, $G36&lt;&gt; $G$7, $E36=0), 'I&amp;E Monthly'!AW36, CHOOSE(Timeline!AW$30,$J36,$K36,$L36 )*INDEX('I&amp;E Profiles'!AW$96:AW$180,$I36))</f>
        <v>0</v>
      </c>
      <c r="AX36" s="10" cm="1">
        <f t="array" ref="AX36">IF(OR(AX$4=0, $G36&lt;&gt; $G$7, $E36=0), 'I&amp;E Monthly'!AX36, CHOOSE(Timeline!AX$30,$J36,$K36,$L36 )*INDEX('I&amp;E Profiles'!AX$96:AX$180,$I36))</f>
        <v>0</v>
      </c>
      <c r="AY36" s="10" cm="1">
        <f t="array" ref="AY36">IF(OR(AY$4=0, $G36&lt;&gt; $G$7, $E36=0), 'I&amp;E Monthly'!AY36, CHOOSE(Timeline!AY$30,$J36,$K36,$L36 )*INDEX('I&amp;E Profiles'!AY$96:AY$180,$I36))</f>
        <v>0</v>
      </c>
      <c r="AZ36" s="10" cm="1">
        <f t="array" ref="AZ36">IF(OR(AZ$4=0, $G36&lt;&gt; $G$7, $E36=0), 'I&amp;E Monthly'!AZ36, CHOOSE(Timeline!AZ$30,$J36,$K36,$L36 )*INDEX('I&amp;E Profiles'!AZ$96:AZ$180,$I36))</f>
        <v>0</v>
      </c>
      <c r="BA36" s="10" cm="1">
        <f t="array" ref="BA36">IF(OR(BA$4=0, $G36&lt;&gt; $G$7, $E36=0), 'I&amp;E Monthly'!BA36, CHOOSE(Timeline!BA$30,$J36,$K36,$L36 )*INDEX('I&amp;E Profiles'!BA$96:BA$180,$I36))</f>
        <v>0</v>
      </c>
      <c r="BB36" s="10" cm="1">
        <f t="array" ref="BB36">IF(OR(BB$4=0, $G36&lt;&gt; $G$7, $E36=0), 'I&amp;E Monthly'!BB36, CHOOSE(Timeline!BB$30,$J36,$K36,$L36 )*INDEX('I&amp;E Profiles'!BB$96:BB$180,$I36))</f>
        <v>0</v>
      </c>
      <c r="BC36" s="10" cm="1">
        <f t="array" ref="BC36">IF(OR(BC$4=0, $G36&lt;&gt; $G$7, $E36=0), 'I&amp;E Monthly'!BC36, CHOOSE(Timeline!BC$30,$J36,$K36,$L36 )*INDEX('I&amp;E Profiles'!BC$96:BC$180,$I36))</f>
        <v>0</v>
      </c>
      <c r="BD36" s="10" cm="1">
        <f t="array" ref="BD36">IF(OR(BD$4=0, $G36&lt;&gt; $G$7, $E36=0), 'I&amp;E Monthly'!BD36, CHOOSE(Timeline!BD$30,$J36,$K36,$L36 )*INDEX('I&amp;E Profiles'!BD$96:BD$180,$I36))</f>
        <v>0</v>
      </c>
      <c r="BE36" s="10" cm="1">
        <f t="array" ref="BE36">IF(OR(BE$4=0, $G36&lt;&gt; $G$7, $E36=0), 'I&amp;E Monthly'!BE36, CHOOSE(Timeline!BE$30,$J36,$K36,$L36 )*INDEX('I&amp;E Profiles'!BE$96:BE$180,$I36))</f>
        <v>0</v>
      </c>
      <c r="BF36" s="10" cm="1">
        <f t="array" ref="BF36">IF(OR(BF$4=0, $G36&lt;&gt; $G$7, $E36=0), 'I&amp;E Monthly'!BF36, CHOOSE(Timeline!BF$30,$J36,$K36,$L36 )*INDEX('I&amp;E Profiles'!BF$96:BF$180,$I36))</f>
        <v>0</v>
      </c>
      <c r="BG36" s="10" cm="1">
        <f t="array" ref="BG36">IF(OR(BG$4=0, $G36&lt;&gt; $G$7, $E36=0), 'I&amp;E Monthly'!BG36, CHOOSE(Timeline!BG$30,$J36,$K36,$L36 )*INDEX('I&amp;E Profiles'!BG$96:BG$180,$I36))</f>
        <v>0</v>
      </c>
      <c r="BH36" s="10" cm="1">
        <f t="array" ref="BH36">IF(OR(BH$4=0, $G36&lt;&gt; $G$7, $E36=0), 'I&amp;E Monthly'!BH36, CHOOSE(Timeline!BH$30,$J36,$K36,$L36 )*INDEX('I&amp;E Profiles'!BH$96:BH$180,$I36))</f>
        <v>0</v>
      </c>
      <c r="BI36" s="10" cm="1">
        <f t="array" ref="BI36">IF(OR(BI$4=0, $G36&lt;&gt; $G$7, $E36=0), 'I&amp;E Monthly'!BI36, CHOOSE(Timeline!BI$30,$J36,$K36,$L36 )*INDEX('I&amp;E Profiles'!BI$96:BI$180,$I36))</f>
        <v>0</v>
      </c>
      <c r="BJ36" s="10" cm="1">
        <f t="array" ref="BJ36">IF(OR(BJ$4=0, $G36&lt;&gt; $G$7, $E36=0), 'I&amp;E Monthly'!BJ36, CHOOSE(Timeline!BJ$30,$J36,$K36,$L36 )*INDEX('I&amp;E Profiles'!BJ$96:BJ$180,$I36))</f>
        <v>0</v>
      </c>
      <c r="BX36" s="12">
        <f>V36</f>
        <v>0</v>
      </c>
      <c r="BY36" s="10">
        <f t="shared" si="27"/>
        <v>0</v>
      </c>
      <c r="BZ36" s="10">
        <f t="shared" si="27"/>
        <v>0</v>
      </c>
      <c r="CA36" s="10">
        <f t="shared" si="27"/>
        <v>0</v>
      </c>
      <c r="CB36" s="12">
        <f>'I&amp;E Monthly'!CB36</f>
        <v>0</v>
      </c>
      <c r="CC36" s="12">
        <f>'I&amp;E Monthly'!CC36</f>
        <v>0</v>
      </c>
      <c r="CD36" s="12">
        <f>'I&amp;E Monthly'!CD36</f>
        <v>0</v>
      </c>
      <c r="CE36" s="12">
        <f>'I&amp;E Monthly'!CE36</f>
        <v>0</v>
      </c>
      <c r="CF36" s="12">
        <f>'I&amp;E Monthly'!CF36</f>
        <v>0</v>
      </c>
      <c r="CG36" s="12">
        <f>'I&amp;E Monthly'!CG36</f>
        <v>0</v>
      </c>
      <c r="CH36" s="12">
        <f>'I&amp;E Monthly'!CH36</f>
        <v>0</v>
      </c>
      <c r="CI36" s="12">
        <f>'I&amp;E Monthly'!CI36</f>
        <v>0</v>
      </c>
      <c r="CK36" s="11"/>
      <c r="CL36" s="221">
        <f t="shared" ca="1" si="28"/>
        <v>0</v>
      </c>
      <c r="CM36" s="11"/>
      <c r="CN36" s="7">
        <f>IF(AND($G36=$G$7,$E36=""), 1, 0)</f>
        <v>0</v>
      </c>
      <c r="CO36" s="7" cm="1">
        <f t="array" ref="CO36">SUMPRODUCT(--NOT(ISNUMBER(W36:Y36)),--NOT(ISBLANK(W36:Y36)))</f>
        <v>0</v>
      </c>
      <c r="CP36" s="7" cm="1">
        <f t="array" ref="CP36">IF(E36="",0, IF(IFERROR(INDEX('I&amp;E Profiles'!$D$96:$D$180, $I36), "N/A")="N/A", 1, 0))</f>
        <v>0</v>
      </c>
      <c r="CQ36" s="7">
        <f t="shared" si="29"/>
        <v>0</v>
      </c>
      <c r="CS36" s="7">
        <f t="shared" si="30"/>
        <v>0</v>
      </c>
      <c r="CT36" s="7">
        <f t="shared" si="31"/>
        <v>0</v>
      </c>
      <c r="CU36" s="11"/>
      <c r="CV36" s="215">
        <f t="shared" si="32"/>
        <v>0</v>
      </c>
      <c r="CW36" s="215">
        <f t="shared" si="32"/>
        <v>0</v>
      </c>
      <c r="CX36" s="215">
        <f t="shared" si="32"/>
        <v>0</v>
      </c>
      <c r="CY36" s="215">
        <f t="shared" si="33"/>
        <v>0</v>
      </c>
      <c r="CZ36" s="215">
        <f t="shared" si="34"/>
        <v>0</v>
      </c>
      <c r="DA36" s="215">
        <f t="shared" si="35"/>
        <v>0</v>
      </c>
      <c r="DB36" s="215">
        <f t="shared" si="36"/>
        <v>0</v>
      </c>
      <c r="FN36" s="10" t="str">
        <f t="shared" si="1"/>
        <v>Advanced Learner Loans income (excl. bursary)</v>
      </c>
    </row>
    <row r="37" spans="1:170" x14ac:dyDescent="0.35">
      <c r="A37" s="220" cm="1">
        <f t="array" aca="1" ref="A37" ca="1">HYPERLINK(CONCATENATE("#",CELL("address",IF(MAX($CM37:$CU37)=0,A37,INDEX($CM37:$CU37,MATCH(1,$CM37:$CU37,0))))),MAX($CM37:$CU37))</f>
        <v>0</v>
      </c>
      <c r="C37" s="213" t="s">
        <v>497</v>
      </c>
      <c r="D37" s="57" t="s">
        <v>340</v>
      </c>
      <c r="E37" s="114"/>
      <c r="F37" s="79" t="str" cm="1">
        <f t="array" aca="1" ref="F37" ca="1">IF(E37="", "", HYPERLINK(CONCATENATE("#",CELL("address",INDEX('I&amp;E Profiles'!$D$9:$D$93,'I&amp;E Annual'!I37))),E37))</f>
        <v/>
      </c>
      <c r="G37" s="114"/>
      <c r="H37" t="s">
        <v>317</v>
      </c>
      <c r="I37" s="132" t="str">
        <f>IF(E37="", "", MATCH(E37, 'I&amp;E Profiles'!$D$96:$D$180,0))</f>
        <v/>
      </c>
      <c r="J37" s="133">
        <f>IF($G37=$G$7, W37,'I&amp;E Monthly'!W37)-SUMIFS('I&amp;E Monthly'!$AA37:$BJ37, 'I&amp;E Monthly'!$AA$3:$BJ$3, 'I&amp;E Annual'!W$3, 'I&amp;E Monthly'!$AA$4:$BJ$4, 0)</f>
        <v>0</v>
      </c>
      <c r="K37" s="133">
        <f>IF($G37=$G$7, X37,'I&amp;E Monthly'!X37)-SUMIFS('I&amp;E Monthly'!$AA37:$BJ37, 'I&amp;E Monthly'!$AA$3:$BJ$3, 'I&amp;E Annual'!X$3, 'I&amp;E Monthly'!$AA$4:$BJ$4, 0)</f>
        <v>0</v>
      </c>
      <c r="L37" s="133">
        <f>IF($G37=$G$7, Y37,'I&amp;E Monthly'!Y37)-SUMIFS('I&amp;E Monthly'!$AA37:$BJ37, 'I&amp;E Monthly'!$AA$3:$BJ$3, 'I&amp;E Annual'!Y$3, 'I&amp;E Monthly'!$AA$4:$BJ$4, 0)</f>
        <v>0</v>
      </c>
      <c r="Q37" s="2"/>
      <c r="V37" s="133">
        <f>'I&amp;E Monthly'!V37</f>
        <v>0</v>
      </c>
      <c r="W37" s="114"/>
      <c r="X37" s="131"/>
      <c r="Y37" s="131"/>
      <c r="AA37" s="10" cm="1">
        <f t="array" ref="AA37">IF(OR(AA$4=0, $G37&lt;&gt; $G$7, $E37=0), 'I&amp;E Monthly'!AA37, CHOOSE(Timeline!AA$30,$J37,$K37,$L37 )*INDEX('I&amp;E Profiles'!AA$96:AA$180,$I37))</f>
        <v>0</v>
      </c>
      <c r="AB37" s="10" cm="1">
        <f t="array" ref="AB37">IF(OR(AB$4=0, $G37&lt;&gt; $G$7, $E37=0), 'I&amp;E Monthly'!AB37, CHOOSE(Timeline!AB$30,$J37,$K37,$L37 )*INDEX('I&amp;E Profiles'!AB$96:AB$180,$I37))</f>
        <v>0</v>
      </c>
      <c r="AC37" s="10" cm="1">
        <f t="array" ref="AC37">IF(OR(AC$4=0, $G37&lt;&gt; $G$7, $E37=0), 'I&amp;E Monthly'!AC37, CHOOSE(Timeline!AC$30,$J37,$K37,$L37 )*INDEX('I&amp;E Profiles'!AC$96:AC$180,$I37))</f>
        <v>0</v>
      </c>
      <c r="AD37" s="10" cm="1">
        <f t="array" ref="AD37">IF(OR(AD$4=0, $G37&lt;&gt; $G$7, $E37=0), 'I&amp;E Monthly'!AD37, CHOOSE(Timeline!AD$30,$J37,$K37,$L37 )*INDEX('I&amp;E Profiles'!AD$96:AD$180,$I37))</f>
        <v>0</v>
      </c>
      <c r="AE37" s="10" cm="1">
        <f t="array" ref="AE37">IF(OR(AE$4=0, $G37&lt;&gt; $G$7, $E37=0), 'I&amp;E Monthly'!AE37, CHOOSE(Timeline!AE$30,$J37,$K37,$L37 )*INDEX('I&amp;E Profiles'!AE$96:AE$180,$I37))</f>
        <v>0</v>
      </c>
      <c r="AF37" s="10" cm="1">
        <f t="array" ref="AF37">IF(OR(AF$4=0, $G37&lt;&gt; $G$7, $E37=0), 'I&amp;E Monthly'!AF37, CHOOSE(Timeline!AF$30,$J37,$K37,$L37 )*INDEX('I&amp;E Profiles'!AF$96:AF$180,$I37))</f>
        <v>0</v>
      </c>
      <c r="AG37" s="10" cm="1">
        <f t="array" ref="AG37">IF(OR(AG$4=0, $G37&lt;&gt; $G$7, $E37=0), 'I&amp;E Monthly'!AG37, CHOOSE(Timeline!AG$30,$J37,$K37,$L37 )*INDEX('I&amp;E Profiles'!AG$96:AG$180,$I37))</f>
        <v>0</v>
      </c>
      <c r="AH37" s="10" cm="1">
        <f t="array" ref="AH37">IF(OR(AH$4=0, $G37&lt;&gt; $G$7, $E37=0), 'I&amp;E Monthly'!AH37, CHOOSE(Timeline!AH$30,$J37,$K37,$L37 )*INDEX('I&amp;E Profiles'!AH$96:AH$180,$I37))</f>
        <v>0</v>
      </c>
      <c r="AI37" s="10" cm="1">
        <f t="array" ref="AI37">IF(OR(AI$4=0, $G37&lt;&gt; $G$7, $E37=0), 'I&amp;E Monthly'!AI37, CHOOSE(Timeline!AI$30,$J37,$K37,$L37 )*INDEX('I&amp;E Profiles'!AI$96:AI$180,$I37))</f>
        <v>0</v>
      </c>
      <c r="AJ37" s="10" cm="1">
        <f t="array" ref="AJ37">IF(OR(AJ$4=0, $G37&lt;&gt; $G$7, $E37=0), 'I&amp;E Monthly'!AJ37, CHOOSE(Timeline!AJ$30,$J37,$K37,$L37 )*INDEX('I&amp;E Profiles'!AJ$96:AJ$180,$I37))</f>
        <v>0</v>
      </c>
      <c r="AK37" s="10" cm="1">
        <f t="array" ref="AK37">IF(OR(AK$4=0, $G37&lt;&gt; $G$7, $E37=0), 'I&amp;E Monthly'!AK37, CHOOSE(Timeline!AK$30,$J37,$K37,$L37 )*INDEX('I&amp;E Profiles'!AK$96:AK$180,$I37))</f>
        <v>0</v>
      </c>
      <c r="AL37" s="10" cm="1">
        <f t="array" ref="AL37">IF(OR(AL$4=0, $G37&lt;&gt; $G$7, $E37=0), 'I&amp;E Monthly'!AL37, CHOOSE(Timeline!AL$30,$J37,$K37,$L37 )*INDEX('I&amp;E Profiles'!AL$96:AL$180,$I37))</f>
        <v>0</v>
      </c>
      <c r="AM37" s="10" cm="1">
        <f t="array" ref="AM37">IF(OR(AM$4=0, $G37&lt;&gt; $G$7, $E37=0), 'I&amp;E Monthly'!AM37, CHOOSE(Timeline!AM$30,$J37,$K37,$L37 )*INDEX('I&amp;E Profiles'!AM$96:AM$180,$I37))</f>
        <v>0</v>
      </c>
      <c r="AN37" s="10" cm="1">
        <f t="array" ref="AN37">IF(OR(AN$4=0, $G37&lt;&gt; $G$7, $E37=0), 'I&amp;E Monthly'!AN37, CHOOSE(Timeline!AN$30,$J37,$K37,$L37 )*INDEX('I&amp;E Profiles'!AN$96:AN$180,$I37))</f>
        <v>0</v>
      </c>
      <c r="AO37" s="10" cm="1">
        <f t="array" ref="AO37">IF(OR(AO$4=0, $G37&lt;&gt; $G$7, $E37=0), 'I&amp;E Monthly'!AO37, CHOOSE(Timeline!AO$30,$J37,$K37,$L37 )*INDEX('I&amp;E Profiles'!AO$96:AO$180,$I37))</f>
        <v>0</v>
      </c>
      <c r="AP37" s="10" cm="1">
        <f t="array" ref="AP37">IF(OR(AP$4=0, $G37&lt;&gt; $G$7, $E37=0), 'I&amp;E Monthly'!AP37, CHOOSE(Timeline!AP$30,$J37,$K37,$L37 )*INDEX('I&amp;E Profiles'!AP$96:AP$180,$I37))</f>
        <v>0</v>
      </c>
      <c r="AQ37" s="10" cm="1">
        <f t="array" ref="AQ37">IF(OR(AQ$4=0, $G37&lt;&gt; $G$7, $E37=0), 'I&amp;E Monthly'!AQ37, CHOOSE(Timeline!AQ$30,$J37,$K37,$L37 )*INDEX('I&amp;E Profiles'!AQ$96:AQ$180,$I37))</f>
        <v>0</v>
      </c>
      <c r="AR37" s="10" cm="1">
        <f t="array" ref="AR37">IF(OR(AR$4=0, $G37&lt;&gt; $G$7, $E37=0), 'I&amp;E Monthly'!AR37, CHOOSE(Timeline!AR$30,$J37,$K37,$L37 )*INDEX('I&amp;E Profiles'!AR$96:AR$180,$I37))</f>
        <v>0</v>
      </c>
      <c r="AS37" s="10" cm="1">
        <f t="array" ref="AS37">IF(OR(AS$4=0, $G37&lt;&gt; $G$7, $E37=0), 'I&amp;E Monthly'!AS37, CHOOSE(Timeline!AS$30,$J37,$K37,$L37 )*INDEX('I&amp;E Profiles'!AS$96:AS$180,$I37))</f>
        <v>0</v>
      </c>
      <c r="AT37" s="10" cm="1">
        <f t="array" ref="AT37">IF(OR(AT$4=0, $G37&lt;&gt; $G$7, $E37=0), 'I&amp;E Monthly'!AT37, CHOOSE(Timeline!AT$30,$J37,$K37,$L37 )*INDEX('I&amp;E Profiles'!AT$96:AT$180,$I37))</f>
        <v>0</v>
      </c>
      <c r="AU37" s="10" cm="1">
        <f t="array" ref="AU37">IF(OR(AU$4=0, $G37&lt;&gt; $G$7, $E37=0), 'I&amp;E Monthly'!AU37, CHOOSE(Timeline!AU$30,$J37,$K37,$L37 )*INDEX('I&amp;E Profiles'!AU$96:AU$180,$I37))</f>
        <v>0</v>
      </c>
      <c r="AV37" s="10" cm="1">
        <f t="array" ref="AV37">IF(OR(AV$4=0, $G37&lt;&gt; $G$7, $E37=0), 'I&amp;E Monthly'!AV37, CHOOSE(Timeline!AV$30,$J37,$K37,$L37 )*INDEX('I&amp;E Profiles'!AV$96:AV$180,$I37))</f>
        <v>0</v>
      </c>
      <c r="AW37" s="10" cm="1">
        <f t="array" ref="AW37">IF(OR(AW$4=0, $G37&lt;&gt; $G$7, $E37=0), 'I&amp;E Monthly'!AW37, CHOOSE(Timeline!AW$30,$J37,$K37,$L37 )*INDEX('I&amp;E Profiles'!AW$96:AW$180,$I37))</f>
        <v>0</v>
      </c>
      <c r="AX37" s="10" cm="1">
        <f t="array" ref="AX37">IF(OR(AX$4=0, $G37&lt;&gt; $G$7, $E37=0), 'I&amp;E Monthly'!AX37, CHOOSE(Timeline!AX$30,$J37,$K37,$L37 )*INDEX('I&amp;E Profiles'!AX$96:AX$180,$I37))</f>
        <v>0</v>
      </c>
      <c r="AY37" s="10" cm="1">
        <f t="array" ref="AY37">IF(OR(AY$4=0, $G37&lt;&gt; $G$7, $E37=0), 'I&amp;E Monthly'!AY37, CHOOSE(Timeline!AY$30,$J37,$K37,$L37 )*INDEX('I&amp;E Profiles'!AY$96:AY$180,$I37))</f>
        <v>0</v>
      </c>
      <c r="AZ37" s="10" cm="1">
        <f t="array" ref="AZ37">IF(OR(AZ$4=0, $G37&lt;&gt; $G$7, $E37=0), 'I&amp;E Monthly'!AZ37, CHOOSE(Timeline!AZ$30,$J37,$K37,$L37 )*INDEX('I&amp;E Profiles'!AZ$96:AZ$180,$I37))</f>
        <v>0</v>
      </c>
      <c r="BA37" s="10" cm="1">
        <f t="array" ref="BA37">IF(OR(BA$4=0, $G37&lt;&gt; $G$7, $E37=0), 'I&amp;E Monthly'!BA37, CHOOSE(Timeline!BA$30,$J37,$K37,$L37 )*INDEX('I&amp;E Profiles'!BA$96:BA$180,$I37))</f>
        <v>0</v>
      </c>
      <c r="BB37" s="10" cm="1">
        <f t="array" ref="BB37">IF(OR(BB$4=0, $G37&lt;&gt; $G$7, $E37=0), 'I&amp;E Monthly'!BB37, CHOOSE(Timeline!BB$30,$J37,$K37,$L37 )*INDEX('I&amp;E Profiles'!BB$96:BB$180,$I37))</f>
        <v>0</v>
      </c>
      <c r="BC37" s="10" cm="1">
        <f t="array" ref="BC37">IF(OR(BC$4=0, $G37&lt;&gt; $G$7, $E37=0), 'I&amp;E Monthly'!BC37, CHOOSE(Timeline!BC$30,$J37,$K37,$L37 )*INDEX('I&amp;E Profiles'!BC$96:BC$180,$I37))</f>
        <v>0</v>
      </c>
      <c r="BD37" s="10" cm="1">
        <f t="array" ref="BD37">IF(OR(BD$4=0, $G37&lt;&gt; $G$7, $E37=0), 'I&amp;E Monthly'!BD37, CHOOSE(Timeline!BD$30,$J37,$K37,$L37 )*INDEX('I&amp;E Profiles'!BD$96:BD$180,$I37))</f>
        <v>0</v>
      </c>
      <c r="BE37" s="10" cm="1">
        <f t="array" ref="BE37">IF(OR(BE$4=0, $G37&lt;&gt; $G$7, $E37=0), 'I&amp;E Monthly'!BE37, CHOOSE(Timeline!BE$30,$J37,$K37,$L37 )*INDEX('I&amp;E Profiles'!BE$96:BE$180,$I37))</f>
        <v>0</v>
      </c>
      <c r="BF37" s="10" cm="1">
        <f t="array" ref="BF37">IF(OR(BF$4=0, $G37&lt;&gt; $G$7, $E37=0), 'I&amp;E Monthly'!BF37, CHOOSE(Timeline!BF$30,$J37,$K37,$L37 )*INDEX('I&amp;E Profiles'!BF$96:BF$180,$I37))</f>
        <v>0</v>
      </c>
      <c r="BG37" s="10" cm="1">
        <f t="array" ref="BG37">IF(OR(BG$4=0, $G37&lt;&gt; $G$7, $E37=0), 'I&amp;E Monthly'!BG37, CHOOSE(Timeline!BG$30,$J37,$K37,$L37 )*INDEX('I&amp;E Profiles'!BG$96:BG$180,$I37))</f>
        <v>0</v>
      </c>
      <c r="BH37" s="10" cm="1">
        <f t="array" ref="BH37">IF(OR(BH$4=0, $G37&lt;&gt; $G$7, $E37=0), 'I&amp;E Monthly'!BH37, CHOOSE(Timeline!BH$30,$J37,$K37,$L37 )*INDEX('I&amp;E Profiles'!BH$96:BH$180,$I37))</f>
        <v>0</v>
      </c>
      <c r="BI37" s="10" cm="1">
        <f t="array" ref="BI37">IF(OR(BI$4=0, $G37&lt;&gt; $G$7, $E37=0), 'I&amp;E Monthly'!BI37, CHOOSE(Timeline!BI$30,$J37,$K37,$L37 )*INDEX('I&amp;E Profiles'!BI$96:BI$180,$I37))</f>
        <v>0</v>
      </c>
      <c r="BJ37" s="10" cm="1">
        <f t="array" ref="BJ37">IF(OR(BJ$4=0, $G37&lt;&gt; $G$7, $E37=0), 'I&amp;E Monthly'!BJ37, CHOOSE(Timeline!BJ$30,$J37,$K37,$L37 )*INDEX('I&amp;E Profiles'!BJ$96:BJ$180,$I37))</f>
        <v>0</v>
      </c>
      <c r="BX37" s="12">
        <f>V37</f>
        <v>0</v>
      </c>
      <c r="BY37" s="10">
        <f t="shared" si="27"/>
        <v>0</v>
      </c>
      <c r="BZ37" s="10">
        <f t="shared" si="27"/>
        <v>0</v>
      </c>
      <c r="CA37" s="10">
        <f t="shared" si="27"/>
        <v>0</v>
      </c>
      <c r="CB37" s="12">
        <f>'I&amp;E Monthly'!CB37</f>
        <v>0</v>
      </c>
      <c r="CC37" s="12">
        <f>'I&amp;E Monthly'!CC37</f>
        <v>0</v>
      </c>
      <c r="CD37" s="12">
        <f>'I&amp;E Monthly'!CD37</f>
        <v>0</v>
      </c>
      <c r="CE37" s="12">
        <f>'I&amp;E Monthly'!CE37</f>
        <v>0</v>
      </c>
      <c r="CF37" s="12">
        <f>'I&amp;E Monthly'!CF37</f>
        <v>0</v>
      </c>
      <c r="CG37" s="12">
        <f>'I&amp;E Monthly'!CG37</f>
        <v>0</v>
      </c>
      <c r="CH37" s="12">
        <f>'I&amp;E Monthly'!CH37</f>
        <v>0</v>
      </c>
      <c r="CI37" s="12">
        <f>'I&amp;E Monthly'!CI37</f>
        <v>0</v>
      </c>
      <c r="CK37" s="11"/>
      <c r="CL37" s="221">
        <f t="shared" ca="1" si="28"/>
        <v>0</v>
      </c>
      <c r="CM37" s="11"/>
      <c r="CN37" s="7">
        <f>IF(AND($G37=$G$7,$E37=""), 1, 0)</f>
        <v>0</v>
      </c>
      <c r="CO37" s="7" cm="1">
        <f t="array" ref="CO37">SUMPRODUCT(--NOT(ISNUMBER(W37:Y37)),--NOT(ISBLANK(W37:Y37)))</f>
        <v>0</v>
      </c>
      <c r="CP37" s="7" cm="1">
        <f t="array" ref="CP37">IF(E37="",0, IF(IFERROR(INDEX('I&amp;E Profiles'!$D$96:$D$180, $I37), "N/A")="N/A", 1, 0))</f>
        <v>0</v>
      </c>
      <c r="CQ37" s="7">
        <f t="shared" si="29"/>
        <v>0</v>
      </c>
      <c r="CS37" s="7">
        <f t="shared" si="30"/>
        <v>0</v>
      </c>
      <c r="CT37" s="7">
        <f t="shared" si="31"/>
        <v>0</v>
      </c>
      <c r="CU37" s="11"/>
      <c r="CV37" s="215">
        <f t="shared" si="32"/>
        <v>0</v>
      </c>
      <c r="CW37" s="215">
        <f t="shared" si="32"/>
        <v>0</v>
      </c>
      <c r="CX37" s="215">
        <f t="shared" si="32"/>
        <v>0</v>
      </c>
      <c r="CY37" s="215">
        <f t="shared" si="33"/>
        <v>0</v>
      </c>
      <c r="CZ37" s="215">
        <f t="shared" si="34"/>
        <v>0</v>
      </c>
      <c r="DA37" s="215">
        <f t="shared" si="35"/>
        <v>0</v>
      </c>
      <c r="DB37" s="215">
        <f t="shared" si="36"/>
        <v>0</v>
      </c>
      <c r="FN37" s="10" t="str">
        <f t="shared" si="1"/>
        <v>Subcontracted in - Adult Education and Training Income</v>
      </c>
    </row>
    <row r="38" spans="1:170" s="5" customFormat="1" ht="29" x14ac:dyDescent="0.35">
      <c r="A38" s="220" cm="1">
        <f t="array" aca="1" ref="A38" ca="1">HYPERLINK(CONCATENATE("#",CELL("address",IF(MAX($CM38:$CU38)=0,A38,INDEX($CM38:$CU38,MATCH(1,$CM38:$CU38,0))))),MAX($CM38:$CU38))</f>
        <v>0</v>
      </c>
      <c r="C38" s="213" t="s">
        <v>498</v>
      </c>
      <c r="D38" s="61" t="s">
        <v>341</v>
      </c>
      <c r="Q38" s="2"/>
      <c r="R38"/>
      <c r="S38"/>
      <c r="T38"/>
      <c r="U38"/>
      <c r="V38" s="12">
        <f>SUM(V33:V37)</f>
        <v>0</v>
      </c>
      <c r="W38" s="12">
        <f>SUM(W33:W37)</f>
        <v>0</v>
      </c>
      <c r="X38" s="12">
        <f>SUM(X33:X37)</f>
        <v>0</v>
      </c>
      <c r="Y38" s="12">
        <f>SUM(Y33:Y37)</f>
        <v>0</v>
      </c>
      <c r="Z38"/>
      <c r="AA38" s="12">
        <f t="shared" ref="AA38:BJ38" si="37">SUM(AA33:AA37)</f>
        <v>0</v>
      </c>
      <c r="AB38" s="12">
        <f t="shared" si="37"/>
        <v>0</v>
      </c>
      <c r="AC38" s="12">
        <f t="shared" si="37"/>
        <v>0</v>
      </c>
      <c r="AD38" s="12">
        <f t="shared" si="37"/>
        <v>0</v>
      </c>
      <c r="AE38" s="12">
        <f t="shared" si="37"/>
        <v>0</v>
      </c>
      <c r="AF38" s="12">
        <f t="shared" si="37"/>
        <v>0</v>
      </c>
      <c r="AG38" s="12">
        <f t="shared" si="37"/>
        <v>0</v>
      </c>
      <c r="AH38" s="12">
        <f t="shared" si="37"/>
        <v>0</v>
      </c>
      <c r="AI38" s="12">
        <f t="shared" si="37"/>
        <v>0</v>
      </c>
      <c r="AJ38" s="12">
        <f t="shared" si="37"/>
        <v>0</v>
      </c>
      <c r="AK38" s="12">
        <f t="shared" si="37"/>
        <v>0</v>
      </c>
      <c r="AL38" s="12">
        <f t="shared" si="37"/>
        <v>0</v>
      </c>
      <c r="AM38" s="12">
        <f t="shared" si="37"/>
        <v>0</v>
      </c>
      <c r="AN38" s="12">
        <f t="shared" si="37"/>
        <v>0</v>
      </c>
      <c r="AO38" s="12">
        <f t="shared" si="37"/>
        <v>0</v>
      </c>
      <c r="AP38" s="12">
        <f t="shared" si="37"/>
        <v>0</v>
      </c>
      <c r="AQ38" s="12">
        <f t="shared" si="37"/>
        <v>0</v>
      </c>
      <c r="AR38" s="12">
        <f t="shared" si="37"/>
        <v>0</v>
      </c>
      <c r="AS38" s="12">
        <f t="shared" si="37"/>
        <v>0</v>
      </c>
      <c r="AT38" s="12">
        <f t="shared" si="37"/>
        <v>0</v>
      </c>
      <c r="AU38" s="12">
        <f t="shared" si="37"/>
        <v>0</v>
      </c>
      <c r="AV38" s="12">
        <f t="shared" si="37"/>
        <v>0</v>
      </c>
      <c r="AW38" s="12">
        <f t="shared" si="37"/>
        <v>0</v>
      </c>
      <c r="AX38" s="12">
        <f t="shared" si="37"/>
        <v>0</v>
      </c>
      <c r="AY38" s="12">
        <f t="shared" si="37"/>
        <v>0</v>
      </c>
      <c r="AZ38" s="12">
        <f t="shared" si="37"/>
        <v>0</v>
      </c>
      <c r="BA38" s="12">
        <f t="shared" si="37"/>
        <v>0</v>
      </c>
      <c r="BB38" s="12">
        <f t="shared" si="37"/>
        <v>0</v>
      </c>
      <c r="BC38" s="12">
        <f t="shared" si="37"/>
        <v>0</v>
      </c>
      <c r="BD38" s="12">
        <f t="shared" si="37"/>
        <v>0</v>
      </c>
      <c r="BE38" s="12">
        <f t="shared" si="37"/>
        <v>0</v>
      </c>
      <c r="BF38" s="12">
        <f t="shared" si="37"/>
        <v>0</v>
      </c>
      <c r="BG38" s="12">
        <f t="shared" si="37"/>
        <v>0</v>
      </c>
      <c r="BH38" s="12">
        <f t="shared" si="37"/>
        <v>0</v>
      </c>
      <c r="BI38" s="12">
        <f t="shared" si="37"/>
        <v>0</v>
      </c>
      <c r="BJ38" s="12">
        <f t="shared" si="37"/>
        <v>0</v>
      </c>
      <c r="BK38"/>
      <c r="BL38"/>
      <c r="BM38"/>
      <c r="BN38"/>
      <c r="BO38"/>
      <c r="BP38"/>
      <c r="BQ38"/>
      <c r="BR38"/>
      <c r="BS38"/>
      <c r="BT38"/>
      <c r="BU38"/>
      <c r="BV38"/>
      <c r="BW38"/>
      <c r="BX38" s="12">
        <f t="shared" ref="BX38:CI38" si="38">SUM(BX33:BX37)</f>
        <v>0</v>
      </c>
      <c r="BY38" s="12">
        <f t="shared" si="38"/>
        <v>0</v>
      </c>
      <c r="BZ38" s="12">
        <f t="shared" si="38"/>
        <v>0</v>
      </c>
      <c r="CA38" s="12">
        <f t="shared" si="38"/>
        <v>0</v>
      </c>
      <c r="CB38" s="12">
        <f t="shared" si="38"/>
        <v>0</v>
      </c>
      <c r="CC38" s="12">
        <f t="shared" si="38"/>
        <v>0</v>
      </c>
      <c r="CD38" s="12">
        <f t="shared" si="38"/>
        <v>0</v>
      </c>
      <c r="CE38" s="12">
        <f t="shared" si="38"/>
        <v>0</v>
      </c>
      <c r="CF38" s="12">
        <f t="shared" si="38"/>
        <v>0</v>
      </c>
      <c r="CG38" s="12">
        <f t="shared" si="38"/>
        <v>0</v>
      </c>
      <c r="CH38" s="12">
        <f t="shared" si="38"/>
        <v>0</v>
      </c>
      <c r="CI38" s="12">
        <f t="shared" si="38"/>
        <v>0</v>
      </c>
      <c r="CK38" s="11"/>
      <c r="CL38" s="221">
        <f t="shared" ca="1" si="28"/>
        <v>0</v>
      </c>
      <c r="CM38" s="11"/>
      <c r="CN38"/>
      <c r="CO38"/>
      <c r="CP38"/>
      <c r="CQ38" s="7">
        <f t="shared" si="29"/>
        <v>0</v>
      </c>
      <c r="CR38"/>
      <c r="CS38" s="7">
        <f t="shared" si="30"/>
        <v>0</v>
      </c>
      <c r="CT38" s="7">
        <f t="shared" si="31"/>
        <v>0</v>
      </c>
      <c r="CU38" s="11"/>
      <c r="CV38" s="215">
        <f t="shared" si="32"/>
        <v>0</v>
      </c>
      <c r="CW38" s="215">
        <f t="shared" si="32"/>
        <v>0</v>
      </c>
      <c r="CX38" s="215">
        <f t="shared" si="32"/>
        <v>0</v>
      </c>
      <c r="CY38" s="215">
        <f t="shared" si="33"/>
        <v>0</v>
      </c>
      <c r="CZ38" s="215">
        <f t="shared" si="34"/>
        <v>0</v>
      </c>
      <c r="DA38" s="215">
        <f t="shared" si="35"/>
        <v>0</v>
      </c>
      <c r="DB38" s="215">
        <f t="shared" si="36"/>
        <v>0</v>
      </c>
      <c r="DC38"/>
      <c r="FN38" s="10" t="str">
        <f t="shared" si="1"/>
        <v>Total Adult Education and Training Income (Excluding clawbacks)</v>
      </c>
    </row>
    <row r="39" spans="1:170" ht="29" x14ac:dyDescent="0.35">
      <c r="A39" s="220" cm="1">
        <f t="array" aca="1" ref="A39" ca="1">HYPERLINK(CONCATENATE("#",CELL("address",IF(MAX($CM39:$CU39)=0,A39,INDEX($CM39:$CU39,MATCH(1,$CM39:$CU39,0))))),MAX($CM39:$CU39))</f>
        <v>0</v>
      </c>
      <c r="C39" s="213" t="s">
        <v>499</v>
      </c>
      <c r="D39" s="57" t="s">
        <v>342</v>
      </c>
      <c r="E39" s="114"/>
      <c r="F39" s="79" t="str" cm="1">
        <f t="array" aca="1" ref="F39" ca="1">IF(E39="", "", HYPERLINK(CONCATENATE("#",CELL("address",INDEX('I&amp;E Profiles'!$D$9:$D$93,'I&amp;E Annual'!I39))),E39))</f>
        <v/>
      </c>
      <c r="G39" s="114"/>
      <c r="H39" t="s">
        <v>317</v>
      </c>
      <c r="I39" s="132" t="str">
        <f>IF(E39="", "", MATCH(E39, 'I&amp;E Profiles'!$D$96:$D$180,0))</f>
        <v/>
      </c>
      <c r="J39" s="133">
        <f>IF($G39=$G$7, W39,'I&amp;E Monthly'!W39)-SUMIFS('I&amp;E Monthly'!$AA39:$BJ39, 'I&amp;E Monthly'!$AA$3:$BJ$3, 'I&amp;E Annual'!W$3, 'I&amp;E Monthly'!$AA$4:$BJ$4, 0)</f>
        <v>0</v>
      </c>
      <c r="K39" s="133">
        <f>IF($G39=$G$7, X39,'I&amp;E Monthly'!X39)-SUMIFS('I&amp;E Monthly'!$AA39:$BJ39, 'I&amp;E Monthly'!$AA$3:$BJ$3, 'I&amp;E Annual'!X$3, 'I&amp;E Monthly'!$AA$4:$BJ$4, 0)</f>
        <v>0</v>
      </c>
      <c r="L39" s="133">
        <f>IF($G39=$G$7, Y39,'I&amp;E Monthly'!Y39)-SUMIFS('I&amp;E Monthly'!$AA39:$BJ39, 'I&amp;E Monthly'!$AA$3:$BJ$3, 'I&amp;E Annual'!Y$3, 'I&amp;E Monthly'!$AA$4:$BJ$4, 0)</f>
        <v>0</v>
      </c>
      <c r="Q39" s="2"/>
      <c r="V39" s="133">
        <f>'I&amp;E Monthly'!V39</f>
        <v>0</v>
      </c>
      <c r="W39" s="114"/>
      <c r="X39" s="131"/>
      <c r="Y39" s="131"/>
      <c r="AA39" s="10" cm="1">
        <f t="array" ref="AA39">IF(OR(AA$4=0, $G39&lt;&gt; $G$7, $E39=0), 'I&amp;E Monthly'!AA39, CHOOSE(Timeline!AA$30,$J39,$K39,$L39 )*INDEX('I&amp;E Profiles'!AA$96:AA$180,$I39))</f>
        <v>0</v>
      </c>
      <c r="AB39" s="10" cm="1">
        <f t="array" ref="AB39">IF(OR(AB$4=0, $G39&lt;&gt; $G$7, $E39=0), 'I&amp;E Monthly'!AB39, CHOOSE(Timeline!AB$30,$J39,$K39,$L39 )*INDEX('I&amp;E Profiles'!AB$96:AB$180,$I39))</f>
        <v>0</v>
      </c>
      <c r="AC39" s="10" cm="1">
        <f t="array" ref="AC39">IF(OR(AC$4=0, $G39&lt;&gt; $G$7, $E39=0), 'I&amp;E Monthly'!AC39, CHOOSE(Timeline!AC$30,$J39,$K39,$L39 )*INDEX('I&amp;E Profiles'!AC$96:AC$180,$I39))</f>
        <v>0</v>
      </c>
      <c r="AD39" s="10" cm="1">
        <f t="array" ref="AD39">IF(OR(AD$4=0, $G39&lt;&gt; $G$7, $E39=0), 'I&amp;E Monthly'!AD39, CHOOSE(Timeline!AD$30,$J39,$K39,$L39 )*INDEX('I&amp;E Profiles'!AD$96:AD$180,$I39))</f>
        <v>0</v>
      </c>
      <c r="AE39" s="10" cm="1">
        <f t="array" ref="AE39">IF(OR(AE$4=0, $G39&lt;&gt; $G$7, $E39=0), 'I&amp;E Monthly'!AE39, CHOOSE(Timeline!AE$30,$J39,$K39,$L39 )*INDEX('I&amp;E Profiles'!AE$96:AE$180,$I39))</f>
        <v>0</v>
      </c>
      <c r="AF39" s="10" cm="1">
        <f t="array" ref="AF39">IF(OR(AF$4=0, $G39&lt;&gt; $G$7, $E39=0), 'I&amp;E Monthly'!AF39, CHOOSE(Timeline!AF$30,$J39,$K39,$L39 )*INDEX('I&amp;E Profiles'!AF$96:AF$180,$I39))</f>
        <v>0</v>
      </c>
      <c r="AG39" s="10" cm="1">
        <f t="array" ref="AG39">IF(OR(AG$4=0, $G39&lt;&gt; $G$7, $E39=0), 'I&amp;E Monthly'!AG39, CHOOSE(Timeline!AG$30,$J39,$K39,$L39 )*INDEX('I&amp;E Profiles'!AG$96:AG$180,$I39))</f>
        <v>0</v>
      </c>
      <c r="AH39" s="10" cm="1">
        <f t="array" ref="AH39">IF(OR(AH$4=0, $G39&lt;&gt; $G$7, $E39=0), 'I&amp;E Monthly'!AH39, CHOOSE(Timeline!AH$30,$J39,$K39,$L39 )*INDEX('I&amp;E Profiles'!AH$96:AH$180,$I39))</f>
        <v>0</v>
      </c>
      <c r="AI39" s="10" cm="1">
        <f t="array" ref="AI39">IF(OR(AI$4=0, $G39&lt;&gt; $G$7, $E39=0), 'I&amp;E Monthly'!AI39, CHOOSE(Timeline!AI$30,$J39,$K39,$L39 )*INDEX('I&amp;E Profiles'!AI$96:AI$180,$I39))</f>
        <v>0</v>
      </c>
      <c r="AJ39" s="10" cm="1">
        <f t="array" ref="AJ39">IF(OR(AJ$4=0, $G39&lt;&gt; $G$7, $E39=0), 'I&amp;E Monthly'!AJ39, CHOOSE(Timeline!AJ$30,$J39,$K39,$L39 )*INDEX('I&amp;E Profiles'!AJ$96:AJ$180,$I39))</f>
        <v>0</v>
      </c>
      <c r="AK39" s="10" cm="1">
        <f t="array" ref="AK39">IF(OR(AK$4=0, $G39&lt;&gt; $G$7, $E39=0), 'I&amp;E Monthly'!AK39, CHOOSE(Timeline!AK$30,$J39,$K39,$L39 )*INDEX('I&amp;E Profiles'!AK$96:AK$180,$I39))</f>
        <v>0</v>
      </c>
      <c r="AL39" s="10" cm="1">
        <f t="array" ref="AL39">IF(OR(AL$4=0, $G39&lt;&gt; $G$7, $E39=0), 'I&amp;E Monthly'!AL39, CHOOSE(Timeline!AL$30,$J39,$K39,$L39 )*INDEX('I&amp;E Profiles'!AL$96:AL$180,$I39))</f>
        <v>0</v>
      </c>
      <c r="AM39" s="10" cm="1">
        <f t="array" ref="AM39">IF(OR(AM$4=0, $G39&lt;&gt; $G$7, $E39=0), 'I&amp;E Monthly'!AM39, CHOOSE(Timeline!AM$30,$J39,$K39,$L39 )*INDEX('I&amp;E Profiles'!AM$96:AM$180,$I39))</f>
        <v>0</v>
      </c>
      <c r="AN39" s="10" cm="1">
        <f t="array" ref="AN39">IF(OR(AN$4=0, $G39&lt;&gt; $G$7, $E39=0), 'I&amp;E Monthly'!AN39, CHOOSE(Timeline!AN$30,$J39,$K39,$L39 )*INDEX('I&amp;E Profiles'!AN$96:AN$180,$I39))</f>
        <v>0</v>
      </c>
      <c r="AO39" s="10" cm="1">
        <f t="array" ref="AO39">IF(OR(AO$4=0, $G39&lt;&gt; $G$7, $E39=0), 'I&amp;E Monthly'!AO39, CHOOSE(Timeline!AO$30,$J39,$K39,$L39 )*INDEX('I&amp;E Profiles'!AO$96:AO$180,$I39))</f>
        <v>0</v>
      </c>
      <c r="AP39" s="10" cm="1">
        <f t="array" ref="AP39">IF(OR(AP$4=0, $G39&lt;&gt; $G$7, $E39=0), 'I&amp;E Monthly'!AP39, CHOOSE(Timeline!AP$30,$J39,$K39,$L39 )*INDEX('I&amp;E Profiles'!AP$96:AP$180,$I39))</f>
        <v>0</v>
      </c>
      <c r="AQ39" s="10" cm="1">
        <f t="array" ref="AQ39">IF(OR(AQ$4=0, $G39&lt;&gt; $G$7, $E39=0), 'I&amp;E Monthly'!AQ39, CHOOSE(Timeline!AQ$30,$J39,$K39,$L39 )*INDEX('I&amp;E Profiles'!AQ$96:AQ$180,$I39))</f>
        <v>0</v>
      </c>
      <c r="AR39" s="10" cm="1">
        <f t="array" ref="AR39">IF(OR(AR$4=0, $G39&lt;&gt; $G$7, $E39=0), 'I&amp;E Monthly'!AR39, CHOOSE(Timeline!AR$30,$J39,$K39,$L39 )*INDEX('I&amp;E Profiles'!AR$96:AR$180,$I39))</f>
        <v>0</v>
      </c>
      <c r="AS39" s="10" cm="1">
        <f t="array" ref="AS39">IF(OR(AS$4=0, $G39&lt;&gt; $G$7, $E39=0), 'I&amp;E Monthly'!AS39, CHOOSE(Timeline!AS$30,$J39,$K39,$L39 )*INDEX('I&amp;E Profiles'!AS$96:AS$180,$I39))</f>
        <v>0</v>
      </c>
      <c r="AT39" s="10" cm="1">
        <f t="array" ref="AT39">IF(OR(AT$4=0, $G39&lt;&gt; $G$7, $E39=0), 'I&amp;E Monthly'!AT39, CHOOSE(Timeline!AT$30,$J39,$K39,$L39 )*INDEX('I&amp;E Profiles'!AT$96:AT$180,$I39))</f>
        <v>0</v>
      </c>
      <c r="AU39" s="10" cm="1">
        <f t="array" ref="AU39">IF(OR(AU$4=0, $G39&lt;&gt; $G$7, $E39=0), 'I&amp;E Monthly'!AU39, CHOOSE(Timeline!AU$30,$J39,$K39,$L39 )*INDEX('I&amp;E Profiles'!AU$96:AU$180,$I39))</f>
        <v>0</v>
      </c>
      <c r="AV39" s="10" cm="1">
        <f t="array" ref="AV39">IF(OR(AV$4=0, $G39&lt;&gt; $G$7, $E39=0), 'I&amp;E Monthly'!AV39, CHOOSE(Timeline!AV$30,$J39,$K39,$L39 )*INDEX('I&amp;E Profiles'!AV$96:AV$180,$I39))</f>
        <v>0</v>
      </c>
      <c r="AW39" s="10" cm="1">
        <f t="array" ref="AW39">IF(OR(AW$4=0, $G39&lt;&gt; $G$7, $E39=0), 'I&amp;E Monthly'!AW39, CHOOSE(Timeline!AW$30,$J39,$K39,$L39 )*INDEX('I&amp;E Profiles'!AW$96:AW$180,$I39))</f>
        <v>0</v>
      </c>
      <c r="AX39" s="10" cm="1">
        <f t="array" ref="AX39">IF(OR(AX$4=0, $G39&lt;&gt; $G$7, $E39=0), 'I&amp;E Monthly'!AX39, CHOOSE(Timeline!AX$30,$J39,$K39,$L39 )*INDEX('I&amp;E Profiles'!AX$96:AX$180,$I39))</f>
        <v>0</v>
      </c>
      <c r="AY39" s="10" cm="1">
        <f t="array" ref="AY39">IF(OR(AY$4=0, $G39&lt;&gt; $G$7, $E39=0), 'I&amp;E Monthly'!AY39, CHOOSE(Timeline!AY$30,$J39,$K39,$L39 )*INDEX('I&amp;E Profiles'!AY$96:AY$180,$I39))</f>
        <v>0</v>
      </c>
      <c r="AZ39" s="10" cm="1">
        <f t="array" ref="AZ39">IF(OR(AZ$4=0, $G39&lt;&gt; $G$7, $E39=0), 'I&amp;E Monthly'!AZ39, CHOOSE(Timeline!AZ$30,$J39,$K39,$L39 )*INDEX('I&amp;E Profiles'!AZ$96:AZ$180,$I39))</f>
        <v>0</v>
      </c>
      <c r="BA39" s="10" cm="1">
        <f t="array" ref="BA39">IF(OR(BA$4=0, $G39&lt;&gt; $G$7, $E39=0), 'I&amp;E Monthly'!BA39, CHOOSE(Timeline!BA$30,$J39,$K39,$L39 )*INDEX('I&amp;E Profiles'!BA$96:BA$180,$I39))</f>
        <v>0</v>
      </c>
      <c r="BB39" s="10" cm="1">
        <f t="array" ref="BB39">IF(OR(BB$4=0, $G39&lt;&gt; $G$7, $E39=0), 'I&amp;E Monthly'!BB39, CHOOSE(Timeline!BB$30,$J39,$K39,$L39 )*INDEX('I&amp;E Profiles'!BB$96:BB$180,$I39))</f>
        <v>0</v>
      </c>
      <c r="BC39" s="10" cm="1">
        <f t="array" ref="BC39">IF(OR(BC$4=0, $G39&lt;&gt; $G$7, $E39=0), 'I&amp;E Monthly'!BC39, CHOOSE(Timeline!BC$30,$J39,$K39,$L39 )*INDEX('I&amp;E Profiles'!BC$96:BC$180,$I39))</f>
        <v>0</v>
      </c>
      <c r="BD39" s="10" cm="1">
        <f t="array" ref="BD39">IF(OR(BD$4=0, $G39&lt;&gt; $G$7, $E39=0), 'I&amp;E Monthly'!BD39, CHOOSE(Timeline!BD$30,$J39,$K39,$L39 )*INDEX('I&amp;E Profiles'!BD$96:BD$180,$I39))</f>
        <v>0</v>
      </c>
      <c r="BE39" s="10" cm="1">
        <f t="array" ref="BE39">IF(OR(BE$4=0, $G39&lt;&gt; $G$7, $E39=0), 'I&amp;E Monthly'!BE39, CHOOSE(Timeline!BE$30,$J39,$K39,$L39 )*INDEX('I&amp;E Profiles'!BE$96:BE$180,$I39))</f>
        <v>0</v>
      </c>
      <c r="BF39" s="10" cm="1">
        <f t="array" ref="BF39">IF(OR(BF$4=0, $G39&lt;&gt; $G$7, $E39=0), 'I&amp;E Monthly'!BF39, CHOOSE(Timeline!BF$30,$J39,$K39,$L39 )*INDEX('I&amp;E Profiles'!BF$96:BF$180,$I39))</f>
        <v>0</v>
      </c>
      <c r="BG39" s="10" cm="1">
        <f t="array" ref="BG39">IF(OR(BG$4=0, $G39&lt;&gt; $G$7, $E39=0), 'I&amp;E Monthly'!BG39, CHOOSE(Timeline!BG$30,$J39,$K39,$L39 )*INDEX('I&amp;E Profiles'!BG$96:BG$180,$I39))</f>
        <v>0</v>
      </c>
      <c r="BH39" s="10" cm="1">
        <f t="array" ref="BH39">IF(OR(BH$4=0, $G39&lt;&gt; $G$7, $E39=0), 'I&amp;E Monthly'!BH39, CHOOSE(Timeline!BH$30,$J39,$K39,$L39 )*INDEX('I&amp;E Profiles'!BH$96:BH$180,$I39))</f>
        <v>0</v>
      </c>
      <c r="BI39" s="10" cm="1">
        <f t="array" ref="BI39">IF(OR(BI$4=0, $G39&lt;&gt; $G$7, $E39=0), 'I&amp;E Monthly'!BI39, CHOOSE(Timeline!BI$30,$J39,$K39,$L39 )*INDEX('I&amp;E Profiles'!BI$96:BI$180,$I39))</f>
        <v>0</v>
      </c>
      <c r="BJ39" s="10" cm="1">
        <f t="array" ref="BJ39">IF(OR(BJ$4=0, $G39&lt;&gt; $G$7, $E39=0), 'I&amp;E Monthly'!BJ39, CHOOSE(Timeline!BJ$30,$J39,$K39,$L39 )*INDEX('I&amp;E Profiles'!BJ$96:BJ$180,$I39))</f>
        <v>0</v>
      </c>
      <c r="BX39" s="12">
        <f>V39</f>
        <v>0</v>
      </c>
      <c r="BY39" s="10">
        <f>SUMIFS($AA39:$BJ39, $AA$3:$BJ$3,BY$3)</f>
        <v>0</v>
      </c>
      <c r="BZ39" s="10">
        <f>SUMIFS($AA39:$BJ39, $AA$3:$BJ$3,BZ$3)</f>
        <v>0</v>
      </c>
      <c r="CA39" s="10">
        <f>SUMIFS($AA39:$BJ39, $AA$3:$BJ$3,CA$3)</f>
        <v>0</v>
      </c>
      <c r="CB39" s="12">
        <f>'I&amp;E Monthly'!CB39</f>
        <v>0</v>
      </c>
      <c r="CC39" s="12">
        <f>'I&amp;E Monthly'!CC39</f>
        <v>0</v>
      </c>
      <c r="CD39" s="12">
        <f>'I&amp;E Monthly'!CD39</f>
        <v>0</v>
      </c>
      <c r="CE39" s="12">
        <f>'I&amp;E Monthly'!CE39</f>
        <v>0</v>
      </c>
      <c r="CF39" s="12">
        <f>'I&amp;E Monthly'!CF39</f>
        <v>0</v>
      </c>
      <c r="CG39" s="12">
        <f>'I&amp;E Monthly'!CG39</f>
        <v>0</v>
      </c>
      <c r="CH39" s="12">
        <f>'I&amp;E Monthly'!CH39</f>
        <v>0</v>
      </c>
      <c r="CI39" s="12">
        <f>'I&amp;E Monthly'!CI39</f>
        <v>0</v>
      </c>
      <c r="CK39" s="11"/>
      <c r="CL39" s="221">
        <f t="shared" ca="1" si="28"/>
        <v>0</v>
      </c>
      <c r="CM39" s="11"/>
      <c r="CN39" s="7">
        <f>IF(AND($G39=$G$7,$E39=""), 1, 0)</f>
        <v>0</v>
      </c>
      <c r="CO39" s="7" cm="1">
        <f t="array" ref="CO39">SUMPRODUCT(--NOT(ISNUMBER(W39:Y39)),--NOT(ISBLANK(W39:Y39)))</f>
        <v>0</v>
      </c>
      <c r="CP39" s="7" cm="1">
        <f t="array" ref="CP39">IF(E39="",0, IF(IFERROR(INDEX('I&amp;E Profiles'!$D$96:$D$180, $I39), "N/A")="N/A", 1, 0))</f>
        <v>0</v>
      </c>
      <c r="CQ39" s="7">
        <f t="shared" si="29"/>
        <v>0</v>
      </c>
      <c r="CR39" s="7">
        <f>IF(DC39=0,0,1)</f>
        <v>0</v>
      </c>
      <c r="CS39" s="7">
        <f t="shared" si="30"/>
        <v>0</v>
      </c>
      <c r="CT39" s="7">
        <f t="shared" si="31"/>
        <v>0</v>
      </c>
      <c r="CU39" s="11"/>
      <c r="CV39" s="215">
        <f t="shared" si="32"/>
        <v>0</v>
      </c>
      <c r="CW39" s="215">
        <f t="shared" si="32"/>
        <v>0</v>
      </c>
      <c r="CX39" s="215">
        <f t="shared" si="32"/>
        <v>0</v>
      </c>
      <c r="CY39" s="215">
        <f t="shared" si="33"/>
        <v>0</v>
      </c>
      <c r="CZ39" s="215">
        <f t="shared" si="34"/>
        <v>0</v>
      </c>
      <c r="DA39" s="215">
        <f t="shared" si="35"/>
        <v>0</v>
      </c>
      <c r="DB39" s="215">
        <f t="shared" si="36"/>
        <v>0</v>
      </c>
      <c r="DC39" s="508">
        <f>SUM(DE39:DP39)</f>
        <v>0</v>
      </c>
      <c r="DE39" s="7">
        <f t="shared" ref="DE39:DP39" si="39">IF(BX39&gt;BX38, 1, 0)</f>
        <v>0</v>
      </c>
      <c r="DF39" s="7">
        <f t="shared" si="39"/>
        <v>0</v>
      </c>
      <c r="DG39" s="7">
        <f t="shared" si="39"/>
        <v>0</v>
      </c>
      <c r="DH39" s="7">
        <f t="shared" si="39"/>
        <v>0</v>
      </c>
      <c r="DI39" s="7">
        <f t="shared" si="39"/>
        <v>0</v>
      </c>
      <c r="DJ39" s="7">
        <f t="shared" si="39"/>
        <v>0</v>
      </c>
      <c r="DK39" s="7">
        <f t="shared" si="39"/>
        <v>0</v>
      </c>
      <c r="DL39" s="7">
        <f t="shared" si="39"/>
        <v>0</v>
      </c>
      <c r="DM39" s="7">
        <f t="shared" si="39"/>
        <v>0</v>
      </c>
      <c r="DN39" s="7">
        <f t="shared" si="39"/>
        <v>0</v>
      </c>
      <c r="DO39" s="7">
        <f t="shared" si="39"/>
        <v>0</v>
      </c>
      <c r="DP39" s="7">
        <f t="shared" si="39"/>
        <v>0</v>
      </c>
      <c r="FN39" s="10" t="str">
        <f t="shared" si="1"/>
        <v>Of which: subcontracted out Adult Education and Training Income</v>
      </c>
    </row>
    <row r="40" spans="1:170" ht="6.75" customHeight="1" x14ac:dyDescent="0.35">
      <c r="C40" s="213"/>
      <c r="D40" s="57"/>
      <c r="Q40" s="2"/>
      <c r="BY40" s="6"/>
      <c r="CK40" s="35"/>
      <c r="CM40" s="35"/>
      <c r="CU40" s="35"/>
      <c r="CV40" s="215"/>
      <c r="CW40" s="215"/>
      <c r="CX40" s="215"/>
      <c r="CY40" s="215"/>
      <c r="FN40" s="10" t="str">
        <f t="shared" ref="FN40:FN78" si="40">IF($C40="","",$D40)</f>
        <v/>
      </c>
    </row>
    <row r="41" spans="1:170" x14ac:dyDescent="0.35">
      <c r="B41" s="5"/>
      <c r="C41" s="213"/>
      <c r="D41" s="61" t="s">
        <v>343</v>
      </c>
      <c r="E41" s="5"/>
      <c r="Q41" s="2"/>
      <c r="CK41" s="11"/>
      <c r="CM41" s="11"/>
      <c r="CU41" s="11"/>
      <c r="CV41" s="215"/>
      <c r="CW41" s="215"/>
      <c r="CX41" s="215"/>
      <c r="CY41" s="215"/>
      <c r="FN41" s="10" t="str">
        <f t="shared" si="40"/>
        <v/>
      </c>
    </row>
    <row r="42" spans="1:170" x14ac:dyDescent="0.35">
      <c r="A42" s="220" cm="1">
        <f t="array" aca="1" ref="A42" ca="1">HYPERLINK(CONCATENATE("#",CELL("address",IF(MAX($CM42:$CU42)=0,A42,INDEX($CM42:$CU42,MATCH(1,$CM42:$CU42,0))))),MAX($CM42:$CU42))</f>
        <v>0</v>
      </c>
      <c r="C42" s="213" t="s">
        <v>500</v>
      </c>
      <c r="D42" s="57" t="s">
        <v>344</v>
      </c>
      <c r="E42" s="114"/>
      <c r="F42" s="79" t="str" cm="1">
        <f t="array" aca="1" ref="F42" ca="1">IF(E42="", "", HYPERLINK(CONCATENATE("#",CELL("address",INDEX('I&amp;E Profiles'!$D$9:$D$93,'I&amp;E Annual'!I42))),E42))</f>
        <v/>
      </c>
      <c r="G42" s="114"/>
      <c r="H42" t="s">
        <v>317</v>
      </c>
      <c r="I42" s="132" t="str">
        <f>IF(E42="", "", MATCH(E42, 'I&amp;E Profiles'!$D$96:$D$180,0))</f>
        <v/>
      </c>
      <c r="J42" s="133">
        <f>IF($G42=$G$7, W42,'I&amp;E Monthly'!W42)-SUMIFS('I&amp;E Monthly'!$AA42:$BJ42, 'I&amp;E Monthly'!$AA$3:$BJ$3, 'I&amp;E Annual'!W$3, 'I&amp;E Monthly'!$AA$4:$BJ$4, 0)</f>
        <v>0</v>
      </c>
      <c r="K42" s="133">
        <f>IF($G42=$G$7, X42,'I&amp;E Monthly'!X42)-SUMIFS('I&amp;E Monthly'!$AA42:$BJ42, 'I&amp;E Monthly'!$AA$3:$BJ$3, 'I&amp;E Annual'!X$3, 'I&amp;E Monthly'!$AA$4:$BJ$4, 0)</f>
        <v>0</v>
      </c>
      <c r="L42" s="133">
        <f>IF($G42=$G$7, Y42,'I&amp;E Monthly'!Y42)-SUMIFS('I&amp;E Monthly'!$AA42:$BJ42, 'I&amp;E Monthly'!$AA$3:$BJ$3, 'I&amp;E Annual'!Y$3, 'I&amp;E Monthly'!$AA$4:$BJ$4, 0)</f>
        <v>0</v>
      </c>
      <c r="Q42" s="2"/>
      <c r="V42" s="133">
        <f>'I&amp;E Monthly'!V42</f>
        <v>0</v>
      </c>
      <c r="W42" s="114"/>
      <c r="X42" s="131"/>
      <c r="Y42" s="131"/>
      <c r="AA42" s="10" cm="1">
        <f t="array" ref="AA42">IF(OR(AA$4=0, $G42&lt;&gt; $G$7, $E42=0), 'I&amp;E Monthly'!AA42, CHOOSE(Timeline!AA$30,$J42,$K42,$L42 )*INDEX('I&amp;E Profiles'!AA$96:AA$180,$I42))</f>
        <v>0</v>
      </c>
      <c r="AB42" s="10" cm="1">
        <f t="array" ref="AB42">IF(OR(AB$4=0, $G42&lt;&gt; $G$7, $E42=0), 'I&amp;E Monthly'!AB42, CHOOSE(Timeline!AB$30,$J42,$K42,$L42 )*INDEX('I&amp;E Profiles'!AB$96:AB$180,$I42))</f>
        <v>0</v>
      </c>
      <c r="AC42" s="10" cm="1">
        <f t="array" ref="AC42">IF(OR(AC$4=0, $G42&lt;&gt; $G$7, $E42=0), 'I&amp;E Monthly'!AC42, CHOOSE(Timeline!AC$30,$J42,$K42,$L42 )*INDEX('I&amp;E Profiles'!AC$96:AC$180,$I42))</f>
        <v>0</v>
      </c>
      <c r="AD42" s="10" cm="1">
        <f t="array" ref="AD42">IF(OR(AD$4=0, $G42&lt;&gt; $G$7, $E42=0), 'I&amp;E Monthly'!AD42, CHOOSE(Timeline!AD$30,$J42,$K42,$L42 )*INDEX('I&amp;E Profiles'!AD$96:AD$180,$I42))</f>
        <v>0</v>
      </c>
      <c r="AE42" s="10" cm="1">
        <f t="array" ref="AE42">IF(OR(AE$4=0, $G42&lt;&gt; $G$7, $E42=0), 'I&amp;E Monthly'!AE42, CHOOSE(Timeline!AE$30,$J42,$K42,$L42 )*INDEX('I&amp;E Profiles'!AE$96:AE$180,$I42))</f>
        <v>0</v>
      </c>
      <c r="AF42" s="10" cm="1">
        <f t="array" ref="AF42">IF(OR(AF$4=0, $G42&lt;&gt; $G$7, $E42=0), 'I&amp;E Monthly'!AF42, CHOOSE(Timeline!AF$30,$J42,$K42,$L42 )*INDEX('I&amp;E Profiles'!AF$96:AF$180,$I42))</f>
        <v>0</v>
      </c>
      <c r="AG42" s="10" cm="1">
        <f t="array" ref="AG42">IF(OR(AG$4=0, $G42&lt;&gt; $G$7, $E42=0), 'I&amp;E Monthly'!AG42, CHOOSE(Timeline!AG$30,$J42,$K42,$L42 )*INDEX('I&amp;E Profiles'!AG$96:AG$180,$I42))</f>
        <v>0</v>
      </c>
      <c r="AH42" s="10" cm="1">
        <f t="array" ref="AH42">IF(OR(AH$4=0, $G42&lt;&gt; $G$7, $E42=0), 'I&amp;E Monthly'!AH42, CHOOSE(Timeline!AH$30,$J42,$K42,$L42 )*INDEX('I&amp;E Profiles'!AH$96:AH$180,$I42))</f>
        <v>0</v>
      </c>
      <c r="AI42" s="10" cm="1">
        <f t="array" ref="AI42">IF(OR(AI$4=0, $G42&lt;&gt; $G$7, $E42=0), 'I&amp;E Monthly'!AI42, CHOOSE(Timeline!AI$30,$J42,$K42,$L42 )*INDEX('I&amp;E Profiles'!AI$96:AI$180,$I42))</f>
        <v>0</v>
      </c>
      <c r="AJ42" s="10" cm="1">
        <f t="array" ref="AJ42">IF(OR(AJ$4=0, $G42&lt;&gt; $G$7, $E42=0), 'I&amp;E Monthly'!AJ42, CHOOSE(Timeline!AJ$30,$J42,$K42,$L42 )*INDEX('I&amp;E Profiles'!AJ$96:AJ$180,$I42))</f>
        <v>0</v>
      </c>
      <c r="AK42" s="10" cm="1">
        <f t="array" ref="AK42">IF(OR(AK$4=0, $G42&lt;&gt; $G$7, $E42=0), 'I&amp;E Monthly'!AK42, CHOOSE(Timeline!AK$30,$J42,$K42,$L42 )*INDEX('I&amp;E Profiles'!AK$96:AK$180,$I42))</f>
        <v>0</v>
      </c>
      <c r="AL42" s="10" cm="1">
        <f t="array" ref="AL42">IF(OR(AL$4=0, $G42&lt;&gt; $G$7, $E42=0), 'I&amp;E Monthly'!AL42, CHOOSE(Timeline!AL$30,$J42,$K42,$L42 )*INDEX('I&amp;E Profiles'!AL$96:AL$180,$I42))</f>
        <v>0</v>
      </c>
      <c r="AM42" s="10" cm="1">
        <f t="array" ref="AM42">IF(OR(AM$4=0, $G42&lt;&gt; $G$7, $E42=0), 'I&amp;E Monthly'!AM42, CHOOSE(Timeline!AM$30,$J42,$K42,$L42 )*INDEX('I&amp;E Profiles'!AM$96:AM$180,$I42))</f>
        <v>0</v>
      </c>
      <c r="AN42" s="10" cm="1">
        <f t="array" ref="AN42">IF(OR(AN$4=0, $G42&lt;&gt; $G$7, $E42=0), 'I&amp;E Monthly'!AN42, CHOOSE(Timeline!AN$30,$J42,$K42,$L42 )*INDEX('I&amp;E Profiles'!AN$96:AN$180,$I42))</f>
        <v>0</v>
      </c>
      <c r="AO42" s="10" cm="1">
        <f t="array" ref="AO42">IF(OR(AO$4=0, $G42&lt;&gt; $G$7, $E42=0), 'I&amp;E Monthly'!AO42, CHOOSE(Timeline!AO$30,$J42,$K42,$L42 )*INDEX('I&amp;E Profiles'!AO$96:AO$180,$I42))</f>
        <v>0</v>
      </c>
      <c r="AP42" s="10" cm="1">
        <f t="array" ref="AP42">IF(OR(AP$4=0, $G42&lt;&gt; $G$7, $E42=0), 'I&amp;E Monthly'!AP42, CHOOSE(Timeline!AP$30,$J42,$K42,$L42 )*INDEX('I&amp;E Profiles'!AP$96:AP$180,$I42))</f>
        <v>0</v>
      </c>
      <c r="AQ42" s="10" cm="1">
        <f t="array" ref="AQ42">IF(OR(AQ$4=0, $G42&lt;&gt; $G$7, $E42=0), 'I&amp;E Monthly'!AQ42, CHOOSE(Timeline!AQ$30,$J42,$K42,$L42 )*INDEX('I&amp;E Profiles'!AQ$96:AQ$180,$I42))</f>
        <v>0</v>
      </c>
      <c r="AR42" s="10" cm="1">
        <f t="array" ref="AR42">IF(OR(AR$4=0, $G42&lt;&gt; $G$7, $E42=0), 'I&amp;E Monthly'!AR42, CHOOSE(Timeline!AR$30,$J42,$K42,$L42 )*INDEX('I&amp;E Profiles'!AR$96:AR$180,$I42))</f>
        <v>0</v>
      </c>
      <c r="AS42" s="10" cm="1">
        <f t="array" ref="AS42">IF(OR(AS$4=0, $G42&lt;&gt; $G$7, $E42=0), 'I&amp;E Monthly'!AS42, CHOOSE(Timeline!AS$30,$J42,$K42,$L42 )*INDEX('I&amp;E Profiles'!AS$96:AS$180,$I42))</f>
        <v>0</v>
      </c>
      <c r="AT42" s="10" cm="1">
        <f t="array" ref="AT42">IF(OR(AT$4=0, $G42&lt;&gt; $G$7, $E42=0), 'I&amp;E Monthly'!AT42, CHOOSE(Timeline!AT$30,$J42,$K42,$L42 )*INDEX('I&amp;E Profiles'!AT$96:AT$180,$I42))</f>
        <v>0</v>
      </c>
      <c r="AU42" s="10" cm="1">
        <f t="array" ref="AU42">IF(OR(AU$4=0, $G42&lt;&gt; $G$7, $E42=0), 'I&amp;E Monthly'!AU42, CHOOSE(Timeline!AU$30,$J42,$K42,$L42 )*INDEX('I&amp;E Profiles'!AU$96:AU$180,$I42))</f>
        <v>0</v>
      </c>
      <c r="AV42" s="10" cm="1">
        <f t="array" ref="AV42">IF(OR(AV$4=0, $G42&lt;&gt; $G$7, $E42=0), 'I&amp;E Monthly'!AV42, CHOOSE(Timeline!AV$30,$J42,$K42,$L42 )*INDEX('I&amp;E Profiles'!AV$96:AV$180,$I42))</f>
        <v>0</v>
      </c>
      <c r="AW42" s="10" cm="1">
        <f t="array" ref="AW42">IF(OR(AW$4=0, $G42&lt;&gt; $G$7, $E42=0), 'I&amp;E Monthly'!AW42, CHOOSE(Timeline!AW$30,$J42,$K42,$L42 )*INDEX('I&amp;E Profiles'!AW$96:AW$180,$I42))</f>
        <v>0</v>
      </c>
      <c r="AX42" s="10" cm="1">
        <f t="array" ref="AX42">IF(OR(AX$4=0, $G42&lt;&gt; $G$7, $E42=0), 'I&amp;E Monthly'!AX42, CHOOSE(Timeline!AX$30,$J42,$K42,$L42 )*INDEX('I&amp;E Profiles'!AX$96:AX$180,$I42))</f>
        <v>0</v>
      </c>
      <c r="AY42" s="10" cm="1">
        <f t="array" ref="AY42">IF(OR(AY$4=0, $G42&lt;&gt; $G$7, $E42=0), 'I&amp;E Monthly'!AY42, CHOOSE(Timeline!AY$30,$J42,$K42,$L42 )*INDEX('I&amp;E Profiles'!AY$96:AY$180,$I42))</f>
        <v>0</v>
      </c>
      <c r="AZ42" s="10" cm="1">
        <f t="array" ref="AZ42">IF(OR(AZ$4=0, $G42&lt;&gt; $G$7, $E42=0), 'I&amp;E Monthly'!AZ42, CHOOSE(Timeline!AZ$30,$J42,$K42,$L42 )*INDEX('I&amp;E Profiles'!AZ$96:AZ$180,$I42))</f>
        <v>0</v>
      </c>
      <c r="BA42" s="10" cm="1">
        <f t="array" ref="BA42">IF(OR(BA$4=0, $G42&lt;&gt; $G$7, $E42=0), 'I&amp;E Monthly'!BA42, CHOOSE(Timeline!BA$30,$J42,$K42,$L42 )*INDEX('I&amp;E Profiles'!BA$96:BA$180,$I42))</f>
        <v>0</v>
      </c>
      <c r="BB42" s="10" cm="1">
        <f t="array" ref="BB42">IF(OR(BB$4=0, $G42&lt;&gt; $G$7, $E42=0), 'I&amp;E Monthly'!BB42, CHOOSE(Timeline!BB$30,$J42,$K42,$L42 )*INDEX('I&amp;E Profiles'!BB$96:BB$180,$I42))</f>
        <v>0</v>
      </c>
      <c r="BC42" s="10" cm="1">
        <f t="array" ref="BC42">IF(OR(BC$4=0, $G42&lt;&gt; $G$7, $E42=0), 'I&amp;E Monthly'!BC42, CHOOSE(Timeline!BC$30,$J42,$K42,$L42 )*INDEX('I&amp;E Profiles'!BC$96:BC$180,$I42))</f>
        <v>0</v>
      </c>
      <c r="BD42" s="10" cm="1">
        <f t="array" ref="BD42">IF(OR(BD$4=0, $G42&lt;&gt; $G$7, $E42=0), 'I&amp;E Monthly'!BD42, CHOOSE(Timeline!BD$30,$J42,$K42,$L42 )*INDEX('I&amp;E Profiles'!BD$96:BD$180,$I42))</f>
        <v>0</v>
      </c>
      <c r="BE42" s="10" cm="1">
        <f t="array" ref="BE42">IF(OR(BE$4=0, $G42&lt;&gt; $G$7, $E42=0), 'I&amp;E Monthly'!BE42, CHOOSE(Timeline!BE$30,$J42,$K42,$L42 )*INDEX('I&amp;E Profiles'!BE$96:BE$180,$I42))</f>
        <v>0</v>
      </c>
      <c r="BF42" s="10" cm="1">
        <f t="array" ref="BF42">IF(OR(BF$4=0, $G42&lt;&gt; $G$7, $E42=0), 'I&amp;E Monthly'!BF42, CHOOSE(Timeline!BF$30,$J42,$K42,$L42 )*INDEX('I&amp;E Profiles'!BF$96:BF$180,$I42))</f>
        <v>0</v>
      </c>
      <c r="BG42" s="10" cm="1">
        <f t="array" ref="BG42">IF(OR(BG$4=0, $G42&lt;&gt; $G$7, $E42=0), 'I&amp;E Monthly'!BG42, CHOOSE(Timeline!BG$30,$J42,$K42,$L42 )*INDEX('I&amp;E Profiles'!BG$96:BG$180,$I42))</f>
        <v>0</v>
      </c>
      <c r="BH42" s="10" cm="1">
        <f t="array" ref="BH42">IF(OR(BH$4=0, $G42&lt;&gt; $G$7, $E42=0), 'I&amp;E Monthly'!BH42, CHOOSE(Timeline!BH$30,$J42,$K42,$L42 )*INDEX('I&amp;E Profiles'!BH$96:BH$180,$I42))</f>
        <v>0</v>
      </c>
      <c r="BI42" s="10" cm="1">
        <f t="array" ref="BI42">IF(OR(BI$4=0, $G42&lt;&gt; $G$7, $E42=0), 'I&amp;E Monthly'!BI42, CHOOSE(Timeline!BI$30,$J42,$K42,$L42 )*INDEX('I&amp;E Profiles'!BI$96:BI$180,$I42))</f>
        <v>0</v>
      </c>
      <c r="BJ42" s="10" cm="1">
        <f t="array" ref="BJ42">IF(OR(BJ$4=0, $G42&lt;&gt; $G$7, $E42=0), 'I&amp;E Monthly'!BJ42, CHOOSE(Timeline!BJ$30,$J42,$K42,$L42 )*INDEX('I&amp;E Profiles'!BJ$96:BJ$180,$I42))</f>
        <v>0</v>
      </c>
      <c r="BX42" s="12">
        <f>V42</f>
        <v>0</v>
      </c>
      <c r="BY42" s="10">
        <f t="shared" ref="BY42:CA45" si="41">SUMIFS($AA42:$BJ42, $AA$3:$BJ$3,BY$3)</f>
        <v>0</v>
      </c>
      <c r="BZ42" s="10">
        <f t="shared" si="41"/>
        <v>0</v>
      </c>
      <c r="CA42" s="10">
        <f t="shared" si="41"/>
        <v>0</v>
      </c>
      <c r="CB42" s="12">
        <f>'I&amp;E Monthly'!CB42</f>
        <v>0</v>
      </c>
      <c r="CC42" s="12">
        <f>'I&amp;E Monthly'!CC42</f>
        <v>0</v>
      </c>
      <c r="CD42" s="12">
        <f>'I&amp;E Monthly'!CD42</f>
        <v>0</v>
      </c>
      <c r="CE42" s="12">
        <f>'I&amp;E Monthly'!CE42</f>
        <v>0</v>
      </c>
      <c r="CF42" s="12">
        <f>'I&amp;E Monthly'!CF42</f>
        <v>0</v>
      </c>
      <c r="CG42" s="12">
        <f>'I&amp;E Monthly'!CG42</f>
        <v>0</v>
      </c>
      <c r="CH42" s="12">
        <f>'I&amp;E Monthly'!CH42</f>
        <v>0</v>
      </c>
      <c r="CI42" s="12">
        <f>'I&amp;E Monthly'!CI42</f>
        <v>0</v>
      </c>
      <c r="CK42" s="11"/>
      <c r="CL42" s="221">
        <f t="shared" ref="CL42:CL47" ca="1" si="42">IF(MIN($V42:$CI42)&lt;0, 1, 0)*$I$7</f>
        <v>0</v>
      </c>
      <c r="CM42" s="11"/>
      <c r="CN42" s="7">
        <f>IF(AND($G42=$G$7,$E42=""), 1, 0)</f>
        <v>0</v>
      </c>
      <c r="CO42" s="7" cm="1">
        <f t="array" ref="CO42">SUMPRODUCT(--NOT(ISNUMBER(W42:Y42)),--NOT(ISBLANK(W42:Y42)))</f>
        <v>0</v>
      </c>
      <c r="CP42" s="7" cm="1">
        <f t="array" ref="CP42">IF(E42="",0, IF(IFERROR(INDEX('I&amp;E Profiles'!$D$96:$D$180, $I42), "N/A")="N/A", 1, 0))</f>
        <v>0</v>
      </c>
      <c r="CQ42" s="7">
        <f t="shared" ref="CQ42:CQ47" si="43">IF(SUM($CV42:$CX42)=0, 0, 1)</f>
        <v>0</v>
      </c>
      <c r="CS42" s="7">
        <f t="shared" ref="CS42:CS47" si="44">IF(SUM($CY42:$DA42)=0, 0, 1)</f>
        <v>0</v>
      </c>
      <c r="CT42" s="7">
        <f t="shared" ref="CT42:CT47" si="45">IF(DB42=0, 0, 1)</f>
        <v>0</v>
      </c>
      <c r="CU42" s="11"/>
      <c r="CV42" s="215">
        <f t="shared" ref="CV42:CX47" si="46">IF($G42=$G$7, ROUND(W42-SUMIFS($AA42:$BJ42, $AA$3:$BJ$3, W$3), rounding), 0)</f>
        <v>0</v>
      </c>
      <c r="CW42" s="215">
        <f t="shared" si="46"/>
        <v>0</v>
      </c>
      <c r="CX42" s="215">
        <f t="shared" si="46"/>
        <v>0</v>
      </c>
      <c r="CY42" s="215">
        <f t="shared" ref="CY42:CY47" si="47">ROUND($BY42-SUMIFS($AA42:$BJ42, $AA$3:$BJ$3, $BY$3), rounding)</f>
        <v>0</v>
      </c>
      <c r="CZ42" s="215">
        <f t="shared" ref="CZ42:CZ47" si="48">ROUND($BZ42-SUMIFS($AA42:$BJ42, $AA$3:$BJ$3, $BZ$3), rounding)</f>
        <v>0</v>
      </c>
      <c r="DA42" s="215">
        <f t="shared" ref="DA42:DA47" si="49">ROUND($CA42-SUMIFS($AA42:$BJ42, $AA$3:$BJ$3, $CA$3), rounding)</f>
        <v>0</v>
      </c>
      <c r="DB42" s="215">
        <f t="shared" ref="DB42:DB47" si="50">ROUND($V42-$BX42, rounding)</f>
        <v>0</v>
      </c>
      <c r="FN42" s="10" t="str">
        <f t="shared" si="40"/>
        <v xml:space="preserve">HE loans </v>
      </c>
    </row>
    <row r="43" spans="1:170" x14ac:dyDescent="0.35">
      <c r="A43" s="220" cm="1">
        <f t="array" aca="1" ref="A43" ca="1">HYPERLINK(CONCATENATE("#",CELL("address",IF(MAX($CM43:$CU43)=0,A43,INDEX($CM43:$CU43,MATCH(1,$CM43:$CU43,0))))),MAX($CM43:$CU43))</f>
        <v>0</v>
      </c>
      <c r="B43" s="85" t="s">
        <v>122</v>
      </c>
      <c r="C43" s="213" t="s">
        <v>501</v>
      </c>
      <c r="D43" s="57" t="s">
        <v>345</v>
      </c>
      <c r="E43" s="114"/>
      <c r="F43" s="79" t="str" cm="1">
        <f t="array" aca="1" ref="F43" ca="1">IF(E43="", "", HYPERLINK(CONCATENATE("#",CELL("address",INDEX('I&amp;E Profiles'!$D$9:$D$93,'I&amp;E Annual'!I43))),E43))</f>
        <v/>
      </c>
      <c r="G43" s="114"/>
      <c r="H43" t="s">
        <v>317</v>
      </c>
      <c r="I43" s="132" t="str">
        <f>IF(E43="", "", MATCH(E43, 'I&amp;E Profiles'!$D$96:$D$180,0))</f>
        <v/>
      </c>
      <c r="J43" s="133">
        <f>IF($G43=$G$7, W43,'I&amp;E Monthly'!W43)-SUMIFS('I&amp;E Monthly'!$AA43:$BJ43, 'I&amp;E Monthly'!$AA$3:$BJ$3, 'I&amp;E Annual'!W$3, 'I&amp;E Monthly'!$AA$4:$BJ$4, 0)</f>
        <v>0</v>
      </c>
      <c r="K43" s="133">
        <f>IF($G43=$G$7, X43,'I&amp;E Monthly'!X43)-SUMIFS('I&amp;E Monthly'!$AA43:$BJ43, 'I&amp;E Monthly'!$AA$3:$BJ$3, 'I&amp;E Annual'!X$3, 'I&amp;E Monthly'!$AA$4:$BJ$4, 0)</f>
        <v>0</v>
      </c>
      <c r="L43" s="133">
        <f>IF($G43=$G$7, Y43,'I&amp;E Monthly'!Y43)-SUMIFS('I&amp;E Monthly'!$AA43:$BJ43, 'I&amp;E Monthly'!$AA$3:$BJ$3, 'I&amp;E Annual'!Y$3, 'I&amp;E Monthly'!$AA$4:$BJ$4, 0)</f>
        <v>0</v>
      </c>
      <c r="Q43" s="2"/>
      <c r="V43" s="133">
        <f>'I&amp;E Monthly'!V43</f>
        <v>0</v>
      </c>
      <c r="W43" s="114"/>
      <c r="X43" s="131"/>
      <c r="Y43" s="131"/>
      <c r="AA43" s="10" cm="1">
        <f t="array" ref="AA43">IF(OR(AA$4=0, $G43&lt;&gt; $G$7, $E43=0), 'I&amp;E Monthly'!AA43, CHOOSE(Timeline!AA$30,$J43,$K43,$L43 )*INDEX('I&amp;E Profiles'!AA$96:AA$180,$I43))</f>
        <v>0</v>
      </c>
      <c r="AB43" s="10" cm="1">
        <f t="array" ref="AB43">IF(OR(AB$4=0, $G43&lt;&gt; $G$7, $E43=0), 'I&amp;E Monthly'!AB43, CHOOSE(Timeline!AB$30,$J43,$K43,$L43 )*INDEX('I&amp;E Profiles'!AB$96:AB$180,$I43))</f>
        <v>0</v>
      </c>
      <c r="AC43" s="10" cm="1">
        <f t="array" ref="AC43">IF(OR(AC$4=0, $G43&lt;&gt; $G$7, $E43=0), 'I&amp;E Monthly'!AC43, CHOOSE(Timeline!AC$30,$J43,$K43,$L43 )*INDEX('I&amp;E Profiles'!AC$96:AC$180,$I43))</f>
        <v>0</v>
      </c>
      <c r="AD43" s="10" cm="1">
        <f t="array" ref="AD43">IF(OR(AD$4=0, $G43&lt;&gt; $G$7, $E43=0), 'I&amp;E Monthly'!AD43, CHOOSE(Timeline!AD$30,$J43,$K43,$L43 )*INDEX('I&amp;E Profiles'!AD$96:AD$180,$I43))</f>
        <v>0</v>
      </c>
      <c r="AE43" s="10" cm="1">
        <f t="array" ref="AE43">IF(OR(AE$4=0, $G43&lt;&gt; $G$7, $E43=0), 'I&amp;E Monthly'!AE43, CHOOSE(Timeline!AE$30,$J43,$K43,$L43 )*INDEX('I&amp;E Profiles'!AE$96:AE$180,$I43))</f>
        <v>0</v>
      </c>
      <c r="AF43" s="10" cm="1">
        <f t="array" ref="AF43">IF(OR(AF$4=0, $G43&lt;&gt; $G$7, $E43=0), 'I&amp;E Monthly'!AF43, CHOOSE(Timeline!AF$30,$J43,$K43,$L43 )*INDEX('I&amp;E Profiles'!AF$96:AF$180,$I43))</f>
        <v>0</v>
      </c>
      <c r="AG43" s="10" cm="1">
        <f t="array" ref="AG43">IF(OR(AG$4=0, $G43&lt;&gt; $G$7, $E43=0), 'I&amp;E Monthly'!AG43, CHOOSE(Timeline!AG$30,$J43,$K43,$L43 )*INDEX('I&amp;E Profiles'!AG$96:AG$180,$I43))</f>
        <v>0</v>
      </c>
      <c r="AH43" s="10" cm="1">
        <f t="array" ref="AH43">IF(OR(AH$4=0, $G43&lt;&gt; $G$7, $E43=0), 'I&amp;E Monthly'!AH43, CHOOSE(Timeline!AH$30,$J43,$K43,$L43 )*INDEX('I&amp;E Profiles'!AH$96:AH$180,$I43))</f>
        <v>0</v>
      </c>
      <c r="AI43" s="10" cm="1">
        <f t="array" ref="AI43">IF(OR(AI$4=0, $G43&lt;&gt; $G$7, $E43=0), 'I&amp;E Monthly'!AI43, CHOOSE(Timeline!AI$30,$J43,$K43,$L43 )*INDEX('I&amp;E Profiles'!AI$96:AI$180,$I43))</f>
        <v>0</v>
      </c>
      <c r="AJ43" s="10" cm="1">
        <f t="array" ref="AJ43">IF(OR(AJ$4=0, $G43&lt;&gt; $G$7, $E43=0), 'I&amp;E Monthly'!AJ43, CHOOSE(Timeline!AJ$30,$J43,$K43,$L43 )*INDEX('I&amp;E Profiles'!AJ$96:AJ$180,$I43))</f>
        <v>0</v>
      </c>
      <c r="AK43" s="10" cm="1">
        <f t="array" ref="AK43">IF(OR(AK$4=0, $G43&lt;&gt; $G$7, $E43=0), 'I&amp;E Monthly'!AK43, CHOOSE(Timeline!AK$30,$J43,$K43,$L43 )*INDEX('I&amp;E Profiles'!AK$96:AK$180,$I43))</f>
        <v>0</v>
      </c>
      <c r="AL43" s="10" cm="1">
        <f t="array" ref="AL43">IF(OR(AL$4=0, $G43&lt;&gt; $G$7, $E43=0), 'I&amp;E Monthly'!AL43, CHOOSE(Timeline!AL$30,$J43,$K43,$L43 )*INDEX('I&amp;E Profiles'!AL$96:AL$180,$I43))</f>
        <v>0</v>
      </c>
      <c r="AM43" s="10" cm="1">
        <f t="array" ref="AM43">IF(OR(AM$4=0, $G43&lt;&gt; $G$7, $E43=0), 'I&amp;E Monthly'!AM43, CHOOSE(Timeline!AM$30,$J43,$K43,$L43 )*INDEX('I&amp;E Profiles'!AM$96:AM$180,$I43))</f>
        <v>0</v>
      </c>
      <c r="AN43" s="10" cm="1">
        <f t="array" ref="AN43">IF(OR(AN$4=0, $G43&lt;&gt; $G$7, $E43=0), 'I&amp;E Monthly'!AN43, CHOOSE(Timeline!AN$30,$J43,$K43,$L43 )*INDEX('I&amp;E Profiles'!AN$96:AN$180,$I43))</f>
        <v>0</v>
      </c>
      <c r="AO43" s="10" cm="1">
        <f t="array" ref="AO43">IF(OR(AO$4=0, $G43&lt;&gt; $G$7, $E43=0), 'I&amp;E Monthly'!AO43, CHOOSE(Timeline!AO$30,$J43,$K43,$L43 )*INDEX('I&amp;E Profiles'!AO$96:AO$180,$I43))</f>
        <v>0</v>
      </c>
      <c r="AP43" s="10" cm="1">
        <f t="array" ref="AP43">IF(OR(AP$4=0, $G43&lt;&gt; $G$7, $E43=0), 'I&amp;E Monthly'!AP43, CHOOSE(Timeline!AP$30,$J43,$K43,$L43 )*INDEX('I&amp;E Profiles'!AP$96:AP$180,$I43))</f>
        <v>0</v>
      </c>
      <c r="AQ43" s="10" cm="1">
        <f t="array" ref="AQ43">IF(OR(AQ$4=0, $G43&lt;&gt; $G$7, $E43=0), 'I&amp;E Monthly'!AQ43, CHOOSE(Timeline!AQ$30,$J43,$K43,$L43 )*INDEX('I&amp;E Profiles'!AQ$96:AQ$180,$I43))</f>
        <v>0</v>
      </c>
      <c r="AR43" s="10" cm="1">
        <f t="array" ref="AR43">IF(OR(AR$4=0, $G43&lt;&gt; $G$7, $E43=0), 'I&amp;E Monthly'!AR43, CHOOSE(Timeline!AR$30,$J43,$K43,$L43 )*INDEX('I&amp;E Profiles'!AR$96:AR$180,$I43))</f>
        <v>0</v>
      </c>
      <c r="AS43" s="10" cm="1">
        <f t="array" ref="AS43">IF(OR(AS$4=0, $G43&lt;&gt; $G$7, $E43=0), 'I&amp;E Monthly'!AS43, CHOOSE(Timeline!AS$30,$J43,$K43,$L43 )*INDEX('I&amp;E Profiles'!AS$96:AS$180,$I43))</f>
        <v>0</v>
      </c>
      <c r="AT43" s="10" cm="1">
        <f t="array" ref="AT43">IF(OR(AT$4=0, $G43&lt;&gt; $G$7, $E43=0), 'I&amp;E Monthly'!AT43, CHOOSE(Timeline!AT$30,$J43,$K43,$L43 )*INDEX('I&amp;E Profiles'!AT$96:AT$180,$I43))</f>
        <v>0</v>
      </c>
      <c r="AU43" s="10" cm="1">
        <f t="array" ref="AU43">IF(OR(AU$4=0, $G43&lt;&gt; $G$7, $E43=0), 'I&amp;E Monthly'!AU43, CHOOSE(Timeline!AU$30,$J43,$K43,$L43 )*INDEX('I&amp;E Profiles'!AU$96:AU$180,$I43))</f>
        <v>0</v>
      </c>
      <c r="AV43" s="10" cm="1">
        <f t="array" ref="AV43">IF(OR(AV$4=0, $G43&lt;&gt; $G$7, $E43=0), 'I&amp;E Monthly'!AV43, CHOOSE(Timeline!AV$30,$J43,$K43,$L43 )*INDEX('I&amp;E Profiles'!AV$96:AV$180,$I43))</f>
        <v>0</v>
      </c>
      <c r="AW43" s="10" cm="1">
        <f t="array" ref="AW43">IF(OR(AW$4=0, $G43&lt;&gt; $G$7, $E43=0), 'I&amp;E Monthly'!AW43, CHOOSE(Timeline!AW$30,$J43,$K43,$L43 )*INDEX('I&amp;E Profiles'!AW$96:AW$180,$I43))</f>
        <v>0</v>
      </c>
      <c r="AX43" s="10" cm="1">
        <f t="array" ref="AX43">IF(OR(AX$4=0, $G43&lt;&gt; $G$7, $E43=0), 'I&amp;E Monthly'!AX43, CHOOSE(Timeline!AX$30,$J43,$K43,$L43 )*INDEX('I&amp;E Profiles'!AX$96:AX$180,$I43))</f>
        <v>0</v>
      </c>
      <c r="AY43" s="10" cm="1">
        <f t="array" ref="AY43">IF(OR(AY$4=0, $G43&lt;&gt; $G$7, $E43=0), 'I&amp;E Monthly'!AY43, CHOOSE(Timeline!AY$30,$J43,$K43,$L43 )*INDEX('I&amp;E Profiles'!AY$96:AY$180,$I43))</f>
        <v>0</v>
      </c>
      <c r="AZ43" s="10" cm="1">
        <f t="array" ref="AZ43">IF(OR(AZ$4=0, $G43&lt;&gt; $G$7, $E43=0), 'I&amp;E Monthly'!AZ43, CHOOSE(Timeline!AZ$30,$J43,$K43,$L43 )*INDEX('I&amp;E Profiles'!AZ$96:AZ$180,$I43))</f>
        <v>0</v>
      </c>
      <c r="BA43" s="10" cm="1">
        <f t="array" ref="BA43">IF(OR(BA$4=0, $G43&lt;&gt; $G$7, $E43=0), 'I&amp;E Monthly'!BA43, CHOOSE(Timeline!BA$30,$J43,$K43,$L43 )*INDEX('I&amp;E Profiles'!BA$96:BA$180,$I43))</f>
        <v>0</v>
      </c>
      <c r="BB43" s="10" cm="1">
        <f t="array" ref="BB43">IF(OR(BB$4=0, $G43&lt;&gt; $G$7, $E43=0), 'I&amp;E Monthly'!BB43, CHOOSE(Timeline!BB$30,$J43,$K43,$L43 )*INDEX('I&amp;E Profiles'!BB$96:BB$180,$I43))</f>
        <v>0</v>
      </c>
      <c r="BC43" s="10" cm="1">
        <f t="array" ref="BC43">IF(OR(BC$4=0, $G43&lt;&gt; $G$7, $E43=0), 'I&amp;E Monthly'!BC43, CHOOSE(Timeline!BC$30,$J43,$K43,$L43 )*INDEX('I&amp;E Profiles'!BC$96:BC$180,$I43))</f>
        <v>0</v>
      </c>
      <c r="BD43" s="10" cm="1">
        <f t="array" ref="BD43">IF(OR(BD$4=0, $G43&lt;&gt; $G$7, $E43=0), 'I&amp;E Monthly'!BD43, CHOOSE(Timeline!BD$30,$J43,$K43,$L43 )*INDEX('I&amp;E Profiles'!BD$96:BD$180,$I43))</f>
        <v>0</v>
      </c>
      <c r="BE43" s="10" cm="1">
        <f t="array" ref="BE43">IF(OR(BE$4=0, $G43&lt;&gt; $G$7, $E43=0), 'I&amp;E Monthly'!BE43, CHOOSE(Timeline!BE$30,$J43,$K43,$L43 )*INDEX('I&amp;E Profiles'!BE$96:BE$180,$I43))</f>
        <v>0</v>
      </c>
      <c r="BF43" s="10" cm="1">
        <f t="array" ref="BF43">IF(OR(BF$4=0, $G43&lt;&gt; $G$7, $E43=0), 'I&amp;E Monthly'!BF43, CHOOSE(Timeline!BF$30,$J43,$K43,$L43 )*INDEX('I&amp;E Profiles'!BF$96:BF$180,$I43))</f>
        <v>0</v>
      </c>
      <c r="BG43" s="10" cm="1">
        <f t="array" ref="BG43">IF(OR(BG$4=0, $G43&lt;&gt; $G$7, $E43=0), 'I&amp;E Monthly'!BG43, CHOOSE(Timeline!BG$30,$J43,$K43,$L43 )*INDEX('I&amp;E Profiles'!BG$96:BG$180,$I43))</f>
        <v>0</v>
      </c>
      <c r="BH43" s="10" cm="1">
        <f t="array" ref="BH43">IF(OR(BH$4=0, $G43&lt;&gt; $G$7, $E43=0), 'I&amp;E Monthly'!BH43, CHOOSE(Timeline!BH$30,$J43,$K43,$L43 )*INDEX('I&amp;E Profiles'!BH$96:BH$180,$I43))</f>
        <v>0</v>
      </c>
      <c r="BI43" s="10" cm="1">
        <f t="array" ref="BI43">IF(OR(BI$4=0, $G43&lt;&gt; $G$7, $E43=0), 'I&amp;E Monthly'!BI43, CHOOSE(Timeline!BI$30,$J43,$K43,$L43 )*INDEX('I&amp;E Profiles'!BI$96:BI$180,$I43))</f>
        <v>0</v>
      </c>
      <c r="BJ43" s="10" cm="1">
        <f t="array" ref="BJ43">IF(OR(BJ$4=0, $G43&lt;&gt; $G$7, $E43=0), 'I&amp;E Monthly'!BJ43, CHOOSE(Timeline!BJ$30,$J43,$K43,$L43 )*INDEX('I&amp;E Profiles'!BJ$96:BJ$180,$I43))</f>
        <v>0</v>
      </c>
      <c r="BX43" s="12">
        <f>V43</f>
        <v>0</v>
      </c>
      <c r="BY43" s="10">
        <f t="shared" si="41"/>
        <v>0</v>
      </c>
      <c r="BZ43" s="10">
        <f t="shared" si="41"/>
        <v>0</v>
      </c>
      <c r="CA43" s="10">
        <f t="shared" si="41"/>
        <v>0</v>
      </c>
      <c r="CB43" s="12">
        <f>'I&amp;E Monthly'!CB43</f>
        <v>0</v>
      </c>
      <c r="CC43" s="12">
        <f>'I&amp;E Monthly'!CC43</f>
        <v>0</v>
      </c>
      <c r="CD43" s="12">
        <f>'I&amp;E Monthly'!CD43</f>
        <v>0</v>
      </c>
      <c r="CE43" s="12">
        <f>'I&amp;E Monthly'!CE43</f>
        <v>0</v>
      </c>
      <c r="CF43" s="12">
        <f>'I&amp;E Monthly'!CF43</f>
        <v>0</v>
      </c>
      <c r="CG43" s="12">
        <f>'I&amp;E Monthly'!CG43</f>
        <v>0</v>
      </c>
      <c r="CH43" s="12">
        <f>'I&amp;E Monthly'!CH43</f>
        <v>0</v>
      </c>
      <c r="CI43" s="12">
        <f>'I&amp;E Monthly'!CI43</f>
        <v>0</v>
      </c>
      <c r="CK43" s="11"/>
      <c r="CL43" s="221">
        <f t="shared" ca="1" si="42"/>
        <v>0</v>
      </c>
      <c r="CM43" s="11"/>
      <c r="CN43" s="7">
        <f>IF(AND($G43=$G$7,$E43=""), 1, 0)</f>
        <v>0</v>
      </c>
      <c r="CO43" s="7" cm="1">
        <f t="array" ref="CO43">SUMPRODUCT(--NOT(ISNUMBER(W43:Y43)),--NOT(ISBLANK(W43:Y43)))</f>
        <v>0</v>
      </c>
      <c r="CP43" s="7" cm="1">
        <f t="array" ref="CP43">IF(E43="",0, IF(IFERROR(INDEX('I&amp;E Profiles'!$D$96:$D$180, $I43), "N/A")="N/A", 1, 0))</f>
        <v>0</v>
      </c>
      <c r="CQ43" s="7">
        <f t="shared" si="43"/>
        <v>0</v>
      </c>
      <c r="CS43" s="7">
        <f t="shared" si="44"/>
        <v>0</v>
      </c>
      <c r="CT43" s="7">
        <f t="shared" si="45"/>
        <v>0</v>
      </c>
      <c r="CU43" s="11"/>
      <c r="CV43" s="215">
        <f t="shared" si="46"/>
        <v>0</v>
      </c>
      <c r="CW43" s="215">
        <f t="shared" si="46"/>
        <v>0</v>
      </c>
      <c r="CX43" s="215">
        <f t="shared" si="46"/>
        <v>0</v>
      </c>
      <c r="CY43" s="215">
        <f t="shared" si="47"/>
        <v>0</v>
      </c>
      <c r="CZ43" s="215">
        <f t="shared" si="48"/>
        <v>0</v>
      </c>
      <c r="DA43" s="215">
        <f t="shared" si="49"/>
        <v>0</v>
      </c>
      <c r="DB43" s="215">
        <f t="shared" si="50"/>
        <v>0</v>
      </c>
      <c r="FN43" s="10" t="str">
        <f t="shared" si="40"/>
        <v>OfS grants</v>
      </c>
    </row>
    <row r="44" spans="1:170" x14ac:dyDescent="0.35">
      <c r="A44" s="220" cm="1">
        <f t="array" aca="1" ref="A44" ca="1">HYPERLINK(CONCATENATE("#",CELL("address",IF(MAX($CM44:$CU44)=0,A44,INDEX($CM44:$CU44,MATCH(1,$CM44:$CU44,0))))),MAX($CM44:$CU44))</f>
        <v>0</v>
      </c>
      <c r="C44" s="213" t="s">
        <v>502</v>
      </c>
      <c r="D44" s="57" t="s">
        <v>346</v>
      </c>
      <c r="E44" s="114"/>
      <c r="F44" s="79" t="str" cm="1">
        <f t="array" aca="1" ref="F44" ca="1">IF(E44="", "", HYPERLINK(CONCATENATE("#",CELL("address",INDEX('I&amp;E Profiles'!$D$9:$D$93,'I&amp;E Annual'!I44))),E44))</f>
        <v/>
      </c>
      <c r="G44" s="114"/>
      <c r="H44" t="s">
        <v>317</v>
      </c>
      <c r="I44" s="132" t="str">
        <f>IF(E44="", "", MATCH(E44, 'I&amp;E Profiles'!$D$96:$D$180,0))</f>
        <v/>
      </c>
      <c r="J44" s="133">
        <f>IF($G44=$G$7, W44,'I&amp;E Monthly'!W44)-SUMIFS('I&amp;E Monthly'!$AA44:$BJ44, 'I&amp;E Monthly'!$AA$3:$BJ$3, 'I&amp;E Annual'!W$3, 'I&amp;E Monthly'!$AA$4:$BJ$4, 0)</f>
        <v>0</v>
      </c>
      <c r="K44" s="133">
        <f>IF($G44=$G$7, X44,'I&amp;E Monthly'!X44)-SUMIFS('I&amp;E Monthly'!$AA44:$BJ44, 'I&amp;E Monthly'!$AA$3:$BJ$3, 'I&amp;E Annual'!X$3, 'I&amp;E Monthly'!$AA$4:$BJ$4, 0)</f>
        <v>0</v>
      </c>
      <c r="L44" s="133">
        <f>IF($G44=$G$7, Y44,'I&amp;E Monthly'!Y44)-SUMIFS('I&amp;E Monthly'!$AA44:$BJ44, 'I&amp;E Monthly'!$AA$3:$BJ$3, 'I&amp;E Annual'!Y$3, 'I&amp;E Monthly'!$AA$4:$BJ$4, 0)</f>
        <v>0</v>
      </c>
      <c r="Q44" s="2"/>
      <c r="V44" s="133">
        <f>'I&amp;E Monthly'!V44</f>
        <v>0</v>
      </c>
      <c r="W44" s="114"/>
      <c r="X44" s="131"/>
      <c r="Y44" s="131"/>
      <c r="AA44" s="10" cm="1">
        <f t="array" ref="AA44">IF(OR(AA$4=0, $G44&lt;&gt; $G$7, $E44=0), 'I&amp;E Monthly'!AA44, CHOOSE(Timeline!AA$30,$J44,$K44,$L44 )*INDEX('I&amp;E Profiles'!AA$96:AA$180,$I44))</f>
        <v>0</v>
      </c>
      <c r="AB44" s="10" cm="1">
        <f t="array" ref="AB44">IF(OR(AB$4=0, $G44&lt;&gt; $G$7, $E44=0), 'I&amp;E Monthly'!AB44, CHOOSE(Timeline!AB$30,$J44,$K44,$L44 )*INDEX('I&amp;E Profiles'!AB$96:AB$180,$I44))</f>
        <v>0</v>
      </c>
      <c r="AC44" s="10" cm="1">
        <f t="array" ref="AC44">IF(OR(AC$4=0, $G44&lt;&gt; $G$7, $E44=0), 'I&amp;E Monthly'!AC44, CHOOSE(Timeline!AC$30,$J44,$K44,$L44 )*INDEX('I&amp;E Profiles'!AC$96:AC$180,$I44))</f>
        <v>0</v>
      </c>
      <c r="AD44" s="10" cm="1">
        <f t="array" ref="AD44">IF(OR(AD$4=0, $G44&lt;&gt; $G$7, $E44=0), 'I&amp;E Monthly'!AD44, CHOOSE(Timeline!AD$30,$J44,$K44,$L44 )*INDEX('I&amp;E Profiles'!AD$96:AD$180,$I44))</f>
        <v>0</v>
      </c>
      <c r="AE44" s="10" cm="1">
        <f t="array" ref="AE44">IF(OR(AE$4=0, $G44&lt;&gt; $G$7, $E44=0), 'I&amp;E Monthly'!AE44, CHOOSE(Timeline!AE$30,$J44,$K44,$L44 )*INDEX('I&amp;E Profiles'!AE$96:AE$180,$I44))</f>
        <v>0</v>
      </c>
      <c r="AF44" s="10" cm="1">
        <f t="array" ref="AF44">IF(OR(AF$4=0, $G44&lt;&gt; $G$7, $E44=0), 'I&amp;E Monthly'!AF44, CHOOSE(Timeline!AF$30,$J44,$K44,$L44 )*INDEX('I&amp;E Profiles'!AF$96:AF$180,$I44))</f>
        <v>0</v>
      </c>
      <c r="AG44" s="10" cm="1">
        <f t="array" ref="AG44">IF(OR(AG$4=0, $G44&lt;&gt; $G$7, $E44=0), 'I&amp;E Monthly'!AG44, CHOOSE(Timeline!AG$30,$J44,$K44,$L44 )*INDEX('I&amp;E Profiles'!AG$96:AG$180,$I44))</f>
        <v>0</v>
      </c>
      <c r="AH44" s="10" cm="1">
        <f t="array" ref="AH44">IF(OR(AH$4=0, $G44&lt;&gt; $G$7, $E44=0), 'I&amp;E Monthly'!AH44, CHOOSE(Timeline!AH$30,$J44,$K44,$L44 )*INDEX('I&amp;E Profiles'!AH$96:AH$180,$I44))</f>
        <v>0</v>
      </c>
      <c r="AI44" s="10" cm="1">
        <f t="array" ref="AI44">IF(OR(AI$4=0, $G44&lt;&gt; $G$7, $E44=0), 'I&amp;E Monthly'!AI44, CHOOSE(Timeline!AI$30,$J44,$K44,$L44 )*INDEX('I&amp;E Profiles'!AI$96:AI$180,$I44))</f>
        <v>0</v>
      </c>
      <c r="AJ44" s="10" cm="1">
        <f t="array" ref="AJ44">IF(OR(AJ$4=0, $G44&lt;&gt; $G$7, $E44=0), 'I&amp;E Monthly'!AJ44, CHOOSE(Timeline!AJ$30,$J44,$K44,$L44 )*INDEX('I&amp;E Profiles'!AJ$96:AJ$180,$I44))</f>
        <v>0</v>
      </c>
      <c r="AK44" s="10" cm="1">
        <f t="array" ref="AK44">IF(OR(AK$4=0, $G44&lt;&gt; $G$7, $E44=0), 'I&amp;E Monthly'!AK44, CHOOSE(Timeline!AK$30,$J44,$K44,$L44 )*INDEX('I&amp;E Profiles'!AK$96:AK$180,$I44))</f>
        <v>0</v>
      </c>
      <c r="AL44" s="10" cm="1">
        <f t="array" ref="AL44">IF(OR(AL$4=0, $G44&lt;&gt; $G$7, $E44=0), 'I&amp;E Monthly'!AL44, CHOOSE(Timeline!AL$30,$J44,$K44,$L44 )*INDEX('I&amp;E Profiles'!AL$96:AL$180,$I44))</f>
        <v>0</v>
      </c>
      <c r="AM44" s="10" cm="1">
        <f t="array" ref="AM44">IF(OR(AM$4=0, $G44&lt;&gt; $G$7, $E44=0), 'I&amp;E Monthly'!AM44, CHOOSE(Timeline!AM$30,$J44,$K44,$L44 )*INDEX('I&amp;E Profiles'!AM$96:AM$180,$I44))</f>
        <v>0</v>
      </c>
      <c r="AN44" s="10" cm="1">
        <f t="array" ref="AN44">IF(OR(AN$4=0, $G44&lt;&gt; $G$7, $E44=0), 'I&amp;E Monthly'!AN44, CHOOSE(Timeline!AN$30,$J44,$K44,$L44 )*INDEX('I&amp;E Profiles'!AN$96:AN$180,$I44))</f>
        <v>0</v>
      </c>
      <c r="AO44" s="10" cm="1">
        <f t="array" ref="AO44">IF(OR(AO$4=0, $G44&lt;&gt; $G$7, $E44=0), 'I&amp;E Monthly'!AO44, CHOOSE(Timeline!AO$30,$J44,$K44,$L44 )*INDEX('I&amp;E Profiles'!AO$96:AO$180,$I44))</f>
        <v>0</v>
      </c>
      <c r="AP44" s="10" cm="1">
        <f t="array" ref="AP44">IF(OR(AP$4=0, $G44&lt;&gt; $G$7, $E44=0), 'I&amp;E Monthly'!AP44, CHOOSE(Timeline!AP$30,$J44,$K44,$L44 )*INDEX('I&amp;E Profiles'!AP$96:AP$180,$I44))</f>
        <v>0</v>
      </c>
      <c r="AQ44" s="10" cm="1">
        <f t="array" ref="AQ44">IF(OR(AQ$4=0, $G44&lt;&gt; $G$7, $E44=0), 'I&amp;E Monthly'!AQ44, CHOOSE(Timeline!AQ$30,$J44,$K44,$L44 )*INDEX('I&amp;E Profiles'!AQ$96:AQ$180,$I44))</f>
        <v>0</v>
      </c>
      <c r="AR44" s="10" cm="1">
        <f t="array" ref="AR44">IF(OR(AR$4=0, $G44&lt;&gt; $G$7, $E44=0), 'I&amp;E Monthly'!AR44, CHOOSE(Timeline!AR$30,$J44,$K44,$L44 )*INDEX('I&amp;E Profiles'!AR$96:AR$180,$I44))</f>
        <v>0</v>
      </c>
      <c r="AS44" s="10" cm="1">
        <f t="array" ref="AS44">IF(OR(AS$4=0, $G44&lt;&gt; $G$7, $E44=0), 'I&amp;E Monthly'!AS44, CHOOSE(Timeline!AS$30,$J44,$K44,$L44 )*INDEX('I&amp;E Profiles'!AS$96:AS$180,$I44))</f>
        <v>0</v>
      </c>
      <c r="AT44" s="10" cm="1">
        <f t="array" ref="AT44">IF(OR(AT$4=0, $G44&lt;&gt; $G$7, $E44=0), 'I&amp;E Monthly'!AT44, CHOOSE(Timeline!AT$30,$J44,$K44,$L44 )*INDEX('I&amp;E Profiles'!AT$96:AT$180,$I44))</f>
        <v>0</v>
      </c>
      <c r="AU44" s="10" cm="1">
        <f t="array" ref="AU44">IF(OR(AU$4=0, $G44&lt;&gt; $G$7, $E44=0), 'I&amp;E Monthly'!AU44, CHOOSE(Timeline!AU$30,$J44,$K44,$L44 )*INDEX('I&amp;E Profiles'!AU$96:AU$180,$I44))</f>
        <v>0</v>
      </c>
      <c r="AV44" s="10" cm="1">
        <f t="array" ref="AV44">IF(OR(AV$4=0, $G44&lt;&gt; $G$7, $E44=0), 'I&amp;E Monthly'!AV44, CHOOSE(Timeline!AV$30,$J44,$K44,$L44 )*INDEX('I&amp;E Profiles'!AV$96:AV$180,$I44))</f>
        <v>0</v>
      </c>
      <c r="AW44" s="10" cm="1">
        <f t="array" ref="AW44">IF(OR(AW$4=0, $G44&lt;&gt; $G$7, $E44=0), 'I&amp;E Monthly'!AW44, CHOOSE(Timeline!AW$30,$J44,$K44,$L44 )*INDEX('I&amp;E Profiles'!AW$96:AW$180,$I44))</f>
        <v>0</v>
      </c>
      <c r="AX44" s="10" cm="1">
        <f t="array" ref="AX44">IF(OR(AX$4=0, $G44&lt;&gt; $G$7, $E44=0), 'I&amp;E Monthly'!AX44, CHOOSE(Timeline!AX$30,$J44,$K44,$L44 )*INDEX('I&amp;E Profiles'!AX$96:AX$180,$I44))</f>
        <v>0</v>
      </c>
      <c r="AY44" s="10" cm="1">
        <f t="array" ref="AY44">IF(OR(AY$4=0, $G44&lt;&gt; $G$7, $E44=0), 'I&amp;E Monthly'!AY44, CHOOSE(Timeline!AY$30,$J44,$K44,$L44 )*INDEX('I&amp;E Profiles'!AY$96:AY$180,$I44))</f>
        <v>0</v>
      </c>
      <c r="AZ44" s="10" cm="1">
        <f t="array" ref="AZ44">IF(OR(AZ$4=0, $G44&lt;&gt; $G$7, $E44=0), 'I&amp;E Monthly'!AZ44, CHOOSE(Timeline!AZ$30,$J44,$K44,$L44 )*INDEX('I&amp;E Profiles'!AZ$96:AZ$180,$I44))</f>
        <v>0</v>
      </c>
      <c r="BA44" s="10" cm="1">
        <f t="array" ref="BA44">IF(OR(BA$4=0, $G44&lt;&gt; $G$7, $E44=0), 'I&amp;E Monthly'!BA44, CHOOSE(Timeline!BA$30,$J44,$K44,$L44 )*INDEX('I&amp;E Profiles'!BA$96:BA$180,$I44))</f>
        <v>0</v>
      </c>
      <c r="BB44" s="10" cm="1">
        <f t="array" ref="BB44">IF(OR(BB$4=0, $G44&lt;&gt; $G$7, $E44=0), 'I&amp;E Monthly'!BB44, CHOOSE(Timeline!BB$30,$J44,$K44,$L44 )*INDEX('I&amp;E Profiles'!BB$96:BB$180,$I44))</f>
        <v>0</v>
      </c>
      <c r="BC44" s="10" cm="1">
        <f t="array" ref="BC44">IF(OR(BC$4=0, $G44&lt;&gt; $G$7, $E44=0), 'I&amp;E Monthly'!BC44, CHOOSE(Timeline!BC$30,$J44,$K44,$L44 )*INDEX('I&amp;E Profiles'!BC$96:BC$180,$I44))</f>
        <v>0</v>
      </c>
      <c r="BD44" s="10" cm="1">
        <f t="array" ref="BD44">IF(OR(BD$4=0, $G44&lt;&gt; $G$7, $E44=0), 'I&amp;E Monthly'!BD44, CHOOSE(Timeline!BD$30,$J44,$K44,$L44 )*INDEX('I&amp;E Profiles'!BD$96:BD$180,$I44))</f>
        <v>0</v>
      </c>
      <c r="BE44" s="10" cm="1">
        <f t="array" ref="BE44">IF(OR(BE$4=0, $G44&lt;&gt; $G$7, $E44=0), 'I&amp;E Monthly'!BE44, CHOOSE(Timeline!BE$30,$J44,$K44,$L44 )*INDEX('I&amp;E Profiles'!BE$96:BE$180,$I44))</f>
        <v>0</v>
      </c>
      <c r="BF44" s="10" cm="1">
        <f t="array" ref="BF44">IF(OR(BF$4=0, $G44&lt;&gt; $G$7, $E44=0), 'I&amp;E Monthly'!BF44, CHOOSE(Timeline!BF$30,$J44,$K44,$L44 )*INDEX('I&amp;E Profiles'!BF$96:BF$180,$I44))</f>
        <v>0</v>
      </c>
      <c r="BG44" s="10" cm="1">
        <f t="array" ref="BG44">IF(OR(BG$4=0, $G44&lt;&gt; $G$7, $E44=0), 'I&amp;E Monthly'!BG44, CHOOSE(Timeline!BG$30,$J44,$K44,$L44 )*INDEX('I&amp;E Profiles'!BG$96:BG$180,$I44))</f>
        <v>0</v>
      </c>
      <c r="BH44" s="10" cm="1">
        <f t="array" ref="BH44">IF(OR(BH$4=0, $G44&lt;&gt; $G$7, $E44=0), 'I&amp;E Monthly'!BH44, CHOOSE(Timeline!BH$30,$J44,$K44,$L44 )*INDEX('I&amp;E Profiles'!BH$96:BH$180,$I44))</f>
        <v>0</v>
      </c>
      <c r="BI44" s="10" cm="1">
        <f t="array" ref="BI44">IF(OR(BI$4=0, $G44&lt;&gt; $G$7, $E44=0), 'I&amp;E Monthly'!BI44, CHOOSE(Timeline!BI$30,$J44,$K44,$L44 )*INDEX('I&amp;E Profiles'!BI$96:BI$180,$I44))</f>
        <v>0</v>
      </c>
      <c r="BJ44" s="10" cm="1">
        <f t="array" ref="BJ44">IF(OR(BJ$4=0, $G44&lt;&gt; $G$7, $E44=0), 'I&amp;E Monthly'!BJ44, CHOOSE(Timeline!BJ$30,$J44,$K44,$L44 )*INDEX('I&amp;E Profiles'!BJ$96:BJ$180,$I44))</f>
        <v>0</v>
      </c>
      <c r="BX44" s="12">
        <f>V44</f>
        <v>0</v>
      </c>
      <c r="BY44" s="10">
        <f t="shared" si="41"/>
        <v>0</v>
      </c>
      <c r="BZ44" s="10">
        <f t="shared" si="41"/>
        <v>0</v>
      </c>
      <c r="CA44" s="10">
        <f t="shared" si="41"/>
        <v>0</v>
      </c>
      <c r="CB44" s="12">
        <f>'I&amp;E Monthly'!CB44</f>
        <v>0</v>
      </c>
      <c r="CC44" s="12">
        <f>'I&amp;E Monthly'!CC44</f>
        <v>0</v>
      </c>
      <c r="CD44" s="12">
        <f>'I&amp;E Monthly'!CD44</f>
        <v>0</v>
      </c>
      <c r="CE44" s="12">
        <f>'I&amp;E Monthly'!CE44</f>
        <v>0</v>
      </c>
      <c r="CF44" s="12">
        <f>'I&amp;E Monthly'!CF44</f>
        <v>0</v>
      </c>
      <c r="CG44" s="12">
        <f>'I&amp;E Monthly'!CG44</f>
        <v>0</v>
      </c>
      <c r="CH44" s="12">
        <f>'I&amp;E Monthly'!CH44</f>
        <v>0</v>
      </c>
      <c r="CI44" s="12">
        <f>'I&amp;E Monthly'!CI44</f>
        <v>0</v>
      </c>
      <c r="CK44" s="11"/>
      <c r="CL44" s="221">
        <f t="shared" ca="1" si="42"/>
        <v>0</v>
      </c>
      <c r="CM44" s="11"/>
      <c r="CN44" s="7">
        <f>IF(AND($G44=$G$7,$E44=""), 1, 0)</f>
        <v>0</v>
      </c>
      <c r="CO44" s="7" cm="1">
        <f t="array" ref="CO44">SUMPRODUCT(--NOT(ISNUMBER(W44:Y44)),--NOT(ISBLANK(W44:Y44)))</f>
        <v>0</v>
      </c>
      <c r="CP44" s="7" cm="1">
        <f t="array" ref="CP44">IF(E44="",0, IF(IFERROR(INDEX('I&amp;E Profiles'!$D$96:$D$180, $I44), "N/A")="N/A", 1, 0))</f>
        <v>0</v>
      </c>
      <c r="CQ44" s="7">
        <f t="shared" si="43"/>
        <v>0</v>
      </c>
      <c r="CS44" s="7">
        <f t="shared" si="44"/>
        <v>0</v>
      </c>
      <c r="CT44" s="7">
        <f t="shared" si="45"/>
        <v>0</v>
      </c>
      <c r="CU44" s="11"/>
      <c r="CV44" s="215">
        <f t="shared" si="46"/>
        <v>0</v>
      </c>
      <c r="CW44" s="215">
        <f t="shared" si="46"/>
        <v>0</v>
      </c>
      <c r="CX44" s="215">
        <f t="shared" si="46"/>
        <v>0</v>
      </c>
      <c r="CY44" s="215">
        <f t="shared" si="47"/>
        <v>0</v>
      </c>
      <c r="CZ44" s="215">
        <f t="shared" si="48"/>
        <v>0</v>
      </c>
      <c r="DA44" s="215">
        <f t="shared" si="49"/>
        <v>0</v>
      </c>
      <c r="DB44" s="215">
        <f t="shared" si="50"/>
        <v>0</v>
      </c>
      <c r="FN44" s="10" t="str">
        <f t="shared" si="40"/>
        <v>Other HE income (excl. fees)</v>
      </c>
    </row>
    <row r="45" spans="1:170" x14ac:dyDescent="0.35">
      <c r="A45" s="220" cm="1">
        <f t="array" aca="1" ref="A45" ca="1">HYPERLINK(CONCATENATE("#",CELL("address",IF(MAX($CM45:$CU45)=0,A45,INDEX($CM45:$CU45,MATCH(1,$CM45:$CU45,0))))),MAX($CM45:$CU45))</f>
        <v>0</v>
      </c>
      <c r="B45" s="85" t="s">
        <v>122</v>
      </c>
      <c r="C45" s="213" t="s">
        <v>503</v>
      </c>
      <c r="D45" s="57" t="s">
        <v>347</v>
      </c>
      <c r="E45" s="114"/>
      <c r="F45" s="79" t="str" cm="1">
        <f t="array" aca="1" ref="F45" ca="1">IF(E45="", "", HYPERLINK(CONCATENATE("#",CELL("address",INDEX('I&amp;E Profiles'!$D$9:$D$93,'I&amp;E Annual'!I45))),E45))</f>
        <v/>
      </c>
      <c r="G45" s="114"/>
      <c r="H45" t="s">
        <v>317</v>
      </c>
      <c r="I45" s="132" t="str">
        <f>IF(E45="", "", MATCH(E45, 'I&amp;E Profiles'!$D$96:$D$180,0))</f>
        <v/>
      </c>
      <c r="J45" s="133">
        <f>IF($G45=$G$7, W45,'I&amp;E Monthly'!W45)-SUMIFS('I&amp;E Monthly'!$AA45:$BJ45, 'I&amp;E Monthly'!$AA$3:$BJ$3, 'I&amp;E Annual'!W$3, 'I&amp;E Monthly'!$AA$4:$BJ$4, 0)</f>
        <v>0</v>
      </c>
      <c r="K45" s="133">
        <f>IF($G45=$G$7, X45,'I&amp;E Monthly'!X45)-SUMIFS('I&amp;E Monthly'!$AA45:$BJ45, 'I&amp;E Monthly'!$AA$3:$BJ$3, 'I&amp;E Annual'!X$3, 'I&amp;E Monthly'!$AA$4:$BJ$4, 0)</f>
        <v>0</v>
      </c>
      <c r="L45" s="133">
        <f>IF($G45=$G$7, Y45,'I&amp;E Monthly'!Y45)-SUMIFS('I&amp;E Monthly'!$AA45:$BJ45, 'I&amp;E Monthly'!$AA$3:$BJ$3, 'I&amp;E Annual'!Y$3, 'I&amp;E Monthly'!$AA$4:$BJ$4, 0)</f>
        <v>0</v>
      </c>
      <c r="Q45" s="2"/>
      <c r="V45" s="133">
        <f>'I&amp;E Monthly'!V45</f>
        <v>0</v>
      </c>
      <c r="W45" s="114"/>
      <c r="X45" s="131"/>
      <c r="Y45" s="131"/>
      <c r="AA45" s="10" cm="1">
        <f t="array" ref="AA45">IF(OR(AA$4=0, $G45&lt;&gt; $G$7, $E45=0), 'I&amp;E Monthly'!AA45, CHOOSE(Timeline!AA$30,$J45,$K45,$L45 )*INDEX('I&amp;E Profiles'!AA$96:AA$180,$I45))</f>
        <v>0</v>
      </c>
      <c r="AB45" s="10" cm="1">
        <f t="array" ref="AB45">IF(OR(AB$4=0, $G45&lt;&gt; $G$7, $E45=0), 'I&amp;E Monthly'!AB45, CHOOSE(Timeline!AB$30,$J45,$K45,$L45 )*INDEX('I&amp;E Profiles'!AB$96:AB$180,$I45))</f>
        <v>0</v>
      </c>
      <c r="AC45" s="10" cm="1">
        <f t="array" ref="AC45">IF(OR(AC$4=0, $G45&lt;&gt; $G$7, $E45=0), 'I&amp;E Monthly'!AC45, CHOOSE(Timeline!AC$30,$J45,$K45,$L45 )*INDEX('I&amp;E Profiles'!AC$96:AC$180,$I45))</f>
        <v>0</v>
      </c>
      <c r="AD45" s="10" cm="1">
        <f t="array" ref="AD45">IF(OR(AD$4=0, $G45&lt;&gt; $G$7, $E45=0), 'I&amp;E Monthly'!AD45, CHOOSE(Timeline!AD$30,$J45,$K45,$L45 )*INDEX('I&amp;E Profiles'!AD$96:AD$180,$I45))</f>
        <v>0</v>
      </c>
      <c r="AE45" s="10" cm="1">
        <f t="array" ref="AE45">IF(OR(AE$4=0, $G45&lt;&gt; $G$7, $E45=0), 'I&amp;E Monthly'!AE45, CHOOSE(Timeline!AE$30,$J45,$K45,$L45 )*INDEX('I&amp;E Profiles'!AE$96:AE$180,$I45))</f>
        <v>0</v>
      </c>
      <c r="AF45" s="10" cm="1">
        <f t="array" ref="AF45">IF(OR(AF$4=0, $G45&lt;&gt; $G$7, $E45=0), 'I&amp;E Monthly'!AF45, CHOOSE(Timeline!AF$30,$J45,$K45,$L45 )*INDEX('I&amp;E Profiles'!AF$96:AF$180,$I45))</f>
        <v>0</v>
      </c>
      <c r="AG45" s="10" cm="1">
        <f t="array" ref="AG45">IF(OR(AG$4=0, $G45&lt;&gt; $G$7, $E45=0), 'I&amp;E Monthly'!AG45, CHOOSE(Timeline!AG$30,$J45,$K45,$L45 )*INDEX('I&amp;E Profiles'!AG$96:AG$180,$I45))</f>
        <v>0</v>
      </c>
      <c r="AH45" s="10" cm="1">
        <f t="array" ref="AH45">IF(OR(AH$4=0, $G45&lt;&gt; $G$7, $E45=0), 'I&amp;E Monthly'!AH45, CHOOSE(Timeline!AH$30,$J45,$K45,$L45 )*INDEX('I&amp;E Profiles'!AH$96:AH$180,$I45))</f>
        <v>0</v>
      </c>
      <c r="AI45" s="10" cm="1">
        <f t="array" ref="AI45">IF(OR(AI$4=0, $G45&lt;&gt; $G$7, $E45=0), 'I&amp;E Monthly'!AI45, CHOOSE(Timeline!AI$30,$J45,$K45,$L45 )*INDEX('I&amp;E Profiles'!AI$96:AI$180,$I45))</f>
        <v>0</v>
      </c>
      <c r="AJ45" s="10" cm="1">
        <f t="array" ref="AJ45">IF(OR(AJ$4=0, $G45&lt;&gt; $G$7, $E45=0), 'I&amp;E Monthly'!AJ45, CHOOSE(Timeline!AJ$30,$J45,$K45,$L45 )*INDEX('I&amp;E Profiles'!AJ$96:AJ$180,$I45))</f>
        <v>0</v>
      </c>
      <c r="AK45" s="10" cm="1">
        <f t="array" ref="AK45">IF(OR(AK$4=0, $G45&lt;&gt; $G$7, $E45=0), 'I&amp;E Monthly'!AK45, CHOOSE(Timeline!AK$30,$J45,$K45,$L45 )*INDEX('I&amp;E Profiles'!AK$96:AK$180,$I45))</f>
        <v>0</v>
      </c>
      <c r="AL45" s="10" cm="1">
        <f t="array" ref="AL45">IF(OR(AL$4=0, $G45&lt;&gt; $G$7, $E45=0), 'I&amp;E Monthly'!AL45, CHOOSE(Timeline!AL$30,$J45,$K45,$L45 )*INDEX('I&amp;E Profiles'!AL$96:AL$180,$I45))</f>
        <v>0</v>
      </c>
      <c r="AM45" s="10" cm="1">
        <f t="array" ref="AM45">IF(OR(AM$4=0, $G45&lt;&gt; $G$7, $E45=0), 'I&amp;E Monthly'!AM45, CHOOSE(Timeline!AM$30,$J45,$K45,$L45 )*INDEX('I&amp;E Profiles'!AM$96:AM$180,$I45))</f>
        <v>0</v>
      </c>
      <c r="AN45" s="10" cm="1">
        <f t="array" ref="AN45">IF(OR(AN$4=0, $G45&lt;&gt; $G$7, $E45=0), 'I&amp;E Monthly'!AN45, CHOOSE(Timeline!AN$30,$J45,$K45,$L45 )*INDEX('I&amp;E Profiles'!AN$96:AN$180,$I45))</f>
        <v>0</v>
      </c>
      <c r="AO45" s="10" cm="1">
        <f t="array" ref="AO45">IF(OR(AO$4=0, $G45&lt;&gt; $G$7, $E45=0), 'I&amp;E Monthly'!AO45, CHOOSE(Timeline!AO$30,$J45,$K45,$L45 )*INDEX('I&amp;E Profiles'!AO$96:AO$180,$I45))</f>
        <v>0</v>
      </c>
      <c r="AP45" s="10" cm="1">
        <f t="array" ref="AP45">IF(OR(AP$4=0, $G45&lt;&gt; $G$7, $E45=0), 'I&amp;E Monthly'!AP45, CHOOSE(Timeline!AP$30,$J45,$K45,$L45 )*INDEX('I&amp;E Profiles'!AP$96:AP$180,$I45))</f>
        <v>0</v>
      </c>
      <c r="AQ45" s="10" cm="1">
        <f t="array" ref="AQ45">IF(OR(AQ$4=0, $G45&lt;&gt; $G$7, $E45=0), 'I&amp;E Monthly'!AQ45, CHOOSE(Timeline!AQ$30,$J45,$K45,$L45 )*INDEX('I&amp;E Profiles'!AQ$96:AQ$180,$I45))</f>
        <v>0</v>
      </c>
      <c r="AR45" s="10" cm="1">
        <f t="array" ref="AR45">IF(OR(AR$4=0, $G45&lt;&gt; $G$7, $E45=0), 'I&amp;E Monthly'!AR45, CHOOSE(Timeline!AR$30,$J45,$K45,$L45 )*INDEX('I&amp;E Profiles'!AR$96:AR$180,$I45))</f>
        <v>0</v>
      </c>
      <c r="AS45" s="10" cm="1">
        <f t="array" ref="AS45">IF(OR(AS$4=0, $G45&lt;&gt; $G$7, $E45=0), 'I&amp;E Monthly'!AS45, CHOOSE(Timeline!AS$30,$J45,$K45,$L45 )*INDEX('I&amp;E Profiles'!AS$96:AS$180,$I45))</f>
        <v>0</v>
      </c>
      <c r="AT45" s="10" cm="1">
        <f t="array" ref="AT45">IF(OR(AT$4=0, $G45&lt;&gt; $G$7, $E45=0), 'I&amp;E Monthly'!AT45, CHOOSE(Timeline!AT$30,$J45,$K45,$L45 )*INDEX('I&amp;E Profiles'!AT$96:AT$180,$I45))</f>
        <v>0</v>
      </c>
      <c r="AU45" s="10" cm="1">
        <f t="array" ref="AU45">IF(OR(AU$4=0, $G45&lt;&gt; $G$7, $E45=0), 'I&amp;E Monthly'!AU45, CHOOSE(Timeline!AU$30,$J45,$K45,$L45 )*INDEX('I&amp;E Profiles'!AU$96:AU$180,$I45))</f>
        <v>0</v>
      </c>
      <c r="AV45" s="10" cm="1">
        <f t="array" ref="AV45">IF(OR(AV$4=0, $G45&lt;&gt; $G$7, $E45=0), 'I&amp;E Monthly'!AV45, CHOOSE(Timeline!AV$30,$J45,$K45,$L45 )*INDEX('I&amp;E Profiles'!AV$96:AV$180,$I45))</f>
        <v>0</v>
      </c>
      <c r="AW45" s="10" cm="1">
        <f t="array" ref="AW45">IF(OR(AW$4=0, $G45&lt;&gt; $G$7, $E45=0), 'I&amp;E Monthly'!AW45, CHOOSE(Timeline!AW$30,$J45,$K45,$L45 )*INDEX('I&amp;E Profiles'!AW$96:AW$180,$I45))</f>
        <v>0</v>
      </c>
      <c r="AX45" s="10" cm="1">
        <f t="array" ref="AX45">IF(OR(AX$4=0, $G45&lt;&gt; $G$7, $E45=0), 'I&amp;E Monthly'!AX45, CHOOSE(Timeline!AX$30,$J45,$K45,$L45 )*INDEX('I&amp;E Profiles'!AX$96:AX$180,$I45))</f>
        <v>0</v>
      </c>
      <c r="AY45" s="10" cm="1">
        <f t="array" ref="AY45">IF(OR(AY$4=0, $G45&lt;&gt; $G$7, $E45=0), 'I&amp;E Monthly'!AY45, CHOOSE(Timeline!AY$30,$J45,$K45,$L45 )*INDEX('I&amp;E Profiles'!AY$96:AY$180,$I45))</f>
        <v>0</v>
      </c>
      <c r="AZ45" s="10" cm="1">
        <f t="array" ref="AZ45">IF(OR(AZ$4=0, $G45&lt;&gt; $G$7, $E45=0), 'I&amp;E Monthly'!AZ45, CHOOSE(Timeline!AZ$30,$J45,$K45,$L45 )*INDEX('I&amp;E Profiles'!AZ$96:AZ$180,$I45))</f>
        <v>0</v>
      </c>
      <c r="BA45" s="10" cm="1">
        <f t="array" ref="BA45">IF(OR(BA$4=0, $G45&lt;&gt; $G$7, $E45=0), 'I&amp;E Monthly'!BA45, CHOOSE(Timeline!BA$30,$J45,$K45,$L45 )*INDEX('I&amp;E Profiles'!BA$96:BA$180,$I45))</f>
        <v>0</v>
      </c>
      <c r="BB45" s="10" cm="1">
        <f t="array" ref="BB45">IF(OR(BB$4=0, $G45&lt;&gt; $G$7, $E45=0), 'I&amp;E Monthly'!BB45, CHOOSE(Timeline!BB$30,$J45,$K45,$L45 )*INDEX('I&amp;E Profiles'!BB$96:BB$180,$I45))</f>
        <v>0</v>
      </c>
      <c r="BC45" s="10" cm="1">
        <f t="array" ref="BC45">IF(OR(BC$4=0, $G45&lt;&gt; $G$7, $E45=0), 'I&amp;E Monthly'!BC45, CHOOSE(Timeline!BC$30,$J45,$K45,$L45 )*INDEX('I&amp;E Profiles'!BC$96:BC$180,$I45))</f>
        <v>0</v>
      </c>
      <c r="BD45" s="10" cm="1">
        <f t="array" ref="BD45">IF(OR(BD$4=0, $G45&lt;&gt; $G$7, $E45=0), 'I&amp;E Monthly'!BD45, CHOOSE(Timeline!BD$30,$J45,$K45,$L45 )*INDEX('I&amp;E Profiles'!BD$96:BD$180,$I45))</f>
        <v>0</v>
      </c>
      <c r="BE45" s="10" cm="1">
        <f t="array" ref="BE45">IF(OR(BE$4=0, $G45&lt;&gt; $G$7, $E45=0), 'I&amp;E Monthly'!BE45, CHOOSE(Timeline!BE$30,$J45,$K45,$L45 )*INDEX('I&amp;E Profiles'!BE$96:BE$180,$I45))</f>
        <v>0</v>
      </c>
      <c r="BF45" s="10" cm="1">
        <f t="array" ref="BF45">IF(OR(BF$4=0, $G45&lt;&gt; $G$7, $E45=0), 'I&amp;E Monthly'!BF45, CHOOSE(Timeline!BF$30,$J45,$K45,$L45 )*INDEX('I&amp;E Profiles'!BF$96:BF$180,$I45))</f>
        <v>0</v>
      </c>
      <c r="BG45" s="10" cm="1">
        <f t="array" ref="BG45">IF(OR(BG$4=0, $G45&lt;&gt; $G$7, $E45=0), 'I&amp;E Monthly'!BG45, CHOOSE(Timeline!BG$30,$J45,$K45,$L45 )*INDEX('I&amp;E Profiles'!BG$96:BG$180,$I45))</f>
        <v>0</v>
      </c>
      <c r="BH45" s="10" cm="1">
        <f t="array" ref="BH45">IF(OR(BH$4=0, $G45&lt;&gt; $G$7, $E45=0), 'I&amp;E Monthly'!BH45, CHOOSE(Timeline!BH$30,$J45,$K45,$L45 )*INDEX('I&amp;E Profiles'!BH$96:BH$180,$I45))</f>
        <v>0</v>
      </c>
      <c r="BI45" s="10" cm="1">
        <f t="array" ref="BI45">IF(OR(BI$4=0, $G45&lt;&gt; $G$7, $E45=0), 'I&amp;E Monthly'!BI45, CHOOSE(Timeline!BI$30,$J45,$K45,$L45 )*INDEX('I&amp;E Profiles'!BI$96:BI$180,$I45))</f>
        <v>0</v>
      </c>
      <c r="BJ45" s="10" cm="1">
        <f t="array" ref="BJ45">IF(OR(BJ$4=0, $G45&lt;&gt; $G$7, $E45=0), 'I&amp;E Monthly'!BJ45, CHOOSE(Timeline!BJ$30,$J45,$K45,$L45 )*INDEX('I&amp;E Profiles'!BJ$96:BJ$180,$I45))</f>
        <v>0</v>
      </c>
      <c r="BX45" s="12">
        <f>V45</f>
        <v>0</v>
      </c>
      <c r="BY45" s="10">
        <f t="shared" si="41"/>
        <v>0</v>
      </c>
      <c r="BZ45" s="10">
        <f t="shared" si="41"/>
        <v>0</v>
      </c>
      <c r="CA45" s="10">
        <f t="shared" si="41"/>
        <v>0</v>
      </c>
      <c r="CB45" s="12">
        <f>'I&amp;E Monthly'!CB45</f>
        <v>0</v>
      </c>
      <c r="CC45" s="12">
        <f>'I&amp;E Monthly'!CC45</f>
        <v>0</v>
      </c>
      <c r="CD45" s="12">
        <f>'I&amp;E Monthly'!CD45</f>
        <v>0</v>
      </c>
      <c r="CE45" s="12">
        <f>'I&amp;E Monthly'!CE45</f>
        <v>0</v>
      </c>
      <c r="CF45" s="12">
        <f>'I&amp;E Monthly'!CF45</f>
        <v>0</v>
      </c>
      <c r="CG45" s="12">
        <f>'I&amp;E Monthly'!CG45</f>
        <v>0</v>
      </c>
      <c r="CH45" s="12">
        <f>'I&amp;E Monthly'!CH45</f>
        <v>0</v>
      </c>
      <c r="CI45" s="12">
        <f>'I&amp;E Monthly'!CI45</f>
        <v>0</v>
      </c>
      <c r="CK45" s="11"/>
      <c r="CL45" s="221">
        <f t="shared" ca="1" si="42"/>
        <v>0</v>
      </c>
      <c r="CM45" s="11"/>
      <c r="CN45" s="7">
        <f>IF(AND($G45=$G$7,$E45=""), 1, 0)</f>
        <v>0</v>
      </c>
      <c r="CO45" s="7" cm="1">
        <f t="array" ref="CO45">SUMPRODUCT(--NOT(ISNUMBER(W45:Y45)),--NOT(ISBLANK(W45:Y45)))</f>
        <v>0</v>
      </c>
      <c r="CP45" s="7" cm="1">
        <f t="array" ref="CP45">IF(E45="",0, IF(IFERROR(INDEX('I&amp;E Profiles'!$D$96:$D$180, $I45), "N/A")="N/A", 1, 0))</f>
        <v>0</v>
      </c>
      <c r="CQ45" s="7">
        <f t="shared" si="43"/>
        <v>0</v>
      </c>
      <c r="CS45" s="7">
        <f t="shared" si="44"/>
        <v>0</v>
      </c>
      <c r="CT45" s="7">
        <f t="shared" si="45"/>
        <v>0</v>
      </c>
      <c r="CU45" s="11"/>
      <c r="CV45" s="215">
        <f t="shared" si="46"/>
        <v>0</v>
      </c>
      <c r="CW45" s="215">
        <f t="shared" si="46"/>
        <v>0</v>
      </c>
      <c r="CX45" s="215">
        <f t="shared" si="46"/>
        <v>0</v>
      </c>
      <c r="CY45" s="215">
        <f t="shared" si="47"/>
        <v>0</v>
      </c>
      <c r="CZ45" s="215">
        <f t="shared" si="48"/>
        <v>0</v>
      </c>
      <c r="DA45" s="215">
        <f t="shared" si="49"/>
        <v>0</v>
      </c>
      <c r="DB45" s="215">
        <f t="shared" si="50"/>
        <v>0</v>
      </c>
      <c r="FN45" s="10" t="str">
        <f t="shared" si="40"/>
        <v>Subcontracted in - HE (Franchised)</v>
      </c>
    </row>
    <row r="46" spans="1:170" x14ac:dyDescent="0.35">
      <c r="A46" s="220" cm="1">
        <f t="array" aca="1" ref="A46" ca="1">HYPERLINK(CONCATENATE("#",CELL("address",IF(MAX($CM46:$CU46)=0,A46,INDEX($CM46:$CU46,MATCH(1,$CM46:$CU46,0))))),MAX($CM46:$CU46))</f>
        <v>0</v>
      </c>
      <c r="C46" s="213" t="s">
        <v>504</v>
      </c>
      <c r="D46" s="61" t="s">
        <v>348</v>
      </c>
      <c r="E46" s="5"/>
      <c r="G46" s="5"/>
      <c r="Q46" s="2"/>
      <c r="V46" s="12">
        <f>SUM(V42:V45)</f>
        <v>0</v>
      </c>
      <c r="W46" s="12">
        <f>SUM(W42:W45)</f>
        <v>0</v>
      </c>
      <c r="X46" s="12">
        <f>SUM(X42:X45)</f>
        <v>0</v>
      </c>
      <c r="Y46" s="12">
        <f>SUM(Y42:Y45)</f>
        <v>0</v>
      </c>
      <c r="AA46" s="12">
        <f t="shared" ref="AA46:BJ46" si="51">SUM(AA42:AA45)</f>
        <v>0</v>
      </c>
      <c r="AB46" s="12">
        <f t="shared" si="51"/>
        <v>0</v>
      </c>
      <c r="AC46" s="12">
        <f t="shared" si="51"/>
        <v>0</v>
      </c>
      <c r="AD46" s="12">
        <f t="shared" si="51"/>
        <v>0</v>
      </c>
      <c r="AE46" s="12">
        <f t="shared" si="51"/>
        <v>0</v>
      </c>
      <c r="AF46" s="12">
        <f t="shared" si="51"/>
        <v>0</v>
      </c>
      <c r="AG46" s="12">
        <f t="shared" si="51"/>
        <v>0</v>
      </c>
      <c r="AH46" s="12">
        <f t="shared" si="51"/>
        <v>0</v>
      </c>
      <c r="AI46" s="12">
        <f t="shared" si="51"/>
        <v>0</v>
      </c>
      <c r="AJ46" s="12">
        <f t="shared" si="51"/>
        <v>0</v>
      </c>
      <c r="AK46" s="12">
        <f t="shared" si="51"/>
        <v>0</v>
      </c>
      <c r="AL46" s="12">
        <f t="shared" si="51"/>
        <v>0</v>
      </c>
      <c r="AM46" s="12">
        <f t="shared" si="51"/>
        <v>0</v>
      </c>
      <c r="AN46" s="12">
        <f t="shared" si="51"/>
        <v>0</v>
      </c>
      <c r="AO46" s="12">
        <f t="shared" si="51"/>
        <v>0</v>
      </c>
      <c r="AP46" s="12">
        <f t="shared" si="51"/>
        <v>0</v>
      </c>
      <c r="AQ46" s="12">
        <f t="shared" si="51"/>
        <v>0</v>
      </c>
      <c r="AR46" s="12">
        <f t="shared" si="51"/>
        <v>0</v>
      </c>
      <c r="AS46" s="12">
        <f t="shared" si="51"/>
        <v>0</v>
      </c>
      <c r="AT46" s="12">
        <f t="shared" si="51"/>
        <v>0</v>
      </c>
      <c r="AU46" s="12">
        <f t="shared" si="51"/>
        <v>0</v>
      </c>
      <c r="AV46" s="12">
        <f t="shared" si="51"/>
        <v>0</v>
      </c>
      <c r="AW46" s="12">
        <f t="shared" si="51"/>
        <v>0</v>
      </c>
      <c r="AX46" s="12">
        <f t="shared" si="51"/>
        <v>0</v>
      </c>
      <c r="AY46" s="12">
        <f t="shared" si="51"/>
        <v>0</v>
      </c>
      <c r="AZ46" s="12">
        <f t="shared" si="51"/>
        <v>0</v>
      </c>
      <c r="BA46" s="12">
        <f t="shared" si="51"/>
        <v>0</v>
      </c>
      <c r="BB46" s="12">
        <f t="shared" si="51"/>
        <v>0</v>
      </c>
      <c r="BC46" s="12">
        <f t="shared" si="51"/>
        <v>0</v>
      </c>
      <c r="BD46" s="12">
        <f t="shared" si="51"/>
        <v>0</v>
      </c>
      <c r="BE46" s="12">
        <f t="shared" si="51"/>
        <v>0</v>
      </c>
      <c r="BF46" s="12">
        <f t="shared" si="51"/>
        <v>0</v>
      </c>
      <c r="BG46" s="12">
        <f t="shared" si="51"/>
        <v>0</v>
      </c>
      <c r="BH46" s="12">
        <f t="shared" si="51"/>
        <v>0</v>
      </c>
      <c r="BI46" s="12">
        <f t="shared" si="51"/>
        <v>0</v>
      </c>
      <c r="BJ46" s="12">
        <f t="shared" si="51"/>
        <v>0</v>
      </c>
      <c r="BX46" s="12">
        <f t="shared" ref="BX46:CI46" si="52">SUM(BX42:BX45)</f>
        <v>0</v>
      </c>
      <c r="BY46" s="12">
        <f t="shared" si="52"/>
        <v>0</v>
      </c>
      <c r="BZ46" s="12">
        <f t="shared" si="52"/>
        <v>0</v>
      </c>
      <c r="CA46" s="12">
        <f t="shared" si="52"/>
        <v>0</v>
      </c>
      <c r="CB46" s="12">
        <f t="shared" si="52"/>
        <v>0</v>
      </c>
      <c r="CC46" s="12">
        <f t="shared" si="52"/>
        <v>0</v>
      </c>
      <c r="CD46" s="12">
        <f t="shared" si="52"/>
        <v>0</v>
      </c>
      <c r="CE46" s="12">
        <f t="shared" si="52"/>
        <v>0</v>
      </c>
      <c r="CF46" s="12">
        <f t="shared" si="52"/>
        <v>0</v>
      </c>
      <c r="CG46" s="12">
        <f t="shared" si="52"/>
        <v>0</v>
      </c>
      <c r="CH46" s="12">
        <f t="shared" si="52"/>
        <v>0</v>
      </c>
      <c r="CI46" s="12">
        <f t="shared" si="52"/>
        <v>0</v>
      </c>
      <c r="CK46" s="11"/>
      <c r="CL46" s="221">
        <f t="shared" ca="1" si="42"/>
        <v>0</v>
      </c>
      <c r="CM46" s="11"/>
      <c r="CQ46" s="7">
        <f t="shared" si="43"/>
        <v>0</v>
      </c>
      <c r="CS46" s="7">
        <f t="shared" si="44"/>
        <v>0</v>
      </c>
      <c r="CT46" s="7">
        <f t="shared" si="45"/>
        <v>0</v>
      </c>
      <c r="CU46" s="11"/>
      <c r="CV46" s="215">
        <f t="shared" si="46"/>
        <v>0</v>
      </c>
      <c r="CW46" s="215">
        <f t="shared" si="46"/>
        <v>0</v>
      </c>
      <c r="CX46" s="215">
        <f t="shared" si="46"/>
        <v>0</v>
      </c>
      <c r="CY46" s="215">
        <f t="shared" si="47"/>
        <v>0</v>
      </c>
      <c r="CZ46" s="215">
        <f t="shared" si="48"/>
        <v>0</v>
      </c>
      <c r="DA46" s="215">
        <f t="shared" si="49"/>
        <v>0</v>
      </c>
      <c r="DB46" s="215">
        <f t="shared" si="50"/>
        <v>0</v>
      </c>
      <c r="FN46" s="10" t="str">
        <f t="shared" si="40"/>
        <v>Total HE Income</v>
      </c>
    </row>
    <row r="47" spans="1:170" x14ac:dyDescent="0.35">
      <c r="A47" s="220" cm="1">
        <f t="array" aca="1" ref="A47" ca="1">HYPERLINK(CONCATENATE("#",CELL("address",IF(MAX($CM47:$CU47)=0,A47,INDEX($CM47:$CU47,MATCH(1,$CM47:$CU47,0))))),MAX($CM47:$CU47))</f>
        <v>0</v>
      </c>
      <c r="C47" s="213" t="s">
        <v>505</v>
      </c>
      <c r="D47" s="57" t="s">
        <v>349</v>
      </c>
      <c r="E47" s="114"/>
      <c r="F47" s="79" t="str" cm="1">
        <f t="array" aca="1" ref="F47" ca="1">IF(E47="", "", HYPERLINK(CONCATENATE("#",CELL("address",INDEX('I&amp;E Profiles'!$D$9:$D$93,'I&amp;E Annual'!I47))),E47))</f>
        <v/>
      </c>
      <c r="G47" s="114"/>
      <c r="H47" t="s">
        <v>317</v>
      </c>
      <c r="I47" s="132" t="str">
        <f>IF(E47="", "", MATCH(E47, 'I&amp;E Profiles'!$D$96:$D$180,0))</f>
        <v/>
      </c>
      <c r="J47" s="133">
        <f>IF($G47=$G$7, W47,'I&amp;E Monthly'!W47)-SUMIFS('I&amp;E Monthly'!$AA47:$BJ47, 'I&amp;E Monthly'!$AA$3:$BJ$3, 'I&amp;E Annual'!W$3, 'I&amp;E Monthly'!$AA$4:$BJ$4, 0)</f>
        <v>0</v>
      </c>
      <c r="K47" s="133">
        <f>IF($G47=$G$7, X47,'I&amp;E Monthly'!X47)-SUMIFS('I&amp;E Monthly'!$AA47:$BJ47, 'I&amp;E Monthly'!$AA$3:$BJ$3, 'I&amp;E Annual'!X$3, 'I&amp;E Monthly'!$AA$4:$BJ$4, 0)</f>
        <v>0</v>
      </c>
      <c r="L47" s="133">
        <f>IF($G47=$G$7, Y47,'I&amp;E Monthly'!Y47)-SUMIFS('I&amp;E Monthly'!$AA47:$BJ47, 'I&amp;E Monthly'!$AA$3:$BJ$3, 'I&amp;E Annual'!Y$3, 'I&amp;E Monthly'!$AA$4:$BJ$4, 0)</f>
        <v>0</v>
      </c>
      <c r="Q47" s="2"/>
      <c r="V47" s="133">
        <f>'I&amp;E Monthly'!V47</f>
        <v>0</v>
      </c>
      <c r="W47" s="114"/>
      <c r="X47" s="131"/>
      <c r="Y47" s="131"/>
      <c r="AA47" s="10" cm="1">
        <f t="array" ref="AA47">IF(OR(AA$4=0, $G47&lt;&gt; $G$7, $E47=0), 'I&amp;E Monthly'!AA47, CHOOSE(Timeline!AA$30,$J47,$K47,$L47 )*INDEX('I&amp;E Profiles'!AA$96:AA$180,$I47))</f>
        <v>0</v>
      </c>
      <c r="AB47" s="10" cm="1">
        <f t="array" ref="AB47">IF(OR(AB$4=0, $G47&lt;&gt; $G$7, $E47=0), 'I&amp;E Monthly'!AB47, CHOOSE(Timeline!AB$30,$J47,$K47,$L47 )*INDEX('I&amp;E Profiles'!AB$96:AB$180,$I47))</f>
        <v>0</v>
      </c>
      <c r="AC47" s="10" cm="1">
        <f t="array" ref="AC47">IF(OR(AC$4=0, $G47&lt;&gt; $G$7, $E47=0), 'I&amp;E Monthly'!AC47, CHOOSE(Timeline!AC$30,$J47,$K47,$L47 )*INDEX('I&amp;E Profiles'!AC$96:AC$180,$I47))</f>
        <v>0</v>
      </c>
      <c r="AD47" s="10" cm="1">
        <f t="array" ref="AD47">IF(OR(AD$4=0, $G47&lt;&gt; $G$7, $E47=0), 'I&amp;E Monthly'!AD47, CHOOSE(Timeline!AD$30,$J47,$K47,$L47 )*INDEX('I&amp;E Profiles'!AD$96:AD$180,$I47))</f>
        <v>0</v>
      </c>
      <c r="AE47" s="10" cm="1">
        <f t="array" ref="AE47">IF(OR(AE$4=0, $G47&lt;&gt; $G$7, $E47=0), 'I&amp;E Monthly'!AE47, CHOOSE(Timeline!AE$30,$J47,$K47,$L47 )*INDEX('I&amp;E Profiles'!AE$96:AE$180,$I47))</f>
        <v>0</v>
      </c>
      <c r="AF47" s="10" cm="1">
        <f t="array" ref="AF47">IF(OR(AF$4=0, $G47&lt;&gt; $G$7, $E47=0), 'I&amp;E Monthly'!AF47, CHOOSE(Timeline!AF$30,$J47,$K47,$L47 )*INDEX('I&amp;E Profiles'!AF$96:AF$180,$I47))</f>
        <v>0</v>
      </c>
      <c r="AG47" s="10" cm="1">
        <f t="array" ref="AG47">IF(OR(AG$4=0, $G47&lt;&gt; $G$7, $E47=0), 'I&amp;E Monthly'!AG47, CHOOSE(Timeline!AG$30,$J47,$K47,$L47 )*INDEX('I&amp;E Profiles'!AG$96:AG$180,$I47))</f>
        <v>0</v>
      </c>
      <c r="AH47" s="10" cm="1">
        <f t="array" ref="AH47">IF(OR(AH$4=0, $G47&lt;&gt; $G$7, $E47=0), 'I&amp;E Monthly'!AH47, CHOOSE(Timeline!AH$30,$J47,$K47,$L47 )*INDEX('I&amp;E Profiles'!AH$96:AH$180,$I47))</f>
        <v>0</v>
      </c>
      <c r="AI47" s="10" cm="1">
        <f t="array" ref="AI47">IF(OR(AI$4=0, $G47&lt;&gt; $G$7, $E47=0), 'I&amp;E Monthly'!AI47, CHOOSE(Timeline!AI$30,$J47,$K47,$L47 )*INDEX('I&amp;E Profiles'!AI$96:AI$180,$I47))</f>
        <v>0</v>
      </c>
      <c r="AJ47" s="10" cm="1">
        <f t="array" ref="AJ47">IF(OR(AJ$4=0, $G47&lt;&gt; $G$7, $E47=0), 'I&amp;E Monthly'!AJ47, CHOOSE(Timeline!AJ$30,$J47,$K47,$L47 )*INDEX('I&amp;E Profiles'!AJ$96:AJ$180,$I47))</f>
        <v>0</v>
      </c>
      <c r="AK47" s="10" cm="1">
        <f t="array" ref="AK47">IF(OR(AK$4=0, $G47&lt;&gt; $G$7, $E47=0), 'I&amp;E Monthly'!AK47, CHOOSE(Timeline!AK$30,$J47,$K47,$L47 )*INDEX('I&amp;E Profiles'!AK$96:AK$180,$I47))</f>
        <v>0</v>
      </c>
      <c r="AL47" s="10" cm="1">
        <f t="array" ref="AL47">IF(OR(AL$4=0, $G47&lt;&gt; $G$7, $E47=0), 'I&amp;E Monthly'!AL47, CHOOSE(Timeline!AL$30,$J47,$K47,$L47 )*INDEX('I&amp;E Profiles'!AL$96:AL$180,$I47))</f>
        <v>0</v>
      </c>
      <c r="AM47" s="10" cm="1">
        <f t="array" ref="AM47">IF(OR(AM$4=0, $G47&lt;&gt; $G$7, $E47=0), 'I&amp;E Monthly'!AM47, CHOOSE(Timeline!AM$30,$J47,$K47,$L47 )*INDEX('I&amp;E Profiles'!AM$96:AM$180,$I47))</f>
        <v>0</v>
      </c>
      <c r="AN47" s="10" cm="1">
        <f t="array" ref="AN47">IF(OR(AN$4=0, $G47&lt;&gt; $G$7, $E47=0), 'I&amp;E Monthly'!AN47, CHOOSE(Timeline!AN$30,$J47,$K47,$L47 )*INDEX('I&amp;E Profiles'!AN$96:AN$180,$I47))</f>
        <v>0</v>
      </c>
      <c r="AO47" s="10" cm="1">
        <f t="array" ref="AO47">IF(OR(AO$4=0, $G47&lt;&gt; $G$7, $E47=0), 'I&amp;E Monthly'!AO47, CHOOSE(Timeline!AO$30,$J47,$K47,$L47 )*INDEX('I&amp;E Profiles'!AO$96:AO$180,$I47))</f>
        <v>0</v>
      </c>
      <c r="AP47" s="10" cm="1">
        <f t="array" ref="AP47">IF(OR(AP$4=0, $G47&lt;&gt; $G$7, $E47=0), 'I&amp;E Monthly'!AP47, CHOOSE(Timeline!AP$30,$J47,$K47,$L47 )*INDEX('I&amp;E Profiles'!AP$96:AP$180,$I47))</f>
        <v>0</v>
      </c>
      <c r="AQ47" s="10" cm="1">
        <f t="array" ref="AQ47">IF(OR(AQ$4=0, $G47&lt;&gt; $G$7, $E47=0), 'I&amp;E Monthly'!AQ47, CHOOSE(Timeline!AQ$30,$J47,$K47,$L47 )*INDEX('I&amp;E Profiles'!AQ$96:AQ$180,$I47))</f>
        <v>0</v>
      </c>
      <c r="AR47" s="10" cm="1">
        <f t="array" ref="AR47">IF(OR(AR$4=0, $G47&lt;&gt; $G$7, $E47=0), 'I&amp;E Monthly'!AR47, CHOOSE(Timeline!AR$30,$J47,$K47,$L47 )*INDEX('I&amp;E Profiles'!AR$96:AR$180,$I47))</f>
        <v>0</v>
      </c>
      <c r="AS47" s="10" cm="1">
        <f t="array" ref="AS47">IF(OR(AS$4=0, $G47&lt;&gt; $G$7, $E47=0), 'I&amp;E Monthly'!AS47, CHOOSE(Timeline!AS$30,$J47,$K47,$L47 )*INDEX('I&amp;E Profiles'!AS$96:AS$180,$I47))</f>
        <v>0</v>
      </c>
      <c r="AT47" s="10" cm="1">
        <f t="array" ref="AT47">IF(OR(AT$4=0, $G47&lt;&gt; $G$7, $E47=0), 'I&amp;E Monthly'!AT47, CHOOSE(Timeline!AT$30,$J47,$K47,$L47 )*INDEX('I&amp;E Profiles'!AT$96:AT$180,$I47))</f>
        <v>0</v>
      </c>
      <c r="AU47" s="10" cm="1">
        <f t="array" ref="AU47">IF(OR(AU$4=0, $G47&lt;&gt; $G$7, $E47=0), 'I&amp;E Monthly'!AU47, CHOOSE(Timeline!AU$30,$J47,$K47,$L47 )*INDEX('I&amp;E Profiles'!AU$96:AU$180,$I47))</f>
        <v>0</v>
      </c>
      <c r="AV47" s="10" cm="1">
        <f t="array" ref="AV47">IF(OR(AV$4=0, $G47&lt;&gt; $G$7, $E47=0), 'I&amp;E Monthly'!AV47, CHOOSE(Timeline!AV$30,$J47,$K47,$L47 )*INDEX('I&amp;E Profiles'!AV$96:AV$180,$I47))</f>
        <v>0</v>
      </c>
      <c r="AW47" s="10" cm="1">
        <f t="array" ref="AW47">IF(OR(AW$4=0, $G47&lt;&gt; $G$7, $E47=0), 'I&amp;E Monthly'!AW47, CHOOSE(Timeline!AW$30,$J47,$K47,$L47 )*INDEX('I&amp;E Profiles'!AW$96:AW$180,$I47))</f>
        <v>0</v>
      </c>
      <c r="AX47" s="10" cm="1">
        <f t="array" ref="AX47">IF(OR(AX$4=0, $G47&lt;&gt; $G$7, $E47=0), 'I&amp;E Monthly'!AX47, CHOOSE(Timeline!AX$30,$J47,$K47,$L47 )*INDEX('I&amp;E Profiles'!AX$96:AX$180,$I47))</f>
        <v>0</v>
      </c>
      <c r="AY47" s="10" cm="1">
        <f t="array" ref="AY47">IF(OR(AY$4=0, $G47&lt;&gt; $G$7, $E47=0), 'I&amp;E Monthly'!AY47, CHOOSE(Timeline!AY$30,$J47,$K47,$L47 )*INDEX('I&amp;E Profiles'!AY$96:AY$180,$I47))</f>
        <v>0</v>
      </c>
      <c r="AZ47" s="10" cm="1">
        <f t="array" ref="AZ47">IF(OR(AZ$4=0, $G47&lt;&gt; $G$7, $E47=0), 'I&amp;E Monthly'!AZ47, CHOOSE(Timeline!AZ$30,$J47,$K47,$L47 )*INDEX('I&amp;E Profiles'!AZ$96:AZ$180,$I47))</f>
        <v>0</v>
      </c>
      <c r="BA47" s="10" cm="1">
        <f t="array" ref="BA47">IF(OR(BA$4=0, $G47&lt;&gt; $G$7, $E47=0), 'I&amp;E Monthly'!BA47, CHOOSE(Timeline!BA$30,$J47,$K47,$L47 )*INDEX('I&amp;E Profiles'!BA$96:BA$180,$I47))</f>
        <v>0</v>
      </c>
      <c r="BB47" s="10" cm="1">
        <f t="array" ref="BB47">IF(OR(BB$4=0, $G47&lt;&gt; $G$7, $E47=0), 'I&amp;E Monthly'!BB47, CHOOSE(Timeline!BB$30,$J47,$K47,$L47 )*INDEX('I&amp;E Profiles'!BB$96:BB$180,$I47))</f>
        <v>0</v>
      </c>
      <c r="BC47" s="10" cm="1">
        <f t="array" ref="BC47">IF(OR(BC$4=0, $G47&lt;&gt; $G$7, $E47=0), 'I&amp;E Monthly'!BC47, CHOOSE(Timeline!BC$30,$J47,$K47,$L47 )*INDEX('I&amp;E Profiles'!BC$96:BC$180,$I47))</f>
        <v>0</v>
      </c>
      <c r="BD47" s="10" cm="1">
        <f t="array" ref="BD47">IF(OR(BD$4=0, $G47&lt;&gt; $G$7, $E47=0), 'I&amp;E Monthly'!BD47, CHOOSE(Timeline!BD$30,$J47,$K47,$L47 )*INDEX('I&amp;E Profiles'!BD$96:BD$180,$I47))</f>
        <v>0</v>
      </c>
      <c r="BE47" s="10" cm="1">
        <f t="array" ref="BE47">IF(OR(BE$4=0, $G47&lt;&gt; $G$7, $E47=0), 'I&amp;E Monthly'!BE47, CHOOSE(Timeline!BE$30,$J47,$K47,$L47 )*INDEX('I&amp;E Profiles'!BE$96:BE$180,$I47))</f>
        <v>0</v>
      </c>
      <c r="BF47" s="10" cm="1">
        <f t="array" ref="BF47">IF(OR(BF$4=0, $G47&lt;&gt; $G$7, $E47=0), 'I&amp;E Monthly'!BF47, CHOOSE(Timeline!BF$30,$J47,$K47,$L47 )*INDEX('I&amp;E Profiles'!BF$96:BF$180,$I47))</f>
        <v>0</v>
      </c>
      <c r="BG47" s="10" cm="1">
        <f t="array" ref="BG47">IF(OR(BG$4=0, $G47&lt;&gt; $G$7, $E47=0), 'I&amp;E Monthly'!BG47, CHOOSE(Timeline!BG$30,$J47,$K47,$L47 )*INDEX('I&amp;E Profiles'!BG$96:BG$180,$I47))</f>
        <v>0</v>
      </c>
      <c r="BH47" s="10" cm="1">
        <f t="array" ref="BH47">IF(OR(BH$4=0, $G47&lt;&gt; $G$7, $E47=0), 'I&amp;E Monthly'!BH47, CHOOSE(Timeline!BH$30,$J47,$K47,$L47 )*INDEX('I&amp;E Profiles'!BH$96:BH$180,$I47))</f>
        <v>0</v>
      </c>
      <c r="BI47" s="10" cm="1">
        <f t="array" ref="BI47">IF(OR(BI$4=0, $G47&lt;&gt; $G$7, $E47=0), 'I&amp;E Monthly'!BI47, CHOOSE(Timeline!BI$30,$J47,$K47,$L47 )*INDEX('I&amp;E Profiles'!BI$96:BI$180,$I47))</f>
        <v>0</v>
      </c>
      <c r="BJ47" s="10" cm="1">
        <f t="array" ref="BJ47">IF(OR(BJ$4=0, $G47&lt;&gt; $G$7, $E47=0), 'I&amp;E Monthly'!BJ47, CHOOSE(Timeline!BJ$30,$J47,$K47,$L47 )*INDEX('I&amp;E Profiles'!BJ$96:BJ$180,$I47))</f>
        <v>0</v>
      </c>
      <c r="BX47" s="12">
        <f>V47</f>
        <v>0</v>
      </c>
      <c r="BY47" s="10">
        <f>SUMIFS($AA47:$BJ47, $AA$3:$BJ$3,BY$3)</f>
        <v>0</v>
      </c>
      <c r="BZ47" s="10">
        <f>SUMIFS($AA47:$BJ47, $AA$3:$BJ$3,BZ$3)</f>
        <v>0</v>
      </c>
      <c r="CA47" s="10">
        <f>SUMIFS($AA47:$BJ47, $AA$3:$BJ$3,CA$3)</f>
        <v>0</v>
      </c>
      <c r="CB47" s="12">
        <f>'I&amp;E Monthly'!CB47</f>
        <v>0</v>
      </c>
      <c r="CC47" s="12">
        <f>'I&amp;E Monthly'!CC47</f>
        <v>0</v>
      </c>
      <c r="CD47" s="12">
        <f>'I&amp;E Monthly'!CD47</f>
        <v>0</v>
      </c>
      <c r="CE47" s="12">
        <f>'I&amp;E Monthly'!CE47</f>
        <v>0</v>
      </c>
      <c r="CF47" s="12">
        <f>'I&amp;E Monthly'!CF47</f>
        <v>0</v>
      </c>
      <c r="CG47" s="12">
        <f>'I&amp;E Monthly'!CG47</f>
        <v>0</v>
      </c>
      <c r="CH47" s="12">
        <f>'I&amp;E Monthly'!CH47</f>
        <v>0</v>
      </c>
      <c r="CI47" s="12">
        <f>'I&amp;E Monthly'!CI47</f>
        <v>0</v>
      </c>
      <c r="CK47" s="11"/>
      <c r="CL47" s="221">
        <f t="shared" ca="1" si="42"/>
        <v>0</v>
      </c>
      <c r="CM47" s="11"/>
      <c r="CN47" s="7">
        <f>IF(AND($G47=$G$7,$E47=""), 1, 0)</f>
        <v>0</v>
      </c>
      <c r="CO47" s="7" cm="1">
        <f t="array" ref="CO47">SUMPRODUCT(--NOT(ISNUMBER(W47:Y47)),--NOT(ISBLANK(W47:Y47)))</f>
        <v>0</v>
      </c>
      <c r="CP47" s="7" cm="1">
        <f t="array" ref="CP47">IF(E47="",0, IF(IFERROR(INDEX('I&amp;E Profiles'!$D$96:$D$180, $I47), "N/A")="N/A", 1, 0))</f>
        <v>0</v>
      </c>
      <c r="CQ47" s="7">
        <f t="shared" si="43"/>
        <v>0</v>
      </c>
      <c r="CR47" s="7">
        <f>IF(DC47=0,0,1)</f>
        <v>0</v>
      </c>
      <c r="CS47" s="7">
        <f t="shared" si="44"/>
        <v>0</v>
      </c>
      <c r="CT47" s="7">
        <f t="shared" si="45"/>
        <v>0</v>
      </c>
      <c r="CU47" s="11"/>
      <c r="CV47" s="215">
        <f t="shared" si="46"/>
        <v>0</v>
      </c>
      <c r="CW47" s="215">
        <f t="shared" si="46"/>
        <v>0</v>
      </c>
      <c r="CX47" s="215">
        <f t="shared" si="46"/>
        <v>0</v>
      </c>
      <c r="CY47" s="215">
        <f t="shared" si="47"/>
        <v>0</v>
      </c>
      <c r="CZ47" s="215">
        <f t="shared" si="48"/>
        <v>0</v>
      </c>
      <c r="DA47" s="215">
        <f t="shared" si="49"/>
        <v>0</v>
      </c>
      <c r="DB47" s="215">
        <f t="shared" si="50"/>
        <v>0</v>
      </c>
      <c r="DC47" s="508">
        <f>SUM(DE47:DP47)</f>
        <v>0</v>
      </c>
      <c r="DE47" s="7">
        <f t="shared" ref="DE47:DP47" si="53">IF(BX47&gt;BX46, 1, 0)</f>
        <v>0</v>
      </c>
      <c r="DF47" s="7">
        <f t="shared" si="53"/>
        <v>0</v>
      </c>
      <c r="DG47" s="7">
        <f t="shared" si="53"/>
        <v>0</v>
      </c>
      <c r="DH47" s="7">
        <f t="shared" si="53"/>
        <v>0</v>
      </c>
      <c r="DI47" s="7">
        <f t="shared" si="53"/>
        <v>0</v>
      </c>
      <c r="DJ47" s="7">
        <f t="shared" si="53"/>
        <v>0</v>
      </c>
      <c r="DK47" s="7">
        <f t="shared" si="53"/>
        <v>0</v>
      </c>
      <c r="DL47" s="7">
        <f t="shared" si="53"/>
        <v>0</v>
      </c>
      <c r="DM47" s="7">
        <f t="shared" si="53"/>
        <v>0</v>
      </c>
      <c r="DN47" s="7">
        <f t="shared" si="53"/>
        <v>0</v>
      </c>
      <c r="DO47" s="7">
        <f t="shared" si="53"/>
        <v>0</v>
      </c>
      <c r="DP47" s="7">
        <f t="shared" si="53"/>
        <v>0</v>
      </c>
      <c r="FN47" s="10" t="str">
        <f t="shared" si="40"/>
        <v>Of which: subcontracted out HE income</v>
      </c>
    </row>
    <row r="48" spans="1:170" ht="6.75" customHeight="1" x14ac:dyDescent="0.35">
      <c r="C48" s="213"/>
      <c r="D48" s="57"/>
      <c r="Q48" s="2"/>
      <c r="BY48" s="6"/>
      <c r="CK48" s="35"/>
      <c r="CM48" s="35"/>
      <c r="CU48" s="35"/>
      <c r="FN48" s="10" t="str">
        <f t="shared" si="40"/>
        <v/>
      </c>
    </row>
    <row r="49" spans="1:170" x14ac:dyDescent="0.35">
      <c r="B49" s="5"/>
      <c r="C49" s="213"/>
      <c r="D49" s="61" t="s">
        <v>350</v>
      </c>
      <c r="E49" s="5"/>
      <c r="Q49" s="2"/>
      <c r="CK49" s="11"/>
      <c r="CM49" s="11"/>
      <c r="CU49" s="11"/>
      <c r="FN49" s="10" t="str">
        <f t="shared" si="40"/>
        <v/>
      </c>
    </row>
    <row r="50" spans="1:170" x14ac:dyDescent="0.35">
      <c r="A50" s="220" cm="1">
        <f t="array" aca="1" ref="A50" ca="1">HYPERLINK(CONCATENATE("#",CELL("address",IF(MAX($CM50:$CU50)=0,A50,INDEX($CM50:$CU50,MATCH(1,$CM50:$CU50,0))))),MAX($CM50:$CU50))</f>
        <v>0</v>
      </c>
      <c r="C50" s="213" t="s">
        <v>506</v>
      </c>
      <c r="D50" s="57" t="s">
        <v>351</v>
      </c>
      <c r="E50" s="114"/>
      <c r="F50" s="79" t="str" cm="1">
        <f t="array" aca="1" ref="F50" ca="1">IF(E50="", "", HYPERLINK(CONCATENATE("#",CELL("address",INDEX('I&amp;E Profiles'!$D$9:$D$93,'I&amp;E Annual'!I50))),E50))</f>
        <v/>
      </c>
      <c r="G50" s="114"/>
      <c r="H50" t="s">
        <v>317</v>
      </c>
      <c r="I50" s="132" t="str">
        <f>IF(E50="", "", MATCH(E50, 'I&amp;E Profiles'!$D$96:$D$180,0))</f>
        <v/>
      </c>
      <c r="J50" s="133">
        <f>IF($G50=$G$7, W50,'I&amp;E Monthly'!W50)-SUMIFS('I&amp;E Monthly'!$AA50:$BJ50, 'I&amp;E Monthly'!$AA$3:$BJ$3, 'I&amp;E Annual'!W$3, 'I&amp;E Monthly'!$AA$4:$BJ$4, 0)</f>
        <v>0</v>
      </c>
      <c r="K50" s="133">
        <f>IF($G50=$G$7, X50,'I&amp;E Monthly'!X50)-SUMIFS('I&amp;E Monthly'!$AA50:$BJ50, 'I&amp;E Monthly'!$AA$3:$BJ$3, 'I&amp;E Annual'!X$3, 'I&amp;E Monthly'!$AA$4:$BJ$4, 0)</f>
        <v>0</v>
      </c>
      <c r="L50" s="133">
        <f>IF($G50=$G$7, Y50,'I&amp;E Monthly'!Y50)-SUMIFS('I&amp;E Monthly'!$AA50:$BJ50, 'I&amp;E Monthly'!$AA$3:$BJ$3, 'I&amp;E Annual'!Y$3, 'I&amp;E Monthly'!$AA$4:$BJ$4, 0)</f>
        <v>0</v>
      </c>
      <c r="Q50" s="2"/>
      <c r="V50" s="133">
        <f>'I&amp;E Monthly'!V50</f>
        <v>0</v>
      </c>
      <c r="W50" s="114"/>
      <c r="X50" s="131"/>
      <c r="Y50" s="131"/>
      <c r="AA50" s="10" cm="1">
        <f t="array" ref="AA50">IF(OR(AA$4=0, $G50&lt;&gt; $G$7, $E50=0), 'I&amp;E Monthly'!AA50, CHOOSE(Timeline!AA$30,$J50,$K50,$L50 )*INDEX('I&amp;E Profiles'!AA$96:AA$180,$I50))</f>
        <v>0</v>
      </c>
      <c r="AB50" s="10" cm="1">
        <f t="array" ref="AB50">IF(OR(AB$4=0, $G50&lt;&gt; $G$7, $E50=0), 'I&amp;E Monthly'!AB50, CHOOSE(Timeline!AB$30,$J50,$K50,$L50 )*INDEX('I&amp;E Profiles'!AB$96:AB$180,$I50))</f>
        <v>0</v>
      </c>
      <c r="AC50" s="10" cm="1">
        <f t="array" ref="AC50">IF(OR(AC$4=0, $G50&lt;&gt; $G$7, $E50=0), 'I&amp;E Monthly'!AC50, CHOOSE(Timeline!AC$30,$J50,$K50,$L50 )*INDEX('I&amp;E Profiles'!AC$96:AC$180,$I50))</f>
        <v>0</v>
      </c>
      <c r="AD50" s="10" cm="1">
        <f t="array" ref="AD50">IF(OR(AD$4=0, $G50&lt;&gt; $G$7, $E50=0), 'I&amp;E Monthly'!AD50, CHOOSE(Timeline!AD$30,$J50,$K50,$L50 )*INDEX('I&amp;E Profiles'!AD$96:AD$180,$I50))</f>
        <v>0</v>
      </c>
      <c r="AE50" s="10" cm="1">
        <f t="array" ref="AE50">IF(OR(AE$4=0, $G50&lt;&gt; $G$7, $E50=0), 'I&amp;E Monthly'!AE50, CHOOSE(Timeline!AE$30,$J50,$K50,$L50 )*INDEX('I&amp;E Profiles'!AE$96:AE$180,$I50))</f>
        <v>0</v>
      </c>
      <c r="AF50" s="10" cm="1">
        <f t="array" ref="AF50">IF(OR(AF$4=0, $G50&lt;&gt; $G$7, $E50=0), 'I&amp;E Monthly'!AF50, CHOOSE(Timeline!AF$30,$J50,$K50,$L50 )*INDEX('I&amp;E Profiles'!AF$96:AF$180,$I50))</f>
        <v>0</v>
      </c>
      <c r="AG50" s="10" cm="1">
        <f t="array" ref="AG50">IF(OR(AG$4=0, $G50&lt;&gt; $G$7, $E50=0), 'I&amp;E Monthly'!AG50, CHOOSE(Timeline!AG$30,$J50,$K50,$L50 )*INDEX('I&amp;E Profiles'!AG$96:AG$180,$I50))</f>
        <v>0</v>
      </c>
      <c r="AH50" s="10" cm="1">
        <f t="array" ref="AH50">IF(OR(AH$4=0, $G50&lt;&gt; $G$7, $E50=0), 'I&amp;E Monthly'!AH50, CHOOSE(Timeline!AH$30,$J50,$K50,$L50 )*INDEX('I&amp;E Profiles'!AH$96:AH$180,$I50))</f>
        <v>0</v>
      </c>
      <c r="AI50" s="10" cm="1">
        <f t="array" ref="AI50">IF(OR(AI$4=0, $G50&lt;&gt; $G$7, $E50=0), 'I&amp;E Monthly'!AI50, CHOOSE(Timeline!AI$30,$J50,$K50,$L50 )*INDEX('I&amp;E Profiles'!AI$96:AI$180,$I50))</f>
        <v>0</v>
      </c>
      <c r="AJ50" s="10" cm="1">
        <f t="array" ref="AJ50">IF(OR(AJ$4=0, $G50&lt;&gt; $G$7, $E50=0), 'I&amp;E Monthly'!AJ50, CHOOSE(Timeline!AJ$30,$J50,$K50,$L50 )*INDEX('I&amp;E Profiles'!AJ$96:AJ$180,$I50))</f>
        <v>0</v>
      </c>
      <c r="AK50" s="10" cm="1">
        <f t="array" ref="AK50">IF(OR(AK$4=0, $G50&lt;&gt; $G$7, $E50=0), 'I&amp;E Monthly'!AK50, CHOOSE(Timeline!AK$30,$J50,$K50,$L50 )*INDEX('I&amp;E Profiles'!AK$96:AK$180,$I50))</f>
        <v>0</v>
      </c>
      <c r="AL50" s="10" cm="1">
        <f t="array" ref="AL50">IF(OR(AL$4=0, $G50&lt;&gt; $G$7, $E50=0), 'I&amp;E Monthly'!AL50, CHOOSE(Timeline!AL$30,$J50,$K50,$L50 )*INDEX('I&amp;E Profiles'!AL$96:AL$180,$I50))</f>
        <v>0</v>
      </c>
      <c r="AM50" s="10" cm="1">
        <f t="array" ref="AM50">IF(OR(AM$4=0, $G50&lt;&gt; $G$7, $E50=0), 'I&amp;E Monthly'!AM50, CHOOSE(Timeline!AM$30,$J50,$K50,$L50 )*INDEX('I&amp;E Profiles'!AM$96:AM$180,$I50))</f>
        <v>0</v>
      </c>
      <c r="AN50" s="10" cm="1">
        <f t="array" ref="AN50">IF(OR(AN$4=0, $G50&lt;&gt; $G$7, $E50=0), 'I&amp;E Monthly'!AN50, CHOOSE(Timeline!AN$30,$J50,$K50,$L50 )*INDEX('I&amp;E Profiles'!AN$96:AN$180,$I50))</f>
        <v>0</v>
      </c>
      <c r="AO50" s="10" cm="1">
        <f t="array" ref="AO50">IF(OR(AO$4=0, $G50&lt;&gt; $G$7, $E50=0), 'I&amp;E Monthly'!AO50, CHOOSE(Timeline!AO$30,$J50,$K50,$L50 )*INDEX('I&amp;E Profiles'!AO$96:AO$180,$I50))</f>
        <v>0</v>
      </c>
      <c r="AP50" s="10" cm="1">
        <f t="array" ref="AP50">IF(OR(AP$4=0, $G50&lt;&gt; $G$7, $E50=0), 'I&amp;E Monthly'!AP50, CHOOSE(Timeline!AP$30,$J50,$K50,$L50 )*INDEX('I&amp;E Profiles'!AP$96:AP$180,$I50))</f>
        <v>0</v>
      </c>
      <c r="AQ50" s="10" cm="1">
        <f t="array" ref="AQ50">IF(OR(AQ$4=0, $G50&lt;&gt; $G$7, $E50=0), 'I&amp;E Monthly'!AQ50, CHOOSE(Timeline!AQ$30,$J50,$K50,$L50 )*INDEX('I&amp;E Profiles'!AQ$96:AQ$180,$I50))</f>
        <v>0</v>
      </c>
      <c r="AR50" s="10" cm="1">
        <f t="array" ref="AR50">IF(OR(AR$4=0, $G50&lt;&gt; $G$7, $E50=0), 'I&amp;E Monthly'!AR50, CHOOSE(Timeline!AR$30,$J50,$K50,$L50 )*INDEX('I&amp;E Profiles'!AR$96:AR$180,$I50))</f>
        <v>0</v>
      </c>
      <c r="AS50" s="10" cm="1">
        <f t="array" ref="AS50">IF(OR(AS$4=0, $G50&lt;&gt; $G$7, $E50=0), 'I&amp;E Monthly'!AS50, CHOOSE(Timeline!AS$30,$J50,$K50,$L50 )*INDEX('I&amp;E Profiles'!AS$96:AS$180,$I50))</f>
        <v>0</v>
      </c>
      <c r="AT50" s="10" cm="1">
        <f t="array" ref="AT50">IF(OR(AT$4=0, $G50&lt;&gt; $G$7, $E50=0), 'I&amp;E Monthly'!AT50, CHOOSE(Timeline!AT$30,$J50,$K50,$L50 )*INDEX('I&amp;E Profiles'!AT$96:AT$180,$I50))</f>
        <v>0</v>
      </c>
      <c r="AU50" s="10" cm="1">
        <f t="array" ref="AU50">IF(OR(AU$4=0, $G50&lt;&gt; $G$7, $E50=0), 'I&amp;E Monthly'!AU50, CHOOSE(Timeline!AU$30,$J50,$K50,$L50 )*INDEX('I&amp;E Profiles'!AU$96:AU$180,$I50))</f>
        <v>0</v>
      </c>
      <c r="AV50" s="10" cm="1">
        <f t="array" ref="AV50">IF(OR(AV$4=0, $G50&lt;&gt; $G$7, $E50=0), 'I&amp;E Monthly'!AV50, CHOOSE(Timeline!AV$30,$J50,$K50,$L50 )*INDEX('I&amp;E Profiles'!AV$96:AV$180,$I50))</f>
        <v>0</v>
      </c>
      <c r="AW50" s="10" cm="1">
        <f t="array" ref="AW50">IF(OR(AW$4=0, $G50&lt;&gt; $G$7, $E50=0), 'I&amp;E Monthly'!AW50, CHOOSE(Timeline!AW$30,$J50,$K50,$L50 )*INDEX('I&amp;E Profiles'!AW$96:AW$180,$I50))</f>
        <v>0</v>
      </c>
      <c r="AX50" s="10" cm="1">
        <f t="array" ref="AX50">IF(OR(AX$4=0, $G50&lt;&gt; $G$7, $E50=0), 'I&amp;E Monthly'!AX50, CHOOSE(Timeline!AX$30,$J50,$K50,$L50 )*INDEX('I&amp;E Profiles'!AX$96:AX$180,$I50))</f>
        <v>0</v>
      </c>
      <c r="AY50" s="10" cm="1">
        <f t="array" ref="AY50">IF(OR(AY$4=0, $G50&lt;&gt; $G$7, $E50=0), 'I&amp;E Monthly'!AY50, CHOOSE(Timeline!AY$30,$J50,$K50,$L50 )*INDEX('I&amp;E Profiles'!AY$96:AY$180,$I50))</f>
        <v>0</v>
      </c>
      <c r="AZ50" s="10" cm="1">
        <f t="array" ref="AZ50">IF(OR(AZ$4=0, $G50&lt;&gt; $G$7, $E50=0), 'I&amp;E Monthly'!AZ50, CHOOSE(Timeline!AZ$30,$J50,$K50,$L50 )*INDEX('I&amp;E Profiles'!AZ$96:AZ$180,$I50))</f>
        <v>0</v>
      </c>
      <c r="BA50" s="10" cm="1">
        <f t="array" ref="BA50">IF(OR(BA$4=0, $G50&lt;&gt; $G$7, $E50=0), 'I&amp;E Monthly'!BA50, CHOOSE(Timeline!BA$30,$J50,$K50,$L50 )*INDEX('I&amp;E Profiles'!BA$96:BA$180,$I50))</f>
        <v>0</v>
      </c>
      <c r="BB50" s="10" cm="1">
        <f t="array" ref="BB50">IF(OR(BB$4=0, $G50&lt;&gt; $G$7, $E50=0), 'I&amp;E Monthly'!BB50, CHOOSE(Timeline!BB$30,$J50,$K50,$L50 )*INDEX('I&amp;E Profiles'!BB$96:BB$180,$I50))</f>
        <v>0</v>
      </c>
      <c r="BC50" s="10" cm="1">
        <f t="array" ref="BC50">IF(OR(BC$4=0, $G50&lt;&gt; $G$7, $E50=0), 'I&amp;E Monthly'!BC50, CHOOSE(Timeline!BC$30,$J50,$K50,$L50 )*INDEX('I&amp;E Profiles'!BC$96:BC$180,$I50))</f>
        <v>0</v>
      </c>
      <c r="BD50" s="10" cm="1">
        <f t="array" ref="BD50">IF(OR(BD$4=0, $G50&lt;&gt; $G$7, $E50=0), 'I&amp;E Monthly'!BD50, CHOOSE(Timeline!BD$30,$J50,$K50,$L50 )*INDEX('I&amp;E Profiles'!BD$96:BD$180,$I50))</f>
        <v>0</v>
      </c>
      <c r="BE50" s="10" cm="1">
        <f t="array" ref="BE50">IF(OR(BE$4=0, $G50&lt;&gt; $G$7, $E50=0), 'I&amp;E Monthly'!BE50, CHOOSE(Timeline!BE$30,$J50,$K50,$L50 )*INDEX('I&amp;E Profiles'!BE$96:BE$180,$I50))</f>
        <v>0</v>
      </c>
      <c r="BF50" s="10" cm="1">
        <f t="array" ref="BF50">IF(OR(BF$4=0, $G50&lt;&gt; $G$7, $E50=0), 'I&amp;E Monthly'!BF50, CHOOSE(Timeline!BF$30,$J50,$K50,$L50 )*INDEX('I&amp;E Profiles'!BF$96:BF$180,$I50))</f>
        <v>0</v>
      </c>
      <c r="BG50" s="10" cm="1">
        <f t="array" ref="BG50">IF(OR(BG$4=0, $G50&lt;&gt; $G$7, $E50=0), 'I&amp;E Monthly'!BG50, CHOOSE(Timeline!BG$30,$J50,$K50,$L50 )*INDEX('I&amp;E Profiles'!BG$96:BG$180,$I50))</f>
        <v>0</v>
      </c>
      <c r="BH50" s="10" cm="1">
        <f t="array" ref="BH50">IF(OR(BH$4=0, $G50&lt;&gt; $G$7, $E50=0), 'I&amp;E Monthly'!BH50, CHOOSE(Timeline!BH$30,$J50,$K50,$L50 )*INDEX('I&amp;E Profiles'!BH$96:BH$180,$I50))</f>
        <v>0</v>
      </c>
      <c r="BI50" s="10" cm="1">
        <f t="array" ref="BI50">IF(OR(BI$4=0, $G50&lt;&gt; $G$7, $E50=0), 'I&amp;E Monthly'!BI50, CHOOSE(Timeline!BI$30,$J50,$K50,$L50 )*INDEX('I&amp;E Profiles'!BI$96:BI$180,$I50))</f>
        <v>0</v>
      </c>
      <c r="BJ50" s="10" cm="1">
        <f t="array" ref="BJ50">IF(OR(BJ$4=0, $G50&lt;&gt; $G$7, $E50=0), 'I&amp;E Monthly'!BJ50, CHOOSE(Timeline!BJ$30,$J50,$K50,$L50 )*INDEX('I&amp;E Profiles'!BJ$96:BJ$180,$I50))</f>
        <v>0</v>
      </c>
      <c r="BX50" s="12">
        <f>V50</f>
        <v>0</v>
      </c>
      <c r="BY50" s="10">
        <f t="shared" ref="BY50:CA52" si="54">SUMIFS($AA50:$BJ50, $AA$3:$BJ$3,BY$3)</f>
        <v>0</v>
      </c>
      <c r="BZ50" s="10">
        <f t="shared" si="54"/>
        <v>0</v>
      </c>
      <c r="CA50" s="10">
        <f t="shared" si="54"/>
        <v>0</v>
      </c>
      <c r="CB50" s="12">
        <f>'I&amp;E Monthly'!CB50</f>
        <v>0</v>
      </c>
      <c r="CC50" s="12">
        <f>'I&amp;E Monthly'!CC50</f>
        <v>0</v>
      </c>
      <c r="CD50" s="12">
        <f>'I&amp;E Monthly'!CD50</f>
        <v>0</v>
      </c>
      <c r="CE50" s="12">
        <f>'I&amp;E Monthly'!CE50</f>
        <v>0</v>
      </c>
      <c r="CF50" s="12">
        <f>'I&amp;E Monthly'!CF50</f>
        <v>0</v>
      </c>
      <c r="CG50" s="12">
        <f>'I&amp;E Monthly'!CG50</f>
        <v>0</v>
      </c>
      <c r="CH50" s="12">
        <f>'I&amp;E Monthly'!CH50</f>
        <v>0</v>
      </c>
      <c r="CI50" s="12">
        <f>'I&amp;E Monthly'!CI50</f>
        <v>0</v>
      </c>
      <c r="CK50" s="11"/>
      <c r="CL50" s="221">
        <f ca="1">IF(MIN($V50:$CI50)&lt;0, 1, 0)*$I$7</f>
        <v>0</v>
      </c>
      <c r="CM50" s="11"/>
      <c r="CN50" s="7">
        <f>IF(AND($G50=$G$7,$E50=""), 1, 0)</f>
        <v>0</v>
      </c>
      <c r="CO50" s="7" cm="1">
        <f t="array" ref="CO50">SUMPRODUCT(--NOT(ISNUMBER(W50:Y50)),--NOT(ISBLANK(W50:Y50)))</f>
        <v>0</v>
      </c>
      <c r="CP50" s="7" cm="1">
        <f t="array" ref="CP50">IF(E50="",0, IF(IFERROR(INDEX('I&amp;E Profiles'!$D$96:$D$180, $I50), "N/A")="N/A", 1, 0))</f>
        <v>0</v>
      </c>
      <c r="CQ50" s="7">
        <f>IF(SUM($CV50:$CX50)=0, 0, 1)</f>
        <v>0</v>
      </c>
      <c r="CS50" s="7">
        <f>IF(SUM($CY50:$DA50)=0, 0, 1)</f>
        <v>0</v>
      </c>
      <c r="CT50" s="7">
        <f>IF(DB50=0, 0, 1)</f>
        <v>0</v>
      </c>
      <c r="CU50" s="11"/>
      <c r="CV50" s="215">
        <f t="shared" ref="CV50:CX54" si="55">IF($G50=$G$7, ROUND(W50-SUMIFS($AA50:$BJ50, $AA$3:$BJ$3, W$3), rounding), 0)</f>
        <v>0</v>
      </c>
      <c r="CW50" s="215">
        <f t="shared" si="55"/>
        <v>0</v>
      </c>
      <c r="CX50" s="215">
        <f t="shared" si="55"/>
        <v>0</v>
      </c>
      <c r="CY50" s="215">
        <f>ROUND($BY50-SUMIFS($AA50:$BJ50, $AA$3:$BJ$3, $BY$3), rounding)</f>
        <v>0</v>
      </c>
      <c r="CZ50" s="215">
        <f>ROUND($BZ50-SUMIFS($AA50:$BJ50, $AA$3:$BJ$3, $BZ$3), rounding)</f>
        <v>0</v>
      </c>
      <c r="DA50" s="215">
        <f>ROUND($CA50-SUMIFS($AA50:$BJ50, $AA$3:$BJ$3, $CA$3), rounding)</f>
        <v>0</v>
      </c>
      <c r="DB50" s="215">
        <f>ROUND($V50-$BX50, rounding)</f>
        <v>0</v>
      </c>
      <c r="FN50" s="10" t="str">
        <f t="shared" si="40"/>
        <v>European Social Fund - direct</v>
      </c>
    </row>
    <row r="51" spans="1:170" x14ac:dyDescent="0.35">
      <c r="A51" s="220" cm="1">
        <f t="array" aca="1" ref="A51" ca="1">HYPERLINK(CONCATENATE("#",CELL("address",IF(MAX($CM51:$CU51)=0,A51,INDEX($CM51:$CU51,MATCH(1,$CM51:$CU51,0))))),MAX($CM51:$CU51))</f>
        <v>0</v>
      </c>
      <c r="B51" s="85" t="s">
        <v>122</v>
      </c>
      <c r="C51" s="213" t="s">
        <v>507</v>
      </c>
      <c r="D51" s="57" t="s">
        <v>352</v>
      </c>
      <c r="E51" s="114"/>
      <c r="F51" s="79" t="str" cm="1">
        <f t="array" aca="1" ref="F51" ca="1">IF(E51="", "", HYPERLINK(CONCATENATE("#",CELL("address",INDEX('I&amp;E Profiles'!$D$9:$D$93,'I&amp;E Annual'!I51))),E51))</f>
        <v/>
      </c>
      <c r="G51" s="114"/>
      <c r="H51" t="s">
        <v>317</v>
      </c>
      <c r="I51" s="132" t="str">
        <f>IF(E51="", "", MATCH(E51, 'I&amp;E Profiles'!$D$96:$D$180,0))</f>
        <v/>
      </c>
      <c r="J51" s="133">
        <f>IF($G51=$G$7, W51,'I&amp;E Monthly'!W51)-SUMIFS('I&amp;E Monthly'!$AA51:$BJ51, 'I&amp;E Monthly'!$AA$3:$BJ$3, 'I&amp;E Annual'!W$3, 'I&amp;E Monthly'!$AA$4:$BJ$4, 0)</f>
        <v>0</v>
      </c>
      <c r="K51" s="133">
        <f>IF($G51=$G$7, X51,'I&amp;E Monthly'!X51)-SUMIFS('I&amp;E Monthly'!$AA51:$BJ51, 'I&amp;E Monthly'!$AA$3:$BJ$3, 'I&amp;E Annual'!X$3, 'I&amp;E Monthly'!$AA$4:$BJ$4, 0)</f>
        <v>0</v>
      </c>
      <c r="L51" s="133">
        <f>IF($G51=$G$7, Y51,'I&amp;E Monthly'!Y51)-SUMIFS('I&amp;E Monthly'!$AA51:$BJ51, 'I&amp;E Monthly'!$AA$3:$BJ$3, 'I&amp;E Annual'!Y$3, 'I&amp;E Monthly'!$AA$4:$BJ$4, 0)</f>
        <v>0</v>
      </c>
      <c r="Q51" s="2"/>
      <c r="V51" s="133">
        <f>'I&amp;E Monthly'!V51</f>
        <v>0</v>
      </c>
      <c r="W51" s="114"/>
      <c r="X51" s="131"/>
      <c r="Y51" s="131"/>
      <c r="AA51" s="10" cm="1">
        <f t="array" ref="AA51">IF(OR(AA$4=0, $G51&lt;&gt; $G$7, $E51=0), 'I&amp;E Monthly'!AA51, CHOOSE(Timeline!AA$30,$J51,$K51,$L51 )*INDEX('I&amp;E Profiles'!AA$96:AA$180,$I51))</f>
        <v>0</v>
      </c>
      <c r="AB51" s="10" cm="1">
        <f t="array" ref="AB51">IF(OR(AB$4=0, $G51&lt;&gt; $G$7, $E51=0), 'I&amp;E Monthly'!AB51, CHOOSE(Timeline!AB$30,$J51,$K51,$L51 )*INDEX('I&amp;E Profiles'!AB$96:AB$180,$I51))</f>
        <v>0</v>
      </c>
      <c r="AC51" s="10" cm="1">
        <f t="array" ref="AC51">IF(OR(AC$4=0, $G51&lt;&gt; $G$7, $E51=0), 'I&amp;E Monthly'!AC51, CHOOSE(Timeline!AC$30,$J51,$K51,$L51 )*INDEX('I&amp;E Profiles'!AC$96:AC$180,$I51))</f>
        <v>0</v>
      </c>
      <c r="AD51" s="10" cm="1">
        <f t="array" ref="AD51">IF(OR(AD$4=0, $G51&lt;&gt; $G$7, $E51=0), 'I&amp;E Monthly'!AD51, CHOOSE(Timeline!AD$30,$J51,$K51,$L51 )*INDEX('I&amp;E Profiles'!AD$96:AD$180,$I51))</f>
        <v>0</v>
      </c>
      <c r="AE51" s="10" cm="1">
        <f t="array" ref="AE51">IF(OR(AE$4=0, $G51&lt;&gt; $G$7, $E51=0), 'I&amp;E Monthly'!AE51, CHOOSE(Timeline!AE$30,$J51,$K51,$L51 )*INDEX('I&amp;E Profiles'!AE$96:AE$180,$I51))</f>
        <v>0</v>
      </c>
      <c r="AF51" s="10" cm="1">
        <f t="array" ref="AF51">IF(OR(AF$4=0, $G51&lt;&gt; $G$7, $E51=0), 'I&amp;E Monthly'!AF51, CHOOSE(Timeline!AF$30,$J51,$K51,$L51 )*INDEX('I&amp;E Profiles'!AF$96:AF$180,$I51))</f>
        <v>0</v>
      </c>
      <c r="AG51" s="10" cm="1">
        <f t="array" ref="AG51">IF(OR(AG$4=0, $G51&lt;&gt; $G$7, $E51=0), 'I&amp;E Monthly'!AG51, CHOOSE(Timeline!AG$30,$J51,$K51,$L51 )*INDEX('I&amp;E Profiles'!AG$96:AG$180,$I51))</f>
        <v>0</v>
      </c>
      <c r="AH51" s="10" cm="1">
        <f t="array" ref="AH51">IF(OR(AH$4=0, $G51&lt;&gt; $G$7, $E51=0), 'I&amp;E Monthly'!AH51, CHOOSE(Timeline!AH$30,$J51,$K51,$L51 )*INDEX('I&amp;E Profiles'!AH$96:AH$180,$I51))</f>
        <v>0</v>
      </c>
      <c r="AI51" s="10" cm="1">
        <f t="array" ref="AI51">IF(OR(AI$4=0, $G51&lt;&gt; $G$7, $E51=0), 'I&amp;E Monthly'!AI51, CHOOSE(Timeline!AI$30,$J51,$K51,$L51 )*INDEX('I&amp;E Profiles'!AI$96:AI$180,$I51))</f>
        <v>0</v>
      </c>
      <c r="AJ51" s="10" cm="1">
        <f t="array" ref="AJ51">IF(OR(AJ$4=0, $G51&lt;&gt; $G$7, $E51=0), 'I&amp;E Monthly'!AJ51, CHOOSE(Timeline!AJ$30,$J51,$K51,$L51 )*INDEX('I&amp;E Profiles'!AJ$96:AJ$180,$I51))</f>
        <v>0</v>
      </c>
      <c r="AK51" s="10" cm="1">
        <f t="array" ref="AK51">IF(OR(AK$4=0, $G51&lt;&gt; $G$7, $E51=0), 'I&amp;E Monthly'!AK51, CHOOSE(Timeline!AK$30,$J51,$K51,$L51 )*INDEX('I&amp;E Profiles'!AK$96:AK$180,$I51))</f>
        <v>0</v>
      </c>
      <c r="AL51" s="10" cm="1">
        <f t="array" ref="AL51">IF(OR(AL$4=0, $G51&lt;&gt; $G$7, $E51=0), 'I&amp;E Monthly'!AL51, CHOOSE(Timeline!AL$30,$J51,$K51,$L51 )*INDEX('I&amp;E Profiles'!AL$96:AL$180,$I51))</f>
        <v>0</v>
      </c>
      <c r="AM51" s="10" cm="1">
        <f t="array" ref="AM51">IF(OR(AM$4=0, $G51&lt;&gt; $G$7, $E51=0), 'I&amp;E Monthly'!AM51, CHOOSE(Timeline!AM$30,$J51,$K51,$L51 )*INDEX('I&amp;E Profiles'!AM$96:AM$180,$I51))</f>
        <v>0</v>
      </c>
      <c r="AN51" s="10" cm="1">
        <f t="array" ref="AN51">IF(OR(AN$4=0, $G51&lt;&gt; $G$7, $E51=0), 'I&amp;E Monthly'!AN51, CHOOSE(Timeline!AN$30,$J51,$K51,$L51 )*INDEX('I&amp;E Profiles'!AN$96:AN$180,$I51))</f>
        <v>0</v>
      </c>
      <c r="AO51" s="10" cm="1">
        <f t="array" ref="AO51">IF(OR(AO$4=0, $G51&lt;&gt; $G$7, $E51=0), 'I&amp;E Monthly'!AO51, CHOOSE(Timeline!AO$30,$J51,$K51,$L51 )*INDEX('I&amp;E Profiles'!AO$96:AO$180,$I51))</f>
        <v>0</v>
      </c>
      <c r="AP51" s="10" cm="1">
        <f t="array" ref="AP51">IF(OR(AP$4=0, $G51&lt;&gt; $G$7, $E51=0), 'I&amp;E Monthly'!AP51, CHOOSE(Timeline!AP$30,$J51,$K51,$L51 )*INDEX('I&amp;E Profiles'!AP$96:AP$180,$I51))</f>
        <v>0</v>
      </c>
      <c r="AQ51" s="10" cm="1">
        <f t="array" ref="AQ51">IF(OR(AQ$4=0, $G51&lt;&gt; $G$7, $E51=0), 'I&amp;E Monthly'!AQ51, CHOOSE(Timeline!AQ$30,$J51,$K51,$L51 )*INDEX('I&amp;E Profiles'!AQ$96:AQ$180,$I51))</f>
        <v>0</v>
      </c>
      <c r="AR51" s="10" cm="1">
        <f t="array" ref="AR51">IF(OR(AR$4=0, $G51&lt;&gt; $G$7, $E51=0), 'I&amp;E Monthly'!AR51, CHOOSE(Timeline!AR$30,$J51,$K51,$L51 )*INDEX('I&amp;E Profiles'!AR$96:AR$180,$I51))</f>
        <v>0</v>
      </c>
      <c r="AS51" s="10" cm="1">
        <f t="array" ref="AS51">IF(OR(AS$4=0, $G51&lt;&gt; $G$7, $E51=0), 'I&amp;E Monthly'!AS51, CHOOSE(Timeline!AS$30,$J51,$K51,$L51 )*INDEX('I&amp;E Profiles'!AS$96:AS$180,$I51))</f>
        <v>0</v>
      </c>
      <c r="AT51" s="10" cm="1">
        <f t="array" ref="AT51">IF(OR(AT$4=0, $G51&lt;&gt; $G$7, $E51=0), 'I&amp;E Monthly'!AT51, CHOOSE(Timeline!AT$30,$J51,$K51,$L51 )*INDEX('I&amp;E Profiles'!AT$96:AT$180,$I51))</f>
        <v>0</v>
      </c>
      <c r="AU51" s="10" cm="1">
        <f t="array" ref="AU51">IF(OR(AU$4=0, $G51&lt;&gt; $G$7, $E51=0), 'I&amp;E Monthly'!AU51, CHOOSE(Timeline!AU$30,$J51,$K51,$L51 )*INDEX('I&amp;E Profiles'!AU$96:AU$180,$I51))</f>
        <v>0</v>
      </c>
      <c r="AV51" s="10" cm="1">
        <f t="array" ref="AV51">IF(OR(AV$4=0, $G51&lt;&gt; $G$7, $E51=0), 'I&amp;E Monthly'!AV51, CHOOSE(Timeline!AV$30,$J51,$K51,$L51 )*INDEX('I&amp;E Profiles'!AV$96:AV$180,$I51))</f>
        <v>0</v>
      </c>
      <c r="AW51" s="10" cm="1">
        <f t="array" ref="AW51">IF(OR(AW$4=0, $G51&lt;&gt; $G$7, $E51=0), 'I&amp;E Monthly'!AW51, CHOOSE(Timeline!AW$30,$J51,$K51,$L51 )*INDEX('I&amp;E Profiles'!AW$96:AW$180,$I51))</f>
        <v>0</v>
      </c>
      <c r="AX51" s="10" cm="1">
        <f t="array" ref="AX51">IF(OR(AX$4=0, $G51&lt;&gt; $G$7, $E51=0), 'I&amp;E Monthly'!AX51, CHOOSE(Timeline!AX$30,$J51,$K51,$L51 )*INDEX('I&amp;E Profiles'!AX$96:AX$180,$I51))</f>
        <v>0</v>
      </c>
      <c r="AY51" s="10" cm="1">
        <f t="array" ref="AY51">IF(OR(AY$4=0, $G51&lt;&gt; $G$7, $E51=0), 'I&amp;E Monthly'!AY51, CHOOSE(Timeline!AY$30,$J51,$K51,$L51 )*INDEX('I&amp;E Profiles'!AY$96:AY$180,$I51))</f>
        <v>0</v>
      </c>
      <c r="AZ51" s="10" cm="1">
        <f t="array" ref="AZ51">IF(OR(AZ$4=0, $G51&lt;&gt; $G$7, $E51=0), 'I&amp;E Monthly'!AZ51, CHOOSE(Timeline!AZ$30,$J51,$K51,$L51 )*INDEX('I&amp;E Profiles'!AZ$96:AZ$180,$I51))</f>
        <v>0</v>
      </c>
      <c r="BA51" s="10" cm="1">
        <f t="array" ref="BA51">IF(OR(BA$4=0, $G51&lt;&gt; $G$7, $E51=0), 'I&amp;E Monthly'!BA51, CHOOSE(Timeline!BA$30,$J51,$K51,$L51 )*INDEX('I&amp;E Profiles'!BA$96:BA$180,$I51))</f>
        <v>0</v>
      </c>
      <c r="BB51" s="10" cm="1">
        <f t="array" ref="BB51">IF(OR(BB$4=0, $G51&lt;&gt; $G$7, $E51=0), 'I&amp;E Monthly'!BB51, CHOOSE(Timeline!BB$30,$J51,$K51,$L51 )*INDEX('I&amp;E Profiles'!BB$96:BB$180,$I51))</f>
        <v>0</v>
      </c>
      <c r="BC51" s="10" cm="1">
        <f t="array" ref="BC51">IF(OR(BC$4=0, $G51&lt;&gt; $G$7, $E51=0), 'I&amp;E Monthly'!BC51, CHOOSE(Timeline!BC$30,$J51,$K51,$L51 )*INDEX('I&amp;E Profiles'!BC$96:BC$180,$I51))</f>
        <v>0</v>
      </c>
      <c r="BD51" s="10" cm="1">
        <f t="array" ref="BD51">IF(OR(BD$4=0, $G51&lt;&gt; $G$7, $E51=0), 'I&amp;E Monthly'!BD51, CHOOSE(Timeline!BD$30,$J51,$K51,$L51 )*INDEX('I&amp;E Profiles'!BD$96:BD$180,$I51))</f>
        <v>0</v>
      </c>
      <c r="BE51" s="10" cm="1">
        <f t="array" ref="BE51">IF(OR(BE$4=0, $G51&lt;&gt; $G$7, $E51=0), 'I&amp;E Monthly'!BE51, CHOOSE(Timeline!BE$30,$J51,$K51,$L51 )*INDEX('I&amp;E Profiles'!BE$96:BE$180,$I51))</f>
        <v>0</v>
      </c>
      <c r="BF51" s="10" cm="1">
        <f t="array" ref="BF51">IF(OR(BF$4=0, $G51&lt;&gt; $G$7, $E51=0), 'I&amp;E Monthly'!BF51, CHOOSE(Timeline!BF$30,$J51,$K51,$L51 )*INDEX('I&amp;E Profiles'!BF$96:BF$180,$I51))</f>
        <v>0</v>
      </c>
      <c r="BG51" s="10" cm="1">
        <f t="array" ref="BG51">IF(OR(BG$4=0, $G51&lt;&gt; $G$7, $E51=0), 'I&amp;E Monthly'!BG51, CHOOSE(Timeline!BG$30,$J51,$K51,$L51 )*INDEX('I&amp;E Profiles'!BG$96:BG$180,$I51))</f>
        <v>0</v>
      </c>
      <c r="BH51" s="10" cm="1">
        <f t="array" ref="BH51">IF(OR(BH$4=0, $G51&lt;&gt; $G$7, $E51=0), 'I&amp;E Monthly'!BH51, CHOOSE(Timeline!BH$30,$J51,$K51,$L51 )*INDEX('I&amp;E Profiles'!BH$96:BH$180,$I51))</f>
        <v>0</v>
      </c>
      <c r="BI51" s="10" cm="1">
        <f t="array" ref="BI51">IF(OR(BI$4=0, $G51&lt;&gt; $G$7, $E51=0), 'I&amp;E Monthly'!BI51, CHOOSE(Timeline!BI$30,$J51,$K51,$L51 )*INDEX('I&amp;E Profiles'!BI$96:BI$180,$I51))</f>
        <v>0</v>
      </c>
      <c r="BJ51" s="10" cm="1">
        <f t="array" ref="BJ51">IF(OR(BJ$4=0, $G51&lt;&gt; $G$7, $E51=0), 'I&amp;E Monthly'!BJ51, CHOOSE(Timeline!BJ$30,$J51,$K51,$L51 )*INDEX('I&amp;E Profiles'!BJ$96:BJ$180,$I51))</f>
        <v>0</v>
      </c>
      <c r="BX51" s="12">
        <f>V51</f>
        <v>0</v>
      </c>
      <c r="BY51" s="10">
        <f t="shared" si="54"/>
        <v>0</v>
      </c>
      <c r="BZ51" s="10">
        <f t="shared" si="54"/>
        <v>0</v>
      </c>
      <c r="CA51" s="10">
        <f t="shared" si="54"/>
        <v>0</v>
      </c>
      <c r="CB51" s="12">
        <f>'I&amp;E Monthly'!CB51</f>
        <v>0</v>
      </c>
      <c r="CC51" s="12">
        <f>'I&amp;E Monthly'!CC51</f>
        <v>0</v>
      </c>
      <c r="CD51" s="12">
        <f>'I&amp;E Monthly'!CD51</f>
        <v>0</v>
      </c>
      <c r="CE51" s="12">
        <f>'I&amp;E Monthly'!CE51</f>
        <v>0</v>
      </c>
      <c r="CF51" s="12">
        <f>'I&amp;E Monthly'!CF51</f>
        <v>0</v>
      </c>
      <c r="CG51" s="12">
        <f>'I&amp;E Monthly'!CG51</f>
        <v>0</v>
      </c>
      <c r="CH51" s="12">
        <f>'I&amp;E Monthly'!CH51</f>
        <v>0</v>
      </c>
      <c r="CI51" s="12">
        <f>'I&amp;E Monthly'!CI51</f>
        <v>0</v>
      </c>
      <c r="CK51" s="11"/>
      <c r="CL51" s="221">
        <f ca="1">IF(MIN($V51:$CI51)&lt;0, 1, 0)*$I$7</f>
        <v>0</v>
      </c>
      <c r="CM51" s="11"/>
      <c r="CN51" s="7">
        <f>IF(AND($G51=$G$7,$E51=""), 1, 0)</f>
        <v>0</v>
      </c>
      <c r="CO51" s="7" cm="1">
        <f t="array" ref="CO51">SUMPRODUCT(--NOT(ISNUMBER(W51:Y51)),--NOT(ISBLANK(W51:Y51)))</f>
        <v>0</v>
      </c>
      <c r="CP51" s="7" cm="1">
        <f t="array" ref="CP51">IF(E51="",0, IF(IFERROR(INDEX('I&amp;E Profiles'!$D$96:$D$180, $I51), "N/A")="N/A", 1, 0))</f>
        <v>0</v>
      </c>
      <c r="CQ51" s="7">
        <f>IF(SUM($CV51:$CX51)=0, 0, 1)</f>
        <v>0</v>
      </c>
      <c r="CS51" s="7">
        <f>IF(SUM($CY51:$DA51)=0, 0, 1)</f>
        <v>0</v>
      </c>
      <c r="CT51" s="7">
        <f>IF(DB51=0, 0, 1)</f>
        <v>0</v>
      </c>
      <c r="CU51" s="11"/>
      <c r="CV51" s="215">
        <f t="shared" si="55"/>
        <v>0</v>
      </c>
      <c r="CW51" s="215">
        <f t="shared" si="55"/>
        <v>0</v>
      </c>
      <c r="CX51" s="215">
        <f t="shared" si="55"/>
        <v>0</v>
      </c>
      <c r="CY51" s="215">
        <f>ROUND($BY51-SUMIFS($AA51:$BJ51, $AA$3:$BJ$3, $BY$3), rounding)</f>
        <v>0</v>
      </c>
      <c r="CZ51" s="215">
        <f>ROUND($BZ51-SUMIFS($AA51:$BJ51, $AA$3:$BJ$3, $BZ$3), rounding)</f>
        <v>0</v>
      </c>
      <c r="DA51" s="215">
        <f>ROUND($CA51-SUMIFS($AA51:$BJ51, $AA$3:$BJ$3, $CA$3), rounding)</f>
        <v>0</v>
      </c>
      <c r="DB51" s="215">
        <f>ROUND($V51-$BX51, rounding)</f>
        <v>0</v>
      </c>
      <c r="FN51" s="10" t="str">
        <f t="shared" si="40"/>
        <v>Other European Funding</v>
      </c>
    </row>
    <row r="52" spans="1:170" x14ac:dyDescent="0.35">
      <c r="A52" s="220" cm="1">
        <f t="array" aca="1" ref="A52" ca="1">HYPERLINK(CONCATENATE("#",CELL("address",IF(MAX($CM52:$CU52)=0,A52,INDEX($CM52:$CU52,MATCH(1,$CM52:$CU52,0))))),MAX($CM52:$CU52))</f>
        <v>0</v>
      </c>
      <c r="C52" s="213" t="s">
        <v>508</v>
      </c>
      <c r="D52" s="57" t="s">
        <v>353</v>
      </c>
      <c r="E52" s="114"/>
      <c r="F52" s="79" t="str" cm="1">
        <f t="array" aca="1" ref="F52" ca="1">IF(E52="", "", HYPERLINK(CONCATENATE("#",CELL("address",INDEX('I&amp;E Profiles'!$D$9:$D$93,'I&amp;E Annual'!I52))),E52))</f>
        <v/>
      </c>
      <c r="G52" s="114"/>
      <c r="H52" t="s">
        <v>317</v>
      </c>
      <c r="I52" s="132" t="str">
        <f>IF(E52="", "", MATCH(E52, 'I&amp;E Profiles'!$D$96:$D$180,0))</f>
        <v/>
      </c>
      <c r="J52" s="133">
        <f>IF($G52=$G$7, W52,'I&amp;E Monthly'!W52)-SUMIFS('I&amp;E Monthly'!$AA52:$BJ52, 'I&amp;E Monthly'!$AA$3:$BJ$3, 'I&amp;E Annual'!W$3, 'I&amp;E Monthly'!$AA$4:$BJ$4, 0)</f>
        <v>0</v>
      </c>
      <c r="K52" s="133">
        <f>IF($G52=$G$7, X52,'I&amp;E Monthly'!X52)-SUMIFS('I&amp;E Monthly'!$AA52:$BJ52, 'I&amp;E Monthly'!$AA$3:$BJ$3, 'I&amp;E Annual'!X$3, 'I&amp;E Monthly'!$AA$4:$BJ$4, 0)</f>
        <v>0</v>
      </c>
      <c r="L52" s="133">
        <f>IF($G52=$G$7, Y52,'I&amp;E Monthly'!Y52)-SUMIFS('I&amp;E Monthly'!$AA52:$BJ52, 'I&amp;E Monthly'!$AA$3:$BJ$3, 'I&amp;E Annual'!Y$3, 'I&amp;E Monthly'!$AA$4:$BJ$4, 0)</f>
        <v>0</v>
      </c>
      <c r="Q52" s="2"/>
      <c r="V52" s="133">
        <f>'I&amp;E Monthly'!V52</f>
        <v>0</v>
      </c>
      <c r="W52" s="114"/>
      <c r="X52" s="131"/>
      <c r="Y52" s="131"/>
      <c r="AA52" s="10" cm="1">
        <f t="array" ref="AA52">IF(OR(AA$4=0, $G52&lt;&gt; $G$7, $E52=0), 'I&amp;E Monthly'!AA52, CHOOSE(Timeline!AA$30,$J52,$K52,$L52 )*INDEX('I&amp;E Profiles'!AA$96:AA$180,$I52))</f>
        <v>0</v>
      </c>
      <c r="AB52" s="10" cm="1">
        <f t="array" ref="AB52">IF(OR(AB$4=0, $G52&lt;&gt; $G$7, $E52=0), 'I&amp;E Monthly'!AB52, CHOOSE(Timeline!AB$30,$J52,$K52,$L52 )*INDEX('I&amp;E Profiles'!AB$96:AB$180,$I52))</f>
        <v>0</v>
      </c>
      <c r="AC52" s="10" cm="1">
        <f t="array" ref="AC52">IF(OR(AC$4=0, $G52&lt;&gt; $G$7, $E52=0), 'I&amp;E Monthly'!AC52, CHOOSE(Timeline!AC$30,$J52,$K52,$L52 )*INDEX('I&amp;E Profiles'!AC$96:AC$180,$I52))</f>
        <v>0</v>
      </c>
      <c r="AD52" s="10" cm="1">
        <f t="array" ref="AD52">IF(OR(AD$4=0, $G52&lt;&gt; $G$7, $E52=0), 'I&amp;E Monthly'!AD52, CHOOSE(Timeline!AD$30,$J52,$K52,$L52 )*INDEX('I&amp;E Profiles'!AD$96:AD$180,$I52))</f>
        <v>0</v>
      </c>
      <c r="AE52" s="10" cm="1">
        <f t="array" ref="AE52">IF(OR(AE$4=0, $G52&lt;&gt; $G$7, $E52=0), 'I&amp;E Monthly'!AE52, CHOOSE(Timeline!AE$30,$J52,$K52,$L52 )*INDEX('I&amp;E Profiles'!AE$96:AE$180,$I52))</f>
        <v>0</v>
      </c>
      <c r="AF52" s="10" cm="1">
        <f t="array" ref="AF52">IF(OR(AF$4=0, $G52&lt;&gt; $G$7, $E52=0), 'I&amp;E Monthly'!AF52, CHOOSE(Timeline!AF$30,$J52,$K52,$L52 )*INDEX('I&amp;E Profiles'!AF$96:AF$180,$I52))</f>
        <v>0</v>
      </c>
      <c r="AG52" s="10" cm="1">
        <f t="array" ref="AG52">IF(OR(AG$4=0, $G52&lt;&gt; $G$7, $E52=0), 'I&amp;E Monthly'!AG52, CHOOSE(Timeline!AG$30,$J52,$K52,$L52 )*INDEX('I&amp;E Profiles'!AG$96:AG$180,$I52))</f>
        <v>0</v>
      </c>
      <c r="AH52" s="10" cm="1">
        <f t="array" ref="AH52">IF(OR(AH$4=0, $G52&lt;&gt; $G$7, $E52=0), 'I&amp;E Monthly'!AH52, CHOOSE(Timeline!AH$30,$J52,$K52,$L52 )*INDEX('I&amp;E Profiles'!AH$96:AH$180,$I52))</f>
        <v>0</v>
      </c>
      <c r="AI52" s="10" cm="1">
        <f t="array" ref="AI52">IF(OR(AI$4=0, $G52&lt;&gt; $G$7, $E52=0), 'I&amp;E Monthly'!AI52, CHOOSE(Timeline!AI$30,$J52,$K52,$L52 )*INDEX('I&amp;E Profiles'!AI$96:AI$180,$I52))</f>
        <v>0</v>
      </c>
      <c r="AJ52" s="10" cm="1">
        <f t="array" ref="AJ52">IF(OR(AJ$4=0, $G52&lt;&gt; $G$7, $E52=0), 'I&amp;E Monthly'!AJ52, CHOOSE(Timeline!AJ$30,$J52,$K52,$L52 )*INDEX('I&amp;E Profiles'!AJ$96:AJ$180,$I52))</f>
        <v>0</v>
      </c>
      <c r="AK52" s="10" cm="1">
        <f t="array" ref="AK52">IF(OR(AK$4=0, $G52&lt;&gt; $G$7, $E52=0), 'I&amp;E Monthly'!AK52, CHOOSE(Timeline!AK$30,$J52,$K52,$L52 )*INDEX('I&amp;E Profiles'!AK$96:AK$180,$I52))</f>
        <v>0</v>
      </c>
      <c r="AL52" s="10" cm="1">
        <f t="array" ref="AL52">IF(OR(AL$4=0, $G52&lt;&gt; $G$7, $E52=0), 'I&amp;E Monthly'!AL52, CHOOSE(Timeline!AL$30,$J52,$K52,$L52 )*INDEX('I&amp;E Profiles'!AL$96:AL$180,$I52))</f>
        <v>0</v>
      </c>
      <c r="AM52" s="10" cm="1">
        <f t="array" ref="AM52">IF(OR(AM$4=0, $G52&lt;&gt; $G$7, $E52=0), 'I&amp;E Monthly'!AM52, CHOOSE(Timeline!AM$30,$J52,$K52,$L52 )*INDEX('I&amp;E Profiles'!AM$96:AM$180,$I52))</f>
        <v>0</v>
      </c>
      <c r="AN52" s="10" cm="1">
        <f t="array" ref="AN52">IF(OR(AN$4=0, $G52&lt;&gt; $G$7, $E52=0), 'I&amp;E Monthly'!AN52, CHOOSE(Timeline!AN$30,$J52,$K52,$L52 )*INDEX('I&amp;E Profiles'!AN$96:AN$180,$I52))</f>
        <v>0</v>
      </c>
      <c r="AO52" s="10" cm="1">
        <f t="array" ref="AO52">IF(OR(AO$4=0, $G52&lt;&gt; $G$7, $E52=0), 'I&amp;E Monthly'!AO52, CHOOSE(Timeline!AO$30,$J52,$K52,$L52 )*INDEX('I&amp;E Profiles'!AO$96:AO$180,$I52))</f>
        <v>0</v>
      </c>
      <c r="AP52" s="10" cm="1">
        <f t="array" ref="AP52">IF(OR(AP$4=0, $G52&lt;&gt; $G$7, $E52=0), 'I&amp;E Monthly'!AP52, CHOOSE(Timeline!AP$30,$J52,$K52,$L52 )*INDEX('I&amp;E Profiles'!AP$96:AP$180,$I52))</f>
        <v>0</v>
      </c>
      <c r="AQ52" s="10" cm="1">
        <f t="array" ref="AQ52">IF(OR(AQ$4=0, $G52&lt;&gt; $G$7, $E52=0), 'I&amp;E Monthly'!AQ52, CHOOSE(Timeline!AQ$30,$J52,$K52,$L52 )*INDEX('I&amp;E Profiles'!AQ$96:AQ$180,$I52))</f>
        <v>0</v>
      </c>
      <c r="AR52" s="10" cm="1">
        <f t="array" ref="AR52">IF(OR(AR$4=0, $G52&lt;&gt; $G$7, $E52=0), 'I&amp;E Monthly'!AR52, CHOOSE(Timeline!AR$30,$J52,$K52,$L52 )*INDEX('I&amp;E Profiles'!AR$96:AR$180,$I52))</f>
        <v>0</v>
      </c>
      <c r="AS52" s="10" cm="1">
        <f t="array" ref="AS52">IF(OR(AS$4=0, $G52&lt;&gt; $G$7, $E52=0), 'I&amp;E Monthly'!AS52, CHOOSE(Timeline!AS$30,$J52,$K52,$L52 )*INDEX('I&amp;E Profiles'!AS$96:AS$180,$I52))</f>
        <v>0</v>
      </c>
      <c r="AT52" s="10" cm="1">
        <f t="array" ref="AT52">IF(OR(AT$4=0, $G52&lt;&gt; $G$7, $E52=0), 'I&amp;E Monthly'!AT52, CHOOSE(Timeline!AT$30,$J52,$K52,$L52 )*INDEX('I&amp;E Profiles'!AT$96:AT$180,$I52))</f>
        <v>0</v>
      </c>
      <c r="AU52" s="10" cm="1">
        <f t="array" ref="AU52">IF(OR(AU$4=0, $G52&lt;&gt; $G$7, $E52=0), 'I&amp;E Monthly'!AU52, CHOOSE(Timeline!AU$30,$J52,$K52,$L52 )*INDEX('I&amp;E Profiles'!AU$96:AU$180,$I52))</f>
        <v>0</v>
      </c>
      <c r="AV52" s="10" cm="1">
        <f t="array" ref="AV52">IF(OR(AV$4=0, $G52&lt;&gt; $G$7, $E52=0), 'I&amp;E Monthly'!AV52, CHOOSE(Timeline!AV$30,$J52,$K52,$L52 )*INDEX('I&amp;E Profiles'!AV$96:AV$180,$I52))</f>
        <v>0</v>
      </c>
      <c r="AW52" s="10" cm="1">
        <f t="array" ref="AW52">IF(OR(AW$4=0, $G52&lt;&gt; $G$7, $E52=0), 'I&amp;E Monthly'!AW52, CHOOSE(Timeline!AW$30,$J52,$K52,$L52 )*INDEX('I&amp;E Profiles'!AW$96:AW$180,$I52))</f>
        <v>0</v>
      </c>
      <c r="AX52" s="10" cm="1">
        <f t="array" ref="AX52">IF(OR(AX$4=0, $G52&lt;&gt; $G$7, $E52=0), 'I&amp;E Monthly'!AX52, CHOOSE(Timeline!AX$30,$J52,$K52,$L52 )*INDEX('I&amp;E Profiles'!AX$96:AX$180,$I52))</f>
        <v>0</v>
      </c>
      <c r="AY52" s="10" cm="1">
        <f t="array" ref="AY52">IF(OR(AY$4=0, $G52&lt;&gt; $G$7, $E52=0), 'I&amp;E Monthly'!AY52, CHOOSE(Timeline!AY$30,$J52,$K52,$L52 )*INDEX('I&amp;E Profiles'!AY$96:AY$180,$I52))</f>
        <v>0</v>
      </c>
      <c r="AZ52" s="10" cm="1">
        <f t="array" ref="AZ52">IF(OR(AZ$4=0, $G52&lt;&gt; $G$7, $E52=0), 'I&amp;E Monthly'!AZ52, CHOOSE(Timeline!AZ$30,$J52,$K52,$L52 )*INDEX('I&amp;E Profiles'!AZ$96:AZ$180,$I52))</f>
        <v>0</v>
      </c>
      <c r="BA52" s="10" cm="1">
        <f t="array" ref="BA52">IF(OR(BA$4=0, $G52&lt;&gt; $G$7, $E52=0), 'I&amp;E Monthly'!BA52, CHOOSE(Timeline!BA$30,$J52,$K52,$L52 )*INDEX('I&amp;E Profiles'!BA$96:BA$180,$I52))</f>
        <v>0</v>
      </c>
      <c r="BB52" s="10" cm="1">
        <f t="array" ref="BB52">IF(OR(BB$4=0, $G52&lt;&gt; $G$7, $E52=0), 'I&amp;E Monthly'!BB52, CHOOSE(Timeline!BB$30,$J52,$K52,$L52 )*INDEX('I&amp;E Profiles'!BB$96:BB$180,$I52))</f>
        <v>0</v>
      </c>
      <c r="BC52" s="10" cm="1">
        <f t="array" ref="BC52">IF(OR(BC$4=0, $G52&lt;&gt; $G$7, $E52=0), 'I&amp;E Monthly'!BC52, CHOOSE(Timeline!BC$30,$J52,$K52,$L52 )*INDEX('I&amp;E Profiles'!BC$96:BC$180,$I52))</f>
        <v>0</v>
      </c>
      <c r="BD52" s="10" cm="1">
        <f t="array" ref="BD52">IF(OR(BD$4=0, $G52&lt;&gt; $G$7, $E52=0), 'I&amp;E Monthly'!BD52, CHOOSE(Timeline!BD$30,$J52,$K52,$L52 )*INDEX('I&amp;E Profiles'!BD$96:BD$180,$I52))</f>
        <v>0</v>
      </c>
      <c r="BE52" s="10" cm="1">
        <f t="array" ref="BE52">IF(OR(BE$4=0, $G52&lt;&gt; $G$7, $E52=0), 'I&amp;E Monthly'!BE52, CHOOSE(Timeline!BE$30,$J52,$K52,$L52 )*INDEX('I&amp;E Profiles'!BE$96:BE$180,$I52))</f>
        <v>0</v>
      </c>
      <c r="BF52" s="10" cm="1">
        <f t="array" ref="BF52">IF(OR(BF$4=0, $G52&lt;&gt; $G$7, $E52=0), 'I&amp;E Monthly'!BF52, CHOOSE(Timeline!BF$30,$J52,$K52,$L52 )*INDEX('I&amp;E Profiles'!BF$96:BF$180,$I52))</f>
        <v>0</v>
      </c>
      <c r="BG52" s="10" cm="1">
        <f t="array" ref="BG52">IF(OR(BG$4=0, $G52&lt;&gt; $G$7, $E52=0), 'I&amp;E Monthly'!BG52, CHOOSE(Timeline!BG$30,$J52,$K52,$L52 )*INDEX('I&amp;E Profiles'!BG$96:BG$180,$I52))</f>
        <v>0</v>
      </c>
      <c r="BH52" s="10" cm="1">
        <f t="array" ref="BH52">IF(OR(BH$4=0, $G52&lt;&gt; $G$7, $E52=0), 'I&amp;E Monthly'!BH52, CHOOSE(Timeline!BH$30,$J52,$K52,$L52 )*INDEX('I&amp;E Profiles'!BH$96:BH$180,$I52))</f>
        <v>0</v>
      </c>
      <c r="BI52" s="10" cm="1">
        <f t="array" ref="BI52">IF(OR(BI$4=0, $G52&lt;&gt; $G$7, $E52=0), 'I&amp;E Monthly'!BI52, CHOOSE(Timeline!BI$30,$J52,$K52,$L52 )*INDEX('I&amp;E Profiles'!BI$96:BI$180,$I52))</f>
        <v>0</v>
      </c>
      <c r="BJ52" s="10" cm="1">
        <f t="array" ref="BJ52">IF(OR(BJ$4=0, $G52&lt;&gt; $G$7, $E52=0), 'I&amp;E Monthly'!BJ52, CHOOSE(Timeline!BJ$30,$J52,$K52,$L52 )*INDEX('I&amp;E Profiles'!BJ$96:BJ$180,$I52))</f>
        <v>0</v>
      </c>
      <c r="BX52" s="12">
        <f>V52</f>
        <v>0</v>
      </c>
      <c r="BY52" s="10">
        <f t="shared" si="54"/>
        <v>0</v>
      </c>
      <c r="BZ52" s="10">
        <f t="shared" si="54"/>
        <v>0</v>
      </c>
      <c r="CA52" s="10">
        <f t="shared" si="54"/>
        <v>0</v>
      </c>
      <c r="CB52" s="12">
        <f>'I&amp;E Monthly'!CB52</f>
        <v>0</v>
      </c>
      <c r="CC52" s="12">
        <f>'I&amp;E Monthly'!CC52</f>
        <v>0</v>
      </c>
      <c r="CD52" s="12">
        <f>'I&amp;E Monthly'!CD52</f>
        <v>0</v>
      </c>
      <c r="CE52" s="12">
        <f>'I&amp;E Monthly'!CE52</f>
        <v>0</v>
      </c>
      <c r="CF52" s="12">
        <f>'I&amp;E Monthly'!CF52</f>
        <v>0</v>
      </c>
      <c r="CG52" s="12">
        <f>'I&amp;E Monthly'!CG52</f>
        <v>0</v>
      </c>
      <c r="CH52" s="12">
        <f>'I&amp;E Monthly'!CH52</f>
        <v>0</v>
      </c>
      <c r="CI52" s="12">
        <f>'I&amp;E Monthly'!CI52</f>
        <v>0</v>
      </c>
      <c r="CK52" s="11"/>
      <c r="CL52" s="221">
        <f ca="1">IF(MIN($V52:$CI52)&lt;0, 1, 0)*$I$7</f>
        <v>0</v>
      </c>
      <c r="CM52" s="11"/>
      <c r="CN52" s="7">
        <f>IF(AND($G52=$G$7,$E52=""), 1, 0)</f>
        <v>0</v>
      </c>
      <c r="CO52" s="7" cm="1">
        <f t="array" ref="CO52">SUMPRODUCT(--NOT(ISNUMBER(W52:Y52)),--NOT(ISBLANK(W52:Y52)))</f>
        <v>0</v>
      </c>
      <c r="CP52" s="7" cm="1">
        <f t="array" ref="CP52">IF(E52="",0, IF(IFERROR(INDEX('I&amp;E Profiles'!$D$96:$D$180, $I52), "N/A")="N/A", 1, 0))</f>
        <v>0</v>
      </c>
      <c r="CQ52" s="7">
        <f>IF(SUM($CV52:$CX52)=0, 0, 1)</f>
        <v>0</v>
      </c>
      <c r="CS52" s="7">
        <f>IF(SUM($CY52:$DA52)=0, 0, 1)</f>
        <v>0</v>
      </c>
      <c r="CT52" s="7">
        <f>IF(DB52=0, 0, 1)</f>
        <v>0</v>
      </c>
      <c r="CU52" s="11"/>
      <c r="CV52" s="215">
        <f t="shared" si="55"/>
        <v>0</v>
      </c>
      <c r="CW52" s="215">
        <f t="shared" si="55"/>
        <v>0</v>
      </c>
      <c r="CX52" s="215">
        <f t="shared" si="55"/>
        <v>0</v>
      </c>
      <c r="CY52" s="215">
        <f>ROUND($BY52-SUMIFS($AA52:$BJ52, $AA$3:$BJ$3, $BY$3), rounding)</f>
        <v>0</v>
      </c>
      <c r="CZ52" s="215">
        <f>ROUND($BZ52-SUMIFS($AA52:$BJ52, $AA$3:$BJ$3, $BZ$3), rounding)</f>
        <v>0</v>
      </c>
      <c r="DA52" s="215">
        <f>ROUND($CA52-SUMIFS($AA52:$BJ52, $AA$3:$BJ$3, $CA$3), rounding)</f>
        <v>0</v>
      </c>
      <c r="DB52" s="215">
        <f>ROUND($V52-$BX52, rounding)</f>
        <v>0</v>
      </c>
      <c r="FN52" s="10" t="str">
        <f t="shared" si="40"/>
        <v>Subcontracted in - European Funding</v>
      </c>
    </row>
    <row r="53" spans="1:170" x14ac:dyDescent="0.35">
      <c r="A53" s="220" cm="1">
        <f t="array" aca="1" ref="A53" ca="1">HYPERLINK(CONCATENATE("#",CELL("address",IF(MAX($CM53:$CU53)=0,A53,INDEX($CM53:$CU53,MATCH(1,$CM53:$CU53,0))))),MAX($CM53:$CU53))</f>
        <v>0</v>
      </c>
      <c r="C53" s="213" t="s">
        <v>509</v>
      </c>
      <c r="D53" s="61" t="s">
        <v>354</v>
      </c>
      <c r="H53" t="s">
        <v>317</v>
      </c>
      <c r="Q53" s="2"/>
      <c r="V53" s="12">
        <f>SUM(V50:V52)</f>
        <v>0</v>
      </c>
      <c r="W53" s="12">
        <f>SUM(W50:W52)</f>
        <v>0</v>
      </c>
      <c r="X53" s="12">
        <f>SUM(X50:X52)</f>
        <v>0</v>
      </c>
      <c r="Y53" s="12">
        <f>SUM(Y50:Y52)</f>
        <v>0</v>
      </c>
      <c r="AA53" s="12">
        <f t="shared" ref="AA53:BJ53" si="56">SUM(AA50:AA52)</f>
        <v>0</v>
      </c>
      <c r="AB53" s="12">
        <f t="shared" si="56"/>
        <v>0</v>
      </c>
      <c r="AC53" s="12">
        <f t="shared" si="56"/>
        <v>0</v>
      </c>
      <c r="AD53" s="12">
        <f t="shared" si="56"/>
        <v>0</v>
      </c>
      <c r="AE53" s="12">
        <f t="shared" si="56"/>
        <v>0</v>
      </c>
      <c r="AF53" s="12">
        <f t="shared" si="56"/>
        <v>0</v>
      </c>
      <c r="AG53" s="12">
        <f t="shared" si="56"/>
        <v>0</v>
      </c>
      <c r="AH53" s="12">
        <f t="shared" si="56"/>
        <v>0</v>
      </c>
      <c r="AI53" s="12">
        <f t="shared" si="56"/>
        <v>0</v>
      </c>
      <c r="AJ53" s="12">
        <f t="shared" si="56"/>
        <v>0</v>
      </c>
      <c r="AK53" s="12">
        <f t="shared" si="56"/>
        <v>0</v>
      </c>
      <c r="AL53" s="12">
        <f t="shared" si="56"/>
        <v>0</v>
      </c>
      <c r="AM53" s="12">
        <f t="shared" si="56"/>
        <v>0</v>
      </c>
      <c r="AN53" s="12">
        <f t="shared" si="56"/>
        <v>0</v>
      </c>
      <c r="AO53" s="12">
        <f t="shared" si="56"/>
        <v>0</v>
      </c>
      <c r="AP53" s="12">
        <f t="shared" si="56"/>
        <v>0</v>
      </c>
      <c r="AQ53" s="12">
        <f t="shared" si="56"/>
        <v>0</v>
      </c>
      <c r="AR53" s="12">
        <f t="shared" si="56"/>
        <v>0</v>
      </c>
      <c r="AS53" s="12">
        <f t="shared" si="56"/>
        <v>0</v>
      </c>
      <c r="AT53" s="12">
        <f t="shared" si="56"/>
        <v>0</v>
      </c>
      <c r="AU53" s="12">
        <f t="shared" si="56"/>
        <v>0</v>
      </c>
      <c r="AV53" s="12">
        <f t="shared" si="56"/>
        <v>0</v>
      </c>
      <c r="AW53" s="12">
        <f t="shared" si="56"/>
        <v>0</v>
      </c>
      <c r="AX53" s="12">
        <f t="shared" si="56"/>
        <v>0</v>
      </c>
      <c r="AY53" s="12">
        <f t="shared" si="56"/>
        <v>0</v>
      </c>
      <c r="AZ53" s="12">
        <f t="shared" si="56"/>
        <v>0</v>
      </c>
      <c r="BA53" s="12">
        <f t="shared" si="56"/>
        <v>0</v>
      </c>
      <c r="BB53" s="12">
        <f t="shared" si="56"/>
        <v>0</v>
      </c>
      <c r="BC53" s="12">
        <f t="shared" si="56"/>
        <v>0</v>
      </c>
      <c r="BD53" s="12">
        <f t="shared" si="56"/>
        <v>0</v>
      </c>
      <c r="BE53" s="12">
        <f t="shared" si="56"/>
        <v>0</v>
      </c>
      <c r="BF53" s="12">
        <f t="shared" si="56"/>
        <v>0</v>
      </c>
      <c r="BG53" s="12">
        <f t="shared" si="56"/>
        <v>0</v>
      </c>
      <c r="BH53" s="12">
        <f t="shared" si="56"/>
        <v>0</v>
      </c>
      <c r="BI53" s="12">
        <f t="shared" si="56"/>
        <v>0</v>
      </c>
      <c r="BJ53" s="12">
        <f t="shared" si="56"/>
        <v>0</v>
      </c>
      <c r="BX53" s="12">
        <f t="shared" ref="BX53:CI53" si="57">SUM(BX50:BX52)</f>
        <v>0</v>
      </c>
      <c r="BY53" s="12">
        <f t="shared" si="57"/>
        <v>0</v>
      </c>
      <c r="BZ53" s="12">
        <f t="shared" si="57"/>
        <v>0</v>
      </c>
      <c r="CA53" s="12">
        <f t="shared" si="57"/>
        <v>0</v>
      </c>
      <c r="CB53" s="12">
        <f t="shared" si="57"/>
        <v>0</v>
      </c>
      <c r="CC53" s="12">
        <f t="shared" si="57"/>
        <v>0</v>
      </c>
      <c r="CD53" s="12">
        <f t="shared" si="57"/>
        <v>0</v>
      </c>
      <c r="CE53" s="12">
        <f t="shared" si="57"/>
        <v>0</v>
      </c>
      <c r="CF53" s="12">
        <f t="shared" si="57"/>
        <v>0</v>
      </c>
      <c r="CG53" s="12">
        <f t="shared" si="57"/>
        <v>0</v>
      </c>
      <c r="CH53" s="12">
        <f t="shared" si="57"/>
        <v>0</v>
      </c>
      <c r="CI53" s="12">
        <f t="shared" si="57"/>
        <v>0</v>
      </c>
      <c r="CK53" s="11"/>
      <c r="CL53" s="221">
        <f ca="1">IF(MIN($V53:$CI53)&lt;0, 1, 0)*$I$7</f>
        <v>0</v>
      </c>
      <c r="CM53" s="11"/>
      <c r="CQ53" s="7">
        <f>IF(SUM($CV53:$CX53)=0, 0, 1)</f>
        <v>0</v>
      </c>
      <c r="CS53" s="7">
        <f>IF(SUM($CY53:$DA53)=0, 0, 1)</f>
        <v>0</v>
      </c>
      <c r="CT53" s="7">
        <f>IF(DB53=0, 0, 1)</f>
        <v>0</v>
      </c>
      <c r="CU53" s="11"/>
      <c r="CV53" s="215">
        <f t="shared" si="55"/>
        <v>0</v>
      </c>
      <c r="CW53" s="215">
        <f t="shared" si="55"/>
        <v>0</v>
      </c>
      <c r="CX53" s="215">
        <f t="shared" si="55"/>
        <v>0</v>
      </c>
      <c r="CY53" s="215">
        <f>ROUND($BY53-SUMIFS($AA53:$BJ53, $AA$3:$BJ$3, $BY$3), rounding)</f>
        <v>0</v>
      </c>
      <c r="CZ53" s="215">
        <f>ROUND($BZ53-SUMIFS($AA53:$BJ53, $AA$3:$BJ$3, $BZ$3), rounding)</f>
        <v>0</v>
      </c>
      <c r="DA53" s="215">
        <f>ROUND($CA53-SUMIFS($AA53:$BJ53, $AA$3:$BJ$3, $CA$3), rounding)</f>
        <v>0</v>
      </c>
      <c r="DB53" s="215">
        <f>ROUND($V53-$BX53, rounding)</f>
        <v>0</v>
      </c>
      <c r="FN53" s="10" t="str">
        <f t="shared" si="40"/>
        <v>Total European Funding</v>
      </c>
    </row>
    <row r="54" spans="1:170" x14ac:dyDescent="0.35">
      <c r="A54" s="220" cm="1">
        <f t="array" aca="1" ref="A54" ca="1">HYPERLINK(CONCATENATE("#",CELL("address",IF(MAX($CM54:$CU54)=0,A54,INDEX($CM54:$CU54,MATCH(1,$CM54:$CU54,0))))),MAX($CM54:$CU54))</f>
        <v>0</v>
      </c>
      <c r="C54" s="213" t="s">
        <v>510</v>
      </c>
      <c r="D54" s="57" t="s">
        <v>355</v>
      </c>
      <c r="E54" s="114"/>
      <c r="F54" s="79" t="str" cm="1">
        <f t="array" aca="1" ref="F54" ca="1">IF(E54="", "", HYPERLINK(CONCATENATE("#",CELL("address",INDEX('I&amp;E Profiles'!$D$9:$D$93,'I&amp;E Annual'!I54))),E54))</f>
        <v/>
      </c>
      <c r="G54" s="114"/>
      <c r="H54" t="s">
        <v>317</v>
      </c>
      <c r="I54" s="132" t="str">
        <f>IF(E54="", "", MATCH(E54, 'I&amp;E Profiles'!$D$96:$D$180,0))</f>
        <v/>
      </c>
      <c r="J54" s="133">
        <f>IF($G54=$G$7, W54,'I&amp;E Monthly'!W54)-SUMIFS('I&amp;E Monthly'!$AA54:$BJ54, 'I&amp;E Monthly'!$AA$3:$BJ$3, 'I&amp;E Annual'!W$3, 'I&amp;E Monthly'!$AA$4:$BJ$4, 0)</f>
        <v>0</v>
      </c>
      <c r="K54" s="133">
        <f>IF($G54=$G$7, X54,'I&amp;E Monthly'!X54)-SUMIFS('I&amp;E Monthly'!$AA54:$BJ54, 'I&amp;E Monthly'!$AA$3:$BJ$3, 'I&amp;E Annual'!X$3, 'I&amp;E Monthly'!$AA$4:$BJ$4, 0)</f>
        <v>0</v>
      </c>
      <c r="L54" s="133">
        <f>IF($G54=$G$7, Y54,'I&amp;E Monthly'!Y54)-SUMIFS('I&amp;E Monthly'!$AA54:$BJ54, 'I&amp;E Monthly'!$AA$3:$BJ$3, 'I&amp;E Annual'!Y$3, 'I&amp;E Monthly'!$AA$4:$BJ$4, 0)</f>
        <v>0</v>
      </c>
      <c r="Q54" s="2"/>
      <c r="V54" s="133">
        <f>'I&amp;E Monthly'!V54</f>
        <v>0</v>
      </c>
      <c r="W54" s="114"/>
      <c r="X54" s="131"/>
      <c r="Y54" s="131"/>
      <c r="AA54" s="10" cm="1">
        <f t="array" ref="AA54">IF(OR(AA$4=0, $G54&lt;&gt; $G$7, $E54=0), 'I&amp;E Monthly'!AA54, CHOOSE(Timeline!AA$30,$J54,$K54,$L54 )*INDEX('I&amp;E Profiles'!AA$96:AA$180,$I54))</f>
        <v>0</v>
      </c>
      <c r="AB54" s="10" cm="1">
        <f t="array" ref="AB54">IF(OR(AB$4=0, $G54&lt;&gt; $G$7, $E54=0), 'I&amp;E Monthly'!AB54, CHOOSE(Timeline!AB$30,$J54,$K54,$L54 )*INDEX('I&amp;E Profiles'!AB$96:AB$180,$I54))</f>
        <v>0</v>
      </c>
      <c r="AC54" s="10" cm="1">
        <f t="array" ref="AC54">IF(OR(AC$4=0, $G54&lt;&gt; $G$7, $E54=0), 'I&amp;E Monthly'!AC54, CHOOSE(Timeline!AC$30,$J54,$K54,$L54 )*INDEX('I&amp;E Profiles'!AC$96:AC$180,$I54))</f>
        <v>0</v>
      </c>
      <c r="AD54" s="10" cm="1">
        <f t="array" ref="AD54">IF(OR(AD$4=0, $G54&lt;&gt; $G$7, $E54=0), 'I&amp;E Monthly'!AD54, CHOOSE(Timeline!AD$30,$J54,$K54,$L54 )*INDEX('I&amp;E Profiles'!AD$96:AD$180,$I54))</f>
        <v>0</v>
      </c>
      <c r="AE54" s="10" cm="1">
        <f t="array" ref="AE54">IF(OR(AE$4=0, $G54&lt;&gt; $G$7, $E54=0), 'I&amp;E Monthly'!AE54, CHOOSE(Timeline!AE$30,$J54,$K54,$L54 )*INDEX('I&amp;E Profiles'!AE$96:AE$180,$I54))</f>
        <v>0</v>
      </c>
      <c r="AF54" s="10" cm="1">
        <f t="array" ref="AF54">IF(OR(AF$4=0, $G54&lt;&gt; $G$7, $E54=0), 'I&amp;E Monthly'!AF54, CHOOSE(Timeline!AF$30,$J54,$K54,$L54 )*INDEX('I&amp;E Profiles'!AF$96:AF$180,$I54))</f>
        <v>0</v>
      </c>
      <c r="AG54" s="10" cm="1">
        <f t="array" ref="AG54">IF(OR(AG$4=0, $G54&lt;&gt; $G$7, $E54=0), 'I&amp;E Monthly'!AG54, CHOOSE(Timeline!AG$30,$J54,$K54,$L54 )*INDEX('I&amp;E Profiles'!AG$96:AG$180,$I54))</f>
        <v>0</v>
      </c>
      <c r="AH54" s="10" cm="1">
        <f t="array" ref="AH54">IF(OR(AH$4=0, $G54&lt;&gt; $G$7, $E54=0), 'I&amp;E Monthly'!AH54, CHOOSE(Timeline!AH$30,$J54,$K54,$L54 )*INDEX('I&amp;E Profiles'!AH$96:AH$180,$I54))</f>
        <v>0</v>
      </c>
      <c r="AI54" s="10" cm="1">
        <f t="array" ref="AI54">IF(OR(AI$4=0, $G54&lt;&gt; $G$7, $E54=0), 'I&amp;E Monthly'!AI54, CHOOSE(Timeline!AI$30,$J54,$K54,$L54 )*INDEX('I&amp;E Profiles'!AI$96:AI$180,$I54))</f>
        <v>0</v>
      </c>
      <c r="AJ54" s="10" cm="1">
        <f t="array" ref="AJ54">IF(OR(AJ$4=0, $G54&lt;&gt; $G$7, $E54=0), 'I&amp;E Monthly'!AJ54, CHOOSE(Timeline!AJ$30,$J54,$K54,$L54 )*INDEX('I&amp;E Profiles'!AJ$96:AJ$180,$I54))</f>
        <v>0</v>
      </c>
      <c r="AK54" s="10" cm="1">
        <f t="array" ref="AK54">IF(OR(AK$4=0, $G54&lt;&gt; $G$7, $E54=0), 'I&amp;E Monthly'!AK54, CHOOSE(Timeline!AK$30,$J54,$K54,$L54 )*INDEX('I&amp;E Profiles'!AK$96:AK$180,$I54))</f>
        <v>0</v>
      </c>
      <c r="AL54" s="10" cm="1">
        <f t="array" ref="AL54">IF(OR(AL$4=0, $G54&lt;&gt; $G$7, $E54=0), 'I&amp;E Monthly'!AL54, CHOOSE(Timeline!AL$30,$J54,$K54,$L54 )*INDEX('I&amp;E Profiles'!AL$96:AL$180,$I54))</f>
        <v>0</v>
      </c>
      <c r="AM54" s="10" cm="1">
        <f t="array" ref="AM54">IF(OR(AM$4=0, $G54&lt;&gt; $G$7, $E54=0), 'I&amp;E Monthly'!AM54, CHOOSE(Timeline!AM$30,$J54,$K54,$L54 )*INDEX('I&amp;E Profiles'!AM$96:AM$180,$I54))</f>
        <v>0</v>
      </c>
      <c r="AN54" s="10" cm="1">
        <f t="array" ref="AN54">IF(OR(AN$4=0, $G54&lt;&gt; $G$7, $E54=0), 'I&amp;E Monthly'!AN54, CHOOSE(Timeline!AN$30,$J54,$K54,$L54 )*INDEX('I&amp;E Profiles'!AN$96:AN$180,$I54))</f>
        <v>0</v>
      </c>
      <c r="AO54" s="10" cm="1">
        <f t="array" ref="AO54">IF(OR(AO$4=0, $G54&lt;&gt; $G$7, $E54=0), 'I&amp;E Monthly'!AO54, CHOOSE(Timeline!AO$30,$J54,$K54,$L54 )*INDEX('I&amp;E Profiles'!AO$96:AO$180,$I54))</f>
        <v>0</v>
      </c>
      <c r="AP54" s="10" cm="1">
        <f t="array" ref="AP54">IF(OR(AP$4=0, $G54&lt;&gt; $G$7, $E54=0), 'I&amp;E Monthly'!AP54, CHOOSE(Timeline!AP$30,$J54,$K54,$L54 )*INDEX('I&amp;E Profiles'!AP$96:AP$180,$I54))</f>
        <v>0</v>
      </c>
      <c r="AQ54" s="10" cm="1">
        <f t="array" ref="AQ54">IF(OR(AQ$4=0, $G54&lt;&gt; $G$7, $E54=0), 'I&amp;E Monthly'!AQ54, CHOOSE(Timeline!AQ$30,$J54,$K54,$L54 )*INDEX('I&amp;E Profiles'!AQ$96:AQ$180,$I54))</f>
        <v>0</v>
      </c>
      <c r="AR54" s="10" cm="1">
        <f t="array" ref="AR54">IF(OR(AR$4=0, $G54&lt;&gt; $G$7, $E54=0), 'I&amp;E Monthly'!AR54, CHOOSE(Timeline!AR$30,$J54,$K54,$L54 )*INDEX('I&amp;E Profiles'!AR$96:AR$180,$I54))</f>
        <v>0</v>
      </c>
      <c r="AS54" s="10" cm="1">
        <f t="array" ref="AS54">IF(OR(AS$4=0, $G54&lt;&gt; $G$7, $E54=0), 'I&amp;E Monthly'!AS54, CHOOSE(Timeline!AS$30,$J54,$K54,$L54 )*INDEX('I&amp;E Profiles'!AS$96:AS$180,$I54))</f>
        <v>0</v>
      </c>
      <c r="AT54" s="10" cm="1">
        <f t="array" ref="AT54">IF(OR(AT$4=0, $G54&lt;&gt; $G$7, $E54=0), 'I&amp;E Monthly'!AT54, CHOOSE(Timeline!AT$30,$J54,$K54,$L54 )*INDEX('I&amp;E Profiles'!AT$96:AT$180,$I54))</f>
        <v>0</v>
      </c>
      <c r="AU54" s="10" cm="1">
        <f t="array" ref="AU54">IF(OR(AU$4=0, $G54&lt;&gt; $G$7, $E54=0), 'I&amp;E Monthly'!AU54, CHOOSE(Timeline!AU$30,$J54,$K54,$L54 )*INDEX('I&amp;E Profiles'!AU$96:AU$180,$I54))</f>
        <v>0</v>
      </c>
      <c r="AV54" s="10" cm="1">
        <f t="array" ref="AV54">IF(OR(AV$4=0, $G54&lt;&gt; $G$7, $E54=0), 'I&amp;E Monthly'!AV54, CHOOSE(Timeline!AV$30,$J54,$K54,$L54 )*INDEX('I&amp;E Profiles'!AV$96:AV$180,$I54))</f>
        <v>0</v>
      </c>
      <c r="AW54" s="10" cm="1">
        <f t="array" ref="AW54">IF(OR(AW$4=0, $G54&lt;&gt; $G$7, $E54=0), 'I&amp;E Monthly'!AW54, CHOOSE(Timeline!AW$30,$J54,$K54,$L54 )*INDEX('I&amp;E Profiles'!AW$96:AW$180,$I54))</f>
        <v>0</v>
      </c>
      <c r="AX54" s="10" cm="1">
        <f t="array" ref="AX54">IF(OR(AX$4=0, $G54&lt;&gt; $G$7, $E54=0), 'I&amp;E Monthly'!AX54, CHOOSE(Timeline!AX$30,$J54,$K54,$L54 )*INDEX('I&amp;E Profiles'!AX$96:AX$180,$I54))</f>
        <v>0</v>
      </c>
      <c r="AY54" s="10" cm="1">
        <f t="array" ref="AY54">IF(OR(AY$4=0, $G54&lt;&gt; $G$7, $E54=0), 'I&amp;E Monthly'!AY54, CHOOSE(Timeline!AY$30,$J54,$K54,$L54 )*INDEX('I&amp;E Profiles'!AY$96:AY$180,$I54))</f>
        <v>0</v>
      </c>
      <c r="AZ54" s="10" cm="1">
        <f t="array" ref="AZ54">IF(OR(AZ$4=0, $G54&lt;&gt; $G$7, $E54=0), 'I&amp;E Monthly'!AZ54, CHOOSE(Timeline!AZ$30,$J54,$K54,$L54 )*INDEX('I&amp;E Profiles'!AZ$96:AZ$180,$I54))</f>
        <v>0</v>
      </c>
      <c r="BA54" s="10" cm="1">
        <f t="array" ref="BA54">IF(OR(BA$4=0, $G54&lt;&gt; $G$7, $E54=0), 'I&amp;E Monthly'!BA54, CHOOSE(Timeline!BA$30,$J54,$K54,$L54 )*INDEX('I&amp;E Profiles'!BA$96:BA$180,$I54))</f>
        <v>0</v>
      </c>
      <c r="BB54" s="10" cm="1">
        <f t="array" ref="BB54">IF(OR(BB$4=0, $G54&lt;&gt; $G$7, $E54=0), 'I&amp;E Monthly'!BB54, CHOOSE(Timeline!BB$30,$J54,$K54,$L54 )*INDEX('I&amp;E Profiles'!BB$96:BB$180,$I54))</f>
        <v>0</v>
      </c>
      <c r="BC54" s="10" cm="1">
        <f t="array" ref="BC54">IF(OR(BC$4=0, $G54&lt;&gt; $G$7, $E54=0), 'I&amp;E Monthly'!BC54, CHOOSE(Timeline!BC$30,$J54,$K54,$L54 )*INDEX('I&amp;E Profiles'!BC$96:BC$180,$I54))</f>
        <v>0</v>
      </c>
      <c r="BD54" s="10" cm="1">
        <f t="array" ref="BD54">IF(OR(BD$4=0, $G54&lt;&gt; $G$7, $E54=0), 'I&amp;E Monthly'!BD54, CHOOSE(Timeline!BD$30,$J54,$K54,$L54 )*INDEX('I&amp;E Profiles'!BD$96:BD$180,$I54))</f>
        <v>0</v>
      </c>
      <c r="BE54" s="10" cm="1">
        <f t="array" ref="BE54">IF(OR(BE$4=0, $G54&lt;&gt; $G$7, $E54=0), 'I&amp;E Monthly'!BE54, CHOOSE(Timeline!BE$30,$J54,$K54,$L54 )*INDEX('I&amp;E Profiles'!BE$96:BE$180,$I54))</f>
        <v>0</v>
      </c>
      <c r="BF54" s="10" cm="1">
        <f t="array" ref="BF54">IF(OR(BF$4=0, $G54&lt;&gt; $G$7, $E54=0), 'I&amp;E Monthly'!BF54, CHOOSE(Timeline!BF$30,$J54,$K54,$L54 )*INDEX('I&amp;E Profiles'!BF$96:BF$180,$I54))</f>
        <v>0</v>
      </c>
      <c r="BG54" s="10" cm="1">
        <f t="array" ref="BG54">IF(OR(BG$4=0, $G54&lt;&gt; $G$7, $E54=0), 'I&amp;E Monthly'!BG54, CHOOSE(Timeline!BG$30,$J54,$K54,$L54 )*INDEX('I&amp;E Profiles'!BG$96:BG$180,$I54))</f>
        <v>0</v>
      </c>
      <c r="BH54" s="10" cm="1">
        <f t="array" ref="BH54">IF(OR(BH$4=0, $G54&lt;&gt; $G$7, $E54=0), 'I&amp;E Monthly'!BH54, CHOOSE(Timeline!BH$30,$J54,$K54,$L54 )*INDEX('I&amp;E Profiles'!BH$96:BH$180,$I54))</f>
        <v>0</v>
      </c>
      <c r="BI54" s="10" cm="1">
        <f t="array" ref="BI54">IF(OR(BI$4=0, $G54&lt;&gt; $G$7, $E54=0), 'I&amp;E Monthly'!BI54, CHOOSE(Timeline!BI$30,$J54,$K54,$L54 )*INDEX('I&amp;E Profiles'!BI$96:BI$180,$I54))</f>
        <v>0</v>
      </c>
      <c r="BJ54" s="10" cm="1">
        <f t="array" ref="BJ54">IF(OR(BJ$4=0, $G54&lt;&gt; $G$7, $E54=0), 'I&amp;E Monthly'!BJ54, CHOOSE(Timeline!BJ$30,$J54,$K54,$L54 )*INDEX('I&amp;E Profiles'!BJ$96:BJ$180,$I54))</f>
        <v>0</v>
      </c>
      <c r="BX54" s="12">
        <f>V54</f>
        <v>0</v>
      </c>
      <c r="BY54" s="10">
        <f>SUMIFS($AA54:$BJ54, $AA$3:$BJ$3,BY$3)</f>
        <v>0</v>
      </c>
      <c r="BZ54" s="10">
        <f>SUMIFS($AA54:$BJ54, $AA$3:$BJ$3,BZ$3)</f>
        <v>0</v>
      </c>
      <c r="CA54" s="10">
        <f>SUMIFS($AA54:$BJ54, $AA$3:$BJ$3,CA$3)</f>
        <v>0</v>
      </c>
      <c r="CB54" s="12">
        <f>'I&amp;E Monthly'!CB54</f>
        <v>0</v>
      </c>
      <c r="CC54" s="12">
        <f>'I&amp;E Monthly'!CC54</f>
        <v>0</v>
      </c>
      <c r="CD54" s="12">
        <f>'I&amp;E Monthly'!CD54</f>
        <v>0</v>
      </c>
      <c r="CE54" s="12">
        <f>'I&amp;E Monthly'!CE54</f>
        <v>0</v>
      </c>
      <c r="CF54" s="12">
        <f>'I&amp;E Monthly'!CF54</f>
        <v>0</v>
      </c>
      <c r="CG54" s="12">
        <f>'I&amp;E Monthly'!CG54</f>
        <v>0</v>
      </c>
      <c r="CH54" s="12">
        <f>'I&amp;E Monthly'!CH54</f>
        <v>0</v>
      </c>
      <c r="CI54" s="12">
        <f>'I&amp;E Monthly'!CI54</f>
        <v>0</v>
      </c>
      <c r="CK54" s="11"/>
      <c r="CL54" s="221">
        <f ca="1">IF(MIN($V54:$CI54)&lt;0, 1, 0)*$I$7</f>
        <v>0</v>
      </c>
      <c r="CM54" s="11"/>
      <c r="CN54" s="7">
        <f>IF(AND($G54=$G$7,$E54=""), 1, 0)</f>
        <v>0</v>
      </c>
      <c r="CO54" s="7" cm="1">
        <f t="array" ref="CO54">SUMPRODUCT(--NOT(ISNUMBER(W54:Y54)),--NOT(ISBLANK(W54:Y54)))</f>
        <v>0</v>
      </c>
      <c r="CP54" s="7" cm="1">
        <f t="array" ref="CP54">IF(E54="",0, IF(IFERROR(INDEX('I&amp;E Profiles'!$D$96:$D$180, $I54), "N/A")="N/A", 1, 0))</f>
        <v>0</v>
      </c>
      <c r="CQ54" s="7">
        <f>IF(SUM($CV54:$CX54)=0, 0, 1)</f>
        <v>0</v>
      </c>
      <c r="CR54" s="7">
        <f>IF(DC54=0,0,1)</f>
        <v>0</v>
      </c>
      <c r="CS54" s="7">
        <f>IF(SUM($CY54:$DA54)=0, 0, 1)</f>
        <v>0</v>
      </c>
      <c r="CT54" s="7">
        <f>IF(DB54=0, 0, 1)</f>
        <v>0</v>
      </c>
      <c r="CU54" s="11"/>
      <c r="CV54" s="215">
        <f t="shared" si="55"/>
        <v>0</v>
      </c>
      <c r="CW54" s="215">
        <f t="shared" si="55"/>
        <v>0</v>
      </c>
      <c r="CX54" s="215">
        <f t="shared" si="55"/>
        <v>0</v>
      </c>
      <c r="CY54" s="215">
        <f>ROUND($BY54-SUMIFS($AA54:$BJ54, $AA$3:$BJ$3, $BY$3), rounding)</f>
        <v>0</v>
      </c>
      <c r="CZ54" s="215">
        <f>ROUND($BZ54-SUMIFS($AA54:$BJ54, $AA$3:$BJ$3, $BZ$3), rounding)</f>
        <v>0</v>
      </c>
      <c r="DA54" s="215">
        <f>ROUND($CA54-SUMIFS($AA54:$BJ54, $AA$3:$BJ$3, $CA$3), rounding)</f>
        <v>0</v>
      </c>
      <c r="DB54" s="215">
        <f>ROUND($V54-$BX54, rounding)</f>
        <v>0</v>
      </c>
      <c r="DC54" s="508">
        <f>SUM(DE54:DP54)</f>
        <v>0</v>
      </c>
      <c r="DE54" s="7">
        <f t="shared" ref="DE54:DP54" si="58">IF(BX54&gt;BX53, 1, 0)</f>
        <v>0</v>
      </c>
      <c r="DF54" s="7">
        <f t="shared" si="58"/>
        <v>0</v>
      </c>
      <c r="DG54" s="7">
        <f t="shared" si="58"/>
        <v>0</v>
      </c>
      <c r="DH54" s="7">
        <f t="shared" si="58"/>
        <v>0</v>
      </c>
      <c r="DI54" s="7">
        <f t="shared" si="58"/>
        <v>0</v>
      </c>
      <c r="DJ54" s="7">
        <f t="shared" si="58"/>
        <v>0</v>
      </c>
      <c r="DK54" s="7">
        <f t="shared" si="58"/>
        <v>0</v>
      </c>
      <c r="DL54" s="7">
        <f t="shared" si="58"/>
        <v>0</v>
      </c>
      <c r="DM54" s="7">
        <f t="shared" si="58"/>
        <v>0</v>
      </c>
      <c r="DN54" s="7">
        <f t="shared" si="58"/>
        <v>0</v>
      </c>
      <c r="DO54" s="7">
        <f t="shared" si="58"/>
        <v>0</v>
      </c>
      <c r="DP54" s="7">
        <f t="shared" si="58"/>
        <v>0</v>
      </c>
      <c r="FN54" s="10" t="str">
        <f t="shared" si="40"/>
        <v>Of which: subcontracted out European Funding income</v>
      </c>
    </row>
    <row r="55" spans="1:170" ht="6.75" customHeight="1" x14ac:dyDescent="0.35">
      <c r="C55" s="213"/>
      <c r="D55" s="57"/>
      <c r="Q55" s="2"/>
      <c r="BY55" s="6"/>
      <c r="CK55" s="35"/>
      <c r="CM55" s="35"/>
      <c r="CU55" s="35"/>
      <c r="FN55" s="10" t="str">
        <f t="shared" si="40"/>
        <v/>
      </c>
    </row>
    <row r="56" spans="1:170" x14ac:dyDescent="0.35">
      <c r="A56" s="5"/>
      <c r="B56" s="5"/>
      <c r="C56" s="213"/>
      <c r="D56" s="61" t="s">
        <v>356</v>
      </c>
      <c r="E56" s="5"/>
      <c r="G56" s="5"/>
      <c r="Q56" s="2"/>
      <c r="CK56" s="11"/>
      <c r="CM56" s="11"/>
      <c r="CU56" s="11"/>
      <c r="FN56" s="10"/>
    </row>
    <row r="57" spans="1:170" x14ac:dyDescent="0.35">
      <c r="A57" s="220" cm="1">
        <f t="array" aca="1" ref="A57" ca="1">HYPERLINK(CONCATENATE("#",CELL("address",IF(MAX($CM57:$CU57)=0,A57,INDEX($CM57:$CU57,MATCH(1,$CM57:$CU57,0))))),MAX($CM57:$CU57))</f>
        <v>0</v>
      </c>
      <c r="C57" s="213" t="s">
        <v>511</v>
      </c>
      <c r="D57" s="57" t="s">
        <v>358</v>
      </c>
      <c r="E57" s="114"/>
      <c r="F57" s="79" t="str" cm="1">
        <f t="array" aca="1" ref="F57" ca="1">IF(E57="", "", HYPERLINK(CONCATENATE("#",CELL("address",INDEX('I&amp;E Profiles'!$D$9:$D$93,'I&amp;E Annual'!I57))),E57))</f>
        <v/>
      </c>
      <c r="G57" s="114"/>
      <c r="H57" t="s">
        <v>317</v>
      </c>
      <c r="I57" s="132" t="str">
        <f>IF(E57="", "", MATCH(E57, 'I&amp;E Profiles'!$D$96:$D$180,0))</f>
        <v/>
      </c>
      <c r="J57" s="133">
        <f>IF($G57=$G$7, W57,'I&amp;E Monthly'!W57)-SUMIFS('I&amp;E Monthly'!$AA57:$BJ57, 'I&amp;E Monthly'!$AA$3:$BJ$3, 'I&amp;E Annual'!W$3, 'I&amp;E Monthly'!$AA$4:$BJ$4, 0)</f>
        <v>0</v>
      </c>
      <c r="K57" s="133">
        <f>IF($G57=$G$7, X57,'I&amp;E Monthly'!X57)-SUMIFS('I&amp;E Monthly'!$AA57:$BJ57, 'I&amp;E Monthly'!$AA$3:$BJ$3, 'I&amp;E Annual'!X$3, 'I&amp;E Monthly'!$AA$4:$BJ$4, 0)</f>
        <v>0</v>
      </c>
      <c r="L57" s="133">
        <f>IF($G57=$G$7, Y57,'I&amp;E Monthly'!Y57)-SUMIFS('I&amp;E Monthly'!$AA57:$BJ57, 'I&amp;E Monthly'!$AA$3:$BJ$3, 'I&amp;E Annual'!Y$3, 'I&amp;E Monthly'!$AA$4:$BJ$4, 0)</f>
        <v>0</v>
      </c>
      <c r="Q57" s="2"/>
      <c r="V57" s="133">
        <f>'I&amp;E Monthly'!V57</f>
        <v>0</v>
      </c>
      <c r="W57" s="114"/>
      <c r="X57" s="131"/>
      <c r="Y57" s="131"/>
      <c r="AA57" s="10" cm="1">
        <f t="array" ref="AA57">IF(OR(AA$4=0, $G57&lt;&gt; $G$7, $E57=0), 'I&amp;E Monthly'!AA57, CHOOSE(Timeline!AA$30,$J57,$K57,$L57 )*INDEX('I&amp;E Profiles'!AA$96:AA$180,$I57))</f>
        <v>0</v>
      </c>
      <c r="AB57" s="10" cm="1">
        <f t="array" ref="AB57">IF(OR(AB$4=0, $G57&lt;&gt; $G$7, $E57=0), 'I&amp;E Monthly'!AB57, CHOOSE(Timeline!AB$30,$J57,$K57,$L57 )*INDEX('I&amp;E Profiles'!AB$96:AB$180,$I57))</f>
        <v>0</v>
      </c>
      <c r="AC57" s="10" cm="1">
        <f t="array" ref="AC57">IF(OR(AC$4=0, $G57&lt;&gt; $G$7, $E57=0), 'I&amp;E Monthly'!AC57, CHOOSE(Timeline!AC$30,$J57,$K57,$L57 )*INDEX('I&amp;E Profiles'!AC$96:AC$180,$I57))</f>
        <v>0</v>
      </c>
      <c r="AD57" s="10" cm="1">
        <f t="array" ref="AD57">IF(OR(AD$4=0, $G57&lt;&gt; $G$7, $E57=0), 'I&amp;E Monthly'!AD57, CHOOSE(Timeline!AD$30,$J57,$K57,$L57 )*INDEX('I&amp;E Profiles'!AD$96:AD$180,$I57))</f>
        <v>0</v>
      </c>
      <c r="AE57" s="10" cm="1">
        <f t="array" ref="AE57">IF(OR(AE$4=0, $G57&lt;&gt; $G$7, $E57=0), 'I&amp;E Monthly'!AE57, CHOOSE(Timeline!AE$30,$J57,$K57,$L57 )*INDEX('I&amp;E Profiles'!AE$96:AE$180,$I57))</f>
        <v>0</v>
      </c>
      <c r="AF57" s="10" cm="1">
        <f t="array" ref="AF57">IF(OR(AF$4=0, $G57&lt;&gt; $G$7, $E57=0), 'I&amp;E Monthly'!AF57, CHOOSE(Timeline!AF$30,$J57,$K57,$L57 )*INDEX('I&amp;E Profiles'!AF$96:AF$180,$I57))</f>
        <v>0</v>
      </c>
      <c r="AG57" s="10" cm="1">
        <f t="array" ref="AG57">IF(OR(AG$4=0, $G57&lt;&gt; $G$7, $E57=0), 'I&amp;E Monthly'!AG57, CHOOSE(Timeline!AG$30,$J57,$K57,$L57 )*INDEX('I&amp;E Profiles'!AG$96:AG$180,$I57))</f>
        <v>0</v>
      </c>
      <c r="AH57" s="10" cm="1">
        <f t="array" ref="AH57">IF(OR(AH$4=0, $G57&lt;&gt; $G$7, $E57=0), 'I&amp;E Monthly'!AH57, CHOOSE(Timeline!AH$30,$J57,$K57,$L57 )*INDEX('I&amp;E Profiles'!AH$96:AH$180,$I57))</f>
        <v>0</v>
      </c>
      <c r="AI57" s="10" cm="1">
        <f t="array" ref="AI57">IF(OR(AI$4=0, $G57&lt;&gt; $G$7, $E57=0), 'I&amp;E Monthly'!AI57, CHOOSE(Timeline!AI$30,$J57,$K57,$L57 )*INDEX('I&amp;E Profiles'!AI$96:AI$180,$I57))</f>
        <v>0</v>
      </c>
      <c r="AJ57" s="10" cm="1">
        <f t="array" ref="AJ57">IF(OR(AJ$4=0, $G57&lt;&gt; $G$7, $E57=0), 'I&amp;E Monthly'!AJ57, CHOOSE(Timeline!AJ$30,$J57,$K57,$L57 )*INDEX('I&amp;E Profiles'!AJ$96:AJ$180,$I57))</f>
        <v>0</v>
      </c>
      <c r="AK57" s="10" cm="1">
        <f t="array" ref="AK57">IF(OR(AK$4=0, $G57&lt;&gt; $G$7, $E57=0), 'I&amp;E Monthly'!AK57, CHOOSE(Timeline!AK$30,$J57,$K57,$L57 )*INDEX('I&amp;E Profiles'!AK$96:AK$180,$I57))</f>
        <v>0</v>
      </c>
      <c r="AL57" s="10" cm="1">
        <f t="array" ref="AL57">IF(OR(AL$4=0, $G57&lt;&gt; $G$7, $E57=0), 'I&amp;E Monthly'!AL57, CHOOSE(Timeline!AL$30,$J57,$K57,$L57 )*INDEX('I&amp;E Profiles'!AL$96:AL$180,$I57))</f>
        <v>0</v>
      </c>
      <c r="AM57" s="10" cm="1">
        <f t="array" ref="AM57">IF(OR(AM$4=0, $G57&lt;&gt; $G$7, $E57=0), 'I&amp;E Monthly'!AM57, CHOOSE(Timeline!AM$30,$J57,$K57,$L57 )*INDEX('I&amp;E Profiles'!AM$96:AM$180,$I57))</f>
        <v>0</v>
      </c>
      <c r="AN57" s="10" cm="1">
        <f t="array" ref="AN57">IF(OR(AN$4=0, $G57&lt;&gt; $G$7, $E57=0), 'I&amp;E Monthly'!AN57, CHOOSE(Timeline!AN$30,$J57,$K57,$L57 )*INDEX('I&amp;E Profiles'!AN$96:AN$180,$I57))</f>
        <v>0</v>
      </c>
      <c r="AO57" s="10" cm="1">
        <f t="array" ref="AO57">IF(OR(AO$4=0, $G57&lt;&gt; $G$7, $E57=0), 'I&amp;E Monthly'!AO57, CHOOSE(Timeline!AO$30,$J57,$K57,$L57 )*INDEX('I&amp;E Profiles'!AO$96:AO$180,$I57))</f>
        <v>0</v>
      </c>
      <c r="AP57" s="10" cm="1">
        <f t="array" ref="AP57">IF(OR(AP$4=0, $G57&lt;&gt; $G$7, $E57=0), 'I&amp;E Monthly'!AP57, CHOOSE(Timeline!AP$30,$J57,$K57,$L57 )*INDEX('I&amp;E Profiles'!AP$96:AP$180,$I57))</f>
        <v>0</v>
      </c>
      <c r="AQ57" s="10" cm="1">
        <f t="array" ref="AQ57">IF(OR(AQ$4=0, $G57&lt;&gt; $G$7, $E57=0), 'I&amp;E Monthly'!AQ57, CHOOSE(Timeline!AQ$30,$J57,$K57,$L57 )*INDEX('I&amp;E Profiles'!AQ$96:AQ$180,$I57))</f>
        <v>0</v>
      </c>
      <c r="AR57" s="10" cm="1">
        <f t="array" ref="AR57">IF(OR(AR$4=0, $G57&lt;&gt; $G$7, $E57=0), 'I&amp;E Monthly'!AR57, CHOOSE(Timeline!AR$30,$J57,$K57,$L57 )*INDEX('I&amp;E Profiles'!AR$96:AR$180,$I57))</f>
        <v>0</v>
      </c>
      <c r="AS57" s="10" cm="1">
        <f t="array" ref="AS57">IF(OR(AS$4=0, $G57&lt;&gt; $G$7, $E57=0), 'I&amp;E Monthly'!AS57, CHOOSE(Timeline!AS$30,$J57,$K57,$L57 )*INDEX('I&amp;E Profiles'!AS$96:AS$180,$I57))</f>
        <v>0</v>
      </c>
      <c r="AT57" s="10" cm="1">
        <f t="array" ref="AT57">IF(OR(AT$4=0, $G57&lt;&gt; $G$7, $E57=0), 'I&amp;E Monthly'!AT57, CHOOSE(Timeline!AT$30,$J57,$K57,$L57 )*INDEX('I&amp;E Profiles'!AT$96:AT$180,$I57))</f>
        <v>0</v>
      </c>
      <c r="AU57" s="10" cm="1">
        <f t="array" ref="AU57">IF(OR(AU$4=0, $G57&lt;&gt; $G$7, $E57=0), 'I&amp;E Monthly'!AU57, CHOOSE(Timeline!AU$30,$J57,$K57,$L57 )*INDEX('I&amp;E Profiles'!AU$96:AU$180,$I57))</f>
        <v>0</v>
      </c>
      <c r="AV57" s="10" cm="1">
        <f t="array" ref="AV57">IF(OR(AV$4=0, $G57&lt;&gt; $G$7, $E57=0), 'I&amp;E Monthly'!AV57, CHOOSE(Timeline!AV$30,$J57,$K57,$L57 )*INDEX('I&amp;E Profiles'!AV$96:AV$180,$I57))</f>
        <v>0</v>
      </c>
      <c r="AW57" s="10" cm="1">
        <f t="array" ref="AW57">IF(OR(AW$4=0, $G57&lt;&gt; $G$7, $E57=0), 'I&amp;E Monthly'!AW57, CHOOSE(Timeline!AW$30,$J57,$K57,$L57 )*INDEX('I&amp;E Profiles'!AW$96:AW$180,$I57))</f>
        <v>0</v>
      </c>
      <c r="AX57" s="10" cm="1">
        <f t="array" ref="AX57">IF(OR(AX$4=0, $G57&lt;&gt; $G$7, $E57=0), 'I&amp;E Monthly'!AX57, CHOOSE(Timeline!AX$30,$J57,$K57,$L57 )*INDEX('I&amp;E Profiles'!AX$96:AX$180,$I57))</f>
        <v>0</v>
      </c>
      <c r="AY57" s="10" cm="1">
        <f t="array" ref="AY57">IF(OR(AY$4=0, $G57&lt;&gt; $G$7, $E57=0), 'I&amp;E Monthly'!AY57, CHOOSE(Timeline!AY$30,$J57,$K57,$L57 )*INDEX('I&amp;E Profiles'!AY$96:AY$180,$I57))</f>
        <v>0</v>
      </c>
      <c r="AZ57" s="10" cm="1">
        <f t="array" ref="AZ57">IF(OR(AZ$4=0, $G57&lt;&gt; $G$7, $E57=0), 'I&amp;E Monthly'!AZ57, CHOOSE(Timeline!AZ$30,$J57,$K57,$L57 )*INDEX('I&amp;E Profiles'!AZ$96:AZ$180,$I57))</f>
        <v>0</v>
      </c>
      <c r="BA57" s="10" cm="1">
        <f t="array" ref="BA57">IF(OR(BA$4=0, $G57&lt;&gt; $G$7, $E57=0), 'I&amp;E Monthly'!BA57, CHOOSE(Timeline!BA$30,$J57,$K57,$L57 )*INDEX('I&amp;E Profiles'!BA$96:BA$180,$I57))</f>
        <v>0</v>
      </c>
      <c r="BB57" s="10" cm="1">
        <f t="array" ref="BB57">IF(OR(BB$4=0, $G57&lt;&gt; $G$7, $E57=0), 'I&amp;E Monthly'!BB57, CHOOSE(Timeline!BB$30,$J57,$K57,$L57 )*INDEX('I&amp;E Profiles'!BB$96:BB$180,$I57))</f>
        <v>0</v>
      </c>
      <c r="BC57" s="10" cm="1">
        <f t="array" ref="BC57">IF(OR(BC$4=0, $G57&lt;&gt; $G$7, $E57=0), 'I&amp;E Monthly'!BC57, CHOOSE(Timeline!BC$30,$J57,$K57,$L57 )*INDEX('I&amp;E Profiles'!BC$96:BC$180,$I57))</f>
        <v>0</v>
      </c>
      <c r="BD57" s="10" cm="1">
        <f t="array" ref="BD57">IF(OR(BD$4=0, $G57&lt;&gt; $G$7, $E57=0), 'I&amp;E Monthly'!BD57, CHOOSE(Timeline!BD$30,$J57,$K57,$L57 )*INDEX('I&amp;E Profiles'!BD$96:BD$180,$I57))</f>
        <v>0</v>
      </c>
      <c r="BE57" s="10" cm="1">
        <f t="array" ref="BE57">IF(OR(BE$4=0, $G57&lt;&gt; $G$7, $E57=0), 'I&amp;E Monthly'!BE57, CHOOSE(Timeline!BE$30,$J57,$K57,$L57 )*INDEX('I&amp;E Profiles'!BE$96:BE$180,$I57))</f>
        <v>0</v>
      </c>
      <c r="BF57" s="10" cm="1">
        <f t="array" ref="BF57">IF(OR(BF$4=0, $G57&lt;&gt; $G$7, $E57=0), 'I&amp;E Monthly'!BF57, CHOOSE(Timeline!BF$30,$J57,$K57,$L57 )*INDEX('I&amp;E Profiles'!BF$96:BF$180,$I57))</f>
        <v>0</v>
      </c>
      <c r="BG57" s="10" cm="1">
        <f t="array" ref="BG57">IF(OR(BG$4=0, $G57&lt;&gt; $G$7, $E57=0), 'I&amp;E Monthly'!BG57, CHOOSE(Timeline!BG$30,$J57,$K57,$L57 )*INDEX('I&amp;E Profiles'!BG$96:BG$180,$I57))</f>
        <v>0</v>
      </c>
      <c r="BH57" s="10" cm="1">
        <f t="array" ref="BH57">IF(OR(BH$4=0, $G57&lt;&gt; $G$7, $E57=0), 'I&amp;E Monthly'!BH57, CHOOSE(Timeline!BH$30,$J57,$K57,$L57 )*INDEX('I&amp;E Profiles'!BH$96:BH$180,$I57))</f>
        <v>0</v>
      </c>
      <c r="BI57" s="10" cm="1">
        <f t="array" ref="BI57">IF(OR(BI$4=0, $G57&lt;&gt; $G$7, $E57=0), 'I&amp;E Monthly'!BI57, CHOOSE(Timeline!BI$30,$J57,$K57,$L57 )*INDEX('I&amp;E Profiles'!BI$96:BI$180,$I57))</f>
        <v>0</v>
      </c>
      <c r="BJ57" s="10" cm="1">
        <f t="array" ref="BJ57">IF(OR(BJ$4=0, $G57&lt;&gt; $G$7, $E57=0), 'I&amp;E Monthly'!BJ57, CHOOSE(Timeline!BJ$30,$J57,$K57,$L57 )*INDEX('I&amp;E Profiles'!BJ$96:BJ$180,$I57))</f>
        <v>0</v>
      </c>
      <c r="BX57" s="12">
        <f>V57</f>
        <v>0</v>
      </c>
      <c r="BY57" s="10">
        <f t="shared" ref="BY57:CA59" si="59">SUMIFS($AA57:$BJ57, $AA$3:$BJ$3,BY$3)</f>
        <v>0</v>
      </c>
      <c r="BZ57" s="10">
        <f t="shared" si="59"/>
        <v>0</v>
      </c>
      <c r="CA57" s="10">
        <f t="shared" si="59"/>
        <v>0</v>
      </c>
      <c r="CB57" s="12">
        <f>'I&amp;E Monthly'!CB57</f>
        <v>0</v>
      </c>
      <c r="CC57" s="12">
        <f>'I&amp;E Monthly'!CC57</f>
        <v>0</v>
      </c>
      <c r="CD57" s="12">
        <f>'I&amp;E Monthly'!CD57</f>
        <v>0</v>
      </c>
      <c r="CE57" s="12">
        <f>'I&amp;E Monthly'!CE57</f>
        <v>0</v>
      </c>
      <c r="CF57" s="12">
        <f>'I&amp;E Monthly'!CF57</f>
        <v>0</v>
      </c>
      <c r="CG57" s="12">
        <f>'I&amp;E Monthly'!CG57</f>
        <v>0</v>
      </c>
      <c r="CH57" s="12">
        <f>'I&amp;E Monthly'!CH57</f>
        <v>0</v>
      </c>
      <c r="CI57" s="12">
        <f>'I&amp;E Monthly'!CI57</f>
        <v>0</v>
      </c>
      <c r="CK57" s="11"/>
      <c r="CL57" s="221">
        <f ca="1">IF(MIN($V57:$CI57)&lt;0, 1, 0)*$I$7</f>
        <v>0</v>
      </c>
      <c r="CM57" s="11"/>
      <c r="CN57" s="7">
        <f>IF(AND($G57=$G$7,$E57=""), 1, 0)</f>
        <v>0</v>
      </c>
      <c r="CO57" s="7" cm="1">
        <f t="array" ref="CO57">SUMPRODUCT(--NOT(ISNUMBER(W57:Y57)),--NOT(ISBLANK(W57:Y57)))</f>
        <v>0</v>
      </c>
      <c r="CP57" s="7" cm="1">
        <f t="array" ref="CP57">IF(E57="",0, IF(IFERROR(INDEX('I&amp;E Profiles'!$D$96:$D$180, $I57), "N/A")="N/A", 1, 0))</f>
        <v>0</v>
      </c>
      <c r="CQ57" s="7">
        <f>IF(SUM($CV57:$CX57)=0, 0, 1)</f>
        <v>0</v>
      </c>
      <c r="CS57" s="7">
        <f>IF(SUM($CY57:$DA57)=0, 0, 1)</f>
        <v>0</v>
      </c>
      <c r="CT57" s="7">
        <f t="shared" ref="CT57:CT61" si="60">IF(DB57=0, 0, 1)</f>
        <v>0</v>
      </c>
      <c r="CU57" s="11"/>
      <c r="CV57" s="215">
        <f t="shared" ref="CV57:CX61" si="61">IF($G57=$G$7, ROUND(W57-SUMIFS($AA57:$BJ57, $AA$3:$BJ$3, W$3), rounding), 0)</f>
        <v>0</v>
      </c>
      <c r="CW57" s="215">
        <f t="shared" si="61"/>
        <v>0</v>
      </c>
      <c r="CX57" s="215">
        <f t="shared" si="61"/>
        <v>0</v>
      </c>
      <c r="CY57" s="215">
        <f>ROUND($BY57-SUMIFS($AA57:$BJ57, $AA$3:$BJ$3, $BY$3), rounding)</f>
        <v>0</v>
      </c>
      <c r="CZ57" s="215">
        <f>ROUND($BZ57-SUMIFS($AA57:$BJ57, $AA$3:$BJ$3, $BZ$3), rounding)</f>
        <v>0</v>
      </c>
      <c r="DA57" s="215">
        <f>ROUND($CA57-SUMIFS($AA57:$BJ57, $AA$3:$BJ$3, $CA$3), rounding)</f>
        <v>0</v>
      </c>
      <c r="DB57" s="215">
        <f>ROUND($V57-$BX57, rounding)</f>
        <v>0</v>
      </c>
      <c r="FN57" s="10"/>
    </row>
    <row r="58" spans="1:170" x14ac:dyDescent="0.35">
      <c r="A58" s="220" cm="1">
        <f t="array" aca="1" ref="A58" ca="1">HYPERLINK(CONCATENATE("#",CELL("address",IF(MAX($CM58:$CU58)=0,A58,INDEX($CM58:$CU58,MATCH(1,$CM58:$CU58,0))))),MAX($CM58:$CU58))</f>
        <v>0</v>
      </c>
      <c r="C58" s="213" t="s">
        <v>512</v>
      </c>
      <c r="D58" s="57" t="s">
        <v>360</v>
      </c>
      <c r="E58" s="114"/>
      <c r="F58" s="79" t="str" cm="1">
        <f t="array" aca="1" ref="F58" ca="1">IF(E58="", "", HYPERLINK(CONCATENATE("#",CELL("address",INDEX('I&amp;E Profiles'!$D$9:$D$93,'I&amp;E Annual'!I58))),E58))</f>
        <v/>
      </c>
      <c r="G58" s="114"/>
      <c r="H58" t="s">
        <v>317</v>
      </c>
      <c r="I58" s="132" t="str">
        <f>IF(E58="", "", MATCH(E58, 'I&amp;E Profiles'!$D$96:$D$180,0))</f>
        <v/>
      </c>
      <c r="J58" s="133">
        <f>IF($G58=$G$7, W58,'I&amp;E Monthly'!W58)-SUMIFS('I&amp;E Monthly'!$AA58:$BJ58, 'I&amp;E Monthly'!$AA$3:$BJ$3, 'I&amp;E Annual'!W$3, 'I&amp;E Monthly'!$AA$4:$BJ$4, 0)</f>
        <v>0</v>
      </c>
      <c r="K58" s="133">
        <f>IF($G58=$G$7, X58,'I&amp;E Monthly'!X58)-SUMIFS('I&amp;E Monthly'!$AA58:$BJ58, 'I&amp;E Monthly'!$AA$3:$BJ$3, 'I&amp;E Annual'!X$3, 'I&amp;E Monthly'!$AA$4:$BJ$4, 0)</f>
        <v>0</v>
      </c>
      <c r="L58" s="133">
        <f>IF($G58=$G$7, Y58,'I&amp;E Monthly'!Y58)-SUMIFS('I&amp;E Monthly'!$AA58:$BJ58, 'I&amp;E Monthly'!$AA$3:$BJ$3, 'I&amp;E Annual'!Y$3, 'I&amp;E Monthly'!$AA$4:$BJ$4, 0)</f>
        <v>0</v>
      </c>
      <c r="Q58" s="2"/>
      <c r="V58" s="133">
        <f>'I&amp;E Monthly'!V58</f>
        <v>0</v>
      </c>
      <c r="W58" s="114"/>
      <c r="X58" s="131"/>
      <c r="Y58" s="131"/>
      <c r="AA58" s="10" cm="1">
        <f t="array" ref="AA58">IF(OR(AA$4=0, $G58&lt;&gt; $G$7, $E58=0), 'I&amp;E Monthly'!AA58, CHOOSE(Timeline!AA$30,$J58,$K58,$L58 )*INDEX('I&amp;E Profiles'!AA$96:AA$180,$I58))</f>
        <v>0</v>
      </c>
      <c r="AB58" s="10" cm="1">
        <f t="array" ref="AB58">IF(OR(AB$4=0, $G58&lt;&gt; $G$7, $E58=0), 'I&amp;E Monthly'!AB58, CHOOSE(Timeline!AB$30,$J58,$K58,$L58 )*INDEX('I&amp;E Profiles'!AB$96:AB$180,$I58))</f>
        <v>0</v>
      </c>
      <c r="AC58" s="10" cm="1">
        <f t="array" ref="AC58">IF(OR(AC$4=0, $G58&lt;&gt; $G$7, $E58=0), 'I&amp;E Monthly'!AC58, CHOOSE(Timeline!AC$30,$J58,$K58,$L58 )*INDEX('I&amp;E Profiles'!AC$96:AC$180,$I58))</f>
        <v>0</v>
      </c>
      <c r="AD58" s="10" cm="1">
        <f t="array" ref="AD58">IF(OR(AD$4=0, $G58&lt;&gt; $G$7, $E58=0), 'I&amp;E Monthly'!AD58, CHOOSE(Timeline!AD$30,$J58,$K58,$L58 )*INDEX('I&amp;E Profiles'!AD$96:AD$180,$I58))</f>
        <v>0</v>
      </c>
      <c r="AE58" s="10" cm="1">
        <f t="array" ref="AE58">IF(OR(AE$4=0, $G58&lt;&gt; $G$7, $E58=0), 'I&amp;E Monthly'!AE58, CHOOSE(Timeline!AE$30,$J58,$K58,$L58 )*INDEX('I&amp;E Profiles'!AE$96:AE$180,$I58))</f>
        <v>0</v>
      </c>
      <c r="AF58" s="10" cm="1">
        <f t="array" ref="AF58">IF(OR(AF$4=0, $G58&lt;&gt; $G$7, $E58=0), 'I&amp;E Monthly'!AF58, CHOOSE(Timeline!AF$30,$J58,$K58,$L58 )*INDEX('I&amp;E Profiles'!AF$96:AF$180,$I58))</f>
        <v>0</v>
      </c>
      <c r="AG58" s="10" cm="1">
        <f t="array" ref="AG58">IF(OR(AG$4=0, $G58&lt;&gt; $G$7, $E58=0), 'I&amp;E Monthly'!AG58, CHOOSE(Timeline!AG$30,$J58,$K58,$L58 )*INDEX('I&amp;E Profiles'!AG$96:AG$180,$I58))</f>
        <v>0</v>
      </c>
      <c r="AH58" s="10" cm="1">
        <f t="array" ref="AH58">IF(OR(AH$4=0, $G58&lt;&gt; $G$7, $E58=0), 'I&amp;E Monthly'!AH58, CHOOSE(Timeline!AH$30,$J58,$K58,$L58 )*INDEX('I&amp;E Profiles'!AH$96:AH$180,$I58))</f>
        <v>0</v>
      </c>
      <c r="AI58" s="10" cm="1">
        <f t="array" ref="AI58">IF(OR(AI$4=0, $G58&lt;&gt; $G$7, $E58=0), 'I&amp;E Monthly'!AI58, CHOOSE(Timeline!AI$30,$J58,$K58,$L58 )*INDEX('I&amp;E Profiles'!AI$96:AI$180,$I58))</f>
        <v>0</v>
      </c>
      <c r="AJ58" s="10" cm="1">
        <f t="array" ref="AJ58">IF(OR(AJ$4=0, $G58&lt;&gt; $G$7, $E58=0), 'I&amp;E Monthly'!AJ58, CHOOSE(Timeline!AJ$30,$J58,$K58,$L58 )*INDEX('I&amp;E Profiles'!AJ$96:AJ$180,$I58))</f>
        <v>0</v>
      </c>
      <c r="AK58" s="10" cm="1">
        <f t="array" ref="AK58">IF(OR(AK$4=0, $G58&lt;&gt; $G$7, $E58=0), 'I&amp;E Monthly'!AK58, CHOOSE(Timeline!AK$30,$J58,$K58,$L58 )*INDEX('I&amp;E Profiles'!AK$96:AK$180,$I58))</f>
        <v>0</v>
      </c>
      <c r="AL58" s="10" cm="1">
        <f t="array" ref="AL58">IF(OR(AL$4=0, $G58&lt;&gt; $G$7, $E58=0), 'I&amp;E Monthly'!AL58, CHOOSE(Timeline!AL$30,$J58,$K58,$L58 )*INDEX('I&amp;E Profiles'!AL$96:AL$180,$I58))</f>
        <v>0</v>
      </c>
      <c r="AM58" s="10" cm="1">
        <f t="array" ref="AM58">IF(OR(AM$4=0, $G58&lt;&gt; $G$7, $E58=0), 'I&amp;E Monthly'!AM58, CHOOSE(Timeline!AM$30,$J58,$K58,$L58 )*INDEX('I&amp;E Profiles'!AM$96:AM$180,$I58))</f>
        <v>0</v>
      </c>
      <c r="AN58" s="10" cm="1">
        <f t="array" ref="AN58">IF(OR(AN$4=0, $G58&lt;&gt; $G$7, $E58=0), 'I&amp;E Monthly'!AN58, CHOOSE(Timeline!AN$30,$J58,$K58,$L58 )*INDEX('I&amp;E Profiles'!AN$96:AN$180,$I58))</f>
        <v>0</v>
      </c>
      <c r="AO58" s="10" cm="1">
        <f t="array" ref="AO58">IF(OR(AO$4=0, $G58&lt;&gt; $G$7, $E58=0), 'I&amp;E Monthly'!AO58, CHOOSE(Timeline!AO$30,$J58,$K58,$L58 )*INDEX('I&amp;E Profiles'!AO$96:AO$180,$I58))</f>
        <v>0</v>
      </c>
      <c r="AP58" s="10" cm="1">
        <f t="array" ref="AP58">IF(OR(AP$4=0, $G58&lt;&gt; $G$7, $E58=0), 'I&amp;E Monthly'!AP58, CHOOSE(Timeline!AP$30,$J58,$K58,$L58 )*INDEX('I&amp;E Profiles'!AP$96:AP$180,$I58))</f>
        <v>0</v>
      </c>
      <c r="AQ58" s="10" cm="1">
        <f t="array" ref="AQ58">IF(OR(AQ$4=0, $G58&lt;&gt; $G$7, $E58=0), 'I&amp;E Monthly'!AQ58, CHOOSE(Timeline!AQ$30,$J58,$K58,$L58 )*INDEX('I&amp;E Profiles'!AQ$96:AQ$180,$I58))</f>
        <v>0</v>
      </c>
      <c r="AR58" s="10" cm="1">
        <f t="array" ref="AR58">IF(OR(AR$4=0, $G58&lt;&gt; $G$7, $E58=0), 'I&amp;E Monthly'!AR58, CHOOSE(Timeline!AR$30,$J58,$K58,$L58 )*INDEX('I&amp;E Profiles'!AR$96:AR$180,$I58))</f>
        <v>0</v>
      </c>
      <c r="AS58" s="10" cm="1">
        <f t="array" ref="AS58">IF(OR(AS$4=0, $G58&lt;&gt; $G$7, $E58=0), 'I&amp;E Monthly'!AS58, CHOOSE(Timeline!AS$30,$J58,$K58,$L58 )*INDEX('I&amp;E Profiles'!AS$96:AS$180,$I58))</f>
        <v>0</v>
      </c>
      <c r="AT58" s="10" cm="1">
        <f t="array" ref="AT58">IF(OR(AT$4=0, $G58&lt;&gt; $G$7, $E58=0), 'I&amp;E Monthly'!AT58, CHOOSE(Timeline!AT$30,$J58,$K58,$L58 )*INDEX('I&amp;E Profiles'!AT$96:AT$180,$I58))</f>
        <v>0</v>
      </c>
      <c r="AU58" s="10" cm="1">
        <f t="array" ref="AU58">IF(OR(AU$4=0, $G58&lt;&gt; $G$7, $E58=0), 'I&amp;E Monthly'!AU58, CHOOSE(Timeline!AU$30,$J58,$K58,$L58 )*INDEX('I&amp;E Profiles'!AU$96:AU$180,$I58))</f>
        <v>0</v>
      </c>
      <c r="AV58" s="10" cm="1">
        <f t="array" ref="AV58">IF(OR(AV$4=0, $G58&lt;&gt; $G$7, $E58=0), 'I&amp;E Monthly'!AV58, CHOOSE(Timeline!AV$30,$J58,$K58,$L58 )*INDEX('I&amp;E Profiles'!AV$96:AV$180,$I58))</f>
        <v>0</v>
      </c>
      <c r="AW58" s="10" cm="1">
        <f t="array" ref="AW58">IF(OR(AW$4=0, $G58&lt;&gt; $G$7, $E58=0), 'I&amp;E Monthly'!AW58, CHOOSE(Timeline!AW$30,$J58,$K58,$L58 )*INDEX('I&amp;E Profiles'!AW$96:AW$180,$I58))</f>
        <v>0</v>
      </c>
      <c r="AX58" s="10" cm="1">
        <f t="array" ref="AX58">IF(OR(AX$4=0, $G58&lt;&gt; $G$7, $E58=0), 'I&amp;E Monthly'!AX58, CHOOSE(Timeline!AX$30,$J58,$K58,$L58 )*INDEX('I&amp;E Profiles'!AX$96:AX$180,$I58))</f>
        <v>0</v>
      </c>
      <c r="AY58" s="10" cm="1">
        <f t="array" ref="AY58">IF(OR(AY$4=0, $G58&lt;&gt; $G$7, $E58=0), 'I&amp;E Monthly'!AY58, CHOOSE(Timeline!AY$30,$J58,$K58,$L58 )*INDEX('I&amp;E Profiles'!AY$96:AY$180,$I58))</f>
        <v>0</v>
      </c>
      <c r="AZ58" s="10" cm="1">
        <f t="array" ref="AZ58">IF(OR(AZ$4=0, $G58&lt;&gt; $G$7, $E58=0), 'I&amp;E Monthly'!AZ58, CHOOSE(Timeline!AZ$30,$J58,$K58,$L58 )*INDEX('I&amp;E Profiles'!AZ$96:AZ$180,$I58))</f>
        <v>0</v>
      </c>
      <c r="BA58" s="10" cm="1">
        <f t="array" ref="BA58">IF(OR(BA$4=0, $G58&lt;&gt; $G$7, $E58=0), 'I&amp;E Monthly'!BA58, CHOOSE(Timeline!BA$30,$J58,$K58,$L58 )*INDEX('I&amp;E Profiles'!BA$96:BA$180,$I58))</f>
        <v>0</v>
      </c>
      <c r="BB58" s="10" cm="1">
        <f t="array" ref="BB58">IF(OR(BB$4=0, $G58&lt;&gt; $G$7, $E58=0), 'I&amp;E Monthly'!BB58, CHOOSE(Timeline!BB$30,$J58,$K58,$L58 )*INDEX('I&amp;E Profiles'!BB$96:BB$180,$I58))</f>
        <v>0</v>
      </c>
      <c r="BC58" s="10" cm="1">
        <f t="array" ref="BC58">IF(OR(BC$4=0, $G58&lt;&gt; $G$7, $E58=0), 'I&amp;E Monthly'!BC58, CHOOSE(Timeline!BC$30,$J58,$K58,$L58 )*INDEX('I&amp;E Profiles'!BC$96:BC$180,$I58))</f>
        <v>0</v>
      </c>
      <c r="BD58" s="10" cm="1">
        <f t="array" ref="BD58">IF(OR(BD$4=0, $G58&lt;&gt; $G$7, $E58=0), 'I&amp;E Monthly'!BD58, CHOOSE(Timeline!BD$30,$J58,$K58,$L58 )*INDEX('I&amp;E Profiles'!BD$96:BD$180,$I58))</f>
        <v>0</v>
      </c>
      <c r="BE58" s="10" cm="1">
        <f t="array" ref="BE58">IF(OR(BE$4=0, $G58&lt;&gt; $G$7, $E58=0), 'I&amp;E Monthly'!BE58, CHOOSE(Timeline!BE$30,$J58,$K58,$L58 )*INDEX('I&amp;E Profiles'!BE$96:BE$180,$I58))</f>
        <v>0</v>
      </c>
      <c r="BF58" s="10" cm="1">
        <f t="array" ref="BF58">IF(OR(BF$4=0, $G58&lt;&gt; $G$7, $E58=0), 'I&amp;E Monthly'!BF58, CHOOSE(Timeline!BF$30,$J58,$K58,$L58 )*INDEX('I&amp;E Profiles'!BF$96:BF$180,$I58))</f>
        <v>0</v>
      </c>
      <c r="BG58" s="10" cm="1">
        <f t="array" ref="BG58">IF(OR(BG$4=0, $G58&lt;&gt; $G$7, $E58=0), 'I&amp;E Monthly'!BG58, CHOOSE(Timeline!BG$30,$J58,$K58,$L58 )*INDEX('I&amp;E Profiles'!BG$96:BG$180,$I58))</f>
        <v>0</v>
      </c>
      <c r="BH58" s="10" cm="1">
        <f t="array" ref="BH58">IF(OR(BH$4=0, $G58&lt;&gt; $G$7, $E58=0), 'I&amp;E Monthly'!BH58, CHOOSE(Timeline!BH$30,$J58,$K58,$L58 )*INDEX('I&amp;E Profiles'!BH$96:BH$180,$I58))</f>
        <v>0</v>
      </c>
      <c r="BI58" s="10" cm="1">
        <f t="array" ref="BI58">IF(OR(BI$4=0, $G58&lt;&gt; $G$7, $E58=0), 'I&amp;E Monthly'!BI58, CHOOSE(Timeline!BI$30,$J58,$K58,$L58 )*INDEX('I&amp;E Profiles'!BI$96:BI$180,$I58))</f>
        <v>0</v>
      </c>
      <c r="BJ58" s="10" cm="1">
        <f t="array" ref="BJ58">IF(OR(BJ$4=0, $G58&lt;&gt; $G$7, $E58=0), 'I&amp;E Monthly'!BJ58, CHOOSE(Timeline!BJ$30,$J58,$K58,$L58 )*INDEX('I&amp;E Profiles'!BJ$96:BJ$180,$I58))</f>
        <v>0</v>
      </c>
      <c r="BX58" s="12">
        <f>V58</f>
        <v>0</v>
      </c>
      <c r="BY58" s="10">
        <f t="shared" si="59"/>
        <v>0</v>
      </c>
      <c r="BZ58" s="10">
        <f t="shared" si="59"/>
        <v>0</v>
      </c>
      <c r="CA58" s="10">
        <f t="shared" si="59"/>
        <v>0</v>
      </c>
      <c r="CB58" s="12">
        <f>'I&amp;E Monthly'!CB58</f>
        <v>0</v>
      </c>
      <c r="CC58" s="12">
        <f>'I&amp;E Monthly'!CC58</f>
        <v>0</v>
      </c>
      <c r="CD58" s="12">
        <f>'I&amp;E Monthly'!CD58</f>
        <v>0</v>
      </c>
      <c r="CE58" s="12">
        <f>'I&amp;E Monthly'!CE58</f>
        <v>0</v>
      </c>
      <c r="CF58" s="12">
        <f>'I&amp;E Monthly'!CF58</f>
        <v>0</v>
      </c>
      <c r="CG58" s="12">
        <f>'I&amp;E Monthly'!CG58</f>
        <v>0</v>
      </c>
      <c r="CH58" s="12">
        <f>'I&amp;E Monthly'!CH58</f>
        <v>0</v>
      </c>
      <c r="CI58" s="12">
        <f>'I&amp;E Monthly'!CI58</f>
        <v>0</v>
      </c>
      <c r="CK58" s="11"/>
      <c r="CL58" s="221">
        <f ca="1">IF(MIN($V58:$CI58)&lt;0, 1, 0)*$I$7</f>
        <v>0</v>
      </c>
      <c r="CM58" s="11"/>
      <c r="CN58" s="7">
        <f>IF(AND($G58=$G$7,$E58=""), 1, 0)</f>
        <v>0</v>
      </c>
      <c r="CO58" s="7" cm="1">
        <f t="array" ref="CO58">SUMPRODUCT(--NOT(ISNUMBER(W58:Y58)),--NOT(ISBLANK(W58:Y58)))</f>
        <v>0</v>
      </c>
      <c r="CP58" s="7" cm="1">
        <f t="array" ref="CP58">IF(E58="",0, IF(IFERROR(INDEX('I&amp;E Profiles'!$D$96:$D$180, $I58), "N/A")="N/A", 1, 0))</f>
        <v>0</v>
      </c>
      <c r="CQ58" s="7">
        <f>IF(SUM($CV58:$CX58)=0, 0, 1)</f>
        <v>0</v>
      </c>
      <c r="CS58" s="7">
        <f>IF(SUM($CY58:$DA58)=0, 0, 1)</f>
        <v>0</v>
      </c>
      <c r="CT58" s="7">
        <f t="shared" si="60"/>
        <v>0</v>
      </c>
      <c r="CU58" s="11"/>
      <c r="CV58" s="215">
        <f t="shared" si="61"/>
        <v>0</v>
      </c>
      <c r="CW58" s="215">
        <f t="shared" si="61"/>
        <v>0</v>
      </c>
      <c r="CX58" s="215">
        <f t="shared" si="61"/>
        <v>0</v>
      </c>
      <c r="CY58" s="215">
        <f>ROUND($BY58-SUMIFS($AA58:$BJ58, $AA$3:$BJ$3, $BY$3), rounding)</f>
        <v>0</v>
      </c>
      <c r="CZ58" s="215">
        <f>ROUND($BZ58-SUMIFS($AA58:$BJ58, $AA$3:$BJ$3, $BZ$3), rounding)</f>
        <v>0</v>
      </c>
      <c r="DA58" s="215">
        <f>ROUND($CA58-SUMIFS($AA58:$BJ58, $AA$3:$BJ$3, $CA$3), rounding)</f>
        <v>0</v>
      </c>
      <c r="DB58" s="215">
        <f>ROUND($V58-$BX58, rounding)</f>
        <v>0</v>
      </c>
      <c r="FN58" s="10"/>
    </row>
    <row r="59" spans="1:170" x14ac:dyDescent="0.35">
      <c r="A59" s="220" cm="1">
        <f t="array" aca="1" ref="A59" ca="1">HYPERLINK(CONCATENATE("#",CELL("address",IF(MAX($CM59:$CU59)=0,A59,INDEX($CM59:$CU59,MATCH(1,$CM59:$CU59,0))))),MAX($CM59:$CU59))</f>
        <v>0</v>
      </c>
      <c r="C59" s="213" t="s">
        <v>513</v>
      </c>
      <c r="D59" s="57" t="s">
        <v>362</v>
      </c>
      <c r="E59" s="114"/>
      <c r="F59" s="79" t="str" cm="1">
        <f t="array" aca="1" ref="F59" ca="1">IF(E59="", "", HYPERLINK(CONCATENATE("#",CELL("address",INDEX('I&amp;E Profiles'!$D$9:$D$93,'I&amp;E Annual'!I59))),E59))</f>
        <v/>
      </c>
      <c r="G59" s="114"/>
      <c r="H59" t="s">
        <v>317</v>
      </c>
      <c r="I59" s="132" t="str">
        <f>IF(E59="", "", MATCH(E59, 'I&amp;E Profiles'!$D$96:$D$180,0))</f>
        <v/>
      </c>
      <c r="J59" s="133">
        <f>IF($G59=$G$7, W59,'I&amp;E Monthly'!W59)-SUMIFS('I&amp;E Monthly'!$AA59:$BJ59, 'I&amp;E Monthly'!$AA$3:$BJ$3, 'I&amp;E Annual'!W$3, 'I&amp;E Monthly'!$AA$4:$BJ$4, 0)</f>
        <v>0</v>
      </c>
      <c r="K59" s="133">
        <f>IF($G59=$G$7, X59,'I&amp;E Monthly'!X59)-SUMIFS('I&amp;E Monthly'!$AA59:$BJ59, 'I&amp;E Monthly'!$AA$3:$BJ$3, 'I&amp;E Annual'!X$3, 'I&amp;E Monthly'!$AA$4:$BJ$4, 0)</f>
        <v>0</v>
      </c>
      <c r="L59" s="133">
        <f>IF($G59=$G$7, Y59,'I&amp;E Monthly'!Y59)-SUMIFS('I&amp;E Monthly'!$AA59:$BJ59, 'I&amp;E Monthly'!$AA$3:$BJ$3, 'I&amp;E Annual'!Y$3, 'I&amp;E Monthly'!$AA$4:$BJ$4, 0)</f>
        <v>0</v>
      </c>
      <c r="Q59" s="2"/>
      <c r="V59" s="133">
        <f>'I&amp;E Monthly'!V59</f>
        <v>0</v>
      </c>
      <c r="W59" s="114"/>
      <c r="X59" s="131"/>
      <c r="Y59" s="131"/>
      <c r="AA59" s="10" cm="1">
        <f t="array" ref="AA59">IF(OR(AA$4=0, $G59&lt;&gt; $G$7, $E59=0), 'I&amp;E Monthly'!AA59, CHOOSE(Timeline!AA$30,$J59,$K59,$L59 )*INDEX('I&amp;E Profiles'!AA$96:AA$180,$I59))</f>
        <v>0</v>
      </c>
      <c r="AB59" s="10" cm="1">
        <f t="array" ref="AB59">IF(OR(AB$4=0, $G59&lt;&gt; $G$7, $E59=0), 'I&amp;E Monthly'!AB59, CHOOSE(Timeline!AB$30,$J59,$K59,$L59 )*INDEX('I&amp;E Profiles'!AB$96:AB$180,$I59))</f>
        <v>0</v>
      </c>
      <c r="AC59" s="10" cm="1">
        <f t="array" ref="AC59">IF(OR(AC$4=0, $G59&lt;&gt; $G$7, $E59=0), 'I&amp;E Monthly'!AC59, CHOOSE(Timeline!AC$30,$J59,$K59,$L59 )*INDEX('I&amp;E Profiles'!AC$96:AC$180,$I59))</f>
        <v>0</v>
      </c>
      <c r="AD59" s="10" cm="1">
        <f t="array" ref="AD59">IF(OR(AD$4=0, $G59&lt;&gt; $G$7, $E59=0), 'I&amp;E Monthly'!AD59, CHOOSE(Timeline!AD$30,$J59,$K59,$L59 )*INDEX('I&amp;E Profiles'!AD$96:AD$180,$I59))</f>
        <v>0</v>
      </c>
      <c r="AE59" s="10" cm="1">
        <f t="array" ref="AE59">IF(OR(AE$4=0, $G59&lt;&gt; $G$7, $E59=0), 'I&amp;E Monthly'!AE59, CHOOSE(Timeline!AE$30,$J59,$K59,$L59 )*INDEX('I&amp;E Profiles'!AE$96:AE$180,$I59))</f>
        <v>0</v>
      </c>
      <c r="AF59" s="10" cm="1">
        <f t="array" ref="AF59">IF(OR(AF$4=0, $G59&lt;&gt; $G$7, $E59=0), 'I&amp;E Monthly'!AF59, CHOOSE(Timeline!AF$30,$J59,$K59,$L59 )*INDEX('I&amp;E Profiles'!AF$96:AF$180,$I59))</f>
        <v>0</v>
      </c>
      <c r="AG59" s="10" cm="1">
        <f t="array" ref="AG59">IF(OR(AG$4=0, $G59&lt;&gt; $G$7, $E59=0), 'I&amp;E Monthly'!AG59, CHOOSE(Timeline!AG$30,$J59,$K59,$L59 )*INDEX('I&amp;E Profiles'!AG$96:AG$180,$I59))</f>
        <v>0</v>
      </c>
      <c r="AH59" s="10" cm="1">
        <f t="array" ref="AH59">IF(OR(AH$4=0, $G59&lt;&gt; $G$7, $E59=0), 'I&amp;E Monthly'!AH59, CHOOSE(Timeline!AH$30,$J59,$K59,$L59 )*INDEX('I&amp;E Profiles'!AH$96:AH$180,$I59))</f>
        <v>0</v>
      </c>
      <c r="AI59" s="10" cm="1">
        <f t="array" ref="AI59">IF(OR(AI$4=0, $G59&lt;&gt; $G$7, $E59=0), 'I&amp;E Monthly'!AI59, CHOOSE(Timeline!AI$30,$J59,$K59,$L59 )*INDEX('I&amp;E Profiles'!AI$96:AI$180,$I59))</f>
        <v>0</v>
      </c>
      <c r="AJ59" s="10" cm="1">
        <f t="array" ref="AJ59">IF(OR(AJ$4=0, $G59&lt;&gt; $G$7, $E59=0), 'I&amp;E Monthly'!AJ59, CHOOSE(Timeline!AJ$30,$J59,$K59,$L59 )*INDEX('I&amp;E Profiles'!AJ$96:AJ$180,$I59))</f>
        <v>0</v>
      </c>
      <c r="AK59" s="10" cm="1">
        <f t="array" ref="AK59">IF(OR(AK$4=0, $G59&lt;&gt; $G$7, $E59=0), 'I&amp;E Monthly'!AK59, CHOOSE(Timeline!AK$30,$J59,$K59,$L59 )*INDEX('I&amp;E Profiles'!AK$96:AK$180,$I59))</f>
        <v>0</v>
      </c>
      <c r="AL59" s="10" cm="1">
        <f t="array" ref="AL59">IF(OR(AL$4=0, $G59&lt;&gt; $G$7, $E59=0), 'I&amp;E Monthly'!AL59, CHOOSE(Timeline!AL$30,$J59,$K59,$L59 )*INDEX('I&amp;E Profiles'!AL$96:AL$180,$I59))</f>
        <v>0</v>
      </c>
      <c r="AM59" s="10" cm="1">
        <f t="array" ref="AM59">IF(OR(AM$4=0, $G59&lt;&gt; $G$7, $E59=0), 'I&amp;E Monthly'!AM59, CHOOSE(Timeline!AM$30,$J59,$K59,$L59 )*INDEX('I&amp;E Profiles'!AM$96:AM$180,$I59))</f>
        <v>0</v>
      </c>
      <c r="AN59" s="10" cm="1">
        <f t="array" ref="AN59">IF(OR(AN$4=0, $G59&lt;&gt; $G$7, $E59=0), 'I&amp;E Monthly'!AN59, CHOOSE(Timeline!AN$30,$J59,$K59,$L59 )*INDEX('I&amp;E Profiles'!AN$96:AN$180,$I59))</f>
        <v>0</v>
      </c>
      <c r="AO59" s="10" cm="1">
        <f t="array" ref="AO59">IF(OR(AO$4=0, $G59&lt;&gt; $G$7, $E59=0), 'I&amp;E Monthly'!AO59, CHOOSE(Timeline!AO$30,$J59,$K59,$L59 )*INDEX('I&amp;E Profiles'!AO$96:AO$180,$I59))</f>
        <v>0</v>
      </c>
      <c r="AP59" s="10" cm="1">
        <f t="array" ref="AP59">IF(OR(AP$4=0, $G59&lt;&gt; $G$7, $E59=0), 'I&amp;E Monthly'!AP59, CHOOSE(Timeline!AP$30,$J59,$K59,$L59 )*INDEX('I&amp;E Profiles'!AP$96:AP$180,$I59))</f>
        <v>0</v>
      </c>
      <c r="AQ59" s="10" cm="1">
        <f t="array" ref="AQ59">IF(OR(AQ$4=0, $G59&lt;&gt; $G$7, $E59=0), 'I&amp;E Monthly'!AQ59, CHOOSE(Timeline!AQ$30,$J59,$K59,$L59 )*INDEX('I&amp;E Profiles'!AQ$96:AQ$180,$I59))</f>
        <v>0</v>
      </c>
      <c r="AR59" s="10" cm="1">
        <f t="array" ref="AR59">IF(OR(AR$4=0, $G59&lt;&gt; $G$7, $E59=0), 'I&amp;E Monthly'!AR59, CHOOSE(Timeline!AR$30,$J59,$K59,$L59 )*INDEX('I&amp;E Profiles'!AR$96:AR$180,$I59))</f>
        <v>0</v>
      </c>
      <c r="AS59" s="10" cm="1">
        <f t="array" ref="AS59">IF(OR(AS$4=0, $G59&lt;&gt; $G$7, $E59=0), 'I&amp;E Monthly'!AS59, CHOOSE(Timeline!AS$30,$J59,$K59,$L59 )*INDEX('I&amp;E Profiles'!AS$96:AS$180,$I59))</f>
        <v>0</v>
      </c>
      <c r="AT59" s="10" cm="1">
        <f t="array" ref="AT59">IF(OR(AT$4=0, $G59&lt;&gt; $G$7, $E59=0), 'I&amp;E Monthly'!AT59, CHOOSE(Timeline!AT$30,$J59,$K59,$L59 )*INDEX('I&amp;E Profiles'!AT$96:AT$180,$I59))</f>
        <v>0</v>
      </c>
      <c r="AU59" s="10" cm="1">
        <f t="array" ref="AU59">IF(OR(AU$4=0, $G59&lt;&gt; $G$7, $E59=0), 'I&amp;E Monthly'!AU59, CHOOSE(Timeline!AU$30,$J59,$K59,$L59 )*INDEX('I&amp;E Profiles'!AU$96:AU$180,$I59))</f>
        <v>0</v>
      </c>
      <c r="AV59" s="10" cm="1">
        <f t="array" ref="AV59">IF(OR(AV$4=0, $G59&lt;&gt; $G$7, $E59=0), 'I&amp;E Monthly'!AV59, CHOOSE(Timeline!AV$30,$J59,$K59,$L59 )*INDEX('I&amp;E Profiles'!AV$96:AV$180,$I59))</f>
        <v>0</v>
      </c>
      <c r="AW59" s="10" cm="1">
        <f t="array" ref="AW59">IF(OR(AW$4=0, $G59&lt;&gt; $G$7, $E59=0), 'I&amp;E Monthly'!AW59, CHOOSE(Timeline!AW$30,$J59,$K59,$L59 )*INDEX('I&amp;E Profiles'!AW$96:AW$180,$I59))</f>
        <v>0</v>
      </c>
      <c r="AX59" s="10" cm="1">
        <f t="array" ref="AX59">IF(OR(AX$4=0, $G59&lt;&gt; $G$7, $E59=0), 'I&amp;E Monthly'!AX59, CHOOSE(Timeline!AX$30,$J59,$K59,$L59 )*INDEX('I&amp;E Profiles'!AX$96:AX$180,$I59))</f>
        <v>0</v>
      </c>
      <c r="AY59" s="10" cm="1">
        <f t="array" ref="AY59">IF(OR(AY$4=0, $G59&lt;&gt; $G$7, $E59=0), 'I&amp;E Monthly'!AY59, CHOOSE(Timeline!AY$30,$J59,$K59,$L59 )*INDEX('I&amp;E Profiles'!AY$96:AY$180,$I59))</f>
        <v>0</v>
      </c>
      <c r="AZ59" s="10" cm="1">
        <f t="array" ref="AZ59">IF(OR(AZ$4=0, $G59&lt;&gt; $G$7, $E59=0), 'I&amp;E Monthly'!AZ59, CHOOSE(Timeline!AZ$30,$J59,$K59,$L59 )*INDEX('I&amp;E Profiles'!AZ$96:AZ$180,$I59))</f>
        <v>0</v>
      </c>
      <c r="BA59" s="10" cm="1">
        <f t="array" ref="BA59">IF(OR(BA$4=0, $G59&lt;&gt; $G$7, $E59=0), 'I&amp;E Monthly'!BA59, CHOOSE(Timeline!BA$30,$J59,$K59,$L59 )*INDEX('I&amp;E Profiles'!BA$96:BA$180,$I59))</f>
        <v>0</v>
      </c>
      <c r="BB59" s="10" cm="1">
        <f t="array" ref="BB59">IF(OR(BB$4=0, $G59&lt;&gt; $G$7, $E59=0), 'I&amp;E Monthly'!BB59, CHOOSE(Timeline!BB$30,$J59,$K59,$L59 )*INDEX('I&amp;E Profiles'!BB$96:BB$180,$I59))</f>
        <v>0</v>
      </c>
      <c r="BC59" s="10" cm="1">
        <f t="array" ref="BC59">IF(OR(BC$4=0, $G59&lt;&gt; $G$7, $E59=0), 'I&amp;E Monthly'!BC59, CHOOSE(Timeline!BC$30,$J59,$K59,$L59 )*INDEX('I&amp;E Profiles'!BC$96:BC$180,$I59))</f>
        <v>0</v>
      </c>
      <c r="BD59" s="10" cm="1">
        <f t="array" ref="BD59">IF(OR(BD$4=0, $G59&lt;&gt; $G$7, $E59=0), 'I&amp;E Monthly'!BD59, CHOOSE(Timeline!BD$30,$J59,$K59,$L59 )*INDEX('I&amp;E Profiles'!BD$96:BD$180,$I59))</f>
        <v>0</v>
      </c>
      <c r="BE59" s="10" cm="1">
        <f t="array" ref="BE59">IF(OR(BE$4=0, $G59&lt;&gt; $G$7, $E59=0), 'I&amp;E Monthly'!BE59, CHOOSE(Timeline!BE$30,$J59,$K59,$L59 )*INDEX('I&amp;E Profiles'!BE$96:BE$180,$I59))</f>
        <v>0</v>
      </c>
      <c r="BF59" s="10" cm="1">
        <f t="array" ref="BF59">IF(OR(BF$4=0, $G59&lt;&gt; $G$7, $E59=0), 'I&amp;E Monthly'!BF59, CHOOSE(Timeline!BF$30,$J59,$K59,$L59 )*INDEX('I&amp;E Profiles'!BF$96:BF$180,$I59))</f>
        <v>0</v>
      </c>
      <c r="BG59" s="10" cm="1">
        <f t="array" ref="BG59">IF(OR(BG$4=0, $G59&lt;&gt; $G$7, $E59=0), 'I&amp;E Monthly'!BG59, CHOOSE(Timeline!BG$30,$J59,$K59,$L59 )*INDEX('I&amp;E Profiles'!BG$96:BG$180,$I59))</f>
        <v>0</v>
      </c>
      <c r="BH59" s="10" cm="1">
        <f t="array" ref="BH59">IF(OR(BH$4=0, $G59&lt;&gt; $G$7, $E59=0), 'I&amp;E Monthly'!BH59, CHOOSE(Timeline!BH$30,$J59,$K59,$L59 )*INDEX('I&amp;E Profiles'!BH$96:BH$180,$I59))</f>
        <v>0</v>
      </c>
      <c r="BI59" s="10" cm="1">
        <f t="array" ref="BI59">IF(OR(BI$4=0, $G59&lt;&gt; $G$7, $E59=0), 'I&amp;E Monthly'!BI59, CHOOSE(Timeline!BI$30,$J59,$K59,$L59 )*INDEX('I&amp;E Profiles'!BI$96:BI$180,$I59))</f>
        <v>0</v>
      </c>
      <c r="BJ59" s="10" cm="1">
        <f t="array" ref="BJ59">IF(OR(BJ$4=0, $G59&lt;&gt; $G$7, $E59=0), 'I&amp;E Monthly'!BJ59, CHOOSE(Timeline!BJ$30,$J59,$K59,$L59 )*INDEX('I&amp;E Profiles'!BJ$96:BJ$180,$I59))</f>
        <v>0</v>
      </c>
      <c r="BX59" s="12">
        <f>V59</f>
        <v>0</v>
      </c>
      <c r="BY59" s="10">
        <f t="shared" si="59"/>
        <v>0</v>
      </c>
      <c r="BZ59" s="10">
        <f t="shared" si="59"/>
        <v>0</v>
      </c>
      <c r="CA59" s="10">
        <f t="shared" si="59"/>
        <v>0</v>
      </c>
      <c r="CB59" s="12">
        <f>'I&amp;E Monthly'!CB59</f>
        <v>0</v>
      </c>
      <c r="CC59" s="12">
        <f>'I&amp;E Monthly'!CC59</f>
        <v>0</v>
      </c>
      <c r="CD59" s="12">
        <f>'I&amp;E Monthly'!CD59</f>
        <v>0</v>
      </c>
      <c r="CE59" s="12">
        <f>'I&amp;E Monthly'!CE59</f>
        <v>0</v>
      </c>
      <c r="CF59" s="12">
        <f>'I&amp;E Monthly'!CF59</f>
        <v>0</v>
      </c>
      <c r="CG59" s="12">
        <f>'I&amp;E Monthly'!CG59</f>
        <v>0</v>
      </c>
      <c r="CH59" s="12">
        <f>'I&amp;E Monthly'!CH59</f>
        <v>0</v>
      </c>
      <c r="CI59" s="12">
        <f>'I&amp;E Monthly'!CI59</f>
        <v>0</v>
      </c>
      <c r="CK59" s="11"/>
      <c r="CL59" s="221">
        <f ca="1">IF(MIN($V59:$CI59)&lt;0, 1, 0)*$I$7</f>
        <v>0</v>
      </c>
      <c r="CM59" s="11"/>
      <c r="CN59" s="7">
        <f>IF(AND($G59=$G$7,$E59=""), 1, 0)</f>
        <v>0</v>
      </c>
      <c r="CO59" s="7" cm="1">
        <f t="array" ref="CO59">SUMPRODUCT(--NOT(ISNUMBER(W59:Y59)),--NOT(ISBLANK(W59:Y59)))</f>
        <v>0</v>
      </c>
      <c r="CP59" s="7" cm="1">
        <f t="array" ref="CP59">IF(E59="",0, IF(IFERROR(INDEX('I&amp;E Profiles'!$D$96:$D$180, $I59), "N/A")="N/A", 1, 0))</f>
        <v>0</v>
      </c>
      <c r="CQ59" s="7">
        <f>IF(SUM($CV59:$CX59)=0, 0, 1)</f>
        <v>0</v>
      </c>
      <c r="CS59" s="7">
        <f>IF(SUM($CY59:$DA59)=0, 0, 1)</f>
        <v>0</v>
      </c>
      <c r="CT59" s="7">
        <f t="shared" si="60"/>
        <v>0</v>
      </c>
      <c r="CU59" s="11"/>
      <c r="CV59" s="215">
        <f t="shared" si="61"/>
        <v>0</v>
      </c>
      <c r="CW59" s="215">
        <f t="shared" si="61"/>
        <v>0</v>
      </c>
      <c r="CX59" s="215">
        <f t="shared" si="61"/>
        <v>0</v>
      </c>
      <c r="CY59" s="215">
        <f>ROUND($BY59-SUMIFS($AA59:$BJ59, $AA$3:$BJ$3, $BY$3), rounding)</f>
        <v>0</v>
      </c>
      <c r="CZ59" s="215">
        <f>ROUND($BZ59-SUMIFS($AA59:$BJ59, $AA$3:$BJ$3, $BZ$3), rounding)</f>
        <v>0</v>
      </c>
      <c r="DA59" s="215">
        <f>ROUND($CA59-SUMIFS($AA59:$BJ59, $AA$3:$BJ$3, $CA$3), rounding)</f>
        <v>0</v>
      </c>
      <c r="DB59" s="215">
        <f>ROUND($V59-$BX59, rounding)</f>
        <v>0</v>
      </c>
      <c r="FN59" s="10"/>
    </row>
    <row r="60" spans="1:170" x14ac:dyDescent="0.35">
      <c r="A60" s="220" cm="1">
        <f t="array" aca="1" ref="A60" ca="1">HYPERLINK(CONCATENATE("#",CELL("address",IF(MAX($CM60:$CU60)=0,A60,INDEX($CM60:$CU60,MATCH(1,$CM60:$CU60,0))))),MAX($CM60:$CU60))</f>
        <v>0</v>
      </c>
      <c r="C60" s="213" t="s">
        <v>514</v>
      </c>
      <c r="D60" s="61" t="s">
        <v>364</v>
      </c>
      <c r="E60" s="61"/>
      <c r="F60" s="61"/>
      <c r="G60" s="61"/>
      <c r="H60" t="s">
        <v>317</v>
      </c>
      <c r="Q60" s="2"/>
      <c r="V60" s="12">
        <f>SUM(V57:V59)</f>
        <v>0</v>
      </c>
      <c r="W60" s="12">
        <f t="shared" ref="W60:Y60" si="62">SUM(W57:W59)</f>
        <v>0</v>
      </c>
      <c r="X60" s="12">
        <f t="shared" si="62"/>
        <v>0</v>
      </c>
      <c r="Y60" s="12">
        <f t="shared" si="62"/>
        <v>0</v>
      </c>
      <c r="AA60" s="12">
        <f t="shared" ref="AA60:BJ60" si="63">SUM(AA57:AA59)</f>
        <v>0</v>
      </c>
      <c r="AB60" s="12">
        <f t="shared" si="63"/>
        <v>0</v>
      </c>
      <c r="AC60" s="12">
        <f t="shared" si="63"/>
        <v>0</v>
      </c>
      <c r="AD60" s="12">
        <f t="shared" si="63"/>
        <v>0</v>
      </c>
      <c r="AE60" s="12">
        <f t="shared" si="63"/>
        <v>0</v>
      </c>
      <c r="AF60" s="12">
        <f t="shared" si="63"/>
        <v>0</v>
      </c>
      <c r="AG60" s="12">
        <f t="shared" si="63"/>
        <v>0</v>
      </c>
      <c r="AH60" s="12">
        <f t="shared" si="63"/>
        <v>0</v>
      </c>
      <c r="AI60" s="12">
        <f t="shared" si="63"/>
        <v>0</v>
      </c>
      <c r="AJ60" s="12">
        <f t="shared" si="63"/>
        <v>0</v>
      </c>
      <c r="AK60" s="12">
        <f t="shared" si="63"/>
        <v>0</v>
      </c>
      <c r="AL60" s="12">
        <f t="shared" si="63"/>
        <v>0</v>
      </c>
      <c r="AM60" s="12">
        <f t="shared" si="63"/>
        <v>0</v>
      </c>
      <c r="AN60" s="12">
        <f t="shared" si="63"/>
        <v>0</v>
      </c>
      <c r="AO60" s="12">
        <f t="shared" si="63"/>
        <v>0</v>
      </c>
      <c r="AP60" s="12">
        <f t="shared" si="63"/>
        <v>0</v>
      </c>
      <c r="AQ60" s="12">
        <f t="shared" si="63"/>
        <v>0</v>
      </c>
      <c r="AR60" s="12">
        <f t="shared" si="63"/>
        <v>0</v>
      </c>
      <c r="AS60" s="12">
        <f t="shared" si="63"/>
        <v>0</v>
      </c>
      <c r="AT60" s="12">
        <f t="shared" si="63"/>
        <v>0</v>
      </c>
      <c r="AU60" s="12">
        <f t="shared" si="63"/>
        <v>0</v>
      </c>
      <c r="AV60" s="12">
        <f t="shared" si="63"/>
        <v>0</v>
      </c>
      <c r="AW60" s="12">
        <f t="shared" si="63"/>
        <v>0</v>
      </c>
      <c r="AX60" s="12">
        <f t="shared" si="63"/>
        <v>0</v>
      </c>
      <c r="AY60" s="12">
        <f t="shared" si="63"/>
        <v>0</v>
      </c>
      <c r="AZ60" s="12">
        <f t="shared" si="63"/>
        <v>0</v>
      </c>
      <c r="BA60" s="12">
        <f t="shared" si="63"/>
        <v>0</v>
      </c>
      <c r="BB60" s="12">
        <f t="shared" si="63"/>
        <v>0</v>
      </c>
      <c r="BC60" s="12">
        <f t="shared" si="63"/>
        <v>0</v>
      </c>
      <c r="BD60" s="12">
        <f t="shared" si="63"/>
        <v>0</v>
      </c>
      <c r="BE60" s="12">
        <f t="shared" si="63"/>
        <v>0</v>
      </c>
      <c r="BF60" s="12">
        <f t="shared" si="63"/>
        <v>0</v>
      </c>
      <c r="BG60" s="12">
        <f t="shared" si="63"/>
        <v>0</v>
      </c>
      <c r="BH60" s="12">
        <f t="shared" si="63"/>
        <v>0</v>
      </c>
      <c r="BI60" s="12">
        <f t="shared" si="63"/>
        <v>0</v>
      </c>
      <c r="BJ60" s="12">
        <f t="shared" si="63"/>
        <v>0</v>
      </c>
      <c r="BX60" s="12">
        <f t="shared" ref="BX60:CI60" si="64">SUM(BX57:BX59)</f>
        <v>0</v>
      </c>
      <c r="BY60" s="12">
        <f t="shared" si="64"/>
        <v>0</v>
      </c>
      <c r="BZ60" s="12">
        <f t="shared" si="64"/>
        <v>0</v>
      </c>
      <c r="CA60" s="12">
        <f t="shared" si="64"/>
        <v>0</v>
      </c>
      <c r="CB60" s="12">
        <f t="shared" si="64"/>
        <v>0</v>
      </c>
      <c r="CC60" s="12">
        <f t="shared" si="64"/>
        <v>0</v>
      </c>
      <c r="CD60" s="12">
        <f t="shared" si="64"/>
        <v>0</v>
      </c>
      <c r="CE60" s="12">
        <f t="shared" si="64"/>
        <v>0</v>
      </c>
      <c r="CF60" s="12">
        <f t="shared" si="64"/>
        <v>0</v>
      </c>
      <c r="CG60" s="12">
        <f t="shared" si="64"/>
        <v>0</v>
      </c>
      <c r="CH60" s="12">
        <f t="shared" si="64"/>
        <v>0</v>
      </c>
      <c r="CI60" s="12">
        <f t="shared" si="64"/>
        <v>0</v>
      </c>
      <c r="CK60" s="11"/>
      <c r="CL60" s="221">
        <f ca="1">IF(MIN($V60:$CI60)&lt;0, 1, 0)*$I$7</f>
        <v>0</v>
      </c>
      <c r="CM60" s="11"/>
      <c r="CQ60" s="7">
        <f>IF(SUM($CV60:$CX60)=0, 0, 1)</f>
        <v>0</v>
      </c>
      <c r="CS60" s="7">
        <f>IF(SUM($CY60:$DA60)=0, 0, 1)</f>
        <v>0</v>
      </c>
      <c r="CT60" s="7">
        <f t="shared" si="60"/>
        <v>0</v>
      </c>
      <c r="CU60" s="11"/>
      <c r="CV60" s="215">
        <f t="shared" si="61"/>
        <v>0</v>
      </c>
      <c r="CW60" s="215">
        <f t="shared" si="61"/>
        <v>0</v>
      </c>
      <c r="CX60" s="215">
        <f t="shared" si="61"/>
        <v>0</v>
      </c>
      <c r="CY60" s="215">
        <f>ROUND($BY60-SUMIFS($AA60:$BJ60, $AA$3:$BJ$3, $BY$3), rounding)</f>
        <v>0</v>
      </c>
      <c r="CZ60" s="215">
        <f>ROUND($BZ60-SUMIFS($AA60:$BJ60, $AA$3:$BJ$3, $BZ$3), rounding)</f>
        <v>0</v>
      </c>
      <c r="DA60" s="215">
        <f>ROUND($CA60-SUMIFS($AA60:$BJ60, $AA$3:$BJ$3, $CA$3), rounding)</f>
        <v>0</v>
      </c>
      <c r="DB60" s="215">
        <f>ROUND($V60-$BX60, rounding)</f>
        <v>0</v>
      </c>
      <c r="FN60" s="10"/>
    </row>
    <row r="61" spans="1:170" x14ac:dyDescent="0.35">
      <c r="A61" s="220" cm="1">
        <f t="array" aca="1" ref="A61" ca="1">HYPERLINK(CONCATENATE("#",CELL("address",IF(MAX($CM61:$CU61)=0,A61,INDEX($CM61:$CU61,MATCH(1,$CM61:$CU61,0))))),MAX($CM61:$CU61))</f>
        <v>0</v>
      </c>
      <c r="C61" s="213" t="s">
        <v>515</v>
      </c>
      <c r="D61" s="57" t="s">
        <v>366</v>
      </c>
      <c r="E61" s="114"/>
      <c r="F61" s="79" t="str" cm="1">
        <f t="array" aca="1" ref="F61" ca="1">IF(E61="", "", HYPERLINK(CONCATENATE("#",CELL("address",INDEX('I&amp;E Profiles'!$D$9:$D$93,'I&amp;E Annual'!I61))),E61))</f>
        <v/>
      </c>
      <c r="G61" s="114"/>
      <c r="H61" t="s">
        <v>317</v>
      </c>
      <c r="I61" s="132" t="str">
        <f>IF(E61="", "", MATCH(E61, 'I&amp;E Profiles'!$D$96:$D$180,0))</f>
        <v/>
      </c>
      <c r="J61" s="133">
        <f>IF($G61=$G$7, W61,'I&amp;E Monthly'!W61)-SUMIFS('I&amp;E Monthly'!$AA61:$BJ61, 'I&amp;E Monthly'!$AA$3:$BJ$3, 'I&amp;E Annual'!W$3, 'I&amp;E Monthly'!$AA$4:$BJ$4, 0)</f>
        <v>0</v>
      </c>
      <c r="K61" s="133">
        <f>IF($G61=$G$7, X61,'I&amp;E Monthly'!X61)-SUMIFS('I&amp;E Monthly'!$AA61:$BJ61, 'I&amp;E Monthly'!$AA$3:$BJ$3, 'I&amp;E Annual'!X$3, 'I&amp;E Monthly'!$AA$4:$BJ$4, 0)</f>
        <v>0</v>
      </c>
      <c r="L61" s="133">
        <f>IF($G61=$G$7, Y61,'I&amp;E Monthly'!Y61)-SUMIFS('I&amp;E Monthly'!$AA61:$BJ61, 'I&amp;E Monthly'!$AA$3:$BJ$3, 'I&amp;E Annual'!Y$3, 'I&amp;E Monthly'!$AA$4:$BJ$4, 0)</f>
        <v>0</v>
      </c>
      <c r="Q61" s="2"/>
      <c r="V61" s="133">
        <f>'I&amp;E Monthly'!V61</f>
        <v>0</v>
      </c>
      <c r="W61" s="114"/>
      <c r="X61" s="131"/>
      <c r="Y61" s="131"/>
      <c r="AA61" s="10" cm="1">
        <f t="array" ref="AA61">IF(OR(AA$4=0, $G61&lt;&gt; $G$7, $E61=0), 'I&amp;E Monthly'!AA61, CHOOSE(Timeline!AA$30,$J61,$K61,$L61 )*INDEX('I&amp;E Profiles'!AA$96:AA$180,$I61))</f>
        <v>0</v>
      </c>
      <c r="AB61" s="10" cm="1">
        <f t="array" ref="AB61">IF(OR(AB$4=0, $G61&lt;&gt; $G$7, $E61=0), 'I&amp;E Monthly'!AB61, CHOOSE(Timeline!AB$30,$J61,$K61,$L61 )*INDEX('I&amp;E Profiles'!AB$96:AB$180,$I61))</f>
        <v>0</v>
      </c>
      <c r="AC61" s="10" cm="1">
        <f t="array" ref="AC61">IF(OR(AC$4=0, $G61&lt;&gt; $G$7, $E61=0), 'I&amp;E Monthly'!AC61, CHOOSE(Timeline!AC$30,$J61,$K61,$L61 )*INDEX('I&amp;E Profiles'!AC$96:AC$180,$I61))</f>
        <v>0</v>
      </c>
      <c r="AD61" s="10" cm="1">
        <f t="array" ref="AD61">IF(OR(AD$4=0, $G61&lt;&gt; $G$7, $E61=0), 'I&amp;E Monthly'!AD61, CHOOSE(Timeline!AD$30,$J61,$K61,$L61 )*INDEX('I&amp;E Profiles'!AD$96:AD$180,$I61))</f>
        <v>0</v>
      </c>
      <c r="AE61" s="10" cm="1">
        <f t="array" ref="AE61">IF(OR(AE$4=0, $G61&lt;&gt; $G$7, $E61=0), 'I&amp;E Monthly'!AE61, CHOOSE(Timeline!AE$30,$J61,$K61,$L61 )*INDEX('I&amp;E Profiles'!AE$96:AE$180,$I61))</f>
        <v>0</v>
      </c>
      <c r="AF61" s="10" cm="1">
        <f t="array" ref="AF61">IF(OR(AF$4=0, $G61&lt;&gt; $G$7, $E61=0), 'I&amp;E Monthly'!AF61, CHOOSE(Timeline!AF$30,$J61,$K61,$L61 )*INDEX('I&amp;E Profiles'!AF$96:AF$180,$I61))</f>
        <v>0</v>
      </c>
      <c r="AG61" s="10" cm="1">
        <f t="array" ref="AG61">IF(OR(AG$4=0, $G61&lt;&gt; $G$7, $E61=0), 'I&amp;E Monthly'!AG61, CHOOSE(Timeline!AG$30,$J61,$K61,$L61 )*INDEX('I&amp;E Profiles'!AG$96:AG$180,$I61))</f>
        <v>0</v>
      </c>
      <c r="AH61" s="10" cm="1">
        <f t="array" ref="AH61">IF(OR(AH$4=0, $G61&lt;&gt; $G$7, $E61=0), 'I&amp;E Monthly'!AH61, CHOOSE(Timeline!AH$30,$J61,$K61,$L61 )*INDEX('I&amp;E Profiles'!AH$96:AH$180,$I61))</f>
        <v>0</v>
      </c>
      <c r="AI61" s="10" cm="1">
        <f t="array" ref="AI61">IF(OR(AI$4=0, $G61&lt;&gt; $G$7, $E61=0), 'I&amp;E Monthly'!AI61, CHOOSE(Timeline!AI$30,$J61,$K61,$L61 )*INDEX('I&amp;E Profiles'!AI$96:AI$180,$I61))</f>
        <v>0</v>
      </c>
      <c r="AJ61" s="10" cm="1">
        <f t="array" ref="AJ61">IF(OR(AJ$4=0, $G61&lt;&gt; $G$7, $E61=0), 'I&amp;E Monthly'!AJ61, CHOOSE(Timeline!AJ$30,$J61,$K61,$L61 )*INDEX('I&amp;E Profiles'!AJ$96:AJ$180,$I61))</f>
        <v>0</v>
      </c>
      <c r="AK61" s="10" cm="1">
        <f t="array" ref="AK61">IF(OR(AK$4=0, $G61&lt;&gt; $G$7, $E61=0), 'I&amp;E Monthly'!AK61, CHOOSE(Timeline!AK$30,$J61,$K61,$L61 )*INDEX('I&amp;E Profiles'!AK$96:AK$180,$I61))</f>
        <v>0</v>
      </c>
      <c r="AL61" s="10" cm="1">
        <f t="array" ref="AL61">IF(OR(AL$4=0, $G61&lt;&gt; $G$7, $E61=0), 'I&amp;E Monthly'!AL61, CHOOSE(Timeline!AL$30,$J61,$K61,$L61 )*INDEX('I&amp;E Profiles'!AL$96:AL$180,$I61))</f>
        <v>0</v>
      </c>
      <c r="AM61" s="10" cm="1">
        <f t="array" ref="AM61">IF(OR(AM$4=0, $G61&lt;&gt; $G$7, $E61=0), 'I&amp;E Monthly'!AM61, CHOOSE(Timeline!AM$30,$J61,$K61,$L61 )*INDEX('I&amp;E Profiles'!AM$96:AM$180,$I61))</f>
        <v>0</v>
      </c>
      <c r="AN61" s="10" cm="1">
        <f t="array" ref="AN61">IF(OR(AN$4=0, $G61&lt;&gt; $G$7, $E61=0), 'I&amp;E Monthly'!AN61, CHOOSE(Timeline!AN$30,$J61,$K61,$L61 )*INDEX('I&amp;E Profiles'!AN$96:AN$180,$I61))</f>
        <v>0</v>
      </c>
      <c r="AO61" s="10" cm="1">
        <f t="array" ref="AO61">IF(OR(AO$4=0, $G61&lt;&gt; $G$7, $E61=0), 'I&amp;E Monthly'!AO61, CHOOSE(Timeline!AO$30,$J61,$K61,$L61 )*INDEX('I&amp;E Profiles'!AO$96:AO$180,$I61))</f>
        <v>0</v>
      </c>
      <c r="AP61" s="10" cm="1">
        <f t="array" ref="AP61">IF(OR(AP$4=0, $G61&lt;&gt; $G$7, $E61=0), 'I&amp;E Monthly'!AP61, CHOOSE(Timeline!AP$30,$J61,$K61,$L61 )*INDEX('I&amp;E Profiles'!AP$96:AP$180,$I61))</f>
        <v>0</v>
      </c>
      <c r="AQ61" s="10" cm="1">
        <f t="array" ref="AQ61">IF(OR(AQ$4=0, $G61&lt;&gt; $G$7, $E61=0), 'I&amp;E Monthly'!AQ61, CHOOSE(Timeline!AQ$30,$J61,$K61,$L61 )*INDEX('I&amp;E Profiles'!AQ$96:AQ$180,$I61))</f>
        <v>0</v>
      </c>
      <c r="AR61" s="10" cm="1">
        <f t="array" ref="AR61">IF(OR(AR$4=0, $G61&lt;&gt; $G$7, $E61=0), 'I&amp;E Monthly'!AR61, CHOOSE(Timeline!AR$30,$J61,$K61,$L61 )*INDEX('I&amp;E Profiles'!AR$96:AR$180,$I61))</f>
        <v>0</v>
      </c>
      <c r="AS61" s="10" cm="1">
        <f t="array" ref="AS61">IF(OR(AS$4=0, $G61&lt;&gt; $G$7, $E61=0), 'I&amp;E Monthly'!AS61, CHOOSE(Timeline!AS$30,$J61,$K61,$L61 )*INDEX('I&amp;E Profiles'!AS$96:AS$180,$I61))</f>
        <v>0</v>
      </c>
      <c r="AT61" s="10" cm="1">
        <f t="array" ref="AT61">IF(OR(AT$4=0, $G61&lt;&gt; $G$7, $E61=0), 'I&amp;E Monthly'!AT61, CHOOSE(Timeline!AT$30,$J61,$K61,$L61 )*INDEX('I&amp;E Profiles'!AT$96:AT$180,$I61))</f>
        <v>0</v>
      </c>
      <c r="AU61" s="10" cm="1">
        <f t="array" ref="AU61">IF(OR(AU$4=0, $G61&lt;&gt; $G$7, $E61=0), 'I&amp;E Monthly'!AU61, CHOOSE(Timeline!AU$30,$J61,$K61,$L61 )*INDEX('I&amp;E Profiles'!AU$96:AU$180,$I61))</f>
        <v>0</v>
      </c>
      <c r="AV61" s="10" cm="1">
        <f t="array" ref="AV61">IF(OR(AV$4=0, $G61&lt;&gt; $G$7, $E61=0), 'I&amp;E Monthly'!AV61, CHOOSE(Timeline!AV$30,$J61,$K61,$L61 )*INDEX('I&amp;E Profiles'!AV$96:AV$180,$I61))</f>
        <v>0</v>
      </c>
      <c r="AW61" s="10" cm="1">
        <f t="array" ref="AW61">IF(OR(AW$4=0, $G61&lt;&gt; $G$7, $E61=0), 'I&amp;E Monthly'!AW61, CHOOSE(Timeline!AW$30,$J61,$K61,$L61 )*INDEX('I&amp;E Profiles'!AW$96:AW$180,$I61))</f>
        <v>0</v>
      </c>
      <c r="AX61" s="10" cm="1">
        <f t="array" ref="AX61">IF(OR(AX$4=0, $G61&lt;&gt; $G$7, $E61=0), 'I&amp;E Monthly'!AX61, CHOOSE(Timeline!AX$30,$J61,$K61,$L61 )*INDEX('I&amp;E Profiles'!AX$96:AX$180,$I61))</f>
        <v>0</v>
      </c>
      <c r="AY61" s="10" cm="1">
        <f t="array" ref="AY61">IF(OR(AY$4=0, $G61&lt;&gt; $G$7, $E61=0), 'I&amp;E Monthly'!AY61, CHOOSE(Timeline!AY$30,$J61,$K61,$L61 )*INDEX('I&amp;E Profiles'!AY$96:AY$180,$I61))</f>
        <v>0</v>
      </c>
      <c r="AZ61" s="10" cm="1">
        <f t="array" ref="AZ61">IF(OR(AZ$4=0, $G61&lt;&gt; $G$7, $E61=0), 'I&amp;E Monthly'!AZ61, CHOOSE(Timeline!AZ$30,$J61,$K61,$L61 )*INDEX('I&amp;E Profiles'!AZ$96:AZ$180,$I61))</f>
        <v>0</v>
      </c>
      <c r="BA61" s="10" cm="1">
        <f t="array" ref="BA61">IF(OR(BA$4=0, $G61&lt;&gt; $G$7, $E61=0), 'I&amp;E Monthly'!BA61, CHOOSE(Timeline!BA$30,$J61,$K61,$L61 )*INDEX('I&amp;E Profiles'!BA$96:BA$180,$I61))</f>
        <v>0</v>
      </c>
      <c r="BB61" s="10" cm="1">
        <f t="array" ref="BB61">IF(OR(BB$4=0, $G61&lt;&gt; $G$7, $E61=0), 'I&amp;E Monthly'!BB61, CHOOSE(Timeline!BB$30,$J61,$K61,$L61 )*INDEX('I&amp;E Profiles'!BB$96:BB$180,$I61))</f>
        <v>0</v>
      </c>
      <c r="BC61" s="10" cm="1">
        <f t="array" ref="BC61">IF(OR(BC$4=0, $G61&lt;&gt; $G$7, $E61=0), 'I&amp;E Monthly'!BC61, CHOOSE(Timeline!BC$30,$J61,$K61,$L61 )*INDEX('I&amp;E Profiles'!BC$96:BC$180,$I61))</f>
        <v>0</v>
      </c>
      <c r="BD61" s="10" cm="1">
        <f t="array" ref="BD61">IF(OR(BD$4=0, $G61&lt;&gt; $G$7, $E61=0), 'I&amp;E Monthly'!BD61, CHOOSE(Timeline!BD$30,$J61,$K61,$L61 )*INDEX('I&amp;E Profiles'!BD$96:BD$180,$I61))</f>
        <v>0</v>
      </c>
      <c r="BE61" s="10" cm="1">
        <f t="array" ref="BE61">IF(OR(BE$4=0, $G61&lt;&gt; $G$7, $E61=0), 'I&amp;E Monthly'!BE61, CHOOSE(Timeline!BE$30,$J61,$K61,$L61 )*INDEX('I&amp;E Profiles'!BE$96:BE$180,$I61))</f>
        <v>0</v>
      </c>
      <c r="BF61" s="10" cm="1">
        <f t="array" ref="BF61">IF(OR(BF$4=0, $G61&lt;&gt; $G$7, $E61=0), 'I&amp;E Monthly'!BF61, CHOOSE(Timeline!BF$30,$J61,$K61,$L61 )*INDEX('I&amp;E Profiles'!BF$96:BF$180,$I61))</f>
        <v>0</v>
      </c>
      <c r="BG61" s="10" cm="1">
        <f t="array" ref="BG61">IF(OR(BG$4=0, $G61&lt;&gt; $G$7, $E61=0), 'I&amp;E Monthly'!BG61, CHOOSE(Timeline!BG$30,$J61,$K61,$L61 )*INDEX('I&amp;E Profiles'!BG$96:BG$180,$I61))</f>
        <v>0</v>
      </c>
      <c r="BH61" s="10" cm="1">
        <f t="array" ref="BH61">IF(OR(BH$4=0, $G61&lt;&gt; $G$7, $E61=0), 'I&amp;E Monthly'!BH61, CHOOSE(Timeline!BH$30,$J61,$K61,$L61 )*INDEX('I&amp;E Profiles'!BH$96:BH$180,$I61))</f>
        <v>0</v>
      </c>
      <c r="BI61" s="10" cm="1">
        <f t="array" ref="BI61">IF(OR(BI$4=0, $G61&lt;&gt; $G$7, $E61=0), 'I&amp;E Monthly'!BI61, CHOOSE(Timeline!BI$30,$J61,$K61,$L61 )*INDEX('I&amp;E Profiles'!BI$96:BI$180,$I61))</f>
        <v>0</v>
      </c>
      <c r="BJ61" s="10" cm="1">
        <f t="array" ref="BJ61">IF(OR(BJ$4=0, $G61&lt;&gt; $G$7, $E61=0), 'I&amp;E Monthly'!BJ61, CHOOSE(Timeline!BJ$30,$J61,$K61,$L61 )*INDEX('I&amp;E Profiles'!BJ$96:BJ$180,$I61))</f>
        <v>0</v>
      </c>
      <c r="BX61" s="12">
        <f>V61</f>
        <v>0</v>
      </c>
      <c r="BY61" s="10">
        <f>SUMIFS($AA61:$BJ61, $AA$3:$BJ$3,BY$3)</f>
        <v>0</v>
      </c>
      <c r="BZ61" s="10">
        <f>SUMIFS($AA61:$BJ61, $AA$3:$BJ$3,BZ$3)</f>
        <v>0</v>
      </c>
      <c r="CA61" s="10">
        <f>SUMIFS($AA61:$BJ61, $AA$3:$BJ$3,CA$3)</f>
        <v>0</v>
      </c>
      <c r="CB61" s="12">
        <f>'I&amp;E Monthly'!CB61</f>
        <v>0</v>
      </c>
      <c r="CC61" s="12">
        <f>'I&amp;E Monthly'!CC61</f>
        <v>0</v>
      </c>
      <c r="CD61" s="12">
        <f>'I&amp;E Monthly'!CD61</f>
        <v>0</v>
      </c>
      <c r="CE61" s="12">
        <f>'I&amp;E Monthly'!CE61</f>
        <v>0</v>
      </c>
      <c r="CF61" s="12">
        <f>'I&amp;E Monthly'!CF61</f>
        <v>0</v>
      </c>
      <c r="CG61" s="12">
        <f>'I&amp;E Monthly'!CG61</f>
        <v>0</v>
      </c>
      <c r="CH61" s="12">
        <f>'I&amp;E Monthly'!CH61</f>
        <v>0</v>
      </c>
      <c r="CI61" s="12">
        <f>'I&amp;E Monthly'!CI61</f>
        <v>0</v>
      </c>
      <c r="CK61" s="11"/>
      <c r="CL61" s="221">
        <f ca="1">IF(MIN($V61:$CI61)&lt;0, 1, 0)*$I$7</f>
        <v>0</v>
      </c>
      <c r="CM61" s="11"/>
      <c r="CN61" s="7">
        <f>IF(AND($G61=$G$7,$E61=""), 1, 0)</f>
        <v>0</v>
      </c>
      <c r="CO61" s="7" cm="1">
        <f t="array" ref="CO61">SUMPRODUCT(--NOT(ISNUMBER(W61:Y61)),--NOT(ISBLANK(W61:Y61)))</f>
        <v>0</v>
      </c>
      <c r="CP61" s="7" cm="1">
        <f t="array" ref="CP61">IF(E61="",0, IF(IFERROR(INDEX('I&amp;E Profiles'!$D$96:$D$180, $I61), "N/A")="N/A", 1, 0))</f>
        <v>0</v>
      </c>
      <c r="CQ61" s="7">
        <f>IF(SUM($CV61:$CX61)=0, 0, 1)</f>
        <v>0</v>
      </c>
      <c r="CR61" s="7">
        <f>IF(DC61=0,0,1)</f>
        <v>0</v>
      </c>
      <c r="CS61" s="7">
        <f>IF(SUM($CY61:$DA61)=0, 0, 1)</f>
        <v>0</v>
      </c>
      <c r="CT61" s="7">
        <f t="shared" si="60"/>
        <v>0</v>
      </c>
      <c r="CU61" s="11"/>
      <c r="CV61" s="215">
        <f t="shared" si="61"/>
        <v>0</v>
      </c>
      <c r="CW61" s="215">
        <f t="shared" si="61"/>
        <v>0</v>
      </c>
      <c r="CX61" s="215">
        <f t="shared" si="61"/>
        <v>0</v>
      </c>
      <c r="CY61" s="215">
        <f>ROUND($BY61-SUMIFS($AA61:$BJ61, $AA$3:$BJ$3, $BY$3), rounding)</f>
        <v>0</v>
      </c>
      <c r="CZ61" s="215">
        <f>ROUND($BZ61-SUMIFS($AA61:$BJ61, $AA$3:$BJ$3, $BZ$3), rounding)</f>
        <v>0</v>
      </c>
      <c r="DA61" s="215">
        <f>ROUND($CA61-SUMIFS($AA61:$BJ61, $AA$3:$BJ$3, $CA$3), rounding)</f>
        <v>0</v>
      </c>
      <c r="DB61" s="215">
        <f>ROUND($V61-$BX61, rounding)</f>
        <v>0</v>
      </c>
      <c r="DC61" s="508">
        <f>SUM(DE61:DP61)</f>
        <v>0</v>
      </c>
      <c r="DE61" s="7">
        <f t="shared" ref="DE61" si="65">IF(BX61&gt;BX60, 1, 0)</f>
        <v>0</v>
      </c>
      <c r="DF61" s="7">
        <f t="shared" ref="DF61" si="66">IF(BY61&gt;BY60, 1, 0)</f>
        <v>0</v>
      </c>
      <c r="DG61" s="7">
        <f t="shared" ref="DG61" si="67">IF(BZ61&gt;BZ60, 1, 0)</f>
        <v>0</v>
      </c>
      <c r="DH61" s="7">
        <f t="shared" ref="DH61" si="68">IF(CA61&gt;CA60, 1, 0)</f>
        <v>0</v>
      </c>
      <c r="DI61" s="7">
        <f t="shared" ref="DI61" si="69">IF(CB61&gt;CB60, 1, 0)</f>
        <v>0</v>
      </c>
      <c r="DJ61" s="7">
        <f t="shared" ref="DJ61" si="70">IF(CC61&gt;CC60, 1, 0)</f>
        <v>0</v>
      </c>
      <c r="DK61" s="7">
        <f t="shared" ref="DK61" si="71">IF(CD61&gt;CD60, 1, 0)</f>
        <v>0</v>
      </c>
      <c r="DL61" s="7">
        <f t="shared" ref="DL61" si="72">IF(CE61&gt;CE60, 1, 0)</f>
        <v>0</v>
      </c>
      <c r="DM61" s="7">
        <f t="shared" ref="DM61" si="73">IF(CF61&gt;CF60, 1, 0)</f>
        <v>0</v>
      </c>
      <c r="DN61" s="7">
        <f t="shared" ref="DN61" si="74">IF(CG61&gt;CG60, 1, 0)</f>
        <v>0</v>
      </c>
      <c r="DO61" s="7">
        <f t="shared" ref="DO61" si="75">IF(CH61&gt;CH60, 1, 0)</f>
        <v>0</v>
      </c>
      <c r="DP61" s="7">
        <f t="shared" ref="DP61" si="76">IF(CI61&gt;CI60, 1, 0)</f>
        <v>0</v>
      </c>
      <c r="FN61" s="10"/>
    </row>
    <row r="62" spans="1:170" ht="6.75" customHeight="1" x14ac:dyDescent="0.35">
      <c r="C62" s="213"/>
      <c r="D62" s="57"/>
      <c r="Q62" s="2"/>
      <c r="BY62" s="6"/>
      <c r="CK62" s="35"/>
      <c r="CM62" s="35"/>
      <c r="CU62" s="11"/>
      <c r="FN62" s="10" t="str">
        <f>IF($C62="","",$D62)</f>
        <v/>
      </c>
    </row>
    <row r="63" spans="1:170" x14ac:dyDescent="0.35">
      <c r="B63" s="5"/>
      <c r="C63" s="213"/>
      <c r="D63" s="61" t="s">
        <v>367</v>
      </c>
      <c r="E63" s="5"/>
      <c r="Q63" s="2"/>
      <c r="CK63" s="11"/>
      <c r="CM63" s="11"/>
      <c r="CU63" s="11"/>
      <c r="FN63" s="10" t="str">
        <f t="shared" si="40"/>
        <v/>
      </c>
    </row>
    <row r="64" spans="1:170" x14ac:dyDescent="0.35">
      <c r="A64" s="220" cm="1">
        <f t="array" aca="1" ref="A64" ca="1">HYPERLINK(CONCATENATE("#",CELL("address",IF(MAX($CM64:$CU64)=0,A64,INDEX($CM64:$CU64,MATCH(1,$CM64:$CU64,0))))),MAX($CM64:$CU64))</f>
        <v>0</v>
      </c>
      <c r="B64" s="85" t="s">
        <v>122</v>
      </c>
      <c r="C64" s="213" t="s">
        <v>516</v>
      </c>
      <c r="D64" s="57" t="s">
        <v>368</v>
      </c>
      <c r="E64" s="114"/>
      <c r="F64" s="79" t="str" cm="1">
        <f t="array" aca="1" ref="F64" ca="1">IF(E64="", "", HYPERLINK(CONCATENATE("#",CELL("address",INDEX('I&amp;E Profiles'!$D$9:$D$93,'I&amp;E Annual'!I64))),E64))</f>
        <v/>
      </c>
      <c r="G64" s="114"/>
      <c r="H64" t="s">
        <v>317</v>
      </c>
      <c r="I64" s="132" t="str">
        <f>IF(E64="", "", MATCH(E64, 'I&amp;E Profiles'!$D$96:$D$180,0))</f>
        <v/>
      </c>
      <c r="J64" s="133">
        <f>IF($G64=$G$7, W64,'I&amp;E Monthly'!W64)-SUMIFS('I&amp;E Monthly'!$AA64:$BJ64, 'I&amp;E Monthly'!$AA$3:$BJ$3, 'I&amp;E Annual'!W$3, 'I&amp;E Monthly'!$AA$4:$BJ$4, 0)</f>
        <v>0</v>
      </c>
      <c r="K64" s="133">
        <f>IF($G64=$G$7, X64,'I&amp;E Monthly'!X64)-SUMIFS('I&amp;E Monthly'!$AA64:$BJ64, 'I&amp;E Monthly'!$AA$3:$BJ$3, 'I&amp;E Annual'!X$3, 'I&amp;E Monthly'!$AA$4:$BJ$4, 0)</f>
        <v>0</v>
      </c>
      <c r="L64" s="133">
        <f>IF($G64=$G$7, Y64,'I&amp;E Monthly'!Y64)-SUMIFS('I&amp;E Monthly'!$AA64:$BJ64, 'I&amp;E Monthly'!$AA$3:$BJ$3, 'I&amp;E Annual'!Y$3, 'I&amp;E Monthly'!$AA$4:$BJ$4, 0)</f>
        <v>0</v>
      </c>
      <c r="Q64" s="2"/>
      <c r="V64" s="133">
        <f>'I&amp;E Monthly'!V64</f>
        <v>0</v>
      </c>
      <c r="W64" s="114"/>
      <c r="X64" s="131"/>
      <c r="Y64" s="131"/>
      <c r="AA64" s="10" cm="1">
        <f t="array" ref="AA64">IF(OR(AA$4=0, $G64&lt;&gt; $G$7, $E64=0), 'I&amp;E Monthly'!AA64, CHOOSE(Timeline!AA$30,$J64,$K64,$L64 )*INDEX('I&amp;E Profiles'!AA$96:AA$180,$I64))</f>
        <v>0</v>
      </c>
      <c r="AB64" s="10" cm="1">
        <f t="array" ref="AB64">IF(OR(AB$4=0, $G64&lt;&gt; $G$7, $E64=0), 'I&amp;E Monthly'!AB64, CHOOSE(Timeline!AB$30,$J64,$K64,$L64 )*INDEX('I&amp;E Profiles'!AB$96:AB$180,$I64))</f>
        <v>0</v>
      </c>
      <c r="AC64" s="10" cm="1">
        <f t="array" ref="AC64">IF(OR(AC$4=0, $G64&lt;&gt; $G$7, $E64=0), 'I&amp;E Monthly'!AC64, CHOOSE(Timeline!AC$30,$J64,$K64,$L64 )*INDEX('I&amp;E Profiles'!AC$96:AC$180,$I64))</f>
        <v>0</v>
      </c>
      <c r="AD64" s="10" cm="1">
        <f t="array" ref="AD64">IF(OR(AD$4=0, $G64&lt;&gt; $G$7, $E64=0), 'I&amp;E Monthly'!AD64, CHOOSE(Timeline!AD$30,$J64,$K64,$L64 )*INDEX('I&amp;E Profiles'!AD$96:AD$180,$I64))</f>
        <v>0</v>
      </c>
      <c r="AE64" s="10" cm="1">
        <f t="array" ref="AE64">IF(OR(AE$4=0, $G64&lt;&gt; $G$7, $E64=0), 'I&amp;E Monthly'!AE64, CHOOSE(Timeline!AE$30,$J64,$K64,$L64 )*INDEX('I&amp;E Profiles'!AE$96:AE$180,$I64))</f>
        <v>0</v>
      </c>
      <c r="AF64" s="10" cm="1">
        <f t="array" ref="AF64">IF(OR(AF$4=0, $G64&lt;&gt; $G$7, $E64=0), 'I&amp;E Monthly'!AF64, CHOOSE(Timeline!AF$30,$J64,$K64,$L64 )*INDEX('I&amp;E Profiles'!AF$96:AF$180,$I64))</f>
        <v>0</v>
      </c>
      <c r="AG64" s="10" cm="1">
        <f t="array" ref="AG64">IF(OR(AG$4=0, $G64&lt;&gt; $G$7, $E64=0), 'I&amp;E Monthly'!AG64, CHOOSE(Timeline!AG$30,$J64,$K64,$L64 )*INDEX('I&amp;E Profiles'!AG$96:AG$180,$I64))</f>
        <v>0</v>
      </c>
      <c r="AH64" s="10" cm="1">
        <f t="array" ref="AH64">IF(OR(AH$4=0, $G64&lt;&gt; $G$7, $E64=0), 'I&amp;E Monthly'!AH64, CHOOSE(Timeline!AH$30,$J64,$K64,$L64 )*INDEX('I&amp;E Profiles'!AH$96:AH$180,$I64))</f>
        <v>0</v>
      </c>
      <c r="AI64" s="10" cm="1">
        <f t="array" ref="AI64">IF(OR(AI$4=0, $G64&lt;&gt; $G$7, $E64=0), 'I&amp;E Monthly'!AI64, CHOOSE(Timeline!AI$30,$J64,$K64,$L64 )*INDEX('I&amp;E Profiles'!AI$96:AI$180,$I64))</f>
        <v>0</v>
      </c>
      <c r="AJ64" s="10" cm="1">
        <f t="array" ref="AJ64">IF(OR(AJ$4=0, $G64&lt;&gt; $G$7, $E64=0), 'I&amp;E Monthly'!AJ64, CHOOSE(Timeline!AJ$30,$J64,$K64,$L64 )*INDEX('I&amp;E Profiles'!AJ$96:AJ$180,$I64))</f>
        <v>0</v>
      </c>
      <c r="AK64" s="10" cm="1">
        <f t="array" ref="AK64">IF(OR(AK$4=0, $G64&lt;&gt; $G$7, $E64=0), 'I&amp;E Monthly'!AK64, CHOOSE(Timeline!AK$30,$J64,$K64,$L64 )*INDEX('I&amp;E Profiles'!AK$96:AK$180,$I64))</f>
        <v>0</v>
      </c>
      <c r="AL64" s="10" cm="1">
        <f t="array" ref="AL64">IF(OR(AL$4=0, $G64&lt;&gt; $G$7, $E64=0), 'I&amp;E Monthly'!AL64, CHOOSE(Timeline!AL$30,$J64,$K64,$L64 )*INDEX('I&amp;E Profiles'!AL$96:AL$180,$I64))</f>
        <v>0</v>
      </c>
      <c r="AM64" s="10" cm="1">
        <f t="array" ref="AM64">IF(OR(AM$4=0, $G64&lt;&gt; $G$7, $E64=0), 'I&amp;E Monthly'!AM64, CHOOSE(Timeline!AM$30,$J64,$K64,$L64 )*INDEX('I&amp;E Profiles'!AM$96:AM$180,$I64))</f>
        <v>0</v>
      </c>
      <c r="AN64" s="10" cm="1">
        <f t="array" ref="AN64">IF(OR(AN$4=0, $G64&lt;&gt; $G$7, $E64=0), 'I&amp;E Monthly'!AN64, CHOOSE(Timeline!AN$30,$J64,$K64,$L64 )*INDEX('I&amp;E Profiles'!AN$96:AN$180,$I64))</f>
        <v>0</v>
      </c>
      <c r="AO64" s="10" cm="1">
        <f t="array" ref="AO64">IF(OR(AO$4=0, $G64&lt;&gt; $G$7, $E64=0), 'I&amp;E Monthly'!AO64, CHOOSE(Timeline!AO$30,$J64,$K64,$L64 )*INDEX('I&amp;E Profiles'!AO$96:AO$180,$I64))</f>
        <v>0</v>
      </c>
      <c r="AP64" s="10" cm="1">
        <f t="array" ref="AP64">IF(OR(AP$4=0, $G64&lt;&gt; $G$7, $E64=0), 'I&amp;E Monthly'!AP64, CHOOSE(Timeline!AP$30,$J64,$K64,$L64 )*INDEX('I&amp;E Profiles'!AP$96:AP$180,$I64))</f>
        <v>0</v>
      </c>
      <c r="AQ64" s="10" cm="1">
        <f t="array" ref="AQ64">IF(OR(AQ$4=0, $G64&lt;&gt; $G$7, $E64=0), 'I&amp;E Monthly'!AQ64, CHOOSE(Timeline!AQ$30,$J64,$K64,$L64 )*INDEX('I&amp;E Profiles'!AQ$96:AQ$180,$I64))</f>
        <v>0</v>
      </c>
      <c r="AR64" s="10" cm="1">
        <f t="array" ref="AR64">IF(OR(AR$4=0, $G64&lt;&gt; $G$7, $E64=0), 'I&amp;E Monthly'!AR64, CHOOSE(Timeline!AR$30,$J64,$K64,$L64 )*INDEX('I&amp;E Profiles'!AR$96:AR$180,$I64))</f>
        <v>0</v>
      </c>
      <c r="AS64" s="10" cm="1">
        <f t="array" ref="AS64">IF(OR(AS$4=0, $G64&lt;&gt; $G$7, $E64=0), 'I&amp;E Monthly'!AS64, CHOOSE(Timeline!AS$30,$J64,$K64,$L64 )*INDEX('I&amp;E Profiles'!AS$96:AS$180,$I64))</f>
        <v>0</v>
      </c>
      <c r="AT64" s="10" cm="1">
        <f t="array" ref="AT64">IF(OR(AT$4=0, $G64&lt;&gt; $G$7, $E64=0), 'I&amp;E Monthly'!AT64, CHOOSE(Timeline!AT$30,$J64,$K64,$L64 )*INDEX('I&amp;E Profiles'!AT$96:AT$180,$I64))</f>
        <v>0</v>
      </c>
      <c r="AU64" s="10" cm="1">
        <f t="array" ref="AU64">IF(OR(AU$4=0, $G64&lt;&gt; $G$7, $E64=0), 'I&amp;E Monthly'!AU64, CHOOSE(Timeline!AU$30,$J64,$K64,$L64 )*INDEX('I&amp;E Profiles'!AU$96:AU$180,$I64))</f>
        <v>0</v>
      </c>
      <c r="AV64" s="10" cm="1">
        <f t="array" ref="AV64">IF(OR(AV$4=0, $G64&lt;&gt; $G$7, $E64=0), 'I&amp;E Monthly'!AV64, CHOOSE(Timeline!AV$30,$J64,$K64,$L64 )*INDEX('I&amp;E Profiles'!AV$96:AV$180,$I64))</f>
        <v>0</v>
      </c>
      <c r="AW64" s="10" cm="1">
        <f t="array" ref="AW64">IF(OR(AW$4=0, $G64&lt;&gt; $G$7, $E64=0), 'I&amp;E Monthly'!AW64, CHOOSE(Timeline!AW$30,$J64,$K64,$L64 )*INDEX('I&amp;E Profiles'!AW$96:AW$180,$I64))</f>
        <v>0</v>
      </c>
      <c r="AX64" s="10" cm="1">
        <f t="array" ref="AX64">IF(OR(AX$4=0, $G64&lt;&gt; $G$7, $E64=0), 'I&amp;E Monthly'!AX64, CHOOSE(Timeline!AX$30,$J64,$K64,$L64 )*INDEX('I&amp;E Profiles'!AX$96:AX$180,$I64))</f>
        <v>0</v>
      </c>
      <c r="AY64" s="10" cm="1">
        <f t="array" ref="AY64">IF(OR(AY$4=0, $G64&lt;&gt; $G$7, $E64=0), 'I&amp;E Monthly'!AY64, CHOOSE(Timeline!AY$30,$J64,$K64,$L64 )*INDEX('I&amp;E Profiles'!AY$96:AY$180,$I64))</f>
        <v>0</v>
      </c>
      <c r="AZ64" s="10" cm="1">
        <f t="array" ref="AZ64">IF(OR(AZ$4=0, $G64&lt;&gt; $G$7, $E64=0), 'I&amp;E Monthly'!AZ64, CHOOSE(Timeline!AZ$30,$J64,$K64,$L64 )*INDEX('I&amp;E Profiles'!AZ$96:AZ$180,$I64))</f>
        <v>0</v>
      </c>
      <c r="BA64" s="10" cm="1">
        <f t="array" ref="BA64">IF(OR(BA$4=0, $G64&lt;&gt; $G$7, $E64=0), 'I&amp;E Monthly'!BA64, CHOOSE(Timeline!BA$30,$J64,$K64,$L64 )*INDEX('I&amp;E Profiles'!BA$96:BA$180,$I64))</f>
        <v>0</v>
      </c>
      <c r="BB64" s="10" cm="1">
        <f t="array" ref="BB64">IF(OR(BB$4=0, $G64&lt;&gt; $G$7, $E64=0), 'I&amp;E Monthly'!BB64, CHOOSE(Timeline!BB$30,$J64,$K64,$L64 )*INDEX('I&amp;E Profiles'!BB$96:BB$180,$I64))</f>
        <v>0</v>
      </c>
      <c r="BC64" s="10" cm="1">
        <f t="array" ref="BC64">IF(OR(BC$4=0, $G64&lt;&gt; $G$7, $E64=0), 'I&amp;E Monthly'!BC64, CHOOSE(Timeline!BC$30,$J64,$K64,$L64 )*INDEX('I&amp;E Profiles'!BC$96:BC$180,$I64))</f>
        <v>0</v>
      </c>
      <c r="BD64" s="10" cm="1">
        <f t="array" ref="BD64">IF(OR(BD$4=0, $G64&lt;&gt; $G$7, $E64=0), 'I&amp;E Monthly'!BD64, CHOOSE(Timeline!BD$30,$J64,$K64,$L64 )*INDEX('I&amp;E Profiles'!BD$96:BD$180,$I64))</f>
        <v>0</v>
      </c>
      <c r="BE64" s="10" cm="1">
        <f t="array" ref="BE64">IF(OR(BE$4=0, $G64&lt;&gt; $G$7, $E64=0), 'I&amp;E Monthly'!BE64, CHOOSE(Timeline!BE$30,$J64,$K64,$L64 )*INDEX('I&amp;E Profiles'!BE$96:BE$180,$I64))</f>
        <v>0</v>
      </c>
      <c r="BF64" s="10" cm="1">
        <f t="array" ref="BF64">IF(OR(BF$4=0, $G64&lt;&gt; $G$7, $E64=0), 'I&amp;E Monthly'!BF64, CHOOSE(Timeline!BF$30,$J64,$K64,$L64 )*INDEX('I&amp;E Profiles'!BF$96:BF$180,$I64))</f>
        <v>0</v>
      </c>
      <c r="BG64" s="10" cm="1">
        <f t="array" ref="BG64">IF(OR(BG$4=0, $G64&lt;&gt; $G$7, $E64=0), 'I&amp;E Monthly'!BG64, CHOOSE(Timeline!BG$30,$J64,$K64,$L64 )*INDEX('I&amp;E Profiles'!BG$96:BG$180,$I64))</f>
        <v>0</v>
      </c>
      <c r="BH64" s="10" cm="1">
        <f t="array" ref="BH64">IF(OR(BH$4=0, $G64&lt;&gt; $G$7, $E64=0), 'I&amp;E Monthly'!BH64, CHOOSE(Timeline!BH$30,$J64,$K64,$L64 )*INDEX('I&amp;E Profiles'!BH$96:BH$180,$I64))</f>
        <v>0</v>
      </c>
      <c r="BI64" s="10" cm="1">
        <f t="array" ref="BI64">IF(OR(BI$4=0, $G64&lt;&gt; $G$7, $E64=0), 'I&amp;E Monthly'!BI64, CHOOSE(Timeline!BI$30,$J64,$K64,$L64 )*INDEX('I&amp;E Profiles'!BI$96:BI$180,$I64))</f>
        <v>0</v>
      </c>
      <c r="BJ64" s="10" cm="1">
        <f t="array" ref="BJ64">IF(OR(BJ$4=0, $G64&lt;&gt; $G$7, $E64=0), 'I&amp;E Monthly'!BJ64, CHOOSE(Timeline!BJ$30,$J64,$K64,$L64 )*INDEX('I&amp;E Profiles'!BJ$96:BJ$180,$I64))</f>
        <v>0</v>
      </c>
      <c r="BX64" s="12">
        <f t="shared" ref="BX64:BX73" si="77">V64</f>
        <v>0</v>
      </c>
      <c r="BY64" s="10">
        <f t="shared" ref="BY64:CA73" si="78">SUMIFS($AA64:$BJ64, $AA$3:$BJ$3,BY$3)</f>
        <v>0</v>
      </c>
      <c r="BZ64" s="10">
        <f t="shared" si="78"/>
        <v>0</v>
      </c>
      <c r="CA64" s="10">
        <f t="shared" si="78"/>
        <v>0</v>
      </c>
      <c r="CB64" s="12">
        <f>'I&amp;E Monthly'!CB64</f>
        <v>0</v>
      </c>
      <c r="CC64" s="12">
        <f>'I&amp;E Monthly'!CC64</f>
        <v>0</v>
      </c>
      <c r="CD64" s="12">
        <f>'I&amp;E Monthly'!CD64</f>
        <v>0</v>
      </c>
      <c r="CE64" s="12">
        <f>'I&amp;E Monthly'!CE64</f>
        <v>0</v>
      </c>
      <c r="CF64" s="12">
        <f>'I&amp;E Monthly'!CF64</f>
        <v>0</v>
      </c>
      <c r="CG64" s="12">
        <f>'I&amp;E Monthly'!CG64</f>
        <v>0</v>
      </c>
      <c r="CH64" s="12">
        <f>'I&amp;E Monthly'!CH64</f>
        <v>0</v>
      </c>
      <c r="CI64" s="12">
        <f>'I&amp;E Monthly'!CI64</f>
        <v>0</v>
      </c>
      <c r="CK64" s="11"/>
      <c r="CL64" s="221">
        <f t="shared" ref="CL64:CL74" ca="1" si="79">IF(MIN($V64:$CI64)&lt;0, 1, 0)*$I$7</f>
        <v>0</v>
      </c>
      <c r="CM64" s="11"/>
      <c r="CN64" s="7">
        <f t="shared" ref="CN64:CN73" si="80">IF(AND($G64=$G$7,$E64=""), 1, 0)</f>
        <v>0</v>
      </c>
      <c r="CO64" s="7" cm="1">
        <f t="array" ref="CO64">SUMPRODUCT(--NOT(ISNUMBER(W64:Y64)),--NOT(ISBLANK(W64:Y64)))</f>
        <v>0</v>
      </c>
      <c r="CP64" s="7" cm="1">
        <f t="array" ref="CP64">IF(E64="",0, IF(IFERROR(INDEX('I&amp;E Profiles'!$D$96:$D$180, $I64), "N/A")="N/A", 1, 0))</f>
        <v>0</v>
      </c>
      <c r="CQ64" s="7">
        <f t="shared" ref="CQ64:CQ74" si="81">IF(SUM($CV64:$CX64)=0, 0, 1)</f>
        <v>0</v>
      </c>
      <c r="CS64" s="7">
        <f t="shared" ref="CS64:CS74" si="82">IF(SUM($CY64:$DA64)=0, 0, 1)</f>
        <v>0</v>
      </c>
      <c r="CT64" s="7">
        <f t="shared" ref="CT64:CT74" si="83">IF(DB64=0, 0, 1)</f>
        <v>0</v>
      </c>
      <c r="CU64" s="11"/>
      <c r="CV64" s="215">
        <f t="shared" ref="CV64:CV74" si="84">IF($G64=$G$7, ROUND(W64-SUMIFS($AA64:$BJ64, $AA$3:$BJ$3, W$3), rounding), 0)</f>
        <v>0</v>
      </c>
      <c r="CW64" s="215">
        <f t="shared" ref="CW64:CW74" si="85">IF($G64=$G$7, ROUND(X64-SUMIFS($AA64:$BJ64, $AA$3:$BJ$3, X$3), rounding), 0)</f>
        <v>0</v>
      </c>
      <c r="CX64" s="215">
        <f t="shared" ref="CX64:CX74" si="86">IF($G64=$G$7, ROUND(Y64-SUMIFS($AA64:$BJ64, $AA$3:$BJ$3, Y$3), rounding), 0)</f>
        <v>0</v>
      </c>
      <c r="CY64" s="215">
        <f t="shared" ref="CY64:CY74" si="87">ROUND($BY64-SUMIFS($AA64:$BJ64, $AA$3:$BJ$3, $BY$3), rounding)</f>
        <v>0</v>
      </c>
      <c r="CZ64" s="215">
        <f t="shared" ref="CZ64:CZ74" si="88">ROUND($BZ64-SUMIFS($AA64:$BJ64, $AA$3:$BJ$3, $BZ$3), rounding)</f>
        <v>0</v>
      </c>
      <c r="DA64" s="215">
        <f t="shared" ref="DA64:DA74" si="89">ROUND($CA64-SUMIFS($AA64:$BJ64, $AA$3:$BJ$3, $CA$3), rounding)</f>
        <v>0</v>
      </c>
      <c r="DB64" s="215">
        <f t="shared" ref="DB64:DB74" si="90">ROUND($V64-$BX64, rounding)</f>
        <v>0</v>
      </c>
      <c r="FN64" s="10" t="str">
        <f t="shared" si="40"/>
        <v>Full cost provision</v>
      </c>
    </row>
    <row r="65" spans="1:170" x14ac:dyDescent="0.35">
      <c r="A65" s="220" cm="1">
        <f t="array" aca="1" ref="A65" ca="1">HYPERLINK(CONCATENATE("#",CELL("address",IF(MAX($CM65:$CU65)=0,A65,INDEX($CM65:$CU65,MATCH(1,$CM65:$CU65,0))))),MAX($CM65:$CU65))</f>
        <v>0</v>
      </c>
      <c r="C65" s="213" t="s">
        <v>517</v>
      </c>
      <c r="D65" s="57" t="s">
        <v>369</v>
      </c>
      <c r="E65" s="114"/>
      <c r="F65" s="79" t="str" cm="1">
        <f t="array" aca="1" ref="F65" ca="1">IF(E65="", "", HYPERLINK(CONCATENATE("#",CELL("address",INDEX('I&amp;E Profiles'!$D$9:$D$93,'I&amp;E Annual'!I65))),E65))</f>
        <v/>
      </c>
      <c r="G65" s="114"/>
      <c r="H65" t="s">
        <v>317</v>
      </c>
      <c r="I65" s="132" t="str">
        <f>IF(E65="", "", MATCH(E65, 'I&amp;E Profiles'!$D$96:$D$180,0))</f>
        <v/>
      </c>
      <c r="J65" s="133">
        <f>IF($G65=$G$7, W65,'I&amp;E Monthly'!W65)-SUMIFS('I&amp;E Monthly'!$AA65:$BJ65, 'I&amp;E Monthly'!$AA$3:$BJ$3, 'I&amp;E Annual'!W$3, 'I&amp;E Monthly'!$AA$4:$BJ$4, 0)</f>
        <v>0</v>
      </c>
      <c r="K65" s="133">
        <f>IF($G65=$G$7, X65,'I&amp;E Monthly'!X65)-SUMIFS('I&amp;E Monthly'!$AA65:$BJ65, 'I&amp;E Monthly'!$AA$3:$BJ$3, 'I&amp;E Annual'!X$3, 'I&amp;E Monthly'!$AA$4:$BJ$4, 0)</f>
        <v>0</v>
      </c>
      <c r="L65" s="133">
        <f>IF($G65=$G$7, Y65,'I&amp;E Monthly'!Y65)-SUMIFS('I&amp;E Monthly'!$AA65:$BJ65, 'I&amp;E Monthly'!$AA$3:$BJ$3, 'I&amp;E Annual'!Y$3, 'I&amp;E Monthly'!$AA$4:$BJ$4, 0)</f>
        <v>0</v>
      </c>
      <c r="Q65" s="2"/>
      <c r="V65" s="133">
        <f>'I&amp;E Monthly'!V65</f>
        <v>0</v>
      </c>
      <c r="W65" s="114"/>
      <c r="X65" s="131"/>
      <c r="Y65" s="131"/>
      <c r="AA65" s="10" cm="1">
        <f t="array" ref="AA65">IF(OR(AA$4=0, $G65&lt;&gt; $G$7, $E65=0), 'I&amp;E Monthly'!AA65, CHOOSE(Timeline!AA$30,$J65,$K65,$L65 )*INDEX('I&amp;E Profiles'!AA$96:AA$180,$I65))</f>
        <v>0</v>
      </c>
      <c r="AB65" s="10" cm="1">
        <f t="array" ref="AB65">IF(OR(AB$4=0, $G65&lt;&gt; $G$7, $E65=0), 'I&amp;E Monthly'!AB65, CHOOSE(Timeline!AB$30,$J65,$K65,$L65 )*INDEX('I&amp;E Profiles'!AB$96:AB$180,$I65))</f>
        <v>0</v>
      </c>
      <c r="AC65" s="10" cm="1">
        <f t="array" ref="AC65">IF(OR(AC$4=0, $G65&lt;&gt; $G$7, $E65=0), 'I&amp;E Monthly'!AC65, CHOOSE(Timeline!AC$30,$J65,$K65,$L65 )*INDEX('I&amp;E Profiles'!AC$96:AC$180,$I65))</f>
        <v>0</v>
      </c>
      <c r="AD65" s="10" cm="1">
        <f t="array" ref="AD65">IF(OR(AD$4=0, $G65&lt;&gt; $G$7, $E65=0), 'I&amp;E Monthly'!AD65, CHOOSE(Timeline!AD$30,$J65,$K65,$L65 )*INDEX('I&amp;E Profiles'!AD$96:AD$180,$I65))</f>
        <v>0</v>
      </c>
      <c r="AE65" s="10" cm="1">
        <f t="array" ref="AE65">IF(OR(AE$4=0, $G65&lt;&gt; $G$7, $E65=0), 'I&amp;E Monthly'!AE65, CHOOSE(Timeline!AE$30,$J65,$K65,$L65 )*INDEX('I&amp;E Profiles'!AE$96:AE$180,$I65))</f>
        <v>0</v>
      </c>
      <c r="AF65" s="10" cm="1">
        <f t="array" ref="AF65">IF(OR(AF$4=0, $G65&lt;&gt; $G$7, $E65=0), 'I&amp;E Monthly'!AF65, CHOOSE(Timeline!AF$30,$J65,$K65,$L65 )*INDEX('I&amp;E Profiles'!AF$96:AF$180,$I65))</f>
        <v>0</v>
      </c>
      <c r="AG65" s="10" cm="1">
        <f t="array" ref="AG65">IF(OR(AG$4=0, $G65&lt;&gt; $G$7, $E65=0), 'I&amp;E Monthly'!AG65, CHOOSE(Timeline!AG$30,$J65,$K65,$L65 )*INDEX('I&amp;E Profiles'!AG$96:AG$180,$I65))</f>
        <v>0</v>
      </c>
      <c r="AH65" s="10" cm="1">
        <f t="array" ref="AH65">IF(OR(AH$4=0, $G65&lt;&gt; $G$7, $E65=0), 'I&amp;E Monthly'!AH65, CHOOSE(Timeline!AH$30,$J65,$K65,$L65 )*INDEX('I&amp;E Profiles'!AH$96:AH$180,$I65))</f>
        <v>0</v>
      </c>
      <c r="AI65" s="10" cm="1">
        <f t="array" ref="AI65">IF(OR(AI$4=0, $G65&lt;&gt; $G$7, $E65=0), 'I&amp;E Monthly'!AI65, CHOOSE(Timeline!AI$30,$J65,$K65,$L65 )*INDEX('I&amp;E Profiles'!AI$96:AI$180,$I65))</f>
        <v>0</v>
      </c>
      <c r="AJ65" s="10" cm="1">
        <f t="array" ref="AJ65">IF(OR(AJ$4=0, $G65&lt;&gt; $G$7, $E65=0), 'I&amp;E Monthly'!AJ65, CHOOSE(Timeline!AJ$30,$J65,$K65,$L65 )*INDEX('I&amp;E Profiles'!AJ$96:AJ$180,$I65))</f>
        <v>0</v>
      </c>
      <c r="AK65" s="10" cm="1">
        <f t="array" ref="AK65">IF(OR(AK$4=0, $G65&lt;&gt; $G$7, $E65=0), 'I&amp;E Monthly'!AK65, CHOOSE(Timeline!AK$30,$J65,$K65,$L65 )*INDEX('I&amp;E Profiles'!AK$96:AK$180,$I65))</f>
        <v>0</v>
      </c>
      <c r="AL65" s="10" cm="1">
        <f t="array" ref="AL65">IF(OR(AL$4=0, $G65&lt;&gt; $G$7, $E65=0), 'I&amp;E Monthly'!AL65, CHOOSE(Timeline!AL$30,$J65,$K65,$L65 )*INDEX('I&amp;E Profiles'!AL$96:AL$180,$I65))</f>
        <v>0</v>
      </c>
      <c r="AM65" s="10" cm="1">
        <f t="array" ref="AM65">IF(OR(AM$4=0, $G65&lt;&gt; $G$7, $E65=0), 'I&amp;E Monthly'!AM65, CHOOSE(Timeline!AM$30,$J65,$K65,$L65 )*INDEX('I&amp;E Profiles'!AM$96:AM$180,$I65))</f>
        <v>0</v>
      </c>
      <c r="AN65" s="10" cm="1">
        <f t="array" ref="AN65">IF(OR(AN$4=0, $G65&lt;&gt; $G$7, $E65=0), 'I&amp;E Monthly'!AN65, CHOOSE(Timeline!AN$30,$J65,$K65,$L65 )*INDEX('I&amp;E Profiles'!AN$96:AN$180,$I65))</f>
        <v>0</v>
      </c>
      <c r="AO65" s="10" cm="1">
        <f t="array" ref="AO65">IF(OR(AO$4=0, $G65&lt;&gt; $G$7, $E65=0), 'I&amp;E Monthly'!AO65, CHOOSE(Timeline!AO$30,$J65,$K65,$L65 )*INDEX('I&amp;E Profiles'!AO$96:AO$180,$I65))</f>
        <v>0</v>
      </c>
      <c r="AP65" s="10" cm="1">
        <f t="array" ref="AP65">IF(OR(AP$4=0, $G65&lt;&gt; $G$7, $E65=0), 'I&amp;E Monthly'!AP65, CHOOSE(Timeline!AP$30,$J65,$K65,$L65 )*INDEX('I&amp;E Profiles'!AP$96:AP$180,$I65))</f>
        <v>0</v>
      </c>
      <c r="AQ65" s="10" cm="1">
        <f t="array" ref="AQ65">IF(OR(AQ$4=0, $G65&lt;&gt; $G$7, $E65=0), 'I&amp;E Monthly'!AQ65, CHOOSE(Timeline!AQ$30,$J65,$K65,$L65 )*INDEX('I&amp;E Profiles'!AQ$96:AQ$180,$I65))</f>
        <v>0</v>
      </c>
      <c r="AR65" s="10" cm="1">
        <f t="array" ref="AR65">IF(OR(AR$4=0, $G65&lt;&gt; $G$7, $E65=0), 'I&amp;E Monthly'!AR65, CHOOSE(Timeline!AR$30,$J65,$K65,$L65 )*INDEX('I&amp;E Profiles'!AR$96:AR$180,$I65))</f>
        <v>0</v>
      </c>
      <c r="AS65" s="10" cm="1">
        <f t="array" ref="AS65">IF(OR(AS$4=0, $G65&lt;&gt; $G$7, $E65=0), 'I&amp;E Monthly'!AS65, CHOOSE(Timeline!AS$30,$J65,$K65,$L65 )*INDEX('I&amp;E Profiles'!AS$96:AS$180,$I65))</f>
        <v>0</v>
      </c>
      <c r="AT65" s="10" cm="1">
        <f t="array" ref="AT65">IF(OR(AT$4=0, $G65&lt;&gt; $G$7, $E65=0), 'I&amp;E Monthly'!AT65, CHOOSE(Timeline!AT$30,$J65,$K65,$L65 )*INDEX('I&amp;E Profiles'!AT$96:AT$180,$I65))</f>
        <v>0</v>
      </c>
      <c r="AU65" s="10" cm="1">
        <f t="array" ref="AU65">IF(OR(AU$4=0, $G65&lt;&gt; $G$7, $E65=0), 'I&amp;E Monthly'!AU65, CHOOSE(Timeline!AU$30,$J65,$K65,$L65 )*INDEX('I&amp;E Profiles'!AU$96:AU$180,$I65))</f>
        <v>0</v>
      </c>
      <c r="AV65" s="10" cm="1">
        <f t="array" ref="AV65">IF(OR(AV$4=0, $G65&lt;&gt; $G$7, $E65=0), 'I&amp;E Monthly'!AV65, CHOOSE(Timeline!AV$30,$J65,$K65,$L65 )*INDEX('I&amp;E Profiles'!AV$96:AV$180,$I65))</f>
        <v>0</v>
      </c>
      <c r="AW65" s="10" cm="1">
        <f t="array" ref="AW65">IF(OR(AW$4=0, $G65&lt;&gt; $G$7, $E65=0), 'I&amp;E Monthly'!AW65, CHOOSE(Timeline!AW$30,$J65,$K65,$L65 )*INDEX('I&amp;E Profiles'!AW$96:AW$180,$I65))</f>
        <v>0</v>
      </c>
      <c r="AX65" s="10" cm="1">
        <f t="array" ref="AX65">IF(OR(AX$4=0, $G65&lt;&gt; $G$7, $E65=0), 'I&amp;E Monthly'!AX65, CHOOSE(Timeline!AX$30,$J65,$K65,$L65 )*INDEX('I&amp;E Profiles'!AX$96:AX$180,$I65))</f>
        <v>0</v>
      </c>
      <c r="AY65" s="10" cm="1">
        <f t="array" ref="AY65">IF(OR(AY$4=0, $G65&lt;&gt; $G$7, $E65=0), 'I&amp;E Monthly'!AY65, CHOOSE(Timeline!AY$30,$J65,$K65,$L65 )*INDEX('I&amp;E Profiles'!AY$96:AY$180,$I65))</f>
        <v>0</v>
      </c>
      <c r="AZ65" s="10" cm="1">
        <f t="array" ref="AZ65">IF(OR(AZ$4=0, $G65&lt;&gt; $G$7, $E65=0), 'I&amp;E Monthly'!AZ65, CHOOSE(Timeline!AZ$30,$J65,$K65,$L65 )*INDEX('I&amp;E Profiles'!AZ$96:AZ$180,$I65))</f>
        <v>0</v>
      </c>
      <c r="BA65" s="10" cm="1">
        <f t="array" ref="BA65">IF(OR(BA$4=0, $G65&lt;&gt; $G$7, $E65=0), 'I&amp;E Monthly'!BA65, CHOOSE(Timeline!BA$30,$J65,$K65,$L65 )*INDEX('I&amp;E Profiles'!BA$96:BA$180,$I65))</f>
        <v>0</v>
      </c>
      <c r="BB65" s="10" cm="1">
        <f t="array" ref="BB65">IF(OR(BB$4=0, $G65&lt;&gt; $G$7, $E65=0), 'I&amp;E Monthly'!BB65, CHOOSE(Timeline!BB$30,$J65,$K65,$L65 )*INDEX('I&amp;E Profiles'!BB$96:BB$180,$I65))</f>
        <v>0</v>
      </c>
      <c r="BC65" s="10" cm="1">
        <f t="array" ref="BC65">IF(OR(BC$4=0, $G65&lt;&gt; $G$7, $E65=0), 'I&amp;E Monthly'!BC65, CHOOSE(Timeline!BC$30,$J65,$K65,$L65 )*INDEX('I&amp;E Profiles'!BC$96:BC$180,$I65))</f>
        <v>0</v>
      </c>
      <c r="BD65" s="10" cm="1">
        <f t="array" ref="BD65">IF(OR(BD$4=0, $G65&lt;&gt; $G$7, $E65=0), 'I&amp;E Monthly'!BD65, CHOOSE(Timeline!BD$30,$J65,$K65,$L65 )*INDEX('I&amp;E Profiles'!BD$96:BD$180,$I65))</f>
        <v>0</v>
      </c>
      <c r="BE65" s="10" cm="1">
        <f t="array" ref="BE65">IF(OR(BE$4=0, $G65&lt;&gt; $G$7, $E65=0), 'I&amp;E Monthly'!BE65, CHOOSE(Timeline!BE$30,$J65,$K65,$L65 )*INDEX('I&amp;E Profiles'!BE$96:BE$180,$I65))</f>
        <v>0</v>
      </c>
      <c r="BF65" s="10" cm="1">
        <f t="array" ref="BF65">IF(OR(BF$4=0, $G65&lt;&gt; $G$7, $E65=0), 'I&amp;E Monthly'!BF65, CHOOSE(Timeline!BF$30,$J65,$K65,$L65 )*INDEX('I&amp;E Profiles'!BF$96:BF$180,$I65))</f>
        <v>0</v>
      </c>
      <c r="BG65" s="10" cm="1">
        <f t="array" ref="BG65">IF(OR(BG$4=0, $G65&lt;&gt; $G$7, $E65=0), 'I&amp;E Monthly'!BG65, CHOOSE(Timeline!BG$30,$J65,$K65,$L65 )*INDEX('I&amp;E Profiles'!BG$96:BG$180,$I65))</f>
        <v>0</v>
      </c>
      <c r="BH65" s="10" cm="1">
        <f t="array" ref="BH65">IF(OR(BH$4=0, $G65&lt;&gt; $G$7, $E65=0), 'I&amp;E Monthly'!BH65, CHOOSE(Timeline!BH$30,$J65,$K65,$L65 )*INDEX('I&amp;E Profiles'!BH$96:BH$180,$I65))</f>
        <v>0</v>
      </c>
      <c r="BI65" s="10" cm="1">
        <f t="array" ref="BI65">IF(OR(BI$4=0, $G65&lt;&gt; $G$7, $E65=0), 'I&amp;E Monthly'!BI65, CHOOSE(Timeline!BI$30,$J65,$K65,$L65 )*INDEX('I&amp;E Profiles'!BI$96:BI$180,$I65))</f>
        <v>0</v>
      </c>
      <c r="BJ65" s="10" cm="1">
        <f t="array" ref="BJ65">IF(OR(BJ$4=0, $G65&lt;&gt; $G$7, $E65=0), 'I&amp;E Monthly'!BJ65, CHOOSE(Timeline!BJ$30,$J65,$K65,$L65 )*INDEX('I&amp;E Profiles'!BJ$96:BJ$180,$I65))</f>
        <v>0</v>
      </c>
      <c r="BX65" s="12">
        <f t="shared" si="77"/>
        <v>0</v>
      </c>
      <c r="BY65" s="10">
        <f t="shared" si="78"/>
        <v>0</v>
      </c>
      <c r="BZ65" s="10">
        <f t="shared" si="78"/>
        <v>0</v>
      </c>
      <c r="CA65" s="10">
        <f t="shared" si="78"/>
        <v>0</v>
      </c>
      <c r="CB65" s="12">
        <f>'I&amp;E Monthly'!CB65</f>
        <v>0</v>
      </c>
      <c r="CC65" s="12">
        <f>'I&amp;E Monthly'!CC65</f>
        <v>0</v>
      </c>
      <c r="CD65" s="12">
        <f>'I&amp;E Monthly'!CD65</f>
        <v>0</v>
      </c>
      <c r="CE65" s="12">
        <f>'I&amp;E Monthly'!CE65</f>
        <v>0</v>
      </c>
      <c r="CF65" s="12">
        <f>'I&amp;E Monthly'!CF65</f>
        <v>0</v>
      </c>
      <c r="CG65" s="12">
        <f>'I&amp;E Monthly'!CG65</f>
        <v>0</v>
      </c>
      <c r="CH65" s="12">
        <f>'I&amp;E Monthly'!CH65</f>
        <v>0</v>
      </c>
      <c r="CI65" s="12">
        <f>'I&amp;E Monthly'!CI65</f>
        <v>0</v>
      </c>
      <c r="CK65" s="11"/>
      <c r="CL65" s="221">
        <f t="shared" ca="1" si="79"/>
        <v>0</v>
      </c>
      <c r="CM65" s="11"/>
      <c r="CN65" s="7">
        <f t="shared" si="80"/>
        <v>0</v>
      </c>
      <c r="CO65" s="7" cm="1">
        <f t="array" ref="CO65">SUMPRODUCT(--NOT(ISNUMBER(W65:Y65)),--NOT(ISBLANK(W65:Y65)))</f>
        <v>0</v>
      </c>
      <c r="CP65" s="7" cm="1">
        <f t="array" ref="CP65">IF(E65="",0, IF(IFERROR(INDEX('I&amp;E Profiles'!$D$96:$D$180, $I65), "N/A")="N/A", 1, 0))</f>
        <v>0</v>
      </c>
      <c r="CQ65" s="7">
        <f t="shared" si="81"/>
        <v>0</v>
      </c>
      <c r="CS65" s="7">
        <f t="shared" si="82"/>
        <v>0</v>
      </c>
      <c r="CT65" s="7">
        <f t="shared" si="83"/>
        <v>0</v>
      </c>
      <c r="CU65" s="11"/>
      <c r="CV65" s="215">
        <f t="shared" si="84"/>
        <v>0</v>
      </c>
      <c r="CW65" s="215">
        <f t="shared" si="85"/>
        <v>0</v>
      </c>
      <c r="CX65" s="215">
        <f t="shared" si="86"/>
        <v>0</v>
      </c>
      <c r="CY65" s="215">
        <f t="shared" si="87"/>
        <v>0</v>
      </c>
      <c r="CZ65" s="215">
        <f t="shared" si="88"/>
        <v>0</v>
      </c>
      <c r="DA65" s="215">
        <f t="shared" si="89"/>
        <v>0</v>
      </c>
      <c r="DB65" s="215">
        <f t="shared" si="90"/>
        <v>0</v>
      </c>
      <c r="FN65" s="10" t="str">
        <f t="shared" si="40"/>
        <v>HE home student fees (not loans)</v>
      </c>
    </row>
    <row r="66" spans="1:170" x14ac:dyDescent="0.35">
      <c r="A66" s="220" cm="1">
        <f t="array" aca="1" ref="A66" ca="1">HYPERLINK(CONCATENATE("#",CELL("address",IF(MAX($CM66:$CU66)=0,A66,INDEX($CM66:$CU66,MATCH(1,$CM66:$CU66,0))))),MAX($CM66:$CU66))</f>
        <v>0</v>
      </c>
      <c r="B66" s="85" t="s">
        <v>122</v>
      </c>
      <c r="C66" s="213" t="s">
        <v>518</v>
      </c>
      <c r="D66" s="57" t="s">
        <v>370</v>
      </c>
      <c r="E66" s="114"/>
      <c r="F66" s="79" t="str" cm="1">
        <f t="array" aca="1" ref="F66" ca="1">IF(E66="", "", HYPERLINK(CONCATENATE("#",CELL("address",INDEX('I&amp;E Profiles'!$D$9:$D$93,'I&amp;E Annual'!I66))),E66))</f>
        <v/>
      </c>
      <c r="G66" s="114"/>
      <c r="H66" t="s">
        <v>317</v>
      </c>
      <c r="I66" s="132" t="str">
        <f>IF(E66="", "", MATCH(E66, 'I&amp;E Profiles'!$D$96:$D$180,0))</f>
        <v/>
      </c>
      <c r="J66" s="133">
        <f>IF($G66=$G$7, W66,'I&amp;E Monthly'!W66)-SUMIFS('I&amp;E Monthly'!$AA66:$BJ66, 'I&amp;E Monthly'!$AA$3:$BJ$3, 'I&amp;E Annual'!W$3, 'I&amp;E Monthly'!$AA$4:$BJ$4, 0)</f>
        <v>0</v>
      </c>
      <c r="K66" s="133">
        <f>IF($G66=$G$7, X66,'I&amp;E Monthly'!X66)-SUMIFS('I&amp;E Monthly'!$AA66:$BJ66, 'I&amp;E Monthly'!$AA$3:$BJ$3, 'I&amp;E Annual'!X$3, 'I&amp;E Monthly'!$AA$4:$BJ$4, 0)</f>
        <v>0</v>
      </c>
      <c r="L66" s="133">
        <f>IF($G66=$G$7, Y66,'I&amp;E Monthly'!Y66)-SUMIFS('I&amp;E Monthly'!$AA66:$BJ66, 'I&amp;E Monthly'!$AA$3:$BJ$3, 'I&amp;E Annual'!Y$3, 'I&amp;E Monthly'!$AA$4:$BJ$4, 0)</f>
        <v>0</v>
      </c>
      <c r="Q66" s="2"/>
      <c r="V66" s="133">
        <f>'I&amp;E Monthly'!V66</f>
        <v>0</v>
      </c>
      <c r="W66" s="114"/>
      <c r="X66" s="131"/>
      <c r="Y66" s="131"/>
      <c r="AA66" s="10" cm="1">
        <f t="array" ref="AA66">IF(OR(AA$4=0, $G66&lt;&gt; $G$7, $E66=0), 'I&amp;E Monthly'!AA66, CHOOSE(Timeline!AA$30,$J66,$K66,$L66 )*INDEX('I&amp;E Profiles'!AA$96:AA$180,$I66))</f>
        <v>0</v>
      </c>
      <c r="AB66" s="10" cm="1">
        <f t="array" ref="AB66">IF(OR(AB$4=0, $G66&lt;&gt; $G$7, $E66=0), 'I&amp;E Monthly'!AB66, CHOOSE(Timeline!AB$30,$J66,$K66,$L66 )*INDEX('I&amp;E Profiles'!AB$96:AB$180,$I66))</f>
        <v>0</v>
      </c>
      <c r="AC66" s="10" cm="1">
        <f t="array" ref="AC66">IF(OR(AC$4=0, $G66&lt;&gt; $G$7, $E66=0), 'I&amp;E Monthly'!AC66, CHOOSE(Timeline!AC$30,$J66,$K66,$L66 )*INDEX('I&amp;E Profiles'!AC$96:AC$180,$I66))</f>
        <v>0</v>
      </c>
      <c r="AD66" s="10" cm="1">
        <f t="array" ref="AD66">IF(OR(AD$4=0, $G66&lt;&gt; $G$7, $E66=0), 'I&amp;E Monthly'!AD66, CHOOSE(Timeline!AD$30,$J66,$K66,$L66 )*INDEX('I&amp;E Profiles'!AD$96:AD$180,$I66))</f>
        <v>0</v>
      </c>
      <c r="AE66" s="10" cm="1">
        <f t="array" ref="AE66">IF(OR(AE$4=0, $G66&lt;&gt; $G$7, $E66=0), 'I&amp;E Monthly'!AE66, CHOOSE(Timeline!AE$30,$J66,$K66,$L66 )*INDEX('I&amp;E Profiles'!AE$96:AE$180,$I66))</f>
        <v>0</v>
      </c>
      <c r="AF66" s="10" cm="1">
        <f t="array" ref="AF66">IF(OR(AF$4=0, $G66&lt;&gt; $G$7, $E66=0), 'I&amp;E Monthly'!AF66, CHOOSE(Timeline!AF$30,$J66,$K66,$L66 )*INDEX('I&amp;E Profiles'!AF$96:AF$180,$I66))</f>
        <v>0</v>
      </c>
      <c r="AG66" s="10" cm="1">
        <f t="array" ref="AG66">IF(OR(AG$4=0, $G66&lt;&gt; $G$7, $E66=0), 'I&amp;E Monthly'!AG66, CHOOSE(Timeline!AG$30,$J66,$K66,$L66 )*INDEX('I&amp;E Profiles'!AG$96:AG$180,$I66))</f>
        <v>0</v>
      </c>
      <c r="AH66" s="10" cm="1">
        <f t="array" ref="AH66">IF(OR(AH$4=0, $G66&lt;&gt; $G$7, $E66=0), 'I&amp;E Monthly'!AH66, CHOOSE(Timeline!AH$30,$J66,$K66,$L66 )*INDEX('I&amp;E Profiles'!AH$96:AH$180,$I66))</f>
        <v>0</v>
      </c>
      <c r="AI66" s="10" cm="1">
        <f t="array" ref="AI66">IF(OR(AI$4=0, $G66&lt;&gt; $G$7, $E66=0), 'I&amp;E Monthly'!AI66, CHOOSE(Timeline!AI$30,$J66,$K66,$L66 )*INDEX('I&amp;E Profiles'!AI$96:AI$180,$I66))</f>
        <v>0</v>
      </c>
      <c r="AJ66" s="10" cm="1">
        <f t="array" ref="AJ66">IF(OR(AJ$4=0, $G66&lt;&gt; $G$7, $E66=0), 'I&amp;E Monthly'!AJ66, CHOOSE(Timeline!AJ$30,$J66,$K66,$L66 )*INDEX('I&amp;E Profiles'!AJ$96:AJ$180,$I66))</f>
        <v>0</v>
      </c>
      <c r="AK66" s="10" cm="1">
        <f t="array" ref="AK66">IF(OR(AK$4=0, $G66&lt;&gt; $G$7, $E66=0), 'I&amp;E Monthly'!AK66, CHOOSE(Timeline!AK$30,$J66,$K66,$L66 )*INDEX('I&amp;E Profiles'!AK$96:AK$180,$I66))</f>
        <v>0</v>
      </c>
      <c r="AL66" s="10" cm="1">
        <f t="array" ref="AL66">IF(OR(AL$4=0, $G66&lt;&gt; $G$7, $E66=0), 'I&amp;E Monthly'!AL66, CHOOSE(Timeline!AL$30,$J66,$K66,$L66 )*INDEX('I&amp;E Profiles'!AL$96:AL$180,$I66))</f>
        <v>0</v>
      </c>
      <c r="AM66" s="10" cm="1">
        <f t="array" ref="AM66">IF(OR(AM$4=0, $G66&lt;&gt; $G$7, $E66=0), 'I&amp;E Monthly'!AM66, CHOOSE(Timeline!AM$30,$J66,$K66,$L66 )*INDEX('I&amp;E Profiles'!AM$96:AM$180,$I66))</f>
        <v>0</v>
      </c>
      <c r="AN66" s="10" cm="1">
        <f t="array" ref="AN66">IF(OR(AN$4=0, $G66&lt;&gt; $G$7, $E66=0), 'I&amp;E Monthly'!AN66, CHOOSE(Timeline!AN$30,$J66,$K66,$L66 )*INDEX('I&amp;E Profiles'!AN$96:AN$180,$I66))</f>
        <v>0</v>
      </c>
      <c r="AO66" s="10" cm="1">
        <f t="array" ref="AO66">IF(OR(AO$4=0, $G66&lt;&gt; $G$7, $E66=0), 'I&amp;E Monthly'!AO66, CHOOSE(Timeline!AO$30,$J66,$K66,$L66 )*INDEX('I&amp;E Profiles'!AO$96:AO$180,$I66))</f>
        <v>0</v>
      </c>
      <c r="AP66" s="10" cm="1">
        <f t="array" ref="AP66">IF(OR(AP$4=0, $G66&lt;&gt; $G$7, $E66=0), 'I&amp;E Monthly'!AP66, CHOOSE(Timeline!AP$30,$J66,$K66,$L66 )*INDEX('I&amp;E Profiles'!AP$96:AP$180,$I66))</f>
        <v>0</v>
      </c>
      <c r="AQ66" s="10" cm="1">
        <f t="array" ref="AQ66">IF(OR(AQ$4=0, $G66&lt;&gt; $G$7, $E66=0), 'I&amp;E Monthly'!AQ66, CHOOSE(Timeline!AQ$30,$J66,$K66,$L66 )*INDEX('I&amp;E Profiles'!AQ$96:AQ$180,$I66))</f>
        <v>0</v>
      </c>
      <c r="AR66" s="10" cm="1">
        <f t="array" ref="AR66">IF(OR(AR$4=0, $G66&lt;&gt; $G$7, $E66=0), 'I&amp;E Monthly'!AR66, CHOOSE(Timeline!AR$30,$J66,$K66,$L66 )*INDEX('I&amp;E Profiles'!AR$96:AR$180,$I66))</f>
        <v>0</v>
      </c>
      <c r="AS66" s="10" cm="1">
        <f t="array" ref="AS66">IF(OR(AS$4=0, $G66&lt;&gt; $G$7, $E66=0), 'I&amp;E Monthly'!AS66, CHOOSE(Timeline!AS$30,$J66,$K66,$L66 )*INDEX('I&amp;E Profiles'!AS$96:AS$180,$I66))</f>
        <v>0</v>
      </c>
      <c r="AT66" s="10" cm="1">
        <f t="array" ref="AT66">IF(OR(AT$4=0, $G66&lt;&gt; $G$7, $E66=0), 'I&amp;E Monthly'!AT66, CHOOSE(Timeline!AT$30,$J66,$K66,$L66 )*INDEX('I&amp;E Profiles'!AT$96:AT$180,$I66))</f>
        <v>0</v>
      </c>
      <c r="AU66" s="10" cm="1">
        <f t="array" ref="AU66">IF(OR(AU$4=0, $G66&lt;&gt; $G$7, $E66=0), 'I&amp;E Monthly'!AU66, CHOOSE(Timeline!AU$30,$J66,$K66,$L66 )*INDEX('I&amp;E Profiles'!AU$96:AU$180,$I66))</f>
        <v>0</v>
      </c>
      <c r="AV66" s="10" cm="1">
        <f t="array" ref="AV66">IF(OR(AV$4=0, $G66&lt;&gt; $G$7, $E66=0), 'I&amp;E Monthly'!AV66, CHOOSE(Timeline!AV$30,$J66,$K66,$L66 )*INDEX('I&amp;E Profiles'!AV$96:AV$180,$I66))</f>
        <v>0</v>
      </c>
      <c r="AW66" s="10" cm="1">
        <f t="array" ref="AW66">IF(OR(AW$4=0, $G66&lt;&gt; $G$7, $E66=0), 'I&amp;E Monthly'!AW66, CHOOSE(Timeline!AW$30,$J66,$K66,$L66 )*INDEX('I&amp;E Profiles'!AW$96:AW$180,$I66))</f>
        <v>0</v>
      </c>
      <c r="AX66" s="10" cm="1">
        <f t="array" ref="AX66">IF(OR(AX$4=0, $G66&lt;&gt; $G$7, $E66=0), 'I&amp;E Monthly'!AX66, CHOOSE(Timeline!AX$30,$J66,$K66,$L66 )*INDEX('I&amp;E Profiles'!AX$96:AX$180,$I66))</f>
        <v>0</v>
      </c>
      <c r="AY66" s="10" cm="1">
        <f t="array" ref="AY66">IF(OR(AY$4=0, $G66&lt;&gt; $G$7, $E66=0), 'I&amp;E Monthly'!AY66, CHOOSE(Timeline!AY$30,$J66,$K66,$L66 )*INDEX('I&amp;E Profiles'!AY$96:AY$180,$I66))</f>
        <v>0</v>
      </c>
      <c r="AZ66" s="10" cm="1">
        <f t="array" ref="AZ66">IF(OR(AZ$4=0, $G66&lt;&gt; $G$7, $E66=0), 'I&amp;E Monthly'!AZ66, CHOOSE(Timeline!AZ$30,$J66,$K66,$L66 )*INDEX('I&amp;E Profiles'!AZ$96:AZ$180,$I66))</f>
        <v>0</v>
      </c>
      <c r="BA66" s="10" cm="1">
        <f t="array" ref="BA66">IF(OR(BA$4=0, $G66&lt;&gt; $G$7, $E66=0), 'I&amp;E Monthly'!BA66, CHOOSE(Timeline!BA$30,$J66,$K66,$L66 )*INDEX('I&amp;E Profiles'!BA$96:BA$180,$I66))</f>
        <v>0</v>
      </c>
      <c r="BB66" s="10" cm="1">
        <f t="array" ref="BB66">IF(OR(BB$4=0, $G66&lt;&gt; $G$7, $E66=0), 'I&amp;E Monthly'!BB66, CHOOSE(Timeline!BB$30,$J66,$K66,$L66 )*INDEX('I&amp;E Profiles'!BB$96:BB$180,$I66))</f>
        <v>0</v>
      </c>
      <c r="BC66" s="10" cm="1">
        <f t="array" ref="BC66">IF(OR(BC$4=0, $G66&lt;&gt; $G$7, $E66=0), 'I&amp;E Monthly'!BC66, CHOOSE(Timeline!BC$30,$J66,$K66,$L66 )*INDEX('I&amp;E Profiles'!BC$96:BC$180,$I66))</f>
        <v>0</v>
      </c>
      <c r="BD66" s="10" cm="1">
        <f t="array" ref="BD66">IF(OR(BD$4=0, $G66&lt;&gt; $G$7, $E66=0), 'I&amp;E Monthly'!BD66, CHOOSE(Timeline!BD$30,$J66,$K66,$L66 )*INDEX('I&amp;E Profiles'!BD$96:BD$180,$I66))</f>
        <v>0</v>
      </c>
      <c r="BE66" s="10" cm="1">
        <f t="array" ref="BE66">IF(OR(BE$4=0, $G66&lt;&gt; $G$7, $E66=0), 'I&amp;E Monthly'!BE66, CHOOSE(Timeline!BE$30,$J66,$K66,$L66 )*INDEX('I&amp;E Profiles'!BE$96:BE$180,$I66))</f>
        <v>0</v>
      </c>
      <c r="BF66" s="10" cm="1">
        <f t="array" ref="BF66">IF(OR(BF$4=0, $G66&lt;&gt; $G$7, $E66=0), 'I&amp;E Monthly'!BF66, CHOOSE(Timeline!BF$30,$J66,$K66,$L66 )*INDEX('I&amp;E Profiles'!BF$96:BF$180,$I66))</f>
        <v>0</v>
      </c>
      <c r="BG66" s="10" cm="1">
        <f t="array" ref="BG66">IF(OR(BG$4=0, $G66&lt;&gt; $G$7, $E66=0), 'I&amp;E Monthly'!BG66, CHOOSE(Timeline!BG$30,$J66,$K66,$L66 )*INDEX('I&amp;E Profiles'!BG$96:BG$180,$I66))</f>
        <v>0</v>
      </c>
      <c r="BH66" s="10" cm="1">
        <f t="array" ref="BH66">IF(OR(BH$4=0, $G66&lt;&gt; $G$7, $E66=0), 'I&amp;E Monthly'!BH66, CHOOSE(Timeline!BH$30,$J66,$K66,$L66 )*INDEX('I&amp;E Profiles'!BH$96:BH$180,$I66))</f>
        <v>0</v>
      </c>
      <c r="BI66" s="10" cm="1">
        <f t="array" ref="BI66">IF(OR(BI$4=0, $G66&lt;&gt; $G$7, $E66=0), 'I&amp;E Monthly'!BI66, CHOOSE(Timeline!BI$30,$J66,$K66,$L66 )*INDEX('I&amp;E Profiles'!BI$96:BI$180,$I66))</f>
        <v>0</v>
      </c>
      <c r="BJ66" s="10" cm="1">
        <f t="array" ref="BJ66">IF(OR(BJ$4=0, $G66&lt;&gt; $G$7, $E66=0), 'I&amp;E Monthly'!BJ66, CHOOSE(Timeline!BJ$30,$J66,$K66,$L66 )*INDEX('I&amp;E Profiles'!BJ$96:BJ$180,$I66))</f>
        <v>0</v>
      </c>
      <c r="BX66" s="12">
        <f t="shared" si="77"/>
        <v>0</v>
      </c>
      <c r="BY66" s="10">
        <f t="shared" si="78"/>
        <v>0</v>
      </c>
      <c r="BZ66" s="10">
        <f t="shared" si="78"/>
        <v>0</v>
      </c>
      <c r="CA66" s="10">
        <f t="shared" si="78"/>
        <v>0</v>
      </c>
      <c r="CB66" s="12">
        <f>'I&amp;E Monthly'!CB66</f>
        <v>0</v>
      </c>
      <c r="CC66" s="12">
        <f>'I&amp;E Monthly'!CC66</f>
        <v>0</v>
      </c>
      <c r="CD66" s="12">
        <f>'I&amp;E Monthly'!CD66</f>
        <v>0</v>
      </c>
      <c r="CE66" s="12">
        <f>'I&amp;E Monthly'!CE66</f>
        <v>0</v>
      </c>
      <c r="CF66" s="12">
        <f>'I&amp;E Monthly'!CF66</f>
        <v>0</v>
      </c>
      <c r="CG66" s="12">
        <f>'I&amp;E Monthly'!CG66</f>
        <v>0</v>
      </c>
      <c r="CH66" s="12">
        <f>'I&amp;E Monthly'!CH66</f>
        <v>0</v>
      </c>
      <c r="CI66" s="12">
        <f>'I&amp;E Monthly'!CI66</f>
        <v>0</v>
      </c>
      <c r="CK66" s="11"/>
      <c r="CL66" s="221">
        <f t="shared" ca="1" si="79"/>
        <v>0</v>
      </c>
      <c r="CM66" s="11"/>
      <c r="CN66" s="7">
        <f t="shared" si="80"/>
        <v>0</v>
      </c>
      <c r="CO66" s="7" cm="1">
        <f t="array" ref="CO66">SUMPRODUCT(--NOT(ISNUMBER(W66:Y66)),--NOT(ISBLANK(W66:Y66)))</f>
        <v>0</v>
      </c>
      <c r="CP66" s="7" cm="1">
        <f t="array" ref="CP66">IF(E66="",0, IF(IFERROR(INDEX('I&amp;E Profiles'!$D$96:$D$180, $I66), "N/A")="N/A", 1, 0))</f>
        <v>0</v>
      </c>
      <c r="CQ66" s="7">
        <f t="shared" si="81"/>
        <v>0</v>
      </c>
      <c r="CS66" s="7">
        <f t="shared" si="82"/>
        <v>0</v>
      </c>
      <c r="CT66" s="7">
        <f t="shared" si="83"/>
        <v>0</v>
      </c>
      <c r="CU66" s="11"/>
      <c r="CV66" s="215">
        <f t="shared" si="84"/>
        <v>0</v>
      </c>
      <c r="CW66" s="215">
        <f t="shared" si="85"/>
        <v>0</v>
      </c>
      <c r="CX66" s="215">
        <f t="shared" si="86"/>
        <v>0</v>
      </c>
      <c r="CY66" s="215">
        <f t="shared" si="87"/>
        <v>0</v>
      </c>
      <c r="CZ66" s="215">
        <f t="shared" si="88"/>
        <v>0</v>
      </c>
      <c r="DA66" s="215">
        <f t="shared" si="89"/>
        <v>0</v>
      </c>
      <c r="DB66" s="215">
        <f t="shared" si="90"/>
        <v>0</v>
      </c>
      <c r="FN66" s="10" t="str">
        <f t="shared" si="40"/>
        <v>International students - fee income</v>
      </c>
    </row>
    <row r="67" spans="1:170" x14ac:dyDescent="0.35">
      <c r="A67" s="220" cm="1">
        <f t="array" aca="1" ref="A67" ca="1">HYPERLINK(CONCATENATE("#",CELL("address",IF(MAX($CM67:$CU67)=0,A67,INDEX($CM67:$CU67,MATCH(1,$CM67:$CU67,0))))),MAX($CM67:$CU67))</f>
        <v>0</v>
      </c>
      <c r="B67" s="85" t="s">
        <v>122</v>
      </c>
      <c r="C67" s="213" t="s">
        <v>519</v>
      </c>
      <c r="D67" s="57" t="s">
        <v>371</v>
      </c>
      <c r="E67" s="114"/>
      <c r="F67" s="79" t="str" cm="1">
        <f t="array" aca="1" ref="F67" ca="1">IF(E67="", "", HYPERLINK(CONCATENATE("#",CELL("address",INDEX('I&amp;E Profiles'!$D$9:$D$93,'I&amp;E Annual'!I67))),E67))</f>
        <v/>
      </c>
      <c r="G67" s="114"/>
      <c r="H67" t="s">
        <v>317</v>
      </c>
      <c r="I67" s="132" t="str">
        <f>IF(E67="", "", MATCH(E67, 'I&amp;E Profiles'!$D$96:$D$180,0))</f>
        <v/>
      </c>
      <c r="J67" s="133">
        <f>IF($G67=$G$7, W67,'I&amp;E Monthly'!W67)-SUMIFS('I&amp;E Monthly'!$AA67:$BJ67, 'I&amp;E Monthly'!$AA$3:$BJ$3, 'I&amp;E Annual'!W$3, 'I&amp;E Monthly'!$AA$4:$BJ$4, 0)</f>
        <v>0</v>
      </c>
      <c r="K67" s="133">
        <f>IF($G67=$G$7, X67,'I&amp;E Monthly'!X67)-SUMIFS('I&amp;E Monthly'!$AA67:$BJ67, 'I&amp;E Monthly'!$AA$3:$BJ$3, 'I&amp;E Annual'!X$3, 'I&amp;E Monthly'!$AA$4:$BJ$4, 0)</f>
        <v>0</v>
      </c>
      <c r="L67" s="133">
        <f>IF($G67=$G$7, Y67,'I&amp;E Monthly'!Y67)-SUMIFS('I&amp;E Monthly'!$AA67:$BJ67, 'I&amp;E Monthly'!$AA$3:$BJ$3, 'I&amp;E Annual'!Y$3, 'I&amp;E Monthly'!$AA$4:$BJ$4, 0)</f>
        <v>0</v>
      </c>
      <c r="Q67" s="2"/>
      <c r="V67" s="133">
        <f>'I&amp;E Monthly'!V67</f>
        <v>0</v>
      </c>
      <c r="W67" s="114"/>
      <c r="X67" s="131"/>
      <c r="Y67" s="131"/>
      <c r="AA67" s="10" cm="1">
        <f t="array" ref="AA67">IF(OR(AA$4=0, $G67&lt;&gt; $G$7, $E67=0), 'I&amp;E Monthly'!AA67, CHOOSE(Timeline!AA$30,$J67,$K67,$L67 )*INDEX('I&amp;E Profiles'!AA$96:AA$180,$I67))</f>
        <v>0</v>
      </c>
      <c r="AB67" s="10" cm="1">
        <f t="array" ref="AB67">IF(OR(AB$4=0, $G67&lt;&gt; $G$7, $E67=0), 'I&amp;E Monthly'!AB67, CHOOSE(Timeline!AB$30,$J67,$K67,$L67 )*INDEX('I&amp;E Profiles'!AB$96:AB$180,$I67))</f>
        <v>0</v>
      </c>
      <c r="AC67" s="10" cm="1">
        <f t="array" ref="AC67">IF(OR(AC$4=0, $G67&lt;&gt; $G$7, $E67=0), 'I&amp;E Monthly'!AC67, CHOOSE(Timeline!AC$30,$J67,$K67,$L67 )*INDEX('I&amp;E Profiles'!AC$96:AC$180,$I67))</f>
        <v>0</v>
      </c>
      <c r="AD67" s="10" cm="1">
        <f t="array" ref="AD67">IF(OR(AD$4=0, $G67&lt;&gt; $G$7, $E67=0), 'I&amp;E Monthly'!AD67, CHOOSE(Timeline!AD$30,$J67,$K67,$L67 )*INDEX('I&amp;E Profiles'!AD$96:AD$180,$I67))</f>
        <v>0</v>
      </c>
      <c r="AE67" s="10" cm="1">
        <f t="array" ref="AE67">IF(OR(AE$4=0, $G67&lt;&gt; $G$7, $E67=0), 'I&amp;E Monthly'!AE67, CHOOSE(Timeline!AE$30,$J67,$K67,$L67 )*INDEX('I&amp;E Profiles'!AE$96:AE$180,$I67))</f>
        <v>0</v>
      </c>
      <c r="AF67" s="10" cm="1">
        <f t="array" ref="AF67">IF(OR(AF$4=0, $G67&lt;&gt; $G$7, $E67=0), 'I&amp;E Monthly'!AF67, CHOOSE(Timeline!AF$30,$J67,$K67,$L67 )*INDEX('I&amp;E Profiles'!AF$96:AF$180,$I67))</f>
        <v>0</v>
      </c>
      <c r="AG67" s="10" cm="1">
        <f t="array" ref="AG67">IF(OR(AG$4=0, $G67&lt;&gt; $G$7, $E67=0), 'I&amp;E Monthly'!AG67, CHOOSE(Timeline!AG$30,$J67,$K67,$L67 )*INDEX('I&amp;E Profiles'!AG$96:AG$180,$I67))</f>
        <v>0</v>
      </c>
      <c r="AH67" s="10" cm="1">
        <f t="array" ref="AH67">IF(OR(AH$4=0, $G67&lt;&gt; $G$7, $E67=0), 'I&amp;E Monthly'!AH67, CHOOSE(Timeline!AH$30,$J67,$K67,$L67 )*INDEX('I&amp;E Profiles'!AH$96:AH$180,$I67))</f>
        <v>0</v>
      </c>
      <c r="AI67" s="10" cm="1">
        <f t="array" ref="AI67">IF(OR(AI$4=0, $G67&lt;&gt; $G$7, $E67=0), 'I&amp;E Monthly'!AI67, CHOOSE(Timeline!AI$30,$J67,$K67,$L67 )*INDEX('I&amp;E Profiles'!AI$96:AI$180,$I67))</f>
        <v>0</v>
      </c>
      <c r="AJ67" s="10" cm="1">
        <f t="array" ref="AJ67">IF(OR(AJ$4=0, $G67&lt;&gt; $G$7, $E67=0), 'I&amp;E Monthly'!AJ67, CHOOSE(Timeline!AJ$30,$J67,$K67,$L67 )*INDEX('I&amp;E Profiles'!AJ$96:AJ$180,$I67))</f>
        <v>0</v>
      </c>
      <c r="AK67" s="10" cm="1">
        <f t="array" ref="AK67">IF(OR(AK$4=0, $G67&lt;&gt; $G$7, $E67=0), 'I&amp;E Monthly'!AK67, CHOOSE(Timeline!AK$30,$J67,$K67,$L67 )*INDEX('I&amp;E Profiles'!AK$96:AK$180,$I67))</f>
        <v>0</v>
      </c>
      <c r="AL67" s="10" cm="1">
        <f t="array" ref="AL67">IF(OR(AL$4=0, $G67&lt;&gt; $G$7, $E67=0), 'I&amp;E Monthly'!AL67, CHOOSE(Timeline!AL$30,$J67,$K67,$L67 )*INDEX('I&amp;E Profiles'!AL$96:AL$180,$I67))</f>
        <v>0</v>
      </c>
      <c r="AM67" s="10" cm="1">
        <f t="array" ref="AM67">IF(OR(AM$4=0, $G67&lt;&gt; $G$7, $E67=0), 'I&amp;E Monthly'!AM67, CHOOSE(Timeline!AM$30,$J67,$K67,$L67 )*INDEX('I&amp;E Profiles'!AM$96:AM$180,$I67))</f>
        <v>0</v>
      </c>
      <c r="AN67" s="10" cm="1">
        <f t="array" ref="AN67">IF(OR(AN$4=0, $G67&lt;&gt; $G$7, $E67=0), 'I&amp;E Monthly'!AN67, CHOOSE(Timeline!AN$30,$J67,$K67,$L67 )*INDEX('I&amp;E Profiles'!AN$96:AN$180,$I67))</f>
        <v>0</v>
      </c>
      <c r="AO67" s="10" cm="1">
        <f t="array" ref="AO67">IF(OR(AO$4=0, $G67&lt;&gt; $G$7, $E67=0), 'I&amp;E Monthly'!AO67, CHOOSE(Timeline!AO$30,$J67,$K67,$L67 )*INDEX('I&amp;E Profiles'!AO$96:AO$180,$I67))</f>
        <v>0</v>
      </c>
      <c r="AP67" s="10" cm="1">
        <f t="array" ref="AP67">IF(OR(AP$4=0, $G67&lt;&gt; $G$7, $E67=0), 'I&amp;E Monthly'!AP67, CHOOSE(Timeline!AP$30,$J67,$K67,$L67 )*INDEX('I&amp;E Profiles'!AP$96:AP$180,$I67))</f>
        <v>0</v>
      </c>
      <c r="AQ67" s="10" cm="1">
        <f t="array" ref="AQ67">IF(OR(AQ$4=0, $G67&lt;&gt; $G$7, $E67=0), 'I&amp;E Monthly'!AQ67, CHOOSE(Timeline!AQ$30,$J67,$K67,$L67 )*INDEX('I&amp;E Profiles'!AQ$96:AQ$180,$I67))</f>
        <v>0</v>
      </c>
      <c r="AR67" s="10" cm="1">
        <f t="array" ref="AR67">IF(OR(AR$4=0, $G67&lt;&gt; $G$7, $E67=0), 'I&amp;E Monthly'!AR67, CHOOSE(Timeline!AR$30,$J67,$K67,$L67 )*INDEX('I&amp;E Profiles'!AR$96:AR$180,$I67))</f>
        <v>0</v>
      </c>
      <c r="AS67" s="10" cm="1">
        <f t="array" ref="AS67">IF(OR(AS$4=0, $G67&lt;&gt; $G$7, $E67=0), 'I&amp;E Monthly'!AS67, CHOOSE(Timeline!AS$30,$J67,$K67,$L67 )*INDEX('I&amp;E Profiles'!AS$96:AS$180,$I67))</f>
        <v>0</v>
      </c>
      <c r="AT67" s="10" cm="1">
        <f t="array" ref="AT67">IF(OR(AT$4=0, $G67&lt;&gt; $G$7, $E67=0), 'I&amp;E Monthly'!AT67, CHOOSE(Timeline!AT$30,$J67,$K67,$L67 )*INDEX('I&amp;E Profiles'!AT$96:AT$180,$I67))</f>
        <v>0</v>
      </c>
      <c r="AU67" s="10" cm="1">
        <f t="array" ref="AU67">IF(OR(AU$4=0, $G67&lt;&gt; $G$7, $E67=0), 'I&amp;E Monthly'!AU67, CHOOSE(Timeline!AU$30,$J67,$K67,$L67 )*INDEX('I&amp;E Profiles'!AU$96:AU$180,$I67))</f>
        <v>0</v>
      </c>
      <c r="AV67" s="10" cm="1">
        <f t="array" ref="AV67">IF(OR(AV$4=0, $G67&lt;&gt; $G$7, $E67=0), 'I&amp;E Monthly'!AV67, CHOOSE(Timeline!AV$30,$J67,$K67,$L67 )*INDEX('I&amp;E Profiles'!AV$96:AV$180,$I67))</f>
        <v>0</v>
      </c>
      <c r="AW67" s="10" cm="1">
        <f t="array" ref="AW67">IF(OR(AW$4=0, $G67&lt;&gt; $G$7, $E67=0), 'I&amp;E Monthly'!AW67, CHOOSE(Timeline!AW$30,$J67,$K67,$L67 )*INDEX('I&amp;E Profiles'!AW$96:AW$180,$I67))</f>
        <v>0</v>
      </c>
      <c r="AX67" s="10" cm="1">
        <f t="array" ref="AX67">IF(OR(AX$4=0, $G67&lt;&gt; $G$7, $E67=0), 'I&amp;E Monthly'!AX67, CHOOSE(Timeline!AX$30,$J67,$K67,$L67 )*INDEX('I&amp;E Profiles'!AX$96:AX$180,$I67))</f>
        <v>0</v>
      </c>
      <c r="AY67" s="10" cm="1">
        <f t="array" ref="AY67">IF(OR(AY$4=0, $G67&lt;&gt; $G$7, $E67=0), 'I&amp;E Monthly'!AY67, CHOOSE(Timeline!AY$30,$J67,$K67,$L67 )*INDEX('I&amp;E Profiles'!AY$96:AY$180,$I67))</f>
        <v>0</v>
      </c>
      <c r="AZ67" s="10" cm="1">
        <f t="array" ref="AZ67">IF(OR(AZ$4=0, $G67&lt;&gt; $G$7, $E67=0), 'I&amp;E Monthly'!AZ67, CHOOSE(Timeline!AZ$30,$J67,$K67,$L67 )*INDEX('I&amp;E Profiles'!AZ$96:AZ$180,$I67))</f>
        <v>0</v>
      </c>
      <c r="BA67" s="10" cm="1">
        <f t="array" ref="BA67">IF(OR(BA$4=0, $G67&lt;&gt; $G$7, $E67=0), 'I&amp;E Monthly'!BA67, CHOOSE(Timeline!BA$30,$J67,$K67,$L67 )*INDEX('I&amp;E Profiles'!BA$96:BA$180,$I67))</f>
        <v>0</v>
      </c>
      <c r="BB67" s="10" cm="1">
        <f t="array" ref="BB67">IF(OR(BB$4=0, $G67&lt;&gt; $G$7, $E67=0), 'I&amp;E Monthly'!BB67, CHOOSE(Timeline!BB$30,$J67,$K67,$L67 )*INDEX('I&amp;E Profiles'!BB$96:BB$180,$I67))</f>
        <v>0</v>
      </c>
      <c r="BC67" s="10" cm="1">
        <f t="array" ref="BC67">IF(OR(BC$4=0, $G67&lt;&gt; $G$7, $E67=0), 'I&amp;E Monthly'!BC67, CHOOSE(Timeline!BC$30,$J67,$K67,$L67 )*INDEX('I&amp;E Profiles'!BC$96:BC$180,$I67))</f>
        <v>0</v>
      </c>
      <c r="BD67" s="10" cm="1">
        <f t="array" ref="BD67">IF(OR(BD$4=0, $G67&lt;&gt; $G$7, $E67=0), 'I&amp;E Monthly'!BD67, CHOOSE(Timeline!BD$30,$J67,$K67,$L67 )*INDEX('I&amp;E Profiles'!BD$96:BD$180,$I67))</f>
        <v>0</v>
      </c>
      <c r="BE67" s="10" cm="1">
        <f t="array" ref="BE67">IF(OR(BE$4=0, $G67&lt;&gt; $G$7, $E67=0), 'I&amp;E Monthly'!BE67, CHOOSE(Timeline!BE$30,$J67,$K67,$L67 )*INDEX('I&amp;E Profiles'!BE$96:BE$180,$I67))</f>
        <v>0</v>
      </c>
      <c r="BF67" s="10" cm="1">
        <f t="array" ref="BF67">IF(OR(BF$4=0, $G67&lt;&gt; $G$7, $E67=0), 'I&amp;E Monthly'!BF67, CHOOSE(Timeline!BF$30,$J67,$K67,$L67 )*INDEX('I&amp;E Profiles'!BF$96:BF$180,$I67))</f>
        <v>0</v>
      </c>
      <c r="BG67" s="10" cm="1">
        <f t="array" ref="BG67">IF(OR(BG$4=0, $G67&lt;&gt; $G$7, $E67=0), 'I&amp;E Monthly'!BG67, CHOOSE(Timeline!BG$30,$J67,$K67,$L67 )*INDEX('I&amp;E Profiles'!BG$96:BG$180,$I67))</f>
        <v>0</v>
      </c>
      <c r="BH67" s="10" cm="1">
        <f t="array" ref="BH67">IF(OR(BH$4=0, $G67&lt;&gt; $G$7, $E67=0), 'I&amp;E Monthly'!BH67, CHOOSE(Timeline!BH$30,$J67,$K67,$L67 )*INDEX('I&amp;E Profiles'!BH$96:BH$180,$I67))</f>
        <v>0</v>
      </c>
      <c r="BI67" s="10" cm="1">
        <f t="array" ref="BI67">IF(OR(BI$4=0, $G67&lt;&gt; $G$7, $E67=0), 'I&amp;E Monthly'!BI67, CHOOSE(Timeline!BI$30,$J67,$K67,$L67 )*INDEX('I&amp;E Profiles'!BI$96:BI$180,$I67))</f>
        <v>0</v>
      </c>
      <c r="BJ67" s="10" cm="1">
        <f t="array" ref="BJ67">IF(OR(BJ$4=0, $G67&lt;&gt; $G$7, $E67=0), 'I&amp;E Monthly'!BJ67, CHOOSE(Timeline!BJ$30,$J67,$K67,$L67 )*INDEX('I&amp;E Profiles'!BJ$96:BJ$180,$I67))</f>
        <v>0</v>
      </c>
      <c r="BX67" s="12">
        <f t="shared" si="77"/>
        <v>0</v>
      </c>
      <c r="BY67" s="10">
        <f t="shared" si="78"/>
        <v>0</v>
      </c>
      <c r="BZ67" s="10">
        <f t="shared" si="78"/>
        <v>0</v>
      </c>
      <c r="CA67" s="10">
        <f t="shared" si="78"/>
        <v>0</v>
      </c>
      <c r="CB67" s="12">
        <f>'I&amp;E Monthly'!CB67</f>
        <v>0</v>
      </c>
      <c r="CC67" s="12">
        <f>'I&amp;E Monthly'!CC67</f>
        <v>0</v>
      </c>
      <c r="CD67" s="12">
        <f>'I&amp;E Monthly'!CD67</f>
        <v>0</v>
      </c>
      <c r="CE67" s="12">
        <f>'I&amp;E Monthly'!CE67</f>
        <v>0</v>
      </c>
      <c r="CF67" s="12">
        <f>'I&amp;E Monthly'!CF67</f>
        <v>0</v>
      </c>
      <c r="CG67" s="12">
        <f>'I&amp;E Monthly'!CG67</f>
        <v>0</v>
      </c>
      <c r="CH67" s="12">
        <f>'I&amp;E Monthly'!CH67</f>
        <v>0</v>
      </c>
      <c r="CI67" s="12">
        <f>'I&amp;E Monthly'!CI67</f>
        <v>0</v>
      </c>
      <c r="CK67" s="11"/>
      <c r="CL67" s="221">
        <f t="shared" ca="1" si="79"/>
        <v>0</v>
      </c>
      <c r="CM67" s="11"/>
      <c r="CN67" s="7">
        <f t="shared" si="80"/>
        <v>0</v>
      </c>
      <c r="CO67" s="7" cm="1">
        <f t="array" ref="CO67">SUMPRODUCT(--NOT(ISNUMBER(W67:Y67)),--NOT(ISBLANK(W67:Y67)))</f>
        <v>0</v>
      </c>
      <c r="CP67" s="7" cm="1">
        <f t="array" ref="CP67">IF(E67="",0, IF(IFERROR(INDEX('I&amp;E Profiles'!$D$96:$D$180, $I67), "N/A")="N/A", 1, 0))</f>
        <v>0</v>
      </c>
      <c r="CQ67" s="7">
        <f t="shared" si="81"/>
        <v>0</v>
      </c>
      <c r="CS67" s="7">
        <f t="shared" si="82"/>
        <v>0</v>
      </c>
      <c r="CT67" s="7">
        <f t="shared" si="83"/>
        <v>0</v>
      </c>
      <c r="CU67" s="11"/>
      <c r="CV67" s="215">
        <f t="shared" si="84"/>
        <v>0</v>
      </c>
      <c r="CW67" s="215">
        <f t="shared" si="85"/>
        <v>0</v>
      </c>
      <c r="CX67" s="215">
        <f t="shared" si="86"/>
        <v>0</v>
      </c>
      <c r="CY67" s="215">
        <f t="shared" si="87"/>
        <v>0</v>
      </c>
      <c r="CZ67" s="215">
        <f t="shared" si="88"/>
        <v>0</v>
      </c>
      <c r="DA67" s="215">
        <f t="shared" si="89"/>
        <v>0</v>
      </c>
      <c r="DB67" s="215">
        <f t="shared" si="90"/>
        <v>0</v>
      </c>
      <c r="FN67" s="10" t="str">
        <f t="shared" si="40"/>
        <v>Total employer contributions contracted apprenticeships</v>
      </c>
    </row>
    <row r="68" spans="1:170" x14ac:dyDescent="0.35">
      <c r="A68" s="220" cm="1">
        <f t="array" aca="1" ref="A68" ca="1">HYPERLINK(CONCATENATE("#",CELL("address",IF(MAX($CM68:$CU68)=0,A68,INDEX($CM68:$CU68,MATCH(1,$CM68:$CU68,0))))),MAX($CM68:$CU68))</f>
        <v>0</v>
      </c>
      <c r="C68" s="213" t="s">
        <v>520</v>
      </c>
      <c r="D68" s="57" t="s">
        <v>372</v>
      </c>
      <c r="E68" s="114"/>
      <c r="F68" s="79" t="str" cm="1">
        <f t="array" aca="1" ref="F68" ca="1">IF(E68="", "", HYPERLINK(CONCATENATE("#",CELL("address",INDEX('I&amp;E Profiles'!$D$9:$D$93,'I&amp;E Annual'!I68))),E68))</f>
        <v/>
      </c>
      <c r="G68" s="114"/>
      <c r="H68" t="s">
        <v>317</v>
      </c>
      <c r="I68" s="132" t="str">
        <f>IF(E68="", "", MATCH(E68, 'I&amp;E Profiles'!$D$96:$D$180,0))</f>
        <v/>
      </c>
      <c r="J68" s="133">
        <f>IF($G68=$G$7, W68,'I&amp;E Monthly'!W68)-SUMIFS('I&amp;E Monthly'!$AA68:$BJ68, 'I&amp;E Monthly'!$AA$3:$BJ$3, 'I&amp;E Annual'!W$3, 'I&amp;E Monthly'!$AA$4:$BJ$4, 0)</f>
        <v>0</v>
      </c>
      <c r="K68" s="133">
        <f>IF($G68=$G$7, X68,'I&amp;E Monthly'!X68)-SUMIFS('I&amp;E Monthly'!$AA68:$BJ68, 'I&amp;E Monthly'!$AA$3:$BJ$3, 'I&amp;E Annual'!X$3, 'I&amp;E Monthly'!$AA$4:$BJ$4, 0)</f>
        <v>0</v>
      </c>
      <c r="L68" s="133">
        <f>IF($G68=$G$7, Y68,'I&amp;E Monthly'!Y68)-SUMIFS('I&amp;E Monthly'!$AA68:$BJ68, 'I&amp;E Monthly'!$AA$3:$BJ$3, 'I&amp;E Annual'!Y$3, 'I&amp;E Monthly'!$AA$4:$BJ$4, 0)</f>
        <v>0</v>
      </c>
      <c r="Q68" s="2"/>
      <c r="V68" s="133">
        <f>'I&amp;E Monthly'!V68</f>
        <v>0</v>
      </c>
      <c r="W68" s="114"/>
      <c r="X68" s="131"/>
      <c r="Y68" s="131"/>
      <c r="AA68" s="10" cm="1">
        <f t="array" ref="AA68">IF(OR(AA$4=0, $G68&lt;&gt; $G$7, $E68=0), 'I&amp;E Monthly'!AA68, CHOOSE(Timeline!AA$30,$J68,$K68,$L68 )*INDEX('I&amp;E Profiles'!AA$96:AA$180,$I68))</f>
        <v>0</v>
      </c>
      <c r="AB68" s="10" cm="1">
        <f t="array" ref="AB68">IF(OR(AB$4=0, $G68&lt;&gt; $G$7, $E68=0), 'I&amp;E Monthly'!AB68, CHOOSE(Timeline!AB$30,$J68,$K68,$L68 )*INDEX('I&amp;E Profiles'!AB$96:AB$180,$I68))</f>
        <v>0</v>
      </c>
      <c r="AC68" s="10" cm="1">
        <f t="array" ref="AC68">IF(OR(AC$4=0, $G68&lt;&gt; $G$7, $E68=0), 'I&amp;E Monthly'!AC68, CHOOSE(Timeline!AC$30,$J68,$K68,$L68 )*INDEX('I&amp;E Profiles'!AC$96:AC$180,$I68))</f>
        <v>0</v>
      </c>
      <c r="AD68" s="10" cm="1">
        <f t="array" ref="AD68">IF(OR(AD$4=0, $G68&lt;&gt; $G$7, $E68=0), 'I&amp;E Monthly'!AD68, CHOOSE(Timeline!AD$30,$J68,$K68,$L68 )*INDEX('I&amp;E Profiles'!AD$96:AD$180,$I68))</f>
        <v>0</v>
      </c>
      <c r="AE68" s="10" cm="1">
        <f t="array" ref="AE68">IF(OR(AE$4=0, $G68&lt;&gt; $G$7, $E68=0), 'I&amp;E Monthly'!AE68, CHOOSE(Timeline!AE$30,$J68,$K68,$L68 )*INDEX('I&amp;E Profiles'!AE$96:AE$180,$I68))</f>
        <v>0</v>
      </c>
      <c r="AF68" s="10" cm="1">
        <f t="array" ref="AF68">IF(OR(AF$4=0, $G68&lt;&gt; $G$7, $E68=0), 'I&amp;E Monthly'!AF68, CHOOSE(Timeline!AF$30,$J68,$K68,$L68 )*INDEX('I&amp;E Profiles'!AF$96:AF$180,$I68))</f>
        <v>0</v>
      </c>
      <c r="AG68" s="10" cm="1">
        <f t="array" ref="AG68">IF(OR(AG$4=0, $G68&lt;&gt; $G$7, $E68=0), 'I&amp;E Monthly'!AG68, CHOOSE(Timeline!AG$30,$J68,$K68,$L68 )*INDEX('I&amp;E Profiles'!AG$96:AG$180,$I68))</f>
        <v>0</v>
      </c>
      <c r="AH68" s="10" cm="1">
        <f t="array" ref="AH68">IF(OR(AH$4=0, $G68&lt;&gt; $G$7, $E68=0), 'I&amp;E Monthly'!AH68, CHOOSE(Timeline!AH$30,$J68,$K68,$L68 )*INDEX('I&amp;E Profiles'!AH$96:AH$180,$I68))</f>
        <v>0</v>
      </c>
      <c r="AI68" s="10" cm="1">
        <f t="array" ref="AI68">IF(OR(AI$4=0, $G68&lt;&gt; $G$7, $E68=0), 'I&amp;E Monthly'!AI68, CHOOSE(Timeline!AI$30,$J68,$K68,$L68 )*INDEX('I&amp;E Profiles'!AI$96:AI$180,$I68))</f>
        <v>0</v>
      </c>
      <c r="AJ68" s="10" cm="1">
        <f t="array" ref="AJ68">IF(OR(AJ$4=0, $G68&lt;&gt; $G$7, $E68=0), 'I&amp;E Monthly'!AJ68, CHOOSE(Timeline!AJ$30,$J68,$K68,$L68 )*INDEX('I&amp;E Profiles'!AJ$96:AJ$180,$I68))</f>
        <v>0</v>
      </c>
      <c r="AK68" s="10" cm="1">
        <f t="array" ref="AK68">IF(OR(AK$4=0, $G68&lt;&gt; $G$7, $E68=0), 'I&amp;E Monthly'!AK68, CHOOSE(Timeline!AK$30,$J68,$K68,$L68 )*INDEX('I&amp;E Profiles'!AK$96:AK$180,$I68))</f>
        <v>0</v>
      </c>
      <c r="AL68" s="10" cm="1">
        <f t="array" ref="AL68">IF(OR(AL$4=0, $G68&lt;&gt; $G$7, $E68=0), 'I&amp;E Monthly'!AL68, CHOOSE(Timeline!AL$30,$J68,$K68,$L68 )*INDEX('I&amp;E Profiles'!AL$96:AL$180,$I68))</f>
        <v>0</v>
      </c>
      <c r="AM68" s="10" cm="1">
        <f t="array" ref="AM68">IF(OR(AM$4=0, $G68&lt;&gt; $G$7, $E68=0), 'I&amp;E Monthly'!AM68, CHOOSE(Timeline!AM$30,$J68,$K68,$L68 )*INDEX('I&amp;E Profiles'!AM$96:AM$180,$I68))</f>
        <v>0</v>
      </c>
      <c r="AN68" s="10" cm="1">
        <f t="array" ref="AN68">IF(OR(AN$4=0, $G68&lt;&gt; $G$7, $E68=0), 'I&amp;E Monthly'!AN68, CHOOSE(Timeline!AN$30,$J68,$K68,$L68 )*INDEX('I&amp;E Profiles'!AN$96:AN$180,$I68))</f>
        <v>0</v>
      </c>
      <c r="AO68" s="10" cm="1">
        <f t="array" ref="AO68">IF(OR(AO$4=0, $G68&lt;&gt; $G$7, $E68=0), 'I&amp;E Monthly'!AO68, CHOOSE(Timeline!AO$30,$J68,$K68,$L68 )*INDEX('I&amp;E Profiles'!AO$96:AO$180,$I68))</f>
        <v>0</v>
      </c>
      <c r="AP68" s="10" cm="1">
        <f t="array" ref="AP68">IF(OR(AP$4=0, $G68&lt;&gt; $G$7, $E68=0), 'I&amp;E Monthly'!AP68, CHOOSE(Timeline!AP$30,$J68,$K68,$L68 )*INDEX('I&amp;E Profiles'!AP$96:AP$180,$I68))</f>
        <v>0</v>
      </c>
      <c r="AQ68" s="10" cm="1">
        <f t="array" ref="AQ68">IF(OR(AQ$4=0, $G68&lt;&gt; $G$7, $E68=0), 'I&amp;E Monthly'!AQ68, CHOOSE(Timeline!AQ$30,$J68,$K68,$L68 )*INDEX('I&amp;E Profiles'!AQ$96:AQ$180,$I68))</f>
        <v>0</v>
      </c>
      <c r="AR68" s="10" cm="1">
        <f t="array" ref="AR68">IF(OR(AR$4=0, $G68&lt;&gt; $G$7, $E68=0), 'I&amp;E Monthly'!AR68, CHOOSE(Timeline!AR$30,$J68,$K68,$L68 )*INDEX('I&amp;E Profiles'!AR$96:AR$180,$I68))</f>
        <v>0</v>
      </c>
      <c r="AS68" s="10" cm="1">
        <f t="array" ref="AS68">IF(OR(AS$4=0, $G68&lt;&gt; $G$7, $E68=0), 'I&amp;E Monthly'!AS68, CHOOSE(Timeline!AS$30,$J68,$K68,$L68 )*INDEX('I&amp;E Profiles'!AS$96:AS$180,$I68))</f>
        <v>0</v>
      </c>
      <c r="AT68" s="10" cm="1">
        <f t="array" ref="AT68">IF(OR(AT$4=0, $G68&lt;&gt; $G$7, $E68=0), 'I&amp;E Monthly'!AT68, CHOOSE(Timeline!AT$30,$J68,$K68,$L68 )*INDEX('I&amp;E Profiles'!AT$96:AT$180,$I68))</f>
        <v>0</v>
      </c>
      <c r="AU68" s="10" cm="1">
        <f t="array" ref="AU68">IF(OR(AU$4=0, $G68&lt;&gt; $G$7, $E68=0), 'I&amp;E Monthly'!AU68, CHOOSE(Timeline!AU$30,$J68,$K68,$L68 )*INDEX('I&amp;E Profiles'!AU$96:AU$180,$I68))</f>
        <v>0</v>
      </c>
      <c r="AV68" s="10" cm="1">
        <f t="array" ref="AV68">IF(OR(AV$4=0, $G68&lt;&gt; $G$7, $E68=0), 'I&amp;E Monthly'!AV68, CHOOSE(Timeline!AV$30,$J68,$K68,$L68 )*INDEX('I&amp;E Profiles'!AV$96:AV$180,$I68))</f>
        <v>0</v>
      </c>
      <c r="AW68" s="10" cm="1">
        <f t="array" ref="AW68">IF(OR(AW$4=0, $G68&lt;&gt; $G$7, $E68=0), 'I&amp;E Monthly'!AW68, CHOOSE(Timeline!AW$30,$J68,$K68,$L68 )*INDEX('I&amp;E Profiles'!AW$96:AW$180,$I68))</f>
        <v>0</v>
      </c>
      <c r="AX68" s="10" cm="1">
        <f t="array" ref="AX68">IF(OR(AX$4=0, $G68&lt;&gt; $G$7, $E68=0), 'I&amp;E Monthly'!AX68, CHOOSE(Timeline!AX$30,$J68,$K68,$L68 )*INDEX('I&amp;E Profiles'!AX$96:AX$180,$I68))</f>
        <v>0</v>
      </c>
      <c r="AY68" s="10" cm="1">
        <f t="array" ref="AY68">IF(OR(AY$4=0, $G68&lt;&gt; $G$7, $E68=0), 'I&amp;E Monthly'!AY68, CHOOSE(Timeline!AY$30,$J68,$K68,$L68 )*INDEX('I&amp;E Profiles'!AY$96:AY$180,$I68))</f>
        <v>0</v>
      </c>
      <c r="AZ68" s="10" cm="1">
        <f t="array" ref="AZ68">IF(OR(AZ$4=0, $G68&lt;&gt; $G$7, $E68=0), 'I&amp;E Monthly'!AZ68, CHOOSE(Timeline!AZ$30,$J68,$K68,$L68 )*INDEX('I&amp;E Profiles'!AZ$96:AZ$180,$I68))</f>
        <v>0</v>
      </c>
      <c r="BA68" s="10" cm="1">
        <f t="array" ref="BA68">IF(OR(BA$4=0, $G68&lt;&gt; $G$7, $E68=0), 'I&amp;E Monthly'!BA68, CHOOSE(Timeline!BA$30,$J68,$K68,$L68 )*INDEX('I&amp;E Profiles'!BA$96:BA$180,$I68))</f>
        <v>0</v>
      </c>
      <c r="BB68" s="10" cm="1">
        <f t="array" ref="BB68">IF(OR(BB$4=0, $G68&lt;&gt; $G$7, $E68=0), 'I&amp;E Monthly'!BB68, CHOOSE(Timeline!BB$30,$J68,$K68,$L68 )*INDEX('I&amp;E Profiles'!BB$96:BB$180,$I68))</f>
        <v>0</v>
      </c>
      <c r="BC68" s="10" cm="1">
        <f t="array" ref="BC68">IF(OR(BC$4=0, $G68&lt;&gt; $G$7, $E68=0), 'I&amp;E Monthly'!BC68, CHOOSE(Timeline!BC$30,$J68,$K68,$L68 )*INDEX('I&amp;E Profiles'!BC$96:BC$180,$I68))</f>
        <v>0</v>
      </c>
      <c r="BD68" s="10" cm="1">
        <f t="array" ref="BD68">IF(OR(BD$4=0, $G68&lt;&gt; $G$7, $E68=0), 'I&amp;E Monthly'!BD68, CHOOSE(Timeline!BD$30,$J68,$K68,$L68 )*INDEX('I&amp;E Profiles'!BD$96:BD$180,$I68))</f>
        <v>0</v>
      </c>
      <c r="BE68" s="10" cm="1">
        <f t="array" ref="BE68">IF(OR(BE$4=0, $G68&lt;&gt; $G$7, $E68=0), 'I&amp;E Monthly'!BE68, CHOOSE(Timeline!BE$30,$J68,$K68,$L68 )*INDEX('I&amp;E Profiles'!BE$96:BE$180,$I68))</f>
        <v>0</v>
      </c>
      <c r="BF68" s="10" cm="1">
        <f t="array" ref="BF68">IF(OR(BF$4=0, $G68&lt;&gt; $G$7, $E68=0), 'I&amp;E Monthly'!BF68, CHOOSE(Timeline!BF$30,$J68,$K68,$L68 )*INDEX('I&amp;E Profiles'!BF$96:BF$180,$I68))</f>
        <v>0</v>
      </c>
      <c r="BG68" s="10" cm="1">
        <f t="array" ref="BG68">IF(OR(BG$4=0, $G68&lt;&gt; $G$7, $E68=0), 'I&amp;E Monthly'!BG68, CHOOSE(Timeline!BG$30,$J68,$K68,$L68 )*INDEX('I&amp;E Profiles'!BG$96:BG$180,$I68))</f>
        <v>0</v>
      </c>
      <c r="BH68" s="10" cm="1">
        <f t="array" ref="BH68">IF(OR(BH$4=0, $G68&lt;&gt; $G$7, $E68=0), 'I&amp;E Monthly'!BH68, CHOOSE(Timeline!BH$30,$J68,$K68,$L68 )*INDEX('I&amp;E Profiles'!BH$96:BH$180,$I68))</f>
        <v>0</v>
      </c>
      <c r="BI68" s="10" cm="1">
        <f t="array" ref="BI68">IF(OR(BI$4=0, $G68&lt;&gt; $G$7, $E68=0), 'I&amp;E Monthly'!BI68, CHOOSE(Timeline!BI$30,$J68,$K68,$L68 )*INDEX('I&amp;E Profiles'!BI$96:BI$180,$I68))</f>
        <v>0</v>
      </c>
      <c r="BJ68" s="10" cm="1">
        <f t="array" ref="BJ68">IF(OR(BJ$4=0, $G68&lt;&gt; $G$7, $E68=0), 'I&amp;E Monthly'!BJ68, CHOOSE(Timeline!BJ$30,$J68,$K68,$L68 )*INDEX('I&amp;E Profiles'!BJ$96:BJ$180,$I68))</f>
        <v>0</v>
      </c>
      <c r="BX68" s="12">
        <f t="shared" si="77"/>
        <v>0</v>
      </c>
      <c r="BY68" s="10">
        <f t="shared" si="78"/>
        <v>0</v>
      </c>
      <c r="BZ68" s="10">
        <f t="shared" si="78"/>
        <v>0</v>
      </c>
      <c r="CA68" s="10">
        <f t="shared" si="78"/>
        <v>0</v>
      </c>
      <c r="CB68" s="12">
        <f>'I&amp;E Monthly'!CB68</f>
        <v>0</v>
      </c>
      <c r="CC68" s="12">
        <f>'I&amp;E Monthly'!CC68</f>
        <v>0</v>
      </c>
      <c r="CD68" s="12">
        <f>'I&amp;E Monthly'!CD68</f>
        <v>0</v>
      </c>
      <c r="CE68" s="12">
        <f>'I&amp;E Monthly'!CE68</f>
        <v>0</v>
      </c>
      <c r="CF68" s="12">
        <f>'I&amp;E Monthly'!CF68</f>
        <v>0</v>
      </c>
      <c r="CG68" s="12">
        <f>'I&amp;E Monthly'!CG68</f>
        <v>0</v>
      </c>
      <c r="CH68" s="12">
        <f>'I&amp;E Monthly'!CH68</f>
        <v>0</v>
      </c>
      <c r="CI68" s="12">
        <f>'I&amp;E Monthly'!CI68</f>
        <v>0</v>
      </c>
      <c r="CK68" s="11"/>
      <c r="CL68" s="221">
        <f t="shared" ca="1" si="79"/>
        <v>0</v>
      </c>
      <c r="CM68" s="11"/>
      <c r="CN68" s="7">
        <f t="shared" si="80"/>
        <v>0</v>
      </c>
      <c r="CO68" s="7" cm="1">
        <f t="array" ref="CO68">SUMPRODUCT(--NOT(ISNUMBER(W68:Y68)),--NOT(ISBLANK(W68:Y68)))</f>
        <v>0</v>
      </c>
      <c r="CP68" s="7" cm="1">
        <f t="array" ref="CP68">IF(E68="",0, IF(IFERROR(INDEX('I&amp;E Profiles'!$D$96:$D$180, $I68), "N/A")="N/A", 1, 0))</f>
        <v>0</v>
      </c>
      <c r="CQ68" s="7">
        <f t="shared" si="81"/>
        <v>0</v>
      </c>
      <c r="CS68" s="7">
        <f t="shared" si="82"/>
        <v>0</v>
      </c>
      <c r="CT68" s="7">
        <f t="shared" si="83"/>
        <v>0</v>
      </c>
      <c r="CU68" s="11"/>
      <c r="CV68" s="215">
        <f t="shared" si="84"/>
        <v>0</v>
      </c>
      <c r="CW68" s="215">
        <f t="shared" si="85"/>
        <v>0</v>
      </c>
      <c r="CX68" s="215">
        <f t="shared" si="86"/>
        <v>0</v>
      </c>
      <c r="CY68" s="215">
        <f t="shared" si="87"/>
        <v>0</v>
      </c>
      <c r="CZ68" s="215">
        <f t="shared" si="88"/>
        <v>0</v>
      </c>
      <c r="DA68" s="215">
        <f t="shared" si="89"/>
        <v>0</v>
      </c>
      <c r="DB68" s="215">
        <f t="shared" si="90"/>
        <v>0</v>
      </c>
      <c r="FN68" s="10" t="str">
        <f t="shared" si="40"/>
        <v>Other fees (including non-apprenticeship co-funded)</v>
      </c>
    </row>
    <row r="69" spans="1:170" x14ac:dyDescent="0.35">
      <c r="A69" s="220" cm="1">
        <f t="array" aca="1" ref="A69" ca="1">HYPERLINK(CONCATENATE("#",CELL("address",IF(MAX($CM69:$CU69)=0,A69,INDEX($CM69:$CU69,MATCH(1,$CM69:$CU69,0))))),MAX($CM69:$CU69))</f>
        <v>0</v>
      </c>
      <c r="C69" s="213" t="s">
        <v>521</v>
      </c>
      <c r="D69" s="120" t="s">
        <v>373</v>
      </c>
      <c r="E69" s="114"/>
      <c r="F69" s="79" t="str" cm="1">
        <f t="array" aca="1" ref="F69" ca="1">IF(E69="", "", HYPERLINK(CONCATENATE("#",CELL("address",INDEX('I&amp;E Profiles'!$D$9:$D$93,'I&amp;E Annual'!I69))),E69))</f>
        <v/>
      </c>
      <c r="G69" s="114"/>
      <c r="H69" t="s">
        <v>317</v>
      </c>
      <c r="I69" s="132" t="str">
        <f>IF(E69="", "", MATCH(E69, 'I&amp;E Profiles'!$D$96:$D$180,0))</f>
        <v/>
      </c>
      <c r="J69" s="133">
        <f>IF($G69=$G$7, W69,'I&amp;E Monthly'!W69)-SUMIFS('I&amp;E Monthly'!$AA69:$BJ69, 'I&amp;E Monthly'!$AA$3:$BJ$3, 'I&amp;E Annual'!W$3, 'I&amp;E Monthly'!$AA$4:$BJ$4, 0)</f>
        <v>0</v>
      </c>
      <c r="K69" s="133">
        <f>IF($G69=$G$7, X69,'I&amp;E Monthly'!X69)-SUMIFS('I&amp;E Monthly'!$AA69:$BJ69, 'I&amp;E Monthly'!$AA$3:$BJ$3, 'I&amp;E Annual'!X$3, 'I&amp;E Monthly'!$AA$4:$BJ$4, 0)</f>
        <v>0</v>
      </c>
      <c r="L69" s="133">
        <f>IF($G69=$G$7, Y69,'I&amp;E Monthly'!Y69)-SUMIFS('I&amp;E Monthly'!$AA69:$BJ69, 'I&amp;E Monthly'!$AA$3:$BJ$3, 'I&amp;E Annual'!Y$3, 'I&amp;E Monthly'!$AA$4:$BJ$4, 0)</f>
        <v>0</v>
      </c>
      <c r="Q69" s="2"/>
      <c r="V69" s="133">
        <f>'I&amp;E Monthly'!V69</f>
        <v>0</v>
      </c>
      <c r="W69" s="114"/>
      <c r="X69" s="131"/>
      <c r="Y69" s="131"/>
      <c r="AA69" s="10" cm="1">
        <f t="array" ref="AA69">IF(OR(AA$4=0, $G69&lt;&gt; $G$7, $E69=0), 'I&amp;E Monthly'!AA69, CHOOSE(Timeline!AA$30,$J69,$K69,$L69 )*INDEX('I&amp;E Profiles'!AA$96:AA$180,$I69))</f>
        <v>0</v>
      </c>
      <c r="AB69" s="10" cm="1">
        <f t="array" ref="AB69">IF(OR(AB$4=0, $G69&lt;&gt; $G$7, $E69=0), 'I&amp;E Monthly'!AB69, CHOOSE(Timeline!AB$30,$J69,$K69,$L69 )*INDEX('I&amp;E Profiles'!AB$96:AB$180,$I69))</f>
        <v>0</v>
      </c>
      <c r="AC69" s="10" cm="1">
        <f t="array" ref="AC69">IF(OR(AC$4=0, $G69&lt;&gt; $G$7, $E69=0), 'I&amp;E Monthly'!AC69, CHOOSE(Timeline!AC$30,$J69,$K69,$L69 )*INDEX('I&amp;E Profiles'!AC$96:AC$180,$I69))</f>
        <v>0</v>
      </c>
      <c r="AD69" s="10" cm="1">
        <f t="array" ref="AD69">IF(OR(AD$4=0, $G69&lt;&gt; $G$7, $E69=0), 'I&amp;E Monthly'!AD69, CHOOSE(Timeline!AD$30,$J69,$K69,$L69 )*INDEX('I&amp;E Profiles'!AD$96:AD$180,$I69))</f>
        <v>0</v>
      </c>
      <c r="AE69" s="10" cm="1">
        <f t="array" ref="AE69">IF(OR(AE$4=0, $G69&lt;&gt; $G$7, $E69=0), 'I&amp;E Monthly'!AE69, CHOOSE(Timeline!AE$30,$J69,$K69,$L69 )*INDEX('I&amp;E Profiles'!AE$96:AE$180,$I69))</f>
        <v>0</v>
      </c>
      <c r="AF69" s="10" cm="1">
        <f t="array" ref="AF69">IF(OR(AF$4=0, $G69&lt;&gt; $G$7, $E69=0), 'I&amp;E Monthly'!AF69, CHOOSE(Timeline!AF$30,$J69,$K69,$L69 )*INDEX('I&amp;E Profiles'!AF$96:AF$180,$I69))</f>
        <v>0</v>
      </c>
      <c r="AG69" s="10" cm="1">
        <f t="array" ref="AG69">IF(OR(AG$4=0, $G69&lt;&gt; $G$7, $E69=0), 'I&amp;E Monthly'!AG69, CHOOSE(Timeline!AG$30,$J69,$K69,$L69 )*INDEX('I&amp;E Profiles'!AG$96:AG$180,$I69))</f>
        <v>0</v>
      </c>
      <c r="AH69" s="10" cm="1">
        <f t="array" ref="AH69">IF(OR(AH$4=0, $G69&lt;&gt; $G$7, $E69=0), 'I&amp;E Monthly'!AH69, CHOOSE(Timeline!AH$30,$J69,$K69,$L69 )*INDEX('I&amp;E Profiles'!AH$96:AH$180,$I69))</f>
        <v>0</v>
      </c>
      <c r="AI69" s="10" cm="1">
        <f t="array" ref="AI69">IF(OR(AI$4=0, $G69&lt;&gt; $G$7, $E69=0), 'I&amp;E Monthly'!AI69, CHOOSE(Timeline!AI$30,$J69,$K69,$L69 )*INDEX('I&amp;E Profiles'!AI$96:AI$180,$I69))</f>
        <v>0</v>
      </c>
      <c r="AJ69" s="10" cm="1">
        <f t="array" ref="AJ69">IF(OR(AJ$4=0, $G69&lt;&gt; $G$7, $E69=0), 'I&amp;E Monthly'!AJ69, CHOOSE(Timeline!AJ$30,$J69,$K69,$L69 )*INDEX('I&amp;E Profiles'!AJ$96:AJ$180,$I69))</f>
        <v>0</v>
      </c>
      <c r="AK69" s="10" cm="1">
        <f t="array" ref="AK69">IF(OR(AK$4=0, $G69&lt;&gt; $G$7, $E69=0), 'I&amp;E Monthly'!AK69, CHOOSE(Timeline!AK$30,$J69,$K69,$L69 )*INDEX('I&amp;E Profiles'!AK$96:AK$180,$I69))</f>
        <v>0</v>
      </c>
      <c r="AL69" s="10" cm="1">
        <f t="array" ref="AL69">IF(OR(AL$4=0, $G69&lt;&gt; $G$7, $E69=0), 'I&amp;E Monthly'!AL69, CHOOSE(Timeline!AL$30,$J69,$K69,$L69 )*INDEX('I&amp;E Profiles'!AL$96:AL$180,$I69))</f>
        <v>0</v>
      </c>
      <c r="AM69" s="10" cm="1">
        <f t="array" ref="AM69">IF(OR(AM$4=0, $G69&lt;&gt; $G$7, $E69=0), 'I&amp;E Monthly'!AM69, CHOOSE(Timeline!AM$30,$J69,$K69,$L69 )*INDEX('I&amp;E Profiles'!AM$96:AM$180,$I69))</f>
        <v>0</v>
      </c>
      <c r="AN69" s="10" cm="1">
        <f t="array" ref="AN69">IF(OR(AN$4=0, $G69&lt;&gt; $G$7, $E69=0), 'I&amp;E Monthly'!AN69, CHOOSE(Timeline!AN$30,$J69,$K69,$L69 )*INDEX('I&amp;E Profiles'!AN$96:AN$180,$I69))</f>
        <v>0</v>
      </c>
      <c r="AO69" s="10" cm="1">
        <f t="array" ref="AO69">IF(OR(AO$4=0, $G69&lt;&gt; $G$7, $E69=0), 'I&amp;E Monthly'!AO69, CHOOSE(Timeline!AO$30,$J69,$K69,$L69 )*INDEX('I&amp;E Profiles'!AO$96:AO$180,$I69))</f>
        <v>0</v>
      </c>
      <c r="AP69" s="10" cm="1">
        <f t="array" ref="AP69">IF(OR(AP$4=0, $G69&lt;&gt; $G$7, $E69=0), 'I&amp;E Monthly'!AP69, CHOOSE(Timeline!AP$30,$J69,$K69,$L69 )*INDEX('I&amp;E Profiles'!AP$96:AP$180,$I69))</f>
        <v>0</v>
      </c>
      <c r="AQ69" s="10" cm="1">
        <f t="array" ref="AQ69">IF(OR(AQ$4=0, $G69&lt;&gt; $G$7, $E69=0), 'I&amp;E Monthly'!AQ69, CHOOSE(Timeline!AQ$30,$J69,$K69,$L69 )*INDEX('I&amp;E Profiles'!AQ$96:AQ$180,$I69))</f>
        <v>0</v>
      </c>
      <c r="AR69" s="10" cm="1">
        <f t="array" ref="AR69">IF(OR(AR$4=0, $G69&lt;&gt; $G$7, $E69=0), 'I&amp;E Monthly'!AR69, CHOOSE(Timeline!AR$30,$J69,$K69,$L69 )*INDEX('I&amp;E Profiles'!AR$96:AR$180,$I69))</f>
        <v>0</v>
      </c>
      <c r="AS69" s="10" cm="1">
        <f t="array" ref="AS69">IF(OR(AS$4=0, $G69&lt;&gt; $G$7, $E69=0), 'I&amp;E Monthly'!AS69, CHOOSE(Timeline!AS$30,$J69,$K69,$L69 )*INDEX('I&amp;E Profiles'!AS$96:AS$180,$I69))</f>
        <v>0</v>
      </c>
      <c r="AT69" s="10" cm="1">
        <f t="array" ref="AT69">IF(OR(AT$4=0, $G69&lt;&gt; $G$7, $E69=0), 'I&amp;E Monthly'!AT69, CHOOSE(Timeline!AT$30,$J69,$K69,$L69 )*INDEX('I&amp;E Profiles'!AT$96:AT$180,$I69))</f>
        <v>0</v>
      </c>
      <c r="AU69" s="10" cm="1">
        <f t="array" ref="AU69">IF(OR(AU$4=0, $G69&lt;&gt; $G$7, $E69=0), 'I&amp;E Monthly'!AU69, CHOOSE(Timeline!AU$30,$J69,$K69,$L69 )*INDEX('I&amp;E Profiles'!AU$96:AU$180,$I69))</f>
        <v>0</v>
      </c>
      <c r="AV69" s="10" cm="1">
        <f t="array" ref="AV69">IF(OR(AV$4=0, $G69&lt;&gt; $G$7, $E69=0), 'I&amp;E Monthly'!AV69, CHOOSE(Timeline!AV$30,$J69,$K69,$L69 )*INDEX('I&amp;E Profiles'!AV$96:AV$180,$I69))</f>
        <v>0</v>
      </c>
      <c r="AW69" s="10" cm="1">
        <f t="array" ref="AW69">IF(OR(AW$4=0, $G69&lt;&gt; $G$7, $E69=0), 'I&amp;E Monthly'!AW69, CHOOSE(Timeline!AW$30,$J69,$K69,$L69 )*INDEX('I&amp;E Profiles'!AW$96:AW$180,$I69))</f>
        <v>0</v>
      </c>
      <c r="AX69" s="10" cm="1">
        <f t="array" ref="AX69">IF(OR(AX$4=0, $G69&lt;&gt; $G$7, $E69=0), 'I&amp;E Monthly'!AX69, CHOOSE(Timeline!AX$30,$J69,$K69,$L69 )*INDEX('I&amp;E Profiles'!AX$96:AX$180,$I69))</f>
        <v>0</v>
      </c>
      <c r="AY69" s="10" cm="1">
        <f t="array" ref="AY69">IF(OR(AY$4=0, $G69&lt;&gt; $G$7, $E69=0), 'I&amp;E Monthly'!AY69, CHOOSE(Timeline!AY$30,$J69,$K69,$L69 )*INDEX('I&amp;E Profiles'!AY$96:AY$180,$I69))</f>
        <v>0</v>
      </c>
      <c r="AZ69" s="10" cm="1">
        <f t="array" ref="AZ69">IF(OR(AZ$4=0, $G69&lt;&gt; $G$7, $E69=0), 'I&amp;E Monthly'!AZ69, CHOOSE(Timeline!AZ$30,$J69,$K69,$L69 )*INDEX('I&amp;E Profiles'!AZ$96:AZ$180,$I69))</f>
        <v>0</v>
      </c>
      <c r="BA69" s="10" cm="1">
        <f t="array" ref="BA69">IF(OR(BA$4=0, $G69&lt;&gt; $G$7, $E69=0), 'I&amp;E Monthly'!BA69, CHOOSE(Timeline!BA$30,$J69,$K69,$L69 )*INDEX('I&amp;E Profiles'!BA$96:BA$180,$I69))</f>
        <v>0</v>
      </c>
      <c r="BB69" s="10" cm="1">
        <f t="array" ref="BB69">IF(OR(BB$4=0, $G69&lt;&gt; $G$7, $E69=0), 'I&amp;E Monthly'!BB69, CHOOSE(Timeline!BB$30,$J69,$K69,$L69 )*INDEX('I&amp;E Profiles'!BB$96:BB$180,$I69))</f>
        <v>0</v>
      </c>
      <c r="BC69" s="10" cm="1">
        <f t="array" ref="BC69">IF(OR(BC$4=0, $G69&lt;&gt; $G$7, $E69=0), 'I&amp;E Monthly'!BC69, CHOOSE(Timeline!BC$30,$J69,$K69,$L69 )*INDEX('I&amp;E Profiles'!BC$96:BC$180,$I69))</f>
        <v>0</v>
      </c>
      <c r="BD69" s="10" cm="1">
        <f t="array" ref="BD69">IF(OR(BD$4=0, $G69&lt;&gt; $G$7, $E69=0), 'I&amp;E Monthly'!BD69, CHOOSE(Timeline!BD$30,$J69,$K69,$L69 )*INDEX('I&amp;E Profiles'!BD$96:BD$180,$I69))</f>
        <v>0</v>
      </c>
      <c r="BE69" s="10" cm="1">
        <f t="array" ref="BE69">IF(OR(BE$4=0, $G69&lt;&gt; $G$7, $E69=0), 'I&amp;E Monthly'!BE69, CHOOSE(Timeline!BE$30,$J69,$K69,$L69 )*INDEX('I&amp;E Profiles'!BE$96:BE$180,$I69))</f>
        <v>0</v>
      </c>
      <c r="BF69" s="10" cm="1">
        <f t="array" ref="BF69">IF(OR(BF$4=0, $G69&lt;&gt; $G$7, $E69=0), 'I&amp;E Monthly'!BF69, CHOOSE(Timeline!BF$30,$J69,$K69,$L69 )*INDEX('I&amp;E Profiles'!BF$96:BF$180,$I69))</f>
        <v>0</v>
      </c>
      <c r="BG69" s="10" cm="1">
        <f t="array" ref="BG69">IF(OR(BG$4=0, $G69&lt;&gt; $G$7, $E69=0), 'I&amp;E Monthly'!BG69, CHOOSE(Timeline!BG$30,$J69,$K69,$L69 )*INDEX('I&amp;E Profiles'!BG$96:BG$180,$I69))</f>
        <v>0</v>
      </c>
      <c r="BH69" s="10" cm="1">
        <f t="array" ref="BH69">IF(OR(BH$4=0, $G69&lt;&gt; $G$7, $E69=0), 'I&amp;E Monthly'!BH69, CHOOSE(Timeline!BH$30,$J69,$K69,$L69 )*INDEX('I&amp;E Profiles'!BH$96:BH$180,$I69))</f>
        <v>0</v>
      </c>
      <c r="BI69" s="10" cm="1">
        <f t="array" ref="BI69">IF(OR(BI$4=0, $G69&lt;&gt; $G$7, $E69=0), 'I&amp;E Monthly'!BI69, CHOOSE(Timeline!BI$30,$J69,$K69,$L69 )*INDEX('I&amp;E Profiles'!BI$96:BI$180,$I69))</f>
        <v>0</v>
      </c>
      <c r="BJ69" s="10" cm="1">
        <f t="array" ref="BJ69">IF(OR(BJ$4=0, $G69&lt;&gt; $G$7, $E69=0), 'I&amp;E Monthly'!BJ69, CHOOSE(Timeline!BJ$30,$J69,$K69,$L69 )*INDEX('I&amp;E Profiles'!BJ$96:BJ$180,$I69))</f>
        <v>0</v>
      </c>
      <c r="BX69" s="12">
        <f t="shared" si="77"/>
        <v>0</v>
      </c>
      <c r="BY69" s="10">
        <f t="shared" si="78"/>
        <v>0</v>
      </c>
      <c r="BZ69" s="10">
        <f t="shared" si="78"/>
        <v>0</v>
      </c>
      <c r="CA69" s="10">
        <f t="shared" si="78"/>
        <v>0</v>
      </c>
      <c r="CB69" s="12">
        <f>'I&amp;E Monthly'!CB69</f>
        <v>0</v>
      </c>
      <c r="CC69" s="12">
        <f>'I&amp;E Monthly'!CC69</f>
        <v>0</v>
      </c>
      <c r="CD69" s="12">
        <f>'I&amp;E Monthly'!CD69</f>
        <v>0</v>
      </c>
      <c r="CE69" s="12">
        <f>'I&amp;E Monthly'!CE69</f>
        <v>0</v>
      </c>
      <c r="CF69" s="12">
        <f>'I&amp;E Monthly'!CF69</f>
        <v>0</v>
      </c>
      <c r="CG69" s="12">
        <f>'I&amp;E Monthly'!CG69</f>
        <v>0</v>
      </c>
      <c r="CH69" s="12">
        <f>'I&amp;E Monthly'!CH69</f>
        <v>0</v>
      </c>
      <c r="CI69" s="12">
        <f>'I&amp;E Monthly'!CI69</f>
        <v>0</v>
      </c>
      <c r="CK69" s="11"/>
      <c r="CL69" s="221">
        <f t="shared" ca="1" si="79"/>
        <v>0</v>
      </c>
      <c r="CM69" s="11"/>
      <c r="CN69" s="7">
        <f t="shared" si="80"/>
        <v>0</v>
      </c>
      <c r="CO69" s="7" cm="1">
        <f t="array" ref="CO69">SUMPRODUCT(--NOT(ISNUMBER(W69:Y69)),--NOT(ISBLANK(W69:Y69)))</f>
        <v>0</v>
      </c>
      <c r="CP69" s="7" cm="1">
        <f t="array" ref="CP69">IF(E69="",0, IF(IFERROR(INDEX('I&amp;E Profiles'!$D$96:$D$180, $I69), "N/A")="N/A", 1, 0))</f>
        <v>0</v>
      </c>
      <c r="CQ69" s="7">
        <f t="shared" si="81"/>
        <v>0</v>
      </c>
      <c r="CS69" s="7">
        <f t="shared" si="82"/>
        <v>0</v>
      </c>
      <c r="CT69" s="7">
        <f t="shared" si="83"/>
        <v>0</v>
      </c>
      <c r="CU69" s="11"/>
      <c r="CV69" s="215">
        <f t="shared" si="84"/>
        <v>0</v>
      </c>
      <c r="CW69" s="215">
        <f t="shared" si="85"/>
        <v>0</v>
      </c>
      <c r="CX69" s="215">
        <f t="shared" si="86"/>
        <v>0</v>
      </c>
      <c r="CY69" s="215">
        <f t="shared" si="87"/>
        <v>0</v>
      </c>
      <c r="CZ69" s="215">
        <f t="shared" si="88"/>
        <v>0</v>
      </c>
      <c r="DA69" s="215">
        <f t="shared" si="89"/>
        <v>0</v>
      </c>
      <c r="DB69" s="215">
        <f t="shared" si="90"/>
        <v>0</v>
      </c>
      <c r="FN69" s="10" t="str">
        <f t="shared" si="40"/>
        <v>LEP learning provision activities</v>
      </c>
    </row>
    <row r="70" spans="1:170" x14ac:dyDescent="0.35">
      <c r="A70" s="220" cm="1">
        <f t="array" aca="1" ref="A70" ca="1">HYPERLINK(CONCATENATE("#",CELL("address",IF(MAX($CM70:$CU70)=0,A70,INDEX($CM70:$CU70,MATCH(1,$CM70:$CU70,0))))),MAX($CM70:$CU70))</f>
        <v>0</v>
      </c>
      <c r="C70" s="213" t="s">
        <v>522</v>
      </c>
      <c r="D70" s="57" t="s">
        <v>374</v>
      </c>
      <c r="E70" s="114"/>
      <c r="F70" s="79" t="str" cm="1">
        <f t="array" aca="1" ref="F70" ca="1">IF(E70="", "", HYPERLINK(CONCATENATE("#",CELL("address",INDEX('I&amp;E Profiles'!$D$9:$D$93,'I&amp;E Annual'!I70))),E70))</f>
        <v/>
      </c>
      <c r="G70" s="114"/>
      <c r="H70" t="s">
        <v>317</v>
      </c>
      <c r="I70" s="132" t="str">
        <f>IF(E70="", "", MATCH(E70, 'I&amp;E Profiles'!$D$96:$D$180,0))</f>
        <v/>
      </c>
      <c r="J70" s="133">
        <f>IF($G70=$G$7, W70,'I&amp;E Monthly'!W70)-SUMIFS('I&amp;E Monthly'!$AA70:$BJ70, 'I&amp;E Monthly'!$AA$3:$BJ$3, 'I&amp;E Annual'!W$3, 'I&amp;E Monthly'!$AA$4:$BJ$4, 0)</f>
        <v>0</v>
      </c>
      <c r="K70" s="133">
        <f>IF($G70=$G$7, X70,'I&amp;E Monthly'!X70)-SUMIFS('I&amp;E Monthly'!$AA70:$BJ70, 'I&amp;E Monthly'!$AA$3:$BJ$3, 'I&amp;E Annual'!X$3, 'I&amp;E Monthly'!$AA$4:$BJ$4, 0)</f>
        <v>0</v>
      </c>
      <c r="L70" s="133">
        <f>IF($G70=$G$7, Y70,'I&amp;E Monthly'!Y70)-SUMIFS('I&amp;E Monthly'!$AA70:$BJ70, 'I&amp;E Monthly'!$AA$3:$BJ$3, 'I&amp;E Annual'!Y$3, 'I&amp;E Monthly'!$AA$4:$BJ$4, 0)</f>
        <v>0</v>
      </c>
      <c r="Q70" s="2"/>
      <c r="V70" s="133">
        <f>'I&amp;E Monthly'!V70</f>
        <v>0</v>
      </c>
      <c r="W70" s="114"/>
      <c r="X70" s="131"/>
      <c r="Y70" s="131"/>
      <c r="AA70" s="10" cm="1">
        <f t="array" ref="AA70">IF(OR(AA$4=0, $G70&lt;&gt; $G$7, $E70=0), 'I&amp;E Monthly'!AA70, CHOOSE(Timeline!AA$30,$J70,$K70,$L70 )*INDEX('I&amp;E Profiles'!AA$96:AA$180,$I70))</f>
        <v>0</v>
      </c>
      <c r="AB70" s="10" cm="1">
        <f t="array" ref="AB70">IF(OR(AB$4=0, $G70&lt;&gt; $G$7, $E70=0), 'I&amp;E Monthly'!AB70, CHOOSE(Timeline!AB$30,$J70,$K70,$L70 )*INDEX('I&amp;E Profiles'!AB$96:AB$180,$I70))</f>
        <v>0</v>
      </c>
      <c r="AC70" s="10" cm="1">
        <f t="array" ref="AC70">IF(OR(AC$4=0, $G70&lt;&gt; $G$7, $E70=0), 'I&amp;E Monthly'!AC70, CHOOSE(Timeline!AC$30,$J70,$K70,$L70 )*INDEX('I&amp;E Profiles'!AC$96:AC$180,$I70))</f>
        <v>0</v>
      </c>
      <c r="AD70" s="10" cm="1">
        <f t="array" ref="AD70">IF(OR(AD$4=0, $G70&lt;&gt; $G$7, $E70=0), 'I&amp;E Monthly'!AD70, CHOOSE(Timeline!AD$30,$J70,$K70,$L70 )*INDEX('I&amp;E Profiles'!AD$96:AD$180,$I70))</f>
        <v>0</v>
      </c>
      <c r="AE70" s="10" cm="1">
        <f t="array" ref="AE70">IF(OR(AE$4=0, $G70&lt;&gt; $G$7, $E70=0), 'I&amp;E Monthly'!AE70, CHOOSE(Timeline!AE$30,$J70,$K70,$L70 )*INDEX('I&amp;E Profiles'!AE$96:AE$180,$I70))</f>
        <v>0</v>
      </c>
      <c r="AF70" s="10" cm="1">
        <f t="array" ref="AF70">IF(OR(AF$4=0, $G70&lt;&gt; $G$7, $E70=0), 'I&amp;E Monthly'!AF70, CHOOSE(Timeline!AF$30,$J70,$K70,$L70 )*INDEX('I&amp;E Profiles'!AF$96:AF$180,$I70))</f>
        <v>0</v>
      </c>
      <c r="AG70" s="10" cm="1">
        <f t="array" ref="AG70">IF(OR(AG$4=0, $G70&lt;&gt; $G$7, $E70=0), 'I&amp;E Monthly'!AG70, CHOOSE(Timeline!AG$30,$J70,$K70,$L70 )*INDEX('I&amp;E Profiles'!AG$96:AG$180,$I70))</f>
        <v>0</v>
      </c>
      <c r="AH70" s="10" cm="1">
        <f t="array" ref="AH70">IF(OR(AH$4=0, $G70&lt;&gt; $G$7, $E70=0), 'I&amp;E Monthly'!AH70, CHOOSE(Timeline!AH$30,$J70,$K70,$L70 )*INDEX('I&amp;E Profiles'!AH$96:AH$180,$I70))</f>
        <v>0</v>
      </c>
      <c r="AI70" s="10" cm="1">
        <f t="array" ref="AI70">IF(OR(AI$4=0, $G70&lt;&gt; $G$7, $E70=0), 'I&amp;E Monthly'!AI70, CHOOSE(Timeline!AI$30,$J70,$K70,$L70 )*INDEX('I&amp;E Profiles'!AI$96:AI$180,$I70))</f>
        <v>0</v>
      </c>
      <c r="AJ70" s="10" cm="1">
        <f t="array" ref="AJ70">IF(OR(AJ$4=0, $G70&lt;&gt; $G$7, $E70=0), 'I&amp;E Monthly'!AJ70, CHOOSE(Timeline!AJ$30,$J70,$K70,$L70 )*INDEX('I&amp;E Profiles'!AJ$96:AJ$180,$I70))</f>
        <v>0</v>
      </c>
      <c r="AK70" s="10" cm="1">
        <f t="array" ref="AK70">IF(OR(AK$4=0, $G70&lt;&gt; $G$7, $E70=0), 'I&amp;E Monthly'!AK70, CHOOSE(Timeline!AK$30,$J70,$K70,$L70 )*INDEX('I&amp;E Profiles'!AK$96:AK$180,$I70))</f>
        <v>0</v>
      </c>
      <c r="AL70" s="10" cm="1">
        <f t="array" ref="AL70">IF(OR(AL$4=0, $G70&lt;&gt; $G$7, $E70=0), 'I&amp;E Monthly'!AL70, CHOOSE(Timeline!AL$30,$J70,$K70,$L70 )*INDEX('I&amp;E Profiles'!AL$96:AL$180,$I70))</f>
        <v>0</v>
      </c>
      <c r="AM70" s="10" cm="1">
        <f t="array" ref="AM70">IF(OR(AM$4=0, $G70&lt;&gt; $G$7, $E70=0), 'I&amp;E Monthly'!AM70, CHOOSE(Timeline!AM$30,$J70,$K70,$L70 )*INDEX('I&amp;E Profiles'!AM$96:AM$180,$I70))</f>
        <v>0</v>
      </c>
      <c r="AN70" s="10" cm="1">
        <f t="array" ref="AN70">IF(OR(AN$4=0, $G70&lt;&gt; $G$7, $E70=0), 'I&amp;E Monthly'!AN70, CHOOSE(Timeline!AN$30,$J70,$K70,$L70 )*INDEX('I&amp;E Profiles'!AN$96:AN$180,$I70))</f>
        <v>0</v>
      </c>
      <c r="AO70" s="10" cm="1">
        <f t="array" ref="AO70">IF(OR(AO$4=0, $G70&lt;&gt; $G$7, $E70=0), 'I&amp;E Monthly'!AO70, CHOOSE(Timeline!AO$30,$J70,$K70,$L70 )*INDEX('I&amp;E Profiles'!AO$96:AO$180,$I70))</f>
        <v>0</v>
      </c>
      <c r="AP70" s="10" cm="1">
        <f t="array" ref="AP70">IF(OR(AP$4=0, $G70&lt;&gt; $G$7, $E70=0), 'I&amp;E Monthly'!AP70, CHOOSE(Timeline!AP$30,$J70,$K70,$L70 )*INDEX('I&amp;E Profiles'!AP$96:AP$180,$I70))</f>
        <v>0</v>
      </c>
      <c r="AQ70" s="10" cm="1">
        <f t="array" ref="AQ70">IF(OR(AQ$4=0, $G70&lt;&gt; $G$7, $E70=0), 'I&amp;E Monthly'!AQ70, CHOOSE(Timeline!AQ$30,$J70,$K70,$L70 )*INDEX('I&amp;E Profiles'!AQ$96:AQ$180,$I70))</f>
        <v>0</v>
      </c>
      <c r="AR70" s="10" cm="1">
        <f t="array" ref="AR70">IF(OR(AR$4=0, $G70&lt;&gt; $G$7, $E70=0), 'I&amp;E Monthly'!AR70, CHOOSE(Timeline!AR$30,$J70,$K70,$L70 )*INDEX('I&amp;E Profiles'!AR$96:AR$180,$I70))</f>
        <v>0</v>
      </c>
      <c r="AS70" s="10" cm="1">
        <f t="array" ref="AS70">IF(OR(AS$4=0, $G70&lt;&gt; $G$7, $E70=0), 'I&amp;E Monthly'!AS70, CHOOSE(Timeline!AS$30,$J70,$K70,$L70 )*INDEX('I&amp;E Profiles'!AS$96:AS$180,$I70))</f>
        <v>0</v>
      </c>
      <c r="AT70" s="10" cm="1">
        <f t="array" ref="AT70">IF(OR(AT$4=0, $G70&lt;&gt; $G$7, $E70=0), 'I&amp;E Monthly'!AT70, CHOOSE(Timeline!AT$30,$J70,$K70,$L70 )*INDEX('I&amp;E Profiles'!AT$96:AT$180,$I70))</f>
        <v>0</v>
      </c>
      <c r="AU70" s="10" cm="1">
        <f t="array" ref="AU70">IF(OR(AU$4=0, $G70&lt;&gt; $G$7, $E70=0), 'I&amp;E Monthly'!AU70, CHOOSE(Timeline!AU$30,$J70,$K70,$L70 )*INDEX('I&amp;E Profiles'!AU$96:AU$180,$I70))</f>
        <v>0</v>
      </c>
      <c r="AV70" s="10" cm="1">
        <f t="array" ref="AV70">IF(OR(AV$4=0, $G70&lt;&gt; $G$7, $E70=0), 'I&amp;E Monthly'!AV70, CHOOSE(Timeline!AV$30,$J70,$K70,$L70 )*INDEX('I&amp;E Profiles'!AV$96:AV$180,$I70))</f>
        <v>0</v>
      </c>
      <c r="AW70" s="10" cm="1">
        <f t="array" ref="AW70">IF(OR(AW$4=0, $G70&lt;&gt; $G$7, $E70=0), 'I&amp;E Monthly'!AW70, CHOOSE(Timeline!AW$30,$J70,$K70,$L70 )*INDEX('I&amp;E Profiles'!AW$96:AW$180,$I70))</f>
        <v>0</v>
      </c>
      <c r="AX70" s="10" cm="1">
        <f t="array" ref="AX70">IF(OR(AX$4=0, $G70&lt;&gt; $G$7, $E70=0), 'I&amp;E Monthly'!AX70, CHOOSE(Timeline!AX$30,$J70,$K70,$L70 )*INDEX('I&amp;E Profiles'!AX$96:AX$180,$I70))</f>
        <v>0</v>
      </c>
      <c r="AY70" s="10" cm="1">
        <f t="array" ref="AY70">IF(OR(AY$4=0, $G70&lt;&gt; $G$7, $E70=0), 'I&amp;E Monthly'!AY70, CHOOSE(Timeline!AY$30,$J70,$K70,$L70 )*INDEX('I&amp;E Profiles'!AY$96:AY$180,$I70))</f>
        <v>0</v>
      </c>
      <c r="AZ70" s="10" cm="1">
        <f t="array" ref="AZ70">IF(OR(AZ$4=0, $G70&lt;&gt; $G$7, $E70=0), 'I&amp;E Monthly'!AZ70, CHOOSE(Timeline!AZ$30,$J70,$K70,$L70 )*INDEX('I&amp;E Profiles'!AZ$96:AZ$180,$I70))</f>
        <v>0</v>
      </c>
      <c r="BA70" s="10" cm="1">
        <f t="array" ref="BA70">IF(OR(BA$4=0, $G70&lt;&gt; $G$7, $E70=0), 'I&amp;E Monthly'!BA70, CHOOSE(Timeline!BA$30,$J70,$K70,$L70 )*INDEX('I&amp;E Profiles'!BA$96:BA$180,$I70))</f>
        <v>0</v>
      </c>
      <c r="BB70" s="10" cm="1">
        <f t="array" ref="BB70">IF(OR(BB$4=0, $G70&lt;&gt; $G$7, $E70=0), 'I&amp;E Monthly'!BB70, CHOOSE(Timeline!BB$30,$J70,$K70,$L70 )*INDEX('I&amp;E Profiles'!BB$96:BB$180,$I70))</f>
        <v>0</v>
      </c>
      <c r="BC70" s="10" cm="1">
        <f t="array" ref="BC70">IF(OR(BC$4=0, $G70&lt;&gt; $G$7, $E70=0), 'I&amp;E Monthly'!BC70, CHOOSE(Timeline!BC$30,$J70,$K70,$L70 )*INDEX('I&amp;E Profiles'!BC$96:BC$180,$I70))</f>
        <v>0</v>
      </c>
      <c r="BD70" s="10" cm="1">
        <f t="array" ref="BD70">IF(OR(BD$4=0, $G70&lt;&gt; $G$7, $E70=0), 'I&amp;E Monthly'!BD70, CHOOSE(Timeline!BD$30,$J70,$K70,$L70 )*INDEX('I&amp;E Profiles'!BD$96:BD$180,$I70))</f>
        <v>0</v>
      </c>
      <c r="BE70" s="10" cm="1">
        <f t="array" ref="BE70">IF(OR(BE$4=0, $G70&lt;&gt; $G$7, $E70=0), 'I&amp;E Monthly'!BE70, CHOOSE(Timeline!BE$30,$J70,$K70,$L70 )*INDEX('I&amp;E Profiles'!BE$96:BE$180,$I70))</f>
        <v>0</v>
      </c>
      <c r="BF70" s="10" cm="1">
        <f t="array" ref="BF70">IF(OR(BF$4=0, $G70&lt;&gt; $G$7, $E70=0), 'I&amp;E Monthly'!BF70, CHOOSE(Timeline!BF$30,$J70,$K70,$L70 )*INDEX('I&amp;E Profiles'!BF$96:BF$180,$I70))</f>
        <v>0</v>
      </c>
      <c r="BG70" s="10" cm="1">
        <f t="array" ref="BG70">IF(OR(BG$4=0, $G70&lt;&gt; $G$7, $E70=0), 'I&amp;E Monthly'!BG70, CHOOSE(Timeline!BG$30,$J70,$K70,$L70 )*INDEX('I&amp;E Profiles'!BG$96:BG$180,$I70))</f>
        <v>0</v>
      </c>
      <c r="BH70" s="10" cm="1">
        <f t="array" ref="BH70">IF(OR(BH$4=0, $G70&lt;&gt; $G$7, $E70=0), 'I&amp;E Monthly'!BH70, CHOOSE(Timeline!BH$30,$J70,$K70,$L70 )*INDEX('I&amp;E Profiles'!BH$96:BH$180,$I70))</f>
        <v>0</v>
      </c>
      <c r="BI70" s="10" cm="1">
        <f t="array" ref="BI70">IF(OR(BI$4=0, $G70&lt;&gt; $G$7, $E70=0), 'I&amp;E Monthly'!BI70, CHOOSE(Timeline!BI$30,$J70,$K70,$L70 )*INDEX('I&amp;E Profiles'!BI$96:BI$180,$I70))</f>
        <v>0</v>
      </c>
      <c r="BJ70" s="10" cm="1">
        <f t="array" ref="BJ70">IF(OR(BJ$4=0, $G70&lt;&gt; $G$7, $E70=0), 'I&amp;E Monthly'!BJ70, CHOOSE(Timeline!BJ$30,$J70,$K70,$L70 )*INDEX('I&amp;E Profiles'!BJ$96:BJ$180,$I70))</f>
        <v>0</v>
      </c>
      <c r="BX70" s="12">
        <f t="shared" si="77"/>
        <v>0</v>
      </c>
      <c r="BY70" s="10">
        <f t="shared" si="78"/>
        <v>0</v>
      </c>
      <c r="BZ70" s="10">
        <f t="shared" si="78"/>
        <v>0</v>
      </c>
      <c r="CA70" s="10">
        <f t="shared" si="78"/>
        <v>0</v>
      </c>
      <c r="CB70" s="12">
        <f>'I&amp;E Monthly'!CB70</f>
        <v>0</v>
      </c>
      <c r="CC70" s="12">
        <f>'I&amp;E Monthly'!CC70</f>
        <v>0</v>
      </c>
      <c r="CD70" s="12">
        <f>'I&amp;E Monthly'!CD70</f>
        <v>0</v>
      </c>
      <c r="CE70" s="12">
        <f>'I&amp;E Monthly'!CE70</f>
        <v>0</v>
      </c>
      <c r="CF70" s="12">
        <f>'I&amp;E Monthly'!CF70</f>
        <v>0</v>
      </c>
      <c r="CG70" s="12">
        <f>'I&amp;E Monthly'!CG70</f>
        <v>0</v>
      </c>
      <c r="CH70" s="12">
        <f>'I&amp;E Monthly'!CH70</f>
        <v>0</v>
      </c>
      <c r="CI70" s="12">
        <f>'I&amp;E Monthly'!CI70</f>
        <v>0</v>
      </c>
      <c r="CK70" s="11"/>
      <c r="CL70" s="221">
        <f t="shared" ca="1" si="79"/>
        <v>0</v>
      </c>
      <c r="CM70" s="11"/>
      <c r="CN70" s="7">
        <f t="shared" si="80"/>
        <v>0</v>
      </c>
      <c r="CO70" s="7" cm="1">
        <f t="array" ref="CO70">SUMPRODUCT(--NOT(ISNUMBER(W70:Y70)),--NOT(ISBLANK(W70:Y70)))</f>
        <v>0</v>
      </c>
      <c r="CP70" s="7" cm="1">
        <f t="array" ref="CP70">IF(E70="",0, IF(IFERROR(INDEX('I&amp;E Profiles'!$D$96:$D$180, $I70), "N/A")="N/A", 1, 0))</f>
        <v>0</v>
      </c>
      <c r="CQ70" s="7">
        <f t="shared" si="81"/>
        <v>0</v>
      </c>
      <c r="CS70" s="7">
        <f t="shared" si="82"/>
        <v>0</v>
      </c>
      <c r="CT70" s="7">
        <f t="shared" si="83"/>
        <v>0</v>
      </c>
      <c r="CU70" s="11"/>
      <c r="CV70" s="215">
        <f t="shared" si="84"/>
        <v>0</v>
      </c>
      <c r="CW70" s="215">
        <f t="shared" si="85"/>
        <v>0</v>
      </c>
      <c r="CX70" s="215">
        <f t="shared" si="86"/>
        <v>0</v>
      </c>
      <c r="CY70" s="215">
        <f t="shared" si="87"/>
        <v>0</v>
      </c>
      <c r="CZ70" s="215">
        <f t="shared" si="88"/>
        <v>0</v>
      </c>
      <c r="DA70" s="215">
        <f t="shared" si="89"/>
        <v>0</v>
      </c>
      <c r="DB70" s="215">
        <f t="shared" si="90"/>
        <v>0</v>
      </c>
      <c r="FN70" s="10" t="str">
        <f t="shared" si="40"/>
        <v>Bursaries - net income (5% admin fee, ALLB and Free Meals)</v>
      </c>
    </row>
    <row r="71" spans="1:170" x14ac:dyDescent="0.35">
      <c r="A71" s="220" cm="1">
        <f t="array" aca="1" ref="A71" ca="1">HYPERLINK(CONCATENATE("#",CELL("address",IF(MAX($CM71:$CU71)=0,A71,INDEX($CM71:$CU71,MATCH(1,$CM71:$CU71,0))))),MAX($CM71:$CU71))</f>
        <v>0</v>
      </c>
      <c r="C71" s="213" t="s">
        <v>523</v>
      </c>
      <c r="D71" s="57" t="s">
        <v>375</v>
      </c>
      <c r="E71" s="114"/>
      <c r="F71" s="79" t="str" cm="1">
        <f t="array" aca="1" ref="F71" ca="1">IF(E71="", "", HYPERLINK(CONCATENATE("#",CELL("address",INDEX('I&amp;E Profiles'!$D$9:$D$93,'I&amp;E Annual'!I71))),E71))</f>
        <v/>
      </c>
      <c r="G71" s="114"/>
      <c r="H71" t="s">
        <v>317</v>
      </c>
      <c r="I71" s="132" t="str">
        <f>IF(E71="", "", MATCH(E71, 'I&amp;E Profiles'!$D$96:$D$180,0))</f>
        <v/>
      </c>
      <c r="J71" s="133">
        <f>IF($G71=$G$7, W71,'I&amp;E Monthly'!W71)-SUMIFS('I&amp;E Monthly'!$AA71:$BJ71, 'I&amp;E Monthly'!$AA$3:$BJ$3, 'I&amp;E Annual'!W$3, 'I&amp;E Monthly'!$AA$4:$BJ$4, 0)</f>
        <v>0</v>
      </c>
      <c r="K71" s="133">
        <f>IF($G71=$G$7, X71,'I&amp;E Monthly'!X71)-SUMIFS('I&amp;E Monthly'!$AA71:$BJ71, 'I&amp;E Monthly'!$AA$3:$BJ$3, 'I&amp;E Annual'!X$3, 'I&amp;E Monthly'!$AA$4:$BJ$4, 0)</f>
        <v>0</v>
      </c>
      <c r="L71" s="133">
        <f>IF($G71=$G$7, Y71,'I&amp;E Monthly'!Y71)-SUMIFS('I&amp;E Monthly'!$AA71:$BJ71, 'I&amp;E Monthly'!$AA$3:$BJ$3, 'I&amp;E Annual'!Y$3, 'I&amp;E Monthly'!$AA$4:$BJ$4, 0)</f>
        <v>0</v>
      </c>
      <c r="Q71" s="2"/>
      <c r="V71" s="133">
        <f>'I&amp;E Monthly'!V71</f>
        <v>0</v>
      </c>
      <c r="W71" s="114"/>
      <c r="X71" s="131"/>
      <c r="Y71" s="131"/>
      <c r="AA71" s="10" cm="1">
        <f t="array" ref="AA71">IF(OR(AA$4=0, $G71&lt;&gt; $G$7, $E71=0), 'I&amp;E Monthly'!AA71, CHOOSE(Timeline!AA$30,$J71,$K71,$L71 )*INDEX('I&amp;E Profiles'!AA$96:AA$180,$I71))</f>
        <v>0</v>
      </c>
      <c r="AB71" s="10" cm="1">
        <f t="array" ref="AB71">IF(OR(AB$4=0, $G71&lt;&gt; $G$7, $E71=0), 'I&amp;E Monthly'!AB71, CHOOSE(Timeline!AB$30,$J71,$K71,$L71 )*INDEX('I&amp;E Profiles'!AB$96:AB$180,$I71))</f>
        <v>0</v>
      </c>
      <c r="AC71" s="10" cm="1">
        <f t="array" ref="AC71">IF(OR(AC$4=0, $G71&lt;&gt; $G$7, $E71=0), 'I&amp;E Monthly'!AC71, CHOOSE(Timeline!AC$30,$J71,$K71,$L71 )*INDEX('I&amp;E Profiles'!AC$96:AC$180,$I71))</f>
        <v>0</v>
      </c>
      <c r="AD71" s="10" cm="1">
        <f t="array" ref="AD71">IF(OR(AD$4=0, $G71&lt;&gt; $G$7, $E71=0), 'I&amp;E Monthly'!AD71, CHOOSE(Timeline!AD$30,$J71,$K71,$L71 )*INDEX('I&amp;E Profiles'!AD$96:AD$180,$I71))</f>
        <v>0</v>
      </c>
      <c r="AE71" s="10" cm="1">
        <f t="array" ref="AE71">IF(OR(AE$4=0, $G71&lt;&gt; $G$7, $E71=0), 'I&amp;E Monthly'!AE71, CHOOSE(Timeline!AE$30,$J71,$K71,$L71 )*INDEX('I&amp;E Profiles'!AE$96:AE$180,$I71))</f>
        <v>0</v>
      </c>
      <c r="AF71" s="10" cm="1">
        <f t="array" ref="AF71">IF(OR(AF$4=0, $G71&lt;&gt; $G$7, $E71=0), 'I&amp;E Monthly'!AF71, CHOOSE(Timeline!AF$30,$J71,$K71,$L71 )*INDEX('I&amp;E Profiles'!AF$96:AF$180,$I71))</f>
        <v>0</v>
      </c>
      <c r="AG71" s="10" cm="1">
        <f t="array" ref="AG71">IF(OR(AG$4=0, $G71&lt;&gt; $G$7, $E71=0), 'I&amp;E Monthly'!AG71, CHOOSE(Timeline!AG$30,$J71,$K71,$L71 )*INDEX('I&amp;E Profiles'!AG$96:AG$180,$I71))</f>
        <v>0</v>
      </c>
      <c r="AH71" s="10" cm="1">
        <f t="array" ref="AH71">IF(OR(AH$4=0, $G71&lt;&gt; $G$7, $E71=0), 'I&amp;E Monthly'!AH71, CHOOSE(Timeline!AH$30,$J71,$K71,$L71 )*INDEX('I&amp;E Profiles'!AH$96:AH$180,$I71))</f>
        <v>0</v>
      </c>
      <c r="AI71" s="10" cm="1">
        <f t="array" ref="AI71">IF(OR(AI$4=0, $G71&lt;&gt; $G$7, $E71=0), 'I&amp;E Monthly'!AI71, CHOOSE(Timeline!AI$30,$J71,$K71,$L71 )*INDEX('I&amp;E Profiles'!AI$96:AI$180,$I71))</f>
        <v>0</v>
      </c>
      <c r="AJ71" s="10" cm="1">
        <f t="array" ref="AJ71">IF(OR(AJ$4=0, $G71&lt;&gt; $G$7, $E71=0), 'I&amp;E Monthly'!AJ71, CHOOSE(Timeline!AJ$30,$J71,$K71,$L71 )*INDEX('I&amp;E Profiles'!AJ$96:AJ$180,$I71))</f>
        <v>0</v>
      </c>
      <c r="AK71" s="10" cm="1">
        <f t="array" ref="AK71">IF(OR(AK$4=0, $G71&lt;&gt; $G$7, $E71=0), 'I&amp;E Monthly'!AK71, CHOOSE(Timeline!AK$30,$J71,$K71,$L71 )*INDEX('I&amp;E Profiles'!AK$96:AK$180,$I71))</f>
        <v>0</v>
      </c>
      <c r="AL71" s="10" cm="1">
        <f t="array" ref="AL71">IF(OR(AL$4=0, $G71&lt;&gt; $G$7, $E71=0), 'I&amp;E Monthly'!AL71, CHOOSE(Timeline!AL$30,$J71,$K71,$L71 )*INDEX('I&amp;E Profiles'!AL$96:AL$180,$I71))</f>
        <v>0</v>
      </c>
      <c r="AM71" s="10" cm="1">
        <f t="array" ref="AM71">IF(OR(AM$4=0, $G71&lt;&gt; $G$7, $E71=0), 'I&amp;E Monthly'!AM71, CHOOSE(Timeline!AM$30,$J71,$K71,$L71 )*INDEX('I&amp;E Profiles'!AM$96:AM$180,$I71))</f>
        <v>0</v>
      </c>
      <c r="AN71" s="10" cm="1">
        <f t="array" ref="AN71">IF(OR(AN$4=0, $G71&lt;&gt; $G$7, $E71=0), 'I&amp;E Monthly'!AN71, CHOOSE(Timeline!AN$30,$J71,$K71,$L71 )*INDEX('I&amp;E Profiles'!AN$96:AN$180,$I71))</f>
        <v>0</v>
      </c>
      <c r="AO71" s="10" cm="1">
        <f t="array" ref="AO71">IF(OR(AO$4=0, $G71&lt;&gt; $G$7, $E71=0), 'I&amp;E Monthly'!AO71, CHOOSE(Timeline!AO$30,$J71,$K71,$L71 )*INDEX('I&amp;E Profiles'!AO$96:AO$180,$I71))</f>
        <v>0</v>
      </c>
      <c r="AP71" s="10" cm="1">
        <f t="array" ref="AP71">IF(OR(AP$4=0, $G71&lt;&gt; $G$7, $E71=0), 'I&amp;E Monthly'!AP71, CHOOSE(Timeline!AP$30,$J71,$K71,$L71 )*INDEX('I&amp;E Profiles'!AP$96:AP$180,$I71))</f>
        <v>0</v>
      </c>
      <c r="AQ71" s="10" cm="1">
        <f t="array" ref="AQ71">IF(OR(AQ$4=0, $G71&lt;&gt; $G$7, $E71=0), 'I&amp;E Monthly'!AQ71, CHOOSE(Timeline!AQ$30,$J71,$K71,$L71 )*INDEX('I&amp;E Profiles'!AQ$96:AQ$180,$I71))</f>
        <v>0</v>
      </c>
      <c r="AR71" s="10" cm="1">
        <f t="array" ref="AR71">IF(OR(AR$4=0, $G71&lt;&gt; $G$7, $E71=0), 'I&amp;E Monthly'!AR71, CHOOSE(Timeline!AR$30,$J71,$K71,$L71 )*INDEX('I&amp;E Profiles'!AR$96:AR$180,$I71))</f>
        <v>0</v>
      </c>
      <c r="AS71" s="10" cm="1">
        <f t="array" ref="AS71">IF(OR(AS$4=0, $G71&lt;&gt; $G$7, $E71=0), 'I&amp;E Monthly'!AS71, CHOOSE(Timeline!AS$30,$J71,$K71,$L71 )*INDEX('I&amp;E Profiles'!AS$96:AS$180,$I71))</f>
        <v>0</v>
      </c>
      <c r="AT71" s="10" cm="1">
        <f t="array" ref="AT71">IF(OR(AT$4=0, $G71&lt;&gt; $G$7, $E71=0), 'I&amp;E Monthly'!AT71, CHOOSE(Timeline!AT$30,$J71,$K71,$L71 )*INDEX('I&amp;E Profiles'!AT$96:AT$180,$I71))</f>
        <v>0</v>
      </c>
      <c r="AU71" s="10" cm="1">
        <f t="array" ref="AU71">IF(OR(AU$4=0, $G71&lt;&gt; $G$7, $E71=0), 'I&amp;E Monthly'!AU71, CHOOSE(Timeline!AU$30,$J71,$K71,$L71 )*INDEX('I&amp;E Profiles'!AU$96:AU$180,$I71))</f>
        <v>0</v>
      </c>
      <c r="AV71" s="10" cm="1">
        <f t="array" ref="AV71">IF(OR(AV$4=0, $G71&lt;&gt; $G$7, $E71=0), 'I&amp;E Monthly'!AV71, CHOOSE(Timeline!AV$30,$J71,$K71,$L71 )*INDEX('I&amp;E Profiles'!AV$96:AV$180,$I71))</f>
        <v>0</v>
      </c>
      <c r="AW71" s="10" cm="1">
        <f t="array" ref="AW71">IF(OR(AW$4=0, $G71&lt;&gt; $G$7, $E71=0), 'I&amp;E Monthly'!AW71, CHOOSE(Timeline!AW$30,$J71,$K71,$L71 )*INDEX('I&amp;E Profiles'!AW$96:AW$180,$I71))</f>
        <v>0</v>
      </c>
      <c r="AX71" s="10" cm="1">
        <f t="array" ref="AX71">IF(OR(AX$4=0, $G71&lt;&gt; $G$7, $E71=0), 'I&amp;E Monthly'!AX71, CHOOSE(Timeline!AX$30,$J71,$K71,$L71 )*INDEX('I&amp;E Profiles'!AX$96:AX$180,$I71))</f>
        <v>0</v>
      </c>
      <c r="AY71" s="10" cm="1">
        <f t="array" ref="AY71">IF(OR(AY$4=0, $G71&lt;&gt; $G$7, $E71=0), 'I&amp;E Monthly'!AY71, CHOOSE(Timeline!AY$30,$J71,$K71,$L71 )*INDEX('I&amp;E Profiles'!AY$96:AY$180,$I71))</f>
        <v>0</v>
      </c>
      <c r="AZ71" s="10" cm="1">
        <f t="array" ref="AZ71">IF(OR(AZ$4=0, $G71&lt;&gt; $G$7, $E71=0), 'I&amp;E Monthly'!AZ71, CHOOSE(Timeline!AZ$30,$J71,$K71,$L71 )*INDEX('I&amp;E Profiles'!AZ$96:AZ$180,$I71))</f>
        <v>0</v>
      </c>
      <c r="BA71" s="10" cm="1">
        <f t="array" ref="BA71">IF(OR(BA$4=0, $G71&lt;&gt; $G$7, $E71=0), 'I&amp;E Monthly'!BA71, CHOOSE(Timeline!BA$30,$J71,$K71,$L71 )*INDEX('I&amp;E Profiles'!BA$96:BA$180,$I71))</f>
        <v>0</v>
      </c>
      <c r="BB71" s="10" cm="1">
        <f t="array" ref="BB71">IF(OR(BB$4=0, $G71&lt;&gt; $G$7, $E71=0), 'I&amp;E Monthly'!BB71, CHOOSE(Timeline!BB$30,$J71,$K71,$L71 )*INDEX('I&amp;E Profiles'!BB$96:BB$180,$I71))</f>
        <v>0</v>
      </c>
      <c r="BC71" s="10" cm="1">
        <f t="array" ref="BC71">IF(OR(BC$4=0, $G71&lt;&gt; $G$7, $E71=0), 'I&amp;E Monthly'!BC71, CHOOSE(Timeline!BC$30,$J71,$K71,$L71 )*INDEX('I&amp;E Profiles'!BC$96:BC$180,$I71))</f>
        <v>0</v>
      </c>
      <c r="BD71" s="10" cm="1">
        <f t="array" ref="BD71">IF(OR(BD$4=0, $G71&lt;&gt; $G$7, $E71=0), 'I&amp;E Monthly'!BD71, CHOOSE(Timeline!BD$30,$J71,$K71,$L71 )*INDEX('I&amp;E Profiles'!BD$96:BD$180,$I71))</f>
        <v>0</v>
      </c>
      <c r="BE71" s="10" cm="1">
        <f t="array" ref="BE71">IF(OR(BE$4=0, $G71&lt;&gt; $G$7, $E71=0), 'I&amp;E Monthly'!BE71, CHOOSE(Timeline!BE$30,$J71,$K71,$L71 )*INDEX('I&amp;E Profiles'!BE$96:BE$180,$I71))</f>
        <v>0</v>
      </c>
      <c r="BF71" s="10" cm="1">
        <f t="array" ref="BF71">IF(OR(BF$4=0, $G71&lt;&gt; $G$7, $E71=0), 'I&amp;E Monthly'!BF71, CHOOSE(Timeline!BF$30,$J71,$K71,$L71 )*INDEX('I&amp;E Profiles'!BF$96:BF$180,$I71))</f>
        <v>0</v>
      </c>
      <c r="BG71" s="10" cm="1">
        <f t="array" ref="BG71">IF(OR(BG$4=0, $G71&lt;&gt; $G$7, $E71=0), 'I&amp;E Monthly'!BG71, CHOOSE(Timeline!BG$30,$J71,$K71,$L71 )*INDEX('I&amp;E Profiles'!BG$96:BG$180,$I71))</f>
        <v>0</v>
      </c>
      <c r="BH71" s="10" cm="1">
        <f t="array" ref="BH71">IF(OR(BH$4=0, $G71&lt;&gt; $G$7, $E71=0), 'I&amp;E Monthly'!BH71, CHOOSE(Timeline!BH$30,$J71,$K71,$L71 )*INDEX('I&amp;E Profiles'!BH$96:BH$180,$I71))</f>
        <v>0</v>
      </c>
      <c r="BI71" s="10" cm="1">
        <f t="array" ref="BI71">IF(OR(BI$4=0, $G71&lt;&gt; $G$7, $E71=0), 'I&amp;E Monthly'!BI71, CHOOSE(Timeline!BI$30,$J71,$K71,$L71 )*INDEX('I&amp;E Profiles'!BI$96:BI$180,$I71))</f>
        <v>0</v>
      </c>
      <c r="BJ71" s="10" cm="1">
        <f t="array" ref="BJ71">IF(OR(BJ$4=0, $G71&lt;&gt; $G$7, $E71=0), 'I&amp;E Monthly'!BJ71, CHOOSE(Timeline!BJ$30,$J71,$K71,$L71 )*INDEX('I&amp;E Profiles'!BJ$96:BJ$180,$I71))</f>
        <v>0</v>
      </c>
      <c r="BX71" s="12">
        <f t="shared" si="77"/>
        <v>0</v>
      </c>
      <c r="BY71" s="10">
        <f t="shared" si="78"/>
        <v>0</v>
      </c>
      <c r="BZ71" s="10">
        <f t="shared" si="78"/>
        <v>0</v>
      </c>
      <c r="CA71" s="10">
        <f t="shared" si="78"/>
        <v>0</v>
      </c>
      <c r="CB71" s="12">
        <f>'I&amp;E Monthly'!CB71</f>
        <v>0</v>
      </c>
      <c r="CC71" s="12">
        <f>'I&amp;E Monthly'!CC71</f>
        <v>0</v>
      </c>
      <c r="CD71" s="12">
        <f>'I&amp;E Monthly'!CD71</f>
        <v>0</v>
      </c>
      <c r="CE71" s="12">
        <f>'I&amp;E Monthly'!CE71</f>
        <v>0</v>
      </c>
      <c r="CF71" s="12">
        <f>'I&amp;E Monthly'!CF71</f>
        <v>0</v>
      </c>
      <c r="CG71" s="12">
        <f>'I&amp;E Monthly'!CG71</f>
        <v>0</v>
      </c>
      <c r="CH71" s="12">
        <f>'I&amp;E Monthly'!CH71</f>
        <v>0</v>
      </c>
      <c r="CI71" s="12">
        <f>'I&amp;E Monthly'!CI71</f>
        <v>0</v>
      </c>
      <c r="CK71" s="11"/>
      <c r="CL71" s="221">
        <f t="shared" ca="1" si="79"/>
        <v>0</v>
      </c>
      <c r="CM71" s="11"/>
      <c r="CN71" s="7">
        <f t="shared" si="80"/>
        <v>0</v>
      </c>
      <c r="CO71" s="7" cm="1">
        <f t="array" ref="CO71">SUMPRODUCT(--NOT(ISNUMBER(W71:Y71)),--NOT(ISBLANK(W71:Y71)))</f>
        <v>0</v>
      </c>
      <c r="CP71" s="7" cm="1">
        <f t="array" ref="CP71">IF(E71="",0, IF(IFERROR(INDEX('I&amp;E Profiles'!$D$96:$D$180, $I71), "N/A")="N/A", 1, 0))</f>
        <v>0</v>
      </c>
      <c r="CQ71" s="7">
        <f t="shared" si="81"/>
        <v>0</v>
      </c>
      <c r="CS71" s="7">
        <f t="shared" si="82"/>
        <v>0</v>
      </c>
      <c r="CT71" s="7">
        <f t="shared" si="83"/>
        <v>0</v>
      </c>
      <c r="CU71" s="11"/>
      <c r="CV71" s="215">
        <f t="shared" si="84"/>
        <v>0</v>
      </c>
      <c r="CW71" s="215">
        <f t="shared" si="85"/>
        <v>0</v>
      </c>
      <c r="CX71" s="215">
        <f t="shared" si="86"/>
        <v>0</v>
      </c>
      <c r="CY71" s="215">
        <f t="shared" si="87"/>
        <v>0</v>
      </c>
      <c r="CZ71" s="215">
        <f t="shared" si="88"/>
        <v>0</v>
      </c>
      <c r="DA71" s="215">
        <f t="shared" si="89"/>
        <v>0</v>
      </c>
      <c r="DB71" s="215">
        <f t="shared" si="90"/>
        <v>0</v>
      </c>
      <c r="FN71" s="10" t="str">
        <f t="shared" si="40"/>
        <v>Teachers Pension Scheme Grant</v>
      </c>
    </row>
    <row r="72" spans="1:170" x14ac:dyDescent="0.35">
      <c r="A72" s="220" cm="1">
        <f t="array" aca="1" ref="A72" ca="1">HYPERLINK(CONCATENATE("#",CELL("address",IF(MAX($CM72:$CU72)=0,A72,INDEX($CM72:$CU72,MATCH(1,$CM72:$CU72,0))))),MAX($CM72:$CU72))</f>
        <v>0</v>
      </c>
      <c r="C72" s="213" t="s">
        <v>524</v>
      </c>
      <c r="D72" s="120" t="s">
        <v>376</v>
      </c>
      <c r="E72" s="114"/>
      <c r="F72" s="79" t="str" cm="1">
        <f t="array" aca="1" ref="F72" ca="1">IF(E72="", "", HYPERLINK(CONCATENATE("#",CELL("address",INDEX('I&amp;E Profiles'!$D$9:$D$93,'I&amp;E Annual'!I72))),E72))</f>
        <v/>
      </c>
      <c r="G72" s="114"/>
      <c r="H72" t="s">
        <v>317</v>
      </c>
      <c r="I72" s="132" t="str">
        <f>IF(E72="", "", MATCH(E72, 'I&amp;E Profiles'!$D$96:$D$180,0))</f>
        <v/>
      </c>
      <c r="J72" s="133">
        <f>IF($G72=$G$7, W72,'I&amp;E Monthly'!W72)-SUMIFS('I&amp;E Monthly'!$AA72:$BJ72, 'I&amp;E Monthly'!$AA$3:$BJ$3, 'I&amp;E Annual'!W$3, 'I&amp;E Monthly'!$AA$4:$BJ$4, 0)</f>
        <v>0</v>
      </c>
      <c r="K72" s="133">
        <f>IF($G72=$G$7, X72,'I&amp;E Monthly'!X72)-SUMIFS('I&amp;E Monthly'!$AA72:$BJ72, 'I&amp;E Monthly'!$AA$3:$BJ$3, 'I&amp;E Annual'!X$3, 'I&amp;E Monthly'!$AA$4:$BJ$4, 0)</f>
        <v>0</v>
      </c>
      <c r="L72" s="133">
        <f>IF($G72=$G$7, Y72,'I&amp;E Monthly'!Y72)-SUMIFS('I&amp;E Monthly'!$AA72:$BJ72, 'I&amp;E Monthly'!$AA$3:$BJ$3, 'I&amp;E Annual'!Y$3, 'I&amp;E Monthly'!$AA$4:$BJ$4, 0)</f>
        <v>0</v>
      </c>
      <c r="Q72" s="2"/>
      <c r="V72" s="133">
        <f>'I&amp;E Monthly'!V72</f>
        <v>0</v>
      </c>
      <c r="W72" s="114"/>
      <c r="X72" s="131"/>
      <c r="Y72" s="131"/>
      <c r="AA72" s="10" cm="1">
        <f t="array" ref="AA72">IF(OR(AA$4=0, $G72&lt;&gt; $G$7, $E72=0), 'I&amp;E Monthly'!AA72, CHOOSE(Timeline!AA$30,$J72,$K72,$L72 )*INDEX('I&amp;E Profiles'!AA$96:AA$180,$I72))</f>
        <v>0</v>
      </c>
      <c r="AB72" s="10" cm="1">
        <f t="array" ref="AB72">IF(OR(AB$4=0, $G72&lt;&gt; $G$7, $E72=0), 'I&amp;E Monthly'!AB72, CHOOSE(Timeline!AB$30,$J72,$K72,$L72 )*INDEX('I&amp;E Profiles'!AB$96:AB$180,$I72))</f>
        <v>0</v>
      </c>
      <c r="AC72" s="10" cm="1">
        <f t="array" ref="AC72">IF(OR(AC$4=0, $G72&lt;&gt; $G$7, $E72=0), 'I&amp;E Monthly'!AC72, CHOOSE(Timeline!AC$30,$J72,$K72,$L72 )*INDEX('I&amp;E Profiles'!AC$96:AC$180,$I72))</f>
        <v>0</v>
      </c>
      <c r="AD72" s="10" cm="1">
        <f t="array" ref="AD72">IF(OR(AD$4=0, $G72&lt;&gt; $G$7, $E72=0), 'I&amp;E Monthly'!AD72, CHOOSE(Timeline!AD$30,$J72,$K72,$L72 )*INDEX('I&amp;E Profiles'!AD$96:AD$180,$I72))</f>
        <v>0</v>
      </c>
      <c r="AE72" s="10" cm="1">
        <f t="array" ref="AE72">IF(OR(AE$4=0, $G72&lt;&gt; $G$7, $E72=0), 'I&amp;E Monthly'!AE72, CHOOSE(Timeline!AE$30,$J72,$K72,$L72 )*INDEX('I&amp;E Profiles'!AE$96:AE$180,$I72))</f>
        <v>0</v>
      </c>
      <c r="AF72" s="10" cm="1">
        <f t="array" ref="AF72">IF(OR(AF$4=0, $G72&lt;&gt; $G$7, $E72=0), 'I&amp;E Monthly'!AF72, CHOOSE(Timeline!AF$30,$J72,$K72,$L72 )*INDEX('I&amp;E Profiles'!AF$96:AF$180,$I72))</f>
        <v>0</v>
      </c>
      <c r="AG72" s="10" cm="1">
        <f t="array" ref="AG72">IF(OR(AG$4=0, $G72&lt;&gt; $G$7, $E72=0), 'I&amp;E Monthly'!AG72, CHOOSE(Timeline!AG$30,$J72,$K72,$L72 )*INDEX('I&amp;E Profiles'!AG$96:AG$180,$I72))</f>
        <v>0</v>
      </c>
      <c r="AH72" s="10" cm="1">
        <f t="array" ref="AH72">IF(OR(AH$4=0, $G72&lt;&gt; $G$7, $E72=0), 'I&amp;E Monthly'!AH72, CHOOSE(Timeline!AH$30,$J72,$K72,$L72 )*INDEX('I&amp;E Profiles'!AH$96:AH$180,$I72))</f>
        <v>0</v>
      </c>
      <c r="AI72" s="10" cm="1">
        <f t="array" ref="AI72">IF(OR(AI$4=0, $G72&lt;&gt; $G$7, $E72=0), 'I&amp;E Monthly'!AI72, CHOOSE(Timeline!AI$30,$J72,$K72,$L72 )*INDEX('I&amp;E Profiles'!AI$96:AI$180,$I72))</f>
        <v>0</v>
      </c>
      <c r="AJ72" s="10" cm="1">
        <f t="array" ref="AJ72">IF(OR(AJ$4=0, $G72&lt;&gt; $G$7, $E72=0), 'I&amp;E Monthly'!AJ72, CHOOSE(Timeline!AJ$30,$J72,$K72,$L72 )*INDEX('I&amp;E Profiles'!AJ$96:AJ$180,$I72))</f>
        <v>0</v>
      </c>
      <c r="AK72" s="10" cm="1">
        <f t="array" ref="AK72">IF(OR(AK$4=0, $G72&lt;&gt; $G$7, $E72=0), 'I&amp;E Monthly'!AK72, CHOOSE(Timeline!AK$30,$J72,$K72,$L72 )*INDEX('I&amp;E Profiles'!AK$96:AK$180,$I72))</f>
        <v>0</v>
      </c>
      <c r="AL72" s="10" cm="1">
        <f t="array" ref="AL72">IF(OR(AL$4=0, $G72&lt;&gt; $G$7, $E72=0), 'I&amp;E Monthly'!AL72, CHOOSE(Timeline!AL$30,$J72,$K72,$L72 )*INDEX('I&amp;E Profiles'!AL$96:AL$180,$I72))</f>
        <v>0</v>
      </c>
      <c r="AM72" s="10" cm="1">
        <f t="array" ref="AM72">IF(OR(AM$4=0, $G72&lt;&gt; $G$7, $E72=0), 'I&amp;E Monthly'!AM72, CHOOSE(Timeline!AM$30,$J72,$K72,$L72 )*INDEX('I&amp;E Profiles'!AM$96:AM$180,$I72))</f>
        <v>0</v>
      </c>
      <c r="AN72" s="10" cm="1">
        <f t="array" ref="AN72">IF(OR(AN$4=0, $G72&lt;&gt; $G$7, $E72=0), 'I&amp;E Monthly'!AN72, CHOOSE(Timeline!AN$30,$J72,$K72,$L72 )*INDEX('I&amp;E Profiles'!AN$96:AN$180,$I72))</f>
        <v>0</v>
      </c>
      <c r="AO72" s="10" cm="1">
        <f t="array" ref="AO72">IF(OR(AO$4=0, $G72&lt;&gt; $G$7, $E72=0), 'I&amp;E Monthly'!AO72, CHOOSE(Timeline!AO$30,$J72,$K72,$L72 )*INDEX('I&amp;E Profiles'!AO$96:AO$180,$I72))</f>
        <v>0</v>
      </c>
      <c r="AP72" s="10" cm="1">
        <f t="array" ref="AP72">IF(OR(AP$4=0, $G72&lt;&gt; $G$7, $E72=0), 'I&amp;E Monthly'!AP72, CHOOSE(Timeline!AP$30,$J72,$K72,$L72 )*INDEX('I&amp;E Profiles'!AP$96:AP$180,$I72))</f>
        <v>0</v>
      </c>
      <c r="AQ72" s="10" cm="1">
        <f t="array" ref="AQ72">IF(OR(AQ$4=0, $G72&lt;&gt; $G$7, $E72=0), 'I&amp;E Monthly'!AQ72, CHOOSE(Timeline!AQ$30,$J72,$K72,$L72 )*INDEX('I&amp;E Profiles'!AQ$96:AQ$180,$I72))</f>
        <v>0</v>
      </c>
      <c r="AR72" s="10" cm="1">
        <f t="array" ref="AR72">IF(OR(AR$4=0, $G72&lt;&gt; $G$7, $E72=0), 'I&amp;E Monthly'!AR72, CHOOSE(Timeline!AR$30,$J72,$K72,$L72 )*INDEX('I&amp;E Profiles'!AR$96:AR$180,$I72))</f>
        <v>0</v>
      </c>
      <c r="AS72" s="10" cm="1">
        <f t="array" ref="AS72">IF(OR(AS$4=0, $G72&lt;&gt; $G$7, $E72=0), 'I&amp;E Monthly'!AS72, CHOOSE(Timeline!AS$30,$J72,$K72,$L72 )*INDEX('I&amp;E Profiles'!AS$96:AS$180,$I72))</f>
        <v>0</v>
      </c>
      <c r="AT72" s="10" cm="1">
        <f t="array" ref="AT72">IF(OR(AT$4=0, $G72&lt;&gt; $G$7, $E72=0), 'I&amp;E Monthly'!AT72, CHOOSE(Timeline!AT$30,$J72,$K72,$L72 )*INDEX('I&amp;E Profiles'!AT$96:AT$180,$I72))</f>
        <v>0</v>
      </c>
      <c r="AU72" s="10" cm="1">
        <f t="array" ref="AU72">IF(OR(AU$4=0, $G72&lt;&gt; $G$7, $E72=0), 'I&amp;E Monthly'!AU72, CHOOSE(Timeline!AU$30,$J72,$K72,$L72 )*INDEX('I&amp;E Profiles'!AU$96:AU$180,$I72))</f>
        <v>0</v>
      </c>
      <c r="AV72" s="10" cm="1">
        <f t="array" ref="AV72">IF(OR(AV$4=0, $G72&lt;&gt; $G$7, $E72=0), 'I&amp;E Monthly'!AV72, CHOOSE(Timeline!AV$30,$J72,$K72,$L72 )*INDEX('I&amp;E Profiles'!AV$96:AV$180,$I72))</f>
        <v>0</v>
      </c>
      <c r="AW72" s="10" cm="1">
        <f t="array" ref="AW72">IF(OR(AW$4=0, $G72&lt;&gt; $G$7, $E72=0), 'I&amp;E Monthly'!AW72, CHOOSE(Timeline!AW$30,$J72,$K72,$L72 )*INDEX('I&amp;E Profiles'!AW$96:AW$180,$I72))</f>
        <v>0</v>
      </c>
      <c r="AX72" s="10" cm="1">
        <f t="array" ref="AX72">IF(OR(AX$4=0, $G72&lt;&gt; $G$7, $E72=0), 'I&amp;E Monthly'!AX72, CHOOSE(Timeline!AX$30,$J72,$K72,$L72 )*INDEX('I&amp;E Profiles'!AX$96:AX$180,$I72))</f>
        <v>0</v>
      </c>
      <c r="AY72" s="10" cm="1">
        <f t="array" ref="AY72">IF(OR(AY$4=0, $G72&lt;&gt; $G$7, $E72=0), 'I&amp;E Monthly'!AY72, CHOOSE(Timeline!AY$30,$J72,$K72,$L72 )*INDEX('I&amp;E Profiles'!AY$96:AY$180,$I72))</f>
        <v>0</v>
      </c>
      <c r="AZ72" s="10" cm="1">
        <f t="array" ref="AZ72">IF(OR(AZ$4=0, $G72&lt;&gt; $G$7, $E72=0), 'I&amp;E Monthly'!AZ72, CHOOSE(Timeline!AZ$30,$J72,$K72,$L72 )*INDEX('I&amp;E Profiles'!AZ$96:AZ$180,$I72))</f>
        <v>0</v>
      </c>
      <c r="BA72" s="10" cm="1">
        <f t="array" ref="BA72">IF(OR(BA$4=0, $G72&lt;&gt; $G$7, $E72=0), 'I&amp;E Monthly'!BA72, CHOOSE(Timeline!BA$30,$J72,$K72,$L72 )*INDEX('I&amp;E Profiles'!BA$96:BA$180,$I72))</f>
        <v>0</v>
      </c>
      <c r="BB72" s="10" cm="1">
        <f t="array" ref="BB72">IF(OR(BB$4=0, $G72&lt;&gt; $G$7, $E72=0), 'I&amp;E Monthly'!BB72, CHOOSE(Timeline!BB$30,$J72,$K72,$L72 )*INDEX('I&amp;E Profiles'!BB$96:BB$180,$I72))</f>
        <v>0</v>
      </c>
      <c r="BC72" s="10" cm="1">
        <f t="array" ref="BC72">IF(OR(BC$4=0, $G72&lt;&gt; $G$7, $E72=0), 'I&amp;E Monthly'!BC72, CHOOSE(Timeline!BC$30,$J72,$K72,$L72 )*INDEX('I&amp;E Profiles'!BC$96:BC$180,$I72))</f>
        <v>0</v>
      </c>
      <c r="BD72" s="10" cm="1">
        <f t="array" ref="BD72">IF(OR(BD$4=0, $G72&lt;&gt; $G$7, $E72=0), 'I&amp;E Monthly'!BD72, CHOOSE(Timeline!BD$30,$J72,$K72,$L72 )*INDEX('I&amp;E Profiles'!BD$96:BD$180,$I72))</f>
        <v>0</v>
      </c>
      <c r="BE72" s="10" cm="1">
        <f t="array" ref="BE72">IF(OR(BE$4=0, $G72&lt;&gt; $G$7, $E72=0), 'I&amp;E Monthly'!BE72, CHOOSE(Timeline!BE$30,$J72,$K72,$L72 )*INDEX('I&amp;E Profiles'!BE$96:BE$180,$I72))</f>
        <v>0</v>
      </c>
      <c r="BF72" s="10" cm="1">
        <f t="array" ref="BF72">IF(OR(BF$4=0, $G72&lt;&gt; $G$7, $E72=0), 'I&amp;E Monthly'!BF72, CHOOSE(Timeline!BF$30,$J72,$K72,$L72 )*INDEX('I&amp;E Profiles'!BF$96:BF$180,$I72))</f>
        <v>0</v>
      </c>
      <c r="BG72" s="10" cm="1">
        <f t="array" ref="BG72">IF(OR(BG$4=0, $G72&lt;&gt; $G$7, $E72=0), 'I&amp;E Monthly'!BG72, CHOOSE(Timeline!BG$30,$J72,$K72,$L72 )*INDEX('I&amp;E Profiles'!BG$96:BG$180,$I72))</f>
        <v>0</v>
      </c>
      <c r="BH72" s="10" cm="1">
        <f t="array" ref="BH72">IF(OR(BH$4=0, $G72&lt;&gt; $G$7, $E72=0), 'I&amp;E Monthly'!BH72, CHOOSE(Timeline!BH$30,$J72,$K72,$L72 )*INDEX('I&amp;E Profiles'!BH$96:BH$180,$I72))</f>
        <v>0</v>
      </c>
      <c r="BI72" s="10" cm="1">
        <f t="array" ref="BI72">IF(OR(BI$4=0, $G72&lt;&gt; $G$7, $E72=0), 'I&amp;E Monthly'!BI72, CHOOSE(Timeline!BI$30,$J72,$K72,$L72 )*INDEX('I&amp;E Profiles'!BI$96:BI$180,$I72))</f>
        <v>0</v>
      </c>
      <c r="BJ72" s="10" cm="1">
        <f t="array" ref="BJ72">IF(OR(BJ$4=0, $G72&lt;&gt; $G$7, $E72=0), 'I&amp;E Monthly'!BJ72, CHOOSE(Timeline!BJ$30,$J72,$K72,$L72 )*INDEX('I&amp;E Profiles'!BJ$96:BJ$180,$I72))</f>
        <v>0</v>
      </c>
      <c r="BX72" s="12">
        <f t="shared" si="77"/>
        <v>0</v>
      </c>
      <c r="BY72" s="10">
        <f t="shared" si="78"/>
        <v>0</v>
      </c>
      <c r="BZ72" s="10">
        <f t="shared" si="78"/>
        <v>0</v>
      </c>
      <c r="CA72" s="10">
        <f t="shared" si="78"/>
        <v>0</v>
      </c>
      <c r="CB72" s="12">
        <f>'I&amp;E Monthly'!CB72</f>
        <v>0</v>
      </c>
      <c r="CC72" s="12">
        <f>'I&amp;E Monthly'!CC72</f>
        <v>0</v>
      </c>
      <c r="CD72" s="12">
        <f>'I&amp;E Monthly'!CD72</f>
        <v>0</v>
      </c>
      <c r="CE72" s="12">
        <f>'I&amp;E Monthly'!CE72</f>
        <v>0</v>
      </c>
      <c r="CF72" s="12">
        <f>'I&amp;E Monthly'!CF72</f>
        <v>0</v>
      </c>
      <c r="CG72" s="12">
        <f>'I&amp;E Monthly'!CG72</f>
        <v>0</v>
      </c>
      <c r="CH72" s="12">
        <f>'I&amp;E Monthly'!CH72</f>
        <v>0</v>
      </c>
      <c r="CI72" s="12">
        <f>'I&amp;E Monthly'!CI72</f>
        <v>0</v>
      </c>
      <c r="CK72" s="11"/>
      <c r="CL72" s="221">
        <f t="shared" ca="1" si="79"/>
        <v>0</v>
      </c>
      <c r="CM72" s="11"/>
      <c r="CN72" s="7">
        <f t="shared" si="80"/>
        <v>0</v>
      </c>
      <c r="CO72" s="7" cm="1">
        <f t="array" ref="CO72">SUMPRODUCT(--NOT(ISNUMBER(W72:Y72)),--NOT(ISBLANK(W72:Y72)))</f>
        <v>0</v>
      </c>
      <c r="CP72" s="7" cm="1">
        <f t="array" ref="CP72">IF(E72="",0, IF(IFERROR(INDEX('I&amp;E Profiles'!$D$96:$D$180, $I72), "N/A")="N/A", 1, 0))</f>
        <v>0</v>
      </c>
      <c r="CQ72" s="7">
        <f t="shared" si="81"/>
        <v>0</v>
      </c>
      <c r="CS72" s="7">
        <f t="shared" si="82"/>
        <v>0</v>
      </c>
      <c r="CT72" s="7">
        <f t="shared" si="83"/>
        <v>0</v>
      </c>
      <c r="CU72" s="11"/>
      <c r="CV72" s="215">
        <f t="shared" si="84"/>
        <v>0</v>
      </c>
      <c r="CW72" s="215">
        <f t="shared" si="85"/>
        <v>0</v>
      </c>
      <c r="CX72" s="215">
        <f t="shared" si="86"/>
        <v>0</v>
      </c>
      <c r="CY72" s="215">
        <f t="shared" si="87"/>
        <v>0</v>
      </c>
      <c r="CZ72" s="215">
        <f t="shared" si="88"/>
        <v>0</v>
      </c>
      <c r="DA72" s="215">
        <f t="shared" si="89"/>
        <v>0</v>
      </c>
      <c r="DB72" s="215">
        <f t="shared" si="90"/>
        <v>0</v>
      </c>
      <c r="FN72" s="10" t="str">
        <f t="shared" si="40"/>
        <v>Exam and registration income</v>
      </c>
    </row>
    <row r="73" spans="1:170" x14ac:dyDescent="0.35">
      <c r="A73" s="220" cm="1">
        <f t="array" aca="1" ref="A73" ca="1">HYPERLINK(CONCATENATE("#",CELL("address",IF(MAX($CM73:$CU73)=0,A73,INDEX($CM73:$CU73,MATCH(1,$CM73:$CU73,0))))),MAX($CM73:$CU73))</f>
        <v>0</v>
      </c>
      <c r="C73" s="213" t="s">
        <v>525</v>
      </c>
      <c r="D73" s="120" t="s">
        <v>367</v>
      </c>
      <c r="E73" s="114"/>
      <c r="F73" s="79" t="str" cm="1">
        <f t="array" aca="1" ref="F73" ca="1">IF(E73="", "", HYPERLINK(CONCATENATE("#",CELL("address",INDEX('I&amp;E Profiles'!$D$9:$D$93,'I&amp;E Annual'!I73))),E73))</f>
        <v/>
      </c>
      <c r="G73" s="114"/>
      <c r="H73" t="s">
        <v>317</v>
      </c>
      <c r="I73" s="132" t="str">
        <f>IF(E73="", "", MATCH(E73, 'I&amp;E Profiles'!$D$96:$D$180,0))</f>
        <v/>
      </c>
      <c r="J73" s="133">
        <f>IF($G73=$G$7, W73,'I&amp;E Monthly'!W73)-SUMIFS('I&amp;E Monthly'!$AA73:$BJ73, 'I&amp;E Monthly'!$AA$3:$BJ$3, 'I&amp;E Annual'!W$3, 'I&amp;E Monthly'!$AA$4:$BJ$4, 0)</f>
        <v>0</v>
      </c>
      <c r="K73" s="133">
        <f>IF($G73=$G$7, X73,'I&amp;E Monthly'!X73)-SUMIFS('I&amp;E Monthly'!$AA73:$BJ73, 'I&amp;E Monthly'!$AA$3:$BJ$3, 'I&amp;E Annual'!X$3, 'I&amp;E Monthly'!$AA$4:$BJ$4, 0)</f>
        <v>0</v>
      </c>
      <c r="L73" s="133">
        <f>IF($G73=$G$7, Y73,'I&amp;E Monthly'!Y73)-SUMIFS('I&amp;E Monthly'!$AA73:$BJ73, 'I&amp;E Monthly'!$AA$3:$BJ$3, 'I&amp;E Annual'!Y$3, 'I&amp;E Monthly'!$AA$4:$BJ$4, 0)</f>
        <v>0</v>
      </c>
      <c r="Q73" s="2"/>
      <c r="V73" s="133">
        <f>'I&amp;E Monthly'!V73</f>
        <v>0</v>
      </c>
      <c r="W73" s="114"/>
      <c r="X73" s="131"/>
      <c r="Y73" s="131"/>
      <c r="AA73" s="10" cm="1">
        <f t="array" ref="AA73">IF(OR(AA$4=0, $G73&lt;&gt; $G$7, $E73=0), 'I&amp;E Monthly'!AA73, CHOOSE(Timeline!AA$30,$J73,$K73,$L73 )*INDEX('I&amp;E Profiles'!AA$96:AA$180,$I73))</f>
        <v>0</v>
      </c>
      <c r="AB73" s="10" cm="1">
        <f t="array" ref="AB73">IF(OR(AB$4=0, $G73&lt;&gt; $G$7, $E73=0), 'I&amp;E Monthly'!AB73, CHOOSE(Timeline!AB$30,$J73,$K73,$L73 )*INDEX('I&amp;E Profiles'!AB$96:AB$180,$I73))</f>
        <v>0</v>
      </c>
      <c r="AC73" s="10" cm="1">
        <f t="array" ref="AC73">IF(OR(AC$4=0, $G73&lt;&gt; $G$7, $E73=0), 'I&amp;E Monthly'!AC73, CHOOSE(Timeline!AC$30,$J73,$K73,$L73 )*INDEX('I&amp;E Profiles'!AC$96:AC$180,$I73))</f>
        <v>0</v>
      </c>
      <c r="AD73" s="10" cm="1">
        <f t="array" ref="AD73">IF(OR(AD$4=0, $G73&lt;&gt; $G$7, $E73=0), 'I&amp;E Monthly'!AD73, CHOOSE(Timeline!AD$30,$J73,$K73,$L73 )*INDEX('I&amp;E Profiles'!AD$96:AD$180,$I73))</f>
        <v>0</v>
      </c>
      <c r="AE73" s="10" cm="1">
        <f t="array" ref="AE73">IF(OR(AE$4=0, $G73&lt;&gt; $G$7, $E73=0), 'I&amp;E Monthly'!AE73, CHOOSE(Timeline!AE$30,$J73,$K73,$L73 )*INDEX('I&amp;E Profiles'!AE$96:AE$180,$I73))</f>
        <v>0</v>
      </c>
      <c r="AF73" s="10" cm="1">
        <f t="array" ref="AF73">IF(OR(AF$4=0, $G73&lt;&gt; $G$7, $E73=0), 'I&amp;E Monthly'!AF73, CHOOSE(Timeline!AF$30,$J73,$K73,$L73 )*INDEX('I&amp;E Profiles'!AF$96:AF$180,$I73))</f>
        <v>0</v>
      </c>
      <c r="AG73" s="10" cm="1">
        <f t="array" ref="AG73">IF(OR(AG$4=0, $G73&lt;&gt; $G$7, $E73=0), 'I&amp;E Monthly'!AG73, CHOOSE(Timeline!AG$30,$J73,$K73,$L73 )*INDEX('I&amp;E Profiles'!AG$96:AG$180,$I73))</f>
        <v>0</v>
      </c>
      <c r="AH73" s="10" cm="1">
        <f t="array" ref="AH73">IF(OR(AH$4=0, $G73&lt;&gt; $G$7, $E73=0), 'I&amp;E Monthly'!AH73, CHOOSE(Timeline!AH$30,$J73,$K73,$L73 )*INDEX('I&amp;E Profiles'!AH$96:AH$180,$I73))</f>
        <v>0</v>
      </c>
      <c r="AI73" s="10" cm="1">
        <f t="array" ref="AI73">IF(OR(AI$4=0, $G73&lt;&gt; $G$7, $E73=0), 'I&amp;E Monthly'!AI73, CHOOSE(Timeline!AI$30,$J73,$K73,$L73 )*INDEX('I&amp;E Profiles'!AI$96:AI$180,$I73))</f>
        <v>0</v>
      </c>
      <c r="AJ73" s="10" cm="1">
        <f t="array" ref="AJ73">IF(OR(AJ$4=0, $G73&lt;&gt; $G$7, $E73=0), 'I&amp;E Monthly'!AJ73, CHOOSE(Timeline!AJ$30,$J73,$K73,$L73 )*INDEX('I&amp;E Profiles'!AJ$96:AJ$180,$I73))</f>
        <v>0</v>
      </c>
      <c r="AK73" s="10" cm="1">
        <f t="array" ref="AK73">IF(OR(AK$4=0, $G73&lt;&gt; $G$7, $E73=0), 'I&amp;E Monthly'!AK73, CHOOSE(Timeline!AK$30,$J73,$K73,$L73 )*INDEX('I&amp;E Profiles'!AK$96:AK$180,$I73))</f>
        <v>0</v>
      </c>
      <c r="AL73" s="10" cm="1">
        <f t="array" ref="AL73">IF(OR(AL$4=0, $G73&lt;&gt; $G$7, $E73=0), 'I&amp;E Monthly'!AL73, CHOOSE(Timeline!AL$30,$J73,$K73,$L73 )*INDEX('I&amp;E Profiles'!AL$96:AL$180,$I73))</f>
        <v>0</v>
      </c>
      <c r="AM73" s="10" cm="1">
        <f t="array" ref="AM73">IF(OR(AM$4=0, $G73&lt;&gt; $G$7, $E73=0), 'I&amp;E Monthly'!AM73, CHOOSE(Timeline!AM$30,$J73,$K73,$L73 )*INDEX('I&amp;E Profiles'!AM$96:AM$180,$I73))</f>
        <v>0</v>
      </c>
      <c r="AN73" s="10" cm="1">
        <f t="array" ref="AN73">IF(OR(AN$4=0, $G73&lt;&gt; $G$7, $E73=0), 'I&amp;E Monthly'!AN73, CHOOSE(Timeline!AN$30,$J73,$K73,$L73 )*INDEX('I&amp;E Profiles'!AN$96:AN$180,$I73))</f>
        <v>0</v>
      </c>
      <c r="AO73" s="10" cm="1">
        <f t="array" ref="AO73">IF(OR(AO$4=0, $G73&lt;&gt; $G$7, $E73=0), 'I&amp;E Monthly'!AO73, CHOOSE(Timeline!AO$30,$J73,$K73,$L73 )*INDEX('I&amp;E Profiles'!AO$96:AO$180,$I73))</f>
        <v>0</v>
      </c>
      <c r="AP73" s="10" cm="1">
        <f t="array" ref="AP73">IF(OR(AP$4=0, $G73&lt;&gt; $G$7, $E73=0), 'I&amp;E Monthly'!AP73, CHOOSE(Timeline!AP$30,$J73,$K73,$L73 )*INDEX('I&amp;E Profiles'!AP$96:AP$180,$I73))</f>
        <v>0</v>
      </c>
      <c r="AQ73" s="10" cm="1">
        <f t="array" ref="AQ73">IF(OR(AQ$4=0, $G73&lt;&gt; $G$7, $E73=0), 'I&amp;E Monthly'!AQ73, CHOOSE(Timeline!AQ$30,$J73,$K73,$L73 )*INDEX('I&amp;E Profiles'!AQ$96:AQ$180,$I73))</f>
        <v>0</v>
      </c>
      <c r="AR73" s="10" cm="1">
        <f t="array" ref="AR73">IF(OR(AR$4=0, $G73&lt;&gt; $G$7, $E73=0), 'I&amp;E Monthly'!AR73, CHOOSE(Timeline!AR$30,$J73,$K73,$L73 )*INDEX('I&amp;E Profiles'!AR$96:AR$180,$I73))</f>
        <v>0</v>
      </c>
      <c r="AS73" s="10" cm="1">
        <f t="array" ref="AS73">IF(OR(AS$4=0, $G73&lt;&gt; $G$7, $E73=0), 'I&amp;E Monthly'!AS73, CHOOSE(Timeline!AS$30,$J73,$K73,$L73 )*INDEX('I&amp;E Profiles'!AS$96:AS$180,$I73))</f>
        <v>0</v>
      </c>
      <c r="AT73" s="10" cm="1">
        <f t="array" ref="AT73">IF(OR(AT$4=0, $G73&lt;&gt; $G$7, $E73=0), 'I&amp;E Monthly'!AT73, CHOOSE(Timeline!AT$30,$J73,$K73,$L73 )*INDEX('I&amp;E Profiles'!AT$96:AT$180,$I73))</f>
        <v>0</v>
      </c>
      <c r="AU73" s="10" cm="1">
        <f t="array" ref="AU73">IF(OR(AU$4=0, $G73&lt;&gt; $G$7, $E73=0), 'I&amp;E Monthly'!AU73, CHOOSE(Timeline!AU$30,$J73,$K73,$L73 )*INDEX('I&amp;E Profiles'!AU$96:AU$180,$I73))</f>
        <v>0</v>
      </c>
      <c r="AV73" s="10" cm="1">
        <f t="array" ref="AV73">IF(OR(AV$4=0, $G73&lt;&gt; $G$7, $E73=0), 'I&amp;E Monthly'!AV73, CHOOSE(Timeline!AV$30,$J73,$K73,$L73 )*INDEX('I&amp;E Profiles'!AV$96:AV$180,$I73))</f>
        <v>0</v>
      </c>
      <c r="AW73" s="10" cm="1">
        <f t="array" ref="AW73">IF(OR(AW$4=0, $G73&lt;&gt; $G$7, $E73=0), 'I&amp;E Monthly'!AW73, CHOOSE(Timeline!AW$30,$J73,$K73,$L73 )*INDEX('I&amp;E Profiles'!AW$96:AW$180,$I73))</f>
        <v>0</v>
      </c>
      <c r="AX73" s="10" cm="1">
        <f t="array" ref="AX73">IF(OR(AX$4=0, $G73&lt;&gt; $G$7, $E73=0), 'I&amp;E Monthly'!AX73, CHOOSE(Timeline!AX$30,$J73,$K73,$L73 )*INDEX('I&amp;E Profiles'!AX$96:AX$180,$I73))</f>
        <v>0</v>
      </c>
      <c r="AY73" s="10" cm="1">
        <f t="array" ref="AY73">IF(OR(AY$4=0, $G73&lt;&gt; $G$7, $E73=0), 'I&amp;E Monthly'!AY73, CHOOSE(Timeline!AY$30,$J73,$K73,$L73 )*INDEX('I&amp;E Profiles'!AY$96:AY$180,$I73))</f>
        <v>0</v>
      </c>
      <c r="AZ73" s="10" cm="1">
        <f t="array" ref="AZ73">IF(OR(AZ$4=0, $G73&lt;&gt; $G$7, $E73=0), 'I&amp;E Monthly'!AZ73, CHOOSE(Timeline!AZ$30,$J73,$K73,$L73 )*INDEX('I&amp;E Profiles'!AZ$96:AZ$180,$I73))</f>
        <v>0</v>
      </c>
      <c r="BA73" s="10" cm="1">
        <f t="array" ref="BA73">IF(OR(BA$4=0, $G73&lt;&gt; $G$7, $E73=0), 'I&amp;E Monthly'!BA73, CHOOSE(Timeline!BA$30,$J73,$K73,$L73 )*INDEX('I&amp;E Profiles'!BA$96:BA$180,$I73))</f>
        <v>0</v>
      </c>
      <c r="BB73" s="10" cm="1">
        <f t="array" ref="BB73">IF(OR(BB$4=0, $G73&lt;&gt; $G$7, $E73=0), 'I&amp;E Monthly'!BB73, CHOOSE(Timeline!BB$30,$J73,$K73,$L73 )*INDEX('I&amp;E Profiles'!BB$96:BB$180,$I73))</f>
        <v>0</v>
      </c>
      <c r="BC73" s="10" cm="1">
        <f t="array" ref="BC73">IF(OR(BC$4=0, $G73&lt;&gt; $G$7, $E73=0), 'I&amp;E Monthly'!BC73, CHOOSE(Timeline!BC$30,$J73,$K73,$L73 )*INDEX('I&amp;E Profiles'!BC$96:BC$180,$I73))</f>
        <v>0</v>
      </c>
      <c r="BD73" s="10" cm="1">
        <f t="array" ref="BD73">IF(OR(BD$4=0, $G73&lt;&gt; $G$7, $E73=0), 'I&amp;E Monthly'!BD73, CHOOSE(Timeline!BD$30,$J73,$K73,$L73 )*INDEX('I&amp;E Profiles'!BD$96:BD$180,$I73))</f>
        <v>0</v>
      </c>
      <c r="BE73" s="10" cm="1">
        <f t="array" ref="BE73">IF(OR(BE$4=0, $G73&lt;&gt; $G$7, $E73=0), 'I&amp;E Monthly'!BE73, CHOOSE(Timeline!BE$30,$J73,$K73,$L73 )*INDEX('I&amp;E Profiles'!BE$96:BE$180,$I73))</f>
        <v>0</v>
      </c>
      <c r="BF73" s="10" cm="1">
        <f t="array" ref="BF73">IF(OR(BF$4=0, $G73&lt;&gt; $G$7, $E73=0), 'I&amp;E Monthly'!BF73, CHOOSE(Timeline!BF$30,$J73,$K73,$L73 )*INDEX('I&amp;E Profiles'!BF$96:BF$180,$I73))</f>
        <v>0</v>
      </c>
      <c r="BG73" s="10" cm="1">
        <f t="array" ref="BG73">IF(OR(BG$4=0, $G73&lt;&gt; $G$7, $E73=0), 'I&amp;E Monthly'!BG73, CHOOSE(Timeline!BG$30,$J73,$K73,$L73 )*INDEX('I&amp;E Profiles'!BG$96:BG$180,$I73))</f>
        <v>0</v>
      </c>
      <c r="BH73" s="10" cm="1">
        <f t="array" ref="BH73">IF(OR(BH$4=0, $G73&lt;&gt; $G$7, $E73=0), 'I&amp;E Monthly'!BH73, CHOOSE(Timeline!BH$30,$J73,$K73,$L73 )*INDEX('I&amp;E Profiles'!BH$96:BH$180,$I73))</f>
        <v>0</v>
      </c>
      <c r="BI73" s="10" cm="1">
        <f t="array" ref="BI73">IF(OR(BI$4=0, $G73&lt;&gt; $G$7, $E73=0), 'I&amp;E Monthly'!BI73, CHOOSE(Timeline!BI$30,$J73,$K73,$L73 )*INDEX('I&amp;E Profiles'!BI$96:BI$180,$I73))</f>
        <v>0</v>
      </c>
      <c r="BJ73" s="10" cm="1">
        <f t="array" ref="BJ73">IF(OR(BJ$4=0, $G73&lt;&gt; $G$7, $E73=0), 'I&amp;E Monthly'!BJ73, CHOOSE(Timeline!BJ$30,$J73,$K73,$L73 )*INDEX('I&amp;E Profiles'!BJ$96:BJ$180,$I73))</f>
        <v>0</v>
      </c>
      <c r="BX73" s="12">
        <f t="shared" si="77"/>
        <v>0</v>
      </c>
      <c r="BY73" s="10">
        <f t="shared" si="78"/>
        <v>0</v>
      </c>
      <c r="BZ73" s="10">
        <f t="shared" si="78"/>
        <v>0</v>
      </c>
      <c r="CA73" s="10">
        <f t="shared" si="78"/>
        <v>0</v>
      </c>
      <c r="CB73" s="12">
        <f>'I&amp;E Monthly'!CB73</f>
        <v>0</v>
      </c>
      <c r="CC73" s="12">
        <f>'I&amp;E Monthly'!CC73</f>
        <v>0</v>
      </c>
      <c r="CD73" s="12">
        <f>'I&amp;E Monthly'!CD73</f>
        <v>0</v>
      </c>
      <c r="CE73" s="12">
        <f>'I&amp;E Monthly'!CE73</f>
        <v>0</v>
      </c>
      <c r="CF73" s="12">
        <f>'I&amp;E Monthly'!CF73</f>
        <v>0</v>
      </c>
      <c r="CG73" s="12">
        <f>'I&amp;E Monthly'!CG73</f>
        <v>0</v>
      </c>
      <c r="CH73" s="12">
        <f>'I&amp;E Monthly'!CH73</f>
        <v>0</v>
      </c>
      <c r="CI73" s="12">
        <f>'I&amp;E Monthly'!CI73</f>
        <v>0</v>
      </c>
      <c r="CK73" s="11"/>
      <c r="CL73" s="221">
        <f t="shared" ca="1" si="79"/>
        <v>0</v>
      </c>
      <c r="CM73" s="11"/>
      <c r="CN73" s="7">
        <f t="shared" si="80"/>
        <v>0</v>
      </c>
      <c r="CO73" s="7" cm="1">
        <f t="array" ref="CO73">SUMPRODUCT(--NOT(ISNUMBER(W73:Y73)),--NOT(ISBLANK(W73:Y73)))</f>
        <v>0</v>
      </c>
      <c r="CP73" s="7" cm="1">
        <f t="array" ref="CP73">IF(E73="",0, IF(IFERROR(INDEX('I&amp;E Profiles'!$D$96:$D$180, $I73), "N/A")="N/A", 1, 0))</f>
        <v>0</v>
      </c>
      <c r="CQ73" s="7">
        <f t="shared" si="81"/>
        <v>0</v>
      </c>
      <c r="CS73" s="7">
        <f t="shared" si="82"/>
        <v>0</v>
      </c>
      <c r="CT73" s="7">
        <f t="shared" si="83"/>
        <v>0</v>
      </c>
      <c r="CU73" s="11"/>
      <c r="CV73" s="215">
        <f t="shared" si="84"/>
        <v>0</v>
      </c>
      <c r="CW73" s="215">
        <f t="shared" si="85"/>
        <v>0</v>
      </c>
      <c r="CX73" s="215">
        <f t="shared" si="86"/>
        <v>0</v>
      </c>
      <c r="CY73" s="215">
        <f t="shared" si="87"/>
        <v>0</v>
      </c>
      <c r="CZ73" s="215">
        <f t="shared" si="88"/>
        <v>0</v>
      </c>
      <c r="DA73" s="215">
        <f t="shared" si="89"/>
        <v>0</v>
      </c>
      <c r="DB73" s="215">
        <f t="shared" si="90"/>
        <v>0</v>
      </c>
      <c r="FN73" s="10" t="str">
        <f t="shared" si="40"/>
        <v>Other income from provision of education and training</v>
      </c>
    </row>
    <row r="74" spans="1:170" x14ac:dyDescent="0.35">
      <c r="A74" s="220" cm="1">
        <f t="array" aca="1" ref="A74" ca="1">HYPERLINK(CONCATENATE("#",CELL("address",IF(MAX($CM74:$CU74)=0,A74,INDEX($CM74:$CU74,MATCH(1,$CM74:$CU74,0))))),MAX($CM74:$CU74))</f>
        <v>0</v>
      </c>
      <c r="C74" s="213" t="s">
        <v>526</v>
      </c>
      <c r="D74" s="61" t="s">
        <v>377</v>
      </c>
      <c r="E74" s="5"/>
      <c r="Q74" s="2"/>
      <c r="V74" s="12">
        <f>SUM(V64:V73)</f>
        <v>0</v>
      </c>
      <c r="W74" s="12">
        <f>SUM(W64:W73)</f>
        <v>0</v>
      </c>
      <c r="X74" s="12">
        <f>SUM(X64:X73)</f>
        <v>0</v>
      </c>
      <c r="Y74" s="12">
        <f>SUM(Y64:Y73)</f>
        <v>0</v>
      </c>
      <c r="AA74" s="12">
        <f t="shared" ref="AA74:BJ74" si="91">SUM(AA64:AA73)</f>
        <v>0</v>
      </c>
      <c r="AB74" s="12">
        <f t="shared" si="91"/>
        <v>0</v>
      </c>
      <c r="AC74" s="12">
        <f t="shared" si="91"/>
        <v>0</v>
      </c>
      <c r="AD74" s="12">
        <f t="shared" si="91"/>
        <v>0</v>
      </c>
      <c r="AE74" s="12">
        <f t="shared" si="91"/>
        <v>0</v>
      </c>
      <c r="AF74" s="12">
        <f t="shared" si="91"/>
        <v>0</v>
      </c>
      <c r="AG74" s="12">
        <f t="shared" si="91"/>
        <v>0</v>
      </c>
      <c r="AH74" s="12">
        <f t="shared" si="91"/>
        <v>0</v>
      </c>
      <c r="AI74" s="12">
        <f t="shared" si="91"/>
        <v>0</v>
      </c>
      <c r="AJ74" s="12">
        <f t="shared" si="91"/>
        <v>0</v>
      </c>
      <c r="AK74" s="12">
        <f t="shared" si="91"/>
        <v>0</v>
      </c>
      <c r="AL74" s="12">
        <f t="shared" si="91"/>
        <v>0</v>
      </c>
      <c r="AM74" s="12">
        <f t="shared" si="91"/>
        <v>0</v>
      </c>
      <c r="AN74" s="12">
        <f t="shared" si="91"/>
        <v>0</v>
      </c>
      <c r="AO74" s="12">
        <f t="shared" si="91"/>
        <v>0</v>
      </c>
      <c r="AP74" s="12">
        <f t="shared" si="91"/>
        <v>0</v>
      </c>
      <c r="AQ74" s="12">
        <f t="shared" si="91"/>
        <v>0</v>
      </c>
      <c r="AR74" s="12">
        <f t="shared" si="91"/>
        <v>0</v>
      </c>
      <c r="AS74" s="12">
        <f t="shared" si="91"/>
        <v>0</v>
      </c>
      <c r="AT74" s="12">
        <f t="shared" si="91"/>
        <v>0</v>
      </c>
      <c r="AU74" s="12">
        <f t="shared" si="91"/>
        <v>0</v>
      </c>
      <c r="AV74" s="12">
        <f t="shared" si="91"/>
        <v>0</v>
      </c>
      <c r="AW74" s="12">
        <f t="shared" si="91"/>
        <v>0</v>
      </c>
      <c r="AX74" s="12">
        <f t="shared" si="91"/>
        <v>0</v>
      </c>
      <c r="AY74" s="12">
        <f t="shared" si="91"/>
        <v>0</v>
      </c>
      <c r="AZ74" s="12">
        <f t="shared" si="91"/>
        <v>0</v>
      </c>
      <c r="BA74" s="12">
        <f t="shared" si="91"/>
        <v>0</v>
      </c>
      <c r="BB74" s="12">
        <f t="shared" si="91"/>
        <v>0</v>
      </c>
      <c r="BC74" s="12">
        <f t="shared" si="91"/>
        <v>0</v>
      </c>
      <c r="BD74" s="12">
        <f t="shared" si="91"/>
        <v>0</v>
      </c>
      <c r="BE74" s="12">
        <f t="shared" si="91"/>
        <v>0</v>
      </c>
      <c r="BF74" s="12">
        <f t="shared" si="91"/>
        <v>0</v>
      </c>
      <c r="BG74" s="12">
        <f t="shared" si="91"/>
        <v>0</v>
      </c>
      <c r="BH74" s="12">
        <f t="shared" si="91"/>
        <v>0</v>
      </c>
      <c r="BI74" s="12">
        <f t="shared" si="91"/>
        <v>0</v>
      </c>
      <c r="BJ74" s="12">
        <f t="shared" si="91"/>
        <v>0</v>
      </c>
      <c r="BX74" s="12">
        <f t="shared" ref="BX74:CI74" si="92">SUM(BX64:BX73)</f>
        <v>0</v>
      </c>
      <c r="BY74" s="12">
        <f t="shared" si="92"/>
        <v>0</v>
      </c>
      <c r="BZ74" s="12">
        <f t="shared" si="92"/>
        <v>0</v>
      </c>
      <c r="CA74" s="12">
        <f t="shared" si="92"/>
        <v>0</v>
      </c>
      <c r="CB74" s="12">
        <f t="shared" si="92"/>
        <v>0</v>
      </c>
      <c r="CC74" s="12">
        <f t="shared" si="92"/>
        <v>0</v>
      </c>
      <c r="CD74" s="12">
        <f t="shared" si="92"/>
        <v>0</v>
      </c>
      <c r="CE74" s="12">
        <f t="shared" si="92"/>
        <v>0</v>
      </c>
      <c r="CF74" s="12">
        <f t="shared" si="92"/>
        <v>0</v>
      </c>
      <c r="CG74" s="12">
        <f t="shared" si="92"/>
        <v>0</v>
      </c>
      <c r="CH74" s="12">
        <f t="shared" si="92"/>
        <v>0</v>
      </c>
      <c r="CI74" s="12">
        <f t="shared" si="92"/>
        <v>0</v>
      </c>
      <c r="CK74" s="11"/>
      <c r="CL74" s="221">
        <f t="shared" ca="1" si="79"/>
        <v>0</v>
      </c>
      <c r="CM74" s="11"/>
      <c r="CQ74" s="7">
        <f t="shared" si="81"/>
        <v>0</v>
      </c>
      <c r="CS74" s="7">
        <f t="shared" si="82"/>
        <v>0</v>
      </c>
      <c r="CT74" s="7">
        <f t="shared" si="83"/>
        <v>0</v>
      </c>
      <c r="CU74" s="11"/>
      <c r="CV74" s="215">
        <f t="shared" si="84"/>
        <v>0</v>
      </c>
      <c r="CW74" s="215">
        <f t="shared" si="85"/>
        <v>0</v>
      </c>
      <c r="CX74" s="215">
        <f t="shared" si="86"/>
        <v>0</v>
      </c>
      <c r="CY74" s="215">
        <f t="shared" si="87"/>
        <v>0</v>
      </c>
      <c r="CZ74" s="215">
        <f t="shared" si="88"/>
        <v>0</v>
      </c>
      <c r="DA74" s="215">
        <f t="shared" si="89"/>
        <v>0</v>
      </c>
      <c r="DB74" s="215">
        <f t="shared" si="90"/>
        <v>0</v>
      </c>
      <c r="FN74" s="10" t="str">
        <f t="shared" si="40"/>
        <v>Total Other Income from Provision of Education and Training</v>
      </c>
    </row>
    <row r="75" spans="1:170" ht="6.75" customHeight="1" x14ac:dyDescent="0.35">
      <c r="C75" s="213"/>
      <c r="Q75" s="2"/>
      <c r="BY75" s="6"/>
      <c r="CK75" s="35"/>
      <c r="CM75" s="35"/>
      <c r="CU75" s="11"/>
      <c r="FN75" s="10" t="str">
        <f t="shared" si="40"/>
        <v/>
      </c>
    </row>
    <row r="76" spans="1:170" x14ac:dyDescent="0.35">
      <c r="B76" s="5"/>
      <c r="C76" s="213"/>
      <c r="D76" s="24" t="s">
        <v>527</v>
      </c>
      <c r="E76" s="5"/>
      <c r="Q76" s="2"/>
      <c r="CK76" s="11"/>
      <c r="CM76" s="11"/>
      <c r="CU76" s="11"/>
      <c r="FN76" s="10" t="str">
        <f t="shared" si="40"/>
        <v/>
      </c>
    </row>
    <row r="77" spans="1:170" x14ac:dyDescent="0.35">
      <c r="A77" s="220" cm="1">
        <f t="array" aca="1" ref="A77" ca="1">HYPERLINK(CONCATENATE("#",CELL("address",IF(MAX($CM77:$CU77)=0,A77,INDEX($CM77:$CU77,MATCH(1,$CM77:$CU77,0))))),MAX($CM77:$CU77))</f>
        <v>0</v>
      </c>
      <c r="C77" s="213" t="s">
        <v>528</v>
      </c>
      <c r="D77" s="1" t="s">
        <v>379</v>
      </c>
      <c r="E77" s="114"/>
      <c r="F77" s="79" t="str" cm="1">
        <f t="array" aca="1" ref="F77" ca="1">IF(E77="", "", HYPERLINK(CONCATENATE("#",CELL("address",INDEX('I&amp;E Profiles'!$D$9:$D$93,'I&amp;E Annual'!I77))),E77))</f>
        <v/>
      </c>
      <c r="G77" s="114"/>
      <c r="H77" t="s">
        <v>317</v>
      </c>
      <c r="I77" s="132" t="str">
        <f>IF(E77="", "", MATCH(E77, 'I&amp;E Profiles'!$D$96:$D$180,0))</f>
        <v/>
      </c>
      <c r="J77" s="133">
        <f>IF($G77=$G$7, W77,'I&amp;E Monthly'!W77)-SUMIFS('I&amp;E Monthly'!$AA77:$BJ77, 'I&amp;E Monthly'!$AA$3:$BJ$3, 'I&amp;E Annual'!W$3, 'I&amp;E Monthly'!$AA$4:$BJ$4, 0)</f>
        <v>0</v>
      </c>
      <c r="K77" s="133">
        <f>IF($G77=$G$7, X77,'I&amp;E Monthly'!X77)-SUMIFS('I&amp;E Monthly'!$AA77:$BJ77, 'I&amp;E Monthly'!$AA$3:$BJ$3, 'I&amp;E Annual'!X$3, 'I&amp;E Monthly'!$AA$4:$BJ$4, 0)</f>
        <v>0</v>
      </c>
      <c r="L77" s="133">
        <f>IF($G77=$G$7, Y77,'I&amp;E Monthly'!Y77)-SUMIFS('I&amp;E Monthly'!$AA77:$BJ77, 'I&amp;E Monthly'!$AA$3:$BJ$3, 'I&amp;E Annual'!Y$3, 'I&amp;E Monthly'!$AA$4:$BJ$4, 0)</f>
        <v>0</v>
      </c>
      <c r="Q77" s="2"/>
      <c r="V77" s="133">
        <f>'I&amp;E Monthly'!V77</f>
        <v>0</v>
      </c>
      <c r="W77" s="114"/>
      <c r="X77" s="131"/>
      <c r="Y77" s="131"/>
      <c r="AA77" s="10" cm="1">
        <f t="array" ref="AA77">IF(OR(AA$4=0, $G77&lt;&gt; $G$7, $E77=0), 'I&amp;E Monthly'!AA77, CHOOSE(Timeline!AA$30,$J77,$K77,$L77 )*INDEX('I&amp;E Profiles'!AA$96:AA$180,$I77))</f>
        <v>0</v>
      </c>
      <c r="AB77" s="10" cm="1">
        <f t="array" ref="AB77">IF(OR(AB$4=0, $G77&lt;&gt; $G$7, $E77=0), 'I&amp;E Monthly'!AB77, CHOOSE(Timeline!AB$30,$J77,$K77,$L77 )*INDEX('I&amp;E Profiles'!AB$96:AB$180,$I77))</f>
        <v>0</v>
      </c>
      <c r="AC77" s="10" cm="1">
        <f t="array" ref="AC77">IF(OR(AC$4=0, $G77&lt;&gt; $G$7, $E77=0), 'I&amp;E Monthly'!AC77, CHOOSE(Timeline!AC$30,$J77,$K77,$L77 )*INDEX('I&amp;E Profiles'!AC$96:AC$180,$I77))</f>
        <v>0</v>
      </c>
      <c r="AD77" s="10" cm="1">
        <f t="array" ref="AD77">IF(OR(AD$4=0, $G77&lt;&gt; $G$7, $E77=0), 'I&amp;E Monthly'!AD77, CHOOSE(Timeline!AD$30,$J77,$K77,$L77 )*INDEX('I&amp;E Profiles'!AD$96:AD$180,$I77))</f>
        <v>0</v>
      </c>
      <c r="AE77" s="10" cm="1">
        <f t="array" ref="AE77">IF(OR(AE$4=0, $G77&lt;&gt; $G$7, $E77=0), 'I&amp;E Monthly'!AE77, CHOOSE(Timeline!AE$30,$J77,$K77,$L77 )*INDEX('I&amp;E Profiles'!AE$96:AE$180,$I77))</f>
        <v>0</v>
      </c>
      <c r="AF77" s="10" cm="1">
        <f t="array" ref="AF77">IF(OR(AF$4=0, $G77&lt;&gt; $G$7, $E77=0), 'I&amp;E Monthly'!AF77, CHOOSE(Timeline!AF$30,$J77,$K77,$L77 )*INDEX('I&amp;E Profiles'!AF$96:AF$180,$I77))</f>
        <v>0</v>
      </c>
      <c r="AG77" s="10" cm="1">
        <f t="array" ref="AG77">IF(OR(AG$4=0, $G77&lt;&gt; $G$7, $E77=0), 'I&amp;E Monthly'!AG77, CHOOSE(Timeline!AG$30,$J77,$K77,$L77 )*INDEX('I&amp;E Profiles'!AG$96:AG$180,$I77))</f>
        <v>0</v>
      </c>
      <c r="AH77" s="10" cm="1">
        <f t="array" ref="AH77">IF(OR(AH$4=0, $G77&lt;&gt; $G$7, $E77=0), 'I&amp;E Monthly'!AH77, CHOOSE(Timeline!AH$30,$J77,$K77,$L77 )*INDEX('I&amp;E Profiles'!AH$96:AH$180,$I77))</f>
        <v>0</v>
      </c>
      <c r="AI77" s="10" cm="1">
        <f t="array" ref="AI77">IF(OR(AI$4=0, $G77&lt;&gt; $G$7, $E77=0), 'I&amp;E Monthly'!AI77, CHOOSE(Timeline!AI$30,$J77,$K77,$L77 )*INDEX('I&amp;E Profiles'!AI$96:AI$180,$I77))</f>
        <v>0</v>
      </c>
      <c r="AJ77" s="10" cm="1">
        <f t="array" ref="AJ77">IF(OR(AJ$4=0, $G77&lt;&gt; $G$7, $E77=0), 'I&amp;E Monthly'!AJ77, CHOOSE(Timeline!AJ$30,$J77,$K77,$L77 )*INDEX('I&amp;E Profiles'!AJ$96:AJ$180,$I77))</f>
        <v>0</v>
      </c>
      <c r="AK77" s="10" cm="1">
        <f t="array" ref="AK77">IF(OR(AK$4=0, $G77&lt;&gt; $G$7, $E77=0), 'I&amp;E Monthly'!AK77, CHOOSE(Timeline!AK$30,$J77,$K77,$L77 )*INDEX('I&amp;E Profiles'!AK$96:AK$180,$I77))</f>
        <v>0</v>
      </c>
      <c r="AL77" s="10" cm="1">
        <f t="array" ref="AL77">IF(OR(AL$4=0, $G77&lt;&gt; $G$7, $E77=0), 'I&amp;E Monthly'!AL77, CHOOSE(Timeline!AL$30,$J77,$K77,$L77 )*INDEX('I&amp;E Profiles'!AL$96:AL$180,$I77))</f>
        <v>0</v>
      </c>
      <c r="AM77" s="10" cm="1">
        <f t="array" ref="AM77">IF(OR(AM$4=0, $G77&lt;&gt; $G$7, $E77=0), 'I&amp;E Monthly'!AM77, CHOOSE(Timeline!AM$30,$J77,$K77,$L77 )*INDEX('I&amp;E Profiles'!AM$96:AM$180,$I77))</f>
        <v>0</v>
      </c>
      <c r="AN77" s="10" cm="1">
        <f t="array" ref="AN77">IF(OR(AN$4=0, $G77&lt;&gt; $G$7, $E77=0), 'I&amp;E Monthly'!AN77, CHOOSE(Timeline!AN$30,$J77,$K77,$L77 )*INDEX('I&amp;E Profiles'!AN$96:AN$180,$I77))</f>
        <v>0</v>
      </c>
      <c r="AO77" s="10" cm="1">
        <f t="array" ref="AO77">IF(OR(AO$4=0, $G77&lt;&gt; $G$7, $E77=0), 'I&amp;E Monthly'!AO77, CHOOSE(Timeline!AO$30,$J77,$K77,$L77 )*INDEX('I&amp;E Profiles'!AO$96:AO$180,$I77))</f>
        <v>0</v>
      </c>
      <c r="AP77" s="10" cm="1">
        <f t="array" ref="AP77">IF(OR(AP$4=0, $G77&lt;&gt; $G$7, $E77=0), 'I&amp;E Monthly'!AP77, CHOOSE(Timeline!AP$30,$J77,$K77,$L77 )*INDEX('I&amp;E Profiles'!AP$96:AP$180,$I77))</f>
        <v>0</v>
      </c>
      <c r="AQ77" s="10" cm="1">
        <f t="array" ref="AQ77">IF(OR(AQ$4=0, $G77&lt;&gt; $G$7, $E77=0), 'I&amp;E Monthly'!AQ77, CHOOSE(Timeline!AQ$30,$J77,$K77,$L77 )*INDEX('I&amp;E Profiles'!AQ$96:AQ$180,$I77))</f>
        <v>0</v>
      </c>
      <c r="AR77" s="10" cm="1">
        <f t="array" ref="AR77">IF(OR(AR$4=0, $G77&lt;&gt; $G$7, $E77=0), 'I&amp;E Monthly'!AR77, CHOOSE(Timeline!AR$30,$J77,$K77,$L77 )*INDEX('I&amp;E Profiles'!AR$96:AR$180,$I77))</f>
        <v>0</v>
      </c>
      <c r="AS77" s="10" cm="1">
        <f t="array" ref="AS77">IF(OR(AS$4=0, $G77&lt;&gt; $G$7, $E77=0), 'I&amp;E Monthly'!AS77, CHOOSE(Timeline!AS$30,$J77,$K77,$L77 )*INDEX('I&amp;E Profiles'!AS$96:AS$180,$I77))</f>
        <v>0</v>
      </c>
      <c r="AT77" s="10" cm="1">
        <f t="array" ref="AT77">IF(OR(AT$4=0, $G77&lt;&gt; $G$7, $E77=0), 'I&amp;E Monthly'!AT77, CHOOSE(Timeline!AT$30,$J77,$K77,$L77 )*INDEX('I&amp;E Profiles'!AT$96:AT$180,$I77))</f>
        <v>0</v>
      </c>
      <c r="AU77" s="10" cm="1">
        <f t="array" ref="AU77">IF(OR(AU$4=0, $G77&lt;&gt; $G$7, $E77=0), 'I&amp;E Monthly'!AU77, CHOOSE(Timeline!AU$30,$J77,$K77,$L77 )*INDEX('I&amp;E Profiles'!AU$96:AU$180,$I77))</f>
        <v>0</v>
      </c>
      <c r="AV77" s="10" cm="1">
        <f t="array" ref="AV77">IF(OR(AV$4=0, $G77&lt;&gt; $G$7, $E77=0), 'I&amp;E Monthly'!AV77, CHOOSE(Timeline!AV$30,$J77,$K77,$L77 )*INDEX('I&amp;E Profiles'!AV$96:AV$180,$I77))</f>
        <v>0</v>
      </c>
      <c r="AW77" s="10" cm="1">
        <f t="array" ref="AW77">IF(OR(AW$4=0, $G77&lt;&gt; $G$7, $E77=0), 'I&amp;E Monthly'!AW77, CHOOSE(Timeline!AW$30,$J77,$K77,$L77 )*INDEX('I&amp;E Profiles'!AW$96:AW$180,$I77))</f>
        <v>0</v>
      </c>
      <c r="AX77" s="10" cm="1">
        <f t="array" ref="AX77">IF(OR(AX$4=0, $G77&lt;&gt; $G$7, $E77=0), 'I&amp;E Monthly'!AX77, CHOOSE(Timeline!AX$30,$J77,$K77,$L77 )*INDEX('I&amp;E Profiles'!AX$96:AX$180,$I77))</f>
        <v>0</v>
      </c>
      <c r="AY77" s="10" cm="1">
        <f t="array" ref="AY77">IF(OR(AY$4=0, $G77&lt;&gt; $G$7, $E77=0), 'I&amp;E Monthly'!AY77, CHOOSE(Timeline!AY$30,$J77,$K77,$L77 )*INDEX('I&amp;E Profiles'!AY$96:AY$180,$I77))</f>
        <v>0</v>
      </c>
      <c r="AZ77" s="10" cm="1">
        <f t="array" ref="AZ77">IF(OR(AZ$4=0, $G77&lt;&gt; $G$7, $E77=0), 'I&amp;E Monthly'!AZ77, CHOOSE(Timeline!AZ$30,$J77,$K77,$L77 )*INDEX('I&amp;E Profiles'!AZ$96:AZ$180,$I77))</f>
        <v>0</v>
      </c>
      <c r="BA77" s="10" cm="1">
        <f t="array" ref="BA77">IF(OR(BA$4=0, $G77&lt;&gt; $G$7, $E77=0), 'I&amp;E Monthly'!BA77, CHOOSE(Timeline!BA$30,$J77,$K77,$L77 )*INDEX('I&amp;E Profiles'!BA$96:BA$180,$I77))</f>
        <v>0</v>
      </c>
      <c r="BB77" s="10" cm="1">
        <f t="array" ref="BB77">IF(OR(BB$4=0, $G77&lt;&gt; $G$7, $E77=0), 'I&amp;E Monthly'!BB77, CHOOSE(Timeline!BB$30,$J77,$K77,$L77 )*INDEX('I&amp;E Profiles'!BB$96:BB$180,$I77))</f>
        <v>0</v>
      </c>
      <c r="BC77" s="10" cm="1">
        <f t="array" ref="BC77">IF(OR(BC$4=0, $G77&lt;&gt; $G$7, $E77=0), 'I&amp;E Monthly'!BC77, CHOOSE(Timeline!BC$30,$J77,$K77,$L77 )*INDEX('I&amp;E Profiles'!BC$96:BC$180,$I77))</f>
        <v>0</v>
      </c>
      <c r="BD77" s="10" cm="1">
        <f t="array" ref="BD77">IF(OR(BD$4=0, $G77&lt;&gt; $G$7, $E77=0), 'I&amp;E Monthly'!BD77, CHOOSE(Timeline!BD$30,$J77,$K77,$L77 )*INDEX('I&amp;E Profiles'!BD$96:BD$180,$I77))</f>
        <v>0</v>
      </c>
      <c r="BE77" s="10" cm="1">
        <f t="array" ref="BE77">IF(OR(BE$4=0, $G77&lt;&gt; $G$7, $E77=0), 'I&amp;E Monthly'!BE77, CHOOSE(Timeline!BE$30,$J77,$K77,$L77 )*INDEX('I&amp;E Profiles'!BE$96:BE$180,$I77))</f>
        <v>0</v>
      </c>
      <c r="BF77" s="10" cm="1">
        <f t="array" ref="BF77">IF(OR(BF$4=0, $G77&lt;&gt; $G$7, $E77=0), 'I&amp;E Monthly'!BF77, CHOOSE(Timeline!BF$30,$J77,$K77,$L77 )*INDEX('I&amp;E Profiles'!BF$96:BF$180,$I77))</f>
        <v>0</v>
      </c>
      <c r="BG77" s="10" cm="1">
        <f t="array" ref="BG77">IF(OR(BG$4=0, $G77&lt;&gt; $G$7, $E77=0), 'I&amp;E Monthly'!BG77, CHOOSE(Timeline!BG$30,$J77,$K77,$L77 )*INDEX('I&amp;E Profiles'!BG$96:BG$180,$I77))</f>
        <v>0</v>
      </c>
      <c r="BH77" s="10" cm="1">
        <f t="array" ref="BH77">IF(OR(BH$4=0, $G77&lt;&gt; $G$7, $E77=0), 'I&amp;E Monthly'!BH77, CHOOSE(Timeline!BH$30,$J77,$K77,$L77 )*INDEX('I&amp;E Profiles'!BH$96:BH$180,$I77))</f>
        <v>0</v>
      </c>
      <c r="BI77" s="10" cm="1">
        <f t="array" ref="BI77">IF(OR(BI$4=0, $G77&lt;&gt; $G$7, $E77=0), 'I&amp;E Monthly'!BI77, CHOOSE(Timeline!BI$30,$J77,$K77,$L77 )*INDEX('I&amp;E Profiles'!BI$96:BI$180,$I77))</f>
        <v>0</v>
      </c>
      <c r="BJ77" s="10" cm="1">
        <f t="array" ref="BJ77">IF(OR(BJ$4=0, $G77&lt;&gt; $G$7, $E77=0), 'I&amp;E Monthly'!BJ77, CHOOSE(Timeline!BJ$30,$J77,$K77,$L77 )*INDEX('I&amp;E Profiles'!BJ$96:BJ$180,$I77))</f>
        <v>0</v>
      </c>
      <c r="BX77" s="12">
        <f t="shared" ref="BX77:BX84" si="93">V77</f>
        <v>0</v>
      </c>
      <c r="BY77" s="10">
        <f t="shared" ref="BY77:CA84" si="94">SUMIFS($AA77:$BJ77, $AA$3:$BJ$3,BY$3)</f>
        <v>0</v>
      </c>
      <c r="BZ77" s="10">
        <f t="shared" si="94"/>
        <v>0</v>
      </c>
      <c r="CA77" s="10">
        <f t="shared" si="94"/>
        <v>0</v>
      </c>
      <c r="CB77" s="12">
        <f>'I&amp;E Monthly'!CB77</f>
        <v>0</v>
      </c>
      <c r="CC77" s="12">
        <f>'I&amp;E Monthly'!CC77</f>
        <v>0</v>
      </c>
      <c r="CD77" s="12">
        <f>'I&amp;E Monthly'!CD77</f>
        <v>0</v>
      </c>
      <c r="CE77" s="12">
        <f>'I&amp;E Monthly'!CE77</f>
        <v>0</v>
      </c>
      <c r="CF77" s="12">
        <f>'I&amp;E Monthly'!CF77</f>
        <v>0</v>
      </c>
      <c r="CG77" s="12">
        <f>'I&amp;E Monthly'!CG77</f>
        <v>0</v>
      </c>
      <c r="CH77" s="12">
        <f>'I&amp;E Monthly'!CH77</f>
        <v>0</v>
      </c>
      <c r="CI77" s="12">
        <f>'I&amp;E Monthly'!CI77</f>
        <v>0</v>
      </c>
      <c r="CK77" s="11"/>
      <c r="CL77" s="221">
        <f t="shared" ref="CL77:CL85" ca="1" si="95">IF(MIN($V77:$CI77)&lt;0, 1, 0)*$I$7</f>
        <v>0</v>
      </c>
      <c r="CM77" s="11"/>
      <c r="CN77" s="7">
        <f t="shared" ref="CN77:CN84" si="96">IF(AND($G77=$G$7,$E77=""), 1, 0)</f>
        <v>0</v>
      </c>
      <c r="CO77" s="7" cm="1">
        <f t="array" ref="CO77">SUMPRODUCT(--NOT(ISNUMBER(W77:Y77)),--NOT(ISBLANK(W77:Y77)))</f>
        <v>0</v>
      </c>
      <c r="CP77" s="7" cm="1">
        <f t="array" ref="CP77">IF(E77="",0, IF(IFERROR(INDEX('I&amp;E Profiles'!$D$96:$D$180, $I77), "N/A")="N/A", 1, 0))</f>
        <v>0</v>
      </c>
      <c r="CQ77" s="7">
        <f t="shared" ref="CQ77:CQ85" si="97">IF(SUM($CV77:$CX77)=0, 0, 1)</f>
        <v>0</v>
      </c>
      <c r="CS77" s="7">
        <f t="shared" ref="CS77:CS85" si="98">IF(SUM($CY77:$DA77)=0, 0, 1)</f>
        <v>0</v>
      </c>
      <c r="CT77" s="7">
        <f t="shared" ref="CT77:CT85" si="99">IF(DB77=0, 0, 1)</f>
        <v>0</v>
      </c>
      <c r="CU77" s="11"/>
      <c r="CV77" s="215">
        <f t="shared" ref="CV77:CV85" si="100">IF($G77=$G$7, ROUND(W77-SUMIFS($AA77:$BJ77, $AA$3:$BJ$3, W$3), rounding), 0)</f>
        <v>0</v>
      </c>
      <c r="CW77" s="215">
        <f t="shared" ref="CW77:CW85" si="101">IF($G77=$G$7, ROUND(X77-SUMIFS($AA77:$BJ77, $AA$3:$BJ$3, X$3), rounding), 0)</f>
        <v>0</v>
      </c>
      <c r="CX77" s="215">
        <f t="shared" ref="CX77:CX85" si="102">IF($G77=$G$7, ROUND(Y77-SUMIFS($AA77:$BJ77, $AA$3:$BJ$3, Y$3), rounding), 0)</f>
        <v>0</v>
      </c>
      <c r="CY77" s="215">
        <f t="shared" ref="CY77:CY85" si="103">ROUND($BY77-SUMIFS($AA77:$BJ77, $AA$3:$BJ$3, $BY$3), rounding)</f>
        <v>0</v>
      </c>
      <c r="CZ77" s="215">
        <f t="shared" ref="CZ77:CZ85" si="104">ROUND($BZ77-SUMIFS($AA77:$BJ77, $AA$3:$BJ$3, $BZ$3), rounding)</f>
        <v>0</v>
      </c>
      <c r="DA77" s="215">
        <f t="shared" ref="DA77:DA85" si="105">ROUND($CA77-SUMIFS($AA77:$BJ77, $AA$3:$BJ$3, $CA$3), rounding)</f>
        <v>0</v>
      </c>
      <c r="DB77" s="215">
        <f t="shared" ref="DB77:DB85" si="106">ROUND($V77-$BX77, rounding)</f>
        <v>0</v>
      </c>
      <c r="FN77" s="10" t="str">
        <f t="shared" si="40"/>
        <v>Student training facilities</v>
      </c>
    </row>
    <row r="78" spans="1:170" x14ac:dyDescent="0.35">
      <c r="A78" s="220" cm="1">
        <f t="array" aca="1" ref="A78" ca="1">HYPERLINK(CONCATENATE("#",CELL("address",IF(MAX($CM78:$CU78)=0,A78,INDEX($CM78:$CU78,MATCH(1,$CM78:$CU78,0))))),MAX($CM78:$CU78))</f>
        <v>0</v>
      </c>
      <c r="C78" s="213" t="s">
        <v>529</v>
      </c>
      <c r="D78" s="1" t="s">
        <v>380</v>
      </c>
      <c r="E78" s="114"/>
      <c r="F78" s="79" t="str" cm="1">
        <f t="array" aca="1" ref="F78" ca="1">IF(E78="", "", HYPERLINK(CONCATENATE("#",CELL("address",INDEX('I&amp;E Profiles'!$D$9:$D$93,'I&amp;E Annual'!I78))),E78))</f>
        <v/>
      </c>
      <c r="G78" s="114"/>
      <c r="H78" t="s">
        <v>317</v>
      </c>
      <c r="I78" s="132" t="str">
        <f>IF(E78="", "", MATCH(E78, 'I&amp;E Profiles'!$D$96:$D$180,0))</f>
        <v/>
      </c>
      <c r="J78" s="133">
        <f>IF($G78=$G$7, W78,'I&amp;E Monthly'!W78)-SUMIFS('I&amp;E Monthly'!$AA78:$BJ78, 'I&amp;E Monthly'!$AA$3:$BJ$3, 'I&amp;E Annual'!W$3, 'I&amp;E Monthly'!$AA$4:$BJ$4, 0)</f>
        <v>0</v>
      </c>
      <c r="K78" s="133">
        <f>IF($G78=$G$7, X78,'I&amp;E Monthly'!X78)-SUMIFS('I&amp;E Monthly'!$AA78:$BJ78, 'I&amp;E Monthly'!$AA$3:$BJ$3, 'I&amp;E Annual'!X$3, 'I&amp;E Monthly'!$AA$4:$BJ$4, 0)</f>
        <v>0</v>
      </c>
      <c r="L78" s="133">
        <f>IF($G78=$G$7, Y78,'I&amp;E Monthly'!Y78)-SUMIFS('I&amp;E Monthly'!$AA78:$BJ78, 'I&amp;E Monthly'!$AA$3:$BJ$3, 'I&amp;E Annual'!Y$3, 'I&amp;E Monthly'!$AA$4:$BJ$4, 0)</f>
        <v>0</v>
      </c>
      <c r="Q78" s="2"/>
      <c r="V78" s="133">
        <f>'I&amp;E Monthly'!V78</f>
        <v>0</v>
      </c>
      <c r="W78" s="114"/>
      <c r="X78" s="131"/>
      <c r="Y78" s="131"/>
      <c r="AA78" s="10" cm="1">
        <f t="array" ref="AA78">IF(OR(AA$4=0, $G78&lt;&gt; $G$7, $E78=0), 'I&amp;E Monthly'!AA78, CHOOSE(Timeline!AA$30,$J78,$K78,$L78 )*INDEX('I&amp;E Profiles'!AA$96:AA$180,$I78))</f>
        <v>0</v>
      </c>
      <c r="AB78" s="10" cm="1">
        <f t="array" ref="AB78">IF(OR(AB$4=0, $G78&lt;&gt; $G$7, $E78=0), 'I&amp;E Monthly'!AB78, CHOOSE(Timeline!AB$30,$J78,$K78,$L78 )*INDEX('I&amp;E Profiles'!AB$96:AB$180,$I78))</f>
        <v>0</v>
      </c>
      <c r="AC78" s="10" cm="1">
        <f t="array" ref="AC78">IF(OR(AC$4=0, $G78&lt;&gt; $G$7, $E78=0), 'I&amp;E Monthly'!AC78, CHOOSE(Timeline!AC$30,$J78,$K78,$L78 )*INDEX('I&amp;E Profiles'!AC$96:AC$180,$I78))</f>
        <v>0</v>
      </c>
      <c r="AD78" s="10" cm="1">
        <f t="array" ref="AD78">IF(OR(AD$4=0, $G78&lt;&gt; $G$7, $E78=0), 'I&amp;E Monthly'!AD78, CHOOSE(Timeline!AD$30,$J78,$K78,$L78 )*INDEX('I&amp;E Profiles'!AD$96:AD$180,$I78))</f>
        <v>0</v>
      </c>
      <c r="AE78" s="10" cm="1">
        <f t="array" ref="AE78">IF(OR(AE$4=0, $G78&lt;&gt; $G$7, $E78=0), 'I&amp;E Monthly'!AE78, CHOOSE(Timeline!AE$30,$J78,$K78,$L78 )*INDEX('I&amp;E Profiles'!AE$96:AE$180,$I78))</f>
        <v>0</v>
      </c>
      <c r="AF78" s="10" cm="1">
        <f t="array" ref="AF78">IF(OR(AF$4=0, $G78&lt;&gt; $G$7, $E78=0), 'I&amp;E Monthly'!AF78, CHOOSE(Timeline!AF$30,$J78,$K78,$L78 )*INDEX('I&amp;E Profiles'!AF$96:AF$180,$I78))</f>
        <v>0</v>
      </c>
      <c r="AG78" s="10" cm="1">
        <f t="array" ref="AG78">IF(OR(AG$4=0, $G78&lt;&gt; $G$7, $E78=0), 'I&amp;E Monthly'!AG78, CHOOSE(Timeline!AG$30,$J78,$K78,$L78 )*INDEX('I&amp;E Profiles'!AG$96:AG$180,$I78))</f>
        <v>0</v>
      </c>
      <c r="AH78" s="10" cm="1">
        <f t="array" ref="AH78">IF(OR(AH$4=0, $G78&lt;&gt; $G$7, $E78=0), 'I&amp;E Monthly'!AH78, CHOOSE(Timeline!AH$30,$J78,$K78,$L78 )*INDEX('I&amp;E Profiles'!AH$96:AH$180,$I78))</f>
        <v>0</v>
      </c>
      <c r="AI78" s="10" cm="1">
        <f t="array" ref="AI78">IF(OR(AI$4=0, $G78&lt;&gt; $G$7, $E78=0), 'I&amp;E Monthly'!AI78, CHOOSE(Timeline!AI$30,$J78,$K78,$L78 )*INDEX('I&amp;E Profiles'!AI$96:AI$180,$I78))</f>
        <v>0</v>
      </c>
      <c r="AJ78" s="10" cm="1">
        <f t="array" ref="AJ78">IF(OR(AJ$4=0, $G78&lt;&gt; $G$7, $E78=0), 'I&amp;E Monthly'!AJ78, CHOOSE(Timeline!AJ$30,$J78,$K78,$L78 )*INDEX('I&amp;E Profiles'!AJ$96:AJ$180,$I78))</f>
        <v>0</v>
      </c>
      <c r="AK78" s="10" cm="1">
        <f t="array" ref="AK78">IF(OR(AK$4=0, $G78&lt;&gt; $G$7, $E78=0), 'I&amp;E Monthly'!AK78, CHOOSE(Timeline!AK$30,$J78,$K78,$L78 )*INDEX('I&amp;E Profiles'!AK$96:AK$180,$I78))</f>
        <v>0</v>
      </c>
      <c r="AL78" s="10" cm="1">
        <f t="array" ref="AL78">IF(OR(AL$4=0, $G78&lt;&gt; $G$7, $E78=0), 'I&amp;E Monthly'!AL78, CHOOSE(Timeline!AL$30,$J78,$K78,$L78 )*INDEX('I&amp;E Profiles'!AL$96:AL$180,$I78))</f>
        <v>0</v>
      </c>
      <c r="AM78" s="10" cm="1">
        <f t="array" ref="AM78">IF(OR(AM$4=0, $G78&lt;&gt; $G$7, $E78=0), 'I&amp;E Monthly'!AM78, CHOOSE(Timeline!AM$30,$J78,$K78,$L78 )*INDEX('I&amp;E Profiles'!AM$96:AM$180,$I78))</f>
        <v>0</v>
      </c>
      <c r="AN78" s="10" cm="1">
        <f t="array" ref="AN78">IF(OR(AN$4=0, $G78&lt;&gt; $G$7, $E78=0), 'I&amp;E Monthly'!AN78, CHOOSE(Timeline!AN$30,$J78,$K78,$L78 )*INDEX('I&amp;E Profiles'!AN$96:AN$180,$I78))</f>
        <v>0</v>
      </c>
      <c r="AO78" s="10" cm="1">
        <f t="array" ref="AO78">IF(OR(AO$4=0, $G78&lt;&gt; $G$7, $E78=0), 'I&amp;E Monthly'!AO78, CHOOSE(Timeline!AO$30,$J78,$K78,$L78 )*INDEX('I&amp;E Profiles'!AO$96:AO$180,$I78))</f>
        <v>0</v>
      </c>
      <c r="AP78" s="10" cm="1">
        <f t="array" ref="AP78">IF(OR(AP$4=0, $G78&lt;&gt; $G$7, $E78=0), 'I&amp;E Monthly'!AP78, CHOOSE(Timeline!AP$30,$J78,$K78,$L78 )*INDEX('I&amp;E Profiles'!AP$96:AP$180,$I78))</f>
        <v>0</v>
      </c>
      <c r="AQ78" s="10" cm="1">
        <f t="array" ref="AQ78">IF(OR(AQ$4=0, $G78&lt;&gt; $G$7, $E78=0), 'I&amp;E Monthly'!AQ78, CHOOSE(Timeline!AQ$30,$J78,$K78,$L78 )*INDEX('I&amp;E Profiles'!AQ$96:AQ$180,$I78))</f>
        <v>0</v>
      </c>
      <c r="AR78" s="10" cm="1">
        <f t="array" ref="AR78">IF(OR(AR$4=0, $G78&lt;&gt; $G$7, $E78=0), 'I&amp;E Monthly'!AR78, CHOOSE(Timeline!AR$30,$J78,$K78,$L78 )*INDEX('I&amp;E Profiles'!AR$96:AR$180,$I78))</f>
        <v>0</v>
      </c>
      <c r="AS78" s="10" cm="1">
        <f t="array" ref="AS78">IF(OR(AS$4=0, $G78&lt;&gt; $G$7, $E78=0), 'I&amp;E Monthly'!AS78, CHOOSE(Timeline!AS$30,$J78,$K78,$L78 )*INDEX('I&amp;E Profiles'!AS$96:AS$180,$I78))</f>
        <v>0</v>
      </c>
      <c r="AT78" s="10" cm="1">
        <f t="array" ref="AT78">IF(OR(AT$4=0, $G78&lt;&gt; $G$7, $E78=0), 'I&amp;E Monthly'!AT78, CHOOSE(Timeline!AT$30,$J78,$K78,$L78 )*INDEX('I&amp;E Profiles'!AT$96:AT$180,$I78))</f>
        <v>0</v>
      </c>
      <c r="AU78" s="10" cm="1">
        <f t="array" ref="AU78">IF(OR(AU$4=0, $G78&lt;&gt; $G$7, $E78=0), 'I&amp;E Monthly'!AU78, CHOOSE(Timeline!AU$30,$J78,$K78,$L78 )*INDEX('I&amp;E Profiles'!AU$96:AU$180,$I78))</f>
        <v>0</v>
      </c>
      <c r="AV78" s="10" cm="1">
        <f t="array" ref="AV78">IF(OR(AV$4=0, $G78&lt;&gt; $G$7, $E78=0), 'I&amp;E Monthly'!AV78, CHOOSE(Timeline!AV$30,$J78,$K78,$L78 )*INDEX('I&amp;E Profiles'!AV$96:AV$180,$I78))</f>
        <v>0</v>
      </c>
      <c r="AW78" s="10" cm="1">
        <f t="array" ref="AW78">IF(OR(AW$4=0, $G78&lt;&gt; $G$7, $E78=0), 'I&amp;E Monthly'!AW78, CHOOSE(Timeline!AW$30,$J78,$K78,$L78 )*INDEX('I&amp;E Profiles'!AW$96:AW$180,$I78))</f>
        <v>0</v>
      </c>
      <c r="AX78" s="10" cm="1">
        <f t="array" ref="AX78">IF(OR(AX$4=0, $G78&lt;&gt; $G$7, $E78=0), 'I&amp;E Monthly'!AX78, CHOOSE(Timeline!AX$30,$J78,$K78,$L78 )*INDEX('I&amp;E Profiles'!AX$96:AX$180,$I78))</f>
        <v>0</v>
      </c>
      <c r="AY78" s="10" cm="1">
        <f t="array" ref="AY78">IF(OR(AY$4=0, $G78&lt;&gt; $G$7, $E78=0), 'I&amp;E Monthly'!AY78, CHOOSE(Timeline!AY$30,$J78,$K78,$L78 )*INDEX('I&amp;E Profiles'!AY$96:AY$180,$I78))</f>
        <v>0</v>
      </c>
      <c r="AZ78" s="10" cm="1">
        <f t="array" ref="AZ78">IF(OR(AZ$4=0, $G78&lt;&gt; $G$7, $E78=0), 'I&amp;E Monthly'!AZ78, CHOOSE(Timeline!AZ$30,$J78,$K78,$L78 )*INDEX('I&amp;E Profiles'!AZ$96:AZ$180,$I78))</f>
        <v>0</v>
      </c>
      <c r="BA78" s="10" cm="1">
        <f t="array" ref="BA78">IF(OR(BA$4=0, $G78&lt;&gt; $G$7, $E78=0), 'I&amp;E Monthly'!BA78, CHOOSE(Timeline!BA$30,$J78,$K78,$L78 )*INDEX('I&amp;E Profiles'!BA$96:BA$180,$I78))</f>
        <v>0</v>
      </c>
      <c r="BB78" s="10" cm="1">
        <f t="array" ref="BB78">IF(OR(BB$4=0, $G78&lt;&gt; $G$7, $E78=0), 'I&amp;E Monthly'!BB78, CHOOSE(Timeline!BB$30,$J78,$K78,$L78 )*INDEX('I&amp;E Profiles'!BB$96:BB$180,$I78))</f>
        <v>0</v>
      </c>
      <c r="BC78" s="10" cm="1">
        <f t="array" ref="BC78">IF(OR(BC$4=0, $G78&lt;&gt; $G$7, $E78=0), 'I&amp;E Monthly'!BC78, CHOOSE(Timeline!BC$30,$J78,$K78,$L78 )*INDEX('I&amp;E Profiles'!BC$96:BC$180,$I78))</f>
        <v>0</v>
      </c>
      <c r="BD78" s="10" cm="1">
        <f t="array" ref="BD78">IF(OR(BD$4=0, $G78&lt;&gt; $G$7, $E78=0), 'I&amp;E Monthly'!BD78, CHOOSE(Timeline!BD$30,$J78,$K78,$L78 )*INDEX('I&amp;E Profiles'!BD$96:BD$180,$I78))</f>
        <v>0</v>
      </c>
      <c r="BE78" s="10" cm="1">
        <f t="array" ref="BE78">IF(OR(BE$4=0, $G78&lt;&gt; $G$7, $E78=0), 'I&amp;E Monthly'!BE78, CHOOSE(Timeline!BE$30,$J78,$K78,$L78 )*INDEX('I&amp;E Profiles'!BE$96:BE$180,$I78))</f>
        <v>0</v>
      </c>
      <c r="BF78" s="10" cm="1">
        <f t="array" ref="BF78">IF(OR(BF$4=0, $G78&lt;&gt; $G$7, $E78=0), 'I&amp;E Monthly'!BF78, CHOOSE(Timeline!BF$30,$J78,$K78,$L78 )*INDEX('I&amp;E Profiles'!BF$96:BF$180,$I78))</f>
        <v>0</v>
      </c>
      <c r="BG78" s="10" cm="1">
        <f t="array" ref="BG78">IF(OR(BG$4=0, $G78&lt;&gt; $G$7, $E78=0), 'I&amp;E Monthly'!BG78, CHOOSE(Timeline!BG$30,$J78,$K78,$L78 )*INDEX('I&amp;E Profiles'!BG$96:BG$180,$I78))</f>
        <v>0</v>
      </c>
      <c r="BH78" s="10" cm="1">
        <f t="array" ref="BH78">IF(OR(BH$4=0, $G78&lt;&gt; $G$7, $E78=0), 'I&amp;E Monthly'!BH78, CHOOSE(Timeline!BH$30,$J78,$K78,$L78 )*INDEX('I&amp;E Profiles'!BH$96:BH$180,$I78))</f>
        <v>0</v>
      </c>
      <c r="BI78" s="10" cm="1">
        <f t="array" ref="BI78">IF(OR(BI$4=0, $G78&lt;&gt; $G$7, $E78=0), 'I&amp;E Monthly'!BI78, CHOOSE(Timeline!BI$30,$J78,$K78,$L78 )*INDEX('I&amp;E Profiles'!BI$96:BI$180,$I78))</f>
        <v>0</v>
      </c>
      <c r="BJ78" s="10" cm="1">
        <f t="array" ref="BJ78">IF(OR(BJ$4=0, $G78&lt;&gt; $G$7, $E78=0), 'I&amp;E Monthly'!BJ78, CHOOSE(Timeline!BJ$30,$J78,$K78,$L78 )*INDEX('I&amp;E Profiles'!BJ$96:BJ$180,$I78))</f>
        <v>0</v>
      </c>
      <c r="BX78" s="12">
        <f t="shared" si="93"/>
        <v>0</v>
      </c>
      <c r="BY78" s="10">
        <f t="shared" si="94"/>
        <v>0</v>
      </c>
      <c r="BZ78" s="10">
        <f t="shared" si="94"/>
        <v>0</v>
      </c>
      <c r="CA78" s="10">
        <f t="shared" si="94"/>
        <v>0</v>
      </c>
      <c r="CB78" s="12">
        <f>'I&amp;E Monthly'!CB78</f>
        <v>0</v>
      </c>
      <c r="CC78" s="12">
        <f>'I&amp;E Monthly'!CC78</f>
        <v>0</v>
      </c>
      <c r="CD78" s="12">
        <f>'I&amp;E Monthly'!CD78</f>
        <v>0</v>
      </c>
      <c r="CE78" s="12">
        <f>'I&amp;E Monthly'!CE78</f>
        <v>0</v>
      </c>
      <c r="CF78" s="12">
        <f>'I&amp;E Monthly'!CF78</f>
        <v>0</v>
      </c>
      <c r="CG78" s="12">
        <f>'I&amp;E Monthly'!CG78</f>
        <v>0</v>
      </c>
      <c r="CH78" s="12">
        <f>'I&amp;E Monthly'!CH78</f>
        <v>0</v>
      </c>
      <c r="CI78" s="12">
        <f>'I&amp;E Monthly'!CI78</f>
        <v>0</v>
      </c>
      <c r="CK78" s="11"/>
      <c r="CL78" s="221">
        <f t="shared" ca="1" si="95"/>
        <v>0</v>
      </c>
      <c r="CM78" s="11"/>
      <c r="CN78" s="7">
        <f t="shared" si="96"/>
        <v>0</v>
      </c>
      <c r="CO78" s="7" cm="1">
        <f t="array" ref="CO78">SUMPRODUCT(--NOT(ISNUMBER(W78:Y78)),--NOT(ISBLANK(W78:Y78)))</f>
        <v>0</v>
      </c>
      <c r="CP78" s="7" cm="1">
        <f t="array" ref="CP78">IF(E78="",0, IF(IFERROR(INDEX('I&amp;E Profiles'!$D$96:$D$180, $I78), "N/A")="N/A", 1, 0))</f>
        <v>0</v>
      </c>
      <c r="CQ78" s="7">
        <f t="shared" si="97"/>
        <v>0</v>
      </c>
      <c r="CS78" s="7">
        <f t="shared" si="98"/>
        <v>0</v>
      </c>
      <c r="CT78" s="7">
        <f t="shared" si="99"/>
        <v>0</v>
      </c>
      <c r="CU78" s="11"/>
      <c r="CV78" s="215">
        <f t="shared" si="100"/>
        <v>0</v>
      </c>
      <c r="CW78" s="215">
        <f t="shared" si="101"/>
        <v>0</v>
      </c>
      <c r="CX78" s="215">
        <f t="shared" si="102"/>
        <v>0</v>
      </c>
      <c r="CY78" s="215">
        <f t="shared" si="103"/>
        <v>0</v>
      </c>
      <c r="CZ78" s="215">
        <f t="shared" si="104"/>
        <v>0</v>
      </c>
      <c r="DA78" s="215">
        <f t="shared" si="105"/>
        <v>0</v>
      </c>
      <c r="DB78" s="215">
        <f t="shared" si="106"/>
        <v>0</v>
      </c>
      <c r="FN78" s="10" t="str">
        <f t="shared" si="40"/>
        <v>Catering</v>
      </c>
    </row>
    <row r="79" spans="1:170" x14ac:dyDescent="0.35">
      <c r="A79" s="220" cm="1">
        <f t="array" aca="1" ref="A79" ca="1">HYPERLINK(CONCATENATE("#",CELL("address",IF(MAX($CM79:$CU79)=0,A79,INDEX($CM79:$CU79,MATCH(1,$CM79:$CU79,0))))),MAX($CM79:$CU79))</f>
        <v>0</v>
      </c>
      <c r="C79" s="213" t="s">
        <v>530</v>
      </c>
      <c r="D79" s="1" t="s">
        <v>381</v>
      </c>
      <c r="E79" s="114"/>
      <c r="F79" s="79" t="str" cm="1">
        <f t="array" aca="1" ref="F79" ca="1">IF(E79="", "", HYPERLINK(CONCATENATE("#",CELL("address",INDEX('I&amp;E Profiles'!$D$9:$D$93,'I&amp;E Annual'!I79))),E79))</f>
        <v/>
      </c>
      <c r="G79" s="114"/>
      <c r="H79" t="s">
        <v>317</v>
      </c>
      <c r="I79" s="132" t="str">
        <f>IF(E79="", "", MATCH(E79, 'I&amp;E Profiles'!$D$96:$D$180,0))</f>
        <v/>
      </c>
      <c r="J79" s="133">
        <f>IF($G79=$G$7, W79,'I&amp;E Monthly'!W79)-SUMIFS('I&amp;E Monthly'!$AA79:$BJ79, 'I&amp;E Monthly'!$AA$3:$BJ$3, 'I&amp;E Annual'!W$3, 'I&amp;E Monthly'!$AA$4:$BJ$4, 0)</f>
        <v>0</v>
      </c>
      <c r="K79" s="133">
        <f>IF($G79=$G$7, X79,'I&amp;E Monthly'!X79)-SUMIFS('I&amp;E Monthly'!$AA79:$BJ79, 'I&amp;E Monthly'!$AA$3:$BJ$3, 'I&amp;E Annual'!X$3, 'I&amp;E Monthly'!$AA$4:$BJ$4, 0)</f>
        <v>0</v>
      </c>
      <c r="L79" s="133">
        <f>IF($G79=$G$7, Y79,'I&amp;E Monthly'!Y79)-SUMIFS('I&amp;E Monthly'!$AA79:$BJ79, 'I&amp;E Monthly'!$AA$3:$BJ$3, 'I&amp;E Annual'!Y$3, 'I&amp;E Monthly'!$AA$4:$BJ$4, 0)</f>
        <v>0</v>
      </c>
      <c r="Q79" s="2"/>
      <c r="V79" s="133">
        <f>'I&amp;E Monthly'!V79</f>
        <v>0</v>
      </c>
      <c r="W79" s="114"/>
      <c r="X79" s="131"/>
      <c r="Y79" s="131"/>
      <c r="AA79" s="10" cm="1">
        <f t="array" ref="AA79">IF(OR(AA$4=0, $G79&lt;&gt; $G$7, $E79=0), 'I&amp;E Monthly'!AA79, CHOOSE(Timeline!AA$30,$J79,$K79,$L79 )*INDEX('I&amp;E Profiles'!AA$96:AA$180,$I79))</f>
        <v>0</v>
      </c>
      <c r="AB79" s="10" cm="1">
        <f t="array" ref="AB79">IF(OR(AB$4=0, $G79&lt;&gt; $G$7, $E79=0), 'I&amp;E Monthly'!AB79, CHOOSE(Timeline!AB$30,$J79,$K79,$L79 )*INDEX('I&amp;E Profiles'!AB$96:AB$180,$I79))</f>
        <v>0</v>
      </c>
      <c r="AC79" s="10" cm="1">
        <f t="array" ref="AC79">IF(OR(AC$4=0, $G79&lt;&gt; $G$7, $E79=0), 'I&amp;E Monthly'!AC79, CHOOSE(Timeline!AC$30,$J79,$K79,$L79 )*INDEX('I&amp;E Profiles'!AC$96:AC$180,$I79))</f>
        <v>0</v>
      </c>
      <c r="AD79" s="10" cm="1">
        <f t="array" ref="AD79">IF(OR(AD$4=0, $G79&lt;&gt; $G$7, $E79=0), 'I&amp;E Monthly'!AD79, CHOOSE(Timeline!AD$30,$J79,$K79,$L79 )*INDEX('I&amp;E Profiles'!AD$96:AD$180,$I79))</f>
        <v>0</v>
      </c>
      <c r="AE79" s="10" cm="1">
        <f t="array" ref="AE79">IF(OR(AE$4=0, $G79&lt;&gt; $G$7, $E79=0), 'I&amp;E Monthly'!AE79, CHOOSE(Timeline!AE$30,$J79,$K79,$L79 )*INDEX('I&amp;E Profiles'!AE$96:AE$180,$I79))</f>
        <v>0</v>
      </c>
      <c r="AF79" s="10" cm="1">
        <f t="array" ref="AF79">IF(OR(AF$4=0, $G79&lt;&gt; $G$7, $E79=0), 'I&amp;E Monthly'!AF79, CHOOSE(Timeline!AF$30,$J79,$K79,$L79 )*INDEX('I&amp;E Profiles'!AF$96:AF$180,$I79))</f>
        <v>0</v>
      </c>
      <c r="AG79" s="10" cm="1">
        <f t="array" ref="AG79">IF(OR(AG$4=0, $G79&lt;&gt; $G$7, $E79=0), 'I&amp;E Monthly'!AG79, CHOOSE(Timeline!AG$30,$J79,$K79,$L79 )*INDEX('I&amp;E Profiles'!AG$96:AG$180,$I79))</f>
        <v>0</v>
      </c>
      <c r="AH79" s="10" cm="1">
        <f t="array" ref="AH79">IF(OR(AH$4=0, $G79&lt;&gt; $G$7, $E79=0), 'I&amp;E Monthly'!AH79, CHOOSE(Timeline!AH$30,$J79,$K79,$L79 )*INDEX('I&amp;E Profiles'!AH$96:AH$180,$I79))</f>
        <v>0</v>
      </c>
      <c r="AI79" s="10" cm="1">
        <f t="array" ref="AI79">IF(OR(AI$4=0, $G79&lt;&gt; $G$7, $E79=0), 'I&amp;E Monthly'!AI79, CHOOSE(Timeline!AI$30,$J79,$K79,$L79 )*INDEX('I&amp;E Profiles'!AI$96:AI$180,$I79))</f>
        <v>0</v>
      </c>
      <c r="AJ79" s="10" cm="1">
        <f t="array" ref="AJ79">IF(OR(AJ$4=0, $G79&lt;&gt; $G$7, $E79=0), 'I&amp;E Monthly'!AJ79, CHOOSE(Timeline!AJ$30,$J79,$K79,$L79 )*INDEX('I&amp;E Profiles'!AJ$96:AJ$180,$I79))</f>
        <v>0</v>
      </c>
      <c r="AK79" s="10" cm="1">
        <f t="array" ref="AK79">IF(OR(AK$4=0, $G79&lt;&gt; $G$7, $E79=0), 'I&amp;E Monthly'!AK79, CHOOSE(Timeline!AK$30,$J79,$K79,$L79 )*INDEX('I&amp;E Profiles'!AK$96:AK$180,$I79))</f>
        <v>0</v>
      </c>
      <c r="AL79" s="10" cm="1">
        <f t="array" ref="AL79">IF(OR(AL$4=0, $G79&lt;&gt; $G$7, $E79=0), 'I&amp;E Monthly'!AL79, CHOOSE(Timeline!AL$30,$J79,$K79,$L79 )*INDEX('I&amp;E Profiles'!AL$96:AL$180,$I79))</f>
        <v>0</v>
      </c>
      <c r="AM79" s="10" cm="1">
        <f t="array" ref="AM79">IF(OR(AM$4=0, $G79&lt;&gt; $G$7, $E79=0), 'I&amp;E Monthly'!AM79, CHOOSE(Timeline!AM$30,$J79,$K79,$L79 )*INDEX('I&amp;E Profiles'!AM$96:AM$180,$I79))</f>
        <v>0</v>
      </c>
      <c r="AN79" s="10" cm="1">
        <f t="array" ref="AN79">IF(OR(AN$4=0, $G79&lt;&gt; $G$7, $E79=0), 'I&amp;E Monthly'!AN79, CHOOSE(Timeline!AN$30,$J79,$K79,$L79 )*INDEX('I&amp;E Profiles'!AN$96:AN$180,$I79))</f>
        <v>0</v>
      </c>
      <c r="AO79" s="10" cm="1">
        <f t="array" ref="AO79">IF(OR(AO$4=0, $G79&lt;&gt; $G$7, $E79=0), 'I&amp;E Monthly'!AO79, CHOOSE(Timeline!AO$30,$J79,$K79,$L79 )*INDEX('I&amp;E Profiles'!AO$96:AO$180,$I79))</f>
        <v>0</v>
      </c>
      <c r="AP79" s="10" cm="1">
        <f t="array" ref="AP79">IF(OR(AP$4=0, $G79&lt;&gt; $G$7, $E79=0), 'I&amp;E Monthly'!AP79, CHOOSE(Timeline!AP$30,$J79,$K79,$L79 )*INDEX('I&amp;E Profiles'!AP$96:AP$180,$I79))</f>
        <v>0</v>
      </c>
      <c r="AQ79" s="10" cm="1">
        <f t="array" ref="AQ79">IF(OR(AQ$4=0, $G79&lt;&gt; $G$7, $E79=0), 'I&amp;E Monthly'!AQ79, CHOOSE(Timeline!AQ$30,$J79,$K79,$L79 )*INDEX('I&amp;E Profiles'!AQ$96:AQ$180,$I79))</f>
        <v>0</v>
      </c>
      <c r="AR79" s="10" cm="1">
        <f t="array" ref="AR79">IF(OR(AR$4=0, $G79&lt;&gt; $G$7, $E79=0), 'I&amp;E Monthly'!AR79, CHOOSE(Timeline!AR$30,$J79,$K79,$L79 )*INDEX('I&amp;E Profiles'!AR$96:AR$180,$I79))</f>
        <v>0</v>
      </c>
      <c r="AS79" s="10" cm="1">
        <f t="array" ref="AS79">IF(OR(AS$4=0, $G79&lt;&gt; $G$7, $E79=0), 'I&amp;E Monthly'!AS79, CHOOSE(Timeline!AS$30,$J79,$K79,$L79 )*INDEX('I&amp;E Profiles'!AS$96:AS$180,$I79))</f>
        <v>0</v>
      </c>
      <c r="AT79" s="10" cm="1">
        <f t="array" ref="AT79">IF(OR(AT$4=0, $G79&lt;&gt; $G$7, $E79=0), 'I&amp;E Monthly'!AT79, CHOOSE(Timeline!AT$30,$J79,$K79,$L79 )*INDEX('I&amp;E Profiles'!AT$96:AT$180,$I79))</f>
        <v>0</v>
      </c>
      <c r="AU79" s="10" cm="1">
        <f t="array" ref="AU79">IF(OR(AU$4=0, $G79&lt;&gt; $G$7, $E79=0), 'I&amp;E Monthly'!AU79, CHOOSE(Timeline!AU$30,$J79,$K79,$L79 )*INDEX('I&amp;E Profiles'!AU$96:AU$180,$I79))</f>
        <v>0</v>
      </c>
      <c r="AV79" s="10" cm="1">
        <f t="array" ref="AV79">IF(OR(AV$4=0, $G79&lt;&gt; $G$7, $E79=0), 'I&amp;E Monthly'!AV79, CHOOSE(Timeline!AV$30,$J79,$K79,$L79 )*INDEX('I&amp;E Profiles'!AV$96:AV$180,$I79))</f>
        <v>0</v>
      </c>
      <c r="AW79" s="10" cm="1">
        <f t="array" ref="AW79">IF(OR(AW$4=0, $G79&lt;&gt; $G$7, $E79=0), 'I&amp;E Monthly'!AW79, CHOOSE(Timeline!AW$30,$J79,$K79,$L79 )*INDEX('I&amp;E Profiles'!AW$96:AW$180,$I79))</f>
        <v>0</v>
      </c>
      <c r="AX79" s="10" cm="1">
        <f t="array" ref="AX79">IF(OR(AX$4=0, $G79&lt;&gt; $G$7, $E79=0), 'I&amp;E Monthly'!AX79, CHOOSE(Timeline!AX$30,$J79,$K79,$L79 )*INDEX('I&amp;E Profiles'!AX$96:AX$180,$I79))</f>
        <v>0</v>
      </c>
      <c r="AY79" s="10" cm="1">
        <f t="array" ref="AY79">IF(OR(AY$4=0, $G79&lt;&gt; $G$7, $E79=0), 'I&amp;E Monthly'!AY79, CHOOSE(Timeline!AY$30,$J79,$K79,$L79 )*INDEX('I&amp;E Profiles'!AY$96:AY$180,$I79))</f>
        <v>0</v>
      </c>
      <c r="AZ79" s="10" cm="1">
        <f t="array" ref="AZ79">IF(OR(AZ$4=0, $G79&lt;&gt; $G$7, $E79=0), 'I&amp;E Monthly'!AZ79, CHOOSE(Timeline!AZ$30,$J79,$K79,$L79 )*INDEX('I&amp;E Profiles'!AZ$96:AZ$180,$I79))</f>
        <v>0</v>
      </c>
      <c r="BA79" s="10" cm="1">
        <f t="array" ref="BA79">IF(OR(BA$4=0, $G79&lt;&gt; $G$7, $E79=0), 'I&amp;E Monthly'!BA79, CHOOSE(Timeline!BA$30,$J79,$K79,$L79 )*INDEX('I&amp;E Profiles'!BA$96:BA$180,$I79))</f>
        <v>0</v>
      </c>
      <c r="BB79" s="10" cm="1">
        <f t="array" ref="BB79">IF(OR(BB$4=0, $G79&lt;&gt; $G$7, $E79=0), 'I&amp;E Monthly'!BB79, CHOOSE(Timeline!BB$30,$J79,$K79,$L79 )*INDEX('I&amp;E Profiles'!BB$96:BB$180,$I79))</f>
        <v>0</v>
      </c>
      <c r="BC79" s="10" cm="1">
        <f t="array" ref="BC79">IF(OR(BC$4=0, $G79&lt;&gt; $G$7, $E79=0), 'I&amp;E Monthly'!BC79, CHOOSE(Timeline!BC$30,$J79,$K79,$L79 )*INDEX('I&amp;E Profiles'!BC$96:BC$180,$I79))</f>
        <v>0</v>
      </c>
      <c r="BD79" s="10" cm="1">
        <f t="array" ref="BD79">IF(OR(BD$4=0, $G79&lt;&gt; $G$7, $E79=0), 'I&amp;E Monthly'!BD79, CHOOSE(Timeline!BD$30,$J79,$K79,$L79 )*INDEX('I&amp;E Profiles'!BD$96:BD$180,$I79))</f>
        <v>0</v>
      </c>
      <c r="BE79" s="10" cm="1">
        <f t="array" ref="BE79">IF(OR(BE$4=0, $G79&lt;&gt; $G$7, $E79=0), 'I&amp;E Monthly'!BE79, CHOOSE(Timeline!BE$30,$J79,$K79,$L79 )*INDEX('I&amp;E Profiles'!BE$96:BE$180,$I79))</f>
        <v>0</v>
      </c>
      <c r="BF79" s="10" cm="1">
        <f t="array" ref="BF79">IF(OR(BF$4=0, $G79&lt;&gt; $G$7, $E79=0), 'I&amp;E Monthly'!BF79, CHOOSE(Timeline!BF$30,$J79,$K79,$L79 )*INDEX('I&amp;E Profiles'!BF$96:BF$180,$I79))</f>
        <v>0</v>
      </c>
      <c r="BG79" s="10" cm="1">
        <f t="array" ref="BG79">IF(OR(BG$4=0, $G79&lt;&gt; $G$7, $E79=0), 'I&amp;E Monthly'!BG79, CHOOSE(Timeline!BG$30,$J79,$K79,$L79 )*INDEX('I&amp;E Profiles'!BG$96:BG$180,$I79))</f>
        <v>0</v>
      </c>
      <c r="BH79" s="10" cm="1">
        <f t="array" ref="BH79">IF(OR(BH$4=0, $G79&lt;&gt; $G$7, $E79=0), 'I&amp;E Monthly'!BH79, CHOOSE(Timeline!BH$30,$J79,$K79,$L79 )*INDEX('I&amp;E Profiles'!BH$96:BH$180,$I79))</f>
        <v>0</v>
      </c>
      <c r="BI79" s="10" cm="1">
        <f t="array" ref="BI79">IF(OR(BI$4=0, $G79&lt;&gt; $G$7, $E79=0), 'I&amp;E Monthly'!BI79, CHOOSE(Timeline!BI$30,$J79,$K79,$L79 )*INDEX('I&amp;E Profiles'!BI$96:BI$180,$I79))</f>
        <v>0</v>
      </c>
      <c r="BJ79" s="10" cm="1">
        <f t="array" ref="BJ79">IF(OR(BJ$4=0, $G79&lt;&gt; $G$7, $E79=0), 'I&amp;E Monthly'!BJ79, CHOOSE(Timeline!BJ$30,$J79,$K79,$L79 )*INDEX('I&amp;E Profiles'!BJ$96:BJ$180,$I79))</f>
        <v>0</v>
      </c>
      <c r="BX79" s="12">
        <f t="shared" si="93"/>
        <v>0</v>
      </c>
      <c r="BY79" s="10">
        <f t="shared" si="94"/>
        <v>0</v>
      </c>
      <c r="BZ79" s="10">
        <f t="shared" si="94"/>
        <v>0</v>
      </c>
      <c r="CA79" s="10">
        <f t="shared" si="94"/>
        <v>0</v>
      </c>
      <c r="CB79" s="12">
        <f>'I&amp;E Monthly'!CB79</f>
        <v>0</v>
      </c>
      <c r="CC79" s="12">
        <f>'I&amp;E Monthly'!CC79</f>
        <v>0</v>
      </c>
      <c r="CD79" s="12">
        <f>'I&amp;E Monthly'!CD79</f>
        <v>0</v>
      </c>
      <c r="CE79" s="12">
        <f>'I&amp;E Monthly'!CE79</f>
        <v>0</v>
      </c>
      <c r="CF79" s="12">
        <f>'I&amp;E Monthly'!CF79</f>
        <v>0</v>
      </c>
      <c r="CG79" s="12">
        <f>'I&amp;E Monthly'!CG79</f>
        <v>0</v>
      </c>
      <c r="CH79" s="12">
        <f>'I&amp;E Monthly'!CH79</f>
        <v>0</v>
      </c>
      <c r="CI79" s="12">
        <f>'I&amp;E Monthly'!CI79</f>
        <v>0</v>
      </c>
      <c r="CK79" s="11"/>
      <c r="CL79" s="221">
        <f t="shared" ca="1" si="95"/>
        <v>0</v>
      </c>
      <c r="CM79" s="11"/>
      <c r="CN79" s="7">
        <f t="shared" si="96"/>
        <v>0</v>
      </c>
      <c r="CO79" s="7" cm="1">
        <f t="array" ref="CO79">SUMPRODUCT(--NOT(ISNUMBER(W79:Y79)),--NOT(ISBLANK(W79:Y79)))</f>
        <v>0</v>
      </c>
      <c r="CP79" s="7" cm="1">
        <f t="array" ref="CP79">IF(E79="",0, IF(IFERROR(INDEX('I&amp;E Profiles'!$D$96:$D$180, $I79), "N/A")="N/A", 1, 0))</f>
        <v>0</v>
      </c>
      <c r="CQ79" s="7">
        <f t="shared" si="97"/>
        <v>0</v>
      </c>
      <c r="CS79" s="7">
        <f t="shared" si="98"/>
        <v>0</v>
      </c>
      <c r="CT79" s="7">
        <f t="shared" si="99"/>
        <v>0</v>
      </c>
      <c r="CU79" s="11"/>
      <c r="CV79" s="215">
        <f t="shared" si="100"/>
        <v>0</v>
      </c>
      <c r="CW79" s="215">
        <f t="shared" si="101"/>
        <v>0</v>
      </c>
      <c r="CX79" s="215">
        <f t="shared" si="102"/>
        <v>0</v>
      </c>
      <c r="CY79" s="215">
        <f t="shared" si="103"/>
        <v>0</v>
      </c>
      <c r="CZ79" s="215">
        <f t="shared" si="104"/>
        <v>0</v>
      </c>
      <c r="DA79" s="215">
        <f t="shared" si="105"/>
        <v>0</v>
      </c>
      <c r="DB79" s="215">
        <f t="shared" si="106"/>
        <v>0</v>
      </c>
      <c r="FN79" s="10" t="str">
        <f t="shared" ref="FN79:FN109" si="107">IF($C79="","",$D79)</f>
        <v>Nursery</v>
      </c>
    </row>
    <row r="80" spans="1:170" x14ac:dyDescent="0.35">
      <c r="A80" s="220" cm="1">
        <f t="array" aca="1" ref="A80" ca="1">HYPERLINK(CONCATENATE("#",CELL("address",IF(MAX($CM80:$CU80)=0,A80,INDEX($CM80:$CU80,MATCH(1,$CM80:$CU80,0))))),MAX($CM80:$CU80))</f>
        <v>0</v>
      </c>
      <c r="C80" s="213" t="s">
        <v>531</v>
      </c>
      <c r="D80" s="1" t="s">
        <v>382</v>
      </c>
      <c r="E80" s="114"/>
      <c r="F80" s="79" t="str" cm="1">
        <f t="array" aca="1" ref="F80" ca="1">IF(E80="", "", HYPERLINK(CONCATENATE("#",CELL("address",INDEX('I&amp;E Profiles'!$D$9:$D$93,'I&amp;E Annual'!I80))),E80))</f>
        <v/>
      </c>
      <c r="G80" s="114"/>
      <c r="H80" t="s">
        <v>317</v>
      </c>
      <c r="I80" s="132" t="str">
        <f>IF(E80="", "", MATCH(E80, 'I&amp;E Profiles'!$D$96:$D$180,0))</f>
        <v/>
      </c>
      <c r="J80" s="133">
        <f>IF($G80=$G$7, W80,'I&amp;E Monthly'!W80)-SUMIFS('I&amp;E Monthly'!$AA80:$BJ80, 'I&amp;E Monthly'!$AA$3:$BJ$3, 'I&amp;E Annual'!W$3, 'I&amp;E Monthly'!$AA$4:$BJ$4, 0)</f>
        <v>0</v>
      </c>
      <c r="K80" s="133">
        <f>IF($G80=$G$7, X80,'I&amp;E Monthly'!X80)-SUMIFS('I&amp;E Monthly'!$AA80:$BJ80, 'I&amp;E Monthly'!$AA$3:$BJ$3, 'I&amp;E Annual'!X$3, 'I&amp;E Monthly'!$AA$4:$BJ$4, 0)</f>
        <v>0</v>
      </c>
      <c r="L80" s="133">
        <f>IF($G80=$G$7, Y80,'I&amp;E Monthly'!Y80)-SUMIFS('I&amp;E Monthly'!$AA80:$BJ80, 'I&amp;E Monthly'!$AA$3:$BJ$3, 'I&amp;E Annual'!Y$3, 'I&amp;E Monthly'!$AA$4:$BJ$4, 0)</f>
        <v>0</v>
      </c>
      <c r="Q80" s="2"/>
      <c r="V80" s="133">
        <f>'I&amp;E Monthly'!V80</f>
        <v>0</v>
      </c>
      <c r="W80" s="114"/>
      <c r="X80" s="131"/>
      <c r="Y80" s="131"/>
      <c r="AA80" s="10" cm="1">
        <f t="array" ref="AA80">IF(OR(AA$4=0, $G80&lt;&gt; $G$7, $E80=0), 'I&amp;E Monthly'!AA80, CHOOSE(Timeline!AA$30,$J80,$K80,$L80 )*INDEX('I&amp;E Profiles'!AA$96:AA$180,$I80))</f>
        <v>0</v>
      </c>
      <c r="AB80" s="10" cm="1">
        <f t="array" ref="AB80">IF(OR(AB$4=0, $G80&lt;&gt; $G$7, $E80=0), 'I&amp;E Monthly'!AB80, CHOOSE(Timeline!AB$30,$J80,$K80,$L80 )*INDEX('I&amp;E Profiles'!AB$96:AB$180,$I80))</f>
        <v>0</v>
      </c>
      <c r="AC80" s="10" cm="1">
        <f t="array" ref="AC80">IF(OR(AC$4=0, $G80&lt;&gt; $G$7, $E80=0), 'I&amp;E Monthly'!AC80, CHOOSE(Timeline!AC$30,$J80,$K80,$L80 )*INDEX('I&amp;E Profiles'!AC$96:AC$180,$I80))</f>
        <v>0</v>
      </c>
      <c r="AD80" s="10" cm="1">
        <f t="array" ref="AD80">IF(OR(AD$4=0, $G80&lt;&gt; $G$7, $E80=0), 'I&amp;E Monthly'!AD80, CHOOSE(Timeline!AD$30,$J80,$K80,$L80 )*INDEX('I&amp;E Profiles'!AD$96:AD$180,$I80))</f>
        <v>0</v>
      </c>
      <c r="AE80" s="10" cm="1">
        <f t="array" ref="AE80">IF(OR(AE$4=0, $G80&lt;&gt; $G$7, $E80=0), 'I&amp;E Monthly'!AE80, CHOOSE(Timeline!AE$30,$J80,$K80,$L80 )*INDEX('I&amp;E Profiles'!AE$96:AE$180,$I80))</f>
        <v>0</v>
      </c>
      <c r="AF80" s="10" cm="1">
        <f t="array" ref="AF80">IF(OR(AF$4=0, $G80&lt;&gt; $G$7, $E80=0), 'I&amp;E Monthly'!AF80, CHOOSE(Timeline!AF$30,$J80,$K80,$L80 )*INDEX('I&amp;E Profiles'!AF$96:AF$180,$I80))</f>
        <v>0</v>
      </c>
      <c r="AG80" s="10" cm="1">
        <f t="array" ref="AG80">IF(OR(AG$4=0, $G80&lt;&gt; $G$7, $E80=0), 'I&amp;E Monthly'!AG80, CHOOSE(Timeline!AG$30,$J80,$K80,$L80 )*INDEX('I&amp;E Profiles'!AG$96:AG$180,$I80))</f>
        <v>0</v>
      </c>
      <c r="AH80" s="10" cm="1">
        <f t="array" ref="AH80">IF(OR(AH$4=0, $G80&lt;&gt; $G$7, $E80=0), 'I&amp;E Monthly'!AH80, CHOOSE(Timeline!AH$30,$J80,$K80,$L80 )*INDEX('I&amp;E Profiles'!AH$96:AH$180,$I80))</f>
        <v>0</v>
      </c>
      <c r="AI80" s="10" cm="1">
        <f t="array" ref="AI80">IF(OR(AI$4=0, $G80&lt;&gt; $G$7, $E80=0), 'I&amp;E Monthly'!AI80, CHOOSE(Timeline!AI$30,$J80,$K80,$L80 )*INDEX('I&amp;E Profiles'!AI$96:AI$180,$I80))</f>
        <v>0</v>
      </c>
      <c r="AJ80" s="10" cm="1">
        <f t="array" ref="AJ80">IF(OR(AJ$4=0, $G80&lt;&gt; $G$7, $E80=0), 'I&amp;E Monthly'!AJ80, CHOOSE(Timeline!AJ$30,$J80,$K80,$L80 )*INDEX('I&amp;E Profiles'!AJ$96:AJ$180,$I80))</f>
        <v>0</v>
      </c>
      <c r="AK80" s="10" cm="1">
        <f t="array" ref="AK80">IF(OR(AK$4=0, $G80&lt;&gt; $G$7, $E80=0), 'I&amp;E Monthly'!AK80, CHOOSE(Timeline!AK$30,$J80,$K80,$L80 )*INDEX('I&amp;E Profiles'!AK$96:AK$180,$I80))</f>
        <v>0</v>
      </c>
      <c r="AL80" s="10" cm="1">
        <f t="array" ref="AL80">IF(OR(AL$4=0, $G80&lt;&gt; $G$7, $E80=0), 'I&amp;E Monthly'!AL80, CHOOSE(Timeline!AL$30,$J80,$K80,$L80 )*INDEX('I&amp;E Profiles'!AL$96:AL$180,$I80))</f>
        <v>0</v>
      </c>
      <c r="AM80" s="10" cm="1">
        <f t="array" ref="AM80">IF(OR(AM$4=0, $G80&lt;&gt; $G$7, $E80=0), 'I&amp;E Monthly'!AM80, CHOOSE(Timeline!AM$30,$J80,$K80,$L80 )*INDEX('I&amp;E Profiles'!AM$96:AM$180,$I80))</f>
        <v>0</v>
      </c>
      <c r="AN80" s="10" cm="1">
        <f t="array" ref="AN80">IF(OR(AN$4=0, $G80&lt;&gt; $G$7, $E80=0), 'I&amp;E Monthly'!AN80, CHOOSE(Timeline!AN$30,$J80,$K80,$L80 )*INDEX('I&amp;E Profiles'!AN$96:AN$180,$I80))</f>
        <v>0</v>
      </c>
      <c r="AO80" s="10" cm="1">
        <f t="array" ref="AO80">IF(OR(AO$4=0, $G80&lt;&gt; $G$7, $E80=0), 'I&amp;E Monthly'!AO80, CHOOSE(Timeline!AO$30,$J80,$K80,$L80 )*INDEX('I&amp;E Profiles'!AO$96:AO$180,$I80))</f>
        <v>0</v>
      </c>
      <c r="AP80" s="10" cm="1">
        <f t="array" ref="AP80">IF(OR(AP$4=0, $G80&lt;&gt; $G$7, $E80=0), 'I&amp;E Monthly'!AP80, CHOOSE(Timeline!AP$30,$J80,$K80,$L80 )*INDEX('I&amp;E Profiles'!AP$96:AP$180,$I80))</f>
        <v>0</v>
      </c>
      <c r="AQ80" s="10" cm="1">
        <f t="array" ref="AQ80">IF(OR(AQ$4=0, $G80&lt;&gt; $G$7, $E80=0), 'I&amp;E Monthly'!AQ80, CHOOSE(Timeline!AQ$30,$J80,$K80,$L80 )*INDEX('I&amp;E Profiles'!AQ$96:AQ$180,$I80))</f>
        <v>0</v>
      </c>
      <c r="AR80" s="10" cm="1">
        <f t="array" ref="AR80">IF(OR(AR$4=0, $G80&lt;&gt; $G$7, $E80=0), 'I&amp;E Monthly'!AR80, CHOOSE(Timeline!AR$30,$J80,$K80,$L80 )*INDEX('I&amp;E Profiles'!AR$96:AR$180,$I80))</f>
        <v>0</v>
      </c>
      <c r="AS80" s="10" cm="1">
        <f t="array" ref="AS80">IF(OR(AS$4=0, $G80&lt;&gt; $G$7, $E80=0), 'I&amp;E Monthly'!AS80, CHOOSE(Timeline!AS$30,$J80,$K80,$L80 )*INDEX('I&amp;E Profiles'!AS$96:AS$180,$I80))</f>
        <v>0</v>
      </c>
      <c r="AT80" s="10" cm="1">
        <f t="array" ref="AT80">IF(OR(AT$4=0, $G80&lt;&gt; $G$7, $E80=0), 'I&amp;E Monthly'!AT80, CHOOSE(Timeline!AT$30,$J80,$K80,$L80 )*INDEX('I&amp;E Profiles'!AT$96:AT$180,$I80))</f>
        <v>0</v>
      </c>
      <c r="AU80" s="10" cm="1">
        <f t="array" ref="AU80">IF(OR(AU$4=0, $G80&lt;&gt; $G$7, $E80=0), 'I&amp;E Monthly'!AU80, CHOOSE(Timeline!AU$30,$J80,$K80,$L80 )*INDEX('I&amp;E Profiles'!AU$96:AU$180,$I80))</f>
        <v>0</v>
      </c>
      <c r="AV80" s="10" cm="1">
        <f t="array" ref="AV80">IF(OR(AV$4=0, $G80&lt;&gt; $G$7, $E80=0), 'I&amp;E Monthly'!AV80, CHOOSE(Timeline!AV$30,$J80,$K80,$L80 )*INDEX('I&amp;E Profiles'!AV$96:AV$180,$I80))</f>
        <v>0</v>
      </c>
      <c r="AW80" s="10" cm="1">
        <f t="array" ref="AW80">IF(OR(AW$4=0, $G80&lt;&gt; $G$7, $E80=0), 'I&amp;E Monthly'!AW80, CHOOSE(Timeline!AW$30,$J80,$K80,$L80 )*INDEX('I&amp;E Profiles'!AW$96:AW$180,$I80))</f>
        <v>0</v>
      </c>
      <c r="AX80" s="10" cm="1">
        <f t="array" ref="AX80">IF(OR(AX$4=0, $G80&lt;&gt; $G$7, $E80=0), 'I&amp;E Monthly'!AX80, CHOOSE(Timeline!AX$30,$J80,$K80,$L80 )*INDEX('I&amp;E Profiles'!AX$96:AX$180,$I80))</f>
        <v>0</v>
      </c>
      <c r="AY80" s="10" cm="1">
        <f t="array" ref="AY80">IF(OR(AY$4=0, $G80&lt;&gt; $G$7, $E80=0), 'I&amp;E Monthly'!AY80, CHOOSE(Timeline!AY$30,$J80,$K80,$L80 )*INDEX('I&amp;E Profiles'!AY$96:AY$180,$I80))</f>
        <v>0</v>
      </c>
      <c r="AZ80" s="10" cm="1">
        <f t="array" ref="AZ80">IF(OR(AZ$4=0, $G80&lt;&gt; $G$7, $E80=0), 'I&amp;E Monthly'!AZ80, CHOOSE(Timeline!AZ$30,$J80,$K80,$L80 )*INDEX('I&amp;E Profiles'!AZ$96:AZ$180,$I80))</f>
        <v>0</v>
      </c>
      <c r="BA80" s="10" cm="1">
        <f t="array" ref="BA80">IF(OR(BA$4=0, $G80&lt;&gt; $G$7, $E80=0), 'I&amp;E Monthly'!BA80, CHOOSE(Timeline!BA$30,$J80,$K80,$L80 )*INDEX('I&amp;E Profiles'!BA$96:BA$180,$I80))</f>
        <v>0</v>
      </c>
      <c r="BB80" s="10" cm="1">
        <f t="array" ref="BB80">IF(OR(BB$4=0, $G80&lt;&gt; $G$7, $E80=0), 'I&amp;E Monthly'!BB80, CHOOSE(Timeline!BB$30,$J80,$K80,$L80 )*INDEX('I&amp;E Profiles'!BB$96:BB$180,$I80))</f>
        <v>0</v>
      </c>
      <c r="BC80" s="10" cm="1">
        <f t="array" ref="BC80">IF(OR(BC$4=0, $G80&lt;&gt; $G$7, $E80=0), 'I&amp;E Monthly'!BC80, CHOOSE(Timeline!BC$30,$J80,$K80,$L80 )*INDEX('I&amp;E Profiles'!BC$96:BC$180,$I80))</f>
        <v>0</v>
      </c>
      <c r="BD80" s="10" cm="1">
        <f t="array" ref="BD80">IF(OR(BD$4=0, $G80&lt;&gt; $G$7, $E80=0), 'I&amp;E Monthly'!BD80, CHOOSE(Timeline!BD$30,$J80,$K80,$L80 )*INDEX('I&amp;E Profiles'!BD$96:BD$180,$I80))</f>
        <v>0</v>
      </c>
      <c r="BE80" s="10" cm="1">
        <f t="array" ref="BE80">IF(OR(BE$4=0, $G80&lt;&gt; $G$7, $E80=0), 'I&amp;E Monthly'!BE80, CHOOSE(Timeline!BE$30,$J80,$K80,$L80 )*INDEX('I&amp;E Profiles'!BE$96:BE$180,$I80))</f>
        <v>0</v>
      </c>
      <c r="BF80" s="10" cm="1">
        <f t="array" ref="BF80">IF(OR(BF$4=0, $G80&lt;&gt; $G$7, $E80=0), 'I&amp;E Monthly'!BF80, CHOOSE(Timeline!BF$30,$J80,$K80,$L80 )*INDEX('I&amp;E Profiles'!BF$96:BF$180,$I80))</f>
        <v>0</v>
      </c>
      <c r="BG80" s="10" cm="1">
        <f t="array" ref="BG80">IF(OR(BG$4=0, $G80&lt;&gt; $G$7, $E80=0), 'I&amp;E Monthly'!BG80, CHOOSE(Timeline!BG$30,$J80,$K80,$L80 )*INDEX('I&amp;E Profiles'!BG$96:BG$180,$I80))</f>
        <v>0</v>
      </c>
      <c r="BH80" s="10" cm="1">
        <f t="array" ref="BH80">IF(OR(BH$4=0, $G80&lt;&gt; $G$7, $E80=0), 'I&amp;E Monthly'!BH80, CHOOSE(Timeline!BH$30,$J80,$K80,$L80 )*INDEX('I&amp;E Profiles'!BH$96:BH$180,$I80))</f>
        <v>0</v>
      </c>
      <c r="BI80" s="10" cm="1">
        <f t="array" ref="BI80">IF(OR(BI$4=0, $G80&lt;&gt; $G$7, $E80=0), 'I&amp;E Monthly'!BI80, CHOOSE(Timeline!BI$30,$J80,$K80,$L80 )*INDEX('I&amp;E Profiles'!BI$96:BI$180,$I80))</f>
        <v>0</v>
      </c>
      <c r="BJ80" s="10" cm="1">
        <f t="array" ref="BJ80">IF(OR(BJ$4=0, $G80&lt;&gt; $G$7, $E80=0), 'I&amp;E Monthly'!BJ80, CHOOSE(Timeline!BJ$30,$J80,$K80,$L80 )*INDEX('I&amp;E Profiles'!BJ$96:BJ$180,$I80))</f>
        <v>0</v>
      </c>
      <c r="BX80" s="12">
        <f t="shared" si="93"/>
        <v>0</v>
      </c>
      <c r="BY80" s="10">
        <f t="shared" si="94"/>
        <v>0</v>
      </c>
      <c r="BZ80" s="10">
        <f t="shared" si="94"/>
        <v>0</v>
      </c>
      <c r="CA80" s="10">
        <f t="shared" si="94"/>
        <v>0</v>
      </c>
      <c r="CB80" s="12">
        <f>'I&amp;E Monthly'!CB80</f>
        <v>0</v>
      </c>
      <c r="CC80" s="12">
        <f>'I&amp;E Monthly'!CC80</f>
        <v>0</v>
      </c>
      <c r="CD80" s="12">
        <f>'I&amp;E Monthly'!CD80</f>
        <v>0</v>
      </c>
      <c r="CE80" s="12">
        <f>'I&amp;E Monthly'!CE80</f>
        <v>0</v>
      </c>
      <c r="CF80" s="12">
        <f>'I&amp;E Monthly'!CF80</f>
        <v>0</v>
      </c>
      <c r="CG80" s="12">
        <f>'I&amp;E Monthly'!CG80</f>
        <v>0</v>
      </c>
      <c r="CH80" s="12">
        <f>'I&amp;E Monthly'!CH80</f>
        <v>0</v>
      </c>
      <c r="CI80" s="12">
        <f>'I&amp;E Monthly'!CI80</f>
        <v>0</v>
      </c>
      <c r="CK80" s="11"/>
      <c r="CL80" s="221">
        <f t="shared" ca="1" si="95"/>
        <v>0</v>
      </c>
      <c r="CM80" s="11"/>
      <c r="CN80" s="7">
        <f t="shared" si="96"/>
        <v>0</v>
      </c>
      <c r="CO80" s="7" cm="1">
        <f t="array" ref="CO80">SUMPRODUCT(--NOT(ISNUMBER(W80:Y80)),--NOT(ISBLANK(W80:Y80)))</f>
        <v>0</v>
      </c>
      <c r="CP80" s="7" cm="1">
        <f t="array" ref="CP80">IF(E80="",0, IF(IFERROR(INDEX('I&amp;E Profiles'!$D$96:$D$180, $I80), "N/A")="N/A", 1, 0))</f>
        <v>0</v>
      </c>
      <c r="CQ80" s="7">
        <f t="shared" si="97"/>
        <v>0</v>
      </c>
      <c r="CS80" s="7">
        <f t="shared" si="98"/>
        <v>0</v>
      </c>
      <c r="CT80" s="7">
        <f t="shared" si="99"/>
        <v>0</v>
      </c>
      <c r="CU80" s="11"/>
      <c r="CV80" s="215">
        <f t="shared" si="100"/>
        <v>0</v>
      </c>
      <c r="CW80" s="215">
        <f t="shared" si="101"/>
        <v>0</v>
      </c>
      <c r="CX80" s="215">
        <f t="shared" si="102"/>
        <v>0</v>
      </c>
      <c r="CY80" s="215">
        <f t="shared" si="103"/>
        <v>0</v>
      </c>
      <c r="CZ80" s="215">
        <f t="shared" si="104"/>
        <v>0</v>
      </c>
      <c r="DA80" s="215">
        <f t="shared" si="105"/>
        <v>0</v>
      </c>
      <c r="DB80" s="215">
        <f t="shared" si="106"/>
        <v>0</v>
      </c>
      <c r="FN80" s="10" t="str">
        <f t="shared" si="107"/>
        <v>Residences and conferences</v>
      </c>
    </row>
    <row r="81" spans="1:170" x14ac:dyDescent="0.35">
      <c r="A81" s="220" cm="1">
        <f t="array" aca="1" ref="A81" ca="1">HYPERLINK(CONCATENATE("#",CELL("address",IF(MAX($CM81:$CU81)=0,A81,INDEX($CM81:$CU81,MATCH(1,$CM81:$CU81,0))))),MAX($CM81:$CU81))</f>
        <v>0</v>
      </c>
      <c r="C81" s="213" t="s">
        <v>532</v>
      </c>
      <c r="D81" s="1" t="s">
        <v>383</v>
      </c>
      <c r="E81" s="114"/>
      <c r="F81" s="79" t="str" cm="1">
        <f t="array" aca="1" ref="F81" ca="1">IF(E81="", "", HYPERLINK(CONCATENATE("#",CELL("address",INDEX('I&amp;E Profiles'!$D$9:$D$93,'I&amp;E Annual'!I81))),E81))</f>
        <v/>
      </c>
      <c r="G81" s="114"/>
      <c r="H81" t="s">
        <v>317</v>
      </c>
      <c r="I81" s="132" t="str">
        <f>IF(E81="", "", MATCH(E81, 'I&amp;E Profiles'!$D$96:$D$180,0))</f>
        <v/>
      </c>
      <c r="J81" s="133">
        <f>IF($G81=$G$7, W81,'I&amp;E Monthly'!W81)-SUMIFS('I&amp;E Monthly'!$AA81:$BJ81, 'I&amp;E Monthly'!$AA$3:$BJ$3, 'I&amp;E Annual'!W$3, 'I&amp;E Monthly'!$AA$4:$BJ$4, 0)</f>
        <v>0</v>
      </c>
      <c r="K81" s="133">
        <f>IF($G81=$G$7, X81,'I&amp;E Monthly'!X81)-SUMIFS('I&amp;E Monthly'!$AA81:$BJ81, 'I&amp;E Monthly'!$AA$3:$BJ$3, 'I&amp;E Annual'!X$3, 'I&amp;E Monthly'!$AA$4:$BJ$4, 0)</f>
        <v>0</v>
      </c>
      <c r="L81" s="133">
        <f>IF($G81=$G$7, Y81,'I&amp;E Monthly'!Y81)-SUMIFS('I&amp;E Monthly'!$AA81:$BJ81, 'I&amp;E Monthly'!$AA$3:$BJ$3, 'I&amp;E Annual'!Y$3, 'I&amp;E Monthly'!$AA$4:$BJ$4, 0)</f>
        <v>0</v>
      </c>
      <c r="Q81" s="2"/>
      <c r="V81" s="133">
        <f>'I&amp;E Monthly'!V81</f>
        <v>0</v>
      </c>
      <c r="W81" s="114"/>
      <c r="X81" s="131"/>
      <c r="Y81" s="131"/>
      <c r="AA81" s="10" cm="1">
        <f t="array" ref="AA81">IF(OR(AA$4=0, $G81&lt;&gt; $G$7, $E81=0), 'I&amp;E Monthly'!AA81, CHOOSE(Timeline!AA$30,$J81,$K81,$L81 )*INDEX('I&amp;E Profiles'!AA$96:AA$180,$I81))</f>
        <v>0</v>
      </c>
      <c r="AB81" s="10" cm="1">
        <f t="array" ref="AB81">IF(OR(AB$4=0, $G81&lt;&gt; $G$7, $E81=0), 'I&amp;E Monthly'!AB81, CHOOSE(Timeline!AB$30,$J81,$K81,$L81 )*INDEX('I&amp;E Profiles'!AB$96:AB$180,$I81))</f>
        <v>0</v>
      </c>
      <c r="AC81" s="10" cm="1">
        <f t="array" ref="AC81">IF(OR(AC$4=0, $G81&lt;&gt; $G$7, $E81=0), 'I&amp;E Monthly'!AC81, CHOOSE(Timeline!AC$30,$J81,$K81,$L81 )*INDEX('I&amp;E Profiles'!AC$96:AC$180,$I81))</f>
        <v>0</v>
      </c>
      <c r="AD81" s="10" cm="1">
        <f t="array" ref="AD81">IF(OR(AD$4=0, $G81&lt;&gt; $G$7, $E81=0), 'I&amp;E Monthly'!AD81, CHOOSE(Timeline!AD$30,$J81,$K81,$L81 )*INDEX('I&amp;E Profiles'!AD$96:AD$180,$I81))</f>
        <v>0</v>
      </c>
      <c r="AE81" s="10" cm="1">
        <f t="array" ref="AE81">IF(OR(AE$4=0, $G81&lt;&gt; $G$7, $E81=0), 'I&amp;E Monthly'!AE81, CHOOSE(Timeline!AE$30,$J81,$K81,$L81 )*INDEX('I&amp;E Profiles'!AE$96:AE$180,$I81))</f>
        <v>0</v>
      </c>
      <c r="AF81" s="10" cm="1">
        <f t="array" ref="AF81">IF(OR(AF$4=0, $G81&lt;&gt; $G$7, $E81=0), 'I&amp;E Monthly'!AF81, CHOOSE(Timeline!AF$30,$J81,$K81,$L81 )*INDEX('I&amp;E Profiles'!AF$96:AF$180,$I81))</f>
        <v>0</v>
      </c>
      <c r="AG81" s="10" cm="1">
        <f t="array" ref="AG81">IF(OR(AG$4=0, $G81&lt;&gt; $G$7, $E81=0), 'I&amp;E Monthly'!AG81, CHOOSE(Timeline!AG$30,$J81,$K81,$L81 )*INDEX('I&amp;E Profiles'!AG$96:AG$180,$I81))</f>
        <v>0</v>
      </c>
      <c r="AH81" s="10" cm="1">
        <f t="array" ref="AH81">IF(OR(AH$4=0, $G81&lt;&gt; $G$7, $E81=0), 'I&amp;E Monthly'!AH81, CHOOSE(Timeline!AH$30,$J81,$K81,$L81 )*INDEX('I&amp;E Profiles'!AH$96:AH$180,$I81))</f>
        <v>0</v>
      </c>
      <c r="AI81" s="10" cm="1">
        <f t="array" ref="AI81">IF(OR(AI$4=0, $G81&lt;&gt; $G$7, $E81=0), 'I&amp;E Monthly'!AI81, CHOOSE(Timeline!AI$30,$J81,$K81,$L81 )*INDEX('I&amp;E Profiles'!AI$96:AI$180,$I81))</f>
        <v>0</v>
      </c>
      <c r="AJ81" s="10" cm="1">
        <f t="array" ref="AJ81">IF(OR(AJ$4=0, $G81&lt;&gt; $G$7, $E81=0), 'I&amp;E Monthly'!AJ81, CHOOSE(Timeline!AJ$30,$J81,$K81,$L81 )*INDEX('I&amp;E Profiles'!AJ$96:AJ$180,$I81))</f>
        <v>0</v>
      </c>
      <c r="AK81" s="10" cm="1">
        <f t="array" ref="AK81">IF(OR(AK$4=0, $G81&lt;&gt; $G$7, $E81=0), 'I&amp;E Monthly'!AK81, CHOOSE(Timeline!AK$30,$J81,$K81,$L81 )*INDEX('I&amp;E Profiles'!AK$96:AK$180,$I81))</f>
        <v>0</v>
      </c>
      <c r="AL81" s="10" cm="1">
        <f t="array" ref="AL81">IF(OR(AL$4=0, $G81&lt;&gt; $G$7, $E81=0), 'I&amp;E Monthly'!AL81, CHOOSE(Timeline!AL$30,$J81,$K81,$L81 )*INDEX('I&amp;E Profiles'!AL$96:AL$180,$I81))</f>
        <v>0</v>
      </c>
      <c r="AM81" s="10" cm="1">
        <f t="array" ref="AM81">IF(OR(AM$4=0, $G81&lt;&gt; $G$7, $E81=0), 'I&amp;E Monthly'!AM81, CHOOSE(Timeline!AM$30,$J81,$K81,$L81 )*INDEX('I&amp;E Profiles'!AM$96:AM$180,$I81))</f>
        <v>0</v>
      </c>
      <c r="AN81" s="10" cm="1">
        <f t="array" ref="AN81">IF(OR(AN$4=0, $G81&lt;&gt; $G$7, $E81=0), 'I&amp;E Monthly'!AN81, CHOOSE(Timeline!AN$30,$J81,$K81,$L81 )*INDEX('I&amp;E Profiles'!AN$96:AN$180,$I81))</f>
        <v>0</v>
      </c>
      <c r="AO81" s="10" cm="1">
        <f t="array" ref="AO81">IF(OR(AO$4=0, $G81&lt;&gt; $G$7, $E81=0), 'I&amp;E Monthly'!AO81, CHOOSE(Timeline!AO$30,$J81,$K81,$L81 )*INDEX('I&amp;E Profiles'!AO$96:AO$180,$I81))</f>
        <v>0</v>
      </c>
      <c r="AP81" s="10" cm="1">
        <f t="array" ref="AP81">IF(OR(AP$4=0, $G81&lt;&gt; $G$7, $E81=0), 'I&amp;E Monthly'!AP81, CHOOSE(Timeline!AP$30,$J81,$K81,$L81 )*INDEX('I&amp;E Profiles'!AP$96:AP$180,$I81))</f>
        <v>0</v>
      </c>
      <c r="AQ81" s="10" cm="1">
        <f t="array" ref="AQ81">IF(OR(AQ$4=0, $G81&lt;&gt; $G$7, $E81=0), 'I&amp;E Monthly'!AQ81, CHOOSE(Timeline!AQ$30,$J81,$K81,$L81 )*INDEX('I&amp;E Profiles'!AQ$96:AQ$180,$I81))</f>
        <v>0</v>
      </c>
      <c r="AR81" s="10" cm="1">
        <f t="array" ref="AR81">IF(OR(AR$4=0, $G81&lt;&gt; $G$7, $E81=0), 'I&amp;E Monthly'!AR81, CHOOSE(Timeline!AR$30,$J81,$K81,$L81 )*INDEX('I&amp;E Profiles'!AR$96:AR$180,$I81))</f>
        <v>0</v>
      </c>
      <c r="AS81" s="10" cm="1">
        <f t="array" ref="AS81">IF(OR(AS$4=0, $G81&lt;&gt; $G$7, $E81=0), 'I&amp;E Monthly'!AS81, CHOOSE(Timeline!AS$30,$J81,$K81,$L81 )*INDEX('I&amp;E Profiles'!AS$96:AS$180,$I81))</f>
        <v>0</v>
      </c>
      <c r="AT81" s="10" cm="1">
        <f t="array" ref="AT81">IF(OR(AT$4=0, $G81&lt;&gt; $G$7, $E81=0), 'I&amp;E Monthly'!AT81, CHOOSE(Timeline!AT$30,$J81,$K81,$L81 )*INDEX('I&amp;E Profiles'!AT$96:AT$180,$I81))</f>
        <v>0</v>
      </c>
      <c r="AU81" s="10" cm="1">
        <f t="array" ref="AU81">IF(OR(AU$4=0, $G81&lt;&gt; $G$7, $E81=0), 'I&amp;E Monthly'!AU81, CHOOSE(Timeline!AU$30,$J81,$K81,$L81 )*INDEX('I&amp;E Profiles'!AU$96:AU$180,$I81))</f>
        <v>0</v>
      </c>
      <c r="AV81" s="10" cm="1">
        <f t="array" ref="AV81">IF(OR(AV$4=0, $G81&lt;&gt; $G$7, $E81=0), 'I&amp;E Monthly'!AV81, CHOOSE(Timeline!AV$30,$J81,$K81,$L81 )*INDEX('I&amp;E Profiles'!AV$96:AV$180,$I81))</f>
        <v>0</v>
      </c>
      <c r="AW81" s="10" cm="1">
        <f t="array" ref="AW81">IF(OR(AW$4=0, $G81&lt;&gt; $G$7, $E81=0), 'I&amp;E Monthly'!AW81, CHOOSE(Timeline!AW$30,$J81,$K81,$L81 )*INDEX('I&amp;E Profiles'!AW$96:AW$180,$I81))</f>
        <v>0</v>
      </c>
      <c r="AX81" s="10" cm="1">
        <f t="array" ref="AX81">IF(OR(AX$4=0, $G81&lt;&gt; $G$7, $E81=0), 'I&amp;E Monthly'!AX81, CHOOSE(Timeline!AX$30,$J81,$K81,$L81 )*INDEX('I&amp;E Profiles'!AX$96:AX$180,$I81))</f>
        <v>0</v>
      </c>
      <c r="AY81" s="10" cm="1">
        <f t="array" ref="AY81">IF(OR(AY$4=0, $G81&lt;&gt; $G$7, $E81=0), 'I&amp;E Monthly'!AY81, CHOOSE(Timeline!AY$30,$J81,$K81,$L81 )*INDEX('I&amp;E Profiles'!AY$96:AY$180,$I81))</f>
        <v>0</v>
      </c>
      <c r="AZ81" s="10" cm="1">
        <f t="array" ref="AZ81">IF(OR(AZ$4=0, $G81&lt;&gt; $G$7, $E81=0), 'I&amp;E Monthly'!AZ81, CHOOSE(Timeline!AZ$30,$J81,$K81,$L81 )*INDEX('I&amp;E Profiles'!AZ$96:AZ$180,$I81))</f>
        <v>0</v>
      </c>
      <c r="BA81" s="10" cm="1">
        <f t="array" ref="BA81">IF(OR(BA$4=0, $G81&lt;&gt; $G$7, $E81=0), 'I&amp;E Monthly'!BA81, CHOOSE(Timeline!BA$30,$J81,$K81,$L81 )*INDEX('I&amp;E Profiles'!BA$96:BA$180,$I81))</f>
        <v>0</v>
      </c>
      <c r="BB81" s="10" cm="1">
        <f t="array" ref="BB81">IF(OR(BB$4=0, $G81&lt;&gt; $G$7, $E81=0), 'I&amp;E Monthly'!BB81, CHOOSE(Timeline!BB$30,$J81,$K81,$L81 )*INDEX('I&amp;E Profiles'!BB$96:BB$180,$I81))</f>
        <v>0</v>
      </c>
      <c r="BC81" s="10" cm="1">
        <f t="array" ref="BC81">IF(OR(BC$4=0, $G81&lt;&gt; $G$7, $E81=0), 'I&amp;E Monthly'!BC81, CHOOSE(Timeline!BC$30,$J81,$K81,$L81 )*INDEX('I&amp;E Profiles'!BC$96:BC$180,$I81))</f>
        <v>0</v>
      </c>
      <c r="BD81" s="10" cm="1">
        <f t="array" ref="BD81">IF(OR(BD$4=0, $G81&lt;&gt; $G$7, $E81=0), 'I&amp;E Monthly'!BD81, CHOOSE(Timeline!BD$30,$J81,$K81,$L81 )*INDEX('I&amp;E Profiles'!BD$96:BD$180,$I81))</f>
        <v>0</v>
      </c>
      <c r="BE81" s="10" cm="1">
        <f t="array" ref="BE81">IF(OR(BE$4=0, $G81&lt;&gt; $G$7, $E81=0), 'I&amp;E Monthly'!BE81, CHOOSE(Timeline!BE$30,$J81,$K81,$L81 )*INDEX('I&amp;E Profiles'!BE$96:BE$180,$I81))</f>
        <v>0</v>
      </c>
      <c r="BF81" s="10" cm="1">
        <f t="array" ref="BF81">IF(OR(BF$4=0, $G81&lt;&gt; $G$7, $E81=0), 'I&amp;E Monthly'!BF81, CHOOSE(Timeline!BF$30,$J81,$K81,$L81 )*INDEX('I&amp;E Profiles'!BF$96:BF$180,$I81))</f>
        <v>0</v>
      </c>
      <c r="BG81" s="10" cm="1">
        <f t="array" ref="BG81">IF(OR(BG$4=0, $G81&lt;&gt; $G$7, $E81=0), 'I&amp;E Monthly'!BG81, CHOOSE(Timeline!BG$30,$J81,$K81,$L81 )*INDEX('I&amp;E Profiles'!BG$96:BG$180,$I81))</f>
        <v>0</v>
      </c>
      <c r="BH81" s="10" cm="1">
        <f t="array" ref="BH81">IF(OR(BH$4=0, $G81&lt;&gt; $G$7, $E81=0), 'I&amp;E Monthly'!BH81, CHOOSE(Timeline!BH$30,$J81,$K81,$L81 )*INDEX('I&amp;E Profiles'!BH$96:BH$180,$I81))</f>
        <v>0</v>
      </c>
      <c r="BI81" s="10" cm="1">
        <f t="array" ref="BI81">IF(OR(BI$4=0, $G81&lt;&gt; $G$7, $E81=0), 'I&amp;E Monthly'!BI81, CHOOSE(Timeline!BI$30,$J81,$K81,$L81 )*INDEX('I&amp;E Profiles'!BI$96:BI$180,$I81))</f>
        <v>0</v>
      </c>
      <c r="BJ81" s="10" cm="1">
        <f t="array" ref="BJ81">IF(OR(BJ$4=0, $G81&lt;&gt; $G$7, $E81=0), 'I&amp;E Monthly'!BJ81, CHOOSE(Timeline!BJ$30,$J81,$K81,$L81 )*INDEX('I&amp;E Profiles'!BJ$96:BJ$180,$I81))</f>
        <v>0</v>
      </c>
      <c r="BX81" s="12">
        <f t="shared" si="93"/>
        <v>0</v>
      </c>
      <c r="BY81" s="10">
        <f t="shared" si="94"/>
        <v>0</v>
      </c>
      <c r="BZ81" s="10">
        <f t="shared" si="94"/>
        <v>0</v>
      </c>
      <c r="CA81" s="10">
        <f t="shared" si="94"/>
        <v>0</v>
      </c>
      <c r="CB81" s="12">
        <f>'I&amp;E Monthly'!CB81</f>
        <v>0</v>
      </c>
      <c r="CC81" s="12">
        <f>'I&amp;E Monthly'!CC81</f>
        <v>0</v>
      </c>
      <c r="CD81" s="12">
        <f>'I&amp;E Monthly'!CD81</f>
        <v>0</v>
      </c>
      <c r="CE81" s="12">
        <f>'I&amp;E Monthly'!CE81</f>
        <v>0</v>
      </c>
      <c r="CF81" s="12">
        <f>'I&amp;E Monthly'!CF81</f>
        <v>0</v>
      </c>
      <c r="CG81" s="12">
        <f>'I&amp;E Monthly'!CG81</f>
        <v>0</v>
      </c>
      <c r="CH81" s="12">
        <f>'I&amp;E Monthly'!CH81</f>
        <v>0</v>
      </c>
      <c r="CI81" s="12">
        <f>'I&amp;E Monthly'!CI81</f>
        <v>0</v>
      </c>
      <c r="CK81" s="11"/>
      <c r="CL81" s="221">
        <f t="shared" ca="1" si="95"/>
        <v>0</v>
      </c>
      <c r="CM81" s="11"/>
      <c r="CN81" s="7">
        <f t="shared" si="96"/>
        <v>0</v>
      </c>
      <c r="CO81" s="7" cm="1">
        <f t="array" ref="CO81">SUMPRODUCT(--NOT(ISNUMBER(W81:Y81)),--NOT(ISBLANK(W81:Y81)))</f>
        <v>0</v>
      </c>
      <c r="CP81" s="7" cm="1">
        <f t="array" ref="CP81">IF(E81="",0, IF(IFERROR(INDEX('I&amp;E Profiles'!$D$96:$D$180, $I81), "N/A")="N/A", 1, 0))</f>
        <v>0</v>
      </c>
      <c r="CQ81" s="7">
        <f t="shared" si="97"/>
        <v>0</v>
      </c>
      <c r="CS81" s="7">
        <f t="shared" si="98"/>
        <v>0</v>
      </c>
      <c r="CT81" s="7">
        <f t="shared" si="99"/>
        <v>0</v>
      </c>
      <c r="CU81" s="11"/>
      <c r="CV81" s="215">
        <f t="shared" si="100"/>
        <v>0</v>
      </c>
      <c r="CW81" s="215">
        <f t="shared" si="101"/>
        <v>0</v>
      </c>
      <c r="CX81" s="215">
        <f t="shared" si="102"/>
        <v>0</v>
      </c>
      <c r="CY81" s="215">
        <f t="shared" si="103"/>
        <v>0</v>
      </c>
      <c r="CZ81" s="215">
        <f t="shared" si="104"/>
        <v>0</v>
      </c>
      <c r="DA81" s="215">
        <f t="shared" si="105"/>
        <v>0</v>
      </c>
      <c r="DB81" s="215">
        <f t="shared" si="106"/>
        <v>0</v>
      </c>
      <c r="FN81" s="10" t="str">
        <f t="shared" si="107"/>
        <v>Consultancy</v>
      </c>
    </row>
    <row r="82" spans="1:170" x14ac:dyDescent="0.35">
      <c r="A82" s="220" cm="1">
        <f t="array" aca="1" ref="A82" ca="1">HYPERLINK(CONCATENATE("#",CELL("address",IF(MAX($CM82:$CU82)=0,A82,INDEX($CM82:$CU82,MATCH(1,$CM82:$CU82,0))))),MAX($CM82:$CU82))</f>
        <v>0</v>
      </c>
      <c r="C82" s="213" t="s">
        <v>533</v>
      </c>
      <c r="D82" s="1" t="s">
        <v>384</v>
      </c>
      <c r="E82" s="114"/>
      <c r="F82" s="79" t="str" cm="1">
        <f t="array" aca="1" ref="F82" ca="1">IF(E82="", "", HYPERLINK(CONCATENATE("#",CELL("address",INDEX('I&amp;E Profiles'!$D$9:$D$93,'I&amp;E Annual'!I82))),E82))</f>
        <v/>
      </c>
      <c r="G82" s="114"/>
      <c r="H82" t="s">
        <v>317</v>
      </c>
      <c r="I82" s="132" t="str">
        <f>IF(E82="", "", MATCH(E82, 'I&amp;E Profiles'!$D$96:$D$180,0))</f>
        <v/>
      </c>
      <c r="J82" s="133">
        <f>IF($G82=$G$7, W82,'I&amp;E Monthly'!W82)-SUMIFS('I&amp;E Monthly'!$AA82:$BJ82, 'I&amp;E Monthly'!$AA$3:$BJ$3, 'I&amp;E Annual'!W$3, 'I&amp;E Monthly'!$AA$4:$BJ$4, 0)</f>
        <v>0</v>
      </c>
      <c r="K82" s="133">
        <f>IF($G82=$G$7, X82,'I&amp;E Monthly'!X82)-SUMIFS('I&amp;E Monthly'!$AA82:$BJ82, 'I&amp;E Monthly'!$AA$3:$BJ$3, 'I&amp;E Annual'!X$3, 'I&amp;E Monthly'!$AA$4:$BJ$4, 0)</f>
        <v>0</v>
      </c>
      <c r="L82" s="133">
        <f>IF($G82=$G$7, Y82,'I&amp;E Monthly'!Y82)-SUMIFS('I&amp;E Monthly'!$AA82:$BJ82, 'I&amp;E Monthly'!$AA$3:$BJ$3, 'I&amp;E Annual'!Y$3, 'I&amp;E Monthly'!$AA$4:$BJ$4, 0)</f>
        <v>0</v>
      </c>
      <c r="Q82" s="2"/>
      <c r="V82" s="133">
        <f>'I&amp;E Monthly'!V82</f>
        <v>0</v>
      </c>
      <c r="W82" s="114"/>
      <c r="X82" s="131"/>
      <c r="Y82" s="131"/>
      <c r="AA82" s="10" cm="1">
        <f t="array" ref="AA82">IF(OR(AA$4=0, $G82&lt;&gt; $G$7, $E82=0), 'I&amp;E Monthly'!AA82, CHOOSE(Timeline!AA$30,$J82,$K82,$L82 )*INDEX('I&amp;E Profiles'!AA$96:AA$180,$I82))</f>
        <v>0</v>
      </c>
      <c r="AB82" s="10" cm="1">
        <f t="array" ref="AB82">IF(OR(AB$4=0, $G82&lt;&gt; $G$7, $E82=0), 'I&amp;E Monthly'!AB82, CHOOSE(Timeline!AB$30,$J82,$K82,$L82 )*INDEX('I&amp;E Profiles'!AB$96:AB$180,$I82))</f>
        <v>0</v>
      </c>
      <c r="AC82" s="10" cm="1">
        <f t="array" ref="AC82">IF(OR(AC$4=0, $G82&lt;&gt; $G$7, $E82=0), 'I&amp;E Monthly'!AC82, CHOOSE(Timeline!AC$30,$J82,$K82,$L82 )*INDEX('I&amp;E Profiles'!AC$96:AC$180,$I82))</f>
        <v>0</v>
      </c>
      <c r="AD82" s="10" cm="1">
        <f t="array" ref="AD82">IF(OR(AD$4=0, $G82&lt;&gt; $G$7, $E82=0), 'I&amp;E Monthly'!AD82, CHOOSE(Timeline!AD$30,$J82,$K82,$L82 )*INDEX('I&amp;E Profiles'!AD$96:AD$180,$I82))</f>
        <v>0</v>
      </c>
      <c r="AE82" s="10" cm="1">
        <f t="array" ref="AE82">IF(OR(AE$4=0, $G82&lt;&gt; $G$7, $E82=0), 'I&amp;E Monthly'!AE82, CHOOSE(Timeline!AE$30,$J82,$K82,$L82 )*INDEX('I&amp;E Profiles'!AE$96:AE$180,$I82))</f>
        <v>0</v>
      </c>
      <c r="AF82" s="10" cm="1">
        <f t="array" ref="AF82">IF(OR(AF$4=0, $G82&lt;&gt; $G$7, $E82=0), 'I&amp;E Monthly'!AF82, CHOOSE(Timeline!AF$30,$J82,$K82,$L82 )*INDEX('I&amp;E Profiles'!AF$96:AF$180,$I82))</f>
        <v>0</v>
      </c>
      <c r="AG82" s="10" cm="1">
        <f t="array" ref="AG82">IF(OR(AG$4=0, $G82&lt;&gt; $G$7, $E82=0), 'I&amp;E Monthly'!AG82, CHOOSE(Timeline!AG$30,$J82,$K82,$L82 )*INDEX('I&amp;E Profiles'!AG$96:AG$180,$I82))</f>
        <v>0</v>
      </c>
      <c r="AH82" s="10" cm="1">
        <f t="array" ref="AH82">IF(OR(AH$4=0, $G82&lt;&gt; $G$7, $E82=0), 'I&amp;E Monthly'!AH82, CHOOSE(Timeline!AH$30,$J82,$K82,$L82 )*INDEX('I&amp;E Profiles'!AH$96:AH$180,$I82))</f>
        <v>0</v>
      </c>
      <c r="AI82" s="10" cm="1">
        <f t="array" ref="AI82">IF(OR(AI$4=0, $G82&lt;&gt; $G$7, $E82=0), 'I&amp;E Monthly'!AI82, CHOOSE(Timeline!AI$30,$J82,$K82,$L82 )*INDEX('I&amp;E Profiles'!AI$96:AI$180,$I82))</f>
        <v>0</v>
      </c>
      <c r="AJ82" s="10" cm="1">
        <f t="array" ref="AJ82">IF(OR(AJ$4=0, $G82&lt;&gt; $G$7, $E82=0), 'I&amp;E Monthly'!AJ82, CHOOSE(Timeline!AJ$30,$J82,$K82,$L82 )*INDEX('I&amp;E Profiles'!AJ$96:AJ$180,$I82))</f>
        <v>0</v>
      </c>
      <c r="AK82" s="10" cm="1">
        <f t="array" ref="AK82">IF(OR(AK$4=0, $G82&lt;&gt; $G$7, $E82=0), 'I&amp;E Monthly'!AK82, CHOOSE(Timeline!AK$30,$J82,$K82,$L82 )*INDEX('I&amp;E Profiles'!AK$96:AK$180,$I82))</f>
        <v>0</v>
      </c>
      <c r="AL82" s="10" cm="1">
        <f t="array" ref="AL82">IF(OR(AL$4=0, $G82&lt;&gt; $G$7, $E82=0), 'I&amp;E Monthly'!AL82, CHOOSE(Timeline!AL$30,$J82,$K82,$L82 )*INDEX('I&amp;E Profiles'!AL$96:AL$180,$I82))</f>
        <v>0</v>
      </c>
      <c r="AM82" s="10" cm="1">
        <f t="array" ref="AM82">IF(OR(AM$4=0, $G82&lt;&gt; $G$7, $E82=0), 'I&amp;E Monthly'!AM82, CHOOSE(Timeline!AM$30,$J82,$K82,$L82 )*INDEX('I&amp;E Profiles'!AM$96:AM$180,$I82))</f>
        <v>0</v>
      </c>
      <c r="AN82" s="10" cm="1">
        <f t="array" ref="AN82">IF(OR(AN$4=0, $G82&lt;&gt; $G$7, $E82=0), 'I&amp;E Monthly'!AN82, CHOOSE(Timeline!AN$30,$J82,$K82,$L82 )*INDEX('I&amp;E Profiles'!AN$96:AN$180,$I82))</f>
        <v>0</v>
      </c>
      <c r="AO82" s="10" cm="1">
        <f t="array" ref="AO82">IF(OR(AO$4=0, $G82&lt;&gt; $G$7, $E82=0), 'I&amp;E Monthly'!AO82, CHOOSE(Timeline!AO$30,$J82,$K82,$L82 )*INDEX('I&amp;E Profiles'!AO$96:AO$180,$I82))</f>
        <v>0</v>
      </c>
      <c r="AP82" s="10" cm="1">
        <f t="array" ref="AP82">IF(OR(AP$4=0, $G82&lt;&gt; $G$7, $E82=0), 'I&amp;E Monthly'!AP82, CHOOSE(Timeline!AP$30,$J82,$K82,$L82 )*INDEX('I&amp;E Profiles'!AP$96:AP$180,$I82))</f>
        <v>0</v>
      </c>
      <c r="AQ82" s="10" cm="1">
        <f t="array" ref="AQ82">IF(OR(AQ$4=0, $G82&lt;&gt; $G$7, $E82=0), 'I&amp;E Monthly'!AQ82, CHOOSE(Timeline!AQ$30,$J82,$K82,$L82 )*INDEX('I&amp;E Profiles'!AQ$96:AQ$180,$I82))</f>
        <v>0</v>
      </c>
      <c r="AR82" s="10" cm="1">
        <f t="array" ref="AR82">IF(OR(AR$4=0, $G82&lt;&gt; $G$7, $E82=0), 'I&amp;E Monthly'!AR82, CHOOSE(Timeline!AR$30,$J82,$K82,$L82 )*INDEX('I&amp;E Profiles'!AR$96:AR$180,$I82))</f>
        <v>0</v>
      </c>
      <c r="AS82" s="10" cm="1">
        <f t="array" ref="AS82">IF(OR(AS$4=0, $G82&lt;&gt; $G$7, $E82=0), 'I&amp;E Monthly'!AS82, CHOOSE(Timeline!AS$30,$J82,$K82,$L82 )*INDEX('I&amp;E Profiles'!AS$96:AS$180,$I82))</f>
        <v>0</v>
      </c>
      <c r="AT82" s="10" cm="1">
        <f t="array" ref="AT82">IF(OR(AT$4=0, $G82&lt;&gt; $G$7, $E82=0), 'I&amp;E Monthly'!AT82, CHOOSE(Timeline!AT$30,$J82,$K82,$L82 )*INDEX('I&amp;E Profiles'!AT$96:AT$180,$I82))</f>
        <v>0</v>
      </c>
      <c r="AU82" s="10" cm="1">
        <f t="array" ref="AU82">IF(OR(AU$4=0, $G82&lt;&gt; $G$7, $E82=0), 'I&amp;E Monthly'!AU82, CHOOSE(Timeline!AU$30,$J82,$K82,$L82 )*INDEX('I&amp;E Profiles'!AU$96:AU$180,$I82))</f>
        <v>0</v>
      </c>
      <c r="AV82" s="10" cm="1">
        <f t="array" ref="AV82">IF(OR(AV$4=0, $G82&lt;&gt; $G$7, $E82=0), 'I&amp;E Monthly'!AV82, CHOOSE(Timeline!AV$30,$J82,$K82,$L82 )*INDEX('I&amp;E Profiles'!AV$96:AV$180,$I82))</f>
        <v>0</v>
      </c>
      <c r="AW82" s="10" cm="1">
        <f t="array" ref="AW82">IF(OR(AW$4=0, $G82&lt;&gt; $G$7, $E82=0), 'I&amp;E Monthly'!AW82, CHOOSE(Timeline!AW$30,$J82,$K82,$L82 )*INDEX('I&amp;E Profiles'!AW$96:AW$180,$I82))</f>
        <v>0</v>
      </c>
      <c r="AX82" s="10" cm="1">
        <f t="array" ref="AX82">IF(OR(AX$4=0, $G82&lt;&gt; $G$7, $E82=0), 'I&amp;E Monthly'!AX82, CHOOSE(Timeline!AX$30,$J82,$K82,$L82 )*INDEX('I&amp;E Profiles'!AX$96:AX$180,$I82))</f>
        <v>0</v>
      </c>
      <c r="AY82" s="10" cm="1">
        <f t="array" ref="AY82">IF(OR(AY$4=0, $G82&lt;&gt; $G$7, $E82=0), 'I&amp;E Monthly'!AY82, CHOOSE(Timeline!AY$30,$J82,$K82,$L82 )*INDEX('I&amp;E Profiles'!AY$96:AY$180,$I82))</f>
        <v>0</v>
      </c>
      <c r="AZ82" s="10" cm="1">
        <f t="array" ref="AZ82">IF(OR(AZ$4=0, $G82&lt;&gt; $G$7, $E82=0), 'I&amp;E Monthly'!AZ82, CHOOSE(Timeline!AZ$30,$J82,$K82,$L82 )*INDEX('I&amp;E Profiles'!AZ$96:AZ$180,$I82))</f>
        <v>0</v>
      </c>
      <c r="BA82" s="10" cm="1">
        <f t="array" ref="BA82">IF(OR(BA$4=0, $G82&lt;&gt; $G$7, $E82=0), 'I&amp;E Monthly'!BA82, CHOOSE(Timeline!BA$30,$J82,$K82,$L82 )*INDEX('I&amp;E Profiles'!BA$96:BA$180,$I82))</f>
        <v>0</v>
      </c>
      <c r="BB82" s="10" cm="1">
        <f t="array" ref="BB82">IF(OR(BB$4=0, $G82&lt;&gt; $G$7, $E82=0), 'I&amp;E Monthly'!BB82, CHOOSE(Timeline!BB$30,$J82,$K82,$L82 )*INDEX('I&amp;E Profiles'!BB$96:BB$180,$I82))</f>
        <v>0</v>
      </c>
      <c r="BC82" s="10" cm="1">
        <f t="array" ref="BC82">IF(OR(BC$4=0, $G82&lt;&gt; $G$7, $E82=0), 'I&amp;E Monthly'!BC82, CHOOSE(Timeline!BC$30,$J82,$K82,$L82 )*INDEX('I&amp;E Profiles'!BC$96:BC$180,$I82))</f>
        <v>0</v>
      </c>
      <c r="BD82" s="10" cm="1">
        <f t="array" ref="BD82">IF(OR(BD$4=0, $G82&lt;&gt; $G$7, $E82=0), 'I&amp;E Monthly'!BD82, CHOOSE(Timeline!BD$30,$J82,$K82,$L82 )*INDEX('I&amp;E Profiles'!BD$96:BD$180,$I82))</f>
        <v>0</v>
      </c>
      <c r="BE82" s="10" cm="1">
        <f t="array" ref="BE82">IF(OR(BE$4=0, $G82&lt;&gt; $G$7, $E82=0), 'I&amp;E Monthly'!BE82, CHOOSE(Timeline!BE$30,$J82,$K82,$L82 )*INDEX('I&amp;E Profiles'!BE$96:BE$180,$I82))</f>
        <v>0</v>
      </c>
      <c r="BF82" s="10" cm="1">
        <f t="array" ref="BF82">IF(OR(BF$4=0, $G82&lt;&gt; $G$7, $E82=0), 'I&amp;E Monthly'!BF82, CHOOSE(Timeline!BF$30,$J82,$K82,$L82 )*INDEX('I&amp;E Profiles'!BF$96:BF$180,$I82))</f>
        <v>0</v>
      </c>
      <c r="BG82" s="10" cm="1">
        <f t="array" ref="BG82">IF(OR(BG$4=0, $G82&lt;&gt; $G$7, $E82=0), 'I&amp;E Monthly'!BG82, CHOOSE(Timeline!BG$30,$J82,$K82,$L82 )*INDEX('I&amp;E Profiles'!BG$96:BG$180,$I82))</f>
        <v>0</v>
      </c>
      <c r="BH82" s="10" cm="1">
        <f t="array" ref="BH82">IF(OR(BH$4=0, $G82&lt;&gt; $G$7, $E82=0), 'I&amp;E Monthly'!BH82, CHOOSE(Timeline!BH$30,$J82,$K82,$L82 )*INDEX('I&amp;E Profiles'!BH$96:BH$180,$I82))</f>
        <v>0</v>
      </c>
      <c r="BI82" s="10" cm="1">
        <f t="array" ref="BI82">IF(OR(BI$4=0, $G82&lt;&gt; $G$7, $E82=0), 'I&amp;E Monthly'!BI82, CHOOSE(Timeline!BI$30,$J82,$K82,$L82 )*INDEX('I&amp;E Profiles'!BI$96:BI$180,$I82))</f>
        <v>0</v>
      </c>
      <c r="BJ82" s="10" cm="1">
        <f t="array" ref="BJ82">IF(OR(BJ$4=0, $G82&lt;&gt; $G$7, $E82=0), 'I&amp;E Monthly'!BJ82, CHOOSE(Timeline!BJ$30,$J82,$K82,$L82 )*INDEX('I&amp;E Profiles'!BJ$96:BJ$180,$I82))</f>
        <v>0</v>
      </c>
      <c r="BX82" s="12">
        <f t="shared" si="93"/>
        <v>0</v>
      </c>
      <c r="BY82" s="10">
        <f t="shared" si="94"/>
        <v>0</v>
      </c>
      <c r="BZ82" s="10">
        <f t="shared" si="94"/>
        <v>0</v>
      </c>
      <c r="CA82" s="10">
        <f t="shared" si="94"/>
        <v>0</v>
      </c>
      <c r="CB82" s="12">
        <f>'I&amp;E Monthly'!CB82</f>
        <v>0</v>
      </c>
      <c r="CC82" s="12">
        <f>'I&amp;E Monthly'!CC82</f>
        <v>0</v>
      </c>
      <c r="CD82" s="12">
        <f>'I&amp;E Monthly'!CD82</f>
        <v>0</v>
      </c>
      <c r="CE82" s="12">
        <f>'I&amp;E Monthly'!CE82</f>
        <v>0</v>
      </c>
      <c r="CF82" s="12">
        <f>'I&amp;E Monthly'!CF82</f>
        <v>0</v>
      </c>
      <c r="CG82" s="12">
        <f>'I&amp;E Monthly'!CG82</f>
        <v>0</v>
      </c>
      <c r="CH82" s="12">
        <f>'I&amp;E Monthly'!CH82</f>
        <v>0</v>
      </c>
      <c r="CI82" s="12">
        <f>'I&amp;E Monthly'!CI82</f>
        <v>0</v>
      </c>
      <c r="CK82" s="11"/>
      <c r="CL82" s="221">
        <f t="shared" ca="1" si="95"/>
        <v>0</v>
      </c>
      <c r="CM82" s="11"/>
      <c r="CN82" s="7">
        <f t="shared" si="96"/>
        <v>0</v>
      </c>
      <c r="CO82" s="7" cm="1">
        <f t="array" ref="CO82">SUMPRODUCT(--NOT(ISNUMBER(W82:Y82)),--NOT(ISBLANK(W82:Y82)))</f>
        <v>0</v>
      </c>
      <c r="CP82" s="7" cm="1">
        <f t="array" ref="CP82">IF(E82="",0, IF(IFERROR(INDEX('I&amp;E Profiles'!$D$96:$D$180, $I82), "N/A")="N/A", 1, 0))</f>
        <v>0</v>
      </c>
      <c r="CQ82" s="7">
        <f t="shared" si="97"/>
        <v>0</v>
      </c>
      <c r="CS82" s="7">
        <f t="shared" si="98"/>
        <v>0</v>
      </c>
      <c r="CT82" s="7">
        <f t="shared" si="99"/>
        <v>0</v>
      </c>
      <c r="CU82" s="11"/>
      <c r="CV82" s="215">
        <f t="shared" si="100"/>
        <v>0</v>
      </c>
      <c r="CW82" s="215">
        <f t="shared" si="101"/>
        <v>0</v>
      </c>
      <c r="CX82" s="215">
        <f t="shared" si="102"/>
        <v>0</v>
      </c>
      <c r="CY82" s="215">
        <f t="shared" si="103"/>
        <v>0</v>
      </c>
      <c r="CZ82" s="215">
        <f t="shared" si="104"/>
        <v>0</v>
      </c>
      <c r="DA82" s="215">
        <f t="shared" si="105"/>
        <v>0</v>
      </c>
      <c r="DB82" s="215">
        <f t="shared" si="106"/>
        <v>0</v>
      </c>
      <c r="FN82" s="10" t="str">
        <f t="shared" si="107"/>
        <v>International overseas delivery</v>
      </c>
    </row>
    <row r="83" spans="1:170" x14ac:dyDescent="0.35">
      <c r="A83" s="220" cm="1">
        <f t="array" aca="1" ref="A83" ca="1">HYPERLINK(CONCATENATE("#",CELL("address",IF(MAX($CM83:$CU83)=0,A83,INDEX($CM83:$CU83,MATCH(1,$CM83:$CU83,0))))),MAX($CM83:$CU83))</f>
        <v>0</v>
      </c>
      <c r="C83" s="213" t="s">
        <v>534</v>
      </c>
      <c r="D83" s="1" t="s">
        <v>385</v>
      </c>
      <c r="E83" s="114"/>
      <c r="F83" s="79" t="str" cm="1">
        <f t="array" aca="1" ref="F83" ca="1">IF(E83="", "", HYPERLINK(CONCATENATE("#",CELL("address",INDEX('I&amp;E Profiles'!$D$9:$D$93,'I&amp;E Annual'!I83))),E83))</f>
        <v/>
      </c>
      <c r="G83" s="114"/>
      <c r="H83" t="s">
        <v>317</v>
      </c>
      <c r="I83" s="132" t="str">
        <f>IF(E83="", "", MATCH(E83, 'I&amp;E Profiles'!$D$96:$D$180,0))</f>
        <v/>
      </c>
      <c r="J83" s="133">
        <f>IF($G83=$G$7, W83,'I&amp;E Monthly'!W83)-SUMIFS('I&amp;E Monthly'!$AA83:$BJ83, 'I&amp;E Monthly'!$AA$3:$BJ$3, 'I&amp;E Annual'!W$3, 'I&amp;E Monthly'!$AA$4:$BJ$4, 0)</f>
        <v>0</v>
      </c>
      <c r="K83" s="133">
        <f>IF($G83=$G$7, X83,'I&amp;E Monthly'!X83)-SUMIFS('I&amp;E Monthly'!$AA83:$BJ83, 'I&amp;E Monthly'!$AA$3:$BJ$3, 'I&amp;E Annual'!X$3, 'I&amp;E Monthly'!$AA$4:$BJ$4, 0)</f>
        <v>0</v>
      </c>
      <c r="L83" s="133">
        <f>IF($G83=$G$7, Y83,'I&amp;E Monthly'!Y83)-SUMIFS('I&amp;E Monthly'!$AA83:$BJ83, 'I&amp;E Monthly'!$AA$3:$BJ$3, 'I&amp;E Annual'!Y$3, 'I&amp;E Monthly'!$AA$4:$BJ$4, 0)</f>
        <v>0</v>
      </c>
      <c r="Q83" s="2"/>
      <c r="V83" s="133">
        <f>'I&amp;E Monthly'!V83</f>
        <v>0</v>
      </c>
      <c r="W83" s="114"/>
      <c r="X83" s="131"/>
      <c r="Y83" s="131"/>
      <c r="AA83" s="10" cm="1">
        <f t="array" ref="AA83">IF(OR(AA$4=0, $G83&lt;&gt; $G$7, $E83=0), 'I&amp;E Monthly'!AA83, CHOOSE(Timeline!AA$30,$J83,$K83,$L83 )*INDEX('I&amp;E Profiles'!AA$96:AA$180,$I83))</f>
        <v>0</v>
      </c>
      <c r="AB83" s="10" cm="1">
        <f t="array" ref="AB83">IF(OR(AB$4=0, $G83&lt;&gt; $G$7, $E83=0), 'I&amp;E Monthly'!AB83, CHOOSE(Timeline!AB$30,$J83,$K83,$L83 )*INDEX('I&amp;E Profiles'!AB$96:AB$180,$I83))</f>
        <v>0</v>
      </c>
      <c r="AC83" s="10" cm="1">
        <f t="array" ref="AC83">IF(OR(AC$4=0, $G83&lt;&gt; $G$7, $E83=0), 'I&amp;E Monthly'!AC83, CHOOSE(Timeline!AC$30,$J83,$K83,$L83 )*INDEX('I&amp;E Profiles'!AC$96:AC$180,$I83))</f>
        <v>0</v>
      </c>
      <c r="AD83" s="10" cm="1">
        <f t="array" ref="AD83">IF(OR(AD$4=0, $G83&lt;&gt; $G$7, $E83=0), 'I&amp;E Monthly'!AD83, CHOOSE(Timeline!AD$30,$J83,$K83,$L83 )*INDEX('I&amp;E Profiles'!AD$96:AD$180,$I83))</f>
        <v>0</v>
      </c>
      <c r="AE83" s="10" cm="1">
        <f t="array" ref="AE83">IF(OR(AE$4=0, $G83&lt;&gt; $G$7, $E83=0), 'I&amp;E Monthly'!AE83, CHOOSE(Timeline!AE$30,$J83,$K83,$L83 )*INDEX('I&amp;E Profiles'!AE$96:AE$180,$I83))</f>
        <v>0</v>
      </c>
      <c r="AF83" s="10" cm="1">
        <f t="array" ref="AF83">IF(OR(AF$4=0, $G83&lt;&gt; $G$7, $E83=0), 'I&amp;E Monthly'!AF83, CHOOSE(Timeline!AF$30,$J83,$K83,$L83 )*INDEX('I&amp;E Profiles'!AF$96:AF$180,$I83))</f>
        <v>0</v>
      </c>
      <c r="AG83" s="10" cm="1">
        <f t="array" ref="AG83">IF(OR(AG$4=0, $G83&lt;&gt; $G$7, $E83=0), 'I&amp;E Monthly'!AG83, CHOOSE(Timeline!AG$30,$J83,$K83,$L83 )*INDEX('I&amp;E Profiles'!AG$96:AG$180,$I83))</f>
        <v>0</v>
      </c>
      <c r="AH83" s="10" cm="1">
        <f t="array" ref="AH83">IF(OR(AH$4=0, $G83&lt;&gt; $G$7, $E83=0), 'I&amp;E Monthly'!AH83, CHOOSE(Timeline!AH$30,$J83,$K83,$L83 )*INDEX('I&amp;E Profiles'!AH$96:AH$180,$I83))</f>
        <v>0</v>
      </c>
      <c r="AI83" s="10" cm="1">
        <f t="array" ref="AI83">IF(OR(AI$4=0, $G83&lt;&gt; $G$7, $E83=0), 'I&amp;E Monthly'!AI83, CHOOSE(Timeline!AI$30,$J83,$K83,$L83 )*INDEX('I&amp;E Profiles'!AI$96:AI$180,$I83))</f>
        <v>0</v>
      </c>
      <c r="AJ83" s="10" cm="1">
        <f t="array" ref="AJ83">IF(OR(AJ$4=0, $G83&lt;&gt; $G$7, $E83=0), 'I&amp;E Monthly'!AJ83, CHOOSE(Timeline!AJ$30,$J83,$K83,$L83 )*INDEX('I&amp;E Profiles'!AJ$96:AJ$180,$I83))</f>
        <v>0</v>
      </c>
      <c r="AK83" s="10" cm="1">
        <f t="array" ref="AK83">IF(OR(AK$4=0, $G83&lt;&gt; $G$7, $E83=0), 'I&amp;E Monthly'!AK83, CHOOSE(Timeline!AK$30,$J83,$K83,$L83 )*INDEX('I&amp;E Profiles'!AK$96:AK$180,$I83))</f>
        <v>0</v>
      </c>
      <c r="AL83" s="10" cm="1">
        <f t="array" ref="AL83">IF(OR(AL$4=0, $G83&lt;&gt; $G$7, $E83=0), 'I&amp;E Monthly'!AL83, CHOOSE(Timeline!AL$30,$J83,$K83,$L83 )*INDEX('I&amp;E Profiles'!AL$96:AL$180,$I83))</f>
        <v>0</v>
      </c>
      <c r="AM83" s="10" cm="1">
        <f t="array" ref="AM83">IF(OR(AM$4=0, $G83&lt;&gt; $G$7, $E83=0), 'I&amp;E Monthly'!AM83, CHOOSE(Timeline!AM$30,$J83,$K83,$L83 )*INDEX('I&amp;E Profiles'!AM$96:AM$180,$I83))</f>
        <v>0</v>
      </c>
      <c r="AN83" s="10" cm="1">
        <f t="array" ref="AN83">IF(OR(AN$4=0, $G83&lt;&gt; $G$7, $E83=0), 'I&amp;E Monthly'!AN83, CHOOSE(Timeline!AN$30,$J83,$K83,$L83 )*INDEX('I&amp;E Profiles'!AN$96:AN$180,$I83))</f>
        <v>0</v>
      </c>
      <c r="AO83" s="10" cm="1">
        <f t="array" ref="AO83">IF(OR(AO$4=0, $G83&lt;&gt; $G$7, $E83=0), 'I&amp;E Monthly'!AO83, CHOOSE(Timeline!AO$30,$J83,$K83,$L83 )*INDEX('I&amp;E Profiles'!AO$96:AO$180,$I83))</f>
        <v>0</v>
      </c>
      <c r="AP83" s="10" cm="1">
        <f t="array" ref="AP83">IF(OR(AP$4=0, $G83&lt;&gt; $G$7, $E83=0), 'I&amp;E Monthly'!AP83, CHOOSE(Timeline!AP$30,$J83,$K83,$L83 )*INDEX('I&amp;E Profiles'!AP$96:AP$180,$I83))</f>
        <v>0</v>
      </c>
      <c r="AQ83" s="10" cm="1">
        <f t="array" ref="AQ83">IF(OR(AQ$4=0, $G83&lt;&gt; $G$7, $E83=0), 'I&amp;E Monthly'!AQ83, CHOOSE(Timeline!AQ$30,$J83,$K83,$L83 )*INDEX('I&amp;E Profiles'!AQ$96:AQ$180,$I83))</f>
        <v>0</v>
      </c>
      <c r="AR83" s="10" cm="1">
        <f t="array" ref="AR83">IF(OR(AR$4=0, $G83&lt;&gt; $G$7, $E83=0), 'I&amp;E Monthly'!AR83, CHOOSE(Timeline!AR$30,$J83,$K83,$L83 )*INDEX('I&amp;E Profiles'!AR$96:AR$180,$I83))</f>
        <v>0</v>
      </c>
      <c r="AS83" s="10" cm="1">
        <f t="array" ref="AS83">IF(OR(AS$4=0, $G83&lt;&gt; $G$7, $E83=0), 'I&amp;E Monthly'!AS83, CHOOSE(Timeline!AS$30,$J83,$K83,$L83 )*INDEX('I&amp;E Profiles'!AS$96:AS$180,$I83))</f>
        <v>0</v>
      </c>
      <c r="AT83" s="10" cm="1">
        <f t="array" ref="AT83">IF(OR(AT$4=0, $G83&lt;&gt; $G$7, $E83=0), 'I&amp;E Monthly'!AT83, CHOOSE(Timeline!AT$30,$J83,$K83,$L83 )*INDEX('I&amp;E Profiles'!AT$96:AT$180,$I83))</f>
        <v>0</v>
      </c>
      <c r="AU83" s="10" cm="1">
        <f t="array" ref="AU83">IF(OR(AU$4=0, $G83&lt;&gt; $G$7, $E83=0), 'I&amp;E Monthly'!AU83, CHOOSE(Timeline!AU$30,$J83,$K83,$L83 )*INDEX('I&amp;E Profiles'!AU$96:AU$180,$I83))</f>
        <v>0</v>
      </c>
      <c r="AV83" s="10" cm="1">
        <f t="array" ref="AV83">IF(OR(AV$4=0, $G83&lt;&gt; $G$7, $E83=0), 'I&amp;E Monthly'!AV83, CHOOSE(Timeline!AV$30,$J83,$K83,$L83 )*INDEX('I&amp;E Profiles'!AV$96:AV$180,$I83))</f>
        <v>0</v>
      </c>
      <c r="AW83" s="10" cm="1">
        <f t="array" ref="AW83">IF(OR(AW$4=0, $G83&lt;&gt; $G$7, $E83=0), 'I&amp;E Monthly'!AW83, CHOOSE(Timeline!AW$30,$J83,$K83,$L83 )*INDEX('I&amp;E Profiles'!AW$96:AW$180,$I83))</f>
        <v>0</v>
      </c>
      <c r="AX83" s="10" cm="1">
        <f t="array" ref="AX83">IF(OR(AX$4=0, $G83&lt;&gt; $G$7, $E83=0), 'I&amp;E Monthly'!AX83, CHOOSE(Timeline!AX$30,$J83,$K83,$L83 )*INDEX('I&amp;E Profiles'!AX$96:AX$180,$I83))</f>
        <v>0</v>
      </c>
      <c r="AY83" s="10" cm="1">
        <f t="array" ref="AY83">IF(OR(AY$4=0, $G83&lt;&gt; $G$7, $E83=0), 'I&amp;E Monthly'!AY83, CHOOSE(Timeline!AY$30,$J83,$K83,$L83 )*INDEX('I&amp;E Profiles'!AY$96:AY$180,$I83))</f>
        <v>0</v>
      </c>
      <c r="AZ83" s="10" cm="1">
        <f t="array" ref="AZ83">IF(OR(AZ$4=0, $G83&lt;&gt; $G$7, $E83=0), 'I&amp;E Monthly'!AZ83, CHOOSE(Timeline!AZ$30,$J83,$K83,$L83 )*INDEX('I&amp;E Profiles'!AZ$96:AZ$180,$I83))</f>
        <v>0</v>
      </c>
      <c r="BA83" s="10" cm="1">
        <f t="array" ref="BA83">IF(OR(BA$4=0, $G83&lt;&gt; $G$7, $E83=0), 'I&amp;E Monthly'!BA83, CHOOSE(Timeline!BA$30,$J83,$K83,$L83 )*INDEX('I&amp;E Profiles'!BA$96:BA$180,$I83))</f>
        <v>0</v>
      </c>
      <c r="BB83" s="10" cm="1">
        <f t="array" ref="BB83">IF(OR(BB$4=0, $G83&lt;&gt; $G$7, $E83=0), 'I&amp;E Monthly'!BB83, CHOOSE(Timeline!BB$30,$J83,$K83,$L83 )*INDEX('I&amp;E Profiles'!BB$96:BB$180,$I83))</f>
        <v>0</v>
      </c>
      <c r="BC83" s="10" cm="1">
        <f t="array" ref="BC83">IF(OR(BC$4=0, $G83&lt;&gt; $G$7, $E83=0), 'I&amp;E Monthly'!BC83, CHOOSE(Timeline!BC$30,$J83,$K83,$L83 )*INDEX('I&amp;E Profiles'!BC$96:BC$180,$I83))</f>
        <v>0</v>
      </c>
      <c r="BD83" s="10" cm="1">
        <f t="array" ref="BD83">IF(OR(BD$4=0, $G83&lt;&gt; $G$7, $E83=0), 'I&amp;E Monthly'!BD83, CHOOSE(Timeline!BD$30,$J83,$K83,$L83 )*INDEX('I&amp;E Profiles'!BD$96:BD$180,$I83))</f>
        <v>0</v>
      </c>
      <c r="BE83" s="10" cm="1">
        <f t="array" ref="BE83">IF(OR(BE$4=0, $G83&lt;&gt; $G$7, $E83=0), 'I&amp;E Monthly'!BE83, CHOOSE(Timeline!BE$30,$J83,$K83,$L83 )*INDEX('I&amp;E Profiles'!BE$96:BE$180,$I83))</f>
        <v>0</v>
      </c>
      <c r="BF83" s="10" cm="1">
        <f t="array" ref="BF83">IF(OR(BF$4=0, $G83&lt;&gt; $G$7, $E83=0), 'I&amp;E Monthly'!BF83, CHOOSE(Timeline!BF$30,$J83,$K83,$L83 )*INDEX('I&amp;E Profiles'!BF$96:BF$180,$I83))</f>
        <v>0</v>
      </c>
      <c r="BG83" s="10" cm="1">
        <f t="array" ref="BG83">IF(OR(BG$4=0, $G83&lt;&gt; $G$7, $E83=0), 'I&amp;E Monthly'!BG83, CHOOSE(Timeline!BG$30,$J83,$K83,$L83 )*INDEX('I&amp;E Profiles'!BG$96:BG$180,$I83))</f>
        <v>0</v>
      </c>
      <c r="BH83" s="10" cm="1">
        <f t="array" ref="BH83">IF(OR(BH$4=0, $G83&lt;&gt; $G$7, $E83=0), 'I&amp;E Monthly'!BH83, CHOOSE(Timeline!BH$30,$J83,$K83,$L83 )*INDEX('I&amp;E Profiles'!BH$96:BH$180,$I83))</f>
        <v>0</v>
      </c>
      <c r="BI83" s="10" cm="1">
        <f t="array" ref="BI83">IF(OR(BI$4=0, $G83&lt;&gt; $G$7, $E83=0), 'I&amp;E Monthly'!BI83, CHOOSE(Timeline!BI$30,$J83,$K83,$L83 )*INDEX('I&amp;E Profiles'!BI$96:BI$180,$I83))</f>
        <v>0</v>
      </c>
      <c r="BJ83" s="10" cm="1">
        <f t="array" ref="BJ83">IF(OR(BJ$4=0, $G83&lt;&gt; $G$7, $E83=0), 'I&amp;E Monthly'!BJ83, CHOOSE(Timeline!BJ$30,$J83,$K83,$L83 )*INDEX('I&amp;E Profiles'!BJ$96:BJ$180,$I83))</f>
        <v>0</v>
      </c>
      <c r="BX83" s="12">
        <f t="shared" si="93"/>
        <v>0</v>
      </c>
      <c r="BY83" s="10">
        <f t="shared" si="94"/>
        <v>0</v>
      </c>
      <c r="BZ83" s="10">
        <f t="shared" si="94"/>
        <v>0</v>
      </c>
      <c r="CA83" s="10">
        <f t="shared" si="94"/>
        <v>0</v>
      </c>
      <c r="CB83" s="12">
        <f>'I&amp;E Monthly'!CB83</f>
        <v>0</v>
      </c>
      <c r="CC83" s="12">
        <f>'I&amp;E Monthly'!CC83</f>
        <v>0</v>
      </c>
      <c r="CD83" s="12">
        <f>'I&amp;E Monthly'!CD83</f>
        <v>0</v>
      </c>
      <c r="CE83" s="12">
        <f>'I&amp;E Monthly'!CE83</f>
        <v>0</v>
      </c>
      <c r="CF83" s="12">
        <f>'I&amp;E Monthly'!CF83</f>
        <v>0</v>
      </c>
      <c r="CG83" s="12">
        <f>'I&amp;E Monthly'!CG83</f>
        <v>0</v>
      </c>
      <c r="CH83" s="12">
        <f>'I&amp;E Monthly'!CH83</f>
        <v>0</v>
      </c>
      <c r="CI83" s="12">
        <f>'I&amp;E Monthly'!CI83</f>
        <v>0</v>
      </c>
      <c r="CK83" s="11"/>
      <c r="CL83" s="221">
        <f t="shared" ca="1" si="95"/>
        <v>0</v>
      </c>
      <c r="CM83" s="11"/>
      <c r="CN83" s="7">
        <f t="shared" si="96"/>
        <v>0</v>
      </c>
      <c r="CO83" s="7" cm="1">
        <f t="array" ref="CO83">SUMPRODUCT(--NOT(ISNUMBER(W83:Y83)),--NOT(ISBLANK(W83:Y83)))</f>
        <v>0</v>
      </c>
      <c r="CP83" s="7" cm="1">
        <f t="array" ref="CP83">IF(E83="",0, IF(IFERROR(INDEX('I&amp;E Profiles'!$D$96:$D$180, $I83), "N/A")="N/A", 1, 0))</f>
        <v>0</v>
      </c>
      <c r="CQ83" s="7">
        <f t="shared" si="97"/>
        <v>0</v>
      </c>
      <c r="CS83" s="7">
        <f t="shared" si="98"/>
        <v>0</v>
      </c>
      <c r="CT83" s="7">
        <f t="shared" si="99"/>
        <v>0</v>
      </c>
      <c r="CU83" s="11"/>
      <c r="CV83" s="215">
        <f t="shared" si="100"/>
        <v>0</v>
      </c>
      <c r="CW83" s="215">
        <f t="shared" si="101"/>
        <v>0</v>
      </c>
      <c r="CX83" s="215">
        <f t="shared" si="102"/>
        <v>0</v>
      </c>
      <c r="CY83" s="215">
        <f t="shared" si="103"/>
        <v>0</v>
      </c>
      <c r="CZ83" s="215">
        <f t="shared" si="104"/>
        <v>0</v>
      </c>
      <c r="DA83" s="215">
        <f t="shared" si="105"/>
        <v>0</v>
      </c>
      <c r="DB83" s="215">
        <f t="shared" si="106"/>
        <v>0</v>
      </c>
      <c r="FN83" s="10" t="str">
        <f t="shared" si="107"/>
        <v>Farming</v>
      </c>
    </row>
    <row r="84" spans="1:170" x14ac:dyDescent="0.35">
      <c r="A84" s="220" cm="1">
        <f t="array" aca="1" ref="A84" ca="1">HYPERLINK(CONCATENATE("#",CELL("address",IF(MAX($CM84:$CU84)=0,A84,INDEX($CM84:$CU84,MATCH(1,$CM84:$CU84,0))))),MAX($CM84:$CU84))</f>
        <v>0</v>
      </c>
      <c r="C84" s="213" t="s">
        <v>535</v>
      </c>
      <c r="D84" s="1" t="s">
        <v>386</v>
      </c>
      <c r="E84" s="114"/>
      <c r="F84" s="79" t="str" cm="1">
        <f t="array" aca="1" ref="F84" ca="1">IF(E84="", "", HYPERLINK(CONCATENATE("#",CELL("address",INDEX('I&amp;E Profiles'!$D$9:$D$93,'I&amp;E Annual'!I84))),E84))</f>
        <v/>
      </c>
      <c r="G84" s="114"/>
      <c r="H84" t="s">
        <v>317</v>
      </c>
      <c r="I84" s="132" t="str">
        <f>IF(E84="", "", MATCH(E84, 'I&amp;E Profiles'!$D$96:$D$180,0))</f>
        <v/>
      </c>
      <c r="J84" s="133">
        <f>IF($G84=$G$7, W84,'I&amp;E Monthly'!W84)-SUMIFS('I&amp;E Monthly'!$AA84:$BJ84, 'I&amp;E Monthly'!$AA$3:$BJ$3, 'I&amp;E Annual'!W$3, 'I&amp;E Monthly'!$AA$4:$BJ$4, 0)</f>
        <v>0</v>
      </c>
      <c r="K84" s="133">
        <f>IF($G84=$G$7, X84,'I&amp;E Monthly'!X84)-SUMIFS('I&amp;E Monthly'!$AA84:$BJ84, 'I&amp;E Monthly'!$AA$3:$BJ$3, 'I&amp;E Annual'!X$3, 'I&amp;E Monthly'!$AA$4:$BJ$4, 0)</f>
        <v>0</v>
      </c>
      <c r="L84" s="133">
        <f>IF($G84=$G$7, Y84,'I&amp;E Monthly'!Y84)-SUMIFS('I&amp;E Monthly'!$AA84:$BJ84, 'I&amp;E Monthly'!$AA$3:$BJ$3, 'I&amp;E Annual'!Y$3, 'I&amp;E Monthly'!$AA$4:$BJ$4, 0)</f>
        <v>0</v>
      </c>
      <c r="Q84" s="2"/>
      <c r="V84" s="133">
        <f>'I&amp;E Monthly'!V84</f>
        <v>0</v>
      </c>
      <c r="W84" s="114"/>
      <c r="X84" s="131"/>
      <c r="Y84" s="131"/>
      <c r="AA84" s="10" cm="1">
        <f t="array" ref="AA84">IF(OR(AA$4=0, $G84&lt;&gt; $G$7, $E84=0), 'I&amp;E Monthly'!AA84, CHOOSE(Timeline!AA$30,$J84,$K84,$L84 )*INDEX('I&amp;E Profiles'!AA$96:AA$180,$I84))</f>
        <v>0</v>
      </c>
      <c r="AB84" s="10" cm="1">
        <f t="array" ref="AB84">IF(OR(AB$4=0, $G84&lt;&gt; $G$7, $E84=0), 'I&amp;E Monthly'!AB84, CHOOSE(Timeline!AB$30,$J84,$K84,$L84 )*INDEX('I&amp;E Profiles'!AB$96:AB$180,$I84))</f>
        <v>0</v>
      </c>
      <c r="AC84" s="10" cm="1">
        <f t="array" ref="AC84">IF(OR(AC$4=0, $G84&lt;&gt; $G$7, $E84=0), 'I&amp;E Monthly'!AC84, CHOOSE(Timeline!AC$30,$J84,$K84,$L84 )*INDEX('I&amp;E Profiles'!AC$96:AC$180,$I84))</f>
        <v>0</v>
      </c>
      <c r="AD84" s="10" cm="1">
        <f t="array" ref="AD84">IF(OR(AD$4=0, $G84&lt;&gt; $G$7, $E84=0), 'I&amp;E Monthly'!AD84, CHOOSE(Timeline!AD$30,$J84,$K84,$L84 )*INDEX('I&amp;E Profiles'!AD$96:AD$180,$I84))</f>
        <v>0</v>
      </c>
      <c r="AE84" s="10" cm="1">
        <f t="array" ref="AE84">IF(OR(AE$4=0, $G84&lt;&gt; $G$7, $E84=0), 'I&amp;E Monthly'!AE84, CHOOSE(Timeline!AE$30,$J84,$K84,$L84 )*INDEX('I&amp;E Profiles'!AE$96:AE$180,$I84))</f>
        <v>0</v>
      </c>
      <c r="AF84" s="10" cm="1">
        <f t="array" ref="AF84">IF(OR(AF$4=0, $G84&lt;&gt; $G$7, $E84=0), 'I&amp;E Monthly'!AF84, CHOOSE(Timeline!AF$30,$J84,$K84,$L84 )*INDEX('I&amp;E Profiles'!AF$96:AF$180,$I84))</f>
        <v>0</v>
      </c>
      <c r="AG84" s="10" cm="1">
        <f t="array" ref="AG84">IF(OR(AG$4=0, $G84&lt;&gt; $G$7, $E84=0), 'I&amp;E Monthly'!AG84, CHOOSE(Timeline!AG$30,$J84,$K84,$L84 )*INDEX('I&amp;E Profiles'!AG$96:AG$180,$I84))</f>
        <v>0</v>
      </c>
      <c r="AH84" s="10" cm="1">
        <f t="array" ref="AH84">IF(OR(AH$4=0, $G84&lt;&gt; $G$7, $E84=0), 'I&amp;E Monthly'!AH84, CHOOSE(Timeline!AH$30,$J84,$K84,$L84 )*INDEX('I&amp;E Profiles'!AH$96:AH$180,$I84))</f>
        <v>0</v>
      </c>
      <c r="AI84" s="10" cm="1">
        <f t="array" ref="AI84">IF(OR(AI$4=0, $G84&lt;&gt; $G$7, $E84=0), 'I&amp;E Monthly'!AI84, CHOOSE(Timeline!AI$30,$J84,$K84,$L84 )*INDEX('I&amp;E Profiles'!AI$96:AI$180,$I84))</f>
        <v>0</v>
      </c>
      <c r="AJ84" s="10" cm="1">
        <f t="array" ref="AJ84">IF(OR(AJ$4=0, $G84&lt;&gt; $G$7, $E84=0), 'I&amp;E Monthly'!AJ84, CHOOSE(Timeline!AJ$30,$J84,$K84,$L84 )*INDEX('I&amp;E Profiles'!AJ$96:AJ$180,$I84))</f>
        <v>0</v>
      </c>
      <c r="AK84" s="10" cm="1">
        <f t="array" ref="AK84">IF(OR(AK$4=0, $G84&lt;&gt; $G$7, $E84=0), 'I&amp;E Monthly'!AK84, CHOOSE(Timeline!AK$30,$J84,$K84,$L84 )*INDEX('I&amp;E Profiles'!AK$96:AK$180,$I84))</f>
        <v>0</v>
      </c>
      <c r="AL84" s="10" cm="1">
        <f t="array" ref="AL84">IF(OR(AL$4=0, $G84&lt;&gt; $G$7, $E84=0), 'I&amp;E Monthly'!AL84, CHOOSE(Timeline!AL$30,$J84,$K84,$L84 )*INDEX('I&amp;E Profiles'!AL$96:AL$180,$I84))</f>
        <v>0</v>
      </c>
      <c r="AM84" s="10" cm="1">
        <f t="array" ref="AM84">IF(OR(AM$4=0, $G84&lt;&gt; $G$7, $E84=0), 'I&amp;E Monthly'!AM84, CHOOSE(Timeline!AM$30,$J84,$K84,$L84 )*INDEX('I&amp;E Profiles'!AM$96:AM$180,$I84))</f>
        <v>0</v>
      </c>
      <c r="AN84" s="10" cm="1">
        <f t="array" ref="AN84">IF(OR(AN$4=0, $G84&lt;&gt; $G$7, $E84=0), 'I&amp;E Monthly'!AN84, CHOOSE(Timeline!AN$30,$J84,$K84,$L84 )*INDEX('I&amp;E Profiles'!AN$96:AN$180,$I84))</f>
        <v>0</v>
      </c>
      <c r="AO84" s="10" cm="1">
        <f t="array" ref="AO84">IF(OR(AO$4=0, $G84&lt;&gt; $G$7, $E84=0), 'I&amp;E Monthly'!AO84, CHOOSE(Timeline!AO$30,$J84,$K84,$L84 )*INDEX('I&amp;E Profiles'!AO$96:AO$180,$I84))</f>
        <v>0</v>
      </c>
      <c r="AP84" s="10" cm="1">
        <f t="array" ref="AP84">IF(OR(AP$4=0, $G84&lt;&gt; $G$7, $E84=0), 'I&amp;E Monthly'!AP84, CHOOSE(Timeline!AP$30,$J84,$K84,$L84 )*INDEX('I&amp;E Profiles'!AP$96:AP$180,$I84))</f>
        <v>0</v>
      </c>
      <c r="AQ84" s="10" cm="1">
        <f t="array" ref="AQ84">IF(OR(AQ$4=0, $G84&lt;&gt; $G$7, $E84=0), 'I&amp;E Monthly'!AQ84, CHOOSE(Timeline!AQ$30,$J84,$K84,$L84 )*INDEX('I&amp;E Profiles'!AQ$96:AQ$180,$I84))</f>
        <v>0</v>
      </c>
      <c r="AR84" s="10" cm="1">
        <f t="array" ref="AR84">IF(OR(AR$4=0, $G84&lt;&gt; $G$7, $E84=0), 'I&amp;E Monthly'!AR84, CHOOSE(Timeline!AR$30,$J84,$K84,$L84 )*INDEX('I&amp;E Profiles'!AR$96:AR$180,$I84))</f>
        <v>0</v>
      </c>
      <c r="AS84" s="10" cm="1">
        <f t="array" ref="AS84">IF(OR(AS$4=0, $G84&lt;&gt; $G$7, $E84=0), 'I&amp;E Monthly'!AS84, CHOOSE(Timeline!AS$30,$J84,$K84,$L84 )*INDEX('I&amp;E Profiles'!AS$96:AS$180,$I84))</f>
        <v>0</v>
      </c>
      <c r="AT84" s="10" cm="1">
        <f t="array" ref="AT84">IF(OR(AT$4=0, $G84&lt;&gt; $G$7, $E84=0), 'I&amp;E Monthly'!AT84, CHOOSE(Timeline!AT$30,$J84,$K84,$L84 )*INDEX('I&amp;E Profiles'!AT$96:AT$180,$I84))</f>
        <v>0</v>
      </c>
      <c r="AU84" s="10" cm="1">
        <f t="array" ref="AU84">IF(OR(AU$4=0, $G84&lt;&gt; $G$7, $E84=0), 'I&amp;E Monthly'!AU84, CHOOSE(Timeline!AU$30,$J84,$K84,$L84 )*INDEX('I&amp;E Profiles'!AU$96:AU$180,$I84))</f>
        <v>0</v>
      </c>
      <c r="AV84" s="10" cm="1">
        <f t="array" ref="AV84">IF(OR(AV$4=0, $G84&lt;&gt; $G$7, $E84=0), 'I&amp;E Monthly'!AV84, CHOOSE(Timeline!AV$30,$J84,$K84,$L84 )*INDEX('I&amp;E Profiles'!AV$96:AV$180,$I84))</f>
        <v>0</v>
      </c>
      <c r="AW84" s="10" cm="1">
        <f t="array" ref="AW84">IF(OR(AW$4=0, $G84&lt;&gt; $G$7, $E84=0), 'I&amp;E Monthly'!AW84, CHOOSE(Timeline!AW$30,$J84,$K84,$L84 )*INDEX('I&amp;E Profiles'!AW$96:AW$180,$I84))</f>
        <v>0</v>
      </c>
      <c r="AX84" s="10" cm="1">
        <f t="array" ref="AX84">IF(OR(AX$4=0, $G84&lt;&gt; $G$7, $E84=0), 'I&amp;E Monthly'!AX84, CHOOSE(Timeline!AX$30,$J84,$K84,$L84 )*INDEX('I&amp;E Profiles'!AX$96:AX$180,$I84))</f>
        <v>0</v>
      </c>
      <c r="AY84" s="10" cm="1">
        <f t="array" ref="AY84">IF(OR(AY$4=0, $G84&lt;&gt; $G$7, $E84=0), 'I&amp;E Monthly'!AY84, CHOOSE(Timeline!AY$30,$J84,$K84,$L84 )*INDEX('I&amp;E Profiles'!AY$96:AY$180,$I84))</f>
        <v>0</v>
      </c>
      <c r="AZ84" s="10" cm="1">
        <f t="array" ref="AZ84">IF(OR(AZ$4=0, $G84&lt;&gt; $G$7, $E84=0), 'I&amp;E Monthly'!AZ84, CHOOSE(Timeline!AZ$30,$J84,$K84,$L84 )*INDEX('I&amp;E Profiles'!AZ$96:AZ$180,$I84))</f>
        <v>0</v>
      </c>
      <c r="BA84" s="10" cm="1">
        <f t="array" ref="BA84">IF(OR(BA$4=0, $G84&lt;&gt; $G$7, $E84=0), 'I&amp;E Monthly'!BA84, CHOOSE(Timeline!BA$30,$J84,$K84,$L84 )*INDEX('I&amp;E Profiles'!BA$96:BA$180,$I84))</f>
        <v>0</v>
      </c>
      <c r="BB84" s="10" cm="1">
        <f t="array" ref="BB84">IF(OR(BB$4=0, $G84&lt;&gt; $G$7, $E84=0), 'I&amp;E Monthly'!BB84, CHOOSE(Timeline!BB$30,$J84,$K84,$L84 )*INDEX('I&amp;E Profiles'!BB$96:BB$180,$I84))</f>
        <v>0</v>
      </c>
      <c r="BC84" s="10" cm="1">
        <f t="array" ref="BC84">IF(OR(BC$4=0, $G84&lt;&gt; $G$7, $E84=0), 'I&amp;E Monthly'!BC84, CHOOSE(Timeline!BC$30,$J84,$K84,$L84 )*INDEX('I&amp;E Profiles'!BC$96:BC$180,$I84))</f>
        <v>0</v>
      </c>
      <c r="BD84" s="10" cm="1">
        <f t="array" ref="BD84">IF(OR(BD$4=0, $G84&lt;&gt; $G$7, $E84=0), 'I&amp;E Monthly'!BD84, CHOOSE(Timeline!BD$30,$J84,$K84,$L84 )*INDEX('I&amp;E Profiles'!BD$96:BD$180,$I84))</f>
        <v>0</v>
      </c>
      <c r="BE84" s="10" cm="1">
        <f t="array" ref="BE84">IF(OR(BE$4=0, $G84&lt;&gt; $G$7, $E84=0), 'I&amp;E Monthly'!BE84, CHOOSE(Timeline!BE$30,$J84,$K84,$L84 )*INDEX('I&amp;E Profiles'!BE$96:BE$180,$I84))</f>
        <v>0</v>
      </c>
      <c r="BF84" s="10" cm="1">
        <f t="array" ref="BF84">IF(OR(BF$4=0, $G84&lt;&gt; $G$7, $E84=0), 'I&amp;E Monthly'!BF84, CHOOSE(Timeline!BF$30,$J84,$K84,$L84 )*INDEX('I&amp;E Profiles'!BF$96:BF$180,$I84))</f>
        <v>0</v>
      </c>
      <c r="BG84" s="10" cm="1">
        <f t="array" ref="BG84">IF(OR(BG$4=0, $G84&lt;&gt; $G$7, $E84=0), 'I&amp;E Monthly'!BG84, CHOOSE(Timeline!BG$30,$J84,$K84,$L84 )*INDEX('I&amp;E Profiles'!BG$96:BG$180,$I84))</f>
        <v>0</v>
      </c>
      <c r="BH84" s="10" cm="1">
        <f t="array" ref="BH84">IF(OR(BH$4=0, $G84&lt;&gt; $G$7, $E84=0), 'I&amp;E Monthly'!BH84, CHOOSE(Timeline!BH$30,$J84,$K84,$L84 )*INDEX('I&amp;E Profiles'!BH$96:BH$180,$I84))</f>
        <v>0</v>
      </c>
      <c r="BI84" s="10" cm="1">
        <f t="array" ref="BI84">IF(OR(BI$4=0, $G84&lt;&gt; $G$7, $E84=0), 'I&amp;E Monthly'!BI84, CHOOSE(Timeline!BI$30,$J84,$K84,$L84 )*INDEX('I&amp;E Profiles'!BI$96:BI$180,$I84))</f>
        <v>0</v>
      </c>
      <c r="BJ84" s="10" cm="1">
        <f t="array" ref="BJ84">IF(OR(BJ$4=0, $G84&lt;&gt; $G$7, $E84=0), 'I&amp;E Monthly'!BJ84, CHOOSE(Timeline!BJ$30,$J84,$K84,$L84 )*INDEX('I&amp;E Profiles'!BJ$96:BJ$180,$I84))</f>
        <v>0</v>
      </c>
      <c r="BX84" s="12">
        <f t="shared" si="93"/>
        <v>0</v>
      </c>
      <c r="BY84" s="10">
        <f t="shared" si="94"/>
        <v>0</v>
      </c>
      <c r="BZ84" s="10">
        <f t="shared" si="94"/>
        <v>0</v>
      </c>
      <c r="CA84" s="10">
        <f t="shared" si="94"/>
        <v>0</v>
      </c>
      <c r="CB84" s="12">
        <f>'I&amp;E Monthly'!CB84</f>
        <v>0</v>
      </c>
      <c r="CC84" s="12">
        <f>'I&amp;E Monthly'!CC84</f>
        <v>0</v>
      </c>
      <c r="CD84" s="12">
        <f>'I&amp;E Monthly'!CD84</f>
        <v>0</v>
      </c>
      <c r="CE84" s="12">
        <f>'I&amp;E Monthly'!CE84</f>
        <v>0</v>
      </c>
      <c r="CF84" s="12">
        <f>'I&amp;E Monthly'!CF84</f>
        <v>0</v>
      </c>
      <c r="CG84" s="12">
        <f>'I&amp;E Monthly'!CG84</f>
        <v>0</v>
      </c>
      <c r="CH84" s="12">
        <f>'I&amp;E Monthly'!CH84</f>
        <v>0</v>
      </c>
      <c r="CI84" s="12">
        <f>'I&amp;E Monthly'!CI84</f>
        <v>0</v>
      </c>
      <c r="CK84" s="11"/>
      <c r="CL84" s="221">
        <f t="shared" ca="1" si="95"/>
        <v>0</v>
      </c>
      <c r="CM84" s="11"/>
      <c r="CN84" s="7">
        <f t="shared" si="96"/>
        <v>0</v>
      </c>
      <c r="CO84" s="7" cm="1">
        <f t="array" ref="CO84">SUMPRODUCT(--NOT(ISNUMBER(W84:Y84)),--NOT(ISBLANK(W84:Y84)))</f>
        <v>0</v>
      </c>
      <c r="CP84" s="7" cm="1">
        <f t="array" ref="CP84">IF(E84="",0, IF(IFERROR(INDEX('I&amp;E Profiles'!$D$96:$D$180, $I84), "N/A")="N/A", 1, 0))</f>
        <v>0</v>
      </c>
      <c r="CQ84" s="7">
        <f t="shared" si="97"/>
        <v>0</v>
      </c>
      <c r="CS84" s="7">
        <f t="shared" si="98"/>
        <v>0</v>
      </c>
      <c r="CT84" s="7">
        <f t="shared" si="99"/>
        <v>0</v>
      </c>
      <c r="CU84" s="11"/>
      <c r="CV84" s="215">
        <f t="shared" si="100"/>
        <v>0</v>
      </c>
      <c r="CW84" s="215">
        <f t="shared" si="101"/>
        <v>0</v>
      </c>
      <c r="CX84" s="215">
        <f t="shared" si="102"/>
        <v>0</v>
      </c>
      <c r="CY84" s="215">
        <f t="shared" si="103"/>
        <v>0</v>
      </c>
      <c r="CZ84" s="215">
        <f t="shared" si="104"/>
        <v>0</v>
      </c>
      <c r="DA84" s="215">
        <f t="shared" si="105"/>
        <v>0</v>
      </c>
      <c r="DB84" s="215">
        <f t="shared" si="106"/>
        <v>0</v>
      </c>
      <c r="FN84" s="10" t="str">
        <f t="shared" si="107"/>
        <v>Other commercial income</v>
      </c>
    </row>
    <row r="85" spans="1:170" x14ac:dyDescent="0.35">
      <c r="A85" s="220" cm="1">
        <f t="array" aca="1" ref="A85" ca="1">HYPERLINK(CONCATENATE("#",CELL("address",IF(MAX($CM85:$CU85)=0,A85,INDEX($CM85:$CU85,MATCH(1,$CM85:$CU85,0))))),MAX($CM85:$CU85))</f>
        <v>0</v>
      </c>
      <c r="C85" s="213" t="s">
        <v>536</v>
      </c>
      <c r="D85" s="24" t="s">
        <v>387</v>
      </c>
      <c r="Q85" s="2"/>
      <c r="V85" s="12">
        <f>SUM(V77:V84)</f>
        <v>0</v>
      </c>
      <c r="W85" s="12">
        <f>SUM(W77:W84)</f>
        <v>0</v>
      </c>
      <c r="X85" s="12">
        <f>SUM(X77:X84)</f>
        <v>0</v>
      </c>
      <c r="Y85" s="12">
        <f>SUM(Y77:Y84)</f>
        <v>0</v>
      </c>
      <c r="AA85" s="12">
        <f t="shared" ref="AA85:BJ85" si="108">SUM(AA77:AA84)</f>
        <v>0</v>
      </c>
      <c r="AB85" s="12">
        <f t="shared" si="108"/>
        <v>0</v>
      </c>
      <c r="AC85" s="12">
        <f t="shared" si="108"/>
        <v>0</v>
      </c>
      <c r="AD85" s="12">
        <f t="shared" si="108"/>
        <v>0</v>
      </c>
      <c r="AE85" s="12">
        <f t="shared" si="108"/>
        <v>0</v>
      </c>
      <c r="AF85" s="12">
        <f t="shared" si="108"/>
        <v>0</v>
      </c>
      <c r="AG85" s="12">
        <f t="shared" si="108"/>
        <v>0</v>
      </c>
      <c r="AH85" s="12">
        <f t="shared" si="108"/>
        <v>0</v>
      </c>
      <c r="AI85" s="12">
        <f t="shared" si="108"/>
        <v>0</v>
      </c>
      <c r="AJ85" s="12">
        <f t="shared" si="108"/>
        <v>0</v>
      </c>
      <c r="AK85" s="12">
        <f t="shared" si="108"/>
        <v>0</v>
      </c>
      <c r="AL85" s="12">
        <f t="shared" si="108"/>
        <v>0</v>
      </c>
      <c r="AM85" s="12">
        <f t="shared" si="108"/>
        <v>0</v>
      </c>
      <c r="AN85" s="12">
        <f t="shared" si="108"/>
        <v>0</v>
      </c>
      <c r="AO85" s="12">
        <f t="shared" si="108"/>
        <v>0</v>
      </c>
      <c r="AP85" s="12">
        <f t="shared" si="108"/>
        <v>0</v>
      </c>
      <c r="AQ85" s="12">
        <f t="shared" si="108"/>
        <v>0</v>
      </c>
      <c r="AR85" s="12">
        <f t="shared" si="108"/>
        <v>0</v>
      </c>
      <c r="AS85" s="12">
        <f t="shared" si="108"/>
        <v>0</v>
      </c>
      <c r="AT85" s="12">
        <f t="shared" si="108"/>
        <v>0</v>
      </c>
      <c r="AU85" s="12">
        <f t="shared" si="108"/>
        <v>0</v>
      </c>
      <c r="AV85" s="12">
        <f t="shared" si="108"/>
        <v>0</v>
      </c>
      <c r="AW85" s="12">
        <f t="shared" si="108"/>
        <v>0</v>
      </c>
      <c r="AX85" s="12">
        <f t="shared" si="108"/>
        <v>0</v>
      </c>
      <c r="AY85" s="12">
        <f t="shared" si="108"/>
        <v>0</v>
      </c>
      <c r="AZ85" s="12">
        <f t="shared" si="108"/>
        <v>0</v>
      </c>
      <c r="BA85" s="12">
        <f t="shared" si="108"/>
        <v>0</v>
      </c>
      <c r="BB85" s="12">
        <f t="shared" si="108"/>
        <v>0</v>
      </c>
      <c r="BC85" s="12">
        <f t="shared" si="108"/>
        <v>0</v>
      </c>
      <c r="BD85" s="12">
        <f t="shared" si="108"/>
        <v>0</v>
      </c>
      <c r="BE85" s="12">
        <f t="shared" si="108"/>
        <v>0</v>
      </c>
      <c r="BF85" s="12">
        <f t="shared" si="108"/>
        <v>0</v>
      </c>
      <c r="BG85" s="12">
        <f t="shared" si="108"/>
        <v>0</v>
      </c>
      <c r="BH85" s="12">
        <f t="shared" si="108"/>
        <v>0</v>
      </c>
      <c r="BI85" s="12">
        <f t="shared" si="108"/>
        <v>0</v>
      </c>
      <c r="BJ85" s="12">
        <f t="shared" si="108"/>
        <v>0</v>
      </c>
      <c r="BX85" s="12">
        <f t="shared" ref="BX85:CI85" si="109">SUM(BX77:BX84)</f>
        <v>0</v>
      </c>
      <c r="BY85" s="12">
        <f t="shared" si="109"/>
        <v>0</v>
      </c>
      <c r="BZ85" s="12">
        <f t="shared" si="109"/>
        <v>0</v>
      </c>
      <c r="CA85" s="12">
        <f t="shared" si="109"/>
        <v>0</v>
      </c>
      <c r="CB85" s="12">
        <f t="shared" si="109"/>
        <v>0</v>
      </c>
      <c r="CC85" s="12">
        <f t="shared" si="109"/>
        <v>0</v>
      </c>
      <c r="CD85" s="12">
        <f t="shared" si="109"/>
        <v>0</v>
      </c>
      <c r="CE85" s="12">
        <f t="shared" si="109"/>
        <v>0</v>
      </c>
      <c r="CF85" s="12">
        <f t="shared" si="109"/>
        <v>0</v>
      </c>
      <c r="CG85" s="12">
        <f t="shared" si="109"/>
        <v>0</v>
      </c>
      <c r="CH85" s="12">
        <f t="shared" si="109"/>
        <v>0</v>
      </c>
      <c r="CI85" s="12">
        <f t="shared" si="109"/>
        <v>0</v>
      </c>
      <c r="CK85" s="11"/>
      <c r="CL85" s="221">
        <f t="shared" ca="1" si="95"/>
        <v>0</v>
      </c>
      <c r="CM85" s="11"/>
      <c r="CQ85" s="7">
        <f t="shared" si="97"/>
        <v>0</v>
      </c>
      <c r="CS85" s="7">
        <f t="shared" si="98"/>
        <v>0</v>
      </c>
      <c r="CT85" s="7">
        <f t="shared" si="99"/>
        <v>0</v>
      </c>
      <c r="CU85" s="11"/>
      <c r="CV85" s="215">
        <f t="shared" si="100"/>
        <v>0</v>
      </c>
      <c r="CW85" s="215">
        <f t="shared" si="101"/>
        <v>0</v>
      </c>
      <c r="CX85" s="215">
        <f t="shared" si="102"/>
        <v>0</v>
      </c>
      <c r="CY85" s="215">
        <f t="shared" si="103"/>
        <v>0</v>
      </c>
      <c r="CZ85" s="215">
        <f t="shared" si="104"/>
        <v>0</v>
      </c>
      <c r="DA85" s="215">
        <f t="shared" si="105"/>
        <v>0</v>
      </c>
      <c r="DB85" s="215">
        <f t="shared" si="106"/>
        <v>0</v>
      </c>
      <c r="FN85" s="10" t="str">
        <f t="shared" si="107"/>
        <v>Total commercial income</v>
      </c>
    </row>
    <row r="86" spans="1:170" ht="6.75" customHeight="1" x14ac:dyDescent="0.35">
      <c r="C86" s="213"/>
      <c r="Q86" s="2"/>
      <c r="BY86" s="6"/>
      <c r="CK86" s="35"/>
      <c r="CM86" s="35"/>
      <c r="CU86" s="35"/>
      <c r="FN86" s="10" t="str">
        <f t="shared" si="107"/>
        <v/>
      </c>
    </row>
    <row r="87" spans="1:170" x14ac:dyDescent="0.35">
      <c r="B87" s="5"/>
      <c r="C87" s="213"/>
      <c r="D87" s="24" t="s">
        <v>388</v>
      </c>
      <c r="E87" s="5"/>
      <c r="Q87" s="2"/>
      <c r="CK87" s="11"/>
      <c r="CM87" s="11"/>
      <c r="CU87" s="11"/>
      <c r="FN87" s="10" t="str">
        <f t="shared" si="107"/>
        <v/>
      </c>
    </row>
    <row r="88" spans="1:170" ht="29" x14ac:dyDescent="0.35">
      <c r="A88" s="220" cm="1">
        <f t="array" aca="1" ref="A88" ca="1">HYPERLINK(CONCATENATE("#",CELL("address",IF(MAX($CM88:$CU88)=0,A88,INDEX($CM88:$CU88,MATCH(1,$CM88:$CU88,0))))),MAX($CM88:$CU88))</f>
        <v>0</v>
      </c>
      <c r="B88" s="126" t="s">
        <v>122</v>
      </c>
      <c r="C88" s="213" t="s">
        <v>537</v>
      </c>
      <c r="D88" s="1" t="s">
        <v>389</v>
      </c>
      <c r="E88" s="114"/>
      <c r="F88" s="79" t="str" cm="1">
        <f t="array" aca="1" ref="F88" ca="1">IF(E88="", "", HYPERLINK(CONCATENATE("#",CELL("address",INDEX('I&amp;E Profiles'!$D$9:$D$93,'I&amp;E Annual'!I88))),E88))</f>
        <v/>
      </c>
      <c r="G88" s="114"/>
      <c r="H88" t="s">
        <v>317</v>
      </c>
      <c r="I88" s="132" t="str">
        <f>IF(E88="", "", MATCH(E88, 'I&amp;E Profiles'!$D$96:$D$180,0))</f>
        <v/>
      </c>
      <c r="J88" s="133">
        <f>IF($G88=$G$7, W88,'I&amp;E Monthly'!W88)-SUMIFS('I&amp;E Monthly'!$AA88:$BJ88, 'I&amp;E Monthly'!$AA$3:$BJ$3, 'I&amp;E Annual'!W$3, 'I&amp;E Monthly'!$AA$4:$BJ$4, 0)</f>
        <v>0</v>
      </c>
      <c r="K88" s="133">
        <f>IF($G88=$G$7, X88,'I&amp;E Monthly'!X88)-SUMIFS('I&amp;E Monthly'!$AA88:$BJ88, 'I&amp;E Monthly'!$AA$3:$BJ$3, 'I&amp;E Annual'!X$3, 'I&amp;E Monthly'!$AA$4:$BJ$4, 0)</f>
        <v>0</v>
      </c>
      <c r="L88" s="133">
        <f>IF($G88=$G$7, Y88,'I&amp;E Monthly'!Y88)-SUMIFS('I&amp;E Monthly'!$AA88:$BJ88, 'I&amp;E Monthly'!$AA$3:$BJ$3, 'I&amp;E Annual'!Y$3, 'I&amp;E Monthly'!$AA$4:$BJ$4, 0)</f>
        <v>0</v>
      </c>
      <c r="Q88" s="2"/>
      <c r="V88" s="133">
        <f>'I&amp;E Monthly'!V88</f>
        <v>0</v>
      </c>
      <c r="W88" s="114"/>
      <c r="X88" s="131"/>
      <c r="Y88" s="131"/>
      <c r="AA88" s="10" cm="1">
        <f t="array" ref="AA88">IF(OR(AA$4=0, $G88&lt;&gt; $G$7, $E88=0), 'I&amp;E Monthly'!AA88, CHOOSE(Timeline!AA$30,$J88,$K88,$L88 )*INDEX('I&amp;E Profiles'!AA$96:AA$180,$I88))</f>
        <v>0</v>
      </c>
      <c r="AB88" s="10" cm="1">
        <f t="array" ref="AB88">IF(OR(AB$4=0, $G88&lt;&gt; $G$7, $E88=0), 'I&amp;E Monthly'!AB88, CHOOSE(Timeline!AB$30,$J88,$K88,$L88 )*INDEX('I&amp;E Profiles'!AB$96:AB$180,$I88))</f>
        <v>0</v>
      </c>
      <c r="AC88" s="10" cm="1">
        <f t="array" ref="AC88">IF(OR(AC$4=0, $G88&lt;&gt; $G$7, $E88=0), 'I&amp;E Monthly'!AC88, CHOOSE(Timeline!AC$30,$J88,$K88,$L88 )*INDEX('I&amp;E Profiles'!AC$96:AC$180,$I88))</f>
        <v>0</v>
      </c>
      <c r="AD88" s="10" cm="1">
        <f t="array" ref="AD88">IF(OR(AD$4=0, $G88&lt;&gt; $G$7, $E88=0), 'I&amp;E Monthly'!AD88, CHOOSE(Timeline!AD$30,$J88,$K88,$L88 )*INDEX('I&amp;E Profiles'!AD$96:AD$180,$I88))</f>
        <v>0</v>
      </c>
      <c r="AE88" s="10" cm="1">
        <f t="array" ref="AE88">IF(OR(AE$4=0, $G88&lt;&gt; $G$7, $E88=0), 'I&amp;E Monthly'!AE88, CHOOSE(Timeline!AE$30,$J88,$K88,$L88 )*INDEX('I&amp;E Profiles'!AE$96:AE$180,$I88))</f>
        <v>0</v>
      </c>
      <c r="AF88" s="10" cm="1">
        <f t="array" ref="AF88">IF(OR(AF$4=0, $G88&lt;&gt; $G$7, $E88=0), 'I&amp;E Monthly'!AF88, CHOOSE(Timeline!AF$30,$J88,$K88,$L88 )*INDEX('I&amp;E Profiles'!AF$96:AF$180,$I88))</f>
        <v>0</v>
      </c>
      <c r="AG88" s="10" cm="1">
        <f t="array" ref="AG88">IF(OR(AG$4=0, $G88&lt;&gt; $G$7, $E88=0), 'I&amp;E Monthly'!AG88, CHOOSE(Timeline!AG$30,$J88,$K88,$L88 )*INDEX('I&amp;E Profiles'!AG$96:AG$180,$I88))</f>
        <v>0</v>
      </c>
      <c r="AH88" s="10" cm="1">
        <f t="array" ref="AH88">IF(OR(AH$4=0, $G88&lt;&gt; $G$7, $E88=0), 'I&amp;E Monthly'!AH88, CHOOSE(Timeline!AH$30,$J88,$K88,$L88 )*INDEX('I&amp;E Profiles'!AH$96:AH$180,$I88))</f>
        <v>0</v>
      </c>
      <c r="AI88" s="10" cm="1">
        <f t="array" ref="AI88">IF(OR(AI$4=0, $G88&lt;&gt; $G$7, $E88=0), 'I&amp;E Monthly'!AI88, CHOOSE(Timeline!AI$30,$J88,$K88,$L88 )*INDEX('I&amp;E Profiles'!AI$96:AI$180,$I88))</f>
        <v>0</v>
      </c>
      <c r="AJ88" s="10" cm="1">
        <f t="array" ref="AJ88">IF(OR(AJ$4=0, $G88&lt;&gt; $G$7, $E88=0), 'I&amp;E Monthly'!AJ88, CHOOSE(Timeline!AJ$30,$J88,$K88,$L88 )*INDEX('I&amp;E Profiles'!AJ$96:AJ$180,$I88))</f>
        <v>0</v>
      </c>
      <c r="AK88" s="10" cm="1">
        <f t="array" ref="AK88">IF(OR(AK$4=0, $G88&lt;&gt; $G$7, $E88=0), 'I&amp;E Monthly'!AK88, CHOOSE(Timeline!AK$30,$J88,$K88,$L88 )*INDEX('I&amp;E Profiles'!AK$96:AK$180,$I88))</f>
        <v>0</v>
      </c>
      <c r="AL88" s="10" cm="1">
        <f t="array" ref="AL88">IF(OR(AL$4=0, $G88&lt;&gt; $G$7, $E88=0), 'I&amp;E Monthly'!AL88, CHOOSE(Timeline!AL$30,$J88,$K88,$L88 )*INDEX('I&amp;E Profiles'!AL$96:AL$180,$I88))</f>
        <v>0</v>
      </c>
      <c r="AM88" s="10" cm="1">
        <f t="array" ref="AM88">IF(OR(AM$4=0, $G88&lt;&gt; $G$7, $E88=0), 'I&amp;E Monthly'!AM88, CHOOSE(Timeline!AM$30,$J88,$K88,$L88 )*INDEX('I&amp;E Profiles'!AM$96:AM$180,$I88))</f>
        <v>0</v>
      </c>
      <c r="AN88" s="10" cm="1">
        <f t="array" ref="AN88">IF(OR(AN$4=0, $G88&lt;&gt; $G$7, $E88=0), 'I&amp;E Monthly'!AN88, CHOOSE(Timeline!AN$30,$J88,$K88,$L88 )*INDEX('I&amp;E Profiles'!AN$96:AN$180,$I88))</f>
        <v>0</v>
      </c>
      <c r="AO88" s="10" cm="1">
        <f t="array" ref="AO88">IF(OR(AO$4=0, $G88&lt;&gt; $G$7, $E88=0), 'I&amp;E Monthly'!AO88, CHOOSE(Timeline!AO$30,$J88,$K88,$L88 )*INDEX('I&amp;E Profiles'!AO$96:AO$180,$I88))</f>
        <v>0</v>
      </c>
      <c r="AP88" s="10" cm="1">
        <f t="array" ref="AP88">IF(OR(AP$4=0, $G88&lt;&gt; $G$7, $E88=0), 'I&amp;E Monthly'!AP88, CHOOSE(Timeline!AP$30,$J88,$K88,$L88 )*INDEX('I&amp;E Profiles'!AP$96:AP$180,$I88))</f>
        <v>0</v>
      </c>
      <c r="AQ88" s="10" cm="1">
        <f t="array" ref="AQ88">IF(OR(AQ$4=0, $G88&lt;&gt; $G$7, $E88=0), 'I&amp;E Monthly'!AQ88, CHOOSE(Timeline!AQ$30,$J88,$K88,$L88 )*INDEX('I&amp;E Profiles'!AQ$96:AQ$180,$I88))</f>
        <v>0</v>
      </c>
      <c r="AR88" s="10" cm="1">
        <f t="array" ref="AR88">IF(OR(AR$4=0, $G88&lt;&gt; $G$7, $E88=0), 'I&amp;E Monthly'!AR88, CHOOSE(Timeline!AR$30,$J88,$K88,$L88 )*INDEX('I&amp;E Profiles'!AR$96:AR$180,$I88))</f>
        <v>0</v>
      </c>
      <c r="AS88" s="10" cm="1">
        <f t="array" ref="AS88">IF(OR(AS$4=0, $G88&lt;&gt; $G$7, $E88=0), 'I&amp;E Monthly'!AS88, CHOOSE(Timeline!AS$30,$J88,$K88,$L88 )*INDEX('I&amp;E Profiles'!AS$96:AS$180,$I88))</f>
        <v>0</v>
      </c>
      <c r="AT88" s="10" cm="1">
        <f t="array" ref="AT88">IF(OR(AT$4=0, $G88&lt;&gt; $G$7, $E88=0), 'I&amp;E Monthly'!AT88, CHOOSE(Timeline!AT$30,$J88,$K88,$L88 )*INDEX('I&amp;E Profiles'!AT$96:AT$180,$I88))</f>
        <v>0</v>
      </c>
      <c r="AU88" s="10" cm="1">
        <f t="array" ref="AU88">IF(OR(AU$4=0, $G88&lt;&gt; $G$7, $E88=0), 'I&amp;E Monthly'!AU88, CHOOSE(Timeline!AU$30,$J88,$K88,$L88 )*INDEX('I&amp;E Profiles'!AU$96:AU$180,$I88))</f>
        <v>0</v>
      </c>
      <c r="AV88" s="10" cm="1">
        <f t="array" ref="AV88">IF(OR(AV$4=0, $G88&lt;&gt; $G$7, $E88=0), 'I&amp;E Monthly'!AV88, CHOOSE(Timeline!AV$30,$J88,$K88,$L88 )*INDEX('I&amp;E Profiles'!AV$96:AV$180,$I88))</f>
        <v>0</v>
      </c>
      <c r="AW88" s="10" cm="1">
        <f t="array" ref="AW88">IF(OR(AW$4=0, $G88&lt;&gt; $G$7, $E88=0), 'I&amp;E Monthly'!AW88, CHOOSE(Timeline!AW$30,$J88,$K88,$L88 )*INDEX('I&amp;E Profiles'!AW$96:AW$180,$I88))</f>
        <v>0</v>
      </c>
      <c r="AX88" s="10" cm="1">
        <f t="array" ref="AX88">IF(OR(AX$4=0, $G88&lt;&gt; $G$7, $E88=0), 'I&amp;E Monthly'!AX88, CHOOSE(Timeline!AX$30,$J88,$K88,$L88 )*INDEX('I&amp;E Profiles'!AX$96:AX$180,$I88))</f>
        <v>0</v>
      </c>
      <c r="AY88" s="10" cm="1">
        <f t="array" ref="AY88">IF(OR(AY$4=0, $G88&lt;&gt; $G$7, $E88=0), 'I&amp;E Monthly'!AY88, CHOOSE(Timeline!AY$30,$J88,$K88,$L88 )*INDEX('I&amp;E Profiles'!AY$96:AY$180,$I88))</f>
        <v>0</v>
      </c>
      <c r="AZ88" s="10" cm="1">
        <f t="array" ref="AZ88">IF(OR(AZ$4=0, $G88&lt;&gt; $G$7, $E88=0), 'I&amp;E Monthly'!AZ88, CHOOSE(Timeline!AZ$30,$J88,$K88,$L88 )*INDEX('I&amp;E Profiles'!AZ$96:AZ$180,$I88))</f>
        <v>0</v>
      </c>
      <c r="BA88" s="10" cm="1">
        <f t="array" ref="BA88">IF(OR(BA$4=0, $G88&lt;&gt; $G$7, $E88=0), 'I&amp;E Monthly'!BA88, CHOOSE(Timeline!BA$30,$J88,$K88,$L88 )*INDEX('I&amp;E Profiles'!BA$96:BA$180,$I88))</f>
        <v>0</v>
      </c>
      <c r="BB88" s="10" cm="1">
        <f t="array" ref="BB88">IF(OR(BB$4=0, $G88&lt;&gt; $G$7, $E88=0), 'I&amp;E Monthly'!BB88, CHOOSE(Timeline!BB$30,$J88,$K88,$L88 )*INDEX('I&amp;E Profiles'!BB$96:BB$180,$I88))</f>
        <v>0</v>
      </c>
      <c r="BC88" s="10" cm="1">
        <f t="array" ref="BC88">IF(OR(BC$4=0, $G88&lt;&gt; $G$7, $E88=0), 'I&amp;E Monthly'!BC88, CHOOSE(Timeline!BC$30,$J88,$K88,$L88 )*INDEX('I&amp;E Profiles'!BC$96:BC$180,$I88))</f>
        <v>0</v>
      </c>
      <c r="BD88" s="10" cm="1">
        <f t="array" ref="BD88">IF(OR(BD$4=0, $G88&lt;&gt; $G$7, $E88=0), 'I&amp;E Monthly'!BD88, CHOOSE(Timeline!BD$30,$J88,$K88,$L88 )*INDEX('I&amp;E Profiles'!BD$96:BD$180,$I88))</f>
        <v>0</v>
      </c>
      <c r="BE88" s="10" cm="1">
        <f t="array" ref="BE88">IF(OR(BE$4=0, $G88&lt;&gt; $G$7, $E88=0), 'I&amp;E Monthly'!BE88, CHOOSE(Timeline!BE$30,$J88,$K88,$L88 )*INDEX('I&amp;E Profiles'!BE$96:BE$180,$I88))</f>
        <v>0</v>
      </c>
      <c r="BF88" s="10" cm="1">
        <f t="array" ref="BF88">IF(OR(BF$4=0, $G88&lt;&gt; $G$7, $E88=0), 'I&amp;E Monthly'!BF88, CHOOSE(Timeline!BF$30,$J88,$K88,$L88 )*INDEX('I&amp;E Profiles'!BF$96:BF$180,$I88))</f>
        <v>0</v>
      </c>
      <c r="BG88" s="10" cm="1">
        <f t="array" ref="BG88">IF(OR(BG$4=0, $G88&lt;&gt; $G$7, $E88=0), 'I&amp;E Monthly'!BG88, CHOOSE(Timeline!BG$30,$J88,$K88,$L88 )*INDEX('I&amp;E Profiles'!BG$96:BG$180,$I88))</f>
        <v>0</v>
      </c>
      <c r="BH88" s="10" cm="1">
        <f t="array" ref="BH88">IF(OR(BH$4=0, $G88&lt;&gt; $G$7, $E88=0), 'I&amp;E Monthly'!BH88, CHOOSE(Timeline!BH$30,$J88,$K88,$L88 )*INDEX('I&amp;E Profiles'!BH$96:BH$180,$I88))</f>
        <v>0</v>
      </c>
      <c r="BI88" s="10" cm="1">
        <f t="array" ref="BI88">IF(OR(BI$4=0, $G88&lt;&gt; $G$7, $E88=0), 'I&amp;E Monthly'!BI88, CHOOSE(Timeline!BI$30,$J88,$K88,$L88 )*INDEX('I&amp;E Profiles'!BI$96:BI$180,$I88))</f>
        <v>0</v>
      </c>
      <c r="BJ88" s="10" cm="1">
        <f t="array" ref="BJ88">IF(OR(BJ$4=0, $G88&lt;&gt; $G$7, $E88=0), 'I&amp;E Monthly'!BJ88, CHOOSE(Timeline!BJ$30,$J88,$K88,$L88 )*INDEX('I&amp;E Profiles'!BJ$96:BJ$180,$I88))</f>
        <v>0</v>
      </c>
      <c r="BX88" s="12">
        <f>V88</f>
        <v>0</v>
      </c>
      <c r="BY88" s="10">
        <f t="shared" ref="BY88:CA89" si="110">SUMIFS($AA88:$BJ88, $AA$3:$BJ$3,BY$3)</f>
        <v>0</v>
      </c>
      <c r="BZ88" s="10">
        <f t="shared" si="110"/>
        <v>0</v>
      </c>
      <c r="CA88" s="10">
        <f t="shared" si="110"/>
        <v>0</v>
      </c>
      <c r="CB88" s="12">
        <f>'I&amp;E Monthly'!CB88</f>
        <v>0</v>
      </c>
      <c r="CC88" s="12">
        <f>'I&amp;E Monthly'!CC88</f>
        <v>0</v>
      </c>
      <c r="CD88" s="12">
        <f>'I&amp;E Monthly'!CD88</f>
        <v>0</v>
      </c>
      <c r="CE88" s="12">
        <f>'I&amp;E Monthly'!CE88</f>
        <v>0</v>
      </c>
      <c r="CF88" s="12">
        <f>'I&amp;E Monthly'!CF88</f>
        <v>0</v>
      </c>
      <c r="CG88" s="12">
        <f>'I&amp;E Monthly'!CG88</f>
        <v>0</v>
      </c>
      <c r="CH88" s="12">
        <f>'I&amp;E Monthly'!CH88</f>
        <v>0</v>
      </c>
      <c r="CI88" s="12">
        <f>'I&amp;E Monthly'!CI88</f>
        <v>0</v>
      </c>
      <c r="CK88" s="11"/>
      <c r="CL88" s="221">
        <f ca="1">IF(MIN($V88:$CI88)&lt;0, 1, 0)*$I$7</f>
        <v>0</v>
      </c>
      <c r="CM88" s="11"/>
      <c r="CN88" s="7">
        <f>IF(AND($G88=$G$7,$E88=""), 1, 0)</f>
        <v>0</v>
      </c>
      <c r="CO88" s="7" cm="1">
        <f t="array" ref="CO88">SUMPRODUCT(--NOT(ISNUMBER(W88:Y88)),--NOT(ISBLANK(W88:Y88)))</f>
        <v>0</v>
      </c>
      <c r="CP88" s="7" cm="1">
        <f t="array" ref="CP88">IF(E88="",0, IF(IFERROR(INDEX('I&amp;E Profiles'!$D$96:$D$180, $I88), "N/A")="N/A", 1, 0))</f>
        <v>0</v>
      </c>
      <c r="CQ88" s="7">
        <f>IF(SUM($CV88:$CX88)=0, 0, 1)</f>
        <v>0</v>
      </c>
      <c r="CS88" s="7">
        <f>IF(SUM($CY88:$DA88)=0, 0, 1)</f>
        <v>0</v>
      </c>
      <c r="CT88" s="7">
        <f>IF(DB88=0, 0, 1)</f>
        <v>0</v>
      </c>
      <c r="CU88" s="11"/>
      <c r="CV88" s="215">
        <f t="shared" ref="CV88:CX90" si="111">IF($G88=$G$7, ROUND(W88-SUMIFS($AA88:$BJ88, $AA$3:$BJ$3, W$3), rounding), 0)</f>
        <v>0</v>
      </c>
      <c r="CW88" s="215">
        <f t="shared" si="111"/>
        <v>0</v>
      </c>
      <c r="CX88" s="215">
        <f t="shared" si="111"/>
        <v>0</v>
      </c>
      <c r="CY88" s="215">
        <f>ROUND($BY88-SUMIFS($AA88:$BJ88, $AA$3:$BJ$3, $BY$3), rounding)</f>
        <v>0</v>
      </c>
      <c r="CZ88" s="215">
        <f>ROUND($BZ88-SUMIFS($AA88:$BJ88, $AA$3:$BJ$3, $BZ$3), rounding)</f>
        <v>0</v>
      </c>
      <c r="DA88" s="215">
        <f>ROUND($CA88-SUMIFS($AA88:$BJ88, $AA$3:$BJ$3, $CA$3), rounding)</f>
        <v>0</v>
      </c>
      <c r="DB88" s="215">
        <f>ROUND($V88-$BX88, rounding)</f>
        <v>0</v>
      </c>
      <c r="FN88" s="10" t="str">
        <f t="shared" si="107"/>
        <v>Other income from non-learning activities incl. VAT recovered</v>
      </c>
    </row>
    <row r="89" spans="1:170" x14ac:dyDescent="0.35">
      <c r="A89" s="220" cm="1">
        <f t="array" aca="1" ref="A89" ca="1">HYPERLINK(CONCATENATE("#",CELL("address",IF(MAX($CM89:$CU89)=0,A89,INDEX($CM89:$CU89,MATCH(1,$CM89:$CU89,0))))),MAX($CM89:$CU89))</f>
        <v>0</v>
      </c>
      <c r="B89" s="85" t="s">
        <v>122</v>
      </c>
      <c r="C89" s="213" t="s">
        <v>538</v>
      </c>
      <c r="D89" s="1" t="s">
        <v>390</v>
      </c>
      <c r="E89" s="114"/>
      <c r="F89" s="79" t="str" cm="1">
        <f t="array" aca="1" ref="F89" ca="1">IF(E89="", "", HYPERLINK(CONCATENATE("#",CELL("address",INDEX('I&amp;E Profiles'!$D$9:$D$93,'I&amp;E Annual'!I89))),E89))</f>
        <v/>
      </c>
      <c r="G89" s="114"/>
      <c r="H89" t="s">
        <v>317</v>
      </c>
      <c r="I89" s="132" t="str">
        <f>IF(E89="", "", MATCH(E89, 'I&amp;E Profiles'!$D$96:$D$180,0))</f>
        <v/>
      </c>
      <c r="J89" s="133">
        <f>IF($G89=$G$7, W89,'I&amp;E Monthly'!W89)-SUMIFS('I&amp;E Monthly'!$AA89:$BJ89, 'I&amp;E Monthly'!$AA$3:$BJ$3, 'I&amp;E Annual'!W$3, 'I&amp;E Monthly'!$AA$4:$BJ$4, 0)</f>
        <v>0</v>
      </c>
      <c r="K89" s="133">
        <f>IF($G89=$G$7, X89,'I&amp;E Monthly'!X89)-SUMIFS('I&amp;E Monthly'!$AA89:$BJ89, 'I&amp;E Monthly'!$AA$3:$BJ$3, 'I&amp;E Annual'!X$3, 'I&amp;E Monthly'!$AA$4:$BJ$4, 0)</f>
        <v>0</v>
      </c>
      <c r="L89" s="133">
        <f>IF($G89=$G$7, Y89,'I&amp;E Monthly'!Y89)-SUMIFS('I&amp;E Monthly'!$AA89:$BJ89, 'I&amp;E Monthly'!$AA$3:$BJ$3, 'I&amp;E Annual'!Y$3, 'I&amp;E Monthly'!$AA$4:$BJ$4, 0)</f>
        <v>0</v>
      </c>
      <c r="Q89" s="2"/>
      <c r="V89" s="133">
        <f>'I&amp;E Monthly'!V89</f>
        <v>0</v>
      </c>
      <c r="W89" s="114"/>
      <c r="X89" s="131"/>
      <c r="Y89" s="131"/>
      <c r="AA89" s="10" cm="1">
        <f t="array" ref="AA89">IF(OR(AA$4=0, $G89&lt;&gt; $G$7, $E89=0), 'I&amp;E Monthly'!AA89, CHOOSE(Timeline!AA$30,$J89,$K89,$L89 )*INDEX('I&amp;E Profiles'!AA$96:AA$180,$I89))</f>
        <v>0</v>
      </c>
      <c r="AB89" s="10" cm="1">
        <f t="array" ref="AB89">IF(OR(AB$4=0, $G89&lt;&gt; $G$7, $E89=0), 'I&amp;E Monthly'!AB89, CHOOSE(Timeline!AB$30,$J89,$K89,$L89 )*INDEX('I&amp;E Profiles'!AB$96:AB$180,$I89))</f>
        <v>0</v>
      </c>
      <c r="AC89" s="10" cm="1">
        <f t="array" ref="AC89">IF(OR(AC$4=0, $G89&lt;&gt; $G$7, $E89=0), 'I&amp;E Monthly'!AC89, CHOOSE(Timeline!AC$30,$J89,$K89,$L89 )*INDEX('I&amp;E Profiles'!AC$96:AC$180,$I89))</f>
        <v>0</v>
      </c>
      <c r="AD89" s="10" cm="1">
        <f t="array" ref="AD89">IF(OR(AD$4=0, $G89&lt;&gt; $G$7, $E89=0), 'I&amp;E Monthly'!AD89, CHOOSE(Timeline!AD$30,$J89,$K89,$L89 )*INDEX('I&amp;E Profiles'!AD$96:AD$180,$I89))</f>
        <v>0</v>
      </c>
      <c r="AE89" s="10" cm="1">
        <f t="array" ref="AE89">IF(OR(AE$4=0, $G89&lt;&gt; $G$7, $E89=0), 'I&amp;E Monthly'!AE89, CHOOSE(Timeline!AE$30,$J89,$K89,$L89 )*INDEX('I&amp;E Profiles'!AE$96:AE$180,$I89))</f>
        <v>0</v>
      </c>
      <c r="AF89" s="10" cm="1">
        <f t="array" ref="AF89">IF(OR(AF$4=0, $G89&lt;&gt; $G$7, $E89=0), 'I&amp;E Monthly'!AF89, CHOOSE(Timeline!AF$30,$J89,$K89,$L89 )*INDEX('I&amp;E Profiles'!AF$96:AF$180,$I89))</f>
        <v>0</v>
      </c>
      <c r="AG89" s="10" cm="1">
        <f t="array" ref="AG89">IF(OR(AG$4=0, $G89&lt;&gt; $G$7, $E89=0), 'I&amp;E Monthly'!AG89, CHOOSE(Timeline!AG$30,$J89,$K89,$L89 )*INDEX('I&amp;E Profiles'!AG$96:AG$180,$I89))</f>
        <v>0</v>
      </c>
      <c r="AH89" s="10" cm="1">
        <f t="array" ref="AH89">IF(OR(AH$4=0, $G89&lt;&gt; $G$7, $E89=0), 'I&amp;E Monthly'!AH89, CHOOSE(Timeline!AH$30,$J89,$K89,$L89 )*INDEX('I&amp;E Profiles'!AH$96:AH$180,$I89))</f>
        <v>0</v>
      </c>
      <c r="AI89" s="10" cm="1">
        <f t="array" ref="AI89">IF(OR(AI$4=0, $G89&lt;&gt; $G$7, $E89=0), 'I&amp;E Monthly'!AI89, CHOOSE(Timeline!AI$30,$J89,$K89,$L89 )*INDEX('I&amp;E Profiles'!AI$96:AI$180,$I89))</f>
        <v>0</v>
      </c>
      <c r="AJ89" s="10" cm="1">
        <f t="array" ref="AJ89">IF(OR(AJ$4=0, $G89&lt;&gt; $G$7, $E89=0), 'I&amp;E Monthly'!AJ89, CHOOSE(Timeline!AJ$30,$J89,$K89,$L89 )*INDEX('I&amp;E Profiles'!AJ$96:AJ$180,$I89))</f>
        <v>0</v>
      </c>
      <c r="AK89" s="10" cm="1">
        <f t="array" ref="AK89">IF(OR(AK$4=0, $G89&lt;&gt; $G$7, $E89=0), 'I&amp;E Monthly'!AK89, CHOOSE(Timeline!AK$30,$J89,$K89,$L89 )*INDEX('I&amp;E Profiles'!AK$96:AK$180,$I89))</f>
        <v>0</v>
      </c>
      <c r="AL89" s="10" cm="1">
        <f t="array" ref="AL89">IF(OR(AL$4=0, $G89&lt;&gt; $G$7, $E89=0), 'I&amp;E Monthly'!AL89, CHOOSE(Timeline!AL$30,$J89,$K89,$L89 )*INDEX('I&amp;E Profiles'!AL$96:AL$180,$I89))</f>
        <v>0</v>
      </c>
      <c r="AM89" s="10" cm="1">
        <f t="array" ref="AM89">IF(OR(AM$4=0, $G89&lt;&gt; $G$7, $E89=0), 'I&amp;E Monthly'!AM89, CHOOSE(Timeline!AM$30,$J89,$K89,$L89 )*INDEX('I&amp;E Profiles'!AM$96:AM$180,$I89))</f>
        <v>0</v>
      </c>
      <c r="AN89" s="10" cm="1">
        <f t="array" ref="AN89">IF(OR(AN$4=0, $G89&lt;&gt; $G$7, $E89=0), 'I&amp;E Monthly'!AN89, CHOOSE(Timeline!AN$30,$J89,$K89,$L89 )*INDEX('I&amp;E Profiles'!AN$96:AN$180,$I89))</f>
        <v>0</v>
      </c>
      <c r="AO89" s="10" cm="1">
        <f t="array" ref="AO89">IF(OR(AO$4=0, $G89&lt;&gt; $G$7, $E89=0), 'I&amp;E Monthly'!AO89, CHOOSE(Timeline!AO$30,$J89,$K89,$L89 )*INDEX('I&amp;E Profiles'!AO$96:AO$180,$I89))</f>
        <v>0</v>
      </c>
      <c r="AP89" s="10" cm="1">
        <f t="array" ref="AP89">IF(OR(AP$4=0, $G89&lt;&gt; $G$7, $E89=0), 'I&amp;E Monthly'!AP89, CHOOSE(Timeline!AP$30,$J89,$K89,$L89 )*INDEX('I&amp;E Profiles'!AP$96:AP$180,$I89))</f>
        <v>0</v>
      </c>
      <c r="AQ89" s="10" cm="1">
        <f t="array" ref="AQ89">IF(OR(AQ$4=0, $G89&lt;&gt; $G$7, $E89=0), 'I&amp;E Monthly'!AQ89, CHOOSE(Timeline!AQ$30,$J89,$K89,$L89 )*INDEX('I&amp;E Profiles'!AQ$96:AQ$180,$I89))</f>
        <v>0</v>
      </c>
      <c r="AR89" s="10" cm="1">
        <f t="array" ref="AR89">IF(OR(AR$4=0, $G89&lt;&gt; $G$7, $E89=0), 'I&amp;E Monthly'!AR89, CHOOSE(Timeline!AR$30,$J89,$K89,$L89 )*INDEX('I&amp;E Profiles'!AR$96:AR$180,$I89))</f>
        <v>0</v>
      </c>
      <c r="AS89" s="10" cm="1">
        <f t="array" ref="AS89">IF(OR(AS$4=0, $G89&lt;&gt; $G$7, $E89=0), 'I&amp;E Monthly'!AS89, CHOOSE(Timeline!AS$30,$J89,$K89,$L89 )*INDEX('I&amp;E Profiles'!AS$96:AS$180,$I89))</f>
        <v>0</v>
      </c>
      <c r="AT89" s="10" cm="1">
        <f t="array" ref="AT89">IF(OR(AT$4=0, $G89&lt;&gt; $G$7, $E89=0), 'I&amp;E Monthly'!AT89, CHOOSE(Timeline!AT$30,$J89,$K89,$L89 )*INDEX('I&amp;E Profiles'!AT$96:AT$180,$I89))</f>
        <v>0</v>
      </c>
      <c r="AU89" s="10" cm="1">
        <f t="array" ref="AU89">IF(OR(AU$4=0, $G89&lt;&gt; $G$7, $E89=0), 'I&amp;E Monthly'!AU89, CHOOSE(Timeline!AU$30,$J89,$K89,$L89 )*INDEX('I&amp;E Profiles'!AU$96:AU$180,$I89))</f>
        <v>0</v>
      </c>
      <c r="AV89" s="10" cm="1">
        <f t="array" ref="AV89">IF(OR(AV$4=0, $G89&lt;&gt; $G$7, $E89=0), 'I&amp;E Monthly'!AV89, CHOOSE(Timeline!AV$30,$J89,$K89,$L89 )*INDEX('I&amp;E Profiles'!AV$96:AV$180,$I89))</f>
        <v>0</v>
      </c>
      <c r="AW89" s="10" cm="1">
        <f t="array" ref="AW89">IF(OR(AW$4=0, $G89&lt;&gt; $G$7, $E89=0), 'I&amp;E Monthly'!AW89, CHOOSE(Timeline!AW$30,$J89,$K89,$L89 )*INDEX('I&amp;E Profiles'!AW$96:AW$180,$I89))</f>
        <v>0</v>
      </c>
      <c r="AX89" s="10" cm="1">
        <f t="array" ref="AX89">IF(OR(AX$4=0, $G89&lt;&gt; $G$7, $E89=0), 'I&amp;E Monthly'!AX89, CHOOSE(Timeline!AX$30,$J89,$K89,$L89 )*INDEX('I&amp;E Profiles'!AX$96:AX$180,$I89))</f>
        <v>0</v>
      </c>
      <c r="AY89" s="10" cm="1">
        <f t="array" ref="AY89">IF(OR(AY$4=0, $G89&lt;&gt; $G$7, $E89=0), 'I&amp;E Monthly'!AY89, CHOOSE(Timeline!AY$30,$J89,$K89,$L89 )*INDEX('I&amp;E Profiles'!AY$96:AY$180,$I89))</f>
        <v>0</v>
      </c>
      <c r="AZ89" s="10" cm="1">
        <f t="array" ref="AZ89">IF(OR(AZ$4=0, $G89&lt;&gt; $G$7, $E89=0), 'I&amp;E Monthly'!AZ89, CHOOSE(Timeline!AZ$30,$J89,$K89,$L89 )*INDEX('I&amp;E Profiles'!AZ$96:AZ$180,$I89))</f>
        <v>0</v>
      </c>
      <c r="BA89" s="10" cm="1">
        <f t="array" ref="BA89">IF(OR(BA$4=0, $G89&lt;&gt; $G$7, $E89=0), 'I&amp;E Monthly'!BA89, CHOOSE(Timeline!BA$30,$J89,$K89,$L89 )*INDEX('I&amp;E Profiles'!BA$96:BA$180,$I89))</f>
        <v>0</v>
      </c>
      <c r="BB89" s="10" cm="1">
        <f t="array" ref="BB89">IF(OR(BB$4=0, $G89&lt;&gt; $G$7, $E89=0), 'I&amp;E Monthly'!BB89, CHOOSE(Timeline!BB$30,$J89,$K89,$L89 )*INDEX('I&amp;E Profiles'!BB$96:BB$180,$I89))</f>
        <v>0</v>
      </c>
      <c r="BC89" s="10" cm="1">
        <f t="array" ref="BC89">IF(OR(BC$4=0, $G89&lt;&gt; $G$7, $E89=0), 'I&amp;E Monthly'!BC89, CHOOSE(Timeline!BC$30,$J89,$K89,$L89 )*INDEX('I&amp;E Profiles'!BC$96:BC$180,$I89))</f>
        <v>0</v>
      </c>
      <c r="BD89" s="10" cm="1">
        <f t="array" ref="BD89">IF(OR(BD$4=0, $G89&lt;&gt; $G$7, $E89=0), 'I&amp;E Monthly'!BD89, CHOOSE(Timeline!BD$30,$J89,$K89,$L89 )*INDEX('I&amp;E Profiles'!BD$96:BD$180,$I89))</f>
        <v>0</v>
      </c>
      <c r="BE89" s="10" cm="1">
        <f t="array" ref="BE89">IF(OR(BE$4=0, $G89&lt;&gt; $G$7, $E89=0), 'I&amp;E Monthly'!BE89, CHOOSE(Timeline!BE$30,$J89,$K89,$L89 )*INDEX('I&amp;E Profiles'!BE$96:BE$180,$I89))</f>
        <v>0</v>
      </c>
      <c r="BF89" s="10" cm="1">
        <f t="array" ref="BF89">IF(OR(BF$4=0, $G89&lt;&gt; $G$7, $E89=0), 'I&amp;E Monthly'!BF89, CHOOSE(Timeline!BF$30,$J89,$K89,$L89 )*INDEX('I&amp;E Profiles'!BF$96:BF$180,$I89))</f>
        <v>0</v>
      </c>
      <c r="BG89" s="10" cm="1">
        <f t="array" ref="BG89">IF(OR(BG$4=0, $G89&lt;&gt; $G$7, $E89=0), 'I&amp;E Monthly'!BG89, CHOOSE(Timeline!BG$30,$J89,$K89,$L89 )*INDEX('I&amp;E Profiles'!BG$96:BG$180,$I89))</f>
        <v>0</v>
      </c>
      <c r="BH89" s="10" cm="1">
        <f t="array" ref="BH89">IF(OR(BH$4=0, $G89&lt;&gt; $G$7, $E89=0), 'I&amp;E Monthly'!BH89, CHOOSE(Timeline!BH$30,$J89,$K89,$L89 )*INDEX('I&amp;E Profiles'!BH$96:BH$180,$I89))</f>
        <v>0</v>
      </c>
      <c r="BI89" s="10" cm="1">
        <f t="array" ref="BI89">IF(OR(BI$4=0, $G89&lt;&gt; $G$7, $E89=0), 'I&amp;E Monthly'!BI89, CHOOSE(Timeline!BI$30,$J89,$K89,$L89 )*INDEX('I&amp;E Profiles'!BI$96:BI$180,$I89))</f>
        <v>0</v>
      </c>
      <c r="BJ89" s="10" cm="1">
        <f t="array" ref="BJ89">IF(OR(BJ$4=0, $G89&lt;&gt; $G$7, $E89=0), 'I&amp;E Monthly'!BJ89, CHOOSE(Timeline!BJ$30,$J89,$K89,$L89 )*INDEX('I&amp;E Profiles'!BJ$96:BJ$180,$I89))</f>
        <v>0</v>
      </c>
      <c r="BX89" s="12">
        <f>V89</f>
        <v>0</v>
      </c>
      <c r="BY89" s="10">
        <f t="shared" si="110"/>
        <v>0</v>
      </c>
      <c r="BZ89" s="10">
        <f t="shared" si="110"/>
        <v>0</v>
      </c>
      <c r="CA89" s="10">
        <f t="shared" si="110"/>
        <v>0</v>
      </c>
      <c r="CB89" s="12">
        <f>'I&amp;E Monthly'!CB89</f>
        <v>0</v>
      </c>
      <c r="CC89" s="12">
        <f>'I&amp;E Monthly'!CC89</f>
        <v>0</v>
      </c>
      <c r="CD89" s="12">
        <f>'I&amp;E Monthly'!CD89</f>
        <v>0</v>
      </c>
      <c r="CE89" s="12">
        <f>'I&amp;E Monthly'!CE89</f>
        <v>0</v>
      </c>
      <c r="CF89" s="12">
        <f>'I&amp;E Monthly'!CF89</f>
        <v>0</v>
      </c>
      <c r="CG89" s="12">
        <f>'I&amp;E Monthly'!CG89</f>
        <v>0</v>
      </c>
      <c r="CH89" s="12">
        <f>'I&amp;E Monthly'!CH89</f>
        <v>0</v>
      </c>
      <c r="CI89" s="12">
        <f>'I&amp;E Monthly'!CI89</f>
        <v>0</v>
      </c>
      <c r="CK89" s="11"/>
      <c r="CL89" s="221">
        <f ca="1">IF(MIN($V89:$CI89)&lt;0, 1, 0)*$I$7</f>
        <v>0</v>
      </c>
      <c r="CM89" s="11"/>
      <c r="CN89" s="7">
        <f>IF(AND($G89=$G$7,$E89=""), 1, 0)</f>
        <v>0</v>
      </c>
      <c r="CO89" s="7" cm="1">
        <f t="array" ref="CO89">SUMPRODUCT(--NOT(ISNUMBER(W89:Y89)),--NOT(ISBLANK(W89:Y89)))</f>
        <v>0</v>
      </c>
      <c r="CP89" s="7" cm="1">
        <f t="array" ref="CP89">IF(E89="",0, IF(IFERROR(INDEX('I&amp;E Profiles'!$D$96:$D$180, $I89), "N/A")="N/A", 1, 0))</f>
        <v>0</v>
      </c>
      <c r="CQ89" s="7">
        <f>IF(SUM($CV89:$CX89)=0, 0, 1)</f>
        <v>0</v>
      </c>
      <c r="CS89" s="7">
        <f>IF(SUM($CY89:$DA89)=0, 0, 1)</f>
        <v>0</v>
      </c>
      <c r="CT89" s="7">
        <f>IF(DB89=0, 0, 1)</f>
        <v>0</v>
      </c>
      <c r="CU89" s="11"/>
      <c r="CV89" s="215">
        <f t="shared" si="111"/>
        <v>0</v>
      </c>
      <c r="CW89" s="215">
        <f t="shared" si="111"/>
        <v>0</v>
      </c>
      <c r="CX89" s="215">
        <f t="shared" si="111"/>
        <v>0</v>
      </c>
      <c r="CY89" s="215">
        <f>ROUND($BY89-SUMIFS($AA89:$BJ89, $AA$3:$BJ$3, $BY$3), rounding)</f>
        <v>0</v>
      </c>
      <c r="CZ89" s="215">
        <f>ROUND($BZ89-SUMIFS($AA89:$BJ89, $AA$3:$BJ$3, $BZ$3), rounding)</f>
        <v>0</v>
      </c>
      <c r="DA89" s="215">
        <f>ROUND($CA89-SUMIFS($AA89:$BJ89, $AA$3:$BJ$3, $CA$3), rounding)</f>
        <v>0</v>
      </c>
      <c r="DB89" s="215">
        <f>ROUND($V89-$BX89, rounding)</f>
        <v>0</v>
      </c>
      <c r="FN89" s="10" t="str">
        <f t="shared" si="107"/>
        <v>Endowment income</v>
      </c>
    </row>
    <row r="90" spans="1:170" x14ac:dyDescent="0.35">
      <c r="A90" s="220" cm="1">
        <f t="array" aca="1" ref="A90" ca="1">HYPERLINK(CONCATENATE("#",CELL("address",IF(MAX($CM90:$CU90)=0,A90,INDEX($CM90:$CU90,MATCH(1,$CM90:$CU90,0))))),MAX($CM90:$CU90))</f>
        <v>0</v>
      </c>
      <c r="C90" s="213" t="s">
        <v>539</v>
      </c>
      <c r="D90" s="24" t="s">
        <v>391</v>
      </c>
      <c r="E90" s="5"/>
      <c r="Q90" s="2"/>
      <c r="V90" s="12">
        <f>SUM(V88:V89)</f>
        <v>0</v>
      </c>
      <c r="W90" s="12">
        <f>SUM(W88:W89)</f>
        <v>0</v>
      </c>
      <c r="X90" s="12">
        <f>SUM(X88:X89)</f>
        <v>0</v>
      </c>
      <c r="Y90" s="12">
        <f>SUM(Y88:Y89)</f>
        <v>0</v>
      </c>
      <c r="AA90" s="12">
        <f t="shared" ref="AA90:BJ90" si="112">SUM(AA88:AA89)</f>
        <v>0</v>
      </c>
      <c r="AB90" s="12">
        <f t="shared" si="112"/>
        <v>0</v>
      </c>
      <c r="AC90" s="12">
        <f t="shared" si="112"/>
        <v>0</v>
      </c>
      <c r="AD90" s="12">
        <f t="shared" si="112"/>
        <v>0</v>
      </c>
      <c r="AE90" s="12">
        <f t="shared" si="112"/>
        <v>0</v>
      </c>
      <c r="AF90" s="12">
        <f t="shared" si="112"/>
        <v>0</v>
      </c>
      <c r="AG90" s="12">
        <f t="shared" si="112"/>
        <v>0</v>
      </c>
      <c r="AH90" s="12">
        <f t="shared" si="112"/>
        <v>0</v>
      </c>
      <c r="AI90" s="12">
        <f t="shared" si="112"/>
        <v>0</v>
      </c>
      <c r="AJ90" s="12">
        <f t="shared" si="112"/>
        <v>0</v>
      </c>
      <c r="AK90" s="12">
        <f t="shared" si="112"/>
        <v>0</v>
      </c>
      <c r="AL90" s="12">
        <f t="shared" si="112"/>
        <v>0</v>
      </c>
      <c r="AM90" s="12">
        <f t="shared" si="112"/>
        <v>0</v>
      </c>
      <c r="AN90" s="12">
        <f t="shared" si="112"/>
        <v>0</v>
      </c>
      <c r="AO90" s="12">
        <f t="shared" si="112"/>
        <v>0</v>
      </c>
      <c r="AP90" s="12">
        <f t="shared" si="112"/>
        <v>0</v>
      </c>
      <c r="AQ90" s="12">
        <f t="shared" si="112"/>
        <v>0</v>
      </c>
      <c r="AR90" s="12">
        <f t="shared" si="112"/>
        <v>0</v>
      </c>
      <c r="AS90" s="12">
        <f t="shared" si="112"/>
        <v>0</v>
      </c>
      <c r="AT90" s="12">
        <f t="shared" si="112"/>
        <v>0</v>
      </c>
      <c r="AU90" s="12">
        <f t="shared" si="112"/>
        <v>0</v>
      </c>
      <c r="AV90" s="12">
        <f t="shared" si="112"/>
        <v>0</v>
      </c>
      <c r="AW90" s="12">
        <f t="shared" si="112"/>
        <v>0</v>
      </c>
      <c r="AX90" s="12">
        <f t="shared" si="112"/>
        <v>0</v>
      </c>
      <c r="AY90" s="12">
        <f t="shared" si="112"/>
        <v>0</v>
      </c>
      <c r="AZ90" s="12">
        <f t="shared" si="112"/>
        <v>0</v>
      </c>
      <c r="BA90" s="12">
        <f t="shared" si="112"/>
        <v>0</v>
      </c>
      <c r="BB90" s="12">
        <f t="shared" si="112"/>
        <v>0</v>
      </c>
      <c r="BC90" s="12">
        <f t="shared" si="112"/>
        <v>0</v>
      </c>
      <c r="BD90" s="12">
        <f t="shared" si="112"/>
        <v>0</v>
      </c>
      <c r="BE90" s="12">
        <f t="shared" si="112"/>
        <v>0</v>
      </c>
      <c r="BF90" s="12">
        <f t="shared" si="112"/>
        <v>0</v>
      </c>
      <c r="BG90" s="12">
        <f t="shared" si="112"/>
        <v>0</v>
      </c>
      <c r="BH90" s="12">
        <f t="shared" si="112"/>
        <v>0</v>
      </c>
      <c r="BI90" s="12">
        <f t="shared" si="112"/>
        <v>0</v>
      </c>
      <c r="BJ90" s="12">
        <f t="shared" si="112"/>
        <v>0</v>
      </c>
      <c r="BX90" s="12">
        <f t="shared" ref="BX90:CI90" si="113">SUM(BX88:BX89)</f>
        <v>0</v>
      </c>
      <c r="BY90" s="12">
        <f t="shared" si="113"/>
        <v>0</v>
      </c>
      <c r="BZ90" s="12">
        <f t="shared" si="113"/>
        <v>0</v>
      </c>
      <c r="CA90" s="12">
        <f t="shared" si="113"/>
        <v>0</v>
      </c>
      <c r="CB90" s="12">
        <f t="shared" si="113"/>
        <v>0</v>
      </c>
      <c r="CC90" s="12">
        <f t="shared" si="113"/>
        <v>0</v>
      </c>
      <c r="CD90" s="12">
        <f t="shared" si="113"/>
        <v>0</v>
      </c>
      <c r="CE90" s="12">
        <f t="shared" si="113"/>
        <v>0</v>
      </c>
      <c r="CF90" s="12">
        <f t="shared" si="113"/>
        <v>0</v>
      </c>
      <c r="CG90" s="12">
        <f t="shared" si="113"/>
        <v>0</v>
      </c>
      <c r="CH90" s="12">
        <f t="shared" si="113"/>
        <v>0</v>
      </c>
      <c r="CI90" s="12">
        <f t="shared" si="113"/>
        <v>0</v>
      </c>
      <c r="CK90" s="11"/>
      <c r="CL90" s="221">
        <f ca="1">IF(MIN($V90:$CI90)&lt;0, 1, 0)*$I$7</f>
        <v>0</v>
      </c>
      <c r="CM90" s="11"/>
      <c r="CQ90" s="7">
        <f>IF(SUM($CV90:$CX90)=0, 0, 1)</f>
        <v>0</v>
      </c>
      <c r="CS90" s="7">
        <f>IF(SUM($CY90:$DA90)=0, 0, 1)</f>
        <v>0</v>
      </c>
      <c r="CT90" s="7">
        <f>IF(DB90=0, 0, 1)</f>
        <v>0</v>
      </c>
      <c r="CU90" s="11"/>
      <c r="CV90" s="215">
        <f t="shared" si="111"/>
        <v>0</v>
      </c>
      <c r="CW90" s="215">
        <f t="shared" si="111"/>
        <v>0</v>
      </c>
      <c r="CX90" s="215">
        <f t="shared" si="111"/>
        <v>0</v>
      </c>
      <c r="CY90" s="215">
        <f>ROUND($BY90-SUMIFS($AA90:$BJ90, $AA$3:$BJ$3, $BY$3), rounding)</f>
        <v>0</v>
      </c>
      <c r="CZ90" s="215">
        <f>ROUND($BZ90-SUMIFS($AA90:$BJ90, $AA$3:$BJ$3, $BZ$3), rounding)</f>
        <v>0</v>
      </c>
      <c r="DA90" s="215">
        <f>ROUND($CA90-SUMIFS($AA90:$BJ90, $AA$3:$BJ$3, $CA$3), rounding)</f>
        <v>0</v>
      </c>
      <c r="DB90" s="215">
        <f>ROUND($V90-$BX90, rounding)</f>
        <v>0</v>
      </c>
      <c r="FN90" s="10" t="str">
        <f t="shared" si="107"/>
        <v>Total Other Income</v>
      </c>
    </row>
    <row r="91" spans="1:170" ht="6.75" customHeight="1" x14ac:dyDescent="0.35">
      <c r="C91" s="213"/>
      <c r="Q91" s="2"/>
      <c r="BY91" s="6"/>
      <c r="CK91" s="35"/>
      <c r="CM91" s="35"/>
      <c r="CU91" s="35"/>
      <c r="FN91" s="10" t="str">
        <f t="shared" si="107"/>
        <v/>
      </c>
    </row>
    <row r="92" spans="1:170" x14ac:dyDescent="0.35">
      <c r="B92" s="5"/>
      <c r="C92" s="213"/>
      <c r="D92" s="61" t="s">
        <v>392</v>
      </c>
      <c r="E92" s="5"/>
      <c r="Q92" s="2"/>
      <c r="CK92" s="11"/>
      <c r="CM92" s="11"/>
      <c r="CU92" s="11"/>
      <c r="FN92" s="10" t="str">
        <f t="shared" si="107"/>
        <v/>
      </c>
    </row>
    <row r="93" spans="1:170" x14ac:dyDescent="0.35">
      <c r="A93" s="220" cm="1">
        <f t="array" aca="1" ref="A93" ca="1">HYPERLINK(CONCATENATE("#",CELL("address",IF(MAX($CM93:$CU93)=0,A93,INDEX($CM93:$CU93,MATCH(1,$CM93:$CU93,0))))),MAX($CM93:$CU93))</f>
        <v>0</v>
      </c>
      <c r="C93" s="213" t="s">
        <v>540</v>
      </c>
      <c r="D93" s="534" t="s">
        <v>393</v>
      </c>
      <c r="E93" s="114"/>
      <c r="F93" s="79" t="str" cm="1">
        <f t="array" aca="1" ref="F93" ca="1">IF(E93="", "", HYPERLINK(CONCATENATE("#",CELL("address",INDEX('I&amp;E Profiles'!$D$9:$D$93,'I&amp;E Annual'!I93))),E93))</f>
        <v/>
      </c>
      <c r="G93" s="114"/>
      <c r="H93" t="s">
        <v>317</v>
      </c>
      <c r="I93" s="132" t="str">
        <f>IF(E93="", "", MATCH(E93, 'I&amp;E Profiles'!$D$96:$D$180,0))</f>
        <v/>
      </c>
      <c r="J93" s="133">
        <f>IF($G93=$G$7, W93,'I&amp;E Monthly'!W93)-SUMIFS('I&amp;E Monthly'!$AA93:$BJ93, 'I&amp;E Monthly'!$AA$3:$BJ$3, 'I&amp;E Annual'!W$3, 'I&amp;E Monthly'!$AA$4:$BJ$4, 0)</f>
        <v>0</v>
      </c>
      <c r="K93" s="133">
        <f>IF($G93=$G$7, X93,'I&amp;E Monthly'!X93)-SUMIFS('I&amp;E Monthly'!$AA93:$BJ93, 'I&amp;E Monthly'!$AA$3:$BJ$3, 'I&amp;E Annual'!X$3, 'I&amp;E Monthly'!$AA$4:$BJ$4, 0)</f>
        <v>0</v>
      </c>
      <c r="L93" s="133">
        <f>IF($G93=$G$7, Y93,'I&amp;E Monthly'!Y93)-SUMIFS('I&amp;E Monthly'!$AA93:$BJ93, 'I&amp;E Monthly'!$AA$3:$BJ$3, 'I&amp;E Annual'!Y$3, 'I&amp;E Monthly'!$AA$4:$BJ$4, 0)</f>
        <v>0</v>
      </c>
      <c r="Q93" s="2"/>
      <c r="V93" s="133">
        <f>'I&amp;E Monthly'!V93</f>
        <v>0</v>
      </c>
      <c r="W93" s="114"/>
      <c r="X93" s="131"/>
      <c r="Y93" s="131"/>
      <c r="AA93" s="10" cm="1">
        <f t="array" ref="AA93">IF(OR(AA$4=0, $G93&lt;&gt; $G$7, $E93=0), 'I&amp;E Monthly'!AA93, CHOOSE(Timeline!AA$30,$J93,$K93,$L93 )*INDEX('I&amp;E Profiles'!AA$96:AA$180,$I93))</f>
        <v>0</v>
      </c>
      <c r="AB93" s="10" cm="1">
        <f t="array" ref="AB93">IF(OR(AB$4=0, $G93&lt;&gt; $G$7, $E93=0), 'I&amp;E Monthly'!AB93, CHOOSE(Timeline!AB$30,$J93,$K93,$L93 )*INDEX('I&amp;E Profiles'!AB$96:AB$180,$I93))</f>
        <v>0</v>
      </c>
      <c r="AC93" s="10" cm="1">
        <f t="array" ref="AC93">IF(OR(AC$4=0, $G93&lt;&gt; $G$7, $E93=0), 'I&amp;E Monthly'!AC93, CHOOSE(Timeline!AC$30,$J93,$K93,$L93 )*INDEX('I&amp;E Profiles'!AC$96:AC$180,$I93))</f>
        <v>0</v>
      </c>
      <c r="AD93" s="10" cm="1">
        <f t="array" ref="AD93">IF(OR(AD$4=0, $G93&lt;&gt; $G$7, $E93=0), 'I&amp;E Monthly'!AD93, CHOOSE(Timeline!AD$30,$J93,$K93,$L93 )*INDEX('I&amp;E Profiles'!AD$96:AD$180,$I93))</f>
        <v>0</v>
      </c>
      <c r="AE93" s="10" cm="1">
        <f t="array" ref="AE93">IF(OR(AE$4=0, $G93&lt;&gt; $G$7, $E93=0), 'I&amp;E Monthly'!AE93, CHOOSE(Timeline!AE$30,$J93,$K93,$L93 )*INDEX('I&amp;E Profiles'!AE$96:AE$180,$I93))</f>
        <v>0</v>
      </c>
      <c r="AF93" s="10" cm="1">
        <f t="array" ref="AF93">IF(OR(AF$4=0, $G93&lt;&gt; $G$7, $E93=0), 'I&amp;E Monthly'!AF93, CHOOSE(Timeline!AF$30,$J93,$K93,$L93 )*INDEX('I&amp;E Profiles'!AF$96:AF$180,$I93))</f>
        <v>0</v>
      </c>
      <c r="AG93" s="10" cm="1">
        <f t="array" ref="AG93">IF(OR(AG$4=0, $G93&lt;&gt; $G$7, $E93=0), 'I&amp;E Monthly'!AG93, CHOOSE(Timeline!AG$30,$J93,$K93,$L93 )*INDEX('I&amp;E Profiles'!AG$96:AG$180,$I93))</f>
        <v>0</v>
      </c>
      <c r="AH93" s="10" cm="1">
        <f t="array" ref="AH93">IF(OR(AH$4=0, $G93&lt;&gt; $G$7, $E93=0), 'I&amp;E Monthly'!AH93, CHOOSE(Timeline!AH$30,$J93,$K93,$L93 )*INDEX('I&amp;E Profiles'!AH$96:AH$180,$I93))</f>
        <v>0</v>
      </c>
      <c r="AI93" s="10" cm="1">
        <f t="array" ref="AI93">IF(OR(AI$4=0, $G93&lt;&gt; $G$7, $E93=0), 'I&amp;E Monthly'!AI93, CHOOSE(Timeline!AI$30,$J93,$K93,$L93 )*INDEX('I&amp;E Profiles'!AI$96:AI$180,$I93))</f>
        <v>0</v>
      </c>
      <c r="AJ93" s="10" cm="1">
        <f t="array" ref="AJ93">IF(OR(AJ$4=0, $G93&lt;&gt; $G$7, $E93=0), 'I&amp;E Monthly'!AJ93, CHOOSE(Timeline!AJ$30,$J93,$K93,$L93 )*INDEX('I&amp;E Profiles'!AJ$96:AJ$180,$I93))</f>
        <v>0</v>
      </c>
      <c r="AK93" s="10" cm="1">
        <f t="array" ref="AK93">IF(OR(AK$4=0, $G93&lt;&gt; $G$7, $E93=0), 'I&amp;E Monthly'!AK93, CHOOSE(Timeline!AK$30,$J93,$K93,$L93 )*INDEX('I&amp;E Profiles'!AK$96:AK$180,$I93))</f>
        <v>0</v>
      </c>
      <c r="AL93" s="10" cm="1">
        <f t="array" ref="AL93">IF(OR(AL$4=0, $G93&lt;&gt; $G$7, $E93=0), 'I&amp;E Monthly'!AL93, CHOOSE(Timeline!AL$30,$J93,$K93,$L93 )*INDEX('I&amp;E Profiles'!AL$96:AL$180,$I93))</f>
        <v>0</v>
      </c>
      <c r="AM93" s="10" cm="1">
        <f t="array" ref="AM93">IF(OR(AM$4=0, $G93&lt;&gt; $G$7, $E93=0), 'I&amp;E Monthly'!AM93, CHOOSE(Timeline!AM$30,$J93,$K93,$L93 )*INDEX('I&amp;E Profiles'!AM$96:AM$180,$I93))</f>
        <v>0</v>
      </c>
      <c r="AN93" s="10" cm="1">
        <f t="array" ref="AN93">IF(OR(AN$4=0, $G93&lt;&gt; $G$7, $E93=0), 'I&amp;E Monthly'!AN93, CHOOSE(Timeline!AN$30,$J93,$K93,$L93 )*INDEX('I&amp;E Profiles'!AN$96:AN$180,$I93))</f>
        <v>0</v>
      </c>
      <c r="AO93" s="10" cm="1">
        <f t="array" ref="AO93">IF(OR(AO$4=0, $G93&lt;&gt; $G$7, $E93=0), 'I&amp;E Monthly'!AO93, CHOOSE(Timeline!AO$30,$J93,$K93,$L93 )*INDEX('I&amp;E Profiles'!AO$96:AO$180,$I93))</f>
        <v>0</v>
      </c>
      <c r="AP93" s="10" cm="1">
        <f t="array" ref="AP93">IF(OR(AP$4=0, $G93&lt;&gt; $G$7, $E93=0), 'I&amp;E Monthly'!AP93, CHOOSE(Timeline!AP$30,$J93,$K93,$L93 )*INDEX('I&amp;E Profiles'!AP$96:AP$180,$I93))</f>
        <v>0</v>
      </c>
      <c r="AQ93" s="10" cm="1">
        <f t="array" ref="AQ93">IF(OR(AQ$4=0, $G93&lt;&gt; $G$7, $E93=0), 'I&amp;E Monthly'!AQ93, CHOOSE(Timeline!AQ$30,$J93,$K93,$L93 )*INDEX('I&amp;E Profiles'!AQ$96:AQ$180,$I93))</f>
        <v>0</v>
      </c>
      <c r="AR93" s="10" cm="1">
        <f t="array" ref="AR93">IF(OR(AR$4=0, $G93&lt;&gt; $G$7, $E93=0), 'I&amp;E Monthly'!AR93, CHOOSE(Timeline!AR$30,$J93,$K93,$L93 )*INDEX('I&amp;E Profiles'!AR$96:AR$180,$I93))</f>
        <v>0</v>
      </c>
      <c r="AS93" s="10" cm="1">
        <f t="array" ref="AS93">IF(OR(AS$4=0, $G93&lt;&gt; $G$7, $E93=0), 'I&amp;E Monthly'!AS93, CHOOSE(Timeline!AS$30,$J93,$K93,$L93 )*INDEX('I&amp;E Profiles'!AS$96:AS$180,$I93))</f>
        <v>0</v>
      </c>
      <c r="AT93" s="10" cm="1">
        <f t="array" ref="AT93">IF(OR(AT$4=0, $G93&lt;&gt; $G$7, $E93=0), 'I&amp;E Monthly'!AT93, CHOOSE(Timeline!AT$30,$J93,$K93,$L93 )*INDEX('I&amp;E Profiles'!AT$96:AT$180,$I93))</f>
        <v>0</v>
      </c>
      <c r="AU93" s="10" cm="1">
        <f t="array" ref="AU93">IF(OR(AU$4=0, $G93&lt;&gt; $G$7, $E93=0), 'I&amp;E Monthly'!AU93, CHOOSE(Timeline!AU$30,$J93,$K93,$L93 )*INDEX('I&amp;E Profiles'!AU$96:AU$180,$I93))</f>
        <v>0</v>
      </c>
      <c r="AV93" s="10" cm="1">
        <f t="array" ref="AV93">IF(OR(AV$4=0, $G93&lt;&gt; $G$7, $E93=0), 'I&amp;E Monthly'!AV93, CHOOSE(Timeline!AV$30,$J93,$K93,$L93 )*INDEX('I&amp;E Profiles'!AV$96:AV$180,$I93))</f>
        <v>0</v>
      </c>
      <c r="AW93" s="10" cm="1">
        <f t="array" ref="AW93">IF(OR(AW$4=0, $G93&lt;&gt; $G$7, $E93=0), 'I&amp;E Monthly'!AW93, CHOOSE(Timeline!AW$30,$J93,$K93,$L93 )*INDEX('I&amp;E Profiles'!AW$96:AW$180,$I93))</f>
        <v>0</v>
      </c>
      <c r="AX93" s="10" cm="1">
        <f t="array" ref="AX93">IF(OR(AX$4=0, $G93&lt;&gt; $G$7, $E93=0), 'I&amp;E Monthly'!AX93, CHOOSE(Timeline!AX$30,$J93,$K93,$L93 )*INDEX('I&amp;E Profiles'!AX$96:AX$180,$I93))</f>
        <v>0</v>
      </c>
      <c r="AY93" s="10" cm="1">
        <f t="array" ref="AY93">IF(OR(AY$4=0, $G93&lt;&gt; $G$7, $E93=0), 'I&amp;E Monthly'!AY93, CHOOSE(Timeline!AY$30,$J93,$K93,$L93 )*INDEX('I&amp;E Profiles'!AY$96:AY$180,$I93))</f>
        <v>0</v>
      </c>
      <c r="AZ93" s="10" cm="1">
        <f t="array" ref="AZ93">IF(OR(AZ$4=0, $G93&lt;&gt; $G$7, $E93=0), 'I&amp;E Monthly'!AZ93, CHOOSE(Timeline!AZ$30,$J93,$K93,$L93 )*INDEX('I&amp;E Profiles'!AZ$96:AZ$180,$I93))</f>
        <v>0</v>
      </c>
      <c r="BA93" s="10" cm="1">
        <f t="array" ref="BA93">IF(OR(BA$4=0, $G93&lt;&gt; $G$7, $E93=0), 'I&amp;E Monthly'!BA93, CHOOSE(Timeline!BA$30,$J93,$K93,$L93 )*INDEX('I&amp;E Profiles'!BA$96:BA$180,$I93))</f>
        <v>0</v>
      </c>
      <c r="BB93" s="10" cm="1">
        <f t="array" ref="BB93">IF(OR(BB$4=0, $G93&lt;&gt; $G$7, $E93=0), 'I&amp;E Monthly'!BB93, CHOOSE(Timeline!BB$30,$J93,$K93,$L93 )*INDEX('I&amp;E Profiles'!BB$96:BB$180,$I93))</f>
        <v>0</v>
      </c>
      <c r="BC93" s="10" cm="1">
        <f t="array" ref="BC93">IF(OR(BC$4=0, $G93&lt;&gt; $G$7, $E93=0), 'I&amp;E Monthly'!BC93, CHOOSE(Timeline!BC$30,$J93,$K93,$L93 )*INDEX('I&amp;E Profiles'!BC$96:BC$180,$I93))</f>
        <v>0</v>
      </c>
      <c r="BD93" s="10" cm="1">
        <f t="array" ref="BD93">IF(OR(BD$4=0, $G93&lt;&gt; $G$7, $E93=0), 'I&amp;E Monthly'!BD93, CHOOSE(Timeline!BD$30,$J93,$K93,$L93 )*INDEX('I&amp;E Profiles'!BD$96:BD$180,$I93))</f>
        <v>0</v>
      </c>
      <c r="BE93" s="10" cm="1">
        <f t="array" ref="BE93">IF(OR(BE$4=0, $G93&lt;&gt; $G$7, $E93=0), 'I&amp;E Monthly'!BE93, CHOOSE(Timeline!BE$30,$J93,$K93,$L93 )*INDEX('I&amp;E Profiles'!BE$96:BE$180,$I93))</f>
        <v>0</v>
      </c>
      <c r="BF93" s="10" cm="1">
        <f t="array" ref="BF93">IF(OR(BF$4=0, $G93&lt;&gt; $G$7, $E93=0), 'I&amp;E Monthly'!BF93, CHOOSE(Timeline!BF$30,$J93,$K93,$L93 )*INDEX('I&amp;E Profiles'!BF$96:BF$180,$I93))</f>
        <v>0</v>
      </c>
      <c r="BG93" s="10" cm="1">
        <f t="array" ref="BG93">IF(OR(BG$4=0, $G93&lt;&gt; $G$7, $E93=0), 'I&amp;E Monthly'!BG93, CHOOSE(Timeline!BG$30,$J93,$K93,$L93 )*INDEX('I&amp;E Profiles'!BG$96:BG$180,$I93))</f>
        <v>0</v>
      </c>
      <c r="BH93" s="10" cm="1">
        <f t="array" ref="BH93">IF(OR(BH$4=0, $G93&lt;&gt; $G$7, $E93=0), 'I&amp;E Monthly'!BH93, CHOOSE(Timeline!BH$30,$J93,$K93,$L93 )*INDEX('I&amp;E Profiles'!BH$96:BH$180,$I93))</f>
        <v>0</v>
      </c>
      <c r="BI93" s="10" cm="1">
        <f t="array" ref="BI93">IF(OR(BI$4=0, $G93&lt;&gt; $G$7, $E93=0), 'I&amp;E Monthly'!BI93, CHOOSE(Timeline!BI$30,$J93,$K93,$L93 )*INDEX('I&amp;E Profiles'!BI$96:BI$180,$I93))</f>
        <v>0</v>
      </c>
      <c r="BJ93" s="10" cm="1">
        <f t="array" ref="BJ93">IF(OR(BJ$4=0, $G93&lt;&gt; $G$7, $E93=0), 'I&amp;E Monthly'!BJ93, CHOOSE(Timeline!BJ$30,$J93,$K93,$L93 )*INDEX('I&amp;E Profiles'!BJ$96:BJ$180,$I93))</f>
        <v>0</v>
      </c>
      <c r="BX93" s="12">
        <f>V93</f>
        <v>0</v>
      </c>
      <c r="BY93" s="10">
        <f t="shared" ref="BY93:CA95" si="114">SUMIFS($AA93:$BJ93, $AA$3:$BJ$3,BY$3)</f>
        <v>0</v>
      </c>
      <c r="BZ93" s="10">
        <f t="shared" si="114"/>
        <v>0</v>
      </c>
      <c r="CA93" s="10">
        <f t="shared" si="114"/>
        <v>0</v>
      </c>
      <c r="CB93" s="12">
        <f>'I&amp;E Monthly'!CB93</f>
        <v>0</v>
      </c>
      <c r="CC93" s="12">
        <f>'I&amp;E Monthly'!CC93</f>
        <v>0</v>
      </c>
      <c r="CD93" s="12">
        <f>'I&amp;E Monthly'!CD93</f>
        <v>0</v>
      </c>
      <c r="CE93" s="12">
        <f>'I&amp;E Monthly'!CE93</f>
        <v>0</v>
      </c>
      <c r="CF93" s="12">
        <f>'I&amp;E Monthly'!CF93</f>
        <v>0</v>
      </c>
      <c r="CG93" s="12">
        <f>'I&amp;E Monthly'!CG93</f>
        <v>0</v>
      </c>
      <c r="CH93" s="12">
        <f>'I&amp;E Monthly'!CH93</f>
        <v>0</v>
      </c>
      <c r="CI93" s="12">
        <f>'I&amp;E Monthly'!CI93</f>
        <v>0</v>
      </c>
      <c r="CK93" s="11"/>
      <c r="CL93" s="221">
        <f ca="1">IF(MIN($V93:$CI93)&lt;0, 1, 0)*$I$7</f>
        <v>0</v>
      </c>
      <c r="CM93" s="11"/>
      <c r="CN93" s="7">
        <f>IF(AND($G93=$G$7,$E93=""), 1, 0)</f>
        <v>0</v>
      </c>
      <c r="CO93" s="7" cm="1">
        <f t="array" ref="CO93">SUMPRODUCT(--NOT(ISNUMBER(W93:Y93)),--NOT(ISBLANK(W93:Y93)))</f>
        <v>0</v>
      </c>
      <c r="CP93" s="7" cm="1">
        <f t="array" ref="CP93">IF(E93="",0, IF(IFERROR(INDEX('I&amp;E Profiles'!$D$96:$D$180, $I93), "N/A")="N/A", 1, 0))</f>
        <v>0</v>
      </c>
      <c r="CQ93" s="7">
        <f>IF(SUM($CV93:$CX93)=0, 0, 1)</f>
        <v>0</v>
      </c>
      <c r="CS93" s="7">
        <f>IF(SUM($CY93:$DA93)=0, 0, 1)</f>
        <v>0</v>
      </c>
      <c r="CT93" s="7">
        <f>IF(DB93=0, 0, 1)</f>
        <v>0</v>
      </c>
      <c r="CU93" s="11"/>
      <c r="CV93" s="215">
        <f t="shared" ref="CV93:CX96" si="115">IF($G93=$G$7, ROUND(W93-SUMIFS($AA93:$BJ93, $AA$3:$BJ$3, W$3), rounding), 0)</f>
        <v>0</v>
      </c>
      <c r="CW93" s="215">
        <f t="shared" si="115"/>
        <v>0</v>
      </c>
      <c r="CX93" s="215">
        <f t="shared" si="115"/>
        <v>0</v>
      </c>
      <c r="CY93" s="215">
        <f>ROUND($BY93-SUMIFS($AA93:$BJ93, $AA$3:$BJ$3, $BY$3), rounding)</f>
        <v>0</v>
      </c>
      <c r="CZ93" s="215">
        <f>ROUND($BZ93-SUMIFS($AA93:$BJ93, $AA$3:$BJ$3, $BZ$3), rounding)</f>
        <v>0</v>
      </c>
      <c r="DA93" s="215">
        <f>ROUND($CA93-SUMIFS($AA93:$BJ93, $AA$3:$BJ$3, $CA$3), rounding)</f>
        <v>0</v>
      </c>
      <c r="DB93" s="215">
        <f>ROUND($V93-$BX93, rounding)</f>
        <v>0</v>
      </c>
      <c r="FN93" s="10" t="str">
        <f t="shared" si="107"/>
        <v>Emergency Funding</v>
      </c>
    </row>
    <row r="94" spans="1:170" x14ac:dyDescent="0.35">
      <c r="A94" s="220" cm="1">
        <f t="array" aca="1" ref="A94" ca="1">HYPERLINK(CONCATENATE("#",CELL("address",IF(MAX($CM94:$CU94)=0,A94,INDEX($CM94:$CU94,MATCH(1,$CM94:$CU94,0))))),MAX($CM94:$CU94))</f>
        <v>0</v>
      </c>
      <c r="C94" s="213" t="s">
        <v>541</v>
      </c>
      <c r="D94" s="534" t="s">
        <v>394</v>
      </c>
      <c r="E94" s="114"/>
      <c r="F94" s="79" t="str" cm="1">
        <f t="array" aca="1" ref="F94" ca="1">IF(E94="", "", HYPERLINK(CONCATENATE("#",CELL("address",INDEX('I&amp;E Profiles'!$D$9:$D$93,'I&amp;E Annual'!I94))),E94))</f>
        <v/>
      </c>
      <c r="G94" s="114"/>
      <c r="H94" t="s">
        <v>317</v>
      </c>
      <c r="I94" s="132" t="str">
        <f>IF(E94="", "", MATCH(E94, 'I&amp;E Profiles'!$D$96:$D$180,0))</f>
        <v/>
      </c>
      <c r="J94" s="133">
        <f>IF($G94=$G$7, W94,'I&amp;E Monthly'!W94)-SUMIFS('I&amp;E Monthly'!$AA94:$BJ94, 'I&amp;E Monthly'!$AA$3:$BJ$3, 'I&amp;E Annual'!W$3, 'I&amp;E Monthly'!$AA$4:$BJ$4, 0)</f>
        <v>0</v>
      </c>
      <c r="K94" s="133">
        <f>IF($G94=$G$7, X94,'I&amp;E Monthly'!X94)-SUMIFS('I&amp;E Monthly'!$AA94:$BJ94, 'I&amp;E Monthly'!$AA$3:$BJ$3, 'I&amp;E Annual'!X$3, 'I&amp;E Monthly'!$AA$4:$BJ$4, 0)</f>
        <v>0</v>
      </c>
      <c r="L94" s="133">
        <f>IF($G94=$G$7, Y94,'I&amp;E Monthly'!Y94)-SUMIFS('I&amp;E Monthly'!$AA94:$BJ94, 'I&amp;E Monthly'!$AA$3:$BJ$3, 'I&amp;E Annual'!Y$3, 'I&amp;E Monthly'!$AA$4:$BJ$4, 0)</f>
        <v>0</v>
      </c>
      <c r="Q94" s="2"/>
      <c r="V94" s="133">
        <f>'I&amp;E Monthly'!V94</f>
        <v>0</v>
      </c>
      <c r="W94" s="114"/>
      <c r="X94" s="131"/>
      <c r="Y94" s="131"/>
      <c r="AA94" s="10" cm="1">
        <f t="array" ref="AA94">IF(OR(AA$4=0, $G94&lt;&gt; $G$7, $E94=0), 'I&amp;E Monthly'!AA94, CHOOSE(Timeline!AA$30,$J94,$K94,$L94 )*INDEX('I&amp;E Profiles'!AA$96:AA$180,$I94))</f>
        <v>0</v>
      </c>
      <c r="AB94" s="10" cm="1">
        <f t="array" ref="AB94">IF(OR(AB$4=0, $G94&lt;&gt; $G$7, $E94=0), 'I&amp;E Monthly'!AB94, CHOOSE(Timeline!AB$30,$J94,$K94,$L94 )*INDEX('I&amp;E Profiles'!AB$96:AB$180,$I94))</f>
        <v>0</v>
      </c>
      <c r="AC94" s="10" cm="1">
        <f t="array" ref="AC94">IF(OR(AC$4=0, $G94&lt;&gt; $G$7, $E94=0), 'I&amp;E Monthly'!AC94, CHOOSE(Timeline!AC$30,$J94,$K94,$L94 )*INDEX('I&amp;E Profiles'!AC$96:AC$180,$I94))</f>
        <v>0</v>
      </c>
      <c r="AD94" s="10" cm="1">
        <f t="array" ref="AD94">IF(OR(AD$4=0, $G94&lt;&gt; $G$7, $E94=0), 'I&amp;E Monthly'!AD94, CHOOSE(Timeline!AD$30,$J94,$K94,$L94 )*INDEX('I&amp;E Profiles'!AD$96:AD$180,$I94))</f>
        <v>0</v>
      </c>
      <c r="AE94" s="10" cm="1">
        <f t="array" ref="AE94">IF(OR(AE$4=0, $G94&lt;&gt; $G$7, $E94=0), 'I&amp;E Monthly'!AE94, CHOOSE(Timeline!AE$30,$J94,$K94,$L94 )*INDEX('I&amp;E Profiles'!AE$96:AE$180,$I94))</f>
        <v>0</v>
      </c>
      <c r="AF94" s="10" cm="1">
        <f t="array" ref="AF94">IF(OR(AF$4=0, $G94&lt;&gt; $G$7, $E94=0), 'I&amp;E Monthly'!AF94, CHOOSE(Timeline!AF$30,$J94,$K94,$L94 )*INDEX('I&amp;E Profiles'!AF$96:AF$180,$I94))</f>
        <v>0</v>
      </c>
      <c r="AG94" s="10" cm="1">
        <f t="array" ref="AG94">IF(OR(AG$4=0, $G94&lt;&gt; $G$7, $E94=0), 'I&amp;E Monthly'!AG94, CHOOSE(Timeline!AG$30,$J94,$K94,$L94 )*INDEX('I&amp;E Profiles'!AG$96:AG$180,$I94))</f>
        <v>0</v>
      </c>
      <c r="AH94" s="10" cm="1">
        <f t="array" ref="AH94">IF(OR(AH$4=0, $G94&lt;&gt; $G$7, $E94=0), 'I&amp;E Monthly'!AH94, CHOOSE(Timeline!AH$30,$J94,$K94,$L94 )*INDEX('I&amp;E Profiles'!AH$96:AH$180,$I94))</f>
        <v>0</v>
      </c>
      <c r="AI94" s="10" cm="1">
        <f t="array" ref="AI94">IF(OR(AI$4=0, $G94&lt;&gt; $G$7, $E94=0), 'I&amp;E Monthly'!AI94, CHOOSE(Timeline!AI$30,$J94,$K94,$L94 )*INDEX('I&amp;E Profiles'!AI$96:AI$180,$I94))</f>
        <v>0</v>
      </c>
      <c r="AJ94" s="10" cm="1">
        <f t="array" ref="AJ94">IF(OR(AJ$4=0, $G94&lt;&gt; $G$7, $E94=0), 'I&amp;E Monthly'!AJ94, CHOOSE(Timeline!AJ$30,$J94,$K94,$L94 )*INDEX('I&amp;E Profiles'!AJ$96:AJ$180,$I94))</f>
        <v>0</v>
      </c>
      <c r="AK94" s="10" cm="1">
        <f t="array" ref="AK94">IF(OR(AK$4=0, $G94&lt;&gt; $G$7, $E94=0), 'I&amp;E Monthly'!AK94, CHOOSE(Timeline!AK$30,$J94,$K94,$L94 )*INDEX('I&amp;E Profiles'!AK$96:AK$180,$I94))</f>
        <v>0</v>
      </c>
      <c r="AL94" s="10" cm="1">
        <f t="array" ref="AL94">IF(OR(AL$4=0, $G94&lt;&gt; $G$7, $E94=0), 'I&amp;E Monthly'!AL94, CHOOSE(Timeline!AL$30,$J94,$K94,$L94 )*INDEX('I&amp;E Profiles'!AL$96:AL$180,$I94))</f>
        <v>0</v>
      </c>
      <c r="AM94" s="10" cm="1">
        <f t="array" ref="AM94">IF(OR(AM$4=0, $G94&lt;&gt; $G$7, $E94=0), 'I&amp;E Monthly'!AM94, CHOOSE(Timeline!AM$30,$J94,$K94,$L94 )*INDEX('I&amp;E Profiles'!AM$96:AM$180,$I94))</f>
        <v>0</v>
      </c>
      <c r="AN94" s="10" cm="1">
        <f t="array" ref="AN94">IF(OR(AN$4=0, $G94&lt;&gt; $G$7, $E94=0), 'I&amp;E Monthly'!AN94, CHOOSE(Timeline!AN$30,$J94,$K94,$L94 )*INDEX('I&amp;E Profiles'!AN$96:AN$180,$I94))</f>
        <v>0</v>
      </c>
      <c r="AO94" s="10" cm="1">
        <f t="array" ref="AO94">IF(OR(AO$4=0, $G94&lt;&gt; $G$7, $E94=0), 'I&amp;E Monthly'!AO94, CHOOSE(Timeline!AO$30,$J94,$K94,$L94 )*INDEX('I&amp;E Profiles'!AO$96:AO$180,$I94))</f>
        <v>0</v>
      </c>
      <c r="AP94" s="10" cm="1">
        <f t="array" ref="AP94">IF(OR(AP$4=0, $G94&lt;&gt; $G$7, $E94=0), 'I&amp;E Monthly'!AP94, CHOOSE(Timeline!AP$30,$J94,$K94,$L94 )*INDEX('I&amp;E Profiles'!AP$96:AP$180,$I94))</f>
        <v>0</v>
      </c>
      <c r="AQ94" s="10" cm="1">
        <f t="array" ref="AQ94">IF(OR(AQ$4=0, $G94&lt;&gt; $G$7, $E94=0), 'I&amp;E Monthly'!AQ94, CHOOSE(Timeline!AQ$30,$J94,$K94,$L94 )*INDEX('I&amp;E Profiles'!AQ$96:AQ$180,$I94))</f>
        <v>0</v>
      </c>
      <c r="AR94" s="10" cm="1">
        <f t="array" ref="AR94">IF(OR(AR$4=0, $G94&lt;&gt; $G$7, $E94=0), 'I&amp;E Monthly'!AR94, CHOOSE(Timeline!AR$30,$J94,$K94,$L94 )*INDEX('I&amp;E Profiles'!AR$96:AR$180,$I94))</f>
        <v>0</v>
      </c>
      <c r="AS94" s="10" cm="1">
        <f t="array" ref="AS94">IF(OR(AS$4=0, $G94&lt;&gt; $G$7, $E94=0), 'I&amp;E Monthly'!AS94, CHOOSE(Timeline!AS$30,$J94,$K94,$L94 )*INDEX('I&amp;E Profiles'!AS$96:AS$180,$I94))</f>
        <v>0</v>
      </c>
      <c r="AT94" s="10" cm="1">
        <f t="array" ref="AT94">IF(OR(AT$4=0, $G94&lt;&gt; $G$7, $E94=0), 'I&amp;E Monthly'!AT94, CHOOSE(Timeline!AT$30,$J94,$K94,$L94 )*INDEX('I&amp;E Profiles'!AT$96:AT$180,$I94))</f>
        <v>0</v>
      </c>
      <c r="AU94" s="10" cm="1">
        <f t="array" ref="AU94">IF(OR(AU$4=0, $G94&lt;&gt; $G$7, $E94=0), 'I&amp;E Monthly'!AU94, CHOOSE(Timeline!AU$30,$J94,$K94,$L94 )*INDEX('I&amp;E Profiles'!AU$96:AU$180,$I94))</f>
        <v>0</v>
      </c>
      <c r="AV94" s="10" cm="1">
        <f t="array" ref="AV94">IF(OR(AV$4=0, $G94&lt;&gt; $G$7, $E94=0), 'I&amp;E Monthly'!AV94, CHOOSE(Timeline!AV$30,$J94,$K94,$L94 )*INDEX('I&amp;E Profiles'!AV$96:AV$180,$I94))</f>
        <v>0</v>
      </c>
      <c r="AW94" s="10" cm="1">
        <f t="array" ref="AW94">IF(OR(AW$4=0, $G94&lt;&gt; $G$7, $E94=0), 'I&amp;E Monthly'!AW94, CHOOSE(Timeline!AW$30,$J94,$K94,$L94 )*INDEX('I&amp;E Profiles'!AW$96:AW$180,$I94))</f>
        <v>0</v>
      </c>
      <c r="AX94" s="10" cm="1">
        <f t="array" ref="AX94">IF(OR(AX$4=0, $G94&lt;&gt; $G$7, $E94=0), 'I&amp;E Monthly'!AX94, CHOOSE(Timeline!AX$30,$J94,$K94,$L94 )*INDEX('I&amp;E Profiles'!AX$96:AX$180,$I94))</f>
        <v>0</v>
      </c>
      <c r="AY94" s="10" cm="1">
        <f t="array" ref="AY94">IF(OR(AY$4=0, $G94&lt;&gt; $G$7, $E94=0), 'I&amp;E Monthly'!AY94, CHOOSE(Timeline!AY$30,$J94,$K94,$L94 )*INDEX('I&amp;E Profiles'!AY$96:AY$180,$I94))</f>
        <v>0</v>
      </c>
      <c r="AZ94" s="10" cm="1">
        <f t="array" ref="AZ94">IF(OR(AZ$4=0, $G94&lt;&gt; $G$7, $E94=0), 'I&amp;E Monthly'!AZ94, CHOOSE(Timeline!AZ$30,$J94,$K94,$L94 )*INDEX('I&amp;E Profiles'!AZ$96:AZ$180,$I94))</f>
        <v>0</v>
      </c>
      <c r="BA94" s="10" cm="1">
        <f t="array" ref="BA94">IF(OR(BA$4=0, $G94&lt;&gt; $G$7, $E94=0), 'I&amp;E Monthly'!BA94, CHOOSE(Timeline!BA$30,$J94,$K94,$L94 )*INDEX('I&amp;E Profiles'!BA$96:BA$180,$I94))</f>
        <v>0</v>
      </c>
      <c r="BB94" s="10" cm="1">
        <f t="array" ref="BB94">IF(OR(BB$4=0, $G94&lt;&gt; $G$7, $E94=0), 'I&amp;E Monthly'!BB94, CHOOSE(Timeline!BB$30,$J94,$K94,$L94 )*INDEX('I&amp;E Profiles'!BB$96:BB$180,$I94))</f>
        <v>0</v>
      </c>
      <c r="BC94" s="10" cm="1">
        <f t="array" ref="BC94">IF(OR(BC$4=0, $G94&lt;&gt; $G$7, $E94=0), 'I&amp;E Monthly'!BC94, CHOOSE(Timeline!BC$30,$J94,$K94,$L94 )*INDEX('I&amp;E Profiles'!BC$96:BC$180,$I94))</f>
        <v>0</v>
      </c>
      <c r="BD94" s="10" cm="1">
        <f t="array" ref="BD94">IF(OR(BD$4=0, $G94&lt;&gt; $G$7, $E94=0), 'I&amp;E Monthly'!BD94, CHOOSE(Timeline!BD$30,$J94,$K94,$L94 )*INDEX('I&amp;E Profiles'!BD$96:BD$180,$I94))</f>
        <v>0</v>
      </c>
      <c r="BE94" s="10" cm="1">
        <f t="array" ref="BE94">IF(OR(BE$4=0, $G94&lt;&gt; $G$7, $E94=0), 'I&amp;E Monthly'!BE94, CHOOSE(Timeline!BE$30,$J94,$K94,$L94 )*INDEX('I&amp;E Profiles'!BE$96:BE$180,$I94))</f>
        <v>0</v>
      </c>
      <c r="BF94" s="10" cm="1">
        <f t="array" ref="BF94">IF(OR(BF$4=0, $G94&lt;&gt; $G$7, $E94=0), 'I&amp;E Monthly'!BF94, CHOOSE(Timeline!BF$30,$J94,$K94,$L94 )*INDEX('I&amp;E Profiles'!BF$96:BF$180,$I94))</f>
        <v>0</v>
      </c>
      <c r="BG94" s="10" cm="1">
        <f t="array" ref="BG94">IF(OR(BG$4=0, $G94&lt;&gt; $G$7, $E94=0), 'I&amp;E Monthly'!BG94, CHOOSE(Timeline!BG$30,$J94,$K94,$L94 )*INDEX('I&amp;E Profiles'!BG$96:BG$180,$I94))</f>
        <v>0</v>
      </c>
      <c r="BH94" s="10" cm="1">
        <f t="array" ref="BH94">IF(OR(BH$4=0, $G94&lt;&gt; $G$7, $E94=0), 'I&amp;E Monthly'!BH94, CHOOSE(Timeline!BH$30,$J94,$K94,$L94 )*INDEX('I&amp;E Profiles'!BH$96:BH$180,$I94))</f>
        <v>0</v>
      </c>
      <c r="BI94" s="10" cm="1">
        <f t="array" ref="BI94">IF(OR(BI$4=0, $G94&lt;&gt; $G$7, $E94=0), 'I&amp;E Monthly'!BI94, CHOOSE(Timeline!BI$30,$J94,$K94,$L94 )*INDEX('I&amp;E Profiles'!BI$96:BI$180,$I94))</f>
        <v>0</v>
      </c>
      <c r="BJ94" s="10" cm="1">
        <f t="array" ref="BJ94">IF(OR(BJ$4=0, $G94&lt;&gt; $G$7, $E94=0), 'I&amp;E Monthly'!BJ94, CHOOSE(Timeline!BJ$30,$J94,$K94,$L94 )*INDEX('I&amp;E Profiles'!BJ$96:BJ$180,$I94))</f>
        <v>0</v>
      </c>
      <c r="BX94" s="12">
        <f>V94</f>
        <v>0</v>
      </c>
      <c r="BY94" s="10">
        <f t="shared" si="114"/>
        <v>0</v>
      </c>
      <c r="BZ94" s="10">
        <f t="shared" si="114"/>
        <v>0</v>
      </c>
      <c r="CA94" s="10">
        <f t="shared" si="114"/>
        <v>0</v>
      </c>
      <c r="CB94" s="12">
        <f>'I&amp;E Monthly'!CB94</f>
        <v>0</v>
      </c>
      <c r="CC94" s="12">
        <f>'I&amp;E Monthly'!CC94</f>
        <v>0</v>
      </c>
      <c r="CD94" s="12">
        <f>'I&amp;E Monthly'!CD94</f>
        <v>0</v>
      </c>
      <c r="CE94" s="12">
        <f>'I&amp;E Monthly'!CE94</f>
        <v>0</v>
      </c>
      <c r="CF94" s="12">
        <f>'I&amp;E Monthly'!CF94</f>
        <v>0</v>
      </c>
      <c r="CG94" s="12">
        <f>'I&amp;E Monthly'!CG94</f>
        <v>0</v>
      </c>
      <c r="CH94" s="12">
        <f>'I&amp;E Monthly'!CH94</f>
        <v>0</v>
      </c>
      <c r="CI94" s="12">
        <f>'I&amp;E Monthly'!CI94</f>
        <v>0</v>
      </c>
      <c r="CK94" s="11"/>
      <c r="CL94" s="221">
        <f ca="1">IF(MIN($V94:$CI94)&lt;0, 1, 0)*$I$7</f>
        <v>0</v>
      </c>
      <c r="CM94" s="11"/>
      <c r="CN94" s="7">
        <f>IF(AND($G94=$G$7,$E94=""), 1, 0)</f>
        <v>0</v>
      </c>
      <c r="CO94" s="7" cm="1">
        <f t="array" ref="CO94">SUMPRODUCT(--NOT(ISNUMBER(W94:Y94)),--NOT(ISBLANK(W94:Y94)))</f>
        <v>0</v>
      </c>
      <c r="CP94" s="7" cm="1">
        <f t="array" ref="CP94">IF(E94="",0, IF(IFERROR(INDEX('I&amp;E Profiles'!$D$96:$D$180, $I94), "N/A")="N/A", 1, 0))</f>
        <v>0</v>
      </c>
      <c r="CQ94" s="7">
        <f>IF(SUM($CV94:$CX94)=0, 0, 1)</f>
        <v>0</v>
      </c>
      <c r="CS94" s="7">
        <f>IF(SUM($CY94:$DA94)=0, 0, 1)</f>
        <v>0</v>
      </c>
      <c r="CT94" s="7">
        <f>IF(DB94=0, 0, 1)</f>
        <v>0</v>
      </c>
      <c r="CU94" s="11"/>
      <c r="CV94" s="215">
        <f t="shared" si="115"/>
        <v>0</v>
      </c>
      <c r="CW94" s="215">
        <f t="shared" si="115"/>
        <v>0</v>
      </c>
      <c r="CX94" s="215">
        <f t="shared" si="115"/>
        <v>0</v>
      </c>
      <c r="CY94" s="215">
        <f>ROUND($BY94-SUMIFS($AA94:$BJ94, $AA$3:$BJ$3, $BY$3), rounding)</f>
        <v>0</v>
      </c>
      <c r="CZ94" s="215">
        <f>ROUND($BZ94-SUMIFS($AA94:$BJ94, $AA$3:$BJ$3, $BZ$3), rounding)</f>
        <v>0</v>
      </c>
      <c r="DA94" s="215">
        <f>ROUND($CA94-SUMIFS($AA94:$BJ94, $AA$3:$BJ$3, $CA$3), rounding)</f>
        <v>0</v>
      </c>
      <c r="DB94" s="215">
        <f>ROUND($V94-$BX94, rounding)</f>
        <v>0</v>
      </c>
      <c r="FN94" s="10" t="str">
        <f t="shared" si="107"/>
        <v>Exceptional Restructuring Funding</v>
      </c>
    </row>
    <row r="95" spans="1:170" x14ac:dyDescent="0.35">
      <c r="A95" s="220" cm="1">
        <f t="array" aca="1" ref="A95" ca="1">HYPERLINK(CONCATENATE("#",CELL("address",IF(MAX($CM95:$CU95)=0,A95,INDEX($CM95:$CU95,MATCH(1,$CM95:$CU95,0))))),MAX($CM95:$CU95))</f>
        <v>0</v>
      </c>
      <c r="C95" s="213" t="s">
        <v>542</v>
      </c>
      <c r="D95" s="73" t="s">
        <v>395</v>
      </c>
      <c r="E95" s="114"/>
      <c r="F95" s="79" t="str" cm="1">
        <f t="array" aca="1" ref="F95" ca="1">IF(E95="", "", HYPERLINK(CONCATENATE("#",CELL("address",INDEX('I&amp;E Profiles'!$D$9:$D$93,'I&amp;E Annual'!I95))),E95))</f>
        <v/>
      </c>
      <c r="G95" s="114"/>
      <c r="H95" t="s">
        <v>317</v>
      </c>
      <c r="I95" s="132" t="str">
        <f>IF(E95="", "", MATCH(E95, 'I&amp;E Profiles'!$D$96:$D$180,0))</f>
        <v/>
      </c>
      <c r="J95" s="133">
        <f>IF($G95=$G$7, W95,'I&amp;E Monthly'!W95)-SUMIFS('I&amp;E Monthly'!$AA95:$BJ95, 'I&amp;E Monthly'!$AA$3:$BJ$3, 'I&amp;E Annual'!W$3, 'I&amp;E Monthly'!$AA$4:$BJ$4, 0)</f>
        <v>0</v>
      </c>
      <c r="K95" s="133">
        <f>IF($G95=$G$7, X95,'I&amp;E Monthly'!X95)-SUMIFS('I&amp;E Monthly'!$AA95:$BJ95, 'I&amp;E Monthly'!$AA$3:$BJ$3, 'I&amp;E Annual'!X$3, 'I&amp;E Monthly'!$AA$4:$BJ$4, 0)</f>
        <v>0</v>
      </c>
      <c r="L95" s="133">
        <f>IF($G95=$G$7, Y95,'I&amp;E Monthly'!Y95)-SUMIFS('I&amp;E Monthly'!$AA95:$BJ95, 'I&amp;E Monthly'!$AA$3:$BJ$3, 'I&amp;E Annual'!Y$3, 'I&amp;E Monthly'!$AA$4:$BJ$4, 0)</f>
        <v>0</v>
      </c>
      <c r="Q95" s="2"/>
      <c r="V95" s="133">
        <f>'I&amp;E Monthly'!V95</f>
        <v>0</v>
      </c>
      <c r="W95" s="114"/>
      <c r="X95" s="131"/>
      <c r="Y95" s="131"/>
      <c r="AA95" s="10" cm="1">
        <f t="array" ref="AA95">IF(OR(AA$4=0, $G95&lt;&gt; $G$7, $E95=0), 'I&amp;E Monthly'!AA95, CHOOSE(Timeline!AA$30,$J95,$K95,$L95 )*INDEX('I&amp;E Profiles'!AA$96:AA$180,$I95))</f>
        <v>0</v>
      </c>
      <c r="AB95" s="10" cm="1">
        <f t="array" ref="AB95">IF(OR(AB$4=0, $G95&lt;&gt; $G$7, $E95=0), 'I&amp;E Monthly'!AB95, CHOOSE(Timeline!AB$30,$J95,$K95,$L95 )*INDEX('I&amp;E Profiles'!AB$96:AB$180,$I95))</f>
        <v>0</v>
      </c>
      <c r="AC95" s="10" cm="1">
        <f t="array" ref="AC95">IF(OR(AC$4=0, $G95&lt;&gt; $G$7, $E95=0), 'I&amp;E Monthly'!AC95, CHOOSE(Timeline!AC$30,$J95,$K95,$L95 )*INDEX('I&amp;E Profiles'!AC$96:AC$180,$I95))</f>
        <v>0</v>
      </c>
      <c r="AD95" s="10" cm="1">
        <f t="array" ref="AD95">IF(OR(AD$4=0, $G95&lt;&gt; $G$7, $E95=0), 'I&amp;E Monthly'!AD95, CHOOSE(Timeline!AD$30,$J95,$K95,$L95 )*INDEX('I&amp;E Profiles'!AD$96:AD$180,$I95))</f>
        <v>0</v>
      </c>
      <c r="AE95" s="10" cm="1">
        <f t="array" ref="AE95">IF(OR(AE$4=0, $G95&lt;&gt; $G$7, $E95=0), 'I&amp;E Monthly'!AE95, CHOOSE(Timeline!AE$30,$J95,$K95,$L95 )*INDEX('I&amp;E Profiles'!AE$96:AE$180,$I95))</f>
        <v>0</v>
      </c>
      <c r="AF95" s="10" cm="1">
        <f t="array" ref="AF95">IF(OR(AF$4=0, $G95&lt;&gt; $G$7, $E95=0), 'I&amp;E Monthly'!AF95, CHOOSE(Timeline!AF$30,$J95,$K95,$L95 )*INDEX('I&amp;E Profiles'!AF$96:AF$180,$I95))</f>
        <v>0</v>
      </c>
      <c r="AG95" s="10" cm="1">
        <f t="array" ref="AG95">IF(OR(AG$4=0, $G95&lt;&gt; $G$7, $E95=0), 'I&amp;E Monthly'!AG95, CHOOSE(Timeline!AG$30,$J95,$K95,$L95 )*INDEX('I&amp;E Profiles'!AG$96:AG$180,$I95))</f>
        <v>0</v>
      </c>
      <c r="AH95" s="10" cm="1">
        <f t="array" ref="AH95">IF(OR(AH$4=0, $G95&lt;&gt; $G$7, $E95=0), 'I&amp;E Monthly'!AH95, CHOOSE(Timeline!AH$30,$J95,$K95,$L95 )*INDEX('I&amp;E Profiles'!AH$96:AH$180,$I95))</f>
        <v>0</v>
      </c>
      <c r="AI95" s="10" cm="1">
        <f t="array" ref="AI95">IF(OR(AI$4=0, $G95&lt;&gt; $G$7, $E95=0), 'I&amp;E Monthly'!AI95, CHOOSE(Timeline!AI$30,$J95,$K95,$L95 )*INDEX('I&amp;E Profiles'!AI$96:AI$180,$I95))</f>
        <v>0</v>
      </c>
      <c r="AJ95" s="10" cm="1">
        <f t="array" ref="AJ95">IF(OR(AJ$4=0, $G95&lt;&gt; $G$7, $E95=0), 'I&amp;E Monthly'!AJ95, CHOOSE(Timeline!AJ$30,$J95,$K95,$L95 )*INDEX('I&amp;E Profiles'!AJ$96:AJ$180,$I95))</f>
        <v>0</v>
      </c>
      <c r="AK95" s="10" cm="1">
        <f t="array" ref="AK95">IF(OR(AK$4=0, $G95&lt;&gt; $G$7, $E95=0), 'I&amp;E Monthly'!AK95, CHOOSE(Timeline!AK$30,$J95,$K95,$L95 )*INDEX('I&amp;E Profiles'!AK$96:AK$180,$I95))</f>
        <v>0</v>
      </c>
      <c r="AL95" s="10" cm="1">
        <f t="array" ref="AL95">IF(OR(AL$4=0, $G95&lt;&gt; $G$7, $E95=0), 'I&amp;E Monthly'!AL95, CHOOSE(Timeline!AL$30,$J95,$K95,$L95 )*INDEX('I&amp;E Profiles'!AL$96:AL$180,$I95))</f>
        <v>0</v>
      </c>
      <c r="AM95" s="10" cm="1">
        <f t="array" ref="AM95">IF(OR(AM$4=0, $G95&lt;&gt; $G$7, $E95=0), 'I&amp;E Monthly'!AM95, CHOOSE(Timeline!AM$30,$J95,$K95,$L95 )*INDEX('I&amp;E Profiles'!AM$96:AM$180,$I95))</f>
        <v>0</v>
      </c>
      <c r="AN95" s="10" cm="1">
        <f t="array" ref="AN95">IF(OR(AN$4=0, $G95&lt;&gt; $G$7, $E95=0), 'I&amp;E Monthly'!AN95, CHOOSE(Timeline!AN$30,$J95,$K95,$L95 )*INDEX('I&amp;E Profiles'!AN$96:AN$180,$I95))</f>
        <v>0</v>
      </c>
      <c r="AO95" s="10" cm="1">
        <f t="array" ref="AO95">IF(OR(AO$4=0, $G95&lt;&gt; $G$7, $E95=0), 'I&amp;E Monthly'!AO95, CHOOSE(Timeline!AO$30,$J95,$K95,$L95 )*INDEX('I&amp;E Profiles'!AO$96:AO$180,$I95))</f>
        <v>0</v>
      </c>
      <c r="AP95" s="10" cm="1">
        <f t="array" ref="AP95">IF(OR(AP$4=0, $G95&lt;&gt; $G$7, $E95=0), 'I&amp;E Monthly'!AP95, CHOOSE(Timeline!AP$30,$J95,$K95,$L95 )*INDEX('I&amp;E Profiles'!AP$96:AP$180,$I95))</f>
        <v>0</v>
      </c>
      <c r="AQ95" s="10" cm="1">
        <f t="array" ref="AQ95">IF(OR(AQ$4=0, $G95&lt;&gt; $G$7, $E95=0), 'I&amp;E Monthly'!AQ95, CHOOSE(Timeline!AQ$30,$J95,$K95,$L95 )*INDEX('I&amp;E Profiles'!AQ$96:AQ$180,$I95))</f>
        <v>0</v>
      </c>
      <c r="AR95" s="10" cm="1">
        <f t="array" ref="AR95">IF(OR(AR$4=0, $G95&lt;&gt; $G$7, $E95=0), 'I&amp;E Monthly'!AR95, CHOOSE(Timeline!AR$30,$J95,$K95,$L95 )*INDEX('I&amp;E Profiles'!AR$96:AR$180,$I95))</f>
        <v>0</v>
      </c>
      <c r="AS95" s="10" cm="1">
        <f t="array" ref="AS95">IF(OR(AS$4=0, $G95&lt;&gt; $G$7, $E95=0), 'I&amp;E Monthly'!AS95, CHOOSE(Timeline!AS$30,$J95,$K95,$L95 )*INDEX('I&amp;E Profiles'!AS$96:AS$180,$I95))</f>
        <v>0</v>
      </c>
      <c r="AT95" s="10" cm="1">
        <f t="array" ref="AT95">IF(OR(AT$4=0, $G95&lt;&gt; $G$7, $E95=0), 'I&amp;E Monthly'!AT95, CHOOSE(Timeline!AT$30,$J95,$K95,$L95 )*INDEX('I&amp;E Profiles'!AT$96:AT$180,$I95))</f>
        <v>0</v>
      </c>
      <c r="AU95" s="10" cm="1">
        <f t="array" ref="AU95">IF(OR(AU$4=0, $G95&lt;&gt; $G$7, $E95=0), 'I&amp;E Monthly'!AU95, CHOOSE(Timeline!AU$30,$J95,$K95,$L95 )*INDEX('I&amp;E Profiles'!AU$96:AU$180,$I95))</f>
        <v>0</v>
      </c>
      <c r="AV95" s="10" cm="1">
        <f t="array" ref="AV95">IF(OR(AV$4=0, $G95&lt;&gt; $G$7, $E95=0), 'I&amp;E Monthly'!AV95, CHOOSE(Timeline!AV$30,$J95,$K95,$L95 )*INDEX('I&amp;E Profiles'!AV$96:AV$180,$I95))</f>
        <v>0</v>
      </c>
      <c r="AW95" s="10" cm="1">
        <f t="array" ref="AW95">IF(OR(AW$4=0, $G95&lt;&gt; $G$7, $E95=0), 'I&amp;E Monthly'!AW95, CHOOSE(Timeline!AW$30,$J95,$K95,$L95 )*INDEX('I&amp;E Profiles'!AW$96:AW$180,$I95))</f>
        <v>0</v>
      </c>
      <c r="AX95" s="10" cm="1">
        <f t="array" ref="AX95">IF(OR(AX$4=0, $G95&lt;&gt; $G$7, $E95=0), 'I&amp;E Monthly'!AX95, CHOOSE(Timeline!AX$30,$J95,$K95,$L95 )*INDEX('I&amp;E Profiles'!AX$96:AX$180,$I95))</f>
        <v>0</v>
      </c>
      <c r="AY95" s="10" cm="1">
        <f t="array" ref="AY95">IF(OR(AY$4=0, $G95&lt;&gt; $G$7, $E95=0), 'I&amp;E Monthly'!AY95, CHOOSE(Timeline!AY$30,$J95,$K95,$L95 )*INDEX('I&amp;E Profiles'!AY$96:AY$180,$I95))</f>
        <v>0</v>
      </c>
      <c r="AZ95" s="10" cm="1">
        <f t="array" ref="AZ95">IF(OR(AZ$4=0, $G95&lt;&gt; $G$7, $E95=0), 'I&amp;E Monthly'!AZ95, CHOOSE(Timeline!AZ$30,$J95,$K95,$L95 )*INDEX('I&amp;E Profiles'!AZ$96:AZ$180,$I95))</f>
        <v>0</v>
      </c>
      <c r="BA95" s="10" cm="1">
        <f t="array" ref="BA95">IF(OR(BA$4=0, $G95&lt;&gt; $G$7, $E95=0), 'I&amp;E Monthly'!BA95, CHOOSE(Timeline!BA$30,$J95,$K95,$L95 )*INDEX('I&amp;E Profiles'!BA$96:BA$180,$I95))</f>
        <v>0</v>
      </c>
      <c r="BB95" s="10" cm="1">
        <f t="array" ref="BB95">IF(OR(BB$4=0, $G95&lt;&gt; $G$7, $E95=0), 'I&amp;E Monthly'!BB95, CHOOSE(Timeline!BB$30,$J95,$K95,$L95 )*INDEX('I&amp;E Profiles'!BB$96:BB$180,$I95))</f>
        <v>0</v>
      </c>
      <c r="BC95" s="10" cm="1">
        <f t="array" ref="BC95">IF(OR(BC$4=0, $G95&lt;&gt; $G$7, $E95=0), 'I&amp;E Monthly'!BC95, CHOOSE(Timeline!BC$30,$J95,$K95,$L95 )*INDEX('I&amp;E Profiles'!BC$96:BC$180,$I95))</f>
        <v>0</v>
      </c>
      <c r="BD95" s="10" cm="1">
        <f t="array" ref="BD95">IF(OR(BD$4=0, $G95&lt;&gt; $G$7, $E95=0), 'I&amp;E Monthly'!BD95, CHOOSE(Timeline!BD$30,$J95,$K95,$L95 )*INDEX('I&amp;E Profiles'!BD$96:BD$180,$I95))</f>
        <v>0</v>
      </c>
      <c r="BE95" s="10" cm="1">
        <f t="array" ref="BE95">IF(OR(BE$4=0, $G95&lt;&gt; $G$7, $E95=0), 'I&amp;E Monthly'!BE95, CHOOSE(Timeline!BE$30,$J95,$K95,$L95 )*INDEX('I&amp;E Profiles'!BE$96:BE$180,$I95))</f>
        <v>0</v>
      </c>
      <c r="BF95" s="10" cm="1">
        <f t="array" ref="BF95">IF(OR(BF$4=0, $G95&lt;&gt; $G$7, $E95=0), 'I&amp;E Monthly'!BF95, CHOOSE(Timeline!BF$30,$J95,$K95,$L95 )*INDEX('I&amp;E Profiles'!BF$96:BF$180,$I95))</f>
        <v>0</v>
      </c>
      <c r="BG95" s="10" cm="1">
        <f t="array" ref="BG95">IF(OR(BG$4=0, $G95&lt;&gt; $G$7, $E95=0), 'I&amp;E Monthly'!BG95, CHOOSE(Timeline!BG$30,$J95,$K95,$L95 )*INDEX('I&amp;E Profiles'!BG$96:BG$180,$I95))</f>
        <v>0</v>
      </c>
      <c r="BH95" s="10" cm="1">
        <f t="array" ref="BH95">IF(OR(BH$4=0, $G95&lt;&gt; $G$7, $E95=0), 'I&amp;E Monthly'!BH95, CHOOSE(Timeline!BH$30,$J95,$K95,$L95 )*INDEX('I&amp;E Profiles'!BH$96:BH$180,$I95))</f>
        <v>0</v>
      </c>
      <c r="BI95" s="10" cm="1">
        <f t="array" ref="BI95">IF(OR(BI$4=0, $G95&lt;&gt; $G$7, $E95=0), 'I&amp;E Monthly'!BI95, CHOOSE(Timeline!BI$30,$J95,$K95,$L95 )*INDEX('I&amp;E Profiles'!BI$96:BI$180,$I95))</f>
        <v>0</v>
      </c>
      <c r="BJ95" s="10" cm="1">
        <f t="array" ref="BJ95">IF(OR(BJ$4=0, $G95&lt;&gt; $G$7, $E95=0), 'I&amp;E Monthly'!BJ95, CHOOSE(Timeline!BJ$30,$J95,$K95,$L95 )*INDEX('I&amp;E Profiles'!BJ$96:BJ$180,$I95))</f>
        <v>0</v>
      </c>
      <c r="BX95" s="12">
        <f>V95</f>
        <v>0</v>
      </c>
      <c r="BY95" s="10">
        <f t="shared" si="114"/>
        <v>0</v>
      </c>
      <c r="BZ95" s="10">
        <f t="shared" si="114"/>
        <v>0</v>
      </c>
      <c r="CA95" s="10">
        <f t="shared" si="114"/>
        <v>0</v>
      </c>
      <c r="CB95" s="12">
        <f>'I&amp;E Monthly'!CB95</f>
        <v>0</v>
      </c>
      <c r="CC95" s="12">
        <f>'I&amp;E Monthly'!CC95</f>
        <v>0</v>
      </c>
      <c r="CD95" s="12">
        <f>'I&amp;E Monthly'!CD95</f>
        <v>0</v>
      </c>
      <c r="CE95" s="12">
        <f>'I&amp;E Monthly'!CE95</f>
        <v>0</v>
      </c>
      <c r="CF95" s="12">
        <f>'I&amp;E Monthly'!CF95</f>
        <v>0</v>
      </c>
      <c r="CG95" s="12">
        <f>'I&amp;E Monthly'!CG95</f>
        <v>0</v>
      </c>
      <c r="CH95" s="12">
        <f>'I&amp;E Monthly'!CH95</f>
        <v>0</v>
      </c>
      <c r="CI95" s="12">
        <f>'I&amp;E Monthly'!CI95</f>
        <v>0</v>
      </c>
      <c r="CK95" s="11"/>
      <c r="CL95" s="221">
        <f ca="1">IF(MIN($V95:$CI95)&lt;0, 1, 0)*$I$7</f>
        <v>0</v>
      </c>
      <c r="CM95" s="11"/>
      <c r="CN95" s="7">
        <f>IF(AND($G95=$G$7,$E95=""), 1, 0)</f>
        <v>0</v>
      </c>
      <c r="CO95" s="7" cm="1">
        <f t="array" ref="CO95">SUMPRODUCT(--NOT(ISNUMBER(W95:Y95)),--NOT(ISBLANK(W95:Y95)))</f>
        <v>0</v>
      </c>
      <c r="CP95" s="7" cm="1">
        <f t="array" ref="CP95">IF(E95="",0, IF(IFERROR(INDEX('I&amp;E Profiles'!$D$96:$D$180, $I95), "N/A")="N/A", 1, 0))</f>
        <v>0</v>
      </c>
      <c r="CQ95" s="7">
        <f>IF(SUM($CV95:$CX95)=0, 0, 1)</f>
        <v>0</v>
      </c>
      <c r="CS95" s="7">
        <f>IF(SUM($CY95:$DA95)=0, 0, 1)</f>
        <v>0</v>
      </c>
      <c r="CT95" s="7">
        <f>IF(DB95=0, 0, 1)</f>
        <v>0</v>
      </c>
      <c r="CU95" s="11"/>
      <c r="CV95" s="215">
        <f t="shared" si="115"/>
        <v>0</v>
      </c>
      <c r="CW95" s="215">
        <f t="shared" si="115"/>
        <v>0</v>
      </c>
      <c r="CX95" s="215">
        <f t="shared" si="115"/>
        <v>0</v>
      </c>
      <c r="CY95" s="215">
        <f>ROUND($BY95-SUMIFS($AA95:$BJ95, $AA$3:$BJ$3, $BY$3), rounding)</f>
        <v>0</v>
      </c>
      <c r="CZ95" s="215">
        <f>ROUND($BZ95-SUMIFS($AA95:$BJ95, $AA$3:$BJ$3, $BZ$3), rounding)</f>
        <v>0</v>
      </c>
      <c r="DA95" s="215">
        <f>ROUND($CA95-SUMIFS($AA95:$BJ95, $AA$3:$BJ$3, $CA$3), rounding)</f>
        <v>0</v>
      </c>
      <c r="DB95" s="215">
        <f>ROUND($V95-$BX95, rounding)</f>
        <v>0</v>
      </c>
      <c r="FN95" s="10" t="str">
        <f t="shared" si="107"/>
        <v>Other Government Support</v>
      </c>
    </row>
    <row r="96" spans="1:170" x14ac:dyDescent="0.35">
      <c r="A96" s="220" cm="1">
        <f t="array" aca="1" ref="A96" ca="1">HYPERLINK(CONCATENATE("#",CELL("address",IF(MAX($CM96:$CU96)=0,A96,INDEX($CM96:$CU96,MATCH(1,$CM96:$CU96,0))))),MAX($CM96:$CU96))</f>
        <v>0</v>
      </c>
      <c r="C96" s="213" t="s">
        <v>543</v>
      </c>
      <c r="D96" s="61" t="s">
        <v>396</v>
      </c>
      <c r="E96" s="5"/>
      <c r="H96" s="76" t="s">
        <v>317</v>
      </c>
      <c r="Q96" s="2"/>
      <c r="V96" s="12">
        <f>SUM(V93:V95)</f>
        <v>0</v>
      </c>
      <c r="W96" s="12">
        <f>SUM(W93:W95)</f>
        <v>0</v>
      </c>
      <c r="X96" s="12">
        <f>SUM(X93:X95)</f>
        <v>0</v>
      </c>
      <c r="Y96" s="12">
        <f>SUM(Y93:Y95)</f>
        <v>0</v>
      </c>
      <c r="AA96" s="12">
        <f t="shared" ref="AA96:BJ96" si="116">SUM(AA93:AA95)</f>
        <v>0</v>
      </c>
      <c r="AB96" s="12">
        <f t="shared" si="116"/>
        <v>0</v>
      </c>
      <c r="AC96" s="12">
        <f t="shared" si="116"/>
        <v>0</v>
      </c>
      <c r="AD96" s="12">
        <f t="shared" si="116"/>
        <v>0</v>
      </c>
      <c r="AE96" s="12">
        <f t="shared" si="116"/>
        <v>0</v>
      </c>
      <c r="AF96" s="12">
        <f t="shared" si="116"/>
        <v>0</v>
      </c>
      <c r="AG96" s="12">
        <f t="shared" si="116"/>
        <v>0</v>
      </c>
      <c r="AH96" s="12">
        <f t="shared" si="116"/>
        <v>0</v>
      </c>
      <c r="AI96" s="12">
        <f t="shared" si="116"/>
        <v>0</v>
      </c>
      <c r="AJ96" s="12">
        <f t="shared" si="116"/>
        <v>0</v>
      </c>
      <c r="AK96" s="12">
        <f t="shared" si="116"/>
        <v>0</v>
      </c>
      <c r="AL96" s="12">
        <f t="shared" si="116"/>
        <v>0</v>
      </c>
      <c r="AM96" s="12">
        <f t="shared" si="116"/>
        <v>0</v>
      </c>
      <c r="AN96" s="12">
        <f t="shared" si="116"/>
        <v>0</v>
      </c>
      <c r="AO96" s="12">
        <f t="shared" si="116"/>
        <v>0</v>
      </c>
      <c r="AP96" s="12">
        <f t="shared" si="116"/>
        <v>0</v>
      </c>
      <c r="AQ96" s="12">
        <f t="shared" si="116"/>
        <v>0</v>
      </c>
      <c r="AR96" s="12">
        <f t="shared" si="116"/>
        <v>0</v>
      </c>
      <c r="AS96" s="12">
        <f t="shared" si="116"/>
        <v>0</v>
      </c>
      <c r="AT96" s="12">
        <f t="shared" si="116"/>
        <v>0</v>
      </c>
      <c r="AU96" s="12">
        <f t="shared" si="116"/>
        <v>0</v>
      </c>
      <c r="AV96" s="12">
        <f t="shared" si="116"/>
        <v>0</v>
      </c>
      <c r="AW96" s="12">
        <f t="shared" si="116"/>
        <v>0</v>
      </c>
      <c r="AX96" s="12">
        <f t="shared" si="116"/>
        <v>0</v>
      </c>
      <c r="AY96" s="12">
        <f t="shared" si="116"/>
        <v>0</v>
      </c>
      <c r="AZ96" s="12">
        <f t="shared" si="116"/>
        <v>0</v>
      </c>
      <c r="BA96" s="12">
        <f t="shared" si="116"/>
        <v>0</v>
      </c>
      <c r="BB96" s="12">
        <f t="shared" si="116"/>
        <v>0</v>
      </c>
      <c r="BC96" s="12">
        <f t="shared" si="116"/>
        <v>0</v>
      </c>
      <c r="BD96" s="12">
        <f t="shared" si="116"/>
        <v>0</v>
      </c>
      <c r="BE96" s="12">
        <f t="shared" si="116"/>
        <v>0</v>
      </c>
      <c r="BF96" s="12">
        <f t="shared" si="116"/>
        <v>0</v>
      </c>
      <c r="BG96" s="12">
        <f t="shared" si="116"/>
        <v>0</v>
      </c>
      <c r="BH96" s="12">
        <f t="shared" si="116"/>
        <v>0</v>
      </c>
      <c r="BI96" s="12">
        <f t="shared" si="116"/>
        <v>0</v>
      </c>
      <c r="BJ96" s="12">
        <f t="shared" si="116"/>
        <v>0</v>
      </c>
      <c r="BX96" s="12">
        <f t="shared" ref="BX96:CI96" si="117">SUM(BX93:BX95)</f>
        <v>0</v>
      </c>
      <c r="BY96" s="12">
        <f t="shared" si="117"/>
        <v>0</v>
      </c>
      <c r="BZ96" s="12">
        <f t="shared" si="117"/>
        <v>0</v>
      </c>
      <c r="CA96" s="12">
        <f t="shared" si="117"/>
        <v>0</v>
      </c>
      <c r="CB96" s="12">
        <f t="shared" si="117"/>
        <v>0</v>
      </c>
      <c r="CC96" s="12">
        <f t="shared" si="117"/>
        <v>0</v>
      </c>
      <c r="CD96" s="12">
        <f t="shared" si="117"/>
        <v>0</v>
      </c>
      <c r="CE96" s="12">
        <f t="shared" si="117"/>
        <v>0</v>
      </c>
      <c r="CF96" s="12">
        <f t="shared" si="117"/>
        <v>0</v>
      </c>
      <c r="CG96" s="12">
        <f t="shared" si="117"/>
        <v>0</v>
      </c>
      <c r="CH96" s="12">
        <f t="shared" si="117"/>
        <v>0</v>
      </c>
      <c r="CI96" s="12">
        <f t="shared" si="117"/>
        <v>0</v>
      </c>
      <c r="CK96" s="11"/>
      <c r="CL96" s="221">
        <f ca="1">IF(MIN($V96:$CI96)&lt;0, 1, 0)*$I$7</f>
        <v>0</v>
      </c>
      <c r="CM96" s="11"/>
      <c r="CQ96" s="7">
        <f>IF(SUM($CV96:$CX96)=0, 0, 1)</f>
        <v>0</v>
      </c>
      <c r="CS96" s="7">
        <f>IF(SUM($CY96:$DA96)=0, 0, 1)</f>
        <v>0</v>
      </c>
      <c r="CT96" s="7">
        <f>IF(DB96=0, 0, 1)</f>
        <v>0</v>
      </c>
      <c r="CU96" s="11"/>
      <c r="CV96" s="215">
        <f t="shared" si="115"/>
        <v>0</v>
      </c>
      <c r="CW96" s="215">
        <f t="shared" si="115"/>
        <v>0</v>
      </c>
      <c r="CX96" s="215">
        <f t="shared" si="115"/>
        <v>0</v>
      </c>
      <c r="CY96" s="215">
        <f>ROUND($BY96-SUMIFS($AA96:$BJ96, $AA$3:$BJ$3, $BY$3), rounding)</f>
        <v>0</v>
      </c>
      <c r="CZ96" s="215">
        <f>ROUND($BZ96-SUMIFS($AA96:$BJ96, $AA$3:$BJ$3, $BZ$3), rounding)</f>
        <v>0</v>
      </c>
      <c r="DA96" s="215">
        <f>ROUND($CA96-SUMIFS($AA96:$BJ96, $AA$3:$BJ$3, $CA$3), rounding)</f>
        <v>0</v>
      </c>
      <c r="DB96" s="215">
        <f>ROUND($V96-$BX96, rounding)</f>
        <v>0</v>
      </c>
      <c r="FN96" s="10" t="str">
        <f t="shared" si="107"/>
        <v>Total Funding Support</v>
      </c>
    </row>
    <row r="97" spans="1:170" ht="18.75" customHeight="1" x14ac:dyDescent="0.35">
      <c r="C97" s="213"/>
      <c r="Q97" s="2"/>
      <c r="CK97" s="35"/>
      <c r="CM97" s="35"/>
      <c r="CU97" s="35"/>
      <c r="FN97" s="10" t="str">
        <f t="shared" si="107"/>
        <v/>
      </c>
    </row>
    <row r="98" spans="1:170" ht="29" x14ac:dyDescent="0.35">
      <c r="A98" s="220" cm="1">
        <f t="array" aca="1" ref="A98" ca="1">HYPERLINK(CONCATENATE("#",CELL("address",IF(MAX($CM98:$CU98)=0,A98,INDEX($CM98:$CU98,MATCH(1,$CM98:$CU98,0))))),MAX($CM98:$CU98))</f>
        <v>0</v>
      </c>
      <c r="B98" s="126" t="s">
        <v>122</v>
      </c>
      <c r="C98" s="213" t="s">
        <v>544</v>
      </c>
      <c r="D98" s="1" t="s">
        <v>397</v>
      </c>
      <c r="E98" s="114"/>
      <c r="F98" s="79" t="str" cm="1">
        <f t="array" aca="1" ref="F98" ca="1">IF(E98="", "", HYPERLINK(CONCATENATE("#",CELL("address",INDEX('I&amp;E Profiles'!$D$9:$D$93,'I&amp;E Annual'!I98))),E98))</f>
        <v/>
      </c>
      <c r="G98" s="114"/>
      <c r="H98" t="s">
        <v>317</v>
      </c>
      <c r="I98" s="132" t="str">
        <f>IF(E98="", "", MATCH(E98, 'I&amp;E Profiles'!$D$96:$D$180,0))</f>
        <v/>
      </c>
      <c r="J98" s="133">
        <f>IF($G98=$G$7, W98,'I&amp;E Monthly'!W98)-SUMIFS('I&amp;E Monthly'!$AA98:$BJ98, 'I&amp;E Monthly'!$AA$3:$BJ$3, 'I&amp;E Annual'!W$3, 'I&amp;E Monthly'!$AA$4:$BJ$4, 0)</f>
        <v>0</v>
      </c>
      <c r="K98" s="133">
        <f>IF($G98=$G$7, X98,'I&amp;E Monthly'!X98)-SUMIFS('I&amp;E Monthly'!$AA98:$BJ98, 'I&amp;E Monthly'!$AA$3:$BJ$3, 'I&amp;E Annual'!X$3, 'I&amp;E Monthly'!$AA$4:$BJ$4, 0)</f>
        <v>0</v>
      </c>
      <c r="L98" s="133">
        <f>IF($G98=$G$7, Y98,'I&amp;E Monthly'!Y98)-SUMIFS('I&amp;E Monthly'!$AA98:$BJ98, 'I&amp;E Monthly'!$AA$3:$BJ$3, 'I&amp;E Annual'!Y$3, 'I&amp;E Monthly'!$AA$4:$BJ$4, 0)</f>
        <v>0</v>
      </c>
      <c r="Q98" s="2"/>
      <c r="V98" s="133">
        <f>'I&amp;E Monthly'!V98</f>
        <v>0</v>
      </c>
      <c r="W98" s="114"/>
      <c r="X98" s="131"/>
      <c r="Y98" s="131"/>
      <c r="AA98" s="10" cm="1">
        <f t="array" ref="AA98">IF(OR(AA$4=0, $G98&lt;&gt; $G$7, $E98=0), 'I&amp;E Monthly'!AA98, CHOOSE(Timeline!AA$30,$J98,$K98,$L98 )*INDEX('I&amp;E Profiles'!AA$96:AA$180,$I98))</f>
        <v>0</v>
      </c>
      <c r="AB98" s="10" cm="1">
        <f t="array" ref="AB98">IF(OR(AB$4=0, $G98&lt;&gt; $G$7, $E98=0), 'I&amp;E Monthly'!AB98, CHOOSE(Timeline!AB$30,$J98,$K98,$L98 )*INDEX('I&amp;E Profiles'!AB$96:AB$180,$I98))</f>
        <v>0</v>
      </c>
      <c r="AC98" s="10" cm="1">
        <f t="array" ref="AC98">IF(OR(AC$4=0, $G98&lt;&gt; $G$7, $E98=0), 'I&amp;E Monthly'!AC98, CHOOSE(Timeline!AC$30,$J98,$K98,$L98 )*INDEX('I&amp;E Profiles'!AC$96:AC$180,$I98))</f>
        <v>0</v>
      </c>
      <c r="AD98" s="10" cm="1">
        <f t="array" ref="AD98">IF(OR(AD$4=0, $G98&lt;&gt; $G$7, $E98=0), 'I&amp;E Monthly'!AD98, CHOOSE(Timeline!AD$30,$J98,$K98,$L98 )*INDEX('I&amp;E Profiles'!AD$96:AD$180,$I98))</f>
        <v>0</v>
      </c>
      <c r="AE98" s="10" cm="1">
        <f t="array" ref="AE98">IF(OR(AE$4=0, $G98&lt;&gt; $G$7, $E98=0), 'I&amp;E Monthly'!AE98, CHOOSE(Timeline!AE$30,$J98,$K98,$L98 )*INDEX('I&amp;E Profiles'!AE$96:AE$180,$I98))</f>
        <v>0</v>
      </c>
      <c r="AF98" s="10" cm="1">
        <f t="array" ref="AF98">IF(OR(AF$4=0, $G98&lt;&gt; $G$7, $E98=0), 'I&amp;E Monthly'!AF98, CHOOSE(Timeline!AF$30,$J98,$K98,$L98 )*INDEX('I&amp;E Profiles'!AF$96:AF$180,$I98))</f>
        <v>0</v>
      </c>
      <c r="AG98" s="10" cm="1">
        <f t="array" ref="AG98">IF(OR(AG$4=0, $G98&lt;&gt; $G$7, $E98=0), 'I&amp;E Monthly'!AG98, CHOOSE(Timeline!AG$30,$J98,$K98,$L98 )*INDEX('I&amp;E Profiles'!AG$96:AG$180,$I98))</f>
        <v>0</v>
      </c>
      <c r="AH98" s="10" cm="1">
        <f t="array" ref="AH98">IF(OR(AH$4=0, $G98&lt;&gt; $G$7, $E98=0), 'I&amp;E Monthly'!AH98, CHOOSE(Timeline!AH$30,$J98,$K98,$L98 )*INDEX('I&amp;E Profiles'!AH$96:AH$180,$I98))</f>
        <v>0</v>
      </c>
      <c r="AI98" s="10" cm="1">
        <f t="array" ref="AI98">IF(OR(AI$4=0, $G98&lt;&gt; $G$7, $E98=0), 'I&amp;E Monthly'!AI98, CHOOSE(Timeline!AI$30,$J98,$K98,$L98 )*INDEX('I&amp;E Profiles'!AI$96:AI$180,$I98))</f>
        <v>0</v>
      </c>
      <c r="AJ98" s="10" cm="1">
        <f t="array" ref="AJ98">IF(OR(AJ$4=0, $G98&lt;&gt; $G$7, $E98=0), 'I&amp;E Monthly'!AJ98, CHOOSE(Timeline!AJ$30,$J98,$K98,$L98 )*INDEX('I&amp;E Profiles'!AJ$96:AJ$180,$I98))</f>
        <v>0</v>
      </c>
      <c r="AK98" s="10" cm="1">
        <f t="array" ref="AK98">IF(OR(AK$4=0, $G98&lt;&gt; $G$7, $E98=0), 'I&amp;E Monthly'!AK98, CHOOSE(Timeline!AK$30,$J98,$K98,$L98 )*INDEX('I&amp;E Profiles'!AK$96:AK$180,$I98))</f>
        <v>0</v>
      </c>
      <c r="AL98" s="10" cm="1">
        <f t="array" ref="AL98">IF(OR(AL$4=0, $G98&lt;&gt; $G$7, $E98=0), 'I&amp;E Monthly'!AL98, CHOOSE(Timeline!AL$30,$J98,$K98,$L98 )*INDEX('I&amp;E Profiles'!AL$96:AL$180,$I98))</f>
        <v>0</v>
      </c>
      <c r="AM98" s="10" cm="1">
        <f t="array" ref="AM98">IF(OR(AM$4=0, $G98&lt;&gt; $G$7, $E98=0), 'I&amp;E Monthly'!AM98, CHOOSE(Timeline!AM$30,$J98,$K98,$L98 )*INDEX('I&amp;E Profiles'!AM$96:AM$180,$I98))</f>
        <v>0</v>
      </c>
      <c r="AN98" s="10" cm="1">
        <f t="array" ref="AN98">IF(OR(AN$4=0, $G98&lt;&gt; $G$7, $E98=0), 'I&amp;E Monthly'!AN98, CHOOSE(Timeline!AN$30,$J98,$K98,$L98 )*INDEX('I&amp;E Profiles'!AN$96:AN$180,$I98))</f>
        <v>0</v>
      </c>
      <c r="AO98" s="10" cm="1">
        <f t="array" ref="AO98">IF(OR(AO$4=0, $G98&lt;&gt; $G$7, $E98=0), 'I&amp;E Monthly'!AO98, CHOOSE(Timeline!AO$30,$J98,$K98,$L98 )*INDEX('I&amp;E Profiles'!AO$96:AO$180,$I98))</f>
        <v>0</v>
      </c>
      <c r="AP98" s="10" cm="1">
        <f t="array" ref="AP98">IF(OR(AP$4=0, $G98&lt;&gt; $G$7, $E98=0), 'I&amp;E Monthly'!AP98, CHOOSE(Timeline!AP$30,$J98,$K98,$L98 )*INDEX('I&amp;E Profiles'!AP$96:AP$180,$I98))</f>
        <v>0</v>
      </c>
      <c r="AQ98" s="10" cm="1">
        <f t="array" ref="AQ98">IF(OR(AQ$4=0, $G98&lt;&gt; $G$7, $E98=0), 'I&amp;E Monthly'!AQ98, CHOOSE(Timeline!AQ$30,$J98,$K98,$L98 )*INDEX('I&amp;E Profiles'!AQ$96:AQ$180,$I98))</f>
        <v>0</v>
      </c>
      <c r="AR98" s="10" cm="1">
        <f t="array" ref="AR98">IF(OR(AR$4=0, $G98&lt;&gt; $G$7, $E98=0), 'I&amp;E Monthly'!AR98, CHOOSE(Timeline!AR$30,$J98,$K98,$L98 )*INDEX('I&amp;E Profiles'!AR$96:AR$180,$I98))</f>
        <v>0</v>
      </c>
      <c r="AS98" s="10" cm="1">
        <f t="array" ref="AS98">IF(OR(AS$4=0, $G98&lt;&gt; $G$7, $E98=0), 'I&amp;E Monthly'!AS98, CHOOSE(Timeline!AS$30,$J98,$K98,$L98 )*INDEX('I&amp;E Profiles'!AS$96:AS$180,$I98))</f>
        <v>0</v>
      </c>
      <c r="AT98" s="10" cm="1">
        <f t="array" ref="AT98">IF(OR(AT$4=0, $G98&lt;&gt; $G$7, $E98=0), 'I&amp;E Monthly'!AT98, CHOOSE(Timeline!AT$30,$J98,$K98,$L98 )*INDEX('I&amp;E Profiles'!AT$96:AT$180,$I98))</f>
        <v>0</v>
      </c>
      <c r="AU98" s="10" cm="1">
        <f t="array" ref="AU98">IF(OR(AU$4=0, $G98&lt;&gt; $G$7, $E98=0), 'I&amp;E Monthly'!AU98, CHOOSE(Timeline!AU$30,$J98,$K98,$L98 )*INDEX('I&amp;E Profiles'!AU$96:AU$180,$I98))</f>
        <v>0</v>
      </c>
      <c r="AV98" s="10" cm="1">
        <f t="array" ref="AV98">IF(OR(AV$4=0, $G98&lt;&gt; $G$7, $E98=0), 'I&amp;E Monthly'!AV98, CHOOSE(Timeline!AV$30,$J98,$K98,$L98 )*INDEX('I&amp;E Profiles'!AV$96:AV$180,$I98))</f>
        <v>0</v>
      </c>
      <c r="AW98" s="10" cm="1">
        <f t="array" ref="AW98">IF(OR(AW$4=0, $G98&lt;&gt; $G$7, $E98=0), 'I&amp;E Monthly'!AW98, CHOOSE(Timeline!AW$30,$J98,$K98,$L98 )*INDEX('I&amp;E Profiles'!AW$96:AW$180,$I98))</f>
        <v>0</v>
      </c>
      <c r="AX98" s="10" cm="1">
        <f t="array" ref="AX98">IF(OR(AX$4=0, $G98&lt;&gt; $G$7, $E98=0), 'I&amp;E Monthly'!AX98, CHOOSE(Timeline!AX$30,$J98,$K98,$L98 )*INDEX('I&amp;E Profiles'!AX$96:AX$180,$I98))</f>
        <v>0</v>
      </c>
      <c r="AY98" s="10" cm="1">
        <f t="array" ref="AY98">IF(OR(AY$4=0, $G98&lt;&gt; $G$7, $E98=0), 'I&amp;E Monthly'!AY98, CHOOSE(Timeline!AY$30,$J98,$K98,$L98 )*INDEX('I&amp;E Profiles'!AY$96:AY$180,$I98))</f>
        <v>0</v>
      </c>
      <c r="AZ98" s="10" cm="1">
        <f t="array" ref="AZ98">IF(OR(AZ$4=0, $G98&lt;&gt; $G$7, $E98=0), 'I&amp;E Monthly'!AZ98, CHOOSE(Timeline!AZ$30,$J98,$K98,$L98 )*INDEX('I&amp;E Profiles'!AZ$96:AZ$180,$I98))</f>
        <v>0</v>
      </c>
      <c r="BA98" s="10" cm="1">
        <f t="array" ref="BA98">IF(OR(BA$4=0, $G98&lt;&gt; $G$7, $E98=0), 'I&amp;E Monthly'!BA98, CHOOSE(Timeline!BA$30,$J98,$K98,$L98 )*INDEX('I&amp;E Profiles'!BA$96:BA$180,$I98))</f>
        <v>0</v>
      </c>
      <c r="BB98" s="10" cm="1">
        <f t="array" ref="BB98">IF(OR(BB$4=0, $G98&lt;&gt; $G$7, $E98=0), 'I&amp;E Monthly'!BB98, CHOOSE(Timeline!BB$30,$J98,$K98,$L98 )*INDEX('I&amp;E Profiles'!BB$96:BB$180,$I98))</f>
        <v>0</v>
      </c>
      <c r="BC98" s="10" cm="1">
        <f t="array" ref="BC98">IF(OR(BC$4=0, $G98&lt;&gt; $G$7, $E98=0), 'I&amp;E Monthly'!BC98, CHOOSE(Timeline!BC$30,$J98,$K98,$L98 )*INDEX('I&amp;E Profiles'!BC$96:BC$180,$I98))</f>
        <v>0</v>
      </c>
      <c r="BD98" s="10" cm="1">
        <f t="array" ref="BD98">IF(OR(BD$4=0, $G98&lt;&gt; $G$7, $E98=0), 'I&amp;E Monthly'!BD98, CHOOSE(Timeline!BD$30,$J98,$K98,$L98 )*INDEX('I&amp;E Profiles'!BD$96:BD$180,$I98))</f>
        <v>0</v>
      </c>
      <c r="BE98" s="10" cm="1">
        <f t="array" ref="BE98">IF(OR(BE$4=0, $G98&lt;&gt; $G$7, $E98=0), 'I&amp;E Monthly'!BE98, CHOOSE(Timeline!BE$30,$J98,$K98,$L98 )*INDEX('I&amp;E Profiles'!BE$96:BE$180,$I98))</f>
        <v>0</v>
      </c>
      <c r="BF98" s="10" cm="1">
        <f t="array" ref="BF98">IF(OR(BF$4=0, $G98&lt;&gt; $G$7, $E98=0), 'I&amp;E Monthly'!BF98, CHOOSE(Timeline!BF$30,$J98,$K98,$L98 )*INDEX('I&amp;E Profiles'!BF$96:BF$180,$I98))</f>
        <v>0</v>
      </c>
      <c r="BG98" s="10" cm="1">
        <f t="array" ref="BG98">IF(OR(BG$4=0, $G98&lt;&gt; $G$7, $E98=0), 'I&amp;E Monthly'!BG98, CHOOSE(Timeline!BG$30,$J98,$K98,$L98 )*INDEX('I&amp;E Profiles'!BG$96:BG$180,$I98))</f>
        <v>0</v>
      </c>
      <c r="BH98" s="10" cm="1">
        <f t="array" ref="BH98">IF(OR(BH$4=0, $G98&lt;&gt; $G$7, $E98=0), 'I&amp;E Monthly'!BH98, CHOOSE(Timeline!BH$30,$J98,$K98,$L98 )*INDEX('I&amp;E Profiles'!BH$96:BH$180,$I98))</f>
        <v>0</v>
      </c>
      <c r="BI98" s="10" cm="1">
        <f t="array" ref="BI98">IF(OR(BI$4=0, $G98&lt;&gt; $G$7, $E98=0), 'I&amp;E Monthly'!BI98, CHOOSE(Timeline!BI$30,$J98,$K98,$L98 )*INDEX('I&amp;E Profiles'!BI$96:BI$180,$I98))</f>
        <v>0</v>
      </c>
      <c r="BJ98" s="10" cm="1">
        <f t="array" ref="BJ98">IF(OR(BJ$4=0, $G98&lt;&gt; $G$7, $E98=0), 'I&amp;E Monthly'!BJ98, CHOOSE(Timeline!BJ$30,$J98,$K98,$L98 )*INDEX('I&amp;E Profiles'!BJ$96:BJ$180,$I98))</f>
        <v>0</v>
      </c>
      <c r="BX98" s="12">
        <f>V98</f>
        <v>0</v>
      </c>
      <c r="BY98" s="10">
        <f>SUMIFS($AA98:$BJ98, $AA$3:$BJ$3,BY$3)</f>
        <v>0</v>
      </c>
      <c r="BZ98" s="10">
        <f>SUMIFS($AA98:$BJ98, $AA$3:$BJ$3,BZ$3)</f>
        <v>0</v>
      </c>
      <c r="CA98" s="10">
        <f>SUMIFS($AA98:$BJ98, $AA$3:$BJ$3,CA$3)</f>
        <v>0</v>
      </c>
      <c r="CB98" s="12">
        <f>'I&amp;E Monthly'!CB98</f>
        <v>0</v>
      </c>
      <c r="CC98" s="12">
        <f>'I&amp;E Monthly'!CC98</f>
        <v>0</v>
      </c>
      <c r="CD98" s="12">
        <f>'I&amp;E Monthly'!CD98</f>
        <v>0</v>
      </c>
      <c r="CE98" s="12">
        <f>'I&amp;E Monthly'!CE98</f>
        <v>0</v>
      </c>
      <c r="CF98" s="12">
        <f>'I&amp;E Monthly'!CF98</f>
        <v>0</v>
      </c>
      <c r="CG98" s="12">
        <f>'I&amp;E Monthly'!CG98</f>
        <v>0</v>
      </c>
      <c r="CH98" s="12">
        <f>'I&amp;E Monthly'!CH98</f>
        <v>0</v>
      </c>
      <c r="CI98" s="12">
        <f>'I&amp;E Monthly'!CI98</f>
        <v>0</v>
      </c>
      <c r="CK98" s="11"/>
      <c r="CL98" s="221">
        <f ca="1">IF(MIN($V98:$CI98)&lt;0, 1, 0)*$I$7</f>
        <v>0</v>
      </c>
      <c r="CM98" s="11"/>
      <c r="CN98" s="7">
        <f>IF(AND($G98=$G$7,$E98=""), 1, 0)</f>
        <v>0</v>
      </c>
      <c r="CO98" s="7" cm="1">
        <f t="array" ref="CO98">SUMPRODUCT(--NOT(ISNUMBER(W98:Y98)),--NOT(ISBLANK(W98:Y98)))</f>
        <v>0</v>
      </c>
      <c r="CP98" s="7" cm="1">
        <f t="array" ref="CP98">IF(E98="",0, IF(IFERROR(INDEX('I&amp;E Profiles'!$D$96:$D$180, $I98), "N/A")="N/A", 1, 0))</f>
        <v>0</v>
      </c>
      <c r="CQ98" s="7">
        <f>IF(SUM($CV98:$CX98)=0, 0, 1)</f>
        <v>0</v>
      </c>
      <c r="CS98" s="7">
        <f>IF(SUM($CY98:$DA98)=0, 0, 1)</f>
        <v>0</v>
      </c>
      <c r="CT98" s="7">
        <f>IF(DB98=0, 0, 1)</f>
        <v>0</v>
      </c>
      <c r="CU98" s="11"/>
      <c r="CV98" s="215">
        <f t="shared" ref="CV98:CX100" si="118">IF($G98=$G$7, ROUND(W98-SUMIFS($AA98:$BJ98, $AA$3:$BJ$3, W$3), rounding), 0)</f>
        <v>0</v>
      </c>
      <c r="CW98" s="215">
        <f t="shared" si="118"/>
        <v>0</v>
      </c>
      <c r="CX98" s="215">
        <f t="shared" si="118"/>
        <v>0</v>
      </c>
      <c r="CY98" s="215">
        <f>ROUND($BY98-SUMIFS($AA98:$BJ98, $AA$3:$BJ$3, $BY$3), rounding)</f>
        <v>0</v>
      </c>
      <c r="CZ98" s="215">
        <f>ROUND($BZ98-SUMIFS($AA98:$BJ98, $AA$3:$BJ$3, $BZ$3), rounding)</f>
        <v>0</v>
      </c>
      <c r="DA98" s="215">
        <f>ROUND($CA98-SUMIFS($AA98:$BJ98, $AA$3:$BJ$3, $CA$3), rounding)</f>
        <v>0</v>
      </c>
      <c r="DB98" s="215">
        <f>ROUND($V98-$BX98, rounding)</f>
        <v>0</v>
      </c>
      <c r="FN98" s="10" t="str">
        <f t="shared" si="107"/>
        <v>Non-cash accounting receipts or non-exchange transactions (gifts) excl. donated assets</v>
      </c>
    </row>
    <row r="99" spans="1:170" ht="51" customHeight="1" x14ac:dyDescent="0.35">
      <c r="A99" s="220" cm="1">
        <f t="array" aca="1" ref="A99" ca="1">HYPERLINK(CONCATENATE("#",CELL("address",IF(MAX($CM99:$CU99)=0,A99,INDEX($CM99:$CU99,MATCH(1,$CM99:$CU99,0))))),MAX($CM99:$CU99))</f>
        <v>0</v>
      </c>
      <c r="C99" s="213" t="s">
        <v>545</v>
      </c>
      <c r="D99" s="1" t="s">
        <v>398</v>
      </c>
      <c r="E99" s="533" t="str" cm="1">
        <f t="array" aca="1" ref="E99" ca="1">HYPERLINK(CONCATENATE("#",CELL("address",'Investing Inputs'!$D$39)),'Investing Inputs'!$D$39)</f>
        <v>Total Capital Expenditure Donations</v>
      </c>
      <c r="H99" t="s">
        <v>317</v>
      </c>
      <c r="Q99" s="2"/>
      <c r="V99" s="10">
        <f>'I&amp;E Monthly'!V$99</f>
        <v>0</v>
      </c>
      <c r="W99" s="10">
        <f>'I&amp;E Monthly'!W$99</f>
        <v>0</v>
      </c>
      <c r="X99" s="10">
        <f>'I&amp;E Monthly'!X$99</f>
        <v>0</v>
      </c>
      <c r="Y99" s="10">
        <f>'I&amp;E Monthly'!Y$99</f>
        <v>0</v>
      </c>
      <c r="AA99" s="10">
        <f>'I&amp;E Monthly'!AA$99</f>
        <v>0</v>
      </c>
      <c r="AB99" s="10">
        <f>'I&amp;E Monthly'!AB$99</f>
        <v>0</v>
      </c>
      <c r="AC99" s="10">
        <f>'I&amp;E Monthly'!AC$99</f>
        <v>0</v>
      </c>
      <c r="AD99" s="10">
        <f>'I&amp;E Monthly'!AD$99</f>
        <v>0</v>
      </c>
      <c r="AE99" s="10">
        <f>'I&amp;E Monthly'!AE$99</f>
        <v>0</v>
      </c>
      <c r="AF99" s="10">
        <f>'I&amp;E Monthly'!AF$99</f>
        <v>0</v>
      </c>
      <c r="AG99" s="10">
        <f>'I&amp;E Monthly'!AG$99</f>
        <v>0</v>
      </c>
      <c r="AH99" s="10">
        <f>'I&amp;E Monthly'!AH$99</f>
        <v>0</v>
      </c>
      <c r="AI99" s="10">
        <f>'I&amp;E Monthly'!AI$99</f>
        <v>0</v>
      </c>
      <c r="AJ99" s="10">
        <f>'I&amp;E Monthly'!AJ$99</f>
        <v>0</v>
      </c>
      <c r="AK99" s="10">
        <f>'I&amp;E Monthly'!AK$99</f>
        <v>0</v>
      </c>
      <c r="AL99" s="10">
        <f>'I&amp;E Monthly'!AL$99</f>
        <v>0</v>
      </c>
      <c r="AM99" s="10">
        <f>'I&amp;E Monthly'!AM$99</f>
        <v>0</v>
      </c>
      <c r="AN99" s="10">
        <f>'I&amp;E Monthly'!AN$99</f>
        <v>0</v>
      </c>
      <c r="AO99" s="10">
        <f>'I&amp;E Monthly'!AO$99</f>
        <v>0</v>
      </c>
      <c r="AP99" s="10">
        <f>'I&amp;E Monthly'!AP$99</f>
        <v>0</v>
      </c>
      <c r="AQ99" s="10">
        <f>'I&amp;E Monthly'!AQ$99</f>
        <v>0</v>
      </c>
      <c r="AR99" s="10">
        <f>'I&amp;E Monthly'!AR$99</f>
        <v>0</v>
      </c>
      <c r="AS99" s="10">
        <f>'I&amp;E Monthly'!AS$99</f>
        <v>0</v>
      </c>
      <c r="AT99" s="10">
        <f>'I&amp;E Monthly'!AT$99</f>
        <v>0</v>
      </c>
      <c r="AU99" s="10">
        <f>'I&amp;E Monthly'!AU$99</f>
        <v>0</v>
      </c>
      <c r="AV99" s="10">
        <f>'I&amp;E Monthly'!AV$99</f>
        <v>0</v>
      </c>
      <c r="AW99" s="10">
        <f>'I&amp;E Monthly'!AW$99</f>
        <v>0</v>
      </c>
      <c r="AX99" s="10">
        <f>'I&amp;E Monthly'!AX$99</f>
        <v>0</v>
      </c>
      <c r="AY99" s="10">
        <f>'I&amp;E Monthly'!AY$99</f>
        <v>0</v>
      </c>
      <c r="AZ99" s="10">
        <f>'I&amp;E Monthly'!AZ$99</f>
        <v>0</v>
      </c>
      <c r="BA99" s="10">
        <f>'I&amp;E Monthly'!BA$99</f>
        <v>0</v>
      </c>
      <c r="BB99" s="10">
        <f>'I&amp;E Monthly'!BB$99</f>
        <v>0</v>
      </c>
      <c r="BC99" s="10">
        <f>'I&amp;E Monthly'!BC$99</f>
        <v>0</v>
      </c>
      <c r="BD99" s="10">
        <f>'I&amp;E Monthly'!BD$99</f>
        <v>0</v>
      </c>
      <c r="BE99" s="10">
        <f>'I&amp;E Monthly'!BE$99</f>
        <v>0</v>
      </c>
      <c r="BF99" s="10">
        <f>'I&amp;E Monthly'!BF$99</f>
        <v>0</v>
      </c>
      <c r="BG99" s="10">
        <f>'I&amp;E Monthly'!BG$99</f>
        <v>0</v>
      </c>
      <c r="BH99" s="10">
        <f>'I&amp;E Monthly'!BH$99</f>
        <v>0</v>
      </c>
      <c r="BI99" s="10">
        <f>'I&amp;E Monthly'!BI$99</f>
        <v>0</v>
      </c>
      <c r="BJ99" s="10">
        <f>'I&amp;E Monthly'!BJ$99</f>
        <v>0</v>
      </c>
      <c r="BX99" s="10">
        <f>'I&amp;E Monthly'!BX$99</f>
        <v>0</v>
      </c>
      <c r="BY99" s="10">
        <f>'I&amp;E Monthly'!BY$99</f>
        <v>0</v>
      </c>
      <c r="BZ99" s="10">
        <f>'I&amp;E Monthly'!BZ$99</f>
        <v>0</v>
      </c>
      <c r="CA99" s="10">
        <f>'I&amp;E Monthly'!CA$99</f>
        <v>0</v>
      </c>
      <c r="CB99" s="10">
        <f>'I&amp;E Monthly'!CB$99</f>
        <v>0</v>
      </c>
      <c r="CC99" s="10">
        <f>'I&amp;E Monthly'!CC$99</f>
        <v>0</v>
      </c>
      <c r="CD99" s="10">
        <f>'I&amp;E Monthly'!CD$99</f>
        <v>0</v>
      </c>
      <c r="CE99" s="10">
        <f>'I&amp;E Monthly'!CE$99</f>
        <v>0</v>
      </c>
      <c r="CF99" s="10">
        <f>'I&amp;E Monthly'!CF$99</f>
        <v>0</v>
      </c>
      <c r="CG99" s="10">
        <f>'I&amp;E Monthly'!CG$99</f>
        <v>0</v>
      </c>
      <c r="CH99" s="10">
        <f>'I&amp;E Monthly'!CH$99</f>
        <v>0</v>
      </c>
      <c r="CI99" s="10">
        <f>'I&amp;E Monthly'!CI$99</f>
        <v>0</v>
      </c>
      <c r="CK99" s="11"/>
      <c r="CL99" s="221">
        <f ca="1">IF(MIN($V99:$CI99)&lt;0, 1, 0)*$I$7</f>
        <v>0</v>
      </c>
      <c r="CM99" s="11"/>
      <c r="CQ99" s="7">
        <f>IF(SUM($CV99:$CX99)=0, 0, 1)</f>
        <v>0</v>
      </c>
      <c r="CS99" s="7">
        <f>IF(SUM($CY99:$DA99)=0, 0, 1)</f>
        <v>0</v>
      </c>
      <c r="CT99" s="7">
        <f>IF(DB99=0, 0, 1)</f>
        <v>0</v>
      </c>
      <c r="CU99" s="11"/>
      <c r="CV99" s="215">
        <f t="shared" si="118"/>
        <v>0</v>
      </c>
      <c r="CW99" s="215">
        <f t="shared" si="118"/>
        <v>0</v>
      </c>
      <c r="CX99" s="215">
        <f t="shared" si="118"/>
        <v>0</v>
      </c>
      <c r="CY99" s="215">
        <f>ROUND($BY99-SUMIFS($AA99:$BJ99, $AA$3:$BJ$3, $BY$3), rounding)</f>
        <v>0</v>
      </c>
      <c r="CZ99" s="215">
        <f>ROUND($BZ99-SUMIFS($AA99:$BJ99, $AA$3:$BJ$3, $BZ$3), rounding)</f>
        <v>0</v>
      </c>
      <c r="DA99" s="215">
        <f>ROUND($CA99-SUMIFS($AA99:$BJ99, $AA$3:$BJ$3, $CA$3), rounding)</f>
        <v>0</v>
      </c>
      <c r="DB99" s="215">
        <f>ROUND($V99-$BX99, rounding)</f>
        <v>0</v>
      </c>
      <c r="FN99" s="10" t="str">
        <f t="shared" si="107"/>
        <v>Donated Assets</v>
      </c>
    </row>
    <row r="100" spans="1:170" x14ac:dyDescent="0.35">
      <c r="A100" s="220" cm="1">
        <f t="array" aca="1" ref="A100" ca="1">HYPERLINK(CONCATENATE("#",CELL("address",IF(MAX($CM100:$CU100)=0,A100,INDEX($CM100:$CU100,MATCH(1,$CM100:$CU100,0))))),MAX($CM100:$CU100))</f>
        <v>0</v>
      </c>
      <c r="C100" s="213" t="s">
        <v>546</v>
      </c>
      <c r="D100" s="265" t="s">
        <v>399</v>
      </c>
      <c r="H100" t="s">
        <v>317</v>
      </c>
      <c r="Q100" s="2"/>
      <c r="V100" s="12">
        <f>SUM(V98:V99)</f>
        <v>0</v>
      </c>
      <c r="W100" s="12">
        <f>SUM(W98:W99)</f>
        <v>0</v>
      </c>
      <c r="X100" s="12">
        <f>SUM(X98:X99)</f>
        <v>0</v>
      </c>
      <c r="Y100" s="12">
        <f>SUM(Y98:Y99)</f>
        <v>0</v>
      </c>
      <c r="AA100" s="12">
        <f t="shared" ref="AA100:BJ100" si="119">SUM(AA98:AA99)</f>
        <v>0</v>
      </c>
      <c r="AB100" s="12">
        <f t="shared" si="119"/>
        <v>0</v>
      </c>
      <c r="AC100" s="12">
        <f t="shared" si="119"/>
        <v>0</v>
      </c>
      <c r="AD100" s="12">
        <f t="shared" si="119"/>
        <v>0</v>
      </c>
      <c r="AE100" s="12">
        <f t="shared" si="119"/>
        <v>0</v>
      </c>
      <c r="AF100" s="12">
        <f t="shared" si="119"/>
        <v>0</v>
      </c>
      <c r="AG100" s="12">
        <f t="shared" si="119"/>
        <v>0</v>
      </c>
      <c r="AH100" s="12">
        <f t="shared" si="119"/>
        <v>0</v>
      </c>
      <c r="AI100" s="12">
        <f t="shared" si="119"/>
        <v>0</v>
      </c>
      <c r="AJ100" s="12">
        <f t="shared" si="119"/>
        <v>0</v>
      </c>
      <c r="AK100" s="12">
        <f t="shared" si="119"/>
        <v>0</v>
      </c>
      <c r="AL100" s="12">
        <f t="shared" si="119"/>
        <v>0</v>
      </c>
      <c r="AM100" s="12">
        <f t="shared" si="119"/>
        <v>0</v>
      </c>
      <c r="AN100" s="12">
        <f t="shared" si="119"/>
        <v>0</v>
      </c>
      <c r="AO100" s="12">
        <f t="shared" si="119"/>
        <v>0</v>
      </c>
      <c r="AP100" s="12">
        <f t="shared" si="119"/>
        <v>0</v>
      </c>
      <c r="AQ100" s="12">
        <f t="shared" si="119"/>
        <v>0</v>
      </c>
      <c r="AR100" s="12">
        <f t="shared" si="119"/>
        <v>0</v>
      </c>
      <c r="AS100" s="12">
        <f t="shared" si="119"/>
        <v>0</v>
      </c>
      <c r="AT100" s="12">
        <f t="shared" si="119"/>
        <v>0</v>
      </c>
      <c r="AU100" s="12">
        <f t="shared" si="119"/>
        <v>0</v>
      </c>
      <c r="AV100" s="12">
        <f t="shared" si="119"/>
        <v>0</v>
      </c>
      <c r="AW100" s="12">
        <f t="shared" si="119"/>
        <v>0</v>
      </c>
      <c r="AX100" s="12">
        <f t="shared" si="119"/>
        <v>0</v>
      </c>
      <c r="AY100" s="12">
        <f t="shared" si="119"/>
        <v>0</v>
      </c>
      <c r="AZ100" s="12">
        <f t="shared" si="119"/>
        <v>0</v>
      </c>
      <c r="BA100" s="12">
        <f t="shared" si="119"/>
        <v>0</v>
      </c>
      <c r="BB100" s="12">
        <f t="shared" si="119"/>
        <v>0</v>
      </c>
      <c r="BC100" s="12">
        <f t="shared" si="119"/>
        <v>0</v>
      </c>
      <c r="BD100" s="12">
        <f t="shared" si="119"/>
        <v>0</v>
      </c>
      <c r="BE100" s="12">
        <f t="shared" si="119"/>
        <v>0</v>
      </c>
      <c r="BF100" s="12">
        <f t="shared" si="119"/>
        <v>0</v>
      </c>
      <c r="BG100" s="12">
        <f t="shared" si="119"/>
        <v>0</v>
      </c>
      <c r="BH100" s="12">
        <f t="shared" si="119"/>
        <v>0</v>
      </c>
      <c r="BI100" s="12">
        <f t="shared" si="119"/>
        <v>0</v>
      </c>
      <c r="BJ100" s="12">
        <f t="shared" si="119"/>
        <v>0</v>
      </c>
      <c r="BX100" s="12">
        <f t="shared" ref="BX100:CI100" si="120">SUM(BX98:BX99)</f>
        <v>0</v>
      </c>
      <c r="BY100" s="12">
        <f t="shared" si="120"/>
        <v>0</v>
      </c>
      <c r="BZ100" s="12">
        <f t="shared" si="120"/>
        <v>0</v>
      </c>
      <c r="CA100" s="12">
        <f t="shared" si="120"/>
        <v>0</v>
      </c>
      <c r="CB100" s="12">
        <f t="shared" si="120"/>
        <v>0</v>
      </c>
      <c r="CC100" s="12">
        <f t="shared" si="120"/>
        <v>0</v>
      </c>
      <c r="CD100" s="12">
        <f t="shared" si="120"/>
        <v>0</v>
      </c>
      <c r="CE100" s="12">
        <f t="shared" si="120"/>
        <v>0</v>
      </c>
      <c r="CF100" s="12">
        <f t="shared" si="120"/>
        <v>0</v>
      </c>
      <c r="CG100" s="12">
        <f t="shared" si="120"/>
        <v>0</v>
      </c>
      <c r="CH100" s="12">
        <f t="shared" si="120"/>
        <v>0</v>
      </c>
      <c r="CI100" s="12">
        <f t="shared" si="120"/>
        <v>0</v>
      </c>
      <c r="CK100" s="11"/>
      <c r="CL100" s="221">
        <f ca="1">IF(MIN($V100:$CI100)&lt;0, 1, 0)*$I$7</f>
        <v>0</v>
      </c>
      <c r="CM100" s="11"/>
      <c r="CQ100" s="7">
        <f>IF(SUM($CV100:$CX100)=0, 0, 1)</f>
        <v>0</v>
      </c>
      <c r="CS100" s="7">
        <f>IF(SUM($CY100:$DA100)=0, 0, 1)</f>
        <v>0</v>
      </c>
      <c r="CT100" s="7">
        <f>IF(DB100=0, 0, 1)</f>
        <v>0</v>
      </c>
      <c r="CU100" s="11"/>
      <c r="CV100" s="215">
        <f t="shared" si="118"/>
        <v>0</v>
      </c>
      <c r="CW100" s="215">
        <f t="shared" si="118"/>
        <v>0</v>
      </c>
      <c r="CX100" s="215">
        <f t="shared" si="118"/>
        <v>0</v>
      </c>
      <c r="CY100" s="215">
        <f>ROUND($BY100-SUMIFS($AA100:$BJ100, $AA$3:$BJ$3, $BY$3), rounding)</f>
        <v>0</v>
      </c>
      <c r="CZ100" s="215">
        <f>ROUND($BZ100-SUMIFS($AA100:$BJ100, $AA$3:$BJ$3, $BZ$3), rounding)</f>
        <v>0</v>
      </c>
      <c r="DA100" s="215">
        <f>ROUND($CA100-SUMIFS($AA100:$BJ100, $AA$3:$BJ$3, $CA$3), rounding)</f>
        <v>0</v>
      </c>
      <c r="DB100" s="215">
        <f>ROUND($V100-$BX100, rounding)</f>
        <v>0</v>
      </c>
      <c r="FN100" s="10" t="str">
        <f t="shared" si="107"/>
        <v>Total gifts and donated assets</v>
      </c>
    </row>
    <row r="101" spans="1:170" ht="6.75" customHeight="1" x14ac:dyDescent="0.35">
      <c r="C101" s="213"/>
      <c r="Q101" s="2"/>
      <c r="CK101" s="35"/>
      <c r="CM101" s="35"/>
      <c r="CQ101" s="7"/>
      <c r="CS101" s="7"/>
      <c r="CT101" s="7"/>
      <c r="CU101" s="35"/>
      <c r="FN101" s="10" t="str">
        <f t="shared" si="107"/>
        <v/>
      </c>
    </row>
    <row r="102" spans="1:170" x14ac:dyDescent="0.35">
      <c r="A102" s="220" cm="1">
        <f t="array" aca="1" ref="A102" ca="1">HYPERLINK(CONCATENATE("#",CELL("address",IF(MAX($CM102:$CU102)=0,A102,INDEX($CM102:$CU102,MATCH(1,$CM102:$CU102,0))))),MAX($CM102:$CU102))</f>
        <v>0</v>
      </c>
      <c r="C102" s="213" t="s">
        <v>547</v>
      </c>
      <c r="D102" s="24" t="s">
        <v>400</v>
      </c>
      <c r="E102" s="5"/>
      <c r="Q102" s="2"/>
      <c r="V102" s="12">
        <f>V13+V23+V29+V38+V46+V53+V60+V74+V85+V90+V96+V100</f>
        <v>0</v>
      </c>
      <c r="W102" s="12">
        <f t="shared" ref="W102:BJ102" si="121">W13+W23+W29+W38+W46+W53+W60+W74+W85+W90+W96+W100</f>
        <v>0</v>
      </c>
      <c r="X102" s="12">
        <f t="shared" si="121"/>
        <v>0</v>
      </c>
      <c r="Y102" s="12">
        <f t="shared" si="121"/>
        <v>0</v>
      </c>
      <c r="AA102" s="12">
        <f t="shared" si="121"/>
        <v>0</v>
      </c>
      <c r="AB102" s="12">
        <f t="shared" si="121"/>
        <v>0</v>
      </c>
      <c r="AC102" s="12">
        <f t="shared" si="121"/>
        <v>0</v>
      </c>
      <c r="AD102" s="12">
        <f t="shared" si="121"/>
        <v>0</v>
      </c>
      <c r="AE102" s="12">
        <f t="shared" si="121"/>
        <v>0</v>
      </c>
      <c r="AF102" s="12">
        <f t="shared" si="121"/>
        <v>0</v>
      </c>
      <c r="AG102" s="12">
        <f t="shared" si="121"/>
        <v>0</v>
      </c>
      <c r="AH102" s="12">
        <f t="shared" si="121"/>
        <v>0</v>
      </c>
      <c r="AI102" s="12">
        <f t="shared" si="121"/>
        <v>0</v>
      </c>
      <c r="AJ102" s="12">
        <f t="shared" si="121"/>
        <v>0</v>
      </c>
      <c r="AK102" s="12">
        <f t="shared" si="121"/>
        <v>0</v>
      </c>
      <c r="AL102" s="12">
        <f t="shared" si="121"/>
        <v>0</v>
      </c>
      <c r="AM102" s="12">
        <f t="shared" si="121"/>
        <v>0</v>
      </c>
      <c r="AN102" s="12">
        <f t="shared" si="121"/>
        <v>0</v>
      </c>
      <c r="AO102" s="12">
        <f t="shared" si="121"/>
        <v>0</v>
      </c>
      <c r="AP102" s="12">
        <f t="shared" si="121"/>
        <v>0</v>
      </c>
      <c r="AQ102" s="12">
        <f t="shared" si="121"/>
        <v>0</v>
      </c>
      <c r="AR102" s="12">
        <f t="shared" si="121"/>
        <v>0</v>
      </c>
      <c r="AS102" s="12">
        <f t="shared" si="121"/>
        <v>0</v>
      </c>
      <c r="AT102" s="12">
        <f t="shared" si="121"/>
        <v>0</v>
      </c>
      <c r="AU102" s="12">
        <f t="shared" si="121"/>
        <v>0</v>
      </c>
      <c r="AV102" s="12">
        <f t="shared" si="121"/>
        <v>0</v>
      </c>
      <c r="AW102" s="12">
        <f t="shared" si="121"/>
        <v>0</v>
      </c>
      <c r="AX102" s="12">
        <f t="shared" si="121"/>
        <v>0</v>
      </c>
      <c r="AY102" s="12">
        <f t="shared" si="121"/>
        <v>0</v>
      </c>
      <c r="AZ102" s="12">
        <f t="shared" si="121"/>
        <v>0</v>
      </c>
      <c r="BA102" s="12">
        <f t="shared" si="121"/>
        <v>0</v>
      </c>
      <c r="BB102" s="12">
        <f t="shared" si="121"/>
        <v>0</v>
      </c>
      <c r="BC102" s="12">
        <f t="shared" si="121"/>
        <v>0</v>
      </c>
      <c r="BD102" s="12">
        <f t="shared" si="121"/>
        <v>0</v>
      </c>
      <c r="BE102" s="12">
        <f t="shared" si="121"/>
        <v>0</v>
      </c>
      <c r="BF102" s="12">
        <f t="shared" si="121"/>
        <v>0</v>
      </c>
      <c r="BG102" s="12">
        <f t="shared" si="121"/>
        <v>0</v>
      </c>
      <c r="BH102" s="12">
        <f t="shared" si="121"/>
        <v>0</v>
      </c>
      <c r="BI102" s="12">
        <f t="shared" si="121"/>
        <v>0</v>
      </c>
      <c r="BJ102" s="12">
        <f t="shared" si="121"/>
        <v>0</v>
      </c>
      <c r="BX102" s="12">
        <f t="shared" ref="BX102:CI102" si="122">BX13+BX23+BX29+BX38+BX46+BX53+BX60+BX74+BX85+BX90+BX96+BX100</f>
        <v>0</v>
      </c>
      <c r="BY102" s="12">
        <f t="shared" si="122"/>
        <v>0</v>
      </c>
      <c r="BZ102" s="12">
        <f t="shared" si="122"/>
        <v>0</v>
      </c>
      <c r="CA102" s="12">
        <f t="shared" si="122"/>
        <v>0</v>
      </c>
      <c r="CB102" s="12">
        <f t="shared" si="122"/>
        <v>0</v>
      </c>
      <c r="CC102" s="12">
        <f t="shared" si="122"/>
        <v>0</v>
      </c>
      <c r="CD102" s="12">
        <f t="shared" si="122"/>
        <v>0</v>
      </c>
      <c r="CE102" s="12">
        <f t="shared" si="122"/>
        <v>0</v>
      </c>
      <c r="CF102" s="12">
        <f t="shared" si="122"/>
        <v>0</v>
      </c>
      <c r="CG102" s="12">
        <f t="shared" si="122"/>
        <v>0</v>
      </c>
      <c r="CH102" s="12">
        <f t="shared" si="122"/>
        <v>0</v>
      </c>
      <c r="CI102" s="12">
        <f t="shared" si="122"/>
        <v>0</v>
      </c>
      <c r="CK102" s="11"/>
      <c r="CL102" s="221">
        <f ca="1">IF(MIN($V102:$CI102)&lt;0, 1, 0)*$I$7</f>
        <v>0</v>
      </c>
      <c r="CM102" s="11"/>
      <c r="CQ102" s="7">
        <f>IF(SUM($CV102:$CX102)=0, 0, 1)</f>
        <v>0</v>
      </c>
      <c r="CS102" s="7">
        <f>IF(SUM($CY102:$DA102)=0, 0, 1)</f>
        <v>0</v>
      </c>
      <c r="CT102" s="7">
        <f>IF(DB102=0, 0, 1)</f>
        <v>0</v>
      </c>
      <c r="CU102" s="11"/>
      <c r="CV102" s="215">
        <f>IF($G102=$G$7, ROUND(W102-SUMIFS($AA102:$BJ102, $AA$3:$BJ$3, W$3), rounding), 0)</f>
        <v>0</v>
      </c>
      <c r="CW102" s="215">
        <f>IF($G102=$G$7, ROUND(X102-SUMIFS($AA102:$BJ102, $AA$3:$BJ$3, X$3), rounding), 0)</f>
        <v>0</v>
      </c>
      <c r="CX102" s="215">
        <f>IF($G102=$G$7, ROUND(Y102-SUMIFS($AA102:$BJ102, $AA$3:$BJ$3, Y$3), rounding), 0)</f>
        <v>0</v>
      </c>
      <c r="CY102" s="215">
        <f>ROUND($BY102-SUMIFS($AA102:$BJ102, $AA$3:$BJ$3, $BY$3), rounding)</f>
        <v>0</v>
      </c>
      <c r="CZ102" s="215">
        <f>ROUND($BZ102-SUMIFS($AA102:$BJ102, $AA$3:$BJ$3, $BZ$3), rounding)</f>
        <v>0</v>
      </c>
      <c r="DA102" s="215">
        <f>ROUND($CA102-SUMIFS($AA102:$BJ102, $AA$3:$BJ$3, $CA$3), rounding)</f>
        <v>0</v>
      </c>
      <c r="DB102" s="215">
        <f>ROUND($V102-$BX102, rounding)</f>
        <v>0</v>
      </c>
      <c r="FN102" s="10" t="str">
        <f t="shared" si="107"/>
        <v>Total Operating Income</v>
      </c>
    </row>
    <row r="103" spans="1:170" ht="6.75" customHeight="1" x14ac:dyDescent="0.35">
      <c r="C103" s="213"/>
      <c r="Q103" s="2"/>
      <c r="BY103" s="6"/>
      <c r="CK103" s="35"/>
      <c r="CM103" s="35"/>
      <c r="CQ103" s="7"/>
      <c r="CS103" s="7"/>
      <c r="CT103" s="7"/>
      <c r="CU103" s="35"/>
      <c r="FN103" s="10" t="str">
        <f t="shared" si="107"/>
        <v/>
      </c>
    </row>
    <row r="104" spans="1:170" x14ac:dyDescent="0.35">
      <c r="B104" s="5"/>
      <c r="C104" s="213"/>
      <c r="D104" s="24" t="s">
        <v>548</v>
      </c>
      <c r="E104" s="5"/>
      <c r="Q104" s="2"/>
      <c r="CK104" s="11"/>
      <c r="CM104" s="11"/>
      <c r="CQ104" s="7"/>
      <c r="CS104" s="7"/>
      <c r="CT104" s="7"/>
      <c r="CU104" s="11"/>
      <c r="FN104" s="10" t="str">
        <f t="shared" si="107"/>
        <v/>
      </c>
    </row>
    <row r="105" spans="1:170" x14ac:dyDescent="0.35">
      <c r="A105" s="220" cm="1">
        <f t="array" aca="1" ref="A105" ca="1">HYPERLINK(CONCATENATE("#",CELL("address",IF(MAX($CM105:$CU105)=0,A105,INDEX($CM105:$CU105,MATCH(1,$CM105:$CU105,0))))),MAX($CM105:$CU105))</f>
        <v>0</v>
      </c>
      <c r="B105" s="85" t="s">
        <v>122</v>
      </c>
      <c r="C105" s="213" t="s">
        <v>549</v>
      </c>
      <c r="D105" s="1" t="s">
        <v>402</v>
      </c>
      <c r="E105" s="114"/>
      <c r="F105" s="79" t="str" cm="1">
        <f t="array" aca="1" ref="F105" ca="1">IF(E105="", "", HYPERLINK(CONCATENATE("#",CELL("address",INDEX('I&amp;E Profiles'!$D$9:$D$93,'I&amp;E Annual'!I105))),E105))</f>
        <v/>
      </c>
      <c r="G105" s="114"/>
      <c r="H105" s="120" t="s">
        <v>403</v>
      </c>
      <c r="I105" s="132" t="str">
        <f>IF(E105="", "", MATCH(E105, 'I&amp;E Profiles'!$D$96:$D$180,0))</f>
        <v/>
      </c>
      <c r="J105" s="133">
        <f>IF($G105=$G$7, W105,'I&amp;E Monthly'!W105)-SUMIFS('I&amp;E Monthly'!$AA105:$BJ105, 'I&amp;E Monthly'!$AA$3:$BJ$3, 'I&amp;E Annual'!W$3, 'I&amp;E Monthly'!$AA$4:$BJ$4, 0)</f>
        <v>0</v>
      </c>
      <c r="K105" s="133">
        <f>IF($G105=$G$7, X105,'I&amp;E Monthly'!X105)-SUMIFS('I&amp;E Monthly'!$AA105:$BJ105, 'I&amp;E Monthly'!$AA$3:$BJ$3, 'I&amp;E Annual'!X$3, 'I&amp;E Monthly'!$AA$4:$BJ$4, 0)</f>
        <v>0</v>
      </c>
      <c r="L105" s="133">
        <f>IF($G105=$G$7, Y105,'I&amp;E Monthly'!Y105)-SUMIFS('I&amp;E Monthly'!$AA105:$BJ105, 'I&amp;E Monthly'!$AA$3:$BJ$3, 'I&amp;E Annual'!Y$3, 'I&amp;E Monthly'!$AA$4:$BJ$4, 0)</f>
        <v>0</v>
      </c>
      <c r="Q105" s="2"/>
      <c r="V105" s="133">
        <f>'I&amp;E Monthly'!V105</f>
        <v>0</v>
      </c>
      <c r="W105" s="114"/>
      <c r="X105" s="131"/>
      <c r="Y105" s="131"/>
      <c r="AA105" s="10" cm="1">
        <f t="array" ref="AA105">IF(OR(AA$4=0, $G105&lt;&gt; $G$7, $E105=0), 'I&amp;E Monthly'!AA105, CHOOSE(Timeline!AA$30,$J105,$K105,$L105 )*INDEX('I&amp;E Profiles'!AA$96:AA$180,$I105))</f>
        <v>0</v>
      </c>
      <c r="AB105" s="10" cm="1">
        <f t="array" ref="AB105">IF(OR(AB$4=0, $G105&lt;&gt; $G$7, $E105=0), 'I&amp;E Monthly'!AB105, CHOOSE(Timeline!AB$30,$J105,$K105,$L105 )*INDEX('I&amp;E Profiles'!AB$96:AB$180,$I105))</f>
        <v>0</v>
      </c>
      <c r="AC105" s="10" cm="1">
        <f t="array" ref="AC105">IF(OR(AC$4=0, $G105&lt;&gt; $G$7, $E105=0), 'I&amp;E Monthly'!AC105, CHOOSE(Timeline!AC$30,$J105,$K105,$L105 )*INDEX('I&amp;E Profiles'!AC$96:AC$180,$I105))</f>
        <v>0</v>
      </c>
      <c r="AD105" s="10" cm="1">
        <f t="array" ref="AD105">IF(OR(AD$4=0, $G105&lt;&gt; $G$7, $E105=0), 'I&amp;E Monthly'!AD105, CHOOSE(Timeline!AD$30,$J105,$K105,$L105 )*INDEX('I&amp;E Profiles'!AD$96:AD$180,$I105))</f>
        <v>0</v>
      </c>
      <c r="AE105" s="10" cm="1">
        <f t="array" ref="AE105">IF(OR(AE$4=0, $G105&lt;&gt; $G$7, $E105=0), 'I&amp;E Monthly'!AE105, CHOOSE(Timeline!AE$30,$J105,$K105,$L105 )*INDEX('I&amp;E Profiles'!AE$96:AE$180,$I105))</f>
        <v>0</v>
      </c>
      <c r="AF105" s="10" cm="1">
        <f t="array" ref="AF105">IF(OR(AF$4=0, $G105&lt;&gt; $G$7, $E105=0), 'I&amp;E Monthly'!AF105, CHOOSE(Timeline!AF$30,$J105,$K105,$L105 )*INDEX('I&amp;E Profiles'!AF$96:AF$180,$I105))</f>
        <v>0</v>
      </c>
      <c r="AG105" s="10" cm="1">
        <f t="array" ref="AG105">IF(OR(AG$4=0, $G105&lt;&gt; $G$7, $E105=0), 'I&amp;E Monthly'!AG105, CHOOSE(Timeline!AG$30,$J105,$K105,$L105 )*INDEX('I&amp;E Profiles'!AG$96:AG$180,$I105))</f>
        <v>0</v>
      </c>
      <c r="AH105" s="10" cm="1">
        <f t="array" ref="AH105">IF(OR(AH$4=0, $G105&lt;&gt; $G$7, $E105=0), 'I&amp;E Monthly'!AH105, CHOOSE(Timeline!AH$30,$J105,$K105,$L105 )*INDEX('I&amp;E Profiles'!AH$96:AH$180,$I105))</f>
        <v>0</v>
      </c>
      <c r="AI105" s="10" cm="1">
        <f t="array" ref="AI105">IF(OR(AI$4=0, $G105&lt;&gt; $G$7, $E105=0), 'I&amp;E Monthly'!AI105, CHOOSE(Timeline!AI$30,$J105,$K105,$L105 )*INDEX('I&amp;E Profiles'!AI$96:AI$180,$I105))</f>
        <v>0</v>
      </c>
      <c r="AJ105" s="10" cm="1">
        <f t="array" ref="AJ105">IF(OR(AJ$4=0, $G105&lt;&gt; $G$7, $E105=0), 'I&amp;E Monthly'!AJ105, CHOOSE(Timeline!AJ$30,$J105,$K105,$L105 )*INDEX('I&amp;E Profiles'!AJ$96:AJ$180,$I105))</f>
        <v>0</v>
      </c>
      <c r="AK105" s="10" cm="1">
        <f t="array" ref="AK105">IF(OR(AK$4=0, $G105&lt;&gt; $G$7, $E105=0), 'I&amp;E Monthly'!AK105, CHOOSE(Timeline!AK$30,$J105,$K105,$L105 )*INDEX('I&amp;E Profiles'!AK$96:AK$180,$I105))</f>
        <v>0</v>
      </c>
      <c r="AL105" s="10" cm="1">
        <f t="array" ref="AL105">IF(OR(AL$4=0, $G105&lt;&gt; $G$7, $E105=0), 'I&amp;E Monthly'!AL105, CHOOSE(Timeline!AL$30,$J105,$K105,$L105 )*INDEX('I&amp;E Profiles'!AL$96:AL$180,$I105))</f>
        <v>0</v>
      </c>
      <c r="AM105" s="10" cm="1">
        <f t="array" ref="AM105">IF(OR(AM$4=0, $G105&lt;&gt; $G$7, $E105=0), 'I&amp;E Monthly'!AM105, CHOOSE(Timeline!AM$30,$J105,$K105,$L105 )*INDEX('I&amp;E Profiles'!AM$96:AM$180,$I105))</f>
        <v>0</v>
      </c>
      <c r="AN105" s="10" cm="1">
        <f t="array" ref="AN105">IF(OR(AN$4=0, $G105&lt;&gt; $G$7, $E105=0), 'I&amp;E Monthly'!AN105, CHOOSE(Timeline!AN$30,$J105,$K105,$L105 )*INDEX('I&amp;E Profiles'!AN$96:AN$180,$I105))</f>
        <v>0</v>
      </c>
      <c r="AO105" s="10" cm="1">
        <f t="array" ref="AO105">IF(OR(AO$4=0, $G105&lt;&gt; $G$7, $E105=0), 'I&amp;E Monthly'!AO105, CHOOSE(Timeline!AO$30,$J105,$K105,$L105 )*INDEX('I&amp;E Profiles'!AO$96:AO$180,$I105))</f>
        <v>0</v>
      </c>
      <c r="AP105" s="10" cm="1">
        <f t="array" ref="AP105">IF(OR(AP$4=0, $G105&lt;&gt; $G$7, $E105=0), 'I&amp;E Monthly'!AP105, CHOOSE(Timeline!AP$30,$J105,$K105,$L105 )*INDEX('I&amp;E Profiles'!AP$96:AP$180,$I105))</f>
        <v>0</v>
      </c>
      <c r="AQ105" s="10" cm="1">
        <f t="array" ref="AQ105">IF(OR(AQ$4=0, $G105&lt;&gt; $G$7, $E105=0), 'I&amp;E Monthly'!AQ105, CHOOSE(Timeline!AQ$30,$J105,$K105,$L105 )*INDEX('I&amp;E Profiles'!AQ$96:AQ$180,$I105))</f>
        <v>0</v>
      </c>
      <c r="AR105" s="10" cm="1">
        <f t="array" ref="AR105">IF(OR(AR$4=0, $G105&lt;&gt; $G$7, $E105=0), 'I&amp;E Monthly'!AR105, CHOOSE(Timeline!AR$30,$J105,$K105,$L105 )*INDEX('I&amp;E Profiles'!AR$96:AR$180,$I105))</f>
        <v>0</v>
      </c>
      <c r="AS105" s="10" cm="1">
        <f t="array" ref="AS105">IF(OR(AS$4=0, $G105&lt;&gt; $G$7, $E105=0), 'I&amp;E Monthly'!AS105, CHOOSE(Timeline!AS$30,$J105,$K105,$L105 )*INDEX('I&amp;E Profiles'!AS$96:AS$180,$I105))</f>
        <v>0</v>
      </c>
      <c r="AT105" s="10" cm="1">
        <f t="array" ref="AT105">IF(OR(AT$4=0, $G105&lt;&gt; $G$7, $E105=0), 'I&amp;E Monthly'!AT105, CHOOSE(Timeline!AT$30,$J105,$K105,$L105 )*INDEX('I&amp;E Profiles'!AT$96:AT$180,$I105))</f>
        <v>0</v>
      </c>
      <c r="AU105" s="10" cm="1">
        <f t="array" ref="AU105">IF(OR(AU$4=0, $G105&lt;&gt; $G$7, $E105=0), 'I&amp;E Monthly'!AU105, CHOOSE(Timeline!AU$30,$J105,$K105,$L105 )*INDEX('I&amp;E Profiles'!AU$96:AU$180,$I105))</f>
        <v>0</v>
      </c>
      <c r="AV105" s="10" cm="1">
        <f t="array" ref="AV105">IF(OR(AV$4=0, $G105&lt;&gt; $G$7, $E105=0), 'I&amp;E Monthly'!AV105, CHOOSE(Timeline!AV$30,$J105,$K105,$L105 )*INDEX('I&amp;E Profiles'!AV$96:AV$180,$I105))</f>
        <v>0</v>
      </c>
      <c r="AW105" s="10" cm="1">
        <f t="array" ref="AW105">IF(OR(AW$4=0, $G105&lt;&gt; $G$7, $E105=0), 'I&amp;E Monthly'!AW105, CHOOSE(Timeline!AW$30,$J105,$K105,$L105 )*INDEX('I&amp;E Profiles'!AW$96:AW$180,$I105))</f>
        <v>0</v>
      </c>
      <c r="AX105" s="10" cm="1">
        <f t="array" ref="AX105">IF(OR(AX$4=0, $G105&lt;&gt; $G$7, $E105=0), 'I&amp;E Monthly'!AX105, CHOOSE(Timeline!AX$30,$J105,$K105,$L105 )*INDEX('I&amp;E Profiles'!AX$96:AX$180,$I105))</f>
        <v>0</v>
      </c>
      <c r="AY105" s="10" cm="1">
        <f t="array" ref="AY105">IF(OR(AY$4=0, $G105&lt;&gt; $G$7, $E105=0), 'I&amp;E Monthly'!AY105, CHOOSE(Timeline!AY$30,$J105,$K105,$L105 )*INDEX('I&amp;E Profiles'!AY$96:AY$180,$I105))</f>
        <v>0</v>
      </c>
      <c r="AZ105" s="10" cm="1">
        <f t="array" ref="AZ105">IF(OR(AZ$4=0, $G105&lt;&gt; $G$7, $E105=0), 'I&amp;E Monthly'!AZ105, CHOOSE(Timeline!AZ$30,$J105,$K105,$L105 )*INDEX('I&amp;E Profiles'!AZ$96:AZ$180,$I105))</f>
        <v>0</v>
      </c>
      <c r="BA105" s="10" cm="1">
        <f t="array" ref="BA105">IF(OR(BA$4=0, $G105&lt;&gt; $G$7, $E105=0), 'I&amp;E Monthly'!BA105, CHOOSE(Timeline!BA$30,$J105,$K105,$L105 )*INDEX('I&amp;E Profiles'!BA$96:BA$180,$I105))</f>
        <v>0</v>
      </c>
      <c r="BB105" s="10" cm="1">
        <f t="array" ref="BB105">IF(OR(BB$4=0, $G105&lt;&gt; $G$7, $E105=0), 'I&amp;E Monthly'!BB105, CHOOSE(Timeline!BB$30,$J105,$K105,$L105 )*INDEX('I&amp;E Profiles'!BB$96:BB$180,$I105))</f>
        <v>0</v>
      </c>
      <c r="BC105" s="10" cm="1">
        <f t="array" ref="BC105">IF(OR(BC$4=0, $G105&lt;&gt; $G$7, $E105=0), 'I&amp;E Monthly'!BC105, CHOOSE(Timeline!BC$30,$J105,$K105,$L105 )*INDEX('I&amp;E Profiles'!BC$96:BC$180,$I105))</f>
        <v>0</v>
      </c>
      <c r="BD105" s="10" cm="1">
        <f t="array" ref="BD105">IF(OR(BD$4=0, $G105&lt;&gt; $G$7, $E105=0), 'I&amp;E Monthly'!BD105, CHOOSE(Timeline!BD$30,$J105,$K105,$L105 )*INDEX('I&amp;E Profiles'!BD$96:BD$180,$I105))</f>
        <v>0</v>
      </c>
      <c r="BE105" s="10" cm="1">
        <f t="array" ref="BE105">IF(OR(BE$4=0, $G105&lt;&gt; $G$7, $E105=0), 'I&amp;E Monthly'!BE105, CHOOSE(Timeline!BE$30,$J105,$K105,$L105 )*INDEX('I&amp;E Profiles'!BE$96:BE$180,$I105))</f>
        <v>0</v>
      </c>
      <c r="BF105" s="10" cm="1">
        <f t="array" ref="BF105">IF(OR(BF$4=0, $G105&lt;&gt; $G$7, $E105=0), 'I&amp;E Monthly'!BF105, CHOOSE(Timeline!BF$30,$J105,$K105,$L105 )*INDEX('I&amp;E Profiles'!BF$96:BF$180,$I105))</f>
        <v>0</v>
      </c>
      <c r="BG105" s="10" cm="1">
        <f t="array" ref="BG105">IF(OR(BG$4=0, $G105&lt;&gt; $G$7, $E105=0), 'I&amp;E Monthly'!BG105, CHOOSE(Timeline!BG$30,$J105,$K105,$L105 )*INDEX('I&amp;E Profiles'!BG$96:BG$180,$I105))</f>
        <v>0</v>
      </c>
      <c r="BH105" s="10" cm="1">
        <f t="array" ref="BH105">IF(OR(BH$4=0, $G105&lt;&gt; $G$7, $E105=0), 'I&amp;E Monthly'!BH105, CHOOSE(Timeline!BH$30,$J105,$K105,$L105 )*INDEX('I&amp;E Profiles'!BH$96:BH$180,$I105))</f>
        <v>0</v>
      </c>
      <c r="BI105" s="10" cm="1">
        <f t="array" ref="BI105">IF(OR(BI$4=0, $G105&lt;&gt; $G$7, $E105=0), 'I&amp;E Monthly'!BI105, CHOOSE(Timeline!BI$30,$J105,$K105,$L105 )*INDEX('I&amp;E Profiles'!BI$96:BI$180,$I105))</f>
        <v>0</v>
      </c>
      <c r="BJ105" s="10" cm="1">
        <f t="array" ref="BJ105">IF(OR(BJ$4=0, $G105&lt;&gt; $G$7, $E105=0), 'I&amp;E Monthly'!BJ105, CHOOSE(Timeline!BJ$30,$J105,$K105,$L105 )*INDEX('I&amp;E Profiles'!BJ$96:BJ$180,$I105))</f>
        <v>0</v>
      </c>
      <c r="BX105" s="12">
        <f t="shared" ref="BX105:BX112" si="123">V105</f>
        <v>0</v>
      </c>
      <c r="BY105" s="10">
        <f t="shared" ref="BY105:CA112" si="124">SUMIFS($AA105:$BJ105, $AA$3:$BJ$3,BY$3)</f>
        <v>0</v>
      </c>
      <c r="BZ105" s="10">
        <f t="shared" si="124"/>
        <v>0</v>
      </c>
      <c r="CA105" s="10">
        <f t="shared" si="124"/>
        <v>0</v>
      </c>
      <c r="CB105" s="12">
        <f>'I&amp;E Monthly'!CB105</f>
        <v>0</v>
      </c>
      <c r="CC105" s="12">
        <f>'I&amp;E Monthly'!CC105</f>
        <v>0</v>
      </c>
      <c r="CD105" s="12">
        <f>'I&amp;E Monthly'!CD105</f>
        <v>0</v>
      </c>
      <c r="CE105" s="12">
        <f>'I&amp;E Monthly'!CE105</f>
        <v>0</v>
      </c>
      <c r="CF105" s="12">
        <f>'I&amp;E Monthly'!CF105</f>
        <v>0</v>
      </c>
      <c r="CG105" s="12">
        <f>'I&amp;E Monthly'!CG105</f>
        <v>0</v>
      </c>
      <c r="CH105" s="12">
        <f>'I&amp;E Monthly'!CH105</f>
        <v>0</v>
      </c>
      <c r="CI105" s="12">
        <f>'I&amp;E Monthly'!CI105</f>
        <v>0</v>
      </c>
      <c r="CK105" s="11"/>
      <c r="CL105" s="221">
        <f t="shared" ref="CL105:CL112" ca="1" si="125">IF(MIN($V105:$CI105)&lt;0, 1, 0)*$I$7</f>
        <v>0</v>
      </c>
      <c r="CM105" s="11"/>
      <c r="CN105" s="7">
        <f t="shared" ref="CN105:CN112" si="126">IF(AND($G105=$G$7,$E105=""), 1, 0)</f>
        <v>0</v>
      </c>
      <c r="CO105" s="7" cm="1">
        <f t="array" ref="CO105">SUMPRODUCT(--NOT(ISNUMBER(W105:Y105)),--NOT(ISBLANK(W105:Y105)))</f>
        <v>0</v>
      </c>
      <c r="CP105" s="7" cm="1">
        <f t="array" ref="CP105">IF(E105="",0, IF(IFERROR(INDEX('I&amp;E Profiles'!$D$96:$D$180, $I105), "N/A")="N/A", 1, 0))</f>
        <v>0</v>
      </c>
      <c r="CQ105" s="7">
        <f t="shared" ref="CQ105:CQ114" si="127">IF(SUM($CV105:$CX105)=0, 0, 1)</f>
        <v>0</v>
      </c>
      <c r="CS105" s="7">
        <f t="shared" ref="CS105:CS114" si="128">IF(SUM($CY105:$DA105)=0, 0, 1)</f>
        <v>0</v>
      </c>
      <c r="CT105" s="7">
        <f t="shared" ref="CT105:CT114" si="129">IF(DB105=0, 0, 1)</f>
        <v>0</v>
      </c>
      <c r="CU105" s="11"/>
      <c r="CV105" s="215">
        <f t="shared" ref="CV105:CX112" si="130">IF($G105=$G$7, ROUND(W105-SUMIFS($AA105:$BJ105, $AA$3:$BJ$3, W$3), rounding), 0)</f>
        <v>0</v>
      </c>
      <c r="CW105" s="215">
        <f t="shared" si="130"/>
        <v>0</v>
      </c>
      <c r="CX105" s="215">
        <f t="shared" si="130"/>
        <v>0</v>
      </c>
      <c r="CY105" s="215">
        <f t="shared" ref="CY105:CY114" si="131">ROUND($BY105-SUMIFS($AA105:$BJ105, $AA$3:$BJ$3, $BY$3), rounding)</f>
        <v>0</v>
      </c>
      <c r="CZ105" s="215">
        <f t="shared" ref="CZ105:CZ114" si="132">ROUND($BZ105-SUMIFS($AA105:$BJ105, $AA$3:$BJ$3, $BZ$3), rounding)</f>
        <v>0</v>
      </c>
      <c r="DA105" s="215">
        <f t="shared" ref="DA105:DA114" si="133">ROUND($CA105-SUMIFS($AA105:$BJ105, $AA$3:$BJ$3, $CA$3), rounding)</f>
        <v>0</v>
      </c>
      <c r="DB105" s="215">
        <f t="shared" ref="DB105:DB114" si="134">ROUND($V105-$BX105, rounding)</f>
        <v>0</v>
      </c>
      <c r="FN105" s="10" t="str">
        <f t="shared" si="107"/>
        <v>Teaching staff</v>
      </c>
    </row>
    <row r="106" spans="1:170" x14ac:dyDescent="0.35">
      <c r="A106" s="220" cm="1">
        <f t="array" aca="1" ref="A106" ca="1">HYPERLINK(CONCATENATE("#",CELL("address",IF(MAX($CM106:$CU106)=0,A106,INDEX($CM106:$CU106,MATCH(1,$CM106:$CU106,0))))),MAX($CM106:$CU106))</f>
        <v>0</v>
      </c>
      <c r="B106" s="85" t="s">
        <v>122</v>
      </c>
      <c r="C106" s="213" t="s">
        <v>550</v>
      </c>
      <c r="D106" s="1" t="s">
        <v>404</v>
      </c>
      <c r="E106" s="114"/>
      <c r="F106" s="79" t="str" cm="1">
        <f t="array" aca="1" ref="F106" ca="1">IF(E106="", "", HYPERLINK(CONCATENATE("#",CELL("address",INDEX('I&amp;E Profiles'!$D$9:$D$93,'I&amp;E Annual'!I106))),E106))</f>
        <v/>
      </c>
      <c r="G106" s="114"/>
      <c r="H106" s="120" t="s">
        <v>403</v>
      </c>
      <c r="I106" s="132" t="str">
        <f>IF(E106="", "", MATCH(E106, 'I&amp;E Profiles'!$D$96:$D$180,0))</f>
        <v/>
      </c>
      <c r="J106" s="133">
        <f>IF($G106=$G$7, W106,'I&amp;E Monthly'!W106)-SUMIFS('I&amp;E Monthly'!$AA106:$BJ106, 'I&amp;E Monthly'!$AA$3:$BJ$3, 'I&amp;E Annual'!W$3, 'I&amp;E Monthly'!$AA$4:$BJ$4, 0)</f>
        <v>0</v>
      </c>
      <c r="K106" s="133">
        <f>IF($G106=$G$7, X106,'I&amp;E Monthly'!X106)-SUMIFS('I&amp;E Monthly'!$AA106:$BJ106, 'I&amp;E Monthly'!$AA$3:$BJ$3, 'I&amp;E Annual'!X$3, 'I&amp;E Monthly'!$AA$4:$BJ$4, 0)</f>
        <v>0</v>
      </c>
      <c r="L106" s="133">
        <f>IF($G106=$G$7, Y106,'I&amp;E Monthly'!Y106)-SUMIFS('I&amp;E Monthly'!$AA106:$BJ106, 'I&amp;E Monthly'!$AA$3:$BJ$3, 'I&amp;E Annual'!Y$3, 'I&amp;E Monthly'!$AA$4:$BJ$4, 0)</f>
        <v>0</v>
      </c>
      <c r="Q106" s="2"/>
      <c r="V106" s="133">
        <f>'I&amp;E Monthly'!V106</f>
        <v>0</v>
      </c>
      <c r="W106" s="114"/>
      <c r="X106" s="131"/>
      <c r="Y106" s="131"/>
      <c r="AA106" s="10" cm="1">
        <f t="array" ref="AA106">IF(OR(AA$4=0, $G106&lt;&gt; $G$7, $E106=0), 'I&amp;E Monthly'!AA106, CHOOSE(Timeline!AA$30,$J106,$K106,$L106 )*INDEX('I&amp;E Profiles'!AA$96:AA$180,$I106))</f>
        <v>0</v>
      </c>
      <c r="AB106" s="10" cm="1">
        <f t="array" ref="AB106">IF(OR(AB$4=0, $G106&lt;&gt; $G$7, $E106=0), 'I&amp;E Monthly'!AB106, CHOOSE(Timeline!AB$30,$J106,$K106,$L106 )*INDEX('I&amp;E Profiles'!AB$96:AB$180,$I106))</f>
        <v>0</v>
      </c>
      <c r="AC106" s="10" cm="1">
        <f t="array" ref="AC106">IF(OR(AC$4=0, $G106&lt;&gt; $G$7, $E106=0), 'I&amp;E Monthly'!AC106, CHOOSE(Timeline!AC$30,$J106,$K106,$L106 )*INDEX('I&amp;E Profiles'!AC$96:AC$180,$I106))</f>
        <v>0</v>
      </c>
      <c r="AD106" s="10" cm="1">
        <f t="array" ref="AD106">IF(OR(AD$4=0, $G106&lt;&gt; $G$7, $E106=0), 'I&amp;E Monthly'!AD106, CHOOSE(Timeline!AD$30,$J106,$K106,$L106 )*INDEX('I&amp;E Profiles'!AD$96:AD$180,$I106))</f>
        <v>0</v>
      </c>
      <c r="AE106" s="10" cm="1">
        <f t="array" ref="AE106">IF(OR(AE$4=0, $G106&lt;&gt; $G$7, $E106=0), 'I&amp;E Monthly'!AE106, CHOOSE(Timeline!AE$30,$J106,$K106,$L106 )*INDEX('I&amp;E Profiles'!AE$96:AE$180,$I106))</f>
        <v>0</v>
      </c>
      <c r="AF106" s="10" cm="1">
        <f t="array" ref="AF106">IF(OR(AF$4=0, $G106&lt;&gt; $G$7, $E106=0), 'I&amp;E Monthly'!AF106, CHOOSE(Timeline!AF$30,$J106,$K106,$L106 )*INDEX('I&amp;E Profiles'!AF$96:AF$180,$I106))</f>
        <v>0</v>
      </c>
      <c r="AG106" s="10" cm="1">
        <f t="array" ref="AG106">IF(OR(AG$4=0, $G106&lt;&gt; $G$7, $E106=0), 'I&amp;E Monthly'!AG106, CHOOSE(Timeline!AG$30,$J106,$K106,$L106 )*INDEX('I&amp;E Profiles'!AG$96:AG$180,$I106))</f>
        <v>0</v>
      </c>
      <c r="AH106" s="10" cm="1">
        <f t="array" ref="AH106">IF(OR(AH$4=0, $G106&lt;&gt; $G$7, $E106=0), 'I&amp;E Monthly'!AH106, CHOOSE(Timeline!AH$30,$J106,$K106,$L106 )*INDEX('I&amp;E Profiles'!AH$96:AH$180,$I106))</f>
        <v>0</v>
      </c>
      <c r="AI106" s="10" cm="1">
        <f t="array" ref="AI106">IF(OR(AI$4=0, $G106&lt;&gt; $G$7, $E106=0), 'I&amp;E Monthly'!AI106, CHOOSE(Timeline!AI$30,$J106,$K106,$L106 )*INDEX('I&amp;E Profiles'!AI$96:AI$180,$I106))</f>
        <v>0</v>
      </c>
      <c r="AJ106" s="10" cm="1">
        <f t="array" ref="AJ106">IF(OR(AJ$4=0, $G106&lt;&gt; $G$7, $E106=0), 'I&amp;E Monthly'!AJ106, CHOOSE(Timeline!AJ$30,$J106,$K106,$L106 )*INDEX('I&amp;E Profiles'!AJ$96:AJ$180,$I106))</f>
        <v>0</v>
      </c>
      <c r="AK106" s="10" cm="1">
        <f t="array" ref="AK106">IF(OR(AK$4=0, $G106&lt;&gt; $G$7, $E106=0), 'I&amp;E Monthly'!AK106, CHOOSE(Timeline!AK$30,$J106,$K106,$L106 )*INDEX('I&amp;E Profiles'!AK$96:AK$180,$I106))</f>
        <v>0</v>
      </c>
      <c r="AL106" s="10" cm="1">
        <f t="array" ref="AL106">IF(OR(AL$4=0, $G106&lt;&gt; $G$7, $E106=0), 'I&amp;E Monthly'!AL106, CHOOSE(Timeline!AL$30,$J106,$K106,$L106 )*INDEX('I&amp;E Profiles'!AL$96:AL$180,$I106))</f>
        <v>0</v>
      </c>
      <c r="AM106" s="10" cm="1">
        <f t="array" ref="AM106">IF(OR(AM$4=0, $G106&lt;&gt; $G$7, $E106=0), 'I&amp;E Monthly'!AM106, CHOOSE(Timeline!AM$30,$J106,$K106,$L106 )*INDEX('I&amp;E Profiles'!AM$96:AM$180,$I106))</f>
        <v>0</v>
      </c>
      <c r="AN106" s="10" cm="1">
        <f t="array" ref="AN106">IF(OR(AN$4=0, $G106&lt;&gt; $G$7, $E106=0), 'I&amp;E Monthly'!AN106, CHOOSE(Timeline!AN$30,$J106,$K106,$L106 )*INDEX('I&amp;E Profiles'!AN$96:AN$180,$I106))</f>
        <v>0</v>
      </c>
      <c r="AO106" s="10" cm="1">
        <f t="array" ref="AO106">IF(OR(AO$4=0, $G106&lt;&gt; $G$7, $E106=0), 'I&amp;E Monthly'!AO106, CHOOSE(Timeline!AO$30,$J106,$K106,$L106 )*INDEX('I&amp;E Profiles'!AO$96:AO$180,$I106))</f>
        <v>0</v>
      </c>
      <c r="AP106" s="10" cm="1">
        <f t="array" ref="AP106">IF(OR(AP$4=0, $G106&lt;&gt; $G$7, $E106=0), 'I&amp;E Monthly'!AP106, CHOOSE(Timeline!AP$30,$J106,$K106,$L106 )*INDEX('I&amp;E Profiles'!AP$96:AP$180,$I106))</f>
        <v>0</v>
      </c>
      <c r="AQ106" s="10" cm="1">
        <f t="array" ref="AQ106">IF(OR(AQ$4=0, $G106&lt;&gt; $G$7, $E106=0), 'I&amp;E Monthly'!AQ106, CHOOSE(Timeline!AQ$30,$J106,$K106,$L106 )*INDEX('I&amp;E Profiles'!AQ$96:AQ$180,$I106))</f>
        <v>0</v>
      </c>
      <c r="AR106" s="10" cm="1">
        <f t="array" ref="AR106">IF(OR(AR$4=0, $G106&lt;&gt; $G$7, $E106=0), 'I&amp;E Monthly'!AR106, CHOOSE(Timeline!AR$30,$J106,$K106,$L106 )*INDEX('I&amp;E Profiles'!AR$96:AR$180,$I106))</f>
        <v>0</v>
      </c>
      <c r="AS106" s="10" cm="1">
        <f t="array" ref="AS106">IF(OR(AS$4=0, $G106&lt;&gt; $G$7, $E106=0), 'I&amp;E Monthly'!AS106, CHOOSE(Timeline!AS$30,$J106,$K106,$L106 )*INDEX('I&amp;E Profiles'!AS$96:AS$180,$I106))</f>
        <v>0</v>
      </c>
      <c r="AT106" s="10" cm="1">
        <f t="array" ref="AT106">IF(OR(AT$4=0, $G106&lt;&gt; $G$7, $E106=0), 'I&amp;E Monthly'!AT106, CHOOSE(Timeline!AT$30,$J106,$K106,$L106 )*INDEX('I&amp;E Profiles'!AT$96:AT$180,$I106))</f>
        <v>0</v>
      </c>
      <c r="AU106" s="10" cm="1">
        <f t="array" ref="AU106">IF(OR(AU$4=0, $G106&lt;&gt; $G$7, $E106=0), 'I&amp;E Monthly'!AU106, CHOOSE(Timeline!AU$30,$J106,$K106,$L106 )*INDEX('I&amp;E Profiles'!AU$96:AU$180,$I106))</f>
        <v>0</v>
      </c>
      <c r="AV106" s="10" cm="1">
        <f t="array" ref="AV106">IF(OR(AV$4=0, $G106&lt;&gt; $G$7, $E106=0), 'I&amp;E Monthly'!AV106, CHOOSE(Timeline!AV$30,$J106,$K106,$L106 )*INDEX('I&amp;E Profiles'!AV$96:AV$180,$I106))</f>
        <v>0</v>
      </c>
      <c r="AW106" s="10" cm="1">
        <f t="array" ref="AW106">IF(OR(AW$4=0, $G106&lt;&gt; $G$7, $E106=0), 'I&amp;E Monthly'!AW106, CHOOSE(Timeline!AW$30,$J106,$K106,$L106 )*INDEX('I&amp;E Profiles'!AW$96:AW$180,$I106))</f>
        <v>0</v>
      </c>
      <c r="AX106" s="10" cm="1">
        <f t="array" ref="AX106">IF(OR(AX$4=0, $G106&lt;&gt; $G$7, $E106=0), 'I&amp;E Monthly'!AX106, CHOOSE(Timeline!AX$30,$J106,$K106,$L106 )*INDEX('I&amp;E Profiles'!AX$96:AX$180,$I106))</f>
        <v>0</v>
      </c>
      <c r="AY106" s="10" cm="1">
        <f t="array" ref="AY106">IF(OR(AY$4=0, $G106&lt;&gt; $G$7, $E106=0), 'I&amp;E Monthly'!AY106, CHOOSE(Timeline!AY$30,$J106,$K106,$L106 )*INDEX('I&amp;E Profiles'!AY$96:AY$180,$I106))</f>
        <v>0</v>
      </c>
      <c r="AZ106" s="10" cm="1">
        <f t="array" ref="AZ106">IF(OR(AZ$4=0, $G106&lt;&gt; $G$7, $E106=0), 'I&amp;E Monthly'!AZ106, CHOOSE(Timeline!AZ$30,$J106,$K106,$L106 )*INDEX('I&amp;E Profiles'!AZ$96:AZ$180,$I106))</f>
        <v>0</v>
      </c>
      <c r="BA106" s="10" cm="1">
        <f t="array" ref="BA106">IF(OR(BA$4=0, $G106&lt;&gt; $G$7, $E106=0), 'I&amp;E Monthly'!BA106, CHOOSE(Timeline!BA$30,$J106,$K106,$L106 )*INDEX('I&amp;E Profiles'!BA$96:BA$180,$I106))</f>
        <v>0</v>
      </c>
      <c r="BB106" s="10" cm="1">
        <f t="array" ref="BB106">IF(OR(BB$4=0, $G106&lt;&gt; $G$7, $E106=0), 'I&amp;E Monthly'!BB106, CHOOSE(Timeline!BB$30,$J106,$K106,$L106 )*INDEX('I&amp;E Profiles'!BB$96:BB$180,$I106))</f>
        <v>0</v>
      </c>
      <c r="BC106" s="10" cm="1">
        <f t="array" ref="BC106">IF(OR(BC$4=0, $G106&lt;&gt; $G$7, $E106=0), 'I&amp;E Monthly'!BC106, CHOOSE(Timeline!BC$30,$J106,$K106,$L106 )*INDEX('I&amp;E Profiles'!BC$96:BC$180,$I106))</f>
        <v>0</v>
      </c>
      <c r="BD106" s="10" cm="1">
        <f t="array" ref="BD106">IF(OR(BD$4=0, $G106&lt;&gt; $G$7, $E106=0), 'I&amp;E Monthly'!BD106, CHOOSE(Timeline!BD$30,$J106,$K106,$L106 )*INDEX('I&amp;E Profiles'!BD$96:BD$180,$I106))</f>
        <v>0</v>
      </c>
      <c r="BE106" s="10" cm="1">
        <f t="array" ref="BE106">IF(OR(BE$4=0, $G106&lt;&gt; $G$7, $E106=0), 'I&amp;E Monthly'!BE106, CHOOSE(Timeline!BE$30,$J106,$K106,$L106 )*INDEX('I&amp;E Profiles'!BE$96:BE$180,$I106))</f>
        <v>0</v>
      </c>
      <c r="BF106" s="10" cm="1">
        <f t="array" ref="BF106">IF(OR(BF$4=0, $G106&lt;&gt; $G$7, $E106=0), 'I&amp;E Monthly'!BF106, CHOOSE(Timeline!BF$30,$J106,$K106,$L106 )*INDEX('I&amp;E Profiles'!BF$96:BF$180,$I106))</f>
        <v>0</v>
      </c>
      <c r="BG106" s="10" cm="1">
        <f t="array" ref="BG106">IF(OR(BG$4=0, $G106&lt;&gt; $G$7, $E106=0), 'I&amp;E Monthly'!BG106, CHOOSE(Timeline!BG$30,$J106,$K106,$L106 )*INDEX('I&amp;E Profiles'!BG$96:BG$180,$I106))</f>
        <v>0</v>
      </c>
      <c r="BH106" s="10" cm="1">
        <f t="array" ref="BH106">IF(OR(BH$4=0, $G106&lt;&gt; $G$7, $E106=0), 'I&amp;E Monthly'!BH106, CHOOSE(Timeline!BH$30,$J106,$K106,$L106 )*INDEX('I&amp;E Profiles'!BH$96:BH$180,$I106))</f>
        <v>0</v>
      </c>
      <c r="BI106" s="10" cm="1">
        <f t="array" ref="BI106">IF(OR(BI$4=0, $G106&lt;&gt; $G$7, $E106=0), 'I&amp;E Monthly'!BI106, CHOOSE(Timeline!BI$30,$J106,$K106,$L106 )*INDEX('I&amp;E Profiles'!BI$96:BI$180,$I106))</f>
        <v>0</v>
      </c>
      <c r="BJ106" s="10" cm="1">
        <f t="array" ref="BJ106">IF(OR(BJ$4=0, $G106&lt;&gt; $G$7, $E106=0), 'I&amp;E Monthly'!BJ106, CHOOSE(Timeline!BJ$30,$J106,$K106,$L106 )*INDEX('I&amp;E Profiles'!BJ$96:BJ$180,$I106))</f>
        <v>0</v>
      </c>
      <c r="BX106" s="12">
        <f t="shared" si="123"/>
        <v>0</v>
      </c>
      <c r="BY106" s="10">
        <f t="shared" si="124"/>
        <v>0</v>
      </c>
      <c r="BZ106" s="10">
        <f t="shared" si="124"/>
        <v>0</v>
      </c>
      <c r="CA106" s="10">
        <f t="shared" si="124"/>
        <v>0</v>
      </c>
      <c r="CB106" s="12">
        <f>'I&amp;E Monthly'!CB106</f>
        <v>0</v>
      </c>
      <c r="CC106" s="12">
        <f>'I&amp;E Monthly'!CC106</f>
        <v>0</v>
      </c>
      <c r="CD106" s="12">
        <f>'I&amp;E Monthly'!CD106</f>
        <v>0</v>
      </c>
      <c r="CE106" s="12">
        <f>'I&amp;E Monthly'!CE106</f>
        <v>0</v>
      </c>
      <c r="CF106" s="12">
        <f>'I&amp;E Monthly'!CF106</f>
        <v>0</v>
      </c>
      <c r="CG106" s="12">
        <f>'I&amp;E Monthly'!CG106</f>
        <v>0</v>
      </c>
      <c r="CH106" s="12">
        <f>'I&amp;E Monthly'!CH106</f>
        <v>0</v>
      </c>
      <c r="CI106" s="12">
        <f>'I&amp;E Monthly'!CI106</f>
        <v>0</v>
      </c>
      <c r="CK106" s="11"/>
      <c r="CL106" s="221">
        <f t="shared" ca="1" si="125"/>
        <v>0</v>
      </c>
      <c r="CM106" s="11"/>
      <c r="CN106" s="7">
        <f t="shared" si="126"/>
        <v>0</v>
      </c>
      <c r="CO106" s="7" cm="1">
        <f t="array" ref="CO106">SUMPRODUCT(--NOT(ISNUMBER(W106:Y106)),--NOT(ISBLANK(W106:Y106)))</f>
        <v>0</v>
      </c>
      <c r="CP106" s="7" cm="1">
        <f t="array" ref="CP106">IF(E106="",0, IF(IFERROR(INDEX('I&amp;E Profiles'!$D$96:$D$180, $I106), "N/A")="N/A", 1, 0))</f>
        <v>0</v>
      </c>
      <c r="CQ106" s="7">
        <f t="shared" si="127"/>
        <v>0</v>
      </c>
      <c r="CS106" s="7">
        <f t="shared" si="128"/>
        <v>0</v>
      </c>
      <c r="CT106" s="7">
        <f t="shared" si="129"/>
        <v>0</v>
      </c>
      <c r="CU106" s="11"/>
      <c r="CV106" s="215">
        <f t="shared" si="130"/>
        <v>0</v>
      </c>
      <c r="CW106" s="215">
        <f t="shared" si="130"/>
        <v>0</v>
      </c>
      <c r="CX106" s="215">
        <f t="shared" si="130"/>
        <v>0</v>
      </c>
      <c r="CY106" s="215">
        <f t="shared" si="131"/>
        <v>0</v>
      </c>
      <c r="CZ106" s="215">
        <f t="shared" si="132"/>
        <v>0</v>
      </c>
      <c r="DA106" s="215">
        <f t="shared" si="133"/>
        <v>0</v>
      </c>
      <c r="DB106" s="215">
        <f t="shared" si="134"/>
        <v>0</v>
      </c>
      <c r="FN106" s="10" t="str">
        <f t="shared" si="107"/>
        <v>Contracted tuition services</v>
      </c>
    </row>
    <row r="107" spans="1:170" x14ac:dyDescent="0.35">
      <c r="A107" s="220" cm="1">
        <f t="array" aca="1" ref="A107" ca="1">HYPERLINK(CONCATENATE("#",CELL("address",IF(MAX($CM107:$CU107)=0,A107,INDEX($CM107:$CU107,MATCH(1,$CM107:$CU107,0))))),MAX($CM107:$CU107))</f>
        <v>0</v>
      </c>
      <c r="B107" s="85" t="s">
        <v>122</v>
      </c>
      <c r="C107" s="213" t="s">
        <v>551</v>
      </c>
      <c r="D107" s="1" t="s">
        <v>405</v>
      </c>
      <c r="E107" s="114"/>
      <c r="F107" s="79" t="str" cm="1">
        <f t="array" aca="1" ref="F107" ca="1">IF(E107="", "", HYPERLINK(CONCATENATE("#",CELL("address",INDEX('I&amp;E Profiles'!$D$9:$D$93,'I&amp;E Annual'!I107))),E107))</f>
        <v/>
      </c>
      <c r="G107" s="114"/>
      <c r="H107" s="120" t="s">
        <v>403</v>
      </c>
      <c r="I107" s="132" t="str">
        <f>IF(E107="", "", MATCH(E107, 'I&amp;E Profiles'!$D$96:$D$180,0))</f>
        <v/>
      </c>
      <c r="J107" s="133">
        <f>IF($G107=$G$7, W107,'I&amp;E Monthly'!W107)-SUMIFS('I&amp;E Monthly'!$AA107:$BJ107, 'I&amp;E Monthly'!$AA$3:$BJ$3, 'I&amp;E Annual'!W$3, 'I&amp;E Monthly'!$AA$4:$BJ$4, 0)</f>
        <v>0</v>
      </c>
      <c r="K107" s="133">
        <f>IF($G107=$G$7, X107,'I&amp;E Monthly'!X107)-SUMIFS('I&amp;E Monthly'!$AA107:$BJ107, 'I&amp;E Monthly'!$AA$3:$BJ$3, 'I&amp;E Annual'!X$3, 'I&amp;E Monthly'!$AA$4:$BJ$4, 0)</f>
        <v>0</v>
      </c>
      <c r="L107" s="133">
        <f>IF($G107=$G$7, Y107,'I&amp;E Monthly'!Y107)-SUMIFS('I&amp;E Monthly'!$AA107:$BJ107, 'I&amp;E Monthly'!$AA$3:$BJ$3, 'I&amp;E Annual'!Y$3, 'I&amp;E Monthly'!$AA$4:$BJ$4, 0)</f>
        <v>0</v>
      </c>
      <c r="Q107" s="2"/>
      <c r="V107" s="133">
        <f>'I&amp;E Monthly'!V107</f>
        <v>0</v>
      </c>
      <c r="W107" s="114"/>
      <c r="X107" s="131"/>
      <c r="Y107" s="131"/>
      <c r="AA107" s="10" cm="1">
        <f t="array" ref="AA107">IF(OR(AA$4=0, $G107&lt;&gt; $G$7, $E107=0), 'I&amp;E Monthly'!AA107, CHOOSE(Timeline!AA$30,$J107,$K107,$L107 )*INDEX('I&amp;E Profiles'!AA$96:AA$180,$I107))</f>
        <v>0</v>
      </c>
      <c r="AB107" s="10" cm="1">
        <f t="array" ref="AB107">IF(OR(AB$4=0, $G107&lt;&gt; $G$7, $E107=0), 'I&amp;E Monthly'!AB107, CHOOSE(Timeline!AB$30,$J107,$K107,$L107 )*INDEX('I&amp;E Profiles'!AB$96:AB$180,$I107))</f>
        <v>0</v>
      </c>
      <c r="AC107" s="10" cm="1">
        <f t="array" ref="AC107">IF(OR(AC$4=0, $G107&lt;&gt; $G$7, $E107=0), 'I&amp;E Monthly'!AC107, CHOOSE(Timeline!AC$30,$J107,$K107,$L107 )*INDEX('I&amp;E Profiles'!AC$96:AC$180,$I107))</f>
        <v>0</v>
      </c>
      <c r="AD107" s="10" cm="1">
        <f t="array" ref="AD107">IF(OR(AD$4=0, $G107&lt;&gt; $G$7, $E107=0), 'I&amp;E Monthly'!AD107, CHOOSE(Timeline!AD$30,$J107,$K107,$L107 )*INDEX('I&amp;E Profiles'!AD$96:AD$180,$I107))</f>
        <v>0</v>
      </c>
      <c r="AE107" s="10" cm="1">
        <f t="array" ref="AE107">IF(OR(AE$4=0, $G107&lt;&gt; $G$7, $E107=0), 'I&amp;E Monthly'!AE107, CHOOSE(Timeline!AE$30,$J107,$K107,$L107 )*INDEX('I&amp;E Profiles'!AE$96:AE$180,$I107))</f>
        <v>0</v>
      </c>
      <c r="AF107" s="10" cm="1">
        <f t="array" ref="AF107">IF(OR(AF$4=0, $G107&lt;&gt; $G$7, $E107=0), 'I&amp;E Monthly'!AF107, CHOOSE(Timeline!AF$30,$J107,$K107,$L107 )*INDEX('I&amp;E Profiles'!AF$96:AF$180,$I107))</f>
        <v>0</v>
      </c>
      <c r="AG107" s="10" cm="1">
        <f t="array" ref="AG107">IF(OR(AG$4=0, $G107&lt;&gt; $G$7, $E107=0), 'I&amp;E Monthly'!AG107, CHOOSE(Timeline!AG$30,$J107,$K107,$L107 )*INDEX('I&amp;E Profiles'!AG$96:AG$180,$I107))</f>
        <v>0</v>
      </c>
      <c r="AH107" s="10" cm="1">
        <f t="array" ref="AH107">IF(OR(AH$4=0, $G107&lt;&gt; $G$7, $E107=0), 'I&amp;E Monthly'!AH107, CHOOSE(Timeline!AH$30,$J107,$K107,$L107 )*INDEX('I&amp;E Profiles'!AH$96:AH$180,$I107))</f>
        <v>0</v>
      </c>
      <c r="AI107" s="10" cm="1">
        <f t="array" ref="AI107">IF(OR(AI$4=0, $G107&lt;&gt; $G$7, $E107=0), 'I&amp;E Monthly'!AI107, CHOOSE(Timeline!AI$30,$J107,$K107,$L107 )*INDEX('I&amp;E Profiles'!AI$96:AI$180,$I107))</f>
        <v>0</v>
      </c>
      <c r="AJ107" s="10" cm="1">
        <f t="array" ref="AJ107">IF(OR(AJ$4=0, $G107&lt;&gt; $G$7, $E107=0), 'I&amp;E Monthly'!AJ107, CHOOSE(Timeline!AJ$30,$J107,$K107,$L107 )*INDEX('I&amp;E Profiles'!AJ$96:AJ$180,$I107))</f>
        <v>0</v>
      </c>
      <c r="AK107" s="10" cm="1">
        <f t="array" ref="AK107">IF(OR(AK$4=0, $G107&lt;&gt; $G$7, $E107=0), 'I&amp;E Monthly'!AK107, CHOOSE(Timeline!AK$30,$J107,$K107,$L107 )*INDEX('I&amp;E Profiles'!AK$96:AK$180,$I107))</f>
        <v>0</v>
      </c>
      <c r="AL107" s="10" cm="1">
        <f t="array" ref="AL107">IF(OR(AL$4=0, $G107&lt;&gt; $G$7, $E107=0), 'I&amp;E Monthly'!AL107, CHOOSE(Timeline!AL$30,$J107,$K107,$L107 )*INDEX('I&amp;E Profiles'!AL$96:AL$180,$I107))</f>
        <v>0</v>
      </c>
      <c r="AM107" s="10" cm="1">
        <f t="array" ref="AM107">IF(OR(AM$4=0, $G107&lt;&gt; $G$7, $E107=0), 'I&amp;E Monthly'!AM107, CHOOSE(Timeline!AM$30,$J107,$K107,$L107 )*INDEX('I&amp;E Profiles'!AM$96:AM$180,$I107))</f>
        <v>0</v>
      </c>
      <c r="AN107" s="10" cm="1">
        <f t="array" ref="AN107">IF(OR(AN$4=0, $G107&lt;&gt; $G$7, $E107=0), 'I&amp;E Monthly'!AN107, CHOOSE(Timeline!AN$30,$J107,$K107,$L107 )*INDEX('I&amp;E Profiles'!AN$96:AN$180,$I107))</f>
        <v>0</v>
      </c>
      <c r="AO107" s="10" cm="1">
        <f t="array" ref="AO107">IF(OR(AO$4=0, $G107&lt;&gt; $G$7, $E107=0), 'I&amp;E Monthly'!AO107, CHOOSE(Timeline!AO$30,$J107,$K107,$L107 )*INDEX('I&amp;E Profiles'!AO$96:AO$180,$I107))</f>
        <v>0</v>
      </c>
      <c r="AP107" s="10" cm="1">
        <f t="array" ref="AP107">IF(OR(AP$4=0, $G107&lt;&gt; $G$7, $E107=0), 'I&amp;E Monthly'!AP107, CHOOSE(Timeline!AP$30,$J107,$K107,$L107 )*INDEX('I&amp;E Profiles'!AP$96:AP$180,$I107))</f>
        <v>0</v>
      </c>
      <c r="AQ107" s="10" cm="1">
        <f t="array" ref="AQ107">IF(OR(AQ$4=0, $G107&lt;&gt; $G$7, $E107=0), 'I&amp;E Monthly'!AQ107, CHOOSE(Timeline!AQ$30,$J107,$K107,$L107 )*INDEX('I&amp;E Profiles'!AQ$96:AQ$180,$I107))</f>
        <v>0</v>
      </c>
      <c r="AR107" s="10" cm="1">
        <f t="array" ref="AR107">IF(OR(AR$4=0, $G107&lt;&gt; $G$7, $E107=0), 'I&amp;E Monthly'!AR107, CHOOSE(Timeline!AR$30,$J107,$K107,$L107 )*INDEX('I&amp;E Profiles'!AR$96:AR$180,$I107))</f>
        <v>0</v>
      </c>
      <c r="AS107" s="10" cm="1">
        <f t="array" ref="AS107">IF(OR(AS$4=0, $G107&lt;&gt; $G$7, $E107=0), 'I&amp;E Monthly'!AS107, CHOOSE(Timeline!AS$30,$J107,$K107,$L107 )*INDEX('I&amp;E Profiles'!AS$96:AS$180,$I107))</f>
        <v>0</v>
      </c>
      <c r="AT107" s="10" cm="1">
        <f t="array" ref="AT107">IF(OR(AT$4=0, $G107&lt;&gt; $G$7, $E107=0), 'I&amp;E Monthly'!AT107, CHOOSE(Timeline!AT$30,$J107,$K107,$L107 )*INDEX('I&amp;E Profiles'!AT$96:AT$180,$I107))</f>
        <v>0</v>
      </c>
      <c r="AU107" s="10" cm="1">
        <f t="array" ref="AU107">IF(OR(AU$4=0, $G107&lt;&gt; $G$7, $E107=0), 'I&amp;E Monthly'!AU107, CHOOSE(Timeline!AU$30,$J107,$K107,$L107 )*INDEX('I&amp;E Profiles'!AU$96:AU$180,$I107))</f>
        <v>0</v>
      </c>
      <c r="AV107" s="10" cm="1">
        <f t="array" ref="AV107">IF(OR(AV$4=0, $G107&lt;&gt; $G$7, $E107=0), 'I&amp;E Monthly'!AV107, CHOOSE(Timeline!AV$30,$J107,$K107,$L107 )*INDEX('I&amp;E Profiles'!AV$96:AV$180,$I107))</f>
        <v>0</v>
      </c>
      <c r="AW107" s="10" cm="1">
        <f t="array" ref="AW107">IF(OR(AW$4=0, $G107&lt;&gt; $G$7, $E107=0), 'I&amp;E Monthly'!AW107, CHOOSE(Timeline!AW$30,$J107,$K107,$L107 )*INDEX('I&amp;E Profiles'!AW$96:AW$180,$I107))</f>
        <v>0</v>
      </c>
      <c r="AX107" s="10" cm="1">
        <f t="array" ref="AX107">IF(OR(AX$4=0, $G107&lt;&gt; $G$7, $E107=0), 'I&amp;E Monthly'!AX107, CHOOSE(Timeline!AX$30,$J107,$K107,$L107 )*INDEX('I&amp;E Profiles'!AX$96:AX$180,$I107))</f>
        <v>0</v>
      </c>
      <c r="AY107" s="10" cm="1">
        <f t="array" ref="AY107">IF(OR(AY$4=0, $G107&lt;&gt; $G$7, $E107=0), 'I&amp;E Monthly'!AY107, CHOOSE(Timeline!AY$30,$J107,$K107,$L107 )*INDEX('I&amp;E Profiles'!AY$96:AY$180,$I107))</f>
        <v>0</v>
      </c>
      <c r="AZ107" s="10" cm="1">
        <f t="array" ref="AZ107">IF(OR(AZ$4=0, $G107&lt;&gt; $G$7, $E107=0), 'I&amp;E Monthly'!AZ107, CHOOSE(Timeline!AZ$30,$J107,$K107,$L107 )*INDEX('I&amp;E Profiles'!AZ$96:AZ$180,$I107))</f>
        <v>0</v>
      </c>
      <c r="BA107" s="10" cm="1">
        <f t="array" ref="BA107">IF(OR(BA$4=0, $G107&lt;&gt; $G$7, $E107=0), 'I&amp;E Monthly'!BA107, CHOOSE(Timeline!BA$30,$J107,$K107,$L107 )*INDEX('I&amp;E Profiles'!BA$96:BA$180,$I107))</f>
        <v>0</v>
      </c>
      <c r="BB107" s="10" cm="1">
        <f t="array" ref="BB107">IF(OR(BB$4=0, $G107&lt;&gt; $G$7, $E107=0), 'I&amp;E Monthly'!BB107, CHOOSE(Timeline!BB$30,$J107,$K107,$L107 )*INDEX('I&amp;E Profiles'!BB$96:BB$180,$I107))</f>
        <v>0</v>
      </c>
      <c r="BC107" s="10" cm="1">
        <f t="array" ref="BC107">IF(OR(BC$4=0, $G107&lt;&gt; $G$7, $E107=0), 'I&amp;E Monthly'!BC107, CHOOSE(Timeline!BC$30,$J107,$K107,$L107 )*INDEX('I&amp;E Profiles'!BC$96:BC$180,$I107))</f>
        <v>0</v>
      </c>
      <c r="BD107" s="10" cm="1">
        <f t="array" ref="BD107">IF(OR(BD$4=0, $G107&lt;&gt; $G$7, $E107=0), 'I&amp;E Monthly'!BD107, CHOOSE(Timeline!BD$30,$J107,$K107,$L107 )*INDEX('I&amp;E Profiles'!BD$96:BD$180,$I107))</f>
        <v>0</v>
      </c>
      <c r="BE107" s="10" cm="1">
        <f t="array" ref="BE107">IF(OR(BE$4=0, $G107&lt;&gt; $G$7, $E107=0), 'I&amp;E Monthly'!BE107, CHOOSE(Timeline!BE$30,$J107,$K107,$L107 )*INDEX('I&amp;E Profiles'!BE$96:BE$180,$I107))</f>
        <v>0</v>
      </c>
      <c r="BF107" s="10" cm="1">
        <f t="array" ref="BF107">IF(OR(BF$4=0, $G107&lt;&gt; $G$7, $E107=0), 'I&amp;E Monthly'!BF107, CHOOSE(Timeline!BF$30,$J107,$K107,$L107 )*INDEX('I&amp;E Profiles'!BF$96:BF$180,$I107))</f>
        <v>0</v>
      </c>
      <c r="BG107" s="10" cm="1">
        <f t="array" ref="BG107">IF(OR(BG$4=0, $G107&lt;&gt; $G$7, $E107=0), 'I&amp;E Monthly'!BG107, CHOOSE(Timeline!BG$30,$J107,$K107,$L107 )*INDEX('I&amp;E Profiles'!BG$96:BG$180,$I107))</f>
        <v>0</v>
      </c>
      <c r="BH107" s="10" cm="1">
        <f t="array" ref="BH107">IF(OR(BH$4=0, $G107&lt;&gt; $G$7, $E107=0), 'I&amp;E Monthly'!BH107, CHOOSE(Timeline!BH$30,$J107,$K107,$L107 )*INDEX('I&amp;E Profiles'!BH$96:BH$180,$I107))</f>
        <v>0</v>
      </c>
      <c r="BI107" s="10" cm="1">
        <f t="array" ref="BI107">IF(OR(BI$4=0, $G107&lt;&gt; $G$7, $E107=0), 'I&amp;E Monthly'!BI107, CHOOSE(Timeline!BI$30,$J107,$K107,$L107 )*INDEX('I&amp;E Profiles'!BI$96:BI$180,$I107))</f>
        <v>0</v>
      </c>
      <c r="BJ107" s="10" cm="1">
        <f t="array" ref="BJ107">IF(OR(BJ$4=0, $G107&lt;&gt; $G$7, $E107=0), 'I&amp;E Monthly'!BJ107, CHOOSE(Timeline!BJ$30,$J107,$K107,$L107 )*INDEX('I&amp;E Profiles'!BJ$96:BJ$180,$I107))</f>
        <v>0</v>
      </c>
      <c r="BX107" s="12">
        <f t="shared" si="123"/>
        <v>0</v>
      </c>
      <c r="BY107" s="10">
        <f t="shared" si="124"/>
        <v>0</v>
      </c>
      <c r="BZ107" s="10">
        <f t="shared" si="124"/>
        <v>0</v>
      </c>
      <c r="CA107" s="10">
        <f t="shared" si="124"/>
        <v>0</v>
      </c>
      <c r="CB107" s="12">
        <f>'I&amp;E Monthly'!CB107</f>
        <v>0</v>
      </c>
      <c r="CC107" s="12">
        <f>'I&amp;E Monthly'!CC107</f>
        <v>0</v>
      </c>
      <c r="CD107" s="12">
        <f>'I&amp;E Monthly'!CD107</f>
        <v>0</v>
      </c>
      <c r="CE107" s="12">
        <f>'I&amp;E Monthly'!CE107</f>
        <v>0</v>
      </c>
      <c r="CF107" s="12">
        <f>'I&amp;E Monthly'!CF107</f>
        <v>0</v>
      </c>
      <c r="CG107" s="12">
        <f>'I&amp;E Monthly'!CG107</f>
        <v>0</v>
      </c>
      <c r="CH107" s="12">
        <f>'I&amp;E Monthly'!CH107</f>
        <v>0</v>
      </c>
      <c r="CI107" s="12">
        <f>'I&amp;E Monthly'!CI107</f>
        <v>0</v>
      </c>
      <c r="CK107" s="11"/>
      <c r="CL107" s="221">
        <f t="shared" ca="1" si="125"/>
        <v>0</v>
      </c>
      <c r="CM107" s="11"/>
      <c r="CN107" s="7">
        <f t="shared" si="126"/>
        <v>0</v>
      </c>
      <c r="CO107" s="7" cm="1">
        <f t="array" ref="CO107">SUMPRODUCT(--NOT(ISNUMBER(W107:Y107)),--NOT(ISBLANK(W107:Y107)))</f>
        <v>0</v>
      </c>
      <c r="CP107" s="7" cm="1">
        <f t="array" ref="CP107">IF(E107="",0, IF(IFERROR(INDEX('I&amp;E Profiles'!$D$96:$D$180, $I107), "N/A")="N/A", 1, 0))</f>
        <v>0</v>
      </c>
      <c r="CQ107" s="7">
        <f t="shared" si="127"/>
        <v>0</v>
      </c>
      <c r="CS107" s="7">
        <f t="shared" si="128"/>
        <v>0</v>
      </c>
      <c r="CT107" s="7">
        <f t="shared" si="129"/>
        <v>0</v>
      </c>
      <c r="CU107" s="11"/>
      <c r="CV107" s="215">
        <f t="shared" si="130"/>
        <v>0</v>
      </c>
      <c r="CW107" s="215">
        <f t="shared" si="130"/>
        <v>0</v>
      </c>
      <c r="CX107" s="215">
        <f t="shared" si="130"/>
        <v>0</v>
      </c>
      <c r="CY107" s="215">
        <f t="shared" si="131"/>
        <v>0</v>
      </c>
      <c r="CZ107" s="215">
        <f t="shared" si="132"/>
        <v>0</v>
      </c>
      <c r="DA107" s="215">
        <f t="shared" si="133"/>
        <v>0</v>
      </c>
      <c r="DB107" s="215">
        <f t="shared" si="134"/>
        <v>0</v>
      </c>
      <c r="FN107" s="10" t="str">
        <f t="shared" si="107"/>
        <v>Teaching and other support staff</v>
      </c>
    </row>
    <row r="108" spans="1:170" x14ac:dyDescent="0.35">
      <c r="A108" s="220" cm="1">
        <f t="array" aca="1" ref="A108" ca="1">HYPERLINK(CONCATENATE("#",CELL("address",IF(MAX($CM108:$CU108)=0,A108,INDEX($CM108:$CU108,MATCH(1,$CM108:$CU108,0))))),MAX($CM108:$CU108))</f>
        <v>0</v>
      </c>
      <c r="B108" s="85" t="s">
        <v>122</v>
      </c>
      <c r="C108" s="213" t="s">
        <v>552</v>
      </c>
      <c r="D108" s="1" t="s">
        <v>406</v>
      </c>
      <c r="E108" s="114"/>
      <c r="F108" s="79" t="str" cm="1">
        <f t="array" aca="1" ref="F108" ca="1">IF(E108="", "", HYPERLINK(CONCATENATE("#",CELL("address",INDEX('I&amp;E Profiles'!$D$9:$D$93,'I&amp;E Annual'!I108))),E108))</f>
        <v/>
      </c>
      <c r="G108" s="114"/>
      <c r="H108" s="120" t="s">
        <v>403</v>
      </c>
      <c r="I108" s="132" t="str">
        <f>IF(E108="", "", MATCH(E108, 'I&amp;E Profiles'!$D$96:$D$180,0))</f>
        <v/>
      </c>
      <c r="J108" s="133">
        <f>IF($G108=$G$7, W108,'I&amp;E Monthly'!W108)-SUMIFS('I&amp;E Monthly'!$AA108:$BJ108, 'I&amp;E Monthly'!$AA$3:$BJ$3, 'I&amp;E Annual'!W$3, 'I&amp;E Monthly'!$AA$4:$BJ$4, 0)</f>
        <v>0</v>
      </c>
      <c r="K108" s="133">
        <f>IF($G108=$G$7, X108,'I&amp;E Monthly'!X108)-SUMIFS('I&amp;E Monthly'!$AA108:$BJ108, 'I&amp;E Monthly'!$AA$3:$BJ$3, 'I&amp;E Annual'!X$3, 'I&amp;E Monthly'!$AA$4:$BJ$4, 0)</f>
        <v>0</v>
      </c>
      <c r="L108" s="133">
        <f>IF($G108=$G$7, Y108,'I&amp;E Monthly'!Y108)-SUMIFS('I&amp;E Monthly'!$AA108:$BJ108, 'I&amp;E Monthly'!$AA$3:$BJ$3, 'I&amp;E Annual'!Y$3, 'I&amp;E Monthly'!$AA$4:$BJ$4, 0)</f>
        <v>0</v>
      </c>
      <c r="Q108" s="2"/>
      <c r="V108" s="133">
        <f>'I&amp;E Monthly'!V108</f>
        <v>0</v>
      </c>
      <c r="W108" s="114"/>
      <c r="X108" s="131"/>
      <c r="Y108" s="131"/>
      <c r="AA108" s="10" cm="1">
        <f t="array" ref="AA108">IF(OR(AA$4=0, $G108&lt;&gt; $G$7, $E108=0), 'I&amp;E Monthly'!AA108, CHOOSE(Timeline!AA$30,$J108,$K108,$L108 )*INDEX('I&amp;E Profiles'!AA$96:AA$180,$I108))</f>
        <v>0</v>
      </c>
      <c r="AB108" s="10" cm="1">
        <f t="array" ref="AB108">IF(OR(AB$4=0, $G108&lt;&gt; $G$7, $E108=0), 'I&amp;E Monthly'!AB108, CHOOSE(Timeline!AB$30,$J108,$K108,$L108 )*INDEX('I&amp;E Profiles'!AB$96:AB$180,$I108))</f>
        <v>0</v>
      </c>
      <c r="AC108" s="10" cm="1">
        <f t="array" ref="AC108">IF(OR(AC$4=0, $G108&lt;&gt; $G$7, $E108=0), 'I&amp;E Monthly'!AC108, CHOOSE(Timeline!AC$30,$J108,$K108,$L108 )*INDEX('I&amp;E Profiles'!AC$96:AC$180,$I108))</f>
        <v>0</v>
      </c>
      <c r="AD108" s="10" cm="1">
        <f t="array" ref="AD108">IF(OR(AD$4=0, $G108&lt;&gt; $G$7, $E108=0), 'I&amp;E Monthly'!AD108, CHOOSE(Timeline!AD$30,$J108,$K108,$L108 )*INDEX('I&amp;E Profiles'!AD$96:AD$180,$I108))</f>
        <v>0</v>
      </c>
      <c r="AE108" s="10" cm="1">
        <f t="array" ref="AE108">IF(OR(AE$4=0, $G108&lt;&gt; $G$7, $E108=0), 'I&amp;E Monthly'!AE108, CHOOSE(Timeline!AE$30,$J108,$K108,$L108 )*INDEX('I&amp;E Profiles'!AE$96:AE$180,$I108))</f>
        <v>0</v>
      </c>
      <c r="AF108" s="10" cm="1">
        <f t="array" ref="AF108">IF(OR(AF$4=0, $G108&lt;&gt; $G$7, $E108=0), 'I&amp;E Monthly'!AF108, CHOOSE(Timeline!AF$30,$J108,$K108,$L108 )*INDEX('I&amp;E Profiles'!AF$96:AF$180,$I108))</f>
        <v>0</v>
      </c>
      <c r="AG108" s="10" cm="1">
        <f t="array" ref="AG108">IF(OR(AG$4=0, $G108&lt;&gt; $G$7, $E108=0), 'I&amp;E Monthly'!AG108, CHOOSE(Timeline!AG$30,$J108,$K108,$L108 )*INDEX('I&amp;E Profiles'!AG$96:AG$180,$I108))</f>
        <v>0</v>
      </c>
      <c r="AH108" s="10" cm="1">
        <f t="array" ref="AH108">IF(OR(AH$4=0, $G108&lt;&gt; $G$7, $E108=0), 'I&amp;E Monthly'!AH108, CHOOSE(Timeline!AH$30,$J108,$K108,$L108 )*INDEX('I&amp;E Profiles'!AH$96:AH$180,$I108))</f>
        <v>0</v>
      </c>
      <c r="AI108" s="10" cm="1">
        <f t="array" ref="AI108">IF(OR(AI$4=0, $G108&lt;&gt; $G$7, $E108=0), 'I&amp;E Monthly'!AI108, CHOOSE(Timeline!AI$30,$J108,$K108,$L108 )*INDEX('I&amp;E Profiles'!AI$96:AI$180,$I108))</f>
        <v>0</v>
      </c>
      <c r="AJ108" s="10" cm="1">
        <f t="array" ref="AJ108">IF(OR(AJ$4=0, $G108&lt;&gt; $G$7, $E108=0), 'I&amp;E Monthly'!AJ108, CHOOSE(Timeline!AJ$30,$J108,$K108,$L108 )*INDEX('I&amp;E Profiles'!AJ$96:AJ$180,$I108))</f>
        <v>0</v>
      </c>
      <c r="AK108" s="10" cm="1">
        <f t="array" ref="AK108">IF(OR(AK$4=0, $G108&lt;&gt; $G$7, $E108=0), 'I&amp;E Monthly'!AK108, CHOOSE(Timeline!AK$30,$J108,$K108,$L108 )*INDEX('I&amp;E Profiles'!AK$96:AK$180,$I108))</f>
        <v>0</v>
      </c>
      <c r="AL108" s="10" cm="1">
        <f t="array" ref="AL108">IF(OR(AL$4=0, $G108&lt;&gt; $G$7, $E108=0), 'I&amp;E Monthly'!AL108, CHOOSE(Timeline!AL$30,$J108,$K108,$L108 )*INDEX('I&amp;E Profiles'!AL$96:AL$180,$I108))</f>
        <v>0</v>
      </c>
      <c r="AM108" s="10" cm="1">
        <f t="array" ref="AM108">IF(OR(AM$4=0, $G108&lt;&gt; $G$7, $E108=0), 'I&amp;E Monthly'!AM108, CHOOSE(Timeline!AM$30,$J108,$K108,$L108 )*INDEX('I&amp;E Profiles'!AM$96:AM$180,$I108))</f>
        <v>0</v>
      </c>
      <c r="AN108" s="10" cm="1">
        <f t="array" ref="AN108">IF(OR(AN$4=0, $G108&lt;&gt; $G$7, $E108=0), 'I&amp;E Monthly'!AN108, CHOOSE(Timeline!AN$30,$J108,$K108,$L108 )*INDEX('I&amp;E Profiles'!AN$96:AN$180,$I108))</f>
        <v>0</v>
      </c>
      <c r="AO108" s="10" cm="1">
        <f t="array" ref="AO108">IF(OR(AO$4=0, $G108&lt;&gt; $G$7, $E108=0), 'I&amp;E Monthly'!AO108, CHOOSE(Timeline!AO$30,$J108,$K108,$L108 )*INDEX('I&amp;E Profiles'!AO$96:AO$180,$I108))</f>
        <v>0</v>
      </c>
      <c r="AP108" s="10" cm="1">
        <f t="array" ref="AP108">IF(OR(AP$4=0, $G108&lt;&gt; $G$7, $E108=0), 'I&amp;E Monthly'!AP108, CHOOSE(Timeline!AP$30,$J108,$K108,$L108 )*INDEX('I&amp;E Profiles'!AP$96:AP$180,$I108))</f>
        <v>0</v>
      </c>
      <c r="AQ108" s="10" cm="1">
        <f t="array" ref="AQ108">IF(OR(AQ$4=0, $G108&lt;&gt; $G$7, $E108=0), 'I&amp;E Monthly'!AQ108, CHOOSE(Timeline!AQ$30,$J108,$K108,$L108 )*INDEX('I&amp;E Profiles'!AQ$96:AQ$180,$I108))</f>
        <v>0</v>
      </c>
      <c r="AR108" s="10" cm="1">
        <f t="array" ref="AR108">IF(OR(AR$4=0, $G108&lt;&gt; $G$7, $E108=0), 'I&amp;E Monthly'!AR108, CHOOSE(Timeline!AR$30,$J108,$K108,$L108 )*INDEX('I&amp;E Profiles'!AR$96:AR$180,$I108))</f>
        <v>0</v>
      </c>
      <c r="AS108" s="10" cm="1">
        <f t="array" ref="AS108">IF(OR(AS$4=0, $G108&lt;&gt; $G$7, $E108=0), 'I&amp;E Monthly'!AS108, CHOOSE(Timeline!AS$30,$J108,$K108,$L108 )*INDEX('I&amp;E Profiles'!AS$96:AS$180,$I108))</f>
        <v>0</v>
      </c>
      <c r="AT108" s="10" cm="1">
        <f t="array" ref="AT108">IF(OR(AT$4=0, $G108&lt;&gt; $G$7, $E108=0), 'I&amp;E Monthly'!AT108, CHOOSE(Timeline!AT$30,$J108,$K108,$L108 )*INDEX('I&amp;E Profiles'!AT$96:AT$180,$I108))</f>
        <v>0</v>
      </c>
      <c r="AU108" s="10" cm="1">
        <f t="array" ref="AU108">IF(OR(AU$4=0, $G108&lt;&gt; $G$7, $E108=0), 'I&amp;E Monthly'!AU108, CHOOSE(Timeline!AU$30,$J108,$K108,$L108 )*INDEX('I&amp;E Profiles'!AU$96:AU$180,$I108))</f>
        <v>0</v>
      </c>
      <c r="AV108" s="10" cm="1">
        <f t="array" ref="AV108">IF(OR(AV$4=0, $G108&lt;&gt; $G$7, $E108=0), 'I&amp;E Monthly'!AV108, CHOOSE(Timeline!AV$30,$J108,$K108,$L108 )*INDEX('I&amp;E Profiles'!AV$96:AV$180,$I108))</f>
        <v>0</v>
      </c>
      <c r="AW108" s="10" cm="1">
        <f t="array" ref="AW108">IF(OR(AW$4=0, $G108&lt;&gt; $G$7, $E108=0), 'I&amp;E Monthly'!AW108, CHOOSE(Timeline!AW$30,$J108,$K108,$L108 )*INDEX('I&amp;E Profiles'!AW$96:AW$180,$I108))</f>
        <v>0</v>
      </c>
      <c r="AX108" s="10" cm="1">
        <f t="array" ref="AX108">IF(OR(AX$4=0, $G108&lt;&gt; $G$7, $E108=0), 'I&amp;E Monthly'!AX108, CHOOSE(Timeline!AX$30,$J108,$K108,$L108 )*INDEX('I&amp;E Profiles'!AX$96:AX$180,$I108))</f>
        <v>0</v>
      </c>
      <c r="AY108" s="10" cm="1">
        <f t="array" ref="AY108">IF(OR(AY$4=0, $G108&lt;&gt; $G$7, $E108=0), 'I&amp;E Monthly'!AY108, CHOOSE(Timeline!AY$30,$J108,$K108,$L108 )*INDEX('I&amp;E Profiles'!AY$96:AY$180,$I108))</f>
        <v>0</v>
      </c>
      <c r="AZ108" s="10" cm="1">
        <f t="array" ref="AZ108">IF(OR(AZ$4=0, $G108&lt;&gt; $G$7, $E108=0), 'I&amp;E Monthly'!AZ108, CHOOSE(Timeline!AZ$30,$J108,$K108,$L108 )*INDEX('I&amp;E Profiles'!AZ$96:AZ$180,$I108))</f>
        <v>0</v>
      </c>
      <c r="BA108" s="10" cm="1">
        <f t="array" ref="BA108">IF(OR(BA$4=0, $G108&lt;&gt; $G$7, $E108=0), 'I&amp;E Monthly'!BA108, CHOOSE(Timeline!BA$30,$J108,$K108,$L108 )*INDEX('I&amp;E Profiles'!BA$96:BA$180,$I108))</f>
        <v>0</v>
      </c>
      <c r="BB108" s="10" cm="1">
        <f t="array" ref="BB108">IF(OR(BB$4=0, $G108&lt;&gt; $G$7, $E108=0), 'I&amp;E Monthly'!BB108, CHOOSE(Timeline!BB$30,$J108,$K108,$L108 )*INDEX('I&amp;E Profiles'!BB$96:BB$180,$I108))</f>
        <v>0</v>
      </c>
      <c r="BC108" s="10" cm="1">
        <f t="array" ref="BC108">IF(OR(BC$4=0, $G108&lt;&gt; $G$7, $E108=0), 'I&amp;E Monthly'!BC108, CHOOSE(Timeline!BC$30,$J108,$K108,$L108 )*INDEX('I&amp;E Profiles'!BC$96:BC$180,$I108))</f>
        <v>0</v>
      </c>
      <c r="BD108" s="10" cm="1">
        <f t="array" ref="BD108">IF(OR(BD$4=0, $G108&lt;&gt; $G$7, $E108=0), 'I&amp;E Monthly'!BD108, CHOOSE(Timeline!BD$30,$J108,$K108,$L108 )*INDEX('I&amp;E Profiles'!BD$96:BD$180,$I108))</f>
        <v>0</v>
      </c>
      <c r="BE108" s="10" cm="1">
        <f t="array" ref="BE108">IF(OR(BE$4=0, $G108&lt;&gt; $G$7, $E108=0), 'I&amp;E Monthly'!BE108, CHOOSE(Timeline!BE$30,$J108,$K108,$L108 )*INDEX('I&amp;E Profiles'!BE$96:BE$180,$I108))</f>
        <v>0</v>
      </c>
      <c r="BF108" s="10" cm="1">
        <f t="array" ref="BF108">IF(OR(BF$4=0, $G108&lt;&gt; $G$7, $E108=0), 'I&amp;E Monthly'!BF108, CHOOSE(Timeline!BF$30,$J108,$K108,$L108 )*INDEX('I&amp;E Profiles'!BF$96:BF$180,$I108))</f>
        <v>0</v>
      </c>
      <c r="BG108" s="10" cm="1">
        <f t="array" ref="BG108">IF(OR(BG$4=0, $G108&lt;&gt; $G$7, $E108=0), 'I&amp;E Monthly'!BG108, CHOOSE(Timeline!BG$30,$J108,$K108,$L108 )*INDEX('I&amp;E Profiles'!BG$96:BG$180,$I108))</f>
        <v>0</v>
      </c>
      <c r="BH108" s="10" cm="1">
        <f t="array" ref="BH108">IF(OR(BH$4=0, $G108&lt;&gt; $G$7, $E108=0), 'I&amp;E Monthly'!BH108, CHOOSE(Timeline!BH$30,$J108,$K108,$L108 )*INDEX('I&amp;E Profiles'!BH$96:BH$180,$I108))</f>
        <v>0</v>
      </c>
      <c r="BI108" s="10" cm="1">
        <f t="array" ref="BI108">IF(OR(BI$4=0, $G108&lt;&gt; $G$7, $E108=0), 'I&amp;E Monthly'!BI108, CHOOSE(Timeline!BI$30,$J108,$K108,$L108 )*INDEX('I&amp;E Profiles'!BI$96:BI$180,$I108))</f>
        <v>0</v>
      </c>
      <c r="BJ108" s="10" cm="1">
        <f t="array" ref="BJ108">IF(OR(BJ$4=0, $G108&lt;&gt; $G$7, $E108=0), 'I&amp;E Monthly'!BJ108, CHOOSE(Timeline!BJ$30,$J108,$K108,$L108 )*INDEX('I&amp;E Profiles'!BJ$96:BJ$180,$I108))</f>
        <v>0</v>
      </c>
      <c r="BX108" s="12">
        <f t="shared" si="123"/>
        <v>0</v>
      </c>
      <c r="BY108" s="10">
        <f t="shared" si="124"/>
        <v>0</v>
      </c>
      <c r="BZ108" s="10">
        <f t="shared" si="124"/>
        <v>0</v>
      </c>
      <c r="CA108" s="10">
        <f t="shared" si="124"/>
        <v>0</v>
      </c>
      <c r="CB108" s="12">
        <f>'I&amp;E Monthly'!CB108</f>
        <v>0</v>
      </c>
      <c r="CC108" s="12">
        <f>'I&amp;E Monthly'!CC108</f>
        <v>0</v>
      </c>
      <c r="CD108" s="12">
        <f>'I&amp;E Monthly'!CD108</f>
        <v>0</v>
      </c>
      <c r="CE108" s="12">
        <f>'I&amp;E Monthly'!CE108</f>
        <v>0</v>
      </c>
      <c r="CF108" s="12">
        <f>'I&amp;E Monthly'!CF108</f>
        <v>0</v>
      </c>
      <c r="CG108" s="12">
        <f>'I&amp;E Monthly'!CG108</f>
        <v>0</v>
      </c>
      <c r="CH108" s="12">
        <f>'I&amp;E Monthly'!CH108</f>
        <v>0</v>
      </c>
      <c r="CI108" s="12">
        <f>'I&amp;E Monthly'!CI108</f>
        <v>0</v>
      </c>
      <c r="CK108" s="11"/>
      <c r="CL108" s="221">
        <f t="shared" ca="1" si="125"/>
        <v>0</v>
      </c>
      <c r="CM108" s="11"/>
      <c r="CN108" s="7">
        <f t="shared" si="126"/>
        <v>0</v>
      </c>
      <c r="CO108" s="7" cm="1">
        <f t="array" ref="CO108">SUMPRODUCT(--NOT(ISNUMBER(W108:Y108)),--NOT(ISBLANK(W108:Y108)))</f>
        <v>0</v>
      </c>
      <c r="CP108" s="7" cm="1">
        <f t="array" ref="CP108">IF(E108="",0, IF(IFERROR(INDEX('I&amp;E Profiles'!$D$96:$D$180, $I108), "N/A")="N/A", 1, 0))</f>
        <v>0</v>
      </c>
      <c r="CQ108" s="7">
        <f t="shared" si="127"/>
        <v>0</v>
      </c>
      <c r="CS108" s="7">
        <f t="shared" si="128"/>
        <v>0</v>
      </c>
      <c r="CT108" s="7">
        <f t="shared" si="129"/>
        <v>0</v>
      </c>
      <c r="CU108" s="11"/>
      <c r="CV108" s="215">
        <f t="shared" si="130"/>
        <v>0</v>
      </c>
      <c r="CW108" s="215">
        <f t="shared" si="130"/>
        <v>0</v>
      </c>
      <c r="CX108" s="215">
        <f t="shared" si="130"/>
        <v>0</v>
      </c>
      <c r="CY108" s="215">
        <f t="shared" si="131"/>
        <v>0</v>
      </c>
      <c r="CZ108" s="215">
        <f t="shared" si="132"/>
        <v>0</v>
      </c>
      <c r="DA108" s="215">
        <f t="shared" si="133"/>
        <v>0</v>
      </c>
      <c r="DB108" s="215">
        <f t="shared" si="134"/>
        <v>0</v>
      </c>
      <c r="FN108" s="10" t="str">
        <f t="shared" si="107"/>
        <v>Administration staff</v>
      </c>
    </row>
    <row r="109" spans="1:170" x14ac:dyDescent="0.35">
      <c r="A109" s="220" cm="1">
        <f t="array" aca="1" ref="A109" ca="1">HYPERLINK(CONCATENATE("#",CELL("address",IF(MAX($CM109:$CU109)=0,A109,INDEX($CM109:$CU109,MATCH(1,$CM109:$CU109,0))))),MAX($CM109:$CU109))</f>
        <v>0</v>
      </c>
      <c r="B109" s="85" t="s">
        <v>122</v>
      </c>
      <c r="C109" s="213" t="s">
        <v>553</v>
      </c>
      <c r="D109" s="1" t="s">
        <v>407</v>
      </c>
      <c r="E109" s="114"/>
      <c r="F109" s="79" t="str" cm="1">
        <f t="array" aca="1" ref="F109" ca="1">IF(E109="", "", HYPERLINK(CONCATENATE("#",CELL("address",INDEX('I&amp;E Profiles'!$D$9:$D$93,'I&amp;E Annual'!I109))),E109))</f>
        <v/>
      </c>
      <c r="G109" s="114"/>
      <c r="H109" s="120" t="s">
        <v>403</v>
      </c>
      <c r="I109" s="132" t="str">
        <f>IF(E109="", "", MATCH(E109, 'I&amp;E Profiles'!$D$96:$D$180,0))</f>
        <v/>
      </c>
      <c r="J109" s="133">
        <f>IF($G109=$G$7, W109,'I&amp;E Monthly'!W109)-SUMIFS('I&amp;E Monthly'!$AA109:$BJ109, 'I&amp;E Monthly'!$AA$3:$BJ$3, 'I&amp;E Annual'!W$3, 'I&amp;E Monthly'!$AA$4:$BJ$4, 0)</f>
        <v>0</v>
      </c>
      <c r="K109" s="133">
        <f>IF($G109=$G$7, X109,'I&amp;E Monthly'!X109)-SUMIFS('I&amp;E Monthly'!$AA109:$BJ109, 'I&amp;E Monthly'!$AA$3:$BJ$3, 'I&amp;E Annual'!X$3, 'I&amp;E Monthly'!$AA$4:$BJ$4, 0)</f>
        <v>0</v>
      </c>
      <c r="L109" s="133">
        <f>IF($G109=$G$7, Y109,'I&amp;E Monthly'!Y109)-SUMIFS('I&amp;E Monthly'!$AA109:$BJ109, 'I&amp;E Monthly'!$AA$3:$BJ$3, 'I&amp;E Annual'!Y$3, 'I&amp;E Monthly'!$AA$4:$BJ$4, 0)</f>
        <v>0</v>
      </c>
      <c r="Q109" s="2"/>
      <c r="V109" s="133">
        <f>'I&amp;E Monthly'!V109</f>
        <v>0</v>
      </c>
      <c r="W109" s="114"/>
      <c r="X109" s="131"/>
      <c r="Y109" s="131"/>
      <c r="AA109" s="10" cm="1">
        <f t="array" ref="AA109">IF(OR(AA$4=0, $G109&lt;&gt; $G$7, $E109=0), 'I&amp;E Monthly'!AA109, CHOOSE(Timeline!AA$30,$J109,$K109,$L109 )*INDEX('I&amp;E Profiles'!AA$96:AA$180,$I109))</f>
        <v>0</v>
      </c>
      <c r="AB109" s="10" cm="1">
        <f t="array" ref="AB109">IF(OR(AB$4=0, $G109&lt;&gt; $G$7, $E109=0), 'I&amp;E Monthly'!AB109, CHOOSE(Timeline!AB$30,$J109,$K109,$L109 )*INDEX('I&amp;E Profiles'!AB$96:AB$180,$I109))</f>
        <v>0</v>
      </c>
      <c r="AC109" s="10" cm="1">
        <f t="array" ref="AC109">IF(OR(AC$4=0, $G109&lt;&gt; $G$7, $E109=0), 'I&amp;E Monthly'!AC109, CHOOSE(Timeline!AC$30,$J109,$K109,$L109 )*INDEX('I&amp;E Profiles'!AC$96:AC$180,$I109))</f>
        <v>0</v>
      </c>
      <c r="AD109" s="10" cm="1">
        <f t="array" ref="AD109">IF(OR(AD$4=0, $G109&lt;&gt; $G$7, $E109=0), 'I&amp;E Monthly'!AD109, CHOOSE(Timeline!AD$30,$J109,$K109,$L109 )*INDEX('I&amp;E Profiles'!AD$96:AD$180,$I109))</f>
        <v>0</v>
      </c>
      <c r="AE109" s="10" cm="1">
        <f t="array" ref="AE109">IF(OR(AE$4=0, $G109&lt;&gt; $G$7, $E109=0), 'I&amp;E Monthly'!AE109, CHOOSE(Timeline!AE$30,$J109,$K109,$L109 )*INDEX('I&amp;E Profiles'!AE$96:AE$180,$I109))</f>
        <v>0</v>
      </c>
      <c r="AF109" s="10" cm="1">
        <f t="array" ref="AF109">IF(OR(AF$4=0, $G109&lt;&gt; $G$7, $E109=0), 'I&amp;E Monthly'!AF109, CHOOSE(Timeline!AF$30,$J109,$K109,$L109 )*INDEX('I&amp;E Profiles'!AF$96:AF$180,$I109))</f>
        <v>0</v>
      </c>
      <c r="AG109" s="10" cm="1">
        <f t="array" ref="AG109">IF(OR(AG$4=0, $G109&lt;&gt; $G$7, $E109=0), 'I&amp;E Monthly'!AG109, CHOOSE(Timeline!AG$30,$J109,$K109,$L109 )*INDEX('I&amp;E Profiles'!AG$96:AG$180,$I109))</f>
        <v>0</v>
      </c>
      <c r="AH109" s="10" cm="1">
        <f t="array" ref="AH109">IF(OR(AH$4=0, $G109&lt;&gt; $G$7, $E109=0), 'I&amp;E Monthly'!AH109, CHOOSE(Timeline!AH$30,$J109,$K109,$L109 )*INDEX('I&amp;E Profiles'!AH$96:AH$180,$I109))</f>
        <v>0</v>
      </c>
      <c r="AI109" s="10" cm="1">
        <f t="array" ref="AI109">IF(OR(AI$4=0, $G109&lt;&gt; $G$7, $E109=0), 'I&amp;E Monthly'!AI109, CHOOSE(Timeline!AI$30,$J109,$K109,$L109 )*INDEX('I&amp;E Profiles'!AI$96:AI$180,$I109))</f>
        <v>0</v>
      </c>
      <c r="AJ109" s="10" cm="1">
        <f t="array" ref="AJ109">IF(OR(AJ$4=0, $G109&lt;&gt; $G$7, $E109=0), 'I&amp;E Monthly'!AJ109, CHOOSE(Timeline!AJ$30,$J109,$K109,$L109 )*INDEX('I&amp;E Profiles'!AJ$96:AJ$180,$I109))</f>
        <v>0</v>
      </c>
      <c r="AK109" s="10" cm="1">
        <f t="array" ref="AK109">IF(OR(AK$4=0, $G109&lt;&gt; $G$7, $E109=0), 'I&amp;E Monthly'!AK109, CHOOSE(Timeline!AK$30,$J109,$K109,$L109 )*INDEX('I&amp;E Profiles'!AK$96:AK$180,$I109))</f>
        <v>0</v>
      </c>
      <c r="AL109" s="10" cm="1">
        <f t="array" ref="AL109">IF(OR(AL$4=0, $G109&lt;&gt; $G$7, $E109=0), 'I&amp;E Monthly'!AL109, CHOOSE(Timeline!AL$30,$J109,$K109,$L109 )*INDEX('I&amp;E Profiles'!AL$96:AL$180,$I109))</f>
        <v>0</v>
      </c>
      <c r="AM109" s="10" cm="1">
        <f t="array" ref="AM109">IF(OR(AM$4=0, $G109&lt;&gt; $G$7, $E109=0), 'I&amp;E Monthly'!AM109, CHOOSE(Timeline!AM$30,$J109,$K109,$L109 )*INDEX('I&amp;E Profiles'!AM$96:AM$180,$I109))</f>
        <v>0</v>
      </c>
      <c r="AN109" s="10" cm="1">
        <f t="array" ref="AN109">IF(OR(AN$4=0, $G109&lt;&gt; $G$7, $E109=0), 'I&amp;E Monthly'!AN109, CHOOSE(Timeline!AN$30,$J109,$K109,$L109 )*INDEX('I&amp;E Profiles'!AN$96:AN$180,$I109))</f>
        <v>0</v>
      </c>
      <c r="AO109" s="10" cm="1">
        <f t="array" ref="AO109">IF(OR(AO$4=0, $G109&lt;&gt; $G$7, $E109=0), 'I&amp;E Monthly'!AO109, CHOOSE(Timeline!AO$30,$J109,$K109,$L109 )*INDEX('I&amp;E Profiles'!AO$96:AO$180,$I109))</f>
        <v>0</v>
      </c>
      <c r="AP109" s="10" cm="1">
        <f t="array" ref="AP109">IF(OR(AP$4=0, $G109&lt;&gt; $G$7, $E109=0), 'I&amp;E Monthly'!AP109, CHOOSE(Timeline!AP$30,$J109,$K109,$L109 )*INDEX('I&amp;E Profiles'!AP$96:AP$180,$I109))</f>
        <v>0</v>
      </c>
      <c r="AQ109" s="10" cm="1">
        <f t="array" ref="AQ109">IF(OR(AQ$4=0, $G109&lt;&gt; $G$7, $E109=0), 'I&amp;E Monthly'!AQ109, CHOOSE(Timeline!AQ$30,$J109,$K109,$L109 )*INDEX('I&amp;E Profiles'!AQ$96:AQ$180,$I109))</f>
        <v>0</v>
      </c>
      <c r="AR109" s="10" cm="1">
        <f t="array" ref="AR109">IF(OR(AR$4=0, $G109&lt;&gt; $G$7, $E109=0), 'I&amp;E Monthly'!AR109, CHOOSE(Timeline!AR$30,$J109,$K109,$L109 )*INDEX('I&amp;E Profiles'!AR$96:AR$180,$I109))</f>
        <v>0</v>
      </c>
      <c r="AS109" s="10" cm="1">
        <f t="array" ref="AS109">IF(OR(AS$4=0, $G109&lt;&gt; $G$7, $E109=0), 'I&amp;E Monthly'!AS109, CHOOSE(Timeline!AS$30,$J109,$K109,$L109 )*INDEX('I&amp;E Profiles'!AS$96:AS$180,$I109))</f>
        <v>0</v>
      </c>
      <c r="AT109" s="10" cm="1">
        <f t="array" ref="AT109">IF(OR(AT$4=0, $G109&lt;&gt; $G$7, $E109=0), 'I&amp;E Monthly'!AT109, CHOOSE(Timeline!AT$30,$J109,$K109,$L109 )*INDEX('I&amp;E Profiles'!AT$96:AT$180,$I109))</f>
        <v>0</v>
      </c>
      <c r="AU109" s="10" cm="1">
        <f t="array" ref="AU109">IF(OR(AU$4=0, $G109&lt;&gt; $G$7, $E109=0), 'I&amp;E Monthly'!AU109, CHOOSE(Timeline!AU$30,$J109,$K109,$L109 )*INDEX('I&amp;E Profiles'!AU$96:AU$180,$I109))</f>
        <v>0</v>
      </c>
      <c r="AV109" s="10" cm="1">
        <f t="array" ref="AV109">IF(OR(AV$4=0, $G109&lt;&gt; $G$7, $E109=0), 'I&amp;E Monthly'!AV109, CHOOSE(Timeline!AV$30,$J109,$K109,$L109 )*INDEX('I&amp;E Profiles'!AV$96:AV$180,$I109))</f>
        <v>0</v>
      </c>
      <c r="AW109" s="10" cm="1">
        <f t="array" ref="AW109">IF(OR(AW$4=0, $G109&lt;&gt; $G$7, $E109=0), 'I&amp;E Monthly'!AW109, CHOOSE(Timeline!AW$30,$J109,$K109,$L109 )*INDEX('I&amp;E Profiles'!AW$96:AW$180,$I109))</f>
        <v>0</v>
      </c>
      <c r="AX109" s="10" cm="1">
        <f t="array" ref="AX109">IF(OR(AX$4=0, $G109&lt;&gt; $G$7, $E109=0), 'I&amp;E Monthly'!AX109, CHOOSE(Timeline!AX$30,$J109,$K109,$L109 )*INDEX('I&amp;E Profiles'!AX$96:AX$180,$I109))</f>
        <v>0</v>
      </c>
      <c r="AY109" s="10" cm="1">
        <f t="array" ref="AY109">IF(OR(AY$4=0, $G109&lt;&gt; $G$7, $E109=0), 'I&amp;E Monthly'!AY109, CHOOSE(Timeline!AY$30,$J109,$K109,$L109 )*INDEX('I&amp;E Profiles'!AY$96:AY$180,$I109))</f>
        <v>0</v>
      </c>
      <c r="AZ109" s="10" cm="1">
        <f t="array" ref="AZ109">IF(OR(AZ$4=0, $G109&lt;&gt; $G$7, $E109=0), 'I&amp;E Monthly'!AZ109, CHOOSE(Timeline!AZ$30,$J109,$K109,$L109 )*INDEX('I&amp;E Profiles'!AZ$96:AZ$180,$I109))</f>
        <v>0</v>
      </c>
      <c r="BA109" s="10" cm="1">
        <f t="array" ref="BA109">IF(OR(BA$4=0, $G109&lt;&gt; $G$7, $E109=0), 'I&amp;E Monthly'!BA109, CHOOSE(Timeline!BA$30,$J109,$K109,$L109 )*INDEX('I&amp;E Profiles'!BA$96:BA$180,$I109))</f>
        <v>0</v>
      </c>
      <c r="BB109" s="10" cm="1">
        <f t="array" ref="BB109">IF(OR(BB$4=0, $G109&lt;&gt; $G$7, $E109=0), 'I&amp;E Monthly'!BB109, CHOOSE(Timeline!BB$30,$J109,$K109,$L109 )*INDEX('I&amp;E Profiles'!BB$96:BB$180,$I109))</f>
        <v>0</v>
      </c>
      <c r="BC109" s="10" cm="1">
        <f t="array" ref="BC109">IF(OR(BC$4=0, $G109&lt;&gt; $G$7, $E109=0), 'I&amp;E Monthly'!BC109, CHOOSE(Timeline!BC$30,$J109,$K109,$L109 )*INDEX('I&amp;E Profiles'!BC$96:BC$180,$I109))</f>
        <v>0</v>
      </c>
      <c r="BD109" s="10" cm="1">
        <f t="array" ref="BD109">IF(OR(BD$4=0, $G109&lt;&gt; $G$7, $E109=0), 'I&amp;E Monthly'!BD109, CHOOSE(Timeline!BD$30,$J109,$K109,$L109 )*INDEX('I&amp;E Profiles'!BD$96:BD$180,$I109))</f>
        <v>0</v>
      </c>
      <c r="BE109" s="10" cm="1">
        <f t="array" ref="BE109">IF(OR(BE$4=0, $G109&lt;&gt; $G$7, $E109=0), 'I&amp;E Monthly'!BE109, CHOOSE(Timeline!BE$30,$J109,$K109,$L109 )*INDEX('I&amp;E Profiles'!BE$96:BE$180,$I109))</f>
        <v>0</v>
      </c>
      <c r="BF109" s="10" cm="1">
        <f t="array" ref="BF109">IF(OR(BF$4=0, $G109&lt;&gt; $G$7, $E109=0), 'I&amp;E Monthly'!BF109, CHOOSE(Timeline!BF$30,$J109,$K109,$L109 )*INDEX('I&amp;E Profiles'!BF$96:BF$180,$I109))</f>
        <v>0</v>
      </c>
      <c r="BG109" s="10" cm="1">
        <f t="array" ref="BG109">IF(OR(BG$4=0, $G109&lt;&gt; $G$7, $E109=0), 'I&amp;E Monthly'!BG109, CHOOSE(Timeline!BG$30,$J109,$K109,$L109 )*INDEX('I&amp;E Profiles'!BG$96:BG$180,$I109))</f>
        <v>0</v>
      </c>
      <c r="BH109" s="10" cm="1">
        <f t="array" ref="BH109">IF(OR(BH$4=0, $G109&lt;&gt; $G$7, $E109=0), 'I&amp;E Monthly'!BH109, CHOOSE(Timeline!BH$30,$J109,$K109,$L109 )*INDEX('I&amp;E Profiles'!BH$96:BH$180,$I109))</f>
        <v>0</v>
      </c>
      <c r="BI109" s="10" cm="1">
        <f t="array" ref="BI109">IF(OR(BI$4=0, $G109&lt;&gt; $G$7, $E109=0), 'I&amp;E Monthly'!BI109, CHOOSE(Timeline!BI$30,$J109,$K109,$L109 )*INDEX('I&amp;E Profiles'!BI$96:BI$180,$I109))</f>
        <v>0</v>
      </c>
      <c r="BJ109" s="10" cm="1">
        <f t="array" ref="BJ109">IF(OR(BJ$4=0, $G109&lt;&gt; $G$7, $E109=0), 'I&amp;E Monthly'!BJ109, CHOOSE(Timeline!BJ$30,$J109,$K109,$L109 )*INDEX('I&amp;E Profiles'!BJ$96:BJ$180,$I109))</f>
        <v>0</v>
      </c>
      <c r="BX109" s="12">
        <f t="shared" si="123"/>
        <v>0</v>
      </c>
      <c r="BY109" s="10">
        <f t="shared" si="124"/>
        <v>0</v>
      </c>
      <c r="BZ109" s="10">
        <f t="shared" si="124"/>
        <v>0</v>
      </c>
      <c r="CA109" s="10">
        <f t="shared" si="124"/>
        <v>0</v>
      </c>
      <c r="CB109" s="12">
        <f>'I&amp;E Monthly'!CB109</f>
        <v>0</v>
      </c>
      <c r="CC109" s="12">
        <f>'I&amp;E Monthly'!CC109</f>
        <v>0</v>
      </c>
      <c r="CD109" s="12">
        <f>'I&amp;E Monthly'!CD109</f>
        <v>0</v>
      </c>
      <c r="CE109" s="12">
        <f>'I&amp;E Monthly'!CE109</f>
        <v>0</v>
      </c>
      <c r="CF109" s="12">
        <f>'I&amp;E Monthly'!CF109</f>
        <v>0</v>
      </c>
      <c r="CG109" s="12">
        <f>'I&amp;E Monthly'!CG109</f>
        <v>0</v>
      </c>
      <c r="CH109" s="12">
        <f>'I&amp;E Monthly'!CH109</f>
        <v>0</v>
      </c>
      <c r="CI109" s="12">
        <f>'I&amp;E Monthly'!CI109</f>
        <v>0</v>
      </c>
      <c r="CK109" s="11"/>
      <c r="CL109" s="221">
        <f t="shared" ca="1" si="125"/>
        <v>0</v>
      </c>
      <c r="CM109" s="11"/>
      <c r="CN109" s="7">
        <f t="shared" si="126"/>
        <v>0</v>
      </c>
      <c r="CO109" s="7" cm="1">
        <f t="array" ref="CO109">SUMPRODUCT(--NOT(ISNUMBER(W109:Y109)),--NOT(ISBLANK(W109:Y109)))</f>
        <v>0</v>
      </c>
      <c r="CP109" s="7" cm="1">
        <f t="array" ref="CP109">IF(E109="",0, IF(IFERROR(INDEX('I&amp;E Profiles'!$D$96:$D$180, $I109), "N/A")="N/A", 1, 0))</f>
        <v>0</v>
      </c>
      <c r="CQ109" s="7">
        <f t="shared" si="127"/>
        <v>0</v>
      </c>
      <c r="CS109" s="7">
        <f t="shared" si="128"/>
        <v>0</v>
      </c>
      <c r="CT109" s="7">
        <f t="shared" si="129"/>
        <v>0</v>
      </c>
      <c r="CU109" s="11"/>
      <c r="CV109" s="215">
        <f t="shared" si="130"/>
        <v>0</v>
      </c>
      <c r="CW109" s="215">
        <f t="shared" si="130"/>
        <v>0</v>
      </c>
      <c r="CX109" s="215">
        <f t="shared" si="130"/>
        <v>0</v>
      </c>
      <c r="CY109" s="215">
        <f t="shared" si="131"/>
        <v>0</v>
      </c>
      <c r="CZ109" s="215">
        <f t="shared" si="132"/>
        <v>0</v>
      </c>
      <c r="DA109" s="215">
        <f t="shared" si="133"/>
        <v>0</v>
      </c>
      <c r="DB109" s="215">
        <f t="shared" si="134"/>
        <v>0</v>
      </c>
      <c r="FN109" s="10" t="str">
        <f t="shared" si="107"/>
        <v>Operational &amp; maintenance staff</v>
      </c>
    </row>
    <row r="110" spans="1:170" x14ac:dyDescent="0.35">
      <c r="A110" s="220" cm="1">
        <f t="array" aca="1" ref="A110" ca="1">HYPERLINK(CONCATENATE("#",CELL("address",IF(MAX($CM110:$CU110)=0,A110,INDEX($CM110:$CU110,MATCH(1,$CM110:$CU110,0))))),MAX($CM110:$CU110))</f>
        <v>0</v>
      </c>
      <c r="B110" s="85" t="s">
        <v>122</v>
      </c>
      <c r="C110" s="213" t="s">
        <v>554</v>
      </c>
      <c r="D110" s="1" t="s">
        <v>408</v>
      </c>
      <c r="E110" s="114"/>
      <c r="F110" s="79" t="str" cm="1">
        <f t="array" aca="1" ref="F110" ca="1">IF(E110="", "", HYPERLINK(CONCATENATE("#",CELL("address",INDEX('I&amp;E Profiles'!$D$9:$D$93,'I&amp;E Annual'!I110))),E110))</f>
        <v/>
      </c>
      <c r="G110" s="114"/>
      <c r="H110" s="120" t="s">
        <v>403</v>
      </c>
      <c r="I110" s="132" t="str">
        <f>IF(E110="", "", MATCH(E110, 'I&amp;E Profiles'!$D$96:$D$180,0))</f>
        <v/>
      </c>
      <c r="J110" s="133">
        <f>IF($G110=$G$7, W110,'I&amp;E Monthly'!W110)-SUMIFS('I&amp;E Monthly'!$AA110:$BJ110, 'I&amp;E Monthly'!$AA$3:$BJ$3, 'I&amp;E Annual'!W$3, 'I&amp;E Monthly'!$AA$4:$BJ$4, 0)</f>
        <v>0</v>
      </c>
      <c r="K110" s="133">
        <f>IF($G110=$G$7, X110,'I&amp;E Monthly'!X110)-SUMIFS('I&amp;E Monthly'!$AA110:$BJ110, 'I&amp;E Monthly'!$AA$3:$BJ$3, 'I&amp;E Annual'!X$3, 'I&amp;E Monthly'!$AA$4:$BJ$4, 0)</f>
        <v>0</v>
      </c>
      <c r="L110" s="133">
        <f>IF($G110=$G$7, Y110,'I&amp;E Monthly'!Y110)-SUMIFS('I&amp;E Monthly'!$AA110:$BJ110, 'I&amp;E Monthly'!$AA$3:$BJ$3, 'I&amp;E Annual'!Y$3, 'I&amp;E Monthly'!$AA$4:$BJ$4, 0)</f>
        <v>0</v>
      </c>
      <c r="Q110" s="2"/>
      <c r="V110" s="133">
        <f>'I&amp;E Monthly'!V110</f>
        <v>0</v>
      </c>
      <c r="W110" s="114"/>
      <c r="X110" s="131"/>
      <c r="Y110" s="131"/>
      <c r="AA110" s="10" cm="1">
        <f t="array" ref="AA110">IF(OR(AA$4=0, $G110&lt;&gt; $G$7, $E110=0), 'I&amp;E Monthly'!AA110, CHOOSE(Timeline!AA$30,$J110,$K110,$L110 )*INDEX('I&amp;E Profiles'!AA$96:AA$180,$I110))</f>
        <v>0</v>
      </c>
      <c r="AB110" s="10" cm="1">
        <f t="array" ref="AB110">IF(OR(AB$4=0, $G110&lt;&gt; $G$7, $E110=0), 'I&amp;E Monthly'!AB110, CHOOSE(Timeline!AB$30,$J110,$K110,$L110 )*INDEX('I&amp;E Profiles'!AB$96:AB$180,$I110))</f>
        <v>0</v>
      </c>
      <c r="AC110" s="10" cm="1">
        <f t="array" ref="AC110">IF(OR(AC$4=0, $G110&lt;&gt; $G$7, $E110=0), 'I&amp;E Monthly'!AC110, CHOOSE(Timeline!AC$30,$J110,$K110,$L110 )*INDEX('I&amp;E Profiles'!AC$96:AC$180,$I110))</f>
        <v>0</v>
      </c>
      <c r="AD110" s="10" cm="1">
        <f t="array" ref="AD110">IF(OR(AD$4=0, $G110&lt;&gt; $G$7, $E110=0), 'I&amp;E Monthly'!AD110, CHOOSE(Timeline!AD$30,$J110,$K110,$L110 )*INDEX('I&amp;E Profiles'!AD$96:AD$180,$I110))</f>
        <v>0</v>
      </c>
      <c r="AE110" s="10" cm="1">
        <f t="array" ref="AE110">IF(OR(AE$4=0, $G110&lt;&gt; $G$7, $E110=0), 'I&amp;E Monthly'!AE110, CHOOSE(Timeline!AE$30,$J110,$K110,$L110 )*INDEX('I&amp;E Profiles'!AE$96:AE$180,$I110))</f>
        <v>0</v>
      </c>
      <c r="AF110" s="10" cm="1">
        <f t="array" ref="AF110">IF(OR(AF$4=0, $G110&lt;&gt; $G$7, $E110=0), 'I&amp;E Monthly'!AF110, CHOOSE(Timeline!AF$30,$J110,$K110,$L110 )*INDEX('I&amp;E Profiles'!AF$96:AF$180,$I110))</f>
        <v>0</v>
      </c>
      <c r="AG110" s="10" cm="1">
        <f t="array" ref="AG110">IF(OR(AG$4=0, $G110&lt;&gt; $G$7, $E110=0), 'I&amp;E Monthly'!AG110, CHOOSE(Timeline!AG$30,$J110,$K110,$L110 )*INDEX('I&amp;E Profiles'!AG$96:AG$180,$I110))</f>
        <v>0</v>
      </c>
      <c r="AH110" s="10" cm="1">
        <f t="array" ref="AH110">IF(OR(AH$4=0, $G110&lt;&gt; $G$7, $E110=0), 'I&amp;E Monthly'!AH110, CHOOSE(Timeline!AH$30,$J110,$K110,$L110 )*INDEX('I&amp;E Profiles'!AH$96:AH$180,$I110))</f>
        <v>0</v>
      </c>
      <c r="AI110" s="10" cm="1">
        <f t="array" ref="AI110">IF(OR(AI$4=0, $G110&lt;&gt; $G$7, $E110=0), 'I&amp;E Monthly'!AI110, CHOOSE(Timeline!AI$30,$J110,$K110,$L110 )*INDEX('I&amp;E Profiles'!AI$96:AI$180,$I110))</f>
        <v>0</v>
      </c>
      <c r="AJ110" s="10" cm="1">
        <f t="array" ref="AJ110">IF(OR(AJ$4=0, $G110&lt;&gt; $G$7, $E110=0), 'I&amp;E Monthly'!AJ110, CHOOSE(Timeline!AJ$30,$J110,$K110,$L110 )*INDEX('I&amp;E Profiles'!AJ$96:AJ$180,$I110))</f>
        <v>0</v>
      </c>
      <c r="AK110" s="10" cm="1">
        <f t="array" ref="AK110">IF(OR(AK$4=0, $G110&lt;&gt; $G$7, $E110=0), 'I&amp;E Monthly'!AK110, CHOOSE(Timeline!AK$30,$J110,$K110,$L110 )*INDEX('I&amp;E Profiles'!AK$96:AK$180,$I110))</f>
        <v>0</v>
      </c>
      <c r="AL110" s="10" cm="1">
        <f t="array" ref="AL110">IF(OR(AL$4=0, $G110&lt;&gt; $G$7, $E110=0), 'I&amp;E Monthly'!AL110, CHOOSE(Timeline!AL$30,$J110,$K110,$L110 )*INDEX('I&amp;E Profiles'!AL$96:AL$180,$I110))</f>
        <v>0</v>
      </c>
      <c r="AM110" s="10" cm="1">
        <f t="array" ref="AM110">IF(OR(AM$4=0, $G110&lt;&gt; $G$7, $E110=0), 'I&amp;E Monthly'!AM110, CHOOSE(Timeline!AM$30,$J110,$K110,$L110 )*INDEX('I&amp;E Profiles'!AM$96:AM$180,$I110))</f>
        <v>0</v>
      </c>
      <c r="AN110" s="10" cm="1">
        <f t="array" ref="AN110">IF(OR(AN$4=0, $G110&lt;&gt; $G$7, $E110=0), 'I&amp;E Monthly'!AN110, CHOOSE(Timeline!AN$30,$J110,$K110,$L110 )*INDEX('I&amp;E Profiles'!AN$96:AN$180,$I110))</f>
        <v>0</v>
      </c>
      <c r="AO110" s="10" cm="1">
        <f t="array" ref="AO110">IF(OR(AO$4=0, $G110&lt;&gt; $G$7, $E110=0), 'I&amp;E Monthly'!AO110, CHOOSE(Timeline!AO$30,$J110,$K110,$L110 )*INDEX('I&amp;E Profiles'!AO$96:AO$180,$I110))</f>
        <v>0</v>
      </c>
      <c r="AP110" s="10" cm="1">
        <f t="array" ref="AP110">IF(OR(AP$4=0, $G110&lt;&gt; $G$7, $E110=0), 'I&amp;E Monthly'!AP110, CHOOSE(Timeline!AP$30,$J110,$K110,$L110 )*INDEX('I&amp;E Profiles'!AP$96:AP$180,$I110))</f>
        <v>0</v>
      </c>
      <c r="AQ110" s="10" cm="1">
        <f t="array" ref="AQ110">IF(OR(AQ$4=0, $G110&lt;&gt; $G$7, $E110=0), 'I&amp;E Monthly'!AQ110, CHOOSE(Timeline!AQ$30,$J110,$K110,$L110 )*INDEX('I&amp;E Profiles'!AQ$96:AQ$180,$I110))</f>
        <v>0</v>
      </c>
      <c r="AR110" s="10" cm="1">
        <f t="array" ref="AR110">IF(OR(AR$4=0, $G110&lt;&gt; $G$7, $E110=0), 'I&amp;E Monthly'!AR110, CHOOSE(Timeline!AR$30,$J110,$K110,$L110 )*INDEX('I&amp;E Profiles'!AR$96:AR$180,$I110))</f>
        <v>0</v>
      </c>
      <c r="AS110" s="10" cm="1">
        <f t="array" ref="AS110">IF(OR(AS$4=0, $G110&lt;&gt; $G$7, $E110=0), 'I&amp;E Monthly'!AS110, CHOOSE(Timeline!AS$30,$J110,$K110,$L110 )*INDEX('I&amp;E Profiles'!AS$96:AS$180,$I110))</f>
        <v>0</v>
      </c>
      <c r="AT110" s="10" cm="1">
        <f t="array" ref="AT110">IF(OR(AT$4=0, $G110&lt;&gt; $G$7, $E110=0), 'I&amp;E Monthly'!AT110, CHOOSE(Timeline!AT$30,$J110,$K110,$L110 )*INDEX('I&amp;E Profiles'!AT$96:AT$180,$I110))</f>
        <v>0</v>
      </c>
      <c r="AU110" s="10" cm="1">
        <f t="array" ref="AU110">IF(OR(AU$4=0, $G110&lt;&gt; $G$7, $E110=0), 'I&amp;E Monthly'!AU110, CHOOSE(Timeline!AU$30,$J110,$K110,$L110 )*INDEX('I&amp;E Profiles'!AU$96:AU$180,$I110))</f>
        <v>0</v>
      </c>
      <c r="AV110" s="10" cm="1">
        <f t="array" ref="AV110">IF(OR(AV$4=0, $G110&lt;&gt; $G$7, $E110=0), 'I&amp;E Monthly'!AV110, CHOOSE(Timeline!AV$30,$J110,$K110,$L110 )*INDEX('I&amp;E Profiles'!AV$96:AV$180,$I110))</f>
        <v>0</v>
      </c>
      <c r="AW110" s="10" cm="1">
        <f t="array" ref="AW110">IF(OR(AW$4=0, $G110&lt;&gt; $G$7, $E110=0), 'I&amp;E Monthly'!AW110, CHOOSE(Timeline!AW$30,$J110,$K110,$L110 )*INDEX('I&amp;E Profiles'!AW$96:AW$180,$I110))</f>
        <v>0</v>
      </c>
      <c r="AX110" s="10" cm="1">
        <f t="array" ref="AX110">IF(OR(AX$4=0, $G110&lt;&gt; $G$7, $E110=0), 'I&amp;E Monthly'!AX110, CHOOSE(Timeline!AX$30,$J110,$K110,$L110 )*INDEX('I&amp;E Profiles'!AX$96:AX$180,$I110))</f>
        <v>0</v>
      </c>
      <c r="AY110" s="10" cm="1">
        <f t="array" ref="AY110">IF(OR(AY$4=0, $G110&lt;&gt; $G$7, $E110=0), 'I&amp;E Monthly'!AY110, CHOOSE(Timeline!AY$30,$J110,$K110,$L110 )*INDEX('I&amp;E Profiles'!AY$96:AY$180,$I110))</f>
        <v>0</v>
      </c>
      <c r="AZ110" s="10" cm="1">
        <f t="array" ref="AZ110">IF(OR(AZ$4=0, $G110&lt;&gt; $G$7, $E110=0), 'I&amp;E Monthly'!AZ110, CHOOSE(Timeline!AZ$30,$J110,$K110,$L110 )*INDEX('I&amp;E Profiles'!AZ$96:AZ$180,$I110))</f>
        <v>0</v>
      </c>
      <c r="BA110" s="10" cm="1">
        <f t="array" ref="BA110">IF(OR(BA$4=0, $G110&lt;&gt; $G$7, $E110=0), 'I&amp;E Monthly'!BA110, CHOOSE(Timeline!BA$30,$J110,$K110,$L110 )*INDEX('I&amp;E Profiles'!BA$96:BA$180,$I110))</f>
        <v>0</v>
      </c>
      <c r="BB110" s="10" cm="1">
        <f t="array" ref="BB110">IF(OR(BB$4=0, $G110&lt;&gt; $G$7, $E110=0), 'I&amp;E Monthly'!BB110, CHOOSE(Timeline!BB$30,$J110,$K110,$L110 )*INDEX('I&amp;E Profiles'!BB$96:BB$180,$I110))</f>
        <v>0</v>
      </c>
      <c r="BC110" s="10" cm="1">
        <f t="array" ref="BC110">IF(OR(BC$4=0, $G110&lt;&gt; $G$7, $E110=0), 'I&amp;E Monthly'!BC110, CHOOSE(Timeline!BC$30,$J110,$K110,$L110 )*INDEX('I&amp;E Profiles'!BC$96:BC$180,$I110))</f>
        <v>0</v>
      </c>
      <c r="BD110" s="10" cm="1">
        <f t="array" ref="BD110">IF(OR(BD$4=0, $G110&lt;&gt; $G$7, $E110=0), 'I&amp;E Monthly'!BD110, CHOOSE(Timeline!BD$30,$J110,$K110,$L110 )*INDEX('I&amp;E Profiles'!BD$96:BD$180,$I110))</f>
        <v>0</v>
      </c>
      <c r="BE110" s="10" cm="1">
        <f t="array" ref="BE110">IF(OR(BE$4=0, $G110&lt;&gt; $G$7, $E110=0), 'I&amp;E Monthly'!BE110, CHOOSE(Timeline!BE$30,$J110,$K110,$L110 )*INDEX('I&amp;E Profiles'!BE$96:BE$180,$I110))</f>
        <v>0</v>
      </c>
      <c r="BF110" s="10" cm="1">
        <f t="array" ref="BF110">IF(OR(BF$4=0, $G110&lt;&gt; $G$7, $E110=0), 'I&amp;E Monthly'!BF110, CHOOSE(Timeline!BF$30,$J110,$K110,$L110 )*INDEX('I&amp;E Profiles'!BF$96:BF$180,$I110))</f>
        <v>0</v>
      </c>
      <c r="BG110" s="10" cm="1">
        <f t="array" ref="BG110">IF(OR(BG$4=0, $G110&lt;&gt; $G$7, $E110=0), 'I&amp;E Monthly'!BG110, CHOOSE(Timeline!BG$30,$J110,$K110,$L110 )*INDEX('I&amp;E Profiles'!BG$96:BG$180,$I110))</f>
        <v>0</v>
      </c>
      <c r="BH110" s="10" cm="1">
        <f t="array" ref="BH110">IF(OR(BH$4=0, $G110&lt;&gt; $G$7, $E110=0), 'I&amp;E Monthly'!BH110, CHOOSE(Timeline!BH$30,$J110,$K110,$L110 )*INDEX('I&amp;E Profiles'!BH$96:BH$180,$I110))</f>
        <v>0</v>
      </c>
      <c r="BI110" s="10" cm="1">
        <f t="array" ref="BI110">IF(OR(BI$4=0, $G110&lt;&gt; $G$7, $E110=0), 'I&amp;E Monthly'!BI110, CHOOSE(Timeline!BI$30,$J110,$K110,$L110 )*INDEX('I&amp;E Profiles'!BI$96:BI$180,$I110))</f>
        <v>0</v>
      </c>
      <c r="BJ110" s="10" cm="1">
        <f t="array" ref="BJ110">IF(OR(BJ$4=0, $G110&lt;&gt; $G$7, $E110=0), 'I&amp;E Monthly'!BJ110, CHOOSE(Timeline!BJ$30,$J110,$K110,$L110 )*INDEX('I&amp;E Profiles'!BJ$96:BJ$180,$I110))</f>
        <v>0</v>
      </c>
      <c r="BX110" s="12">
        <f t="shared" si="123"/>
        <v>0</v>
      </c>
      <c r="BY110" s="10">
        <f t="shared" si="124"/>
        <v>0</v>
      </c>
      <c r="BZ110" s="10">
        <f t="shared" si="124"/>
        <v>0</v>
      </c>
      <c r="CA110" s="10">
        <f t="shared" si="124"/>
        <v>0</v>
      </c>
      <c r="CB110" s="12">
        <f>'I&amp;E Monthly'!CB110</f>
        <v>0</v>
      </c>
      <c r="CC110" s="12">
        <f>'I&amp;E Monthly'!CC110</f>
        <v>0</v>
      </c>
      <c r="CD110" s="12">
        <f>'I&amp;E Monthly'!CD110</f>
        <v>0</v>
      </c>
      <c r="CE110" s="12">
        <f>'I&amp;E Monthly'!CE110</f>
        <v>0</v>
      </c>
      <c r="CF110" s="12">
        <f>'I&amp;E Monthly'!CF110</f>
        <v>0</v>
      </c>
      <c r="CG110" s="12">
        <f>'I&amp;E Monthly'!CG110</f>
        <v>0</v>
      </c>
      <c r="CH110" s="12">
        <f>'I&amp;E Monthly'!CH110</f>
        <v>0</v>
      </c>
      <c r="CI110" s="12">
        <f>'I&amp;E Monthly'!CI110</f>
        <v>0</v>
      </c>
      <c r="CK110" s="11"/>
      <c r="CL110" s="221">
        <f t="shared" ca="1" si="125"/>
        <v>0</v>
      </c>
      <c r="CM110" s="11"/>
      <c r="CN110" s="7">
        <f t="shared" si="126"/>
        <v>0</v>
      </c>
      <c r="CO110" s="7" cm="1">
        <f t="array" ref="CO110">SUMPRODUCT(--NOT(ISNUMBER(W110:Y110)),--NOT(ISBLANK(W110:Y110)))</f>
        <v>0</v>
      </c>
      <c r="CP110" s="7" cm="1">
        <f t="array" ref="CP110">IF(E110="",0, IF(IFERROR(INDEX('I&amp;E Profiles'!$D$96:$D$180, $I110), "N/A")="N/A", 1, 0))</f>
        <v>0</v>
      </c>
      <c r="CQ110" s="7">
        <f t="shared" si="127"/>
        <v>0</v>
      </c>
      <c r="CS110" s="7">
        <f t="shared" si="128"/>
        <v>0</v>
      </c>
      <c r="CT110" s="7">
        <f t="shared" si="129"/>
        <v>0</v>
      </c>
      <c r="CU110" s="11"/>
      <c r="CV110" s="215">
        <f t="shared" si="130"/>
        <v>0</v>
      </c>
      <c r="CW110" s="215">
        <f t="shared" si="130"/>
        <v>0</v>
      </c>
      <c r="CX110" s="215">
        <f t="shared" si="130"/>
        <v>0</v>
      </c>
      <c r="CY110" s="215">
        <f t="shared" si="131"/>
        <v>0</v>
      </c>
      <c r="CZ110" s="215">
        <f t="shared" si="132"/>
        <v>0</v>
      </c>
      <c r="DA110" s="215">
        <f t="shared" si="133"/>
        <v>0</v>
      </c>
      <c r="DB110" s="215">
        <f t="shared" si="134"/>
        <v>0</v>
      </c>
      <c r="FN110" s="10" t="str">
        <f t="shared" ref="FN110:FN145" si="135">IF($C110="","",$D110)</f>
        <v>Commercial staff costs</v>
      </c>
    </row>
    <row r="111" spans="1:170" x14ac:dyDescent="0.35">
      <c r="A111" s="220" cm="1">
        <f t="array" aca="1" ref="A111" ca="1">HYPERLINK(CONCATENATE("#",CELL("address",IF(MAX($CM111:$CU111)=0,A111,INDEX($CM111:$CU111,MATCH(1,$CM111:$CU111,0))))),MAX($CM111:$CU111))</f>
        <v>0</v>
      </c>
      <c r="C111" s="213" t="s">
        <v>555</v>
      </c>
      <c r="D111" s="1" t="s">
        <v>409</v>
      </c>
      <c r="E111" s="114"/>
      <c r="F111" s="79" t="str" cm="1">
        <f t="array" aca="1" ref="F111" ca="1">IF(E111="", "", HYPERLINK(CONCATENATE("#",CELL("address",INDEX('I&amp;E Profiles'!$D$9:$D$93,'I&amp;E Annual'!I111))),E111))</f>
        <v/>
      </c>
      <c r="G111" s="114"/>
      <c r="H111" s="120" t="s">
        <v>403</v>
      </c>
      <c r="I111" s="132" t="str">
        <f>IF(E111="", "", MATCH(E111, 'I&amp;E Profiles'!$D$96:$D$180,0))</f>
        <v/>
      </c>
      <c r="J111" s="133">
        <f>IF($G111=$G$7, W111,'I&amp;E Monthly'!W111)-SUMIFS('I&amp;E Monthly'!$AA111:$BJ111, 'I&amp;E Monthly'!$AA$3:$BJ$3, 'I&amp;E Annual'!W$3, 'I&amp;E Monthly'!$AA$4:$BJ$4, 0)</f>
        <v>0</v>
      </c>
      <c r="K111" s="133">
        <f>IF($G111=$G$7, X111,'I&amp;E Monthly'!X111)-SUMIFS('I&amp;E Monthly'!$AA111:$BJ111, 'I&amp;E Monthly'!$AA$3:$BJ$3, 'I&amp;E Annual'!X$3, 'I&amp;E Monthly'!$AA$4:$BJ$4, 0)</f>
        <v>0</v>
      </c>
      <c r="L111" s="133">
        <f>IF($G111=$G$7, Y111,'I&amp;E Monthly'!Y111)-SUMIFS('I&amp;E Monthly'!$AA111:$BJ111, 'I&amp;E Monthly'!$AA$3:$BJ$3, 'I&amp;E Annual'!Y$3, 'I&amp;E Monthly'!$AA$4:$BJ$4, 0)</f>
        <v>0</v>
      </c>
      <c r="Q111" s="2"/>
      <c r="V111" s="133">
        <f>'I&amp;E Monthly'!V111</f>
        <v>0</v>
      </c>
      <c r="W111" s="114"/>
      <c r="X111" s="131"/>
      <c r="Y111" s="131"/>
      <c r="AA111" s="10" cm="1">
        <f t="array" ref="AA111">IF(OR(AA$4=0, $G111&lt;&gt; $G$7, $E111=0), 'I&amp;E Monthly'!AA111, CHOOSE(Timeline!AA$30,$J111,$K111,$L111 )*INDEX('I&amp;E Profiles'!AA$96:AA$180,$I111))</f>
        <v>0</v>
      </c>
      <c r="AB111" s="10" cm="1">
        <f t="array" ref="AB111">IF(OR(AB$4=0, $G111&lt;&gt; $G$7, $E111=0), 'I&amp;E Monthly'!AB111, CHOOSE(Timeline!AB$30,$J111,$K111,$L111 )*INDEX('I&amp;E Profiles'!AB$96:AB$180,$I111))</f>
        <v>0</v>
      </c>
      <c r="AC111" s="10" cm="1">
        <f t="array" ref="AC111">IF(OR(AC$4=0, $G111&lt;&gt; $G$7, $E111=0), 'I&amp;E Monthly'!AC111, CHOOSE(Timeline!AC$30,$J111,$K111,$L111 )*INDEX('I&amp;E Profiles'!AC$96:AC$180,$I111))</f>
        <v>0</v>
      </c>
      <c r="AD111" s="10" cm="1">
        <f t="array" ref="AD111">IF(OR(AD$4=0, $G111&lt;&gt; $G$7, $E111=0), 'I&amp;E Monthly'!AD111, CHOOSE(Timeline!AD$30,$J111,$K111,$L111 )*INDEX('I&amp;E Profiles'!AD$96:AD$180,$I111))</f>
        <v>0</v>
      </c>
      <c r="AE111" s="10" cm="1">
        <f t="array" ref="AE111">IF(OR(AE$4=0, $G111&lt;&gt; $G$7, $E111=0), 'I&amp;E Monthly'!AE111, CHOOSE(Timeline!AE$30,$J111,$K111,$L111 )*INDEX('I&amp;E Profiles'!AE$96:AE$180,$I111))</f>
        <v>0</v>
      </c>
      <c r="AF111" s="10" cm="1">
        <f t="array" ref="AF111">IF(OR(AF$4=0, $G111&lt;&gt; $G$7, $E111=0), 'I&amp;E Monthly'!AF111, CHOOSE(Timeline!AF$30,$J111,$K111,$L111 )*INDEX('I&amp;E Profiles'!AF$96:AF$180,$I111))</f>
        <v>0</v>
      </c>
      <c r="AG111" s="10" cm="1">
        <f t="array" ref="AG111">IF(OR(AG$4=0, $G111&lt;&gt; $G$7, $E111=0), 'I&amp;E Monthly'!AG111, CHOOSE(Timeline!AG$30,$J111,$K111,$L111 )*INDEX('I&amp;E Profiles'!AG$96:AG$180,$I111))</f>
        <v>0</v>
      </c>
      <c r="AH111" s="10" cm="1">
        <f t="array" ref="AH111">IF(OR(AH$4=0, $G111&lt;&gt; $G$7, $E111=0), 'I&amp;E Monthly'!AH111, CHOOSE(Timeline!AH$30,$J111,$K111,$L111 )*INDEX('I&amp;E Profiles'!AH$96:AH$180,$I111))</f>
        <v>0</v>
      </c>
      <c r="AI111" s="10" cm="1">
        <f t="array" ref="AI111">IF(OR(AI$4=0, $G111&lt;&gt; $G$7, $E111=0), 'I&amp;E Monthly'!AI111, CHOOSE(Timeline!AI$30,$J111,$K111,$L111 )*INDEX('I&amp;E Profiles'!AI$96:AI$180,$I111))</f>
        <v>0</v>
      </c>
      <c r="AJ111" s="10" cm="1">
        <f t="array" ref="AJ111">IF(OR(AJ$4=0, $G111&lt;&gt; $G$7, $E111=0), 'I&amp;E Monthly'!AJ111, CHOOSE(Timeline!AJ$30,$J111,$K111,$L111 )*INDEX('I&amp;E Profiles'!AJ$96:AJ$180,$I111))</f>
        <v>0</v>
      </c>
      <c r="AK111" s="10" cm="1">
        <f t="array" ref="AK111">IF(OR(AK$4=0, $G111&lt;&gt; $G$7, $E111=0), 'I&amp;E Monthly'!AK111, CHOOSE(Timeline!AK$30,$J111,$K111,$L111 )*INDEX('I&amp;E Profiles'!AK$96:AK$180,$I111))</f>
        <v>0</v>
      </c>
      <c r="AL111" s="10" cm="1">
        <f t="array" ref="AL111">IF(OR(AL$4=0, $G111&lt;&gt; $G$7, $E111=0), 'I&amp;E Monthly'!AL111, CHOOSE(Timeline!AL$30,$J111,$K111,$L111 )*INDEX('I&amp;E Profiles'!AL$96:AL$180,$I111))</f>
        <v>0</v>
      </c>
      <c r="AM111" s="10" cm="1">
        <f t="array" ref="AM111">IF(OR(AM$4=0, $G111&lt;&gt; $G$7, $E111=0), 'I&amp;E Monthly'!AM111, CHOOSE(Timeline!AM$30,$J111,$K111,$L111 )*INDEX('I&amp;E Profiles'!AM$96:AM$180,$I111))</f>
        <v>0</v>
      </c>
      <c r="AN111" s="10" cm="1">
        <f t="array" ref="AN111">IF(OR(AN$4=0, $G111&lt;&gt; $G$7, $E111=0), 'I&amp;E Monthly'!AN111, CHOOSE(Timeline!AN$30,$J111,$K111,$L111 )*INDEX('I&amp;E Profiles'!AN$96:AN$180,$I111))</f>
        <v>0</v>
      </c>
      <c r="AO111" s="10" cm="1">
        <f t="array" ref="AO111">IF(OR(AO$4=0, $G111&lt;&gt; $G$7, $E111=0), 'I&amp;E Monthly'!AO111, CHOOSE(Timeline!AO$30,$J111,$K111,$L111 )*INDEX('I&amp;E Profiles'!AO$96:AO$180,$I111))</f>
        <v>0</v>
      </c>
      <c r="AP111" s="10" cm="1">
        <f t="array" ref="AP111">IF(OR(AP$4=0, $G111&lt;&gt; $G$7, $E111=0), 'I&amp;E Monthly'!AP111, CHOOSE(Timeline!AP$30,$J111,$K111,$L111 )*INDEX('I&amp;E Profiles'!AP$96:AP$180,$I111))</f>
        <v>0</v>
      </c>
      <c r="AQ111" s="10" cm="1">
        <f t="array" ref="AQ111">IF(OR(AQ$4=0, $G111&lt;&gt; $G$7, $E111=0), 'I&amp;E Monthly'!AQ111, CHOOSE(Timeline!AQ$30,$J111,$K111,$L111 )*INDEX('I&amp;E Profiles'!AQ$96:AQ$180,$I111))</f>
        <v>0</v>
      </c>
      <c r="AR111" s="10" cm="1">
        <f t="array" ref="AR111">IF(OR(AR$4=0, $G111&lt;&gt; $G$7, $E111=0), 'I&amp;E Monthly'!AR111, CHOOSE(Timeline!AR$30,$J111,$K111,$L111 )*INDEX('I&amp;E Profiles'!AR$96:AR$180,$I111))</f>
        <v>0</v>
      </c>
      <c r="AS111" s="10" cm="1">
        <f t="array" ref="AS111">IF(OR(AS$4=0, $G111&lt;&gt; $G$7, $E111=0), 'I&amp;E Monthly'!AS111, CHOOSE(Timeline!AS$30,$J111,$K111,$L111 )*INDEX('I&amp;E Profiles'!AS$96:AS$180,$I111))</f>
        <v>0</v>
      </c>
      <c r="AT111" s="10" cm="1">
        <f t="array" ref="AT111">IF(OR(AT$4=0, $G111&lt;&gt; $G$7, $E111=0), 'I&amp;E Monthly'!AT111, CHOOSE(Timeline!AT$30,$J111,$K111,$L111 )*INDEX('I&amp;E Profiles'!AT$96:AT$180,$I111))</f>
        <v>0</v>
      </c>
      <c r="AU111" s="10" cm="1">
        <f t="array" ref="AU111">IF(OR(AU$4=0, $G111&lt;&gt; $G$7, $E111=0), 'I&amp;E Monthly'!AU111, CHOOSE(Timeline!AU$30,$J111,$K111,$L111 )*INDEX('I&amp;E Profiles'!AU$96:AU$180,$I111))</f>
        <v>0</v>
      </c>
      <c r="AV111" s="10" cm="1">
        <f t="array" ref="AV111">IF(OR(AV$4=0, $G111&lt;&gt; $G$7, $E111=0), 'I&amp;E Monthly'!AV111, CHOOSE(Timeline!AV$30,$J111,$K111,$L111 )*INDEX('I&amp;E Profiles'!AV$96:AV$180,$I111))</f>
        <v>0</v>
      </c>
      <c r="AW111" s="10" cm="1">
        <f t="array" ref="AW111">IF(OR(AW$4=0, $G111&lt;&gt; $G$7, $E111=0), 'I&amp;E Monthly'!AW111, CHOOSE(Timeline!AW$30,$J111,$K111,$L111 )*INDEX('I&amp;E Profiles'!AW$96:AW$180,$I111))</f>
        <v>0</v>
      </c>
      <c r="AX111" s="10" cm="1">
        <f t="array" ref="AX111">IF(OR(AX$4=0, $G111&lt;&gt; $G$7, $E111=0), 'I&amp;E Monthly'!AX111, CHOOSE(Timeline!AX$30,$J111,$K111,$L111 )*INDEX('I&amp;E Profiles'!AX$96:AX$180,$I111))</f>
        <v>0</v>
      </c>
      <c r="AY111" s="10" cm="1">
        <f t="array" ref="AY111">IF(OR(AY$4=0, $G111&lt;&gt; $G$7, $E111=0), 'I&amp;E Monthly'!AY111, CHOOSE(Timeline!AY$30,$J111,$K111,$L111 )*INDEX('I&amp;E Profiles'!AY$96:AY$180,$I111))</f>
        <v>0</v>
      </c>
      <c r="AZ111" s="10" cm="1">
        <f t="array" ref="AZ111">IF(OR(AZ$4=0, $G111&lt;&gt; $G$7, $E111=0), 'I&amp;E Monthly'!AZ111, CHOOSE(Timeline!AZ$30,$J111,$K111,$L111 )*INDEX('I&amp;E Profiles'!AZ$96:AZ$180,$I111))</f>
        <v>0</v>
      </c>
      <c r="BA111" s="10" cm="1">
        <f t="array" ref="BA111">IF(OR(BA$4=0, $G111&lt;&gt; $G$7, $E111=0), 'I&amp;E Monthly'!BA111, CHOOSE(Timeline!BA$30,$J111,$K111,$L111 )*INDEX('I&amp;E Profiles'!BA$96:BA$180,$I111))</f>
        <v>0</v>
      </c>
      <c r="BB111" s="10" cm="1">
        <f t="array" ref="BB111">IF(OR(BB$4=0, $G111&lt;&gt; $G$7, $E111=0), 'I&amp;E Monthly'!BB111, CHOOSE(Timeline!BB$30,$J111,$K111,$L111 )*INDEX('I&amp;E Profiles'!BB$96:BB$180,$I111))</f>
        <v>0</v>
      </c>
      <c r="BC111" s="10" cm="1">
        <f t="array" ref="BC111">IF(OR(BC$4=0, $G111&lt;&gt; $G$7, $E111=0), 'I&amp;E Monthly'!BC111, CHOOSE(Timeline!BC$30,$J111,$K111,$L111 )*INDEX('I&amp;E Profiles'!BC$96:BC$180,$I111))</f>
        <v>0</v>
      </c>
      <c r="BD111" s="10" cm="1">
        <f t="array" ref="BD111">IF(OR(BD$4=0, $G111&lt;&gt; $G$7, $E111=0), 'I&amp;E Monthly'!BD111, CHOOSE(Timeline!BD$30,$J111,$K111,$L111 )*INDEX('I&amp;E Profiles'!BD$96:BD$180,$I111))</f>
        <v>0</v>
      </c>
      <c r="BE111" s="10" cm="1">
        <f t="array" ref="BE111">IF(OR(BE$4=0, $G111&lt;&gt; $G$7, $E111=0), 'I&amp;E Monthly'!BE111, CHOOSE(Timeline!BE$30,$J111,$K111,$L111 )*INDEX('I&amp;E Profiles'!BE$96:BE$180,$I111))</f>
        <v>0</v>
      </c>
      <c r="BF111" s="10" cm="1">
        <f t="array" ref="BF111">IF(OR(BF$4=0, $G111&lt;&gt; $G$7, $E111=0), 'I&amp;E Monthly'!BF111, CHOOSE(Timeline!BF$30,$J111,$K111,$L111 )*INDEX('I&amp;E Profiles'!BF$96:BF$180,$I111))</f>
        <v>0</v>
      </c>
      <c r="BG111" s="10" cm="1">
        <f t="array" ref="BG111">IF(OR(BG$4=0, $G111&lt;&gt; $G$7, $E111=0), 'I&amp;E Monthly'!BG111, CHOOSE(Timeline!BG$30,$J111,$K111,$L111 )*INDEX('I&amp;E Profiles'!BG$96:BG$180,$I111))</f>
        <v>0</v>
      </c>
      <c r="BH111" s="10" cm="1">
        <f t="array" ref="BH111">IF(OR(BH$4=0, $G111&lt;&gt; $G$7, $E111=0), 'I&amp;E Monthly'!BH111, CHOOSE(Timeline!BH$30,$J111,$K111,$L111 )*INDEX('I&amp;E Profiles'!BH$96:BH$180,$I111))</f>
        <v>0</v>
      </c>
      <c r="BI111" s="10" cm="1">
        <f t="array" ref="BI111">IF(OR(BI$4=0, $G111&lt;&gt; $G$7, $E111=0), 'I&amp;E Monthly'!BI111, CHOOSE(Timeline!BI$30,$J111,$K111,$L111 )*INDEX('I&amp;E Profiles'!BI$96:BI$180,$I111))</f>
        <v>0</v>
      </c>
      <c r="BJ111" s="10" cm="1">
        <f t="array" ref="BJ111">IF(OR(BJ$4=0, $G111&lt;&gt; $G$7, $E111=0), 'I&amp;E Monthly'!BJ111, CHOOSE(Timeline!BJ$30,$J111,$K111,$L111 )*INDEX('I&amp;E Profiles'!BJ$96:BJ$180,$I111))</f>
        <v>0</v>
      </c>
      <c r="BX111" s="12">
        <f t="shared" si="123"/>
        <v>0</v>
      </c>
      <c r="BY111" s="10">
        <f t="shared" si="124"/>
        <v>0</v>
      </c>
      <c r="BZ111" s="10">
        <f t="shared" si="124"/>
        <v>0</v>
      </c>
      <c r="CA111" s="10">
        <f t="shared" si="124"/>
        <v>0</v>
      </c>
      <c r="CB111" s="12">
        <f>'I&amp;E Monthly'!CB111</f>
        <v>0</v>
      </c>
      <c r="CC111" s="12">
        <f>'I&amp;E Monthly'!CC111</f>
        <v>0</v>
      </c>
      <c r="CD111" s="12">
        <f>'I&amp;E Monthly'!CD111</f>
        <v>0</v>
      </c>
      <c r="CE111" s="12">
        <f>'I&amp;E Monthly'!CE111</f>
        <v>0</v>
      </c>
      <c r="CF111" s="12">
        <f>'I&amp;E Monthly'!CF111</f>
        <v>0</v>
      </c>
      <c r="CG111" s="12">
        <f>'I&amp;E Monthly'!CG111</f>
        <v>0</v>
      </c>
      <c r="CH111" s="12">
        <f>'I&amp;E Monthly'!CH111</f>
        <v>0</v>
      </c>
      <c r="CI111" s="12">
        <f>'I&amp;E Monthly'!CI111</f>
        <v>0</v>
      </c>
      <c r="CK111" s="11"/>
      <c r="CL111" s="221">
        <f t="shared" ca="1" si="125"/>
        <v>0</v>
      </c>
      <c r="CM111" s="11"/>
      <c r="CN111" s="7">
        <f t="shared" si="126"/>
        <v>0</v>
      </c>
      <c r="CO111" s="7" cm="1">
        <f t="array" ref="CO111">SUMPRODUCT(--NOT(ISNUMBER(W111:Y111)),--NOT(ISBLANK(W111:Y111)))</f>
        <v>0</v>
      </c>
      <c r="CP111" s="7" cm="1">
        <f t="array" ref="CP111">IF(E111="",0, IF(IFERROR(INDEX('I&amp;E Profiles'!$D$96:$D$180, $I111), "N/A")="N/A", 1, 0))</f>
        <v>0</v>
      </c>
      <c r="CQ111" s="7">
        <f t="shared" si="127"/>
        <v>0</v>
      </c>
      <c r="CS111" s="7">
        <f t="shared" si="128"/>
        <v>0</v>
      </c>
      <c r="CT111" s="7">
        <f t="shared" si="129"/>
        <v>0</v>
      </c>
      <c r="CU111" s="11"/>
      <c r="CV111" s="215">
        <f t="shared" si="130"/>
        <v>0</v>
      </c>
      <c r="CW111" s="215">
        <f t="shared" si="130"/>
        <v>0</v>
      </c>
      <c r="CX111" s="215">
        <f t="shared" si="130"/>
        <v>0</v>
      </c>
      <c r="CY111" s="215">
        <f t="shared" si="131"/>
        <v>0</v>
      </c>
      <c r="CZ111" s="215">
        <f t="shared" si="132"/>
        <v>0</v>
      </c>
      <c r="DA111" s="215">
        <f t="shared" si="133"/>
        <v>0</v>
      </c>
      <c r="DB111" s="215">
        <f t="shared" si="134"/>
        <v>0</v>
      </c>
      <c r="FN111" s="10" t="str">
        <f t="shared" si="135"/>
        <v>Apprenticeship 2% payroll levy charge</v>
      </c>
    </row>
    <row r="112" spans="1:170" x14ac:dyDescent="0.35">
      <c r="A112" s="220" cm="1">
        <f t="array" aca="1" ref="A112" ca="1">HYPERLINK(CONCATENATE("#",CELL("address",IF(MAX($CM112:$CU112)=0,A112,INDEX($CM112:$CU112,MATCH(1,$CM112:$CU112,0))))),MAX($CM112:$CU112))</f>
        <v>0</v>
      </c>
      <c r="B112" s="85" t="s">
        <v>122</v>
      </c>
      <c r="C112" s="213" t="s">
        <v>556</v>
      </c>
      <c r="D112" s="57" t="s">
        <v>410</v>
      </c>
      <c r="E112" s="114"/>
      <c r="F112" s="79" t="str" cm="1">
        <f t="array" aca="1" ref="F112" ca="1">IF(E112="", "", HYPERLINK(CONCATENATE("#",CELL("address",INDEX('I&amp;E Profiles'!$D$9:$D$93,'I&amp;E Annual'!I112))),E112))</f>
        <v/>
      </c>
      <c r="G112" s="114"/>
      <c r="H112" s="120" t="s">
        <v>403</v>
      </c>
      <c r="I112" s="132" t="str">
        <f>IF(E112="", "", MATCH(E112, 'I&amp;E Profiles'!$D$96:$D$180,0))</f>
        <v/>
      </c>
      <c r="J112" s="133">
        <f>IF($G112=$G$7, W112,'I&amp;E Monthly'!W112)-SUMIFS('I&amp;E Monthly'!$AA112:$BJ112, 'I&amp;E Monthly'!$AA$3:$BJ$3, 'I&amp;E Annual'!W$3, 'I&amp;E Monthly'!$AA$4:$BJ$4, 0)</f>
        <v>0</v>
      </c>
      <c r="K112" s="133">
        <f>IF($G112=$G$7, X112,'I&amp;E Monthly'!X112)-SUMIFS('I&amp;E Monthly'!$AA112:$BJ112, 'I&amp;E Monthly'!$AA$3:$BJ$3, 'I&amp;E Annual'!X$3, 'I&amp;E Monthly'!$AA$4:$BJ$4, 0)</f>
        <v>0</v>
      </c>
      <c r="L112" s="133">
        <f>IF($G112=$G$7, Y112,'I&amp;E Monthly'!Y112)-SUMIFS('I&amp;E Monthly'!$AA112:$BJ112, 'I&amp;E Monthly'!$AA$3:$BJ$3, 'I&amp;E Annual'!Y$3, 'I&amp;E Monthly'!$AA$4:$BJ$4, 0)</f>
        <v>0</v>
      </c>
      <c r="Q112" s="2"/>
      <c r="V112" s="133">
        <f>'I&amp;E Monthly'!V112</f>
        <v>0</v>
      </c>
      <c r="W112" s="114"/>
      <c r="X112" s="131"/>
      <c r="Y112" s="131"/>
      <c r="AA112" s="10" cm="1">
        <f t="array" ref="AA112">IF(OR(AA$4=0, $G112&lt;&gt; $G$7, $E112=0), 'I&amp;E Monthly'!AA112, CHOOSE(Timeline!AA$30,$J112,$K112,$L112 )*INDEX('I&amp;E Profiles'!AA$96:AA$180,$I112))</f>
        <v>0</v>
      </c>
      <c r="AB112" s="10" cm="1">
        <f t="array" ref="AB112">IF(OR(AB$4=0, $G112&lt;&gt; $G$7, $E112=0), 'I&amp;E Monthly'!AB112, CHOOSE(Timeline!AB$30,$J112,$K112,$L112 )*INDEX('I&amp;E Profiles'!AB$96:AB$180,$I112))</f>
        <v>0</v>
      </c>
      <c r="AC112" s="10" cm="1">
        <f t="array" ref="AC112">IF(OR(AC$4=0, $G112&lt;&gt; $G$7, $E112=0), 'I&amp;E Monthly'!AC112, CHOOSE(Timeline!AC$30,$J112,$K112,$L112 )*INDEX('I&amp;E Profiles'!AC$96:AC$180,$I112))</f>
        <v>0</v>
      </c>
      <c r="AD112" s="10" cm="1">
        <f t="array" ref="AD112">IF(OR(AD$4=0, $G112&lt;&gt; $G$7, $E112=0), 'I&amp;E Monthly'!AD112, CHOOSE(Timeline!AD$30,$J112,$K112,$L112 )*INDEX('I&amp;E Profiles'!AD$96:AD$180,$I112))</f>
        <v>0</v>
      </c>
      <c r="AE112" s="10" cm="1">
        <f t="array" ref="AE112">IF(OR(AE$4=0, $G112&lt;&gt; $G$7, $E112=0), 'I&amp;E Monthly'!AE112, CHOOSE(Timeline!AE$30,$J112,$K112,$L112 )*INDEX('I&amp;E Profiles'!AE$96:AE$180,$I112))</f>
        <v>0</v>
      </c>
      <c r="AF112" s="10" cm="1">
        <f t="array" ref="AF112">IF(OR(AF$4=0, $G112&lt;&gt; $G$7, $E112=0), 'I&amp;E Monthly'!AF112, CHOOSE(Timeline!AF$30,$J112,$K112,$L112 )*INDEX('I&amp;E Profiles'!AF$96:AF$180,$I112))</f>
        <v>0</v>
      </c>
      <c r="AG112" s="10" cm="1">
        <f t="array" ref="AG112">IF(OR(AG$4=0, $G112&lt;&gt; $G$7, $E112=0), 'I&amp;E Monthly'!AG112, CHOOSE(Timeline!AG$30,$J112,$K112,$L112 )*INDEX('I&amp;E Profiles'!AG$96:AG$180,$I112))</f>
        <v>0</v>
      </c>
      <c r="AH112" s="10" cm="1">
        <f t="array" ref="AH112">IF(OR(AH$4=0, $G112&lt;&gt; $G$7, $E112=0), 'I&amp;E Monthly'!AH112, CHOOSE(Timeline!AH$30,$J112,$K112,$L112 )*INDEX('I&amp;E Profiles'!AH$96:AH$180,$I112))</f>
        <v>0</v>
      </c>
      <c r="AI112" s="10" cm="1">
        <f t="array" ref="AI112">IF(OR(AI$4=0, $G112&lt;&gt; $G$7, $E112=0), 'I&amp;E Monthly'!AI112, CHOOSE(Timeline!AI$30,$J112,$K112,$L112 )*INDEX('I&amp;E Profiles'!AI$96:AI$180,$I112))</f>
        <v>0</v>
      </c>
      <c r="AJ112" s="10" cm="1">
        <f t="array" ref="AJ112">IF(OR(AJ$4=0, $G112&lt;&gt; $G$7, $E112=0), 'I&amp;E Monthly'!AJ112, CHOOSE(Timeline!AJ$30,$J112,$K112,$L112 )*INDEX('I&amp;E Profiles'!AJ$96:AJ$180,$I112))</f>
        <v>0</v>
      </c>
      <c r="AK112" s="10" cm="1">
        <f t="array" ref="AK112">IF(OR(AK$4=0, $G112&lt;&gt; $G$7, $E112=0), 'I&amp;E Monthly'!AK112, CHOOSE(Timeline!AK$30,$J112,$K112,$L112 )*INDEX('I&amp;E Profiles'!AK$96:AK$180,$I112))</f>
        <v>0</v>
      </c>
      <c r="AL112" s="10" cm="1">
        <f t="array" ref="AL112">IF(OR(AL$4=0, $G112&lt;&gt; $G$7, $E112=0), 'I&amp;E Monthly'!AL112, CHOOSE(Timeline!AL$30,$J112,$K112,$L112 )*INDEX('I&amp;E Profiles'!AL$96:AL$180,$I112))</f>
        <v>0</v>
      </c>
      <c r="AM112" s="10" cm="1">
        <f t="array" ref="AM112">IF(OR(AM$4=0, $G112&lt;&gt; $G$7, $E112=0), 'I&amp;E Monthly'!AM112, CHOOSE(Timeline!AM$30,$J112,$K112,$L112 )*INDEX('I&amp;E Profiles'!AM$96:AM$180,$I112))</f>
        <v>0</v>
      </c>
      <c r="AN112" s="10" cm="1">
        <f t="array" ref="AN112">IF(OR(AN$4=0, $G112&lt;&gt; $G$7, $E112=0), 'I&amp;E Monthly'!AN112, CHOOSE(Timeline!AN$30,$J112,$K112,$L112 )*INDEX('I&amp;E Profiles'!AN$96:AN$180,$I112))</f>
        <v>0</v>
      </c>
      <c r="AO112" s="10" cm="1">
        <f t="array" ref="AO112">IF(OR(AO$4=0, $G112&lt;&gt; $G$7, $E112=0), 'I&amp;E Monthly'!AO112, CHOOSE(Timeline!AO$30,$J112,$K112,$L112 )*INDEX('I&amp;E Profiles'!AO$96:AO$180,$I112))</f>
        <v>0</v>
      </c>
      <c r="AP112" s="10" cm="1">
        <f t="array" ref="AP112">IF(OR(AP$4=0, $G112&lt;&gt; $G$7, $E112=0), 'I&amp;E Monthly'!AP112, CHOOSE(Timeline!AP$30,$J112,$K112,$L112 )*INDEX('I&amp;E Profiles'!AP$96:AP$180,$I112))</f>
        <v>0</v>
      </c>
      <c r="AQ112" s="10" cm="1">
        <f t="array" ref="AQ112">IF(OR(AQ$4=0, $G112&lt;&gt; $G$7, $E112=0), 'I&amp;E Monthly'!AQ112, CHOOSE(Timeline!AQ$30,$J112,$K112,$L112 )*INDEX('I&amp;E Profiles'!AQ$96:AQ$180,$I112))</f>
        <v>0</v>
      </c>
      <c r="AR112" s="10" cm="1">
        <f t="array" ref="AR112">IF(OR(AR$4=0, $G112&lt;&gt; $G$7, $E112=0), 'I&amp;E Monthly'!AR112, CHOOSE(Timeline!AR$30,$J112,$K112,$L112 )*INDEX('I&amp;E Profiles'!AR$96:AR$180,$I112))</f>
        <v>0</v>
      </c>
      <c r="AS112" s="10" cm="1">
        <f t="array" ref="AS112">IF(OR(AS$4=0, $G112&lt;&gt; $G$7, $E112=0), 'I&amp;E Monthly'!AS112, CHOOSE(Timeline!AS$30,$J112,$K112,$L112 )*INDEX('I&amp;E Profiles'!AS$96:AS$180,$I112))</f>
        <v>0</v>
      </c>
      <c r="AT112" s="10" cm="1">
        <f t="array" ref="AT112">IF(OR(AT$4=0, $G112&lt;&gt; $G$7, $E112=0), 'I&amp;E Monthly'!AT112, CHOOSE(Timeline!AT$30,$J112,$K112,$L112 )*INDEX('I&amp;E Profiles'!AT$96:AT$180,$I112))</f>
        <v>0</v>
      </c>
      <c r="AU112" s="10" cm="1">
        <f t="array" ref="AU112">IF(OR(AU$4=0, $G112&lt;&gt; $G$7, $E112=0), 'I&amp;E Monthly'!AU112, CHOOSE(Timeline!AU$30,$J112,$K112,$L112 )*INDEX('I&amp;E Profiles'!AU$96:AU$180,$I112))</f>
        <v>0</v>
      </c>
      <c r="AV112" s="10" cm="1">
        <f t="array" ref="AV112">IF(OR(AV$4=0, $G112&lt;&gt; $G$7, $E112=0), 'I&amp;E Monthly'!AV112, CHOOSE(Timeline!AV$30,$J112,$K112,$L112 )*INDEX('I&amp;E Profiles'!AV$96:AV$180,$I112))</f>
        <v>0</v>
      </c>
      <c r="AW112" s="10" cm="1">
        <f t="array" ref="AW112">IF(OR(AW$4=0, $G112&lt;&gt; $G$7, $E112=0), 'I&amp;E Monthly'!AW112, CHOOSE(Timeline!AW$30,$J112,$K112,$L112 )*INDEX('I&amp;E Profiles'!AW$96:AW$180,$I112))</f>
        <v>0</v>
      </c>
      <c r="AX112" s="10" cm="1">
        <f t="array" ref="AX112">IF(OR(AX$4=0, $G112&lt;&gt; $G$7, $E112=0), 'I&amp;E Monthly'!AX112, CHOOSE(Timeline!AX$30,$J112,$K112,$L112 )*INDEX('I&amp;E Profiles'!AX$96:AX$180,$I112))</f>
        <v>0</v>
      </c>
      <c r="AY112" s="10" cm="1">
        <f t="array" ref="AY112">IF(OR(AY$4=0, $G112&lt;&gt; $G$7, $E112=0), 'I&amp;E Monthly'!AY112, CHOOSE(Timeline!AY$30,$J112,$K112,$L112 )*INDEX('I&amp;E Profiles'!AY$96:AY$180,$I112))</f>
        <v>0</v>
      </c>
      <c r="AZ112" s="10" cm="1">
        <f t="array" ref="AZ112">IF(OR(AZ$4=0, $G112&lt;&gt; $G$7, $E112=0), 'I&amp;E Monthly'!AZ112, CHOOSE(Timeline!AZ$30,$J112,$K112,$L112 )*INDEX('I&amp;E Profiles'!AZ$96:AZ$180,$I112))</f>
        <v>0</v>
      </c>
      <c r="BA112" s="10" cm="1">
        <f t="array" ref="BA112">IF(OR(BA$4=0, $G112&lt;&gt; $G$7, $E112=0), 'I&amp;E Monthly'!BA112, CHOOSE(Timeline!BA$30,$J112,$K112,$L112 )*INDEX('I&amp;E Profiles'!BA$96:BA$180,$I112))</f>
        <v>0</v>
      </c>
      <c r="BB112" s="10" cm="1">
        <f t="array" ref="BB112">IF(OR(BB$4=0, $G112&lt;&gt; $G$7, $E112=0), 'I&amp;E Monthly'!BB112, CHOOSE(Timeline!BB$30,$J112,$K112,$L112 )*INDEX('I&amp;E Profiles'!BB$96:BB$180,$I112))</f>
        <v>0</v>
      </c>
      <c r="BC112" s="10" cm="1">
        <f t="array" ref="BC112">IF(OR(BC$4=0, $G112&lt;&gt; $G$7, $E112=0), 'I&amp;E Monthly'!BC112, CHOOSE(Timeline!BC$30,$J112,$K112,$L112 )*INDEX('I&amp;E Profiles'!BC$96:BC$180,$I112))</f>
        <v>0</v>
      </c>
      <c r="BD112" s="10" cm="1">
        <f t="array" ref="BD112">IF(OR(BD$4=0, $G112&lt;&gt; $G$7, $E112=0), 'I&amp;E Monthly'!BD112, CHOOSE(Timeline!BD$30,$J112,$K112,$L112 )*INDEX('I&amp;E Profiles'!BD$96:BD$180,$I112))</f>
        <v>0</v>
      </c>
      <c r="BE112" s="10" cm="1">
        <f t="array" ref="BE112">IF(OR(BE$4=0, $G112&lt;&gt; $G$7, $E112=0), 'I&amp;E Monthly'!BE112, CHOOSE(Timeline!BE$30,$J112,$K112,$L112 )*INDEX('I&amp;E Profiles'!BE$96:BE$180,$I112))</f>
        <v>0</v>
      </c>
      <c r="BF112" s="10" cm="1">
        <f t="array" ref="BF112">IF(OR(BF$4=0, $G112&lt;&gt; $G$7, $E112=0), 'I&amp;E Monthly'!BF112, CHOOSE(Timeline!BF$30,$J112,$K112,$L112 )*INDEX('I&amp;E Profiles'!BF$96:BF$180,$I112))</f>
        <v>0</v>
      </c>
      <c r="BG112" s="10" cm="1">
        <f t="array" ref="BG112">IF(OR(BG$4=0, $G112&lt;&gt; $G$7, $E112=0), 'I&amp;E Monthly'!BG112, CHOOSE(Timeline!BG$30,$J112,$K112,$L112 )*INDEX('I&amp;E Profiles'!BG$96:BG$180,$I112))</f>
        <v>0</v>
      </c>
      <c r="BH112" s="10" cm="1">
        <f t="array" ref="BH112">IF(OR(BH$4=0, $G112&lt;&gt; $G$7, $E112=0), 'I&amp;E Monthly'!BH112, CHOOSE(Timeline!BH$30,$J112,$K112,$L112 )*INDEX('I&amp;E Profiles'!BH$96:BH$180,$I112))</f>
        <v>0</v>
      </c>
      <c r="BI112" s="10" cm="1">
        <f t="array" ref="BI112">IF(OR(BI$4=0, $G112&lt;&gt; $G$7, $E112=0), 'I&amp;E Monthly'!BI112, CHOOSE(Timeline!BI$30,$J112,$K112,$L112 )*INDEX('I&amp;E Profiles'!BI$96:BI$180,$I112))</f>
        <v>0</v>
      </c>
      <c r="BJ112" s="10" cm="1">
        <f t="array" ref="BJ112">IF(OR(BJ$4=0, $G112&lt;&gt; $G$7, $E112=0), 'I&amp;E Monthly'!BJ112, CHOOSE(Timeline!BJ$30,$J112,$K112,$L112 )*INDEX('I&amp;E Profiles'!BJ$96:BJ$180,$I112))</f>
        <v>0</v>
      </c>
      <c r="BX112" s="12">
        <f t="shared" si="123"/>
        <v>0</v>
      </c>
      <c r="BY112" s="10">
        <f t="shared" si="124"/>
        <v>0</v>
      </c>
      <c r="BZ112" s="10">
        <f t="shared" si="124"/>
        <v>0</v>
      </c>
      <c r="CA112" s="10">
        <f t="shared" si="124"/>
        <v>0</v>
      </c>
      <c r="CB112" s="12">
        <f>'I&amp;E Monthly'!CB112</f>
        <v>0</v>
      </c>
      <c r="CC112" s="12">
        <f>'I&amp;E Monthly'!CC112</f>
        <v>0</v>
      </c>
      <c r="CD112" s="12">
        <f>'I&amp;E Monthly'!CD112</f>
        <v>0</v>
      </c>
      <c r="CE112" s="12">
        <f>'I&amp;E Monthly'!CE112</f>
        <v>0</v>
      </c>
      <c r="CF112" s="12">
        <f>'I&amp;E Monthly'!CF112</f>
        <v>0</v>
      </c>
      <c r="CG112" s="12">
        <f>'I&amp;E Monthly'!CG112</f>
        <v>0</v>
      </c>
      <c r="CH112" s="12">
        <f>'I&amp;E Monthly'!CH112</f>
        <v>0</v>
      </c>
      <c r="CI112" s="12">
        <f>'I&amp;E Monthly'!CI112</f>
        <v>0</v>
      </c>
      <c r="CK112" s="11"/>
      <c r="CL112" s="221">
        <f t="shared" ca="1" si="125"/>
        <v>0</v>
      </c>
      <c r="CM112" s="11"/>
      <c r="CN112" s="7">
        <f t="shared" si="126"/>
        <v>0</v>
      </c>
      <c r="CO112" s="7" cm="1">
        <f t="array" ref="CO112">SUMPRODUCT(--NOT(ISNUMBER(W112:Y112)),--NOT(ISBLANK(W112:Y112)))</f>
        <v>0</v>
      </c>
      <c r="CP112" s="7" cm="1">
        <f t="array" ref="CP112">IF(E112="",0, IF(IFERROR(INDEX('I&amp;E Profiles'!$D$96:$D$180, $I112), "N/A")="N/A", 1, 0))</f>
        <v>0</v>
      </c>
      <c r="CQ112" s="7">
        <f t="shared" si="127"/>
        <v>0</v>
      </c>
      <c r="CS112" s="7">
        <f t="shared" si="128"/>
        <v>0</v>
      </c>
      <c r="CT112" s="7">
        <f t="shared" si="129"/>
        <v>0</v>
      </c>
      <c r="CU112" s="11"/>
      <c r="CV112" s="215">
        <f t="shared" si="130"/>
        <v>0</v>
      </c>
      <c r="CW112" s="215">
        <f t="shared" si="130"/>
        <v>0</v>
      </c>
      <c r="CX112" s="215">
        <f t="shared" si="130"/>
        <v>0</v>
      </c>
      <c r="CY112" s="215">
        <f t="shared" si="131"/>
        <v>0</v>
      </c>
      <c r="CZ112" s="215">
        <f t="shared" si="132"/>
        <v>0</v>
      </c>
      <c r="DA112" s="215">
        <f t="shared" si="133"/>
        <v>0</v>
      </c>
      <c r="DB112" s="215">
        <f t="shared" si="134"/>
        <v>0</v>
      </c>
      <c r="FN112" s="10" t="str">
        <f t="shared" si="135"/>
        <v>Other staff costs</v>
      </c>
    </row>
    <row r="113" spans="1:170" ht="43.5" x14ac:dyDescent="0.35">
      <c r="A113" s="220" cm="1">
        <f t="array" aca="1" ref="A113" ca="1">HYPERLINK(CONCATENATE("#",CELL("address",IF(MAX($CM113:$CU113)=0,A113,INDEX($CM113:$CU113,MATCH(1,$CM113:$CU113,0))))),MAX($CM113:$CU113))</f>
        <v>0</v>
      </c>
      <c r="B113" s="126" t="s">
        <v>122</v>
      </c>
      <c r="C113" s="213" t="s">
        <v>557</v>
      </c>
      <c r="D113" s="57" t="s">
        <v>411</v>
      </c>
      <c r="E113" s="156" t="str" cm="1">
        <f t="array" aca="1" ref="E113" ca="1">HYPERLINK(CONCATENATE("#",CELL("address",'BS Forecasts'!$D$207)),"LPGS Costs")</f>
        <v>LPGS Costs</v>
      </c>
      <c r="F113" s="156" t="str" cm="1">
        <f t="array" aca="1" ref="F113" ca="1">HYPERLINK(CONCATENATE("#",CELL("address",'BS Forecasts'!$D$230)),'BS Forecasts'!$D$228)</f>
        <v>Other Pension Provisions</v>
      </c>
      <c r="G113" s="156" t="str" cm="1">
        <f t="array" aca="1" ref="G113" ca="1">HYPERLINK(CONCATENATE("#",CELL("address",'BS Forecasts'!$D$232)),'BS Forecasts'!$D$228)</f>
        <v>Other Pension Provisions</v>
      </c>
      <c r="H113" s="120" t="s">
        <v>403</v>
      </c>
      <c r="Q113" s="2"/>
      <c r="V113" s="10">
        <f>'I&amp;E Monthly'!V$113</f>
        <v>0</v>
      </c>
      <c r="W113" s="10">
        <f>'I&amp;E Monthly'!W$113</f>
        <v>0</v>
      </c>
      <c r="X113" s="10">
        <f>'I&amp;E Monthly'!X$113</f>
        <v>0</v>
      </c>
      <c r="Y113" s="10">
        <f>'I&amp;E Monthly'!Y$113</f>
        <v>0</v>
      </c>
      <c r="AA113" s="10">
        <f>'I&amp;E Monthly'!AA$113</f>
        <v>0</v>
      </c>
      <c r="AB113" s="10">
        <f>'I&amp;E Monthly'!AB$113</f>
        <v>0</v>
      </c>
      <c r="AC113" s="10">
        <f>'I&amp;E Monthly'!AC$113</f>
        <v>0</v>
      </c>
      <c r="AD113" s="10">
        <f>'I&amp;E Monthly'!AD$113</f>
        <v>0</v>
      </c>
      <c r="AE113" s="10">
        <f>'I&amp;E Monthly'!AE$113</f>
        <v>0</v>
      </c>
      <c r="AF113" s="10">
        <f>'I&amp;E Monthly'!AF$113</f>
        <v>0</v>
      </c>
      <c r="AG113" s="10">
        <f>'I&amp;E Monthly'!AG$113</f>
        <v>0</v>
      </c>
      <c r="AH113" s="10">
        <f>'I&amp;E Monthly'!AH$113</f>
        <v>0</v>
      </c>
      <c r="AI113" s="10">
        <f>'I&amp;E Monthly'!AI$113</f>
        <v>0</v>
      </c>
      <c r="AJ113" s="10">
        <f>'I&amp;E Monthly'!AJ$113</f>
        <v>0</v>
      </c>
      <c r="AK113" s="10">
        <f>'I&amp;E Monthly'!AK$113</f>
        <v>0</v>
      </c>
      <c r="AL113" s="10">
        <f>'I&amp;E Monthly'!AL$113</f>
        <v>0</v>
      </c>
      <c r="AM113" s="10">
        <f>'I&amp;E Monthly'!AM$113</f>
        <v>0</v>
      </c>
      <c r="AN113" s="10">
        <f>'I&amp;E Monthly'!AN$113</f>
        <v>0</v>
      </c>
      <c r="AO113" s="10">
        <f>'I&amp;E Monthly'!AO$113</f>
        <v>0</v>
      </c>
      <c r="AP113" s="10">
        <f>'I&amp;E Monthly'!AP$113</f>
        <v>0</v>
      </c>
      <c r="AQ113" s="10">
        <f>'I&amp;E Monthly'!AQ$113</f>
        <v>0</v>
      </c>
      <c r="AR113" s="10">
        <f>'I&amp;E Monthly'!AR$113</f>
        <v>0</v>
      </c>
      <c r="AS113" s="10">
        <f>'I&amp;E Monthly'!AS$113</f>
        <v>0</v>
      </c>
      <c r="AT113" s="10">
        <f>'I&amp;E Monthly'!AT$113</f>
        <v>0</v>
      </c>
      <c r="AU113" s="10">
        <f>'I&amp;E Monthly'!AU$113</f>
        <v>0</v>
      </c>
      <c r="AV113" s="10">
        <f>'I&amp;E Monthly'!AV$113</f>
        <v>0</v>
      </c>
      <c r="AW113" s="10">
        <f>'I&amp;E Monthly'!AW$113</f>
        <v>0</v>
      </c>
      <c r="AX113" s="10">
        <f>'I&amp;E Monthly'!AX$113</f>
        <v>0</v>
      </c>
      <c r="AY113" s="10">
        <f>'I&amp;E Monthly'!AY$113</f>
        <v>0</v>
      </c>
      <c r="AZ113" s="10">
        <f>'I&amp;E Monthly'!AZ$113</f>
        <v>0</v>
      </c>
      <c r="BA113" s="10">
        <f>'I&amp;E Monthly'!BA$113</f>
        <v>0</v>
      </c>
      <c r="BB113" s="10">
        <f>'I&amp;E Monthly'!BB$113</f>
        <v>0</v>
      </c>
      <c r="BC113" s="10">
        <f>'I&amp;E Monthly'!BC$113</f>
        <v>0</v>
      </c>
      <c r="BD113" s="10">
        <f>'I&amp;E Monthly'!BD$113</f>
        <v>0</v>
      </c>
      <c r="BE113" s="10">
        <f>'I&amp;E Monthly'!BE$113</f>
        <v>0</v>
      </c>
      <c r="BF113" s="10">
        <f>'I&amp;E Monthly'!BF$113</f>
        <v>0</v>
      </c>
      <c r="BG113" s="10">
        <f>'I&amp;E Monthly'!BG$113</f>
        <v>0</v>
      </c>
      <c r="BH113" s="10">
        <f>'I&amp;E Monthly'!BH$113</f>
        <v>0</v>
      </c>
      <c r="BI113" s="10">
        <f>'I&amp;E Monthly'!BI$113</f>
        <v>0</v>
      </c>
      <c r="BJ113" s="10">
        <f>'I&amp;E Monthly'!BJ$113</f>
        <v>0</v>
      </c>
      <c r="BX113" s="10">
        <f>'I&amp;E Monthly'!BX$113</f>
        <v>0</v>
      </c>
      <c r="BY113" s="10">
        <f>'I&amp;E Monthly'!BY$113</f>
        <v>0</v>
      </c>
      <c r="BZ113" s="10">
        <f>'I&amp;E Monthly'!BZ$113</f>
        <v>0</v>
      </c>
      <c r="CA113" s="10">
        <f>'I&amp;E Monthly'!CA$113</f>
        <v>0</v>
      </c>
      <c r="CB113" s="10">
        <f>'I&amp;E Monthly'!CB$113</f>
        <v>0</v>
      </c>
      <c r="CC113" s="10">
        <f>'I&amp;E Monthly'!CC$113</f>
        <v>0</v>
      </c>
      <c r="CD113" s="10">
        <f>'I&amp;E Monthly'!CD$113</f>
        <v>0</v>
      </c>
      <c r="CE113" s="10">
        <f>'I&amp;E Monthly'!CE$113</f>
        <v>0</v>
      </c>
      <c r="CF113" s="10">
        <f>'I&amp;E Monthly'!CF$113</f>
        <v>0</v>
      </c>
      <c r="CG113" s="10">
        <f>'I&amp;E Monthly'!CG$113</f>
        <v>0</v>
      </c>
      <c r="CH113" s="10">
        <f>'I&amp;E Monthly'!CH$113</f>
        <v>0</v>
      </c>
      <c r="CI113" s="10">
        <f>'I&amp;E Monthly'!CI$113</f>
        <v>0</v>
      </c>
      <c r="CK113" s="11"/>
      <c r="CM113" s="11"/>
      <c r="CQ113" s="7">
        <f t="shared" ca="1" si="127"/>
        <v>0</v>
      </c>
      <c r="CS113" s="7">
        <f t="shared" si="128"/>
        <v>0</v>
      </c>
      <c r="CT113" s="7">
        <f t="shared" si="129"/>
        <v>0</v>
      </c>
      <c r="CU113" s="11"/>
      <c r="CV113" s="215">
        <f ca="1">IF($F113=$G$7, ROUND(W113-SUMIFS($AA113:$BJ113, $AA$3:$BJ$3, W$3), rounding), 0)</f>
        <v>0</v>
      </c>
      <c r="CW113" s="215">
        <f ca="1">IF($F113=$G$7, ROUND(X113-SUMIFS($AA113:$BJ113, $AA$3:$BJ$3, X$3), rounding), 0)</f>
        <v>0</v>
      </c>
      <c r="CX113" s="215">
        <f ca="1">IF($F113=$G$7, ROUND(Y113-SUMIFS($AA113:$BJ113, $AA$3:$BJ$3, Y$3), rounding), 0)</f>
        <v>0</v>
      </c>
      <c r="CY113" s="215">
        <f t="shared" si="131"/>
        <v>0</v>
      </c>
      <c r="CZ113" s="215">
        <f t="shared" si="132"/>
        <v>0</v>
      </c>
      <c r="DA113" s="215">
        <f t="shared" si="133"/>
        <v>0</v>
      </c>
      <c r="DB113" s="215">
        <f t="shared" si="134"/>
        <v>0</v>
      </c>
      <c r="FN113" s="10" t="str">
        <f t="shared" si="135"/>
        <v>FRS102 adj. - LGPS and EPP current service costs (non-cash)</v>
      </c>
    </row>
    <row r="114" spans="1:170" x14ac:dyDescent="0.35">
      <c r="A114" s="220" cm="1">
        <f t="array" aca="1" ref="A114" ca="1">HYPERLINK(CONCATENATE("#",CELL("address",IF(MAX($CM114:$CU114)=0,A114,INDEX($CM114:$CU114,MATCH(1,$CM114:$CU114,0))))),MAX($CM114:$CU114))</f>
        <v>0</v>
      </c>
      <c r="C114" s="213" t="s">
        <v>558</v>
      </c>
      <c r="D114" s="24" t="s">
        <v>412</v>
      </c>
      <c r="E114" s="5"/>
      <c r="Q114" s="2"/>
      <c r="V114" s="12">
        <f>SUM(V105:V113)</f>
        <v>0</v>
      </c>
      <c r="W114" s="12">
        <f>SUM(W105:W113)</f>
        <v>0</v>
      </c>
      <c r="X114" s="12">
        <f>SUM(X105:X113)</f>
        <v>0</v>
      </c>
      <c r="Y114" s="12">
        <f>SUM(Y105:Y113)</f>
        <v>0</v>
      </c>
      <c r="AA114" s="12">
        <f t="shared" ref="AA114:BJ114" si="136">SUM(AA105:AA113)</f>
        <v>0</v>
      </c>
      <c r="AB114" s="12">
        <f t="shared" si="136"/>
        <v>0</v>
      </c>
      <c r="AC114" s="12">
        <f t="shared" si="136"/>
        <v>0</v>
      </c>
      <c r="AD114" s="12">
        <f t="shared" si="136"/>
        <v>0</v>
      </c>
      <c r="AE114" s="12">
        <f t="shared" si="136"/>
        <v>0</v>
      </c>
      <c r="AF114" s="12">
        <f t="shared" si="136"/>
        <v>0</v>
      </c>
      <c r="AG114" s="12">
        <f t="shared" si="136"/>
        <v>0</v>
      </c>
      <c r="AH114" s="12">
        <f t="shared" si="136"/>
        <v>0</v>
      </c>
      <c r="AI114" s="12">
        <f t="shared" si="136"/>
        <v>0</v>
      </c>
      <c r="AJ114" s="12">
        <f t="shared" si="136"/>
        <v>0</v>
      </c>
      <c r="AK114" s="12">
        <f t="shared" si="136"/>
        <v>0</v>
      </c>
      <c r="AL114" s="12">
        <f t="shared" si="136"/>
        <v>0</v>
      </c>
      <c r="AM114" s="12">
        <f t="shared" si="136"/>
        <v>0</v>
      </c>
      <c r="AN114" s="12">
        <f t="shared" si="136"/>
        <v>0</v>
      </c>
      <c r="AO114" s="12">
        <f t="shared" si="136"/>
        <v>0</v>
      </c>
      <c r="AP114" s="12">
        <f t="shared" si="136"/>
        <v>0</v>
      </c>
      <c r="AQ114" s="12">
        <f t="shared" si="136"/>
        <v>0</v>
      </c>
      <c r="AR114" s="12">
        <f t="shared" si="136"/>
        <v>0</v>
      </c>
      <c r="AS114" s="12">
        <f t="shared" si="136"/>
        <v>0</v>
      </c>
      <c r="AT114" s="12">
        <f t="shared" si="136"/>
        <v>0</v>
      </c>
      <c r="AU114" s="12">
        <f t="shared" si="136"/>
        <v>0</v>
      </c>
      <c r="AV114" s="12">
        <f t="shared" si="136"/>
        <v>0</v>
      </c>
      <c r="AW114" s="12">
        <f t="shared" si="136"/>
        <v>0</v>
      </c>
      <c r="AX114" s="12">
        <f t="shared" si="136"/>
        <v>0</v>
      </c>
      <c r="AY114" s="12">
        <f t="shared" si="136"/>
        <v>0</v>
      </c>
      <c r="AZ114" s="12">
        <f t="shared" si="136"/>
        <v>0</v>
      </c>
      <c r="BA114" s="12">
        <f t="shared" si="136"/>
        <v>0</v>
      </c>
      <c r="BB114" s="12">
        <f t="shared" si="136"/>
        <v>0</v>
      </c>
      <c r="BC114" s="12">
        <f t="shared" si="136"/>
        <v>0</v>
      </c>
      <c r="BD114" s="12">
        <f t="shared" si="136"/>
        <v>0</v>
      </c>
      <c r="BE114" s="12">
        <f t="shared" si="136"/>
        <v>0</v>
      </c>
      <c r="BF114" s="12">
        <f t="shared" si="136"/>
        <v>0</v>
      </c>
      <c r="BG114" s="12">
        <f t="shared" si="136"/>
        <v>0</v>
      </c>
      <c r="BH114" s="12">
        <f t="shared" si="136"/>
        <v>0</v>
      </c>
      <c r="BI114" s="12">
        <f t="shared" si="136"/>
        <v>0</v>
      </c>
      <c r="BJ114" s="12">
        <f t="shared" si="136"/>
        <v>0</v>
      </c>
      <c r="BX114" s="12">
        <f t="shared" ref="BX114:CI114" si="137">SUM(BX105:BX113)</f>
        <v>0</v>
      </c>
      <c r="BY114" s="12">
        <f t="shared" si="137"/>
        <v>0</v>
      </c>
      <c r="BZ114" s="12">
        <f t="shared" si="137"/>
        <v>0</v>
      </c>
      <c r="CA114" s="12">
        <f t="shared" si="137"/>
        <v>0</v>
      </c>
      <c r="CB114" s="12">
        <f t="shared" si="137"/>
        <v>0</v>
      </c>
      <c r="CC114" s="12">
        <f t="shared" si="137"/>
        <v>0</v>
      </c>
      <c r="CD114" s="12">
        <f t="shared" si="137"/>
        <v>0</v>
      </c>
      <c r="CE114" s="12">
        <f t="shared" si="137"/>
        <v>0</v>
      </c>
      <c r="CF114" s="12">
        <f t="shared" si="137"/>
        <v>0</v>
      </c>
      <c r="CG114" s="12">
        <f t="shared" si="137"/>
        <v>0</v>
      </c>
      <c r="CH114" s="12">
        <f t="shared" si="137"/>
        <v>0</v>
      </c>
      <c r="CI114" s="12">
        <f t="shared" si="137"/>
        <v>0</v>
      </c>
      <c r="CK114" s="11"/>
      <c r="CM114" s="11"/>
      <c r="CQ114" s="7">
        <f t="shared" si="127"/>
        <v>0</v>
      </c>
      <c r="CS114" s="7">
        <f t="shared" si="128"/>
        <v>0</v>
      </c>
      <c r="CT114" s="7">
        <f t="shared" si="129"/>
        <v>0</v>
      </c>
      <c r="CU114" s="11"/>
      <c r="CV114" s="215">
        <f>IF($G114=$G$7, ROUND(W114-SUMIFS($AA114:$BJ114, $AA$3:$BJ$3, W$3), rounding), 0)</f>
        <v>0</v>
      </c>
      <c r="CW114" s="215">
        <f>IF($G114=$G$7, ROUND(X114-SUMIFS($AA114:$BJ114, $AA$3:$BJ$3, X$3), rounding), 0)</f>
        <v>0</v>
      </c>
      <c r="CX114" s="215">
        <f>IF($G114=$G$7, ROUND(Y114-SUMIFS($AA114:$BJ114, $AA$3:$BJ$3, Y$3), rounding), 0)</f>
        <v>0</v>
      </c>
      <c r="CY114" s="215">
        <f t="shared" si="131"/>
        <v>0</v>
      </c>
      <c r="CZ114" s="215">
        <f t="shared" si="132"/>
        <v>0</v>
      </c>
      <c r="DA114" s="215">
        <f t="shared" si="133"/>
        <v>0</v>
      </c>
      <c r="DB114" s="215">
        <f t="shared" si="134"/>
        <v>0</v>
      </c>
      <c r="FN114" s="10" t="str">
        <f t="shared" si="135"/>
        <v>Total Staff Costs (excl. restructuring)</v>
      </c>
    </row>
    <row r="115" spans="1:170" ht="6.75" customHeight="1" x14ac:dyDescent="0.35">
      <c r="C115" s="213"/>
      <c r="Q115" s="2"/>
      <c r="BY115" s="6"/>
      <c r="CK115" s="35"/>
      <c r="CM115" s="35"/>
      <c r="CQ115" s="7"/>
      <c r="CS115" s="7"/>
      <c r="CT115" s="7"/>
      <c r="CU115" s="35"/>
      <c r="FN115" s="10" t="str">
        <f t="shared" si="135"/>
        <v/>
      </c>
    </row>
    <row r="116" spans="1:170" x14ac:dyDescent="0.35">
      <c r="B116" s="5"/>
      <c r="C116" s="213"/>
      <c r="D116" s="24" t="s">
        <v>413</v>
      </c>
      <c r="E116" s="5"/>
      <c r="Q116" s="2"/>
      <c r="CK116" s="11"/>
      <c r="CM116" s="11"/>
      <c r="CQ116" s="7"/>
      <c r="CS116" s="7"/>
      <c r="CT116" s="7"/>
      <c r="CU116" s="11"/>
      <c r="FN116" s="10" t="str">
        <f t="shared" si="135"/>
        <v/>
      </c>
    </row>
    <row r="117" spans="1:170" x14ac:dyDescent="0.35">
      <c r="A117" s="220" cm="1">
        <f t="array" aca="1" ref="A117" ca="1">HYPERLINK(CONCATENATE("#",CELL("address",IF(MAX($CM117:$CU117)=0,A117,INDEX($CM117:$CU117,MATCH(1,$CM117:$CU117,0))))),MAX($CM117:$CU117))</f>
        <v>0</v>
      </c>
      <c r="B117" s="85" t="s">
        <v>122</v>
      </c>
      <c r="C117" s="213" t="s">
        <v>559</v>
      </c>
      <c r="D117" s="1" t="s">
        <v>414</v>
      </c>
      <c r="E117" s="114"/>
      <c r="F117" s="79" t="str" cm="1">
        <f t="array" aca="1" ref="F117" ca="1">IF(E117="", "", HYPERLINK(CONCATENATE("#",CELL("address",INDEX('I&amp;E Profiles'!$D$9:$D$93,'I&amp;E Annual'!I117))),E117))</f>
        <v/>
      </c>
      <c r="G117" s="114"/>
      <c r="H117" s="120" t="s">
        <v>403</v>
      </c>
      <c r="I117" s="132" t="str">
        <f>IF(E117="", "", MATCH(E117, 'I&amp;E Profiles'!$D$96:$D$180,0))</f>
        <v/>
      </c>
      <c r="J117" s="133">
        <f>IF($G117=$G$7, W117,'I&amp;E Monthly'!W117)-SUMIFS('I&amp;E Monthly'!$AA117:$BJ117, 'I&amp;E Monthly'!$AA$3:$BJ$3, 'I&amp;E Annual'!W$3, 'I&amp;E Monthly'!$AA$4:$BJ$4, 0)</f>
        <v>0</v>
      </c>
      <c r="K117" s="133">
        <f>IF($G117=$G$7, X117,'I&amp;E Monthly'!X117)-SUMIFS('I&amp;E Monthly'!$AA117:$BJ117, 'I&amp;E Monthly'!$AA$3:$BJ$3, 'I&amp;E Annual'!X$3, 'I&amp;E Monthly'!$AA$4:$BJ$4, 0)</f>
        <v>0</v>
      </c>
      <c r="L117" s="133">
        <f>IF($G117=$G$7, Y117,'I&amp;E Monthly'!Y117)-SUMIFS('I&amp;E Monthly'!$AA117:$BJ117, 'I&amp;E Monthly'!$AA$3:$BJ$3, 'I&amp;E Annual'!Y$3, 'I&amp;E Monthly'!$AA$4:$BJ$4, 0)</f>
        <v>0</v>
      </c>
      <c r="Q117" s="2"/>
      <c r="V117" s="133">
        <f>'I&amp;E Monthly'!V117</f>
        <v>0</v>
      </c>
      <c r="W117" s="114"/>
      <c r="X117" s="131"/>
      <c r="Y117" s="131"/>
      <c r="AA117" s="10" cm="1">
        <f t="array" ref="AA117">IF(OR(AA$4=0, $G117&lt;&gt; $G$7, $E117=0), 'I&amp;E Monthly'!AA117, CHOOSE(Timeline!AA$30,$J117,$K117,$L117 )*INDEX('I&amp;E Profiles'!AA$96:AA$180,$I117))</f>
        <v>0</v>
      </c>
      <c r="AB117" s="10" cm="1">
        <f t="array" ref="AB117">IF(OR(AB$4=0, $G117&lt;&gt; $G$7, $E117=0), 'I&amp;E Monthly'!AB117, CHOOSE(Timeline!AB$30,$J117,$K117,$L117 )*INDEX('I&amp;E Profiles'!AB$96:AB$180,$I117))</f>
        <v>0</v>
      </c>
      <c r="AC117" s="10" cm="1">
        <f t="array" ref="AC117">IF(OR(AC$4=0, $G117&lt;&gt; $G$7, $E117=0), 'I&amp;E Monthly'!AC117, CHOOSE(Timeline!AC$30,$J117,$K117,$L117 )*INDEX('I&amp;E Profiles'!AC$96:AC$180,$I117))</f>
        <v>0</v>
      </c>
      <c r="AD117" s="10" cm="1">
        <f t="array" ref="AD117">IF(OR(AD$4=0, $G117&lt;&gt; $G$7, $E117=0), 'I&amp;E Monthly'!AD117, CHOOSE(Timeline!AD$30,$J117,$K117,$L117 )*INDEX('I&amp;E Profiles'!AD$96:AD$180,$I117))</f>
        <v>0</v>
      </c>
      <c r="AE117" s="10" cm="1">
        <f t="array" ref="AE117">IF(OR(AE$4=0, $G117&lt;&gt; $G$7, $E117=0), 'I&amp;E Monthly'!AE117, CHOOSE(Timeline!AE$30,$J117,$K117,$L117 )*INDEX('I&amp;E Profiles'!AE$96:AE$180,$I117))</f>
        <v>0</v>
      </c>
      <c r="AF117" s="10" cm="1">
        <f t="array" ref="AF117">IF(OR(AF$4=0, $G117&lt;&gt; $G$7, $E117=0), 'I&amp;E Monthly'!AF117, CHOOSE(Timeline!AF$30,$J117,$K117,$L117 )*INDEX('I&amp;E Profiles'!AF$96:AF$180,$I117))</f>
        <v>0</v>
      </c>
      <c r="AG117" s="10" cm="1">
        <f t="array" ref="AG117">IF(OR(AG$4=0, $G117&lt;&gt; $G$7, $E117=0), 'I&amp;E Monthly'!AG117, CHOOSE(Timeline!AG$30,$J117,$K117,$L117 )*INDEX('I&amp;E Profiles'!AG$96:AG$180,$I117))</f>
        <v>0</v>
      </c>
      <c r="AH117" s="10" cm="1">
        <f t="array" ref="AH117">IF(OR(AH$4=0, $G117&lt;&gt; $G$7, $E117=0), 'I&amp;E Monthly'!AH117, CHOOSE(Timeline!AH$30,$J117,$K117,$L117 )*INDEX('I&amp;E Profiles'!AH$96:AH$180,$I117))</f>
        <v>0</v>
      </c>
      <c r="AI117" s="10" cm="1">
        <f t="array" ref="AI117">IF(OR(AI$4=0, $G117&lt;&gt; $G$7, $E117=0), 'I&amp;E Monthly'!AI117, CHOOSE(Timeline!AI$30,$J117,$K117,$L117 )*INDEX('I&amp;E Profiles'!AI$96:AI$180,$I117))</f>
        <v>0</v>
      </c>
      <c r="AJ117" s="10" cm="1">
        <f t="array" ref="AJ117">IF(OR(AJ$4=0, $G117&lt;&gt; $G$7, $E117=0), 'I&amp;E Monthly'!AJ117, CHOOSE(Timeline!AJ$30,$J117,$K117,$L117 )*INDEX('I&amp;E Profiles'!AJ$96:AJ$180,$I117))</f>
        <v>0</v>
      </c>
      <c r="AK117" s="10" cm="1">
        <f t="array" ref="AK117">IF(OR(AK$4=0, $G117&lt;&gt; $G$7, $E117=0), 'I&amp;E Monthly'!AK117, CHOOSE(Timeline!AK$30,$J117,$K117,$L117 )*INDEX('I&amp;E Profiles'!AK$96:AK$180,$I117))</f>
        <v>0</v>
      </c>
      <c r="AL117" s="10" cm="1">
        <f t="array" ref="AL117">IF(OR(AL$4=0, $G117&lt;&gt; $G$7, $E117=0), 'I&amp;E Monthly'!AL117, CHOOSE(Timeline!AL$30,$J117,$K117,$L117 )*INDEX('I&amp;E Profiles'!AL$96:AL$180,$I117))</f>
        <v>0</v>
      </c>
      <c r="AM117" s="10" cm="1">
        <f t="array" ref="AM117">IF(OR(AM$4=0, $G117&lt;&gt; $G$7, $E117=0), 'I&amp;E Monthly'!AM117, CHOOSE(Timeline!AM$30,$J117,$K117,$L117 )*INDEX('I&amp;E Profiles'!AM$96:AM$180,$I117))</f>
        <v>0</v>
      </c>
      <c r="AN117" s="10" cm="1">
        <f t="array" ref="AN117">IF(OR(AN$4=0, $G117&lt;&gt; $G$7, $E117=0), 'I&amp;E Monthly'!AN117, CHOOSE(Timeline!AN$30,$J117,$K117,$L117 )*INDEX('I&amp;E Profiles'!AN$96:AN$180,$I117))</f>
        <v>0</v>
      </c>
      <c r="AO117" s="10" cm="1">
        <f t="array" ref="AO117">IF(OR(AO$4=0, $G117&lt;&gt; $G$7, $E117=0), 'I&amp;E Monthly'!AO117, CHOOSE(Timeline!AO$30,$J117,$K117,$L117 )*INDEX('I&amp;E Profiles'!AO$96:AO$180,$I117))</f>
        <v>0</v>
      </c>
      <c r="AP117" s="10" cm="1">
        <f t="array" ref="AP117">IF(OR(AP$4=0, $G117&lt;&gt; $G$7, $E117=0), 'I&amp;E Monthly'!AP117, CHOOSE(Timeline!AP$30,$J117,$K117,$L117 )*INDEX('I&amp;E Profiles'!AP$96:AP$180,$I117))</f>
        <v>0</v>
      </c>
      <c r="AQ117" s="10" cm="1">
        <f t="array" ref="AQ117">IF(OR(AQ$4=0, $G117&lt;&gt; $G$7, $E117=0), 'I&amp;E Monthly'!AQ117, CHOOSE(Timeline!AQ$30,$J117,$K117,$L117 )*INDEX('I&amp;E Profiles'!AQ$96:AQ$180,$I117))</f>
        <v>0</v>
      </c>
      <c r="AR117" s="10" cm="1">
        <f t="array" ref="AR117">IF(OR(AR$4=0, $G117&lt;&gt; $G$7, $E117=0), 'I&amp;E Monthly'!AR117, CHOOSE(Timeline!AR$30,$J117,$K117,$L117 )*INDEX('I&amp;E Profiles'!AR$96:AR$180,$I117))</f>
        <v>0</v>
      </c>
      <c r="AS117" s="10" cm="1">
        <f t="array" ref="AS117">IF(OR(AS$4=0, $G117&lt;&gt; $G$7, $E117=0), 'I&amp;E Monthly'!AS117, CHOOSE(Timeline!AS$30,$J117,$K117,$L117 )*INDEX('I&amp;E Profiles'!AS$96:AS$180,$I117))</f>
        <v>0</v>
      </c>
      <c r="AT117" s="10" cm="1">
        <f t="array" ref="AT117">IF(OR(AT$4=0, $G117&lt;&gt; $G$7, $E117=0), 'I&amp;E Monthly'!AT117, CHOOSE(Timeline!AT$30,$J117,$K117,$L117 )*INDEX('I&amp;E Profiles'!AT$96:AT$180,$I117))</f>
        <v>0</v>
      </c>
      <c r="AU117" s="10" cm="1">
        <f t="array" ref="AU117">IF(OR(AU$4=0, $G117&lt;&gt; $G$7, $E117=0), 'I&amp;E Monthly'!AU117, CHOOSE(Timeline!AU$30,$J117,$K117,$L117 )*INDEX('I&amp;E Profiles'!AU$96:AU$180,$I117))</f>
        <v>0</v>
      </c>
      <c r="AV117" s="10" cm="1">
        <f t="array" ref="AV117">IF(OR(AV$4=0, $G117&lt;&gt; $G$7, $E117=0), 'I&amp;E Monthly'!AV117, CHOOSE(Timeline!AV$30,$J117,$K117,$L117 )*INDEX('I&amp;E Profiles'!AV$96:AV$180,$I117))</f>
        <v>0</v>
      </c>
      <c r="AW117" s="10" cm="1">
        <f t="array" ref="AW117">IF(OR(AW$4=0, $G117&lt;&gt; $G$7, $E117=0), 'I&amp;E Monthly'!AW117, CHOOSE(Timeline!AW$30,$J117,$K117,$L117 )*INDEX('I&amp;E Profiles'!AW$96:AW$180,$I117))</f>
        <v>0</v>
      </c>
      <c r="AX117" s="10" cm="1">
        <f t="array" ref="AX117">IF(OR(AX$4=0, $G117&lt;&gt; $G$7, $E117=0), 'I&amp;E Monthly'!AX117, CHOOSE(Timeline!AX$30,$J117,$K117,$L117 )*INDEX('I&amp;E Profiles'!AX$96:AX$180,$I117))</f>
        <v>0</v>
      </c>
      <c r="AY117" s="10" cm="1">
        <f t="array" ref="AY117">IF(OR(AY$4=0, $G117&lt;&gt; $G$7, $E117=0), 'I&amp;E Monthly'!AY117, CHOOSE(Timeline!AY$30,$J117,$K117,$L117 )*INDEX('I&amp;E Profiles'!AY$96:AY$180,$I117))</f>
        <v>0</v>
      </c>
      <c r="AZ117" s="10" cm="1">
        <f t="array" ref="AZ117">IF(OR(AZ$4=0, $G117&lt;&gt; $G$7, $E117=0), 'I&amp;E Monthly'!AZ117, CHOOSE(Timeline!AZ$30,$J117,$K117,$L117 )*INDEX('I&amp;E Profiles'!AZ$96:AZ$180,$I117))</f>
        <v>0</v>
      </c>
      <c r="BA117" s="10" cm="1">
        <f t="array" ref="BA117">IF(OR(BA$4=0, $G117&lt;&gt; $G$7, $E117=0), 'I&amp;E Monthly'!BA117, CHOOSE(Timeline!BA$30,$J117,$K117,$L117 )*INDEX('I&amp;E Profiles'!BA$96:BA$180,$I117))</f>
        <v>0</v>
      </c>
      <c r="BB117" s="10" cm="1">
        <f t="array" ref="BB117">IF(OR(BB$4=0, $G117&lt;&gt; $G$7, $E117=0), 'I&amp;E Monthly'!BB117, CHOOSE(Timeline!BB$30,$J117,$K117,$L117 )*INDEX('I&amp;E Profiles'!BB$96:BB$180,$I117))</f>
        <v>0</v>
      </c>
      <c r="BC117" s="10" cm="1">
        <f t="array" ref="BC117">IF(OR(BC$4=0, $G117&lt;&gt; $G$7, $E117=0), 'I&amp;E Monthly'!BC117, CHOOSE(Timeline!BC$30,$J117,$K117,$L117 )*INDEX('I&amp;E Profiles'!BC$96:BC$180,$I117))</f>
        <v>0</v>
      </c>
      <c r="BD117" s="10" cm="1">
        <f t="array" ref="BD117">IF(OR(BD$4=0, $G117&lt;&gt; $G$7, $E117=0), 'I&amp;E Monthly'!BD117, CHOOSE(Timeline!BD$30,$J117,$K117,$L117 )*INDEX('I&amp;E Profiles'!BD$96:BD$180,$I117))</f>
        <v>0</v>
      </c>
      <c r="BE117" s="10" cm="1">
        <f t="array" ref="BE117">IF(OR(BE$4=0, $G117&lt;&gt; $G$7, $E117=0), 'I&amp;E Monthly'!BE117, CHOOSE(Timeline!BE$30,$J117,$K117,$L117 )*INDEX('I&amp;E Profiles'!BE$96:BE$180,$I117))</f>
        <v>0</v>
      </c>
      <c r="BF117" s="10" cm="1">
        <f t="array" ref="BF117">IF(OR(BF$4=0, $G117&lt;&gt; $G$7, $E117=0), 'I&amp;E Monthly'!BF117, CHOOSE(Timeline!BF$30,$J117,$K117,$L117 )*INDEX('I&amp;E Profiles'!BF$96:BF$180,$I117))</f>
        <v>0</v>
      </c>
      <c r="BG117" s="10" cm="1">
        <f t="array" ref="BG117">IF(OR(BG$4=0, $G117&lt;&gt; $G$7, $E117=0), 'I&amp;E Monthly'!BG117, CHOOSE(Timeline!BG$30,$J117,$K117,$L117 )*INDEX('I&amp;E Profiles'!BG$96:BG$180,$I117))</f>
        <v>0</v>
      </c>
      <c r="BH117" s="10" cm="1">
        <f t="array" ref="BH117">IF(OR(BH$4=0, $G117&lt;&gt; $G$7, $E117=0), 'I&amp;E Monthly'!BH117, CHOOSE(Timeline!BH$30,$J117,$K117,$L117 )*INDEX('I&amp;E Profiles'!BH$96:BH$180,$I117))</f>
        <v>0</v>
      </c>
      <c r="BI117" s="10" cm="1">
        <f t="array" ref="BI117">IF(OR(BI$4=0, $G117&lt;&gt; $G$7, $E117=0), 'I&amp;E Monthly'!BI117, CHOOSE(Timeline!BI$30,$J117,$K117,$L117 )*INDEX('I&amp;E Profiles'!BI$96:BI$180,$I117))</f>
        <v>0</v>
      </c>
      <c r="BJ117" s="10" cm="1">
        <f t="array" ref="BJ117">IF(OR(BJ$4=0, $G117&lt;&gt; $G$7, $E117=0), 'I&amp;E Monthly'!BJ117, CHOOSE(Timeline!BJ$30,$J117,$K117,$L117 )*INDEX('I&amp;E Profiles'!BJ$96:BJ$180,$I117))</f>
        <v>0</v>
      </c>
      <c r="BX117" s="12">
        <f t="shared" ref="BX117:BX125" si="138">V117</f>
        <v>0</v>
      </c>
      <c r="BY117" s="10">
        <f t="shared" ref="BY117:CA130" si="139">SUMIFS($AA117:$BJ117, $AA$3:$BJ$3,BY$3)</f>
        <v>0</v>
      </c>
      <c r="BZ117" s="10">
        <f t="shared" si="139"/>
        <v>0</v>
      </c>
      <c r="CA117" s="10">
        <f t="shared" si="139"/>
        <v>0</v>
      </c>
      <c r="CB117" s="12">
        <f>'I&amp;E Monthly'!CB117</f>
        <v>0</v>
      </c>
      <c r="CC117" s="12">
        <f>'I&amp;E Monthly'!CC117</f>
        <v>0</v>
      </c>
      <c r="CD117" s="12">
        <f>'I&amp;E Monthly'!CD117</f>
        <v>0</v>
      </c>
      <c r="CE117" s="12">
        <f>'I&amp;E Monthly'!CE117</f>
        <v>0</v>
      </c>
      <c r="CF117" s="12">
        <f>'I&amp;E Monthly'!CF117</f>
        <v>0</v>
      </c>
      <c r="CG117" s="12">
        <f>'I&amp;E Monthly'!CG117</f>
        <v>0</v>
      </c>
      <c r="CH117" s="12">
        <f>'I&amp;E Monthly'!CH117</f>
        <v>0</v>
      </c>
      <c r="CI117" s="12">
        <f>'I&amp;E Monthly'!CI117</f>
        <v>0</v>
      </c>
      <c r="CK117" s="11"/>
      <c r="CL117" s="221">
        <f t="shared" ref="CL117:CL131" ca="1" si="140">IF(MIN($V117:$CI117)&lt;0, 1, 0)*$I$7</f>
        <v>0</v>
      </c>
      <c r="CM117" s="11"/>
      <c r="CN117" s="7">
        <f t="shared" ref="CN117:CN131" si="141">IF(AND($G117=$G$7,$E117=""), 1, 0)</f>
        <v>0</v>
      </c>
      <c r="CO117" s="7" cm="1">
        <f t="array" ref="CO117">SUMPRODUCT(--NOT(ISNUMBER(W117:Y117)),--NOT(ISBLANK(W117:Y117)))</f>
        <v>0</v>
      </c>
      <c r="CP117" s="7" cm="1">
        <f t="array" ref="CP117">IF(E117="",0, IF(IFERROR(INDEX('I&amp;E Profiles'!$D$96:$D$180, $I117), "N/A")="N/A", 1, 0))</f>
        <v>0</v>
      </c>
      <c r="CQ117" s="7">
        <f t="shared" ref="CQ117:CQ132" si="142">IF(SUM($CV117:$CX117)=0, 0, 1)</f>
        <v>0</v>
      </c>
      <c r="CS117" s="7">
        <f t="shared" ref="CS117:CS132" si="143">IF(SUM($CY117:$DA117)=0, 0, 1)</f>
        <v>0</v>
      </c>
      <c r="CT117" s="7">
        <f t="shared" ref="CT117:CT132" si="144">IF(DB117=0, 0, 1)</f>
        <v>0</v>
      </c>
      <c r="CU117" s="11"/>
      <c r="CV117" s="215">
        <f t="shared" ref="CV117:CV132" si="145">IF($G117=$G$7, ROUND(W117-SUMIFS($AA117:$BJ117, $AA$3:$BJ$3, W$3), rounding), 0)</f>
        <v>0</v>
      </c>
      <c r="CW117" s="215">
        <f t="shared" ref="CW117:CW132" si="146">IF($G117=$G$7, ROUND(X117-SUMIFS($AA117:$BJ117, $AA$3:$BJ$3, X$3), rounding), 0)</f>
        <v>0</v>
      </c>
      <c r="CX117" s="215">
        <f t="shared" ref="CX117:CX132" si="147">IF($G117=$G$7, ROUND(Y117-SUMIFS($AA117:$BJ117, $AA$3:$BJ$3, Y$3), rounding), 0)</f>
        <v>0</v>
      </c>
      <c r="CY117" s="215">
        <f t="shared" ref="CY117:CY132" si="148">ROUND($BY117-SUMIFS($AA117:$BJ117, $AA$3:$BJ$3, $BY$3), rounding)</f>
        <v>0</v>
      </c>
      <c r="CZ117" s="215">
        <f t="shared" ref="CZ117:CZ132" si="149">ROUND($BZ117-SUMIFS($AA117:$BJ117, $AA$3:$BJ$3, $BZ$3), rounding)</f>
        <v>0</v>
      </c>
      <c r="DA117" s="215">
        <f t="shared" ref="DA117:DA132" si="150">ROUND($CA117-SUMIFS($AA117:$BJ117, $AA$3:$BJ$3, $CA$3), rounding)</f>
        <v>0</v>
      </c>
      <c r="DB117" s="215">
        <f t="shared" ref="DB117:DB132" si="151">ROUND($V117-$BX117, rounding)</f>
        <v>0</v>
      </c>
      <c r="FN117" s="10" t="str">
        <f t="shared" si="135"/>
        <v>Teaching costs</v>
      </c>
    </row>
    <row r="118" spans="1:170" x14ac:dyDescent="0.35">
      <c r="A118" s="220" cm="1">
        <f t="array" aca="1" ref="A118" ca="1">HYPERLINK(CONCATENATE("#",CELL("address",IF(MAX($CM118:$CU118)=0,A118,INDEX($CM118:$CU118,MATCH(1,$CM118:$CU118,0))))),MAX($CM118:$CU118))</f>
        <v>0</v>
      </c>
      <c r="B118" s="85" t="s">
        <v>122</v>
      </c>
      <c r="C118" s="213" t="s">
        <v>560</v>
      </c>
      <c r="D118" s="1" t="s">
        <v>415</v>
      </c>
      <c r="E118" s="114"/>
      <c r="F118" s="79" t="str" cm="1">
        <f t="array" aca="1" ref="F118" ca="1">IF(E118="", "", HYPERLINK(CONCATENATE("#",CELL("address",INDEX('I&amp;E Profiles'!$D$9:$D$93,'I&amp;E Annual'!I118))),E118))</f>
        <v/>
      </c>
      <c r="G118" s="114"/>
      <c r="H118" s="120" t="s">
        <v>403</v>
      </c>
      <c r="I118" s="132" t="str">
        <f>IF(E118="", "", MATCH(E118, 'I&amp;E Profiles'!$D$96:$D$180,0))</f>
        <v/>
      </c>
      <c r="J118" s="133">
        <f>IF($G118=$G$7, W118,'I&amp;E Monthly'!W118)-SUMIFS('I&amp;E Monthly'!$AA118:$BJ118, 'I&amp;E Monthly'!$AA$3:$BJ$3, 'I&amp;E Annual'!W$3, 'I&amp;E Monthly'!$AA$4:$BJ$4, 0)</f>
        <v>0</v>
      </c>
      <c r="K118" s="133">
        <f>IF($G118=$G$7, X118,'I&amp;E Monthly'!X118)-SUMIFS('I&amp;E Monthly'!$AA118:$BJ118, 'I&amp;E Monthly'!$AA$3:$BJ$3, 'I&amp;E Annual'!X$3, 'I&amp;E Monthly'!$AA$4:$BJ$4, 0)</f>
        <v>0</v>
      </c>
      <c r="L118" s="133">
        <f>IF($G118=$G$7, Y118,'I&amp;E Monthly'!Y118)-SUMIFS('I&amp;E Monthly'!$AA118:$BJ118, 'I&amp;E Monthly'!$AA$3:$BJ$3, 'I&amp;E Annual'!Y$3, 'I&amp;E Monthly'!$AA$4:$BJ$4, 0)</f>
        <v>0</v>
      </c>
      <c r="Q118" s="2"/>
      <c r="V118" s="133">
        <f>'I&amp;E Monthly'!V118</f>
        <v>0</v>
      </c>
      <c r="W118" s="114"/>
      <c r="X118" s="131"/>
      <c r="Y118" s="131"/>
      <c r="AA118" s="10" cm="1">
        <f t="array" ref="AA118">IF(OR(AA$4=0, $G118&lt;&gt; $G$7, $E118=0), 'I&amp;E Monthly'!AA118, CHOOSE(Timeline!AA$30,$J118,$K118,$L118 )*INDEX('I&amp;E Profiles'!AA$96:AA$180,$I118))</f>
        <v>0</v>
      </c>
      <c r="AB118" s="10" cm="1">
        <f t="array" ref="AB118">IF(OR(AB$4=0, $G118&lt;&gt; $G$7, $E118=0), 'I&amp;E Monthly'!AB118, CHOOSE(Timeline!AB$30,$J118,$K118,$L118 )*INDEX('I&amp;E Profiles'!AB$96:AB$180,$I118))</f>
        <v>0</v>
      </c>
      <c r="AC118" s="10" cm="1">
        <f t="array" ref="AC118">IF(OR(AC$4=0, $G118&lt;&gt; $G$7, $E118=0), 'I&amp;E Monthly'!AC118, CHOOSE(Timeline!AC$30,$J118,$K118,$L118 )*INDEX('I&amp;E Profiles'!AC$96:AC$180,$I118))</f>
        <v>0</v>
      </c>
      <c r="AD118" s="10" cm="1">
        <f t="array" ref="AD118">IF(OR(AD$4=0, $G118&lt;&gt; $G$7, $E118=0), 'I&amp;E Monthly'!AD118, CHOOSE(Timeline!AD$30,$J118,$K118,$L118 )*INDEX('I&amp;E Profiles'!AD$96:AD$180,$I118))</f>
        <v>0</v>
      </c>
      <c r="AE118" s="10" cm="1">
        <f t="array" ref="AE118">IF(OR(AE$4=0, $G118&lt;&gt; $G$7, $E118=0), 'I&amp;E Monthly'!AE118, CHOOSE(Timeline!AE$30,$J118,$K118,$L118 )*INDEX('I&amp;E Profiles'!AE$96:AE$180,$I118))</f>
        <v>0</v>
      </c>
      <c r="AF118" s="10" cm="1">
        <f t="array" ref="AF118">IF(OR(AF$4=0, $G118&lt;&gt; $G$7, $E118=0), 'I&amp;E Monthly'!AF118, CHOOSE(Timeline!AF$30,$J118,$K118,$L118 )*INDEX('I&amp;E Profiles'!AF$96:AF$180,$I118))</f>
        <v>0</v>
      </c>
      <c r="AG118" s="10" cm="1">
        <f t="array" ref="AG118">IF(OR(AG$4=0, $G118&lt;&gt; $G$7, $E118=0), 'I&amp;E Monthly'!AG118, CHOOSE(Timeline!AG$30,$J118,$K118,$L118 )*INDEX('I&amp;E Profiles'!AG$96:AG$180,$I118))</f>
        <v>0</v>
      </c>
      <c r="AH118" s="10" cm="1">
        <f t="array" ref="AH118">IF(OR(AH$4=0, $G118&lt;&gt; $G$7, $E118=0), 'I&amp;E Monthly'!AH118, CHOOSE(Timeline!AH$30,$J118,$K118,$L118 )*INDEX('I&amp;E Profiles'!AH$96:AH$180,$I118))</f>
        <v>0</v>
      </c>
      <c r="AI118" s="10" cm="1">
        <f t="array" ref="AI118">IF(OR(AI$4=0, $G118&lt;&gt; $G$7, $E118=0), 'I&amp;E Monthly'!AI118, CHOOSE(Timeline!AI$30,$J118,$K118,$L118 )*INDEX('I&amp;E Profiles'!AI$96:AI$180,$I118))</f>
        <v>0</v>
      </c>
      <c r="AJ118" s="10" cm="1">
        <f t="array" ref="AJ118">IF(OR(AJ$4=0, $G118&lt;&gt; $G$7, $E118=0), 'I&amp;E Monthly'!AJ118, CHOOSE(Timeline!AJ$30,$J118,$K118,$L118 )*INDEX('I&amp;E Profiles'!AJ$96:AJ$180,$I118))</f>
        <v>0</v>
      </c>
      <c r="AK118" s="10" cm="1">
        <f t="array" ref="AK118">IF(OR(AK$4=0, $G118&lt;&gt; $G$7, $E118=0), 'I&amp;E Monthly'!AK118, CHOOSE(Timeline!AK$30,$J118,$K118,$L118 )*INDEX('I&amp;E Profiles'!AK$96:AK$180,$I118))</f>
        <v>0</v>
      </c>
      <c r="AL118" s="10" cm="1">
        <f t="array" ref="AL118">IF(OR(AL$4=0, $G118&lt;&gt; $G$7, $E118=0), 'I&amp;E Monthly'!AL118, CHOOSE(Timeline!AL$30,$J118,$K118,$L118 )*INDEX('I&amp;E Profiles'!AL$96:AL$180,$I118))</f>
        <v>0</v>
      </c>
      <c r="AM118" s="10" cm="1">
        <f t="array" ref="AM118">IF(OR(AM$4=0, $G118&lt;&gt; $G$7, $E118=0), 'I&amp;E Monthly'!AM118, CHOOSE(Timeline!AM$30,$J118,$K118,$L118 )*INDEX('I&amp;E Profiles'!AM$96:AM$180,$I118))</f>
        <v>0</v>
      </c>
      <c r="AN118" s="10" cm="1">
        <f t="array" ref="AN118">IF(OR(AN$4=0, $G118&lt;&gt; $G$7, $E118=0), 'I&amp;E Monthly'!AN118, CHOOSE(Timeline!AN$30,$J118,$K118,$L118 )*INDEX('I&amp;E Profiles'!AN$96:AN$180,$I118))</f>
        <v>0</v>
      </c>
      <c r="AO118" s="10" cm="1">
        <f t="array" ref="AO118">IF(OR(AO$4=0, $G118&lt;&gt; $G$7, $E118=0), 'I&amp;E Monthly'!AO118, CHOOSE(Timeline!AO$30,$J118,$K118,$L118 )*INDEX('I&amp;E Profiles'!AO$96:AO$180,$I118))</f>
        <v>0</v>
      </c>
      <c r="AP118" s="10" cm="1">
        <f t="array" ref="AP118">IF(OR(AP$4=0, $G118&lt;&gt; $G$7, $E118=0), 'I&amp;E Monthly'!AP118, CHOOSE(Timeline!AP$30,$J118,$K118,$L118 )*INDEX('I&amp;E Profiles'!AP$96:AP$180,$I118))</f>
        <v>0</v>
      </c>
      <c r="AQ118" s="10" cm="1">
        <f t="array" ref="AQ118">IF(OR(AQ$4=0, $G118&lt;&gt; $G$7, $E118=0), 'I&amp;E Monthly'!AQ118, CHOOSE(Timeline!AQ$30,$J118,$K118,$L118 )*INDEX('I&amp;E Profiles'!AQ$96:AQ$180,$I118))</f>
        <v>0</v>
      </c>
      <c r="AR118" s="10" cm="1">
        <f t="array" ref="AR118">IF(OR(AR$4=0, $G118&lt;&gt; $G$7, $E118=0), 'I&amp;E Monthly'!AR118, CHOOSE(Timeline!AR$30,$J118,$K118,$L118 )*INDEX('I&amp;E Profiles'!AR$96:AR$180,$I118))</f>
        <v>0</v>
      </c>
      <c r="AS118" s="10" cm="1">
        <f t="array" ref="AS118">IF(OR(AS$4=0, $G118&lt;&gt; $G$7, $E118=0), 'I&amp;E Monthly'!AS118, CHOOSE(Timeline!AS$30,$J118,$K118,$L118 )*INDEX('I&amp;E Profiles'!AS$96:AS$180,$I118))</f>
        <v>0</v>
      </c>
      <c r="AT118" s="10" cm="1">
        <f t="array" ref="AT118">IF(OR(AT$4=0, $G118&lt;&gt; $G$7, $E118=0), 'I&amp;E Monthly'!AT118, CHOOSE(Timeline!AT$30,$J118,$K118,$L118 )*INDEX('I&amp;E Profiles'!AT$96:AT$180,$I118))</f>
        <v>0</v>
      </c>
      <c r="AU118" s="10" cm="1">
        <f t="array" ref="AU118">IF(OR(AU$4=0, $G118&lt;&gt; $G$7, $E118=0), 'I&amp;E Monthly'!AU118, CHOOSE(Timeline!AU$30,$J118,$K118,$L118 )*INDEX('I&amp;E Profiles'!AU$96:AU$180,$I118))</f>
        <v>0</v>
      </c>
      <c r="AV118" s="10" cm="1">
        <f t="array" ref="AV118">IF(OR(AV$4=0, $G118&lt;&gt; $G$7, $E118=0), 'I&amp;E Monthly'!AV118, CHOOSE(Timeline!AV$30,$J118,$K118,$L118 )*INDEX('I&amp;E Profiles'!AV$96:AV$180,$I118))</f>
        <v>0</v>
      </c>
      <c r="AW118" s="10" cm="1">
        <f t="array" ref="AW118">IF(OR(AW$4=0, $G118&lt;&gt; $G$7, $E118=0), 'I&amp;E Monthly'!AW118, CHOOSE(Timeline!AW$30,$J118,$K118,$L118 )*INDEX('I&amp;E Profiles'!AW$96:AW$180,$I118))</f>
        <v>0</v>
      </c>
      <c r="AX118" s="10" cm="1">
        <f t="array" ref="AX118">IF(OR(AX$4=0, $G118&lt;&gt; $G$7, $E118=0), 'I&amp;E Monthly'!AX118, CHOOSE(Timeline!AX$30,$J118,$K118,$L118 )*INDEX('I&amp;E Profiles'!AX$96:AX$180,$I118))</f>
        <v>0</v>
      </c>
      <c r="AY118" s="10" cm="1">
        <f t="array" ref="AY118">IF(OR(AY$4=0, $G118&lt;&gt; $G$7, $E118=0), 'I&amp;E Monthly'!AY118, CHOOSE(Timeline!AY$30,$J118,$K118,$L118 )*INDEX('I&amp;E Profiles'!AY$96:AY$180,$I118))</f>
        <v>0</v>
      </c>
      <c r="AZ118" s="10" cm="1">
        <f t="array" ref="AZ118">IF(OR(AZ$4=0, $G118&lt;&gt; $G$7, $E118=0), 'I&amp;E Monthly'!AZ118, CHOOSE(Timeline!AZ$30,$J118,$K118,$L118 )*INDEX('I&amp;E Profiles'!AZ$96:AZ$180,$I118))</f>
        <v>0</v>
      </c>
      <c r="BA118" s="10" cm="1">
        <f t="array" ref="BA118">IF(OR(BA$4=0, $G118&lt;&gt; $G$7, $E118=0), 'I&amp;E Monthly'!BA118, CHOOSE(Timeline!BA$30,$J118,$K118,$L118 )*INDEX('I&amp;E Profiles'!BA$96:BA$180,$I118))</f>
        <v>0</v>
      </c>
      <c r="BB118" s="10" cm="1">
        <f t="array" ref="BB118">IF(OR(BB$4=0, $G118&lt;&gt; $G$7, $E118=0), 'I&amp;E Monthly'!BB118, CHOOSE(Timeline!BB$30,$J118,$K118,$L118 )*INDEX('I&amp;E Profiles'!BB$96:BB$180,$I118))</f>
        <v>0</v>
      </c>
      <c r="BC118" s="10" cm="1">
        <f t="array" ref="BC118">IF(OR(BC$4=0, $G118&lt;&gt; $G$7, $E118=0), 'I&amp;E Monthly'!BC118, CHOOSE(Timeline!BC$30,$J118,$K118,$L118 )*INDEX('I&amp;E Profiles'!BC$96:BC$180,$I118))</f>
        <v>0</v>
      </c>
      <c r="BD118" s="10" cm="1">
        <f t="array" ref="BD118">IF(OR(BD$4=0, $G118&lt;&gt; $G$7, $E118=0), 'I&amp;E Monthly'!BD118, CHOOSE(Timeline!BD$30,$J118,$K118,$L118 )*INDEX('I&amp;E Profiles'!BD$96:BD$180,$I118))</f>
        <v>0</v>
      </c>
      <c r="BE118" s="10" cm="1">
        <f t="array" ref="BE118">IF(OR(BE$4=0, $G118&lt;&gt; $G$7, $E118=0), 'I&amp;E Monthly'!BE118, CHOOSE(Timeline!BE$30,$J118,$K118,$L118 )*INDEX('I&amp;E Profiles'!BE$96:BE$180,$I118))</f>
        <v>0</v>
      </c>
      <c r="BF118" s="10" cm="1">
        <f t="array" ref="BF118">IF(OR(BF$4=0, $G118&lt;&gt; $G$7, $E118=0), 'I&amp;E Monthly'!BF118, CHOOSE(Timeline!BF$30,$J118,$K118,$L118 )*INDEX('I&amp;E Profiles'!BF$96:BF$180,$I118))</f>
        <v>0</v>
      </c>
      <c r="BG118" s="10" cm="1">
        <f t="array" ref="BG118">IF(OR(BG$4=0, $G118&lt;&gt; $G$7, $E118=0), 'I&amp;E Monthly'!BG118, CHOOSE(Timeline!BG$30,$J118,$K118,$L118 )*INDEX('I&amp;E Profiles'!BG$96:BG$180,$I118))</f>
        <v>0</v>
      </c>
      <c r="BH118" s="10" cm="1">
        <f t="array" ref="BH118">IF(OR(BH$4=0, $G118&lt;&gt; $G$7, $E118=0), 'I&amp;E Monthly'!BH118, CHOOSE(Timeline!BH$30,$J118,$K118,$L118 )*INDEX('I&amp;E Profiles'!BH$96:BH$180,$I118))</f>
        <v>0</v>
      </c>
      <c r="BI118" s="10" cm="1">
        <f t="array" ref="BI118">IF(OR(BI$4=0, $G118&lt;&gt; $G$7, $E118=0), 'I&amp;E Monthly'!BI118, CHOOSE(Timeline!BI$30,$J118,$K118,$L118 )*INDEX('I&amp;E Profiles'!BI$96:BI$180,$I118))</f>
        <v>0</v>
      </c>
      <c r="BJ118" s="10" cm="1">
        <f t="array" ref="BJ118">IF(OR(BJ$4=0, $G118&lt;&gt; $G$7, $E118=0), 'I&amp;E Monthly'!BJ118, CHOOSE(Timeline!BJ$30,$J118,$K118,$L118 )*INDEX('I&amp;E Profiles'!BJ$96:BJ$180,$I118))</f>
        <v>0</v>
      </c>
      <c r="BX118" s="12">
        <f t="shared" si="138"/>
        <v>0</v>
      </c>
      <c r="BY118" s="10">
        <f t="shared" si="139"/>
        <v>0</v>
      </c>
      <c r="BZ118" s="10">
        <f t="shared" si="139"/>
        <v>0</v>
      </c>
      <c r="CA118" s="10">
        <f t="shared" si="139"/>
        <v>0</v>
      </c>
      <c r="CB118" s="12">
        <f>'I&amp;E Monthly'!CB118</f>
        <v>0</v>
      </c>
      <c r="CC118" s="12">
        <f>'I&amp;E Monthly'!CC118</f>
        <v>0</v>
      </c>
      <c r="CD118" s="12">
        <f>'I&amp;E Monthly'!CD118</f>
        <v>0</v>
      </c>
      <c r="CE118" s="12">
        <f>'I&amp;E Monthly'!CE118</f>
        <v>0</v>
      </c>
      <c r="CF118" s="12">
        <f>'I&amp;E Monthly'!CF118</f>
        <v>0</v>
      </c>
      <c r="CG118" s="12">
        <f>'I&amp;E Monthly'!CG118</f>
        <v>0</v>
      </c>
      <c r="CH118" s="12">
        <f>'I&amp;E Monthly'!CH118</f>
        <v>0</v>
      </c>
      <c r="CI118" s="12">
        <f>'I&amp;E Monthly'!CI118</f>
        <v>0</v>
      </c>
      <c r="CK118" s="11"/>
      <c r="CL118" s="221">
        <f t="shared" ca="1" si="140"/>
        <v>0</v>
      </c>
      <c r="CM118" s="11"/>
      <c r="CN118" s="7">
        <f t="shared" si="141"/>
        <v>0</v>
      </c>
      <c r="CO118" s="7" cm="1">
        <f t="array" ref="CO118">SUMPRODUCT(--NOT(ISNUMBER(W118:Y118)),--NOT(ISBLANK(W118:Y118)))</f>
        <v>0</v>
      </c>
      <c r="CP118" s="7" cm="1">
        <f t="array" ref="CP118">IF(E118="",0, IF(IFERROR(INDEX('I&amp;E Profiles'!$D$96:$D$180, $I118), "N/A")="N/A", 1, 0))</f>
        <v>0</v>
      </c>
      <c r="CQ118" s="7">
        <f t="shared" si="142"/>
        <v>0</v>
      </c>
      <c r="CS118" s="7">
        <f t="shared" si="143"/>
        <v>0</v>
      </c>
      <c r="CT118" s="7">
        <f t="shared" si="144"/>
        <v>0</v>
      </c>
      <c r="CU118" s="11"/>
      <c r="CV118" s="215">
        <f t="shared" si="145"/>
        <v>0</v>
      </c>
      <c r="CW118" s="215">
        <f t="shared" si="146"/>
        <v>0</v>
      </c>
      <c r="CX118" s="215">
        <f t="shared" si="147"/>
        <v>0</v>
      </c>
      <c r="CY118" s="215">
        <f t="shared" si="148"/>
        <v>0</v>
      </c>
      <c r="CZ118" s="215">
        <f t="shared" si="149"/>
        <v>0</v>
      </c>
      <c r="DA118" s="215">
        <f t="shared" si="150"/>
        <v>0</v>
      </c>
      <c r="DB118" s="215">
        <f t="shared" si="151"/>
        <v>0</v>
      </c>
      <c r="FN118" s="10" t="str">
        <f t="shared" si="135"/>
        <v>Teaching and other support costs</v>
      </c>
    </row>
    <row r="119" spans="1:170" x14ac:dyDescent="0.35">
      <c r="A119" s="220" cm="1">
        <f t="array" aca="1" ref="A119" ca="1">HYPERLINK(CONCATENATE("#",CELL("address",IF(MAX($CM119:$CU119)=0,A119,INDEX($CM119:$CU119,MATCH(1,$CM119:$CU119,0))))),MAX($CM119:$CU119))</f>
        <v>0</v>
      </c>
      <c r="B119" s="85" t="s">
        <v>122</v>
      </c>
      <c r="C119" s="213" t="s">
        <v>561</v>
      </c>
      <c r="D119" s="1" t="s">
        <v>416</v>
      </c>
      <c r="E119" s="114"/>
      <c r="F119" s="79" t="str" cm="1">
        <f t="array" aca="1" ref="F119" ca="1">IF(E119="", "", HYPERLINK(CONCATENATE("#",CELL("address",INDEX('I&amp;E Profiles'!$D$9:$D$93,'I&amp;E Annual'!I119))),E119))</f>
        <v/>
      </c>
      <c r="G119" s="114"/>
      <c r="H119" s="120" t="s">
        <v>403</v>
      </c>
      <c r="I119" s="132" t="str">
        <f>IF(E119="", "", MATCH(E119, 'I&amp;E Profiles'!$D$96:$D$180,0))</f>
        <v/>
      </c>
      <c r="J119" s="133">
        <f>IF($G119=$G$7, W119,'I&amp;E Monthly'!W119)-SUMIFS('I&amp;E Monthly'!$AA119:$BJ119, 'I&amp;E Monthly'!$AA$3:$BJ$3, 'I&amp;E Annual'!W$3, 'I&amp;E Monthly'!$AA$4:$BJ$4, 0)</f>
        <v>0</v>
      </c>
      <c r="K119" s="133">
        <f>IF($G119=$G$7, X119,'I&amp;E Monthly'!X119)-SUMIFS('I&amp;E Monthly'!$AA119:$BJ119, 'I&amp;E Monthly'!$AA$3:$BJ$3, 'I&amp;E Annual'!X$3, 'I&amp;E Monthly'!$AA$4:$BJ$4, 0)</f>
        <v>0</v>
      </c>
      <c r="L119" s="133">
        <f>IF($G119=$G$7, Y119,'I&amp;E Monthly'!Y119)-SUMIFS('I&amp;E Monthly'!$AA119:$BJ119, 'I&amp;E Monthly'!$AA$3:$BJ$3, 'I&amp;E Annual'!Y$3, 'I&amp;E Monthly'!$AA$4:$BJ$4, 0)</f>
        <v>0</v>
      </c>
      <c r="Q119" s="2"/>
      <c r="V119" s="133">
        <f>'I&amp;E Monthly'!V119</f>
        <v>0</v>
      </c>
      <c r="W119" s="114"/>
      <c r="X119" s="131"/>
      <c r="Y119" s="131"/>
      <c r="AA119" s="10" cm="1">
        <f t="array" ref="AA119">IF(OR(AA$4=0, $G119&lt;&gt; $G$7, $E119=0), 'I&amp;E Monthly'!AA119, CHOOSE(Timeline!AA$30,$J119,$K119,$L119 )*INDEX('I&amp;E Profiles'!AA$96:AA$180,$I119))</f>
        <v>0</v>
      </c>
      <c r="AB119" s="10" cm="1">
        <f t="array" ref="AB119">IF(OR(AB$4=0, $G119&lt;&gt; $G$7, $E119=0), 'I&amp;E Monthly'!AB119, CHOOSE(Timeline!AB$30,$J119,$K119,$L119 )*INDEX('I&amp;E Profiles'!AB$96:AB$180,$I119))</f>
        <v>0</v>
      </c>
      <c r="AC119" s="10" cm="1">
        <f t="array" ref="AC119">IF(OR(AC$4=0, $G119&lt;&gt; $G$7, $E119=0), 'I&amp;E Monthly'!AC119, CHOOSE(Timeline!AC$30,$J119,$K119,$L119 )*INDEX('I&amp;E Profiles'!AC$96:AC$180,$I119))</f>
        <v>0</v>
      </c>
      <c r="AD119" s="10" cm="1">
        <f t="array" ref="AD119">IF(OR(AD$4=0, $G119&lt;&gt; $G$7, $E119=0), 'I&amp;E Monthly'!AD119, CHOOSE(Timeline!AD$30,$J119,$K119,$L119 )*INDEX('I&amp;E Profiles'!AD$96:AD$180,$I119))</f>
        <v>0</v>
      </c>
      <c r="AE119" s="10" cm="1">
        <f t="array" ref="AE119">IF(OR(AE$4=0, $G119&lt;&gt; $G$7, $E119=0), 'I&amp;E Monthly'!AE119, CHOOSE(Timeline!AE$30,$J119,$K119,$L119 )*INDEX('I&amp;E Profiles'!AE$96:AE$180,$I119))</f>
        <v>0</v>
      </c>
      <c r="AF119" s="10" cm="1">
        <f t="array" ref="AF119">IF(OR(AF$4=0, $G119&lt;&gt; $G$7, $E119=0), 'I&amp;E Monthly'!AF119, CHOOSE(Timeline!AF$30,$J119,$K119,$L119 )*INDEX('I&amp;E Profiles'!AF$96:AF$180,$I119))</f>
        <v>0</v>
      </c>
      <c r="AG119" s="10" cm="1">
        <f t="array" ref="AG119">IF(OR(AG$4=0, $G119&lt;&gt; $G$7, $E119=0), 'I&amp;E Monthly'!AG119, CHOOSE(Timeline!AG$30,$J119,$K119,$L119 )*INDEX('I&amp;E Profiles'!AG$96:AG$180,$I119))</f>
        <v>0</v>
      </c>
      <c r="AH119" s="10" cm="1">
        <f t="array" ref="AH119">IF(OR(AH$4=0, $G119&lt;&gt; $G$7, $E119=0), 'I&amp;E Monthly'!AH119, CHOOSE(Timeline!AH$30,$J119,$K119,$L119 )*INDEX('I&amp;E Profiles'!AH$96:AH$180,$I119))</f>
        <v>0</v>
      </c>
      <c r="AI119" s="10" cm="1">
        <f t="array" ref="AI119">IF(OR(AI$4=0, $G119&lt;&gt; $G$7, $E119=0), 'I&amp;E Monthly'!AI119, CHOOSE(Timeline!AI$30,$J119,$K119,$L119 )*INDEX('I&amp;E Profiles'!AI$96:AI$180,$I119))</f>
        <v>0</v>
      </c>
      <c r="AJ119" s="10" cm="1">
        <f t="array" ref="AJ119">IF(OR(AJ$4=0, $G119&lt;&gt; $G$7, $E119=0), 'I&amp;E Monthly'!AJ119, CHOOSE(Timeline!AJ$30,$J119,$K119,$L119 )*INDEX('I&amp;E Profiles'!AJ$96:AJ$180,$I119))</f>
        <v>0</v>
      </c>
      <c r="AK119" s="10" cm="1">
        <f t="array" ref="AK119">IF(OR(AK$4=0, $G119&lt;&gt; $G$7, $E119=0), 'I&amp;E Monthly'!AK119, CHOOSE(Timeline!AK$30,$J119,$K119,$L119 )*INDEX('I&amp;E Profiles'!AK$96:AK$180,$I119))</f>
        <v>0</v>
      </c>
      <c r="AL119" s="10" cm="1">
        <f t="array" ref="AL119">IF(OR(AL$4=0, $G119&lt;&gt; $G$7, $E119=0), 'I&amp;E Monthly'!AL119, CHOOSE(Timeline!AL$30,$J119,$K119,$L119 )*INDEX('I&amp;E Profiles'!AL$96:AL$180,$I119))</f>
        <v>0</v>
      </c>
      <c r="AM119" s="10" cm="1">
        <f t="array" ref="AM119">IF(OR(AM$4=0, $G119&lt;&gt; $G$7, $E119=0), 'I&amp;E Monthly'!AM119, CHOOSE(Timeline!AM$30,$J119,$K119,$L119 )*INDEX('I&amp;E Profiles'!AM$96:AM$180,$I119))</f>
        <v>0</v>
      </c>
      <c r="AN119" s="10" cm="1">
        <f t="array" ref="AN119">IF(OR(AN$4=0, $G119&lt;&gt; $G$7, $E119=0), 'I&amp;E Monthly'!AN119, CHOOSE(Timeline!AN$30,$J119,$K119,$L119 )*INDEX('I&amp;E Profiles'!AN$96:AN$180,$I119))</f>
        <v>0</v>
      </c>
      <c r="AO119" s="10" cm="1">
        <f t="array" ref="AO119">IF(OR(AO$4=0, $G119&lt;&gt; $G$7, $E119=0), 'I&amp;E Monthly'!AO119, CHOOSE(Timeline!AO$30,$J119,$K119,$L119 )*INDEX('I&amp;E Profiles'!AO$96:AO$180,$I119))</f>
        <v>0</v>
      </c>
      <c r="AP119" s="10" cm="1">
        <f t="array" ref="AP119">IF(OR(AP$4=0, $G119&lt;&gt; $G$7, $E119=0), 'I&amp;E Monthly'!AP119, CHOOSE(Timeline!AP$30,$J119,$K119,$L119 )*INDEX('I&amp;E Profiles'!AP$96:AP$180,$I119))</f>
        <v>0</v>
      </c>
      <c r="AQ119" s="10" cm="1">
        <f t="array" ref="AQ119">IF(OR(AQ$4=0, $G119&lt;&gt; $G$7, $E119=0), 'I&amp;E Monthly'!AQ119, CHOOSE(Timeline!AQ$30,$J119,$K119,$L119 )*INDEX('I&amp;E Profiles'!AQ$96:AQ$180,$I119))</f>
        <v>0</v>
      </c>
      <c r="AR119" s="10" cm="1">
        <f t="array" ref="AR119">IF(OR(AR$4=0, $G119&lt;&gt; $G$7, $E119=0), 'I&amp;E Monthly'!AR119, CHOOSE(Timeline!AR$30,$J119,$K119,$L119 )*INDEX('I&amp;E Profiles'!AR$96:AR$180,$I119))</f>
        <v>0</v>
      </c>
      <c r="AS119" s="10" cm="1">
        <f t="array" ref="AS119">IF(OR(AS$4=0, $G119&lt;&gt; $G$7, $E119=0), 'I&amp;E Monthly'!AS119, CHOOSE(Timeline!AS$30,$J119,$K119,$L119 )*INDEX('I&amp;E Profiles'!AS$96:AS$180,$I119))</f>
        <v>0</v>
      </c>
      <c r="AT119" s="10" cm="1">
        <f t="array" ref="AT119">IF(OR(AT$4=0, $G119&lt;&gt; $G$7, $E119=0), 'I&amp;E Monthly'!AT119, CHOOSE(Timeline!AT$30,$J119,$K119,$L119 )*INDEX('I&amp;E Profiles'!AT$96:AT$180,$I119))</f>
        <v>0</v>
      </c>
      <c r="AU119" s="10" cm="1">
        <f t="array" ref="AU119">IF(OR(AU$4=0, $G119&lt;&gt; $G$7, $E119=0), 'I&amp;E Monthly'!AU119, CHOOSE(Timeline!AU$30,$J119,$K119,$L119 )*INDEX('I&amp;E Profiles'!AU$96:AU$180,$I119))</f>
        <v>0</v>
      </c>
      <c r="AV119" s="10" cm="1">
        <f t="array" ref="AV119">IF(OR(AV$4=0, $G119&lt;&gt; $G$7, $E119=0), 'I&amp;E Monthly'!AV119, CHOOSE(Timeline!AV$30,$J119,$K119,$L119 )*INDEX('I&amp;E Profiles'!AV$96:AV$180,$I119))</f>
        <v>0</v>
      </c>
      <c r="AW119" s="10" cm="1">
        <f t="array" ref="AW119">IF(OR(AW$4=0, $G119&lt;&gt; $G$7, $E119=0), 'I&amp;E Monthly'!AW119, CHOOSE(Timeline!AW$30,$J119,$K119,$L119 )*INDEX('I&amp;E Profiles'!AW$96:AW$180,$I119))</f>
        <v>0</v>
      </c>
      <c r="AX119" s="10" cm="1">
        <f t="array" ref="AX119">IF(OR(AX$4=0, $G119&lt;&gt; $G$7, $E119=0), 'I&amp;E Monthly'!AX119, CHOOSE(Timeline!AX$30,$J119,$K119,$L119 )*INDEX('I&amp;E Profiles'!AX$96:AX$180,$I119))</f>
        <v>0</v>
      </c>
      <c r="AY119" s="10" cm="1">
        <f t="array" ref="AY119">IF(OR(AY$4=0, $G119&lt;&gt; $G$7, $E119=0), 'I&amp;E Monthly'!AY119, CHOOSE(Timeline!AY$30,$J119,$K119,$L119 )*INDEX('I&amp;E Profiles'!AY$96:AY$180,$I119))</f>
        <v>0</v>
      </c>
      <c r="AZ119" s="10" cm="1">
        <f t="array" ref="AZ119">IF(OR(AZ$4=0, $G119&lt;&gt; $G$7, $E119=0), 'I&amp;E Monthly'!AZ119, CHOOSE(Timeline!AZ$30,$J119,$K119,$L119 )*INDEX('I&amp;E Profiles'!AZ$96:AZ$180,$I119))</f>
        <v>0</v>
      </c>
      <c r="BA119" s="10" cm="1">
        <f t="array" ref="BA119">IF(OR(BA$4=0, $G119&lt;&gt; $G$7, $E119=0), 'I&amp;E Monthly'!BA119, CHOOSE(Timeline!BA$30,$J119,$K119,$L119 )*INDEX('I&amp;E Profiles'!BA$96:BA$180,$I119))</f>
        <v>0</v>
      </c>
      <c r="BB119" s="10" cm="1">
        <f t="array" ref="BB119">IF(OR(BB$4=0, $G119&lt;&gt; $G$7, $E119=0), 'I&amp;E Monthly'!BB119, CHOOSE(Timeline!BB$30,$J119,$K119,$L119 )*INDEX('I&amp;E Profiles'!BB$96:BB$180,$I119))</f>
        <v>0</v>
      </c>
      <c r="BC119" s="10" cm="1">
        <f t="array" ref="BC119">IF(OR(BC$4=0, $G119&lt;&gt; $G$7, $E119=0), 'I&amp;E Monthly'!BC119, CHOOSE(Timeline!BC$30,$J119,$K119,$L119 )*INDEX('I&amp;E Profiles'!BC$96:BC$180,$I119))</f>
        <v>0</v>
      </c>
      <c r="BD119" s="10" cm="1">
        <f t="array" ref="BD119">IF(OR(BD$4=0, $G119&lt;&gt; $G$7, $E119=0), 'I&amp;E Monthly'!BD119, CHOOSE(Timeline!BD$30,$J119,$K119,$L119 )*INDEX('I&amp;E Profiles'!BD$96:BD$180,$I119))</f>
        <v>0</v>
      </c>
      <c r="BE119" s="10" cm="1">
        <f t="array" ref="BE119">IF(OR(BE$4=0, $G119&lt;&gt; $G$7, $E119=0), 'I&amp;E Monthly'!BE119, CHOOSE(Timeline!BE$30,$J119,$K119,$L119 )*INDEX('I&amp;E Profiles'!BE$96:BE$180,$I119))</f>
        <v>0</v>
      </c>
      <c r="BF119" s="10" cm="1">
        <f t="array" ref="BF119">IF(OR(BF$4=0, $G119&lt;&gt; $G$7, $E119=0), 'I&amp;E Monthly'!BF119, CHOOSE(Timeline!BF$30,$J119,$K119,$L119 )*INDEX('I&amp;E Profiles'!BF$96:BF$180,$I119))</f>
        <v>0</v>
      </c>
      <c r="BG119" s="10" cm="1">
        <f t="array" ref="BG119">IF(OR(BG$4=0, $G119&lt;&gt; $G$7, $E119=0), 'I&amp;E Monthly'!BG119, CHOOSE(Timeline!BG$30,$J119,$K119,$L119 )*INDEX('I&amp;E Profiles'!BG$96:BG$180,$I119))</f>
        <v>0</v>
      </c>
      <c r="BH119" s="10" cm="1">
        <f t="array" ref="BH119">IF(OR(BH$4=0, $G119&lt;&gt; $G$7, $E119=0), 'I&amp;E Monthly'!BH119, CHOOSE(Timeline!BH$30,$J119,$K119,$L119 )*INDEX('I&amp;E Profiles'!BH$96:BH$180,$I119))</f>
        <v>0</v>
      </c>
      <c r="BI119" s="10" cm="1">
        <f t="array" ref="BI119">IF(OR(BI$4=0, $G119&lt;&gt; $G$7, $E119=0), 'I&amp;E Monthly'!BI119, CHOOSE(Timeline!BI$30,$J119,$K119,$L119 )*INDEX('I&amp;E Profiles'!BI$96:BI$180,$I119))</f>
        <v>0</v>
      </c>
      <c r="BJ119" s="10" cm="1">
        <f t="array" ref="BJ119">IF(OR(BJ$4=0, $G119&lt;&gt; $G$7, $E119=0), 'I&amp;E Monthly'!BJ119, CHOOSE(Timeline!BJ$30,$J119,$K119,$L119 )*INDEX('I&amp;E Profiles'!BJ$96:BJ$180,$I119))</f>
        <v>0</v>
      </c>
      <c r="BX119" s="12">
        <f t="shared" si="138"/>
        <v>0</v>
      </c>
      <c r="BY119" s="10">
        <f t="shared" si="139"/>
        <v>0</v>
      </c>
      <c r="BZ119" s="10">
        <f t="shared" si="139"/>
        <v>0</v>
      </c>
      <c r="CA119" s="10">
        <f t="shared" si="139"/>
        <v>0</v>
      </c>
      <c r="CB119" s="12">
        <f>'I&amp;E Monthly'!CB119</f>
        <v>0</v>
      </c>
      <c r="CC119" s="12">
        <f>'I&amp;E Monthly'!CC119</f>
        <v>0</v>
      </c>
      <c r="CD119" s="12">
        <f>'I&amp;E Monthly'!CD119</f>
        <v>0</v>
      </c>
      <c r="CE119" s="12">
        <f>'I&amp;E Monthly'!CE119</f>
        <v>0</v>
      </c>
      <c r="CF119" s="12">
        <f>'I&amp;E Monthly'!CF119</f>
        <v>0</v>
      </c>
      <c r="CG119" s="12">
        <f>'I&amp;E Monthly'!CG119</f>
        <v>0</v>
      </c>
      <c r="CH119" s="12">
        <f>'I&amp;E Monthly'!CH119</f>
        <v>0</v>
      </c>
      <c r="CI119" s="12">
        <f>'I&amp;E Monthly'!CI119</f>
        <v>0</v>
      </c>
      <c r="CK119" s="11"/>
      <c r="CL119" s="221">
        <f t="shared" ca="1" si="140"/>
        <v>0</v>
      </c>
      <c r="CM119" s="11"/>
      <c r="CN119" s="7">
        <f t="shared" si="141"/>
        <v>0</v>
      </c>
      <c r="CO119" s="7" cm="1">
        <f t="array" ref="CO119">SUMPRODUCT(--NOT(ISNUMBER(W119:Y119)),--NOT(ISBLANK(W119:Y119)))</f>
        <v>0</v>
      </c>
      <c r="CP119" s="7" cm="1">
        <f t="array" ref="CP119">IF(E119="",0, IF(IFERROR(INDEX('I&amp;E Profiles'!$D$96:$D$180, $I119), "N/A")="N/A", 1, 0))</f>
        <v>0</v>
      </c>
      <c r="CQ119" s="7">
        <f t="shared" si="142"/>
        <v>0</v>
      </c>
      <c r="CS119" s="7">
        <f t="shared" si="143"/>
        <v>0</v>
      </c>
      <c r="CT119" s="7">
        <f t="shared" si="144"/>
        <v>0</v>
      </c>
      <c r="CU119" s="11"/>
      <c r="CV119" s="215">
        <f t="shared" si="145"/>
        <v>0</v>
      </c>
      <c r="CW119" s="215">
        <f t="shared" si="146"/>
        <v>0</v>
      </c>
      <c r="CX119" s="215">
        <f t="shared" si="147"/>
        <v>0</v>
      </c>
      <c r="CY119" s="215">
        <f t="shared" si="148"/>
        <v>0</v>
      </c>
      <c r="CZ119" s="215">
        <f t="shared" si="149"/>
        <v>0</v>
      </c>
      <c r="DA119" s="215">
        <f t="shared" si="150"/>
        <v>0</v>
      </c>
      <c r="DB119" s="215">
        <f t="shared" si="151"/>
        <v>0</v>
      </c>
      <c r="FN119" s="10" t="str">
        <f t="shared" si="135"/>
        <v>Administration costs</v>
      </c>
    </row>
    <row r="120" spans="1:170" x14ac:dyDescent="0.35">
      <c r="A120" s="220" cm="1">
        <f t="array" aca="1" ref="A120" ca="1">HYPERLINK(CONCATENATE("#",CELL("address",IF(MAX($CM120:$CU120)=0,A120,INDEX($CM120:$CU120,MATCH(1,$CM120:$CU120,0))))),MAX($CM120:$CU120))</f>
        <v>0</v>
      </c>
      <c r="C120" s="213" t="s">
        <v>562</v>
      </c>
      <c r="D120" s="1" t="s">
        <v>417</v>
      </c>
      <c r="E120" s="114"/>
      <c r="F120" s="79" t="str" cm="1">
        <f t="array" aca="1" ref="F120" ca="1">IF(E120="", "", HYPERLINK(CONCATENATE("#",CELL("address",INDEX('I&amp;E Profiles'!$D$9:$D$93,'I&amp;E Annual'!I120))),E120))</f>
        <v/>
      </c>
      <c r="G120" s="114"/>
      <c r="H120" s="120" t="s">
        <v>403</v>
      </c>
      <c r="I120" s="132" t="str">
        <f>IF(E120="", "", MATCH(E120, 'I&amp;E Profiles'!$D$96:$D$180,0))</f>
        <v/>
      </c>
      <c r="J120" s="133">
        <f>IF($G120=$G$7, W120,'I&amp;E Monthly'!W120)-SUMIFS('I&amp;E Monthly'!$AA120:$BJ120, 'I&amp;E Monthly'!$AA$3:$BJ$3, 'I&amp;E Annual'!W$3, 'I&amp;E Monthly'!$AA$4:$BJ$4, 0)</f>
        <v>0</v>
      </c>
      <c r="K120" s="133">
        <f>IF($G120=$G$7, X120,'I&amp;E Monthly'!X120)-SUMIFS('I&amp;E Monthly'!$AA120:$BJ120, 'I&amp;E Monthly'!$AA$3:$BJ$3, 'I&amp;E Annual'!X$3, 'I&amp;E Monthly'!$AA$4:$BJ$4, 0)</f>
        <v>0</v>
      </c>
      <c r="L120" s="133">
        <f>IF($G120=$G$7, Y120,'I&amp;E Monthly'!Y120)-SUMIFS('I&amp;E Monthly'!$AA120:$BJ120, 'I&amp;E Monthly'!$AA$3:$BJ$3, 'I&amp;E Annual'!Y$3, 'I&amp;E Monthly'!$AA$4:$BJ$4, 0)</f>
        <v>0</v>
      </c>
      <c r="Q120" s="2"/>
      <c r="V120" s="133">
        <f>'I&amp;E Monthly'!V120</f>
        <v>0</v>
      </c>
      <c r="W120" s="114"/>
      <c r="X120" s="131"/>
      <c r="Y120" s="131"/>
      <c r="AA120" s="10" cm="1">
        <f t="array" ref="AA120">IF(OR(AA$4=0, $G120&lt;&gt; $G$7, $E120=0), 'I&amp;E Monthly'!AA120, CHOOSE(Timeline!AA$30,$J120,$K120,$L120 )*INDEX('I&amp;E Profiles'!AA$96:AA$180,$I120))</f>
        <v>0</v>
      </c>
      <c r="AB120" s="10" cm="1">
        <f t="array" ref="AB120">IF(OR(AB$4=0, $G120&lt;&gt; $G$7, $E120=0), 'I&amp;E Monthly'!AB120, CHOOSE(Timeline!AB$30,$J120,$K120,$L120 )*INDEX('I&amp;E Profiles'!AB$96:AB$180,$I120))</f>
        <v>0</v>
      </c>
      <c r="AC120" s="10" cm="1">
        <f t="array" ref="AC120">IF(OR(AC$4=0, $G120&lt;&gt; $G$7, $E120=0), 'I&amp;E Monthly'!AC120, CHOOSE(Timeline!AC$30,$J120,$K120,$L120 )*INDEX('I&amp;E Profiles'!AC$96:AC$180,$I120))</f>
        <v>0</v>
      </c>
      <c r="AD120" s="10" cm="1">
        <f t="array" ref="AD120">IF(OR(AD$4=0, $G120&lt;&gt; $G$7, $E120=0), 'I&amp;E Monthly'!AD120, CHOOSE(Timeline!AD$30,$J120,$K120,$L120 )*INDEX('I&amp;E Profiles'!AD$96:AD$180,$I120))</f>
        <v>0</v>
      </c>
      <c r="AE120" s="10" cm="1">
        <f t="array" ref="AE120">IF(OR(AE$4=0, $G120&lt;&gt; $G$7, $E120=0), 'I&amp;E Monthly'!AE120, CHOOSE(Timeline!AE$30,$J120,$K120,$L120 )*INDEX('I&amp;E Profiles'!AE$96:AE$180,$I120))</f>
        <v>0</v>
      </c>
      <c r="AF120" s="10" cm="1">
        <f t="array" ref="AF120">IF(OR(AF$4=0, $G120&lt;&gt; $G$7, $E120=0), 'I&amp;E Monthly'!AF120, CHOOSE(Timeline!AF$30,$J120,$K120,$L120 )*INDEX('I&amp;E Profiles'!AF$96:AF$180,$I120))</f>
        <v>0</v>
      </c>
      <c r="AG120" s="10" cm="1">
        <f t="array" ref="AG120">IF(OR(AG$4=0, $G120&lt;&gt; $G$7, $E120=0), 'I&amp;E Monthly'!AG120, CHOOSE(Timeline!AG$30,$J120,$K120,$L120 )*INDEX('I&amp;E Profiles'!AG$96:AG$180,$I120))</f>
        <v>0</v>
      </c>
      <c r="AH120" s="10" cm="1">
        <f t="array" ref="AH120">IF(OR(AH$4=0, $G120&lt;&gt; $G$7, $E120=0), 'I&amp;E Monthly'!AH120, CHOOSE(Timeline!AH$30,$J120,$K120,$L120 )*INDEX('I&amp;E Profiles'!AH$96:AH$180,$I120))</f>
        <v>0</v>
      </c>
      <c r="AI120" s="10" cm="1">
        <f t="array" ref="AI120">IF(OR(AI$4=0, $G120&lt;&gt; $G$7, $E120=0), 'I&amp;E Monthly'!AI120, CHOOSE(Timeline!AI$30,$J120,$K120,$L120 )*INDEX('I&amp;E Profiles'!AI$96:AI$180,$I120))</f>
        <v>0</v>
      </c>
      <c r="AJ120" s="10" cm="1">
        <f t="array" ref="AJ120">IF(OR(AJ$4=0, $G120&lt;&gt; $G$7, $E120=0), 'I&amp;E Monthly'!AJ120, CHOOSE(Timeline!AJ$30,$J120,$K120,$L120 )*INDEX('I&amp;E Profiles'!AJ$96:AJ$180,$I120))</f>
        <v>0</v>
      </c>
      <c r="AK120" s="10" cm="1">
        <f t="array" ref="AK120">IF(OR(AK$4=0, $G120&lt;&gt; $G$7, $E120=0), 'I&amp;E Monthly'!AK120, CHOOSE(Timeline!AK$30,$J120,$K120,$L120 )*INDEX('I&amp;E Profiles'!AK$96:AK$180,$I120))</f>
        <v>0</v>
      </c>
      <c r="AL120" s="10" cm="1">
        <f t="array" ref="AL120">IF(OR(AL$4=0, $G120&lt;&gt; $G$7, $E120=0), 'I&amp;E Monthly'!AL120, CHOOSE(Timeline!AL$30,$J120,$K120,$L120 )*INDEX('I&amp;E Profiles'!AL$96:AL$180,$I120))</f>
        <v>0</v>
      </c>
      <c r="AM120" s="10" cm="1">
        <f t="array" ref="AM120">IF(OR(AM$4=0, $G120&lt;&gt; $G$7, $E120=0), 'I&amp;E Monthly'!AM120, CHOOSE(Timeline!AM$30,$J120,$K120,$L120 )*INDEX('I&amp;E Profiles'!AM$96:AM$180,$I120))</f>
        <v>0</v>
      </c>
      <c r="AN120" s="10" cm="1">
        <f t="array" ref="AN120">IF(OR(AN$4=0, $G120&lt;&gt; $G$7, $E120=0), 'I&amp;E Monthly'!AN120, CHOOSE(Timeline!AN$30,$J120,$K120,$L120 )*INDEX('I&amp;E Profiles'!AN$96:AN$180,$I120))</f>
        <v>0</v>
      </c>
      <c r="AO120" s="10" cm="1">
        <f t="array" ref="AO120">IF(OR(AO$4=0, $G120&lt;&gt; $G$7, $E120=0), 'I&amp;E Monthly'!AO120, CHOOSE(Timeline!AO$30,$J120,$K120,$L120 )*INDEX('I&amp;E Profiles'!AO$96:AO$180,$I120))</f>
        <v>0</v>
      </c>
      <c r="AP120" s="10" cm="1">
        <f t="array" ref="AP120">IF(OR(AP$4=0, $G120&lt;&gt; $G$7, $E120=0), 'I&amp;E Monthly'!AP120, CHOOSE(Timeline!AP$30,$J120,$K120,$L120 )*INDEX('I&amp;E Profiles'!AP$96:AP$180,$I120))</f>
        <v>0</v>
      </c>
      <c r="AQ120" s="10" cm="1">
        <f t="array" ref="AQ120">IF(OR(AQ$4=0, $G120&lt;&gt; $G$7, $E120=0), 'I&amp;E Monthly'!AQ120, CHOOSE(Timeline!AQ$30,$J120,$K120,$L120 )*INDEX('I&amp;E Profiles'!AQ$96:AQ$180,$I120))</f>
        <v>0</v>
      </c>
      <c r="AR120" s="10" cm="1">
        <f t="array" ref="AR120">IF(OR(AR$4=0, $G120&lt;&gt; $G$7, $E120=0), 'I&amp;E Monthly'!AR120, CHOOSE(Timeline!AR$30,$J120,$K120,$L120 )*INDEX('I&amp;E Profiles'!AR$96:AR$180,$I120))</f>
        <v>0</v>
      </c>
      <c r="AS120" s="10" cm="1">
        <f t="array" ref="AS120">IF(OR(AS$4=0, $G120&lt;&gt; $G$7, $E120=0), 'I&amp;E Monthly'!AS120, CHOOSE(Timeline!AS$30,$J120,$K120,$L120 )*INDEX('I&amp;E Profiles'!AS$96:AS$180,$I120))</f>
        <v>0</v>
      </c>
      <c r="AT120" s="10" cm="1">
        <f t="array" ref="AT120">IF(OR(AT$4=0, $G120&lt;&gt; $G$7, $E120=0), 'I&amp;E Monthly'!AT120, CHOOSE(Timeline!AT$30,$J120,$K120,$L120 )*INDEX('I&amp;E Profiles'!AT$96:AT$180,$I120))</f>
        <v>0</v>
      </c>
      <c r="AU120" s="10" cm="1">
        <f t="array" ref="AU120">IF(OR(AU$4=0, $G120&lt;&gt; $G$7, $E120=0), 'I&amp;E Monthly'!AU120, CHOOSE(Timeline!AU$30,$J120,$K120,$L120 )*INDEX('I&amp;E Profiles'!AU$96:AU$180,$I120))</f>
        <v>0</v>
      </c>
      <c r="AV120" s="10" cm="1">
        <f t="array" ref="AV120">IF(OR(AV$4=0, $G120&lt;&gt; $G$7, $E120=0), 'I&amp;E Monthly'!AV120, CHOOSE(Timeline!AV$30,$J120,$K120,$L120 )*INDEX('I&amp;E Profiles'!AV$96:AV$180,$I120))</f>
        <v>0</v>
      </c>
      <c r="AW120" s="10" cm="1">
        <f t="array" ref="AW120">IF(OR(AW$4=0, $G120&lt;&gt; $G$7, $E120=0), 'I&amp;E Monthly'!AW120, CHOOSE(Timeline!AW$30,$J120,$K120,$L120 )*INDEX('I&amp;E Profiles'!AW$96:AW$180,$I120))</f>
        <v>0</v>
      </c>
      <c r="AX120" s="10" cm="1">
        <f t="array" ref="AX120">IF(OR(AX$4=0, $G120&lt;&gt; $G$7, $E120=0), 'I&amp;E Monthly'!AX120, CHOOSE(Timeline!AX$30,$J120,$K120,$L120 )*INDEX('I&amp;E Profiles'!AX$96:AX$180,$I120))</f>
        <v>0</v>
      </c>
      <c r="AY120" s="10" cm="1">
        <f t="array" ref="AY120">IF(OR(AY$4=0, $G120&lt;&gt; $G$7, $E120=0), 'I&amp;E Monthly'!AY120, CHOOSE(Timeline!AY$30,$J120,$K120,$L120 )*INDEX('I&amp;E Profiles'!AY$96:AY$180,$I120))</f>
        <v>0</v>
      </c>
      <c r="AZ120" s="10" cm="1">
        <f t="array" ref="AZ120">IF(OR(AZ$4=0, $G120&lt;&gt; $G$7, $E120=0), 'I&amp;E Monthly'!AZ120, CHOOSE(Timeline!AZ$30,$J120,$K120,$L120 )*INDEX('I&amp;E Profiles'!AZ$96:AZ$180,$I120))</f>
        <v>0</v>
      </c>
      <c r="BA120" s="10" cm="1">
        <f t="array" ref="BA120">IF(OR(BA$4=0, $G120&lt;&gt; $G$7, $E120=0), 'I&amp;E Monthly'!BA120, CHOOSE(Timeline!BA$30,$J120,$K120,$L120 )*INDEX('I&amp;E Profiles'!BA$96:BA$180,$I120))</f>
        <v>0</v>
      </c>
      <c r="BB120" s="10" cm="1">
        <f t="array" ref="BB120">IF(OR(BB$4=0, $G120&lt;&gt; $G$7, $E120=0), 'I&amp;E Monthly'!BB120, CHOOSE(Timeline!BB$30,$J120,$K120,$L120 )*INDEX('I&amp;E Profiles'!BB$96:BB$180,$I120))</f>
        <v>0</v>
      </c>
      <c r="BC120" s="10" cm="1">
        <f t="array" ref="BC120">IF(OR(BC$4=0, $G120&lt;&gt; $G$7, $E120=0), 'I&amp;E Monthly'!BC120, CHOOSE(Timeline!BC$30,$J120,$K120,$L120 )*INDEX('I&amp;E Profiles'!BC$96:BC$180,$I120))</f>
        <v>0</v>
      </c>
      <c r="BD120" s="10" cm="1">
        <f t="array" ref="BD120">IF(OR(BD$4=0, $G120&lt;&gt; $G$7, $E120=0), 'I&amp;E Monthly'!BD120, CHOOSE(Timeline!BD$30,$J120,$K120,$L120 )*INDEX('I&amp;E Profiles'!BD$96:BD$180,$I120))</f>
        <v>0</v>
      </c>
      <c r="BE120" s="10" cm="1">
        <f t="array" ref="BE120">IF(OR(BE$4=0, $G120&lt;&gt; $G$7, $E120=0), 'I&amp;E Monthly'!BE120, CHOOSE(Timeline!BE$30,$J120,$K120,$L120 )*INDEX('I&amp;E Profiles'!BE$96:BE$180,$I120))</f>
        <v>0</v>
      </c>
      <c r="BF120" s="10" cm="1">
        <f t="array" ref="BF120">IF(OR(BF$4=0, $G120&lt;&gt; $G$7, $E120=0), 'I&amp;E Monthly'!BF120, CHOOSE(Timeline!BF$30,$J120,$K120,$L120 )*INDEX('I&amp;E Profiles'!BF$96:BF$180,$I120))</f>
        <v>0</v>
      </c>
      <c r="BG120" s="10" cm="1">
        <f t="array" ref="BG120">IF(OR(BG$4=0, $G120&lt;&gt; $G$7, $E120=0), 'I&amp;E Monthly'!BG120, CHOOSE(Timeline!BG$30,$J120,$K120,$L120 )*INDEX('I&amp;E Profiles'!BG$96:BG$180,$I120))</f>
        <v>0</v>
      </c>
      <c r="BH120" s="10" cm="1">
        <f t="array" ref="BH120">IF(OR(BH$4=0, $G120&lt;&gt; $G$7, $E120=0), 'I&amp;E Monthly'!BH120, CHOOSE(Timeline!BH$30,$J120,$K120,$L120 )*INDEX('I&amp;E Profiles'!BH$96:BH$180,$I120))</f>
        <v>0</v>
      </c>
      <c r="BI120" s="10" cm="1">
        <f t="array" ref="BI120">IF(OR(BI$4=0, $G120&lt;&gt; $G$7, $E120=0), 'I&amp;E Monthly'!BI120, CHOOSE(Timeline!BI$30,$J120,$K120,$L120 )*INDEX('I&amp;E Profiles'!BI$96:BI$180,$I120))</f>
        <v>0</v>
      </c>
      <c r="BJ120" s="10" cm="1">
        <f t="array" ref="BJ120">IF(OR(BJ$4=0, $G120&lt;&gt; $G$7, $E120=0), 'I&amp;E Monthly'!BJ120, CHOOSE(Timeline!BJ$30,$J120,$K120,$L120 )*INDEX('I&amp;E Profiles'!BJ$96:BJ$180,$I120))</f>
        <v>0</v>
      </c>
      <c r="BX120" s="12">
        <f t="shared" si="138"/>
        <v>0</v>
      </c>
      <c r="BY120" s="10">
        <f t="shared" si="139"/>
        <v>0</v>
      </c>
      <c r="BZ120" s="10">
        <f t="shared" si="139"/>
        <v>0</v>
      </c>
      <c r="CA120" s="10">
        <f t="shared" si="139"/>
        <v>0</v>
      </c>
      <c r="CB120" s="12">
        <f>'I&amp;E Monthly'!CB120</f>
        <v>0</v>
      </c>
      <c r="CC120" s="12">
        <f>'I&amp;E Monthly'!CC120</f>
        <v>0</v>
      </c>
      <c r="CD120" s="12">
        <f>'I&amp;E Monthly'!CD120</f>
        <v>0</v>
      </c>
      <c r="CE120" s="12">
        <f>'I&amp;E Monthly'!CE120</f>
        <v>0</v>
      </c>
      <c r="CF120" s="12">
        <f>'I&amp;E Monthly'!CF120</f>
        <v>0</v>
      </c>
      <c r="CG120" s="12">
        <f>'I&amp;E Monthly'!CG120</f>
        <v>0</v>
      </c>
      <c r="CH120" s="12">
        <f>'I&amp;E Monthly'!CH120</f>
        <v>0</v>
      </c>
      <c r="CI120" s="12">
        <f>'I&amp;E Monthly'!CI120</f>
        <v>0</v>
      </c>
      <c r="CK120" s="11"/>
      <c r="CL120" s="221">
        <f t="shared" ca="1" si="140"/>
        <v>0</v>
      </c>
      <c r="CM120" s="11"/>
      <c r="CN120" s="7">
        <f t="shared" si="141"/>
        <v>0</v>
      </c>
      <c r="CO120" s="7" cm="1">
        <f t="array" ref="CO120">SUMPRODUCT(--NOT(ISNUMBER(W120:Y120)),--NOT(ISBLANK(W120:Y120)))</f>
        <v>0</v>
      </c>
      <c r="CP120" s="7" cm="1">
        <f t="array" ref="CP120">IF(E120="",0, IF(IFERROR(INDEX('I&amp;E Profiles'!$D$96:$D$180, $I120), "N/A")="N/A", 1, 0))</f>
        <v>0</v>
      </c>
      <c r="CQ120" s="7">
        <f t="shared" si="142"/>
        <v>0</v>
      </c>
      <c r="CS120" s="7">
        <f t="shared" si="143"/>
        <v>0</v>
      </c>
      <c r="CT120" s="7">
        <f t="shared" si="144"/>
        <v>0</v>
      </c>
      <c r="CU120" s="11"/>
      <c r="CV120" s="215">
        <f t="shared" si="145"/>
        <v>0</v>
      </c>
      <c r="CW120" s="215">
        <f t="shared" si="146"/>
        <v>0</v>
      </c>
      <c r="CX120" s="215">
        <f t="shared" si="147"/>
        <v>0</v>
      </c>
      <c r="CY120" s="215">
        <f t="shared" si="148"/>
        <v>0</v>
      </c>
      <c r="CZ120" s="215">
        <f t="shared" si="149"/>
        <v>0</v>
      </c>
      <c r="DA120" s="215">
        <f t="shared" si="150"/>
        <v>0</v>
      </c>
      <c r="DB120" s="215">
        <f t="shared" si="151"/>
        <v>0</v>
      </c>
      <c r="FN120" s="10" t="str">
        <f t="shared" si="135"/>
        <v>Examination costs</v>
      </c>
    </row>
    <row r="121" spans="1:170" x14ac:dyDescent="0.35">
      <c r="A121" s="220" cm="1">
        <f t="array" aca="1" ref="A121" ca="1">HYPERLINK(CONCATENATE("#",CELL("address",IF(MAX($CM121:$CU121)=0,A121,INDEX($CM121:$CU121,MATCH(1,$CM121:$CU121,0))))),MAX($CM121:$CU121))</f>
        <v>0</v>
      </c>
      <c r="C121" s="213" t="s">
        <v>563</v>
      </c>
      <c r="D121" s="1" t="s">
        <v>418</v>
      </c>
      <c r="E121" s="114"/>
      <c r="F121" s="79" t="str" cm="1">
        <f t="array" aca="1" ref="F121" ca="1">IF(E121="", "", HYPERLINK(CONCATENATE("#",CELL("address",INDEX('I&amp;E Profiles'!$D$9:$D$93,'I&amp;E Annual'!I121))),E121))</f>
        <v/>
      </c>
      <c r="G121" s="114"/>
      <c r="H121" s="120" t="s">
        <v>403</v>
      </c>
      <c r="I121" s="132" t="str">
        <f>IF(E121="", "", MATCH(E121, 'I&amp;E Profiles'!$D$96:$D$180,0))</f>
        <v/>
      </c>
      <c r="J121" s="133">
        <f>IF($G121=$G$7, W121,'I&amp;E Monthly'!W121)-SUMIFS('I&amp;E Monthly'!$AA121:$BJ121, 'I&amp;E Monthly'!$AA$3:$BJ$3, 'I&amp;E Annual'!W$3, 'I&amp;E Monthly'!$AA$4:$BJ$4, 0)</f>
        <v>0</v>
      </c>
      <c r="K121" s="133">
        <f>IF($G121=$G$7, X121,'I&amp;E Monthly'!X121)-SUMIFS('I&amp;E Monthly'!$AA121:$BJ121, 'I&amp;E Monthly'!$AA$3:$BJ$3, 'I&amp;E Annual'!X$3, 'I&amp;E Monthly'!$AA$4:$BJ$4, 0)</f>
        <v>0</v>
      </c>
      <c r="L121" s="133">
        <f>IF($G121=$G$7, Y121,'I&amp;E Monthly'!Y121)-SUMIFS('I&amp;E Monthly'!$AA121:$BJ121, 'I&amp;E Monthly'!$AA$3:$BJ$3, 'I&amp;E Annual'!Y$3, 'I&amp;E Monthly'!$AA$4:$BJ$4, 0)</f>
        <v>0</v>
      </c>
      <c r="Q121" s="2"/>
      <c r="V121" s="133">
        <f>'I&amp;E Monthly'!V121</f>
        <v>0</v>
      </c>
      <c r="W121" s="114"/>
      <c r="X121" s="131"/>
      <c r="Y121" s="131"/>
      <c r="AA121" s="10" cm="1">
        <f t="array" ref="AA121">IF(OR(AA$4=0, $G121&lt;&gt; $G$7, $E121=0), 'I&amp;E Monthly'!AA121, CHOOSE(Timeline!AA$30,$J121,$K121,$L121 )*INDEX('I&amp;E Profiles'!AA$96:AA$180,$I121))</f>
        <v>0</v>
      </c>
      <c r="AB121" s="10" cm="1">
        <f t="array" ref="AB121">IF(OR(AB$4=0, $G121&lt;&gt; $G$7, $E121=0), 'I&amp;E Monthly'!AB121, CHOOSE(Timeline!AB$30,$J121,$K121,$L121 )*INDEX('I&amp;E Profiles'!AB$96:AB$180,$I121))</f>
        <v>0</v>
      </c>
      <c r="AC121" s="10" cm="1">
        <f t="array" ref="AC121">IF(OR(AC$4=0, $G121&lt;&gt; $G$7, $E121=0), 'I&amp;E Monthly'!AC121, CHOOSE(Timeline!AC$30,$J121,$K121,$L121 )*INDEX('I&amp;E Profiles'!AC$96:AC$180,$I121))</f>
        <v>0</v>
      </c>
      <c r="AD121" s="10" cm="1">
        <f t="array" ref="AD121">IF(OR(AD$4=0, $G121&lt;&gt; $G$7, $E121=0), 'I&amp;E Monthly'!AD121, CHOOSE(Timeline!AD$30,$J121,$K121,$L121 )*INDEX('I&amp;E Profiles'!AD$96:AD$180,$I121))</f>
        <v>0</v>
      </c>
      <c r="AE121" s="10" cm="1">
        <f t="array" ref="AE121">IF(OR(AE$4=0, $G121&lt;&gt; $G$7, $E121=0), 'I&amp;E Monthly'!AE121, CHOOSE(Timeline!AE$30,$J121,$K121,$L121 )*INDEX('I&amp;E Profiles'!AE$96:AE$180,$I121))</f>
        <v>0</v>
      </c>
      <c r="AF121" s="10" cm="1">
        <f t="array" ref="AF121">IF(OR(AF$4=0, $G121&lt;&gt; $G$7, $E121=0), 'I&amp;E Monthly'!AF121, CHOOSE(Timeline!AF$30,$J121,$K121,$L121 )*INDEX('I&amp;E Profiles'!AF$96:AF$180,$I121))</f>
        <v>0</v>
      </c>
      <c r="AG121" s="10" cm="1">
        <f t="array" ref="AG121">IF(OR(AG$4=0, $G121&lt;&gt; $G$7, $E121=0), 'I&amp;E Monthly'!AG121, CHOOSE(Timeline!AG$30,$J121,$K121,$L121 )*INDEX('I&amp;E Profiles'!AG$96:AG$180,$I121))</f>
        <v>0</v>
      </c>
      <c r="AH121" s="10" cm="1">
        <f t="array" ref="AH121">IF(OR(AH$4=0, $G121&lt;&gt; $G$7, $E121=0), 'I&amp;E Monthly'!AH121, CHOOSE(Timeline!AH$30,$J121,$K121,$L121 )*INDEX('I&amp;E Profiles'!AH$96:AH$180,$I121))</f>
        <v>0</v>
      </c>
      <c r="AI121" s="10" cm="1">
        <f t="array" ref="AI121">IF(OR(AI$4=0, $G121&lt;&gt; $G$7, $E121=0), 'I&amp;E Monthly'!AI121, CHOOSE(Timeline!AI$30,$J121,$K121,$L121 )*INDEX('I&amp;E Profiles'!AI$96:AI$180,$I121))</f>
        <v>0</v>
      </c>
      <c r="AJ121" s="10" cm="1">
        <f t="array" ref="AJ121">IF(OR(AJ$4=0, $G121&lt;&gt; $G$7, $E121=0), 'I&amp;E Monthly'!AJ121, CHOOSE(Timeline!AJ$30,$J121,$K121,$L121 )*INDEX('I&amp;E Profiles'!AJ$96:AJ$180,$I121))</f>
        <v>0</v>
      </c>
      <c r="AK121" s="10" cm="1">
        <f t="array" ref="AK121">IF(OR(AK$4=0, $G121&lt;&gt; $G$7, $E121=0), 'I&amp;E Monthly'!AK121, CHOOSE(Timeline!AK$30,$J121,$K121,$L121 )*INDEX('I&amp;E Profiles'!AK$96:AK$180,$I121))</f>
        <v>0</v>
      </c>
      <c r="AL121" s="10" cm="1">
        <f t="array" ref="AL121">IF(OR(AL$4=0, $G121&lt;&gt; $G$7, $E121=0), 'I&amp;E Monthly'!AL121, CHOOSE(Timeline!AL$30,$J121,$K121,$L121 )*INDEX('I&amp;E Profiles'!AL$96:AL$180,$I121))</f>
        <v>0</v>
      </c>
      <c r="AM121" s="10" cm="1">
        <f t="array" ref="AM121">IF(OR(AM$4=0, $G121&lt;&gt; $G$7, $E121=0), 'I&amp;E Monthly'!AM121, CHOOSE(Timeline!AM$30,$J121,$K121,$L121 )*INDEX('I&amp;E Profiles'!AM$96:AM$180,$I121))</f>
        <v>0</v>
      </c>
      <c r="AN121" s="10" cm="1">
        <f t="array" ref="AN121">IF(OR(AN$4=0, $G121&lt;&gt; $G$7, $E121=0), 'I&amp;E Monthly'!AN121, CHOOSE(Timeline!AN$30,$J121,$K121,$L121 )*INDEX('I&amp;E Profiles'!AN$96:AN$180,$I121))</f>
        <v>0</v>
      </c>
      <c r="AO121" s="10" cm="1">
        <f t="array" ref="AO121">IF(OR(AO$4=0, $G121&lt;&gt; $G$7, $E121=0), 'I&amp;E Monthly'!AO121, CHOOSE(Timeline!AO$30,$J121,$K121,$L121 )*INDEX('I&amp;E Profiles'!AO$96:AO$180,$I121))</f>
        <v>0</v>
      </c>
      <c r="AP121" s="10" cm="1">
        <f t="array" ref="AP121">IF(OR(AP$4=0, $G121&lt;&gt; $G$7, $E121=0), 'I&amp;E Monthly'!AP121, CHOOSE(Timeline!AP$30,$J121,$K121,$L121 )*INDEX('I&amp;E Profiles'!AP$96:AP$180,$I121))</f>
        <v>0</v>
      </c>
      <c r="AQ121" s="10" cm="1">
        <f t="array" ref="AQ121">IF(OR(AQ$4=0, $G121&lt;&gt; $G$7, $E121=0), 'I&amp;E Monthly'!AQ121, CHOOSE(Timeline!AQ$30,$J121,$K121,$L121 )*INDEX('I&amp;E Profiles'!AQ$96:AQ$180,$I121))</f>
        <v>0</v>
      </c>
      <c r="AR121" s="10" cm="1">
        <f t="array" ref="AR121">IF(OR(AR$4=0, $G121&lt;&gt; $G$7, $E121=0), 'I&amp;E Monthly'!AR121, CHOOSE(Timeline!AR$30,$J121,$K121,$L121 )*INDEX('I&amp;E Profiles'!AR$96:AR$180,$I121))</f>
        <v>0</v>
      </c>
      <c r="AS121" s="10" cm="1">
        <f t="array" ref="AS121">IF(OR(AS$4=0, $G121&lt;&gt; $G$7, $E121=0), 'I&amp;E Monthly'!AS121, CHOOSE(Timeline!AS$30,$J121,$K121,$L121 )*INDEX('I&amp;E Profiles'!AS$96:AS$180,$I121))</f>
        <v>0</v>
      </c>
      <c r="AT121" s="10" cm="1">
        <f t="array" ref="AT121">IF(OR(AT$4=0, $G121&lt;&gt; $G$7, $E121=0), 'I&amp;E Monthly'!AT121, CHOOSE(Timeline!AT$30,$J121,$K121,$L121 )*INDEX('I&amp;E Profiles'!AT$96:AT$180,$I121))</f>
        <v>0</v>
      </c>
      <c r="AU121" s="10" cm="1">
        <f t="array" ref="AU121">IF(OR(AU$4=0, $G121&lt;&gt; $G$7, $E121=0), 'I&amp;E Monthly'!AU121, CHOOSE(Timeline!AU$30,$J121,$K121,$L121 )*INDEX('I&amp;E Profiles'!AU$96:AU$180,$I121))</f>
        <v>0</v>
      </c>
      <c r="AV121" s="10" cm="1">
        <f t="array" ref="AV121">IF(OR(AV$4=0, $G121&lt;&gt; $G$7, $E121=0), 'I&amp;E Monthly'!AV121, CHOOSE(Timeline!AV$30,$J121,$K121,$L121 )*INDEX('I&amp;E Profiles'!AV$96:AV$180,$I121))</f>
        <v>0</v>
      </c>
      <c r="AW121" s="10" cm="1">
        <f t="array" ref="AW121">IF(OR(AW$4=0, $G121&lt;&gt; $G$7, $E121=0), 'I&amp;E Monthly'!AW121, CHOOSE(Timeline!AW$30,$J121,$K121,$L121 )*INDEX('I&amp;E Profiles'!AW$96:AW$180,$I121))</f>
        <v>0</v>
      </c>
      <c r="AX121" s="10" cm="1">
        <f t="array" ref="AX121">IF(OR(AX$4=0, $G121&lt;&gt; $G$7, $E121=0), 'I&amp;E Monthly'!AX121, CHOOSE(Timeline!AX$30,$J121,$K121,$L121 )*INDEX('I&amp;E Profiles'!AX$96:AX$180,$I121))</f>
        <v>0</v>
      </c>
      <c r="AY121" s="10" cm="1">
        <f t="array" ref="AY121">IF(OR(AY$4=0, $G121&lt;&gt; $G$7, $E121=0), 'I&amp;E Monthly'!AY121, CHOOSE(Timeline!AY$30,$J121,$K121,$L121 )*INDEX('I&amp;E Profiles'!AY$96:AY$180,$I121))</f>
        <v>0</v>
      </c>
      <c r="AZ121" s="10" cm="1">
        <f t="array" ref="AZ121">IF(OR(AZ$4=0, $G121&lt;&gt; $G$7, $E121=0), 'I&amp;E Monthly'!AZ121, CHOOSE(Timeline!AZ$30,$J121,$K121,$L121 )*INDEX('I&amp;E Profiles'!AZ$96:AZ$180,$I121))</f>
        <v>0</v>
      </c>
      <c r="BA121" s="10" cm="1">
        <f t="array" ref="BA121">IF(OR(BA$4=0, $G121&lt;&gt; $G$7, $E121=0), 'I&amp;E Monthly'!BA121, CHOOSE(Timeline!BA$30,$J121,$K121,$L121 )*INDEX('I&amp;E Profiles'!BA$96:BA$180,$I121))</f>
        <v>0</v>
      </c>
      <c r="BB121" s="10" cm="1">
        <f t="array" ref="BB121">IF(OR(BB$4=0, $G121&lt;&gt; $G$7, $E121=0), 'I&amp;E Monthly'!BB121, CHOOSE(Timeline!BB$30,$J121,$K121,$L121 )*INDEX('I&amp;E Profiles'!BB$96:BB$180,$I121))</f>
        <v>0</v>
      </c>
      <c r="BC121" s="10" cm="1">
        <f t="array" ref="BC121">IF(OR(BC$4=0, $G121&lt;&gt; $G$7, $E121=0), 'I&amp;E Monthly'!BC121, CHOOSE(Timeline!BC$30,$J121,$K121,$L121 )*INDEX('I&amp;E Profiles'!BC$96:BC$180,$I121))</f>
        <v>0</v>
      </c>
      <c r="BD121" s="10" cm="1">
        <f t="array" ref="BD121">IF(OR(BD$4=0, $G121&lt;&gt; $G$7, $E121=0), 'I&amp;E Monthly'!BD121, CHOOSE(Timeline!BD$30,$J121,$K121,$L121 )*INDEX('I&amp;E Profiles'!BD$96:BD$180,$I121))</f>
        <v>0</v>
      </c>
      <c r="BE121" s="10" cm="1">
        <f t="array" ref="BE121">IF(OR(BE$4=0, $G121&lt;&gt; $G$7, $E121=0), 'I&amp;E Monthly'!BE121, CHOOSE(Timeline!BE$30,$J121,$K121,$L121 )*INDEX('I&amp;E Profiles'!BE$96:BE$180,$I121))</f>
        <v>0</v>
      </c>
      <c r="BF121" s="10" cm="1">
        <f t="array" ref="BF121">IF(OR(BF$4=0, $G121&lt;&gt; $G$7, $E121=0), 'I&amp;E Monthly'!BF121, CHOOSE(Timeline!BF$30,$J121,$K121,$L121 )*INDEX('I&amp;E Profiles'!BF$96:BF$180,$I121))</f>
        <v>0</v>
      </c>
      <c r="BG121" s="10" cm="1">
        <f t="array" ref="BG121">IF(OR(BG$4=0, $G121&lt;&gt; $G$7, $E121=0), 'I&amp;E Monthly'!BG121, CHOOSE(Timeline!BG$30,$J121,$K121,$L121 )*INDEX('I&amp;E Profiles'!BG$96:BG$180,$I121))</f>
        <v>0</v>
      </c>
      <c r="BH121" s="10" cm="1">
        <f t="array" ref="BH121">IF(OR(BH$4=0, $G121&lt;&gt; $G$7, $E121=0), 'I&amp;E Monthly'!BH121, CHOOSE(Timeline!BH$30,$J121,$K121,$L121 )*INDEX('I&amp;E Profiles'!BH$96:BH$180,$I121))</f>
        <v>0</v>
      </c>
      <c r="BI121" s="10" cm="1">
        <f t="array" ref="BI121">IF(OR(BI$4=0, $G121&lt;&gt; $G$7, $E121=0), 'I&amp;E Monthly'!BI121, CHOOSE(Timeline!BI$30,$J121,$K121,$L121 )*INDEX('I&amp;E Profiles'!BI$96:BI$180,$I121))</f>
        <v>0</v>
      </c>
      <c r="BJ121" s="10" cm="1">
        <f t="array" ref="BJ121">IF(OR(BJ$4=0, $G121&lt;&gt; $G$7, $E121=0), 'I&amp;E Monthly'!BJ121, CHOOSE(Timeline!BJ$30,$J121,$K121,$L121 )*INDEX('I&amp;E Profiles'!BJ$96:BJ$180,$I121))</f>
        <v>0</v>
      </c>
      <c r="BX121" s="12">
        <f t="shared" si="138"/>
        <v>0</v>
      </c>
      <c r="BY121" s="10">
        <f t="shared" si="139"/>
        <v>0</v>
      </c>
      <c r="BZ121" s="10">
        <f t="shared" si="139"/>
        <v>0</v>
      </c>
      <c r="CA121" s="10">
        <f t="shared" si="139"/>
        <v>0</v>
      </c>
      <c r="CB121" s="12">
        <f>'I&amp;E Monthly'!CB121</f>
        <v>0</v>
      </c>
      <c r="CC121" s="12">
        <f>'I&amp;E Monthly'!CC121</f>
        <v>0</v>
      </c>
      <c r="CD121" s="12">
        <f>'I&amp;E Monthly'!CD121</f>
        <v>0</v>
      </c>
      <c r="CE121" s="12">
        <f>'I&amp;E Monthly'!CE121</f>
        <v>0</v>
      </c>
      <c r="CF121" s="12">
        <f>'I&amp;E Monthly'!CF121</f>
        <v>0</v>
      </c>
      <c r="CG121" s="12">
        <f>'I&amp;E Monthly'!CG121</f>
        <v>0</v>
      </c>
      <c r="CH121" s="12">
        <f>'I&amp;E Monthly'!CH121</f>
        <v>0</v>
      </c>
      <c r="CI121" s="12">
        <f>'I&amp;E Monthly'!CI121</f>
        <v>0</v>
      </c>
      <c r="CK121" s="11"/>
      <c r="CL121" s="221">
        <f t="shared" ca="1" si="140"/>
        <v>0</v>
      </c>
      <c r="CM121" s="11"/>
      <c r="CN121" s="7">
        <f t="shared" si="141"/>
        <v>0</v>
      </c>
      <c r="CO121" s="7" cm="1">
        <f t="array" ref="CO121">SUMPRODUCT(--NOT(ISNUMBER(W121:Y121)),--NOT(ISBLANK(W121:Y121)))</f>
        <v>0</v>
      </c>
      <c r="CP121" s="7" cm="1">
        <f t="array" ref="CP121">IF(E121="",0, IF(IFERROR(INDEX('I&amp;E Profiles'!$D$96:$D$180, $I121), "N/A")="N/A", 1, 0))</f>
        <v>0</v>
      </c>
      <c r="CQ121" s="7">
        <f t="shared" si="142"/>
        <v>0</v>
      </c>
      <c r="CS121" s="7">
        <f t="shared" si="143"/>
        <v>0</v>
      </c>
      <c r="CT121" s="7">
        <f t="shared" si="144"/>
        <v>0</v>
      </c>
      <c r="CU121" s="11"/>
      <c r="CV121" s="215">
        <f t="shared" si="145"/>
        <v>0</v>
      </c>
      <c r="CW121" s="215">
        <f t="shared" si="146"/>
        <v>0</v>
      </c>
      <c r="CX121" s="215">
        <f t="shared" si="147"/>
        <v>0</v>
      </c>
      <c r="CY121" s="215">
        <f t="shared" si="148"/>
        <v>0</v>
      </c>
      <c r="CZ121" s="215">
        <f t="shared" si="149"/>
        <v>0</v>
      </c>
      <c r="DA121" s="215">
        <f t="shared" si="150"/>
        <v>0</v>
      </c>
      <c r="DB121" s="215">
        <f t="shared" si="151"/>
        <v>0</v>
      </c>
      <c r="FN121" s="10" t="str">
        <f t="shared" si="135"/>
        <v>Rent and lease costs</v>
      </c>
    </row>
    <row r="122" spans="1:170" x14ac:dyDescent="0.35">
      <c r="A122" s="220" cm="1">
        <f t="array" aca="1" ref="A122" ca="1">HYPERLINK(CONCATENATE("#",CELL("address",IF(MAX($CM122:$CU122)=0,A122,INDEX($CM122:$CU122,MATCH(1,$CM122:$CU122,0))))),MAX($CM122:$CU122))</f>
        <v>0</v>
      </c>
      <c r="C122" s="213" t="s">
        <v>564</v>
      </c>
      <c r="D122" s="1" t="s">
        <v>419</v>
      </c>
      <c r="E122" s="114"/>
      <c r="F122" s="79" t="str" cm="1">
        <f t="array" aca="1" ref="F122" ca="1">IF(E122="", "", HYPERLINK(CONCATENATE("#",CELL("address",INDEX('I&amp;E Profiles'!$D$9:$D$93,'I&amp;E Annual'!I122))),E122))</f>
        <v/>
      </c>
      <c r="G122" s="114"/>
      <c r="H122" s="120" t="s">
        <v>403</v>
      </c>
      <c r="I122" s="132" t="str">
        <f>IF(E122="", "", MATCH(E122, 'I&amp;E Profiles'!$D$96:$D$180,0))</f>
        <v/>
      </c>
      <c r="J122" s="133">
        <f>IF($G122=$G$7, W122,'I&amp;E Monthly'!W122)-SUMIFS('I&amp;E Monthly'!$AA122:$BJ122, 'I&amp;E Monthly'!$AA$3:$BJ$3, 'I&amp;E Annual'!W$3, 'I&amp;E Monthly'!$AA$4:$BJ$4, 0)</f>
        <v>0</v>
      </c>
      <c r="K122" s="133">
        <f>IF($G122=$G$7, X122,'I&amp;E Monthly'!X122)-SUMIFS('I&amp;E Monthly'!$AA122:$BJ122, 'I&amp;E Monthly'!$AA$3:$BJ$3, 'I&amp;E Annual'!X$3, 'I&amp;E Monthly'!$AA$4:$BJ$4, 0)</f>
        <v>0</v>
      </c>
      <c r="L122" s="133">
        <f>IF($G122=$G$7, Y122,'I&amp;E Monthly'!Y122)-SUMIFS('I&amp;E Monthly'!$AA122:$BJ122, 'I&amp;E Monthly'!$AA$3:$BJ$3, 'I&amp;E Annual'!Y$3, 'I&amp;E Monthly'!$AA$4:$BJ$4, 0)</f>
        <v>0</v>
      </c>
      <c r="Q122" s="2"/>
      <c r="V122" s="133">
        <f>'I&amp;E Monthly'!V122</f>
        <v>0</v>
      </c>
      <c r="W122" s="114"/>
      <c r="X122" s="131"/>
      <c r="Y122" s="131"/>
      <c r="AA122" s="10" cm="1">
        <f t="array" ref="AA122">IF(OR(AA$4=0, $G122&lt;&gt; $G$7, $E122=0), 'I&amp;E Monthly'!AA122, CHOOSE(Timeline!AA$30,$J122,$K122,$L122 )*INDEX('I&amp;E Profiles'!AA$96:AA$180,$I122))</f>
        <v>0</v>
      </c>
      <c r="AB122" s="10" cm="1">
        <f t="array" ref="AB122">IF(OR(AB$4=0, $G122&lt;&gt; $G$7, $E122=0), 'I&amp;E Monthly'!AB122, CHOOSE(Timeline!AB$30,$J122,$K122,$L122 )*INDEX('I&amp;E Profiles'!AB$96:AB$180,$I122))</f>
        <v>0</v>
      </c>
      <c r="AC122" s="10" cm="1">
        <f t="array" ref="AC122">IF(OR(AC$4=0, $G122&lt;&gt; $G$7, $E122=0), 'I&amp;E Monthly'!AC122, CHOOSE(Timeline!AC$30,$J122,$K122,$L122 )*INDEX('I&amp;E Profiles'!AC$96:AC$180,$I122))</f>
        <v>0</v>
      </c>
      <c r="AD122" s="10" cm="1">
        <f t="array" ref="AD122">IF(OR(AD$4=0, $G122&lt;&gt; $G$7, $E122=0), 'I&amp;E Monthly'!AD122, CHOOSE(Timeline!AD$30,$J122,$K122,$L122 )*INDEX('I&amp;E Profiles'!AD$96:AD$180,$I122))</f>
        <v>0</v>
      </c>
      <c r="AE122" s="10" cm="1">
        <f t="array" ref="AE122">IF(OR(AE$4=0, $G122&lt;&gt; $G$7, $E122=0), 'I&amp;E Monthly'!AE122, CHOOSE(Timeline!AE$30,$J122,$K122,$L122 )*INDEX('I&amp;E Profiles'!AE$96:AE$180,$I122))</f>
        <v>0</v>
      </c>
      <c r="AF122" s="10" cm="1">
        <f t="array" ref="AF122">IF(OR(AF$4=0, $G122&lt;&gt; $G$7, $E122=0), 'I&amp;E Monthly'!AF122, CHOOSE(Timeline!AF$30,$J122,$K122,$L122 )*INDEX('I&amp;E Profiles'!AF$96:AF$180,$I122))</f>
        <v>0</v>
      </c>
      <c r="AG122" s="10" cm="1">
        <f t="array" ref="AG122">IF(OR(AG$4=0, $G122&lt;&gt; $G$7, $E122=0), 'I&amp;E Monthly'!AG122, CHOOSE(Timeline!AG$30,$J122,$K122,$L122 )*INDEX('I&amp;E Profiles'!AG$96:AG$180,$I122))</f>
        <v>0</v>
      </c>
      <c r="AH122" s="10" cm="1">
        <f t="array" ref="AH122">IF(OR(AH$4=0, $G122&lt;&gt; $G$7, $E122=0), 'I&amp;E Monthly'!AH122, CHOOSE(Timeline!AH$30,$J122,$K122,$L122 )*INDEX('I&amp;E Profiles'!AH$96:AH$180,$I122))</f>
        <v>0</v>
      </c>
      <c r="AI122" s="10" cm="1">
        <f t="array" ref="AI122">IF(OR(AI$4=0, $G122&lt;&gt; $G$7, $E122=0), 'I&amp;E Monthly'!AI122, CHOOSE(Timeline!AI$30,$J122,$K122,$L122 )*INDEX('I&amp;E Profiles'!AI$96:AI$180,$I122))</f>
        <v>0</v>
      </c>
      <c r="AJ122" s="10" cm="1">
        <f t="array" ref="AJ122">IF(OR(AJ$4=0, $G122&lt;&gt; $G$7, $E122=0), 'I&amp;E Monthly'!AJ122, CHOOSE(Timeline!AJ$30,$J122,$K122,$L122 )*INDEX('I&amp;E Profiles'!AJ$96:AJ$180,$I122))</f>
        <v>0</v>
      </c>
      <c r="AK122" s="10" cm="1">
        <f t="array" ref="AK122">IF(OR(AK$4=0, $G122&lt;&gt; $G$7, $E122=0), 'I&amp;E Monthly'!AK122, CHOOSE(Timeline!AK$30,$J122,$K122,$L122 )*INDEX('I&amp;E Profiles'!AK$96:AK$180,$I122))</f>
        <v>0</v>
      </c>
      <c r="AL122" s="10" cm="1">
        <f t="array" ref="AL122">IF(OR(AL$4=0, $G122&lt;&gt; $G$7, $E122=0), 'I&amp;E Monthly'!AL122, CHOOSE(Timeline!AL$30,$J122,$K122,$L122 )*INDEX('I&amp;E Profiles'!AL$96:AL$180,$I122))</f>
        <v>0</v>
      </c>
      <c r="AM122" s="10" cm="1">
        <f t="array" ref="AM122">IF(OR(AM$4=0, $G122&lt;&gt; $G$7, $E122=0), 'I&amp;E Monthly'!AM122, CHOOSE(Timeline!AM$30,$J122,$K122,$L122 )*INDEX('I&amp;E Profiles'!AM$96:AM$180,$I122))</f>
        <v>0</v>
      </c>
      <c r="AN122" s="10" cm="1">
        <f t="array" ref="AN122">IF(OR(AN$4=0, $G122&lt;&gt; $G$7, $E122=0), 'I&amp;E Monthly'!AN122, CHOOSE(Timeline!AN$30,$J122,$K122,$L122 )*INDEX('I&amp;E Profiles'!AN$96:AN$180,$I122))</f>
        <v>0</v>
      </c>
      <c r="AO122" s="10" cm="1">
        <f t="array" ref="AO122">IF(OR(AO$4=0, $G122&lt;&gt; $G$7, $E122=0), 'I&amp;E Monthly'!AO122, CHOOSE(Timeline!AO$30,$J122,$K122,$L122 )*INDEX('I&amp;E Profiles'!AO$96:AO$180,$I122))</f>
        <v>0</v>
      </c>
      <c r="AP122" s="10" cm="1">
        <f t="array" ref="AP122">IF(OR(AP$4=0, $G122&lt;&gt; $G$7, $E122=0), 'I&amp;E Monthly'!AP122, CHOOSE(Timeline!AP$30,$J122,$K122,$L122 )*INDEX('I&amp;E Profiles'!AP$96:AP$180,$I122))</f>
        <v>0</v>
      </c>
      <c r="AQ122" s="10" cm="1">
        <f t="array" ref="AQ122">IF(OR(AQ$4=0, $G122&lt;&gt; $G$7, $E122=0), 'I&amp;E Monthly'!AQ122, CHOOSE(Timeline!AQ$30,$J122,$K122,$L122 )*INDEX('I&amp;E Profiles'!AQ$96:AQ$180,$I122))</f>
        <v>0</v>
      </c>
      <c r="AR122" s="10" cm="1">
        <f t="array" ref="AR122">IF(OR(AR$4=0, $G122&lt;&gt; $G$7, $E122=0), 'I&amp;E Monthly'!AR122, CHOOSE(Timeline!AR$30,$J122,$K122,$L122 )*INDEX('I&amp;E Profiles'!AR$96:AR$180,$I122))</f>
        <v>0</v>
      </c>
      <c r="AS122" s="10" cm="1">
        <f t="array" ref="AS122">IF(OR(AS$4=0, $G122&lt;&gt; $G$7, $E122=0), 'I&amp;E Monthly'!AS122, CHOOSE(Timeline!AS$30,$J122,$K122,$L122 )*INDEX('I&amp;E Profiles'!AS$96:AS$180,$I122))</f>
        <v>0</v>
      </c>
      <c r="AT122" s="10" cm="1">
        <f t="array" ref="AT122">IF(OR(AT$4=0, $G122&lt;&gt; $G$7, $E122=0), 'I&amp;E Monthly'!AT122, CHOOSE(Timeline!AT$30,$J122,$K122,$L122 )*INDEX('I&amp;E Profiles'!AT$96:AT$180,$I122))</f>
        <v>0</v>
      </c>
      <c r="AU122" s="10" cm="1">
        <f t="array" ref="AU122">IF(OR(AU$4=0, $G122&lt;&gt; $G$7, $E122=0), 'I&amp;E Monthly'!AU122, CHOOSE(Timeline!AU$30,$J122,$K122,$L122 )*INDEX('I&amp;E Profiles'!AU$96:AU$180,$I122))</f>
        <v>0</v>
      </c>
      <c r="AV122" s="10" cm="1">
        <f t="array" ref="AV122">IF(OR(AV$4=0, $G122&lt;&gt; $G$7, $E122=0), 'I&amp;E Monthly'!AV122, CHOOSE(Timeline!AV$30,$J122,$K122,$L122 )*INDEX('I&amp;E Profiles'!AV$96:AV$180,$I122))</f>
        <v>0</v>
      </c>
      <c r="AW122" s="10" cm="1">
        <f t="array" ref="AW122">IF(OR(AW$4=0, $G122&lt;&gt; $G$7, $E122=0), 'I&amp;E Monthly'!AW122, CHOOSE(Timeline!AW$30,$J122,$K122,$L122 )*INDEX('I&amp;E Profiles'!AW$96:AW$180,$I122))</f>
        <v>0</v>
      </c>
      <c r="AX122" s="10" cm="1">
        <f t="array" ref="AX122">IF(OR(AX$4=0, $G122&lt;&gt; $G$7, $E122=0), 'I&amp;E Monthly'!AX122, CHOOSE(Timeline!AX$30,$J122,$K122,$L122 )*INDEX('I&amp;E Profiles'!AX$96:AX$180,$I122))</f>
        <v>0</v>
      </c>
      <c r="AY122" s="10" cm="1">
        <f t="array" ref="AY122">IF(OR(AY$4=0, $G122&lt;&gt; $G$7, $E122=0), 'I&amp;E Monthly'!AY122, CHOOSE(Timeline!AY$30,$J122,$K122,$L122 )*INDEX('I&amp;E Profiles'!AY$96:AY$180,$I122))</f>
        <v>0</v>
      </c>
      <c r="AZ122" s="10" cm="1">
        <f t="array" ref="AZ122">IF(OR(AZ$4=0, $G122&lt;&gt; $G$7, $E122=0), 'I&amp;E Monthly'!AZ122, CHOOSE(Timeline!AZ$30,$J122,$K122,$L122 )*INDEX('I&amp;E Profiles'!AZ$96:AZ$180,$I122))</f>
        <v>0</v>
      </c>
      <c r="BA122" s="10" cm="1">
        <f t="array" ref="BA122">IF(OR(BA$4=0, $G122&lt;&gt; $G$7, $E122=0), 'I&amp;E Monthly'!BA122, CHOOSE(Timeline!BA$30,$J122,$K122,$L122 )*INDEX('I&amp;E Profiles'!BA$96:BA$180,$I122))</f>
        <v>0</v>
      </c>
      <c r="BB122" s="10" cm="1">
        <f t="array" ref="BB122">IF(OR(BB$4=0, $G122&lt;&gt; $G$7, $E122=0), 'I&amp;E Monthly'!BB122, CHOOSE(Timeline!BB$30,$J122,$K122,$L122 )*INDEX('I&amp;E Profiles'!BB$96:BB$180,$I122))</f>
        <v>0</v>
      </c>
      <c r="BC122" s="10" cm="1">
        <f t="array" ref="BC122">IF(OR(BC$4=0, $G122&lt;&gt; $G$7, $E122=0), 'I&amp;E Monthly'!BC122, CHOOSE(Timeline!BC$30,$J122,$K122,$L122 )*INDEX('I&amp;E Profiles'!BC$96:BC$180,$I122))</f>
        <v>0</v>
      </c>
      <c r="BD122" s="10" cm="1">
        <f t="array" ref="BD122">IF(OR(BD$4=0, $G122&lt;&gt; $G$7, $E122=0), 'I&amp;E Monthly'!BD122, CHOOSE(Timeline!BD$30,$J122,$K122,$L122 )*INDEX('I&amp;E Profiles'!BD$96:BD$180,$I122))</f>
        <v>0</v>
      </c>
      <c r="BE122" s="10" cm="1">
        <f t="array" ref="BE122">IF(OR(BE$4=0, $G122&lt;&gt; $G$7, $E122=0), 'I&amp;E Monthly'!BE122, CHOOSE(Timeline!BE$30,$J122,$K122,$L122 )*INDEX('I&amp;E Profiles'!BE$96:BE$180,$I122))</f>
        <v>0</v>
      </c>
      <c r="BF122" s="10" cm="1">
        <f t="array" ref="BF122">IF(OR(BF$4=0, $G122&lt;&gt; $G$7, $E122=0), 'I&amp;E Monthly'!BF122, CHOOSE(Timeline!BF$30,$J122,$K122,$L122 )*INDEX('I&amp;E Profiles'!BF$96:BF$180,$I122))</f>
        <v>0</v>
      </c>
      <c r="BG122" s="10" cm="1">
        <f t="array" ref="BG122">IF(OR(BG$4=0, $G122&lt;&gt; $G$7, $E122=0), 'I&amp;E Monthly'!BG122, CHOOSE(Timeline!BG$30,$J122,$K122,$L122 )*INDEX('I&amp;E Profiles'!BG$96:BG$180,$I122))</f>
        <v>0</v>
      </c>
      <c r="BH122" s="10" cm="1">
        <f t="array" ref="BH122">IF(OR(BH$4=0, $G122&lt;&gt; $G$7, $E122=0), 'I&amp;E Monthly'!BH122, CHOOSE(Timeline!BH$30,$J122,$K122,$L122 )*INDEX('I&amp;E Profiles'!BH$96:BH$180,$I122))</f>
        <v>0</v>
      </c>
      <c r="BI122" s="10" cm="1">
        <f t="array" ref="BI122">IF(OR(BI$4=0, $G122&lt;&gt; $G$7, $E122=0), 'I&amp;E Monthly'!BI122, CHOOSE(Timeline!BI$30,$J122,$K122,$L122 )*INDEX('I&amp;E Profiles'!BI$96:BI$180,$I122))</f>
        <v>0</v>
      </c>
      <c r="BJ122" s="10" cm="1">
        <f t="array" ref="BJ122">IF(OR(BJ$4=0, $G122&lt;&gt; $G$7, $E122=0), 'I&amp;E Monthly'!BJ122, CHOOSE(Timeline!BJ$30,$J122,$K122,$L122 )*INDEX('I&amp;E Profiles'!BJ$96:BJ$180,$I122))</f>
        <v>0</v>
      </c>
      <c r="BX122" s="12">
        <f t="shared" si="138"/>
        <v>0</v>
      </c>
      <c r="BY122" s="10">
        <f t="shared" si="139"/>
        <v>0</v>
      </c>
      <c r="BZ122" s="10">
        <f t="shared" si="139"/>
        <v>0</v>
      </c>
      <c r="CA122" s="10">
        <f t="shared" si="139"/>
        <v>0</v>
      </c>
      <c r="CB122" s="12">
        <f>'I&amp;E Monthly'!CB122</f>
        <v>0</v>
      </c>
      <c r="CC122" s="12">
        <f>'I&amp;E Monthly'!CC122</f>
        <v>0</v>
      </c>
      <c r="CD122" s="12">
        <f>'I&amp;E Monthly'!CD122</f>
        <v>0</v>
      </c>
      <c r="CE122" s="12">
        <f>'I&amp;E Monthly'!CE122</f>
        <v>0</v>
      </c>
      <c r="CF122" s="12">
        <f>'I&amp;E Monthly'!CF122</f>
        <v>0</v>
      </c>
      <c r="CG122" s="12">
        <f>'I&amp;E Monthly'!CG122</f>
        <v>0</v>
      </c>
      <c r="CH122" s="12">
        <f>'I&amp;E Monthly'!CH122</f>
        <v>0</v>
      </c>
      <c r="CI122" s="12">
        <f>'I&amp;E Monthly'!CI122</f>
        <v>0</v>
      </c>
      <c r="CK122" s="11"/>
      <c r="CL122" s="221">
        <f t="shared" ca="1" si="140"/>
        <v>0</v>
      </c>
      <c r="CM122" s="11"/>
      <c r="CN122" s="7">
        <f t="shared" si="141"/>
        <v>0</v>
      </c>
      <c r="CO122" s="7" cm="1">
        <f t="array" ref="CO122">SUMPRODUCT(--NOT(ISNUMBER(W122:Y122)),--NOT(ISBLANK(W122:Y122)))</f>
        <v>0</v>
      </c>
      <c r="CP122" s="7" cm="1">
        <f t="array" ref="CP122">IF(E122="",0, IF(IFERROR(INDEX('I&amp;E Profiles'!$D$96:$D$180, $I122), "N/A")="N/A", 1, 0))</f>
        <v>0</v>
      </c>
      <c r="CQ122" s="7">
        <f t="shared" si="142"/>
        <v>0</v>
      </c>
      <c r="CS122" s="7">
        <f t="shared" si="143"/>
        <v>0</v>
      </c>
      <c r="CT122" s="7">
        <f t="shared" si="144"/>
        <v>0</v>
      </c>
      <c r="CU122" s="11"/>
      <c r="CV122" s="215">
        <f>IF($G122=$G$7, ROUND(W122-SUMIFS($AA122:$BJ122, $AA$3:$BJ$3, W$3), rounding), 0)</f>
        <v>0</v>
      </c>
      <c r="CW122" s="215">
        <f t="shared" si="146"/>
        <v>0</v>
      </c>
      <c r="CX122" s="215">
        <f t="shared" si="147"/>
        <v>0</v>
      </c>
      <c r="CY122" s="215">
        <f t="shared" si="148"/>
        <v>0</v>
      </c>
      <c r="CZ122" s="215">
        <f t="shared" si="149"/>
        <v>0</v>
      </c>
      <c r="DA122" s="215">
        <f t="shared" si="150"/>
        <v>0</v>
      </c>
      <c r="DB122" s="215">
        <f t="shared" si="151"/>
        <v>0</v>
      </c>
      <c r="FN122" s="10" t="str">
        <f t="shared" si="135"/>
        <v>Commercial costs</v>
      </c>
    </row>
    <row r="123" spans="1:170" x14ac:dyDescent="0.35">
      <c r="A123" s="220" cm="1">
        <f t="array" aca="1" ref="A123" ca="1">HYPERLINK(CONCATENATE("#",CELL("address",IF(MAX($CM123:$DG123)=0,A123,INDEX($CM123:$DG123,MATCH(1,$CM123:$DG123,0))))),MAX($CM123:$DG123))</f>
        <v>0</v>
      </c>
      <c r="B123" s="85" t="s">
        <v>122</v>
      </c>
      <c r="C123" s="213" t="s">
        <v>565</v>
      </c>
      <c r="D123" s="1" t="s">
        <v>420</v>
      </c>
      <c r="E123" s="114"/>
      <c r="F123" s="79" t="str" cm="1">
        <f t="array" aca="1" ref="F123" ca="1">IF(E123="", "", HYPERLINK(CONCATENATE("#",CELL("address",INDEX('I&amp;E Profiles'!$D$9:$D$93,'I&amp;E Annual'!I123))),E123))</f>
        <v/>
      </c>
      <c r="G123" s="114"/>
      <c r="H123" s="120" t="s">
        <v>403</v>
      </c>
      <c r="I123" s="132" t="str">
        <f>IF(E123="", "", MATCH(E123, 'I&amp;E Profiles'!$D$96:$D$180,0))</f>
        <v/>
      </c>
      <c r="J123" s="133">
        <f>IF($G123=$G$7, W123,'I&amp;E Monthly'!W123)-SUMIFS('I&amp;E Monthly'!$AA123:$BJ123, 'I&amp;E Monthly'!$AA$3:$BJ$3, 'I&amp;E Annual'!W$3, 'I&amp;E Monthly'!$AA$4:$BJ$4, 0)</f>
        <v>0</v>
      </c>
      <c r="K123" s="133">
        <f>IF($G123=$G$7, X123,'I&amp;E Monthly'!X123)-SUMIFS('I&amp;E Monthly'!$AA123:$BJ123, 'I&amp;E Monthly'!$AA$3:$BJ$3, 'I&amp;E Annual'!X$3, 'I&amp;E Monthly'!$AA$4:$BJ$4, 0)</f>
        <v>0</v>
      </c>
      <c r="L123" s="133">
        <f>IF($G123=$G$7, Y123,'I&amp;E Monthly'!Y123)-SUMIFS('I&amp;E Monthly'!$AA123:$BJ123, 'I&amp;E Monthly'!$AA$3:$BJ$3, 'I&amp;E Annual'!Y$3, 'I&amp;E Monthly'!$AA$4:$BJ$4, 0)</f>
        <v>0</v>
      </c>
      <c r="Q123" s="2"/>
      <c r="V123" s="133">
        <f>'I&amp;E Monthly'!V123</f>
        <v>0</v>
      </c>
      <c r="W123" s="114"/>
      <c r="X123" s="131"/>
      <c r="Y123" s="131"/>
      <c r="AA123" s="10" cm="1">
        <f t="array" ref="AA123">IF(OR(AA$4=0, $G123&lt;&gt; $G$7, $E123=0), 'I&amp;E Monthly'!AA123, CHOOSE(Timeline!AA$30,$J123,$K123,$L123 )*INDEX('I&amp;E Profiles'!AA$96:AA$180,$I123))</f>
        <v>0</v>
      </c>
      <c r="AB123" s="10" cm="1">
        <f t="array" ref="AB123">IF(OR(AB$4=0, $G123&lt;&gt; $G$7, $E123=0), 'I&amp;E Monthly'!AB123, CHOOSE(Timeline!AB$30,$J123,$K123,$L123 )*INDEX('I&amp;E Profiles'!AB$96:AB$180,$I123))</f>
        <v>0</v>
      </c>
      <c r="AC123" s="10" cm="1">
        <f t="array" ref="AC123">IF(OR(AC$4=0, $G123&lt;&gt; $G$7, $E123=0), 'I&amp;E Monthly'!AC123, CHOOSE(Timeline!AC$30,$J123,$K123,$L123 )*INDEX('I&amp;E Profiles'!AC$96:AC$180,$I123))</f>
        <v>0</v>
      </c>
      <c r="AD123" s="10" cm="1">
        <f t="array" ref="AD123">IF(OR(AD$4=0, $G123&lt;&gt; $G$7, $E123=0), 'I&amp;E Monthly'!AD123, CHOOSE(Timeline!AD$30,$J123,$K123,$L123 )*INDEX('I&amp;E Profiles'!AD$96:AD$180,$I123))</f>
        <v>0</v>
      </c>
      <c r="AE123" s="10" cm="1">
        <f t="array" ref="AE123">IF(OR(AE$4=0, $G123&lt;&gt; $G$7, $E123=0), 'I&amp;E Monthly'!AE123, CHOOSE(Timeline!AE$30,$J123,$K123,$L123 )*INDEX('I&amp;E Profiles'!AE$96:AE$180,$I123))</f>
        <v>0</v>
      </c>
      <c r="AF123" s="10" cm="1">
        <f t="array" ref="AF123">IF(OR(AF$4=0, $G123&lt;&gt; $G$7, $E123=0), 'I&amp;E Monthly'!AF123, CHOOSE(Timeline!AF$30,$J123,$K123,$L123 )*INDEX('I&amp;E Profiles'!AF$96:AF$180,$I123))</f>
        <v>0</v>
      </c>
      <c r="AG123" s="10" cm="1">
        <f t="array" ref="AG123">IF(OR(AG$4=0, $G123&lt;&gt; $G$7, $E123=0), 'I&amp;E Monthly'!AG123, CHOOSE(Timeline!AG$30,$J123,$K123,$L123 )*INDEX('I&amp;E Profiles'!AG$96:AG$180,$I123))</f>
        <v>0</v>
      </c>
      <c r="AH123" s="10" cm="1">
        <f t="array" ref="AH123">IF(OR(AH$4=0, $G123&lt;&gt; $G$7, $E123=0), 'I&amp;E Monthly'!AH123, CHOOSE(Timeline!AH$30,$J123,$K123,$L123 )*INDEX('I&amp;E Profiles'!AH$96:AH$180,$I123))</f>
        <v>0</v>
      </c>
      <c r="AI123" s="10" cm="1">
        <f t="array" ref="AI123">IF(OR(AI$4=0, $G123&lt;&gt; $G$7, $E123=0), 'I&amp;E Monthly'!AI123, CHOOSE(Timeline!AI$30,$J123,$K123,$L123 )*INDEX('I&amp;E Profiles'!AI$96:AI$180,$I123))</f>
        <v>0</v>
      </c>
      <c r="AJ123" s="10" cm="1">
        <f t="array" ref="AJ123">IF(OR(AJ$4=0, $G123&lt;&gt; $G$7, $E123=0), 'I&amp;E Monthly'!AJ123, CHOOSE(Timeline!AJ$30,$J123,$K123,$L123 )*INDEX('I&amp;E Profiles'!AJ$96:AJ$180,$I123))</f>
        <v>0</v>
      </c>
      <c r="AK123" s="10" cm="1">
        <f t="array" ref="AK123">IF(OR(AK$4=0, $G123&lt;&gt; $G$7, $E123=0), 'I&amp;E Monthly'!AK123, CHOOSE(Timeline!AK$30,$J123,$K123,$L123 )*INDEX('I&amp;E Profiles'!AK$96:AK$180,$I123))</f>
        <v>0</v>
      </c>
      <c r="AL123" s="10" cm="1">
        <f t="array" ref="AL123">IF(OR(AL$4=0, $G123&lt;&gt; $G$7, $E123=0), 'I&amp;E Monthly'!AL123, CHOOSE(Timeline!AL$30,$J123,$K123,$L123 )*INDEX('I&amp;E Profiles'!AL$96:AL$180,$I123))</f>
        <v>0</v>
      </c>
      <c r="AM123" s="10" cm="1">
        <f t="array" ref="AM123">IF(OR(AM$4=0, $G123&lt;&gt; $G$7, $E123=0), 'I&amp;E Monthly'!AM123, CHOOSE(Timeline!AM$30,$J123,$K123,$L123 )*INDEX('I&amp;E Profiles'!AM$96:AM$180,$I123))</f>
        <v>0</v>
      </c>
      <c r="AN123" s="10" cm="1">
        <f t="array" ref="AN123">IF(OR(AN$4=0, $G123&lt;&gt; $G$7, $E123=0), 'I&amp;E Monthly'!AN123, CHOOSE(Timeline!AN$30,$J123,$K123,$L123 )*INDEX('I&amp;E Profiles'!AN$96:AN$180,$I123))</f>
        <v>0</v>
      </c>
      <c r="AO123" s="10" cm="1">
        <f t="array" ref="AO123">IF(OR(AO$4=0, $G123&lt;&gt; $G$7, $E123=0), 'I&amp;E Monthly'!AO123, CHOOSE(Timeline!AO$30,$J123,$K123,$L123 )*INDEX('I&amp;E Profiles'!AO$96:AO$180,$I123))</f>
        <v>0</v>
      </c>
      <c r="AP123" s="10" cm="1">
        <f t="array" ref="AP123">IF(OR(AP$4=0, $G123&lt;&gt; $G$7, $E123=0), 'I&amp;E Monthly'!AP123, CHOOSE(Timeline!AP$30,$J123,$K123,$L123 )*INDEX('I&amp;E Profiles'!AP$96:AP$180,$I123))</f>
        <v>0</v>
      </c>
      <c r="AQ123" s="10" cm="1">
        <f t="array" ref="AQ123">IF(OR(AQ$4=0, $G123&lt;&gt; $G$7, $E123=0), 'I&amp;E Monthly'!AQ123, CHOOSE(Timeline!AQ$30,$J123,$K123,$L123 )*INDEX('I&amp;E Profiles'!AQ$96:AQ$180,$I123))</f>
        <v>0</v>
      </c>
      <c r="AR123" s="10" cm="1">
        <f t="array" ref="AR123">IF(OR(AR$4=0, $G123&lt;&gt; $G$7, $E123=0), 'I&amp;E Monthly'!AR123, CHOOSE(Timeline!AR$30,$J123,$K123,$L123 )*INDEX('I&amp;E Profiles'!AR$96:AR$180,$I123))</f>
        <v>0</v>
      </c>
      <c r="AS123" s="10" cm="1">
        <f t="array" ref="AS123">IF(OR(AS$4=0, $G123&lt;&gt; $G$7, $E123=0), 'I&amp;E Monthly'!AS123, CHOOSE(Timeline!AS$30,$J123,$K123,$L123 )*INDEX('I&amp;E Profiles'!AS$96:AS$180,$I123))</f>
        <v>0</v>
      </c>
      <c r="AT123" s="10" cm="1">
        <f t="array" ref="AT123">IF(OR(AT$4=0, $G123&lt;&gt; $G$7, $E123=0), 'I&amp;E Monthly'!AT123, CHOOSE(Timeline!AT$30,$J123,$K123,$L123 )*INDEX('I&amp;E Profiles'!AT$96:AT$180,$I123))</f>
        <v>0</v>
      </c>
      <c r="AU123" s="10" cm="1">
        <f t="array" ref="AU123">IF(OR(AU$4=0, $G123&lt;&gt; $G$7, $E123=0), 'I&amp;E Monthly'!AU123, CHOOSE(Timeline!AU$30,$J123,$K123,$L123 )*INDEX('I&amp;E Profiles'!AU$96:AU$180,$I123))</f>
        <v>0</v>
      </c>
      <c r="AV123" s="10" cm="1">
        <f t="array" ref="AV123">IF(OR(AV$4=0, $G123&lt;&gt; $G$7, $E123=0), 'I&amp;E Monthly'!AV123, CHOOSE(Timeline!AV$30,$J123,$K123,$L123 )*INDEX('I&amp;E Profiles'!AV$96:AV$180,$I123))</f>
        <v>0</v>
      </c>
      <c r="AW123" s="10" cm="1">
        <f t="array" ref="AW123">IF(OR(AW$4=0, $G123&lt;&gt; $G$7, $E123=0), 'I&amp;E Monthly'!AW123, CHOOSE(Timeline!AW$30,$J123,$K123,$L123 )*INDEX('I&amp;E Profiles'!AW$96:AW$180,$I123))</f>
        <v>0</v>
      </c>
      <c r="AX123" s="10" cm="1">
        <f t="array" ref="AX123">IF(OR(AX$4=0, $G123&lt;&gt; $G$7, $E123=0), 'I&amp;E Monthly'!AX123, CHOOSE(Timeline!AX$30,$J123,$K123,$L123 )*INDEX('I&amp;E Profiles'!AX$96:AX$180,$I123))</f>
        <v>0</v>
      </c>
      <c r="AY123" s="10" cm="1">
        <f t="array" ref="AY123">IF(OR(AY$4=0, $G123&lt;&gt; $G$7, $E123=0), 'I&amp;E Monthly'!AY123, CHOOSE(Timeline!AY$30,$J123,$K123,$L123 )*INDEX('I&amp;E Profiles'!AY$96:AY$180,$I123))</f>
        <v>0</v>
      </c>
      <c r="AZ123" s="10" cm="1">
        <f t="array" ref="AZ123">IF(OR(AZ$4=0, $G123&lt;&gt; $G$7, $E123=0), 'I&amp;E Monthly'!AZ123, CHOOSE(Timeline!AZ$30,$J123,$K123,$L123 )*INDEX('I&amp;E Profiles'!AZ$96:AZ$180,$I123))</f>
        <v>0</v>
      </c>
      <c r="BA123" s="10" cm="1">
        <f t="array" ref="BA123">IF(OR(BA$4=0, $G123&lt;&gt; $G$7, $E123=0), 'I&amp;E Monthly'!BA123, CHOOSE(Timeline!BA$30,$J123,$K123,$L123 )*INDEX('I&amp;E Profiles'!BA$96:BA$180,$I123))</f>
        <v>0</v>
      </c>
      <c r="BB123" s="10" cm="1">
        <f t="array" ref="BB123">IF(OR(BB$4=0, $G123&lt;&gt; $G$7, $E123=0), 'I&amp;E Monthly'!BB123, CHOOSE(Timeline!BB$30,$J123,$K123,$L123 )*INDEX('I&amp;E Profiles'!BB$96:BB$180,$I123))</f>
        <v>0</v>
      </c>
      <c r="BC123" s="10" cm="1">
        <f t="array" ref="BC123">IF(OR(BC$4=0, $G123&lt;&gt; $G$7, $E123=0), 'I&amp;E Monthly'!BC123, CHOOSE(Timeline!BC$30,$J123,$K123,$L123 )*INDEX('I&amp;E Profiles'!BC$96:BC$180,$I123))</f>
        <v>0</v>
      </c>
      <c r="BD123" s="10" cm="1">
        <f t="array" ref="BD123">IF(OR(BD$4=0, $G123&lt;&gt; $G$7, $E123=0), 'I&amp;E Monthly'!BD123, CHOOSE(Timeline!BD$30,$J123,$K123,$L123 )*INDEX('I&amp;E Profiles'!BD$96:BD$180,$I123))</f>
        <v>0</v>
      </c>
      <c r="BE123" s="10" cm="1">
        <f t="array" ref="BE123">IF(OR(BE$4=0, $G123&lt;&gt; $G$7, $E123=0), 'I&amp;E Monthly'!BE123, CHOOSE(Timeline!BE$30,$J123,$K123,$L123 )*INDEX('I&amp;E Profiles'!BE$96:BE$180,$I123))</f>
        <v>0</v>
      </c>
      <c r="BF123" s="10" cm="1">
        <f t="array" ref="BF123">IF(OR(BF$4=0, $G123&lt;&gt; $G$7, $E123=0), 'I&amp;E Monthly'!BF123, CHOOSE(Timeline!BF$30,$J123,$K123,$L123 )*INDEX('I&amp;E Profiles'!BF$96:BF$180,$I123))</f>
        <v>0</v>
      </c>
      <c r="BG123" s="10" cm="1">
        <f t="array" ref="BG123">IF(OR(BG$4=0, $G123&lt;&gt; $G$7, $E123=0), 'I&amp;E Monthly'!BG123, CHOOSE(Timeline!BG$30,$J123,$K123,$L123 )*INDEX('I&amp;E Profiles'!BG$96:BG$180,$I123))</f>
        <v>0</v>
      </c>
      <c r="BH123" s="10" cm="1">
        <f t="array" ref="BH123">IF(OR(BH$4=0, $G123&lt;&gt; $G$7, $E123=0), 'I&amp;E Monthly'!BH123, CHOOSE(Timeline!BH$30,$J123,$K123,$L123 )*INDEX('I&amp;E Profiles'!BH$96:BH$180,$I123))</f>
        <v>0</v>
      </c>
      <c r="BI123" s="10" cm="1">
        <f t="array" ref="BI123">IF(OR(BI$4=0, $G123&lt;&gt; $G$7, $E123=0), 'I&amp;E Monthly'!BI123, CHOOSE(Timeline!BI$30,$J123,$K123,$L123 )*INDEX('I&amp;E Profiles'!BI$96:BI$180,$I123))</f>
        <v>0</v>
      </c>
      <c r="BJ123" s="10" cm="1">
        <f t="array" ref="BJ123">IF(OR(BJ$4=0, $G123&lt;&gt; $G$7, $E123=0), 'I&amp;E Monthly'!BJ123, CHOOSE(Timeline!BJ$30,$J123,$K123,$L123 )*INDEX('I&amp;E Profiles'!BJ$96:BJ$180,$I123))</f>
        <v>0</v>
      </c>
      <c r="BX123" s="12">
        <f t="shared" si="138"/>
        <v>0</v>
      </c>
      <c r="BY123" s="10">
        <f t="shared" si="139"/>
        <v>0</v>
      </c>
      <c r="BZ123" s="10">
        <f t="shared" si="139"/>
        <v>0</v>
      </c>
      <c r="CA123" s="10">
        <f t="shared" si="139"/>
        <v>0</v>
      </c>
      <c r="CB123" s="12">
        <f>'I&amp;E Monthly'!CB123</f>
        <v>0</v>
      </c>
      <c r="CC123" s="12">
        <f>'I&amp;E Monthly'!CC123</f>
        <v>0</v>
      </c>
      <c r="CD123" s="12">
        <f>'I&amp;E Monthly'!CD123</f>
        <v>0</v>
      </c>
      <c r="CE123" s="12">
        <f>'I&amp;E Monthly'!CE123</f>
        <v>0</v>
      </c>
      <c r="CF123" s="12">
        <f>'I&amp;E Monthly'!CF123</f>
        <v>0</v>
      </c>
      <c r="CG123" s="12">
        <f>'I&amp;E Monthly'!CG123</f>
        <v>0</v>
      </c>
      <c r="CH123" s="12">
        <f>'I&amp;E Monthly'!CH123</f>
        <v>0</v>
      </c>
      <c r="CI123" s="12">
        <f>'I&amp;E Monthly'!CI123</f>
        <v>0</v>
      </c>
      <c r="CK123" s="11"/>
      <c r="CL123" s="221">
        <f t="shared" ca="1" si="140"/>
        <v>0</v>
      </c>
      <c r="CM123" s="11"/>
      <c r="CN123" s="7">
        <f t="shared" si="141"/>
        <v>0</v>
      </c>
      <c r="CO123" s="7" cm="1">
        <f t="array" ref="CO123">SUMPRODUCT(--NOT(ISNUMBER(W123:Y123)),--NOT(ISBLANK(W123:Y123)))</f>
        <v>0</v>
      </c>
      <c r="CP123" s="7" cm="1">
        <f t="array" ref="CP123">IF(E123="",0, IF(IFERROR(INDEX('I&amp;E Profiles'!$D$96:$D$180, $I123), "N/A")="N/A", 1, 0))</f>
        <v>0</v>
      </c>
      <c r="CQ123" s="7">
        <f t="shared" si="142"/>
        <v>0</v>
      </c>
      <c r="CS123" s="7">
        <f t="shared" si="143"/>
        <v>0</v>
      </c>
      <c r="CT123" s="7">
        <f t="shared" si="144"/>
        <v>0</v>
      </c>
      <c r="CU123" s="11"/>
      <c r="CV123" s="215">
        <f>IF($G123=$G$7, ROUND(W123-SUMIFS($AA123:$BJ123, $AA$3:$BJ$3, W$3), rounding), 0)</f>
        <v>0</v>
      </c>
      <c r="CW123" s="215">
        <f t="shared" si="146"/>
        <v>0</v>
      </c>
      <c r="CX123" s="215">
        <f t="shared" si="147"/>
        <v>0</v>
      </c>
      <c r="CY123" s="215">
        <f t="shared" si="148"/>
        <v>0</v>
      </c>
      <c r="CZ123" s="215">
        <f t="shared" si="149"/>
        <v>0</v>
      </c>
      <c r="DA123" s="215">
        <f t="shared" si="150"/>
        <v>0</v>
      </c>
      <c r="DB123" s="215">
        <f t="shared" si="151"/>
        <v>0</v>
      </c>
      <c r="DD123" s="85" t="s">
        <v>122</v>
      </c>
      <c r="DE123" s="7">
        <f>IF(AND(BY123&lt;&gt;0,BY14=0,BY24=0,BY30=0,BY39=0,BY47=0,BY54=0,BY61=0),1,0)</f>
        <v>0</v>
      </c>
      <c r="DF123" s="7">
        <f t="shared" ref="DF123:DG123" si="152">IF(AND(BZ123&lt;&gt;0,BZ14=0,BZ24=0,BZ30=0,BZ39=0,BZ47=0,BZ54=0,BZ61=0),1,0)</f>
        <v>0</v>
      </c>
      <c r="DG123" s="7">
        <f t="shared" si="152"/>
        <v>0</v>
      </c>
      <c r="DH123" s="7"/>
      <c r="DI123" s="7"/>
      <c r="DJ123" s="7"/>
      <c r="DK123" s="7"/>
      <c r="DL123" s="7"/>
      <c r="DM123" s="7"/>
      <c r="DN123" s="7"/>
      <c r="DO123" s="7"/>
      <c r="DP123" s="7"/>
      <c r="FN123" s="10" t="str">
        <f t="shared" si="135"/>
        <v>Subcontracting out costs</v>
      </c>
    </row>
    <row r="124" spans="1:170" x14ac:dyDescent="0.35">
      <c r="A124" s="220" cm="1">
        <f t="array" aca="1" ref="A124" ca="1">HYPERLINK(CONCATENATE("#",CELL("address",IF(MAX($CM124:$CU124)=0,A124,INDEX($CM124:$CU124,MATCH(1,$CM124:$CU124,0))))),MAX($CM124:$CU124))</f>
        <v>0</v>
      </c>
      <c r="B124" s="85" t="s">
        <v>122</v>
      </c>
      <c r="C124" s="213" t="s">
        <v>566</v>
      </c>
      <c r="D124" s="1" t="s">
        <v>421</v>
      </c>
      <c r="E124" s="114"/>
      <c r="F124" s="79" t="str" cm="1">
        <f t="array" aca="1" ref="F124" ca="1">IF(E124="", "", HYPERLINK(CONCATENATE("#",CELL("address",INDEX('I&amp;E Profiles'!$D$9:$D$93,'I&amp;E Annual'!I124))),E124))</f>
        <v/>
      </c>
      <c r="G124" s="114"/>
      <c r="H124" s="120" t="s">
        <v>403</v>
      </c>
      <c r="I124" s="132" t="str">
        <f>IF(E124="", "", MATCH(E124, 'I&amp;E Profiles'!$D$96:$D$180,0))</f>
        <v/>
      </c>
      <c r="J124" s="133">
        <f>IF($G124=$G$7, W124,'I&amp;E Monthly'!W124)-SUMIFS('I&amp;E Monthly'!$AA124:$BJ124, 'I&amp;E Monthly'!$AA$3:$BJ$3, 'I&amp;E Annual'!W$3, 'I&amp;E Monthly'!$AA$4:$BJ$4, 0)</f>
        <v>0</v>
      </c>
      <c r="K124" s="133">
        <f>IF($G124=$G$7, X124,'I&amp;E Monthly'!X124)-SUMIFS('I&amp;E Monthly'!$AA124:$BJ124, 'I&amp;E Monthly'!$AA$3:$BJ$3, 'I&amp;E Annual'!X$3, 'I&amp;E Monthly'!$AA$4:$BJ$4, 0)</f>
        <v>0</v>
      </c>
      <c r="L124" s="133">
        <f>IF($G124=$G$7, Y124,'I&amp;E Monthly'!Y124)-SUMIFS('I&amp;E Monthly'!$AA124:$BJ124, 'I&amp;E Monthly'!$AA$3:$BJ$3, 'I&amp;E Annual'!Y$3, 'I&amp;E Monthly'!$AA$4:$BJ$4, 0)</f>
        <v>0</v>
      </c>
      <c r="Q124" s="2"/>
      <c r="V124" s="133">
        <f>'I&amp;E Monthly'!V124</f>
        <v>0</v>
      </c>
      <c r="W124" s="114"/>
      <c r="X124" s="131"/>
      <c r="Y124" s="131"/>
      <c r="AA124" s="10" cm="1">
        <f t="array" ref="AA124">IF(OR(AA$4=0, $G124&lt;&gt; $G$7, $E124=0), 'I&amp;E Monthly'!AA124, CHOOSE(Timeline!AA$30,$J124,$K124,$L124 )*INDEX('I&amp;E Profiles'!AA$96:AA$180,$I124))</f>
        <v>0</v>
      </c>
      <c r="AB124" s="10" cm="1">
        <f t="array" ref="AB124">IF(OR(AB$4=0, $G124&lt;&gt; $G$7, $E124=0), 'I&amp;E Monthly'!AB124, CHOOSE(Timeline!AB$30,$J124,$K124,$L124 )*INDEX('I&amp;E Profiles'!AB$96:AB$180,$I124))</f>
        <v>0</v>
      </c>
      <c r="AC124" s="10" cm="1">
        <f t="array" ref="AC124">IF(OR(AC$4=0, $G124&lt;&gt; $G$7, $E124=0), 'I&amp;E Monthly'!AC124, CHOOSE(Timeline!AC$30,$J124,$K124,$L124 )*INDEX('I&amp;E Profiles'!AC$96:AC$180,$I124))</f>
        <v>0</v>
      </c>
      <c r="AD124" s="10" cm="1">
        <f t="array" ref="AD124">IF(OR(AD$4=0, $G124&lt;&gt; $G$7, $E124=0), 'I&amp;E Monthly'!AD124, CHOOSE(Timeline!AD$30,$J124,$K124,$L124 )*INDEX('I&amp;E Profiles'!AD$96:AD$180,$I124))</f>
        <v>0</v>
      </c>
      <c r="AE124" s="10" cm="1">
        <f t="array" ref="AE124">IF(OR(AE$4=0, $G124&lt;&gt; $G$7, $E124=0), 'I&amp;E Monthly'!AE124, CHOOSE(Timeline!AE$30,$J124,$K124,$L124 )*INDEX('I&amp;E Profiles'!AE$96:AE$180,$I124))</f>
        <v>0</v>
      </c>
      <c r="AF124" s="10" cm="1">
        <f t="array" ref="AF124">IF(OR(AF$4=0, $G124&lt;&gt; $G$7, $E124=0), 'I&amp;E Monthly'!AF124, CHOOSE(Timeline!AF$30,$J124,$K124,$L124 )*INDEX('I&amp;E Profiles'!AF$96:AF$180,$I124))</f>
        <v>0</v>
      </c>
      <c r="AG124" s="10" cm="1">
        <f t="array" ref="AG124">IF(OR(AG$4=0, $G124&lt;&gt; $G$7, $E124=0), 'I&amp;E Monthly'!AG124, CHOOSE(Timeline!AG$30,$J124,$K124,$L124 )*INDEX('I&amp;E Profiles'!AG$96:AG$180,$I124))</f>
        <v>0</v>
      </c>
      <c r="AH124" s="10" cm="1">
        <f t="array" ref="AH124">IF(OR(AH$4=0, $G124&lt;&gt; $G$7, $E124=0), 'I&amp;E Monthly'!AH124, CHOOSE(Timeline!AH$30,$J124,$K124,$L124 )*INDEX('I&amp;E Profiles'!AH$96:AH$180,$I124))</f>
        <v>0</v>
      </c>
      <c r="AI124" s="10" cm="1">
        <f t="array" ref="AI124">IF(OR(AI$4=0, $G124&lt;&gt; $G$7, $E124=0), 'I&amp;E Monthly'!AI124, CHOOSE(Timeline!AI$30,$J124,$K124,$L124 )*INDEX('I&amp;E Profiles'!AI$96:AI$180,$I124))</f>
        <v>0</v>
      </c>
      <c r="AJ124" s="10" cm="1">
        <f t="array" ref="AJ124">IF(OR(AJ$4=0, $G124&lt;&gt; $G$7, $E124=0), 'I&amp;E Monthly'!AJ124, CHOOSE(Timeline!AJ$30,$J124,$K124,$L124 )*INDEX('I&amp;E Profiles'!AJ$96:AJ$180,$I124))</f>
        <v>0</v>
      </c>
      <c r="AK124" s="10" cm="1">
        <f t="array" ref="AK124">IF(OR(AK$4=0, $G124&lt;&gt; $G$7, $E124=0), 'I&amp;E Monthly'!AK124, CHOOSE(Timeline!AK$30,$J124,$K124,$L124 )*INDEX('I&amp;E Profiles'!AK$96:AK$180,$I124))</f>
        <v>0</v>
      </c>
      <c r="AL124" s="10" cm="1">
        <f t="array" ref="AL124">IF(OR(AL$4=0, $G124&lt;&gt; $G$7, $E124=0), 'I&amp;E Monthly'!AL124, CHOOSE(Timeline!AL$30,$J124,$K124,$L124 )*INDEX('I&amp;E Profiles'!AL$96:AL$180,$I124))</f>
        <v>0</v>
      </c>
      <c r="AM124" s="10" cm="1">
        <f t="array" ref="AM124">IF(OR(AM$4=0, $G124&lt;&gt; $G$7, $E124=0), 'I&amp;E Monthly'!AM124, CHOOSE(Timeline!AM$30,$J124,$K124,$L124 )*INDEX('I&amp;E Profiles'!AM$96:AM$180,$I124))</f>
        <v>0</v>
      </c>
      <c r="AN124" s="10" cm="1">
        <f t="array" ref="AN124">IF(OR(AN$4=0, $G124&lt;&gt; $G$7, $E124=0), 'I&amp;E Monthly'!AN124, CHOOSE(Timeline!AN$30,$J124,$K124,$L124 )*INDEX('I&amp;E Profiles'!AN$96:AN$180,$I124))</f>
        <v>0</v>
      </c>
      <c r="AO124" s="10" cm="1">
        <f t="array" ref="AO124">IF(OR(AO$4=0, $G124&lt;&gt; $G$7, $E124=0), 'I&amp;E Monthly'!AO124, CHOOSE(Timeline!AO$30,$J124,$K124,$L124 )*INDEX('I&amp;E Profiles'!AO$96:AO$180,$I124))</f>
        <v>0</v>
      </c>
      <c r="AP124" s="10" cm="1">
        <f t="array" ref="AP124">IF(OR(AP$4=0, $G124&lt;&gt; $G$7, $E124=0), 'I&amp;E Monthly'!AP124, CHOOSE(Timeline!AP$30,$J124,$K124,$L124 )*INDEX('I&amp;E Profiles'!AP$96:AP$180,$I124))</f>
        <v>0</v>
      </c>
      <c r="AQ124" s="10" cm="1">
        <f t="array" ref="AQ124">IF(OR(AQ$4=0, $G124&lt;&gt; $G$7, $E124=0), 'I&amp;E Monthly'!AQ124, CHOOSE(Timeline!AQ$30,$J124,$K124,$L124 )*INDEX('I&amp;E Profiles'!AQ$96:AQ$180,$I124))</f>
        <v>0</v>
      </c>
      <c r="AR124" s="10" cm="1">
        <f t="array" ref="AR124">IF(OR(AR$4=0, $G124&lt;&gt; $G$7, $E124=0), 'I&amp;E Monthly'!AR124, CHOOSE(Timeline!AR$30,$J124,$K124,$L124 )*INDEX('I&amp;E Profiles'!AR$96:AR$180,$I124))</f>
        <v>0</v>
      </c>
      <c r="AS124" s="10" cm="1">
        <f t="array" ref="AS124">IF(OR(AS$4=0, $G124&lt;&gt; $G$7, $E124=0), 'I&amp;E Monthly'!AS124, CHOOSE(Timeline!AS$30,$J124,$K124,$L124 )*INDEX('I&amp;E Profiles'!AS$96:AS$180,$I124))</f>
        <v>0</v>
      </c>
      <c r="AT124" s="10" cm="1">
        <f t="array" ref="AT124">IF(OR(AT$4=0, $G124&lt;&gt; $G$7, $E124=0), 'I&amp;E Monthly'!AT124, CHOOSE(Timeline!AT$30,$J124,$K124,$L124 )*INDEX('I&amp;E Profiles'!AT$96:AT$180,$I124))</f>
        <v>0</v>
      </c>
      <c r="AU124" s="10" cm="1">
        <f t="array" ref="AU124">IF(OR(AU$4=0, $G124&lt;&gt; $G$7, $E124=0), 'I&amp;E Monthly'!AU124, CHOOSE(Timeline!AU$30,$J124,$K124,$L124 )*INDEX('I&amp;E Profiles'!AU$96:AU$180,$I124))</f>
        <v>0</v>
      </c>
      <c r="AV124" s="10" cm="1">
        <f t="array" ref="AV124">IF(OR(AV$4=0, $G124&lt;&gt; $G$7, $E124=0), 'I&amp;E Monthly'!AV124, CHOOSE(Timeline!AV$30,$J124,$K124,$L124 )*INDEX('I&amp;E Profiles'!AV$96:AV$180,$I124))</f>
        <v>0</v>
      </c>
      <c r="AW124" s="10" cm="1">
        <f t="array" ref="AW124">IF(OR(AW$4=0, $G124&lt;&gt; $G$7, $E124=0), 'I&amp;E Monthly'!AW124, CHOOSE(Timeline!AW$30,$J124,$K124,$L124 )*INDEX('I&amp;E Profiles'!AW$96:AW$180,$I124))</f>
        <v>0</v>
      </c>
      <c r="AX124" s="10" cm="1">
        <f t="array" ref="AX124">IF(OR(AX$4=0, $G124&lt;&gt; $G$7, $E124=0), 'I&amp;E Monthly'!AX124, CHOOSE(Timeline!AX$30,$J124,$K124,$L124 )*INDEX('I&amp;E Profiles'!AX$96:AX$180,$I124))</f>
        <v>0</v>
      </c>
      <c r="AY124" s="10" cm="1">
        <f t="array" ref="AY124">IF(OR(AY$4=0, $G124&lt;&gt; $G$7, $E124=0), 'I&amp;E Monthly'!AY124, CHOOSE(Timeline!AY$30,$J124,$K124,$L124 )*INDEX('I&amp;E Profiles'!AY$96:AY$180,$I124))</f>
        <v>0</v>
      </c>
      <c r="AZ124" s="10" cm="1">
        <f t="array" ref="AZ124">IF(OR(AZ$4=0, $G124&lt;&gt; $G$7, $E124=0), 'I&amp;E Monthly'!AZ124, CHOOSE(Timeline!AZ$30,$J124,$K124,$L124 )*INDEX('I&amp;E Profiles'!AZ$96:AZ$180,$I124))</f>
        <v>0</v>
      </c>
      <c r="BA124" s="10" cm="1">
        <f t="array" ref="BA124">IF(OR(BA$4=0, $G124&lt;&gt; $G$7, $E124=0), 'I&amp;E Monthly'!BA124, CHOOSE(Timeline!BA$30,$J124,$K124,$L124 )*INDEX('I&amp;E Profiles'!BA$96:BA$180,$I124))</f>
        <v>0</v>
      </c>
      <c r="BB124" s="10" cm="1">
        <f t="array" ref="BB124">IF(OR(BB$4=0, $G124&lt;&gt; $G$7, $E124=0), 'I&amp;E Monthly'!BB124, CHOOSE(Timeline!BB$30,$J124,$K124,$L124 )*INDEX('I&amp;E Profiles'!BB$96:BB$180,$I124))</f>
        <v>0</v>
      </c>
      <c r="BC124" s="10" cm="1">
        <f t="array" ref="BC124">IF(OR(BC$4=0, $G124&lt;&gt; $G$7, $E124=0), 'I&amp;E Monthly'!BC124, CHOOSE(Timeline!BC$30,$J124,$K124,$L124 )*INDEX('I&amp;E Profiles'!BC$96:BC$180,$I124))</f>
        <v>0</v>
      </c>
      <c r="BD124" s="10" cm="1">
        <f t="array" ref="BD124">IF(OR(BD$4=0, $G124&lt;&gt; $G$7, $E124=0), 'I&amp;E Monthly'!BD124, CHOOSE(Timeline!BD$30,$J124,$K124,$L124 )*INDEX('I&amp;E Profiles'!BD$96:BD$180,$I124))</f>
        <v>0</v>
      </c>
      <c r="BE124" s="10" cm="1">
        <f t="array" ref="BE124">IF(OR(BE$4=0, $G124&lt;&gt; $G$7, $E124=0), 'I&amp;E Monthly'!BE124, CHOOSE(Timeline!BE$30,$J124,$K124,$L124 )*INDEX('I&amp;E Profiles'!BE$96:BE$180,$I124))</f>
        <v>0</v>
      </c>
      <c r="BF124" s="10" cm="1">
        <f t="array" ref="BF124">IF(OR(BF$4=0, $G124&lt;&gt; $G$7, $E124=0), 'I&amp;E Monthly'!BF124, CHOOSE(Timeline!BF$30,$J124,$K124,$L124 )*INDEX('I&amp;E Profiles'!BF$96:BF$180,$I124))</f>
        <v>0</v>
      </c>
      <c r="BG124" s="10" cm="1">
        <f t="array" ref="BG124">IF(OR(BG$4=0, $G124&lt;&gt; $G$7, $E124=0), 'I&amp;E Monthly'!BG124, CHOOSE(Timeline!BG$30,$J124,$K124,$L124 )*INDEX('I&amp;E Profiles'!BG$96:BG$180,$I124))</f>
        <v>0</v>
      </c>
      <c r="BH124" s="10" cm="1">
        <f t="array" ref="BH124">IF(OR(BH$4=0, $G124&lt;&gt; $G$7, $E124=0), 'I&amp;E Monthly'!BH124, CHOOSE(Timeline!BH$30,$J124,$K124,$L124 )*INDEX('I&amp;E Profiles'!BH$96:BH$180,$I124))</f>
        <v>0</v>
      </c>
      <c r="BI124" s="10" cm="1">
        <f t="array" ref="BI124">IF(OR(BI$4=0, $G124&lt;&gt; $G$7, $E124=0), 'I&amp;E Monthly'!BI124, CHOOSE(Timeline!BI$30,$J124,$K124,$L124 )*INDEX('I&amp;E Profiles'!BI$96:BI$180,$I124))</f>
        <v>0</v>
      </c>
      <c r="BJ124" s="10" cm="1">
        <f t="array" ref="BJ124">IF(OR(BJ$4=0, $G124&lt;&gt; $G$7, $E124=0), 'I&amp;E Monthly'!BJ124, CHOOSE(Timeline!BJ$30,$J124,$K124,$L124 )*INDEX('I&amp;E Profiles'!BJ$96:BJ$180,$I124))</f>
        <v>0</v>
      </c>
      <c r="BX124" s="12">
        <f t="shared" si="138"/>
        <v>0</v>
      </c>
      <c r="BY124" s="10">
        <f t="shared" si="139"/>
        <v>0</v>
      </c>
      <c r="BZ124" s="10">
        <f t="shared" si="139"/>
        <v>0</v>
      </c>
      <c r="CA124" s="10">
        <f t="shared" si="139"/>
        <v>0</v>
      </c>
      <c r="CB124" s="12">
        <f>'I&amp;E Monthly'!CB124</f>
        <v>0</v>
      </c>
      <c r="CC124" s="12">
        <f>'I&amp;E Monthly'!CC124</f>
        <v>0</v>
      </c>
      <c r="CD124" s="12">
        <f>'I&amp;E Monthly'!CD124</f>
        <v>0</v>
      </c>
      <c r="CE124" s="12">
        <f>'I&amp;E Monthly'!CE124</f>
        <v>0</v>
      </c>
      <c r="CF124" s="12">
        <f>'I&amp;E Monthly'!CF124</f>
        <v>0</v>
      </c>
      <c r="CG124" s="12">
        <f>'I&amp;E Monthly'!CG124</f>
        <v>0</v>
      </c>
      <c r="CH124" s="12">
        <f>'I&amp;E Monthly'!CH124</f>
        <v>0</v>
      </c>
      <c r="CI124" s="12">
        <f>'I&amp;E Monthly'!CI124</f>
        <v>0</v>
      </c>
      <c r="CK124" s="11"/>
      <c r="CL124" s="221">
        <f t="shared" ca="1" si="140"/>
        <v>0</v>
      </c>
      <c r="CM124" s="11"/>
      <c r="CN124" s="7">
        <f t="shared" si="141"/>
        <v>0</v>
      </c>
      <c r="CO124" s="7" cm="1">
        <f t="array" ref="CO124">SUMPRODUCT(--NOT(ISNUMBER(W124:Y124)),--NOT(ISBLANK(W124:Y124)))</f>
        <v>0</v>
      </c>
      <c r="CP124" s="7" cm="1">
        <f t="array" ref="CP124">IF(E124="",0, IF(IFERROR(INDEX('I&amp;E Profiles'!$D$96:$D$180, $I124), "N/A")="N/A", 1, 0))</f>
        <v>0</v>
      </c>
      <c r="CQ124" s="7">
        <f t="shared" si="142"/>
        <v>0</v>
      </c>
      <c r="CS124" s="7">
        <f t="shared" si="143"/>
        <v>0</v>
      </c>
      <c r="CT124" s="7">
        <f t="shared" si="144"/>
        <v>0</v>
      </c>
      <c r="CU124" s="11"/>
      <c r="CV124" s="215">
        <f t="shared" si="145"/>
        <v>0</v>
      </c>
      <c r="CW124" s="215">
        <f t="shared" si="146"/>
        <v>0</v>
      </c>
      <c r="CX124" s="215">
        <f t="shared" si="147"/>
        <v>0</v>
      </c>
      <c r="CY124" s="215">
        <f t="shared" si="148"/>
        <v>0</v>
      </c>
      <c r="CZ124" s="215">
        <f t="shared" si="149"/>
        <v>0</v>
      </c>
      <c r="DA124" s="215">
        <f t="shared" si="150"/>
        <v>0</v>
      </c>
      <c r="DB124" s="215">
        <f t="shared" si="151"/>
        <v>0</v>
      </c>
      <c r="FN124" s="10" t="str">
        <f t="shared" si="135"/>
        <v>Bad debt provision costs</v>
      </c>
    </row>
    <row r="125" spans="1:170" x14ac:dyDescent="0.35">
      <c r="A125" s="220" cm="1">
        <f t="array" aca="1" ref="A125" ca="1">HYPERLINK(CONCATENATE("#",CELL("address",IF(MAX($CM125:$CU125)=0,A125,INDEX($CM125:$CU125,MATCH(1,$CM125:$CU125,0))))),MAX($CM125:$CU125))</f>
        <v>0</v>
      </c>
      <c r="B125" s="85" t="s">
        <v>122</v>
      </c>
      <c r="C125" s="213" t="s">
        <v>567</v>
      </c>
      <c r="D125" s="1" t="s">
        <v>422</v>
      </c>
      <c r="E125" s="114"/>
      <c r="F125" s="79" t="str" cm="1">
        <f t="array" aca="1" ref="F125" ca="1">IF(E125="", "", HYPERLINK(CONCATENATE("#",CELL("address",INDEX('I&amp;E Profiles'!$D$9:$D$93,'I&amp;E Annual'!I125))),E125))</f>
        <v/>
      </c>
      <c r="G125" s="114"/>
      <c r="H125" s="120" t="s">
        <v>403</v>
      </c>
      <c r="I125" s="132" t="str">
        <f>IF(E125="", "", MATCH(E125, 'I&amp;E Profiles'!$D$96:$D$180,0))</f>
        <v/>
      </c>
      <c r="J125" s="133">
        <f>IF($G125=$G$7, W125,'I&amp;E Monthly'!W125)-SUMIFS('I&amp;E Monthly'!$AA125:$BJ125, 'I&amp;E Monthly'!$AA$3:$BJ$3, 'I&amp;E Annual'!W$3, 'I&amp;E Monthly'!$AA$4:$BJ$4, 0)</f>
        <v>0</v>
      </c>
      <c r="K125" s="133">
        <f>IF($G125=$G$7, X125,'I&amp;E Monthly'!X125)-SUMIFS('I&amp;E Monthly'!$AA125:$BJ125, 'I&amp;E Monthly'!$AA$3:$BJ$3, 'I&amp;E Annual'!X$3, 'I&amp;E Monthly'!$AA$4:$BJ$4, 0)</f>
        <v>0</v>
      </c>
      <c r="L125" s="133">
        <f>IF($G125=$G$7, Y125,'I&amp;E Monthly'!Y125)-SUMIFS('I&amp;E Monthly'!$AA125:$BJ125, 'I&amp;E Monthly'!$AA$3:$BJ$3, 'I&amp;E Annual'!Y$3, 'I&amp;E Monthly'!$AA$4:$BJ$4, 0)</f>
        <v>0</v>
      </c>
      <c r="Q125" s="2"/>
      <c r="V125" s="133">
        <f>'I&amp;E Monthly'!V125</f>
        <v>0</v>
      </c>
      <c r="W125" s="114"/>
      <c r="X125" s="131"/>
      <c r="Y125" s="131"/>
      <c r="AA125" s="10" cm="1">
        <f t="array" ref="AA125">IF(OR(AA$4=0, $G125&lt;&gt; $G$7, $E125=0), 'I&amp;E Monthly'!AA125, CHOOSE(Timeline!AA$30,$J125,$K125,$L125 )*INDEX('I&amp;E Profiles'!AA$96:AA$180,$I125))</f>
        <v>0</v>
      </c>
      <c r="AB125" s="10" cm="1">
        <f t="array" ref="AB125">IF(OR(AB$4=0, $G125&lt;&gt; $G$7, $E125=0), 'I&amp;E Monthly'!AB125, CHOOSE(Timeline!AB$30,$J125,$K125,$L125 )*INDEX('I&amp;E Profiles'!AB$96:AB$180,$I125))</f>
        <v>0</v>
      </c>
      <c r="AC125" s="10" cm="1">
        <f t="array" ref="AC125">IF(OR(AC$4=0, $G125&lt;&gt; $G$7, $E125=0), 'I&amp;E Monthly'!AC125, CHOOSE(Timeline!AC$30,$J125,$K125,$L125 )*INDEX('I&amp;E Profiles'!AC$96:AC$180,$I125))</f>
        <v>0</v>
      </c>
      <c r="AD125" s="10" cm="1">
        <f t="array" ref="AD125">IF(OR(AD$4=0, $G125&lt;&gt; $G$7, $E125=0), 'I&amp;E Monthly'!AD125, CHOOSE(Timeline!AD$30,$J125,$K125,$L125 )*INDEX('I&amp;E Profiles'!AD$96:AD$180,$I125))</f>
        <v>0</v>
      </c>
      <c r="AE125" s="10" cm="1">
        <f t="array" ref="AE125">IF(OR(AE$4=0, $G125&lt;&gt; $G$7, $E125=0), 'I&amp;E Monthly'!AE125, CHOOSE(Timeline!AE$30,$J125,$K125,$L125 )*INDEX('I&amp;E Profiles'!AE$96:AE$180,$I125))</f>
        <v>0</v>
      </c>
      <c r="AF125" s="10" cm="1">
        <f t="array" ref="AF125">IF(OR(AF$4=0, $G125&lt;&gt; $G$7, $E125=0), 'I&amp;E Monthly'!AF125, CHOOSE(Timeline!AF$30,$J125,$K125,$L125 )*INDEX('I&amp;E Profiles'!AF$96:AF$180,$I125))</f>
        <v>0</v>
      </c>
      <c r="AG125" s="10" cm="1">
        <f t="array" ref="AG125">IF(OR(AG$4=0, $G125&lt;&gt; $G$7, $E125=0), 'I&amp;E Monthly'!AG125, CHOOSE(Timeline!AG$30,$J125,$K125,$L125 )*INDEX('I&amp;E Profiles'!AG$96:AG$180,$I125))</f>
        <v>0</v>
      </c>
      <c r="AH125" s="10" cm="1">
        <f t="array" ref="AH125">IF(OR(AH$4=0, $G125&lt;&gt; $G$7, $E125=0), 'I&amp;E Monthly'!AH125, CHOOSE(Timeline!AH$30,$J125,$K125,$L125 )*INDEX('I&amp;E Profiles'!AH$96:AH$180,$I125))</f>
        <v>0</v>
      </c>
      <c r="AI125" s="10" cm="1">
        <f t="array" ref="AI125">IF(OR(AI$4=0, $G125&lt;&gt; $G$7, $E125=0), 'I&amp;E Monthly'!AI125, CHOOSE(Timeline!AI$30,$J125,$K125,$L125 )*INDEX('I&amp;E Profiles'!AI$96:AI$180,$I125))</f>
        <v>0</v>
      </c>
      <c r="AJ125" s="10" cm="1">
        <f t="array" ref="AJ125">IF(OR(AJ$4=0, $G125&lt;&gt; $G$7, $E125=0), 'I&amp;E Monthly'!AJ125, CHOOSE(Timeline!AJ$30,$J125,$K125,$L125 )*INDEX('I&amp;E Profiles'!AJ$96:AJ$180,$I125))</f>
        <v>0</v>
      </c>
      <c r="AK125" s="10" cm="1">
        <f t="array" ref="AK125">IF(OR(AK$4=0, $G125&lt;&gt; $G$7, $E125=0), 'I&amp;E Monthly'!AK125, CHOOSE(Timeline!AK$30,$J125,$K125,$L125 )*INDEX('I&amp;E Profiles'!AK$96:AK$180,$I125))</f>
        <v>0</v>
      </c>
      <c r="AL125" s="10" cm="1">
        <f t="array" ref="AL125">IF(OR(AL$4=0, $G125&lt;&gt; $G$7, $E125=0), 'I&amp;E Monthly'!AL125, CHOOSE(Timeline!AL$30,$J125,$K125,$L125 )*INDEX('I&amp;E Profiles'!AL$96:AL$180,$I125))</f>
        <v>0</v>
      </c>
      <c r="AM125" s="10" cm="1">
        <f t="array" ref="AM125">IF(OR(AM$4=0, $G125&lt;&gt; $G$7, $E125=0), 'I&amp;E Monthly'!AM125, CHOOSE(Timeline!AM$30,$J125,$K125,$L125 )*INDEX('I&amp;E Profiles'!AM$96:AM$180,$I125))</f>
        <v>0</v>
      </c>
      <c r="AN125" s="10" cm="1">
        <f t="array" ref="AN125">IF(OR(AN$4=0, $G125&lt;&gt; $G$7, $E125=0), 'I&amp;E Monthly'!AN125, CHOOSE(Timeline!AN$30,$J125,$K125,$L125 )*INDEX('I&amp;E Profiles'!AN$96:AN$180,$I125))</f>
        <v>0</v>
      </c>
      <c r="AO125" s="10" cm="1">
        <f t="array" ref="AO125">IF(OR(AO$4=0, $G125&lt;&gt; $G$7, $E125=0), 'I&amp;E Monthly'!AO125, CHOOSE(Timeline!AO$30,$J125,$K125,$L125 )*INDEX('I&amp;E Profiles'!AO$96:AO$180,$I125))</f>
        <v>0</v>
      </c>
      <c r="AP125" s="10" cm="1">
        <f t="array" ref="AP125">IF(OR(AP$4=0, $G125&lt;&gt; $G$7, $E125=0), 'I&amp;E Monthly'!AP125, CHOOSE(Timeline!AP$30,$J125,$K125,$L125 )*INDEX('I&amp;E Profiles'!AP$96:AP$180,$I125))</f>
        <v>0</v>
      </c>
      <c r="AQ125" s="10" cm="1">
        <f t="array" ref="AQ125">IF(OR(AQ$4=0, $G125&lt;&gt; $G$7, $E125=0), 'I&amp;E Monthly'!AQ125, CHOOSE(Timeline!AQ$30,$J125,$K125,$L125 )*INDEX('I&amp;E Profiles'!AQ$96:AQ$180,$I125))</f>
        <v>0</v>
      </c>
      <c r="AR125" s="10" cm="1">
        <f t="array" ref="AR125">IF(OR(AR$4=0, $G125&lt;&gt; $G$7, $E125=0), 'I&amp;E Monthly'!AR125, CHOOSE(Timeline!AR$30,$J125,$K125,$L125 )*INDEX('I&amp;E Profiles'!AR$96:AR$180,$I125))</f>
        <v>0</v>
      </c>
      <c r="AS125" s="10" cm="1">
        <f t="array" ref="AS125">IF(OR(AS$4=0, $G125&lt;&gt; $G$7, $E125=0), 'I&amp;E Monthly'!AS125, CHOOSE(Timeline!AS$30,$J125,$K125,$L125 )*INDEX('I&amp;E Profiles'!AS$96:AS$180,$I125))</f>
        <v>0</v>
      </c>
      <c r="AT125" s="10" cm="1">
        <f t="array" ref="AT125">IF(OR(AT$4=0, $G125&lt;&gt; $G$7, $E125=0), 'I&amp;E Monthly'!AT125, CHOOSE(Timeline!AT$30,$J125,$K125,$L125 )*INDEX('I&amp;E Profiles'!AT$96:AT$180,$I125))</f>
        <v>0</v>
      </c>
      <c r="AU125" s="10" cm="1">
        <f t="array" ref="AU125">IF(OR(AU$4=0, $G125&lt;&gt; $G$7, $E125=0), 'I&amp;E Monthly'!AU125, CHOOSE(Timeline!AU$30,$J125,$K125,$L125 )*INDEX('I&amp;E Profiles'!AU$96:AU$180,$I125))</f>
        <v>0</v>
      </c>
      <c r="AV125" s="10" cm="1">
        <f t="array" ref="AV125">IF(OR(AV$4=0, $G125&lt;&gt; $G$7, $E125=0), 'I&amp;E Monthly'!AV125, CHOOSE(Timeline!AV$30,$J125,$K125,$L125 )*INDEX('I&amp;E Profiles'!AV$96:AV$180,$I125))</f>
        <v>0</v>
      </c>
      <c r="AW125" s="10" cm="1">
        <f t="array" ref="AW125">IF(OR(AW$4=0, $G125&lt;&gt; $G$7, $E125=0), 'I&amp;E Monthly'!AW125, CHOOSE(Timeline!AW$30,$J125,$K125,$L125 )*INDEX('I&amp;E Profiles'!AW$96:AW$180,$I125))</f>
        <v>0</v>
      </c>
      <c r="AX125" s="10" cm="1">
        <f t="array" ref="AX125">IF(OR(AX$4=0, $G125&lt;&gt; $G$7, $E125=0), 'I&amp;E Monthly'!AX125, CHOOSE(Timeline!AX$30,$J125,$K125,$L125 )*INDEX('I&amp;E Profiles'!AX$96:AX$180,$I125))</f>
        <v>0</v>
      </c>
      <c r="AY125" s="10" cm="1">
        <f t="array" ref="AY125">IF(OR(AY$4=0, $G125&lt;&gt; $G$7, $E125=0), 'I&amp;E Monthly'!AY125, CHOOSE(Timeline!AY$30,$J125,$K125,$L125 )*INDEX('I&amp;E Profiles'!AY$96:AY$180,$I125))</f>
        <v>0</v>
      </c>
      <c r="AZ125" s="10" cm="1">
        <f t="array" ref="AZ125">IF(OR(AZ$4=0, $G125&lt;&gt; $G$7, $E125=0), 'I&amp;E Monthly'!AZ125, CHOOSE(Timeline!AZ$30,$J125,$K125,$L125 )*INDEX('I&amp;E Profiles'!AZ$96:AZ$180,$I125))</f>
        <v>0</v>
      </c>
      <c r="BA125" s="10" cm="1">
        <f t="array" ref="BA125">IF(OR(BA$4=0, $G125&lt;&gt; $G$7, $E125=0), 'I&amp;E Monthly'!BA125, CHOOSE(Timeline!BA$30,$J125,$K125,$L125 )*INDEX('I&amp;E Profiles'!BA$96:BA$180,$I125))</f>
        <v>0</v>
      </c>
      <c r="BB125" s="10" cm="1">
        <f t="array" ref="BB125">IF(OR(BB$4=0, $G125&lt;&gt; $G$7, $E125=0), 'I&amp;E Monthly'!BB125, CHOOSE(Timeline!BB$30,$J125,$K125,$L125 )*INDEX('I&amp;E Profiles'!BB$96:BB$180,$I125))</f>
        <v>0</v>
      </c>
      <c r="BC125" s="10" cm="1">
        <f t="array" ref="BC125">IF(OR(BC$4=0, $G125&lt;&gt; $G$7, $E125=0), 'I&amp;E Monthly'!BC125, CHOOSE(Timeline!BC$30,$J125,$K125,$L125 )*INDEX('I&amp;E Profiles'!BC$96:BC$180,$I125))</f>
        <v>0</v>
      </c>
      <c r="BD125" s="10" cm="1">
        <f t="array" ref="BD125">IF(OR(BD$4=0, $G125&lt;&gt; $G$7, $E125=0), 'I&amp;E Monthly'!BD125, CHOOSE(Timeline!BD$30,$J125,$K125,$L125 )*INDEX('I&amp;E Profiles'!BD$96:BD$180,$I125))</f>
        <v>0</v>
      </c>
      <c r="BE125" s="10" cm="1">
        <f t="array" ref="BE125">IF(OR(BE$4=0, $G125&lt;&gt; $G$7, $E125=0), 'I&amp;E Monthly'!BE125, CHOOSE(Timeline!BE$30,$J125,$K125,$L125 )*INDEX('I&amp;E Profiles'!BE$96:BE$180,$I125))</f>
        <v>0</v>
      </c>
      <c r="BF125" s="10" cm="1">
        <f t="array" ref="BF125">IF(OR(BF$4=0, $G125&lt;&gt; $G$7, $E125=0), 'I&amp;E Monthly'!BF125, CHOOSE(Timeline!BF$30,$J125,$K125,$L125 )*INDEX('I&amp;E Profiles'!BF$96:BF$180,$I125))</f>
        <v>0</v>
      </c>
      <c r="BG125" s="10" cm="1">
        <f t="array" ref="BG125">IF(OR(BG$4=0, $G125&lt;&gt; $G$7, $E125=0), 'I&amp;E Monthly'!BG125, CHOOSE(Timeline!BG$30,$J125,$K125,$L125 )*INDEX('I&amp;E Profiles'!BG$96:BG$180,$I125))</f>
        <v>0</v>
      </c>
      <c r="BH125" s="10" cm="1">
        <f t="array" ref="BH125">IF(OR(BH$4=0, $G125&lt;&gt; $G$7, $E125=0), 'I&amp;E Monthly'!BH125, CHOOSE(Timeline!BH$30,$J125,$K125,$L125 )*INDEX('I&amp;E Profiles'!BH$96:BH$180,$I125))</f>
        <v>0</v>
      </c>
      <c r="BI125" s="10" cm="1">
        <f t="array" ref="BI125">IF(OR(BI$4=0, $G125&lt;&gt; $G$7, $E125=0), 'I&amp;E Monthly'!BI125, CHOOSE(Timeline!BI$30,$J125,$K125,$L125 )*INDEX('I&amp;E Profiles'!BI$96:BI$180,$I125))</f>
        <v>0</v>
      </c>
      <c r="BJ125" s="10" cm="1">
        <f t="array" ref="BJ125">IF(OR(BJ$4=0, $G125&lt;&gt; $G$7, $E125=0), 'I&amp;E Monthly'!BJ125, CHOOSE(Timeline!BJ$30,$J125,$K125,$L125 )*INDEX('I&amp;E Profiles'!BJ$96:BJ$180,$I125))</f>
        <v>0</v>
      </c>
      <c r="BX125" s="12">
        <f t="shared" si="138"/>
        <v>0</v>
      </c>
      <c r="BY125" s="10">
        <f t="shared" si="139"/>
        <v>0</v>
      </c>
      <c r="BZ125" s="10">
        <f t="shared" si="139"/>
        <v>0</v>
      </c>
      <c r="CA125" s="10">
        <f t="shared" si="139"/>
        <v>0</v>
      </c>
      <c r="CB125" s="12">
        <f>'I&amp;E Monthly'!CB125</f>
        <v>0</v>
      </c>
      <c r="CC125" s="12">
        <f>'I&amp;E Monthly'!CC125</f>
        <v>0</v>
      </c>
      <c r="CD125" s="12">
        <f>'I&amp;E Monthly'!CD125</f>
        <v>0</v>
      </c>
      <c r="CE125" s="12">
        <f>'I&amp;E Monthly'!CE125</f>
        <v>0</v>
      </c>
      <c r="CF125" s="12">
        <f>'I&amp;E Monthly'!CF125</f>
        <v>0</v>
      </c>
      <c r="CG125" s="12">
        <f>'I&amp;E Monthly'!CG125</f>
        <v>0</v>
      </c>
      <c r="CH125" s="12">
        <f>'I&amp;E Monthly'!CH125</f>
        <v>0</v>
      </c>
      <c r="CI125" s="12">
        <f>'I&amp;E Monthly'!CI125</f>
        <v>0</v>
      </c>
      <c r="CK125" s="11"/>
      <c r="CL125" s="221">
        <f t="shared" ca="1" si="140"/>
        <v>0</v>
      </c>
      <c r="CM125" s="11"/>
      <c r="CN125" s="7">
        <f t="shared" si="141"/>
        <v>0</v>
      </c>
      <c r="CO125" s="7" cm="1">
        <f t="array" ref="CO125">SUMPRODUCT(--NOT(ISNUMBER(W125:Y125)),--NOT(ISBLANK(W125:Y125)))</f>
        <v>0</v>
      </c>
      <c r="CP125" s="7" cm="1">
        <f t="array" ref="CP125">IF(E125="",0, IF(IFERROR(INDEX('I&amp;E Profiles'!$D$96:$D$180, $I125), "N/A")="N/A", 1, 0))</f>
        <v>0</v>
      </c>
      <c r="CQ125" s="7">
        <f t="shared" si="142"/>
        <v>0</v>
      </c>
      <c r="CS125" s="7">
        <f t="shared" si="143"/>
        <v>0</v>
      </c>
      <c r="CT125" s="7">
        <f t="shared" si="144"/>
        <v>0</v>
      </c>
      <c r="CU125" s="11"/>
      <c r="CV125" s="215">
        <f t="shared" si="145"/>
        <v>0</v>
      </c>
      <c r="CW125" s="215">
        <f t="shared" si="146"/>
        <v>0</v>
      </c>
      <c r="CX125" s="215">
        <f t="shared" si="147"/>
        <v>0</v>
      </c>
      <c r="CY125" s="215">
        <f t="shared" si="148"/>
        <v>0</v>
      </c>
      <c r="CZ125" s="215">
        <f t="shared" si="149"/>
        <v>0</v>
      </c>
      <c r="DA125" s="215">
        <f t="shared" si="150"/>
        <v>0</v>
      </c>
      <c r="DB125" s="215">
        <f t="shared" si="151"/>
        <v>0</v>
      </c>
      <c r="FN125" s="10" t="str">
        <f t="shared" si="135"/>
        <v>Other operating expenditure costs</v>
      </c>
    </row>
    <row r="126" spans="1:170" ht="29" x14ac:dyDescent="0.35">
      <c r="A126" s="220" cm="1">
        <f t="array" aca="1" ref="A126" ca="1">HYPERLINK(CONCATENATE("#",CELL("address",IF(MAX($CM126:$CU126)=0,A126,INDEX($CM126:$CU126,MATCH(1,$CM126:$CU126,0))))),MAX($CM126:$CU126))</f>
        <v>0</v>
      </c>
      <c r="B126" s="126"/>
      <c r="C126" s="213" t="s">
        <v>568</v>
      </c>
      <c r="D126" s="185" t="s">
        <v>423</v>
      </c>
      <c r="E126" s="533" t="str" cm="1">
        <f t="array" aca="1" ref="E126" ca="1">HYPERLINK(CONCATENATE("#",CELL("address",'BS Forecasts'!$D$240)),'BS Forecasts'!$D$238)</f>
        <v>Other Provisions</v>
      </c>
      <c r="H126" s="120" t="s">
        <v>403</v>
      </c>
      <c r="Q126" s="2"/>
      <c r="V126" s="10">
        <f>'I&amp;E Monthly'!V$126</f>
        <v>0</v>
      </c>
      <c r="W126" s="10">
        <f>'I&amp;E Monthly'!W$126</f>
        <v>0</v>
      </c>
      <c r="X126" s="10">
        <f>'I&amp;E Monthly'!X$126</f>
        <v>0</v>
      </c>
      <c r="Y126" s="10">
        <f>'I&amp;E Monthly'!Y$126</f>
        <v>0</v>
      </c>
      <c r="AA126" s="10">
        <f>'I&amp;E Monthly'!AA$126</f>
        <v>0</v>
      </c>
      <c r="AB126" s="10">
        <f>'I&amp;E Monthly'!AB$126</f>
        <v>0</v>
      </c>
      <c r="AC126" s="10">
        <f>'I&amp;E Monthly'!AC$126</f>
        <v>0</v>
      </c>
      <c r="AD126" s="10">
        <f>'I&amp;E Monthly'!AD$126</f>
        <v>0</v>
      </c>
      <c r="AE126" s="10">
        <f>'I&amp;E Monthly'!AE$126</f>
        <v>0</v>
      </c>
      <c r="AF126" s="10">
        <f>'I&amp;E Monthly'!AF$126</f>
        <v>0</v>
      </c>
      <c r="AG126" s="10">
        <f>'I&amp;E Monthly'!AG$126</f>
        <v>0</v>
      </c>
      <c r="AH126" s="10">
        <f>'I&amp;E Monthly'!AH$126</f>
        <v>0</v>
      </c>
      <c r="AI126" s="10">
        <f>'I&amp;E Monthly'!AI$126</f>
        <v>0</v>
      </c>
      <c r="AJ126" s="10">
        <f>'I&amp;E Monthly'!AJ$126</f>
        <v>0</v>
      </c>
      <c r="AK126" s="10">
        <f>'I&amp;E Monthly'!AK$126</f>
        <v>0</v>
      </c>
      <c r="AL126" s="10">
        <f>'I&amp;E Monthly'!AL$126</f>
        <v>0</v>
      </c>
      <c r="AM126" s="10">
        <f>'I&amp;E Monthly'!AM$126</f>
        <v>0</v>
      </c>
      <c r="AN126" s="10">
        <f>'I&amp;E Monthly'!AN$126</f>
        <v>0</v>
      </c>
      <c r="AO126" s="10">
        <f>'I&amp;E Monthly'!AO$126</f>
        <v>0</v>
      </c>
      <c r="AP126" s="10">
        <f>'I&amp;E Monthly'!AP$126</f>
        <v>0</v>
      </c>
      <c r="AQ126" s="10">
        <f>'I&amp;E Monthly'!AQ$126</f>
        <v>0</v>
      </c>
      <c r="AR126" s="10">
        <f>'I&amp;E Monthly'!AR$126</f>
        <v>0</v>
      </c>
      <c r="AS126" s="10">
        <f>'I&amp;E Monthly'!AS$126</f>
        <v>0</v>
      </c>
      <c r="AT126" s="10">
        <f>'I&amp;E Monthly'!AT$126</f>
        <v>0</v>
      </c>
      <c r="AU126" s="10">
        <f>'I&amp;E Monthly'!AU$126</f>
        <v>0</v>
      </c>
      <c r="AV126" s="10">
        <f>'I&amp;E Monthly'!AV$126</f>
        <v>0</v>
      </c>
      <c r="AW126" s="10">
        <f>'I&amp;E Monthly'!AW$126</f>
        <v>0</v>
      </c>
      <c r="AX126" s="10">
        <f>'I&amp;E Monthly'!AX$126</f>
        <v>0</v>
      </c>
      <c r="AY126" s="10">
        <f>'I&amp;E Monthly'!AY$126</f>
        <v>0</v>
      </c>
      <c r="AZ126" s="10">
        <f>'I&amp;E Monthly'!AZ$126</f>
        <v>0</v>
      </c>
      <c r="BA126" s="10">
        <f>'I&amp;E Monthly'!BA$126</f>
        <v>0</v>
      </c>
      <c r="BB126" s="10">
        <f>'I&amp;E Monthly'!BB$126</f>
        <v>0</v>
      </c>
      <c r="BC126" s="10">
        <f>'I&amp;E Monthly'!BC$126</f>
        <v>0</v>
      </c>
      <c r="BD126" s="10">
        <f>'I&amp;E Monthly'!BD$126</f>
        <v>0</v>
      </c>
      <c r="BE126" s="10">
        <f>'I&amp;E Monthly'!BE$126</f>
        <v>0</v>
      </c>
      <c r="BF126" s="10">
        <f>'I&amp;E Monthly'!BF$126</f>
        <v>0</v>
      </c>
      <c r="BG126" s="10">
        <f>'I&amp;E Monthly'!BG$126</f>
        <v>0</v>
      </c>
      <c r="BH126" s="10">
        <f>'I&amp;E Monthly'!BH$126</f>
        <v>0</v>
      </c>
      <c r="BI126" s="10">
        <f>'I&amp;E Monthly'!BI$126</f>
        <v>0</v>
      </c>
      <c r="BJ126" s="10">
        <f>'I&amp;E Monthly'!BJ$126</f>
        <v>0</v>
      </c>
      <c r="BX126" s="10">
        <f>'I&amp;E Monthly'!BX$126</f>
        <v>0</v>
      </c>
      <c r="BY126" s="10">
        <f>'I&amp;E Monthly'!BY$126</f>
        <v>0</v>
      </c>
      <c r="BZ126" s="10">
        <f>'I&amp;E Monthly'!BZ$126</f>
        <v>0</v>
      </c>
      <c r="CA126" s="10">
        <f>'I&amp;E Monthly'!CA$126</f>
        <v>0</v>
      </c>
      <c r="CB126" s="10">
        <f>'I&amp;E Monthly'!CB$126</f>
        <v>0</v>
      </c>
      <c r="CC126" s="10">
        <f>'I&amp;E Monthly'!CC$126</f>
        <v>0</v>
      </c>
      <c r="CD126" s="10">
        <f>'I&amp;E Monthly'!CD$126</f>
        <v>0</v>
      </c>
      <c r="CE126" s="10">
        <f>'I&amp;E Monthly'!CE$126</f>
        <v>0</v>
      </c>
      <c r="CF126" s="10">
        <f>'I&amp;E Monthly'!CF$126</f>
        <v>0</v>
      </c>
      <c r="CG126" s="10">
        <f>'I&amp;E Monthly'!CG$126</f>
        <v>0</v>
      </c>
      <c r="CH126" s="10">
        <f>'I&amp;E Monthly'!CH$126</f>
        <v>0</v>
      </c>
      <c r="CI126" s="10">
        <f>'I&amp;E Monthly'!CI$126</f>
        <v>0</v>
      </c>
      <c r="CK126" s="11"/>
      <c r="CM126" s="11"/>
      <c r="CQ126" s="7">
        <f>IF(SUM($CV126:$CX126)=0, 0, 1)</f>
        <v>0</v>
      </c>
      <c r="CS126" s="7">
        <f>IF(SUM($CY126:$DA126)=0, 0, 1)</f>
        <v>0</v>
      </c>
      <c r="CT126" s="7">
        <f t="shared" ref="CT126:CT131" si="153">IF(DB126=0, 0, 1)</f>
        <v>0</v>
      </c>
      <c r="CU126" s="11"/>
      <c r="CV126" s="215">
        <f t="shared" ref="CV126:CX131" si="154">IF($G126=$G$7, ROUND(W126-SUMIFS($AA126:$BJ126, $AA$3:$BJ$3, W$3), rounding), 0)</f>
        <v>0</v>
      </c>
      <c r="CW126" s="215">
        <f t="shared" si="154"/>
        <v>0</v>
      </c>
      <c r="CX126" s="215">
        <f t="shared" si="154"/>
        <v>0</v>
      </c>
      <c r="CY126" s="215">
        <f>ROUND($BY126-SUMIFS($AA126:$BJ126, $AA$3:$BJ$3, $BY$3), rounding)</f>
        <v>0</v>
      </c>
      <c r="CZ126" s="215">
        <f>ROUND($BZ126-SUMIFS($AA126:$BJ126, $AA$3:$BJ$3, $BZ$3), rounding)</f>
        <v>0</v>
      </c>
      <c r="DA126" s="215">
        <f>ROUND($CA126-SUMIFS($AA126:$BJ126, $AA$3:$BJ$3, $CA$3), rounding)</f>
        <v>0</v>
      </c>
      <c r="DB126" s="215">
        <f>ROUND($V126-$BX126, rounding)</f>
        <v>0</v>
      </c>
      <c r="FN126" s="10" t="str">
        <f>IF($C126="","",$D126)</f>
        <v>Provisions made (released)</v>
      </c>
    </row>
    <row r="127" spans="1:170" x14ac:dyDescent="0.35">
      <c r="A127" s="220" cm="1">
        <f t="array" aca="1" ref="A127" ca="1">HYPERLINK(CONCATENATE("#",CELL("address",IF(MAX($CM127:$CU127)=0,A127,INDEX($CM127:$CU127,MATCH(1,$CM127:$CU127,0))))),MAX($CM127:$CU127))</f>
        <v>0</v>
      </c>
      <c r="B127" s="85" t="s">
        <v>122</v>
      </c>
      <c r="C127" s="213" t="s">
        <v>569</v>
      </c>
      <c r="D127" s="1" t="s">
        <v>424</v>
      </c>
      <c r="E127" s="114"/>
      <c r="F127" s="79" t="str" cm="1">
        <f t="array" aca="1" ref="F127" ca="1">IF(E127="", "", HYPERLINK(CONCATENATE("#",CELL("address",INDEX('I&amp;E Profiles'!$D$9:$D$93,'I&amp;E Annual'!I127))),E127))</f>
        <v/>
      </c>
      <c r="G127" s="114"/>
      <c r="H127" s="120" t="s">
        <v>403</v>
      </c>
      <c r="I127" s="132" t="str">
        <f>IF(E127="", "", MATCH(E127, 'I&amp;E Profiles'!$D$96:$D$180,0))</f>
        <v/>
      </c>
      <c r="J127" s="133">
        <f>IF($G127=$G$7, W127,'I&amp;E Monthly'!W127)-SUMIFS('I&amp;E Monthly'!$AA127:$BJ127, 'I&amp;E Monthly'!$AA$3:$BJ$3, 'I&amp;E Annual'!W$3, 'I&amp;E Monthly'!$AA$4:$BJ$4, 0)</f>
        <v>0</v>
      </c>
      <c r="K127" s="133">
        <f>IF($G127=$G$7, X127,'I&amp;E Monthly'!X127)-SUMIFS('I&amp;E Monthly'!$AA127:$BJ127, 'I&amp;E Monthly'!$AA$3:$BJ$3, 'I&amp;E Annual'!X$3, 'I&amp;E Monthly'!$AA$4:$BJ$4, 0)</f>
        <v>0</v>
      </c>
      <c r="L127" s="133">
        <f>IF($G127=$G$7, Y127,'I&amp;E Monthly'!Y127)-SUMIFS('I&amp;E Monthly'!$AA127:$BJ127, 'I&amp;E Monthly'!$AA$3:$BJ$3, 'I&amp;E Annual'!Y$3, 'I&amp;E Monthly'!$AA$4:$BJ$4, 0)</f>
        <v>0</v>
      </c>
      <c r="Q127" s="2"/>
      <c r="V127" s="133">
        <f>'I&amp;E Monthly'!V127</f>
        <v>0</v>
      </c>
      <c r="W127" s="114"/>
      <c r="X127" s="131"/>
      <c r="Y127" s="131"/>
      <c r="AA127" s="10" cm="1">
        <f t="array" ref="AA127">IF(OR(AA$4=0, $G127&lt;&gt; $G$7, $E127=0), 'I&amp;E Monthly'!AA127, CHOOSE(Timeline!AA$30,$J127,$K127,$L127 )*INDEX('I&amp;E Profiles'!AA$96:AA$180,$I127))</f>
        <v>0</v>
      </c>
      <c r="AB127" s="10" cm="1">
        <f t="array" ref="AB127">IF(OR(AB$4=0, $G127&lt;&gt; $G$7, $E127=0), 'I&amp;E Monthly'!AB127, CHOOSE(Timeline!AB$30,$J127,$K127,$L127 )*INDEX('I&amp;E Profiles'!AB$96:AB$180,$I127))</f>
        <v>0</v>
      </c>
      <c r="AC127" s="10" cm="1">
        <f t="array" ref="AC127">IF(OR(AC$4=0, $G127&lt;&gt; $G$7, $E127=0), 'I&amp;E Monthly'!AC127, CHOOSE(Timeline!AC$30,$J127,$K127,$L127 )*INDEX('I&amp;E Profiles'!AC$96:AC$180,$I127))</f>
        <v>0</v>
      </c>
      <c r="AD127" s="10" cm="1">
        <f t="array" ref="AD127">IF(OR(AD$4=0, $G127&lt;&gt; $G$7, $E127=0), 'I&amp;E Monthly'!AD127, CHOOSE(Timeline!AD$30,$J127,$K127,$L127 )*INDEX('I&amp;E Profiles'!AD$96:AD$180,$I127))</f>
        <v>0</v>
      </c>
      <c r="AE127" s="10" cm="1">
        <f t="array" ref="AE127">IF(OR(AE$4=0, $G127&lt;&gt; $G$7, $E127=0), 'I&amp;E Monthly'!AE127, CHOOSE(Timeline!AE$30,$J127,$K127,$L127 )*INDEX('I&amp;E Profiles'!AE$96:AE$180,$I127))</f>
        <v>0</v>
      </c>
      <c r="AF127" s="10" cm="1">
        <f t="array" ref="AF127">IF(OR(AF$4=0, $G127&lt;&gt; $G$7, $E127=0), 'I&amp;E Monthly'!AF127, CHOOSE(Timeline!AF$30,$J127,$K127,$L127 )*INDEX('I&amp;E Profiles'!AF$96:AF$180,$I127))</f>
        <v>0</v>
      </c>
      <c r="AG127" s="10" cm="1">
        <f t="array" ref="AG127">IF(OR(AG$4=0, $G127&lt;&gt; $G$7, $E127=0), 'I&amp;E Monthly'!AG127, CHOOSE(Timeline!AG$30,$J127,$K127,$L127 )*INDEX('I&amp;E Profiles'!AG$96:AG$180,$I127))</f>
        <v>0</v>
      </c>
      <c r="AH127" s="10" cm="1">
        <f t="array" ref="AH127">IF(OR(AH$4=0, $G127&lt;&gt; $G$7, $E127=0), 'I&amp;E Monthly'!AH127, CHOOSE(Timeline!AH$30,$J127,$K127,$L127 )*INDEX('I&amp;E Profiles'!AH$96:AH$180,$I127))</f>
        <v>0</v>
      </c>
      <c r="AI127" s="10" cm="1">
        <f t="array" ref="AI127">IF(OR(AI$4=0, $G127&lt;&gt; $G$7, $E127=0), 'I&amp;E Monthly'!AI127, CHOOSE(Timeline!AI$30,$J127,$K127,$L127 )*INDEX('I&amp;E Profiles'!AI$96:AI$180,$I127))</f>
        <v>0</v>
      </c>
      <c r="AJ127" s="10" cm="1">
        <f t="array" ref="AJ127">IF(OR(AJ$4=0, $G127&lt;&gt; $G$7, $E127=0), 'I&amp;E Monthly'!AJ127, CHOOSE(Timeline!AJ$30,$J127,$K127,$L127 )*INDEX('I&amp;E Profiles'!AJ$96:AJ$180,$I127))</f>
        <v>0</v>
      </c>
      <c r="AK127" s="10" cm="1">
        <f t="array" ref="AK127">IF(OR(AK$4=0, $G127&lt;&gt; $G$7, $E127=0), 'I&amp;E Monthly'!AK127, CHOOSE(Timeline!AK$30,$J127,$K127,$L127 )*INDEX('I&amp;E Profiles'!AK$96:AK$180,$I127))</f>
        <v>0</v>
      </c>
      <c r="AL127" s="10" cm="1">
        <f t="array" ref="AL127">IF(OR(AL$4=0, $G127&lt;&gt; $G$7, $E127=0), 'I&amp;E Monthly'!AL127, CHOOSE(Timeline!AL$30,$J127,$K127,$L127 )*INDEX('I&amp;E Profiles'!AL$96:AL$180,$I127))</f>
        <v>0</v>
      </c>
      <c r="AM127" s="10" cm="1">
        <f t="array" ref="AM127">IF(OR(AM$4=0, $G127&lt;&gt; $G$7, $E127=0), 'I&amp;E Monthly'!AM127, CHOOSE(Timeline!AM$30,$J127,$K127,$L127 )*INDEX('I&amp;E Profiles'!AM$96:AM$180,$I127))</f>
        <v>0</v>
      </c>
      <c r="AN127" s="10" cm="1">
        <f t="array" ref="AN127">IF(OR(AN$4=0, $G127&lt;&gt; $G$7, $E127=0), 'I&amp;E Monthly'!AN127, CHOOSE(Timeline!AN$30,$J127,$K127,$L127 )*INDEX('I&amp;E Profiles'!AN$96:AN$180,$I127))</f>
        <v>0</v>
      </c>
      <c r="AO127" s="10" cm="1">
        <f t="array" ref="AO127">IF(OR(AO$4=0, $G127&lt;&gt; $G$7, $E127=0), 'I&amp;E Monthly'!AO127, CHOOSE(Timeline!AO$30,$J127,$K127,$L127 )*INDEX('I&amp;E Profiles'!AO$96:AO$180,$I127))</f>
        <v>0</v>
      </c>
      <c r="AP127" s="10" cm="1">
        <f t="array" ref="AP127">IF(OR(AP$4=0, $G127&lt;&gt; $G$7, $E127=0), 'I&amp;E Monthly'!AP127, CHOOSE(Timeline!AP$30,$J127,$K127,$L127 )*INDEX('I&amp;E Profiles'!AP$96:AP$180,$I127))</f>
        <v>0</v>
      </c>
      <c r="AQ127" s="10" cm="1">
        <f t="array" ref="AQ127">IF(OR(AQ$4=0, $G127&lt;&gt; $G$7, $E127=0), 'I&amp;E Monthly'!AQ127, CHOOSE(Timeline!AQ$30,$J127,$K127,$L127 )*INDEX('I&amp;E Profiles'!AQ$96:AQ$180,$I127))</f>
        <v>0</v>
      </c>
      <c r="AR127" s="10" cm="1">
        <f t="array" ref="AR127">IF(OR(AR$4=0, $G127&lt;&gt; $G$7, $E127=0), 'I&amp;E Monthly'!AR127, CHOOSE(Timeline!AR$30,$J127,$K127,$L127 )*INDEX('I&amp;E Profiles'!AR$96:AR$180,$I127))</f>
        <v>0</v>
      </c>
      <c r="AS127" s="10" cm="1">
        <f t="array" ref="AS127">IF(OR(AS$4=0, $G127&lt;&gt; $G$7, $E127=0), 'I&amp;E Monthly'!AS127, CHOOSE(Timeline!AS$30,$J127,$K127,$L127 )*INDEX('I&amp;E Profiles'!AS$96:AS$180,$I127))</f>
        <v>0</v>
      </c>
      <c r="AT127" s="10" cm="1">
        <f t="array" ref="AT127">IF(OR(AT$4=0, $G127&lt;&gt; $G$7, $E127=0), 'I&amp;E Monthly'!AT127, CHOOSE(Timeline!AT$30,$J127,$K127,$L127 )*INDEX('I&amp;E Profiles'!AT$96:AT$180,$I127))</f>
        <v>0</v>
      </c>
      <c r="AU127" s="10" cm="1">
        <f t="array" ref="AU127">IF(OR(AU$4=0, $G127&lt;&gt; $G$7, $E127=0), 'I&amp;E Monthly'!AU127, CHOOSE(Timeline!AU$30,$J127,$K127,$L127 )*INDEX('I&amp;E Profiles'!AU$96:AU$180,$I127))</f>
        <v>0</v>
      </c>
      <c r="AV127" s="10" cm="1">
        <f t="array" ref="AV127">IF(OR(AV$4=0, $G127&lt;&gt; $G$7, $E127=0), 'I&amp;E Monthly'!AV127, CHOOSE(Timeline!AV$30,$J127,$K127,$L127 )*INDEX('I&amp;E Profiles'!AV$96:AV$180,$I127))</f>
        <v>0</v>
      </c>
      <c r="AW127" s="10" cm="1">
        <f t="array" ref="AW127">IF(OR(AW$4=0, $G127&lt;&gt; $G$7, $E127=0), 'I&amp;E Monthly'!AW127, CHOOSE(Timeline!AW$30,$J127,$K127,$L127 )*INDEX('I&amp;E Profiles'!AW$96:AW$180,$I127))</f>
        <v>0</v>
      </c>
      <c r="AX127" s="10" cm="1">
        <f t="array" ref="AX127">IF(OR(AX$4=0, $G127&lt;&gt; $G$7, $E127=0), 'I&amp;E Monthly'!AX127, CHOOSE(Timeline!AX$30,$J127,$K127,$L127 )*INDEX('I&amp;E Profiles'!AX$96:AX$180,$I127))</f>
        <v>0</v>
      </c>
      <c r="AY127" s="10" cm="1">
        <f t="array" ref="AY127">IF(OR(AY$4=0, $G127&lt;&gt; $G$7, $E127=0), 'I&amp;E Monthly'!AY127, CHOOSE(Timeline!AY$30,$J127,$K127,$L127 )*INDEX('I&amp;E Profiles'!AY$96:AY$180,$I127))</f>
        <v>0</v>
      </c>
      <c r="AZ127" s="10" cm="1">
        <f t="array" ref="AZ127">IF(OR(AZ$4=0, $G127&lt;&gt; $G$7, $E127=0), 'I&amp;E Monthly'!AZ127, CHOOSE(Timeline!AZ$30,$J127,$K127,$L127 )*INDEX('I&amp;E Profiles'!AZ$96:AZ$180,$I127))</f>
        <v>0</v>
      </c>
      <c r="BA127" s="10" cm="1">
        <f t="array" ref="BA127">IF(OR(BA$4=0, $G127&lt;&gt; $G$7, $E127=0), 'I&amp;E Monthly'!BA127, CHOOSE(Timeline!BA$30,$J127,$K127,$L127 )*INDEX('I&amp;E Profiles'!BA$96:BA$180,$I127))</f>
        <v>0</v>
      </c>
      <c r="BB127" s="10" cm="1">
        <f t="array" ref="BB127">IF(OR(BB$4=0, $G127&lt;&gt; $G$7, $E127=0), 'I&amp;E Monthly'!BB127, CHOOSE(Timeline!BB$30,$J127,$K127,$L127 )*INDEX('I&amp;E Profiles'!BB$96:BB$180,$I127))</f>
        <v>0</v>
      </c>
      <c r="BC127" s="10" cm="1">
        <f t="array" ref="BC127">IF(OR(BC$4=0, $G127&lt;&gt; $G$7, $E127=0), 'I&amp;E Monthly'!BC127, CHOOSE(Timeline!BC$30,$J127,$K127,$L127 )*INDEX('I&amp;E Profiles'!BC$96:BC$180,$I127))</f>
        <v>0</v>
      </c>
      <c r="BD127" s="10" cm="1">
        <f t="array" ref="BD127">IF(OR(BD$4=0, $G127&lt;&gt; $G$7, $E127=0), 'I&amp;E Monthly'!BD127, CHOOSE(Timeline!BD$30,$J127,$K127,$L127 )*INDEX('I&amp;E Profiles'!BD$96:BD$180,$I127))</f>
        <v>0</v>
      </c>
      <c r="BE127" s="10" cm="1">
        <f t="array" ref="BE127">IF(OR(BE$4=0, $G127&lt;&gt; $G$7, $E127=0), 'I&amp;E Monthly'!BE127, CHOOSE(Timeline!BE$30,$J127,$K127,$L127 )*INDEX('I&amp;E Profiles'!BE$96:BE$180,$I127))</f>
        <v>0</v>
      </c>
      <c r="BF127" s="10" cm="1">
        <f t="array" ref="BF127">IF(OR(BF$4=0, $G127&lt;&gt; $G$7, $E127=0), 'I&amp;E Monthly'!BF127, CHOOSE(Timeline!BF$30,$J127,$K127,$L127 )*INDEX('I&amp;E Profiles'!BF$96:BF$180,$I127))</f>
        <v>0</v>
      </c>
      <c r="BG127" s="10" cm="1">
        <f t="array" ref="BG127">IF(OR(BG$4=0, $G127&lt;&gt; $G$7, $E127=0), 'I&amp;E Monthly'!BG127, CHOOSE(Timeline!BG$30,$J127,$K127,$L127 )*INDEX('I&amp;E Profiles'!BG$96:BG$180,$I127))</f>
        <v>0</v>
      </c>
      <c r="BH127" s="10" cm="1">
        <f t="array" ref="BH127">IF(OR(BH$4=0, $G127&lt;&gt; $G$7, $E127=0), 'I&amp;E Monthly'!BH127, CHOOSE(Timeline!BH$30,$J127,$K127,$L127 )*INDEX('I&amp;E Profiles'!BH$96:BH$180,$I127))</f>
        <v>0</v>
      </c>
      <c r="BI127" s="10" cm="1">
        <f t="array" ref="BI127">IF(OR(BI$4=0, $G127&lt;&gt; $G$7, $E127=0), 'I&amp;E Monthly'!BI127, CHOOSE(Timeline!BI$30,$J127,$K127,$L127 )*INDEX('I&amp;E Profiles'!BI$96:BI$180,$I127))</f>
        <v>0</v>
      </c>
      <c r="BJ127" s="10" cm="1">
        <f t="array" ref="BJ127">IF(OR(BJ$4=0, $G127&lt;&gt; $G$7, $E127=0), 'I&amp;E Monthly'!BJ127, CHOOSE(Timeline!BJ$30,$J127,$K127,$L127 )*INDEX('I&amp;E Profiles'!BJ$96:BJ$180,$I127))</f>
        <v>0</v>
      </c>
      <c r="BX127" s="12">
        <f>V127</f>
        <v>0</v>
      </c>
      <c r="BY127" s="10">
        <f>SUMIFS($AA127:$BJ127, $AA$3:$BJ$3,BY$3)</f>
        <v>0</v>
      </c>
      <c r="BZ127" s="10">
        <f>SUMIFS($AA127:$BJ127, $AA$3:$BJ$3,BZ$3)</f>
        <v>0</v>
      </c>
      <c r="CA127" s="10">
        <f>SUMIFS($AA127:$BJ127, $AA$3:$BJ$3,CA$3)</f>
        <v>0</v>
      </c>
      <c r="CB127" s="12">
        <f>'I&amp;E Monthly'!CB127</f>
        <v>0</v>
      </c>
      <c r="CC127" s="12">
        <f>'I&amp;E Monthly'!CC127</f>
        <v>0</v>
      </c>
      <c r="CD127" s="12">
        <f>'I&amp;E Monthly'!CD127</f>
        <v>0</v>
      </c>
      <c r="CE127" s="12">
        <f>'I&amp;E Monthly'!CE127</f>
        <v>0</v>
      </c>
      <c r="CF127" s="12">
        <f>'I&amp;E Monthly'!CF127</f>
        <v>0</v>
      </c>
      <c r="CG127" s="12">
        <f>'I&amp;E Monthly'!CG127</f>
        <v>0</v>
      </c>
      <c r="CH127" s="12">
        <f>'I&amp;E Monthly'!CH127</f>
        <v>0</v>
      </c>
      <c r="CI127" s="12">
        <f>'I&amp;E Monthly'!CI127</f>
        <v>0</v>
      </c>
      <c r="CK127" s="11"/>
      <c r="CL127" s="221">
        <f ca="1">IF(MIN($V127:$CI127)&lt;0, 1, 0)*$I$7</f>
        <v>0</v>
      </c>
      <c r="CM127" s="11"/>
      <c r="CN127" s="7">
        <f>IF(AND($G127=$G$7,$E127=""), 1, 0)</f>
        <v>0</v>
      </c>
      <c r="CO127" s="7" cm="1">
        <f t="array" ref="CO127">SUMPRODUCT(--NOT(ISNUMBER(W127:Y127)),--NOT(ISBLANK(W127:Y127)))</f>
        <v>0</v>
      </c>
      <c r="CP127" s="7" cm="1">
        <f t="array" ref="CP127">IF(E127="",0, IF(IFERROR(INDEX('I&amp;E Profiles'!$D$96:$D$180, $I127), "N/A")="N/A", 1, 0))</f>
        <v>0</v>
      </c>
      <c r="CQ127" s="7">
        <f>IF(SUM($CV127:$CX127)=0, 0, 1)</f>
        <v>0</v>
      </c>
      <c r="CS127" s="7">
        <f>IF(SUM($CY127:$DA127)=0, 0, 1)</f>
        <v>0</v>
      </c>
      <c r="CT127" s="7">
        <f t="shared" si="153"/>
        <v>0</v>
      </c>
      <c r="CU127" s="11"/>
      <c r="CV127" s="215">
        <f>IF($G127=$G$7, ROUND(W127-SUMIFS($AA127:$BJ127, $AA$3:$BJ$3, W$3), rounding), 0)</f>
        <v>0</v>
      </c>
      <c r="CW127" s="215">
        <f>IF($G127=$G$7, ROUND(X127-SUMIFS($AA127:$BJ127, $AA$3:$BJ$3, X$3), rounding), 0)</f>
        <v>0</v>
      </c>
      <c r="CX127" s="215">
        <f>IF($G127=$G$7, ROUND(Y127-SUMIFS($AA127:$BJ127, $AA$3:$BJ$3, Y$3), rounding), 0)</f>
        <v>0</v>
      </c>
      <c r="CY127" s="215">
        <f>ROUND($BY127-SUMIFS($AA127:$BJ127, $AA$3:$BJ$3, $BY$3), rounding)</f>
        <v>0</v>
      </c>
      <c r="CZ127" s="215">
        <f>ROUND($BZ127-SUMIFS($AA127:$BJ127, $AA$3:$BJ$3, $BZ$3), rounding)</f>
        <v>0</v>
      </c>
      <c r="DA127" s="215">
        <f>ROUND($CA127-SUMIFS($AA127:$BJ127, $AA$3:$BJ$3, $CA$3), rounding)</f>
        <v>0</v>
      </c>
      <c r="DB127" s="215">
        <f>ROUND($V127-$BX127, rounding)</f>
        <v>0</v>
      </c>
      <c r="FN127" s="10" t="str">
        <f>IF($C127="","",$D127)</f>
        <v>Operational &amp; maintenance costs (excl. energy costs)</v>
      </c>
    </row>
    <row r="128" spans="1:170" x14ac:dyDescent="0.35">
      <c r="A128" s="220" cm="1">
        <f t="array" aca="1" ref="A128" ca="1">HYPERLINK(CONCATENATE("#",CELL("address",IF(MAX($CM128:$CU128)=0,A128,INDEX($CM128:$CU128,MATCH(1,$CM128:$CU128,0))))),MAX($CM128:$CU128))</f>
        <v>0</v>
      </c>
      <c r="B128" s="85"/>
      <c r="C128" s="213" t="s">
        <v>570</v>
      </c>
      <c r="D128" s="185" t="s">
        <v>425</v>
      </c>
      <c r="E128" s="114"/>
      <c r="F128" s="79" t="str" cm="1">
        <f t="array" aca="1" ref="F128" ca="1">IF(E128="", "", HYPERLINK(CONCATENATE("#",CELL("address",INDEX('I&amp;E Profiles'!$D$9:$D$93,'I&amp;E Annual'!I128))),E128))</f>
        <v/>
      </c>
      <c r="G128" s="114"/>
      <c r="H128" t="s">
        <v>403</v>
      </c>
      <c r="I128" s="132" t="str">
        <f>IF(E128="", "", MATCH(E128, 'I&amp;E Profiles'!$D$96:$D$180,0))</f>
        <v/>
      </c>
      <c r="J128" s="133">
        <f>IF($G128=$G$7, W128,'I&amp;E Monthly'!W128)-SUMIFS('I&amp;E Monthly'!$AA128:$BJ128, 'I&amp;E Monthly'!$AA$3:$BJ$3, 'I&amp;E Annual'!W$3, 'I&amp;E Monthly'!$AA$4:$BJ$4, 0)</f>
        <v>0</v>
      </c>
      <c r="K128" s="133">
        <f>IF($G128=$G$7, X128,'I&amp;E Monthly'!X128)-SUMIFS('I&amp;E Monthly'!$AA128:$BJ128, 'I&amp;E Monthly'!$AA$3:$BJ$3, 'I&amp;E Annual'!X$3, 'I&amp;E Monthly'!$AA$4:$BJ$4, 0)</f>
        <v>0</v>
      </c>
      <c r="L128" s="133">
        <f>IF($G128=$G$7, Y128,'I&amp;E Monthly'!Y128)-SUMIFS('I&amp;E Monthly'!$AA128:$BJ128, 'I&amp;E Monthly'!$AA$3:$BJ$3, 'I&amp;E Annual'!Y$3, 'I&amp;E Monthly'!$AA$4:$BJ$4, 0)</f>
        <v>0</v>
      </c>
      <c r="Q128" s="2"/>
      <c r="V128" s="133">
        <f>'I&amp;E Monthly'!V128</f>
        <v>0</v>
      </c>
      <c r="W128" s="114"/>
      <c r="X128" s="131"/>
      <c r="Y128" s="131"/>
      <c r="AA128" s="10" cm="1">
        <f t="array" ref="AA128">IF(OR(AA$4=0, $G128&lt;&gt; $G$7, $E128=0), 'I&amp;E Monthly'!AA128, CHOOSE(Timeline!AA$30,$J128,$K128,$L128 )*INDEX('I&amp;E Profiles'!AA$96:AA$180,$I128))</f>
        <v>0</v>
      </c>
      <c r="AB128" s="10" cm="1">
        <f t="array" ref="AB128">IF(OR(AB$4=0, $G128&lt;&gt; $G$7, $E128=0), 'I&amp;E Monthly'!AB128, CHOOSE(Timeline!AB$30,$J128,$K128,$L128 )*INDEX('I&amp;E Profiles'!AB$96:AB$180,$I128))</f>
        <v>0</v>
      </c>
      <c r="AC128" s="10" cm="1">
        <f t="array" ref="AC128">IF(OR(AC$4=0, $G128&lt;&gt; $G$7, $E128=0), 'I&amp;E Monthly'!AC128, CHOOSE(Timeline!AC$30,$J128,$K128,$L128 )*INDEX('I&amp;E Profiles'!AC$96:AC$180,$I128))</f>
        <v>0</v>
      </c>
      <c r="AD128" s="10" cm="1">
        <f t="array" ref="AD128">IF(OR(AD$4=0, $G128&lt;&gt; $G$7, $E128=0), 'I&amp;E Monthly'!AD128, CHOOSE(Timeline!AD$30,$J128,$K128,$L128 )*INDEX('I&amp;E Profiles'!AD$96:AD$180,$I128))</f>
        <v>0</v>
      </c>
      <c r="AE128" s="10" cm="1">
        <f t="array" ref="AE128">IF(OR(AE$4=0, $G128&lt;&gt; $G$7, $E128=0), 'I&amp;E Monthly'!AE128, CHOOSE(Timeline!AE$30,$J128,$K128,$L128 )*INDEX('I&amp;E Profiles'!AE$96:AE$180,$I128))</f>
        <v>0</v>
      </c>
      <c r="AF128" s="10" cm="1">
        <f t="array" ref="AF128">IF(OR(AF$4=0, $G128&lt;&gt; $G$7, $E128=0), 'I&amp;E Monthly'!AF128, CHOOSE(Timeline!AF$30,$J128,$K128,$L128 )*INDEX('I&amp;E Profiles'!AF$96:AF$180,$I128))</f>
        <v>0</v>
      </c>
      <c r="AG128" s="10" cm="1">
        <f t="array" ref="AG128">IF(OR(AG$4=0, $G128&lt;&gt; $G$7, $E128=0), 'I&amp;E Monthly'!AG128, CHOOSE(Timeline!AG$30,$J128,$K128,$L128 )*INDEX('I&amp;E Profiles'!AG$96:AG$180,$I128))</f>
        <v>0</v>
      </c>
      <c r="AH128" s="10" cm="1">
        <f t="array" ref="AH128">IF(OR(AH$4=0, $G128&lt;&gt; $G$7, $E128=0), 'I&amp;E Monthly'!AH128, CHOOSE(Timeline!AH$30,$J128,$K128,$L128 )*INDEX('I&amp;E Profiles'!AH$96:AH$180,$I128))</f>
        <v>0</v>
      </c>
      <c r="AI128" s="10" cm="1">
        <f t="array" ref="AI128">IF(OR(AI$4=0, $G128&lt;&gt; $G$7, $E128=0), 'I&amp;E Monthly'!AI128, CHOOSE(Timeline!AI$30,$J128,$K128,$L128 )*INDEX('I&amp;E Profiles'!AI$96:AI$180,$I128))</f>
        <v>0</v>
      </c>
      <c r="AJ128" s="10" cm="1">
        <f t="array" ref="AJ128">IF(OR(AJ$4=0, $G128&lt;&gt; $G$7, $E128=0), 'I&amp;E Monthly'!AJ128, CHOOSE(Timeline!AJ$30,$J128,$K128,$L128 )*INDEX('I&amp;E Profiles'!AJ$96:AJ$180,$I128))</f>
        <v>0</v>
      </c>
      <c r="AK128" s="10" cm="1">
        <f t="array" ref="AK128">IF(OR(AK$4=0, $G128&lt;&gt; $G$7, $E128=0), 'I&amp;E Monthly'!AK128, CHOOSE(Timeline!AK$30,$J128,$K128,$L128 )*INDEX('I&amp;E Profiles'!AK$96:AK$180,$I128))</f>
        <v>0</v>
      </c>
      <c r="AL128" s="10" cm="1">
        <f t="array" ref="AL128">IF(OR(AL$4=0, $G128&lt;&gt; $G$7, $E128=0), 'I&amp;E Monthly'!AL128, CHOOSE(Timeline!AL$30,$J128,$K128,$L128 )*INDEX('I&amp;E Profiles'!AL$96:AL$180,$I128))</f>
        <v>0</v>
      </c>
      <c r="AM128" s="10" cm="1">
        <f t="array" ref="AM128">IF(OR(AM$4=0, $G128&lt;&gt; $G$7, $E128=0), 'I&amp;E Monthly'!AM128, CHOOSE(Timeline!AM$30,$J128,$K128,$L128 )*INDEX('I&amp;E Profiles'!AM$96:AM$180,$I128))</f>
        <v>0</v>
      </c>
      <c r="AN128" s="10" cm="1">
        <f t="array" ref="AN128">IF(OR(AN$4=0, $G128&lt;&gt; $G$7, $E128=0), 'I&amp;E Monthly'!AN128, CHOOSE(Timeline!AN$30,$J128,$K128,$L128 )*INDEX('I&amp;E Profiles'!AN$96:AN$180,$I128))</f>
        <v>0</v>
      </c>
      <c r="AO128" s="10" cm="1">
        <f t="array" ref="AO128">IF(OR(AO$4=0, $G128&lt;&gt; $G$7, $E128=0), 'I&amp;E Monthly'!AO128, CHOOSE(Timeline!AO$30,$J128,$K128,$L128 )*INDEX('I&amp;E Profiles'!AO$96:AO$180,$I128))</f>
        <v>0</v>
      </c>
      <c r="AP128" s="10" cm="1">
        <f t="array" ref="AP128">IF(OR(AP$4=0, $G128&lt;&gt; $G$7, $E128=0), 'I&amp;E Monthly'!AP128, CHOOSE(Timeline!AP$30,$J128,$K128,$L128 )*INDEX('I&amp;E Profiles'!AP$96:AP$180,$I128))</f>
        <v>0</v>
      </c>
      <c r="AQ128" s="10" cm="1">
        <f t="array" ref="AQ128">IF(OR(AQ$4=0, $G128&lt;&gt; $G$7, $E128=0), 'I&amp;E Monthly'!AQ128, CHOOSE(Timeline!AQ$30,$J128,$K128,$L128 )*INDEX('I&amp;E Profiles'!AQ$96:AQ$180,$I128))</f>
        <v>0</v>
      </c>
      <c r="AR128" s="10" cm="1">
        <f t="array" ref="AR128">IF(OR(AR$4=0, $G128&lt;&gt; $G$7, $E128=0), 'I&amp;E Monthly'!AR128, CHOOSE(Timeline!AR$30,$J128,$K128,$L128 )*INDEX('I&amp;E Profiles'!AR$96:AR$180,$I128))</f>
        <v>0</v>
      </c>
      <c r="AS128" s="10" cm="1">
        <f t="array" ref="AS128">IF(OR(AS$4=0, $G128&lt;&gt; $G$7, $E128=0), 'I&amp;E Monthly'!AS128, CHOOSE(Timeline!AS$30,$J128,$K128,$L128 )*INDEX('I&amp;E Profiles'!AS$96:AS$180,$I128))</f>
        <v>0</v>
      </c>
      <c r="AT128" s="10" cm="1">
        <f t="array" ref="AT128">IF(OR(AT$4=0, $G128&lt;&gt; $G$7, $E128=0), 'I&amp;E Monthly'!AT128, CHOOSE(Timeline!AT$30,$J128,$K128,$L128 )*INDEX('I&amp;E Profiles'!AT$96:AT$180,$I128))</f>
        <v>0</v>
      </c>
      <c r="AU128" s="10" cm="1">
        <f t="array" ref="AU128">IF(OR(AU$4=0, $G128&lt;&gt; $G$7, $E128=0), 'I&amp;E Monthly'!AU128, CHOOSE(Timeline!AU$30,$J128,$K128,$L128 )*INDEX('I&amp;E Profiles'!AU$96:AU$180,$I128))</f>
        <v>0</v>
      </c>
      <c r="AV128" s="10" cm="1">
        <f t="array" ref="AV128">IF(OR(AV$4=0, $G128&lt;&gt; $G$7, $E128=0), 'I&amp;E Monthly'!AV128, CHOOSE(Timeline!AV$30,$J128,$K128,$L128 )*INDEX('I&amp;E Profiles'!AV$96:AV$180,$I128))</f>
        <v>0</v>
      </c>
      <c r="AW128" s="10" cm="1">
        <f t="array" ref="AW128">IF(OR(AW$4=0, $G128&lt;&gt; $G$7, $E128=0), 'I&amp;E Monthly'!AW128, CHOOSE(Timeline!AW$30,$J128,$K128,$L128 )*INDEX('I&amp;E Profiles'!AW$96:AW$180,$I128))</f>
        <v>0</v>
      </c>
      <c r="AX128" s="10" cm="1">
        <f t="array" ref="AX128">IF(OR(AX$4=0, $G128&lt;&gt; $G$7, $E128=0), 'I&amp;E Monthly'!AX128, CHOOSE(Timeline!AX$30,$J128,$K128,$L128 )*INDEX('I&amp;E Profiles'!AX$96:AX$180,$I128))</f>
        <v>0</v>
      </c>
      <c r="AY128" s="10" cm="1">
        <f t="array" ref="AY128">IF(OR(AY$4=0, $G128&lt;&gt; $G$7, $E128=0), 'I&amp;E Monthly'!AY128, CHOOSE(Timeline!AY$30,$J128,$K128,$L128 )*INDEX('I&amp;E Profiles'!AY$96:AY$180,$I128))</f>
        <v>0</v>
      </c>
      <c r="AZ128" s="10" cm="1">
        <f t="array" ref="AZ128">IF(OR(AZ$4=0, $G128&lt;&gt; $G$7, $E128=0), 'I&amp;E Monthly'!AZ128, CHOOSE(Timeline!AZ$30,$J128,$K128,$L128 )*INDEX('I&amp;E Profiles'!AZ$96:AZ$180,$I128))</f>
        <v>0</v>
      </c>
      <c r="BA128" s="10" cm="1">
        <f t="array" ref="BA128">IF(OR(BA$4=0, $G128&lt;&gt; $G$7, $E128=0), 'I&amp;E Monthly'!BA128, CHOOSE(Timeline!BA$30,$J128,$K128,$L128 )*INDEX('I&amp;E Profiles'!BA$96:BA$180,$I128))</f>
        <v>0</v>
      </c>
      <c r="BB128" s="10" cm="1">
        <f t="array" ref="BB128">IF(OR(BB$4=0, $G128&lt;&gt; $G$7, $E128=0), 'I&amp;E Monthly'!BB128, CHOOSE(Timeline!BB$30,$J128,$K128,$L128 )*INDEX('I&amp;E Profiles'!BB$96:BB$180,$I128))</f>
        <v>0</v>
      </c>
      <c r="BC128" s="10" cm="1">
        <f t="array" ref="BC128">IF(OR(BC$4=0, $G128&lt;&gt; $G$7, $E128=0), 'I&amp;E Monthly'!BC128, CHOOSE(Timeline!BC$30,$J128,$K128,$L128 )*INDEX('I&amp;E Profiles'!BC$96:BC$180,$I128))</f>
        <v>0</v>
      </c>
      <c r="BD128" s="10" cm="1">
        <f t="array" ref="BD128">IF(OR(BD$4=0, $G128&lt;&gt; $G$7, $E128=0), 'I&amp;E Monthly'!BD128, CHOOSE(Timeline!BD$30,$J128,$K128,$L128 )*INDEX('I&amp;E Profiles'!BD$96:BD$180,$I128))</f>
        <v>0</v>
      </c>
      <c r="BE128" s="10" cm="1">
        <f t="array" ref="BE128">IF(OR(BE$4=0, $G128&lt;&gt; $G$7, $E128=0), 'I&amp;E Monthly'!BE128, CHOOSE(Timeline!BE$30,$J128,$K128,$L128 )*INDEX('I&amp;E Profiles'!BE$96:BE$180,$I128))</f>
        <v>0</v>
      </c>
      <c r="BF128" s="10" cm="1">
        <f t="array" ref="BF128">IF(OR(BF$4=0, $G128&lt;&gt; $G$7, $E128=0), 'I&amp;E Monthly'!BF128, CHOOSE(Timeline!BF$30,$J128,$K128,$L128 )*INDEX('I&amp;E Profiles'!BF$96:BF$180,$I128))</f>
        <v>0</v>
      </c>
      <c r="BG128" s="10" cm="1">
        <f t="array" ref="BG128">IF(OR(BG$4=0, $G128&lt;&gt; $G$7, $E128=0), 'I&amp;E Monthly'!BG128, CHOOSE(Timeline!BG$30,$J128,$K128,$L128 )*INDEX('I&amp;E Profiles'!BG$96:BG$180,$I128))</f>
        <v>0</v>
      </c>
      <c r="BH128" s="10" cm="1">
        <f t="array" ref="BH128">IF(OR(BH$4=0, $G128&lt;&gt; $G$7, $E128=0), 'I&amp;E Monthly'!BH128, CHOOSE(Timeline!BH$30,$J128,$K128,$L128 )*INDEX('I&amp;E Profiles'!BH$96:BH$180,$I128))</f>
        <v>0</v>
      </c>
      <c r="BI128" s="10" cm="1">
        <f t="array" ref="BI128">IF(OR(BI$4=0, $G128&lt;&gt; $G$7, $E128=0), 'I&amp;E Monthly'!BI128, CHOOSE(Timeline!BI$30,$J128,$K128,$L128 )*INDEX('I&amp;E Profiles'!BI$96:BI$180,$I128))</f>
        <v>0</v>
      </c>
      <c r="BJ128" s="10" cm="1">
        <f t="array" ref="BJ128">IF(OR(BJ$4=0, $G128&lt;&gt; $G$7, $E128=0), 'I&amp;E Monthly'!BJ128, CHOOSE(Timeline!BJ$30,$J128,$K128,$L128 )*INDEX('I&amp;E Profiles'!BJ$96:BJ$180,$I128))</f>
        <v>0</v>
      </c>
      <c r="BX128" s="12">
        <f>V128</f>
        <v>0</v>
      </c>
      <c r="BY128" s="10">
        <f t="shared" si="139"/>
        <v>0</v>
      </c>
      <c r="BZ128" s="10">
        <f t="shared" si="139"/>
        <v>0</v>
      </c>
      <c r="CA128" s="10">
        <f t="shared" si="139"/>
        <v>0</v>
      </c>
      <c r="CB128" s="12">
        <f>'I&amp;E Monthly'!CB128</f>
        <v>0</v>
      </c>
      <c r="CC128" s="12">
        <f>'I&amp;E Monthly'!CC128</f>
        <v>0</v>
      </c>
      <c r="CD128" s="12">
        <f>'I&amp;E Monthly'!CD128</f>
        <v>0</v>
      </c>
      <c r="CE128" s="12">
        <f>'I&amp;E Monthly'!CE128</f>
        <v>0</v>
      </c>
      <c r="CF128" s="12">
        <f>'I&amp;E Monthly'!CF128</f>
        <v>0</v>
      </c>
      <c r="CG128" s="12">
        <f>'I&amp;E Monthly'!CG128</f>
        <v>0</v>
      </c>
      <c r="CH128" s="12">
        <f>'I&amp;E Monthly'!CH128</f>
        <v>0</v>
      </c>
      <c r="CI128" s="12">
        <f>'I&amp;E Monthly'!CI128</f>
        <v>0</v>
      </c>
      <c r="CK128" s="11"/>
      <c r="CL128" s="221">
        <f t="shared" ca="1" si="140"/>
        <v>0</v>
      </c>
      <c r="CM128" s="11"/>
      <c r="CN128" s="7">
        <f t="shared" si="141"/>
        <v>0</v>
      </c>
      <c r="CO128" s="7" cm="1">
        <f t="array" ref="CO128">SUMPRODUCT(--NOT(ISNUMBER(W128:Y128)),--NOT(ISBLANK(W128:Y128)))</f>
        <v>0</v>
      </c>
      <c r="CP128" s="7" cm="1">
        <f t="array" ref="CP128">IF(E128="",0, IF(IFERROR(INDEX('I&amp;E Profiles'!$D$96:$D$180, $I128), "N/A")="N/A", 1, 0))</f>
        <v>0</v>
      </c>
      <c r="CQ128" s="7">
        <f t="shared" si="142"/>
        <v>0</v>
      </c>
      <c r="CS128" s="7">
        <f t="shared" si="143"/>
        <v>0</v>
      </c>
      <c r="CT128" s="7">
        <f t="shared" si="153"/>
        <v>0</v>
      </c>
      <c r="CU128" s="11"/>
      <c r="CV128" s="215">
        <f t="shared" si="154"/>
        <v>0</v>
      </c>
      <c r="CW128" s="215">
        <f t="shared" si="154"/>
        <v>0</v>
      </c>
      <c r="CX128" s="215">
        <f t="shared" si="154"/>
        <v>0</v>
      </c>
      <c r="CY128" s="215">
        <f t="shared" si="148"/>
        <v>0</v>
      </c>
      <c r="CZ128" s="215">
        <f t="shared" si="149"/>
        <v>0</v>
      </c>
      <c r="DA128" s="215">
        <f t="shared" si="150"/>
        <v>0</v>
      </c>
      <c r="DB128" s="215">
        <f t="shared" si="151"/>
        <v>0</v>
      </c>
      <c r="FN128" s="10"/>
    </row>
    <row r="129" spans="1:170" x14ac:dyDescent="0.35">
      <c r="A129" s="220" cm="1">
        <f t="array" aca="1" ref="A129" ca="1">HYPERLINK(CONCATENATE("#",CELL("address",IF(MAX($CM129:$CU129)=0,A129,INDEX($CM129:$CU129,MATCH(1,$CM129:$CU129,0))))),MAX($CM129:$CU129))</f>
        <v>0</v>
      </c>
      <c r="B129" s="85"/>
      <c r="C129" s="213" t="s">
        <v>571</v>
      </c>
      <c r="D129" s="185" t="s">
        <v>426</v>
      </c>
      <c r="E129" s="114"/>
      <c r="F129" s="79" t="str" cm="1">
        <f t="array" aca="1" ref="F129" ca="1">IF(E129="", "", HYPERLINK(CONCATENATE("#",CELL("address",INDEX('I&amp;E Profiles'!$D$9:$D$93,'I&amp;E Annual'!I129))),E129))</f>
        <v/>
      </c>
      <c r="G129" s="114"/>
      <c r="H129" t="s">
        <v>403</v>
      </c>
      <c r="I129" s="132" t="str">
        <f>IF(E129="", "", MATCH(E129, 'I&amp;E Profiles'!$D$96:$D$180,0))</f>
        <v/>
      </c>
      <c r="J129" s="133">
        <f>IF($G129=$G$7, W129,'I&amp;E Monthly'!W129)-SUMIFS('I&amp;E Monthly'!$AA129:$BJ129, 'I&amp;E Monthly'!$AA$3:$BJ$3, 'I&amp;E Annual'!W$3, 'I&amp;E Monthly'!$AA$4:$BJ$4, 0)</f>
        <v>0</v>
      </c>
      <c r="K129" s="133">
        <f>IF($G129=$G$7, X129,'I&amp;E Monthly'!X129)-SUMIFS('I&amp;E Monthly'!$AA129:$BJ129, 'I&amp;E Monthly'!$AA$3:$BJ$3, 'I&amp;E Annual'!X$3, 'I&amp;E Monthly'!$AA$4:$BJ$4, 0)</f>
        <v>0</v>
      </c>
      <c r="L129" s="133">
        <f>IF($G129=$G$7, Y129,'I&amp;E Monthly'!Y129)-SUMIFS('I&amp;E Monthly'!$AA129:$BJ129, 'I&amp;E Monthly'!$AA$3:$BJ$3, 'I&amp;E Annual'!Y$3, 'I&amp;E Monthly'!$AA$4:$BJ$4, 0)</f>
        <v>0</v>
      </c>
      <c r="Q129" s="2"/>
      <c r="V129" s="133">
        <f>'I&amp;E Monthly'!V129</f>
        <v>0</v>
      </c>
      <c r="W129" s="114"/>
      <c r="X129" s="131"/>
      <c r="Y129" s="131"/>
      <c r="AA129" s="10" cm="1">
        <f t="array" ref="AA129">IF(OR(AA$4=0, $G129&lt;&gt; $G$7, $E129=0), 'I&amp;E Monthly'!AA129, CHOOSE(Timeline!AA$30,$J129,$K129,$L129 )*INDEX('I&amp;E Profiles'!AA$96:AA$180,$I129))</f>
        <v>0</v>
      </c>
      <c r="AB129" s="10" cm="1">
        <f t="array" ref="AB129">IF(OR(AB$4=0, $G129&lt;&gt; $G$7, $E129=0), 'I&amp;E Monthly'!AB129, CHOOSE(Timeline!AB$30,$J129,$K129,$L129 )*INDEX('I&amp;E Profiles'!AB$96:AB$180,$I129))</f>
        <v>0</v>
      </c>
      <c r="AC129" s="10" cm="1">
        <f t="array" ref="AC129">IF(OR(AC$4=0, $G129&lt;&gt; $G$7, $E129=0), 'I&amp;E Monthly'!AC129, CHOOSE(Timeline!AC$30,$J129,$K129,$L129 )*INDEX('I&amp;E Profiles'!AC$96:AC$180,$I129))</f>
        <v>0</v>
      </c>
      <c r="AD129" s="10" cm="1">
        <f t="array" ref="AD129">IF(OR(AD$4=0, $G129&lt;&gt; $G$7, $E129=0), 'I&amp;E Monthly'!AD129, CHOOSE(Timeline!AD$30,$J129,$K129,$L129 )*INDEX('I&amp;E Profiles'!AD$96:AD$180,$I129))</f>
        <v>0</v>
      </c>
      <c r="AE129" s="10" cm="1">
        <f t="array" ref="AE129">IF(OR(AE$4=0, $G129&lt;&gt; $G$7, $E129=0), 'I&amp;E Monthly'!AE129, CHOOSE(Timeline!AE$30,$J129,$K129,$L129 )*INDEX('I&amp;E Profiles'!AE$96:AE$180,$I129))</f>
        <v>0</v>
      </c>
      <c r="AF129" s="10" cm="1">
        <f t="array" ref="AF129">IF(OR(AF$4=0, $G129&lt;&gt; $G$7, $E129=0), 'I&amp;E Monthly'!AF129, CHOOSE(Timeline!AF$30,$J129,$K129,$L129 )*INDEX('I&amp;E Profiles'!AF$96:AF$180,$I129))</f>
        <v>0</v>
      </c>
      <c r="AG129" s="10" cm="1">
        <f t="array" ref="AG129">IF(OR(AG$4=0, $G129&lt;&gt; $G$7, $E129=0), 'I&amp;E Monthly'!AG129, CHOOSE(Timeline!AG$30,$J129,$K129,$L129 )*INDEX('I&amp;E Profiles'!AG$96:AG$180,$I129))</f>
        <v>0</v>
      </c>
      <c r="AH129" s="10" cm="1">
        <f t="array" ref="AH129">IF(OR(AH$4=0, $G129&lt;&gt; $G$7, $E129=0), 'I&amp;E Monthly'!AH129, CHOOSE(Timeline!AH$30,$J129,$K129,$L129 )*INDEX('I&amp;E Profiles'!AH$96:AH$180,$I129))</f>
        <v>0</v>
      </c>
      <c r="AI129" s="10" cm="1">
        <f t="array" ref="AI129">IF(OR(AI$4=0, $G129&lt;&gt; $G$7, $E129=0), 'I&amp;E Monthly'!AI129, CHOOSE(Timeline!AI$30,$J129,$K129,$L129 )*INDEX('I&amp;E Profiles'!AI$96:AI$180,$I129))</f>
        <v>0</v>
      </c>
      <c r="AJ129" s="10" cm="1">
        <f t="array" ref="AJ129">IF(OR(AJ$4=0, $G129&lt;&gt; $G$7, $E129=0), 'I&amp;E Monthly'!AJ129, CHOOSE(Timeline!AJ$30,$J129,$K129,$L129 )*INDEX('I&amp;E Profiles'!AJ$96:AJ$180,$I129))</f>
        <v>0</v>
      </c>
      <c r="AK129" s="10" cm="1">
        <f t="array" ref="AK129">IF(OR(AK$4=0, $G129&lt;&gt; $G$7, $E129=0), 'I&amp;E Monthly'!AK129, CHOOSE(Timeline!AK$30,$J129,$K129,$L129 )*INDEX('I&amp;E Profiles'!AK$96:AK$180,$I129))</f>
        <v>0</v>
      </c>
      <c r="AL129" s="10" cm="1">
        <f t="array" ref="AL129">IF(OR(AL$4=0, $G129&lt;&gt; $G$7, $E129=0), 'I&amp;E Monthly'!AL129, CHOOSE(Timeline!AL$30,$J129,$K129,$L129 )*INDEX('I&amp;E Profiles'!AL$96:AL$180,$I129))</f>
        <v>0</v>
      </c>
      <c r="AM129" s="10" cm="1">
        <f t="array" ref="AM129">IF(OR(AM$4=0, $G129&lt;&gt; $G$7, $E129=0), 'I&amp;E Monthly'!AM129, CHOOSE(Timeline!AM$30,$J129,$K129,$L129 )*INDEX('I&amp;E Profiles'!AM$96:AM$180,$I129))</f>
        <v>0</v>
      </c>
      <c r="AN129" s="10" cm="1">
        <f t="array" ref="AN129">IF(OR(AN$4=0, $G129&lt;&gt; $G$7, $E129=0), 'I&amp;E Monthly'!AN129, CHOOSE(Timeline!AN$30,$J129,$K129,$L129 )*INDEX('I&amp;E Profiles'!AN$96:AN$180,$I129))</f>
        <v>0</v>
      </c>
      <c r="AO129" s="10" cm="1">
        <f t="array" ref="AO129">IF(OR(AO$4=0, $G129&lt;&gt; $G$7, $E129=0), 'I&amp;E Monthly'!AO129, CHOOSE(Timeline!AO$30,$J129,$K129,$L129 )*INDEX('I&amp;E Profiles'!AO$96:AO$180,$I129))</f>
        <v>0</v>
      </c>
      <c r="AP129" s="10" cm="1">
        <f t="array" ref="AP129">IF(OR(AP$4=0, $G129&lt;&gt; $G$7, $E129=0), 'I&amp;E Monthly'!AP129, CHOOSE(Timeline!AP$30,$J129,$K129,$L129 )*INDEX('I&amp;E Profiles'!AP$96:AP$180,$I129))</f>
        <v>0</v>
      </c>
      <c r="AQ129" s="10" cm="1">
        <f t="array" ref="AQ129">IF(OR(AQ$4=0, $G129&lt;&gt; $G$7, $E129=0), 'I&amp;E Monthly'!AQ129, CHOOSE(Timeline!AQ$30,$J129,$K129,$L129 )*INDEX('I&amp;E Profiles'!AQ$96:AQ$180,$I129))</f>
        <v>0</v>
      </c>
      <c r="AR129" s="10" cm="1">
        <f t="array" ref="AR129">IF(OR(AR$4=0, $G129&lt;&gt; $G$7, $E129=0), 'I&amp;E Monthly'!AR129, CHOOSE(Timeline!AR$30,$J129,$K129,$L129 )*INDEX('I&amp;E Profiles'!AR$96:AR$180,$I129))</f>
        <v>0</v>
      </c>
      <c r="AS129" s="10" cm="1">
        <f t="array" ref="AS129">IF(OR(AS$4=0, $G129&lt;&gt; $G$7, $E129=0), 'I&amp;E Monthly'!AS129, CHOOSE(Timeline!AS$30,$J129,$K129,$L129 )*INDEX('I&amp;E Profiles'!AS$96:AS$180,$I129))</f>
        <v>0</v>
      </c>
      <c r="AT129" s="10" cm="1">
        <f t="array" ref="AT129">IF(OR(AT$4=0, $G129&lt;&gt; $G$7, $E129=0), 'I&amp;E Monthly'!AT129, CHOOSE(Timeline!AT$30,$J129,$K129,$L129 )*INDEX('I&amp;E Profiles'!AT$96:AT$180,$I129))</f>
        <v>0</v>
      </c>
      <c r="AU129" s="10" cm="1">
        <f t="array" ref="AU129">IF(OR(AU$4=0, $G129&lt;&gt; $G$7, $E129=0), 'I&amp;E Monthly'!AU129, CHOOSE(Timeline!AU$30,$J129,$K129,$L129 )*INDEX('I&amp;E Profiles'!AU$96:AU$180,$I129))</f>
        <v>0</v>
      </c>
      <c r="AV129" s="10" cm="1">
        <f t="array" ref="AV129">IF(OR(AV$4=0, $G129&lt;&gt; $G$7, $E129=0), 'I&amp;E Monthly'!AV129, CHOOSE(Timeline!AV$30,$J129,$K129,$L129 )*INDEX('I&amp;E Profiles'!AV$96:AV$180,$I129))</f>
        <v>0</v>
      </c>
      <c r="AW129" s="10" cm="1">
        <f t="array" ref="AW129">IF(OR(AW$4=0, $G129&lt;&gt; $G$7, $E129=0), 'I&amp;E Monthly'!AW129, CHOOSE(Timeline!AW$30,$J129,$K129,$L129 )*INDEX('I&amp;E Profiles'!AW$96:AW$180,$I129))</f>
        <v>0</v>
      </c>
      <c r="AX129" s="10" cm="1">
        <f t="array" ref="AX129">IF(OR(AX$4=0, $G129&lt;&gt; $G$7, $E129=0), 'I&amp;E Monthly'!AX129, CHOOSE(Timeline!AX$30,$J129,$K129,$L129 )*INDEX('I&amp;E Profiles'!AX$96:AX$180,$I129))</f>
        <v>0</v>
      </c>
      <c r="AY129" s="10" cm="1">
        <f t="array" ref="AY129">IF(OR(AY$4=0, $G129&lt;&gt; $G$7, $E129=0), 'I&amp;E Monthly'!AY129, CHOOSE(Timeline!AY$30,$J129,$K129,$L129 )*INDEX('I&amp;E Profiles'!AY$96:AY$180,$I129))</f>
        <v>0</v>
      </c>
      <c r="AZ129" s="10" cm="1">
        <f t="array" ref="AZ129">IF(OR(AZ$4=0, $G129&lt;&gt; $G$7, $E129=0), 'I&amp;E Monthly'!AZ129, CHOOSE(Timeline!AZ$30,$J129,$K129,$L129 )*INDEX('I&amp;E Profiles'!AZ$96:AZ$180,$I129))</f>
        <v>0</v>
      </c>
      <c r="BA129" s="10" cm="1">
        <f t="array" ref="BA129">IF(OR(BA$4=0, $G129&lt;&gt; $G$7, $E129=0), 'I&amp;E Monthly'!BA129, CHOOSE(Timeline!BA$30,$J129,$K129,$L129 )*INDEX('I&amp;E Profiles'!BA$96:BA$180,$I129))</f>
        <v>0</v>
      </c>
      <c r="BB129" s="10" cm="1">
        <f t="array" ref="BB129">IF(OR(BB$4=0, $G129&lt;&gt; $G$7, $E129=0), 'I&amp;E Monthly'!BB129, CHOOSE(Timeline!BB$30,$J129,$K129,$L129 )*INDEX('I&amp;E Profiles'!BB$96:BB$180,$I129))</f>
        <v>0</v>
      </c>
      <c r="BC129" s="10" cm="1">
        <f t="array" ref="BC129">IF(OR(BC$4=0, $G129&lt;&gt; $G$7, $E129=0), 'I&amp;E Monthly'!BC129, CHOOSE(Timeline!BC$30,$J129,$K129,$L129 )*INDEX('I&amp;E Profiles'!BC$96:BC$180,$I129))</f>
        <v>0</v>
      </c>
      <c r="BD129" s="10" cm="1">
        <f t="array" ref="BD129">IF(OR(BD$4=0, $G129&lt;&gt; $G$7, $E129=0), 'I&amp;E Monthly'!BD129, CHOOSE(Timeline!BD$30,$J129,$K129,$L129 )*INDEX('I&amp;E Profiles'!BD$96:BD$180,$I129))</f>
        <v>0</v>
      </c>
      <c r="BE129" s="10" cm="1">
        <f t="array" ref="BE129">IF(OR(BE$4=0, $G129&lt;&gt; $G$7, $E129=0), 'I&amp;E Monthly'!BE129, CHOOSE(Timeline!BE$30,$J129,$K129,$L129 )*INDEX('I&amp;E Profiles'!BE$96:BE$180,$I129))</f>
        <v>0</v>
      </c>
      <c r="BF129" s="10" cm="1">
        <f t="array" ref="BF129">IF(OR(BF$4=0, $G129&lt;&gt; $G$7, $E129=0), 'I&amp;E Monthly'!BF129, CHOOSE(Timeline!BF$30,$J129,$K129,$L129 )*INDEX('I&amp;E Profiles'!BF$96:BF$180,$I129))</f>
        <v>0</v>
      </c>
      <c r="BG129" s="10" cm="1">
        <f t="array" ref="BG129">IF(OR(BG$4=0, $G129&lt;&gt; $G$7, $E129=0), 'I&amp;E Monthly'!BG129, CHOOSE(Timeline!BG$30,$J129,$K129,$L129 )*INDEX('I&amp;E Profiles'!BG$96:BG$180,$I129))</f>
        <v>0</v>
      </c>
      <c r="BH129" s="10" cm="1">
        <f t="array" ref="BH129">IF(OR(BH$4=0, $G129&lt;&gt; $G$7, $E129=0), 'I&amp;E Monthly'!BH129, CHOOSE(Timeline!BH$30,$J129,$K129,$L129 )*INDEX('I&amp;E Profiles'!BH$96:BH$180,$I129))</f>
        <v>0</v>
      </c>
      <c r="BI129" s="10" cm="1">
        <f t="array" ref="BI129">IF(OR(BI$4=0, $G129&lt;&gt; $G$7, $E129=0), 'I&amp;E Monthly'!BI129, CHOOSE(Timeline!BI$30,$J129,$K129,$L129 )*INDEX('I&amp;E Profiles'!BI$96:BI$180,$I129))</f>
        <v>0</v>
      </c>
      <c r="BJ129" s="10" cm="1">
        <f t="array" ref="BJ129">IF(OR(BJ$4=0, $G129&lt;&gt; $G$7, $E129=0), 'I&amp;E Monthly'!BJ129, CHOOSE(Timeline!BJ$30,$J129,$K129,$L129 )*INDEX('I&amp;E Profiles'!BJ$96:BJ$180,$I129))</f>
        <v>0</v>
      </c>
      <c r="BX129" s="12">
        <f>V129</f>
        <v>0</v>
      </c>
      <c r="BY129" s="10">
        <f t="shared" si="139"/>
        <v>0</v>
      </c>
      <c r="BZ129" s="10">
        <f t="shared" si="139"/>
        <v>0</v>
      </c>
      <c r="CA129" s="10">
        <f t="shared" si="139"/>
        <v>0</v>
      </c>
      <c r="CB129" s="12">
        <f>'I&amp;E Monthly'!CB129</f>
        <v>0</v>
      </c>
      <c r="CC129" s="12">
        <f>'I&amp;E Monthly'!CC129</f>
        <v>0</v>
      </c>
      <c r="CD129" s="12">
        <f>'I&amp;E Monthly'!CD129</f>
        <v>0</v>
      </c>
      <c r="CE129" s="12">
        <f>'I&amp;E Monthly'!CE129</f>
        <v>0</v>
      </c>
      <c r="CF129" s="12">
        <f>'I&amp;E Monthly'!CF129</f>
        <v>0</v>
      </c>
      <c r="CG129" s="12">
        <f>'I&amp;E Monthly'!CG129</f>
        <v>0</v>
      </c>
      <c r="CH129" s="12">
        <f>'I&amp;E Monthly'!CH129</f>
        <v>0</v>
      </c>
      <c r="CI129" s="12">
        <f>'I&amp;E Monthly'!CI129</f>
        <v>0</v>
      </c>
      <c r="CK129" s="11"/>
      <c r="CL129" s="221">
        <f t="shared" ca="1" si="140"/>
        <v>0</v>
      </c>
      <c r="CM129" s="11"/>
      <c r="CN129" s="7">
        <f t="shared" si="141"/>
        <v>0</v>
      </c>
      <c r="CO129" s="7" cm="1">
        <f t="array" ref="CO129">SUMPRODUCT(--NOT(ISNUMBER(W129:Y129)),--NOT(ISBLANK(W129:Y129)))</f>
        <v>0</v>
      </c>
      <c r="CP129" s="7" cm="1">
        <f t="array" ref="CP129">IF(E129="",0, IF(IFERROR(INDEX('I&amp;E Profiles'!$D$96:$D$180, $I129), "N/A")="N/A", 1, 0))</f>
        <v>0</v>
      </c>
      <c r="CQ129" s="7">
        <f t="shared" si="142"/>
        <v>0</v>
      </c>
      <c r="CS129" s="7">
        <f t="shared" si="143"/>
        <v>0</v>
      </c>
      <c r="CT129" s="7">
        <f t="shared" si="153"/>
        <v>0</v>
      </c>
      <c r="CU129" s="11"/>
      <c r="CV129" s="215">
        <f t="shared" si="154"/>
        <v>0</v>
      </c>
      <c r="CW129" s="215">
        <f t="shared" si="154"/>
        <v>0</v>
      </c>
      <c r="CX129" s="215">
        <f t="shared" si="154"/>
        <v>0</v>
      </c>
      <c r="CY129" s="215">
        <f t="shared" si="148"/>
        <v>0</v>
      </c>
      <c r="CZ129" s="215">
        <f t="shared" si="149"/>
        <v>0</v>
      </c>
      <c r="DA129" s="215">
        <f t="shared" si="150"/>
        <v>0</v>
      </c>
      <c r="DB129" s="215">
        <f t="shared" si="151"/>
        <v>0</v>
      </c>
      <c r="FN129" s="10"/>
    </row>
    <row r="130" spans="1:170" x14ac:dyDescent="0.35">
      <c r="A130" s="220" cm="1">
        <f t="array" aca="1" ref="A130" ca="1">HYPERLINK(CONCATENATE("#",CELL("address",IF(MAX($CM130:$CU130)=0,A130,INDEX($CM130:$CU130,MATCH(1,$CM130:$CU130,0))))),MAX($CM130:$CU130))</f>
        <v>0</v>
      </c>
      <c r="B130" s="85"/>
      <c r="C130" s="213" t="s">
        <v>572</v>
      </c>
      <c r="D130" s="185" t="s">
        <v>427</v>
      </c>
      <c r="E130" s="114"/>
      <c r="F130" s="79" t="str" cm="1">
        <f t="array" aca="1" ref="F130" ca="1">IF(E130="", "", HYPERLINK(CONCATENATE("#",CELL("address",INDEX('I&amp;E Profiles'!$D$9:$D$93,'I&amp;E Annual'!I130))),E130))</f>
        <v/>
      </c>
      <c r="G130" s="114"/>
      <c r="H130" t="s">
        <v>403</v>
      </c>
      <c r="I130" s="132" t="str">
        <f>IF(E130="", "", MATCH(E130, 'I&amp;E Profiles'!$D$96:$D$180,0))</f>
        <v/>
      </c>
      <c r="J130" s="133">
        <f>IF($G130=$G$7, W130,'I&amp;E Monthly'!W130)-SUMIFS('I&amp;E Monthly'!$AA130:$BJ130, 'I&amp;E Monthly'!$AA$3:$BJ$3, 'I&amp;E Annual'!W$3, 'I&amp;E Monthly'!$AA$4:$BJ$4, 0)</f>
        <v>0</v>
      </c>
      <c r="K130" s="133">
        <f>IF($G130=$G$7, X130,'I&amp;E Monthly'!X130)-SUMIFS('I&amp;E Monthly'!$AA130:$BJ130, 'I&amp;E Monthly'!$AA$3:$BJ$3, 'I&amp;E Annual'!X$3, 'I&amp;E Monthly'!$AA$4:$BJ$4, 0)</f>
        <v>0</v>
      </c>
      <c r="L130" s="133">
        <f>IF($G130=$G$7, Y130,'I&amp;E Monthly'!Y130)-SUMIFS('I&amp;E Monthly'!$AA130:$BJ130, 'I&amp;E Monthly'!$AA$3:$BJ$3, 'I&amp;E Annual'!Y$3, 'I&amp;E Monthly'!$AA$4:$BJ$4, 0)</f>
        <v>0</v>
      </c>
      <c r="Q130" s="2"/>
      <c r="V130" s="133">
        <f>'I&amp;E Monthly'!V130</f>
        <v>0</v>
      </c>
      <c r="W130" s="114"/>
      <c r="X130" s="131"/>
      <c r="Y130" s="131"/>
      <c r="AA130" s="10" cm="1">
        <f t="array" ref="AA130">IF(OR(AA$4=0, $G130&lt;&gt; $G$7, $E130=0), 'I&amp;E Monthly'!AA130, CHOOSE(Timeline!AA$30,$J130,$K130,$L130 )*INDEX('I&amp;E Profiles'!AA$96:AA$180,$I130))</f>
        <v>0</v>
      </c>
      <c r="AB130" s="10" cm="1">
        <f t="array" ref="AB130">IF(OR(AB$4=0, $G130&lt;&gt; $G$7, $E130=0), 'I&amp;E Monthly'!AB130, CHOOSE(Timeline!AB$30,$J130,$K130,$L130 )*INDEX('I&amp;E Profiles'!AB$96:AB$180,$I130))</f>
        <v>0</v>
      </c>
      <c r="AC130" s="10" cm="1">
        <f t="array" ref="AC130">IF(OR(AC$4=0, $G130&lt;&gt; $G$7, $E130=0), 'I&amp;E Monthly'!AC130, CHOOSE(Timeline!AC$30,$J130,$K130,$L130 )*INDEX('I&amp;E Profiles'!AC$96:AC$180,$I130))</f>
        <v>0</v>
      </c>
      <c r="AD130" s="10" cm="1">
        <f t="array" ref="AD130">IF(OR(AD$4=0, $G130&lt;&gt; $G$7, $E130=0), 'I&amp;E Monthly'!AD130, CHOOSE(Timeline!AD$30,$J130,$K130,$L130 )*INDEX('I&amp;E Profiles'!AD$96:AD$180,$I130))</f>
        <v>0</v>
      </c>
      <c r="AE130" s="10" cm="1">
        <f t="array" ref="AE130">IF(OR(AE$4=0, $G130&lt;&gt; $G$7, $E130=0), 'I&amp;E Monthly'!AE130, CHOOSE(Timeline!AE$30,$J130,$K130,$L130 )*INDEX('I&amp;E Profiles'!AE$96:AE$180,$I130))</f>
        <v>0</v>
      </c>
      <c r="AF130" s="10" cm="1">
        <f t="array" ref="AF130">IF(OR(AF$4=0, $G130&lt;&gt; $G$7, $E130=0), 'I&amp;E Monthly'!AF130, CHOOSE(Timeline!AF$30,$J130,$K130,$L130 )*INDEX('I&amp;E Profiles'!AF$96:AF$180,$I130))</f>
        <v>0</v>
      </c>
      <c r="AG130" s="10" cm="1">
        <f t="array" ref="AG130">IF(OR(AG$4=0, $G130&lt;&gt; $G$7, $E130=0), 'I&amp;E Monthly'!AG130, CHOOSE(Timeline!AG$30,$J130,$K130,$L130 )*INDEX('I&amp;E Profiles'!AG$96:AG$180,$I130))</f>
        <v>0</v>
      </c>
      <c r="AH130" s="10" cm="1">
        <f t="array" ref="AH130">IF(OR(AH$4=0, $G130&lt;&gt; $G$7, $E130=0), 'I&amp;E Monthly'!AH130, CHOOSE(Timeline!AH$30,$J130,$K130,$L130 )*INDEX('I&amp;E Profiles'!AH$96:AH$180,$I130))</f>
        <v>0</v>
      </c>
      <c r="AI130" s="10" cm="1">
        <f t="array" ref="AI130">IF(OR(AI$4=0, $G130&lt;&gt; $G$7, $E130=0), 'I&amp;E Monthly'!AI130, CHOOSE(Timeline!AI$30,$J130,$K130,$L130 )*INDEX('I&amp;E Profiles'!AI$96:AI$180,$I130))</f>
        <v>0</v>
      </c>
      <c r="AJ130" s="10" cm="1">
        <f t="array" ref="AJ130">IF(OR(AJ$4=0, $G130&lt;&gt; $G$7, $E130=0), 'I&amp;E Monthly'!AJ130, CHOOSE(Timeline!AJ$30,$J130,$K130,$L130 )*INDEX('I&amp;E Profiles'!AJ$96:AJ$180,$I130))</f>
        <v>0</v>
      </c>
      <c r="AK130" s="10" cm="1">
        <f t="array" ref="AK130">IF(OR(AK$4=0, $G130&lt;&gt; $G$7, $E130=0), 'I&amp;E Monthly'!AK130, CHOOSE(Timeline!AK$30,$J130,$K130,$L130 )*INDEX('I&amp;E Profiles'!AK$96:AK$180,$I130))</f>
        <v>0</v>
      </c>
      <c r="AL130" s="10" cm="1">
        <f t="array" ref="AL130">IF(OR(AL$4=0, $G130&lt;&gt; $G$7, $E130=0), 'I&amp;E Monthly'!AL130, CHOOSE(Timeline!AL$30,$J130,$K130,$L130 )*INDEX('I&amp;E Profiles'!AL$96:AL$180,$I130))</f>
        <v>0</v>
      </c>
      <c r="AM130" s="10" cm="1">
        <f t="array" ref="AM130">IF(OR(AM$4=0, $G130&lt;&gt; $G$7, $E130=0), 'I&amp;E Monthly'!AM130, CHOOSE(Timeline!AM$30,$J130,$K130,$L130 )*INDEX('I&amp;E Profiles'!AM$96:AM$180,$I130))</f>
        <v>0</v>
      </c>
      <c r="AN130" s="10" cm="1">
        <f t="array" ref="AN130">IF(OR(AN$4=0, $G130&lt;&gt; $G$7, $E130=0), 'I&amp;E Monthly'!AN130, CHOOSE(Timeline!AN$30,$J130,$K130,$L130 )*INDEX('I&amp;E Profiles'!AN$96:AN$180,$I130))</f>
        <v>0</v>
      </c>
      <c r="AO130" s="10" cm="1">
        <f t="array" ref="AO130">IF(OR(AO$4=0, $G130&lt;&gt; $G$7, $E130=0), 'I&amp;E Monthly'!AO130, CHOOSE(Timeline!AO$30,$J130,$K130,$L130 )*INDEX('I&amp;E Profiles'!AO$96:AO$180,$I130))</f>
        <v>0</v>
      </c>
      <c r="AP130" s="10" cm="1">
        <f t="array" ref="AP130">IF(OR(AP$4=0, $G130&lt;&gt; $G$7, $E130=0), 'I&amp;E Monthly'!AP130, CHOOSE(Timeline!AP$30,$J130,$K130,$L130 )*INDEX('I&amp;E Profiles'!AP$96:AP$180,$I130))</f>
        <v>0</v>
      </c>
      <c r="AQ130" s="10" cm="1">
        <f t="array" ref="AQ130">IF(OR(AQ$4=0, $G130&lt;&gt; $G$7, $E130=0), 'I&amp;E Monthly'!AQ130, CHOOSE(Timeline!AQ$30,$J130,$K130,$L130 )*INDEX('I&amp;E Profiles'!AQ$96:AQ$180,$I130))</f>
        <v>0</v>
      </c>
      <c r="AR130" s="10" cm="1">
        <f t="array" ref="AR130">IF(OR(AR$4=0, $G130&lt;&gt; $G$7, $E130=0), 'I&amp;E Monthly'!AR130, CHOOSE(Timeline!AR$30,$J130,$K130,$L130 )*INDEX('I&amp;E Profiles'!AR$96:AR$180,$I130))</f>
        <v>0</v>
      </c>
      <c r="AS130" s="10" cm="1">
        <f t="array" ref="AS130">IF(OR(AS$4=0, $G130&lt;&gt; $G$7, $E130=0), 'I&amp;E Monthly'!AS130, CHOOSE(Timeline!AS$30,$J130,$K130,$L130 )*INDEX('I&amp;E Profiles'!AS$96:AS$180,$I130))</f>
        <v>0</v>
      </c>
      <c r="AT130" s="10" cm="1">
        <f t="array" ref="AT130">IF(OR(AT$4=0, $G130&lt;&gt; $G$7, $E130=0), 'I&amp;E Monthly'!AT130, CHOOSE(Timeline!AT$30,$J130,$K130,$L130 )*INDEX('I&amp;E Profiles'!AT$96:AT$180,$I130))</f>
        <v>0</v>
      </c>
      <c r="AU130" s="10" cm="1">
        <f t="array" ref="AU130">IF(OR(AU$4=0, $G130&lt;&gt; $G$7, $E130=0), 'I&amp;E Monthly'!AU130, CHOOSE(Timeline!AU$30,$J130,$K130,$L130 )*INDEX('I&amp;E Profiles'!AU$96:AU$180,$I130))</f>
        <v>0</v>
      </c>
      <c r="AV130" s="10" cm="1">
        <f t="array" ref="AV130">IF(OR(AV$4=0, $G130&lt;&gt; $G$7, $E130=0), 'I&amp;E Monthly'!AV130, CHOOSE(Timeline!AV$30,$J130,$K130,$L130 )*INDEX('I&amp;E Profiles'!AV$96:AV$180,$I130))</f>
        <v>0</v>
      </c>
      <c r="AW130" s="10" cm="1">
        <f t="array" ref="AW130">IF(OR(AW$4=0, $G130&lt;&gt; $G$7, $E130=0), 'I&amp;E Monthly'!AW130, CHOOSE(Timeline!AW$30,$J130,$K130,$L130 )*INDEX('I&amp;E Profiles'!AW$96:AW$180,$I130))</f>
        <v>0</v>
      </c>
      <c r="AX130" s="10" cm="1">
        <f t="array" ref="AX130">IF(OR(AX$4=0, $G130&lt;&gt; $G$7, $E130=0), 'I&amp;E Monthly'!AX130, CHOOSE(Timeline!AX$30,$J130,$K130,$L130 )*INDEX('I&amp;E Profiles'!AX$96:AX$180,$I130))</f>
        <v>0</v>
      </c>
      <c r="AY130" s="10" cm="1">
        <f t="array" ref="AY130">IF(OR(AY$4=0, $G130&lt;&gt; $G$7, $E130=0), 'I&amp;E Monthly'!AY130, CHOOSE(Timeline!AY$30,$J130,$K130,$L130 )*INDEX('I&amp;E Profiles'!AY$96:AY$180,$I130))</f>
        <v>0</v>
      </c>
      <c r="AZ130" s="10" cm="1">
        <f t="array" ref="AZ130">IF(OR(AZ$4=0, $G130&lt;&gt; $G$7, $E130=0), 'I&amp;E Monthly'!AZ130, CHOOSE(Timeline!AZ$30,$J130,$K130,$L130 )*INDEX('I&amp;E Profiles'!AZ$96:AZ$180,$I130))</f>
        <v>0</v>
      </c>
      <c r="BA130" s="10" cm="1">
        <f t="array" ref="BA130">IF(OR(BA$4=0, $G130&lt;&gt; $G$7, $E130=0), 'I&amp;E Monthly'!BA130, CHOOSE(Timeline!BA$30,$J130,$K130,$L130 )*INDEX('I&amp;E Profiles'!BA$96:BA$180,$I130))</f>
        <v>0</v>
      </c>
      <c r="BB130" s="10" cm="1">
        <f t="array" ref="BB130">IF(OR(BB$4=0, $G130&lt;&gt; $G$7, $E130=0), 'I&amp;E Monthly'!BB130, CHOOSE(Timeline!BB$30,$J130,$K130,$L130 )*INDEX('I&amp;E Profiles'!BB$96:BB$180,$I130))</f>
        <v>0</v>
      </c>
      <c r="BC130" s="10" cm="1">
        <f t="array" ref="BC130">IF(OR(BC$4=0, $G130&lt;&gt; $G$7, $E130=0), 'I&amp;E Monthly'!BC130, CHOOSE(Timeline!BC$30,$J130,$K130,$L130 )*INDEX('I&amp;E Profiles'!BC$96:BC$180,$I130))</f>
        <v>0</v>
      </c>
      <c r="BD130" s="10" cm="1">
        <f t="array" ref="BD130">IF(OR(BD$4=0, $G130&lt;&gt; $G$7, $E130=0), 'I&amp;E Monthly'!BD130, CHOOSE(Timeline!BD$30,$J130,$K130,$L130 )*INDEX('I&amp;E Profiles'!BD$96:BD$180,$I130))</f>
        <v>0</v>
      </c>
      <c r="BE130" s="10" cm="1">
        <f t="array" ref="BE130">IF(OR(BE$4=0, $G130&lt;&gt; $G$7, $E130=0), 'I&amp;E Monthly'!BE130, CHOOSE(Timeline!BE$30,$J130,$K130,$L130 )*INDEX('I&amp;E Profiles'!BE$96:BE$180,$I130))</f>
        <v>0</v>
      </c>
      <c r="BF130" s="10" cm="1">
        <f t="array" ref="BF130">IF(OR(BF$4=0, $G130&lt;&gt; $G$7, $E130=0), 'I&amp;E Monthly'!BF130, CHOOSE(Timeline!BF$30,$J130,$K130,$L130 )*INDEX('I&amp;E Profiles'!BF$96:BF$180,$I130))</f>
        <v>0</v>
      </c>
      <c r="BG130" s="10" cm="1">
        <f t="array" ref="BG130">IF(OR(BG$4=0, $G130&lt;&gt; $G$7, $E130=0), 'I&amp;E Monthly'!BG130, CHOOSE(Timeline!BG$30,$J130,$K130,$L130 )*INDEX('I&amp;E Profiles'!BG$96:BG$180,$I130))</f>
        <v>0</v>
      </c>
      <c r="BH130" s="10" cm="1">
        <f t="array" ref="BH130">IF(OR(BH$4=0, $G130&lt;&gt; $G$7, $E130=0), 'I&amp;E Monthly'!BH130, CHOOSE(Timeline!BH$30,$J130,$K130,$L130 )*INDEX('I&amp;E Profiles'!BH$96:BH$180,$I130))</f>
        <v>0</v>
      </c>
      <c r="BI130" s="10" cm="1">
        <f t="array" ref="BI130">IF(OR(BI$4=0, $G130&lt;&gt; $G$7, $E130=0), 'I&amp;E Monthly'!BI130, CHOOSE(Timeline!BI$30,$J130,$K130,$L130 )*INDEX('I&amp;E Profiles'!BI$96:BI$180,$I130))</f>
        <v>0</v>
      </c>
      <c r="BJ130" s="10" cm="1">
        <f t="array" ref="BJ130">IF(OR(BJ$4=0, $G130&lt;&gt; $G$7, $E130=0), 'I&amp;E Monthly'!BJ130, CHOOSE(Timeline!BJ$30,$J130,$K130,$L130 )*INDEX('I&amp;E Profiles'!BJ$96:BJ$180,$I130))</f>
        <v>0</v>
      </c>
      <c r="BX130" s="12">
        <f>V130</f>
        <v>0</v>
      </c>
      <c r="BY130" s="10">
        <f t="shared" si="139"/>
        <v>0</v>
      </c>
      <c r="BZ130" s="10">
        <f t="shared" si="139"/>
        <v>0</v>
      </c>
      <c r="CA130" s="10">
        <f t="shared" si="139"/>
        <v>0</v>
      </c>
      <c r="CB130" s="12">
        <f>'I&amp;E Monthly'!CB130</f>
        <v>0</v>
      </c>
      <c r="CC130" s="12">
        <f>'I&amp;E Monthly'!CC130</f>
        <v>0</v>
      </c>
      <c r="CD130" s="12">
        <f>'I&amp;E Monthly'!CD130</f>
        <v>0</v>
      </c>
      <c r="CE130" s="12">
        <f>'I&amp;E Monthly'!CE130</f>
        <v>0</v>
      </c>
      <c r="CF130" s="12">
        <f>'I&amp;E Monthly'!CF130</f>
        <v>0</v>
      </c>
      <c r="CG130" s="12">
        <f>'I&amp;E Monthly'!CG130</f>
        <v>0</v>
      </c>
      <c r="CH130" s="12">
        <f>'I&amp;E Monthly'!CH130</f>
        <v>0</v>
      </c>
      <c r="CI130" s="12">
        <f>'I&amp;E Monthly'!CI130</f>
        <v>0</v>
      </c>
      <c r="CK130" s="11"/>
      <c r="CL130" s="221">
        <f t="shared" ca="1" si="140"/>
        <v>0</v>
      </c>
      <c r="CM130" s="11"/>
      <c r="CN130" s="7">
        <f t="shared" si="141"/>
        <v>0</v>
      </c>
      <c r="CO130" s="7" cm="1">
        <f t="array" ref="CO130">SUMPRODUCT(--NOT(ISNUMBER(W130:Y130)),--NOT(ISBLANK(W130:Y130)))</f>
        <v>0</v>
      </c>
      <c r="CP130" s="7" cm="1">
        <f t="array" ref="CP130">IF(E130="",0, IF(IFERROR(INDEX('I&amp;E Profiles'!$D$96:$D$180, $I130), "N/A")="N/A", 1, 0))</f>
        <v>0</v>
      </c>
      <c r="CQ130" s="7">
        <f t="shared" si="142"/>
        <v>0</v>
      </c>
      <c r="CS130" s="7">
        <f t="shared" si="143"/>
        <v>0</v>
      </c>
      <c r="CT130" s="7">
        <f t="shared" si="153"/>
        <v>0</v>
      </c>
      <c r="CU130" s="11"/>
      <c r="CV130" s="215">
        <f t="shared" si="154"/>
        <v>0</v>
      </c>
      <c r="CW130" s="215">
        <f t="shared" si="154"/>
        <v>0</v>
      </c>
      <c r="CX130" s="215">
        <f t="shared" si="154"/>
        <v>0</v>
      </c>
      <c r="CY130" s="215">
        <f t="shared" si="148"/>
        <v>0</v>
      </c>
      <c r="CZ130" s="215">
        <f t="shared" si="149"/>
        <v>0</v>
      </c>
      <c r="DA130" s="215">
        <f t="shared" si="150"/>
        <v>0</v>
      </c>
      <c r="DB130" s="215">
        <f t="shared" si="151"/>
        <v>0</v>
      </c>
      <c r="FN130" s="10"/>
    </row>
    <row r="131" spans="1:170" x14ac:dyDescent="0.35">
      <c r="A131" s="220" cm="1">
        <f t="array" aca="1" ref="A131" ca="1">HYPERLINK(CONCATENATE("#",CELL("address",IF(MAX($CM131:$CU131)=0,A131,INDEX($CM131:$CU131,MATCH(1,$CM131:$CU131,0))))),MAX($CM131:$CU131))</f>
        <v>0</v>
      </c>
      <c r="B131" s="85"/>
      <c r="C131" s="213" t="s">
        <v>573</v>
      </c>
      <c r="D131" s="196" t="s">
        <v>428</v>
      </c>
      <c r="E131" s="120"/>
      <c r="F131" s="120"/>
      <c r="G131" s="120"/>
      <c r="H131" s="120"/>
      <c r="Q131" s="2"/>
      <c r="V131" s="10">
        <f>SUM(V128:V130)</f>
        <v>0</v>
      </c>
      <c r="W131" s="10">
        <f>SUM(W128:W130)</f>
        <v>0</v>
      </c>
      <c r="X131" s="10">
        <f>SUM(X128:X130)</f>
        <v>0</v>
      </c>
      <c r="Y131" s="10">
        <f>SUM(Y128:Y130)</f>
        <v>0</v>
      </c>
      <c r="AA131" s="10">
        <f>SUM(AA128:AA130)</f>
        <v>0</v>
      </c>
      <c r="AB131" s="10">
        <f t="shared" ref="AB131:BJ131" si="155">SUM(AB128:AB130)</f>
        <v>0</v>
      </c>
      <c r="AC131" s="10">
        <f t="shared" si="155"/>
        <v>0</v>
      </c>
      <c r="AD131" s="10">
        <f t="shared" si="155"/>
        <v>0</v>
      </c>
      <c r="AE131" s="10">
        <f t="shared" si="155"/>
        <v>0</v>
      </c>
      <c r="AF131" s="10">
        <f t="shared" si="155"/>
        <v>0</v>
      </c>
      <c r="AG131" s="10">
        <f t="shared" si="155"/>
        <v>0</v>
      </c>
      <c r="AH131" s="10">
        <f t="shared" si="155"/>
        <v>0</v>
      </c>
      <c r="AI131" s="10">
        <f t="shared" si="155"/>
        <v>0</v>
      </c>
      <c r="AJ131" s="10">
        <f t="shared" si="155"/>
        <v>0</v>
      </c>
      <c r="AK131" s="10">
        <f t="shared" si="155"/>
        <v>0</v>
      </c>
      <c r="AL131" s="10">
        <f t="shared" si="155"/>
        <v>0</v>
      </c>
      <c r="AM131" s="10">
        <f t="shared" si="155"/>
        <v>0</v>
      </c>
      <c r="AN131" s="10">
        <f t="shared" si="155"/>
        <v>0</v>
      </c>
      <c r="AO131" s="10">
        <f t="shared" si="155"/>
        <v>0</v>
      </c>
      <c r="AP131" s="10">
        <f t="shared" si="155"/>
        <v>0</v>
      </c>
      <c r="AQ131" s="10">
        <f t="shared" si="155"/>
        <v>0</v>
      </c>
      <c r="AR131" s="10">
        <f t="shared" si="155"/>
        <v>0</v>
      </c>
      <c r="AS131" s="10">
        <f t="shared" si="155"/>
        <v>0</v>
      </c>
      <c r="AT131" s="10">
        <f t="shared" si="155"/>
        <v>0</v>
      </c>
      <c r="AU131" s="10">
        <f t="shared" si="155"/>
        <v>0</v>
      </c>
      <c r="AV131" s="10">
        <f t="shared" si="155"/>
        <v>0</v>
      </c>
      <c r="AW131" s="10">
        <f t="shared" si="155"/>
        <v>0</v>
      </c>
      <c r="AX131" s="10">
        <f t="shared" si="155"/>
        <v>0</v>
      </c>
      <c r="AY131" s="10">
        <f t="shared" si="155"/>
        <v>0</v>
      </c>
      <c r="AZ131" s="10">
        <f t="shared" si="155"/>
        <v>0</v>
      </c>
      <c r="BA131" s="10">
        <f t="shared" si="155"/>
        <v>0</v>
      </c>
      <c r="BB131" s="10">
        <f t="shared" si="155"/>
        <v>0</v>
      </c>
      <c r="BC131" s="10">
        <f t="shared" si="155"/>
        <v>0</v>
      </c>
      <c r="BD131" s="10">
        <f t="shared" si="155"/>
        <v>0</v>
      </c>
      <c r="BE131" s="10">
        <f t="shared" si="155"/>
        <v>0</v>
      </c>
      <c r="BF131" s="10">
        <f t="shared" si="155"/>
        <v>0</v>
      </c>
      <c r="BG131" s="10">
        <f t="shared" si="155"/>
        <v>0</v>
      </c>
      <c r="BH131" s="10">
        <f t="shared" si="155"/>
        <v>0</v>
      </c>
      <c r="BI131" s="10">
        <f t="shared" si="155"/>
        <v>0</v>
      </c>
      <c r="BJ131" s="10">
        <f t="shared" si="155"/>
        <v>0</v>
      </c>
      <c r="BX131" s="12">
        <f>SUM(BX128:BX130)</f>
        <v>0</v>
      </c>
      <c r="BY131" s="10">
        <f>SUM(BY128:BY130)</f>
        <v>0</v>
      </c>
      <c r="BZ131" s="10">
        <f>SUM(BZ128:BZ130)</f>
        <v>0</v>
      </c>
      <c r="CA131" s="10">
        <f>SUM(CA128:CA130)</f>
        <v>0</v>
      </c>
      <c r="CB131" s="12">
        <f>SUM(CB128:CB130)</f>
        <v>0</v>
      </c>
      <c r="CC131" s="12">
        <f t="shared" ref="CC131:CI131" si="156">SUM(CC128:CC130)</f>
        <v>0</v>
      </c>
      <c r="CD131" s="12">
        <f t="shared" si="156"/>
        <v>0</v>
      </c>
      <c r="CE131" s="12">
        <f t="shared" si="156"/>
        <v>0</v>
      </c>
      <c r="CF131" s="12">
        <f t="shared" si="156"/>
        <v>0</v>
      </c>
      <c r="CG131" s="12">
        <f t="shared" si="156"/>
        <v>0</v>
      </c>
      <c r="CH131" s="12">
        <f t="shared" si="156"/>
        <v>0</v>
      </c>
      <c r="CI131" s="12">
        <f t="shared" si="156"/>
        <v>0</v>
      </c>
      <c r="CK131" s="11"/>
      <c r="CL131" s="221">
        <f t="shared" ca="1" si="140"/>
        <v>0</v>
      </c>
      <c r="CM131" s="11"/>
      <c r="CN131" s="7">
        <f t="shared" si="141"/>
        <v>0</v>
      </c>
      <c r="CO131" s="7" cm="1">
        <f t="array" ref="CO131">SUMPRODUCT(--NOT(ISNUMBER(W131:Y131)),--NOT(ISBLANK(W131:Y131)))</f>
        <v>0</v>
      </c>
      <c r="CP131" s="7" cm="1">
        <f t="array" ref="CP131">IF(E131="",0, IF(IFERROR(INDEX('I&amp;E Profiles'!$D$96:$D$180, $I131), "N/A")="N/A", 1, 0))</f>
        <v>0</v>
      </c>
      <c r="CQ131" s="7">
        <f t="shared" si="142"/>
        <v>0</v>
      </c>
      <c r="CS131" s="7">
        <f t="shared" si="143"/>
        <v>0</v>
      </c>
      <c r="CT131" s="7">
        <f t="shared" si="153"/>
        <v>0</v>
      </c>
      <c r="CU131" s="11"/>
      <c r="CV131" s="215">
        <f t="shared" si="154"/>
        <v>0</v>
      </c>
      <c r="CW131" s="215">
        <f t="shared" si="154"/>
        <v>0</v>
      </c>
      <c r="CX131" s="215">
        <f t="shared" si="154"/>
        <v>0</v>
      </c>
      <c r="CY131" s="215">
        <f t="shared" si="148"/>
        <v>0</v>
      </c>
      <c r="CZ131" s="215">
        <f t="shared" si="149"/>
        <v>0</v>
      </c>
      <c r="DA131" s="215">
        <f t="shared" si="150"/>
        <v>0</v>
      </c>
      <c r="DB131" s="215">
        <f t="shared" si="151"/>
        <v>0</v>
      </c>
      <c r="FN131" s="10"/>
    </row>
    <row r="132" spans="1:170" x14ac:dyDescent="0.35">
      <c r="A132" s="220" cm="1">
        <f t="array" aca="1" ref="A132" ca="1">HYPERLINK(CONCATENATE("#",CELL("address",IF(MAX($CM132:$CU132)=0,A132,INDEX($CM132:$CU132,MATCH(1,$CM132:$CU132,0))))),MAX($CM132:$CU132))</f>
        <v>0</v>
      </c>
      <c r="C132" s="213" t="s">
        <v>574</v>
      </c>
      <c r="D132" s="24" t="s">
        <v>429</v>
      </c>
      <c r="E132" s="5"/>
      <c r="Q132" s="2"/>
      <c r="V132" s="12">
        <f>SUM(V117:V127)+V131</f>
        <v>0</v>
      </c>
      <c r="W132" s="12">
        <f t="shared" ref="W132:Y132" si="157">SUM(W117:W127)+W131</f>
        <v>0</v>
      </c>
      <c r="X132" s="12">
        <f t="shared" si="157"/>
        <v>0</v>
      </c>
      <c r="Y132" s="12">
        <f t="shared" si="157"/>
        <v>0</v>
      </c>
      <c r="AA132" s="12">
        <f>SUM(AA117:AA127)+AA131</f>
        <v>0</v>
      </c>
      <c r="AB132" s="12">
        <f t="shared" ref="AB132:BI132" si="158">SUM(AB117:AB127)+AB131</f>
        <v>0</v>
      </c>
      <c r="AC132" s="12">
        <f t="shared" si="158"/>
        <v>0</v>
      </c>
      <c r="AD132" s="12">
        <f t="shared" si="158"/>
        <v>0</v>
      </c>
      <c r="AE132" s="12">
        <f t="shared" si="158"/>
        <v>0</v>
      </c>
      <c r="AF132" s="12">
        <f t="shared" si="158"/>
        <v>0</v>
      </c>
      <c r="AG132" s="12">
        <f t="shared" si="158"/>
        <v>0</v>
      </c>
      <c r="AH132" s="12">
        <f t="shared" si="158"/>
        <v>0</v>
      </c>
      <c r="AI132" s="12">
        <f t="shared" si="158"/>
        <v>0</v>
      </c>
      <c r="AJ132" s="12">
        <f t="shared" si="158"/>
        <v>0</v>
      </c>
      <c r="AK132" s="12">
        <f t="shared" si="158"/>
        <v>0</v>
      </c>
      <c r="AL132" s="12">
        <f t="shared" si="158"/>
        <v>0</v>
      </c>
      <c r="AM132" s="12">
        <f t="shared" si="158"/>
        <v>0</v>
      </c>
      <c r="AN132" s="12">
        <f t="shared" si="158"/>
        <v>0</v>
      </c>
      <c r="AO132" s="12">
        <f t="shared" si="158"/>
        <v>0</v>
      </c>
      <c r="AP132" s="12">
        <f t="shared" si="158"/>
        <v>0</v>
      </c>
      <c r="AQ132" s="12">
        <f t="shared" si="158"/>
        <v>0</v>
      </c>
      <c r="AR132" s="12">
        <f t="shared" si="158"/>
        <v>0</v>
      </c>
      <c r="AS132" s="12">
        <f t="shared" si="158"/>
        <v>0</v>
      </c>
      <c r="AT132" s="12">
        <f t="shared" si="158"/>
        <v>0</v>
      </c>
      <c r="AU132" s="12">
        <f t="shared" si="158"/>
        <v>0</v>
      </c>
      <c r="AV132" s="12">
        <f t="shared" si="158"/>
        <v>0</v>
      </c>
      <c r="AW132" s="12">
        <f t="shared" si="158"/>
        <v>0</v>
      </c>
      <c r="AX132" s="12">
        <f t="shared" si="158"/>
        <v>0</v>
      </c>
      <c r="AY132" s="12">
        <f t="shared" si="158"/>
        <v>0</v>
      </c>
      <c r="AZ132" s="12">
        <f t="shared" si="158"/>
        <v>0</v>
      </c>
      <c r="BA132" s="12">
        <f t="shared" si="158"/>
        <v>0</v>
      </c>
      <c r="BB132" s="12">
        <f t="shared" si="158"/>
        <v>0</v>
      </c>
      <c r="BC132" s="12">
        <f t="shared" si="158"/>
        <v>0</v>
      </c>
      <c r="BD132" s="12">
        <f t="shared" si="158"/>
        <v>0</v>
      </c>
      <c r="BE132" s="12">
        <f t="shared" si="158"/>
        <v>0</v>
      </c>
      <c r="BF132" s="12">
        <f t="shared" si="158"/>
        <v>0</v>
      </c>
      <c r="BG132" s="12">
        <f t="shared" si="158"/>
        <v>0</v>
      </c>
      <c r="BH132" s="12">
        <f t="shared" si="158"/>
        <v>0</v>
      </c>
      <c r="BI132" s="12">
        <f t="shared" si="158"/>
        <v>0</v>
      </c>
      <c r="BJ132" s="12">
        <f>SUM(BJ117:BJ127)+BJ131</f>
        <v>0</v>
      </c>
      <c r="BX132" s="12">
        <f>SUM(BX117:BX127)+BX131</f>
        <v>0</v>
      </c>
      <c r="BY132" s="12">
        <f t="shared" ref="BY132:CI132" si="159">SUM(BY117:BY127)+BY131</f>
        <v>0</v>
      </c>
      <c r="BZ132" s="12">
        <f t="shared" si="159"/>
        <v>0</v>
      </c>
      <c r="CA132" s="12">
        <f t="shared" si="159"/>
        <v>0</v>
      </c>
      <c r="CB132" s="12">
        <f t="shared" si="159"/>
        <v>0</v>
      </c>
      <c r="CC132" s="12">
        <f t="shared" si="159"/>
        <v>0</v>
      </c>
      <c r="CD132" s="12">
        <f t="shared" si="159"/>
        <v>0</v>
      </c>
      <c r="CE132" s="12">
        <f t="shared" si="159"/>
        <v>0</v>
      </c>
      <c r="CF132" s="12">
        <f t="shared" si="159"/>
        <v>0</v>
      </c>
      <c r="CG132" s="12">
        <f t="shared" si="159"/>
        <v>0</v>
      </c>
      <c r="CH132" s="12">
        <f t="shared" si="159"/>
        <v>0</v>
      </c>
      <c r="CI132" s="12">
        <f t="shared" si="159"/>
        <v>0</v>
      </c>
      <c r="CK132" s="11"/>
      <c r="CL132" s="221">
        <f ca="1">IF(MIN($V132:$CI132)&lt;0, 1, 0)*$I$7</f>
        <v>0</v>
      </c>
      <c r="CM132" s="11"/>
      <c r="CQ132" s="7">
        <f t="shared" si="142"/>
        <v>0</v>
      </c>
      <c r="CS132" s="7">
        <f t="shared" si="143"/>
        <v>0</v>
      </c>
      <c r="CT132" s="7">
        <f t="shared" si="144"/>
        <v>0</v>
      </c>
      <c r="CU132" s="11"/>
      <c r="CV132" s="215">
        <f t="shared" si="145"/>
        <v>0</v>
      </c>
      <c r="CW132" s="215">
        <f t="shared" si="146"/>
        <v>0</v>
      </c>
      <c r="CX132" s="215">
        <f t="shared" si="147"/>
        <v>0</v>
      </c>
      <c r="CY132" s="215">
        <f t="shared" si="148"/>
        <v>0</v>
      </c>
      <c r="CZ132" s="215">
        <f t="shared" si="149"/>
        <v>0</v>
      </c>
      <c r="DA132" s="215">
        <f t="shared" si="150"/>
        <v>0</v>
      </c>
      <c r="DB132" s="215">
        <f t="shared" si="151"/>
        <v>0</v>
      </c>
      <c r="FN132" s="10" t="str">
        <f t="shared" si="135"/>
        <v>Total Other operating expenditure</v>
      </c>
    </row>
    <row r="133" spans="1:170" ht="6.75" customHeight="1" x14ac:dyDescent="0.35">
      <c r="C133" s="250"/>
      <c r="Q133" s="2"/>
      <c r="BY133" s="6"/>
      <c r="CK133" s="35"/>
      <c r="CM133" s="35"/>
      <c r="CQ133" s="7"/>
      <c r="CS133" s="7"/>
      <c r="CT133" s="7"/>
      <c r="CU133" s="35"/>
      <c r="FN133" s="10" t="str">
        <f t="shared" si="135"/>
        <v/>
      </c>
    </row>
    <row r="134" spans="1:170" x14ac:dyDescent="0.35">
      <c r="B134" s="5"/>
      <c r="C134" s="235"/>
      <c r="D134" s="24" t="s">
        <v>430</v>
      </c>
      <c r="E134" s="5"/>
      <c r="Q134" s="2"/>
      <c r="CK134" s="11"/>
      <c r="CM134" s="11"/>
      <c r="CQ134" s="7"/>
      <c r="CS134" s="7"/>
      <c r="CT134" s="7"/>
      <c r="CU134" s="11"/>
      <c r="FN134" s="10" t="str">
        <f t="shared" si="135"/>
        <v/>
      </c>
    </row>
    <row r="135" spans="1:170" x14ac:dyDescent="0.35">
      <c r="A135" s="220" cm="1">
        <f t="array" aca="1" ref="A135" ca="1">HYPERLINK(CONCATENATE("#",CELL("address",IF(MAX($CM135:$CU135)=0,A135,INDEX($CM135:$CU135,MATCH(1,$CM135:$CU135,0))))),MAX($CM135:$CU135))</f>
        <v>0</v>
      </c>
      <c r="C135" s="213" t="s">
        <v>575</v>
      </c>
      <c r="D135" s="1" t="s">
        <v>431</v>
      </c>
      <c r="E135" s="114"/>
      <c r="F135" s="79" t="str" cm="1">
        <f t="array" aca="1" ref="F135" ca="1">IF(E135="", "", HYPERLINK(CONCATENATE("#",CELL("address",INDEX('I&amp;E Profiles'!$D$9:$D$93,'I&amp;E Annual'!I135))),E135))</f>
        <v/>
      </c>
      <c r="G135" s="114"/>
      <c r="H135" s="120" t="s">
        <v>403</v>
      </c>
      <c r="I135" s="132" t="str">
        <f>IF(E135="", "", MATCH(E135, 'I&amp;E Profiles'!$D$96:$D$180,0))</f>
        <v/>
      </c>
      <c r="J135" s="133">
        <f>IF($G135=$G$7, W135,'I&amp;E Monthly'!W135)-SUMIFS('I&amp;E Monthly'!$AA135:$BJ135, 'I&amp;E Monthly'!$AA$3:$BJ$3, 'I&amp;E Annual'!W$3, 'I&amp;E Monthly'!$AA$4:$BJ$4, 0)</f>
        <v>0</v>
      </c>
      <c r="K135" s="133">
        <f>IF($G135=$G$7, X135,'I&amp;E Monthly'!X135)-SUMIFS('I&amp;E Monthly'!$AA135:$BJ135, 'I&amp;E Monthly'!$AA$3:$BJ$3, 'I&amp;E Annual'!X$3, 'I&amp;E Monthly'!$AA$4:$BJ$4, 0)</f>
        <v>0</v>
      </c>
      <c r="L135" s="133">
        <f>IF($G135=$G$7, Y135,'I&amp;E Monthly'!Y135)-SUMIFS('I&amp;E Monthly'!$AA135:$BJ135, 'I&amp;E Monthly'!$AA$3:$BJ$3, 'I&amp;E Annual'!Y$3, 'I&amp;E Monthly'!$AA$4:$BJ$4, 0)</f>
        <v>0</v>
      </c>
      <c r="Q135" s="2"/>
      <c r="V135" s="133">
        <f>'I&amp;E Monthly'!V135</f>
        <v>0</v>
      </c>
      <c r="W135" s="114"/>
      <c r="X135" s="131"/>
      <c r="Y135" s="131"/>
      <c r="AA135" s="10" cm="1">
        <f t="array" ref="AA135">IF(OR(AA$4=0, $G135&lt;&gt; $G$7, $E135=0), 'I&amp;E Monthly'!AA135, CHOOSE(Timeline!AA$30,$J135,$K135,$L135 )*INDEX('I&amp;E Profiles'!AA$96:AA$180,$I135))</f>
        <v>0</v>
      </c>
      <c r="AB135" s="10" cm="1">
        <f t="array" ref="AB135">IF(OR(AB$4=0, $G135&lt;&gt; $G$7, $E135=0), 'I&amp;E Monthly'!AB135, CHOOSE(Timeline!AB$30,$J135,$K135,$L135 )*INDEX('I&amp;E Profiles'!AB$96:AB$180,$I135))</f>
        <v>0</v>
      </c>
      <c r="AC135" s="10" cm="1">
        <f t="array" ref="AC135">IF(OR(AC$4=0, $G135&lt;&gt; $G$7, $E135=0), 'I&amp;E Monthly'!AC135, CHOOSE(Timeline!AC$30,$J135,$K135,$L135 )*INDEX('I&amp;E Profiles'!AC$96:AC$180,$I135))</f>
        <v>0</v>
      </c>
      <c r="AD135" s="10" cm="1">
        <f t="array" ref="AD135">IF(OR(AD$4=0, $G135&lt;&gt; $G$7, $E135=0), 'I&amp;E Monthly'!AD135, CHOOSE(Timeline!AD$30,$J135,$K135,$L135 )*INDEX('I&amp;E Profiles'!AD$96:AD$180,$I135))</f>
        <v>0</v>
      </c>
      <c r="AE135" s="10" cm="1">
        <f t="array" ref="AE135">IF(OR(AE$4=0, $G135&lt;&gt; $G$7, $E135=0), 'I&amp;E Monthly'!AE135, CHOOSE(Timeline!AE$30,$J135,$K135,$L135 )*INDEX('I&amp;E Profiles'!AE$96:AE$180,$I135))</f>
        <v>0</v>
      </c>
      <c r="AF135" s="10" cm="1">
        <f t="array" ref="AF135">IF(OR(AF$4=0, $G135&lt;&gt; $G$7, $E135=0), 'I&amp;E Monthly'!AF135, CHOOSE(Timeline!AF$30,$J135,$K135,$L135 )*INDEX('I&amp;E Profiles'!AF$96:AF$180,$I135))</f>
        <v>0</v>
      </c>
      <c r="AG135" s="10" cm="1">
        <f t="array" ref="AG135">IF(OR(AG$4=0, $G135&lt;&gt; $G$7, $E135=0), 'I&amp;E Monthly'!AG135, CHOOSE(Timeline!AG$30,$J135,$K135,$L135 )*INDEX('I&amp;E Profiles'!AG$96:AG$180,$I135))</f>
        <v>0</v>
      </c>
      <c r="AH135" s="10" cm="1">
        <f t="array" ref="AH135">IF(OR(AH$4=0, $G135&lt;&gt; $G$7, $E135=0), 'I&amp;E Monthly'!AH135, CHOOSE(Timeline!AH$30,$J135,$K135,$L135 )*INDEX('I&amp;E Profiles'!AH$96:AH$180,$I135))</f>
        <v>0</v>
      </c>
      <c r="AI135" s="10" cm="1">
        <f t="array" ref="AI135">IF(OR(AI$4=0, $G135&lt;&gt; $G$7, $E135=0), 'I&amp;E Monthly'!AI135, CHOOSE(Timeline!AI$30,$J135,$K135,$L135 )*INDEX('I&amp;E Profiles'!AI$96:AI$180,$I135))</f>
        <v>0</v>
      </c>
      <c r="AJ135" s="10" cm="1">
        <f t="array" ref="AJ135">IF(OR(AJ$4=0, $G135&lt;&gt; $G$7, $E135=0), 'I&amp;E Monthly'!AJ135, CHOOSE(Timeline!AJ$30,$J135,$K135,$L135 )*INDEX('I&amp;E Profiles'!AJ$96:AJ$180,$I135))</f>
        <v>0</v>
      </c>
      <c r="AK135" s="10" cm="1">
        <f t="array" ref="AK135">IF(OR(AK$4=0, $G135&lt;&gt; $G$7, $E135=0), 'I&amp;E Monthly'!AK135, CHOOSE(Timeline!AK$30,$J135,$K135,$L135 )*INDEX('I&amp;E Profiles'!AK$96:AK$180,$I135))</f>
        <v>0</v>
      </c>
      <c r="AL135" s="10" cm="1">
        <f t="array" ref="AL135">IF(OR(AL$4=0, $G135&lt;&gt; $G$7, $E135=0), 'I&amp;E Monthly'!AL135, CHOOSE(Timeline!AL$30,$J135,$K135,$L135 )*INDEX('I&amp;E Profiles'!AL$96:AL$180,$I135))</f>
        <v>0</v>
      </c>
      <c r="AM135" s="10" cm="1">
        <f t="array" ref="AM135">IF(OR(AM$4=0, $G135&lt;&gt; $G$7, $E135=0), 'I&amp;E Monthly'!AM135, CHOOSE(Timeline!AM$30,$J135,$K135,$L135 )*INDEX('I&amp;E Profiles'!AM$96:AM$180,$I135))</f>
        <v>0</v>
      </c>
      <c r="AN135" s="10" cm="1">
        <f t="array" ref="AN135">IF(OR(AN$4=0, $G135&lt;&gt; $G$7, $E135=0), 'I&amp;E Monthly'!AN135, CHOOSE(Timeline!AN$30,$J135,$K135,$L135 )*INDEX('I&amp;E Profiles'!AN$96:AN$180,$I135))</f>
        <v>0</v>
      </c>
      <c r="AO135" s="10" cm="1">
        <f t="array" ref="AO135">IF(OR(AO$4=0, $G135&lt;&gt; $G$7, $E135=0), 'I&amp;E Monthly'!AO135, CHOOSE(Timeline!AO$30,$J135,$K135,$L135 )*INDEX('I&amp;E Profiles'!AO$96:AO$180,$I135))</f>
        <v>0</v>
      </c>
      <c r="AP135" s="10" cm="1">
        <f t="array" ref="AP135">IF(OR(AP$4=0, $G135&lt;&gt; $G$7, $E135=0), 'I&amp;E Monthly'!AP135, CHOOSE(Timeline!AP$30,$J135,$K135,$L135 )*INDEX('I&amp;E Profiles'!AP$96:AP$180,$I135))</f>
        <v>0</v>
      </c>
      <c r="AQ135" s="10" cm="1">
        <f t="array" ref="AQ135">IF(OR(AQ$4=0, $G135&lt;&gt; $G$7, $E135=0), 'I&amp;E Monthly'!AQ135, CHOOSE(Timeline!AQ$30,$J135,$K135,$L135 )*INDEX('I&amp;E Profiles'!AQ$96:AQ$180,$I135))</f>
        <v>0</v>
      </c>
      <c r="AR135" s="10" cm="1">
        <f t="array" ref="AR135">IF(OR(AR$4=0, $G135&lt;&gt; $G$7, $E135=0), 'I&amp;E Monthly'!AR135, CHOOSE(Timeline!AR$30,$J135,$K135,$L135 )*INDEX('I&amp;E Profiles'!AR$96:AR$180,$I135))</f>
        <v>0</v>
      </c>
      <c r="AS135" s="10" cm="1">
        <f t="array" ref="AS135">IF(OR(AS$4=0, $G135&lt;&gt; $G$7, $E135=0), 'I&amp;E Monthly'!AS135, CHOOSE(Timeline!AS$30,$J135,$K135,$L135 )*INDEX('I&amp;E Profiles'!AS$96:AS$180,$I135))</f>
        <v>0</v>
      </c>
      <c r="AT135" s="10" cm="1">
        <f t="array" ref="AT135">IF(OR(AT$4=0, $G135&lt;&gt; $G$7, $E135=0), 'I&amp;E Monthly'!AT135, CHOOSE(Timeline!AT$30,$J135,$K135,$L135 )*INDEX('I&amp;E Profiles'!AT$96:AT$180,$I135))</f>
        <v>0</v>
      </c>
      <c r="AU135" s="10" cm="1">
        <f t="array" ref="AU135">IF(OR(AU$4=0, $G135&lt;&gt; $G$7, $E135=0), 'I&amp;E Monthly'!AU135, CHOOSE(Timeline!AU$30,$J135,$K135,$L135 )*INDEX('I&amp;E Profiles'!AU$96:AU$180,$I135))</f>
        <v>0</v>
      </c>
      <c r="AV135" s="10" cm="1">
        <f t="array" ref="AV135">IF(OR(AV$4=0, $G135&lt;&gt; $G$7, $E135=0), 'I&amp;E Monthly'!AV135, CHOOSE(Timeline!AV$30,$J135,$K135,$L135 )*INDEX('I&amp;E Profiles'!AV$96:AV$180,$I135))</f>
        <v>0</v>
      </c>
      <c r="AW135" s="10" cm="1">
        <f t="array" ref="AW135">IF(OR(AW$4=0, $G135&lt;&gt; $G$7, $E135=0), 'I&amp;E Monthly'!AW135, CHOOSE(Timeline!AW$30,$J135,$K135,$L135 )*INDEX('I&amp;E Profiles'!AW$96:AW$180,$I135))</f>
        <v>0</v>
      </c>
      <c r="AX135" s="10" cm="1">
        <f t="array" ref="AX135">IF(OR(AX$4=0, $G135&lt;&gt; $G$7, $E135=0), 'I&amp;E Monthly'!AX135, CHOOSE(Timeline!AX$30,$J135,$K135,$L135 )*INDEX('I&amp;E Profiles'!AX$96:AX$180,$I135))</f>
        <v>0</v>
      </c>
      <c r="AY135" s="10" cm="1">
        <f t="array" ref="AY135">IF(OR(AY$4=0, $G135&lt;&gt; $G$7, $E135=0), 'I&amp;E Monthly'!AY135, CHOOSE(Timeline!AY$30,$J135,$K135,$L135 )*INDEX('I&amp;E Profiles'!AY$96:AY$180,$I135))</f>
        <v>0</v>
      </c>
      <c r="AZ135" s="10" cm="1">
        <f t="array" ref="AZ135">IF(OR(AZ$4=0, $G135&lt;&gt; $G$7, $E135=0), 'I&amp;E Monthly'!AZ135, CHOOSE(Timeline!AZ$30,$J135,$K135,$L135 )*INDEX('I&amp;E Profiles'!AZ$96:AZ$180,$I135))</f>
        <v>0</v>
      </c>
      <c r="BA135" s="10" cm="1">
        <f t="array" ref="BA135">IF(OR(BA$4=0, $G135&lt;&gt; $G$7, $E135=0), 'I&amp;E Monthly'!BA135, CHOOSE(Timeline!BA$30,$J135,$K135,$L135 )*INDEX('I&amp;E Profiles'!BA$96:BA$180,$I135))</f>
        <v>0</v>
      </c>
      <c r="BB135" s="10" cm="1">
        <f t="array" ref="BB135">IF(OR(BB$4=0, $G135&lt;&gt; $G$7, $E135=0), 'I&amp;E Monthly'!BB135, CHOOSE(Timeline!BB$30,$J135,$K135,$L135 )*INDEX('I&amp;E Profiles'!BB$96:BB$180,$I135))</f>
        <v>0</v>
      </c>
      <c r="BC135" s="10" cm="1">
        <f t="array" ref="BC135">IF(OR(BC$4=0, $G135&lt;&gt; $G$7, $E135=0), 'I&amp;E Monthly'!BC135, CHOOSE(Timeline!BC$30,$J135,$K135,$L135 )*INDEX('I&amp;E Profiles'!BC$96:BC$180,$I135))</f>
        <v>0</v>
      </c>
      <c r="BD135" s="10" cm="1">
        <f t="array" ref="BD135">IF(OR(BD$4=0, $G135&lt;&gt; $G$7, $E135=0), 'I&amp;E Monthly'!BD135, CHOOSE(Timeline!BD$30,$J135,$K135,$L135 )*INDEX('I&amp;E Profiles'!BD$96:BD$180,$I135))</f>
        <v>0</v>
      </c>
      <c r="BE135" s="10" cm="1">
        <f t="array" ref="BE135">IF(OR(BE$4=0, $G135&lt;&gt; $G$7, $E135=0), 'I&amp;E Monthly'!BE135, CHOOSE(Timeline!BE$30,$J135,$K135,$L135 )*INDEX('I&amp;E Profiles'!BE$96:BE$180,$I135))</f>
        <v>0</v>
      </c>
      <c r="BF135" s="10" cm="1">
        <f t="array" ref="BF135">IF(OR(BF$4=0, $G135&lt;&gt; $G$7, $E135=0), 'I&amp;E Monthly'!BF135, CHOOSE(Timeline!BF$30,$J135,$K135,$L135 )*INDEX('I&amp;E Profiles'!BF$96:BF$180,$I135))</f>
        <v>0</v>
      </c>
      <c r="BG135" s="10" cm="1">
        <f t="array" ref="BG135">IF(OR(BG$4=0, $G135&lt;&gt; $G$7, $E135=0), 'I&amp;E Monthly'!BG135, CHOOSE(Timeline!BG$30,$J135,$K135,$L135 )*INDEX('I&amp;E Profiles'!BG$96:BG$180,$I135))</f>
        <v>0</v>
      </c>
      <c r="BH135" s="10" cm="1">
        <f t="array" ref="BH135">IF(OR(BH$4=0, $G135&lt;&gt; $G$7, $E135=0), 'I&amp;E Monthly'!BH135, CHOOSE(Timeline!BH$30,$J135,$K135,$L135 )*INDEX('I&amp;E Profiles'!BH$96:BH$180,$I135))</f>
        <v>0</v>
      </c>
      <c r="BI135" s="10" cm="1">
        <f t="array" ref="BI135">IF(OR(BI$4=0, $G135&lt;&gt; $G$7, $E135=0), 'I&amp;E Monthly'!BI135, CHOOSE(Timeline!BI$30,$J135,$K135,$L135 )*INDEX('I&amp;E Profiles'!BI$96:BI$180,$I135))</f>
        <v>0</v>
      </c>
      <c r="BJ135" s="10" cm="1">
        <f t="array" ref="BJ135">IF(OR(BJ$4=0, $G135&lt;&gt; $G$7, $E135=0), 'I&amp;E Monthly'!BJ135, CHOOSE(Timeline!BJ$30,$J135,$K135,$L135 )*INDEX('I&amp;E Profiles'!BJ$96:BJ$180,$I135))</f>
        <v>0</v>
      </c>
      <c r="BX135" s="12">
        <f>V135</f>
        <v>0</v>
      </c>
      <c r="BY135" s="10">
        <f>SUMIFS($AA135:$BJ135, $AA$3:$BJ$3,BY$3)</f>
        <v>0</v>
      </c>
      <c r="BZ135" s="10">
        <f>SUMIFS($AA135:$BJ135, $AA$3:$BJ$3,BZ$3)</f>
        <v>0</v>
      </c>
      <c r="CA135" s="10">
        <f>SUMIFS($AA135:$BJ135, $AA$3:$BJ$3,CA$3)</f>
        <v>0</v>
      </c>
      <c r="CB135" s="12">
        <f>'I&amp;E Monthly'!CB135</f>
        <v>0</v>
      </c>
      <c r="CC135" s="12">
        <f>'I&amp;E Monthly'!CC135</f>
        <v>0</v>
      </c>
      <c r="CD135" s="12">
        <f>'I&amp;E Monthly'!CD135</f>
        <v>0</v>
      </c>
      <c r="CE135" s="12">
        <f>'I&amp;E Monthly'!CE135</f>
        <v>0</v>
      </c>
      <c r="CF135" s="12">
        <f>'I&amp;E Monthly'!CF135</f>
        <v>0</v>
      </c>
      <c r="CG135" s="12">
        <f>'I&amp;E Monthly'!CG135</f>
        <v>0</v>
      </c>
      <c r="CH135" s="12">
        <f>'I&amp;E Monthly'!CH135</f>
        <v>0</v>
      </c>
      <c r="CI135" s="12">
        <f>'I&amp;E Monthly'!CI135</f>
        <v>0</v>
      </c>
      <c r="CK135" s="11"/>
      <c r="CL135" s="221">
        <f ca="1">IF(MIN($V135:$CI135)&lt;0, 1, 0)*$I$7</f>
        <v>0</v>
      </c>
      <c r="CM135" s="11"/>
      <c r="CN135" s="7">
        <f>IF(AND($G135=$G$7,$E135=""), 1, 0)</f>
        <v>0</v>
      </c>
      <c r="CO135" s="7" cm="1">
        <f t="array" ref="CO135">SUMPRODUCT(--NOT(ISNUMBER(W135:Y135)),--NOT(ISBLANK(W135:Y135)))</f>
        <v>0</v>
      </c>
      <c r="CP135" s="7" cm="1">
        <f t="array" ref="CP135">IF(E135="",0, IF(IFERROR(INDEX('I&amp;E Profiles'!$D$96:$D$180, $I135), "N/A")="N/A", 1, 0))</f>
        <v>0</v>
      </c>
      <c r="CQ135" s="7">
        <f>IF(SUM($CV135:$CX135)=0, 0, 1)</f>
        <v>0</v>
      </c>
      <c r="CS135" s="7">
        <f>IF(SUM($CY135:$DA135)=0, 0, 1)</f>
        <v>0</v>
      </c>
      <c r="CT135" s="7">
        <f>IF(DB135=0, 0, 1)</f>
        <v>0</v>
      </c>
      <c r="CU135" s="11"/>
      <c r="CV135" s="215">
        <f t="shared" ref="CV135:CX137" si="160">IF($G135=$G$7, ROUND(W135-SUMIFS($AA135:$BJ135, $AA$3:$BJ$3, W$3), rounding), 0)</f>
        <v>0</v>
      </c>
      <c r="CW135" s="215">
        <f t="shared" si="160"/>
        <v>0</v>
      </c>
      <c r="CX135" s="215">
        <f t="shared" si="160"/>
        <v>0</v>
      </c>
      <c r="CY135" s="215">
        <f>ROUND($BY135-SUMIFS($AA135:$BJ135, $AA$3:$BJ$3, $BY$3), rounding)</f>
        <v>0</v>
      </c>
      <c r="CZ135" s="215">
        <f>ROUND($BZ135-SUMIFS($AA135:$BJ135, $AA$3:$BJ$3, $BZ$3), rounding)</f>
        <v>0</v>
      </c>
      <c r="DA135" s="215">
        <f>ROUND($CA135-SUMIFS($AA135:$BJ135, $AA$3:$BJ$3, $CA$3), rounding)</f>
        <v>0</v>
      </c>
      <c r="DB135" s="215">
        <f>ROUND($V135-$BX135, rounding)</f>
        <v>0</v>
      </c>
      <c r="FN135" s="10" t="str">
        <f t="shared" si="135"/>
        <v>Staff restructuring costs  (excl. enhanced pension costs)</v>
      </c>
    </row>
    <row r="136" spans="1:170" ht="43.5" x14ac:dyDescent="0.35">
      <c r="A136" s="220" cm="1">
        <f t="array" aca="1" ref="A136" ca="1">HYPERLINK(CONCATENATE("#",CELL("address",IF(MAX($CM136:$CU136)=0,A136,INDEX($CM136:$CU136,MATCH(1,$CM136:$CU136,0))))),MAX($CM136:$CU136))</f>
        <v>0</v>
      </c>
      <c r="C136" s="213" t="s">
        <v>576</v>
      </c>
      <c r="D136" s="1" t="s">
        <v>432</v>
      </c>
      <c r="E136" s="156" t="str" cm="1">
        <f t="array" aca="1" ref="E136" ca="1">HYPERLINK(CONCATENATE("#",CELL("address",'BS Forecasts'!$D$221)),'BS Forecasts'!$D$219)</f>
        <v>Enhanced Pension Provision</v>
      </c>
      <c r="H136" s="120" t="s">
        <v>403</v>
      </c>
      <c r="Q136" s="2"/>
      <c r="V136" s="133">
        <f>'I&amp;E Monthly'!V136</f>
        <v>0</v>
      </c>
      <c r="W136" s="133">
        <f>'I&amp;E Monthly'!W136</f>
        <v>0</v>
      </c>
      <c r="X136" s="133">
        <f>'I&amp;E Monthly'!X136</f>
        <v>0</v>
      </c>
      <c r="Y136" s="133">
        <f>'I&amp;E Monthly'!Y136</f>
        <v>0</v>
      </c>
      <c r="AA136" s="133">
        <f>'I&amp;E Monthly'!AA136</f>
        <v>0</v>
      </c>
      <c r="AB136" s="133">
        <f>'I&amp;E Monthly'!AB136</f>
        <v>0</v>
      </c>
      <c r="AC136" s="133">
        <f>'I&amp;E Monthly'!AC136</f>
        <v>0</v>
      </c>
      <c r="AD136" s="133">
        <f>'I&amp;E Monthly'!AD136</f>
        <v>0</v>
      </c>
      <c r="AE136" s="133">
        <f>'I&amp;E Monthly'!AE136</f>
        <v>0</v>
      </c>
      <c r="AF136" s="133">
        <f>'I&amp;E Monthly'!AF136</f>
        <v>0</v>
      </c>
      <c r="AG136" s="133">
        <f>'I&amp;E Monthly'!AG136</f>
        <v>0</v>
      </c>
      <c r="AH136" s="133">
        <f>'I&amp;E Monthly'!AH136</f>
        <v>0</v>
      </c>
      <c r="AI136" s="133">
        <f>'I&amp;E Monthly'!AI136</f>
        <v>0</v>
      </c>
      <c r="AJ136" s="133">
        <f>'I&amp;E Monthly'!AJ136</f>
        <v>0</v>
      </c>
      <c r="AK136" s="133">
        <f>'I&amp;E Monthly'!AK136</f>
        <v>0</v>
      </c>
      <c r="AL136" s="133">
        <f>'I&amp;E Monthly'!AL136</f>
        <v>0</v>
      </c>
      <c r="AM136" s="133">
        <f>'I&amp;E Monthly'!AM136</f>
        <v>0</v>
      </c>
      <c r="AN136" s="133">
        <f>'I&amp;E Monthly'!AN136</f>
        <v>0</v>
      </c>
      <c r="AO136" s="133">
        <f>'I&amp;E Monthly'!AO136</f>
        <v>0</v>
      </c>
      <c r="AP136" s="133">
        <f>'I&amp;E Monthly'!AP136</f>
        <v>0</v>
      </c>
      <c r="AQ136" s="133">
        <f>'I&amp;E Monthly'!AQ136</f>
        <v>0</v>
      </c>
      <c r="AR136" s="133">
        <f>'I&amp;E Monthly'!AR136</f>
        <v>0</v>
      </c>
      <c r="AS136" s="133">
        <f>'I&amp;E Monthly'!AS136</f>
        <v>0</v>
      </c>
      <c r="AT136" s="133">
        <f>'I&amp;E Monthly'!AT136</f>
        <v>0</v>
      </c>
      <c r="AU136" s="133">
        <f>'I&amp;E Monthly'!AU136</f>
        <v>0</v>
      </c>
      <c r="AV136" s="133">
        <f>'I&amp;E Monthly'!AV136</f>
        <v>0</v>
      </c>
      <c r="AW136" s="133">
        <f>'I&amp;E Monthly'!AW136</f>
        <v>0</v>
      </c>
      <c r="AX136" s="133">
        <f>'I&amp;E Monthly'!AX136</f>
        <v>0</v>
      </c>
      <c r="AY136" s="133">
        <f>'I&amp;E Monthly'!AY136</f>
        <v>0</v>
      </c>
      <c r="AZ136" s="133">
        <f>'I&amp;E Monthly'!AZ136</f>
        <v>0</v>
      </c>
      <c r="BA136" s="133">
        <f>'I&amp;E Monthly'!BA136</f>
        <v>0</v>
      </c>
      <c r="BB136" s="133">
        <f>'I&amp;E Monthly'!BB136</f>
        <v>0</v>
      </c>
      <c r="BC136" s="133">
        <f>'I&amp;E Monthly'!BC136</f>
        <v>0</v>
      </c>
      <c r="BD136" s="133">
        <f>'I&amp;E Monthly'!BD136</f>
        <v>0</v>
      </c>
      <c r="BE136" s="133">
        <f>'I&amp;E Monthly'!BE136</f>
        <v>0</v>
      </c>
      <c r="BF136" s="133">
        <f>'I&amp;E Monthly'!BF136</f>
        <v>0</v>
      </c>
      <c r="BG136" s="133">
        <f>'I&amp;E Monthly'!BG136</f>
        <v>0</v>
      </c>
      <c r="BH136" s="133">
        <f>'I&amp;E Monthly'!BH136</f>
        <v>0</v>
      </c>
      <c r="BI136" s="133">
        <f>'I&amp;E Monthly'!BI136</f>
        <v>0</v>
      </c>
      <c r="BJ136" s="133">
        <f>'I&amp;E Monthly'!BJ136</f>
        <v>0</v>
      </c>
      <c r="BX136" s="133">
        <f>'I&amp;E Monthly'!BX136</f>
        <v>0</v>
      </c>
      <c r="BY136" s="133">
        <f>'I&amp;E Monthly'!BY136</f>
        <v>0</v>
      </c>
      <c r="BZ136" s="133">
        <f>'I&amp;E Monthly'!BZ136</f>
        <v>0</v>
      </c>
      <c r="CA136" s="133">
        <f>'I&amp;E Monthly'!CA136</f>
        <v>0</v>
      </c>
      <c r="CB136" s="133">
        <f>'I&amp;E Monthly'!CB136</f>
        <v>0</v>
      </c>
      <c r="CC136" s="133">
        <f>'I&amp;E Monthly'!CC136</f>
        <v>0</v>
      </c>
      <c r="CD136" s="133">
        <f>'I&amp;E Monthly'!CD136</f>
        <v>0</v>
      </c>
      <c r="CE136" s="133">
        <f>'I&amp;E Monthly'!CE136</f>
        <v>0</v>
      </c>
      <c r="CF136" s="133">
        <f>'I&amp;E Monthly'!CF136</f>
        <v>0</v>
      </c>
      <c r="CG136" s="133">
        <f>'I&amp;E Monthly'!CG136</f>
        <v>0</v>
      </c>
      <c r="CH136" s="133">
        <f>'I&amp;E Monthly'!CH136</f>
        <v>0</v>
      </c>
      <c r="CI136" s="133">
        <f>'I&amp;E Monthly'!CI136</f>
        <v>0</v>
      </c>
      <c r="CK136" s="11"/>
      <c r="CL136" s="221">
        <f ca="1">IF(MIN($V136:$CI136)&lt;0, 1, 0)*$I$7</f>
        <v>0</v>
      </c>
      <c r="CM136" s="11"/>
      <c r="CQ136" s="7">
        <f>IF(SUM($CV136:$CX136)=0, 0, 1)</f>
        <v>0</v>
      </c>
      <c r="CS136" s="7">
        <f>IF(SUM($CY136:$DA136)=0, 0, 1)</f>
        <v>0</v>
      </c>
      <c r="CT136" s="7">
        <f>IF(DB136=0, 0, 1)</f>
        <v>0</v>
      </c>
      <c r="CU136" s="11"/>
      <c r="CV136" s="215">
        <f t="shared" si="160"/>
        <v>0</v>
      </c>
      <c r="CW136" s="215">
        <f t="shared" si="160"/>
        <v>0</v>
      </c>
      <c r="CX136" s="215">
        <f t="shared" si="160"/>
        <v>0</v>
      </c>
      <c r="CY136" s="215">
        <f>ROUND($BY136-SUMIFS($AA136:$BJ136, $AA$3:$BJ$3, $BY$3), rounding)</f>
        <v>0</v>
      </c>
      <c r="CZ136" s="215">
        <f>ROUND($BZ136-SUMIFS($AA136:$BJ136, $AA$3:$BJ$3, $BZ$3), rounding)</f>
        <v>0</v>
      </c>
      <c r="DA136" s="215">
        <f>ROUND($CA136-SUMIFS($AA136:$BJ136, $AA$3:$BJ$3, $CA$3), rounding)</f>
        <v>0</v>
      </c>
      <c r="DB136" s="215">
        <f>ROUND($V136-$BX136, rounding)</f>
        <v>0</v>
      </c>
      <c r="FN136" s="10" t="str">
        <f t="shared" si="135"/>
        <v>Staff restructuring enhanced pension costs</v>
      </c>
    </row>
    <row r="137" spans="1:170" x14ac:dyDescent="0.35">
      <c r="A137" s="220" cm="1">
        <f t="array" aca="1" ref="A137" ca="1">HYPERLINK(CONCATENATE("#",CELL("address",IF(MAX($CM137:$CU137)=0,A137,INDEX($CM137:$CU137,MATCH(1,$CM137:$CU137,0))))),MAX($CM137:$CU137))</f>
        <v>0</v>
      </c>
      <c r="C137" s="213" t="s">
        <v>577</v>
      </c>
      <c r="D137" s="24" t="s">
        <v>433</v>
      </c>
      <c r="E137" s="5"/>
      <c r="Q137" s="2"/>
      <c r="V137" s="12">
        <f>SUM(V135:V136)</f>
        <v>0</v>
      </c>
      <c r="W137" s="12">
        <f>SUM(W135:W136)</f>
        <v>0</v>
      </c>
      <c r="X137" s="12">
        <f>SUM(X135:X136)</f>
        <v>0</v>
      </c>
      <c r="Y137" s="12">
        <f>SUM(Y135:Y136)</f>
        <v>0</v>
      </c>
      <c r="AA137" s="12">
        <f t="shared" ref="AA137:BJ137" si="161">SUM(AA135:AA136)</f>
        <v>0</v>
      </c>
      <c r="AB137" s="12">
        <f t="shared" si="161"/>
        <v>0</v>
      </c>
      <c r="AC137" s="12">
        <f t="shared" si="161"/>
        <v>0</v>
      </c>
      <c r="AD137" s="12">
        <f t="shared" si="161"/>
        <v>0</v>
      </c>
      <c r="AE137" s="12">
        <f t="shared" si="161"/>
        <v>0</v>
      </c>
      <c r="AF137" s="12">
        <f t="shared" si="161"/>
        <v>0</v>
      </c>
      <c r="AG137" s="12">
        <f t="shared" si="161"/>
        <v>0</v>
      </c>
      <c r="AH137" s="12">
        <f t="shared" si="161"/>
        <v>0</v>
      </c>
      <c r="AI137" s="12">
        <f t="shared" si="161"/>
        <v>0</v>
      </c>
      <c r="AJ137" s="12">
        <f t="shared" si="161"/>
        <v>0</v>
      </c>
      <c r="AK137" s="12">
        <f t="shared" si="161"/>
        <v>0</v>
      </c>
      <c r="AL137" s="12">
        <f t="shared" si="161"/>
        <v>0</v>
      </c>
      <c r="AM137" s="12">
        <f t="shared" si="161"/>
        <v>0</v>
      </c>
      <c r="AN137" s="12">
        <f t="shared" si="161"/>
        <v>0</v>
      </c>
      <c r="AO137" s="12">
        <f t="shared" si="161"/>
        <v>0</v>
      </c>
      <c r="AP137" s="12">
        <f t="shared" si="161"/>
        <v>0</v>
      </c>
      <c r="AQ137" s="12">
        <f t="shared" si="161"/>
        <v>0</v>
      </c>
      <c r="AR137" s="12">
        <f t="shared" si="161"/>
        <v>0</v>
      </c>
      <c r="AS137" s="12">
        <f t="shared" si="161"/>
        <v>0</v>
      </c>
      <c r="AT137" s="12">
        <f t="shared" si="161"/>
        <v>0</v>
      </c>
      <c r="AU137" s="12">
        <f t="shared" si="161"/>
        <v>0</v>
      </c>
      <c r="AV137" s="12">
        <f t="shared" si="161"/>
        <v>0</v>
      </c>
      <c r="AW137" s="12">
        <f t="shared" si="161"/>
        <v>0</v>
      </c>
      <c r="AX137" s="12">
        <f t="shared" si="161"/>
        <v>0</v>
      </c>
      <c r="AY137" s="12">
        <f t="shared" si="161"/>
        <v>0</v>
      </c>
      <c r="AZ137" s="12">
        <f t="shared" si="161"/>
        <v>0</v>
      </c>
      <c r="BA137" s="12">
        <f t="shared" si="161"/>
        <v>0</v>
      </c>
      <c r="BB137" s="12">
        <f t="shared" si="161"/>
        <v>0</v>
      </c>
      <c r="BC137" s="12">
        <f t="shared" si="161"/>
        <v>0</v>
      </c>
      <c r="BD137" s="12">
        <f t="shared" si="161"/>
        <v>0</v>
      </c>
      <c r="BE137" s="12">
        <f t="shared" si="161"/>
        <v>0</v>
      </c>
      <c r="BF137" s="12">
        <f t="shared" si="161"/>
        <v>0</v>
      </c>
      <c r="BG137" s="12">
        <f t="shared" si="161"/>
        <v>0</v>
      </c>
      <c r="BH137" s="12">
        <f t="shared" si="161"/>
        <v>0</v>
      </c>
      <c r="BI137" s="12">
        <f t="shared" si="161"/>
        <v>0</v>
      </c>
      <c r="BJ137" s="12">
        <f t="shared" si="161"/>
        <v>0</v>
      </c>
      <c r="BX137" s="12">
        <f t="shared" ref="BX137:CI137" si="162">SUM(BX135:BX136)</f>
        <v>0</v>
      </c>
      <c r="BY137" s="12">
        <f t="shared" si="162"/>
        <v>0</v>
      </c>
      <c r="BZ137" s="12">
        <f t="shared" si="162"/>
        <v>0</v>
      </c>
      <c r="CA137" s="12">
        <f t="shared" si="162"/>
        <v>0</v>
      </c>
      <c r="CB137" s="12">
        <f t="shared" si="162"/>
        <v>0</v>
      </c>
      <c r="CC137" s="12">
        <f t="shared" si="162"/>
        <v>0</v>
      </c>
      <c r="CD137" s="12">
        <f t="shared" si="162"/>
        <v>0</v>
      </c>
      <c r="CE137" s="12">
        <f t="shared" si="162"/>
        <v>0</v>
      </c>
      <c r="CF137" s="12">
        <f t="shared" si="162"/>
        <v>0</v>
      </c>
      <c r="CG137" s="12">
        <f t="shared" si="162"/>
        <v>0</v>
      </c>
      <c r="CH137" s="12">
        <f t="shared" si="162"/>
        <v>0</v>
      </c>
      <c r="CI137" s="12">
        <f t="shared" si="162"/>
        <v>0</v>
      </c>
      <c r="CK137" s="11"/>
      <c r="CL137" s="221">
        <f ca="1">IF(MIN($V137:$CI137)&lt;0, 1, 0)*$I$7</f>
        <v>0</v>
      </c>
      <c r="CM137" s="11"/>
      <c r="CQ137" s="7">
        <f>IF(SUM($CV137:$CX137)=0, 0, 1)</f>
        <v>0</v>
      </c>
      <c r="CS137" s="7">
        <f>IF(SUM($CY137:$DA137)=0, 0, 1)</f>
        <v>0</v>
      </c>
      <c r="CT137" s="7">
        <f>IF(DB137=0, 0, 1)</f>
        <v>0</v>
      </c>
      <c r="CU137" s="11"/>
      <c r="CV137" s="215">
        <f t="shared" si="160"/>
        <v>0</v>
      </c>
      <c r="CW137" s="215">
        <f t="shared" si="160"/>
        <v>0</v>
      </c>
      <c r="CX137" s="215">
        <f t="shared" si="160"/>
        <v>0</v>
      </c>
      <c r="CY137" s="215">
        <f>ROUND($BY137-SUMIFS($AA137:$BJ137, $AA$3:$BJ$3, $BY$3), rounding)</f>
        <v>0</v>
      </c>
      <c r="CZ137" s="215">
        <f>ROUND($BZ137-SUMIFS($AA137:$BJ137, $AA$3:$BJ$3, $BZ$3), rounding)</f>
        <v>0</v>
      </c>
      <c r="DA137" s="215">
        <f>ROUND($CA137-SUMIFS($AA137:$BJ137, $AA$3:$BJ$3, $CA$3), rounding)</f>
        <v>0</v>
      </c>
      <c r="DB137" s="215">
        <f>ROUND($V137-$BX137, rounding)</f>
        <v>0</v>
      </c>
      <c r="FN137" s="10" t="str">
        <f t="shared" si="135"/>
        <v>Total Staff Restructuring Costs</v>
      </c>
    </row>
    <row r="138" spans="1:170" ht="6.75" customHeight="1" x14ac:dyDescent="0.35">
      <c r="C138" s="235"/>
      <c r="Q138" s="2"/>
      <c r="BY138" s="6"/>
      <c r="CK138" s="35"/>
      <c r="CM138" s="35"/>
      <c r="CQ138" s="7"/>
      <c r="CS138" s="7"/>
      <c r="CT138" s="7"/>
      <c r="CU138" s="35"/>
      <c r="FN138" s="10" t="str">
        <f t="shared" si="135"/>
        <v/>
      </c>
    </row>
    <row r="139" spans="1:170" x14ac:dyDescent="0.35">
      <c r="A139" s="220" cm="1">
        <f t="array" aca="1" ref="A139" ca="1">HYPERLINK(CONCATENATE("#",CELL("address",IF(MAX($CM139:$CU139)=0,A139,INDEX($CM139:$CU139,MATCH(1,$CM139:$CU139,0))))),MAX($CM139:$CU139))</f>
        <v>0</v>
      </c>
      <c r="C139" s="213" t="s">
        <v>578</v>
      </c>
      <c r="D139" s="24" t="s">
        <v>434</v>
      </c>
      <c r="E139" s="5"/>
      <c r="Q139" s="2"/>
      <c r="V139" s="12">
        <f>V114+V132+V137</f>
        <v>0</v>
      </c>
      <c r="W139" s="12">
        <f>W114+W132+W137</f>
        <v>0</v>
      </c>
      <c r="X139" s="12">
        <f>X114+X132+X137</f>
        <v>0</v>
      </c>
      <c r="Y139" s="12">
        <f>Y114+Y132+Y137</f>
        <v>0</v>
      </c>
      <c r="AA139" s="12">
        <f t="shared" ref="AA139:BJ139" si="163">AA114+AA132+AA137</f>
        <v>0</v>
      </c>
      <c r="AB139" s="12">
        <f t="shared" si="163"/>
        <v>0</v>
      </c>
      <c r="AC139" s="12">
        <f t="shared" si="163"/>
        <v>0</v>
      </c>
      <c r="AD139" s="12">
        <f t="shared" si="163"/>
        <v>0</v>
      </c>
      <c r="AE139" s="12">
        <f t="shared" si="163"/>
        <v>0</v>
      </c>
      <c r="AF139" s="12">
        <f t="shared" si="163"/>
        <v>0</v>
      </c>
      <c r="AG139" s="12">
        <f t="shared" si="163"/>
        <v>0</v>
      </c>
      <c r="AH139" s="12">
        <f t="shared" si="163"/>
        <v>0</v>
      </c>
      <c r="AI139" s="12">
        <f t="shared" si="163"/>
        <v>0</v>
      </c>
      <c r="AJ139" s="12">
        <f t="shared" si="163"/>
        <v>0</v>
      </c>
      <c r="AK139" s="12">
        <f t="shared" si="163"/>
        <v>0</v>
      </c>
      <c r="AL139" s="12">
        <f t="shared" si="163"/>
        <v>0</v>
      </c>
      <c r="AM139" s="12">
        <f t="shared" si="163"/>
        <v>0</v>
      </c>
      <c r="AN139" s="12">
        <f t="shared" si="163"/>
        <v>0</v>
      </c>
      <c r="AO139" s="12">
        <f t="shared" si="163"/>
        <v>0</v>
      </c>
      <c r="AP139" s="12">
        <f t="shared" si="163"/>
        <v>0</v>
      </c>
      <c r="AQ139" s="12">
        <f t="shared" si="163"/>
        <v>0</v>
      </c>
      <c r="AR139" s="12">
        <f t="shared" si="163"/>
        <v>0</v>
      </c>
      <c r="AS139" s="12">
        <f t="shared" si="163"/>
        <v>0</v>
      </c>
      <c r="AT139" s="12">
        <f t="shared" si="163"/>
        <v>0</v>
      </c>
      <c r="AU139" s="12">
        <f t="shared" si="163"/>
        <v>0</v>
      </c>
      <c r="AV139" s="12">
        <f t="shared" si="163"/>
        <v>0</v>
      </c>
      <c r="AW139" s="12">
        <f t="shared" si="163"/>
        <v>0</v>
      </c>
      <c r="AX139" s="12">
        <f t="shared" si="163"/>
        <v>0</v>
      </c>
      <c r="AY139" s="12">
        <f t="shared" si="163"/>
        <v>0</v>
      </c>
      <c r="AZ139" s="12">
        <f t="shared" si="163"/>
        <v>0</v>
      </c>
      <c r="BA139" s="12">
        <f t="shared" si="163"/>
        <v>0</v>
      </c>
      <c r="BB139" s="12">
        <f t="shared" si="163"/>
        <v>0</v>
      </c>
      <c r="BC139" s="12">
        <f t="shared" si="163"/>
        <v>0</v>
      </c>
      <c r="BD139" s="12">
        <f t="shared" si="163"/>
        <v>0</v>
      </c>
      <c r="BE139" s="12">
        <f t="shared" si="163"/>
        <v>0</v>
      </c>
      <c r="BF139" s="12">
        <f t="shared" si="163"/>
        <v>0</v>
      </c>
      <c r="BG139" s="12">
        <f t="shared" si="163"/>
        <v>0</v>
      </c>
      <c r="BH139" s="12">
        <f t="shared" si="163"/>
        <v>0</v>
      </c>
      <c r="BI139" s="12">
        <f t="shared" si="163"/>
        <v>0</v>
      </c>
      <c r="BJ139" s="12">
        <f t="shared" si="163"/>
        <v>0</v>
      </c>
      <c r="BX139" s="12">
        <f t="shared" ref="BX139:CI139" si="164">BX114+BX132+BX137</f>
        <v>0</v>
      </c>
      <c r="BY139" s="12">
        <f t="shared" si="164"/>
        <v>0</v>
      </c>
      <c r="BZ139" s="12">
        <f t="shared" si="164"/>
        <v>0</v>
      </c>
      <c r="CA139" s="12">
        <f t="shared" si="164"/>
        <v>0</v>
      </c>
      <c r="CB139" s="12">
        <f t="shared" si="164"/>
        <v>0</v>
      </c>
      <c r="CC139" s="12">
        <f t="shared" si="164"/>
        <v>0</v>
      </c>
      <c r="CD139" s="12">
        <f t="shared" si="164"/>
        <v>0</v>
      </c>
      <c r="CE139" s="12">
        <f t="shared" si="164"/>
        <v>0</v>
      </c>
      <c r="CF139" s="12">
        <f t="shared" si="164"/>
        <v>0</v>
      </c>
      <c r="CG139" s="12">
        <f t="shared" si="164"/>
        <v>0</v>
      </c>
      <c r="CH139" s="12">
        <f t="shared" si="164"/>
        <v>0</v>
      </c>
      <c r="CI139" s="12">
        <f t="shared" si="164"/>
        <v>0</v>
      </c>
      <c r="CK139" s="11"/>
      <c r="CM139" s="11"/>
      <c r="CQ139" s="7">
        <f>IF(SUM($CV139:$CX139)=0, 0, 1)</f>
        <v>0</v>
      </c>
      <c r="CS139" s="7">
        <f>IF(SUM($CY139:$DA139)=0, 0, 1)</f>
        <v>0</v>
      </c>
      <c r="CT139" s="7">
        <f>IF(DB139=0, 0, 1)</f>
        <v>0</v>
      </c>
      <c r="CU139" s="11"/>
      <c r="CV139" s="215">
        <f>IF($G139=$G$7, ROUND(W139-SUMIFS($AA139:$BJ139, $AA$3:$BJ$3, W$3), rounding), 0)</f>
        <v>0</v>
      </c>
      <c r="CW139" s="215">
        <f>IF($G139=$G$7, ROUND(X139-SUMIFS($AA139:$BJ139, $AA$3:$BJ$3, X$3), rounding), 0)</f>
        <v>0</v>
      </c>
      <c r="CX139" s="215">
        <f>IF($G139=$G$7, ROUND(Y139-SUMIFS($AA139:$BJ139, $AA$3:$BJ$3, Y$3), rounding), 0)</f>
        <v>0</v>
      </c>
      <c r="CY139" s="215">
        <f>ROUND($BY139-SUMIFS($AA139:$BJ139, $AA$3:$BJ$3, $BY$3), rounding)</f>
        <v>0</v>
      </c>
      <c r="CZ139" s="215">
        <f>ROUND($BZ139-SUMIFS($AA139:$BJ139, $AA$3:$BJ$3, $BZ$3), rounding)</f>
        <v>0</v>
      </c>
      <c r="DA139" s="215">
        <f>ROUND($CA139-SUMIFS($AA139:$BJ139, $AA$3:$BJ$3, $CA$3), rounding)</f>
        <v>0</v>
      </c>
      <c r="DB139" s="215">
        <f>ROUND($V139-$BX139, rounding)</f>
        <v>0</v>
      </c>
      <c r="FN139" s="10" t="str">
        <f t="shared" si="135"/>
        <v>Total Operating Expenditure</v>
      </c>
    </row>
    <row r="140" spans="1:170" ht="6.75" customHeight="1" x14ac:dyDescent="0.35">
      <c r="C140" s="235"/>
      <c r="E140" s="5"/>
      <c r="Q140" s="2"/>
      <c r="BY140" s="6"/>
      <c r="CK140" s="11"/>
      <c r="CM140" s="11"/>
      <c r="CQ140" s="7"/>
      <c r="CS140" s="7"/>
      <c r="CT140" s="7"/>
      <c r="CU140" s="35"/>
      <c r="FN140" s="10" t="str">
        <f t="shared" si="135"/>
        <v/>
      </c>
    </row>
    <row r="141" spans="1:170" x14ac:dyDescent="0.35">
      <c r="A141" s="220" cm="1">
        <f t="array" aca="1" ref="A141" ca="1">HYPERLINK(CONCATENATE("#",CELL("address",IF(MAX($CM141:$CU141)=0,A141,INDEX($CM141:$CU141,MATCH(1,$CM141:$CU141,0))))),MAX($CM141:$CU141))</f>
        <v>0</v>
      </c>
      <c r="C141" s="213" t="s">
        <v>579</v>
      </c>
      <c r="D141" s="24" t="s">
        <v>435</v>
      </c>
      <c r="E141" s="5"/>
      <c r="Q141" s="2"/>
      <c r="V141" s="12">
        <f>V102-V139</f>
        <v>0</v>
      </c>
      <c r="W141" s="12">
        <f>W102-W139</f>
        <v>0</v>
      </c>
      <c r="X141" s="12">
        <f>X102-X139</f>
        <v>0</v>
      </c>
      <c r="Y141" s="12">
        <f>Y102-Y139</f>
        <v>0</v>
      </c>
      <c r="AA141" s="12">
        <f t="shared" ref="AA141:BJ141" si="165">AA102-AA139</f>
        <v>0</v>
      </c>
      <c r="AB141" s="12">
        <f t="shared" si="165"/>
        <v>0</v>
      </c>
      <c r="AC141" s="12">
        <f t="shared" si="165"/>
        <v>0</v>
      </c>
      <c r="AD141" s="12">
        <f t="shared" si="165"/>
        <v>0</v>
      </c>
      <c r="AE141" s="12">
        <f t="shared" si="165"/>
        <v>0</v>
      </c>
      <c r="AF141" s="12">
        <f t="shared" si="165"/>
        <v>0</v>
      </c>
      <c r="AG141" s="12">
        <f t="shared" si="165"/>
        <v>0</v>
      </c>
      <c r="AH141" s="12">
        <f t="shared" si="165"/>
        <v>0</v>
      </c>
      <c r="AI141" s="12">
        <f t="shared" si="165"/>
        <v>0</v>
      </c>
      <c r="AJ141" s="12">
        <f t="shared" si="165"/>
        <v>0</v>
      </c>
      <c r="AK141" s="12">
        <f t="shared" si="165"/>
        <v>0</v>
      </c>
      <c r="AL141" s="12">
        <f t="shared" si="165"/>
        <v>0</v>
      </c>
      <c r="AM141" s="12">
        <f t="shared" si="165"/>
        <v>0</v>
      </c>
      <c r="AN141" s="12">
        <f t="shared" si="165"/>
        <v>0</v>
      </c>
      <c r="AO141" s="12">
        <f t="shared" si="165"/>
        <v>0</v>
      </c>
      <c r="AP141" s="12">
        <f t="shared" si="165"/>
        <v>0</v>
      </c>
      <c r="AQ141" s="12">
        <f t="shared" si="165"/>
        <v>0</v>
      </c>
      <c r="AR141" s="12">
        <f t="shared" si="165"/>
        <v>0</v>
      </c>
      <c r="AS141" s="12">
        <f t="shared" si="165"/>
        <v>0</v>
      </c>
      <c r="AT141" s="12">
        <f t="shared" si="165"/>
        <v>0</v>
      </c>
      <c r="AU141" s="12">
        <f t="shared" si="165"/>
        <v>0</v>
      </c>
      <c r="AV141" s="12">
        <f t="shared" si="165"/>
        <v>0</v>
      </c>
      <c r="AW141" s="12">
        <f t="shared" si="165"/>
        <v>0</v>
      </c>
      <c r="AX141" s="12">
        <f t="shared" si="165"/>
        <v>0</v>
      </c>
      <c r="AY141" s="12">
        <f t="shared" si="165"/>
        <v>0</v>
      </c>
      <c r="AZ141" s="12">
        <f t="shared" si="165"/>
        <v>0</v>
      </c>
      <c r="BA141" s="12">
        <f t="shared" si="165"/>
        <v>0</v>
      </c>
      <c r="BB141" s="12">
        <f t="shared" si="165"/>
        <v>0</v>
      </c>
      <c r="BC141" s="12">
        <f t="shared" si="165"/>
        <v>0</v>
      </c>
      <c r="BD141" s="12">
        <f t="shared" si="165"/>
        <v>0</v>
      </c>
      <c r="BE141" s="12">
        <f t="shared" si="165"/>
        <v>0</v>
      </c>
      <c r="BF141" s="12">
        <f t="shared" si="165"/>
        <v>0</v>
      </c>
      <c r="BG141" s="12">
        <f t="shared" si="165"/>
        <v>0</v>
      </c>
      <c r="BH141" s="12">
        <f t="shared" si="165"/>
        <v>0</v>
      </c>
      <c r="BI141" s="12">
        <f t="shared" si="165"/>
        <v>0</v>
      </c>
      <c r="BJ141" s="12">
        <f t="shared" si="165"/>
        <v>0</v>
      </c>
      <c r="BX141" s="12">
        <f t="shared" ref="BX141:CI141" si="166">BX102-BX139</f>
        <v>0</v>
      </c>
      <c r="BY141" s="12">
        <f t="shared" si="166"/>
        <v>0</v>
      </c>
      <c r="BZ141" s="12">
        <f t="shared" si="166"/>
        <v>0</v>
      </c>
      <c r="CA141" s="12">
        <f t="shared" si="166"/>
        <v>0</v>
      </c>
      <c r="CB141" s="12">
        <f t="shared" si="166"/>
        <v>0</v>
      </c>
      <c r="CC141" s="12">
        <f t="shared" si="166"/>
        <v>0</v>
      </c>
      <c r="CD141" s="12">
        <f t="shared" si="166"/>
        <v>0</v>
      </c>
      <c r="CE141" s="12">
        <f t="shared" si="166"/>
        <v>0</v>
      </c>
      <c r="CF141" s="12">
        <f t="shared" si="166"/>
        <v>0</v>
      </c>
      <c r="CG141" s="12">
        <f t="shared" si="166"/>
        <v>0</v>
      </c>
      <c r="CH141" s="12">
        <f t="shared" si="166"/>
        <v>0</v>
      </c>
      <c r="CI141" s="12">
        <f t="shared" si="166"/>
        <v>0</v>
      </c>
      <c r="CK141" s="11"/>
      <c r="CM141" s="11"/>
      <c r="CQ141" s="7">
        <f>IF(SUM($CV141:$CX141)=0, 0, 1)</f>
        <v>0</v>
      </c>
      <c r="CS141" s="7">
        <f>IF(SUM($CY141:$DA141)=0, 0, 1)</f>
        <v>0</v>
      </c>
      <c r="CT141" s="7">
        <f>IF(DB141=0, 0, 1)</f>
        <v>0</v>
      </c>
      <c r="CU141" s="11"/>
      <c r="CV141" s="215">
        <f>IF($G141=$G$7, ROUND(W141-SUMIFS($AA141:$BJ141, $AA$3:$BJ$3, W$3), rounding), 0)</f>
        <v>0</v>
      </c>
      <c r="CW141" s="215">
        <f>IF($G141=$G$7, ROUND(X141-SUMIFS($AA141:$BJ141, $AA$3:$BJ$3, X$3), rounding), 0)</f>
        <v>0</v>
      </c>
      <c r="CX141" s="215">
        <f>IF($G141=$G$7, ROUND(Y141-SUMIFS($AA141:$BJ141, $AA$3:$BJ$3, Y$3), rounding), 0)</f>
        <v>0</v>
      </c>
      <c r="CY141" s="215">
        <f>ROUND($BY141-SUMIFS($AA141:$BJ141, $AA$3:$BJ$3, $BY$3), rounding)</f>
        <v>0</v>
      </c>
      <c r="CZ141" s="215">
        <f>ROUND($BZ141-SUMIFS($AA141:$BJ141, $AA$3:$BJ$3, $BZ$3), rounding)</f>
        <v>0</v>
      </c>
      <c r="DA141" s="215">
        <f>ROUND($CA141-SUMIFS($AA141:$BJ141, $AA$3:$BJ$3, $CA$3), rounding)</f>
        <v>0</v>
      </c>
      <c r="DB141" s="215">
        <f>ROUND($V141-$BX141, rounding)</f>
        <v>0</v>
      </c>
      <c r="FN141" s="10" t="str">
        <f t="shared" si="135"/>
        <v>Net Operating Income</v>
      </c>
    </row>
    <row r="142" spans="1:170" ht="6.75" customHeight="1" x14ac:dyDescent="0.35">
      <c r="C142" s="213"/>
      <c r="Q142" s="2"/>
      <c r="BY142" s="6"/>
      <c r="CK142" s="35"/>
      <c r="CM142" s="35"/>
      <c r="CQ142" s="7"/>
      <c r="CS142" s="7"/>
      <c r="CT142" s="7"/>
      <c r="CU142" s="35"/>
      <c r="FN142" s="10" t="str">
        <f t="shared" si="135"/>
        <v/>
      </c>
    </row>
    <row r="143" spans="1:170" ht="58" x14ac:dyDescent="0.35">
      <c r="A143" s="220" cm="1">
        <f t="array" aca="1" ref="A143" ca="1">HYPERLINK(CONCATENATE("#",CELL("address",IF(MAX($CM143:$CU143)=0,A143,INDEX($CM143:$CU143,MATCH(1,$CM143:$CU143,0))))),MAX($CM143:$CU143))</f>
        <v>0</v>
      </c>
      <c r="C143" s="213" t="s">
        <v>580</v>
      </c>
      <c r="D143" s="57" t="s">
        <v>436</v>
      </c>
      <c r="E143" s="533" t="str" cm="1">
        <f t="array" aca="1" ref="E143" ca="1">HYPERLINK(CONCATENATE("#",CELL("address",'BS Forecasts'!$D$151)),'BS Forecasts'!$D$141)</f>
        <v>Deferred Income - Capital Grant Liability</v>
      </c>
      <c r="H143" s="9" t="s">
        <v>317</v>
      </c>
      <c r="Q143" s="2"/>
      <c r="V143" s="10">
        <f>'I&amp;E Monthly'!V$143</f>
        <v>0</v>
      </c>
      <c r="W143" s="10">
        <f>'I&amp;E Monthly'!W$143</f>
        <v>0</v>
      </c>
      <c r="X143" s="10">
        <f>'I&amp;E Monthly'!X$143</f>
        <v>0</v>
      </c>
      <c r="Y143" s="10">
        <f>'I&amp;E Monthly'!Y$143</f>
        <v>0</v>
      </c>
      <c r="AA143" s="10">
        <f>'I&amp;E Monthly'!AA$143</f>
        <v>0</v>
      </c>
      <c r="AB143" s="10">
        <f>'I&amp;E Monthly'!AB$143</f>
        <v>0</v>
      </c>
      <c r="AC143" s="10">
        <f>'I&amp;E Monthly'!AC$143</f>
        <v>0</v>
      </c>
      <c r="AD143" s="10">
        <f>'I&amp;E Monthly'!AD$143</f>
        <v>0</v>
      </c>
      <c r="AE143" s="10">
        <f>'I&amp;E Monthly'!AE$143</f>
        <v>0</v>
      </c>
      <c r="AF143" s="10">
        <f>'I&amp;E Monthly'!AF$143</f>
        <v>0</v>
      </c>
      <c r="AG143" s="10">
        <f>'I&amp;E Monthly'!AG$143</f>
        <v>0</v>
      </c>
      <c r="AH143" s="10">
        <f>'I&amp;E Monthly'!AH$143</f>
        <v>0</v>
      </c>
      <c r="AI143" s="10">
        <f>'I&amp;E Monthly'!AI$143</f>
        <v>0</v>
      </c>
      <c r="AJ143" s="10">
        <f>'I&amp;E Monthly'!AJ$143</f>
        <v>0</v>
      </c>
      <c r="AK143" s="10">
        <f>'I&amp;E Monthly'!AK$143</f>
        <v>0</v>
      </c>
      <c r="AL143" s="10">
        <f>'I&amp;E Monthly'!AL$143</f>
        <v>0</v>
      </c>
      <c r="AM143" s="10">
        <f>'I&amp;E Monthly'!AM$143</f>
        <v>0</v>
      </c>
      <c r="AN143" s="10">
        <f>'I&amp;E Monthly'!AN$143</f>
        <v>0</v>
      </c>
      <c r="AO143" s="10">
        <f>'I&amp;E Monthly'!AO$143</f>
        <v>0</v>
      </c>
      <c r="AP143" s="10">
        <f>'I&amp;E Monthly'!AP$143</f>
        <v>0</v>
      </c>
      <c r="AQ143" s="10">
        <f>'I&amp;E Monthly'!AQ$143</f>
        <v>0</v>
      </c>
      <c r="AR143" s="10">
        <f>'I&amp;E Monthly'!AR$143</f>
        <v>0</v>
      </c>
      <c r="AS143" s="10">
        <f>'I&amp;E Monthly'!AS$143</f>
        <v>0</v>
      </c>
      <c r="AT143" s="10">
        <f>'I&amp;E Monthly'!AT$143</f>
        <v>0</v>
      </c>
      <c r="AU143" s="10">
        <f>'I&amp;E Monthly'!AU$143</f>
        <v>0</v>
      </c>
      <c r="AV143" s="10">
        <f>'I&amp;E Monthly'!AV$143</f>
        <v>0</v>
      </c>
      <c r="AW143" s="10">
        <f>'I&amp;E Monthly'!AW$143</f>
        <v>0</v>
      </c>
      <c r="AX143" s="10">
        <f>'I&amp;E Monthly'!AX$143</f>
        <v>0</v>
      </c>
      <c r="AY143" s="10">
        <f>'I&amp;E Monthly'!AY$143</f>
        <v>0</v>
      </c>
      <c r="AZ143" s="10">
        <f>'I&amp;E Monthly'!AZ$143</f>
        <v>0</v>
      </c>
      <c r="BA143" s="10">
        <f>'I&amp;E Monthly'!BA$143</f>
        <v>0</v>
      </c>
      <c r="BB143" s="10">
        <f>'I&amp;E Monthly'!BB$143</f>
        <v>0</v>
      </c>
      <c r="BC143" s="10">
        <f>'I&amp;E Monthly'!BC$143</f>
        <v>0</v>
      </c>
      <c r="BD143" s="10">
        <f>'I&amp;E Monthly'!BD$143</f>
        <v>0</v>
      </c>
      <c r="BE143" s="10">
        <f>'I&amp;E Monthly'!BE$143</f>
        <v>0</v>
      </c>
      <c r="BF143" s="10">
        <f>'I&amp;E Monthly'!BF$143</f>
        <v>0</v>
      </c>
      <c r="BG143" s="10">
        <f>'I&amp;E Monthly'!BG$143</f>
        <v>0</v>
      </c>
      <c r="BH143" s="10">
        <f>'I&amp;E Monthly'!BH$143</f>
        <v>0</v>
      </c>
      <c r="BI143" s="10">
        <f>'I&amp;E Monthly'!BI$143</f>
        <v>0</v>
      </c>
      <c r="BJ143" s="10">
        <f>'I&amp;E Monthly'!BJ$143</f>
        <v>0</v>
      </c>
      <c r="BX143" s="10">
        <f>'I&amp;E Monthly'!BX$143</f>
        <v>0</v>
      </c>
      <c r="BY143" s="10">
        <f>'I&amp;E Monthly'!BY$143</f>
        <v>0</v>
      </c>
      <c r="BZ143" s="10">
        <f>'I&amp;E Monthly'!BZ$143</f>
        <v>0</v>
      </c>
      <c r="CA143" s="10">
        <f>'I&amp;E Monthly'!CA$143</f>
        <v>0</v>
      </c>
      <c r="CB143" s="10">
        <f>'I&amp;E Monthly'!CB$143</f>
        <v>0</v>
      </c>
      <c r="CC143" s="10">
        <f>'I&amp;E Monthly'!CC$143</f>
        <v>0</v>
      </c>
      <c r="CD143" s="10">
        <f>'I&amp;E Monthly'!CD$143</f>
        <v>0</v>
      </c>
      <c r="CE143" s="10">
        <f>'I&amp;E Monthly'!CE$143</f>
        <v>0</v>
      </c>
      <c r="CF143" s="10">
        <f>'I&amp;E Monthly'!CF$143</f>
        <v>0</v>
      </c>
      <c r="CG143" s="10">
        <f>'I&amp;E Monthly'!CG$143</f>
        <v>0</v>
      </c>
      <c r="CH143" s="10">
        <f>'I&amp;E Monthly'!CH$143</f>
        <v>0</v>
      </c>
      <c r="CI143" s="10">
        <f>'I&amp;E Monthly'!CI$143</f>
        <v>0</v>
      </c>
      <c r="CK143" s="11"/>
      <c r="CM143" s="11"/>
      <c r="CQ143" s="7">
        <f>IF(SUM($CV143:$CX143)=0, 0, 1)</f>
        <v>0</v>
      </c>
      <c r="CS143" s="7">
        <f>IF(SUM($CY143:$DA143)=0, 0, 1)</f>
        <v>0</v>
      </c>
      <c r="CT143" s="7">
        <f>IF(DB143=0, 0, 1)</f>
        <v>0</v>
      </c>
      <c r="CU143" s="11"/>
      <c r="CV143" s="215">
        <f t="shared" ref="CV143:CX144" si="167">IF($G143=$G$7, ROUND(W143-SUMIFS($AA143:$BJ143, $AA$3:$BJ$3, W$3), rounding), 0)</f>
        <v>0</v>
      </c>
      <c r="CW143" s="215">
        <f t="shared" si="167"/>
        <v>0</v>
      </c>
      <c r="CX143" s="215">
        <f t="shared" si="167"/>
        <v>0</v>
      </c>
      <c r="CY143" s="215">
        <f>ROUND($BY143-SUMIFS($AA143:$BJ143, $AA$3:$BJ$3, $BY$3), rounding)</f>
        <v>0</v>
      </c>
      <c r="CZ143" s="215">
        <f>ROUND($BZ143-SUMIFS($AA143:$BJ143, $AA$3:$BJ$3, $BZ$3), rounding)</f>
        <v>0</v>
      </c>
      <c r="DA143" s="215">
        <f>ROUND($CA143-SUMIFS($AA143:$BJ143, $AA$3:$BJ$3, $CA$3), rounding)</f>
        <v>0</v>
      </c>
      <c r="DB143" s="215">
        <f>ROUND($V143-$BX143, rounding)</f>
        <v>0</v>
      </c>
      <c r="FN143" s="10" t="str">
        <f t="shared" si="135"/>
        <v>Release of Capital Grants</v>
      </c>
    </row>
    <row r="144" spans="1:170" ht="43.5" x14ac:dyDescent="0.35">
      <c r="A144" s="220" cm="1">
        <f t="array" aca="1" ref="A144" ca="1">HYPERLINK(CONCATENATE("#",CELL("address",IF(MAX($CM144:$CU144)=0,A144,INDEX($CM144:$CU144,MATCH(1,$CM144:$CU144,0))))),MAX($CM144:$CU144))</f>
        <v>0</v>
      </c>
      <c r="C144" s="211" t="s">
        <v>581</v>
      </c>
      <c r="D144" s="57" t="s">
        <v>437</v>
      </c>
      <c r="E144" s="533" t="str" cm="1">
        <f t="array" aca="1" ref="E144" ca="1">HYPERLINK(CONCATENATE("#",CELL("address",'BS Forecasts'!$D$194)),'BS Forecasts'!$D$193)</f>
        <v>Holiday and Sabbatical Pay Accrual</v>
      </c>
      <c r="H144" s="120" t="s">
        <v>403</v>
      </c>
      <c r="Q144" s="2"/>
      <c r="V144" s="10">
        <f>'I&amp;E Monthly'!V$144</f>
        <v>0</v>
      </c>
      <c r="W144" s="10">
        <f>'I&amp;E Monthly'!W$144</f>
        <v>0</v>
      </c>
      <c r="X144" s="10">
        <f>'I&amp;E Monthly'!X$144</f>
        <v>0</v>
      </c>
      <c r="Y144" s="10">
        <f>'I&amp;E Monthly'!Y$144</f>
        <v>0</v>
      </c>
      <c r="AA144" s="10">
        <f>'I&amp;E Monthly'!AA$144</f>
        <v>0</v>
      </c>
      <c r="AB144" s="10">
        <f>'I&amp;E Monthly'!AB$144</f>
        <v>0</v>
      </c>
      <c r="AC144" s="10">
        <f>'I&amp;E Monthly'!AC$144</f>
        <v>0</v>
      </c>
      <c r="AD144" s="10">
        <f>'I&amp;E Monthly'!AD$144</f>
        <v>0</v>
      </c>
      <c r="AE144" s="10">
        <f>'I&amp;E Monthly'!AE$144</f>
        <v>0</v>
      </c>
      <c r="AF144" s="10">
        <f>'I&amp;E Monthly'!AF$144</f>
        <v>0</v>
      </c>
      <c r="AG144" s="10">
        <f>'I&amp;E Monthly'!AG$144</f>
        <v>0</v>
      </c>
      <c r="AH144" s="10">
        <f>'I&amp;E Monthly'!AH$144</f>
        <v>0</v>
      </c>
      <c r="AI144" s="10">
        <f>'I&amp;E Monthly'!AI$144</f>
        <v>0</v>
      </c>
      <c r="AJ144" s="10">
        <f>'I&amp;E Monthly'!AJ$144</f>
        <v>0</v>
      </c>
      <c r="AK144" s="10">
        <f>'I&amp;E Monthly'!AK$144</f>
        <v>0</v>
      </c>
      <c r="AL144" s="10">
        <f>'I&amp;E Monthly'!AL$144</f>
        <v>0</v>
      </c>
      <c r="AM144" s="10">
        <f>'I&amp;E Monthly'!AM$144</f>
        <v>0</v>
      </c>
      <c r="AN144" s="10">
        <f>'I&amp;E Monthly'!AN$144</f>
        <v>0</v>
      </c>
      <c r="AO144" s="10">
        <f>'I&amp;E Monthly'!AO$144</f>
        <v>0</v>
      </c>
      <c r="AP144" s="10">
        <f>'I&amp;E Monthly'!AP$144</f>
        <v>0</v>
      </c>
      <c r="AQ144" s="10">
        <f>'I&amp;E Monthly'!AQ$144</f>
        <v>0</v>
      </c>
      <c r="AR144" s="10">
        <f>'I&amp;E Monthly'!AR$144</f>
        <v>0</v>
      </c>
      <c r="AS144" s="10">
        <f>'I&amp;E Monthly'!AS$144</f>
        <v>0</v>
      </c>
      <c r="AT144" s="10">
        <f>'I&amp;E Monthly'!AT$144</f>
        <v>0</v>
      </c>
      <c r="AU144" s="10">
        <f>'I&amp;E Monthly'!AU$144</f>
        <v>0</v>
      </c>
      <c r="AV144" s="10">
        <f>'I&amp;E Monthly'!AV$144</f>
        <v>0</v>
      </c>
      <c r="AW144" s="10">
        <f>'I&amp;E Monthly'!AW$144</f>
        <v>0</v>
      </c>
      <c r="AX144" s="10">
        <f>'I&amp;E Monthly'!AX$144</f>
        <v>0</v>
      </c>
      <c r="AY144" s="10">
        <f>'I&amp;E Monthly'!AY$144</f>
        <v>0</v>
      </c>
      <c r="AZ144" s="10">
        <f>'I&amp;E Monthly'!AZ$144</f>
        <v>0</v>
      </c>
      <c r="BA144" s="10">
        <f>'I&amp;E Monthly'!BA$144</f>
        <v>0</v>
      </c>
      <c r="BB144" s="10">
        <f>'I&amp;E Monthly'!BB$144</f>
        <v>0</v>
      </c>
      <c r="BC144" s="10">
        <f>'I&amp;E Monthly'!BC$144</f>
        <v>0</v>
      </c>
      <c r="BD144" s="10">
        <f>'I&amp;E Monthly'!BD$144</f>
        <v>0</v>
      </c>
      <c r="BE144" s="10">
        <f>'I&amp;E Monthly'!BE$144</f>
        <v>0</v>
      </c>
      <c r="BF144" s="10">
        <f>'I&amp;E Monthly'!BF$144</f>
        <v>0</v>
      </c>
      <c r="BG144" s="10">
        <f>'I&amp;E Monthly'!BG$144</f>
        <v>0</v>
      </c>
      <c r="BH144" s="10">
        <f>'I&amp;E Monthly'!BH$144</f>
        <v>0</v>
      </c>
      <c r="BI144" s="10">
        <f>'I&amp;E Monthly'!BI$144</f>
        <v>0</v>
      </c>
      <c r="BJ144" s="10">
        <f>'I&amp;E Monthly'!BJ$144</f>
        <v>0</v>
      </c>
      <c r="BX144" s="10">
        <f>'I&amp;E Monthly'!BX$144</f>
        <v>0</v>
      </c>
      <c r="BY144" s="10">
        <f>'I&amp;E Monthly'!BY$144</f>
        <v>0</v>
      </c>
      <c r="BZ144" s="10">
        <f>'I&amp;E Monthly'!BZ$144</f>
        <v>0</v>
      </c>
      <c r="CA144" s="10">
        <f>'I&amp;E Monthly'!CA$144</f>
        <v>0</v>
      </c>
      <c r="CB144" s="10">
        <f>'I&amp;E Monthly'!CB$144</f>
        <v>0</v>
      </c>
      <c r="CC144" s="10">
        <f>'I&amp;E Monthly'!CC$144</f>
        <v>0</v>
      </c>
      <c r="CD144" s="10">
        <f>'I&amp;E Monthly'!CD$144</f>
        <v>0</v>
      </c>
      <c r="CE144" s="10">
        <f>'I&amp;E Monthly'!CE$144</f>
        <v>0</v>
      </c>
      <c r="CF144" s="10">
        <f>'I&amp;E Monthly'!CF$144</f>
        <v>0</v>
      </c>
      <c r="CG144" s="10">
        <f>'I&amp;E Monthly'!CG$144</f>
        <v>0</v>
      </c>
      <c r="CH144" s="10">
        <f>'I&amp;E Monthly'!CH$144</f>
        <v>0</v>
      </c>
      <c r="CI144" s="10">
        <f>'I&amp;E Monthly'!CI$144</f>
        <v>0</v>
      </c>
      <c r="CK144" s="11"/>
      <c r="CM144" s="11"/>
      <c r="CQ144" s="7">
        <f>IF(SUM($CV144:$CX144)=0, 0, 1)</f>
        <v>0</v>
      </c>
      <c r="CS144" s="7">
        <f>IF(SUM($CY144:$DA144)=0, 0, 1)</f>
        <v>0</v>
      </c>
      <c r="CT144" s="7">
        <f>IF(DB144=0, 0, 1)</f>
        <v>0</v>
      </c>
      <c r="CU144" s="11"/>
      <c r="CV144" s="215">
        <f t="shared" si="167"/>
        <v>0</v>
      </c>
      <c r="CW144" s="215">
        <f t="shared" si="167"/>
        <v>0</v>
      </c>
      <c r="CX144" s="215">
        <f t="shared" si="167"/>
        <v>0</v>
      </c>
      <c r="CY144" s="215">
        <f>ROUND($BY144-SUMIFS($AA144:$BJ144, $AA$3:$BJ$3, $BY$3), rounding)</f>
        <v>0</v>
      </c>
      <c r="CZ144" s="215">
        <f>ROUND($BZ144-SUMIFS($AA144:$BJ144, $AA$3:$BJ$3, $BZ$3), rounding)</f>
        <v>0</v>
      </c>
      <c r="DA144" s="215">
        <f>ROUND($CA144-SUMIFS($AA144:$BJ144, $AA$3:$BJ$3, $CA$3), rounding)</f>
        <v>0</v>
      </c>
      <c r="DB144" s="215">
        <f>ROUND($V144-$BX144, rounding)</f>
        <v>0</v>
      </c>
      <c r="FN144" s="10" t="str">
        <f t="shared" si="135"/>
        <v>Movement in holiday pay accrual</v>
      </c>
    </row>
    <row r="145" spans="1:170" ht="6.75" customHeight="1" x14ac:dyDescent="0.35">
      <c r="C145" s="211"/>
      <c r="E145" s="5"/>
      <c r="Q145" s="2"/>
      <c r="BY145" s="6"/>
      <c r="CK145" s="35"/>
      <c r="CM145" s="35"/>
      <c r="CQ145" s="7"/>
      <c r="CS145" s="7"/>
      <c r="CT145" s="7"/>
      <c r="CU145" s="35"/>
      <c r="FN145" s="10" t="str">
        <f t="shared" si="135"/>
        <v/>
      </c>
    </row>
    <row r="146" spans="1:170" x14ac:dyDescent="0.35">
      <c r="A146" s="220" cm="1">
        <f t="array" aca="1" ref="A146" ca="1">HYPERLINK(CONCATENATE("#",CELL("address",IF(MAX($CM146:$CU146)=0,A146,INDEX($CM146:$CU146,MATCH(1,$CM146:$CU146,0))))),MAX($CM146:$CU146))</f>
        <v>0</v>
      </c>
      <c r="C146" s="211" t="s">
        <v>582</v>
      </c>
      <c r="D146" s="24" t="s">
        <v>438</v>
      </c>
      <c r="E146" s="5"/>
      <c r="Q146" s="2"/>
      <c r="V146" s="12">
        <f>V141+V143-V144</f>
        <v>0</v>
      </c>
      <c r="W146" s="12">
        <f>W141+W143-W144</f>
        <v>0</v>
      </c>
      <c r="X146" s="12">
        <f>X141+X143-X144</f>
        <v>0</v>
      </c>
      <c r="Y146" s="12">
        <f>Y141+Y143-Y144</f>
        <v>0</v>
      </c>
      <c r="AA146" s="12">
        <f t="shared" ref="AA146:BJ146" si="168">AA141+AA143-AA144</f>
        <v>0</v>
      </c>
      <c r="AB146" s="12">
        <f t="shared" si="168"/>
        <v>0</v>
      </c>
      <c r="AC146" s="12">
        <f t="shared" si="168"/>
        <v>0</v>
      </c>
      <c r="AD146" s="12">
        <f t="shared" si="168"/>
        <v>0</v>
      </c>
      <c r="AE146" s="12">
        <f t="shared" si="168"/>
        <v>0</v>
      </c>
      <c r="AF146" s="12">
        <f t="shared" si="168"/>
        <v>0</v>
      </c>
      <c r="AG146" s="12">
        <f t="shared" si="168"/>
        <v>0</v>
      </c>
      <c r="AH146" s="12">
        <f t="shared" si="168"/>
        <v>0</v>
      </c>
      <c r="AI146" s="12">
        <f t="shared" si="168"/>
        <v>0</v>
      </c>
      <c r="AJ146" s="12">
        <f t="shared" si="168"/>
        <v>0</v>
      </c>
      <c r="AK146" s="12">
        <f t="shared" si="168"/>
        <v>0</v>
      </c>
      <c r="AL146" s="12">
        <f t="shared" si="168"/>
        <v>0</v>
      </c>
      <c r="AM146" s="12">
        <f t="shared" si="168"/>
        <v>0</v>
      </c>
      <c r="AN146" s="12">
        <f t="shared" si="168"/>
        <v>0</v>
      </c>
      <c r="AO146" s="12">
        <f t="shared" si="168"/>
        <v>0</v>
      </c>
      <c r="AP146" s="12">
        <f t="shared" si="168"/>
        <v>0</v>
      </c>
      <c r="AQ146" s="12">
        <f t="shared" si="168"/>
        <v>0</v>
      </c>
      <c r="AR146" s="12">
        <f t="shared" si="168"/>
        <v>0</v>
      </c>
      <c r="AS146" s="12">
        <f t="shared" si="168"/>
        <v>0</v>
      </c>
      <c r="AT146" s="12">
        <f t="shared" si="168"/>
        <v>0</v>
      </c>
      <c r="AU146" s="12">
        <f t="shared" si="168"/>
        <v>0</v>
      </c>
      <c r="AV146" s="12">
        <f t="shared" si="168"/>
        <v>0</v>
      </c>
      <c r="AW146" s="12">
        <f t="shared" si="168"/>
        <v>0</v>
      </c>
      <c r="AX146" s="12">
        <f t="shared" si="168"/>
        <v>0</v>
      </c>
      <c r="AY146" s="12">
        <f t="shared" si="168"/>
        <v>0</v>
      </c>
      <c r="AZ146" s="12">
        <f t="shared" si="168"/>
        <v>0</v>
      </c>
      <c r="BA146" s="12">
        <f t="shared" si="168"/>
        <v>0</v>
      </c>
      <c r="BB146" s="12">
        <f t="shared" si="168"/>
        <v>0</v>
      </c>
      <c r="BC146" s="12">
        <f t="shared" si="168"/>
        <v>0</v>
      </c>
      <c r="BD146" s="12">
        <f t="shared" si="168"/>
        <v>0</v>
      </c>
      <c r="BE146" s="12">
        <f t="shared" si="168"/>
        <v>0</v>
      </c>
      <c r="BF146" s="12">
        <f t="shared" si="168"/>
        <v>0</v>
      </c>
      <c r="BG146" s="12">
        <f t="shared" si="168"/>
        <v>0</v>
      </c>
      <c r="BH146" s="12">
        <f t="shared" si="168"/>
        <v>0</v>
      </c>
      <c r="BI146" s="12">
        <f t="shared" si="168"/>
        <v>0</v>
      </c>
      <c r="BJ146" s="12">
        <f t="shared" si="168"/>
        <v>0</v>
      </c>
      <c r="BX146" s="12">
        <f t="shared" ref="BX146:CI146" si="169">BX141+BX143-BX144</f>
        <v>0</v>
      </c>
      <c r="BY146" s="12">
        <f t="shared" si="169"/>
        <v>0</v>
      </c>
      <c r="BZ146" s="12">
        <f t="shared" si="169"/>
        <v>0</v>
      </c>
      <c r="CA146" s="12">
        <f t="shared" si="169"/>
        <v>0</v>
      </c>
      <c r="CB146" s="12">
        <f t="shared" si="169"/>
        <v>0</v>
      </c>
      <c r="CC146" s="12">
        <f t="shared" si="169"/>
        <v>0</v>
      </c>
      <c r="CD146" s="12">
        <f t="shared" si="169"/>
        <v>0</v>
      </c>
      <c r="CE146" s="12">
        <f t="shared" si="169"/>
        <v>0</v>
      </c>
      <c r="CF146" s="12">
        <f t="shared" si="169"/>
        <v>0</v>
      </c>
      <c r="CG146" s="12">
        <f t="shared" si="169"/>
        <v>0</v>
      </c>
      <c r="CH146" s="12">
        <f t="shared" si="169"/>
        <v>0</v>
      </c>
      <c r="CI146" s="12">
        <f t="shared" si="169"/>
        <v>0</v>
      </c>
      <c r="CK146" s="11"/>
      <c r="CM146" s="11"/>
      <c r="CQ146" s="7">
        <f>IF(SUM($CV146:$CX146)=0, 0, 1)</f>
        <v>0</v>
      </c>
      <c r="CS146" s="7">
        <f>IF(SUM($CY146:$DA146)=0, 0, 1)</f>
        <v>0</v>
      </c>
      <c r="CT146" s="7">
        <f>IF(DB146=0, 0, 1)</f>
        <v>0</v>
      </c>
      <c r="CU146" s="11"/>
      <c r="CV146" s="215">
        <f>IF($G146=$G$7, ROUND(W146-SUMIFS($AA146:$BJ146, $AA$3:$BJ$3, W$3), rounding), 0)</f>
        <v>0</v>
      </c>
      <c r="CW146" s="215">
        <f>IF($G146=$G$7, ROUND(X146-SUMIFS($AA146:$BJ146, $AA$3:$BJ$3, X$3), rounding), 0)</f>
        <v>0</v>
      </c>
      <c r="CX146" s="215">
        <f>IF($G146=$G$7, ROUND(Y146-SUMIFS($AA146:$BJ146, $AA$3:$BJ$3, Y$3), rounding), 0)</f>
        <v>0</v>
      </c>
      <c r="CY146" s="215">
        <f>ROUND($BY146-SUMIFS($AA146:$BJ146, $AA$3:$BJ$3, $BY$3), rounding)</f>
        <v>0</v>
      </c>
      <c r="CZ146" s="215">
        <f>ROUND($BZ146-SUMIFS($AA146:$BJ146, $AA$3:$BJ$3, $BZ$3), rounding)</f>
        <v>0</v>
      </c>
      <c r="DA146" s="215">
        <f>ROUND($CA146-SUMIFS($AA146:$BJ146, $AA$3:$BJ$3, $CA$3), rounding)</f>
        <v>0</v>
      </c>
      <c r="DB146" s="215">
        <f>ROUND($V146-$BX146, rounding)</f>
        <v>0</v>
      </c>
      <c r="FN146" s="10" t="str">
        <f t="shared" ref="FN146:FN173" si="170">IF($C146="","",$D146)</f>
        <v>Surplus/(deficit) before ITDA</v>
      </c>
    </row>
    <row r="147" spans="1:170" ht="6.75" customHeight="1" x14ac:dyDescent="0.35">
      <c r="C147" s="211"/>
      <c r="Q147" s="2"/>
      <c r="BY147" s="6"/>
      <c r="CK147" s="35"/>
      <c r="CM147" s="35"/>
      <c r="CQ147" s="7"/>
      <c r="CS147" s="7"/>
      <c r="CT147" s="7"/>
      <c r="CU147" s="35"/>
      <c r="FN147" s="10" t="str">
        <f t="shared" si="170"/>
        <v/>
      </c>
    </row>
    <row r="148" spans="1:170" x14ac:dyDescent="0.35">
      <c r="B148" s="5"/>
      <c r="C148" s="211"/>
      <c r="D148" s="24" t="s">
        <v>439</v>
      </c>
      <c r="E148" s="5"/>
      <c r="Q148" s="2"/>
      <c r="CK148" s="11"/>
      <c r="CM148" s="11"/>
      <c r="CQ148" s="7"/>
      <c r="CS148" s="7"/>
      <c r="CT148" s="7"/>
      <c r="CU148" s="11"/>
      <c r="FN148" s="10" t="str">
        <f t="shared" si="170"/>
        <v/>
      </c>
    </row>
    <row r="149" spans="1:170" ht="29" x14ac:dyDescent="0.35">
      <c r="A149" s="220" cm="1">
        <f t="array" aca="1" ref="A149" ca="1">HYPERLINK(CONCATENATE("#",CELL("address",IF(MAX($CM149:$CU149)=0,A149,INDEX($CM149:$CU149,MATCH(1,$CM149:$CU149,0))))),MAX($CM149:$CU149))</f>
        <v>0</v>
      </c>
      <c r="C149" s="211" t="s">
        <v>583</v>
      </c>
      <c r="D149" s="104" t="s">
        <v>440</v>
      </c>
      <c r="E149" s="533" t="str" cm="1">
        <f t="array" aca="1" ref="E149" ca="1">HYPERLINK(CONCATENATE("#",CELL("address",'Investing Inputs'!$D$226)),'Investing Inputs'!$D$219)</f>
        <v>Land &amp; Buildings</v>
      </c>
      <c r="F149" s="533" t="str" cm="1">
        <f t="array" aca="1" ref="F149" ca="1">HYPERLINK(CONCATENATE("#",CELL("address",'Investing Inputs'!$D$240)),'Investing Inputs'!$D$233)</f>
        <v>Equipment</v>
      </c>
      <c r="G149" s="533" t="str" cm="1">
        <f t="array" aca="1" ref="G149" ca="1">HYPERLINK(CONCATENATE("#",CELL("address",'Investing Inputs'!$D$254)),'Investing Inputs'!$D$247)</f>
        <v>Other NCA</v>
      </c>
      <c r="H149" s="120" t="s">
        <v>403</v>
      </c>
      <c r="Q149" s="2"/>
      <c r="V149" s="10">
        <f>'I&amp;E Monthly'!V$149</f>
        <v>0</v>
      </c>
      <c r="W149" s="10">
        <f>'I&amp;E Monthly'!W$149</f>
        <v>0</v>
      </c>
      <c r="X149" s="10">
        <f>'I&amp;E Monthly'!X$149</f>
        <v>0</v>
      </c>
      <c r="Y149" s="10">
        <f>'I&amp;E Monthly'!Y$149</f>
        <v>0</v>
      </c>
      <c r="AA149" s="10">
        <f>'I&amp;E Monthly'!AA$149</f>
        <v>0</v>
      </c>
      <c r="AB149" s="10">
        <f>'I&amp;E Monthly'!AB$149</f>
        <v>0</v>
      </c>
      <c r="AC149" s="10">
        <f>'I&amp;E Monthly'!AC$149</f>
        <v>0</v>
      </c>
      <c r="AD149" s="10">
        <f>'I&amp;E Monthly'!AD$149</f>
        <v>0</v>
      </c>
      <c r="AE149" s="10">
        <f>'I&amp;E Monthly'!AE$149</f>
        <v>0</v>
      </c>
      <c r="AF149" s="10">
        <f>'I&amp;E Monthly'!AF$149</f>
        <v>0</v>
      </c>
      <c r="AG149" s="10">
        <f>'I&amp;E Monthly'!AG$149</f>
        <v>0</v>
      </c>
      <c r="AH149" s="10">
        <f>'I&amp;E Monthly'!AH$149</f>
        <v>0</v>
      </c>
      <c r="AI149" s="10">
        <f>'I&amp;E Monthly'!AI$149</f>
        <v>0</v>
      </c>
      <c r="AJ149" s="10">
        <f>'I&amp;E Monthly'!AJ$149</f>
        <v>0</v>
      </c>
      <c r="AK149" s="10">
        <f>'I&amp;E Monthly'!AK$149</f>
        <v>0</v>
      </c>
      <c r="AL149" s="10">
        <f>'I&amp;E Monthly'!AL$149</f>
        <v>0</v>
      </c>
      <c r="AM149" s="10">
        <f>'I&amp;E Monthly'!AM$149</f>
        <v>0</v>
      </c>
      <c r="AN149" s="10">
        <f>'I&amp;E Monthly'!AN$149</f>
        <v>0</v>
      </c>
      <c r="AO149" s="10">
        <f>'I&amp;E Monthly'!AO$149</f>
        <v>0</v>
      </c>
      <c r="AP149" s="10">
        <f>'I&amp;E Monthly'!AP$149</f>
        <v>0</v>
      </c>
      <c r="AQ149" s="10">
        <f>'I&amp;E Monthly'!AQ$149</f>
        <v>0</v>
      </c>
      <c r="AR149" s="10">
        <f>'I&amp;E Monthly'!AR$149</f>
        <v>0</v>
      </c>
      <c r="AS149" s="10">
        <f>'I&amp;E Monthly'!AS$149</f>
        <v>0</v>
      </c>
      <c r="AT149" s="10">
        <f>'I&amp;E Monthly'!AT$149</f>
        <v>0</v>
      </c>
      <c r="AU149" s="10">
        <f>'I&amp;E Monthly'!AU$149</f>
        <v>0</v>
      </c>
      <c r="AV149" s="10">
        <f>'I&amp;E Monthly'!AV$149</f>
        <v>0</v>
      </c>
      <c r="AW149" s="10">
        <f>'I&amp;E Monthly'!AW$149</f>
        <v>0</v>
      </c>
      <c r="AX149" s="10">
        <f>'I&amp;E Monthly'!AX$149</f>
        <v>0</v>
      </c>
      <c r="AY149" s="10">
        <f>'I&amp;E Monthly'!AY$149</f>
        <v>0</v>
      </c>
      <c r="AZ149" s="10">
        <f>'I&amp;E Monthly'!AZ$149</f>
        <v>0</v>
      </c>
      <c r="BA149" s="10">
        <f>'I&amp;E Monthly'!BA$149</f>
        <v>0</v>
      </c>
      <c r="BB149" s="10">
        <f>'I&amp;E Monthly'!BB$149</f>
        <v>0</v>
      </c>
      <c r="BC149" s="10">
        <f>'I&amp;E Monthly'!BC$149</f>
        <v>0</v>
      </c>
      <c r="BD149" s="10">
        <f>'I&amp;E Monthly'!BD$149</f>
        <v>0</v>
      </c>
      <c r="BE149" s="10">
        <f>'I&amp;E Monthly'!BE$149</f>
        <v>0</v>
      </c>
      <c r="BF149" s="10">
        <f>'I&amp;E Monthly'!BF$149</f>
        <v>0</v>
      </c>
      <c r="BG149" s="10">
        <f>'I&amp;E Monthly'!BG$149</f>
        <v>0</v>
      </c>
      <c r="BH149" s="10">
        <f>'I&amp;E Monthly'!BH$149</f>
        <v>0</v>
      </c>
      <c r="BI149" s="10">
        <f>'I&amp;E Monthly'!BI$149</f>
        <v>0</v>
      </c>
      <c r="BJ149" s="10">
        <f>'I&amp;E Monthly'!BJ$149</f>
        <v>0</v>
      </c>
      <c r="BX149" s="10">
        <f>'I&amp;E Monthly'!BX$149</f>
        <v>0</v>
      </c>
      <c r="BY149" s="10">
        <f>'I&amp;E Monthly'!BY$149</f>
        <v>0</v>
      </c>
      <c r="BZ149" s="10">
        <f>'I&amp;E Monthly'!BZ$149</f>
        <v>0</v>
      </c>
      <c r="CA149" s="10">
        <f>'I&amp;E Monthly'!CA$149</f>
        <v>0</v>
      </c>
      <c r="CB149" s="10">
        <f>'I&amp;E Monthly'!CB$149</f>
        <v>0</v>
      </c>
      <c r="CC149" s="10">
        <f>'I&amp;E Monthly'!CC$149</f>
        <v>0</v>
      </c>
      <c r="CD149" s="10">
        <f>'I&amp;E Monthly'!CD$149</f>
        <v>0</v>
      </c>
      <c r="CE149" s="10">
        <f>'I&amp;E Monthly'!CE$149</f>
        <v>0</v>
      </c>
      <c r="CF149" s="10">
        <f>'I&amp;E Monthly'!CF$149</f>
        <v>0</v>
      </c>
      <c r="CG149" s="10">
        <f>'I&amp;E Monthly'!CG$149</f>
        <v>0</v>
      </c>
      <c r="CH149" s="10">
        <f>'I&amp;E Monthly'!CH$149</f>
        <v>0</v>
      </c>
      <c r="CI149" s="10">
        <f>'I&amp;E Monthly'!CI$149</f>
        <v>0</v>
      </c>
      <c r="CK149" s="11"/>
      <c r="CM149" s="11"/>
      <c r="CQ149" s="7">
        <f t="shared" ref="CQ149:CQ154" ca="1" si="171">IF(SUM($CV149:$CX149)=0, 0, 1)</f>
        <v>0</v>
      </c>
      <c r="CS149" s="7">
        <f t="shared" ref="CS149:CS154" si="172">IF(SUM($CY149:$DA149)=0, 0, 1)</f>
        <v>0</v>
      </c>
      <c r="CT149" s="7">
        <f t="shared" ref="CT149:CT154" si="173">IF(DB149=0, 0, 1)</f>
        <v>0</v>
      </c>
      <c r="CU149" s="11"/>
      <c r="CV149" s="215">
        <f t="shared" ref="CV149:CX154" ca="1" si="174">IF($G149=$G$7, ROUND(W149-SUMIFS($AA149:$BJ149, $AA$3:$BJ$3, W$3), rounding), 0)</f>
        <v>0</v>
      </c>
      <c r="CW149" s="215">
        <f t="shared" ca="1" si="174"/>
        <v>0</v>
      </c>
      <c r="CX149" s="215">
        <f t="shared" ca="1" si="174"/>
        <v>0</v>
      </c>
      <c r="CY149" s="215">
        <f t="shared" ref="CY149:CY154" si="175">ROUND($BY149-SUMIFS($AA149:$BJ149, $AA$3:$BJ$3, $BY$3), rounding)</f>
        <v>0</v>
      </c>
      <c r="CZ149" s="215">
        <f t="shared" ref="CZ149:CZ154" si="176">ROUND($BZ149-SUMIFS($AA149:$BJ149, $AA$3:$BJ$3, $BZ$3), rounding)</f>
        <v>0</v>
      </c>
      <c r="DA149" s="215">
        <f t="shared" ref="DA149:DA154" si="177">ROUND($CA149-SUMIFS($AA149:$BJ149, $AA$3:$BJ$3, $CA$3), rounding)</f>
        <v>0</v>
      </c>
      <c r="DB149" s="215">
        <f t="shared" ref="DB149:DB154" si="178">ROUND($V149-$BX149, rounding)</f>
        <v>0</v>
      </c>
      <c r="FN149" s="10" t="str">
        <f t="shared" si="170"/>
        <v>Depreciation and amortisation</v>
      </c>
    </row>
    <row r="150" spans="1:170" x14ac:dyDescent="0.35">
      <c r="A150" s="220" cm="1">
        <f t="array" aca="1" ref="A150" ca="1">HYPERLINK(CONCATENATE("#",CELL("address",IF(MAX($CM150:$CU150)=0,A150,INDEX($CM150:$CU150,MATCH(1,$CM150:$CU150,0))))),MAX($CM150:$CU150))</f>
        <v>0</v>
      </c>
      <c r="B150" s="85" t="s">
        <v>122</v>
      </c>
      <c r="C150" s="211" t="s">
        <v>584</v>
      </c>
      <c r="D150" s="33" t="s">
        <v>441</v>
      </c>
      <c r="E150" s="114"/>
      <c r="F150" s="79" t="str" cm="1">
        <f t="array" aca="1" ref="F150" ca="1">IF(E150="", "", HYPERLINK(CONCATENATE("#",CELL("address",INDEX('I&amp;E Profiles'!$D$9:$D$93,'I&amp;E Annual'!I150))),E150))</f>
        <v/>
      </c>
      <c r="G150" s="114"/>
      <c r="H150" t="s">
        <v>317</v>
      </c>
      <c r="I150" s="132" t="str">
        <f>IF(E150="", "", MATCH(E150, 'I&amp;E Profiles'!$D$96:$D$180,0))</f>
        <v/>
      </c>
      <c r="J150" s="133">
        <f>IF($G150=$G$7, W150,'I&amp;E Monthly'!W150)-SUMIFS('I&amp;E Monthly'!$AA150:$BJ150, 'I&amp;E Monthly'!$AA$3:$BJ$3, 'I&amp;E Annual'!W$3, 'I&amp;E Monthly'!$AA$4:$BJ$4, 0)</f>
        <v>0</v>
      </c>
      <c r="K150" s="133">
        <f>IF($G150=$G$7, X150,'I&amp;E Monthly'!X150)-SUMIFS('I&amp;E Monthly'!$AA150:$BJ150, 'I&amp;E Monthly'!$AA$3:$BJ$3, 'I&amp;E Annual'!X$3, 'I&amp;E Monthly'!$AA$4:$BJ$4, 0)</f>
        <v>0</v>
      </c>
      <c r="L150" s="133">
        <f>IF($G150=$G$7, Y150,'I&amp;E Monthly'!Y150)-SUMIFS('I&amp;E Monthly'!$AA150:$BJ150, 'I&amp;E Monthly'!$AA$3:$BJ$3, 'I&amp;E Annual'!Y$3, 'I&amp;E Monthly'!$AA$4:$BJ$4, 0)</f>
        <v>0</v>
      </c>
      <c r="Q150" s="2"/>
      <c r="V150" s="133">
        <f>'I&amp;E Monthly'!V150</f>
        <v>0</v>
      </c>
      <c r="W150" s="114"/>
      <c r="X150" s="131"/>
      <c r="Y150" s="131"/>
      <c r="AA150" s="10" cm="1">
        <f t="array" ref="AA150">IF(OR(AA$4=0, $G150&lt;&gt; $G$7, $E150=0), 'I&amp;E Monthly'!AA150, CHOOSE(Timeline!AA$30,$J150,$K150,$L150 )*INDEX('I&amp;E Profiles'!AA$96:AA$180,$I150))</f>
        <v>0</v>
      </c>
      <c r="AB150" s="10" cm="1">
        <f t="array" ref="AB150">IF(OR(AB$4=0, $G150&lt;&gt; $G$7, $E150=0), 'I&amp;E Monthly'!AB150, CHOOSE(Timeline!AB$30,$J150,$K150,$L150 )*INDEX('I&amp;E Profiles'!AB$96:AB$180,$I150))</f>
        <v>0</v>
      </c>
      <c r="AC150" s="10" cm="1">
        <f t="array" ref="AC150">IF(OR(AC$4=0, $G150&lt;&gt; $G$7, $E150=0), 'I&amp;E Monthly'!AC150, CHOOSE(Timeline!AC$30,$J150,$K150,$L150 )*INDEX('I&amp;E Profiles'!AC$96:AC$180,$I150))</f>
        <v>0</v>
      </c>
      <c r="AD150" s="10" cm="1">
        <f t="array" ref="AD150">IF(OR(AD$4=0, $G150&lt;&gt; $G$7, $E150=0), 'I&amp;E Monthly'!AD150, CHOOSE(Timeline!AD$30,$J150,$K150,$L150 )*INDEX('I&amp;E Profiles'!AD$96:AD$180,$I150))</f>
        <v>0</v>
      </c>
      <c r="AE150" s="10" cm="1">
        <f t="array" ref="AE150">IF(OR(AE$4=0, $G150&lt;&gt; $G$7, $E150=0), 'I&amp;E Monthly'!AE150, CHOOSE(Timeline!AE$30,$J150,$K150,$L150 )*INDEX('I&amp;E Profiles'!AE$96:AE$180,$I150))</f>
        <v>0</v>
      </c>
      <c r="AF150" s="10" cm="1">
        <f t="array" ref="AF150">IF(OR(AF$4=0, $G150&lt;&gt; $G$7, $E150=0), 'I&amp;E Monthly'!AF150, CHOOSE(Timeline!AF$30,$J150,$K150,$L150 )*INDEX('I&amp;E Profiles'!AF$96:AF$180,$I150))</f>
        <v>0</v>
      </c>
      <c r="AG150" s="10" cm="1">
        <f t="array" ref="AG150">IF(OR(AG$4=0, $G150&lt;&gt; $G$7, $E150=0), 'I&amp;E Monthly'!AG150, CHOOSE(Timeline!AG$30,$J150,$K150,$L150 )*INDEX('I&amp;E Profiles'!AG$96:AG$180,$I150))</f>
        <v>0</v>
      </c>
      <c r="AH150" s="10" cm="1">
        <f t="array" ref="AH150">IF(OR(AH$4=0, $G150&lt;&gt; $G$7, $E150=0), 'I&amp;E Monthly'!AH150, CHOOSE(Timeline!AH$30,$J150,$K150,$L150 )*INDEX('I&amp;E Profiles'!AH$96:AH$180,$I150))</f>
        <v>0</v>
      </c>
      <c r="AI150" s="10" cm="1">
        <f t="array" ref="AI150">IF(OR(AI$4=0, $G150&lt;&gt; $G$7, $E150=0), 'I&amp;E Monthly'!AI150, CHOOSE(Timeline!AI$30,$J150,$K150,$L150 )*INDEX('I&amp;E Profiles'!AI$96:AI$180,$I150))</f>
        <v>0</v>
      </c>
      <c r="AJ150" s="10" cm="1">
        <f t="array" ref="AJ150">IF(OR(AJ$4=0, $G150&lt;&gt; $G$7, $E150=0), 'I&amp;E Monthly'!AJ150, CHOOSE(Timeline!AJ$30,$J150,$K150,$L150 )*INDEX('I&amp;E Profiles'!AJ$96:AJ$180,$I150))</f>
        <v>0</v>
      </c>
      <c r="AK150" s="10" cm="1">
        <f t="array" ref="AK150">IF(OR(AK$4=0, $G150&lt;&gt; $G$7, $E150=0), 'I&amp;E Monthly'!AK150, CHOOSE(Timeline!AK$30,$J150,$K150,$L150 )*INDEX('I&amp;E Profiles'!AK$96:AK$180,$I150))</f>
        <v>0</v>
      </c>
      <c r="AL150" s="10" cm="1">
        <f t="array" ref="AL150">IF(OR(AL$4=0, $G150&lt;&gt; $G$7, $E150=0), 'I&amp;E Monthly'!AL150, CHOOSE(Timeline!AL$30,$J150,$K150,$L150 )*INDEX('I&amp;E Profiles'!AL$96:AL$180,$I150))</f>
        <v>0</v>
      </c>
      <c r="AM150" s="10" cm="1">
        <f t="array" ref="AM150">IF(OR(AM$4=0, $G150&lt;&gt; $G$7, $E150=0), 'I&amp;E Monthly'!AM150, CHOOSE(Timeline!AM$30,$J150,$K150,$L150 )*INDEX('I&amp;E Profiles'!AM$96:AM$180,$I150))</f>
        <v>0</v>
      </c>
      <c r="AN150" s="10" cm="1">
        <f t="array" ref="AN150">IF(OR(AN$4=0, $G150&lt;&gt; $G$7, $E150=0), 'I&amp;E Monthly'!AN150, CHOOSE(Timeline!AN$30,$J150,$K150,$L150 )*INDEX('I&amp;E Profiles'!AN$96:AN$180,$I150))</f>
        <v>0</v>
      </c>
      <c r="AO150" s="10" cm="1">
        <f t="array" ref="AO150">IF(OR(AO$4=0, $G150&lt;&gt; $G$7, $E150=0), 'I&amp;E Monthly'!AO150, CHOOSE(Timeline!AO$30,$J150,$K150,$L150 )*INDEX('I&amp;E Profiles'!AO$96:AO$180,$I150))</f>
        <v>0</v>
      </c>
      <c r="AP150" s="10" cm="1">
        <f t="array" ref="AP150">IF(OR(AP$4=0, $G150&lt;&gt; $G$7, $E150=0), 'I&amp;E Monthly'!AP150, CHOOSE(Timeline!AP$30,$J150,$K150,$L150 )*INDEX('I&amp;E Profiles'!AP$96:AP$180,$I150))</f>
        <v>0</v>
      </c>
      <c r="AQ150" s="10" cm="1">
        <f t="array" ref="AQ150">IF(OR(AQ$4=0, $G150&lt;&gt; $G$7, $E150=0), 'I&amp;E Monthly'!AQ150, CHOOSE(Timeline!AQ$30,$J150,$K150,$L150 )*INDEX('I&amp;E Profiles'!AQ$96:AQ$180,$I150))</f>
        <v>0</v>
      </c>
      <c r="AR150" s="10" cm="1">
        <f t="array" ref="AR150">IF(OR(AR$4=0, $G150&lt;&gt; $G$7, $E150=0), 'I&amp;E Monthly'!AR150, CHOOSE(Timeline!AR$30,$J150,$K150,$L150 )*INDEX('I&amp;E Profiles'!AR$96:AR$180,$I150))</f>
        <v>0</v>
      </c>
      <c r="AS150" s="10" cm="1">
        <f t="array" ref="AS150">IF(OR(AS$4=0, $G150&lt;&gt; $G$7, $E150=0), 'I&amp;E Monthly'!AS150, CHOOSE(Timeline!AS$30,$J150,$K150,$L150 )*INDEX('I&amp;E Profiles'!AS$96:AS$180,$I150))</f>
        <v>0</v>
      </c>
      <c r="AT150" s="10" cm="1">
        <f t="array" ref="AT150">IF(OR(AT$4=0, $G150&lt;&gt; $G$7, $E150=0), 'I&amp;E Monthly'!AT150, CHOOSE(Timeline!AT$30,$J150,$K150,$L150 )*INDEX('I&amp;E Profiles'!AT$96:AT$180,$I150))</f>
        <v>0</v>
      </c>
      <c r="AU150" s="10" cm="1">
        <f t="array" ref="AU150">IF(OR(AU$4=0, $G150&lt;&gt; $G$7, $E150=0), 'I&amp;E Monthly'!AU150, CHOOSE(Timeline!AU$30,$J150,$K150,$L150 )*INDEX('I&amp;E Profiles'!AU$96:AU$180,$I150))</f>
        <v>0</v>
      </c>
      <c r="AV150" s="10" cm="1">
        <f t="array" ref="AV150">IF(OR(AV$4=0, $G150&lt;&gt; $G$7, $E150=0), 'I&amp;E Monthly'!AV150, CHOOSE(Timeline!AV$30,$J150,$K150,$L150 )*INDEX('I&amp;E Profiles'!AV$96:AV$180,$I150))</f>
        <v>0</v>
      </c>
      <c r="AW150" s="10" cm="1">
        <f t="array" ref="AW150">IF(OR(AW$4=0, $G150&lt;&gt; $G$7, $E150=0), 'I&amp;E Monthly'!AW150, CHOOSE(Timeline!AW$30,$J150,$K150,$L150 )*INDEX('I&amp;E Profiles'!AW$96:AW$180,$I150))</f>
        <v>0</v>
      </c>
      <c r="AX150" s="10" cm="1">
        <f t="array" ref="AX150">IF(OR(AX$4=0, $G150&lt;&gt; $G$7, $E150=0), 'I&amp;E Monthly'!AX150, CHOOSE(Timeline!AX$30,$J150,$K150,$L150 )*INDEX('I&amp;E Profiles'!AX$96:AX$180,$I150))</f>
        <v>0</v>
      </c>
      <c r="AY150" s="10" cm="1">
        <f t="array" ref="AY150">IF(OR(AY$4=0, $G150&lt;&gt; $G$7, $E150=0), 'I&amp;E Monthly'!AY150, CHOOSE(Timeline!AY$30,$J150,$K150,$L150 )*INDEX('I&amp;E Profiles'!AY$96:AY$180,$I150))</f>
        <v>0</v>
      </c>
      <c r="AZ150" s="10" cm="1">
        <f t="array" ref="AZ150">IF(OR(AZ$4=0, $G150&lt;&gt; $G$7, $E150=0), 'I&amp;E Monthly'!AZ150, CHOOSE(Timeline!AZ$30,$J150,$K150,$L150 )*INDEX('I&amp;E Profiles'!AZ$96:AZ$180,$I150))</f>
        <v>0</v>
      </c>
      <c r="BA150" s="10" cm="1">
        <f t="array" ref="BA150">IF(OR(BA$4=0, $G150&lt;&gt; $G$7, $E150=0), 'I&amp;E Monthly'!BA150, CHOOSE(Timeline!BA$30,$J150,$K150,$L150 )*INDEX('I&amp;E Profiles'!BA$96:BA$180,$I150))</f>
        <v>0</v>
      </c>
      <c r="BB150" s="10" cm="1">
        <f t="array" ref="BB150">IF(OR(BB$4=0, $G150&lt;&gt; $G$7, $E150=0), 'I&amp;E Monthly'!BB150, CHOOSE(Timeline!BB$30,$J150,$K150,$L150 )*INDEX('I&amp;E Profiles'!BB$96:BB$180,$I150))</f>
        <v>0</v>
      </c>
      <c r="BC150" s="10" cm="1">
        <f t="array" ref="BC150">IF(OR(BC$4=0, $G150&lt;&gt; $G$7, $E150=0), 'I&amp;E Monthly'!BC150, CHOOSE(Timeline!BC$30,$J150,$K150,$L150 )*INDEX('I&amp;E Profiles'!BC$96:BC$180,$I150))</f>
        <v>0</v>
      </c>
      <c r="BD150" s="10" cm="1">
        <f t="array" ref="BD150">IF(OR(BD$4=0, $G150&lt;&gt; $G$7, $E150=0), 'I&amp;E Monthly'!BD150, CHOOSE(Timeline!BD$30,$J150,$K150,$L150 )*INDEX('I&amp;E Profiles'!BD$96:BD$180,$I150))</f>
        <v>0</v>
      </c>
      <c r="BE150" s="10" cm="1">
        <f t="array" ref="BE150">IF(OR(BE$4=0, $G150&lt;&gt; $G$7, $E150=0), 'I&amp;E Monthly'!BE150, CHOOSE(Timeline!BE$30,$J150,$K150,$L150 )*INDEX('I&amp;E Profiles'!BE$96:BE$180,$I150))</f>
        <v>0</v>
      </c>
      <c r="BF150" s="10" cm="1">
        <f t="array" ref="BF150">IF(OR(BF$4=0, $G150&lt;&gt; $G$7, $E150=0), 'I&amp;E Monthly'!BF150, CHOOSE(Timeline!BF$30,$J150,$K150,$L150 )*INDEX('I&amp;E Profiles'!BF$96:BF$180,$I150))</f>
        <v>0</v>
      </c>
      <c r="BG150" s="10" cm="1">
        <f t="array" ref="BG150">IF(OR(BG$4=0, $G150&lt;&gt; $G$7, $E150=0), 'I&amp;E Monthly'!BG150, CHOOSE(Timeline!BG$30,$J150,$K150,$L150 )*INDEX('I&amp;E Profiles'!BG$96:BG$180,$I150))</f>
        <v>0</v>
      </c>
      <c r="BH150" s="10" cm="1">
        <f t="array" ref="BH150">IF(OR(BH$4=0, $G150&lt;&gt; $G$7, $E150=0), 'I&amp;E Monthly'!BH150, CHOOSE(Timeline!BH$30,$J150,$K150,$L150 )*INDEX('I&amp;E Profiles'!BH$96:BH$180,$I150))</f>
        <v>0</v>
      </c>
      <c r="BI150" s="10" cm="1">
        <f t="array" ref="BI150">IF(OR(BI$4=0, $G150&lt;&gt; $G$7, $E150=0), 'I&amp;E Monthly'!BI150, CHOOSE(Timeline!BI$30,$J150,$K150,$L150 )*INDEX('I&amp;E Profiles'!BI$96:BI$180,$I150))</f>
        <v>0</v>
      </c>
      <c r="BJ150" s="10" cm="1">
        <f t="array" ref="BJ150">IF(OR(BJ$4=0, $G150&lt;&gt; $G$7, $E150=0), 'I&amp;E Monthly'!BJ150, CHOOSE(Timeline!BJ$30,$J150,$K150,$L150 )*INDEX('I&amp;E Profiles'!BJ$96:BJ$180,$I150))</f>
        <v>0</v>
      </c>
      <c r="BX150" s="12">
        <f>V150</f>
        <v>0</v>
      </c>
      <c r="BY150" s="10">
        <f>SUMIFS($AA150:$BJ150, $AA$3:$BJ$3,BY$3)</f>
        <v>0</v>
      </c>
      <c r="BZ150" s="10">
        <f>SUMIFS($AA150:$BJ150, $AA$3:$BJ$3,BZ$3)</f>
        <v>0</v>
      </c>
      <c r="CA150" s="10">
        <f>SUMIFS($AA150:$BJ150, $AA$3:$BJ$3,CA$3)</f>
        <v>0</v>
      </c>
      <c r="CB150" s="12">
        <f>'I&amp;E Monthly'!CB150</f>
        <v>0</v>
      </c>
      <c r="CC150" s="12">
        <f>'I&amp;E Monthly'!CC150</f>
        <v>0</v>
      </c>
      <c r="CD150" s="12">
        <f>'I&amp;E Monthly'!CD150</f>
        <v>0</v>
      </c>
      <c r="CE150" s="12">
        <f>'I&amp;E Monthly'!CE150</f>
        <v>0</v>
      </c>
      <c r="CF150" s="12">
        <f>'I&amp;E Monthly'!CF150</f>
        <v>0</v>
      </c>
      <c r="CG150" s="12">
        <f>'I&amp;E Monthly'!CG150</f>
        <v>0</v>
      </c>
      <c r="CH150" s="12">
        <f>'I&amp;E Monthly'!CH150</f>
        <v>0</v>
      </c>
      <c r="CI150" s="12">
        <f>'I&amp;E Monthly'!CI150</f>
        <v>0</v>
      </c>
      <c r="CK150" s="11"/>
      <c r="CL150" s="221">
        <f ca="1">IF(MIN($V150:$CI150)&lt;0, 1, 0)*$I$7</f>
        <v>0</v>
      </c>
      <c r="CM150" s="11"/>
      <c r="CN150" s="7">
        <f>IF(AND($G150=$G$7,$E150=""), 1, 0)</f>
        <v>0</v>
      </c>
      <c r="CO150" s="7" cm="1">
        <f t="array" ref="CO150">SUMPRODUCT(--NOT(ISNUMBER(W150:Y150)),--NOT(ISBLANK(W150:Y150)))</f>
        <v>0</v>
      </c>
      <c r="CP150" s="7" cm="1">
        <f t="array" ref="CP150">IF(E150="",0, IF(IFERROR(INDEX('I&amp;E Profiles'!$D$96:$D$180, $I150), "N/A")="N/A", 1, 0))</f>
        <v>0</v>
      </c>
      <c r="CQ150" s="7">
        <f t="shared" si="171"/>
        <v>0</v>
      </c>
      <c r="CS150" s="7">
        <f t="shared" si="172"/>
        <v>0</v>
      </c>
      <c r="CT150" s="7">
        <f t="shared" si="173"/>
        <v>0</v>
      </c>
      <c r="CU150" s="11"/>
      <c r="CV150" s="215">
        <f t="shared" si="174"/>
        <v>0</v>
      </c>
      <c r="CW150" s="215">
        <f t="shared" si="174"/>
        <v>0</v>
      </c>
      <c r="CX150" s="215">
        <f t="shared" si="174"/>
        <v>0</v>
      </c>
      <c r="CY150" s="215">
        <f t="shared" si="175"/>
        <v>0</v>
      </c>
      <c r="CZ150" s="215">
        <f t="shared" si="176"/>
        <v>0</v>
      </c>
      <c r="DA150" s="215">
        <f t="shared" si="177"/>
        <v>0</v>
      </c>
      <c r="DB150" s="215">
        <f t="shared" si="178"/>
        <v>0</v>
      </c>
      <c r="FN150" s="10" t="str">
        <f t="shared" si="170"/>
        <v>Interest and investment income</v>
      </c>
    </row>
    <row r="151" spans="1:170" ht="87" x14ac:dyDescent="0.35">
      <c r="A151" s="220" cm="1">
        <f t="array" aca="1" ref="A151" ca="1">HYPERLINK(CONCATENATE("#",CELL("address",IF(MAX($CM151:$CU151)=0,A151,INDEX($CM151:$CU151,MATCH(1,$CM151:$CU151,0))))),MAX($CM151:$CU151))</f>
        <v>0</v>
      </c>
      <c r="C151" s="211" t="s">
        <v>585</v>
      </c>
      <c r="D151" s="104" t="s">
        <v>442</v>
      </c>
      <c r="E151" s="533" t="str" cm="1">
        <f t="array" aca="1" ref="E151" ca="1">HYPERLINK(CONCATENATE("#",CELL("address",'BS Forecasts'!$D$127)),'BS Forecasts'!$D$124)</f>
        <v>Total Finance and Operating Lease (Right of use) Obligations</v>
      </c>
      <c r="F151" s="533" t="str" cm="1">
        <f t="array" aca="1" ref="F151" ca="1">HYPERLINK(CONCATENATE("#",CELL("address",Loans!$D$1156)),Loans!$D$1152)</f>
        <v>Interest Expense and Early Repayment Fee</v>
      </c>
      <c r="H151" s="120" t="s">
        <v>403</v>
      </c>
      <c r="Q151" s="2"/>
      <c r="V151" s="10">
        <f>'I&amp;E Monthly'!V$151</f>
        <v>0</v>
      </c>
      <c r="W151" s="10">
        <f>'I&amp;E Monthly'!W$151</f>
        <v>0</v>
      </c>
      <c r="X151" s="10">
        <f>'I&amp;E Monthly'!X$151</f>
        <v>0</v>
      </c>
      <c r="Y151" s="10">
        <f>'I&amp;E Monthly'!Y$151</f>
        <v>0</v>
      </c>
      <c r="AA151" s="10">
        <f>'I&amp;E Monthly'!AA$151</f>
        <v>0</v>
      </c>
      <c r="AB151" s="10">
        <f>'I&amp;E Monthly'!AB$151</f>
        <v>0</v>
      </c>
      <c r="AC151" s="10">
        <f>'I&amp;E Monthly'!AC$151</f>
        <v>0</v>
      </c>
      <c r="AD151" s="10">
        <f>'I&amp;E Monthly'!AD$151</f>
        <v>0</v>
      </c>
      <c r="AE151" s="10">
        <f>'I&amp;E Monthly'!AE$151</f>
        <v>0</v>
      </c>
      <c r="AF151" s="10">
        <f>'I&amp;E Monthly'!AF$151</f>
        <v>0</v>
      </c>
      <c r="AG151" s="10">
        <f>'I&amp;E Monthly'!AG$151</f>
        <v>0</v>
      </c>
      <c r="AH151" s="10">
        <f>'I&amp;E Monthly'!AH$151</f>
        <v>0</v>
      </c>
      <c r="AI151" s="10">
        <f>'I&amp;E Monthly'!AI$151</f>
        <v>0</v>
      </c>
      <c r="AJ151" s="10">
        <f>'I&amp;E Monthly'!AJ$151</f>
        <v>0</v>
      </c>
      <c r="AK151" s="10">
        <f>'I&amp;E Monthly'!AK$151</f>
        <v>0</v>
      </c>
      <c r="AL151" s="10">
        <f>'I&amp;E Monthly'!AL$151</f>
        <v>0</v>
      </c>
      <c r="AM151" s="10">
        <f>'I&amp;E Monthly'!AM$151</f>
        <v>0</v>
      </c>
      <c r="AN151" s="10">
        <f>'I&amp;E Monthly'!AN$151</f>
        <v>0</v>
      </c>
      <c r="AO151" s="10">
        <f>'I&amp;E Monthly'!AO$151</f>
        <v>0</v>
      </c>
      <c r="AP151" s="10">
        <f>'I&amp;E Monthly'!AP$151</f>
        <v>0</v>
      </c>
      <c r="AQ151" s="10">
        <f>'I&amp;E Monthly'!AQ$151</f>
        <v>0</v>
      </c>
      <c r="AR151" s="10">
        <f>'I&amp;E Monthly'!AR$151</f>
        <v>0</v>
      </c>
      <c r="AS151" s="10">
        <f>'I&amp;E Monthly'!AS$151</f>
        <v>0</v>
      </c>
      <c r="AT151" s="10">
        <f>'I&amp;E Monthly'!AT$151</f>
        <v>0</v>
      </c>
      <c r="AU151" s="10">
        <f>'I&amp;E Monthly'!AU$151</f>
        <v>0</v>
      </c>
      <c r="AV151" s="10">
        <f>'I&amp;E Monthly'!AV$151</f>
        <v>0</v>
      </c>
      <c r="AW151" s="10">
        <f>'I&amp;E Monthly'!AW$151</f>
        <v>0</v>
      </c>
      <c r="AX151" s="10">
        <f>'I&amp;E Monthly'!AX$151</f>
        <v>0</v>
      </c>
      <c r="AY151" s="10">
        <f>'I&amp;E Monthly'!AY$151</f>
        <v>0</v>
      </c>
      <c r="AZ151" s="10">
        <f>'I&amp;E Monthly'!AZ$151</f>
        <v>0</v>
      </c>
      <c r="BA151" s="10">
        <f>'I&amp;E Monthly'!BA$151</f>
        <v>0</v>
      </c>
      <c r="BB151" s="10">
        <f>'I&amp;E Monthly'!BB$151</f>
        <v>0</v>
      </c>
      <c r="BC151" s="10">
        <f>'I&amp;E Monthly'!BC$151</f>
        <v>0</v>
      </c>
      <c r="BD151" s="10">
        <f>'I&amp;E Monthly'!BD$151</f>
        <v>0</v>
      </c>
      <c r="BE151" s="10">
        <f>'I&amp;E Monthly'!BE$151</f>
        <v>0</v>
      </c>
      <c r="BF151" s="10">
        <f>'I&amp;E Monthly'!BF$151</f>
        <v>0</v>
      </c>
      <c r="BG151" s="10">
        <f>'I&amp;E Monthly'!BG$151</f>
        <v>0</v>
      </c>
      <c r="BH151" s="10">
        <f>'I&amp;E Monthly'!BH$151</f>
        <v>0</v>
      </c>
      <c r="BI151" s="10">
        <f>'I&amp;E Monthly'!BI$151</f>
        <v>0</v>
      </c>
      <c r="BJ151" s="10">
        <f>'I&amp;E Monthly'!BJ$151</f>
        <v>0</v>
      </c>
      <c r="BX151" s="10">
        <f>'I&amp;E Monthly'!BX$151</f>
        <v>0</v>
      </c>
      <c r="BY151" s="10">
        <f>'I&amp;E Monthly'!BY$151</f>
        <v>0</v>
      </c>
      <c r="BZ151" s="10">
        <f>'I&amp;E Monthly'!BZ$151</f>
        <v>0</v>
      </c>
      <c r="CA151" s="10">
        <f>'I&amp;E Monthly'!CA$151</f>
        <v>0</v>
      </c>
      <c r="CB151" s="10">
        <f>'I&amp;E Monthly'!CB$151</f>
        <v>0</v>
      </c>
      <c r="CC151" s="10">
        <f>'I&amp;E Monthly'!CC$151</f>
        <v>0</v>
      </c>
      <c r="CD151" s="10">
        <f>'I&amp;E Monthly'!CD$151</f>
        <v>0</v>
      </c>
      <c r="CE151" s="10">
        <f>'I&amp;E Monthly'!CE$151</f>
        <v>0</v>
      </c>
      <c r="CF151" s="10">
        <f>'I&amp;E Monthly'!CF$151</f>
        <v>0</v>
      </c>
      <c r="CG151" s="10">
        <f>'I&amp;E Monthly'!CG$151</f>
        <v>0</v>
      </c>
      <c r="CH151" s="10">
        <f>'I&amp;E Monthly'!CH$151</f>
        <v>0</v>
      </c>
      <c r="CI151" s="10">
        <f>'I&amp;E Monthly'!CI$151</f>
        <v>0</v>
      </c>
      <c r="CK151" s="11"/>
      <c r="CM151" s="11"/>
      <c r="CQ151" s="7">
        <f t="shared" si="171"/>
        <v>0</v>
      </c>
      <c r="CS151" s="7">
        <f t="shared" si="172"/>
        <v>0</v>
      </c>
      <c r="CT151" s="7">
        <f t="shared" si="173"/>
        <v>0</v>
      </c>
      <c r="CU151" s="11"/>
      <c r="CV151" s="215">
        <f t="shared" si="174"/>
        <v>0</v>
      </c>
      <c r="CW151" s="215">
        <f t="shared" si="174"/>
        <v>0</v>
      </c>
      <c r="CX151" s="215">
        <f t="shared" si="174"/>
        <v>0</v>
      </c>
      <c r="CY151" s="215">
        <f t="shared" si="175"/>
        <v>0</v>
      </c>
      <c r="CZ151" s="215">
        <f t="shared" si="176"/>
        <v>0</v>
      </c>
      <c r="DA151" s="215">
        <f t="shared" si="177"/>
        <v>0</v>
      </c>
      <c r="DB151" s="215">
        <f t="shared" si="178"/>
        <v>0</v>
      </c>
      <c r="FN151" s="10" t="str">
        <f t="shared" si="170"/>
        <v>Interest and other finance costs</v>
      </c>
    </row>
    <row r="152" spans="1:170" ht="27" customHeight="1" x14ac:dyDescent="0.35">
      <c r="A152" s="220" cm="1">
        <f t="array" aca="1" ref="A152" ca="1">HYPERLINK(CONCATENATE("#",CELL("address",IF(MAX($CM152:$CU152)=0,A152,INDEX($CM152:$CU152,MATCH(1,$CM152:$CU152,0))))),MAX($CM152:$CU152))</f>
        <v>0</v>
      </c>
      <c r="C152" s="211" t="s">
        <v>586</v>
      </c>
      <c r="D152" s="105" t="s">
        <v>443</v>
      </c>
      <c r="E152" s="533" t="str" cm="1">
        <f t="array" aca="1" ref="E152" ca="1">HYPERLINK(CONCATENATE("#",CELL("address",'BS Forecasts'!$D$213)),"LPGS Interest")</f>
        <v>LPGS Interest</v>
      </c>
      <c r="F152" s="533" t="str" cm="1">
        <f t="array" aca="1" ref="F152" ca="1">HYPERLINK(CONCATENATE("#",CELL("address",'BS Forecasts'!$D$222)),'BS Forecasts'!$D$219)</f>
        <v>Enhanced Pension Provision</v>
      </c>
      <c r="G152" s="533" t="str" cm="1">
        <f t="array" aca="1" ref="G152" ca="1">HYPERLINK(CONCATENATE("#",CELL("address",'BS Forecasts'!$D$231)),'BS Forecasts'!$D$228)</f>
        <v>Other Pension Provisions</v>
      </c>
      <c r="H152" s="120" t="s">
        <v>403</v>
      </c>
      <c r="Q152" s="2"/>
      <c r="V152" s="10">
        <f>'I&amp;E Monthly'!V$152</f>
        <v>0</v>
      </c>
      <c r="W152" s="10">
        <f>'I&amp;E Monthly'!W$152</f>
        <v>0</v>
      </c>
      <c r="X152" s="10">
        <f>'I&amp;E Monthly'!X$152</f>
        <v>0</v>
      </c>
      <c r="Y152" s="10">
        <f>'I&amp;E Monthly'!Y$152</f>
        <v>0</v>
      </c>
      <c r="AA152" s="10">
        <f>'I&amp;E Monthly'!AA$152</f>
        <v>0</v>
      </c>
      <c r="AB152" s="10">
        <f>'I&amp;E Monthly'!AB$152</f>
        <v>0</v>
      </c>
      <c r="AC152" s="10">
        <f>'I&amp;E Monthly'!AC$152</f>
        <v>0</v>
      </c>
      <c r="AD152" s="10">
        <f>'I&amp;E Monthly'!AD$152</f>
        <v>0</v>
      </c>
      <c r="AE152" s="10">
        <f>'I&amp;E Monthly'!AE$152</f>
        <v>0</v>
      </c>
      <c r="AF152" s="10">
        <f>'I&amp;E Monthly'!AF$152</f>
        <v>0</v>
      </c>
      <c r="AG152" s="10">
        <f>'I&amp;E Monthly'!AG$152</f>
        <v>0</v>
      </c>
      <c r="AH152" s="10">
        <f>'I&amp;E Monthly'!AH$152</f>
        <v>0</v>
      </c>
      <c r="AI152" s="10">
        <f>'I&amp;E Monthly'!AI$152</f>
        <v>0</v>
      </c>
      <c r="AJ152" s="10">
        <f>'I&amp;E Monthly'!AJ$152</f>
        <v>0</v>
      </c>
      <c r="AK152" s="10">
        <f>'I&amp;E Monthly'!AK$152</f>
        <v>0</v>
      </c>
      <c r="AL152" s="10">
        <f>'I&amp;E Monthly'!AL$152</f>
        <v>0</v>
      </c>
      <c r="AM152" s="10">
        <f>'I&amp;E Monthly'!AM$152</f>
        <v>0</v>
      </c>
      <c r="AN152" s="10">
        <f>'I&amp;E Monthly'!AN$152</f>
        <v>0</v>
      </c>
      <c r="AO152" s="10">
        <f>'I&amp;E Monthly'!AO$152</f>
        <v>0</v>
      </c>
      <c r="AP152" s="10">
        <f>'I&amp;E Monthly'!AP$152</f>
        <v>0</v>
      </c>
      <c r="AQ152" s="10">
        <f>'I&amp;E Monthly'!AQ$152</f>
        <v>0</v>
      </c>
      <c r="AR152" s="10">
        <f>'I&amp;E Monthly'!AR$152</f>
        <v>0</v>
      </c>
      <c r="AS152" s="10">
        <f>'I&amp;E Monthly'!AS$152</f>
        <v>0</v>
      </c>
      <c r="AT152" s="10">
        <f>'I&amp;E Monthly'!AT$152</f>
        <v>0</v>
      </c>
      <c r="AU152" s="10">
        <f>'I&amp;E Monthly'!AU$152</f>
        <v>0</v>
      </c>
      <c r="AV152" s="10">
        <f>'I&amp;E Monthly'!AV$152</f>
        <v>0</v>
      </c>
      <c r="AW152" s="10">
        <f>'I&amp;E Monthly'!AW$152</f>
        <v>0</v>
      </c>
      <c r="AX152" s="10">
        <f>'I&amp;E Monthly'!AX$152</f>
        <v>0</v>
      </c>
      <c r="AY152" s="10">
        <f>'I&amp;E Monthly'!AY$152</f>
        <v>0</v>
      </c>
      <c r="AZ152" s="10">
        <f>'I&amp;E Monthly'!AZ$152</f>
        <v>0</v>
      </c>
      <c r="BA152" s="10">
        <f>'I&amp;E Monthly'!BA$152</f>
        <v>0</v>
      </c>
      <c r="BB152" s="10">
        <f>'I&amp;E Monthly'!BB$152</f>
        <v>0</v>
      </c>
      <c r="BC152" s="10">
        <f>'I&amp;E Monthly'!BC$152</f>
        <v>0</v>
      </c>
      <c r="BD152" s="10">
        <f>'I&amp;E Monthly'!BD$152</f>
        <v>0</v>
      </c>
      <c r="BE152" s="10">
        <f>'I&amp;E Monthly'!BE$152</f>
        <v>0</v>
      </c>
      <c r="BF152" s="10">
        <f>'I&amp;E Monthly'!BF$152</f>
        <v>0</v>
      </c>
      <c r="BG152" s="10">
        <f>'I&amp;E Monthly'!BG$152</f>
        <v>0</v>
      </c>
      <c r="BH152" s="10">
        <f>'I&amp;E Monthly'!BH$152</f>
        <v>0</v>
      </c>
      <c r="BI152" s="10">
        <f>'I&amp;E Monthly'!BI$152</f>
        <v>0</v>
      </c>
      <c r="BJ152" s="10">
        <f>'I&amp;E Monthly'!BJ$152</f>
        <v>0</v>
      </c>
      <c r="BX152" s="10">
        <f>'I&amp;E Monthly'!BX$152</f>
        <v>0</v>
      </c>
      <c r="BY152" s="10">
        <f>'I&amp;E Monthly'!BY$152</f>
        <v>0</v>
      </c>
      <c r="BZ152" s="10">
        <f>'I&amp;E Monthly'!BZ$152</f>
        <v>0</v>
      </c>
      <c r="CA152" s="10">
        <f>'I&amp;E Monthly'!CA$152</f>
        <v>0</v>
      </c>
      <c r="CB152" s="10">
        <f>'I&amp;E Monthly'!CB$152</f>
        <v>0</v>
      </c>
      <c r="CC152" s="10">
        <f>'I&amp;E Monthly'!CC$152</f>
        <v>0</v>
      </c>
      <c r="CD152" s="10">
        <f>'I&amp;E Monthly'!CD$152</f>
        <v>0</v>
      </c>
      <c r="CE152" s="10">
        <f>'I&amp;E Monthly'!CE$152</f>
        <v>0</v>
      </c>
      <c r="CF152" s="10">
        <f>'I&amp;E Monthly'!CF$152</f>
        <v>0</v>
      </c>
      <c r="CG152" s="10">
        <f>'I&amp;E Monthly'!CG$152</f>
        <v>0</v>
      </c>
      <c r="CH152" s="10">
        <f>'I&amp;E Monthly'!CH$152</f>
        <v>0</v>
      </c>
      <c r="CI152" s="10">
        <f>'I&amp;E Monthly'!CI$152</f>
        <v>0</v>
      </c>
      <c r="CK152" s="11"/>
      <c r="CM152" s="11"/>
      <c r="CQ152" s="7">
        <f t="shared" ca="1" si="171"/>
        <v>0</v>
      </c>
      <c r="CS152" s="7">
        <f t="shared" si="172"/>
        <v>0</v>
      </c>
      <c r="CT152" s="7">
        <f t="shared" si="173"/>
        <v>0</v>
      </c>
      <c r="CU152" s="11"/>
      <c r="CV152" s="215">
        <f t="shared" ca="1" si="174"/>
        <v>0</v>
      </c>
      <c r="CW152" s="215">
        <f t="shared" ca="1" si="174"/>
        <v>0</v>
      </c>
      <c r="CX152" s="215">
        <f t="shared" ca="1" si="174"/>
        <v>0</v>
      </c>
      <c r="CY152" s="215">
        <f t="shared" si="175"/>
        <v>0</v>
      </c>
      <c r="CZ152" s="215">
        <f t="shared" si="176"/>
        <v>0</v>
      </c>
      <c r="DA152" s="215">
        <f t="shared" si="177"/>
        <v>0</v>
      </c>
      <c r="DB152" s="215">
        <f t="shared" si="178"/>
        <v>0</v>
      </c>
      <c r="FN152" s="10" t="str">
        <f t="shared" si="170"/>
        <v>FRS102 adj. - LGPS and EPP net interest charge (non-cash)</v>
      </c>
    </row>
    <row r="153" spans="1:170" x14ac:dyDescent="0.35">
      <c r="A153" s="220" cm="1">
        <f t="array" aca="1" ref="A153" ca="1">HYPERLINK(CONCATENATE("#",CELL("address",IF(MAX($CM153:$CU153)=0,A153,INDEX($CM153:$CU153,MATCH(1,$CM153:$CU153,0))))),MAX($CM153:$CU153))</f>
        <v>0</v>
      </c>
      <c r="C153" s="211" t="s">
        <v>587</v>
      </c>
      <c r="D153" s="33" t="s">
        <v>444</v>
      </c>
      <c r="E153" s="114"/>
      <c r="F153" s="79" t="str" cm="1">
        <f t="array" aca="1" ref="F153" ca="1">IF(E153="", "", HYPERLINK(CONCATENATE("#",CELL("address",INDEX('I&amp;E Profiles'!$D$9:$D$93,'I&amp;E Annual'!I153))),E153))</f>
        <v/>
      </c>
      <c r="G153" s="114"/>
      <c r="H153" s="120" t="s">
        <v>403</v>
      </c>
      <c r="I153" s="132" t="str">
        <f>IF(E153="", "", MATCH(E153, 'I&amp;E Profiles'!$D$96:$D$180,0))</f>
        <v/>
      </c>
      <c r="J153" s="133">
        <f>IF($G153=$G$7, W153,'I&amp;E Monthly'!W153)-SUMIFS('I&amp;E Monthly'!$AA153:$BJ153, 'I&amp;E Monthly'!$AA$3:$BJ$3, 'I&amp;E Annual'!W$3, 'I&amp;E Monthly'!$AA$4:$BJ$4, 0)</f>
        <v>0</v>
      </c>
      <c r="K153" s="133">
        <f>IF($G153=$G$7, X153,'I&amp;E Monthly'!X153)-SUMIFS('I&amp;E Monthly'!$AA153:$BJ153, 'I&amp;E Monthly'!$AA$3:$BJ$3, 'I&amp;E Annual'!X$3, 'I&amp;E Monthly'!$AA$4:$BJ$4, 0)</f>
        <v>0</v>
      </c>
      <c r="L153" s="133">
        <f>IF($G153=$G$7, Y153,'I&amp;E Monthly'!Y153)-SUMIFS('I&amp;E Monthly'!$AA153:$BJ153, 'I&amp;E Monthly'!$AA$3:$BJ$3, 'I&amp;E Annual'!Y$3, 'I&amp;E Monthly'!$AA$4:$BJ$4, 0)</f>
        <v>0</v>
      </c>
      <c r="Q153" s="2"/>
      <c r="V153" s="133">
        <f>'I&amp;E Monthly'!V153</f>
        <v>0</v>
      </c>
      <c r="W153" s="114"/>
      <c r="X153" s="131"/>
      <c r="Y153" s="131"/>
      <c r="AA153" s="10" cm="1">
        <f t="array" ref="AA153">IF(OR(AA$4=0, $G153&lt;&gt; $G$7, $E153=0), 'I&amp;E Monthly'!AA153, CHOOSE(Timeline!AA$30,$J153,$K153,$L153 )*INDEX('I&amp;E Profiles'!AA$96:AA$180,$I153))</f>
        <v>0</v>
      </c>
      <c r="AB153" s="10" cm="1">
        <f t="array" ref="AB153">IF(OR(AB$4=0, $G153&lt;&gt; $G$7, $E153=0), 'I&amp;E Monthly'!AB153, CHOOSE(Timeline!AB$30,$J153,$K153,$L153 )*INDEX('I&amp;E Profiles'!AB$96:AB$180,$I153))</f>
        <v>0</v>
      </c>
      <c r="AC153" s="10" cm="1">
        <f t="array" ref="AC153">IF(OR(AC$4=0, $G153&lt;&gt; $G$7, $E153=0), 'I&amp;E Monthly'!AC153, CHOOSE(Timeline!AC$30,$J153,$K153,$L153 )*INDEX('I&amp;E Profiles'!AC$96:AC$180,$I153))</f>
        <v>0</v>
      </c>
      <c r="AD153" s="10" cm="1">
        <f t="array" ref="AD153">IF(OR(AD$4=0, $G153&lt;&gt; $G$7, $E153=0), 'I&amp;E Monthly'!AD153, CHOOSE(Timeline!AD$30,$J153,$K153,$L153 )*INDEX('I&amp;E Profiles'!AD$96:AD$180,$I153))</f>
        <v>0</v>
      </c>
      <c r="AE153" s="10" cm="1">
        <f t="array" ref="AE153">IF(OR(AE$4=0, $G153&lt;&gt; $G$7, $E153=0), 'I&amp;E Monthly'!AE153, CHOOSE(Timeline!AE$30,$J153,$K153,$L153 )*INDEX('I&amp;E Profiles'!AE$96:AE$180,$I153))</f>
        <v>0</v>
      </c>
      <c r="AF153" s="10" cm="1">
        <f t="array" ref="AF153">IF(OR(AF$4=0, $G153&lt;&gt; $G$7, $E153=0), 'I&amp;E Monthly'!AF153, CHOOSE(Timeline!AF$30,$J153,$K153,$L153 )*INDEX('I&amp;E Profiles'!AF$96:AF$180,$I153))</f>
        <v>0</v>
      </c>
      <c r="AG153" s="10" cm="1">
        <f t="array" ref="AG153">IF(OR(AG$4=0, $G153&lt;&gt; $G$7, $E153=0), 'I&amp;E Monthly'!AG153, CHOOSE(Timeline!AG$30,$J153,$K153,$L153 )*INDEX('I&amp;E Profiles'!AG$96:AG$180,$I153))</f>
        <v>0</v>
      </c>
      <c r="AH153" s="10" cm="1">
        <f t="array" ref="AH153">IF(OR(AH$4=0, $G153&lt;&gt; $G$7, $E153=0), 'I&amp;E Monthly'!AH153, CHOOSE(Timeline!AH$30,$J153,$K153,$L153 )*INDEX('I&amp;E Profiles'!AH$96:AH$180,$I153))</f>
        <v>0</v>
      </c>
      <c r="AI153" s="10" cm="1">
        <f t="array" ref="AI153">IF(OR(AI$4=0, $G153&lt;&gt; $G$7, $E153=0), 'I&amp;E Monthly'!AI153, CHOOSE(Timeline!AI$30,$J153,$K153,$L153 )*INDEX('I&amp;E Profiles'!AI$96:AI$180,$I153))</f>
        <v>0</v>
      </c>
      <c r="AJ153" s="10" cm="1">
        <f t="array" ref="AJ153">IF(OR(AJ$4=0, $G153&lt;&gt; $G$7, $E153=0), 'I&amp;E Monthly'!AJ153, CHOOSE(Timeline!AJ$30,$J153,$K153,$L153 )*INDEX('I&amp;E Profiles'!AJ$96:AJ$180,$I153))</f>
        <v>0</v>
      </c>
      <c r="AK153" s="10" cm="1">
        <f t="array" ref="AK153">IF(OR(AK$4=0, $G153&lt;&gt; $G$7, $E153=0), 'I&amp;E Monthly'!AK153, CHOOSE(Timeline!AK$30,$J153,$K153,$L153 )*INDEX('I&amp;E Profiles'!AK$96:AK$180,$I153))</f>
        <v>0</v>
      </c>
      <c r="AL153" s="10" cm="1">
        <f t="array" ref="AL153">IF(OR(AL$4=0, $G153&lt;&gt; $G$7, $E153=0), 'I&amp;E Monthly'!AL153, CHOOSE(Timeline!AL$30,$J153,$K153,$L153 )*INDEX('I&amp;E Profiles'!AL$96:AL$180,$I153))</f>
        <v>0</v>
      </c>
      <c r="AM153" s="10" cm="1">
        <f t="array" ref="AM153">IF(OR(AM$4=0, $G153&lt;&gt; $G$7, $E153=0), 'I&amp;E Monthly'!AM153, CHOOSE(Timeline!AM$30,$J153,$K153,$L153 )*INDEX('I&amp;E Profiles'!AM$96:AM$180,$I153))</f>
        <v>0</v>
      </c>
      <c r="AN153" s="10" cm="1">
        <f t="array" ref="AN153">IF(OR(AN$4=0, $G153&lt;&gt; $G$7, $E153=0), 'I&amp;E Monthly'!AN153, CHOOSE(Timeline!AN$30,$J153,$K153,$L153 )*INDEX('I&amp;E Profiles'!AN$96:AN$180,$I153))</f>
        <v>0</v>
      </c>
      <c r="AO153" s="10" cm="1">
        <f t="array" ref="AO153">IF(OR(AO$4=0, $G153&lt;&gt; $G$7, $E153=0), 'I&amp;E Monthly'!AO153, CHOOSE(Timeline!AO$30,$J153,$K153,$L153 )*INDEX('I&amp;E Profiles'!AO$96:AO$180,$I153))</f>
        <v>0</v>
      </c>
      <c r="AP153" s="10" cm="1">
        <f t="array" ref="AP153">IF(OR(AP$4=0, $G153&lt;&gt; $G$7, $E153=0), 'I&amp;E Monthly'!AP153, CHOOSE(Timeline!AP$30,$J153,$K153,$L153 )*INDEX('I&amp;E Profiles'!AP$96:AP$180,$I153))</f>
        <v>0</v>
      </c>
      <c r="AQ153" s="10" cm="1">
        <f t="array" ref="AQ153">IF(OR(AQ$4=0, $G153&lt;&gt; $G$7, $E153=0), 'I&amp;E Monthly'!AQ153, CHOOSE(Timeline!AQ$30,$J153,$K153,$L153 )*INDEX('I&amp;E Profiles'!AQ$96:AQ$180,$I153))</f>
        <v>0</v>
      </c>
      <c r="AR153" s="10" cm="1">
        <f t="array" ref="AR153">IF(OR(AR$4=0, $G153&lt;&gt; $G$7, $E153=0), 'I&amp;E Monthly'!AR153, CHOOSE(Timeline!AR$30,$J153,$K153,$L153 )*INDEX('I&amp;E Profiles'!AR$96:AR$180,$I153))</f>
        <v>0</v>
      </c>
      <c r="AS153" s="10" cm="1">
        <f t="array" ref="AS153">IF(OR(AS$4=0, $G153&lt;&gt; $G$7, $E153=0), 'I&amp;E Monthly'!AS153, CHOOSE(Timeline!AS$30,$J153,$K153,$L153 )*INDEX('I&amp;E Profiles'!AS$96:AS$180,$I153))</f>
        <v>0</v>
      </c>
      <c r="AT153" s="10" cm="1">
        <f t="array" ref="AT153">IF(OR(AT$4=0, $G153&lt;&gt; $G$7, $E153=0), 'I&amp;E Monthly'!AT153, CHOOSE(Timeline!AT$30,$J153,$K153,$L153 )*INDEX('I&amp;E Profiles'!AT$96:AT$180,$I153))</f>
        <v>0</v>
      </c>
      <c r="AU153" s="10" cm="1">
        <f t="array" ref="AU153">IF(OR(AU$4=0, $G153&lt;&gt; $G$7, $E153=0), 'I&amp;E Monthly'!AU153, CHOOSE(Timeline!AU$30,$J153,$K153,$L153 )*INDEX('I&amp;E Profiles'!AU$96:AU$180,$I153))</f>
        <v>0</v>
      </c>
      <c r="AV153" s="10" cm="1">
        <f t="array" ref="AV153">IF(OR(AV$4=0, $G153&lt;&gt; $G$7, $E153=0), 'I&amp;E Monthly'!AV153, CHOOSE(Timeline!AV$30,$J153,$K153,$L153 )*INDEX('I&amp;E Profiles'!AV$96:AV$180,$I153))</f>
        <v>0</v>
      </c>
      <c r="AW153" s="10" cm="1">
        <f t="array" ref="AW153">IF(OR(AW$4=0, $G153&lt;&gt; $G$7, $E153=0), 'I&amp;E Monthly'!AW153, CHOOSE(Timeline!AW$30,$J153,$K153,$L153 )*INDEX('I&amp;E Profiles'!AW$96:AW$180,$I153))</f>
        <v>0</v>
      </c>
      <c r="AX153" s="10" cm="1">
        <f t="array" ref="AX153">IF(OR(AX$4=0, $G153&lt;&gt; $G$7, $E153=0), 'I&amp;E Monthly'!AX153, CHOOSE(Timeline!AX$30,$J153,$K153,$L153 )*INDEX('I&amp;E Profiles'!AX$96:AX$180,$I153))</f>
        <v>0</v>
      </c>
      <c r="AY153" s="10" cm="1">
        <f t="array" ref="AY153">IF(OR(AY$4=0, $G153&lt;&gt; $G$7, $E153=0), 'I&amp;E Monthly'!AY153, CHOOSE(Timeline!AY$30,$J153,$K153,$L153 )*INDEX('I&amp;E Profiles'!AY$96:AY$180,$I153))</f>
        <v>0</v>
      </c>
      <c r="AZ153" s="10" cm="1">
        <f t="array" ref="AZ153">IF(OR(AZ$4=0, $G153&lt;&gt; $G$7, $E153=0), 'I&amp;E Monthly'!AZ153, CHOOSE(Timeline!AZ$30,$J153,$K153,$L153 )*INDEX('I&amp;E Profiles'!AZ$96:AZ$180,$I153))</f>
        <v>0</v>
      </c>
      <c r="BA153" s="10" cm="1">
        <f t="array" ref="BA153">IF(OR(BA$4=0, $G153&lt;&gt; $G$7, $E153=0), 'I&amp;E Monthly'!BA153, CHOOSE(Timeline!BA$30,$J153,$K153,$L153 )*INDEX('I&amp;E Profiles'!BA$96:BA$180,$I153))</f>
        <v>0</v>
      </c>
      <c r="BB153" s="10" cm="1">
        <f t="array" ref="BB153">IF(OR(BB$4=0, $G153&lt;&gt; $G$7, $E153=0), 'I&amp;E Monthly'!BB153, CHOOSE(Timeline!BB$30,$J153,$K153,$L153 )*INDEX('I&amp;E Profiles'!BB$96:BB$180,$I153))</f>
        <v>0</v>
      </c>
      <c r="BC153" s="10" cm="1">
        <f t="array" ref="BC153">IF(OR(BC$4=0, $G153&lt;&gt; $G$7, $E153=0), 'I&amp;E Monthly'!BC153, CHOOSE(Timeline!BC$30,$J153,$K153,$L153 )*INDEX('I&amp;E Profiles'!BC$96:BC$180,$I153))</f>
        <v>0</v>
      </c>
      <c r="BD153" s="10" cm="1">
        <f t="array" ref="BD153">IF(OR(BD$4=0, $G153&lt;&gt; $G$7, $E153=0), 'I&amp;E Monthly'!BD153, CHOOSE(Timeline!BD$30,$J153,$K153,$L153 )*INDEX('I&amp;E Profiles'!BD$96:BD$180,$I153))</f>
        <v>0</v>
      </c>
      <c r="BE153" s="10" cm="1">
        <f t="array" ref="BE153">IF(OR(BE$4=0, $G153&lt;&gt; $G$7, $E153=0), 'I&amp;E Monthly'!BE153, CHOOSE(Timeline!BE$30,$J153,$K153,$L153 )*INDEX('I&amp;E Profiles'!BE$96:BE$180,$I153))</f>
        <v>0</v>
      </c>
      <c r="BF153" s="10" cm="1">
        <f t="array" ref="BF153">IF(OR(BF$4=0, $G153&lt;&gt; $G$7, $E153=0), 'I&amp;E Monthly'!BF153, CHOOSE(Timeline!BF$30,$J153,$K153,$L153 )*INDEX('I&amp;E Profiles'!BF$96:BF$180,$I153))</f>
        <v>0</v>
      </c>
      <c r="BG153" s="10" cm="1">
        <f t="array" ref="BG153">IF(OR(BG$4=0, $G153&lt;&gt; $G$7, $E153=0), 'I&amp;E Monthly'!BG153, CHOOSE(Timeline!BG$30,$J153,$K153,$L153 )*INDEX('I&amp;E Profiles'!BG$96:BG$180,$I153))</f>
        <v>0</v>
      </c>
      <c r="BH153" s="10" cm="1">
        <f t="array" ref="BH153">IF(OR(BH$4=0, $G153&lt;&gt; $G$7, $E153=0), 'I&amp;E Monthly'!BH153, CHOOSE(Timeline!BH$30,$J153,$K153,$L153 )*INDEX('I&amp;E Profiles'!BH$96:BH$180,$I153))</f>
        <v>0</v>
      </c>
      <c r="BI153" s="10" cm="1">
        <f t="array" ref="BI153">IF(OR(BI$4=0, $G153&lt;&gt; $G$7, $E153=0), 'I&amp;E Monthly'!BI153, CHOOSE(Timeline!BI$30,$J153,$K153,$L153 )*INDEX('I&amp;E Profiles'!BI$96:BI$180,$I153))</f>
        <v>0</v>
      </c>
      <c r="BJ153" s="10" cm="1">
        <f t="array" ref="BJ153">IF(OR(BJ$4=0, $G153&lt;&gt; $G$7, $E153=0), 'I&amp;E Monthly'!BJ153, CHOOSE(Timeline!BJ$30,$J153,$K153,$L153 )*INDEX('I&amp;E Profiles'!BJ$96:BJ$180,$I153))</f>
        <v>0</v>
      </c>
      <c r="BX153" s="12">
        <f>V153</f>
        <v>0</v>
      </c>
      <c r="BY153" s="10">
        <f>SUMIFS($AA153:$BJ153, $AA$3:$BJ$3,BY$3)</f>
        <v>0</v>
      </c>
      <c r="BZ153" s="10">
        <f>SUMIFS($AA153:$BJ153, $AA$3:$BJ$3,BZ$3)</f>
        <v>0</v>
      </c>
      <c r="CA153" s="10">
        <f>SUMIFS($AA153:$BJ153, $AA$3:$BJ$3,CA$3)</f>
        <v>0</v>
      </c>
      <c r="CB153" s="12">
        <f>'I&amp;E Monthly'!CB153</f>
        <v>0</v>
      </c>
      <c r="CC153" s="12">
        <f>'I&amp;E Monthly'!CC153</f>
        <v>0</v>
      </c>
      <c r="CD153" s="12">
        <f>'I&amp;E Monthly'!CD153</f>
        <v>0</v>
      </c>
      <c r="CE153" s="12">
        <f>'I&amp;E Monthly'!CE153</f>
        <v>0</v>
      </c>
      <c r="CF153" s="12">
        <f>'I&amp;E Monthly'!CF153</f>
        <v>0</v>
      </c>
      <c r="CG153" s="12">
        <f>'I&amp;E Monthly'!CG153</f>
        <v>0</v>
      </c>
      <c r="CH153" s="12">
        <f>'I&amp;E Monthly'!CH153</f>
        <v>0</v>
      </c>
      <c r="CI153" s="12">
        <f>'I&amp;E Monthly'!CI153</f>
        <v>0</v>
      </c>
      <c r="CK153" s="11"/>
      <c r="CL153" s="221">
        <f ca="1">IF(MIN($V153:$CI153)&lt;0, 1, 0)*$I$7</f>
        <v>0</v>
      </c>
      <c r="CM153" s="11"/>
      <c r="CN153" s="7">
        <f>IF(AND($G153=$G$7,$E153=""), 1, 0)</f>
        <v>0</v>
      </c>
      <c r="CO153" s="7" cm="1">
        <f t="array" ref="CO153">SUMPRODUCT(--NOT(ISNUMBER(W153:Y153)),--NOT(ISBLANK(W153:Y153)))</f>
        <v>0</v>
      </c>
      <c r="CP153" s="7" cm="1">
        <f t="array" ref="CP153">IF(E153="",0, IF(IFERROR(INDEX('I&amp;E Profiles'!$D$96:$D$180, $I153), "N/A")="N/A", 1, 0))</f>
        <v>0</v>
      </c>
      <c r="CQ153" s="7">
        <f t="shared" si="171"/>
        <v>0</v>
      </c>
      <c r="CS153" s="7">
        <f t="shared" si="172"/>
        <v>0</v>
      </c>
      <c r="CT153" s="7">
        <f t="shared" si="173"/>
        <v>0</v>
      </c>
      <c r="CU153" s="11"/>
      <c r="CV153" s="215">
        <f t="shared" si="174"/>
        <v>0</v>
      </c>
      <c r="CW153" s="215">
        <f t="shared" si="174"/>
        <v>0</v>
      </c>
      <c r="CX153" s="215">
        <f t="shared" si="174"/>
        <v>0</v>
      </c>
      <c r="CY153" s="215">
        <f t="shared" si="175"/>
        <v>0</v>
      </c>
      <c r="CZ153" s="215">
        <f t="shared" si="176"/>
        <v>0</v>
      </c>
      <c r="DA153" s="215">
        <f t="shared" si="177"/>
        <v>0</v>
      </c>
      <c r="DB153" s="215">
        <f t="shared" si="178"/>
        <v>0</v>
      </c>
      <c r="FN153" s="10" t="str">
        <f t="shared" si="170"/>
        <v>Taxation</v>
      </c>
    </row>
    <row r="154" spans="1:170" x14ac:dyDescent="0.35">
      <c r="A154" s="220" cm="1">
        <f t="array" aca="1" ref="A154" ca="1">HYPERLINK(CONCATENATE("#",CELL("address",IF(MAX($CM154:$CU154)=0,A154,INDEX($CM154:$CU154,MATCH(1,$CM154:$CU154,0))))),MAX($CM154:$CU154))</f>
        <v>0</v>
      </c>
      <c r="C154" s="211" t="s">
        <v>588</v>
      </c>
      <c r="D154" s="24" t="s">
        <v>445</v>
      </c>
      <c r="E154" s="5"/>
      <c r="Q154" s="2"/>
      <c r="V154" s="12">
        <f>SUM(V149, V151:V153)-V150</f>
        <v>0</v>
      </c>
      <c r="W154" s="12">
        <f>SUM(W149, W151:W153)-W150</f>
        <v>0</v>
      </c>
      <c r="X154" s="12">
        <f>SUM(X149, X151:X153)-X150</f>
        <v>0</v>
      </c>
      <c r="Y154" s="12">
        <f>SUM(Y149, Y151:Y153)-Y150</f>
        <v>0</v>
      </c>
      <c r="AA154" s="12">
        <f t="shared" ref="AA154:BJ154" si="179">SUM(AA149, AA151:AA153)-AA150</f>
        <v>0</v>
      </c>
      <c r="AB154" s="12">
        <f t="shared" si="179"/>
        <v>0</v>
      </c>
      <c r="AC154" s="12">
        <f t="shared" si="179"/>
        <v>0</v>
      </c>
      <c r="AD154" s="12">
        <f t="shared" si="179"/>
        <v>0</v>
      </c>
      <c r="AE154" s="12">
        <f t="shared" si="179"/>
        <v>0</v>
      </c>
      <c r="AF154" s="12">
        <f t="shared" si="179"/>
        <v>0</v>
      </c>
      <c r="AG154" s="12">
        <f t="shared" si="179"/>
        <v>0</v>
      </c>
      <c r="AH154" s="12">
        <f t="shared" si="179"/>
        <v>0</v>
      </c>
      <c r="AI154" s="12">
        <f t="shared" si="179"/>
        <v>0</v>
      </c>
      <c r="AJ154" s="12">
        <f t="shared" si="179"/>
        <v>0</v>
      </c>
      <c r="AK154" s="12">
        <f t="shared" si="179"/>
        <v>0</v>
      </c>
      <c r="AL154" s="12">
        <f t="shared" si="179"/>
        <v>0</v>
      </c>
      <c r="AM154" s="12">
        <f t="shared" si="179"/>
        <v>0</v>
      </c>
      <c r="AN154" s="12">
        <f t="shared" si="179"/>
        <v>0</v>
      </c>
      <c r="AO154" s="12">
        <f t="shared" si="179"/>
        <v>0</v>
      </c>
      <c r="AP154" s="12">
        <f t="shared" si="179"/>
        <v>0</v>
      </c>
      <c r="AQ154" s="12">
        <f t="shared" si="179"/>
        <v>0</v>
      </c>
      <c r="AR154" s="12">
        <f t="shared" si="179"/>
        <v>0</v>
      </c>
      <c r="AS154" s="12">
        <f t="shared" si="179"/>
        <v>0</v>
      </c>
      <c r="AT154" s="12">
        <f t="shared" si="179"/>
        <v>0</v>
      </c>
      <c r="AU154" s="12">
        <f t="shared" si="179"/>
        <v>0</v>
      </c>
      <c r="AV154" s="12">
        <f t="shared" si="179"/>
        <v>0</v>
      </c>
      <c r="AW154" s="12">
        <f t="shared" si="179"/>
        <v>0</v>
      </c>
      <c r="AX154" s="12">
        <f t="shared" si="179"/>
        <v>0</v>
      </c>
      <c r="AY154" s="12">
        <f t="shared" si="179"/>
        <v>0</v>
      </c>
      <c r="AZ154" s="12">
        <f t="shared" si="179"/>
        <v>0</v>
      </c>
      <c r="BA154" s="12">
        <f t="shared" si="179"/>
        <v>0</v>
      </c>
      <c r="BB154" s="12">
        <f t="shared" si="179"/>
        <v>0</v>
      </c>
      <c r="BC154" s="12">
        <f t="shared" si="179"/>
        <v>0</v>
      </c>
      <c r="BD154" s="12">
        <f t="shared" si="179"/>
        <v>0</v>
      </c>
      <c r="BE154" s="12">
        <f t="shared" si="179"/>
        <v>0</v>
      </c>
      <c r="BF154" s="12">
        <f t="shared" si="179"/>
        <v>0</v>
      </c>
      <c r="BG154" s="12">
        <f t="shared" si="179"/>
        <v>0</v>
      </c>
      <c r="BH154" s="12">
        <f t="shared" si="179"/>
        <v>0</v>
      </c>
      <c r="BI154" s="12">
        <f t="shared" si="179"/>
        <v>0</v>
      </c>
      <c r="BJ154" s="12">
        <f t="shared" si="179"/>
        <v>0</v>
      </c>
      <c r="BX154" s="12">
        <f t="shared" ref="BX154:CI154" si="180">SUM(BX149, BX151:BX153)-BX150</f>
        <v>0</v>
      </c>
      <c r="BY154" s="12">
        <f t="shared" si="180"/>
        <v>0</v>
      </c>
      <c r="BZ154" s="12">
        <f t="shared" si="180"/>
        <v>0</v>
      </c>
      <c r="CA154" s="12">
        <f t="shared" si="180"/>
        <v>0</v>
      </c>
      <c r="CB154" s="12">
        <f t="shared" si="180"/>
        <v>0</v>
      </c>
      <c r="CC154" s="12">
        <f t="shared" si="180"/>
        <v>0</v>
      </c>
      <c r="CD154" s="12">
        <f t="shared" si="180"/>
        <v>0</v>
      </c>
      <c r="CE154" s="12">
        <f t="shared" si="180"/>
        <v>0</v>
      </c>
      <c r="CF154" s="12">
        <f t="shared" si="180"/>
        <v>0</v>
      </c>
      <c r="CG154" s="12">
        <f t="shared" si="180"/>
        <v>0</v>
      </c>
      <c r="CH154" s="12">
        <f t="shared" si="180"/>
        <v>0</v>
      </c>
      <c r="CI154" s="12">
        <f t="shared" si="180"/>
        <v>0</v>
      </c>
      <c r="CK154" s="11"/>
      <c r="CM154" s="11"/>
      <c r="CQ154" s="7">
        <f t="shared" si="171"/>
        <v>0</v>
      </c>
      <c r="CS154" s="7">
        <f t="shared" si="172"/>
        <v>0</v>
      </c>
      <c r="CT154" s="7">
        <f t="shared" si="173"/>
        <v>0</v>
      </c>
      <c r="CU154" s="11"/>
      <c r="CV154" s="215">
        <f t="shared" si="174"/>
        <v>0</v>
      </c>
      <c r="CW154" s="215">
        <f t="shared" si="174"/>
        <v>0</v>
      </c>
      <c r="CX154" s="215">
        <f t="shared" si="174"/>
        <v>0</v>
      </c>
      <c r="CY154" s="215">
        <f t="shared" si="175"/>
        <v>0</v>
      </c>
      <c r="CZ154" s="215">
        <f t="shared" si="176"/>
        <v>0</v>
      </c>
      <c r="DA154" s="215">
        <f t="shared" si="177"/>
        <v>0</v>
      </c>
      <c r="DB154" s="215">
        <f t="shared" si="178"/>
        <v>0</v>
      </c>
      <c r="FN154" s="10" t="str">
        <f t="shared" si="170"/>
        <v>Total interest, tax, depreciation and amortisation</v>
      </c>
    </row>
    <row r="155" spans="1:170" ht="6.75" customHeight="1" x14ac:dyDescent="0.35">
      <c r="C155" s="211"/>
      <c r="Q155" s="2"/>
      <c r="CK155" s="35"/>
      <c r="CM155" s="35"/>
      <c r="CQ155" s="7"/>
      <c r="CS155" s="7"/>
      <c r="CT155" s="7"/>
      <c r="CU155" s="35"/>
      <c r="FN155" s="10" t="str">
        <f t="shared" si="170"/>
        <v/>
      </c>
    </row>
    <row r="156" spans="1:170" ht="29" x14ac:dyDescent="0.35">
      <c r="A156" s="220" cm="1">
        <f t="array" aca="1" ref="A156" ca="1">HYPERLINK(CONCATENATE("#",CELL("address",IF(MAX($CM156:$CU156)=0,A156,INDEX($CM156:$CU156,MATCH(1,$CM156:$CU156,0))))),MAX($CM156:$CU156))</f>
        <v>0</v>
      </c>
      <c r="C156" s="211" t="s">
        <v>589</v>
      </c>
      <c r="D156" s="24" t="s">
        <v>446</v>
      </c>
      <c r="E156" s="5"/>
      <c r="Q156" s="2"/>
      <c r="V156" s="12">
        <f>V146-V154</f>
        <v>0</v>
      </c>
      <c r="W156" s="12">
        <f>W146-W154</f>
        <v>0</v>
      </c>
      <c r="X156" s="12">
        <f>X146-X154</f>
        <v>0</v>
      </c>
      <c r="Y156" s="12">
        <f>Y146-Y154</f>
        <v>0</v>
      </c>
      <c r="AA156" s="12">
        <f t="shared" ref="AA156:BJ156" si="181">AA146-AA154</f>
        <v>0</v>
      </c>
      <c r="AB156" s="12">
        <f t="shared" si="181"/>
        <v>0</v>
      </c>
      <c r="AC156" s="12">
        <f t="shared" si="181"/>
        <v>0</v>
      </c>
      <c r="AD156" s="12">
        <f t="shared" si="181"/>
        <v>0</v>
      </c>
      <c r="AE156" s="12">
        <f t="shared" si="181"/>
        <v>0</v>
      </c>
      <c r="AF156" s="12">
        <f t="shared" si="181"/>
        <v>0</v>
      </c>
      <c r="AG156" s="12">
        <f t="shared" si="181"/>
        <v>0</v>
      </c>
      <c r="AH156" s="12">
        <f t="shared" si="181"/>
        <v>0</v>
      </c>
      <c r="AI156" s="12">
        <f t="shared" si="181"/>
        <v>0</v>
      </c>
      <c r="AJ156" s="12">
        <f t="shared" si="181"/>
        <v>0</v>
      </c>
      <c r="AK156" s="12">
        <f t="shared" si="181"/>
        <v>0</v>
      </c>
      <c r="AL156" s="12">
        <f t="shared" si="181"/>
        <v>0</v>
      </c>
      <c r="AM156" s="12">
        <f t="shared" si="181"/>
        <v>0</v>
      </c>
      <c r="AN156" s="12">
        <f t="shared" si="181"/>
        <v>0</v>
      </c>
      <c r="AO156" s="12">
        <f t="shared" si="181"/>
        <v>0</v>
      </c>
      <c r="AP156" s="12">
        <f t="shared" si="181"/>
        <v>0</v>
      </c>
      <c r="AQ156" s="12">
        <f t="shared" si="181"/>
        <v>0</v>
      </c>
      <c r="AR156" s="12">
        <f t="shared" si="181"/>
        <v>0</v>
      </c>
      <c r="AS156" s="12">
        <f t="shared" si="181"/>
        <v>0</v>
      </c>
      <c r="AT156" s="12">
        <f t="shared" si="181"/>
        <v>0</v>
      </c>
      <c r="AU156" s="12">
        <f t="shared" si="181"/>
        <v>0</v>
      </c>
      <c r="AV156" s="12">
        <f t="shared" si="181"/>
        <v>0</v>
      </c>
      <c r="AW156" s="12">
        <f t="shared" si="181"/>
        <v>0</v>
      </c>
      <c r="AX156" s="12">
        <f t="shared" si="181"/>
        <v>0</v>
      </c>
      <c r="AY156" s="12">
        <f t="shared" si="181"/>
        <v>0</v>
      </c>
      <c r="AZ156" s="12">
        <f t="shared" si="181"/>
        <v>0</v>
      </c>
      <c r="BA156" s="12">
        <f t="shared" si="181"/>
        <v>0</v>
      </c>
      <c r="BB156" s="12">
        <f t="shared" si="181"/>
        <v>0</v>
      </c>
      <c r="BC156" s="12">
        <f t="shared" si="181"/>
        <v>0</v>
      </c>
      <c r="BD156" s="12">
        <f t="shared" si="181"/>
        <v>0</v>
      </c>
      <c r="BE156" s="12">
        <f t="shared" si="181"/>
        <v>0</v>
      </c>
      <c r="BF156" s="12">
        <f t="shared" si="181"/>
        <v>0</v>
      </c>
      <c r="BG156" s="12">
        <f t="shared" si="181"/>
        <v>0</v>
      </c>
      <c r="BH156" s="12">
        <f t="shared" si="181"/>
        <v>0</v>
      </c>
      <c r="BI156" s="12">
        <f t="shared" si="181"/>
        <v>0</v>
      </c>
      <c r="BJ156" s="12">
        <f t="shared" si="181"/>
        <v>0</v>
      </c>
      <c r="BX156" s="12">
        <f t="shared" ref="BX156:CI156" si="182">BX146-BX154</f>
        <v>0</v>
      </c>
      <c r="BY156" s="12">
        <f t="shared" si="182"/>
        <v>0</v>
      </c>
      <c r="BZ156" s="12">
        <f t="shared" si="182"/>
        <v>0</v>
      </c>
      <c r="CA156" s="12">
        <f t="shared" si="182"/>
        <v>0</v>
      </c>
      <c r="CB156" s="12">
        <f t="shared" si="182"/>
        <v>0</v>
      </c>
      <c r="CC156" s="12">
        <f t="shared" si="182"/>
        <v>0</v>
      </c>
      <c r="CD156" s="12">
        <f t="shared" si="182"/>
        <v>0</v>
      </c>
      <c r="CE156" s="12">
        <f t="shared" si="182"/>
        <v>0</v>
      </c>
      <c r="CF156" s="12">
        <f t="shared" si="182"/>
        <v>0</v>
      </c>
      <c r="CG156" s="12">
        <f t="shared" si="182"/>
        <v>0</v>
      </c>
      <c r="CH156" s="12">
        <f t="shared" si="182"/>
        <v>0</v>
      </c>
      <c r="CI156" s="12">
        <f t="shared" si="182"/>
        <v>0</v>
      </c>
      <c r="CK156" s="11"/>
      <c r="CM156" s="11"/>
      <c r="CQ156" s="7">
        <f>IF(SUM($CV156:$CX156)=0, 0, 1)</f>
        <v>0</v>
      </c>
      <c r="CS156" s="7">
        <f>IF(SUM($CY156:$DA156)=0, 0, 1)</f>
        <v>0</v>
      </c>
      <c r="CT156" s="7">
        <f>IF(DB156=0, 0, 1)</f>
        <v>0</v>
      </c>
      <c r="CU156" s="11"/>
      <c r="CV156" s="215">
        <f>IF($G156=$G$7, ROUND(W156-SUMIFS($AA156:$BJ156, $AA$3:$BJ$3, W$3), rounding), 0)</f>
        <v>0</v>
      </c>
      <c r="CW156" s="215">
        <f>IF($G156=$G$7, ROUND(X156-SUMIFS($AA156:$BJ156, $AA$3:$BJ$3, X$3), rounding), 0)</f>
        <v>0</v>
      </c>
      <c r="CX156" s="215">
        <f>IF($G156=$G$7, ROUND(Y156-SUMIFS($AA156:$BJ156, $AA$3:$BJ$3, Y$3), rounding), 0)</f>
        <v>0</v>
      </c>
      <c r="CY156" s="215">
        <f>ROUND($BY156-SUMIFS($AA156:$BJ156, $AA$3:$BJ$3, $BY$3), rounding)</f>
        <v>0</v>
      </c>
      <c r="CZ156" s="215">
        <f>ROUND($BZ156-SUMIFS($AA156:$BJ156, $AA$3:$BJ$3, $BZ$3), rounding)</f>
        <v>0</v>
      </c>
      <c r="DA156" s="215">
        <f>ROUND($CA156-SUMIFS($AA156:$BJ156, $AA$3:$BJ$3, $CA$3), rounding)</f>
        <v>0</v>
      </c>
      <c r="DB156" s="215">
        <f>ROUND($V156-$BX156, rounding)</f>
        <v>0</v>
      </c>
      <c r="FN156" s="10" t="str">
        <f t="shared" si="170"/>
        <v>Surplus/(deficit) after interest, tax, depreciation and amortisation costs</v>
      </c>
    </row>
    <row r="157" spans="1:170" ht="6.75" customHeight="1" x14ac:dyDescent="0.35">
      <c r="C157" s="211"/>
      <c r="Q157" s="2"/>
      <c r="BY157" s="6"/>
      <c r="CK157" s="35"/>
      <c r="CM157" s="35"/>
      <c r="CQ157" s="7"/>
      <c r="CS157" s="7"/>
      <c r="CT157" s="7"/>
      <c r="CU157" s="35"/>
      <c r="FN157" s="10" t="str">
        <f t="shared" si="170"/>
        <v/>
      </c>
    </row>
    <row r="158" spans="1:170" x14ac:dyDescent="0.35">
      <c r="B158" s="5"/>
      <c r="C158" s="211"/>
      <c r="D158" s="24" t="s">
        <v>447</v>
      </c>
      <c r="E158" s="5"/>
      <c r="Q158" s="2"/>
      <c r="CK158" s="11"/>
      <c r="CM158" s="11"/>
      <c r="CQ158" s="7"/>
      <c r="CS158" s="7"/>
      <c r="CT158" s="7"/>
      <c r="CU158" s="11"/>
      <c r="FN158" s="10" t="str">
        <f t="shared" si="170"/>
        <v/>
      </c>
    </row>
    <row r="159" spans="1:170" ht="29" x14ac:dyDescent="0.35">
      <c r="A159" s="220" cm="1">
        <f t="array" aca="1" ref="A159" ca="1">HYPERLINK(CONCATENATE("#",CELL("address",IF(MAX($CM159:$CU159)=0,A159,INDEX($CM159:$CU159,MATCH(1,$CM159:$CU159,0))))),MAX($CM159:$CU159))</f>
        <v>0</v>
      </c>
      <c r="C159" s="211" t="s">
        <v>590</v>
      </c>
      <c r="D159" s="104" t="s">
        <v>448</v>
      </c>
      <c r="E159" s="533" t="str" cm="1">
        <f t="array" aca="1" ref="E159" ca="1">HYPERLINK(CONCATENATE("#",CELL("address",'Investing Inputs'!$D$320)),'Investing Inputs'!$D$320)</f>
        <v xml:space="preserve">Gain/Loss on Disposal </v>
      </c>
      <c r="H159" t="s">
        <v>317</v>
      </c>
      <c r="Q159" s="2"/>
      <c r="V159" s="10">
        <f>'I&amp;E Monthly'!V$159</f>
        <v>0</v>
      </c>
      <c r="W159" s="10">
        <f>'I&amp;E Monthly'!W$159</f>
        <v>0</v>
      </c>
      <c r="X159" s="10">
        <f>'I&amp;E Monthly'!X$159</f>
        <v>0</v>
      </c>
      <c r="Y159" s="10">
        <f>'I&amp;E Monthly'!Y$159</f>
        <v>0</v>
      </c>
      <c r="AA159" s="10">
        <f>'I&amp;E Monthly'!AA$159</f>
        <v>0</v>
      </c>
      <c r="AB159" s="10">
        <f>'I&amp;E Monthly'!AB$159</f>
        <v>0</v>
      </c>
      <c r="AC159" s="10">
        <f>'I&amp;E Monthly'!AC$159</f>
        <v>0</v>
      </c>
      <c r="AD159" s="10">
        <f>'I&amp;E Monthly'!AD$159</f>
        <v>0</v>
      </c>
      <c r="AE159" s="10">
        <f>'I&amp;E Monthly'!AE$159</f>
        <v>0</v>
      </c>
      <c r="AF159" s="10">
        <f>'I&amp;E Monthly'!AF$159</f>
        <v>0</v>
      </c>
      <c r="AG159" s="10">
        <f>'I&amp;E Monthly'!AG$159</f>
        <v>0</v>
      </c>
      <c r="AH159" s="10">
        <f>'I&amp;E Monthly'!AH$159</f>
        <v>0</v>
      </c>
      <c r="AI159" s="10">
        <f>'I&amp;E Monthly'!AI$159</f>
        <v>0</v>
      </c>
      <c r="AJ159" s="10">
        <f>'I&amp;E Monthly'!AJ$159</f>
        <v>0</v>
      </c>
      <c r="AK159" s="10">
        <f>'I&amp;E Monthly'!AK$159</f>
        <v>0</v>
      </c>
      <c r="AL159" s="10">
        <f>'I&amp;E Monthly'!AL$159</f>
        <v>0</v>
      </c>
      <c r="AM159" s="10">
        <f>'I&amp;E Monthly'!AM$159</f>
        <v>0</v>
      </c>
      <c r="AN159" s="10">
        <f>'I&amp;E Monthly'!AN$159</f>
        <v>0</v>
      </c>
      <c r="AO159" s="10">
        <f>'I&amp;E Monthly'!AO$159</f>
        <v>0</v>
      </c>
      <c r="AP159" s="10">
        <f>'I&amp;E Monthly'!AP$159</f>
        <v>0</v>
      </c>
      <c r="AQ159" s="10">
        <f>'I&amp;E Monthly'!AQ$159</f>
        <v>0</v>
      </c>
      <c r="AR159" s="10">
        <f>'I&amp;E Monthly'!AR$159</f>
        <v>0</v>
      </c>
      <c r="AS159" s="10">
        <f>'I&amp;E Monthly'!AS$159</f>
        <v>0</v>
      </c>
      <c r="AT159" s="10">
        <f>'I&amp;E Monthly'!AT$159</f>
        <v>0</v>
      </c>
      <c r="AU159" s="10">
        <f>'I&amp;E Monthly'!AU$159</f>
        <v>0</v>
      </c>
      <c r="AV159" s="10">
        <f>'I&amp;E Monthly'!AV$159</f>
        <v>0</v>
      </c>
      <c r="AW159" s="10">
        <f>'I&amp;E Monthly'!AW$159</f>
        <v>0</v>
      </c>
      <c r="AX159" s="10">
        <f>'I&amp;E Monthly'!AX$159</f>
        <v>0</v>
      </c>
      <c r="AY159" s="10">
        <f>'I&amp;E Monthly'!AY$159</f>
        <v>0</v>
      </c>
      <c r="AZ159" s="10">
        <f>'I&amp;E Monthly'!AZ$159</f>
        <v>0</v>
      </c>
      <c r="BA159" s="10">
        <f>'I&amp;E Monthly'!BA$159</f>
        <v>0</v>
      </c>
      <c r="BB159" s="10">
        <f>'I&amp;E Monthly'!BB$159</f>
        <v>0</v>
      </c>
      <c r="BC159" s="10">
        <f>'I&amp;E Monthly'!BC$159</f>
        <v>0</v>
      </c>
      <c r="BD159" s="10">
        <f>'I&amp;E Monthly'!BD$159</f>
        <v>0</v>
      </c>
      <c r="BE159" s="10">
        <f>'I&amp;E Monthly'!BE$159</f>
        <v>0</v>
      </c>
      <c r="BF159" s="10">
        <f>'I&amp;E Monthly'!BF$159</f>
        <v>0</v>
      </c>
      <c r="BG159" s="10">
        <f>'I&amp;E Monthly'!BG$159</f>
        <v>0</v>
      </c>
      <c r="BH159" s="10">
        <f>'I&amp;E Monthly'!BH$159</f>
        <v>0</v>
      </c>
      <c r="BI159" s="10">
        <f>'I&amp;E Monthly'!BI$159</f>
        <v>0</v>
      </c>
      <c r="BJ159" s="10">
        <f>'I&amp;E Monthly'!BJ$159</f>
        <v>0</v>
      </c>
      <c r="BX159" s="10">
        <f>'I&amp;E Monthly'!BX$159</f>
        <v>0</v>
      </c>
      <c r="BY159" s="10">
        <f>'I&amp;E Monthly'!BY$159</f>
        <v>0</v>
      </c>
      <c r="BZ159" s="10">
        <f>'I&amp;E Monthly'!BZ$159</f>
        <v>0</v>
      </c>
      <c r="CA159" s="10">
        <f>'I&amp;E Monthly'!CA$159</f>
        <v>0</v>
      </c>
      <c r="CB159" s="10">
        <f>'I&amp;E Monthly'!CB$159</f>
        <v>0</v>
      </c>
      <c r="CC159" s="10">
        <f>'I&amp;E Monthly'!CC$159</f>
        <v>0</v>
      </c>
      <c r="CD159" s="10">
        <f>'I&amp;E Monthly'!CD$159</f>
        <v>0</v>
      </c>
      <c r="CE159" s="10">
        <f>'I&amp;E Monthly'!CE$159</f>
        <v>0</v>
      </c>
      <c r="CF159" s="10">
        <f>'I&amp;E Monthly'!CF$159</f>
        <v>0</v>
      </c>
      <c r="CG159" s="10">
        <f>'I&amp;E Monthly'!CG$159</f>
        <v>0</v>
      </c>
      <c r="CH159" s="10">
        <f>'I&amp;E Monthly'!CH$159</f>
        <v>0</v>
      </c>
      <c r="CI159" s="10">
        <f>'I&amp;E Monthly'!CI$159</f>
        <v>0</v>
      </c>
      <c r="CK159" s="11"/>
      <c r="CM159" s="11"/>
      <c r="CQ159" s="7">
        <f t="shared" ref="CQ159:CQ164" si="183">IF(SUM($CV159:$CX159)=0, 0, 1)</f>
        <v>0</v>
      </c>
      <c r="CS159" s="7">
        <f t="shared" ref="CS159:CS164" si="184">IF(SUM($CY159:$DA159)=0, 0, 1)</f>
        <v>0</v>
      </c>
      <c r="CT159" s="7">
        <f t="shared" ref="CT159:CT164" si="185">IF(DB159=0, 0, 1)</f>
        <v>0</v>
      </c>
      <c r="CU159" s="11"/>
      <c r="CV159" s="215">
        <f t="shared" ref="CV159:CX164" si="186">IF($G159=$G$7, ROUND(W159-SUMIFS($AA159:$BJ159, $AA$3:$BJ$3, W$3), rounding), 0)</f>
        <v>0</v>
      </c>
      <c r="CW159" s="215">
        <f t="shared" si="186"/>
        <v>0</v>
      </c>
      <c r="CX159" s="215">
        <f t="shared" si="186"/>
        <v>0</v>
      </c>
      <c r="CY159" s="215">
        <f t="shared" ref="CY159:CY164" si="187">ROUND($BY159-SUMIFS($AA159:$BJ159, $AA$3:$BJ$3, $BY$3), rounding)</f>
        <v>0</v>
      </c>
      <c r="CZ159" s="215">
        <f t="shared" ref="CZ159:CZ164" si="188">ROUND($BZ159-SUMIFS($AA159:$BJ159, $AA$3:$BJ$3, $BZ$3), rounding)</f>
        <v>0</v>
      </c>
      <c r="DA159" s="215">
        <f t="shared" ref="DA159:DA164" si="189">ROUND($CA159-SUMIFS($AA159:$BJ159, $AA$3:$BJ$3, $CA$3), rounding)</f>
        <v>0</v>
      </c>
      <c r="DB159" s="215">
        <f t="shared" ref="DB159:DB164" si="190">ROUND($V159-$BX159, rounding)</f>
        <v>0</v>
      </c>
      <c r="FN159" s="10" t="str">
        <f t="shared" si="170"/>
        <v>Gain/(loss) on disposal of fixed assets</v>
      </c>
    </row>
    <row r="160" spans="1:170" ht="29" x14ac:dyDescent="0.35">
      <c r="A160" s="220" cm="1">
        <f t="array" aca="1" ref="A160" ca="1">HYPERLINK(CONCATENATE("#",CELL("address",IF(MAX($CM160:$CU160)=0,A160,INDEX($CM160:$CU160,MATCH(1,$CM160:$CU160,0))))),MAX($CM160:$CU160))</f>
        <v>0</v>
      </c>
      <c r="C160" s="211" t="s">
        <v>591</v>
      </c>
      <c r="D160" s="104" t="s">
        <v>449</v>
      </c>
      <c r="E160" s="533" t="str" cm="1">
        <f t="array" aca="1" ref="E160" ca="1">HYPERLINK(CONCATENATE("#",CELL("address",'Investing Inputs'!$D$323)),'Investing Inputs'!$D$320)</f>
        <v xml:space="preserve">Gain/Loss on Disposal </v>
      </c>
      <c r="H160" t="s">
        <v>317</v>
      </c>
      <c r="Q160" s="2"/>
      <c r="V160" s="10">
        <f>'I&amp;E Monthly'!V$160</f>
        <v>0</v>
      </c>
      <c r="W160" s="10">
        <f>'I&amp;E Monthly'!W$160</f>
        <v>0</v>
      </c>
      <c r="X160" s="10">
        <f>'I&amp;E Monthly'!X$160</f>
        <v>0</v>
      </c>
      <c r="Y160" s="10">
        <f>'I&amp;E Monthly'!Y$160</f>
        <v>0</v>
      </c>
      <c r="AA160" s="10">
        <f>'I&amp;E Monthly'!AA$160</f>
        <v>0</v>
      </c>
      <c r="AB160" s="10">
        <f>'I&amp;E Monthly'!AB$160</f>
        <v>0</v>
      </c>
      <c r="AC160" s="10">
        <f>'I&amp;E Monthly'!AC$160</f>
        <v>0</v>
      </c>
      <c r="AD160" s="10">
        <f>'I&amp;E Monthly'!AD$160</f>
        <v>0</v>
      </c>
      <c r="AE160" s="10">
        <f>'I&amp;E Monthly'!AE$160</f>
        <v>0</v>
      </c>
      <c r="AF160" s="10">
        <f>'I&amp;E Monthly'!AF$160</f>
        <v>0</v>
      </c>
      <c r="AG160" s="10">
        <f>'I&amp;E Monthly'!AG$160</f>
        <v>0</v>
      </c>
      <c r="AH160" s="10">
        <f>'I&amp;E Monthly'!AH$160</f>
        <v>0</v>
      </c>
      <c r="AI160" s="10">
        <f>'I&amp;E Monthly'!AI$160</f>
        <v>0</v>
      </c>
      <c r="AJ160" s="10">
        <f>'I&amp;E Monthly'!AJ$160</f>
        <v>0</v>
      </c>
      <c r="AK160" s="10">
        <f>'I&amp;E Monthly'!AK$160</f>
        <v>0</v>
      </c>
      <c r="AL160" s="10">
        <f>'I&amp;E Monthly'!AL$160</f>
        <v>0</v>
      </c>
      <c r="AM160" s="10">
        <f>'I&amp;E Monthly'!AM$160</f>
        <v>0</v>
      </c>
      <c r="AN160" s="10">
        <f>'I&amp;E Monthly'!AN$160</f>
        <v>0</v>
      </c>
      <c r="AO160" s="10">
        <f>'I&amp;E Monthly'!AO$160</f>
        <v>0</v>
      </c>
      <c r="AP160" s="10">
        <f>'I&amp;E Monthly'!AP$160</f>
        <v>0</v>
      </c>
      <c r="AQ160" s="10">
        <f>'I&amp;E Monthly'!AQ$160</f>
        <v>0</v>
      </c>
      <c r="AR160" s="10">
        <f>'I&amp;E Monthly'!AR$160</f>
        <v>0</v>
      </c>
      <c r="AS160" s="10">
        <f>'I&amp;E Monthly'!AS$160</f>
        <v>0</v>
      </c>
      <c r="AT160" s="10">
        <f>'I&amp;E Monthly'!AT$160</f>
        <v>0</v>
      </c>
      <c r="AU160" s="10">
        <f>'I&amp;E Monthly'!AU$160</f>
        <v>0</v>
      </c>
      <c r="AV160" s="10">
        <f>'I&amp;E Monthly'!AV$160</f>
        <v>0</v>
      </c>
      <c r="AW160" s="10">
        <f>'I&amp;E Monthly'!AW$160</f>
        <v>0</v>
      </c>
      <c r="AX160" s="10">
        <f>'I&amp;E Monthly'!AX$160</f>
        <v>0</v>
      </c>
      <c r="AY160" s="10">
        <f>'I&amp;E Monthly'!AY$160</f>
        <v>0</v>
      </c>
      <c r="AZ160" s="10">
        <f>'I&amp;E Monthly'!AZ$160</f>
        <v>0</v>
      </c>
      <c r="BA160" s="10">
        <f>'I&amp;E Monthly'!BA$160</f>
        <v>0</v>
      </c>
      <c r="BB160" s="10">
        <f>'I&amp;E Monthly'!BB$160</f>
        <v>0</v>
      </c>
      <c r="BC160" s="10">
        <f>'I&amp;E Monthly'!BC$160</f>
        <v>0</v>
      </c>
      <c r="BD160" s="10">
        <f>'I&amp;E Monthly'!BD$160</f>
        <v>0</v>
      </c>
      <c r="BE160" s="10">
        <f>'I&amp;E Monthly'!BE$160</f>
        <v>0</v>
      </c>
      <c r="BF160" s="10">
        <f>'I&amp;E Monthly'!BF$160</f>
        <v>0</v>
      </c>
      <c r="BG160" s="10">
        <f>'I&amp;E Monthly'!BG$160</f>
        <v>0</v>
      </c>
      <c r="BH160" s="10">
        <f>'I&amp;E Monthly'!BH$160</f>
        <v>0</v>
      </c>
      <c r="BI160" s="10">
        <f>'I&amp;E Monthly'!BI$160</f>
        <v>0</v>
      </c>
      <c r="BJ160" s="10">
        <f>'I&amp;E Monthly'!BJ$160</f>
        <v>0</v>
      </c>
      <c r="BX160" s="10">
        <f>'I&amp;E Monthly'!BX$160</f>
        <v>0</v>
      </c>
      <c r="BY160" s="10">
        <f>'I&amp;E Monthly'!BY$160</f>
        <v>0</v>
      </c>
      <c r="BZ160" s="10">
        <f>'I&amp;E Monthly'!BZ$160</f>
        <v>0</v>
      </c>
      <c r="CA160" s="10">
        <f>'I&amp;E Monthly'!CA$160</f>
        <v>0</v>
      </c>
      <c r="CB160" s="10">
        <f>'I&amp;E Monthly'!CB$160</f>
        <v>0</v>
      </c>
      <c r="CC160" s="10">
        <f>'I&amp;E Monthly'!CC$160</f>
        <v>0</v>
      </c>
      <c r="CD160" s="10">
        <f>'I&amp;E Monthly'!CD$160</f>
        <v>0</v>
      </c>
      <c r="CE160" s="10">
        <f>'I&amp;E Monthly'!CE$160</f>
        <v>0</v>
      </c>
      <c r="CF160" s="10">
        <f>'I&amp;E Monthly'!CF$160</f>
        <v>0</v>
      </c>
      <c r="CG160" s="10">
        <f>'I&amp;E Monthly'!CG$160</f>
        <v>0</v>
      </c>
      <c r="CH160" s="10">
        <f>'I&amp;E Monthly'!CH$160</f>
        <v>0</v>
      </c>
      <c r="CI160" s="10">
        <f>'I&amp;E Monthly'!CI$160</f>
        <v>0</v>
      </c>
      <c r="CK160" s="11"/>
      <c r="CM160" s="11"/>
      <c r="CQ160" s="7">
        <f t="shared" si="183"/>
        <v>0</v>
      </c>
      <c r="CS160" s="7">
        <f t="shared" si="184"/>
        <v>0</v>
      </c>
      <c r="CT160" s="7">
        <f t="shared" si="185"/>
        <v>0</v>
      </c>
      <c r="CU160" s="11"/>
      <c r="CV160" s="215">
        <f t="shared" si="186"/>
        <v>0</v>
      </c>
      <c r="CW160" s="215">
        <f t="shared" si="186"/>
        <v>0</v>
      </c>
      <c r="CX160" s="215">
        <f t="shared" si="186"/>
        <v>0</v>
      </c>
      <c r="CY160" s="215">
        <f t="shared" si="187"/>
        <v>0</v>
      </c>
      <c r="CZ160" s="215">
        <f t="shared" si="188"/>
        <v>0</v>
      </c>
      <c r="DA160" s="215">
        <f t="shared" si="189"/>
        <v>0</v>
      </c>
      <c r="DB160" s="215">
        <f t="shared" si="190"/>
        <v>0</v>
      </c>
      <c r="FN160" s="10" t="str">
        <f t="shared" si="170"/>
        <v>Gain/(loss) on Disposal of Investments</v>
      </c>
    </row>
    <row r="161" spans="1:170" ht="29" x14ac:dyDescent="0.35">
      <c r="A161" s="220" cm="1">
        <f t="array" aca="1" ref="A161" ca="1">HYPERLINK(CONCATENATE("#",CELL("address",IF(MAX($CM161:$CU161)=0,A161,INDEX($CM161:$CU161,MATCH(1,$CM161:$CU161,0))))),MAX($CM161:$CU161))</f>
        <v>0</v>
      </c>
      <c r="C161" s="211" t="s">
        <v>592</v>
      </c>
      <c r="D161" s="104" t="s">
        <v>450</v>
      </c>
      <c r="E161" s="533" t="str" cm="1">
        <f t="array" aca="1" ref="E161" ca="1">HYPERLINK(CONCATENATE("#",CELL("address",'Investing Inputs'!$D$102)),'Investing Inputs'!$D$102)</f>
        <v>Investments Sub-Total</v>
      </c>
      <c r="H161" t="s">
        <v>317</v>
      </c>
      <c r="Q161" s="2"/>
      <c r="V161" s="10">
        <f>'I&amp;E Monthly'!V$161</f>
        <v>0</v>
      </c>
      <c r="W161" s="10">
        <f>'I&amp;E Monthly'!W$161</f>
        <v>0</v>
      </c>
      <c r="X161" s="10">
        <f>'I&amp;E Monthly'!X$161</f>
        <v>0</v>
      </c>
      <c r="Y161" s="10">
        <f>'I&amp;E Monthly'!Y$161</f>
        <v>0</v>
      </c>
      <c r="AA161" s="10">
        <f>'I&amp;E Monthly'!AA$161</f>
        <v>0</v>
      </c>
      <c r="AB161" s="10">
        <f>'I&amp;E Monthly'!AB$161</f>
        <v>0</v>
      </c>
      <c r="AC161" s="10">
        <f>'I&amp;E Monthly'!AC$161</f>
        <v>0</v>
      </c>
      <c r="AD161" s="10">
        <f>'I&amp;E Monthly'!AD$161</f>
        <v>0</v>
      </c>
      <c r="AE161" s="10">
        <f>'I&amp;E Monthly'!AE$161</f>
        <v>0</v>
      </c>
      <c r="AF161" s="10">
        <f>'I&amp;E Monthly'!AF$161</f>
        <v>0</v>
      </c>
      <c r="AG161" s="10">
        <f>'I&amp;E Monthly'!AG$161</f>
        <v>0</v>
      </c>
      <c r="AH161" s="10">
        <f>'I&amp;E Monthly'!AH$161</f>
        <v>0</v>
      </c>
      <c r="AI161" s="10">
        <f>'I&amp;E Monthly'!AI$161</f>
        <v>0</v>
      </c>
      <c r="AJ161" s="10">
        <f>'I&amp;E Monthly'!AJ$161</f>
        <v>0</v>
      </c>
      <c r="AK161" s="10">
        <f>'I&amp;E Monthly'!AK$161</f>
        <v>0</v>
      </c>
      <c r="AL161" s="10">
        <f>'I&amp;E Monthly'!AL$161</f>
        <v>0</v>
      </c>
      <c r="AM161" s="10">
        <f>'I&amp;E Monthly'!AM$161</f>
        <v>0</v>
      </c>
      <c r="AN161" s="10">
        <f>'I&amp;E Monthly'!AN$161</f>
        <v>0</v>
      </c>
      <c r="AO161" s="10">
        <f>'I&amp;E Monthly'!AO$161</f>
        <v>0</v>
      </c>
      <c r="AP161" s="10">
        <f>'I&amp;E Monthly'!AP$161</f>
        <v>0</v>
      </c>
      <c r="AQ161" s="10">
        <f>'I&amp;E Monthly'!AQ$161</f>
        <v>0</v>
      </c>
      <c r="AR161" s="10">
        <f>'I&amp;E Monthly'!AR$161</f>
        <v>0</v>
      </c>
      <c r="AS161" s="10">
        <f>'I&amp;E Monthly'!AS$161</f>
        <v>0</v>
      </c>
      <c r="AT161" s="10">
        <f>'I&amp;E Monthly'!AT$161</f>
        <v>0</v>
      </c>
      <c r="AU161" s="10">
        <f>'I&amp;E Monthly'!AU$161</f>
        <v>0</v>
      </c>
      <c r="AV161" s="10">
        <f>'I&amp;E Monthly'!AV$161</f>
        <v>0</v>
      </c>
      <c r="AW161" s="10">
        <f>'I&amp;E Monthly'!AW$161</f>
        <v>0</v>
      </c>
      <c r="AX161" s="10">
        <f>'I&amp;E Monthly'!AX$161</f>
        <v>0</v>
      </c>
      <c r="AY161" s="10">
        <f>'I&amp;E Monthly'!AY$161</f>
        <v>0</v>
      </c>
      <c r="AZ161" s="10">
        <f>'I&amp;E Monthly'!AZ$161</f>
        <v>0</v>
      </c>
      <c r="BA161" s="10">
        <f>'I&amp;E Monthly'!BA$161</f>
        <v>0</v>
      </c>
      <c r="BB161" s="10">
        <f>'I&amp;E Monthly'!BB$161</f>
        <v>0</v>
      </c>
      <c r="BC161" s="10">
        <f>'I&amp;E Monthly'!BC$161</f>
        <v>0</v>
      </c>
      <c r="BD161" s="10">
        <f>'I&amp;E Monthly'!BD$161</f>
        <v>0</v>
      </c>
      <c r="BE161" s="10">
        <f>'I&amp;E Monthly'!BE$161</f>
        <v>0</v>
      </c>
      <c r="BF161" s="10">
        <f>'I&amp;E Monthly'!BF$161</f>
        <v>0</v>
      </c>
      <c r="BG161" s="10">
        <f>'I&amp;E Monthly'!BG$161</f>
        <v>0</v>
      </c>
      <c r="BH161" s="10">
        <f>'I&amp;E Monthly'!BH$161</f>
        <v>0</v>
      </c>
      <c r="BI161" s="10">
        <f>'I&amp;E Monthly'!BI$161</f>
        <v>0</v>
      </c>
      <c r="BJ161" s="10">
        <f>'I&amp;E Monthly'!BJ$161</f>
        <v>0</v>
      </c>
      <c r="BX161" s="10">
        <f>'I&amp;E Monthly'!BX$161</f>
        <v>0</v>
      </c>
      <c r="BY161" s="10">
        <f>'I&amp;E Monthly'!BY$161</f>
        <v>0</v>
      </c>
      <c r="BZ161" s="10">
        <f>'I&amp;E Monthly'!BZ$161</f>
        <v>0</v>
      </c>
      <c r="CA161" s="10">
        <f>'I&amp;E Monthly'!CA$161</f>
        <v>0</v>
      </c>
      <c r="CB161" s="10">
        <f>'I&amp;E Monthly'!CB$161</f>
        <v>0</v>
      </c>
      <c r="CC161" s="10">
        <f>'I&amp;E Monthly'!CC$161</f>
        <v>0</v>
      </c>
      <c r="CD161" s="10">
        <f>'I&amp;E Monthly'!CD$161</f>
        <v>0</v>
      </c>
      <c r="CE161" s="10">
        <f>'I&amp;E Monthly'!CE$161</f>
        <v>0</v>
      </c>
      <c r="CF161" s="10">
        <f>'I&amp;E Monthly'!CF$161</f>
        <v>0</v>
      </c>
      <c r="CG161" s="10">
        <f>'I&amp;E Monthly'!CG$161</f>
        <v>0</v>
      </c>
      <c r="CH161" s="10">
        <f>'I&amp;E Monthly'!CH$161</f>
        <v>0</v>
      </c>
      <c r="CI161" s="10">
        <f>'I&amp;E Monthly'!CI$161</f>
        <v>0</v>
      </c>
      <c r="CK161" s="11"/>
      <c r="CM161" s="11"/>
      <c r="CQ161" s="7">
        <f t="shared" si="183"/>
        <v>0</v>
      </c>
      <c r="CS161" s="7">
        <f t="shared" si="184"/>
        <v>0</v>
      </c>
      <c r="CT161" s="7">
        <f t="shared" si="185"/>
        <v>0</v>
      </c>
      <c r="CU161" s="11"/>
      <c r="CV161" s="215">
        <f t="shared" si="186"/>
        <v>0</v>
      </c>
      <c r="CW161" s="215">
        <f t="shared" si="186"/>
        <v>0</v>
      </c>
      <c r="CX161" s="215">
        <f t="shared" si="186"/>
        <v>0</v>
      </c>
      <c r="CY161" s="215">
        <f t="shared" si="187"/>
        <v>0</v>
      </c>
      <c r="CZ161" s="215">
        <f t="shared" si="188"/>
        <v>0</v>
      </c>
      <c r="DA161" s="215">
        <f t="shared" si="189"/>
        <v>0</v>
      </c>
      <c r="DB161" s="215">
        <f t="shared" si="190"/>
        <v>0</v>
      </c>
      <c r="FN161" s="10" t="str">
        <f t="shared" si="170"/>
        <v>Surplus/(loss) on Revaluation of Investments</v>
      </c>
    </row>
    <row r="162" spans="1:170" ht="29" x14ac:dyDescent="0.35">
      <c r="A162" s="220" cm="1">
        <f t="array" aca="1" ref="A162" ca="1">HYPERLINK(CONCATENATE("#",CELL("address",IF(MAX($CM162:$CU162)=0,A162,INDEX($CM162:$CU162,MATCH(1,$CM162:$CU162,0))))),MAX($CM162:$CU162))</f>
        <v>0</v>
      </c>
      <c r="C162" s="211" t="s">
        <v>593</v>
      </c>
      <c r="D162" s="104" t="s">
        <v>451</v>
      </c>
      <c r="E162" s="114"/>
      <c r="F162" s="79" t="str" cm="1">
        <f t="array" aca="1" ref="F162" ca="1">IF(E162="", "", HYPERLINK(CONCATENATE("#",CELL("address",INDEX('I&amp;E Profiles'!$D$9:$D$93,'I&amp;E Annual'!I162))),E162))</f>
        <v/>
      </c>
      <c r="G162" s="114"/>
      <c r="H162" t="s">
        <v>317</v>
      </c>
      <c r="I162" s="132" t="str">
        <f>IF(E162="", "", MATCH(E162, 'I&amp;E Profiles'!$D$96:$D$180,0))</f>
        <v/>
      </c>
      <c r="J162" s="133">
        <f>IF($G162=$G$7, W162,'I&amp;E Monthly'!W162)-SUMIFS('I&amp;E Monthly'!$AA162:$BJ162, 'I&amp;E Monthly'!$AA$3:$BJ$3, 'I&amp;E Annual'!W$3, 'I&amp;E Monthly'!$AA$4:$BJ$4, 0)</f>
        <v>0</v>
      </c>
      <c r="K162" s="133">
        <f>IF($G162=$G$7, X162,'I&amp;E Monthly'!X162)-SUMIFS('I&amp;E Monthly'!$AA162:$BJ162, 'I&amp;E Monthly'!$AA$3:$BJ$3, 'I&amp;E Annual'!X$3, 'I&amp;E Monthly'!$AA$4:$BJ$4, 0)</f>
        <v>0</v>
      </c>
      <c r="L162" s="133">
        <f>IF($G162=$G$7, Y162,'I&amp;E Monthly'!Y162)-SUMIFS('I&amp;E Monthly'!$AA162:$BJ162, 'I&amp;E Monthly'!$AA$3:$BJ$3, 'I&amp;E Annual'!Y$3, 'I&amp;E Monthly'!$AA$4:$BJ$4, 0)</f>
        <v>0</v>
      </c>
      <c r="Q162" s="2"/>
      <c r="V162" s="133">
        <f>'I&amp;E Monthly'!V162</f>
        <v>0</v>
      </c>
      <c r="W162" s="114"/>
      <c r="X162" s="131"/>
      <c r="Y162" s="131"/>
      <c r="AA162" s="10" cm="1">
        <f t="array" ref="AA162">IF(OR(AA$4=0, $G162&lt;&gt; $G$7, $E162=0), 'I&amp;E Monthly'!AA162, CHOOSE(Timeline!AA$30,$J162,$K162,$L162 )*INDEX('I&amp;E Profiles'!AA$96:AA$180,$I162))</f>
        <v>0</v>
      </c>
      <c r="AB162" s="10" cm="1">
        <f t="array" ref="AB162">IF(OR(AB$4=0, $G162&lt;&gt; $G$7, $E162=0), 'I&amp;E Monthly'!AB162, CHOOSE(Timeline!AB$30,$J162,$K162,$L162 )*INDEX('I&amp;E Profiles'!AB$96:AB$180,$I162))</f>
        <v>0</v>
      </c>
      <c r="AC162" s="10" cm="1">
        <f t="array" ref="AC162">IF(OR(AC$4=0, $G162&lt;&gt; $G$7, $E162=0), 'I&amp;E Monthly'!AC162, CHOOSE(Timeline!AC$30,$J162,$K162,$L162 )*INDEX('I&amp;E Profiles'!AC$96:AC$180,$I162))</f>
        <v>0</v>
      </c>
      <c r="AD162" s="10" cm="1">
        <f t="array" ref="AD162">IF(OR(AD$4=0, $G162&lt;&gt; $G$7, $E162=0), 'I&amp;E Monthly'!AD162, CHOOSE(Timeline!AD$30,$J162,$K162,$L162 )*INDEX('I&amp;E Profiles'!AD$96:AD$180,$I162))</f>
        <v>0</v>
      </c>
      <c r="AE162" s="10" cm="1">
        <f t="array" ref="AE162">IF(OR(AE$4=0, $G162&lt;&gt; $G$7, $E162=0), 'I&amp;E Monthly'!AE162, CHOOSE(Timeline!AE$30,$J162,$K162,$L162 )*INDEX('I&amp;E Profiles'!AE$96:AE$180,$I162))</f>
        <v>0</v>
      </c>
      <c r="AF162" s="10" cm="1">
        <f t="array" ref="AF162">IF(OR(AF$4=0, $G162&lt;&gt; $G$7, $E162=0), 'I&amp;E Monthly'!AF162, CHOOSE(Timeline!AF$30,$J162,$K162,$L162 )*INDEX('I&amp;E Profiles'!AF$96:AF$180,$I162))</f>
        <v>0</v>
      </c>
      <c r="AG162" s="10" cm="1">
        <f t="array" ref="AG162">IF(OR(AG$4=0, $G162&lt;&gt; $G$7, $E162=0), 'I&amp;E Monthly'!AG162, CHOOSE(Timeline!AG$30,$J162,$K162,$L162 )*INDEX('I&amp;E Profiles'!AG$96:AG$180,$I162))</f>
        <v>0</v>
      </c>
      <c r="AH162" s="10" cm="1">
        <f t="array" ref="AH162">IF(OR(AH$4=0, $G162&lt;&gt; $G$7, $E162=0), 'I&amp;E Monthly'!AH162, CHOOSE(Timeline!AH$30,$J162,$K162,$L162 )*INDEX('I&amp;E Profiles'!AH$96:AH$180,$I162))</f>
        <v>0</v>
      </c>
      <c r="AI162" s="10" cm="1">
        <f t="array" ref="AI162">IF(OR(AI$4=0, $G162&lt;&gt; $G$7, $E162=0), 'I&amp;E Monthly'!AI162, CHOOSE(Timeline!AI$30,$J162,$K162,$L162 )*INDEX('I&amp;E Profiles'!AI$96:AI$180,$I162))</f>
        <v>0</v>
      </c>
      <c r="AJ162" s="10" cm="1">
        <f t="array" ref="AJ162">IF(OR(AJ$4=0, $G162&lt;&gt; $G$7, $E162=0), 'I&amp;E Monthly'!AJ162, CHOOSE(Timeline!AJ$30,$J162,$K162,$L162 )*INDEX('I&amp;E Profiles'!AJ$96:AJ$180,$I162))</f>
        <v>0</v>
      </c>
      <c r="AK162" s="10" cm="1">
        <f t="array" ref="AK162">IF(OR(AK$4=0, $G162&lt;&gt; $G$7, $E162=0), 'I&amp;E Monthly'!AK162, CHOOSE(Timeline!AK$30,$J162,$K162,$L162 )*INDEX('I&amp;E Profiles'!AK$96:AK$180,$I162))</f>
        <v>0</v>
      </c>
      <c r="AL162" s="10" cm="1">
        <f t="array" ref="AL162">IF(OR(AL$4=0, $G162&lt;&gt; $G$7, $E162=0), 'I&amp;E Monthly'!AL162, CHOOSE(Timeline!AL$30,$J162,$K162,$L162 )*INDEX('I&amp;E Profiles'!AL$96:AL$180,$I162))</f>
        <v>0</v>
      </c>
      <c r="AM162" s="10" cm="1">
        <f t="array" ref="AM162">IF(OR(AM$4=0, $G162&lt;&gt; $G$7, $E162=0), 'I&amp;E Monthly'!AM162, CHOOSE(Timeline!AM$30,$J162,$K162,$L162 )*INDEX('I&amp;E Profiles'!AM$96:AM$180,$I162))</f>
        <v>0</v>
      </c>
      <c r="AN162" s="10" cm="1">
        <f t="array" ref="AN162">IF(OR(AN$4=0, $G162&lt;&gt; $G$7, $E162=0), 'I&amp;E Monthly'!AN162, CHOOSE(Timeline!AN$30,$J162,$K162,$L162 )*INDEX('I&amp;E Profiles'!AN$96:AN$180,$I162))</f>
        <v>0</v>
      </c>
      <c r="AO162" s="10" cm="1">
        <f t="array" ref="AO162">IF(OR(AO$4=0, $G162&lt;&gt; $G$7, $E162=0), 'I&amp;E Monthly'!AO162, CHOOSE(Timeline!AO$30,$J162,$K162,$L162 )*INDEX('I&amp;E Profiles'!AO$96:AO$180,$I162))</f>
        <v>0</v>
      </c>
      <c r="AP162" s="10" cm="1">
        <f t="array" ref="AP162">IF(OR(AP$4=0, $G162&lt;&gt; $G$7, $E162=0), 'I&amp;E Monthly'!AP162, CHOOSE(Timeline!AP$30,$J162,$K162,$L162 )*INDEX('I&amp;E Profiles'!AP$96:AP$180,$I162))</f>
        <v>0</v>
      </c>
      <c r="AQ162" s="10" cm="1">
        <f t="array" ref="AQ162">IF(OR(AQ$4=0, $G162&lt;&gt; $G$7, $E162=0), 'I&amp;E Monthly'!AQ162, CHOOSE(Timeline!AQ$30,$J162,$K162,$L162 )*INDEX('I&amp;E Profiles'!AQ$96:AQ$180,$I162))</f>
        <v>0</v>
      </c>
      <c r="AR162" s="10" cm="1">
        <f t="array" ref="AR162">IF(OR(AR$4=0, $G162&lt;&gt; $G$7, $E162=0), 'I&amp;E Monthly'!AR162, CHOOSE(Timeline!AR$30,$J162,$K162,$L162 )*INDEX('I&amp;E Profiles'!AR$96:AR$180,$I162))</f>
        <v>0</v>
      </c>
      <c r="AS162" s="10" cm="1">
        <f t="array" ref="AS162">IF(OR(AS$4=0, $G162&lt;&gt; $G$7, $E162=0), 'I&amp;E Monthly'!AS162, CHOOSE(Timeline!AS$30,$J162,$K162,$L162 )*INDEX('I&amp;E Profiles'!AS$96:AS$180,$I162))</f>
        <v>0</v>
      </c>
      <c r="AT162" s="10" cm="1">
        <f t="array" ref="AT162">IF(OR(AT$4=0, $G162&lt;&gt; $G$7, $E162=0), 'I&amp;E Monthly'!AT162, CHOOSE(Timeline!AT$30,$J162,$K162,$L162 )*INDEX('I&amp;E Profiles'!AT$96:AT$180,$I162))</f>
        <v>0</v>
      </c>
      <c r="AU162" s="10" cm="1">
        <f t="array" ref="AU162">IF(OR(AU$4=0, $G162&lt;&gt; $G$7, $E162=0), 'I&amp;E Monthly'!AU162, CHOOSE(Timeline!AU$30,$J162,$K162,$L162 )*INDEX('I&amp;E Profiles'!AU$96:AU$180,$I162))</f>
        <v>0</v>
      </c>
      <c r="AV162" s="10" cm="1">
        <f t="array" ref="AV162">IF(OR(AV$4=0, $G162&lt;&gt; $G$7, $E162=0), 'I&amp;E Monthly'!AV162, CHOOSE(Timeline!AV$30,$J162,$K162,$L162 )*INDEX('I&amp;E Profiles'!AV$96:AV$180,$I162))</f>
        <v>0</v>
      </c>
      <c r="AW162" s="10" cm="1">
        <f t="array" ref="AW162">IF(OR(AW$4=0, $G162&lt;&gt; $G$7, $E162=0), 'I&amp;E Monthly'!AW162, CHOOSE(Timeline!AW$30,$J162,$K162,$L162 )*INDEX('I&amp;E Profiles'!AW$96:AW$180,$I162))</f>
        <v>0</v>
      </c>
      <c r="AX162" s="10" cm="1">
        <f t="array" ref="AX162">IF(OR(AX$4=0, $G162&lt;&gt; $G$7, $E162=0), 'I&amp;E Monthly'!AX162, CHOOSE(Timeline!AX$30,$J162,$K162,$L162 )*INDEX('I&amp;E Profiles'!AX$96:AX$180,$I162))</f>
        <v>0</v>
      </c>
      <c r="AY162" s="10" cm="1">
        <f t="array" ref="AY162">IF(OR(AY$4=0, $G162&lt;&gt; $G$7, $E162=0), 'I&amp;E Monthly'!AY162, CHOOSE(Timeline!AY$30,$J162,$K162,$L162 )*INDEX('I&amp;E Profiles'!AY$96:AY$180,$I162))</f>
        <v>0</v>
      </c>
      <c r="AZ162" s="10" cm="1">
        <f t="array" ref="AZ162">IF(OR(AZ$4=0, $G162&lt;&gt; $G$7, $E162=0), 'I&amp;E Monthly'!AZ162, CHOOSE(Timeline!AZ$30,$J162,$K162,$L162 )*INDEX('I&amp;E Profiles'!AZ$96:AZ$180,$I162))</f>
        <v>0</v>
      </c>
      <c r="BA162" s="10" cm="1">
        <f t="array" ref="BA162">IF(OR(BA$4=0, $G162&lt;&gt; $G$7, $E162=0), 'I&amp;E Monthly'!BA162, CHOOSE(Timeline!BA$30,$J162,$K162,$L162 )*INDEX('I&amp;E Profiles'!BA$96:BA$180,$I162))</f>
        <v>0</v>
      </c>
      <c r="BB162" s="10" cm="1">
        <f t="array" ref="BB162">IF(OR(BB$4=0, $G162&lt;&gt; $G$7, $E162=0), 'I&amp;E Monthly'!BB162, CHOOSE(Timeline!BB$30,$J162,$K162,$L162 )*INDEX('I&amp;E Profiles'!BB$96:BB$180,$I162))</f>
        <v>0</v>
      </c>
      <c r="BC162" s="10" cm="1">
        <f t="array" ref="BC162">IF(OR(BC$4=0, $G162&lt;&gt; $G$7, $E162=0), 'I&amp;E Monthly'!BC162, CHOOSE(Timeline!BC$30,$J162,$K162,$L162 )*INDEX('I&amp;E Profiles'!BC$96:BC$180,$I162))</f>
        <v>0</v>
      </c>
      <c r="BD162" s="10" cm="1">
        <f t="array" ref="BD162">IF(OR(BD$4=0, $G162&lt;&gt; $G$7, $E162=0), 'I&amp;E Monthly'!BD162, CHOOSE(Timeline!BD$30,$J162,$K162,$L162 )*INDEX('I&amp;E Profiles'!BD$96:BD$180,$I162))</f>
        <v>0</v>
      </c>
      <c r="BE162" s="10" cm="1">
        <f t="array" ref="BE162">IF(OR(BE$4=0, $G162&lt;&gt; $G$7, $E162=0), 'I&amp;E Monthly'!BE162, CHOOSE(Timeline!BE$30,$J162,$K162,$L162 )*INDEX('I&amp;E Profiles'!BE$96:BE$180,$I162))</f>
        <v>0</v>
      </c>
      <c r="BF162" s="10" cm="1">
        <f t="array" ref="BF162">IF(OR(BF$4=0, $G162&lt;&gt; $G$7, $E162=0), 'I&amp;E Monthly'!BF162, CHOOSE(Timeline!BF$30,$J162,$K162,$L162 )*INDEX('I&amp;E Profiles'!BF$96:BF$180,$I162))</f>
        <v>0</v>
      </c>
      <c r="BG162" s="10" cm="1">
        <f t="array" ref="BG162">IF(OR(BG$4=0, $G162&lt;&gt; $G$7, $E162=0), 'I&amp;E Monthly'!BG162, CHOOSE(Timeline!BG$30,$J162,$K162,$L162 )*INDEX('I&amp;E Profiles'!BG$96:BG$180,$I162))</f>
        <v>0</v>
      </c>
      <c r="BH162" s="10" cm="1">
        <f t="array" ref="BH162">IF(OR(BH$4=0, $G162&lt;&gt; $G$7, $E162=0), 'I&amp;E Monthly'!BH162, CHOOSE(Timeline!BH$30,$J162,$K162,$L162 )*INDEX('I&amp;E Profiles'!BH$96:BH$180,$I162))</f>
        <v>0</v>
      </c>
      <c r="BI162" s="10" cm="1">
        <f t="array" ref="BI162">IF(OR(BI$4=0, $G162&lt;&gt; $G$7, $E162=0), 'I&amp;E Monthly'!BI162, CHOOSE(Timeline!BI$30,$J162,$K162,$L162 )*INDEX('I&amp;E Profiles'!BI$96:BI$180,$I162))</f>
        <v>0</v>
      </c>
      <c r="BJ162" s="10" cm="1">
        <f t="array" ref="BJ162">IF(OR(BJ$4=0, $G162&lt;&gt; $G$7, $E162=0), 'I&amp;E Monthly'!BJ162, CHOOSE(Timeline!BJ$30,$J162,$K162,$L162 )*INDEX('I&amp;E Profiles'!BJ$96:BJ$180,$I162))</f>
        <v>0</v>
      </c>
      <c r="BX162" s="12">
        <f>V162</f>
        <v>0</v>
      </c>
      <c r="BY162" s="10">
        <f>SUMIFS($AA162:$BJ162, $AA$3:$BJ$3,BY$3)</f>
        <v>0</v>
      </c>
      <c r="BZ162" s="10">
        <f>SUMIFS($AA162:$BJ162, $AA$3:$BJ$3,BZ$3)</f>
        <v>0</v>
      </c>
      <c r="CA162" s="10">
        <f>SUMIFS($AA162:$BJ162, $AA$3:$BJ$3,CA$3)</f>
        <v>0</v>
      </c>
      <c r="CB162" s="12">
        <f>'I&amp;E Monthly'!CB162</f>
        <v>0</v>
      </c>
      <c r="CC162" s="12">
        <f>'I&amp;E Monthly'!CC162</f>
        <v>0</v>
      </c>
      <c r="CD162" s="12">
        <f>'I&amp;E Monthly'!CD162</f>
        <v>0</v>
      </c>
      <c r="CE162" s="12">
        <f>'I&amp;E Monthly'!CE162</f>
        <v>0</v>
      </c>
      <c r="CF162" s="12">
        <f>'I&amp;E Monthly'!CF162</f>
        <v>0</v>
      </c>
      <c r="CG162" s="12">
        <f>'I&amp;E Monthly'!CG162</f>
        <v>0</v>
      </c>
      <c r="CH162" s="12">
        <f>'I&amp;E Monthly'!CH162</f>
        <v>0</v>
      </c>
      <c r="CI162" s="12">
        <f>'I&amp;E Monthly'!CI162</f>
        <v>0</v>
      </c>
      <c r="CK162" s="11"/>
      <c r="CL162" s="221">
        <f ca="1">IF(MIN($V162:$CI162)&lt;0, 1, 0)*$I$7</f>
        <v>0</v>
      </c>
      <c r="CM162" s="11"/>
      <c r="CN162" s="7">
        <f>IF(AND($G162=$G$7,$E162=""), 1, 0)</f>
        <v>0</v>
      </c>
      <c r="CO162" s="7" cm="1">
        <f t="array" ref="CO162">SUMPRODUCT(--NOT(ISNUMBER(W162:Y162)),--NOT(ISBLANK(W162:Y162)))</f>
        <v>0</v>
      </c>
      <c r="CP162" s="7" cm="1">
        <f t="array" ref="CP162">IF(E162="",0, IF(IFERROR(INDEX('I&amp;E Profiles'!$D$96:$D$180, $I162), "N/A")="N/A", 1, 0))</f>
        <v>0</v>
      </c>
      <c r="CQ162" s="7">
        <f t="shared" si="183"/>
        <v>0</v>
      </c>
      <c r="CS162" s="7">
        <f t="shared" si="184"/>
        <v>0</v>
      </c>
      <c r="CT162" s="7">
        <f t="shared" si="185"/>
        <v>0</v>
      </c>
      <c r="CU162" s="11"/>
      <c r="CV162" s="215">
        <f t="shared" si="186"/>
        <v>0</v>
      </c>
      <c r="CW162" s="215">
        <f t="shared" si="186"/>
        <v>0</v>
      </c>
      <c r="CX162" s="215">
        <f t="shared" si="186"/>
        <v>0</v>
      </c>
      <c r="CY162" s="215">
        <f t="shared" si="187"/>
        <v>0</v>
      </c>
      <c r="CZ162" s="215">
        <f t="shared" si="188"/>
        <v>0</v>
      </c>
      <c r="DA162" s="215">
        <f t="shared" si="189"/>
        <v>0</v>
      </c>
      <c r="DB162" s="215">
        <f t="shared" si="190"/>
        <v>0</v>
      </c>
      <c r="FN162" s="10" t="str">
        <f t="shared" si="170"/>
        <v>Share of surplus / (deficit) in JVs and Associates (inc. overseas)</v>
      </c>
    </row>
    <row r="163" spans="1:170" x14ac:dyDescent="0.35">
      <c r="A163" s="220" cm="1">
        <f t="array" aca="1" ref="A163" ca="1">HYPERLINK(CONCATENATE("#",CELL("address",IF(MAX($CM163:$CU163)=0,A163,INDEX($CM163:$CU163,MATCH(1,$CM163:$CU163,0))))),MAX($CM163:$CU163))</f>
        <v>0</v>
      </c>
      <c r="C163" s="211" t="s">
        <v>594</v>
      </c>
      <c r="D163" s="57" t="s">
        <v>452</v>
      </c>
      <c r="H163" t="s">
        <v>317</v>
      </c>
      <c r="Q163" s="2"/>
      <c r="V163" s="133">
        <f>'I&amp;E Monthly'!V$163</f>
        <v>0</v>
      </c>
      <c r="W163" s="133">
        <f>'I&amp;E Monthly'!W$163</f>
        <v>0</v>
      </c>
      <c r="X163" s="133">
        <f>'I&amp;E Monthly'!X$163</f>
        <v>0</v>
      </c>
      <c r="Y163" s="133">
        <f>'I&amp;E Monthly'!Y$163</f>
        <v>0</v>
      </c>
      <c r="AA163" s="133">
        <f>'I&amp;E Monthly'!AA$163</f>
        <v>0</v>
      </c>
      <c r="AB163" s="133">
        <f>'I&amp;E Monthly'!AB$163</f>
        <v>0</v>
      </c>
      <c r="AC163" s="133">
        <f>'I&amp;E Monthly'!AC$163</f>
        <v>0</v>
      </c>
      <c r="AD163" s="133">
        <f>'I&amp;E Monthly'!AD$163</f>
        <v>0</v>
      </c>
      <c r="AE163" s="133">
        <f>'I&amp;E Monthly'!AE$163</f>
        <v>0</v>
      </c>
      <c r="AF163" s="133">
        <f>'I&amp;E Monthly'!AF$163</f>
        <v>0</v>
      </c>
      <c r="AG163" s="133">
        <f>'I&amp;E Monthly'!AG$163</f>
        <v>0</v>
      </c>
      <c r="AH163" s="133">
        <f>'I&amp;E Monthly'!AH$163</f>
        <v>0</v>
      </c>
      <c r="AI163" s="133">
        <f>'I&amp;E Monthly'!AI$163</f>
        <v>0</v>
      </c>
      <c r="AJ163" s="133">
        <f>'I&amp;E Monthly'!AJ$163</f>
        <v>0</v>
      </c>
      <c r="AK163" s="133">
        <f>'I&amp;E Monthly'!AK$163</f>
        <v>0</v>
      </c>
      <c r="AL163" s="133">
        <f>'I&amp;E Monthly'!AL$163</f>
        <v>0</v>
      </c>
      <c r="AM163" s="133">
        <f>'I&amp;E Monthly'!AM$163</f>
        <v>0</v>
      </c>
      <c r="AN163" s="133">
        <f>'I&amp;E Monthly'!AN$163</f>
        <v>0</v>
      </c>
      <c r="AO163" s="133">
        <f>'I&amp;E Monthly'!AO$163</f>
        <v>0</v>
      </c>
      <c r="AP163" s="133">
        <f>'I&amp;E Monthly'!AP$163</f>
        <v>0</v>
      </c>
      <c r="AQ163" s="133">
        <f>'I&amp;E Monthly'!AQ$163</f>
        <v>0</v>
      </c>
      <c r="AR163" s="133">
        <f>'I&amp;E Monthly'!AR$163</f>
        <v>0</v>
      </c>
      <c r="AS163" s="133">
        <f>'I&amp;E Monthly'!AS$163</f>
        <v>0</v>
      </c>
      <c r="AT163" s="133">
        <f>'I&amp;E Monthly'!AT$163</f>
        <v>0</v>
      </c>
      <c r="AU163" s="133">
        <f>'I&amp;E Monthly'!AU$163</f>
        <v>0</v>
      </c>
      <c r="AV163" s="133">
        <f>'I&amp;E Monthly'!AV$163</f>
        <v>0</v>
      </c>
      <c r="AW163" s="133">
        <f>'I&amp;E Monthly'!AW$163</f>
        <v>0</v>
      </c>
      <c r="AX163" s="133">
        <f>'I&amp;E Monthly'!AX$163</f>
        <v>0</v>
      </c>
      <c r="AY163" s="133">
        <f>'I&amp;E Monthly'!AY$163</f>
        <v>0</v>
      </c>
      <c r="AZ163" s="133">
        <f>'I&amp;E Monthly'!AZ$163</f>
        <v>0</v>
      </c>
      <c r="BA163" s="133">
        <f>'I&amp;E Monthly'!BA$163</f>
        <v>0</v>
      </c>
      <c r="BB163" s="133">
        <f>'I&amp;E Monthly'!BB$163</f>
        <v>0</v>
      </c>
      <c r="BC163" s="133">
        <f>'I&amp;E Monthly'!BC$163</f>
        <v>0</v>
      </c>
      <c r="BD163" s="133">
        <f>'I&amp;E Monthly'!BD$163</f>
        <v>0</v>
      </c>
      <c r="BE163" s="133">
        <f>'I&amp;E Monthly'!BE$163</f>
        <v>0</v>
      </c>
      <c r="BF163" s="133">
        <f>'I&amp;E Monthly'!BF$163</f>
        <v>0</v>
      </c>
      <c r="BG163" s="133">
        <f>'I&amp;E Monthly'!BG$163</f>
        <v>0</v>
      </c>
      <c r="BH163" s="133">
        <f>'I&amp;E Monthly'!BH$163</f>
        <v>0</v>
      </c>
      <c r="BI163" s="133">
        <f>'I&amp;E Monthly'!BI$163</f>
        <v>0</v>
      </c>
      <c r="BJ163" s="133">
        <f>'I&amp;E Monthly'!BJ$163</f>
        <v>0</v>
      </c>
      <c r="BX163" s="133">
        <f>'I&amp;E Monthly'!BX$163</f>
        <v>0</v>
      </c>
      <c r="BY163" s="133">
        <f>'I&amp;E Monthly'!BY$163</f>
        <v>0</v>
      </c>
      <c r="BZ163" s="133">
        <f>'I&amp;E Monthly'!BZ$163</f>
        <v>0</v>
      </c>
      <c r="CA163" s="133">
        <f>'I&amp;E Monthly'!CA$163</f>
        <v>0</v>
      </c>
      <c r="CB163" s="133">
        <f>'I&amp;E Monthly'!CB$163</f>
        <v>0</v>
      </c>
      <c r="CC163" s="133">
        <f>'I&amp;E Monthly'!CC$163</f>
        <v>0</v>
      </c>
      <c r="CD163" s="133">
        <f>'I&amp;E Monthly'!CD$163</f>
        <v>0</v>
      </c>
      <c r="CE163" s="133">
        <f>'I&amp;E Monthly'!CE$163</f>
        <v>0</v>
      </c>
      <c r="CF163" s="133">
        <f>'I&amp;E Monthly'!CF$163</f>
        <v>0</v>
      </c>
      <c r="CG163" s="133">
        <f>'I&amp;E Monthly'!CG$163</f>
        <v>0</v>
      </c>
      <c r="CH163" s="133">
        <f>'I&amp;E Monthly'!CH$163</f>
        <v>0</v>
      </c>
      <c r="CI163" s="133">
        <f>'I&amp;E Monthly'!CI$163</f>
        <v>0</v>
      </c>
      <c r="CK163" s="11"/>
      <c r="CM163" s="11"/>
      <c r="CN163" s="7">
        <f>IF(AND($G163=$G$7,$E163=""), 1, 0)</f>
        <v>0</v>
      </c>
      <c r="CO163" s="7" cm="1">
        <f t="array" ref="CO163">SUMPRODUCT(--NOT(ISNUMBER(W163:Y163)),--NOT(ISBLANK(W163:Y163)))</f>
        <v>0</v>
      </c>
      <c r="CP163" s="7" cm="1">
        <f t="array" ref="CP163">IF(E163="",0, IF(IFERROR(INDEX('I&amp;E Profiles'!$D$96:$D$180, $I163), "N/A")="N/A", 1, 0))</f>
        <v>0</v>
      </c>
      <c r="CQ163" s="7">
        <f t="shared" si="183"/>
        <v>0</v>
      </c>
      <c r="CS163" s="7">
        <f t="shared" si="184"/>
        <v>0</v>
      </c>
      <c r="CT163" s="7">
        <f t="shared" si="185"/>
        <v>0</v>
      </c>
      <c r="CU163" s="11"/>
      <c r="CV163" s="215">
        <f t="shared" si="186"/>
        <v>0</v>
      </c>
      <c r="CW163" s="215">
        <f t="shared" si="186"/>
        <v>0</v>
      </c>
      <c r="CX163" s="215">
        <f t="shared" si="186"/>
        <v>0</v>
      </c>
      <c r="CY163" s="215">
        <f t="shared" si="187"/>
        <v>0</v>
      </c>
      <c r="CZ163" s="215">
        <f t="shared" si="188"/>
        <v>0</v>
      </c>
      <c r="DA163" s="215">
        <f t="shared" si="189"/>
        <v>0</v>
      </c>
      <c r="DB163" s="215">
        <f t="shared" si="190"/>
        <v>0</v>
      </c>
      <c r="FN163" s="10" t="str">
        <f t="shared" si="170"/>
        <v>Fair value of Net Assets due to merger / de-merger</v>
      </c>
    </row>
    <row r="164" spans="1:170" s="5" customFormat="1" x14ac:dyDescent="0.35">
      <c r="A164" s="220" cm="1">
        <f t="array" aca="1" ref="A164" ca="1">HYPERLINK(CONCATENATE("#",CELL("address",IF(MAX($CM164:$CU164)=0,A164,INDEX($CM164:$CU164,MATCH(1,$CM164:$CU164,0))))),MAX($CM164:$CU164))</f>
        <v>0</v>
      </c>
      <c r="C164" s="211" t="s">
        <v>595</v>
      </c>
      <c r="D164" s="24" t="s">
        <v>453</v>
      </c>
      <c r="N164"/>
      <c r="O164"/>
      <c r="P164"/>
      <c r="Q164" s="2"/>
      <c r="R164"/>
      <c r="S164"/>
      <c r="T164"/>
      <c r="U164"/>
      <c r="V164" s="12">
        <f>SUM(V159:V163)</f>
        <v>0</v>
      </c>
      <c r="W164" s="12">
        <f>SUM(W159:W163)</f>
        <v>0</v>
      </c>
      <c r="X164" s="12">
        <f>SUM(X159:X163)</f>
        <v>0</v>
      </c>
      <c r="Y164" s="12">
        <f>SUM(Y159:Y163)</f>
        <v>0</v>
      </c>
      <c r="Z164"/>
      <c r="AA164" s="12">
        <f t="shared" ref="AA164:BJ164" si="191">SUM(AA159:AA163)</f>
        <v>0</v>
      </c>
      <c r="AB164" s="12">
        <f t="shared" si="191"/>
        <v>0</v>
      </c>
      <c r="AC164" s="12">
        <f t="shared" si="191"/>
        <v>0</v>
      </c>
      <c r="AD164" s="12">
        <f t="shared" si="191"/>
        <v>0</v>
      </c>
      <c r="AE164" s="12">
        <f t="shared" si="191"/>
        <v>0</v>
      </c>
      <c r="AF164" s="12">
        <f t="shared" si="191"/>
        <v>0</v>
      </c>
      <c r="AG164" s="12">
        <f t="shared" si="191"/>
        <v>0</v>
      </c>
      <c r="AH164" s="12">
        <f t="shared" si="191"/>
        <v>0</v>
      </c>
      <c r="AI164" s="12">
        <f t="shared" si="191"/>
        <v>0</v>
      </c>
      <c r="AJ164" s="12">
        <f t="shared" si="191"/>
        <v>0</v>
      </c>
      <c r="AK164" s="12">
        <f t="shared" si="191"/>
        <v>0</v>
      </c>
      <c r="AL164" s="12">
        <f t="shared" si="191"/>
        <v>0</v>
      </c>
      <c r="AM164" s="12">
        <f t="shared" si="191"/>
        <v>0</v>
      </c>
      <c r="AN164" s="12">
        <f t="shared" si="191"/>
        <v>0</v>
      </c>
      <c r="AO164" s="12">
        <f t="shared" si="191"/>
        <v>0</v>
      </c>
      <c r="AP164" s="12">
        <f t="shared" si="191"/>
        <v>0</v>
      </c>
      <c r="AQ164" s="12">
        <f t="shared" si="191"/>
        <v>0</v>
      </c>
      <c r="AR164" s="12">
        <f t="shared" si="191"/>
        <v>0</v>
      </c>
      <c r="AS164" s="12">
        <f t="shared" si="191"/>
        <v>0</v>
      </c>
      <c r="AT164" s="12">
        <f t="shared" si="191"/>
        <v>0</v>
      </c>
      <c r="AU164" s="12">
        <f t="shared" si="191"/>
        <v>0</v>
      </c>
      <c r="AV164" s="12">
        <f t="shared" si="191"/>
        <v>0</v>
      </c>
      <c r="AW164" s="12">
        <f t="shared" si="191"/>
        <v>0</v>
      </c>
      <c r="AX164" s="12">
        <f t="shared" si="191"/>
        <v>0</v>
      </c>
      <c r="AY164" s="12">
        <f t="shared" si="191"/>
        <v>0</v>
      </c>
      <c r="AZ164" s="12">
        <f t="shared" si="191"/>
        <v>0</v>
      </c>
      <c r="BA164" s="12">
        <f t="shared" si="191"/>
        <v>0</v>
      </c>
      <c r="BB164" s="12">
        <f t="shared" si="191"/>
        <v>0</v>
      </c>
      <c r="BC164" s="12">
        <f t="shared" si="191"/>
        <v>0</v>
      </c>
      <c r="BD164" s="12">
        <f t="shared" si="191"/>
        <v>0</v>
      </c>
      <c r="BE164" s="12">
        <f t="shared" si="191"/>
        <v>0</v>
      </c>
      <c r="BF164" s="12">
        <f t="shared" si="191"/>
        <v>0</v>
      </c>
      <c r="BG164" s="12">
        <f t="shared" si="191"/>
        <v>0</v>
      </c>
      <c r="BH164" s="12">
        <f t="shared" si="191"/>
        <v>0</v>
      </c>
      <c r="BI164" s="12">
        <f t="shared" si="191"/>
        <v>0</v>
      </c>
      <c r="BJ164" s="12">
        <f t="shared" si="191"/>
        <v>0</v>
      </c>
      <c r="BK164"/>
      <c r="BL164"/>
      <c r="BM164"/>
      <c r="BN164"/>
      <c r="BO164"/>
      <c r="BP164"/>
      <c r="BQ164"/>
      <c r="BR164"/>
      <c r="BS164"/>
      <c r="BT164"/>
      <c r="BU164"/>
      <c r="BV164"/>
      <c r="BW164"/>
      <c r="BX164" s="12">
        <f t="shared" ref="BX164:CI164" si="192">SUM(BX159:BX163)</f>
        <v>0</v>
      </c>
      <c r="BY164" s="12">
        <f t="shared" si="192"/>
        <v>0</v>
      </c>
      <c r="BZ164" s="12">
        <f t="shared" si="192"/>
        <v>0</v>
      </c>
      <c r="CA164" s="12">
        <f t="shared" si="192"/>
        <v>0</v>
      </c>
      <c r="CB164" s="12">
        <f t="shared" si="192"/>
        <v>0</v>
      </c>
      <c r="CC164" s="12">
        <f t="shared" si="192"/>
        <v>0</v>
      </c>
      <c r="CD164" s="12">
        <f t="shared" si="192"/>
        <v>0</v>
      </c>
      <c r="CE164" s="12">
        <f t="shared" si="192"/>
        <v>0</v>
      </c>
      <c r="CF164" s="12">
        <f t="shared" si="192"/>
        <v>0</v>
      </c>
      <c r="CG164" s="12">
        <f t="shared" si="192"/>
        <v>0</v>
      </c>
      <c r="CH164" s="12">
        <f t="shared" si="192"/>
        <v>0</v>
      </c>
      <c r="CI164" s="12">
        <f t="shared" si="192"/>
        <v>0</v>
      </c>
      <c r="CK164" s="11"/>
      <c r="CL164"/>
      <c r="CM164" s="11"/>
      <c r="CN164"/>
      <c r="CO164"/>
      <c r="CP164"/>
      <c r="CQ164" s="7">
        <f t="shared" si="183"/>
        <v>0</v>
      </c>
      <c r="CR164"/>
      <c r="CS164" s="7">
        <f t="shared" si="184"/>
        <v>0</v>
      </c>
      <c r="CT164" s="7">
        <f t="shared" si="185"/>
        <v>0</v>
      </c>
      <c r="CU164" s="11"/>
      <c r="CV164" s="215">
        <f t="shared" si="186"/>
        <v>0</v>
      </c>
      <c r="CW164" s="215">
        <f t="shared" si="186"/>
        <v>0</v>
      </c>
      <c r="CX164" s="215">
        <f t="shared" si="186"/>
        <v>0</v>
      </c>
      <c r="CY164" s="215">
        <f t="shared" si="187"/>
        <v>0</v>
      </c>
      <c r="CZ164" s="215">
        <f t="shared" si="188"/>
        <v>0</v>
      </c>
      <c r="DA164" s="215">
        <f t="shared" si="189"/>
        <v>0</v>
      </c>
      <c r="DB164" s="215">
        <f t="shared" si="190"/>
        <v>0</v>
      </c>
      <c r="FN164" s="10" t="str">
        <f t="shared" si="170"/>
        <v>Total other gains and losses</v>
      </c>
    </row>
    <row r="165" spans="1:170" ht="8.25" customHeight="1" x14ac:dyDescent="0.35">
      <c r="C165" s="211"/>
      <c r="D165" s="57"/>
      <c r="Q165" s="2"/>
      <c r="BY165" s="6"/>
      <c r="CK165" s="35"/>
      <c r="CM165" s="35"/>
      <c r="CQ165" s="7"/>
      <c r="CS165" s="7"/>
      <c r="CT165" s="7"/>
      <c r="CU165" s="11"/>
      <c r="FN165" s="10" t="str">
        <f t="shared" si="170"/>
        <v/>
      </c>
    </row>
    <row r="166" spans="1:170" s="5" customFormat="1" x14ac:dyDescent="0.35">
      <c r="A166" s="220" cm="1">
        <f t="array" aca="1" ref="A166" ca="1">HYPERLINK(CONCATENATE("#",CELL("address",IF(MAX($CM166:$CU166)=0,A166,INDEX($CM166:$CU166,MATCH(1,$CM166:$CU166,0))))),MAX($CM166:$CU166))</f>
        <v>0</v>
      </c>
      <c r="C166" s="211" t="s">
        <v>596</v>
      </c>
      <c r="D166" s="24" t="s">
        <v>454</v>
      </c>
      <c r="E166"/>
      <c r="F166"/>
      <c r="Q166" s="2"/>
      <c r="R166"/>
      <c r="S166"/>
      <c r="T166"/>
      <c r="U166"/>
      <c r="V166" s="12">
        <f>V156+V164</f>
        <v>0</v>
      </c>
      <c r="W166" s="12">
        <f>W156+W164</f>
        <v>0</v>
      </c>
      <c r="X166" s="12">
        <f>X156+X164</f>
        <v>0</v>
      </c>
      <c r="Y166" s="12">
        <f>Y156+Y164</f>
        <v>0</v>
      </c>
      <c r="Z166"/>
      <c r="AA166" s="12">
        <f t="shared" ref="AA166:BJ166" si="193">AA156+AA164</f>
        <v>0</v>
      </c>
      <c r="AB166" s="12">
        <f t="shared" si="193"/>
        <v>0</v>
      </c>
      <c r="AC166" s="12">
        <f t="shared" si="193"/>
        <v>0</v>
      </c>
      <c r="AD166" s="12">
        <f t="shared" si="193"/>
        <v>0</v>
      </c>
      <c r="AE166" s="12">
        <f t="shared" si="193"/>
        <v>0</v>
      </c>
      <c r="AF166" s="12">
        <f t="shared" si="193"/>
        <v>0</v>
      </c>
      <c r="AG166" s="12">
        <f t="shared" si="193"/>
        <v>0</v>
      </c>
      <c r="AH166" s="12">
        <f t="shared" si="193"/>
        <v>0</v>
      </c>
      <c r="AI166" s="12">
        <f t="shared" si="193"/>
        <v>0</v>
      </c>
      <c r="AJ166" s="12">
        <f t="shared" si="193"/>
        <v>0</v>
      </c>
      <c r="AK166" s="12">
        <f t="shared" si="193"/>
        <v>0</v>
      </c>
      <c r="AL166" s="12">
        <f t="shared" si="193"/>
        <v>0</v>
      </c>
      <c r="AM166" s="12">
        <f t="shared" si="193"/>
        <v>0</v>
      </c>
      <c r="AN166" s="12">
        <f t="shared" si="193"/>
        <v>0</v>
      </c>
      <c r="AO166" s="12">
        <f t="shared" si="193"/>
        <v>0</v>
      </c>
      <c r="AP166" s="12">
        <f t="shared" si="193"/>
        <v>0</v>
      </c>
      <c r="AQ166" s="12">
        <f t="shared" si="193"/>
        <v>0</v>
      </c>
      <c r="AR166" s="12">
        <f t="shared" si="193"/>
        <v>0</v>
      </c>
      <c r="AS166" s="12">
        <f t="shared" si="193"/>
        <v>0</v>
      </c>
      <c r="AT166" s="12">
        <f t="shared" si="193"/>
        <v>0</v>
      </c>
      <c r="AU166" s="12">
        <f t="shared" si="193"/>
        <v>0</v>
      </c>
      <c r="AV166" s="12">
        <f t="shared" si="193"/>
        <v>0</v>
      </c>
      <c r="AW166" s="12">
        <f t="shared" si="193"/>
        <v>0</v>
      </c>
      <c r="AX166" s="12">
        <f t="shared" si="193"/>
        <v>0</v>
      </c>
      <c r="AY166" s="12">
        <f t="shared" si="193"/>
        <v>0</v>
      </c>
      <c r="AZ166" s="12">
        <f t="shared" si="193"/>
        <v>0</v>
      </c>
      <c r="BA166" s="12">
        <f t="shared" si="193"/>
        <v>0</v>
      </c>
      <c r="BB166" s="12">
        <f t="shared" si="193"/>
        <v>0</v>
      </c>
      <c r="BC166" s="12">
        <f t="shared" si="193"/>
        <v>0</v>
      </c>
      <c r="BD166" s="12">
        <f t="shared" si="193"/>
        <v>0</v>
      </c>
      <c r="BE166" s="12">
        <f t="shared" si="193"/>
        <v>0</v>
      </c>
      <c r="BF166" s="12">
        <f t="shared" si="193"/>
        <v>0</v>
      </c>
      <c r="BG166" s="12">
        <f t="shared" si="193"/>
        <v>0</v>
      </c>
      <c r="BH166" s="12">
        <f t="shared" si="193"/>
        <v>0</v>
      </c>
      <c r="BI166" s="12">
        <f t="shared" si="193"/>
        <v>0</v>
      </c>
      <c r="BJ166" s="12">
        <f t="shared" si="193"/>
        <v>0</v>
      </c>
      <c r="BK166"/>
      <c r="BL166"/>
      <c r="BM166"/>
      <c r="BN166"/>
      <c r="BO166"/>
      <c r="BP166"/>
      <c r="BQ166"/>
      <c r="BR166"/>
      <c r="BS166"/>
      <c r="BT166"/>
      <c r="BU166"/>
      <c r="BV166"/>
      <c r="BW166"/>
      <c r="BX166" s="12">
        <f t="shared" ref="BX166:CI166" si="194">BX156+BX164</f>
        <v>0</v>
      </c>
      <c r="BY166" s="12">
        <f t="shared" si="194"/>
        <v>0</v>
      </c>
      <c r="BZ166" s="12">
        <f t="shared" si="194"/>
        <v>0</v>
      </c>
      <c r="CA166" s="12">
        <f t="shared" si="194"/>
        <v>0</v>
      </c>
      <c r="CB166" s="12">
        <f t="shared" si="194"/>
        <v>0</v>
      </c>
      <c r="CC166" s="12">
        <f t="shared" si="194"/>
        <v>0</v>
      </c>
      <c r="CD166" s="12">
        <f t="shared" si="194"/>
        <v>0</v>
      </c>
      <c r="CE166" s="12">
        <f t="shared" si="194"/>
        <v>0</v>
      </c>
      <c r="CF166" s="12">
        <f t="shared" si="194"/>
        <v>0</v>
      </c>
      <c r="CG166" s="12">
        <f t="shared" si="194"/>
        <v>0</v>
      </c>
      <c r="CH166" s="12">
        <f t="shared" si="194"/>
        <v>0</v>
      </c>
      <c r="CI166" s="12">
        <f t="shared" si="194"/>
        <v>0</v>
      </c>
      <c r="CK166" s="11"/>
      <c r="CL166"/>
      <c r="CM166" s="11"/>
      <c r="CN166"/>
      <c r="CO166"/>
      <c r="CP166"/>
      <c r="CQ166" s="7">
        <f>IF(SUM($CV166:$CX166)=0, 0, 1)</f>
        <v>0</v>
      </c>
      <c r="CR166"/>
      <c r="CS166" s="7">
        <f>IF(SUM($CY166:$DA166)=0, 0, 1)</f>
        <v>0</v>
      </c>
      <c r="CT166" s="7">
        <f>IF(DB166=0, 0, 1)</f>
        <v>0</v>
      </c>
      <c r="CU166" s="11"/>
      <c r="CV166" s="215">
        <f>IF($G166=$G$7, ROUND(W166-SUMIFS($AA166:$BJ166, $AA$3:$BJ$3, W$3), rounding), 0)</f>
        <v>0</v>
      </c>
      <c r="CW166" s="215">
        <f>IF($G166=$G$7, ROUND(X166-SUMIFS($AA166:$BJ166, $AA$3:$BJ$3, X$3), rounding), 0)</f>
        <v>0</v>
      </c>
      <c r="CX166" s="215">
        <f>IF($G166=$G$7, ROUND(Y166-SUMIFS($AA166:$BJ166, $AA$3:$BJ$3, Y$3), rounding), 0)</f>
        <v>0</v>
      </c>
      <c r="CY166" s="215">
        <f>ROUND($BY166-SUMIFS($AA166:$BJ166, $AA$3:$BJ$3, $BY$3), rounding)</f>
        <v>0</v>
      </c>
      <c r="CZ166" s="215">
        <f>ROUND($BZ166-SUMIFS($AA166:$BJ166, $AA$3:$BJ$3, $BZ$3), rounding)</f>
        <v>0</v>
      </c>
      <c r="DA166" s="215">
        <f>ROUND($CA166-SUMIFS($AA166:$BJ166, $AA$3:$BJ$3, $CA$3), rounding)</f>
        <v>0</v>
      </c>
      <c r="DB166" s="215">
        <f>ROUND($V166-$BX166, rounding)</f>
        <v>0</v>
      </c>
      <c r="FN166" s="10" t="str">
        <f t="shared" si="170"/>
        <v>Total surplus/(deficit) for the year</v>
      </c>
    </row>
    <row r="167" spans="1:170" ht="8.25" customHeight="1" x14ac:dyDescent="0.35">
      <c r="C167" s="211"/>
      <c r="D167" s="57"/>
      <c r="Q167" s="2"/>
      <c r="BY167" s="6"/>
      <c r="CK167" s="35"/>
      <c r="CM167" s="35"/>
      <c r="CQ167" s="7"/>
      <c r="CS167" s="7"/>
      <c r="CT167" s="7"/>
      <c r="CU167" s="11"/>
      <c r="FN167" s="10" t="str">
        <f t="shared" si="170"/>
        <v/>
      </c>
    </row>
    <row r="168" spans="1:170" ht="43.5" x14ac:dyDescent="0.35">
      <c r="A168" s="220" cm="1">
        <f t="array" aca="1" ref="A168" ca="1">HYPERLINK(CONCATENATE("#",CELL("address",IF(MAX($CM168:$CU168)=0,A168,INDEX($CM168:$CU168,MATCH(1,$CM168:$CU168,0))))),MAX($CM168:$CU168))</f>
        <v>0</v>
      </c>
      <c r="C168" s="211" t="s">
        <v>597</v>
      </c>
      <c r="D168" s="104" t="s">
        <v>455</v>
      </c>
      <c r="E168" s="533" t="str" cm="1">
        <f t="array" aca="1" ref="E168" ca="1">HYPERLINK(CONCATENATE("#",CELL("address",'BS Forecasts'!$D$258)),'BS Forecasts'!$D$258)</f>
        <v>Transfers to/(from) I&amp;E reserve</v>
      </c>
      <c r="F168" s="5"/>
      <c r="G168" s="5"/>
      <c r="H168" s="5"/>
      <c r="Q168" s="2"/>
      <c r="V168" s="10">
        <f>'I&amp;E Monthly'!V168</f>
        <v>0</v>
      </c>
      <c r="W168" s="10">
        <f>'I&amp;E Monthly'!W168</f>
        <v>0</v>
      </c>
      <c r="X168" s="10">
        <f>'I&amp;E Monthly'!X168</f>
        <v>0</v>
      </c>
      <c r="Y168" s="10">
        <f>'I&amp;E Monthly'!Y168</f>
        <v>0</v>
      </c>
      <c r="AA168" s="10">
        <f>'I&amp;E Monthly'!AA168</f>
        <v>0</v>
      </c>
      <c r="AB168" s="10">
        <f>'I&amp;E Monthly'!AB168</f>
        <v>0</v>
      </c>
      <c r="AC168" s="10">
        <f>'I&amp;E Monthly'!AC168</f>
        <v>0</v>
      </c>
      <c r="AD168" s="10">
        <f>'I&amp;E Monthly'!AD168</f>
        <v>0</v>
      </c>
      <c r="AE168" s="10">
        <f>'I&amp;E Monthly'!AE168</f>
        <v>0</v>
      </c>
      <c r="AF168" s="10">
        <f>'I&amp;E Monthly'!AF168</f>
        <v>0</v>
      </c>
      <c r="AG168" s="10">
        <f>'I&amp;E Monthly'!AG168</f>
        <v>0</v>
      </c>
      <c r="AH168" s="10">
        <f>'I&amp;E Monthly'!AH168</f>
        <v>0</v>
      </c>
      <c r="AI168" s="10">
        <f>'I&amp;E Monthly'!AI168</f>
        <v>0</v>
      </c>
      <c r="AJ168" s="10">
        <f>'I&amp;E Monthly'!AJ168</f>
        <v>0</v>
      </c>
      <c r="AK168" s="10">
        <f>'I&amp;E Monthly'!AK168</f>
        <v>0</v>
      </c>
      <c r="AL168" s="10">
        <f>'I&amp;E Monthly'!AL168</f>
        <v>0</v>
      </c>
      <c r="AM168" s="10">
        <f>'I&amp;E Monthly'!AM168</f>
        <v>0</v>
      </c>
      <c r="AN168" s="10">
        <f>'I&amp;E Monthly'!AN168</f>
        <v>0</v>
      </c>
      <c r="AO168" s="10">
        <f>'I&amp;E Monthly'!AO168</f>
        <v>0</v>
      </c>
      <c r="AP168" s="10">
        <f>'I&amp;E Monthly'!AP168</f>
        <v>0</v>
      </c>
      <c r="AQ168" s="10">
        <f>'I&amp;E Monthly'!AQ168</f>
        <v>0</v>
      </c>
      <c r="AR168" s="10">
        <f>'I&amp;E Monthly'!AR168</f>
        <v>0</v>
      </c>
      <c r="AS168" s="10">
        <f>'I&amp;E Monthly'!AS168</f>
        <v>0</v>
      </c>
      <c r="AT168" s="10">
        <f>'I&amp;E Monthly'!AT168</f>
        <v>0</v>
      </c>
      <c r="AU168" s="10">
        <f>'I&amp;E Monthly'!AU168</f>
        <v>0</v>
      </c>
      <c r="AV168" s="10">
        <f>'I&amp;E Monthly'!AV168</f>
        <v>0</v>
      </c>
      <c r="AW168" s="10">
        <f>'I&amp;E Monthly'!AW168</f>
        <v>0</v>
      </c>
      <c r="AX168" s="10">
        <f>'I&amp;E Monthly'!AX168</f>
        <v>0</v>
      </c>
      <c r="AY168" s="10">
        <f>'I&amp;E Monthly'!AY168</f>
        <v>0</v>
      </c>
      <c r="AZ168" s="10">
        <f>'I&amp;E Monthly'!AZ168</f>
        <v>0</v>
      </c>
      <c r="BA168" s="10">
        <f>'I&amp;E Monthly'!BA168</f>
        <v>0</v>
      </c>
      <c r="BB168" s="10">
        <f>'I&amp;E Monthly'!BB168</f>
        <v>0</v>
      </c>
      <c r="BC168" s="10">
        <f>'I&amp;E Monthly'!BC168</f>
        <v>0</v>
      </c>
      <c r="BD168" s="10">
        <f>'I&amp;E Monthly'!BD168</f>
        <v>0</v>
      </c>
      <c r="BE168" s="10">
        <f>'I&amp;E Monthly'!BE168</f>
        <v>0</v>
      </c>
      <c r="BF168" s="10">
        <f>'I&amp;E Monthly'!BF168</f>
        <v>0</v>
      </c>
      <c r="BG168" s="10">
        <f>'I&amp;E Monthly'!BG168</f>
        <v>0</v>
      </c>
      <c r="BH168" s="10">
        <f>'I&amp;E Monthly'!BH168</f>
        <v>0</v>
      </c>
      <c r="BI168" s="10">
        <f>'I&amp;E Monthly'!BI168</f>
        <v>0</v>
      </c>
      <c r="BJ168" s="10">
        <f>'I&amp;E Monthly'!BJ168</f>
        <v>0</v>
      </c>
      <c r="BX168" s="10">
        <f>'I&amp;E Monthly'!BX168</f>
        <v>0</v>
      </c>
      <c r="BY168" s="10">
        <f>'I&amp;E Monthly'!BY168</f>
        <v>0</v>
      </c>
      <c r="BZ168" s="10">
        <f>'I&amp;E Monthly'!BZ168</f>
        <v>0</v>
      </c>
      <c r="CA168" s="10">
        <f>'I&amp;E Monthly'!CA168</f>
        <v>0</v>
      </c>
      <c r="CB168" s="10">
        <f>'I&amp;E Monthly'!CB168</f>
        <v>0</v>
      </c>
      <c r="CC168" s="10">
        <f>'I&amp;E Monthly'!CC168</f>
        <v>0</v>
      </c>
      <c r="CD168" s="10">
        <f>'I&amp;E Monthly'!CD168</f>
        <v>0</v>
      </c>
      <c r="CE168" s="10">
        <f>'I&amp;E Monthly'!CE168</f>
        <v>0</v>
      </c>
      <c r="CF168" s="10">
        <f>'I&amp;E Monthly'!CF168</f>
        <v>0</v>
      </c>
      <c r="CG168" s="10">
        <f>'I&amp;E Monthly'!CG168</f>
        <v>0</v>
      </c>
      <c r="CH168" s="10">
        <f>'I&amp;E Monthly'!CH168</f>
        <v>0</v>
      </c>
      <c r="CI168" s="10">
        <f>'I&amp;E Monthly'!CI168</f>
        <v>0</v>
      </c>
      <c r="CK168" s="11"/>
      <c r="CM168" s="11"/>
      <c r="CQ168" s="7">
        <f>IF(SUM($CV168:$CX168)=0, 0, 1)</f>
        <v>0</v>
      </c>
      <c r="CS168" s="7">
        <f>IF(SUM($CY168:$DA168)=0, 0, 1)</f>
        <v>0</v>
      </c>
      <c r="CT168" s="7">
        <f>IF(DB168=0, 0, 1)</f>
        <v>0</v>
      </c>
      <c r="CU168" s="11"/>
      <c r="CV168" s="215">
        <f t="shared" ref="CV168:CX170" si="195">IF($G168=$G$7, ROUND(W168-SUMIFS($AA168:$BJ168, $AA$3:$BJ$3, W$3), rounding), 0)</f>
        <v>0</v>
      </c>
      <c r="CW168" s="215">
        <f t="shared" si="195"/>
        <v>0</v>
      </c>
      <c r="CX168" s="215">
        <f t="shared" si="195"/>
        <v>0</v>
      </c>
      <c r="CY168" s="215">
        <f>ROUND($BY168-SUMIFS($AA168:$BJ168, $AA$3:$BJ$3, $BY$3), rounding)</f>
        <v>0</v>
      </c>
      <c r="CZ168" s="215">
        <f>ROUND($BZ168-SUMIFS($AA168:$BJ168, $AA$3:$BJ$3, $BZ$3), rounding)</f>
        <v>0</v>
      </c>
      <c r="DA168" s="215">
        <f>ROUND($CA168-SUMIFS($AA168:$BJ168, $AA$3:$BJ$3, $CA$3), rounding)</f>
        <v>0</v>
      </c>
      <c r="DB168" s="215">
        <f>ROUND($V168-$BX168, rounding)</f>
        <v>0</v>
      </c>
      <c r="FN168" s="10" t="str">
        <f t="shared" si="170"/>
        <v>Transfers (to)/from revaluation reserve adjustment</v>
      </c>
    </row>
    <row r="169" spans="1:170" ht="72.5" x14ac:dyDescent="0.35">
      <c r="A169" s="220" cm="1">
        <f t="array" aca="1" ref="A169" ca="1">HYPERLINK(CONCATENATE("#",CELL("address",IF(MAX($CM169:$CU169)=0,A169,INDEX($CM169:$CU169,MATCH(1,$CM169:$CU169,0))))),MAX($CM169:$CU169))</f>
        <v>0</v>
      </c>
      <c r="C169" s="211" t="s">
        <v>598</v>
      </c>
      <c r="D169" s="104" t="s">
        <v>456</v>
      </c>
      <c r="E169" s="533" t="str" cm="1">
        <f t="array" aca="1" ref="E169" ca="1">HYPERLINK(CONCATENATE("#",CELL("address",'BS Forecasts'!$D$214)),'BS Forecasts'!$D$205)</f>
        <v>Local Government Pension Scheme Provision</v>
      </c>
      <c r="F169" s="533" t="str" cm="1">
        <f t="array" aca="1" ref="F169" ca="1">HYPERLINK(CONCATENATE("#",CELL("address",'BS Forecasts'!$D$224)),'BS Forecasts'!$D$219)</f>
        <v>Enhanced Pension Provision</v>
      </c>
      <c r="G169" s="533" t="str" cm="1">
        <f t="array" aca="1" ref="G169" ca="1">HYPERLINK(CONCATENATE("#",CELL("address",'BS Forecasts'!$D$233)),'BS Forecasts'!$D$228)</f>
        <v>Other Pension Provisions</v>
      </c>
      <c r="Q169" s="2"/>
      <c r="V169" s="10">
        <f>'I&amp;E Monthly'!V169</f>
        <v>0</v>
      </c>
      <c r="W169" s="10">
        <f>'I&amp;E Monthly'!W169</f>
        <v>0</v>
      </c>
      <c r="X169" s="10">
        <f>'I&amp;E Monthly'!X169</f>
        <v>0</v>
      </c>
      <c r="Y169" s="10">
        <f>'I&amp;E Monthly'!Y169</f>
        <v>0</v>
      </c>
      <c r="AA169" s="10">
        <f>'I&amp;E Monthly'!AA169</f>
        <v>0</v>
      </c>
      <c r="AB169" s="10">
        <f>'I&amp;E Monthly'!AB169</f>
        <v>0</v>
      </c>
      <c r="AC169" s="10">
        <f>'I&amp;E Monthly'!AC169</f>
        <v>0</v>
      </c>
      <c r="AD169" s="10">
        <f>'I&amp;E Monthly'!AD169</f>
        <v>0</v>
      </c>
      <c r="AE169" s="10">
        <f>'I&amp;E Monthly'!AE169</f>
        <v>0</v>
      </c>
      <c r="AF169" s="10">
        <f>'I&amp;E Monthly'!AF169</f>
        <v>0</v>
      </c>
      <c r="AG169" s="10">
        <f>'I&amp;E Monthly'!AG169</f>
        <v>0</v>
      </c>
      <c r="AH169" s="10">
        <f>'I&amp;E Monthly'!AH169</f>
        <v>0</v>
      </c>
      <c r="AI169" s="10">
        <f>'I&amp;E Monthly'!AI169</f>
        <v>0</v>
      </c>
      <c r="AJ169" s="10">
        <f>'I&amp;E Monthly'!AJ169</f>
        <v>0</v>
      </c>
      <c r="AK169" s="10">
        <f>'I&amp;E Monthly'!AK169</f>
        <v>0</v>
      </c>
      <c r="AL169" s="10">
        <f>'I&amp;E Monthly'!AL169</f>
        <v>0</v>
      </c>
      <c r="AM169" s="10">
        <f>'I&amp;E Monthly'!AM169</f>
        <v>0</v>
      </c>
      <c r="AN169" s="10">
        <f>'I&amp;E Monthly'!AN169</f>
        <v>0</v>
      </c>
      <c r="AO169" s="10">
        <f>'I&amp;E Monthly'!AO169</f>
        <v>0</v>
      </c>
      <c r="AP169" s="10">
        <f>'I&amp;E Monthly'!AP169</f>
        <v>0</v>
      </c>
      <c r="AQ169" s="10">
        <f>'I&amp;E Monthly'!AQ169</f>
        <v>0</v>
      </c>
      <c r="AR169" s="10">
        <f>'I&amp;E Monthly'!AR169</f>
        <v>0</v>
      </c>
      <c r="AS169" s="10">
        <f>'I&amp;E Monthly'!AS169</f>
        <v>0</v>
      </c>
      <c r="AT169" s="10">
        <f>'I&amp;E Monthly'!AT169</f>
        <v>0</v>
      </c>
      <c r="AU169" s="10">
        <f>'I&amp;E Monthly'!AU169</f>
        <v>0</v>
      </c>
      <c r="AV169" s="10">
        <f>'I&amp;E Monthly'!AV169</f>
        <v>0</v>
      </c>
      <c r="AW169" s="10">
        <f>'I&amp;E Monthly'!AW169</f>
        <v>0</v>
      </c>
      <c r="AX169" s="10">
        <f>'I&amp;E Monthly'!AX169</f>
        <v>0</v>
      </c>
      <c r="AY169" s="10">
        <f>'I&amp;E Monthly'!AY169</f>
        <v>0</v>
      </c>
      <c r="AZ169" s="10">
        <f>'I&amp;E Monthly'!AZ169</f>
        <v>0</v>
      </c>
      <c r="BA169" s="10">
        <f>'I&amp;E Monthly'!BA169</f>
        <v>0</v>
      </c>
      <c r="BB169" s="10">
        <f>'I&amp;E Monthly'!BB169</f>
        <v>0</v>
      </c>
      <c r="BC169" s="10">
        <f>'I&amp;E Monthly'!BC169</f>
        <v>0</v>
      </c>
      <c r="BD169" s="10">
        <f>'I&amp;E Monthly'!BD169</f>
        <v>0</v>
      </c>
      <c r="BE169" s="10">
        <f>'I&amp;E Monthly'!BE169</f>
        <v>0</v>
      </c>
      <c r="BF169" s="10">
        <f>'I&amp;E Monthly'!BF169</f>
        <v>0</v>
      </c>
      <c r="BG169" s="10">
        <f>'I&amp;E Monthly'!BG169</f>
        <v>0</v>
      </c>
      <c r="BH169" s="10">
        <f>'I&amp;E Monthly'!BH169</f>
        <v>0</v>
      </c>
      <c r="BI169" s="10">
        <f>'I&amp;E Monthly'!BI169</f>
        <v>0</v>
      </c>
      <c r="BJ169" s="10">
        <f>'I&amp;E Monthly'!BJ169</f>
        <v>0</v>
      </c>
      <c r="BX169" s="10">
        <f>'I&amp;E Monthly'!BX169</f>
        <v>0</v>
      </c>
      <c r="BY169" s="10">
        <f>'I&amp;E Monthly'!BY169</f>
        <v>0</v>
      </c>
      <c r="BZ169" s="10">
        <f>'I&amp;E Monthly'!BZ169</f>
        <v>0</v>
      </c>
      <c r="CA169" s="10">
        <f>'I&amp;E Monthly'!CA169</f>
        <v>0</v>
      </c>
      <c r="CB169" s="10">
        <f>'I&amp;E Monthly'!CB169</f>
        <v>0</v>
      </c>
      <c r="CC169" s="10">
        <f>'I&amp;E Monthly'!CC169</f>
        <v>0</v>
      </c>
      <c r="CD169" s="10">
        <f>'I&amp;E Monthly'!CD169</f>
        <v>0</v>
      </c>
      <c r="CE169" s="10">
        <f>'I&amp;E Monthly'!CE169</f>
        <v>0</v>
      </c>
      <c r="CF169" s="10">
        <f>'I&amp;E Monthly'!CF169</f>
        <v>0</v>
      </c>
      <c r="CG169" s="10">
        <f>'I&amp;E Monthly'!CG169</f>
        <v>0</v>
      </c>
      <c r="CH169" s="10">
        <f>'I&amp;E Monthly'!CH169</f>
        <v>0</v>
      </c>
      <c r="CI169" s="10">
        <f>'I&amp;E Monthly'!CI169</f>
        <v>0</v>
      </c>
      <c r="CK169" s="11"/>
      <c r="CM169" s="11"/>
      <c r="CQ169" s="7">
        <f ca="1">IF(SUM($CV169:$CX169)=0, 0, 1)</f>
        <v>0</v>
      </c>
      <c r="CS169" s="7">
        <f>IF(SUM($CY169:$DA169)=0, 0, 1)</f>
        <v>0</v>
      </c>
      <c r="CT169" s="7">
        <f>IF(DB169=0, 0, 1)</f>
        <v>0</v>
      </c>
      <c r="CU169" s="11"/>
      <c r="CV169" s="215">
        <f t="shared" ca="1" si="195"/>
        <v>0</v>
      </c>
      <c r="CW169" s="215">
        <f t="shared" ca="1" si="195"/>
        <v>0</v>
      </c>
      <c r="CX169" s="215">
        <f t="shared" ca="1" si="195"/>
        <v>0</v>
      </c>
      <c r="CY169" s="215">
        <f>ROUND($BY169-SUMIFS($AA169:$BJ169, $AA$3:$BJ$3, $BY$3), rounding)</f>
        <v>0</v>
      </c>
      <c r="CZ169" s="215">
        <f>ROUND($BZ169-SUMIFS($AA169:$BJ169, $AA$3:$BJ$3, $BZ$3), rounding)</f>
        <v>0</v>
      </c>
      <c r="DA169" s="215">
        <f>ROUND($CA169-SUMIFS($AA169:$BJ169, $AA$3:$BJ$3, $CA$3), rounding)</f>
        <v>0</v>
      </c>
      <c r="DB169" s="215">
        <f>ROUND($V169-$BX169, rounding)</f>
        <v>0</v>
      </c>
      <c r="FN169" s="10" t="str">
        <f t="shared" si="170"/>
        <v>Actuarial gain/(loss) on pensions adjustment</v>
      </c>
    </row>
    <row r="170" spans="1:170" s="5" customFormat="1" x14ac:dyDescent="0.35">
      <c r="A170" s="220" cm="1">
        <f t="array" aca="1" ref="A170" ca="1">HYPERLINK(CONCATENATE("#",CELL("address",IF(MAX($CM170:$CU170)=0,A170,INDEX($CM170:$CU170,MATCH(1,$CM170:$CU170,0))))),MAX($CM170:$CU170))</f>
        <v>0</v>
      </c>
      <c r="C170" s="211" t="s">
        <v>599</v>
      </c>
      <c r="D170" s="208" t="s">
        <v>457</v>
      </c>
      <c r="Q170" s="2"/>
      <c r="R170"/>
      <c r="S170"/>
      <c r="T170"/>
      <c r="U170"/>
      <c r="V170" s="12">
        <f>V166+SUM(V168:V169)</f>
        <v>0</v>
      </c>
      <c r="W170" s="12">
        <f>W166+SUM(W168:W169)</f>
        <v>0</v>
      </c>
      <c r="X170" s="12">
        <f>X166+SUM(X168:X169)</f>
        <v>0</v>
      </c>
      <c r="Y170" s="12">
        <f>Y166+SUM(Y168:Y169)</f>
        <v>0</v>
      </c>
      <c r="Z170"/>
      <c r="AA170" s="12">
        <f t="shared" ref="AA170:BJ170" si="196">AA166+SUM(AA168:AA169)</f>
        <v>0</v>
      </c>
      <c r="AB170" s="12">
        <f t="shared" si="196"/>
        <v>0</v>
      </c>
      <c r="AC170" s="12">
        <f t="shared" si="196"/>
        <v>0</v>
      </c>
      <c r="AD170" s="12">
        <f t="shared" si="196"/>
        <v>0</v>
      </c>
      <c r="AE170" s="12">
        <f t="shared" si="196"/>
        <v>0</v>
      </c>
      <c r="AF170" s="12">
        <f t="shared" si="196"/>
        <v>0</v>
      </c>
      <c r="AG170" s="12">
        <f t="shared" si="196"/>
        <v>0</v>
      </c>
      <c r="AH170" s="12">
        <f t="shared" si="196"/>
        <v>0</v>
      </c>
      <c r="AI170" s="12">
        <f t="shared" si="196"/>
        <v>0</v>
      </c>
      <c r="AJ170" s="12">
        <f t="shared" si="196"/>
        <v>0</v>
      </c>
      <c r="AK170" s="12">
        <f t="shared" si="196"/>
        <v>0</v>
      </c>
      <c r="AL170" s="12">
        <f t="shared" si="196"/>
        <v>0</v>
      </c>
      <c r="AM170" s="12">
        <f t="shared" si="196"/>
        <v>0</v>
      </c>
      <c r="AN170" s="12">
        <f t="shared" si="196"/>
        <v>0</v>
      </c>
      <c r="AO170" s="12">
        <f t="shared" si="196"/>
        <v>0</v>
      </c>
      <c r="AP170" s="12">
        <f t="shared" si="196"/>
        <v>0</v>
      </c>
      <c r="AQ170" s="12">
        <f t="shared" si="196"/>
        <v>0</v>
      </c>
      <c r="AR170" s="12">
        <f t="shared" si="196"/>
        <v>0</v>
      </c>
      <c r="AS170" s="12">
        <f t="shared" si="196"/>
        <v>0</v>
      </c>
      <c r="AT170" s="12">
        <f t="shared" si="196"/>
        <v>0</v>
      </c>
      <c r="AU170" s="12">
        <f t="shared" si="196"/>
        <v>0</v>
      </c>
      <c r="AV170" s="12">
        <f t="shared" si="196"/>
        <v>0</v>
      </c>
      <c r="AW170" s="12">
        <f t="shared" si="196"/>
        <v>0</v>
      </c>
      <c r="AX170" s="12">
        <f t="shared" si="196"/>
        <v>0</v>
      </c>
      <c r="AY170" s="12">
        <f t="shared" si="196"/>
        <v>0</v>
      </c>
      <c r="AZ170" s="12">
        <f t="shared" si="196"/>
        <v>0</v>
      </c>
      <c r="BA170" s="12">
        <f t="shared" si="196"/>
        <v>0</v>
      </c>
      <c r="BB170" s="12">
        <f t="shared" si="196"/>
        <v>0</v>
      </c>
      <c r="BC170" s="12">
        <f t="shared" si="196"/>
        <v>0</v>
      </c>
      <c r="BD170" s="12">
        <f t="shared" si="196"/>
        <v>0</v>
      </c>
      <c r="BE170" s="12">
        <f t="shared" si="196"/>
        <v>0</v>
      </c>
      <c r="BF170" s="12">
        <f t="shared" si="196"/>
        <v>0</v>
      </c>
      <c r="BG170" s="12">
        <f t="shared" si="196"/>
        <v>0</v>
      </c>
      <c r="BH170" s="12">
        <f t="shared" si="196"/>
        <v>0</v>
      </c>
      <c r="BI170" s="12">
        <f t="shared" si="196"/>
        <v>0</v>
      </c>
      <c r="BJ170" s="12">
        <f t="shared" si="196"/>
        <v>0</v>
      </c>
      <c r="BK170"/>
      <c r="BL170"/>
      <c r="BM170"/>
      <c r="BN170"/>
      <c r="BO170"/>
      <c r="BP170"/>
      <c r="BQ170"/>
      <c r="BR170"/>
      <c r="BS170"/>
      <c r="BT170"/>
      <c r="BU170"/>
      <c r="BV170"/>
      <c r="BW170"/>
      <c r="BX170" s="12">
        <f t="shared" ref="BX170:CI170" si="197">BX166+SUM(BX168:BX169)</f>
        <v>0</v>
      </c>
      <c r="BY170" s="12">
        <f t="shared" si="197"/>
        <v>0</v>
      </c>
      <c r="BZ170" s="12">
        <f t="shared" si="197"/>
        <v>0</v>
      </c>
      <c r="CA170" s="12">
        <f t="shared" si="197"/>
        <v>0</v>
      </c>
      <c r="CB170" s="12">
        <f t="shared" si="197"/>
        <v>0</v>
      </c>
      <c r="CC170" s="12">
        <f t="shared" si="197"/>
        <v>0</v>
      </c>
      <c r="CD170" s="12">
        <f t="shared" si="197"/>
        <v>0</v>
      </c>
      <c r="CE170" s="12">
        <f t="shared" si="197"/>
        <v>0</v>
      </c>
      <c r="CF170" s="12">
        <f t="shared" si="197"/>
        <v>0</v>
      </c>
      <c r="CG170" s="12">
        <f t="shared" si="197"/>
        <v>0</v>
      </c>
      <c r="CH170" s="12">
        <f t="shared" si="197"/>
        <v>0</v>
      </c>
      <c r="CI170" s="12">
        <f t="shared" si="197"/>
        <v>0</v>
      </c>
      <c r="CK170" s="209"/>
      <c r="CM170" s="209"/>
      <c r="CQ170" s="7">
        <f>IF(SUM($CV170:$CX170)=0, 0, 1)</f>
        <v>0</v>
      </c>
      <c r="CR170"/>
      <c r="CS170" s="7">
        <f>IF(SUM($CY170:$DA170)=0, 0, 1)</f>
        <v>0</v>
      </c>
      <c r="CT170" s="7">
        <f>IF(DB170=0, 0, 1)</f>
        <v>0</v>
      </c>
      <c r="CU170" s="11"/>
      <c r="CV170" s="215">
        <f t="shared" si="195"/>
        <v>0</v>
      </c>
      <c r="CW170" s="215">
        <f t="shared" si="195"/>
        <v>0</v>
      </c>
      <c r="CX170" s="215">
        <f t="shared" si="195"/>
        <v>0</v>
      </c>
      <c r="CY170" s="215">
        <f>ROUND($BY170-SUMIFS($AA170:$BJ170, $AA$3:$BJ$3, $BY$3), rounding)</f>
        <v>0</v>
      </c>
      <c r="CZ170" s="215">
        <f>ROUND($BZ170-SUMIFS($AA170:$BJ170, $AA$3:$BJ$3, $BZ$3), rounding)</f>
        <v>0</v>
      </c>
      <c r="DA170" s="215">
        <f>ROUND($CA170-SUMIFS($AA170:$BJ170, $AA$3:$BJ$3, $CA$3), rounding)</f>
        <v>0</v>
      </c>
      <c r="DB170" s="215">
        <f>ROUND($V170-$BX170, rounding)</f>
        <v>0</v>
      </c>
      <c r="FN170" s="10" t="str">
        <f t="shared" si="170"/>
        <v>Total Comprehensive Income</v>
      </c>
    </row>
    <row r="171" spans="1:170" ht="8.25" customHeight="1" x14ac:dyDescent="0.35">
      <c r="C171" s="211"/>
      <c r="D171" s="57"/>
      <c r="Q171" s="2"/>
      <c r="BY171" s="6"/>
      <c r="CK171" s="35"/>
      <c r="CM171" s="35"/>
      <c r="CQ171" s="7"/>
      <c r="CS171" s="7"/>
      <c r="CT171" s="7"/>
      <c r="CU171" s="11"/>
      <c r="FN171" s="10" t="str">
        <f t="shared" si="170"/>
        <v/>
      </c>
    </row>
    <row r="172" spans="1:170" x14ac:dyDescent="0.35">
      <c r="A172" s="34"/>
      <c r="B172" s="34"/>
      <c r="C172" s="231"/>
      <c r="D172" s="34" t="s">
        <v>458</v>
      </c>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11"/>
      <c r="CM172" s="11"/>
      <c r="CQ172" s="7"/>
      <c r="CS172" s="7"/>
      <c r="CT172" s="7"/>
      <c r="CU172" s="11"/>
      <c r="FN172" s="10" t="str">
        <f t="shared" si="170"/>
        <v/>
      </c>
    </row>
    <row r="173" spans="1:170" ht="8.25" customHeight="1" x14ac:dyDescent="0.35">
      <c r="C173" s="211"/>
      <c r="D173" s="57"/>
      <c r="Q173" s="2"/>
      <c r="BY173" s="6"/>
      <c r="CK173" s="35"/>
      <c r="CM173" s="35"/>
      <c r="CQ173" s="7"/>
      <c r="CS173" s="7"/>
      <c r="CT173" s="7"/>
      <c r="CU173" s="35"/>
      <c r="FN173" s="10" t="str">
        <f t="shared" si="170"/>
        <v/>
      </c>
    </row>
    <row r="174" spans="1:170" x14ac:dyDescent="0.35">
      <c r="A174" s="220" cm="1">
        <f t="array" aca="1" ref="A174" ca="1">HYPERLINK(CONCATENATE("#",CELL("address",IF(MAX($CM174:$CU174)=0,A174,INDEX($CM174:$CU174,MATCH(1,$CM174:$CU174,0))))),MAX($CM174:$CU174))</f>
        <v>0</v>
      </c>
      <c r="C174" s="308" t="str">
        <f>C$146</f>
        <v>IE-4</v>
      </c>
      <c r="D174" s="57" t="str">
        <f>D$146</f>
        <v>Surplus/(deficit) before ITDA</v>
      </c>
      <c r="H174" t="s">
        <v>317</v>
      </c>
      <c r="Q174" s="2"/>
      <c r="V174" s="10">
        <f>V$146</f>
        <v>0</v>
      </c>
      <c r="W174" s="10">
        <f>W$146</f>
        <v>0</v>
      </c>
      <c r="X174" s="10">
        <f>X$146</f>
        <v>0</v>
      </c>
      <c r="Y174" s="10">
        <f>Y$146</f>
        <v>0</v>
      </c>
      <c r="AA174" s="10">
        <f t="shared" ref="AA174:BJ174" si="198">AA$146</f>
        <v>0</v>
      </c>
      <c r="AB174" s="10">
        <f t="shared" si="198"/>
        <v>0</v>
      </c>
      <c r="AC174" s="10">
        <f t="shared" si="198"/>
        <v>0</v>
      </c>
      <c r="AD174" s="10">
        <f t="shared" si="198"/>
        <v>0</v>
      </c>
      <c r="AE174" s="10">
        <f t="shared" si="198"/>
        <v>0</v>
      </c>
      <c r="AF174" s="10">
        <f t="shared" si="198"/>
        <v>0</v>
      </c>
      <c r="AG174" s="10">
        <f t="shared" si="198"/>
        <v>0</v>
      </c>
      <c r="AH174" s="10">
        <f t="shared" si="198"/>
        <v>0</v>
      </c>
      <c r="AI174" s="10">
        <f t="shared" si="198"/>
        <v>0</v>
      </c>
      <c r="AJ174" s="10">
        <f t="shared" si="198"/>
        <v>0</v>
      </c>
      <c r="AK174" s="10">
        <f t="shared" si="198"/>
        <v>0</v>
      </c>
      <c r="AL174" s="10">
        <f t="shared" si="198"/>
        <v>0</v>
      </c>
      <c r="AM174" s="10">
        <f t="shared" si="198"/>
        <v>0</v>
      </c>
      <c r="AN174" s="10">
        <f t="shared" si="198"/>
        <v>0</v>
      </c>
      <c r="AO174" s="10">
        <f t="shared" si="198"/>
        <v>0</v>
      </c>
      <c r="AP174" s="10">
        <f t="shared" si="198"/>
        <v>0</v>
      </c>
      <c r="AQ174" s="10">
        <f t="shared" si="198"/>
        <v>0</v>
      </c>
      <c r="AR174" s="10">
        <f t="shared" si="198"/>
        <v>0</v>
      </c>
      <c r="AS174" s="10">
        <f t="shared" si="198"/>
        <v>0</v>
      </c>
      <c r="AT174" s="10">
        <f t="shared" si="198"/>
        <v>0</v>
      </c>
      <c r="AU174" s="10">
        <f t="shared" si="198"/>
        <v>0</v>
      </c>
      <c r="AV174" s="10">
        <f t="shared" si="198"/>
        <v>0</v>
      </c>
      <c r="AW174" s="10">
        <f t="shared" si="198"/>
        <v>0</v>
      </c>
      <c r="AX174" s="10">
        <f t="shared" si="198"/>
        <v>0</v>
      </c>
      <c r="AY174" s="10">
        <f t="shared" si="198"/>
        <v>0</v>
      </c>
      <c r="AZ174" s="10">
        <f t="shared" si="198"/>
        <v>0</v>
      </c>
      <c r="BA174" s="10">
        <f t="shared" si="198"/>
        <v>0</v>
      </c>
      <c r="BB174" s="10">
        <f t="shared" si="198"/>
        <v>0</v>
      </c>
      <c r="BC174" s="10">
        <f t="shared" si="198"/>
        <v>0</v>
      </c>
      <c r="BD174" s="10">
        <f t="shared" si="198"/>
        <v>0</v>
      </c>
      <c r="BE174" s="10">
        <f t="shared" si="198"/>
        <v>0</v>
      </c>
      <c r="BF174" s="10">
        <f t="shared" si="198"/>
        <v>0</v>
      </c>
      <c r="BG174" s="10">
        <f t="shared" si="198"/>
        <v>0</v>
      </c>
      <c r="BH174" s="10">
        <f t="shared" si="198"/>
        <v>0</v>
      </c>
      <c r="BI174" s="10">
        <f t="shared" si="198"/>
        <v>0</v>
      </c>
      <c r="BJ174" s="10">
        <f t="shared" si="198"/>
        <v>0</v>
      </c>
      <c r="BX174" s="10">
        <f t="shared" ref="BX174:CI174" si="199">BX$146</f>
        <v>0</v>
      </c>
      <c r="BY174" s="10">
        <f t="shared" si="199"/>
        <v>0</v>
      </c>
      <c r="BZ174" s="10">
        <f t="shared" si="199"/>
        <v>0</v>
      </c>
      <c r="CA174" s="10">
        <f t="shared" si="199"/>
        <v>0</v>
      </c>
      <c r="CB174" s="10">
        <f t="shared" si="199"/>
        <v>0</v>
      </c>
      <c r="CC174" s="10">
        <f t="shared" si="199"/>
        <v>0</v>
      </c>
      <c r="CD174" s="10">
        <f t="shared" si="199"/>
        <v>0</v>
      </c>
      <c r="CE174" s="10">
        <f t="shared" si="199"/>
        <v>0</v>
      </c>
      <c r="CF174" s="10">
        <f t="shared" si="199"/>
        <v>0</v>
      </c>
      <c r="CG174" s="10">
        <f t="shared" si="199"/>
        <v>0</v>
      </c>
      <c r="CH174" s="10">
        <f t="shared" si="199"/>
        <v>0</v>
      </c>
      <c r="CI174" s="10">
        <f t="shared" si="199"/>
        <v>0</v>
      </c>
      <c r="CK174" s="11"/>
      <c r="CM174" s="11"/>
      <c r="CQ174" s="7">
        <f t="shared" ref="CQ174:CQ181" si="200">IF(SUM($CV174:$CX174)=0, 0, 1)</f>
        <v>0</v>
      </c>
      <c r="CS174" s="7">
        <f t="shared" ref="CS174:CS181" si="201">IF(SUM($CY174:$DA174)=0, 0, 1)</f>
        <v>0</v>
      </c>
      <c r="CT174" s="7">
        <f t="shared" ref="CT174:CT181" si="202">IF(DB174=0, 0, 1)</f>
        <v>0</v>
      </c>
      <c r="CU174" s="11"/>
      <c r="CV174" s="215">
        <f t="shared" ref="CV174:CX181" si="203">IF($G174=$G$7, ROUND(W174-SUMIFS($AA174:$BJ174, $AA$3:$BJ$3, W$3), rounding), 0)</f>
        <v>0</v>
      </c>
      <c r="CW174" s="215">
        <f t="shared" si="203"/>
        <v>0</v>
      </c>
      <c r="CX174" s="215">
        <f t="shared" si="203"/>
        <v>0</v>
      </c>
      <c r="CY174" s="215">
        <f t="shared" ref="CY174:CY181" si="204">ROUND($BY174-SUMIFS($AA174:$BJ174, $AA$3:$BJ$3, $BY$3), rounding)</f>
        <v>0</v>
      </c>
      <c r="CZ174" s="215">
        <f t="shared" ref="CZ174:CZ181" si="205">ROUND($BZ174-SUMIFS($AA174:$BJ174, $AA$3:$BJ$3, $BZ$3), rounding)</f>
        <v>0</v>
      </c>
      <c r="DA174" s="215">
        <f t="shared" ref="DA174:DA181" si="206">ROUND($CA174-SUMIFS($AA174:$BJ174, $AA$3:$BJ$3, $CA$3), rounding)</f>
        <v>0</v>
      </c>
      <c r="DB174" s="215">
        <f t="shared" ref="DB174:DB181" si="207">ROUND($V174-$BX174, rounding)</f>
        <v>0</v>
      </c>
      <c r="FN174" s="12" t="str">
        <f t="shared" ref="FN174:FN179" si="208">IF($C174="","",CONCATENATE(D$172, " ",$D174))</f>
        <v>Education-Specific EBITDA Surplus/(deficit) before ITDA</v>
      </c>
    </row>
    <row r="175" spans="1:170" x14ac:dyDescent="0.35">
      <c r="A175" s="220" cm="1">
        <f t="array" aca="1" ref="A175" ca="1">HYPERLINK(CONCATENATE("#",CELL("address",IF(MAX($CM175:$CU175)=0,A175,INDEX($CM175:$CU175,MATCH(1,$CM175:$CU175,0))))),MAX($CM175:$CU175))</f>
        <v>0</v>
      </c>
      <c r="C175" s="308" t="str">
        <f>C$96</f>
        <v>IE-1i</v>
      </c>
      <c r="D175" s="57" t="str">
        <f>D$96</f>
        <v>Total Funding Support</v>
      </c>
      <c r="H175" t="str">
        <f>H$96</f>
        <v>+ve/-ve (Cr/Dr)</v>
      </c>
      <c r="Q175" s="2"/>
      <c r="V175" s="10">
        <f>V$96</f>
        <v>0</v>
      </c>
      <c r="W175" s="10">
        <f>W$96</f>
        <v>0</v>
      </c>
      <c r="X175" s="10">
        <f>X$96</f>
        <v>0</v>
      </c>
      <c r="Y175" s="10">
        <f>Y$96</f>
        <v>0</v>
      </c>
      <c r="AA175" s="10">
        <f t="shared" ref="AA175:BJ175" si="209">AA$96</f>
        <v>0</v>
      </c>
      <c r="AB175" s="10">
        <f t="shared" si="209"/>
        <v>0</v>
      </c>
      <c r="AC175" s="10">
        <f t="shared" si="209"/>
        <v>0</v>
      </c>
      <c r="AD175" s="10">
        <f t="shared" si="209"/>
        <v>0</v>
      </c>
      <c r="AE175" s="10">
        <f t="shared" si="209"/>
        <v>0</v>
      </c>
      <c r="AF175" s="10">
        <f t="shared" si="209"/>
        <v>0</v>
      </c>
      <c r="AG175" s="10">
        <f t="shared" si="209"/>
        <v>0</v>
      </c>
      <c r="AH175" s="10">
        <f t="shared" si="209"/>
        <v>0</v>
      </c>
      <c r="AI175" s="10">
        <f t="shared" si="209"/>
        <v>0</v>
      </c>
      <c r="AJ175" s="10">
        <f t="shared" si="209"/>
        <v>0</v>
      </c>
      <c r="AK175" s="10">
        <f t="shared" si="209"/>
        <v>0</v>
      </c>
      <c r="AL175" s="10">
        <f t="shared" si="209"/>
        <v>0</v>
      </c>
      <c r="AM175" s="10">
        <f t="shared" si="209"/>
        <v>0</v>
      </c>
      <c r="AN175" s="10">
        <f t="shared" si="209"/>
        <v>0</v>
      </c>
      <c r="AO175" s="10">
        <f t="shared" si="209"/>
        <v>0</v>
      </c>
      <c r="AP175" s="10">
        <f t="shared" si="209"/>
        <v>0</v>
      </c>
      <c r="AQ175" s="10">
        <f t="shared" si="209"/>
        <v>0</v>
      </c>
      <c r="AR175" s="10">
        <f t="shared" si="209"/>
        <v>0</v>
      </c>
      <c r="AS175" s="10">
        <f t="shared" si="209"/>
        <v>0</v>
      </c>
      <c r="AT175" s="10">
        <f t="shared" si="209"/>
        <v>0</v>
      </c>
      <c r="AU175" s="10">
        <f t="shared" si="209"/>
        <v>0</v>
      </c>
      <c r="AV175" s="10">
        <f t="shared" si="209"/>
        <v>0</v>
      </c>
      <c r="AW175" s="10">
        <f t="shared" si="209"/>
        <v>0</v>
      </c>
      <c r="AX175" s="10">
        <f t="shared" si="209"/>
        <v>0</v>
      </c>
      <c r="AY175" s="10">
        <f t="shared" si="209"/>
        <v>0</v>
      </c>
      <c r="AZ175" s="10">
        <f t="shared" si="209"/>
        <v>0</v>
      </c>
      <c r="BA175" s="10">
        <f t="shared" si="209"/>
        <v>0</v>
      </c>
      <c r="BB175" s="10">
        <f t="shared" si="209"/>
        <v>0</v>
      </c>
      <c r="BC175" s="10">
        <f t="shared" si="209"/>
        <v>0</v>
      </c>
      <c r="BD175" s="10">
        <f t="shared" si="209"/>
        <v>0</v>
      </c>
      <c r="BE175" s="10">
        <f t="shared" si="209"/>
        <v>0</v>
      </c>
      <c r="BF175" s="10">
        <f t="shared" si="209"/>
        <v>0</v>
      </c>
      <c r="BG175" s="10">
        <f t="shared" si="209"/>
        <v>0</v>
      </c>
      <c r="BH175" s="10">
        <f t="shared" si="209"/>
        <v>0</v>
      </c>
      <c r="BI175" s="10">
        <f t="shared" si="209"/>
        <v>0</v>
      </c>
      <c r="BJ175" s="10">
        <f t="shared" si="209"/>
        <v>0</v>
      </c>
      <c r="BX175" s="10">
        <f t="shared" ref="BX175:CI175" si="210">BX$96</f>
        <v>0</v>
      </c>
      <c r="BY175" s="10">
        <f t="shared" si="210"/>
        <v>0</v>
      </c>
      <c r="BZ175" s="10">
        <f t="shared" si="210"/>
        <v>0</v>
      </c>
      <c r="CA175" s="10">
        <f t="shared" si="210"/>
        <v>0</v>
      </c>
      <c r="CB175" s="10">
        <f t="shared" si="210"/>
        <v>0</v>
      </c>
      <c r="CC175" s="10">
        <f t="shared" si="210"/>
        <v>0</v>
      </c>
      <c r="CD175" s="10">
        <f t="shared" si="210"/>
        <v>0</v>
      </c>
      <c r="CE175" s="10">
        <f t="shared" si="210"/>
        <v>0</v>
      </c>
      <c r="CF175" s="10">
        <f t="shared" si="210"/>
        <v>0</v>
      </c>
      <c r="CG175" s="10">
        <f t="shared" si="210"/>
        <v>0</v>
      </c>
      <c r="CH175" s="10">
        <f t="shared" si="210"/>
        <v>0</v>
      </c>
      <c r="CI175" s="10">
        <f t="shared" si="210"/>
        <v>0</v>
      </c>
      <c r="CK175" s="35"/>
      <c r="CM175" s="35"/>
      <c r="CQ175" s="7">
        <f t="shared" si="200"/>
        <v>0</v>
      </c>
      <c r="CS175" s="7">
        <f t="shared" si="201"/>
        <v>0</v>
      </c>
      <c r="CT175" s="7">
        <f t="shared" si="202"/>
        <v>0</v>
      </c>
      <c r="CU175" s="35"/>
      <c r="CV175" s="215">
        <f t="shared" si="203"/>
        <v>0</v>
      </c>
      <c r="CW175" s="215">
        <f t="shared" si="203"/>
        <v>0</v>
      </c>
      <c r="CX175" s="215">
        <f t="shared" si="203"/>
        <v>0</v>
      </c>
      <c r="CY175" s="215">
        <f t="shared" si="204"/>
        <v>0</v>
      </c>
      <c r="CZ175" s="215">
        <f t="shared" si="205"/>
        <v>0</v>
      </c>
      <c r="DA175" s="215">
        <f t="shared" si="206"/>
        <v>0</v>
      </c>
      <c r="DB175" s="215">
        <f t="shared" si="207"/>
        <v>0</v>
      </c>
      <c r="FN175" s="12" t="str">
        <f t="shared" si="208"/>
        <v>Education-Specific EBITDA Total Funding Support</v>
      </c>
    </row>
    <row r="176" spans="1:170" x14ac:dyDescent="0.35">
      <c r="A176" s="220" cm="1">
        <f t="array" aca="1" ref="A176" ca="1">HYPERLINK(CONCATENATE("#",CELL("address",IF(MAX($CM176:$CU176)=0,A176,INDEX($CM176:$CU176,MATCH(1,$CM176:$CU176,0))))),MAX($CM176:$CU176))</f>
        <v>0</v>
      </c>
      <c r="C176" s="308" t="str">
        <f>C$113</f>
        <v>IE-2a-9</v>
      </c>
      <c r="D176" s="57" t="str">
        <f>D$113</f>
        <v>FRS102 adj. - LGPS and EPP current service costs (non-cash)</v>
      </c>
      <c r="H176" s="120" t="str">
        <f>H$113</f>
        <v>+ve/-ve (Dr/Cr)</v>
      </c>
      <c r="Q176" s="2"/>
      <c r="V176" s="10">
        <f>V$113</f>
        <v>0</v>
      </c>
      <c r="W176" s="10">
        <f>W$113</f>
        <v>0</v>
      </c>
      <c r="X176" s="10">
        <f>X$113</f>
        <v>0</v>
      </c>
      <c r="Y176" s="10">
        <f>Y$113</f>
        <v>0</v>
      </c>
      <c r="AA176" s="10">
        <f t="shared" ref="AA176:BJ176" si="211">AA$113</f>
        <v>0</v>
      </c>
      <c r="AB176" s="10">
        <f t="shared" si="211"/>
        <v>0</v>
      </c>
      <c r="AC176" s="10">
        <f t="shared" si="211"/>
        <v>0</v>
      </c>
      <c r="AD176" s="10">
        <f t="shared" si="211"/>
        <v>0</v>
      </c>
      <c r="AE176" s="10">
        <f t="shared" si="211"/>
        <v>0</v>
      </c>
      <c r="AF176" s="10">
        <f t="shared" si="211"/>
        <v>0</v>
      </c>
      <c r="AG176" s="10">
        <f t="shared" si="211"/>
        <v>0</v>
      </c>
      <c r="AH176" s="10">
        <f t="shared" si="211"/>
        <v>0</v>
      </c>
      <c r="AI176" s="10">
        <f t="shared" si="211"/>
        <v>0</v>
      </c>
      <c r="AJ176" s="10">
        <f t="shared" si="211"/>
        <v>0</v>
      </c>
      <c r="AK176" s="10">
        <f t="shared" si="211"/>
        <v>0</v>
      </c>
      <c r="AL176" s="10">
        <f t="shared" si="211"/>
        <v>0</v>
      </c>
      <c r="AM176" s="10">
        <f t="shared" si="211"/>
        <v>0</v>
      </c>
      <c r="AN176" s="10">
        <f t="shared" si="211"/>
        <v>0</v>
      </c>
      <c r="AO176" s="10">
        <f t="shared" si="211"/>
        <v>0</v>
      </c>
      <c r="AP176" s="10">
        <f t="shared" si="211"/>
        <v>0</v>
      </c>
      <c r="AQ176" s="10">
        <f t="shared" si="211"/>
        <v>0</v>
      </c>
      <c r="AR176" s="10">
        <f t="shared" si="211"/>
        <v>0</v>
      </c>
      <c r="AS176" s="10">
        <f t="shared" si="211"/>
        <v>0</v>
      </c>
      <c r="AT176" s="10">
        <f t="shared" si="211"/>
        <v>0</v>
      </c>
      <c r="AU176" s="10">
        <f t="shared" si="211"/>
        <v>0</v>
      </c>
      <c r="AV176" s="10">
        <f t="shared" si="211"/>
        <v>0</v>
      </c>
      <c r="AW176" s="10">
        <f t="shared" si="211"/>
        <v>0</v>
      </c>
      <c r="AX176" s="10">
        <f t="shared" si="211"/>
        <v>0</v>
      </c>
      <c r="AY176" s="10">
        <f t="shared" si="211"/>
        <v>0</v>
      </c>
      <c r="AZ176" s="10">
        <f t="shared" si="211"/>
        <v>0</v>
      </c>
      <c r="BA176" s="10">
        <f t="shared" si="211"/>
        <v>0</v>
      </c>
      <c r="BB176" s="10">
        <f t="shared" si="211"/>
        <v>0</v>
      </c>
      <c r="BC176" s="10">
        <f t="shared" si="211"/>
        <v>0</v>
      </c>
      <c r="BD176" s="10">
        <f t="shared" si="211"/>
        <v>0</v>
      </c>
      <c r="BE176" s="10">
        <f t="shared" si="211"/>
        <v>0</v>
      </c>
      <c r="BF176" s="10">
        <f t="shared" si="211"/>
        <v>0</v>
      </c>
      <c r="BG176" s="10">
        <f t="shared" si="211"/>
        <v>0</v>
      </c>
      <c r="BH176" s="10">
        <f t="shared" si="211"/>
        <v>0</v>
      </c>
      <c r="BI176" s="10">
        <f t="shared" si="211"/>
        <v>0</v>
      </c>
      <c r="BJ176" s="10">
        <f t="shared" si="211"/>
        <v>0</v>
      </c>
      <c r="BX176" s="10">
        <f t="shared" ref="BX176:CI176" si="212">BX$113</f>
        <v>0</v>
      </c>
      <c r="BY176" s="10">
        <f t="shared" si="212"/>
        <v>0</v>
      </c>
      <c r="BZ176" s="10">
        <f t="shared" si="212"/>
        <v>0</v>
      </c>
      <c r="CA176" s="10">
        <f t="shared" si="212"/>
        <v>0</v>
      </c>
      <c r="CB176" s="10">
        <f t="shared" si="212"/>
        <v>0</v>
      </c>
      <c r="CC176" s="10">
        <f t="shared" si="212"/>
        <v>0</v>
      </c>
      <c r="CD176" s="10">
        <f t="shared" si="212"/>
        <v>0</v>
      </c>
      <c r="CE176" s="10">
        <f t="shared" si="212"/>
        <v>0</v>
      </c>
      <c r="CF176" s="10">
        <f t="shared" si="212"/>
        <v>0</v>
      </c>
      <c r="CG176" s="10">
        <f t="shared" si="212"/>
        <v>0</v>
      </c>
      <c r="CH176" s="10">
        <f t="shared" si="212"/>
        <v>0</v>
      </c>
      <c r="CI176" s="10">
        <f t="shared" si="212"/>
        <v>0</v>
      </c>
      <c r="CK176" s="11"/>
      <c r="CM176" s="11"/>
      <c r="CQ176" s="7">
        <f t="shared" si="200"/>
        <v>0</v>
      </c>
      <c r="CS176" s="7">
        <f t="shared" si="201"/>
        <v>0</v>
      </c>
      <c r="CT176" s="7">
        <f t="shared" si="202"/>
        <v>0</v>
      </c>
      <c r="CU176" s="11"/>
      <c r="CV176" s="215">
        <f t="shared" si="203"/>
        <v>0</v>
      </c>
      <c r="CW176" s="215">
        <f t="shared" si="203"/>
        <v>0</v>
      </c>
      <c r="CX176" s="215">
        <f t="shared" si="203"/>
        <v>0</v>
      </c>
      <c r="CY176" s="215">
        <f t="shared" si="204"/>
        <v>0</v>
      </c>
      <c r="CZ176" s="215">
        <f t="shared" si="205"/>
        <v>0</v>
      </c>
      <c r="DA176" s="215">
        <f t="shared" si="206"/>
        <v>0</v>
      </c>
      <c r="DB176" s="215">
        <f t="shared" si="207"/>
        <v>0</v>
      </c>
      <c r="FN176" s="12" t="str">
        <f t="shared" si="208"/>
        <v>Education-Specific EBITDA FRS102 adj. - LGPS and EPP current service costs (non-cash)</v>
      </c>
    </row>
    <row r="177" spans="1:170" x14ac:dyDescent="0.35">
      <c r="A177" s="220" cm="1">
        <f t="array" aca="1" ref="A177" ca="1">HYPERLINK(CONCATENATE("#",CELL("address",IF(MAX($CM177:$CU177)=0,A177,INDEX($CM177:$CU177,MATCH(1,$CM177:$CU177,0))))),MAX($CM177:$CU177))</f>
        <v>0</v>
      </c>
      <c r="C177" s="308" t="str">
        <f>C$143</f>
        <v>IE-4a</v>
      </c>
      <c r="D177" s="57" t="str">
        <f>D$143</f>
        <v>Release of Capital Grants</v>
      </c>
      <c r="H177" t="str">
        <f>H$143</f>
        <v>+ve/-ve (Cr/Dr)</v>
      </c>
      <c r="Q177" s="2"/>
      <c r="V177" s="10">
        <f>V$143</f>
        <v>0</v>
      </c>
      <c r="W177" s="10">
        <f>W$143</f>
        <v>0</v>
      </c>
      <c r="X177" s="10">
        <f>X$143</f>
        <v>0</v>
      </c>
      <c r="Y177" s="10">
        <f>Y$143</f>
        <v>0</v>
      </c>
      <c r="AA177" s="10">
        <f t="shared" ref="AA177:BJ177" si="213">AA$143</f>
        <v>0</v>
      </c>
      <c r="AB177" s="10">
        <f t="shared" si="213"/>
        <v>0</v>
      </c>
      <c r="AC177" s="10">
        <f t="shared" si="213"/>
        <v>0</v>
      </c>
      <c r="AD177" s="10">
        <f t="shared" si="213"/>
        <v>0</v>
      </c>
      <c r="AE177" s="10">
        <f t="shared" si="213"/>
        <v>0</v>
      </c>
      <c r="AF177" s="10">
        <f t="shared" si="213"/>
        <v>0</v>
      </c>
      <c r="AG177" s="10">
        <f t="shared" si="213"/>
        <v>0</v>
      </c>
      <c r="AH177" s="10">
        <f t="shared" si="213"/>
        <v>0</v>
      </c>
      <c r="AI177" s="10">
        <f t="shared" si="213"/>
        <v>0</v>
      </c>
      <c r="AJ177" s="10">
        <f t="shared" si="213"/>
        <v>0</v>
      </c>
      <c r="AK177" s="10">
        <f t="shared" si="213"/>
        <v>0</v>
      </c>
      <c r="AL177" s="10">
        <f t="shared" si="213"/>
        <v>0</v>
      </c>
      <c r="AM177" s="10">
        <f t="shared" si="213"/>
        <v>0</v>
      </c>
      <c r="AN177" s="10">
        <f t="shared" si="213"/>
        <v>0</v>
      </c>
      <c r="AO177" s="10">
        <f t="shared" si="213"/>
        <v>0</v>
      </c>
      <c r="AP177" s="10">
        <f t="shared" si="213"/>
        <v>0</v>
      </c>
      <c r="AQ177" s="10">
        <f t="shared" si="213"/>
        <v>0</v>
      </c>
      <c r="AR177" s="10">
        <f t="shared" si="213"/>
        <v>0</v>
      </c>
      <c r="AS177" s="10">
        <f t="shared" si="213"/>
        <v>0</v>
      </c>
      <c r="AT177" s="10">
        <f t="shared" si="213"/>
        <v>0</v>
      </c>
      <c r="AU177" s="10">
        <f t="shared" si="213"/>
        <v>0</v>
      </c>
      <c r="AV177" s="10">
        <f t="shared" si="213"/>
        <v>0</v>
      </c>
      <c r="AW177" s="10">
        <f t="shared" si="213"/>
        <v>0</v>
      </c>
      <c r="AX177" s="10">
        <f t="shared" si="213"/>
        <v>0</v>
      </c>
      <c r="AY177" s="10">
        <f t="shared" si="213"/>
        <v>0</v>
      </c>
      <c r="AZ177" s="10">
        <f t="shared" si="213"/>
        <v>0</v>
      </c>
      <c r="BA177" s="10">
        <f t="shared" si="213"/>
        <v>0</v>
      </c>
      <c r="BB177" s="10">
        <f t="shared" si="213"/>
        <v>0</v>
      </c>
      <c r="BC177" s="10">
        <f t="shared" si="213"/>
        <v>0</v>
      </c>
      <c r="BD177" s="10">
        <f t="shared" si="213"/>
        <v>0</v>
      </c>
      <c r="BE177" s="10">
        <f t="shared" si="213"/>
        <v>0</v>
      </c>
      <c r="BF177" s="10">
        <f t="shared" si="213"/>
        <v>0</v>
      </c>
      <c r="BG177" s="10">
        <f t="shared" si="213"/>
        <v>0</v>
      </c>
      <c r="BH177" s="10">
        <f t="shared" si="213"/>
        <v>0</v>
      </c>
      <c r="BI177" s="10">
        <f t="shared" si="213"/>
        <v>0</v>
      </c>
      <c r="BJ177" s="10">
        <f t="shared" si="213"/>
        <v>0</v>
      </c>
      <c r="BX177" s="10">
        <f t="shared" ref="BX177:CI177" si="214">BX$143</f>
        <v>0</v>
      </c>
      <c r="BY177" s="10">
        <f t="shared" si="214"/>
        <v>0</v>
      </c>
      <c r="BZ177" s="10">
        <f t="shared" si="214"/>
        <v>0</v>
      </c>
      <c r="CA177" s="10">
        <f t="shared" si="214"/>
        <v>0</v>
      </c>
      <c r="CB177" s="10">
        <f t="shared" si="214"/>
        <v>0</v>
      </c>
      <c r="CC177" s="10">
        <f t="shared" si="214"/>
        <v>0</v>
      </c>
      <c r="CD177" s="10">
        <f t="shared" si="214"/>
        <v>0</v>
      </c>
      <c r="CE177" s="10">
        <f t="shared" si="214"/>
        <v>0</v>
      </c>
      <c r="CF177" s="10">
        <f t="shared" si="214"/>
        <v>0</v>
      </c>
      <c r="CG177" s="10">
        <f t="shared" si="214"/>
        <v>0</v>
      </c>
      <c r="CH177" s="10">
        <f t="shared" si="214"/>
        <v>0</v>
      </c>
      <c r="CI177" s="10">
        <f t="shared" si="214"/>
        <v>0</v>
      </c>
      <c r="CK177" s="35"/>
      <c r="CM177" s="35"/>
      <c r="CQ177" s="7">
        <f t="shared" si="200"/>
        <v>0</v>
      </c>
      <c r="CS177" s="7">
        <f t="shared" si="201"/>
        <v>0</v>
      </c>
      <c r="CT177" s="7">
        <f t="shared" si="202"/>
        <v>0</v>
      </c>
      <c r="CU177" s="35"/>
      <c r="CV177" s="215">
        <f t="shared" si="203"/>
        <v>0</v>
      </c>
      <c r="CW177" s="215">
        <f t="shared" si="203"/>
        <v>0</v>
      </c>
      <c r="CX177" s="215">
        <f t="shared" si="203"/>
        <v>0</v>
      </c>
      <c r="CY177" s="215">
        <f t="shared" si="204"/>
        <v>0</v>
      </c>
      <c r="CZ177" s="215">
        <f t="shared" si="205"/>
        <v>0</v>
      </c>
      <c r="DA177" s="215">
        <f t="shared" si="206"/>
        <v>0</v>
      </c>
      <c r="DB177" s="215">
        <f t="shared" si="207"/>
        <v>0</v>
      </c>
      <c r="FN177" s="12" t="str">
        <f t="shared" si="208"/>
        <v>Education-Specific EBITDA Release of Capital Grants</v>
      </c>
    </row>
    <row r="178" spans="1:170" x14ac:dyDescent="0.35">
      <c r="A178" s="220" cm="1">
        <f t="array" aca="1" ref="A178" ca="1">HYPERLINK(CONCATENATE("#",CELL("address",IF(MAX($CM178:$CU178)=0,A178,INDEX($CM178:$CU178,MATCH(1,$CM178:$CU178,0))))),MAX($CM178:$CU178))</f>
        <v>0</v>
      </c>
      <c r="C178" s="308" t="str">
        <f>C$144</f>
        <v>IE-4b</v>
      </c>
      <c r="D178" s="57" t="str">
        <f>D$144</f>
        <v>Movement in holiday pay accrual</v>
      </c>
      <c r="H178" t="str">
        <f>H$144</f>
        <v>+ve/-ve (Dr/Cr)</v>
      </c>
      <c r="Q178" s="2"/>
      <c r="V178" s="10">
        <f>V$144</f>
        <v>0</v>
      </c>
      <c r="W178" s="10">
        <f>W$144</f>
        <v>0</v>
      </c>
      <c r="X178" s="10">
        <f>X$144</f>
        <v>0</v>
      </c>
      <c r="Y178" s="10">
        <f>Y$144</f>
        <v>0</v>
      </c>
      <c r="AA178" s="10">
        <f t="shared" ref="AA178:BV178" si="215">AA$144</f>
        <v>0</v>
      </c>
      <c r="AB178" s="10">
        <f t="shared" si="215"/>
        <v>0</v>
      </c>
      <c r="AC178" s="10">
        <f t="shared" si="215"/>
        <v>0</v>
      </c>
      <c r="AD178" s="10">
        <f t="shared" si="215"/>
        <v>0</v>
      </c>
      <c r="AE178" s="10">
        <f t="shared" si="215"/>
        <v>0</v>
      </c>
      <c r="AF178" s="10">
        <f t="shared" si="215"/>
        <v>0</v>
      </c>
      <c r="AG178" s="10">
        <f t="shared" si="215"/>
        <v>0</v>
      </c>
      <c r="AH178" s="10">
        <f t="shared" si="215"/>
        <v>0</v>
      </c>
      <c r="AI178" s="10">
        <f t="shared" si="215"/>
        <v>0</v>
      </c>
      <c r="AJ178" s="10">
        <f t="shared" si="215"/>
        <v>0</v>
      </c>
      <c r="AK178" s="10">
        <f t="shared" si="215"/>
        <v>0</v>
      </c>
      <c r="AL178" s="10">
        <f t="shared" si="215"/>
        <v>0</v>
      </c>
      <c r="AM178" s="10">
        <f t="shared" si="215"/>
        <v>0</v>
      </c>
      <c r="AN178" s="10">
        <f t="shared" si="215"/>
        <v>0</v>
      </c>
      <c r="AO178" s="10">
        <f t="shared" si="215"/>
        <v>0</v>
      </c>
      <c r="AP178" s="10">
        <f t="shared" si="215"/>
        <v>0</v>
      </c>
      <c r="AQ178" s="10">
        <f t="shared" si="215"/>
        <v>0</v>
      </c>
      <c r="AR178" s="10">
        <f t="shared" si="215"/>
        <v>0</v>
      </c>
      <c r="AS178" s="10">
        <f t="shared" si="215"/>
        <v>0</v>
      </c>
      <c r="AT178" s="10">
        <f t="shared" si="215"/>
        <v>0</v>
      </c>
      <c r="AU178" s="10">
        <f t="shared" si="215"/>
        <v>0</v>
      </c>
      <c r="AV178" s="10">
        <f t="shared" si="215"/>
        <v>0</v>
      </c>
      <c r="AW178" s="10">
        <f t="shared" si="215"/>
        <v>0</v>
      </c>
      <c r="AX178" s="10">
        <f t="shared" si="215"/>
        <v>0</v>
      </c>
      <c r="AY178" s="10">
        <f t="shared" si="215"/>
        <v>0</v>
      </c>
      <c r="AZ178" s="10">
        <f t="shared" si="215"/>
        <v>0</v>
      </c>
      <c r="BA178" s="10">
        <f t="shared" si="215"/>
        <v>0</v>
      </c>
      <c r="BB178" s="10">
        <f t="shared" si="215"/>
        <v>0</v>
      </c>
      <c r="BC178" s="10">
        <f t="shared" si="215"/>
        <v>0</v>
      </c>
      <c r="BD178" s="10">
        <f t="shared" si="215"/>
        <v>0</v>
      </c>
      <c r="BE178" s="10">
        <f t="shared" si="215"/>
        <v>0</v>
      </c>
      <c r="BF178" s="10">
        <f t="shared" si="215"/>
        <v>0</v>
      </c>
      <c r="BG178" s="10">
        <f t="shared" si="215"/>
        <v>0</v>
      </c>
      <c r="BH178" s="10">
        <f t="shared" si="215"/>
        <v>0</v>
      </c>
      <c r="BI178" s="10">
        <f t="shared" si="215"/>
        <v>0</v>
      </c>
      <c r="BJ178" s="10">
        <f t="shared" si="215"/>
        <v>0</v>
      </c>
      <c r="BK178" s="10">
        <f t="shared" si="215"/>
        <v>0</v>
      </c>
      <c r="BL178" s="10">
        <f t="shared" si="215"/>
        <v>0</v>
      </c>
      <c r="BM178" s="10">
        <f t="shared" si="215"/>
        <v>0</v>
      </c>
      <c r="BN178" s="10">
        <f t="shared" si="215"/>
        <v>0</v>
      </c>
      <c r="BO178" s="10">
        <f t="shared" si="215"/>
        <v>0</v>
      </c>
      <c r="BP178" s="10">
        <f t="shared" si="215"/>
        <v>0</v>
      </c>
      <c r="BQ178" s="10">
        <f t="shared" si="215"/>
        <v>0</v>
      </c>
      <c r="BR178" s="10">
        <f t="shared" si="215"/>
        <v>0</v>
      </c>
      <c r="BS178" s="10">
        <f t="shared" si="215"/>
        <v>0</v>
      </c>
      <c r="BT178" s="10">
        <f t="shared" si="215"/>
        <v>0</v>
      </c>
      <c r="BU178" s="10">
        <f t="shared" si="215"/>
        <v>0</v>
      </c>
      <c r="BV178" s="10">
        <f t="shared" si="215"/>
        <v>0</v>
      </c>
      <c r="BX178" s="10">
        <f t="shared" ref="BX178:CI178" si="216">BX$144</f>
        <v>0</v>
      </c>
      <c r="BY178" s="10">
        <f t="shared" si="216"/>
        <v>0</v>
      </c>
      <c r="BZ178" s="10">
        <f t="shared" si="216"/>
        <v>0</v>
      </c>
      <c r="CA178" s="10">
        <f t="shared" si="216"/>
        <v>0</v>
      </c>
      <c r="CB178" s="10">
        <f t="shared" si="216"/>
        <v>0</v>
      </c>
      <c r="CC178" s="10">
        <f t="shared" si="216"/>
        <v>0</v>
      </c>
      <c r="CD178" s="10">
        <f t="shared" si="216"/>
        <v>0</v>
      </c>
      <c r="CE178" s="10">
        <f t="shared" si="216"/>
        <v>0</v>
      </c>
      <c r="CF178" s="10">
        <f t="shared" si="216"/>
        <v>0</v>
      </c>
      <c r="CG178" s="10">
        <f t="shared" si="216"/>
        <v>0</v>
      </c>
      <c r="CH178" s="10">
        <f t="shared" si="216"/>
        <v>0</v>
      </c>
      <c r="CI178" s="10">
        <f t="shared" si="216"/>
        <v>0</v>
      </c>
      <c r="CK178" s="35"/>
      <c r="CM178" s="35"/>
      <c r="CQ178" s="7">
        <f t="shared" si="200"/>
        <v>0</v>
      </c>
      <c r="CS178" s="7">
        <f t="shared" si="201"/>
        <v>0</v>
      </c>
      <c r="CT178" s="7">
        <f t="shared" si="202"/>
        <v>0</v>
      </c>
      <c r="CU178" s="35"/>
      <c r="CV178" s="215">
        <f t="shared" si="203"/>
        <v>0</v>
      </c>
      <c r="CW178" s="215">
        <f t="shared" si="203"/>
        <v>0</v>
      </c>
      <c r="CX178" s="215">
        <f t="shared" si="203"/>
        <v>0</v>
      </c>
      <c r="CY178" s="215">
        <f t="shared" si="204"/>
        <v>0</v>
      </c>
      <c r="CZ178" s="215">
        <f t="shared" si="205"/>
        <v>0</v>
      </c>
      <c r="DA178" s="215">
        <f t="shared" si="206"/>
        <v>0</v>
      </c>
      <c r="DB178" s="215">
        <f t="shared" si="207"/>
        <v>0</v>
      </c>
      <c r="FN178" s="12" t="str">
        <f t="shared" si="208"/>
        <v>Education-Specific EBITDA Movement in holiday pay accrual</v>
      </c>
    </row>
    <row r="179" spans="1:170" x14ac:dyDescent="0.35">
      <c r="A179" s="220" cm="1">
        <f t="array" aca="1" ref="A179" ca="1">HYPERLINK(CONCATENATE("#",CELL("address",IF(MAX($CM179:$CU179)=0,A179,INDEX($CM179:$CU179,MATCH(1,$CM179:$CU179,0))))),MAX($CM179:$CU179))</f>
        <v>0</v>
      </c>
      <c r="C179" s="308" t="str">
        <f>C$100</f>
        <v>IE-1j</v>
      </c>
      <c r="D179" s="57" t="str">
        <f>D$100</f>
        <v>Total gifts and donated assets</v>
      </c>
      <c r="H179" t="str">
        <f>H$100</f>
        <v>+ve/-ve (Cr/Dr)</v>
      </c>
      <c r="Q179" s="2"/>
      <c r="V179" s="10">
        <f>V$100</f>
        <v>0</v>
      </c>
      <c r="W179" s="10">
        <f>W$100</f>
        <v>0</v>
      </c>
      <c r="X179" s="10">
        <f>X$100</f>
        <v>0</v>
      </c>
      <c r="Y179" s="10">
        <f>Y$100</f>
        <v>0</v>
      </c>
      <c r="AA179" s="10">
        <f t="shared" ref="AA179:BJ179" si="217">AA$100</f>
        <v>0</v>
      </c>
      <c r="AB179" s="10">
        <f t="shared" si="217"/>
        <v>0</v>
      </c>
      <c r="AC179" s="10">
        <f t="shared" si="217"/>
        <v>0</v>
      </c>
      <c r="AD179" s="10">
        <f t="shared" si="217"/>
        <v>0</v>
      </c>
      <c r="AE179" s="10">
        <f t="shared" si="217"/>
        <v>0</v>
      </c>
      <c r="AF179" s="10">
        <f t="shared" si="217"/>
        <v>0</v>
      </c>
      <c r="AG179" s="10">
        <f t="shared" si="217"/>
        <v>0</v>
      </c>
      <c r="AH179" s="10">
        <f t="shared" si="217"/>
        <v>0</v>
      </c>
      <c r="AI179" s="10">
        <f t="shared" si="217"/>
        <v>0</v>
      </c>
      <c r="AJ179" s="10">
        <f t="shared" si="217"/>
        <v>0</v>
      </c>
      <c r="AK179" s="10">
        <f t="shared" si="217"/>
        <v>0</v>
      </c>
      <c r="AL179" s="10">
        <f t="shared" si="217"/>
        <v>0</v>
      </c>
      <c r="AM179" s="10">
        <f t="shared" si="217"/>
        <v>0</v>
      </c>
      <c r="AN179" s="10">
        <f t="shared" si="217"/>
        <v>0</v>
      </c>
      <c r="AO179" s="10">
        <f t="shared" si="217"/>
        <v>0</v>
      </c>
      <c r="AP179" s="10">
        <f t="shared" si="217"/>
        <v>0</v>
      </c>
      <c r="AQ179" s="10">
        <f t="shared" si="217"/>
        <v>0</v>
      </c>
      <c r="AR179" s="10">
        <f t="shared" si="217"/>
        <v>0</v>
      </c>
      <c r="AS179" s="10">
        <f t="shared" si="217"/>
        <v>0</v>
      </c>
      <c r="AT179" s="10">
        <f t="shared" si="217"/>
        <v>0</v>
      </c>
      <c r="AU179" s="10">
        <f t="shared" si="217"/>
        <v>0</v>
      </c>
      <c r="AV179" s="10">
        <f t="shared" si="217"/>
        <v>0</v>
      </c>
      <c r="AW179" s="10">
        <f t="shared" si="217"/>
        <v>0</v>
      </c>
      <c r="AX179" s="10">
        <f t="shared" si="217"/>
        <v>0</v>
      </c>
      <c r="AY179" s="10">
        <f t="shared" si="217"/>
        <v>0</v>
      </c>
      <c r="AZ179" s="10">
        <f t="shared" si="217"/>
        <v>0</v>
      </c>
      <c r="BA179" s="10">
        <f t="shared" si="217"/>
        <v>0</v>
      </c>
      <c r="BB179" s="10">
        <f t="shared" si="217"/>
        <v>0</v>
      </c>
      <c r="BC179" s="10">
        <f t="shared" si="217"/>
        <v>0</v>
      </c>
      <c r="BD179" s="10">
        <f t="shared" si="217"/>
        <v>0</v>
      </c>
      <c r="BE179" s="10">
        <f t="shared" si="217"/>
        <v>0</v>
      </c>
      <c r="BF179" s="10">
        <f t="shared" si="217"/>
        <v>0</v>
      </c>
      <c r="BG179" s="10">
        <f t="shared" si="217"/>
        <v>0</v>
      </c>
      <c r="BH179" s="10">
        <f t="shared" si="217"/>
        <v>0</v>
      </c>
      <c r="BI179" s="10">
        <f t="shared" si="217"/>
        <v>0</v>
      </c>
      <c r="BJ179" s="10">
        <f t="shared" si="217"/>
        <v>0</v>
      </c>
      <c r="BX179" s="10">
        <f t="shared" ref="BX179:CI179" si="218">BX$100</f>
        <v>0</v>
      </c>
      <c r="BY179" s="10">
        <f t="shared" si="218"/>
        <v>0</v>
      </c>
      <c r="BZ179" s="10">
        <f t="shared" si="218"/>
        <v>0</v>
      </c>
      <c r="CA179" s="10">
        <f t="shared" si="218"/>
        <v>0</v>
      </c>
      <c r="CB179" s="10">
        <f t="shared" si="218"/>
        <v>0</v>
      </c>
      <c r="CC179" s="10">
        <f t="shared" si="218"/>
        <v>0</v>
      </c>
      <c r="CD179" s="10">
        <f t="shared" si="218"/>
        <v>0</v>
      </c>
      <c r="CE179" s="10">
        <f t="shared" si="218"/>
        <v>0</v>
      </c>
      <c r="CF179" s="10">
        <f t="shared" si="218"/>
        <v>0</v>
      </c>
      <c r="CG179" s="10">
        <f t="shared" si="218"/>
        <v>0</v>
      </c>
      <c r="CH179" s="10">
        <f t="shared" si="218"/>
        <v>0</v>
      </c>
      <c r="CI179" s="10">
        <f t="shared" si="218"/>
        <v>0</v>
      </c>
      <c r="CK179" s="11"/>
      <c r="CM179" s="11"/>
      <c r="CQ179" s="7">
        <f t="shared" si="200"/>
        <v>0</v>
      </c>
      <c r="CS179" s="7">
        <f t="shared" si="201"/>
        <v>0</v>
      </c>
      <c r="CT179" s="7">
        <f t="shared" si="202"/>
        <v>0</v>
      </c>
      <c r="CU179" s="11"/>
      <c r="CV179" s="215">
        <f t="shared" si="203"/>
        <v>0</v>
      </c>
      <c r="CW179" s="215">
        <f t="shared" si="203"/>
        <v>0</v>
      </c>
      <c r="CX179" s="215">
        <f t="shared" si="203"/>
        <v>0</v>
      </c>
      <c r="CY179" s="215">
        <f t="shared" si="204"/>
        <v>0</v>
      </c>
      <c r="CZ179" s="215">
        <f t="shared" si="205"/>
        <v>0</v>
      </c>
      <c r="DA179" s="215">
        <f t="shared" si="206"/>
        <v>0</v>
      </c>
      <c r="DB179" s="215">
        <f t="shared" si="207"/>
        <v>0</v>
      </c>
      <c r="FN179" s="12" t="str">
        <f t="shared" si="208"/>
        <v>Education-Specific EBITDA Total gifts and donated assets</v>
      </c>
    </row>
    <row r="180" spans="1:170" ht="29" x14ac:dyDescent="0.35">
      <c r="A180" s="220" cm="1">
        <f t="array" aca="1" ref="A180" ca="1">HYPERLINK(CONCATENATE("#",CELL("address",IF(MAX($CM180:$CU180)=0,A180,INDEX($CM180:$CU180,MATCH(1,$CM180:$CU180,0))))),MAX($CM180:$CU180))</f>
        <v>0</v>
      </c>
      <c r="C180" s="211" t="s">
        <v>600</v>
      </c>
      <c r="D180" s="574" t="s">
        <v>459</v>
      </c>
      <c r="E180" s="114"/>
      <c r="F180" s="79" t="str" cm="1">
        <f t="array" aca="1" ref="F180" ca="1">IF(E180="", "", HYPERLINK(CONCATENATE("#",CELL("address",INDEX('I&amp;E Profiles'!$D$9:$D$93,'I&amp;E Annual'!I180))),E180))</f>
        <v/>
      </c>
      <c r="G180" s="114"/>
      <c r="H180" s="9" t="s">
        <v>403</v>
      </c>
      <c r="I180" s="132" t="str">
        <f>IF(E180="", "", MATCH(E180, 'I&amp;E Profiles'!$D$96:$D$180,0))</f>
        <v/>
      </c>
      <c r="J180" s="133">
        <f>IF($G180=$G$7, W180,'I&amp;E Monthly'!W180)-SUMIFS('I&amp;E Monthly'!$AA180:$BJ180, 'I&amp;E Monthly'!$AA$3:$BJ$3, 'I&amp;E Annual'!W$3, 'I&amp;E Monthly'!$AA$4:$BJ$4, 0)</f>
        <v>0</v>
      </c>
      <c r="K180" s="133">
        <f>IF($G180=$G$7, X180,'I&amp;E Monthly'!X180)-SUMIFS('I&amp;E Monthly'!$AA180:$BJ180, 'I&amp;E Monthly'!$AA$3:$BJ$3, 'I&amp;E Annual'!X$3, 'I&amp;E Monthly'!$AA$4:$BJ$4, 0)</f>
        <v>0</v>
      </c>
      <c r="L180" s="133">
        <f>IF($G180=$G$7, Y180,'I&amp;E Monthly'!Y180)-SUMIFS('I&amp;E Monthly'!$AA180:$BJ180, 'I&amp;E Monthly'!$AA$3:$BJ$3, 'I&amp;E Annual'!Y$3, 'I&amp;E Monthly'!$AA$4:$BJ$4, 0)</f>
        <v>0</v>
      </c>
      <c r="Q180" s="2"/>
      <c r="V180" s="133">
        <f>'I&amp;E Monthly'!V180</f>
        <v>0</v>
      </c>
      <c r="W180" s="114"/>
      <c r="X180" s="131"/>
      <c r="Y180" s="131"/>
      <c r="AA180" s="10" cm="1">
        <f t="array" ref="AA180">IF(OR(AA$4=0, $G180&lt;&gt; $G$7, $E180=0), 'I&amp;E Monthly'!AA180, CHOOSE(Timeline!AA$30,$J180,$K180,$L180 )*INDEX('I&amp;E Profiles'!AA$96:AA$180,$I180))</f>
        <v>0</v>
      </c>
      <c r="AB180" s="10" cm="1">
        <f t="array" ref="AB180">IF(OR(AB$4=0, $G180&lt;&gt; $G$7, $E180=0), 'I&amp;E Monthly'!AB180, CHOOSE(Timeline!AB$30,$J180,$K180,$L180 )*INDEX('I&amp;E Profiles'!AB$96:AB$180,$I180))</f>
        <v>0</v>
      </c>
      <c r="AC180" s="10" cm="1">
        <f t="array" ref="AC180">IF(OR(AC$4=0, $G180&lt;&gt; $G$7, $E180=0), 'I&amp;E Monthly'!AC180, CHOOSE(Timeline!AC$30,$J180,$K180,$L180 )*INDEX('I&amp;E Profiles'!AC$96:AC$180,$I180))</f>
        <v>0</v>
      </c>
      <c r="AD180" s="10" cm="1">
        <f t="array" ref="AD180">IF(OR(AD$4=0, $G180&lt;&gt; $G$7, $E180=0), 'I&amp;E Monthly'!AD180, CHOOSE(Timeline!AD$30,$J180,$K180,$L180 )*INDEX('I&amp;E Profiles'!AD$96:AD$180,$I180))</f>
        <v>0</v>
      </c>
      <c r="AE180" s="10" cm="1">
        <f t="array" ref="AE180">IF(OR(AE$4=0, $G180&lt;&gt; $G$7, $E180=0), 'I&amp;E Monthly'!AE180, CHOOSE(Timeline!AE$30,$J180,$K180,$L180 )*INDEX('I&amp;E Profiles'!AE$96:AE$180,$I180))</f>
        <v>0</v>
      </c>
      <c r="AF180" s="10" cm="1">
        <f t="array" ref="AF180">IF(OR(AF$4=0, $G180&lt;&gt; $G$7, $E180=0), 'I&amp;E Monthly'!AF180, CHOOSE(Timeline!AF$30,$J180,$K180,$L180 )*INDEX('I&amp;E Profiles'!AF$96:AF$180,$I180))</f>
        <v>0</v>
      </c>
      <c r="AG180" s="10" cm="1">
        <f t="array" ref="AG180">IF(OR(AG$4=0, $G180&lt;&gt; $G$7, $E180=0), 'I&amp;E Monthly'!AG180, CHOOSE(Timeline!AG$30,$J180,$K180,$L180 )*INDEX('I&amp;E Profiles'!AG$96:AG$180,$I180))</f>
        <v>0</v>
      </c>
      <c r="AH180" s="10" cm="1">
        <f t="array" ref="AH180">IF(OR(AH$4=0, $G180&lt;&gt; $G$7, $E180=0), 'I&amp;E Monthly'!AH180, CHOOSE(Timeline!AH$30,$J180,$K180,$L180 )*INDEX('I&amp;E Profiles'!AH$96:AH$180,$I180))</f>
        <v>0</v>
      </c>
      <c r="AI180" s="10" cm="1">
        <f t="array" ref="AI180">IF(OR(AI$4=0, $G180&lt;&gt; $G$7, $E180=0), 'I&amp;E Monthly'!AI180, CHOOSE(Timeline!AI$30,$J180,$K180,$L180 )*INDEX('I&amp;E Profiles'!AI$96:AI$180,$I180))</f>
        <v>0</v>
      </c>
      <c r="AJ180" s="10" cm="1">
        <f t="array" ref="AJ180">IF(OR(AJ$4=0, $G180&lt;&gt; $G$7, $E180=0), 'I&amp;E Monthly'!AJ180, CHOOSE(Timeline!AJ$30,$J180,$K180,$L180 )*INDEX('I&amp;E Profiles'!AJ$96:AJ$180,$I180))</f>
        <v>0</v>
      </c>
      <c r="AK180" s="10" cm="1">
        <f t="array" ref="AK180">IF(OR(AK$4=0, $G180&lt;&gt; $G$7, $E180=0), 'I&amp;E Monthly'!AK180, CHOOSE(Timeline!AK$30,$J180,$K180,$L180 )*INDEX('I&amp;E Profiles'!AK$96:AK$180,$I180))</f>
        <v>0</v>
      </c>
      <c r="AL180" s="10" cm="1">
        <f t="array" ref="AL180">IF(OR(AL$4=0, $G180&lt;&gt; $G$7, $E180=0), 'I&amp;E Monthly'!AL180, CHOOSE(Timeline!AL$30,$J180,$K180,$L180 )*INDEX('I&amp;E Profiles'!AL$96:AL$180,$I180))</f>
        <v>0</v>
      </c>
      <c r="AM180" s="10" cm="1">
        <f t="array" ref="AM180">IF(OR(AM$4=0, $G180&lt;&gt; $G$7, $E180=0), 'I&amp;E Monthly'!AM180, CHOOSE(Timeline!AM$30,$J180,$K180,$L180 )*INDEX('I&amp;E Profiles'!AM$96:AM$180,$I180))</f>
        <v>0</v>
      </c>
      <c r="AN180" s="10" cm="1">
        <f t="array" ref="AN180">IF(OR(AN$4=0, $G180&lt;&gt; $G$7, $E180=0), 'I&amp;E Monthly'!AN180, CHOOSE(Timeline!AN$30,$J180,$K180,$L180 )*INDEX('I&amp;E Profiles'!AN$96:AN$180,$I180))</f>
        <v>0</v>
      </c>
      <c r="AO180" s="10" cm="1">
        <f t="array" ref="AO180">IF(OR(AO$4=0, $G180&lt;&gt; $G$7, $E180=0), 'I&amp;E Monthly'!AO180, CHOOSE(Timeline!AO$30,$J180,$K180,$L180 )*INDEX('I&amp;E Profiles'!AO$96:AO$180,$I180))</f>
        <v>0</v>
      </c>
      <c r="AP180" s="10" cm="1">
        <f t="array" ref="AP180">IF(OR(AP$4=0, $G180&lt;&gt; $G$7, $E180=0), 'I&amp;E Monthly'!AP180, CHOOSE(Timeline!AP$30,$J180,$K180,$L180 )*INDEX('I&amp;E Profiles'!AP$96:AP$180,$I180))</f>
        <v>0</v>
      </c>
      <c r="AQ180" s="10" cm="1">
        <f t="array" ref="AQ180">IF(OR(AQ$4=0, $G180&lt;&gt; $G$7, $E180=0), 'I&amp;E Monthly'!AQ180, CHOOSE(Timeline!AQ$30,$J180,$K180,$L180 )*INDEX('I&amp;E Profiles'!AQ$96:AQ$180,$I180))</f>
        <v>0</v>
      </c>
      <c r="AR180" s="10" cm="1">
        <f t="array" ref="AR180">IF(OR(AR$4=0, $G180&lt;&gt; $G$7, $E180=0), 'I&amp;E Monthly'!AR180, CHOOSE(Timeline!AR$30,$J180,$K180,$L180 )*INDEX('I&amp;E Profiles'!AR$96:AR$180,$I180))</f>
        <v>0</v>
      </c>
      <c r="AS180" s="10" cm="1">
        <f t="array" ref="AS180">IF(OR(AS$4=0, $G180&lt;&gt; $G$7, $E180=0), 'I&amp;E Monthly'!AS180, CHOOSE(Timeline!AS$30,$J180,$K180,$L180 )*INDEX('I&amp;E Profiles'!AS$96:AS$180,$I180))</f>
        <v>0</v>
      </c>
      <c r="AT180" s="10" cm="1">
        <f t="array" ref="AT180">IF(OR(AT$4=0, $G180&lt;&gt; $G$7, $E180=0), 'I&amp;E Monthly'!AT180, CHOOSE(Timeline!AT$30,$J180,$K180,$L180 )*INDEX('I&amp;E Profiles'!AT$96:AT$180,$I180))</f>
        <v>0</v>
      </c>
      <c r="AU180" s="10" cm="1">
        <f t="array" ref="AU180">IF(OR(AU$4=0, $G180&lt;&gt; $G$7, $E180=0), 'I&amp;E Monthly'!AU180, CHOOSE(Timeline!AU$30,$J180,$K180,$L180 )*INDEX('I&amp;E Profiles'!AU$96:AU$180,$I180))</f>
        <v>0</v>
      </c>
      <c r="AV180" s="10" cm="1">
        <f t="array" ref="AV180">IF(OR(AV$4=0, $G180&lt;&gt; $G$7, $E180=0), 'I&amp;E Monthly'!AV180, CHOOSE(Timeline!AV$30,$J180,$K180,$L180 )*INDEX('I&amp;E Profiles'!AV$96:AV$180,$I180))</f>
        <v>0</v>
      </c>
      <c r="AW180" s="10" cm="1">
        <f t="array" ref="AW180">IF(OR(AW$4=0, $G180&lt;&gt; $G$7, $E180=0), 'I&amp;E Monthly'!AW180, CHOOSE(Timeline!AW$30,$J180,$K180,$L180 )*INDEX('I&amp;E Profiles'!AW$96:AW$180,$I180))</f>
        <v>0</v>
      </c>
      <c r="AX180" s="10" cm="1">
        <f t="array" ref="AX180">IF(OR(AX$4=0, $G180&lt;&gt; $G$7, $E180=0), 'I&amp;E Monthly'!AX180, CHOOSE(Timeline!AX$30,$J180,$K180,$L180 )*INDEX('I&amp;E Profiles'!AX$96:AX$180,$I180))</f>
        <v>0</v>
      </c>
      <c r="AY180" s="10" cm="1">
        <f t="array" ref="AY180">IF(OR(AY$4=0, $G180&lt;&gt; $G$7, $E180=0), 'I&amp;E Monthly'!AY180, CHOOSE(Timeline!AY$30,$J180,$K180,$L180 )*INDEX('I&amp;E Profiles'!AY$96:AY$180,$I180))</f>
        <v>0</v>
      </c>
      <c r="AZ180" s="10" cm="1">
        <f t="array" ref="AZ180">IF(OR(AZ$4=0, $G180&lt;&gt; $G$7, $E180=0), 'I&amp;E Monthly'!AZ180, CHOOSE(Timeline!AZ$30,$J180,$K180,$L180 )*INDEX('I&amp;E Profiles'!AZ$96:AZ$180,$I180))</f>
        <v>0</v>
      </c>
      <c r="BA180" s="10" cm="1">
        <f t="array" ref="BA180">IF(OR(BA$4=0, $G180&lt;&gt; $G$7, $E180=0), 'I&amp;E Monthly'!BA180, CHOOSE(Timeline!BA$30,$J180,$K180,$L180 )*INDEX('I&amp;E Profiles'!BA$96:BA$180,$I180))</f>
        <v>0</v>
      </c>
      <c r="BB180" s="10" cm="1">
        <f t="array" ref="BB180">IF(OR(BB$4=0, $G180&lt;&gt; $G$7, $E180=0), 'I&amp;E Monthly'!BB180, CHOOSE(Timeline!BB$30,$J180,$K180,$L180 )*INDEX('I&amp;E Profiles'!BB$96:BB$180,$I180))</f>
        <v>0</v>
      </c>
      <c r="BC180" s="10" cm="1">
        <f t="array" ref="BC180">IF(OR(BC$4=0, $G180&lt;&gt; $G$7, $E180=0), 'I&amp;E Monthly'!BC180, CHOOSE(Timeline!BC$30,$J180,$K180,$L180 )*INDEX('I&amp;E Profiles'!BC$96:BC$180,$I180))</f>
        <v>0</v>
      </c>
      <c r="BD180" s="10" cm="1">
        <f t="array" ref="BD180">IF(OR(BD$4=0, $G180&lt;&gt; $G$7, $E180=0), 'I&amp;E Monthly'!BD180, CHOOSE(Timeline!BD$30,$J180,$K180,$L180 )*INDEX('I&amp;E Profiles'!BD$96:BD$180,$I180))</f>
        <v>0</v>
      </c>
      <c r="BE180" s="10" cm="1">
        <f t="array" ref="BE180">IF(OR(BE$4=0, $G180&lt;&gt; $G$7, $E180=0), 'I&amp;E Monthly'!BE180, CHOOSE(Timeline!BE$30,$J180,$K180,$L180 )*INDEX('I&amp;E Profiles'!BE$96:BE$180,$I180))</f>
        <v>0</v>
      </c>
      <c r="BF180" s="10" cm="1">
        <f t="array" ref="BF180">IF(OR(BF$4=0, $G180&lt;&gt; $G$7, $E180=0), 'I&amp;E Monthly'!BF180, CHOOSE(Timeline!BF$30,$J180,$K180,$L180 )*INDEX('I&amp;E Profiles'!BF$96:BF$180,$I180))</f>
        <v>0</v>
      </c>
      <c r="BG180" s="10" cm="1">
        <f t="array" ref="BG180">IF(OR(BG$4=0, $G180&lt;&gt; $G$7, $E180=0), 'I&amp;E Monthly'!BG180, CHOOSE(Timeline!BG$30,$J180,$K180,$L180 )*INDEX('I&amp;E Profiles'!BG$96:BG$180,$I180))</f>
        <v>0</v>
      </c>
      <c r="BH180" s="10" cm="1">
        <f t="array" ref="BH180">IF(OR(BH$4=0, $G180&lt;&gt; $G$7, $E180=0), 'I&amp;E Monthly'!BH180, CHOOSE(Timeline!BH$30,$J180,$K180,$L180 )*INDEX('I&amp;E Profiles'!BH$96:BH$180,$I180))</f>
        <v>0</v>
      </c>
      <c r="BI180" s="10" cm="1">
        <f t="array" ref="BI180">IF(OR(BI$4=0, $G180&lt;&gt; $G$7, $E180=0), 'I&amp;E Monthly'!BI180, CHOOSE(Timeline!BI$30,$J180,$K180,$L180 )*INDEX('I&amp;E Profiles'!BI$96:BI$180,$I180))</f>
        <v>0</v>
      </c>
      <c r="BJ180" s="10" cm="1">
        <f t="array" ref="BJ180">IF(OR(BJ$4=0, $G180&lt;&gt; $G$7, $E180=0), 'I&amp;E Monthly'!BJ180, CHOOSE(Timeline!BJ$30,$J180,$K180,$L180 )*INDEX('I&amp;E Profiles'!BJ$96:BJ$180,$I180))</f>
        <v>0</v>
      </c>
      <c r="BX180" s="12">
        <f>V180</f>
        <v>0</v>
      </c>
      <c r="BY180" s="10">
        <f>SUMIFS($AA180:$BJ180, $AA$3:$BJ$3,BY$3)</f>
        <v>0</v>
      </c>
      <c r="BZ180" s="10">
        <f>SUMIFS($AA180:$BJ180, $AA$3:$BJ$3,BZ$3)</f>
        <v>0</v>
      </c>
      <c r="CA180" s="10">
        <f>SUMIFS($AA180:$BJ180, $AA$3:$BJ$3,CA$3)</f>
        <v>0</v>
      </c>
      <c r="CB180" s="12">
        <f>'I&amp;E Monthly'!CB180</f>
        <v>0</v>
      </c>
      <c r="CC180" s="12">
        <f>'I&amp;E Monthly'!CC180</f>
        <v>0</v>
      </c>
      <c r="CD180" s="12">
        <f>'I&amp;E Monthly'!CD180</f>
        <v>0</v>
      </c>
      <c r="CE180" s="12">
        <f>'I&amp;E Monthly'!CE180</f>
        <v>0</v>
      </c>
      <c r="CF180" s="12">
        <f>'I&amp;E Monthly'!CF180</f>
        <v>0</v>
      </c>
      <c r="CG180" s="12">
        <f>'I&amp;E Monthly'!CG180</f>
        <v>0</v>
      </c>
      <c r="CH180" s="12">
        <f>'I&amp;E Monthly'!CH180</f>
        <v>0</v>
      </c>
      <c r="CI180" s="12">
        <f>'I&amp;E Monthly'!CI180</f>
        <v>0</v>
      </c>
      <c r="CK180" s="11"/>
      <c r="CL180" s="221">
        <f ca="1">IF(MIN($V180:$CI180)&lt;0, 1, 0)*$I$7</f>
        <v>0</v>
      </c>
      <c r="CM180" s="11"/>
      <c r="CN180" s="7">
        <f>IF(AND($G180=$G$7,$E180=""), 1, 0)</f>
        <v>0</v>
      </c>
      <c r="CO180" s="7" cm="1">
        <f t="array" ref="CO180">SUMPRODUCT(--NOT(ISNUMBER(W180:Y180)),--NOT(ISBLANK(W180:Y180)))</f>
        <v>0</v>
      </c>
      <c r="CP180" s="7" cm="1">
        <f t="array" ref="CP180">IF(E180="",0, IF(IFERROR(INDEX('I&amp;E Profiles'!$D$96:$D$180, $I180), "N/A")="N/A", 1, 0))</f>
        <v>0</v>
      </c>
      <c r="CQ180" s="7">
        <f t="shared" si="200"/>
        <v>0</v>
      </c>
      <c r="CS180" s="7">
        <f t="shared" si="201"/>
        <v>0</v>
      </c>
      <c r="CT180" s="7">
        <f t="shared" si="202"/>
        <v>0</v>
      </c>
      <c r="CU180" s="11"/>
      <c r="CV180" s="215">
        <f t="shared" si="203"/>
        <v>0</v>
      </c>
      <c r="CW180" s="215">
        <f t="shared" si="203"/>
        <v>0</v>
      </c>
      <c r="CX180" s="215">
        <f t="shared" si="203"/>
        <v>0</v>
      </c>
      <c r="CY180" s="215">
        <f t="shared" si="204"/>
        <v>0</v>
      </c>
      <c r="CZ180" s="215">
        <f t="shared" si="205"/>
        <v>0</v>
      </c>
      <c r="DA180" s="215">
        <f t="shared" si="206"/>
        <v>0</v>
      </c>
      <c r="DB180" s="215">
        <f t="shared" si="207"/>
        <v>0</v>
      </c>
      <c r="FN180" s="10" t="str">
        <f>IF($C180="","",$D180)</f>
        <v>Emergency Funding and Other Government Support Related Expenditure</v>
      </c>
    </row>
    <row r="181" spans="1:170" x14ac:dyDescent="0.35">
      <c r="A181" s="220" cm="1">
        <f t="array" aca="1" ref="A181" ca="1">HYPERLINK(CONCATENATE("#",CELL("address",IF(MAX($CM181:$CU181)=0,A181,INDEX($CM181:$CU181,MATCH(1,$CM181:$CU181,0))))),MAX($CM181:$CU181))</f>
        <v>0</v>
      </c>
      <c r="C181" s="308" t="s">
        <v>601</v>
      </c>
      <c r="D181" s="61" t="s">
        <v>460</v>
      </c>
      <c r="E181" s="5"/>
      <c r="F181" s="5"/>
      <c r="G181" s="5"/>
      <c r="H181" s="5" t="s">
        <v>317</v>
      </c>
      <c r="Q181" s="2"/>
      <c r="V181" s="12">
        <f>V174-V175+V176-V177+V178-V179+V180</f>
        <v>0</v>
      </c>
      <c r="W181" s="12">
        <f>W174-W175+W176-W177+W178-W179+W180</f>
        <v>0</v>
      </c>
      <c r="X181" s="12">
        <f>X174-X175+X176-X177+X178-X179+X180</f>
        <v>0</v>
      </c>
      <c r="Y181" s="12">
        <f>Y174-Y175+Y176-Y177+Y178-Y179+Y180</f>
        <v>0</v>
      </c>
      <c r="AA181" s="12">
        <f t="shared" ref="AA181:BJ181" si="219">AA174-AA175+AA176-AA177+AA178-AA179+AA180</f>
        <v>0</v>
      </c>
      <c r="AB181" s="12">
        <f t="shared" si="219"/>
        <v>0</v>
      </c>
      <c r="AC181" s="12">
        <f t="shared" si="219"/>
        <v>0</v>
      </c>
      <c r="AD181" s="12">
        <f t="shared" si="219"/>
        <v>0</v>
      </c>
      <c r="AE181" s="12">
        <f t="shared" si="219"/>
        <v>0</v>
      </c>
      <c r="AF181" s="12">
        <f t="shared" si="219"/>
        <v>0</v>
      </c>
      <c r="AG181" s="12">
        <f t="shared" si="219"/>
        <v>0</v>
      </c>
      <c r="AH181" s="12">
        <f t="shared" si="219"/>
        <v>0</v>
      </c>
      <c r="AI181" s="12">
        <f t="shared" si="219"/>
        <v>0</v>
      </c>
      <c r="AJ181" s="12">
        <f t="shared" si="219"/>
        <v>0</v>
      </c>
      <c r="AK181" s="12">
        <f t="shared" si="219"/>
        <v>0</v>
      </c>
      <c r="AL181" s="12">
        <f t="shared" si="219"/>
        <v>0</v>
      </c>
      <c r="AM181" s="12">
        <f t="shared" si="219"/>
        <v>0</v>
      </c>
      <c r="AN181" s="12">
        <f t="shared" si="219"/>
        <v>0</v>
      </c>
      <c r="AO181" s="12">
        <f t="shared" si="219"/>
        <v>0</v>
      </c>
      <c r="AP181" s="12">
        <f t="shared" si="219"/>
        <v>0</v>
      </c>
      <c r="AQ181" s="12">
        <f t="shared" si="219"/>
        <v>0</v>
      </c>
      <c r="AR181" s="12">
        <f t="shared" si="219"/>
        <v>0</v>
      </c>
      <c r="AS181" s="12">
        <f t="shared" si="219"/>
        <v>0</v>
      </c>
      <c r="AT181" s="12">
        <f t="shared" si="219"/>
        <v>0</v>
      </c>
      <c r="AU181" s="12">
        <f t="shared" si="219"/>
        <v>0</v>
      </c>
      <c r="AV181" s="12">
        <f t="shared" si="219"/>
        <v>0</v>
      </c>
      <c r="AW181" s="12">
        <f t="shared" si="219"/>
        <v>0</v>
      </c>
      <c r="AX181" s="12">
        <f t="shared" si="219"/>
        <v>0</v>
      </c>
      <c r="AY181" s="12">
        <f t="shared" si="219"/>
        <v>0</v>
      </c>
      <c r="AZ181" s="12">
        <f t="shared" si="219"/>
        <v>0</v>
      </c>
      <c r="BA181" s="12">
        <f t="shared" si="219"/>
        <v>0</v>
      </c>
      <c r="BB181" s="12">
        <f t="shared" si="219"/>
        <v>0</v>
      </c>
      <c r="BC181" s="12">
        <f t="shared" si="219"/>
        <v>0</v>
      </c>
      <c r="BD181" s="12">
        <f t="shared" si="219"/>
        <v>0</v>
      </c>
      <c r="BE181" s="12">
        <f t="shared" si="219"/>
        <v>0</v>
      </c>
      <c r="BF181" s="12">
        <f t="shared" si="219"/>
        <v>0</v>
      </c>
      <c r="BG181" s="12">
        <f t="shared" si="219"/>
        <v>0</v>
      </c>
      <c r="BH181" s="12">
        <f t="shared" si="219"/>
        <v>0</v>
      </c>
      <c r="BI181" s="12">
        <f t="shared" si="219"/>
        <v>0</v>
      </c>
      <c r="BJ181" s="12">
        <f t="shared" si="219"/>
        <v>0</v>
      </c>
      <c r="BK181" s="12">
        <f t="shared" ref="BK181:BV181" si="220">BK174-BK175+BK176-BK177-BK178-BK179+BK180</f>
        <v>0</v>
      </c>
      <c r="BL181" s="12">
        <f t="shared" si="220"/>
        <v>0</v>
      </c>
      <c r="BM181" s="12">
        <f t="shared" si="220"/>
        <v>0</v>
      </c>
      <c r="BN181" s="12">
        <f t="shared" si="220"/>
        <v>0</v>
      </c>
      <c r="BO181" s="12">
        <f t="shared" si="220"/>
        <v>0</v>
      </c>
      <c r="BP181" s="12">
        <f t="shared" si="220"/>
        <v>0</v>
      </c>
      <c r="BQ181" s="12">
        <f t="shared" si="220"/>
        <v>0</v>
      </c>
      <c r="BR181" s="12">
        <f t="shared" si="220"/>
        <v>0</v>
      </c>
      <c r="BS181" s="12">
        <f t="shared" si="220"/>
        <v>0</v>
      </c>
      <c r="BT181" s="12">
        <f t="shared" si="220"/>
        <v>0</v>
      </c>
      <c r="BU181" s="12">
        <f t="shared" si="220"/>
        <v>0</v>
      </c>
      <c r="BV181" s="12">
        <f t="shared" si="220"/>
        <v>0</v>
      </c>
      <c r="BX181" s="12">
        <f t="shared" ref="BX181:CI181" si="221">BX174-BX175+BX176-BX177+BX178-BX179+BX180</f>
        <v>0</v>
      </c>
      <c r="BY181" s="12">
        <f t="shared" si="221"/>
        <v>0</v>
      </c>
      <c r="BZ181" s="12">
        <f t="shared" si="221"/>
        <v>0</v>
      </c>
      <c r="CA181" s="12">
        <f t="shared" si="221"/>
        <v>0</v>
      </c>
      <c r="CB181" s="12">
        <f t="shared" si="221"/>
        <v>0</v>
      </c>
      <c r="CC181" s="12">
        <f t="shared" si="221"/>
        <v>0</v>
      </c>
      <c r="CD181" s="12">
        <f t="shared" si="221"/>
        <v>0</v>
      </c>
      <c r="CE181" s="12">
        <f t="shared" si="221"/>
        <v>0</v>
      </c>
      <c r="CF181" s="12">
        <f t="shared" si="221"/>
        <v>0</v>
      </c>
      <c r="CG181" s="12">
        <f t="shared" si="221"/>
        <v>0</v>
      </c>
      <c r="CH181" s="12">
        <f t="shared" si="221"/>
        <v>0</v>
      </c>
      <c r="CI181" s="12">
        <f t="shared" si="221"/>
        <v>0</v>
      </c>
      <c r="CK181" s="11"/>
      <c r="CM181" s="11"/>
      <c r="CQ181" s="7">
        <f t="shared" si="200"/>
        <v>0</v>
      </c>
      <c r="CS181" s="7">
        <f t="shared" si="201"/>
        <v>0</v>
      </c>
      <c r="CT181" s="7">
        <f t="shared" si="202"/>
        <v>0</v>
      </c>
      <c r="CU181" s="11"/>
      <c r="CV181" s="215">
        <f t="shared" si="203"/>
        <v>0</v>
      </c>
      <c r="CW181" s="215">
        <f t="shared" si="203"/>
        <v>0</v>
      </c>
      <c r="CX181" s="215">
        <f t="shared" si="203"/>
        <v>0</v>
      </c>
      <c r="CY181" s="215">
        <f t="shared" si="204"/>
        <v>0</v>
      </c>
      <c r="CZ181" s="215">
        <f t="shared" si="205"/>
        <v>0</v>
      </c>
      <c r="DA181" s="215">
        <f t="shared" si="206"/>
        <v>0</v>
      </c>
      <c r="DB181" s="215">
        <f t="shared" si="207"/>
        <v>0</v>
      </c>
      <c r="FN181" s="10" t="str">
        <f>IF($C181="","",$D181)</f>
        <v>Education-specific EBITDA</v>
      </c>
    </row>
    <row r="182" spans="1:170" ht="8.25" customHeight="1" x14ac:dyDescent="0.35">
      <c r="C182" s="211"/>
      <c r="Q182" s="2"/>
      <c r="BY182" s="6"/>
      <c r="CK182" s="35"/>
      <c r="CM182" s="35"/>
      <c r="CU182" s="35"/>
      <c r="FN182" s="10" t="str">
        <f>IF($C182="","",$D182)</f>
        <v/>
      </c>
    </row>
    <row r="183" spans="1:170" s="5" customFormat="1" x14ac:dyDescent="0.35">
      <c r="A183"/>
      <c r="B183" s="85" t="s">
        <v>122</v>
      </c>
      <c r="D183" s="61" t="s">
        <v>463</v>
      </c>
      <c r="Q183" s="2"/>
      <c r="R183"/>
      <c r="S183"/>
      <c r="T183"/>
      <c r="U183"/>
      <c r="V183" s="10">
        <f>'I&amp;E Monthly'!V$184</f>
        <v>0</v>
      </c>
      <c r="W183" s="10">
        <f>'I&amp;E Monthly'!W$184</f>
        <v>1</v>
      </c>
      <c r="X183" s="10">
        <f>'I&amp;E Monthly'!X$184</f>
        <v>1</v>
      </c>
      <c r="Y183" s="10">
        <f>'I&amp;E Monthly'!Y$184</f>
        <v>1</v>
      </c>
      <c r="Z183"/>
      <c r="AA183" s="10">
        <f>'I&amp;E Monthly'!AA$184</f>
        <v>1</v>
      </c>
      <c r="AB183" s="10">
        <f>'I&amp;E Monthly'!AB$184</f>
        <v>1</v>
      </c>
      <c r="AC183" s="10">
        <f>'I&amp;E Monthly'!AC$184</f>
        <v>1</v>
      </c>
      <c r="AD183" s="10">
        <f>'I&amp;E Monthly'!AD$184</f>
        <v>1</v>
      </c>
      <c r="AE183" s="10">
        <f>'I&amp;E Monthly'!AE$184</f>
        <v>1</v>
      </c>
      <c r="AF183" s="10">
        <f>'I&amp;E Monthly'!AF$184</f>
        <v>1</v>
      </c>
      <c r="AG183" s="10">
        <f>'I&amp;E Monthly'!AG$184</f>
        <v>1</v>
      </c>
      <c r="AH183" s="10">
        <f>'I&amp;E Monthly'!AH$184</f>
        <v>1</v>
      </c>
      <c r="AI183" s="10">
        <f>'I&amp;E Monthly'!AI$184</f>
        <v>1</v>
      </c>
      <c r="AJ183" s="10">
        <f>'I&amp;E Monthly'!AJ$184</f>
        <v>1</v>
      </c>
      <c r="AK183" s="10">
        <f>'I&amp;E Monthly'!AK$184</f>
        <v>1</v>
      </c>
      <c r="AL183" s="10">
        <f>'I&amp;E Monthly'!AL$184</f>
        <v>1</v>
      </c>
      <c r="AM183" s="10">
        <f>'I&amp;E Monthly'!AM$184</f>
        <v>1</v>
      </c>
      <c r="AN183" s="10">
        <f>'I&amp;E Monthly'!AN$184</f>
        <v>1</v>
      </c>
      <c r="AO183" s="10">
        <f>'I&amp;E Monthly'!AO$184</f>
        <v>1</v>
      </c>
      <c r="AP183" s="10">
        <f>'I&amp;E Monthly'!AP$184</f>
        <v>1</v>
      </c>
      <c r="AQ183" s="10">
        <f>'I&amp;E Monthly'!AQ$184</f>
        <v>1</v>
      </c>
      <c r="AR183" s="10">
        <f>'I&amp;E Monthly'!AR$184</f>
        <v>1</v>
      </c>
      <c r="AS183" s="10">
        <f>'I&amp;E Monthly'!AS$184</f>
        <v>1</v>
      </c>
      <c r="AT183" s="10">
        <f>'I&amp;E Monthly'!AT$184</f>
        <v>1</v>
      </c>
      <c r="AU183" s="10">
        <f>'I&amp;E Monthly'!AU$184</f>
        <v>1</v>
      </c>
      <c r="AV183" s="10">
        <f>'I&amp;E Monthly'!AV$184</f>
        <v>1</v>
      </c>
      <c r="AW183" s="10">
        <f>'I&amp;E Monthly'!AW$184</f>
        <v>1</v>
      </c>
      <c r="AX183" s="10">
        <f>'I&amp;E Monthly'!AX$184</f>
        <v>1</v>
      </c>
      <c r="AY183" s="10">
        <f>'I&amp;E Monthly'!AY$184</f>
        <v>1</v>
      </c>
      <c r="AZ183" s="10">
        <f>'I&amp;E Monthly'!AZ$184</f>
        <v>1</v>
      </c>
      <c r="BA183" s="10">
        <f>'I&amp;E Monthly'!BA$184</f>
        <v>1</v>
      </c>
      <c r="BB183" s="10">
        <f>'I&amp;E Monthly'!BB$184</f>
        <v>1</v>
      </c>
      <c r="BC183" s="10">
        <f>'I&amp;E Monthly'!BC$184</f>
        <v>1</v>
      </c>
      <c r="BD183" s="10">
        <f>'I&amp;E Monthly'!BD$184</f>
        <v>1</v>
      </c>
      <c r="BE183" s="10">
        <f>'I&amp;E Monthly'!BE$184</f>
        <v>1</v>
      </c>
      <c r="BF183" s="10">
        <f>'I&amp;E Monthly'!BF$184</f>
        <v>1</v>
      </c>
      <c r="BG183" s="10">
        <f>'I&amp;E Monthly'!BG$184</f>
        <v>1</v>
      </c>
      <c r="BH183" s="10">
        <f>'I&amp;E Monthly'!BH$184</f>
        <v>1</v>
      </c>
      <c r="BI183" s="10">
        <f>'I&amp;E Monthly'!BI$184</f>
        <v>1</v>
      </c>
      <c r="BJ183" s="10">
        <f>'I&amp;E Monthly'!BJ$184</f>
        <v>1</v>
      </c>
      <c r="BK183"/>
      <c r="BL183"/>
      <c r="BM183"/>
      <c r="BN183"/>
      <c r="BO183"/>
      <c r="BP183"/>
      <c r="BQ183"/>
      <c r="BR183"/>
      <c r="BS183"/>
      <c r="BT183"/>
      <c r="BU183"/>
      <c r="BV183"/>
      <c r="BW183"/>
      <c r="BX183" s="10">
        <f>'I&amp;E Monthly'!BX$184</f>
        <v>0</v>
      </c>
      <c r="BY183" s="10">
        <f>'I&amp;E Monthly'!BY$184</f>
        <v>1</v>
      </c>
      <c r="BZ183" s="10">
        <f>'I&amp;E Monthly'!BZ$184</f>
        <v>1</v>
      </c>
      <c r="CA183" s="10">
        <f>'I&amp;E Monthly'!CA$184</f>
        <v>1</v>
      </c>
      <c r="CB183" s="10">
        <f>'I&amp;E Monthly'!CB$184</f>
        <v>0</v>
      </c>
      <c r="CC183" s="10">
        <f>'I&amp;E Monthly'!CC$184</f>
        <v>0</v>
      </c>
      <c r="CD183" s="10">
        <f>'I&amp;E Monthly'!CD$184</f>
        <v>0</v>
      </c>
      <c r="CE183" s="10">
        <f>'I&amp;E Monthly'!CE$184</f>
        <v>0</v>
      </c>
      <c r="CF183" s="10">
        <f>'I&amp;E Monthly'!CF$184</f>
        <v>0</v>
      </c>
      <c r="CG183" s="10">
        <f>'I&amp;E Monthly'!CG$184</f>
        <v>0</v>
      </c>
      <c r="CH183" s="10">
        <f>'I&amp;E Monthly'!CH$184</f>
        <v>0</v>
      </c>
      <c r="CI183" s="10">
        <f>'I&amp;E Monthly'!CI$184</f>
        <v>0</v>
      </c>
      <c r="CK183" s="11"/>
      <c r="CL183"/>
      <c r="CM183" s="11"/>
      <c r="CN183"/>
      <c r="CO183"/>
      <c r="CP183"/>
      <c r="CQ183"/>
      <c r="CR183"/>
      <c r="CS183"/>
      <c r="CT183"/>
      <c r="CU183" s="11"/>
      <c r="FN183" s="10" t="str">
        <f>IF($B183="","",$D183)</f>
        <v xml:space="preserve">I&amp;E inputs flag </v>
      </c>
    </row>
    <row r="184" spans="1:170" ht="8.25" customHeight="1" x14ac:dyDescent="0.35">
      <c r="C184" s="211"/>
      <c r="D184" s="57"/>
      <c r="BY184" s="6"/>
      <c r="CK184" s="35"/>
      <c r="CM184" s="35"/>
      <c r="CU184" s="35"/>
      <c r="DC184" s="5"/>
      <c r="DD184" s="5"/>
      <c r="DE184" s="5"/>
      <c r="DF184" s="5"/>
      <c r="DG184" s="5"/>
      <c r="DH184" s="5"/>
      <c r="DI184" s="5"/>
      <c r="DJ184" s="5"/>
      <c r="DK184" s="5"/>
      <c r="DL184" s="5"/>
      <c r="DM184" s="5"/>
      <c r="DN184" s="5"/>
      <c r="DO184" s="5"/>
      <c r="DP184" s="5"/>
      <c r="FN184" s="10" t="str">
        <f>IF($C184="","",$D184)</f>
        <v/>
      </c>
    </row>
    <row r="185" spans="1:170" ht="8.25" customHeight="1" x14ac:dyDescent="0.35">
      <c r="C185" s="211"/>
      <c r="D185" s="57"/>
      <c r="BY185" s="6"/>
      <c r="CK185" s="35"/>
      <c r="CM185" s="35"/>
      <c r="CU185" s="35"/>
      <c r="FN185" s="10" t="str">
        <f>IF($C185="","",$D185)</f>
        <v/>
      </c>
    </row>
    <row r="186" spans="1:170" x14ac:dyDescent="0.35">
      <c r="A186" s="11" t="s">
        <v>16</v>
      </c>
      <c r="B186" s="11" t="s">
        <v>16</v>
      </c>
      <c r="C186" s="233" t="s">
        <v>16</v>
      </c>
      <c r="D186" s="25" t="s">
        <v>16</v>
      </c>
      <c r="E186" s="11" t="s">
        <v>16</v>
      </c>
      <c r="F186" s="11" t="s">
        <v>16</v>
      </c>
      <c r="G186" s="11" t="s">
        <v>16</v>
      </c>
      <c r="H186" s="11" t="s">
        <v>16</v>
      </c>
      <c r="I186" s="11" t="s">
        <v>16</v>
      </c>
      <c r="J186" s="11" t="s">
        <v>16</v>
      </c>
      <c r="K186" s="11" t="s">
        <v>16</v>
      </c>
      <c r="L186" s="11" t="s">
        <v>16</v>
      </c>
      <c r="M186" s="11" t="s">
        <v>16</v>
      </c>
      <c r="N186" s="11" t="s">
        <v>16</v>
      </c>
      <c r="O186" s="11" t="s">
        <v>16</v>
      </c>
      <c r="P186" s="11" t="s">
        <v>16</v>
      </c>
      <c r="Q186" s="11" t="s">
        <v>16</v>
      </c>
      <c r="R186" s="11" t="s">
        <v>16</v>
      </c>
      <c r="S186" s="11" t="s">
        <v>16</v>
      </c>
      <c r="T186" s="11" t="s">
        <v>16</v>
      </c>
      <c r="U186" s="11" t="s">
        <v>16</v>
      </c>
      <c r="V186" s="11" t="s">
        <v>16</v>
      </c>
      <c r="W186" s="11" t="s">
        <v>16</v>
      </c>
      <c r="X186" s="11" t="s">
        <v>16</v>
      </c>
      <c r="Y186" s="11" t="s">
        <v>16</v>
      </c>
      <c r="Z186" s="11" t="s">
        <v>16</v>
      </c>
      <c r="AA186" s="11" t="s">
        <v>16</v>
      </c>
      <c r="AB186" s="11" t="s">
        <v>16</v>
      </c>
      <c r="AC186" s="11" t="s">
        <v>16</v>
      </c>
      <c r="AD186" s="11" t="s">
        <v>16</v>
      </c>
      <c r="AE186" s="11" t="s">
        <v>16</v>
      </c>
      <c r="AF186" s="11" t="s">
        <v>16</v>
      </c>
      <c r="AG186" s="11" t="s">
        <v>16</v>
      </c>
      <c r="AH186" s="11" t="s">
        <v>16</v>
      </c>
      <c r="AI186" s="11" t="s">
        <v>16</v>
      </c>
      <c r="AJ186" s="11" t="s">
        <v>16</v>
      </c>
      <c r="AK186" s="11" t="s">
        <v>16</v>
      </c>
      <c r="AL186" s="11" t="s">
        <v>16</v>
      </c>
      <c r="AM186" s="11" t="s">
        <v>16</v>
      </c>
      <c r="AN186" s="11" t="s">
        <v>16</v>
      </c>
      <c r="AO186" s="11" t="s">
        <v>16</v>
      </c>
      <c r="AP186" s="11" t="s">
        <v>16</v>
      </c>
      <c r="AQ186" s="11" t="s">
        <v>16</v>
      </c>
      <c r="AR186" s="11" t="s">
        <v>16</v>
      </c>
      <c r="AS186" s="11" t="s">
        <v>16</v>
      </c>
      <c r="AT186" s="11" t="s">
        <v>16</v>
      </c>
      <c r="AU186" s="11" t="s">
        <v>16</v>
      </c>
      <c r="AV186" s="11" t="s">
        <v>16</v>
      </c>
      <c r="AW186" s="11" t="s">
        <v>16</v>
      </c>
      <c r="AX186" s="11" t="s">
        <v>16</v>
      </c>
      <c r="AY186" s="11" t="s">
        <v>16</v>
      </c>
      <c r="AZ186" s="11" t="s">
        <v>16</v>
      </c>
      <c r="BA186" s="11" t="s">
        <v>16</v>
      </c>
      <c r="BB186" s="11" t="s">
        <v>16</v>
      </c>
      <c r="BC186" s="11" t="s">
        <v>16</v>
      </c>
      <c r="BD186" s="11" t="s">
        <v>16</v>
      </c>
      <c r="BE186" s="11" t="s">
        <v>16</v>
      </c>
      <c r="BF186" s="11" t="s">
        <v>16</v>
      </c>
      <c r="BG186" s="11" t="s">
        <v>16</v>
      </c>
      <c r="BH186" s="11" t="s">
        <v>16</v>
      </c>
      <c r="BI186" s="11" t="s">
        <v>16</v>
      </c>
      <c r="BJ186" s="11" t="s">
        <v>16</v>
      </c>
      <c r="BK186" s="11" t="s">
        <v>16</v>
      </c>
      <c r="BL186" s="11" t="s">
        <v>16</v>
      </c>
      <c r="BM186" s="11" t="s">
        <v>16</v>
      </c>
      <c r="BN186" s="11" t="s">
        <v>16</v>
      </c>
      <c r="BO186" s="11" t="s">
        <v>16</v>
      </c>
      <c r="BP186" s="11" t="s">
        <v>16</v>
      </c>
      <c r="BQ186" s="11" t="s">
        <v>16</v>
      </c>
      <c r="BR186" s="11" t="s">
        <v>16</v>
      </c>
      <c r="BS186" s="11" t="s">
        <v>16</v>
      </c>
      <c r="BT186" s="11" t="s">
        <v>16</v>
      </c>
      <c r="BU186" s="11" t="s">
        <v>16</v>
      </c>
      <c r="BV186" s="11" t="s">
        <v>16</v>
      </c>
      <c r="BW186" s="11" t="s">
        <v>16</v>
      </c>
      <c r="BX186" s="11" t="s">
        <v>16</v>
      </c>
      <c r="BY186" s="11" t="s">
        <v>16</v>
      </c>
      <c r="BZ186" s="11" t="s">
        <v>16</v>
      </c>
      <c r="CA186" s="11" t="s">
        <v>16</v>
      </c>
      <c r="CB186" s="11" t="s">
        <v>16</v>
      </c>
      <c r="CC186" s="11" t="s">
        <v>16</v>
      </c>
      <c r="CD186" s="11" t="s">
        <v>16</v>
      </c>
      <c r="CE186" s="11" t="s">
        <v>16</v>
      </c>
      <c r="CF186" s="11" t="s">
        <v>16</v>
      </c>
      <c r="CG186" s="11" t="s">
        <v>16</v>
      </c>
      <c r="CH186" s="11" t="s">
        <v>16</v>
      </c>
      <c r="CI186" s="11" t="s">
        <v>16</v>
      </c>
      <c r="CJ186" s="11" t="s">
        <v>16</v>
      </c>
      <c r="CK186" s="11" t="s">
        <v>16</v>
      </c>
      <c r="CL186" s="11" t="s">
        <v>16</v>
      </c>
      <c r="CM186" s="11" t="s">
        <v>16</v>
      </c>
      <c r="CN186" s="11"/>
      <c r="CO186" s="11"/>
      <c r="CP186" s="11" t="s">
        <v>16</v>
      </c>
      <c r="CQ186" s="11"/>
      <c r="CR186" s="11"/>
      <c r="CS186" s="11"/>
      <c r="CT186" s="11"/>
      <c r="CU186" s="11" t="s">
        <v>16</v>
      </c>
      <c r="DC186" s="11" t="s">
        <v>16</v>
      </c>
      <c r="DD186" s="11" t="s">
        <v>16</v>
      </c>
      <c r="DE186" s="11" t="s">
        <v>16</v>
      </c>
      <c r="DF186" s="11" t="s">
        <v>16</v>
      </c>
      <c r="DG186" s="11" t="s">
        <v>16</v>
      </c>
      <c r="DH186" s="11" t="s">
        <v>16</v>
      </c>
      <c r="DI186" s="11" t="s">
        <v>16</v>
      </c>
      <c r="DJ186" s="11" t="s">
        <v>16</v>
      </c>
      <c r="DK186" s="11" t="s">
        <v>16</v>
      </c>
      <c r="DL186" s="11" t="s">
        <v>16</v>
      </c>
      <c r="DM186" s="11" t="s">
        <v>16</v>
      </c>
      <c r="DN186" s="11" t="s">
        <v>16</v>
      </c>
      <c r="DO186" s="11" t="s">
        <v>16</v>
      </c>
      <c r="DP186" s="11" t="s">
        <v>16</v>
      </c>
      <c r="FN186" s="10" t="str">
        <f>IF($C186="","",$D186)</f>
        <v>*</v>
      </c>
    </row>
  </sheetData>
  <sheetProtection algorithmName="SHA-512" hashValue="Msb0CLvm7C3mybDR/wJanxyOEw3ZarxoK6McBIuKrml+cCVopIJ9HUpbgwYfzIQ1rddfmQox9v6T2eYtPTSSJw==" saltValue="cd3nrckUmRzyK3STN/PbEA==" spinCount="100000" sheet="1" objects="1" scenarios="1"/>
  <mergeCells count="30">
    <mergeCell ref="CQ2:CQ6"/>
    <mergeCell ref="DB2:DB6"/>
    <mergeCell ref="CK1:CK6"/>
    <mergeCell ref="CV2:CV6"/>
    <mergeCell ref="CW2:CW6"/>
    <mergeCell ref="CX2:CX6"/>
    <mergeCell ref="DA2:DA6"/>
    <mergeCell ref="CZ2:CZ6"/>
    <mergeCell ref="CY2:CY6"/>
    <mergeCell ref="CM1:CM6"/>
    <mergeCell ref="CU1:CU6"/>
    <mergeCell ref="CT2:CT6"/>
    <mergeCell ref="CS2:CS6"/>
    <mergeCell ref="CN2:CN6"/>
    <mergeCell ref="CP2:CP6"/>
    <mergeCell ref="CO2:CO6"/>
    <mergeCell ref="DO3:DO6"/>
    <mergeCell ref="DP3:DP6"/>
    <mergeCell ref="CR2:CR6"/>
    <mergeCell ref="DJ3:DJ6"/>
    <mergeCell ref="DK3:DK6"/>
    <mergeCell ref="DL3:DL6"/>
    <mergeCell ref="DM3:DM6"/>
    <mergeCell ref="DN3:DN6"/>
    <mergeCell ref="DE3:DE6"/>
    <mergeCell ref="DF3:DF6"/>
    <mergeCell ref="DG3:DG6"/>
    <mergeCell ref="DH3:DH6"/>
    <mergeCell ref="DI3:DI6"/>
    <mergeCell ref="DC2:DC6"/>
  </mergeCells>
  <phoneticPr fontId="9" type="noConversion"/>
  <conditionalFormatting sqref="A1:A2">
    <cfRule type="cellIs" dxfId="1538" priority="192" operator="greaterThan">
      <formula>0</formula>
    </cfRule>
    <cfRule type="cellIs" dxfId="1537" priority="191" operator="equal">
      <formula>0</formula>
    </cfRule>
  </conditionalFormatting>
  <conditionalFormatting sqref="A11:A14">
    <cfRule type="cellIs" dxfId="1536" priority="373" operator="equal">
      <formula>0</formula>
    </cfRule>
    <cfRule type="cellIs" dxfId="1535" priority="374" operator="greaterThan">
      <formula>0</formula>
    </cfRule>
  </conditionalFormatting>
  <conditionalFormatting sqref="A50:A54 A98:A100 A102 A135:A137 A139 A141 A143:A144 A146 A149:A154 A156 A166 A168:A170">
    <cfRule type="cellIs" dxfId="1534" priority="372" operator="greaterThan">
      <formula>0</formula>
    </cfRule>
    <cfRule type="cellIs" dxfId="1533" priority="371" operator="equal">
      <formula>0</formula>
    </cfRule>
  </conditionalFormatting>
  <conditionalFormatting sqref="A57:A61 CQ57:CQ61 CS57:CT61 A64:C64 CN64:CQ73 CL64:CL74 CS64:CT74 CV64:DB74 A65:A74 C65:C74 CQ74">
    <cfRule type="cellIs" dxfId="1532" priority="221" operator="equal">
      <formula>0</formula>
    </cfRule>
  </conditionalFormatting>
  <conditionalFormatting sqref="A57:A61">
    <cfRule type="cellIs" dxfId="1531" priority="226" operator="greaterThan">
      <formula>0</formula>
    </cfRule>
  </conditionalFormatting>
  <conditionalFormatting sqref="A159:A164">
    <cfRule type="cellIs" dxfId="1530" priority="313" operator="greaterThan">
      <formula>0</formula>
    </cfRule>
    <cfRule type="cellIs" dxfId="1529" priority="312" operator="equal">
      <formula>0</formula>
    </cfRule>
  </conditionalFormatting>
  <conditionalFormatting sqref="A174:A181">
    <cfRule type="cellIs" dxfId="1528" priority="159" operator="equal">
      <formula>0</formula>
    </cfRule>
  </conditionalFormatting>
  <conditionalFormatting sqref="A174:B181 J174:CT181">
    <cfRule type="cellIs" dxfId="1527" priority="158" operator="greaterThan">
      <formula>0</formula>
    </cfRule>
  </conditionalFormatting>
  <conditionalFormatting sqref="AA165:BI165">
    <cfRule type="expression" dxfId="1526" priority="422">
      <formula>AND(AA$4=0,AB$4=1)</formula>
    </cfRule>
  </conditionalFormatting>
  <conditionalFormatting sqref="AA167:BI167">
    <cfRule type="expression" dxfId="1525" priority="423">
      <formula>AND(AA$4=0,AB$4=1)</formula>
    </cfRule>
  </conditionalFormatting>
  <conditionalFormatting sqref="AA171:BI177">
    <cfRule type="expression" dxfId="1524" priority="424">
      <formula>AND(AA$4=0,AB$4=1)</formula>
    </cfRule>
  </conditionalFormatting>
  <conditionalFormatting sqref="AA179:BI179">
    <cfRule type="expression" dxfId="1523" priority="426">
      <formula>AND(AA$4=0,AB$4=1)</formula>
    </cfRule>
  </conditionalFormatting>
  <conditionalFormatting sqref="AA184:BI185">
    <cfRule type="expression" dxfId="1522" priority="308">
      <formula>AND(AA$4=0,AB$4=1)</formula>
    </cfRule>
  </conditionalFormatting>
  <conditionalFormatting sqref="AA1:BO1">
    <cfRule type="expression" dxfId="1521" priority="660">
      <formula>AND(AA$4=0,AB$4=1)</formula>
    </cfRule>
  </conditionalFormatting>
  <conditionalFormatting sqref="BJ165 BJ167 BJ171:BJ177 BJ179 BJ184:BJ185">
    <cfRule type="expression" dxfId="1520" priority="2855">
      <formula>AND(BJ$4=0,BW$4=1)</formula>
    </cfRule>
  </conditionalFormatting>
  <conditionalFormatting sqref="BP1">
    <cfRule type="expression" dxfId="1519" priority="2854">
      <formula>AND(BP$4=0,BW$4=1)</formula>
    </cfRule>
  </conditionalFormatting>
  <conditionalFormatting sqref="BQ1:BV1">
    <cfRule type="expression" dxfId="1518" priority="178">
      <formula>AND(BQ$4=0,BR$4=1)</formula>
    </cfRule>
  </conditionalFormatting>
  <conditionalFormatting sqref="CL2">
    <cfRule type="cellIs" dxfId="1517" priority="357" operator="equal">
      <formula>0</formula>
    </cfRule>
    <cfRule type="cellIs" dxfId="1516" priority="356" operator="greaterThan">
      <formula>0</formula>
    </cfRule>
  </conditionalFormatting>
  <conditionalFormatting sqref="CL11:CL14">
    <cfRule type="cellIs" dxfId="1515" priority="355" operator="equal">
      <formula>0</formula>
    </cfRule>
    <cfRule type="cellIs" dxfId="1514" priority="354" operator="equal">
      <formula>1</formula>
    </cfRule>
  </conditionalFormatting>
  <conditionalFormatting sqref="CL17:CL24 CL27:CL30 CL33:CL39 CL42:CL47 CL77:CL85">
    <cfRule type="cellIs" dxfId="1513" priority="369" operator="equal">
      <formula>0</formula>
    </cfRule>
  </conditionalFormatting>
  <conditionalFormatting sqref="CL17:CL74 CL77:CL96 CL117:CL125 CL127:CL132">
    <cfRule type="cellIs" dxfId="1512" priority="220" operator="equal">
      <formula>1</formula>
    </cfRule>
  </conditionalFormatting>
  <conditionalFormatting sqref="CL50:CL54 CL98:CL100 CL102 CL105:CL112 CL135:CL137 CL150 CL153 CL162 CL180">
    <cfRule type="cellIs" dxfId="1511" priority="363" operator="equal">
      <formula>0</formula>
    </cfRule>
  </conditionalFormatting>
  <conditionalFormatting sqref="CL57:CL61">
    <cfRule type="cellIs" dxfId="1510" priority="15" operator="equal">
      <formula>0</formula>
    </cfRule>
  </conditionalFormatting>
  <conditionalFormatting sqref="CL180 CL98:CL100 CL102 CL105:CL112 CL135:CL137 CL150 CL153 CL162">
    <cfRule type="cellIs" dxfId="1509" priority="362" operator="equal">
      <formula>1</formula>
    </cfRule>
  </conditionalFormatting>
  <conditionalFormatting sqref="CN11:CP12 CN64:CP73 CN117:CP125 CN127:CP131">
    <cfRule type="cellIs" dxfId="1508" priority="724" operator="equal">
      <formula>1</formula>
    </cfRule>
  </conditionalFormatting>
  <conditionalFormatting sqref="CN11:CP12 CN127:CP131">
    <cfRule type="cellIs" dxfId="1507" priority="723" operator="equal">
      <formula>0</formula>
    </cfRule>
  </conditionalFormatting>
  <conditionalFormatting sqref="CN14:CP14">
    <cfRule type="cellIs" dxfId="1506" priority="70" operator="equal">
      <formula>1</formula>
    </cfRule>
  </conditionalFormatting>
  <conditionalFormatting sqref="CN17:CP22">
    <cfRule type="cellIs" dxfId="1505" priority="67" operator="equal">
      <formula>0</formula>
    </cfRule>
    <cfRule type="cellIs" dxfId="1504" priority="68" operator="equal">
      <formula>1</formula>
    </cfRule>
  </conditionalFormatting>
  <conditionalFormatting sqref="CN24:CP24">
    <cfRule type="cellIs" dxfId="1503" priority="66" operator="equal">
      <formula>1</formula>
    </cfRule>
  </conditionalFormatting>
  <conditionalFormatting sqref="CN27:CP28">
    <cfRule type="cellIs" dxfId="1502" priority="64" operator="equal">
      <formula>1</formula>
    </cfRule>
    <cfRule type="cellIs" dxfId="1501" priority="63" operator="equal">
      <formula>0</formula>
    </cfRule>
  </conditionalFormatting>
  <conditionalFormatting sqref="CN30:CP30">
    <cfRule type="cellIs" dxfId="1500" priority="62" operator="equal">
      <formula>1</formula>
    </cfRule>
  </conditionalFormatting>
  <conditionalFormatting sqref="CN33:CP37">
    <cfRule type="cellIs" dxfId="1499" priority="60" operator="equal">
      <formula>1</formula>
    </cfRule>
    <cfRule type="cellIs" dxfId="1498" priority="59" operator="equal">
      <formula>0</formula>
    </cfRule>
  </conditionalFormatting>
  <conditionalFormatting sqref="CN39:CP39">
    <cfRule type="cellIs" dxfId="1497" priority="58" operator="equal">
      <formula>1</formula>
    </cfRule>
  </conditionalFormatting>
  <conditionalFormatting sqref="CN42:CP45">
    <cfRule type="cellIs" dxfId="1496" priority="55" operator="equal">
      <formula>0</formula>
    </cfRule>
    <cfRule type="cellIs" dxfId="1495" priority="56" operator="equal">
      <formula>1</formula>
    </cfRule>
  </conditionalFormatting>
  <conditionalFormatting sqref="CN47:CP47">
    <cfRule type="cellIs" dxfId="1494" priority="54" operator="equal">
      <formula>1</formula>
    </cfRule>
  </conditionalFormatting>
  <conditionalFormatting sqref="CN50:CP52">
    <cfRule type="cellIs" dxfId="1493" priority="52" operator="equal">
      <formula>1</formula>
    </cfRule>
    <cfRule type="cellIs" dxfId="1492" priority="51" operator="equal">
      <formula>0</formula>
    </cfRule>
  </conditionalFormatting>
  <conditionalFormatting sqref="CN54:CP54">
    <cfRule type="cellIs" dxfId="1491" priority="50" operator="equal">
      <formula>1</formula>
    </cfRule>
  </conditionalFormatting>
  <conditionalFormatting sqref="CN57:CP59">
    <cfRule type="cellIs" dxfId="1490" priority="12" operator="equal">
      <formula>0</formula>
    </cfRule>
    <cfRule type="cellIs" dxfId="1489" priority="13" operator="equal">
      <formula>1</formula>
    </cfRule>
  </conditionalFormatting>
  <conditionalFormatting sqref="CN61:CP61">
    <cfRule type="cellIs" dxfId="1488" priority="10" operator="equal">
      <formula>0</formula>
    </cfRule>
    <cfRule type="cellIs" dxfId="1487" priority="11" operator="equal">
      <formula>1</formula>
    </cfRule>
  </conditionalFormatting>
  <conditionalFormatting sqref="CN77:CP84">
    <cfRule type="cellIs" dxfId="1486" priority="46" operator="equal">
      <formula>1</formula>
    </cfRule>
    <cfRule type="cellIs" dxfId="1485" priority="45" operator="equal">
      <formula>0</formula>
    </cfRule>
  </conditionalFormatting>
  <conditionalFormatting sqref="CN88:CP89">
    <cfRule type="cellIs" dxfId="1484" priority="43" operator="equal">
      <formula>0</formula>
    </cfRule>
    <cfRule type="cellIs" dxfId="1483" priority="44" operator="equal">
      <formula>1</formula>
    </cfRule>
  </conditionalFormatting>
  <conditionalFormatting sqref="CN93:CP95">
    <cfRule type="cellIs" dxfId="1482" priority="42" operator="equal">
      <formula>1</formula>
    </cfRule>
  </conditionalFormatting>
  <conditionalFormatting sqref="CN98:CP98">
    <cfRule type="cellIs" dxfId="1481" priority="39" operator="equal">
      <formula>0</formula>
    </cfRule>
    <cfRule type="cellIs" dxfId="1480" priority="40" operator="equal">
      <formula>1</formula>
    </cfRule>
  </conditionalFormatting>
  <conditionalFormatting sqref="CN105:CP112">
    <cfRule type="cellIs" dxfId="1479" priority="38" operator="equal">
      <formula>1</formula>
    </cfRule>
    <cfRule type="cellIs" dxfId="1478" priority="37" operator="equal">
      <formula>0</formula>
    </cfRule>
  </conditionalFormatting>
  <conditionalFormatting sqref="CN135:CP135">
    <cfRule type="cellIs" dxfId="1477" priority="33" operator="equal">
      <formula>0</formula>
    </cfRule>
    <cfRule type="cellIs" dxfId="1476" priority="34" operator="equal">
      <formula>1</formula>
    </cfRule>
  </conditionalFormatting>
  <conditionalFormatting sqref="CN150:CP150">
    <cfRule type="cellIs" dxfId="1475" priority="32" operator="equal">
      <formula>1</formula>
    </cfRule>
    <cfRule type="cellIs" dxfId="1474" priority="31" operator="equal">
      <formula>0</formula>
    </cfRule>
  </conditionalFormatting>
  <conditionalFormatting sqref="CN153:CP153">
    <cfRule type="cellIs" dxfId="1473" priority="30" operator="equal">
      <formula>1</formula>
    </cfRule>
    <cfRule type="cellIs" dxfId="1472" priority="29" operator="equal">
      <formula>0</formula>
    </cfRule>
  </conditionalFormatting>
  <conditionalFormatting sqref="CN162:CP163">
    <cfRule type="cellIs" dxfId="1471" priority="28" operator="equal">
      <formula>1</formula>
    </cfRule>
    <cfRule type="cellIs" dxfId="1470" priority="27" operator="equal">
      <formula>0</formula>
    </cfRule>
  </conditionalFormatting>
  <conditionalFormatting sqref="CN180:CP180">
    <cfRule type="cellIs" dxfId="1469" priority="25" operator="equal">
      <formula>0</formula>
    </cfRule>
    <cfRule type="cellIs" dxfId="1468" priority="26" operator="equal">
      <formula>1</formula>
    </cfRule>
  </conditionalFormatting>
  <conditionalFormatting sqref="CN93:CQ95">
    <cfRule type="cellIs" dxfId="1467" priority="41" operator="equal">
      <formula>0</formula>
    </cfRule>
  </conditionalFormatting>
  <conditionalFormatting sqref="CN14:CT14">
    <cfRule type="cellIs" dxfId="1466" priority="69" operator="equal">
      <formula>0</formula>
    </cfRule>
  </conditionalFormatting>
  <conditionalFormatting sqref="CN24:CT24">
    <cfRule type="cellIs" dxfId="1465" priority="65" operator="equal">
      <formula>0</formula>
    </cfRule>
  </conditionalFormatting>
  <conditionalFormatting sqref="CN30:CT30">
    <cfRule type="cellIs" dxfId="1464" priority="61" operator="equal">
      <formula>0</formula>
    </cfRule>
  </conditionalFormatting>
  <conditionalFormatting sqref="CN39:CT39">
    <cfRule type="cellIs" dxfId="1463" priority="57" operator="equal">
      <formula>0</formula>
    </cfRule>
  </conditionalFormatting>
  <conditionalFormatting sqref="CN47:CT47">
    <cfRule type="cellIs" dxfId="1462" priority="53" operator="equal">
      <formula>0</formula>
    </cfRule>
  </conditionalFormatting>
  <conditionalFormatting sqref="CN54:CT54">
    <cfRule type="cellIs" dxfId="1461" priority="49" operator="equal">
      <formula>0</formula>
    </cfRule>
  </conditionalFormatting>
  <conditionalFormatting sqref="CQ11:CQ13 CS11:CT13 CQ17:CQ23 CS17:CT23 A17:A24 CQ27:CQ29 CS27:CT29 A27:A30 CQ33:CQ38 CS33:CT38 A33:A39 CQ42:CQ46 CS42:CT46 A42:A47 A77:A85 CQ77:CQ85 CS77:CT85 A88:A90 CL88:CL90 CQ88:CQ90 CS88:CT90 A105:A114 CQ105:CQ114 CS105:CT114 CL117:CL125 CN117:CQ125 A117:A132 C117:D132 CS117:CT132 CQ126 CL127:CL132 CN127:CQ132">
    <cfRule type="cellIs" dxfId="1460" priority="658" operator="equal">
      <formula>0</formula>
    </cfRule>
  </conditionalFormatting>
  <conditionalFormatting sqref="CQ11:CQ13 CS11:CT13 CQ17:CQ23 CS17:CT23 A17:A24 CQ27:CQ29 CS27:CT29 A27:A30 CQ33:CQ38 CS33:CT38 A33:A39 CQ42:CQ46 CS42:CT46 A42:A47 CQ57:CQ61 CS57:CT61 A77:A85 CQ77:CQ85 CS77:CT85 A88:A90 CQ88:CQ90 CS88:CT90 A105:A114 CQ105:CQ114 CS105:CT114 A117:A132 CQ117:CQ132 CS117:CT132">
    <cfRule type="cellIs" dxfId="1459" priority="659" operator="greaterThan">
      <formula>0</formula>
    </cfRule>
  </conditionalFormatting>
  <conditionalFormatting sqref="CQ50:CQ53 CS50:CT53 A93:A96 C93:D96 CL93:CL96 CS93:CT96 CV93:DB96 CQ96 CQ98:CQ100 CS98:CT100 CQ102 CS102:CT102 CQ135:CQ137 CS135:CT137 CQ139 CS139:CT139 CQ141 CS141:CT141 CQ143:CQ144 CS143:CT144 CQ146 CS146:CT146 CQ149:CQ154 CS149:CT154 CQ156 CS156:CT156 CQ159:CQ164 CS159:CT164 CQ166 CS166:CT166 CQ168:CQ170 CS168:CT170">
    <cfRule type="cellIs" dxfId="1458" priority="187" operator="equal">
      <formula>0</formula>
    </cfRule>
  </conditionalFormatting>
  <conditionalFormatting sqref="CQ174:CQ181 CS174:CT181">
    <cfRule type="cellIs" dxfId="1457" priority="157" operator="equal">
      <formula>0</formula>
    </cfRule>
  </conditionalFormatting>
  <conditionalFormatting sqref="CQ14:CT14 CQ24:CT24 CQ30:CT30 CQ39:CT39 CQ47:CT47 CQ50:CQ53 CS50:CT53 CQ54:CT54 CQ93:CQ96 CS93:CT96 CQ98:CQ100 CS98:CT100 CQ102 CS102:CT102 CQ135:CQ137 CS135:CT137 CQ139 CS139:CT139 CQ141 CS141:CT141 CQ143:CQ144 CS143:CT144 CQ146 CS146:CT146 CQ149:CQ154 CS149:CT154 CQ156 CS156:CT156 CQ159:CQ164 CS159:CT164 CQ166 CS166:CT166 CQ168:CQ170 CS168:CT170">
    <cfRule type="cellIs" dxfId="1456" priority="188" operator="greaterThan">
      <formula>0</formula>
    </cfRule>
  </conditionalFormatting>
  <conditionalFormatting sqref="CR61">
    <cfRule type="cellIs" dxfId="1455" priority="8" operator="equal">
      <formula>0</formula>
    </cfRule>
    <cfRule type="cellIs" dxfId="1454" priority="9" operator="greaterThan">
      <formula>0</formula>
    </cfRule>
  </conditionalFormatting>
  <conditionalFormatting sqref="CV11:DA11">
    <cfRule type="cellIs" dxfId="1453" priority="194" operator="greaterThan">
      <formula>0</formula>
    </cfRule>
  </conditionalFormatting>
  <conditionalFormatting sqref="CV11:DA14 CV88:DB90 CV117:DB132">
    <cfRule type="cellIs" dxfId="1452" priority="195" operator="equal">
      <formula>0</formula>
    </cfRule>
    <cfRule type="cellIs" dxfId="1451" priority="193" operator="lessThan">
      <formula>0</formula>
    </cfRule>
  </conditionalFormatting>
  <conditionalFormatting sqref="CV11:DB12">
    <cfRule type="cellIs" dxfId="1450" priority="485" operator="lessThan">
      <formula>0</formula>
    </cfRule>
    <cfRule type="cellIs" dxfId="1449" priority="487" operator="equal">
      <formula>0</formula>
    </cfRule>
  </conditionalFormatting>
  <conditionalFormatting sqref="CV11:DB170 A64:A74 CQ64:CQ74 CS64:CT74 A93:A96">
    <cfRule type="cellIs" dxfId="1448" priority="217" operator="greaterThan">
      <formula>0</formula>
    </cfRule>
  </conditionalFormatting>
  <conditionalFormatting sqref="CV57:DB61">
    <cfRule type="cellIs" dxfId="1447" priority="7" operator="lessThan">
      <formula>0</formula>
    </cfRule>
    <cfRule type="cellIs" dxfId="1446" priority="6" operator="equal">
      <formula>0</formula>
    </cfRule>
  </conditionalFormatting>
  <conditionalFormatting sqref="CV64:DB74">
    <cfRule type="cellIs" dxfId="1445" priority="222" operator="lessThan">
      <formula>0</formula>
    </cfRule>
  </conditionalFormatting>
  <conditionalFormatting sqref="CV93:DB96">
    <cfRule type="cellIs" dxfId="1444" priority="213" operator="lessThan">
      <formula>0</formula>
    </cfRule>
  </conditionalFormatting>
  <conditionalFormatting sqref="CV143:DB144">
    <cfRule type="cellIs" dxfId="1443" priority="395" operator="lessThan">
      <formula>0</formula>
    </cfRule>
    <cfRule type="cellIs" dxfId="1442" priority="397" operator="equal">
      <formula>0</formula>
    </cfRule>
  </conditionalFormatting>
  <conditionalFormatting sqref="CV159:DB164">
    <cfRule type="cellIs" dxfId="1441" priority="316" operator="lessThan">
      <formula>0</formula>
    </cfRule>
    <cfRule type="cellIs" dxfId="1440" priority="318" operator="equal">
      <formula>0</formula>
    </cfRule>
  </conditionalFormatting>
  <conditionalFormatting sqref="CV168:DB170">
    <cfRule type="cellIs" dxfId="1439" priority="348" operator="lessThan">
      <formula>0</formula>
    </cfRule>
    <cfRule type="cellIs" dxfId="1438" priority="350" operator="equal">
      <formula>0</formula>
    </cfRule>
  </conditionalFormatting>
  <conditionalFormatting sqref="CV174:DB181">
    <cfRule type="cellIs" dxfId="1437" priority="161" operator="lessThan">
      <formula>0</formula>
    </cfRule>
    <cfRule type="cellIs" dxfId="1436" priority="162" operator="greaterThan">
      <formula>0</formula>
    </cfRule>
    <cfRule type="cellIs" dxfId="1435" priority="163" operator="equal">
      <formula>0</formula>
    </cfRule>
  </conditionalFormatting>
  <conditionalFormatting sqref="CW12">
    <cfRule type="cellIs" dxfId="1434" priority="208" operator="lessThan">
      <formula>0</formula>
    </cfRule>
    <cfRule type="cellIs" dxfId="1433" priority="210" operator="equal">
      <formula>0</formula>
    </cfRule>
    <cfRule type="cellIs" dxfId="1432" priority="209" operator="greaterThan">
      <formula>0</formula>
    </cfRule>
  </conditionalFormatting>
  <conditionalFormatting sqref="DB12:DB14 CV17:DB24 CV27:DB30 CV33:DB39 CV42:DB47 CV50:DB54 CV77:DB85 CV98:DB100 CV102:DB102 CV105:DB114 CV135:DB137 CV139:DB139 CV141:DB141 CV146:DB146 CV149:DB154 CV156:DB156 CV166:DB166">
    <cfRule type="cellIs" dxfId="1431" priority="385" operator="equal">
      <formula>0</formula>
    </cfRule>
    <cfRule type="cellIs" dxfId="1430" priority="383" operator="lessThan">
      <formula>0</formula>
    </cfRule>
  </conditionalFormatting>
  <conditionalFormatting sqref="DC14">
    <cfRule type="cellIs" dxfId="1429" priority="145" operator="equal">
      <formula>0</formula>
    </cfRule>
    <cfRule type="cellIs" dxfId="1428" priority="144" operator="greaterThan">
      <formula>0</formula>
    </cfRule>
    <cfRule type="cellIs" dxfId="1427" priority="143" operator="lessThan">
      <formula>0</formula>
    </cfRule>
  </conditionalFormatting>
  <conditionalFormatting sqref="DC24">
    <cfRule type="cellIs" dxfId="1426" priority="83" operator="lessThan">
      <formula>0</formula>
    </cfRule>
    <cfRule type="cellIs" dxfId="1425" priority="84" operator="greaterThan">
      <formula>0</formula>
    </cfRule>
    <cfRule type="cellIs" dxfId="1424" priority="85" operator="equal">
      <formula>0</formula>
    </cfRule>
  </conditionalFormatting>
  <conditionalFormatting sqref="DC30">
    <cfRule type="cellIs" dxfId="1423" priority="82" operator="equal">
      <formula>0</formula>
    </cfRule>
    <cfRule type="cellIs" dxfId="1422" priority="81" operator="greaterThan">
      <formula>0</formula>
    </cfRule>
    <cfRule type="cellIs" dxfId="1421" priority="80" operator="lessThan">
      <formula>0</formula>
    </cfRule>
  </conditionalFormatting>
  <conditionalFormatting sqref="DC39">
    <cfRule type="cellIs" dxfId="1420" priority="78" operator="greaterThan">
      <formula>0</formula>
    </cfRule>
    <cfRule type="cellIs" dxfId="1419" priority="79" operator="equal">
      <formula>0</formula>
    </cfRule>
    <cfRule type="cellIs" dxfId="1418" priority="77" operator="lessThan">
      <formula>0</formula>
    </cfRule>
  </conditionalFormatting>
  <conditionalFormatting sqref="DC47">
    <cfRule type="cellIs" dxfId="1417" priority="76" operator="equal">
      <formula>0</formula>
    </cfRule>
    <cfRule type="cellIs" dxfId="1416" priority="75" operator="greaterThan">
      <formula>0</formula>
    </cfRule>
    <cfRule type="cellIs" dxfId="1415" priority="74" operator="lessThan">
      <formula>0</formula>
    </cfRule>
  </conditionalFormatting>
  <conditionalFormatting sqref="DC54">
    <cfRule type="cellIs" dxfId="1414" priority="73" operator="equal">
      <formula>0</formula>
    </cfRule>
    <cfRule type="cellIs" dxfId="1413" priority="71" operator="lessThan">
      <formula>0</formula>
    </cfRule>
    <cfRule type="cellIs" dxfId="1412" priority="72" operator="greaterThan">
      <formula>0</formula>
    </cfRule>
  </conditionalFormatting>
  <conditionalFormatting sqref="DC61">
    <cfRule type="cellIs" dxfId="1411" priority="3" operator="equal">
      <formula>0</formula>
    </cfRule>
    <cfRule type="cellIs" dxfId="1410" priority="1" operator="lessThan">
      <formula>0</formula>
    </cfRule>
    <cfRule type="cellIs" dxfId="1409" priority="2" operator="greaterThan">
      <formula>0</formula>
    </cfRule>
  </conditionalFormatting>
  <conditionalFormatting sqref="DE123:DG123">
    <cfRule type="cellIs" dxfId="1408" priority="23" operator="equal">
      <formula>0</formula>
    </cfRule>
    <cfRule type="cellIs" dxfId="1407" priority="24" operator="greaterThan">
      <formula>0</formula>
    </cfRule>
  </conditionalFormatting>
  <conditionalFormatting sqref="DE14:DP14">
    <cfRule type="cellIs" dxfId="1406" priority="126" operator="equal">
      <formula>0</formula>
    </cfRule>
    <cfRule type="cellIs" dxfId="1405" priority="127" operator="greaterThan">
      <formula>0</formula>
    </cfRule>
  </conditionalFormatting>
  <conditionalFormatting sqref="DE24:DP24">
    <cfRule type="cellIs" dxfId="1404" priority="121" operator="equal">
      <formula>0</formula>
    </cfRule>
    <cfRule type="cellIs" dxfId="1403" priority="122" operator="greaterThan">
      <formula>0</formula>
    </cfRule>
  </conditionalFormatting>
  <conditionalFormatting sqref="DE30:DP30">
    <cfRule type="cellIs" dxfId="1402" priority="117" operator="greaterThan">
      <formula>0</formula>
    </cfRule>
    <cfRule type="cellIs" dxfId="1401" priority="116" operator="equal">
      <formula>0</formula>
    </cfRule>
  </conditionalFormatting>
  <conditionalFormatting sqref="DE39:DP39">
    <cfRule type="cellIs" dxfId="1400" priority="112" operator="greaterThan">
      <formula>0</formula>
    </cfRule>
    <cfRule type="cellIs" dxfId="1399" priority="111" operator="equal">
      <formula>0</formula>
    </cfRule>
  </conditionalFormatting>
  <conditionalFormatting sqref="DE47:DP47">
    <cfRule type="cellIs" dxfId="1398" priority="107" operator="greaterThan">
      <formula>0</formula>
    </cfRule>
    <cfRule type="cellIs" dxfId="1397" priority="106" operator="equal">
      <formula>0</formula>
    </cfRule>
  </conditionalFormatting>
  <conditionalFormatting sqref="DE54:DP54">
    <cfRule type="cellIs" dxfId="1396" priority="102" operator="greaterThan">
      <formula>0</formula>
    </cfRule>
    <cfRule type="cellIs" dxfId="1395" priority="101" operator="equal">
      <formula>0</formula>
    </cfRule>
  </conditionalFormatting>
  <conditionalFormatting sqref="DE61:DP61">
    <cfRule type="cellIs" dxfId="1394" priority="5" operator="greaterThan">
      <formula>0</formula>
    </cfRule>
    <cfRule type="cellIs" dxfId="1393" priority="4" operator="equal">
      <formula>0</formula>
    </cfRule>
  </conditionalFormatting>
  <dataValidations xWindow="86" yWindow="660" count="50">
    <dataValidation allowBlank="1" showInputMessage="1" promptTitle="Selected Profile Name" prompt="The selected Profile name should match the respective name on the 'I&amp;E Inputs_profiles' sheet._x000a__x000a_If the inputed name has changed on the 'I&amp;E Profiles' sheet, it must be reselected from the dropdown menu in column E." sqref="CP7" xr:uid="{85D9816D-36D6-4626-8BA7-126F452B1C37}"/>
    <dataValidation allowBlank="1" showInputMessage="1" promptTitle="I&amp;E profiling formula" prompt="If the &quot;Annual&quot; option is selected in column G, the formula applies the selected I&amp;E profile to the annual amount to calculate monthly forecasts. Actuals are taken from &quot;I&amp;E Monthly&quot;._x000a__x000a_If &quot;Monthly&quot; is selected, data is taken from &quot;I&amp;E Monthly&quot;." sqref="AA7" xr:uid="{DF71C78F-C814-4ADB-B7CF-7A4281418DAB}"/>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50" xr:uid="{4E66B265-732E-46A6-B675-FF27214197E2}"/>
    <dataValidation allowBlank="1" showInputMessage="1" promptTitle="Other operating expenditure" prompt="This could include one-off costs ahead of merger." sqref="B125:B127" xr:uid="{1F4DBA20-D128-45D9-8EB5-F30787A24E6E}"/>
    <dataValidation allowBlank="1" showInputMessage="1" promptTitle="Bad debt provision costs" prompt="This is the value of debts provided for in the period." sqref="B124" xr:uid="{D17B6794-7DCB-4242-86D1-3589DC89E8A5}"/>
    <dataValidation allowBlank="1" showInputMessage="1" promptTitle="Operational &amp; maintenance cost" prompt="To include, e.g. caretaking, water charges, security, insurance, waste disposal and national non-domestic rates. From a maintenance perspective, this could include unblocking drains, repairing breakages and planned maintenance. Exclude energy." sqref="B127" xr:uid="{DDBFDBE8-33E8-4C15-84E1-51DB2016037F}"/>
    <dataValidation allowBlank="1" showInputMessage="1" promptTitle="Administration Costs" prompt="To include, for example, IT, professional fees, insurance premiums, travel and subsistence, recruitment and bank charges." sqref="B119" xr:uid="{963100B3-9EB0-451C-9CC8-272B338596CC}"/>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8" xr:uid="{FE0F4C6F-02F8-420F-8D87-2C748EEA31A9}"/>
    <dataValidation allowBlank="1" showInputMessage="1" promptTitle="Teaching costs" prompt="To include, for example, materials, consumables, equipment, training functions such as hairdressing, marketing, prison contracts and partnership." sqref="B117" xr:uid="{3955D0C0-579C-41D5-88D8-8F7F9AF950BB}"/>
    <dataValidation allowBlank="1" showInputMessage="1" promptTitle="Other Staff Costs" prompt="To include, for example, marketing staff and exam officers." sqref="B112" xr:uid="{D43BAD5F-19CD-44F6-B25C-60707CDA4303}"/>
    <dataValidation allowBlank="1" showInputMessage="1" promptTitle="Commercial Staff costs" prompt="To include staff costs from income generating activities such as catering, creche, farming, residences and conferences." sqref="B110" xr:uid="{91B412E1-1F7C-4162-9D4B-DC81D5EDCD02}"/>
    <dataValidation allowBlank="1" showInputMessage="1" promptTitle="Operational &amp; maintenance staff" prompt="To include, for example, cleaning, caretaking and security staff, maintenance staff and health and safety officers." sqref="B109" xr:uid="{F97D3433-76C0-4D96-9D1A-320CB100A5CD}"/>
    <dataValidation allowBlank="1" showInputMessage="1" promptTitle="Administration staff" prompt="To include, for example, finance, HR, timetabling and data entry staff." sqref="B108" xr:uid="{3552DD5E-D455-4DAE-A626-E8BF80CBAFA4}"/>
    <dataValidation allowBlank="1" showInputMessage="1" promptTitle="Teaching and other support staff" prompt="To include, for example, library staff, learning support staff, college nurses, welfare officers, recreation tutors, careers officers and counsellors." sqref="B107" xr:uid="{4047A72C-267A-4559-94F1-0F7AC5CA51B3}"/>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6" xr:uid="{32C35E17-4155-4467-913F-D4B04B51547A}"/>
    <dataValidation allowBlank="1" showInputMessage="1" promptTitle="Teaching Staff" prompt="To include basic pay costs, overtime, other allowances and additions, employer pension costs and employer NI cost." sqref="B105" xr:uid="{D747472C-1240-4FA9-902D-6EC8C1AD16BE}"/>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8" xr:uid="{FD579665-84BA-4EB3-A8EA-FF931A8C05C1}"/>
    <dataValidation allowBlank="1" showInputMessage="1" promptTitle="Endowment income" prompt="To include income from endowments as defined in the FE/HE SORP." sqref="B89" xr:uid="{92C11F51-C021-4026-A43C-7B17957E650C}"/>
    <dataValidation allowBlank="1" showInputMessage="1" promptTitle="Other income from non-learning" prompt="To include miscellaneous income, for example VAT recovered if recorded separately in the accounts." sqref="B88" xr:uid="{A50D60CB-0A33-483F-9945-CAD5A9D3BD3E}"/>
    <dataValidation allowBlank="1" showInputMessage="1" promptTitle="Other European Funding" prompt="Colleges receiving funds (from European structural funds) before incurring costs should recognise a current liability for the unspent proportion of the grant." sqref="B51" xr:uid="{B1157CAD-4D3A-4C4F-839C-77F1AEE0E77E}"/>
    <dataValidation allowBlank="1" showInputMessage="1" promptTitle="Subcontracted in HE" prompt="To include income from HE institutions for the provision of higher education courses." sqref="B45" xr:uid="{4BAD7C65-5374-42D5-94D5-0CC35114E869}"/>
    <dataValidation allowBlank="1" showInputMessage="1" promptTitle="OfS Grants" prompt="To include income received directly from OfS for prescribed HE, including that transferred from ESFA." sqref="B43" xr:uid="{D77E7922-8B89-42BF-83B4-FA93157BDC89}"/>
    <dataValidation allowBlank="1" showInputMessage="1" promptTitle="AEB Procured - ESFA" prompt="This line should be used for funding associated with the standalone procured AEB contracts that were awarded from July 2017 onwards." sqref="B34" xr:uid="{C0D64AA7-8FA7-44F3-B5E4-0D910F54263B}"/>
    <dataValidation allowBlank="1" showInputMessage="1" promptTitle="AEB Funding - Devolv Authorities" prompt="AEB clawbacks / reconciliation to be entered via the 'BS Inputs'" sqref="B35" xr:uid="{DBF3171C-7873-4172-87A7-CA7828DA9279}"/>
    <dataValidation allowBlank="1" showInputMessage="1" promptTitle="AEB Grant - ESFA" prompt="AEB clawbacks / reconciliation to be entered via the 'BS Inputs'" sqref="B33" xr:uid="{54ECE7AF-23A1-4765-B34F-DB47DE2BFE9A}"/>
    <dataValidation allowBlank="1" showInputMessage="1" promptTitle="Subcontracted in Apprenticeships" prompt="Including from other Training Providers." sqref="B28" xr:uid="{78ED00A3-AEEB-432F-BBFE-C90FADE11C91}"/>
    <dataValidation allowBlank="1" showInputMessage="1" promptTitle="Other Funding" prompt="To include income from local authorities and schools for 14-19 partnerships." sqref="B21" xr:uid="{35B6A7A5-9ED3-44B1-82DD-0040EF3CF9E5}"/>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A0CE393A-C7AF-4936-8B6E-3E4D600E9A52}"/>
    <dataValidation allowBlank="1" showInputMessage="1" promptTitle="ESFA 16-19 programme funding" prompt="Includes care standards funding, condition of funding reduction and transitional protection/formula protection funding." sqref="B17" xr:uid="{DD042B58-5006-4C6D-9A06-0DBF504EA6A9}"/>
    <dataValidation allowBlank="1" showInputMessage="1" promptTitle="Other operating expenditure" prompt="Per FRS102, LGPS employer contributions must be replaced with current service costs, past service costs, curtailments and settlements in staff costs" sqref="B113 B126:B127" xr:uid="{C15CF6E7-18E8-470B-827E-0E46D772CEC5}"/>
    <dataValidation allowBlank="1" showInputMessage="1" promptTitle="FRS102 adj." prompt="Per FRS102, LGPS employer contributions must be replaced with current service costs, past service costs, curtailments and settlements in staff costs" sqref="B113 B126:B127" xr:uid="{1C17C7C4-B16F-4B30-8FF5-DB1E049A96EA}"/>
    <dataValidation allowBlank="1" showInputMessage="1" promptTitle="Selected Profile Name" prompt="The selected Profile name should match the respective name on the 'I&amp;E Profiles' sheet._x000a__x000a_If the inputed name has changed on the 'I&amp;E Profiles' sheet, it must be reselected from the dropdown menu here." sqref="E7" xr:uid="{99F1AC9D-450E-407C-ACC7-6F0498BFFD98}"/>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Error flag will be triggered." sqref="CP7" xr:uid="{C8D02503-A60D-4536-85C9-EB70C262DBD0}"/>
    <dataValidation allowBlank="1" showInputMessage="1" promptTitle="Previous Year Reconciliation" prompt="Checks if the previous year amount on the 4 Year timeline (column V) = Previous year amount on the 12 Year timeline (column BL)._x000a__x000a_Refer to Differences section (column CM) in case of error flags." sqref="CT7" xr:uid="{46EABE54-5A64-4E8C-86FB-5F760AC438B6}"/>
    <dataValidation allowBlank="1" showInputMessage="1" promptTitle="Reconciliation to 12 year " prompt="Checks if the monthly amounts = annual amounts on the 12 Year timeline._x000a__x000a_Refer to Differences section (columns CK - CM) in case of flags." sqref="CS7" xr:uid="{5F6A9E27-0958-4503-949B-9813A3F22F0F}"/>
    <dataValidation allowBlank="1" showInputMessage="1" promptTitle="Reconciliation to 12 year " prompt="Checks if the monthly amounts = annual amounts on the 4 Year timeline._x000a__x000a_This check is only applied to line items set to &quot;Annual&quot; via the dropdown menu in column G. Refer to Differences section (columns CH- CJ) in case of error flags." sqref="CQ7:CR7" xr:uid="{3AFC462F-1381-4780-B985-47CAC1100233}"/>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CE1365EF-31F2-4310-AF92-9A17463646E5}"/>
    <dataValidation allowBlank="1" showInputMessage="1" promptTitle="Year 1 Forecast" prompt="The formula calculates the total forecasted amount for year 1 (excl. any actuals). _x000a__x000a_This is used for applying I&amp;E profiles to forecasts if the &quot;Annual&quot; I&amp;E forecast option is selected." sqref="J7" xr:uid="{FA78D8A4-E889-49DE-8EE1-072005282E8A}"/>
    <dataValidation allowBlank="1" showInputMessage="1" promptTitle="Year 2 Forecast" prompt="The formula calculates the total forecasted amount for year 2 (excl. any actuals). _x000a__x000a_This is used for applying I&amp;E profiles to forecasts if the &quot;Annual&quot; I&amp;E forecast option is selected." sqref="K7" xr:uid="{AE437261-2FB7-458C-B3E6-45044A6E8E25}"/>
    <dataValidation allowBlank="1" showInputMessage="1" promptTitle="Year 3 Forecast" prompt="The formula calculates the total forecasted amount for year 3 (excl. any actuals). _x000a__x000a_This is used for applying I&amp;E profiles to forecasts if the &quot;Annual&quot; I&amp;E forecast option is selected." sqref="L7" xr:uid="{308754E8-6724-44CC-A7AF-5372D5FBE8C1}"/>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check will be triggered." sqref="CN7" xr:uid="{5B7A74B8-D803-4711-9F1E-9ECAD5854707}"/>
    <dataValidation allowBlank="1" showInputMessage="1" promptTitle="International students fees" prompt="Fees for provision delivered in the UK to international students" sqref="B66" xr:uid="{3A021C3E-D0DC-4A15-8551-5F2DB120E29E}"/>
    <dataValidation allowBlank="1" showInputMessage="1" promptTitle="Full cost provision" prompt="Excludes HE and provision to international students" sqref="B64" xr:uid="{9682E50E-510A-4754-A69F-39586F2677D4}"/>
    <dataValidation allowBlank="1" showInputMessage="1" promptTitle="Other income from education" prompt="Include all funding from employers including co-investment payments and any amounts above the funding band." sqref="B67" xr:uid="{B471D2F0-E000-41A2-8D87-83A0A444F90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83" xr:uid="{5F93B1B9-EAD3-4CE1-A6CA-DF5505A5FB02}"/>
    <dataValidation allowBlank="1" showInputMessage="1" promptTitle="Input validation check" prompt="Flags where a cell contains invalid characters, such as full stops, dashes and spaces._x000a_" sqref="CO7" xr:uid="{D4BA95BF-A8B4-4BB2-8405-F670C4D1D118}"/>
    <dataValidation allowBlank="1" showInputMessage="1" sqref="B56:B61 B70:B74" xr:uid="{AA12FF8E-0557-4420-B482-1F66BD404DC6}"/>
    <dataValidation allowBlank="1" promptTitle="Other operating expenditure" prompt="This could include one-off costs ahead of merger." sqref="B128:B131" xr:uid="{ECF74C78-770E-46A3-AABC-E550FAA6989B}"/>
    <dataValidation allowBlank="1" showInputMessage="1" promptTitle="Subcontracting out costs" prompt="SUBCONTRACTING OUT COSTS MUST NOT BE ENTERED WITHOUT ANY ENTRY FOR SUBCONTRACTED OUT INCOME - FAILURE WILL RESULT IN A REJECTION OF THE RETURN" sqref="B123" xr:uid="{0F179939-B0D3-493F-83A7-7EFBA100C51F}"/>
    <dataValidation allowBlank="1" showInputMessage="1" showErrorMessage="1" promptTitle="Check on subcontracting income" prompt=" _x000a_" sqref="DD123" xr:uid="{1D5755D0-9FBE-43B5-A6F2-44822B1423AA}"/>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156" id="{368BE258-C93B-418D-9EB2-643B67CDFB5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xWindow="86" yWindow="660" count="3">
        <x14:dataValidation type="list" allowBlank="1" showInputMessage="1" showErrorMessage="1" xr:uid="{D9B3FBCA-9144-43DE-B521-8BF251093E7D}">
          <x14:formula1>
            <xm:f>Parameters!$D$21:$D$22</xm:f>
          </x14:formula1>
          <xm:sqref>G14 G180 G50:G52 G47 G98 G77:G84 G17:G22 G33:G37 G105:G112 G27:G28 G153 G150 G54 G162:G163 G30 G39 G24 G42:G45 G11:G12 G93:G95 G88:G89 G135 G117:G131 G64:G73 G57:G59 G61</xm:sqref>
        </x14:dataValidation>
        <x14:dataValidation type="list" allowBlank="1" showInputMessage="1" showErrorMessage="1" xr:uid="{309D51DF-DA10-4BA9-A148-E04419E48550}">
          <x14:formula1>
            <xm:f>'I&amp;E Profiles'!$D$96:$D$179</xm:f>
          </x14:formula1>
          <xm:sqref>E162:E163 E14 E17:E22 E24 E27:E28 E30 E33:E37 E39 E47 E50:E52 E77:E84 E98 E105:E112 E54 E135:E136 E150 E153 E180 E42:E45 E11:E12 E93:E95 E88:E89 E117:E130 E64:E73 E57:E59 E61</xm:sqref>
        </x14:dataValidation>
        <x14:dataValidation type="list" allowBlank="1" showInputMessage="1" showErrorMessage="1" xr:uid="{0A5F7C16-62C3-47FE-8437-5A6AF20A8A49}">
          <x14:formula1>
            <xm:f>'Dash Data'!$D$93:$D$100</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E333F-51D8-4722-B4E7-54AAE97C7F30}">
  <sheetPr codeName="Sheet5">
    <tabColor rgb="FFBBF7DC"/>
    <outlinePr summaryBelow="0" summaryRight="0"/>
  </sheetPr>
  <dimension ref="A1:EY182"/>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 min="2" max="2" width="9.453125" bestFit="1" customWidth="1"/>
    <col min="3" max="3" width="9.1796875" bestFit="1" customWidth="1"/>
    <col min="4" max="4" width="48.453125" customWidth="1"/>
    <col min="5" max="5" width="2.54296875" style="1" customWidth="1"/>
    <col min="6" max="8" width="2.54296875" customWidth="1"/>
    <col min="9" max="9" width="3" customWidth="1" collapsed="1"/>
    <col min="10" max="18" width="8.81640625" hidden="1" customWidth="1" outlineLevel="1"/>
    <col min="19" max="19" width="3" hidden="1" customWidth="1" outlineLevel="1"/>
    <col min="20" max="20" width="11.54296875" hidden="1" customWidth="1" outlineLevel="1"/>
    <col min="21" max="25" width="9.54296875" hidden="1" customWidth="1" outlineLevel="1"/>
    <col min="26" max="26" width="3" hidden="1" customWidth="1" outlineLevel="1"/>
    <col min="27" max="27" width="10.54296875" customWidth="1"/>
    <col min="28" max="29" width="9.453125" bestFit="1" customWidth="1"/>
    <col min="30" max="30" width="9.54296875" customWidth="1"/>
    <col min="31" max="31" width="9.54296875" bestFit="1" customWidth="1"/>
    <col min="32" max="32" width="9.1796875" bestFit="1" customWidth="1"/>
    <col min="33" max="33" width="9.453125" customWidth="1"/>
    <col min="34" max="34" width="9.54296875" bestFit="1" customWidth="1"/>
    <col min="35" max="35" width="9.453125" bestFit="1" customWidth="1"/>
    <col min="36" max="36" width="10.1796875" bestFit="1" customWidth="1"/>
    <col min="37" max="37" width="9.453125" bestFit="1" customWidth="1"/>
    <col min="38" max="38" width="8.54296875" bestFit="1" customWidth="1"/>
    <col min="39" max="39" width="9.54296875" bestFit="1" customWidth="1"/>
    <col min="40" max="41" width="9.453125" bestFit="1" customWidth="1"/>
    <col min="42" max="43" width="9.54296875" bestFit="1" customWidth="1"/>
    <col min="44" max="44" width="9.1796875" bestFit="1" customWidth="1"/>
    <col min="45" max="45" width="9.453125" bestFit="1" customWidth="1"/>
    <col min="46" max="46" width="9.54296875" bestFit="1" customWidth="1"/>
    <col min="47" max="47" width="9.453125" bestFit="1" customWidth="1"/>
    <col min="48" max="48" width="10.1796875" bestFit="1" customWidth="1"/>
    <col min="49" max="49" width="9.453125" bestFit="1" customWidth="1"/>
    <col min="50" max="50" width="8.54296875" bestFit="1" customWidth="1"/>
    <col min="51" max="51" width="9.54296875" bestFit="1" customWidth="1"/>
    <col min="52" max="53" width="9.453125" bestFit="1" customWidth="1"/>
    <col min="54" max="55" width="9.54296875" bestFit="1" customWidth="1"/>
    <col min="56" max="56" width="9.1796875" bestFit="1" customWidth="1"/>
    <col min="57" max="57" width="9.453125" bestFit="1" customWidth="1"/>
    <col min="58" max="58" width="9.54296875" bestFit="1" customWidth="1"/>
    <col min="59" max="59" width="9.453125" bestFit="1" customWidth="1"/>
    <col min="60" max="60" width="10.1796875" bestFit="1" customWidth="1"/>
    <col min="61" max="61" width="9.453125" bestFit="1" customWidth="1"/>
    <col min="62" max="62" width="8.54296875" bestFit="1" customWidth="1" collapsed="1"/>
    <col min="63" max="74" width="8.54296875" hidden="1" customWidth="1" outlineLevel="1"/>
    <col min="75" max="75" width="3" hidden="1" customWidth="1" outlineLevel="1"/>
    <col min="76" max="76" width="9.54296875" hidden="1" customWidth="1" outlineLevel="1"/>
    <col min="77" max="77" width="10.54296875" hidden="1" customWidth="1" outlineLevel="1"/>
    <col min="78" max="87" width="9.54296875" hidden="1" customWidth="1" outlineLevel="1"/>
    <col min="88" max="88" width="3" bestFit="1" customWidth="1"/>
    <col min="89" max="89" width="2.54296875" customWidth="1"/>
    <col min="90" max="90" width="13.1796875" customWidth="1"/>
    <col min="91" max="91" width="2.54296875" customWidth="1"/>
    <col min="92" max="95" width="13.1796875" customWidth="1"/>
    <col min="96" max="96" width="2.81640625" customWidth="1"/>
    <col min="154" max="154" width="8.81640625" collapsed="1"/>
    <col min="155" max="155" width="17.81640625" hidden="1" customWidth="1" outlineLevel="1"/>
  </cols>
  <sheetData>
    <row r="1" spans="1:155" x14ac:dyDescent="0.35">
      <c r="A1" s="7">
        <f ca="1">ToC!A1</f>
        <v>0</v>
      </c>
      <c r="B1" s="13" t="s">
        <v>602</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603</v>
      </c>
      <c r="CR1" s="663"/>
      <c r="EY1" s="5" t="s">
        <v>177</v>
      </c>
    </row>
    <row r="2" spans="1:155" ht="14.65" customHeight="1" x14ac:dyDescent="0.35">
      <c r="A2" s="220" cm="1">
        <f t="array" aca="1" ref="A2" ca="1">HYPERLINK(CONCATENATE("#",CELL("address",IF(SUM(A$7:A$182)=0,$A$2,INDEX(A$7:A$182,MATCH(1,A$7:A$182,0))))),SUM(A$7:A$182))</f>
        <v>0</v>
      </c>
      <c r="B2" s="67" t="str" cm="1">
        <f t="array" aca="1" ref="B2" ca="1">HYPERLINK(CONCATENATE("#",CELL("address",Guide!$C$154)),Guide!$B$1)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HYPERLINK(CONCATENATE("#",CELL("address",IF(SUM(CL$7:CL$182)=0,$CL$2,INDEX(CL$7:CL$182,MATCH(1,CL$7:CL$182,0))))),SUM(CL$7:CL$182))</f>
        <v>0</v>
      </c>
      <c r="CM2" s="663"/>
      <c r="CR2" s="663"/>
    </row>
    <row r="3" spans="1:155"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R3" s="663"/>
    </row>
    <row r="4" spans="1:155" ht="14.65" customHeight="1"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311</v>
      </c>
      <c r="CM4" s="663"/>
      <c r="CN4" s="664" t="s">
        <v>604</v>
      </c>
      <c r="CO4" s="664" t="s">
        <v>605</v>
      </c>
      <c r="CP4" s="664" t="s">
        <v>606</v>
      </c>
      <c r="CQ4" s="664" t="s">
        <v>270</v>
      </c>
      <c r="CR4" s="663"/>
    </row>
    <row r="5" spans="1:155"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64"/>
      <c r="CO5" s="664"/>
      <c r="CP5" s="664"/>
      <c r="CQ5" s="664"/>
      <c r="CR5" s="663"/>
    </row>
    <row r="6" spans="1:155" x14ac:dyDescent="0.35">
      <c r="A6" s="67" t="str" cm="1">
        <f t="array" aca="1" ref="A6" ca="1">HYPERLINK(CONCATENATE("#",CELL("address",CM7)),"Check")</f>
        <v>Check</v>
      </c>
      <c r="B6" s="22"/>
      <c r="C6" s="13"/>
      <c r="D6" s="23" t="s">
        <v>19</v>
      </c>
      <c r="E6" s="13"/>
      <c r="F6" s="13"/>
      <c r="G6" s="13"/>
      <c r="H6" s="13"/>
      <c r="I6" s="13"/>
      <c r="J6" s="13"/>
      <c r="K6" s="13"/>
      <c r="L6" s="13"/>
      <c r="M6" s="13"/>
      <c r="N6" s="15"/>
      <c r="O6" s="13"/>
      <c r="P6" s="13"/>
      <c r="Q6" s="13"/>
      <c r="R6" s="13"/>
      <c r="S6" s="13"/>
      <c r="T6" s="13"/>
      <c r="U6" s="13"/>
      <c r="V6" s="532"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2"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64"/>
      <c r="CO6" s="664"/>
      <c r="CP6" s="664"/>
      <c r="CQ6" s="664"/>
      <c r="CR6" s="663"/>
    </row>
    <row r="7" spans="1:155" x14ac:dyDescent="0.35">
      <c r="D7" s="1"/>
      <c r="E7"/>
      <c r="BY7" s="6"/>
      <c r="CK7" s="35"/>
      <c r="CL7" s="85" t="s">
        <v>122</v>
      </c>
      <c r="CM7" s="35"/>
      <c r="CN7" s="85" t="s">
        <v>122</v>
      </c>
      <c r="CO7" s="85" t="s">
        <v>122</v>
      </c>
      <c r="CP7" s="85" t="s">
        <v>122</v>
      </c>
      <c r="CQ7" s="85" t="s">
        <v>122</v>
      </c>
      <c r="CR7" s="35"/>
    </row>
    <row r="8" spans="1:155" x14ac:dyDescent="0.35">
      <c r="D8" s="5" t="s">
        <v>607</v>
      </c>
      <c r="E8"/>
      <c r="AA8" s="84"/>
      <c r="AB8" s="84"/>
      <c r="AC8" s="84"/>
      <c r="AD8" s="84"/>
      <c r="AE8" s="84"/>
      <c r="AF8" s="84"/>
      <c r="AG8" s="84"/>
      <c r="AH8" s="84"/>
      <c r="AI8" s="84"/>
      <c r="AJ8" s="84"/>
      <c r="AK8" s="84"/>
      <c r="AL8" s="84"/>
      <c r="CK8" s="11"/>
      <c r="CM8" s="11"/>
      <c r="CR8" s="35"/>
      <c r="EY8" s="10" t="str">
        <f t="shared" ref="EY8:EY39" si="0">IF($C8="","",$D8)</f>
        <v/>
      </c>
    </row>
    <row r="9" spans="1:155" x14ac:dyDescent="0.35">
      <c r="A9" s="220" cm="1">
        <f t="array" aca="1" ref="A9" ca="1">HYPERLINK(CONCATENATE("#",CELL("address",IF(MAX($CM9:$CR9)=0,A9,INDEX($CM9:$CR9,MATCH(1,$CM9:$CR9,0))))),MAX($CM9:$CR9))</f>
        <v>0</v>
      </c>
      <c r="D9" t="s">
        <v>608</v>
      </c>
      <c r="E9"/>
      <c r="H9" s="9"/>
      <c r="AA9" s="134">
        <v>0.12560001433516235</v>
      </c>
      <c r="AB9" s="134">
        <v>9.439999047529482E-2</v>
      </c>
      <c r="AC9" s="134">
        <v>9.5600019145619511E-2</v>
      </c>
      <c r="AD9" s="134">
        <v>7.4399973638694744E-2</v>
      </c>
      <c r="AE9" s="134">
        <v>5.5999974985622744E-2</v>
      </c>
      <c r="AF9" s="134">
        <v>5.5999974985622744E-2</v>
      </c>
      <c r="AG9" s="134">
        <v>5.2000019722874373E-2</v>
      </c>
      <c r="AH9" s="134">
        <v>5.1599970078956441E-2</v>
      </c>
      <c r="AI9" s="134">
        <v>0.12560001433516235</v>
      </c>
      <c r="AJ9" s="134">
        <v>0.11600002549542297</v>
      </c>
      <c r="AK9" s="134">
        <v>9.6000008658822897E-2</v>
      </c>
      <c r="AL9" s="134">
        <v>5.6800014142744062E-2</v>
      </c>
      <c r="AM9" s="134">
        <v>0.12560001433516235</v>
      </c>
      <c r="AN9" s="134">
        <v>9.439999047529482E-2</v>
      </c>
      <c r="AO9" s="134">
        <v>9.5600019145619511E-2</v>
      </c>
      <c r="AP9" s="134">
        <v>7.4399973638694744E-2</v>
      </c>
      <c r="AQ9" s="134">
        <v>5.5999974985622744E-2</v>
      </c>
      <c r="AR9" s="134">
        <v>5.5999974985622744E-2</v>
      </c>
      <c r="AS9" s="134">
        <v>5.2000019722874373E-2</v>
      </c>
      <c r="AT9" s="134">
        <v>5.1599970078956441E-2</v>
      </c>
      <c r="AU9" s="134">
        <v>0.12560001433516235</v>
      </c>
      <c r="AV9" s="134">
        <v>0.11600002549542297</v>
      </c>
      <c r="AW9" s="134">
        <v>9.6000008658822897E-2</v>
      </c>
      <c r="AX9" s="134">
        <v>5.6800014142744062E-2</v>
      </c>
      <c r="AY9" s="134">
        <v>0.12560001433516235</v>
      </c>
      <c r="AZ9" s="134">
        <v>9.439999047529482E-2</v>
      </c>
      <c r="BA9" s="134">
        <v>9.5600019145619511E-2</v>
      </c>
      <c r="BB9" s="134">
        <v>7.4399973638694744E-2</v>
      </c>
      <c r="BC9" s="134">
        <v>5.5999974985622744E-2</v>
      </c>
      <c r="BD9" s="134">
        <v>5.5999974985622744E-2</v>
      </c>
      <c r="BE9" s="134">
        <v>5.2000019722874373E-2</v>
      </c>
      <c r="BF9" s="134">
        <v>5.1599970078956441E-2</v>
      </c>
      <c r="BG9" s="134">
        <v>0.12560001433516235</v>
      </c>
      <c r="BH9" s="134">
        <v>0.11600002549542297</v>
      </c>
      <c r="BI9" s="134">
        <v>9.6000008658822897E-2</v>
      </c>
      <c r="BJ9" s="134">
        <v>5.6800014142744062E-2</v>
      </c>
      <c r="CK9" s="11"/>
      <c r="CL9" s="221">
        <f t="shared" ref="CL9:CL40" si="1">IF(MIN($AA9:$BJ9)&lt;0, 1, 0)</f>
        <v>0</v>
      </c>
      <c r="CM9" s="11"/>
      <c r="CN9" s="7">
        <f t="shared" ref="CN9:CN40" si="2">IF(OR(SUM(AA9:AL9)=1, SUM(AA9:AL9)=0), 0, 1)</f>
        <v>0</v>
      </c>
      <c r="CO9" s="7">
        <f t="shared" ref="CO9:CO40" si="3">IF(OR(SUM(AM9:AX9)=1, SUM(AM9:AX9)=0), 0, 1)</f>
        <v>0</v>
      </c>
      <c r="CP9" s="7">
        <f t="shared" ref="CP9:CP40" si="4">IF(OR(SUM(AY9:BJ9)=1, SUM(AY9:BJ9)=0), 0, 1)</f>
        <v>0</v>
      </c>
      <c r="CR9" s="35"/>
      <c r="EY9" s="10" t="str">
        <f t="shared" si="0"/>
        <v/>
      </c>
    </row>
    <row r="10" spans="1:155" x14ac:dyDescent="0.35">
      <c r="A10" s="220" cm="1">
        <f t="array" aca="1" ref="A10" ca="1">HYPERLINK(CONCATENATE("#",CELL("address",IF(MAX($CM10:$CR10)=0,A10,INDEX($CM10:$CR10,MATCH(1,$CM10:$CR10,0))))),MAX($CM10:$CR10))</f>
        <v>0</v>
      </c>
      <c r="D10" t="s">
        <v>609</v>
      </c>
      <c r="E10"/>
      <c r="H10" s="9"/>
      <c r="AA10" s="55">
        <f t="shared" ref="AA10:BJ10" si="5">1/12</f>
        <v>8.3333333333333329E-2</v>
      </c>
      <c r="AB10" s="55">
        <f t="shared" si="5"/>
        <v>8.3333333333333329E-2</v>
      </c>
      <c r="AC10" s="55">
        <f t="shared" si="5"/>
        <v>8.3333333333333329E-2</v>
      </c>
      <c r="AD10" s="55">
        <f t="shared" si="5"/>
        <v>8.3333333333333329E-2</v>
      </c>
      <c r="AE10" s="55">
        <f t="shared" si="5"/>
        <v>8.3333333333333329E-2</v>
      </c>
      <c r="AF10" s="55">
        <f t="shared" si="5"/>
        <v>8.3333333333333329E-2</v>
      </c>
      <c r="AG10" s="55">
        <f t="shared" si="5"/>
        <v>8.3333333333333329E-2</v>
      </c>
      <c r="AH10" s="55">
        <f t="shared" si="5"/>
        <v>8.3333333333333329E-2</v>
      </c>
      <c r="AI10" s="55">
        <f t="shared" si="5"/>
        <v>8.3333333333333329E-2</v>
      </c>
      <c r="AJ10" s="55">
        <f t="shared" si="5"/>
        <v>8.3333333333333329E-2</v>
      </c>
      <c r="AK10" s="55">
        <f t="shared" si="5"/>
        <v>8.3333333333333329E-2</v>
      </c>
      <c r="AL10" s="55">
        <f t="shared" si="5"/>
        <v>8.3333333333333329E-2</v>
      </c>
      <c r="AM10" s="55">
        <f t="shared" si="5"/>
        <v>8.3333333333333329E-2</v>
      </c>
      <c r="AN10" s="55">
        <f t="shared" si="5"/>
        <v>8.3333333333333329E-2</v>
      </c>
      <c r="AO10" s="55">
        <f t="shared" si="5"/>
        <v>8.3333333333333329E-2</v>
      </c>
      <c r="AP10" s="55">
        <f t="shared" si="5"/>
        <v>8.3333333333333329E-2</v>
      </c>
      <c r="AQ10" s="55">
        <f t="shared" si="5"/>
        <v>8.3333333333333329E-2</v>
      </c>
      <c r="AR10" s="55">
        <f t="shared" si="5"/>
        <v>8.3333333333333329E-2</v>
      </c>
      <c r="AS10" s="55">
        <f t="shared" si="5"/>
        <v>8.3333333333333329E-2</v>
      </c>
      <c r="AT10" s="55">
        <f t="shared" si="5"/>
        <v>8.3333333333333329E-2</v>
      </c>
      <c r="AU10" s="55">
        <f t="shared" si="5"/>
        <v>8.3333333333333329E-2</v>
      </c>
      <c r="AV10" s="55">
        <f t="shared" si="5"/>
        <v>8.3333333333333329E-2</v>
      </c>
      <c r="AW10" s="55">
        <f t="shared" si="5"/>
        <v>8.3333333333333329E-2</v>
      </c>
      <c r="AX10" s="55">
        <f t="shared" si="5"/>
        <v>8.3333333333333329E-2</v>
      </c>
      <c r="AY10" s="55">
        <f t="shared" si="5"/>
        <v>8.3333333333333329E-2</v>
      </c>
      <c r="AZ10" s="55">
        <f t="shared" si="5"/>
        <v>8.3333333333333329E-2</v>
      </c>
      <c r="BA10" s="55">
        <f t="shared" si="5"/>
        <v>8.3333333333333329E-2</v>
      </c>
      <c r="BB10" s="55">
        <f t="shared" si="5"/>
        <v>8.3333333333333329E-2</v>
      </c>
      <c r="BC10" s="55">
        <f t="shared" si="5"/>
        <v>8.3333333333333329E-2</v>
      </c>
      <c r="BD10" s="55">
        <f t="shared" si="5"/>
        <v>8.3333333333333329E-2</v>
      </c>
      <c r="BE10" s="55">
        <f t="shared" si="5"/>
        <v>8.3333333333333329E-2</v>
      </c>
      <c r="BF10" s="55">
        <f t="shared" si="5"/>
        <v>8.3333333333333329E-2</v>
      </c>
      <c r="BG10" s="55">
        <f t="shared" si="5"/>
        <v>8.3333333333333329E-2</v>
      </c>
      <c r="BH10" s="55">
        <f t="shared" si="5"/>
        <v>8.3333333333333329E-2</v>
      </c>
      <c r="BI10" s="55">
        <f t="shared" si="5"/>
        <v>8.3333333333333329E-2</v>
      </c>
      <c r="BJ10" s="55">
        <f t="shared" si="5"/>
        <v>8.3333333333333329E-2</v>
      </c>
      <c r="CK10" s="11"/>
      <c r="CL10" s="221">
        <f t="shared" si="1"/>
        <v>0</v>
      </c>
      <c r="CM10" s="11"/>
      <c r="CN10" s="7">
        <f t="shared" si="2"/>
        <v>0</v>
      </c>
      <c r="CO10" s="7">
        <f t="shared" si="3"/>
        <v>0</v>
      </c>
      <c r="CP10" s="7">
        <f t="shared" si="4"/>
        <v>0</v>
      </c>
      <c r="CR10" s="35"/>
      <c r="EY10" s="10" t="str">
        <f t="shared" si="0"/>
        <v/>
      </c>
    </row>
    <row r="11" spans="1:155" x14ac:dyDescent="0.35">
      <c r="A11" s="220" cm="1">
        <f t="array" aca="1" ref="A11" ca="1">HYPERLINK(CONCATENATE("#",CELL("address",IF(MAX($CM11:$CR11)=0,A11,INDEX($CM11:$CR11,MATCH(1,$CM11:$CR11,0))))),MAX($CM11:$CR11))</f>
        <v>0</v>
      </c>
      <c r="D11" t="s">
        <v>610</v>
      </c>
      <c r="E11"/>
      <c r="AA11" s="608">
        <v>0.5</v>
      </c>
      <c r="AB11" s="608">
        <v>0</v>
      </c>
      <c r="AC11" s="608">
        <v>0</v>
      </c>
      <c r="AD11" s="608">
        <v>0</v>
      </c>
      <c r="AE11" s="608">
        <v>0</v>
      </c>
      <c r="AF11" s="608">
        <v>0.25</v>
      </c>
      <c r="AG11" s="608">
        <v>0</v>
      </c>
      <c r="AH11" s="608">
        <v>0</v>
      </c>
      <c r="AI11" s="608">
        <v>0.25</v>
      </c>
      <c r="AJ11" s="608">
        <v>0</v>
      </c>
      <c r="AK11" s="608">
        <v>0</v>
      </c>
      <c r="AL11" s="608">
        <v>0</v>
      </c>
      <c r="AM11" s="608">
        <v>0.5</v>
      </c>
      <c r="AN11" s="608">
        <v>0</v>
      </c>
      <c r="AO11" s="608">
        <v>0</v>
      </c>
      <c r="AP11" s="608">
        <v>0</v>
      </c>
      <c r="AQ11" s="608">
        <v>0</v>
      </c>
      <c r="AR11" s="608">
        <v>0.25</v>
      </c>
      <c r="AS11" s="608">
        <v>0</v>
      </c>
      <c r="AT11" s="608">
        <v>0</v>
      </c>
      <c r="AU11" s="608">
        <v>0.25</v>
      </c>
      <c r="AV11" s="608">
        <v>0</v>
      </c>
      <c r="AW11" s="608">
        <v>0</v>
      </c>
      <c r="AX11" s="608">
        <v>0</v>
      </c>
      <c r="AY11" s="608">
        <v>0.5</v>
      </c>
      <c r="AZ11" s="608">
        <v>0</v>
      </c>
      <c r="BA11" s="608">
        <v>0</v>
      </c>
      <c r="BB11" s="608">
        <v>0</v>
      </c>
      <c r="BC11" s="608">
        <v>0</v>
      </c>
      <c r="BD11" s="608">
        <v>0.25</v>
      </c>
      <c r="BE11" s="608">
        <v>0</v>
      </c>
      <c r="BF11" s="608">
        <v>0</v>
      </c>
      <c r="BG11" s="608">
        <v>0.25</v>
      </c>
      <c r="BH11" s="608">
        <v>0</v>
      </c>
      <c r="BI11" s="608">
        <v>0</v>
      </c>
      <c r="BJ11" s="608">
        <v>0</v>
      </c>
      <c r="CK11" s="35"/>
      <c r="CL11" s="221">
        <f>IF(MIN($AA11:$BJ11)&lt;0, 1, 0)</f>
        <v>0</v>
      </c>
      <c r="CM11" s="35"/>
      <c r="CN11" s="7">
        <f>IF(OR(SUM(AA11:AL11)=1, SUM(AA11:AL11)=0), 0, 1)</f>
        <v>0</v>
      </c>
      <c r="CO11" s="7">
        <f>IF(OR(SUM(AM11:AX11)=1, SUM(AM11:AX11)=0), 0, 1)</f>
        <v>0</v>
      </c>
      <c r="CP11" s="7">
        <f>IF(OR(SUM(AY11:BJ11)=1, SUM(AY11:BJ11)=0), 0, 1)</f>
        <v>0</v>
      </c>
      <c r="CR11" s="35"/>
      <c r="EY11" s="99" t="str">
        <f>IF($C11="","",$D11)</f>
        <v/>
      </c>
    </row>
    <row r="12" spans="1:155" x14ac:dyDescent="0.35">
      <c r="A12" s="220" cm="1">
        <f t="array" aca="1" ref="A12" ca="1">HYPERLINK(CONCATENATE("#",CELL("address",IF(MAX($CM12:$CR12)=0,A12,INDEX($CM12:$CR12,MATCH(1,$CM12:$CR12,0))))),MAX($CM12:$CR12))</f>
        <v>0</v>
      </c>
      <c r="D12" s="109"/>
      <c r="E12"/>
      <c r="H12" s="9"/>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CK12" s="11"/>
      <c r="CL12" s="221">
        <f>IF(MIN($AA12:$BJ12)&lt;0, 1, 0)</f>
        <v>0</v>
      </c>
      <c r="CM12" s="11"/>
      <c r="CN12" s="7">
        <f>IF(OR(SUM(AA12:AL12)=1, SUM(AA12:AL12)=0), 0, 1)</f>
        <v>0</v>
      </c>
      <c r="CO12" s="7">
        <f>IF(OR(SUM(AM12:AX12)=1, SUM(AM12:AX12)=0), 0, 1)</f>
        <v>0</v>
      </c>
      <c r="CP12" s="7">
        <f>IF(OR(SUM(AY12:BJ12)=1, SUM(AY12:BJ12)=0), 0, 1)</f>
        <v>0</v>
      </c>
      <c r="CQ12" s="7" cm="1">
        <f t="array" ref="CQ12">SUMPRODUCT(--NOT(ISNUMBER(AA12:BJ12)),--NOT(ISBLANK(AA12:BJ12)))</f>
        <v>0</v>
      </c>
      <c r="CR12" s="35"/>
      <c r="EY12" s="10" t="str">
        <f>IF($C12="","",$D12)</f>
        <v/>
      </c>
    </row>
    <row r="13" spans="1:155" x14ac:dyDescent="0.35">
      <c r="A13" s="220" cm="1">
        <f t="array" aca="1" ref="A13" ca="1">HYPERLINK(CONCATENATE("#",CELL("address",IF(MAX($CM13:$CR13)=0,A13,INDEX($CM13:$CR13,MATCH(1,$CM13:$CR13,0))))),MAX($CM13:$CR13))</f>
        <v>0</v>
      </c>
      <c r="D13" s="109"/>
      <c r="H13" s="9"/>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CK13" s="11"/>
      <c r="CL13" s="221">
        <f t="shared" si="1"/>
        <v>0</v>
      </c>
      <c r="CM13" s="11"/>
      <c r="CN13" s="7">
        <f t="shared" si="2"/>
        <v>0</v>
      </c>
      <c r="CO13" s="7">
        <f t="shared" si="3"/>
        <v>0</v>
      </c>
      <c r="CP13" s="7">
        <f t="shared" si="4"/>
        <v>0</v>
      </c>
      <c r="CQ13" s="7" cm="1">
        <f t="array" ref="CQ13">SUMPRODUCT(--NOT(ISNUMBER(AA13:BJ13)),--NOT(ISBLANK(AA13:BJ13)))</f>
        <v>0</v>
      </c>
      <c r="CR13" s="35"/>
      <c r="EY13" s="10" t="str">
        <f t="shared" si="0"/>
        <v/>
      </c>
    </row>
    <row r="14" spans="1:155" x14ac:dyDescent="0.35">
      <c r="A14" s="220" cm="1">
        <f t="array" aca="1" ref="A14" ca="1">HYPERLINK(CONCATENATE("#",CELL("address",IF(MAX($CM14:$CR14)=0,A14,INDEX($CM14:$CR14,MATCH(1,$CM14:$CR14,0))))),MAX($CM14:$CR14))</f>
        <v>0</v>
      </c>
      <c r="D14" s="109"/>
      <c r="H14" s="9"/>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CK14" s="11"/>
      <c r="CL14" s="221">
        <f t="shared" si="1"/>
        <v>0</v>
      </c>
      <c r="CM14" s="11"/>
      <c r="CN14" s="7">
        <f t="shared" si="2"/>
        <v>0</v>
      </c>
      <c r="CO14" s="7">
        <f t="shared" si="3"/>
        <v>0</v>
      </c>
      <c r="CP14" s="7">
        <f t="shared" si="4"/>
        <v>0</v>
      </c>
      <c r="CQ14" s="7" cm="1">
        <f t="array" ref="CQ14">SUMPRODUCT(--NOT(ISNUMBER(AA14:BJ14)),--NOT(ISBLANK(AA14:BJ14)))</f>
        <v>0</v>
      </c>
      <c r="CR14" s="35"/>
      <c r="EY14" s="10" t="str">
        <f t="shared" si="0"/>
        <v/>
      </c>
    </row>
    <row r="15" spans="1:155" x14ac:dyDescent="0.35">
      <c r="A15" s="220" cm="1">
        <f t="array" aca="1" ref="A15" ca="1">HYPERLINK(CONCATENATE("#",CELL("address",IF(MAX($CM15:$CR15)=0,A15,INDEX($CM15:$CR15,MATCH(1,$CM15:$CR15,0))))),MAX($CM15:$CR15))</f>
        <v>0</v>
      </c>
      <c r="D15" s="109"/>
      <c r="H15" s="9"/>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CK15" s="11"/>
      <c r="CL15" s="221">
        <f t="shared" si="1"/>
        <v>0</v>
      </c>
      <c r="CM15" s="11"/>
      <c r="CN15" s="7">
        <f t="shared" si="2"/>
        <v>0</v>
      </c>
      <c r="CO15" s="7">
        <f t="shared" si="3"/>
        <v>0</v>
      </c>
      <c r="CP15" s="7">
        <f t="shared" si="4"/>
        <v>0</v>
      </c>
      <c r="CQ15" s="7" cm="1">
        <f t="array" ref="CQ15">SUMPRODUCT(--NOT(ISNUMBER(AA15:BJ15)),--NOT(ISBLANK(AA15:BJ15)))</f>
        <v>0</v>
      </c>
      <c r="CR15" s="35"/>
      <c r="EY15" s="10" t="str">
        <f t="shared" si="0"/>
        <v/>
      </c>
    </row>
    <row r="16" spans="1:155" x14ac:dyDescent="0.35">
      <c r="A16" s="220" cm="1">
        <f t="array" aca="1" ref="A16" ca="1">HYPERLINK(CONCATENATE("#",CELL("address",IF(MAX($CM16:$CR16)=0,A16,INDEX($CM16:$CR16,MATCH(1,$CM16:$CR16,0))))),MAX($CM16:$CR16))</f>
        <v>0</v>
      </c>
      <c r="D16" s="109"/>
      <c r="H16" s="9"/>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CK16" s="11"/>
      <c r="CL16" s="221">
        <f t="shared" si="1"/>
        <v>0</v>
      </c>
      <c r="CM16" s="11"/>
      <c r="CN16" s="7">
        <f t="shared" si="2"/>
        <v>0</v>
      </c>
      <c r="CO16" s="7">
        <f t="shared" si="3"/>
        <v>0</v>
      </c>
      <c r="CP16" s="7">
        <f t="shared" si="4"/>
        <v>0</v>
      </c>
      <c r="CQ16" s="7" cm="1">
        <f t="array" ref="CQ16">SUMPRODUCT(--NOT(ISNUMBER(AA16:BJ16)),--NOT(ISBLANK(AA16:BJ16)))</f>
        <v>0</v>
      </c>
      <c r="CR16" s="35"/>
      <c r="EY16" s="10" t="str">
        <f t="shared" si="0"/>
        <v/>
      </c>
    </row>
    <row r="17" spans="1:155" x14ac:dyDescent="0.35">
      <c r="A17" s="220" cm="1">
        <f t="array" aca="1" ref="A17" ca="1">HYPERLINK(CONCATENATE("#",CELL("address",IF(MAX($CM17:$CR17)=0,A17,INDEX($CM17:$CR17,MATCH(1,$CM17:$CR17,0))))),MAX($CM17:$CR17))</f>
        <v>0</v>
      </c>
      <c r="D17" s="109"/>
      <c r="H17" s="9"/>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CK17" s="11"/>
      <c r="CL17" s="221">
        <f t="shared" si="1"/>
        <v>0</v>
      </c>
      <c r="CM17" s="11"/>
      <c r="CN17" s="7">
        <f t="shared" si="2"/>
        <v>0</v>
      </c>
      <c r="CO17" s="7">
        <f t="shared" si="3"/>
        <v>0</v>
      </c>
      <c r="CP17" s="7">
        <f t="shared" si="4"/>
        <v>0</v>
      </c>
      <c r="CQ17" s="7" cm="1">
        <f t="array" ref="CQ17">SUMPRODUCT(--NOT(ISNUMBER(AA17:BJ17)),--NOT(ISBLANK(AA17:BJ17)))</f>
        <v>0</v>
      </c>
      <c r="CR17" s="35"/>
      <c r="EY17" s="10" t="str">
        <f t="shared" si="0"/>
        <v/>
      </c>
    </row>
    <row r="18" spans="1:155" x14ac:dyDescent="0.35">
      <c r="A18" s="220" cm="1">
        <f t="array" aca="1" ref="A18" ca="1">HYPERLINK(CONCATENATE("#",CELL("address",IF(MAX($CM18:$CR18)=0,A18,INDEX($CM18:$CR18,MATCH(1,$CM18:$CR18,0))))),MAX($CM18:$CR18))</f>
        <v>0</v>
      </c>
      <c r="D18" s="109"/>
      <c r="H18" s="9"/>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CK18" s="11"/>
      <c r="CL18" s="221">
        <f t="shared" si="1"/>
        <v>0</v>
      </c>
      <c r="CM18" s="11"/>
      <c r="CN18" s="7">
        <f t="shared" si="2"/>
        <v>0</v>
      </c>
      <c r="CO18" s="7">
        <f t="shared" si="3"/>
        <v>0</v>
      </c>
      <c r="CP18" s="7">
        <f t="shared" si="4"/>
        <v>0</v>
      </c>
      <c r="CQ18" s="7" cm="1">
        <f t="array" ref="CQ18">SUMPRODUCT(--NOT(ISNUMBER(AA18:BJ18)),--NOT(ISBLANK(AA18:BJ18)))</f>
        <v>0</v>
      </c>
      <c r="CR18" s="35"/>
      <c r="EY18" s="10" t="str">
        <f t="shared" si="0"/>
        <v/>
      </c>
    </row>
    <row r="19" spans="1:155" x14ac:dyDescent="0.35">
      <c r="A19" s="220" cm="1">
        <f t="array" aca="1" ref="A19" ca="1">HYPERLINK(CONCATENATE("#",CELL("address",IF(MAX($CM19:$CR19)=0,A19,INDEX($CM19:$CR19,MATCH(1,$CM19:$CR19,0))))),MAX($CM19:$CR19))</f>
        <v>0</v>
      </c>
      <c r="D19" s="109"/>
      <c r="H19" s="9"/>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CK19" s="11"/>
      <c r="CL19" s="221">
        <f t="shared" si="1"/>
        <v>0</v>
      </c>
      <c r="CM19" s="11"/>
      <c r="CN19" s="7">
        <f t="shared" si="2"/>
        <v>0</v>
      </c>
      <c r="CO19" s="7">
        <f t="shared" si="3"/>
        <v>0</v>
      </c>
      <c r="CP19" s="7">
        <f t="shared" si="4"/>
        <v>0</v>
      </c>
      <c r="CQ19" s="7" cm="1">
        <f t="array" ref="CQ19">SUMPRODUCT(--NOT(ISNUMBER(AA19:BJ19)),--NOT(ISBLANK(AA19:BJ19)))</f>
        <v>0</v>
      </c>
      <c r="CR19" s="35"/>
      <c r="EY19" s="10" t="str">
        <f t="shared" si="0"/>
        <v/>
      </c>
    </row>
    <row r="20" spans="1:155" x14ac:dyDescent="0.35">
      <c r="A20" s="220" cm="1">
        <f t="array" aca="1" ref="A20" ca="1">HYPERLINK(CONCATENATE("#",CELL("address",IF(MAX($CM20:$CR20)=0,A20,INDEX($CM20:$CR20,MATCH(1,$CM20:$CR20,0))))),MAX($CM20:$CR20))</f>
        <v>0</v>
      </c>
      <c r="D20" s="109"/>
      <c r="H20" s="9"/>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CK20" s="11"/>
      <c r="CL20" s="221">
        <f t="shared" si="1"/>
        <v>0</v>
      </c>
      <c r="CM20" s="11"/>
      <c r="CN20" s="7">
        <f t="shared" si="2"/>
        <v>0</v>
      </c>
      <c r="CO20" s="7">
        <f t="shared" si="3"/>
        <v>0</v>
      </c>
      <c r="CP20" s="7">
        <f t="shared" si="4"/>
        <v>0</v>
      </c>
      <c r="CQ20" s="7" cm="1">
        <f t="array" ref="CQ20">SUMPRODUCT(--NOT(ISNUMBER(AA20:BJ20)),--NOT(ISBLANK(AA20:BJ20)))</f>
        <v>0</v>
      </c>
      <c r="CR20" s="35"/>
      <c r="EY20" s="10" t="str">
        <f t="shared" si="0"/>
        <v/>
      </c>
    </row>
    <row r="21" spans="1:155" x14ac:dyDescent="0.35">
      <c r="A21" s="220" cm="1">
        <f t="array" aca="1" ref="A21" ca="1">HYPERLINK(CONCATENATE("#",CELL("address",IF(MAX($CM21:$CR21)=0,A21,INDEX($CM21:$CR21,MATCH(1,$CM21:$CR21,0))))),MAX($CM21:$CR21))</f>
        <v>0</v>
      </c>
      <c r="D21" s="109"/>
      <c r="H21" s="9"/>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CK21" s="11"/>
      <c r="CL21" s="221">
        <f t="shared" si="1"/>
        <v>0</v>
      </c>
      <c r="CM21" s="11"/>
      <c r="CN21" s="7">
        <f t="shared" si="2"/>
        <v>0</v>
      </c>
      <c r="CO21" s="7">
        <f t="shared" si="3"/>
        <v>0</v>
      </c>
      <c r="CP21" s="7">
        <f t="shared" si="4"/>
        <v>0</v>
      </c>
      <c r="CQ21" s="7" cm="1">
        <f t="array" ref="CQ21">SUMPRODUCT(--NOT(ISNUMBER(AA21:BJ21)),--NOT(ISBLANK(AA21:BJ21)))</f>
        <v>0</v>
      </c>
      <c r="CR21" s="35"/>
      <c r="EY21" s="10" t="str">
        <f t="shared" si="0"/>
        <v/>
      </c>
    </row>
    <row r="22" spans="1:155" x14ac:dyDescent="0.35">
      <c r="A22" s="220" cm="1">
        <f t="array" aca="1" ref="A22" ca="1">HYPERLINK(CONCATENATE("#",CELL("address",IF(MAX($CM22:$CR22)=0,A22,INDEX($CM22:$CR22,MATCH(1,$CM22:$CR22,0))))),MAX($CM22:$CR22))</f>
        <v>0</v>
      </c>
      <c r="D22" s="109"/>
      <c r="H22" s="9"/>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CK22" s="11"/>
      <c r="CL22" s="221">
        <f t="shared" si="1"/>
        <v>0</v>
      </c>
      <c r="CM22" s="11"/>
      <c r="CN22" s="7">
        <f t="shared" si="2"/>
        <v>0</v>
      </c>
      <c r="CO22" s="7">
        <f t="shared" si="3"/>
        <v>0</v>
      </c>
      <c r="CP22" s="7">
        <f t="shared" si="4"/>
        <v>0</v>
      </c>
      <c r="CQ22" s="7" cm="1">
        <f t="array" ref="CQ22">SUMPRODUCT(--NOT(ISNUMBER(AA22:BJ22)),--NOT(ISBLANK(AA22:BJ22)))</f>
        <v>0</v>
      </c>
      <c r="CR22" s="35"/>
      <c r="EY22" s="10" t="str">
        <f t="shared" si="0"/>
        <v/>
      </c>
    </row>
    <row r="23" spans="1:155" x14ac:dyDescent="0.35">
      <c r="A23" s="220" cm="1">
        <f t="array" aca="1" ref="A23" ca="1">HYPERLINK(CONCATENATE("#",CELL("address",IF(MAX($CM23:$CR23)=0,A23,INDEX($CM23:$CR23,MATCH(1,$CM23:$CR23,0))))),MAX($CM23:$CR23))</f>
        <v>0</v>
      </c>
      <c r="D23" s="109"/>
      <c r="H23" s="9"/>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CK23" s="11"/>
      <c r="CL23" s="221">
        <f t="shared" si="1"/>
        <v>0</v>
      </c>
      <c r="CM23" s="11"/>
      <c r="CN23" s="7">
        <f t="shared" si="2"/>
        <v>0</v>
      </c>
      <c r="CO23" s="7">
        <f t="shared" si="3"/>
        <v>0</v>
      </c>
      <c r="CP23" s="7">
        <f t="shared" si="4"/>
        <v>0</v>
      </c>
      <c r="CQ23" s="7" cm="1">
        <f t="array" ref="CQ23">SUMPRODUCT(--NOT(ISNUMBER(AA23:BJ23)),--NOT(ISBLANK(AA23:BJ23)))</f>
        <v>0</v>
      </c>
      <c r="CR23" s="35"/>
      <c r="EY23" s="10" t="str">
        <f t="shared" si="0"/>
        <v/>
      </c>
    </row>
    <row r="24" spans="1:155" x14ac:dyDescent="0.35">
      <c r="A24" s="220" cm="1">
        <f t="array" aca="1" ref="A24" ca="1">HYPERLINK(CONCATENATE("#",CELL("address",IF(MAX($CM24:$CR24)=0,A24,INDEX($CM24:$CR24,MATCH(1,$CM24:$CR24,0))))),MAX($CM24:$CR24))</f>
        <v>0</v>
      </c>
      <c r="D24" s="109"/>
      <c r="H24" s="9"/>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CK24" s="11"/>
      <c r="CL24" s="221">
        <f t="shared" si="1"/>
        <v>0</v>
      </c>
      <c r="CM24" s="11"/>
      <c r="CN24" s="7">
        <f t="shared" si="2"/>
        <v>0</v>
      </c>
      <c r="CO24" s="7">
        <f t="shared" si="3"/>
        <v>0</v>
      </c>
      <c r="CP24" s="7">
        <f t="shared" si="4"/>
        <v>0</v>
      </c>
      <c r="CQ24" s="7" cm="1">
        <f t="array" ref="CQ24">SUMPRODUCT(--NOT(ISNUMBER(AA24:BJ24)),--NOT(ISBLANK(AA24:BJ24)))</f>
        <v>0</v>
      </c>
      <c r="CR24" s="35"/>
      <c r="EY24" s="10" t="str">
        <f t="shared" si="0"/>
        <v/>
      </c>
    </row>
    <row r="25" spans="1:155" x14ac:dyDescent="0.35">
      <c r="A25" s="220" cm="1">
        <f t="array" aca="1" ref="A25" ca="1">HYPERLINK(CONCATENATE("#",CELL("address",IF(MAX($CM25:$CR25)=0,A25,INDEX($CM25:$CR25,MATCH(1,$CM25:$CR25,0))))),MAX($CM25:$CR25))</f>
        <v>0</v>
      </c>
      <c r="D25" s="109"/>
      <c r="H25" s="9"/>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CK25" s="11"/>
      <c r="CL25" s="221">
        <f t="shared" si="1"/>
        <v>0</v>
      </c>
      <c r="CM25" s="11"/>
      <c r="CN25" s="7">
        <f t="shared" si="2"/>
        <v>0</v>
      </c>
      <c r="CO25" s="7">
        <f t="shared" si="3"/>
        <v>0</v>
      </c>
      <c r="CP25" s="7">
        <f t="shared" si="4"/>
        <v>0</v>
      </c>
      <c r="CQ25" s="7" cm="1">
        <f t="array" ref="CQ25">SUMPRODUCT(--NOT(ISNUMBER(AA25:BJ25)),--NOT(ISBLANK(AA25:BJ25)))</f>
        <v>0</v>
      </c>
      <c r="CR25" s="35"/>
      <c r="EY25" s="10" t="str">
        <f t="shared" si="0"/>
        <v/>
      </c>
    </row>
    <row r="26" spans="1:155" x14ac:dyDescent="0.35">
      <c r="A26" s="220" cm="1">
        <f t="array" aca="1" ref="A26" ca="1">HYPERLINK(CONCATENATE("#",CELL("address",IF(MAX($CM26:$CR26)=0,A26,INDEX($CM26:$CR26,MATCH(1,$CM26:$CR26,0))))),MAX($CM26:$CR26))</f>
        <v>0</v>
      </c>
      <c r="D26" s="109"/>
      <c r="H26" s="9"/>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CK26" s="11"/>
      <c r="CL26" s="221">
        <f t="shared" si="1"/>
        <v>0</v>
      </c>
      <c r="CM26" s="11"/>
      <c r="CN26" s="7">
        <f t="shared" si="2"/>
        <v>0</v>
      </c>
      <c r="CO26" s="7">
        <f t="shared" si="3"/>
        <v>0</v>
      </c>
      <c r="CP26" s="7">
        <f t="shared" si="4"/>
        <v>0</v>
      </c>
      <c r="CQ26" s="7" cm="1">
        <f t="array" ref="CQ26">SUMPRODUCT(--NOT(ISNUMBER(AA26:BJ26)),--NOT(ISBLANK(AA26:BJ26)))</f>
        <v>0</v>
      </c>
      <c r="CR26" s="35"/>
      <c r="EY26" s="10" t="str">
        <f t="shared" si="0"/>
        <v/>
      </c>
    </row>
    <row r="27" spans="1:155" x14ac:dyDescent="0.35">
      <c r="A27" s="220" cm="1">
        <f t="array" aca="1" ref="A27" ca="1">HYPERLINK(CONCATENATE("#",CELL("address",IF(MAX($CM27:$CR27)=0,A27,INDEX($CM27:$CR27,MATCH(1,$CM27:$CR27,0))))),MAX($CM27:$CR27))</f>
        <v>0</v>
      </c>
      <c r="D27" s="109"/>
      <c r="H27" s="9"/>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CK27" s="11"/>
      <c r="CL27" s="221">
        <f t="shared" si="1"/>
        <v>0</v>
      </c>
      <c r="CM27" s="11"/>
      <c r="CN27" s="7">
        <f t="shared" si="2"/>
        <v>0</v>
      </c>
      <c r="CO27" s="7">
        <f t="shared" si="3"/>
        <v>0</v>
      </c>
      <c r="CP27" s="7">
        <f t="shared" si="4"/>
        <v>0</v>
      </c>
      <c r="CQ27" s="7" cm="1">
        <f t="array" ref="CQ27">SUMPRODUCT(--NOT(ISNUMBER(AA27:BJ27)),--NOT(ISBLANK(AA27:BJ27)))</f>
        <v>0</v>
      </c>
      <c r="CR27" s="35"/>
      <c r="EY27" s="10" t="str">
        <f t="shared" si="0"/>
        <v/>
      </c>
    </row>
    <row r="28" spans="1:155" x14ac:dyDescent="0.35">
      <c r="A28" s="220" cm="1">
        <f t="array" aca="1" ref="A28" ca="1">HYPERLINK(CONCATENATE("#",CELL("address",IF(MAX($CM28:$CR28)=0,A28,INDEX($CM28:$CR28,MATCH(1,$CM28:$CR28,0))))),MAX($CM28:$CR28))</f>
        <v>0</v>
      </c>
      <c r="D28" s="109"/>
      <c r="H28" s="9"/>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CK28" s="11"/>
      <c r="CL28" s="221">
        <f t="shared" si="1"/>
        <v>0</v>
      </c>
      <c r="CM28" s="11"/>
      <c r="CN28" s="7">
        <f t="shared" si="2"/>
        <v>0</v>
      </c>
      <c r="CO28" s="7">
        <f t="shared" si="3"/>
        <v>0</v>
      </c>
      <c r="CP28" s="7">
        <f t="shared" si="4"/>
        <v>0</v>
      </c>
      <c r="CQ28" s="7" cm="1">
        <f t="array" ref="CQ28">SUMPRODUCT(--NOT(ISNUMBER(AA28:BJ28)),--NOT(ISBLANK(AA28:BJ28)))</f>
        <v>0</v>
      </c>
      <c r="CR28" s="35"/>
      <c r="EY28" s="10" t="str">
        <f t="shared" si="0"/>
        <v/>
      </c>
    </row>
    <row r="29" spans="1:155" x14ac:dyDescent="0.35">
      <c r="A29" s="220" cm="1">
        <f t="array" aca="1" ref="A29" ca="1">HYPERLINK(CONCATENATE("#",CELL("address",IF(MAX($CM29:$CR29)=0,A29,INDEX($CM29:$CR29,MATCH(1,$CM29:$CR29,0))))),MAX($CM29:$CR29))</f>
        <v>0</v>
      </c>
      <c r="D29" s="109"/>
      <c r="H29" s="9"/>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CK29" s="11"/>
      <c r="CL29" s="221">
        <f t="shared" si="1"/>
        <v>0</v>
      </c>
      <c r="CM29" s="11"/>
      <c r="CN29" s="7">
        <f t="shared" si="2"/>
        <v>0</v>
      </c>
      <c r="CO29" s="7">
        <f t="shared" si="3"/>
        <v>0</v>
      </c>
      <c r="CP29" s="7">
        <f t="shared" si="4"/>
        <v>0</v>
      </c>
      <c r="CQ29" s="7" cm="1">
        <f t="array" ref="CQ29">SUMPRODUCT(--NOT(ISNUMBER(AA29:BJ29)),--NOT(ISBLANK(AA29:BJ29)))</f>
        <v>0</v>
      </c>
      <c r="CR29" s="35"/>
      <c r="EY29" s="10" t="str">
        <f t="shared" si="0"/>
        <v/>
      </c>
    </row>
    <row r="30" spans="1:155" s="5" customFormat="1" x14ac:dyDescent="0.35">
      <c r="A30" s="220" cm="1">
        <f t="array" aca="1" ref="A30" ca="1">HYPERLINK(CONCATENATE("#",CELL("address",IF(MAX($CM30:$CR30)=0,A30,INDEX($CM30:$CR30,MATCH(1,$CM30:$CR30,0))))),MAX($CM30:$CR30))</f>
        <v>0</v>
      </c>
      <c r="B30"/>
      <c r="C30"/>
      <c r="D30" s="109"/>
      <c r="E30" s="1"/>
      <c r="F30"/>
      <c r="G30"/>
      <c r="H30" s="9"/>
      <c r="I30"/>
      <c r="J30"/>
      <c r="K30"/>
      <c r="L30"/>
      <c r="M30"/>
      <c r="N30"/>
      <c r="O30"/>
      <c r="P30"/>
      <c r="Q30"/>
      <c r="R30"/>
      <c r="S30"/>
      <c r="T30"/>
      <c r="U30"/>
      <c r="V30"/>
      <c r="W30"/>
      <c r="X30"/>
      <c r="Y30"/>
      <c r="Z30"/>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c r="BL30"/>
      <c r="BM30"/>
      <c r="BN30"/>
      <c r="BO30"/>
      <c r="BP30"/>
      <c r="BQ30"/>
      <c r="BR30"/>
      <c r="BS30"/>
      <c r="BT30"/>
      <c r="BU30"/>
      <c r="BV30"/>
      <c r="BW30"/>
      <c r="BX30"/>
      <c r="BY30"/>
      <c r="BZ30"/>
      <c r="CA30"/>
      <c r="CB30"/>
      <c r="CC30"/>
      <c r="CD30"/>
      <c r="CE30"/>
      <c r="CF30"/>
      <c r="CG30"/>
      <c r="CH30"/>
      <c r="CI30"/>
      <c r="CJ30"/>
      <c r="CK30" s="11"/>
      <c r="CL30" s="221">
        <f t="shared" si="1"/>
        <v>0</v>
      </c>
      <c r="CM30" s="11"/>
      <c r="CN30" s="7">
        <f t="shared" si="2"/>
        <v>0</v>
      </c>
      <c r="CO30" s="7">
        <f t="shared" si="3"/>
        <v>0</v>
      </c>
      <c r="CP30" s="7">
        <f t="shared" si="4"/>
        <v>0</v>
      </c>
      <c r="CQ30" s="7" cm="1">
        <f t="array" ref="CQ30">SUMPRODUCT(--NOT(ISNUMBER(AA30:BJ30)),--NOT(ISBLANK(AA30:BJ30)))</f>
        <v>0</v>
      </c>
      <c r="CR30" s="35"/>
      <c r="EY30" s="10" t="str">
        <f t="shared" si="0"/>
        <v/>
      </c>
    </row>
    <row r="31" spans="1:155" x14ac:dyDescent="0.35">
      <c r="A31" s="220" cm="1">
        <f t="array" aca="1" ref="A31" ca="1">HYPERLINK(CONCATENATE("#",CELL("address",IF(MAX($CM31:$CR31)=0,A31,INDEX($CM31:$CR31,MATCH(1,$CM31:$CR31,0))))),MAX($CM31:$CR31))</f>
        <v>0</v>
      </c>
      <c r="D31" s="109"/>
      <c r="H31" s="9"/>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CK31" s="11"/>
      <c r="CL31" s="221">
        <f t="shared" si="1"/>
        <v>0</v>
      </c>
      <c r="CM31" s="11"/>
      <c r="CN31" s="7">
        <f t="shared" si="2"/>
        <v>0</v>
      </c>
      <c r="CO31" s="7">
        <f t="shared" si="3"/>
        <v>0</v>
      </c>
      <c r="CP31" s="7">
        <f t="shared" si="4"/>
        <v>0</v>
      </c>
      <c r="CQ31" s="7" cm="1">
        <f t="array" ref="CQ31">SUMPRODUCT(--NOT(ISNUMBER(AA31:BJ31)),--NOT(ISBLANK(AA31:BJ31)))</f>
        <v>0</v>
      </c>
      <c r="CR31" s="35"/>
      <c r="EY31" s="10" t="str">
        <f t="shared" si="0"/>
        <v/>
      </c>
    </row>
    <row r="32" spans="1:155" x14ac:dyDescent="0.35">
      <c r="A32" s="220" cm="1">
        <f t="array" aca="1" ref="A32" ca="1">HYPERLINK(CONCATENATE("#",CELL("address",IF(MAX($CM32:$CR32)=0,A32,INDEX($CM32:$CR32,MATCH(1,$CM32:$CR32,0))))),MAX($CM32:$CR32))</f>
        <v>0</v>
      </c>
      <c r="D32" s="109"/>
      <c r="H32" s="9"/>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CK32" s="11"/>
      <c r="CL32" s="221">
        <f t="shared" si="1"/>
        <v>0</v>
      </c>
      <c r="CM32" s="11"/>
      <c r="CN32" s="7">
        <f t="shared" si="2"/>
        <v>0</v>
      </c>
      <c r="CO32" s="7">
        <f t="shared" si="3"/>
        <v>0</v>
      </c>
      <c r="CP32" s="7">
        <f t="shared" si="4"/>
        <v>0</v>
      </c>
      <c r="CQ32" s="7" cm="1">
        <f t="array" ref="CQ32">SUMPRODUCT(--NOT(ISNUMBER(AA32:BJ32)),--NOT(ISBLANK(AA32:BJ32)))</f>
        <v>0</v>
      </c>
      <c r="CR32" s="35"/>
      <c r="EY32" s="10" t="str">
        <f t="shared" si="0"/>
        <v/>
      </c>
    </row>
    <row r="33" spans="1:155" x14ac:dyDescent="0.35">
      <c r="A33" s="220" cm="1">
        <f t="array" aca="1" ref="A33" ca="1">HYPERLINK(CONCATENATE("#",CELL("address",IF(MAX($CM33:$CR33)=0,A33,INDEX($CM33:$CR33,MATCH(1,$CM33:$CR33,0))))),MAX($CM33:$CR33))</f>
        <v>0</v>
      </c>
      <c r="D33" s="109"/>
      <c r="H33" s="9"/>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CK33" s="11"/>
      <c r="CL33" s="221">
        <f t="shared" si="1"/>
        <v>0</v>
      </c>
      <c r="CM33" s="11"/>
      <c r="CN33" s="7">
        <f t="shared" si="2"/>
        <v>0</v>
      </c>
      <c r="CO33" s="7">
        <f t="shared" si="3"/>
        <v>0</v>
      </c>
      <c r="CP33" s="7">
        <f t="shared" si="4"/>
        <v>0</v>
      </c>
      <c r="CQ33" s="7" cm="1">
        <f t="array" ref="CQ33">SUMPRODUCT(--NOT(ISNUMBER(AA33:BJ33)),--NOT(ISBLANK(AA33:BJ33)))</f>
        <v>0</v>
      </c>
      <c r="CR33" s="35"/>
      <c r="EY33" s="10" t="str">
        <f t="shared" si="0"/>
        <v/>
      </c>
    </row>
    <row r="34" spans="1:155" x14ac:dyDescent="0.35">
      <c r="A34" s="220" cm="1">
        <f t="array" aca="1" ref="A34" ca="1">HYPERLINK(CONCATENATE("#",CELL("address",IF(MAX($CM34:$CR34)=0,A34,INDEX($CM34:$CR34,MATCH(1,$CM34:$CR34,0))))),MAX($CM34:$CR34))</f>
        <v>0</v>
      </c>
      <c r="D34" s="109"/>
      <c r="H34" s="9"/>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CK34" s="11"/>
      <c r="CL34" s="221">
        <f t="shared" si="1"/>
        <v>0</v>
      </c>
      <c r="CM34" s="11"/>
      <c r="CN34" s="7">
        <f t="shared" si="2"/>
        <v>0</v>
      </c>
      <c r="CO34" s="7">
        <f t="shared" si="3"/>
        <v>0</v>
      </c>
      <c r="CP34" s="7">
        <f t="shared" si="4"/>
        <v>0</v>
      </c>
      <c r="CQ34" s="7" cm="1">
        <f t="array" ref="CQ34">SUMPRODUCT(--NOT(ISNUMBER(AA34:BJ34)),--NOT(ISBLANK(AA34:BJ34)))</f>
        <v>0</v>
      </c>
      <c r="CR34" s="35"/>
      <c r="EY34" s="10" t="str">
        <f t="shared" si="0"/>
        <v/>
      </c>
    </row>
    <row r="35" spans="1:155" x14ac:dyDescent="0.35">
      <c r="A35" s="220" cm="1">
        <f t="array" aca="1" ref="A35" ca="1">HYPERLINK(CONCATENATE("#",CELL("address",IF(MAX($CM35:$CR35)=0,A35,INDEX($CM35:$CR35,MATCH(1,$CM35:$CR35,0))))),MAX($CM35:$CR35))</f>
        <v>0</v>
      </c>
      <c r="D35" s="109"/>
      <c r="H35" s="9"/>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CK35" s="11"/>
      <c r="CL35" s="221">
        <f t="shared" si="1"/>
        <v>0</v>
      </c>
      <c r="CM35" s="11"/>
      <c r="CN35" s="7">
        <f t="shared" si="2"/>
        <v>0</v>
      </c>
      <c r="CO35" s="7">
        <f t="shared" si="3"/>
        <v>0</v>
      </c>
      <c r="CP35" s="7">
        <f t="shared" si="4"/>
        <v>0</v>
      </c>
      <c r="CQ35" s="7" cm="1">
        <f t="array" ref="CQ35">SUMPRODUCT(--NOT(ISNUMBER(AA35:BJ35)),--NOT(ISBLANK(AA35:BJ35)))</f>
        <v>0</v>
      </c>
      <c r="CR35" s="35"/>
      <c r="EY35" s="10" t="str">
        <f t="shared" si="0"/>
        <v/>
      </c>
    </row>
    <row r="36" spans="1:155" x14ac:dyDescent="0.35">
      <c r="A36" s="220" cm="1">
        <f t="array" aca="1" ref="A36" ca="1">HYPERLINK(CONCATENATE("#",CELL("address",IF(MAX($CM36:$CR36)=0,A36,INDEX($CM36:$CR36,MATCH(1,$CM36:$CR36,0))))),MAX($CM36:$CR36))</f>
        <v>0</v>
      </c>
      <c r="D36" s="109"/>
      <c r="H36" s="9"/>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CK36" s="11"/>
      <c r="CL36" s="221">
        <f t="shared" si="1"/>
        <v>0</v>
      </c>
      <c r="CM36" s="11"/>
      <c r="CN36" s="7">
        <f t="shared" si="2"/>
        <v>0</v>
      </c>
      <c r="CO36" s="7">
        <f t="shared" si="3"/>
        <v>0</v>
      </c>
      <c r="CP36" s="7">
        <f t="shared" si="4"/>
        <v>0</v>
      </c>
      <c r="CQ36" s="7" cm="1">
        <f t="array" ref="CQ36">SUMPRODUCT(--NOT(ISNUMBER(AA36:BJ36)),--NOT(ISBLANK(AA36:BJ36)))</f>
        <v>0</v>
      </c>
      <c r="CR36" s="35"/>
      <c r="EY36" s="10" t="str">
        <f t="shared" si="0"/>
        <v/>
      </c>
    </row>
    <row r="37" spans="1:155" x14ac:dyDescent="0.35">
      <c r="A37" s="220" cm="1">
        <f t="array" aca="1" ref="A37" ca="1">HYPERLINK(CONCATENATE("#",CELL("address",IF(MAX($CM37:$CR37)=0,A37,INDEX($CM37:$CR37,MATCH(1,$CM37:$CR37,0))))),MAX($CM37:$CR37))</f>
        <v>0</v>
      </c>
      <c r="D37" s="109"/>
      <c r="H37" s="9"/>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CK37" s="11"/>
      <c r="CL37" s="221">
        <f t="shared" si="1"/>
        <v>0</v>
      </c>
      <c r="CM37" s="11"/>
      <c r="CN37" s="7">
        <f t="shared" si="2"/>
        <v>0</v>
      </c>
      <c r="CO37" s="7">
        <f t="shared" si="3"/>
        <v>0</v>
      </c>
      <c r="CP37" s="7">
        <f t="shared" si="4"/>
        <v>0</v>
      </c>
      <c r="CQ37" s="7" cm="1">
        <f t="array" ref="CQ37">SUMPRODUCT(--NOT(ISNUMBER(AA37:BJ37)),--NOT(ISBLANK(AA37:BJ37)))</f>
        <v>0</v>
      </c>
      <c r="CR37" s="35"/>
      <c r="EY37" s="10" t="str">
        <f t="shared" si="0"/>
        <v/>
      </c>
    </row>
    <row r="38" spans="1:155" x14ac:dyDescent="0.35">
      <c r="A38" s="220" cm="1">
        <f t="array" aca="1" ref="A38" ca="1">HYPERLINK(CONCATENATE("#",CELL("address",IF(MAX($CM38:$CR38)=0,A38,INDEX($CM38:$CR38,MATCH(1,$CM38:$CR38,0))))),MAX($CM38:$CR38))</f>
        <v>0</v>
      </c>
      <c r="D38" s="109"/>
      <c r="H38" s="9"/>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CK38" s="11"/>
      <c r="CL38" s="221">
        <f t="shared" si="1"/>
        <v>0</v>
      </c>
      <c r="CM38" s="11"/>
      <c r="CN38" s="7">
        <f t="shared" si="2"/>
        <v>0</v>
      </c>
      <c r="CO38" s="7">
        <f t="shared" si="3"/>
        <v>0</v>
      </c>
      <c r="CP38" s="7">
        <f t="shared" si="4"/>
        <v>0</v>
      </c>
      <c r="CQ38" s="7" cm="1">
        <f t="array" ref="CQ38">SUMPRODUCT(--NOT(ISNUMBER(AA38:BJ38)),--NOT(ISBLANK(AA38:BJ38)))</f>
        <v>0</v>
      </c>
      <c r="CR38" s="35"/>
      <c r="EY38" s="10" t="str">
        <f t="shared" si="0"/>
        <v/>
      </c>
    </row>
    <row r="39" spans="1:155" x14ac:dyDescent="0.35">
      <c r="A39" s="220" cm="1">
        <f t="array" aca="1" ref="A39" ca="1">HYPERLINK(CONCATENATE("#",CELL("address",IF(MAX($CM39:$CR39)=0,A39,INDEX($CM39:$CR39,MATCH(1,$CM39:$CR39,0))))),MAX($CM39:$CR39))</f>
        <v>0</v>
      </c>
      <c r="D39" s="109"/>
      <c r="H39" s="9"/>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CK39" s="11"/>
      <c r="CL39" s="221">
        <f t="shared" si="1"/>
        <v>0</v>
      </c>
      <c r="CM39" s="11"/>
      <c r="CN39" s="7">
        <f t="shared" si="2"/>
        <v>0</v>
      </c>
      <c r="CO39" s="7">
        <f t="shared" si="3"/>
        <v>0</v>
      </c>
      <c r="CP39" s="7">
        <f t="shared" si="4"/>
        <v>0</v>
      </c>
      <c r="CQ39" s="7" cm="1">
        <f t="array" ref="CQ39">SUMPRODUCT(--NOT(ISNUMBER(AA39:BJ39)),--NOT(ISBLANK(AA39:BJ39)))</f>
        <v>0</v>
      </c>
      <c r="CR39" s="35"/>
      <c r="EY39" s="10" t="str">
        <f t="shared" si="0"/>
        <v/>
      </c>
    </row>
    <row r="40" spans="1:155" x14ac:dyDescent="0.35">
      <c r="A40" s="220" cm="1">
        <f t="array" aca="1" ref="A40" ca="1">HYPERLINK(CONCATENATE("#",CELL("address",IF(MAX($CM40:$CR40)=0,A40,INDEX($CM40:$CR40,MATCH(1,$CM40:$CR40,0))))),MAX($CM40:$CR40))</f>
        <v>0</v>
      </c>
      <c r="D40" s="109"/>
      <c r="H40" s="9"/>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CK40" s="11"/>
      <c r="CL40" s="221">
        <f t="shared" si="1"/>
        <v>0</v>
      </c>
      <c r="CM40" s="11"/>
      <c r="CN40" s="7">
        <f t="shared" si="2"/>
        <v>0</v>
      </c>
      <c r="CO40" s="7">
        <f t="shared" si="3"/>
        <v>0</v>
      </c>
      <c r="CP40" s="7">
        <f t="shared" si="4"/>
        <v>0</v>
      </c>
      <c r="CQ40" s="7" cm="1">
        <f t="array" ref="CQ40">SUMPRODUCT(--NOT(ISNUMBER(AA40:BJ40)),--NOT(ISBLANK(AA40:BJ40)))</f>
        <v>0</v>
      </c>
      <c r="CR40" s="35"/>
      <c r="EY40" s="10" t="str">
        <f t="shared" ref="EY40:EY71" si="6">IF($C40="","",$D40)</f>
        <v/>
      </c>
    </row>
    <row r="41" spans="1:155" x14ac:dyDescent="0.35">
      <c r="A41" s="220" cm="1">
        <f t="array" aca="1" ref="A41" ca="1">HYPERLINK(CONCATENATE("#",CELL("address",IF(MAX($CM41:$CR41)=0,A41,INDEX($CM41:$CR41,MATCH(1,$CM41:$CR41,0))))),MAX($CM41:$CR41))</f>
        <v>0</v>
      </c>
      <c r="D41" s="109"/>
      <c r="H41" s="9"/>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CK41" s="11"/>
      <c r="CL41" s="221">
        <f t="shared" ref="CL41:CL72" si="7">IF(MIN($AA41:$BJ41)&lt;0, 1, 0)</f>
        <v>0</v>
      </c>
      <c r="CM41" s="11"/>
      <c r="CN41" s="7">
        <f t="shared" ref="CN41:CN72" si="8">IF(OR(SUM(AA41:AL41)=1, SUM(AA41:AL41)=0), 0, 1)</f>
        <v>0</v>
      </c>
      <c r="CO41" s="7">
        <f t="shared" ref="CO41:CO72" si="9">IF(OR(SUM(AM41:AX41)=1, SUM(AM41:AX41)=0), 0, 1)</f>
        <v>0</v>
      </c>
      <c r="CP41" s="7">
        <f t="shared" ref="CP41:CP72" si="10">IF(OR(SUM(AY41:BJ41)=1, SUM(AY41:BJ41)=0), 0, 1)</f>
        <v>0</v>
      </c>
      <c r="CQ41" s="7" cm="1">
        <f t="array" ref="CQ41">SUMPRODUCT(--NOT(ISNUMBER(AA41:BJ41)),--NOT(ISBLANK(AA41:BJ41)))</f>
        <v>0</v>
      </c>
      <c r="CR41" s="35"/>
      <c r="EY41" s="10" t="str">
        <f t="shared" si="6"/>
        <v/>
      </c>
    </row>
    <row r="42" spans="1:155" x14ac:dyDescent="0.35">
      <c r="A42" s="220" cm="1">
        <f t="array" aca="1" ref="A42" ca="1">HYPERLINK(CONCATENATE("#",CELL("address",IF(MAX($CM42:$CR42)=0,A42,INDEX($CM42:$CR42,MATCH(1,$CM42:$CR42,0))))),MAX($CM42:$CR42))</f>
        <v>0</v>
      </c>
      <c r="D42" s="109"/>
      <c r="H42" s="9"/>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CK42" s="11"/>
      <c r="CL42" s="221">
        <f t="shared" si="7"/>
        <v>0</v>
      </c>
      <c r="CM42" s="11"/>
      <c r="CN42" s="7">
        <f t="shared" si="8"/>
        <v>0</v>
      </c>
      <c r="CO42" s="7">
        <f t="shared" si="9"/>
        <v>0</v>
      </c>
      <c r="CP42" s="7">
        <f t="shared" si="10"/>
        <v>0</v>
      </c>
      <c r="CQ42" s="7" cm="1">
        <f t="array" ref="CQ42">SUMPRODUCT(--NOT(ISNUMBER(AA42:BJ42)),--NOT(ISBLANK(AA42:BJ42)))</f>
        <v>0</v>
      </c>
      <c r="CR42" s="35"/>
      <c r="EY42" s="10" t="str">
        <f t="shared" si="6"/>
        <v/>
      </c>
    </row>
    <row r="43" spans="1:155" x14ac:dyDescent="0.35">
      <c r="A43" s="220" cm="1">
        <f t="array" aca="1" ref="A43" ca="1">HYPERLINK(CONCATENATE("#",CELL("address",IF(MAX($CM43:$CR43)=0,A43,INDEX($CM43:$CR43,MATCH(1,$CM43:$CR43,0))))),MAX($CM43:$CR43))</f>
        <v>0</v>
      </c>
      <c r="D43" s="109"/>
      <c r="H43" s="9"/>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CK43" s="11"/>
      <c r="CL43" s="221">
        <f t="shared" si="7"/>
        <v>0</v>
      </c>
      <c r="CM43" s="11"/>
      <c r="CN43" s="7">
        <f t="shared" si="8"/>
        <v>0</v>
      </c>
      <c r="CO43" s="7">
        <f t="shared" si="9"/>
        <v>0</v>
      </c>
      <c r="CP43" s="7">
        <f t="shared" si="10"/>
        <v>0</v>
      </c>
      <c r="CQ43" s="7" cm="1">
        <f t="array" ref="CQ43">SUMPRODUCT(--NOT(ISNUMBER(AA43:BJ43)),--NOT(ISBLANK(AA43:BJ43)))</f>
        <v>0</v>
      </c>
      <c r="CR43" s="35"/>
      <c r="EY43" s="10" t="str">
        <f t="shared" si="6"/>
        <v/>
      </c>
    </row>
    <row r="44" spans="1:155" x14ac:dyDescent="0.35">
      <c r="A44" s="220" cm="1">
        <f t="array" aca="1" ref="A44" ca="1">HYPERLINK(CONCATENATE("#",CELL("address",IF(MAX($CM44:$CR44)=0,A44,INDEX($CM44:$CR44,MATCH(1,$CM44:$CR44,0))))),MAX($CM44:$CR44))</f>
        <v>0</v>
      </c>
      <c r="D44" s="109"/>
      <c r="H44" s="9"/>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CK44" s="11"/>
      <c r="CL44" s="221">
        <f t="shared" si="7"/>
        <v>0</v>
      </c>
      <c r="CM44" s="11"/>
      <c r="CN44" s="7">
        <f t="shared" si="8"/>
        <v>0</v>
      </c>
      <c r="CO44" s="7">
        <f t="shared" si="9"/>
        <v>0</v>
      </c>
      <c r="CP44" s="7">
        <f t="shared" si="10"/>
        <v>0</v>
      </c>
      <c r="CQ44" s="7" cm="1">
        <f t="array" ref="CQ44">SUMPRODUCT(--NOT(ISNUMBER(AA44:BJ44)),--NOT(ISBLANK(AA44:BJ44)))</f>
        <v>0</v>
      </c>
      <c r="CR44" s="35"/>
      <c r="EY44" s="10" t="str">
        <f t="shared" si="6"/>
        <v/>
      </c>
    </row>
    <row r="45" spans="1:155" x14ac:dyDescent="0.35">
      <c r="A45" s="220" cm="1">
        <f t="array" aca="1" ref="A45" ca="1">HYPERLINK(CONCATENATE("#",CELL("address",IF(MAX($CM45:$CR45)=0,A45,INDEX($CM45:$CR45,MATCH(1,$CM45:$CR45,0))))),MAX($CM45:$CR45))</f>
        <v>0</v>
      </c>
      <c r="D45" s="109"/>
      <c r="H45" s="9"/>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CK45" s="11"/>
      <c r="CL45" s="221">
        <f t="shared" si="7"/>
        <v>0</v>
      </c>
      <c r="CM45" s="11"/>
      <c r="CN45" s="7">
        <f t="shared" si="8"/>
        <v>0</v>
      </c>
      <c r="CO45" s="7">
        <f t="shared" si="9"/>
        <v>0</v>
      </c>
      <c r="CP45" s="7">
        <f t="shared" si="10"/>
        <v>0</v>
      </c>
      <c r="CQ45" s="7" cm="1">
        <f t="array" ref="CQ45">SUMPRODUCT(--NOT(ISNUMBER(AA45:BJ45)),--NOT(ISBLANK(AA45:BJ45)))</f>
        <v>0</v>
      </c>
      <c r="CR45" s="35"/>
      <c r="EY45" s="10" t="str">
        <f t="shared" si="6"/>
        <v/>
      </c>
    </row>
    <row r="46" spans="1:155" x14ac:dyDescent="0.35">
      <c r="A46" s="220" cm="1">
        <f t="array" aca="1" ref="A46" ca="1">HYPERLINK(CONCATENATE("#",CELL("address",IF(MAX($CM46:$CR46)=0,A46,INDEX($CM46:$CR46,MATCH(1,$CM46:$CR46,0))))),MAX($CM46:$CR46))</f>
        <v>0</v>
      </c>
      <c r="D46" s="109"/>
      <c r="H46" s="9"/>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CK46" s="11"/>
      <c r="CL46" s="221">
        <f t="shared" si="7"/>
        <v>0</v>
      </c>
      <c r="CM46" s="11"/>
      <c r="CN46" s="7">
        <f t="shared" si="8"/>
        <v>0</v>
      </c>
      <c r="CO46" s="7">
        <f t="shared" si="9"/>
        <v>0</v>
      </c>
      <c r="CP46" s="7">
        <f t="shared" si="10"/>
        <v>0</v>
      </c>
      <c r="CQ46" s="7" cm="1">
        <f t="array" ref="CQ46">SUMPRODUCT(--NOT(ISNUMBER(AA46:BJ46)),--NOT(ISBLANK(AA46:BJ46)))</f>
        <v>0</v>
      </c>
      <c r="CR46" s="35"/>
      <c r="EY46" s="10" t="str">
        <f t="shared" si="6"/>
        <v/>
      </c>
    </row>
    <row r="47" spans="1:155" x14ac:dyDescent="0.35">
      <c r="A47" s="220" cm="1">
        <f t="array" aca="1" ref="A47" ca="1">HYPERLINK(CONCATENATE("#",CELL("address",IF(MAX($CM47:$CR47)=0,A47,INDEX($CM47:$CR47,MATCH(1,$CM47:$CR47,0))))),MAX($CM47:$CR47))</f>
        <v>0</v>
      </c>
      <c r="D47" s="109"/>
      <c r="H47" s="9"/>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CK47" s="11"/>
      <c r="CL47" s="221">
        <f t="shared" si="7"/>
        <v>0</v>
      </c>
      <c r="CM47" s="11"/>
      <c r="CN47" s="7">
        <f t="shared" si="8"/>
        <v>0</v>
      </c>
      <c r="CO47" s="7">
        <f t="shared" si="9"/>
        <v>0</v>
      </c>
      <c r="CP47" s="7">
        <f t="shared" si="10"/>
        <v>0</v>
      </c>
      <c r="CQ47" s="7" cm="1">
        <f t="array" ref="CQ47">SUMPRODUCT(--NOT(ISNUMBER(AA47:BJ47)),--NOT(ISBLANK(AA47:BJ47)))</f>
        <v>0</v>
      </c>
      <c r="CR47" s="35"/>
      <c r="EY47" s="10" t="str">
        <f t="shared" si="6"/>
        <v/>
      </c>
    </row>
    <row r="48" spans="1:155" x14ac:dyDescent="0.35">
      <c r="A48" s="220" cm="1">
        <f t="array" aca="1" ref="A48" ca="1">HYPERLINK(CONCATENATE("#",CELL("address",IF(MAX($CM48:$CR48)=0,A48,INDEX($CM48:$CR48,MATCH(1,$CM48:$CR48,0))))),MAX($CM48:$CR48))</f>
        <v>0</v>
      </c>
      <c r="D48" s="109"/>
      <c r="H48" s="9"/>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CK48" s="11"/>
      <c r="CL48" s="221">
        <f t="shared" si="7"/>
        <v>0</v>
      </c>
      <c r="CM48" s="11"/>
      <c r="CN48" s="7">
        <f t="shared" si="8"/>
        <v>0</v>
      </c>
      <c r="CO48" s="7">
        <f t="shared" si="9"/>
        <v>0</v>
      </c>
      <c r="CP48" s="7">
        <f t="shared" si="10"/>
        <v>0</v>
      </c>
      <c r="CQ48" s="7" cm="1">
        <f t="array" ref="CQ48">SUMPRODUCT(--NOT(ISNUMBER(AA48:BJ48)),--NOT(ISBLANK(AA48:BJ48)))</f>
        <v>0</v>
      </c>
      <c r="CR48" s="35"/>
      <c r="EY48" s="10" t="str">
        <f t="shared" si="6"/>
        <v/>
      </c>
    </row>
    <row r="49" spans="1:155" x14ac:dyDescent="0.35">
      <c r="A49" s="220" cm="1">
        <f t="array" aca="1" ref="A49" ca="1">HYPERLINK(CONCATENATE("#",CELL("address",IF(MAX($CM49:$CR49)=0,A49,INDEX($CM49:$CR49,MATCH(1,$CM49:$CR49,0))))),MAX($CM49:$CR49))</f>
        <v>0</v>
      </c>
      <c r="D49" s="109"/>
      <c r="H49" s="9"/>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CK49" s="11"/>
      <c r="CL49" s="221">
        <f t="shared" si="7"/>
        <v>0</v>
      </c>
      <c r="CM49" s="11"/>
      <c r="CN49" s="7">
        <f t="shared" si="8"/>
        <v>0</v>
      </c>
      <c r="CO49" s="7">
        <f t="shared" si="9"/>
        <v>0</v>
      </c>
      <c r="CP49" s="7">
        <f t="shared" si="10"/>
        <v>0</v>
      </c>
      <c r="CQ49" s="7" cm="1">
        <f t="array" ref="CQ49">SUMPRODUCT(--NOT(ISNUMBER(AA49:BJ49)),--NOT(ISBLANK(AA49:BJ49)))</f>
        <v>0</v>
      </c>
      <c r="CR49" s="35"/>
      <c r="EY49" s="10" t="str">
        <f t="shared" si="6"/>
        <v/>
      </c>
    </row>
    <row r="50" spans="1:155" x14ac:dyDescent="0.35">
      <c r="A50" s="220" cm="1">
        <f t="array" aca="1" ref="A50" ca="1">HYPERLINK(CONCATENATE("#",CELL("address",IF(MAX($CM50:$CR50)=0,A50,INDEX($CM50:$CR50,MATCH(1,$CM50:$CR50,0))))),MAX($CM50:$CR50))</f>
        <v>0</v>
      </c>
      <c r="D50" s="109"/>
      <c r="H50" s="9"/>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CK50" s="11"/>
      <c r="CL50" s="221">
        <f t="shared" si="7"/>
        <v>0</v>
      </c>
      <c r="CM50" s="11"/>
      <c r="CN50" s="7">
        <f t="shared" si="8"/>
        <v>0</v>
      </c>
      <c r="CO50" s="7">
        <f t="shared" si="9"/>
        <v>0</v>
      </c>
      <c r="CP50" s="7">
        <f t="shared" si="10"/>
        <v>0</v>
      </c>
      <c r="CQ50" s="7" cm="1">
        <f t="array" ref="CQ50">SUMPRODUCT(--NOT(ISNUMBER(AA50:BJ50)),--NOT(ISBLANK(AA50:BJ50)))</f>
        <v>0</v>
      </c>
      <c r="CR50" s="35"/>
      <c r="EY50" s="10" t="str">
        <f t="shared" si="6"/>
        <v/>
      </c>
    </row>
    <row r="51" spans="1:155" x14ac:dyDescent="0.35">
      <c r="A51" s="220" cm="1">
        <f t="array" aca="1" ref="A51" ca="1">HYPERLINK(CONCATENATE("#",CELL("address",IF(MAX($CM51:$CR51)=0,A51,INDEX($CM51:$CR51,MATCH(1,$CM51:$CR51,0))))),MAX($CM51:$CR51))</f>
        <v>0</v>
      </c>
      <c r="D51" s="109"/>
      <c r="H51" s="9"/>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CK51" s="11"/>
      <c r="CL51" s="221">
        <f t="shared" si="7"/>
        <v>0</v>
      </c>
      <c r="CM51" s="11"/>
      <c r="CN51" s="7">
        <f t="shared" si="8"/>
        <v>0</v>
      </c>
      <c r="CO51" s="7">
        <f t="shared" si="9"/>
        <v>0</v>
      </c>
      <c r="CP51" s="7">
        <f t="shared" si="10"/>
        <v>0</v>
      </c>
      <c r="CQ51" s="7" cm="1">
        <f t="array" ref="CQ51">SUMPRODUCT(--NOT(ISNUMBER(AA51:BJ51)),--NOT(ISBLANK(AA51:BJ51)))</f>
        <v>0</v>
      </c>
      <c r="CR51" s="35"/>
      <c r="EY51" s="10" t="str">
        <f t="shared" si="6"/>
        <v/>
      </c>
    </row>
    <row r="52" spans="1:155" x14ac:dyDescent="0.35">
      <c r="A52" s="220" cm="1">
        <f t="array" aca="1" ref="A52" ca="1">HYPERLINK(CONCATENATE("#",CELL("address",IF(MAX($CM52:$CR52)=0,A52,INDEX($CM52:$CR52,MATCH(1,$CM52:$CR52,0))))),MAX($CM52:$CR52))</f>
        <v>0</v>
      </c>
      <c r="D52" s="109"/>
      <c r="H52" s="9"/>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CK52" s="11"/>
      <c r="CL52" s="221">
        <f t="shared" si="7"/>
        <v>0</v>
      </c>
      <c r="CM52" s="11"/>
      <c r="CN52" s="7">
        <f t="shared" si="8"/>
        <v>0</v>
      </c>
      <c r="CO52" s="7">
        <f t="shared" si="9"/>
        <v>0</v>
      </c>
      <c r="CP52" s="7">
        <f t="shared" si="10"/>
        <v>0</v>
      </c>
      <c r="CQ52" s="7" cm="1">
        <f t="array" ref="CQ52">SUMPRODUCT(--NOT(ISNUMBER(AA52:BJ52)),--NOT(ISBLANK(AA52:BJ52)))</f>
        <v>0</v>
      </c>
      <c r="CR52" s="35"/>
      <c r="EY52" s="10" t="str">
        <f t="shared" si="6"/>
        <v/>
      </c>
    </row>
    <row r="53" spans="1:155" x14ac:dyDescent="0.35">
      <c r="A53" s="220" cm="1">
        <f t="array" aca="1" ref="A53" ca="1">HYPERLINK(CONCATENATE("#",CELL("address",IF(MAX($CM53:$CR53)=0,A53,INDEX($CM53:$CR53,MATCH(1,$CM53:$CR53,0))))),MAX($CM53:$CR53))</f>
        <v>0</v>
      </c>
      <c r="D53" s="109"/>
      <c r="H53" s="9"/>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CK53" s="11"/>
      <c r="CL53" s="221">
        <f t="shared" si="7"/>
        <v>0</v>
      </c>
      <c r="CM53" s="11"/>
      <c r="CN53" s="7">
        <f t="shared" si="8"/>
        <v>0</v>
      </c>
      <c r="CO53" s="7">
        <f t="shared" si="9"/>
        <v>0</v>
      </c>
      <c r="CP53" s="7">
        <f t="shared" si="10"/>
        <v>0</v>
      </c>
      <c r="CQ53" s="7" cm="1">
        <f t="array" ref="CQ53">SUMPRODUCT(--NOT(ISNUMBER(AA53:BJ53)),--NOT(ISBLANK(AA53:BJ53)))</f>
        <v>0</v>
      </c>
      <c r="CR53" s="35"/>
      <c r="EY53" s="10" t="str">
        <f t="shared" si="6"/>
        <v/>
      </c>
    </row>
    <row r="54" spans="1:155" x14ac:dyDescent="0.35">
      <c r="A54" s="220" cm="1">
        <f t="array" aca="1" ref="A54" ca="1">HYPERLINK(CONCATENATE("#",CELL("address",IF(MAX($CM54:$CR54)=0,A54,INDEX($CM54:$CR54,MATCH(1,$CM54:$CR54,0))))),MAX($CM54:$CR54))</f>
        <v>0</v>
      </c>
      <c r="D54" s="109"/>
      <c r="H54" s="9"/>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CK54" s="11"/>
      <c r="CL54" s="221">
        <f t="shared" si="7"/>
        <v>0</v>
      </c>
      <c r="CM54" s="11"/>
      <c r="CN54" s="7">
        <f t="shared" si="8"/>
        <v>0</v>
      </c>
      <c r="CO54" s="7">
        <f t="shared" si="9"/>
        <v>0</v>
      </c>
      <c r="CP54" s="7">
        <f t="shared" si="10"/>
        <v>0</v>
      </c>
      <c r="CQ54" s="7" cm="1">
        <f t="array" ref="CQ54">SUMPRODUCT(--NOT(ISNUMBER(AA54:BJ54)),--NOT(ISBLANK(AA54:BJ54)))</f>
        <v>0</v>
      </c>
      <c r="CR54" s="35"/>
      <c r="EY54" s="10" t="str">
        <f t="shared" si="6"/>
        <v/>
      </c>
    </row>
    <row r="55" spans="1:155" s="5" customFormat="1" x14ac:dyDescent="0.35">
      <c r="A55" s="220" cm="1">
        <f t="array" aca="1" ref="A55" ca="1">HYPERLINK(CONCATENATE("#",CELL("address",IF(MAX($CM55:$CR55)=0,A55,INDEX($CM55:$CR55,MATCH(1,$CM55:$CR55,0))))),MAX($CM55:$CR55))</f>
        <v>0</v>
      </c>
      <c r="B55"/>
      <c r="C55"/>
      <c r="D55" s="109"/>
      <c r="E55" s="1"/>
      <c r="F55"/>
      <c r="G55"/>
      <c r="H55" s="9"/>
      <c r="I55"/>
      <c r="J55"/>
      <c r="K55"/>
      <c r="L55"/>
      <c r="M55"/>
      <c r="N55"/>
      <c r="O55"/>
      <c r="P55"/>
      <c r="Q55"/>
      <c r="R55"/>
      <c r="S55"/>
      <c r="T55"/>
      <c r="U55"/>
      <c r="V55"/>
      <c r="W55"/>
      <c r="X55"/>
      <c r="Y55"/>
      <c r="Z55"/>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c r="BL55"/>
      <c r="BM55"/>
      <c r="BN55"/>
      <c r="BO55"/>
      <c r="BP55"/>
      <c r="BQ55"/>
      <c r="BR55"/>
      <c r="BS55"/>
      <c r="BT55"/>
      <c r="BU55"/>
      <c r="BV55"/>
      <c r="BW55"/>
      <c r="BX55"/>
      <c r="BY55"/>
      <c r="BZ55"/>
      <c r="CA55"/>
      <c r="CB55"/>
      <c r="CC55"/>
      <c r="CD55"/>
      <c r="CE55"/>
      <c r="CF55"/>
      <c r="CG55"/>
      <c r="CH55"/>
      <c r="CI55"/>
      <c r="CJ55"/>
      <c r="CK55" s="11"/>
      <c r="CL55" s="221">
        <f t="shared" si="7"/>
        <v>0</v>
      </c>
      <c r="CM55" s="11"/>
      <c r="CN55" s="7">
        <f t="shared" si="8"/>
        <v>0</v>
      </c>
      <c r="CO55" s="7">
        <f t="shared" si="9"/>
        <v>0</v>
      </c>
      <c r="CP55" s="7">
        <f t="shared" si="10"/>
        <v>0</v>
      </c>
      <c r="CQ55" s="7" cm="1">
        <f t="array" ref="CQ55">SUMPRODUCT(--NOT(ISNUMBER(AA55:BJ55)),--NOT(ISBLANK(AA55:BJ55)))</f>
        <v>0</v>
      </c>
      <c r="CR55" s="35"/>
      <c r="EY55" s="10" t="str">
        <f t="shared" si="6"/>
        <v/>
      </c>
    </row>
    <row r="56" spans="1:155" x14ac:dyDescent="0.35">
      <c r="A56" s="220" cm="1">
        <f t="array" aca="1" ref="A56" ca="1">HYPERLINK(CONCATENATE("#",CELL("address",IF(MAX($CM56:$CR56)=0,A56,INDEX($CM56:$CR56,MATCH(1,$CM56:$CR56,0))))),MAX($CM56:$CR56))</f>
        <v>0</v>
      </c>
      <c r="D56" s="109"/>
      <c r="H56" s="9"/>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CK56" s="11"/>
      <c r="CL56" s="221">
        <f t="shared" si="7"/>
        <v>0</v>
      </c>
      <c r="CM56" s="11"/>
      <c r="CN56" s="7">
        <f t="shared" si="8"/>
        <v>0</v>
      </c>
      <c r="CO56" s="7">
        <f t="shared" si="9"/>
        <v>0</v>
      </c>
      <c r="CP56" s="7">
        <f t="shared" si="10"/>
        <v>0</v>
      </c>
      <c r="CQ56" s="7" cm="1">
        <f t="array" ref="CQ56">SUMPRODUCT(--NOT(ISNUMBER(AA56:BJ56)),--NOT(ISBLANK(AA56:BJ56)))</f>
        <v>0</v>
      </c>
      <c r="CR56" s="35"/>
      <c r="EY56" s="10" t="str">
        <f t="shared" si="6"/>
        <v/>
      </c>
    </row>
    <row r="57" spans="1:155" x14ac:dyDescent="0.35">
      <c r="A57" s="220" cm="1">
        <f t="array" aca="1" ref="A57" ca="1">HYPERLINK(CONCATENATE("#",CELL("address",IF(MAX($CM57:$CR57)=0,A57,INDEX($CM57:$CR57,MATCH(1,$CM57:$CR57,0))))),MAX($CM57:$CR57))</f>
        <v>0</v>
      </c>
      <c r="D57" s="109"/>
      <c r="H57" s="9"/>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CK57" s="11"/>
      <c r="CL57" s="221">
        <f t="shared" si="7"/>
        <v>0</v>
      </c>
      <c r="CM57" s="11"/>
      <c r="CN57" s="7">
        <f t="shared" si="8"/>
        <v>0</v>
      </c>
      <c r="CO57" s="7">
        <f t="shared" si="9"/>
        <v>0</v>
      </c>
      <c r="CP57" s="7">
        <f t="shared" si="10"/>
        <v>0</v>
      </c>
      <c r="CQ57" s="7" cm="1">
        <f t="array" ref="CQ57">SUMPRODUCT(--NOT(ISNUMBER(AA57:BJ57)),--NOT(ISBLANK(AA57:BJ57)))</f>
        <v>0</v>
      </c>
      <c r="CR57" s="35"/>
      <c r="EY57" s="10" t="str">
        <f t="shared" si="6"/>
        <v/>
      </c>
    </row>
    <row r="58" spans="1:155" x14ac:dyDescent="0.35">
      <c r="A58" s="220" cm="1">
        <f t="array" aca="1" ref="A58" ca="1">HYPERLINK(CONCATENATE("#",CELL("address",IF(MAX($CM58:$CR58)=0,A58,INDEX($CM58:$CR58,MATCH(1,$CM58:$CR58,0))))),MAX($CM58:$CR58))</f>
        <v>0</v>
      </c>
      <c r="D58" s="109"/>
      <c r="H58" s="9"/>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CK58" s="11"/>
      <c r="CL58" s="221">
        <f t="shared" si="7"/>
        <v>0</v>
      </c>
      <c r="CM58" s="11"/>
      <c r="CN58" s="7">
        <f t="shared" si="8"/>
        <v>0</v>
      </c>
      <c r="CO58" s="7">
        <f t="shared" si="9"/>
        <v>0</v>
      </c>
      <c r="CP58" s="7">
        <f t="shared" si="10"/>
        <v>0</v>
      </c>
      <c r="CQ58" s="7" cm="1">
        <f t="array" ref="CQ58">SUMPRODUCT(--NOT(ISNUMBER(AA58:BJ58)),--NOT(ISBLANK(AA58:BJ58)))</f>
        <v>0</v>
      </c>
      <c r="CR58" s="35"/>
      <c r="EY58" s="10" t="str">
        <f t="shared" si="6"/>
        <v/>
      </c>
    </row>
    <row r="59" spans="1:155" x14ac:dyDescent="0.35">
      <c r="A59" s="220" cm="1">
        <f t="array" aca="1" ref="A59" ca="1">HYPERLINK(CONCATENATE("#",CELL("address",IF(MAX($CM59:$CR59)=0,A59,INDEX($CM59:$CR59,MATCH(1,$CM59:$CR59,0))))),MAX($CM59:$CR59))</f>
        <v>0</v>
      </c>
      <c r="D59" s="109"/>
      <c r="H59" s="9"/>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CK59" s="11"/>
      <c r="CL59" s="221">
        <f t="shared" si="7"/>
        <v>0</v>
      </c>
      <c r="CM59" s="11"/>
      <c r="CN59" s="7">
        <f t="shared" si="8"/>
        <v>0</v>
      </c>
      <c r="CO59" s="7">
        <f t="shared" si="9"/>
        <v>0</v>
      </c>
      <c r="CP59" s="7">
        <f t="shared" si="10"/>
        <v>0</v>
      </c>
      <c r="CQ59" s="7" cm="1">
        <f t="array" ref="CQ59">SUMPRODUCT(--NOT(ISNUMBER(AA59:BJ59)),--NOT(ISBLANK(AA59:BJ59)))</f>
        <v>0</v>
      </c>
      <c r="CR59" s="35"/>
      <c r="EY59" s="10" t="str">
        <f t="shared" si="6"/>
        <v/>
      </c>
    </row>
    <row r="60" spans="1:155" x14ac:dyDescent="0.35">
      <c r="A60" s="220" cm="1">
        <f t="array" aca="1" ref="A60" ca="1">HYPERLINK(CONCATENATE("#",CELL("address",IF(MAX($CM60:$CR60)=0,A60,INDEX($CM60:$CR60,MATCH(1,$CM60:$CR60,0))))),MAX($CM60:$CR60))</f>
        <v>0</v>
      </c>
      <c r="D60" s="109"/>
      <c r="H60" s="9"/>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CK60" s="11"/>
      <c r="CL60" s="221">
        <f t="shared" si="7"/>
        <v>0</v>
      </c>
      <c r="CM60" s="11"/>
      <c r="CN60" s="7">
        <f t="shared" si="8"/>
        <v>0</v>
      </c>
      <c r="CO60" s="7">
        <f t="shared" si="9"/>
        <v>0</v>
      </c>
      <c r="CP60" s="7">
        <f t="shared" si="10"/>
        <v>0</v>
      </c>
      <c r="CQ60" s="7" cm="1">
        <f t="array" ref="CQ60">SUMPRODUCT(--NOT(ISNUMBER(AA60:BJ60)),--NOT(ISBLANK(AA60:BJ60)))</f>
        <v>0</v>
      </c>
      <c r="CR60" s="35"/>
      <c r="EY60" s="10" t="str">
        <f t="shared" si="6"/>
        <v/>
      </c>
    </row>
    <row r="61" spans="1:155" x14ac:dyDescent="0.35">
      <c r="A61" s="220" cm="1">
        <f t="array" aca="1" ref="A61" ca="1">HYPERLINK(CONCATENATE("#",CELL("address",IF(MAX($CM61:$CR61)=0,A61,INDEX($CM61:$CR61,MATCH(1,$CM61:$CR61,0))))),MAX($CM61:$CR61))</f>
        <v>0</v>
      </c>
      <c r="D61" s="109"/>
      <c r="H61" s="9"/>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CK61" s="11"/>
      <c r="CL61" s="221">
        <f t="shared" si="7"/>
        <v>0</v>
      </c>
      <c r="CM61" s="11"/>
      <c r="CN61" s="7">
        <f t="shared" si="8"/>
        <v>0</v>
      </c>
      <c r="CO61" s="7">
        <f t="shared" si="9"/>
        <v>0</v>
      </c>
      <c r="CP61" s="7">
        <f t="shared" si="10"/>
        <v>0</v>
      </c>
      <c r="CQ61" s="7" cm="1">
        <f t="array" ref="CQ61">SUMPRODUCT(--NOT(ISNUMBER(AA61:BJ61)),--NOT(ISBLANK(AA61:BJ61)))</f>
        <v>0</v>
      </c>
      <c r="CR61" s="35"/>
      <c r="EY61" s="10" t="str">
        <f t="shared" si="6"/>
        <v/>
      </c>
    </row>
    <row r="62" spans="1:155" x14ac:dyDescent="0.35">
      <c r="A62" s="220" cm="1">
        <f t="array" aca="1" ref="A62" ca="1">HYPERLINK(CONCATENATE("#",CELL("address",IF(MAX($CM62:$CR62)=0,A62,INDEX($CM62:$CR62,MATCH(1,$CM62:$CR62,0))))),MAX($CM62:$CR62))</f>
        <v>0</v>
      </c>
      <c r="D62" s="109"/>
      <c r="H62" s="9"/>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CK62" s="11"/>
      <c r="CL62" s="221">
        <f t="shared" si="7"/>
        <v>0</v>
      </c>
      <c r="CM62" s="11"/>
      <c r="CN62" s="7">
        <f t="shared" si="8"/>
        <v>0</v>
      </c>
      <c r="CO62" s="7">
        <f t="shared" si="9"/>
        <v>0</v>
      </c>
      <c r="CP62" s="7">
        <f t="shared" si="10"/>
        <v>0</v>
      </c>
      <c r="CQ62" s="7" cm="1">
        <f t="array" ref="CQ62">SUMPRODUCT(--NOT(ISNUMBER(AA62:BJ62)),--NOT(ISBLANK(AA62:BJ62)))</f>
        <v>0</v>
      </c>
      <c r="CR62" s="35"/>
      <c r="EY62" s="10" t="str">
        <f t="shared" si="6"/>
        <v/>
      </c>
    </row>
    <row r="63" spans="1:155" x14ac:dyDescent="0.35">
      <c r="A63" s="220" cm="1">
        <f t="array" aca="1" ref="A63" ca="1">HYPERLINK(CONCATENATE("#",CELL("address",IF(MAX($CM63:$CR63)=0,A63,INDEX($CM63:$CR63,MATCH(1,$CM63:$CR63,0))))),MAX($CM63:$CR63))</f>
        <v>0</v>
      </c>
      <c r="D63" s="109"/>
      <c r="H63" s="9"/>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CK63" s="11"/>
      <c r="CL63" s="221">
        <f t="shared" si="7"/>
        <v>0</v>
      </c>
      <c r="CM63" s="11"/>
      <c r="CN63" s="7">
        <f t="shared" si="8"/>
        <v>0</v>
      </c>
      <c r="CO63" s="7">
        <f t="shared" si="9"/>
        <v>0</v>
      </c>
      <c r="CP63" s="7">
        <f t="shared" si="10"/>
        <v>0</v>
      </c>
      <c r="CQ63" s="7" cm="1">
        <f t="array" ref="CQ63">SUMPRODUCT(--NOT(ISNUMBER(AA63:BJ63)),--NOT(ISBLANK(AA63:BJ63)))</f>
        <v>0</v>
      </c>
      <c r="CR63" s="35"/>
      <c r="EY63" s="10" t="str">
        <f t="shared" si="6"/>
        <v/>
      </c>
    </row>
    <row r="64" spans="1:155" x14ac:dyDescent="0.35">
      <c r="A64" s="220" cm="1">
        <f t="array" aca="1" ref="A64" ca="1">HYPERLINK(CONCATENATE("#",CELL("address",IF(MAX($CM64:$CR64)=0,A64,INDEX($CM64:$CR64,MATCH(1,$CM64:$CR64,0))))),MAX($CM64:$CR64))</f>
        <v>0</v>
      </c>
      <c r="D64" s="109"/>
      <c r="H64" s="9"/>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CK64" s="11"/>
      <c r="CL64" s="221">
        <f t="shared" si="7"/>
        <v>0</v>
      </c>
      <c r="CM64" s="11"/>
      <c r="CN64" s="7">
        <f t="shared" si="8"/>
        <v>0</v>
      </c>
      <c r="CO64" s="7">
        <f t="shared" si="9"/>
        <v>0</v>
      </c>
      <c r="CP64" s="7">
        <f t="shared" si="10"/>
        <v>0</v>
      </c>
      <c r="CQ64" s="7" cm="1">
        <f t="array" ref="CQ64">SUMPRODUCT(--NOT(ISNUMBER(AA64:BJ64)),--NOT(ISBLANK(AA64:BJ64)))</f>
        <v>0</v>
      </c>
      <c r="CR64" s="35"/>
      <c r="EY64" s="10" t="str">
        <f t="shared" si="6"/>
        <v/>
      </c>
    </row>
    <row r="65" spans="1:155" x14ac:dyDescent="0.35">
      <c r="A65" s="220" cm="1">
        <f t="array" aca="1" ref="A65" ca="1">HYPERLINK(CONCATENATE("#",CELL("address",IF(MAX($CM65:$CR65)=0,A65,INDEX($CM65:$CR65,MATCH(1,$CM65:$CR65,0))))),MAX($CM65:$CR65))</f>
        <v>0</v>
      </c>
      <c r="D65" s="109"/>
      <c r="H65" s="9"/>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CK65" s="11"/>
      <c r="CL65" s="221">
        <f t="shared" si="7"/>
        <v>0</v>
      </c>
      <c r="CM65" s="11"/>
      <c r="CN65" s="7">
        <f t="shared" si="8"/>
        <v>0</v>
      </c>
      <c r="CO65" s="7">
        <f t="shared" si="9"/>
        <v>0</v>
      </c>
      <c r="CP65" s="7">
        <f t="shared" si="10"/>
        <v>0</v>
      </c>
      <c r="CQ65" s="7" cm="1">
        <f t="array" ref="CQ65">SUMPRODUCT(--NOT(ISNUMBER(AA65:BJ65)),--NOT(ISBLANK(AA65:BJ65)))</f>
        <v>0</v>
      </c>
      <c r="CR65" s="35"/>
      <c r="EY65" s="10" t="str">
        <f t="shared" si="6"/>
        <v/>
      </c>
    </row>
    <row r="66" spans="1:155" x14ac:dyDescent="0.35">
      <c r="A66" s="220" cm="1">
        <f t="array" aca="1" ref="A66" ca="1">HYPERLINK(CONCATENATE("#",CELL("address",IF(MAX($CM66:$CR66)=0,A66,INDEX($CM66:$CR66,MATCH(1,$CM66:$CR66,0))))),MAX($CM66:$CR66))</f>
        <v>0</v>
      </c>
      <c r="D66" s="109"/>
      <c r="H66" s="9"/>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CK66" s="11"/>
      <c r="CL66" s="221">
        <f t="shared" si="7"/>
        <v>0</v>
      </c>
      <c r="CM66" s="11"/>
      <c r="CN66" s="7">
        <f t="shared" si="8"/>
        <v>0</v>
      </c>
      <c r="CO66" s="7">
        <f t="shared" si="9"/>
        <v>0</v>
      </c>
      <c r="CP66" s="7">
        <f t="shared" si="10"/>
        <v>0</v>
      </c>
      <c r="CQ66" s="7" cm="1">
        <f t="array" ref="CQ66">SUMPRODUCT(--NOT(ISNUMBER(AA66:BJ66)),--NOT(ISBLANK(AA66:BJ66)))</f>
        <v>0</v>
      </c>
      <c r="CR66" s="35"/>
      <c r="EY66" s="10" t="str">
        <f t="shared" si="6"/>
        <v/>
      </c>
    </row>
    <row r="67" spans="1:155" x14ac:dyDescent="0.35">
      <c r="A67" s="220" cm="1">
        <f t="array" aca="1" ref="A67" ca="1">HYPERLINK(CONCATENATE("#",CELL("address",IF(MAX($CM67:$CR67)=0,A67,INDEX($CM67:$CR67,MATCH(1,$CM67:$CR67,0))))),MAX($CM67:$CR67))</f>
        <v>0</v>
      </c>
      <c r="D67" s="109"/>
      <c r="H67" s="9"/>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CK67" s="11"/>
      <c r="CL67" s="221">
        <f t="shared" si="7"/>
        <v>0</v>
      </c>
      <c r="CM67" s="11"/>
      <c r="CN67" s="7">
        <f t="shared" si="8"/>
        <v>0</v>
      </c>
      <c r="CO67" s="7">
        <f t="shared" si="9"/>
        <v>0</v>
      </c>
      <c r="CP67" s="7">
        <f t="shared" si="10"/>
        <v>0</v>
      </c>
      <c r="CQ67" s="7" cm="1">
        <f t="array" ref="CQ67">SUMPRODUCT(--NOT(ISNUMBER(AA67:BJ67)),--NOT(ISBLANK(AA67:BJ67)))</f>
        <v>0</v>
      </c>
      <c r="CR67" s="35"/>
      <c r="EY67" s="10" t="str">
        <f t="shared" si="6"/>
        <v/>
      </c>
    </row>
    <row r="68" spans="1:155" x14ac:dyDescent="0.35">
      <c r="A68" s="220" cm="1">
        <f t="array" aca="1" ref="A68" ca="1">HYPERLINK(CONCATENATE("#",CELL("address",IF(MAX($CM68:$CR68)=0,A68,INDEX($CM68:$CR68,MATCH(1,$CM68:$CR68,0))))),MAX($CM68:$CR68))</f>
        <v>0</v>
      </c>
      <c r="D68" s="109"/>
      <c r="H68" s="9"/>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CK68" s="11"/>
      <c r="CL68" s="221">
        <f t="shared" si="7"/>
        <v>0</v>
      </c>
      <c r="CM68" s="11"/>
      <c r="CN68" s="7">
        <f t="shared" si="8"/>
        <v>0</v>
      </c>
      <c r="CO68" s="7">
        <f t="shared" si="9"/>
        <v>0</v>
      </c>
      <c r="CP68" s="7">
        <f t="shared" si="10"/>
        <v>0</v>
      </c>
      <c r="CQ68" s="7" cm="1">
        <f t="array" ref="CQ68">SUMPRODUCT(--NOT(ISNUMBER(AA68:BJ68)),--NOT(ISBLANK(AA68:BJ68)))</f>
        <v>0</v>
      </c>
      <c r="CR68" s="35"/>
      <c r="EY68" s="10" t="str">
        <f t="shared" si="6"/>
        <v/>
      </c>
    </row>
    <row r="69" spans="1:155" x14ac:dyDescent="0.35">
      <c r="A69" s="220" cm="1">
        <f t="array" aca="1" ref="A69" ca="1">HYPERLINK(CONCATENATE("#",CELL("address",IF(MAX($CM69:$CR69)=0,A69,INDEX($CM69:$CR69,MATCH(1,$CM69:$CR69,0))))),MAX($CM69:$CR69))</f>
        <v>0</v>
      </c>
      <c r="D69" s="109"/>
      <c r="H69" s="9"/>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CK69" s="11"/>
      <c r="CL69" s="221">
        <f t="shared" si="7"/>
        <v>0</v>
      </c>
      <c r="CM69" s="11"/>
      <c r="CN69" s="7">
        <f t="shared" si="8"/>
        <v>0</v>
      </c>
      <c r="CO69" s="7">
        <f t="shared" si="9"/>
        <v>0</v>
      </c>
      <c r="CP69" s="7">
        <f t="shared" si="10"/>
        <v>0</v>
      </c>
      <c r="CQ69" s="7" cm="1">
        <f t="array" ref="CQ69">SUMPRODUCT(--NOT(ISNUMBER(AA69:BJ69)),--NOT(ISBLANK(AA69:BJ69)))</f>
        <v>0</v>
      </c>
      <c r="CR69" s="35"/>
      <c r="EY69" s="10" t="str">
        <f t="shared" si="6"/>
        <v/>
      </c>
    </row>
    <row r="70" spans="1:155" x14ac:dyDescent="0.35">
      <c r="A70" s="220" cm="1">
        <f t="array" aca="1" ref="A70" ca="1">HYPERLINK(CONCATENATE("#",CELL("address",IF(MAX($CM70:$CR70)=0,A70,INDEX($CM70:$CR70,MATCH(1,$CM70:$CR70,0))))),MAX($CM70:$CR70))</f>
        <v>0</v>
      </c>
      <c r="D70" s="109"/>
      <c r="H70" s="9"/>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CK70" s="11"/>
      <c r="CL70" s="221">
        <f t="shared" si="7"/>
        <v>0</v>
      </c>
      <c r="CM70" s="11"/>
      <c r="CN70" s="7">
        <f t="shared" si="8"/>
        <v>0</v>
      </c>
      <c r="CO70" s="7">
        <f t="shared" si="9"/>
        <v>0</v>
      </c>
      <c r="CP70" s="7">
        <f t="shared" si="10"/>
        <v>0</v>
      </c>
      <c r="CQ70" s="7" cm="1">
        <f t="array" ref="CQ70">SUMPRODUCT(--NOT(ISNUMBER(AA70:BJ70)),--NOT(ISBLANK(AA70:BJ70)))</f>
        <v>0</v>
      </c>
      <c r="CR70" s="35"/>
      <c r="EY70" s="10" t="str">
        <f t="shared" si="6"/>
        <v/>
      </c>
    </row>
    <row r="71" spans="1:155" x14ac:dyDescent="0.35">
      <c r="A71" s="220" cm="1">
        <f t="array" aca="1" ref="A71" ca="1">HYPERLINK(CONCATENATE("#",CELL("address",IF(MAX($CM71:$CR71)=0,A71,INDEX($CM71:$CR71,MATCH(1,$CM71:$CR71,0))))),MAX($CM71:$CR71))</f>
        <v>0</v>
      </c>
      <c r="D71" s="109"/>
      <c r="H71" s="9"/>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CK71" s="11"/>
      <c r="CL71" s="221">
        <f t="shared" si="7"/>
        <v>0</v>
      </c>
      <c r="CM71" s="11"/>
      <c r="CN71" s="7">
        <f t="shared" si="8"/>
        <v>0</v>
      </c>
      <c r="CO71" s="7">
        <f t="shared" si="9"/>
        <v>0</v>
      </c>
      <c r="CP71" s="7">
        <f t="shared" si="10"/>
        <v>0</v>
      </c>
      <c r="CQ71" s="7" cm="1">
        <f t="array" ref="CQ71">SUMPRODUCT(--NOT(ISNUMBER(AA71:BJ71)),--NOT(ISBLANK(AA71:BJ71)))</f>
        <v>0</v>
      </c>
      <c r="CR71" s="35"/>
      <c r="EY71" s="10" t="str">
        <f t="shared" si="6"/>
        <v/>
      </c>
    </row>
    <row r="72" spans="1:155" x14ac:dyDescent="0.35">
      <c r="A72" s="220" cm="1">
        <f t="array" aca="1" ref="A72" ca="1">HYPERLINK(CONCATENATE("#",CELL("address",IF(MAX($CM72:$CR72)=0,A72,INDEX($CM72:$CR72,MATCH(1,$CM72:$CR72,0))))),MAX($CM72:$CR72))</f>
        <v>0</v>
      </c>
      <c r="D72" s="109"/>
      <c r="H72" s="9"/>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CK72" s="11"/>
      <c r="CL72" s="221">
        <f t="shared" si="7"/>
        <v>0</v>
      </c>
      <c r="CM72" s="11"/>
      <c r="CN72" s="7">
        <f t="shared" si="8"/>
        <v>0</v>
      </c>
      <c r="CO72" s="7">
        <f t="shared" si="9"/>
        <v>0</v>
      </c>
      <c r="CP72" s="7">
        <f t="shared" si="10"/>
        <v>0</v>
      </c>
      <c r="CQ72" s="7" cm="1">
        <f t="array" ref="CQ72">SUMPRODUCT(--NOT(ISNUMBER(AA72:BJ72)),--NOT(ISBLANK(AA72:BJ72)))</f>
        <v>0</v>
      </c>
      <c r="CR72" s="35"/>
      <c r="EY72" s="10" t="str">
        <f t="shared" ref="EY72:EY95" si="11">IF($C72="","",$D72)</f>
        <v/>
      </c>
    </row>
    <row r="73" spans="1:155" x14ac:dyDescent="0.35">
      <c r="A73" s="220" cm="1">
        <f t="array" aca="1" ref="A73" ca="1">HYPERLINK(CONCATENATE("#",CELL("address",IF(MAX($CM73:$CR73)=0,A73,INDEX($CM73:$CR73,MATCH(1,$CM73:$CR73,0))))),MAX($CM73:$CR73))</f>
        <v>0</v>
      </c>
      <c r="D73" s="109"/>
      <c r="H73" s="9"/>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CK73" s="11"/>
      <c r="CL73" s="221">
        <f t="shared" ref="CL73:CL92" si="12">IF(MIN($AA73:$BJ73)&lt;0, 1, 0)</f>
        <v>0</v>
      </c>
      <c r="CM73" s="11"/>
      <c r="CN73" s="7">
        <f t="shared" ref="CN73:CN92" si="13">IF(OR(SUM(AA73:AL73)=1, SUM(AA73:AL73)=0), 0, 1)</f>
        <v>0</v>
      </c>
      <c r="CO73" s="7">
        <f t="shared" ref="CO73:CO92" si="14">IF(OR(SUM(AM73:AX73)=1, SUM(AM73:AX73)=0), 0, 1)</f>
        <v>0</v>
      </c>
      <c r="CP73" s="7">
        <f t="shared" ref="CP73:CP92" si="15">IF(OR(SUM(AY73:BJ73)=1, SUM(AY73:BJ73)=0), 0, 1)</f>
        <v>0</v>
      </c>
      <c r="CQ73" s="7" cm="1">
        <f t="array" ref="CQ73">SUMPRODUCT(--NOT(ISNUMBER(AA73:BJ73)),--NOT(ISBLANK(AA73:BJ73)))</f>
        <v>0</v>
      </c>
      <c r="CR73" s="35"/>
      <c r="EY73" s="10" t="str">
        <f t="shared" si="11"/>
        <v/>
      </c>
    </row>
    <row r="74" spans="1:155" x14ac:dyDescent="0.35">
      <c r="A74" s="220" cm="1">
        <f t="array" aca="1" ref="A74" ca="1">HYPERLINK(CONCATENATE("#",CELL("address",IF(MAX($CM74:$CR74)=0,A74,INDEX($CM74:$CR74,MATCH(1,$CM74:$CR74,0))))),MAX($CM74:$CR74))</f>
        <v>0</v>
      </c>
      <c r="D74" s="109"/>
      <c r="H74" s="9"/>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CK74" s="11"/>
      <c r="CL74" s="221">
        <f t="shared" si="12"/>
        <v>0</v>
      </c>
      <c r="CM74" s="11"/>
      <c r="CN74" s="7">
        <f t="shared" si="13"/>
        <v>0</v>
      </c>
      <c r="CO74" s="7">
        <f t="shared" si="14"/>
        <v>0</v>
      </c>
      <c r="CP74" s="7">
        <f t="shared" si="15"/>
        <v>0</v>
      </c>
      <c r="CQ74" s="7" cm="1">
        <f t="array" ref="CQ74">SUMPRODUCT(--NOT(ISNUMBER(AA74:BJ74)),--NOT(ISBLANK(AA74:BJ74)))</f>
        <v>0</v>
      </c>
      <c r="CR74" s="35"/>
      <c r="EY74" s="10" t="str">
        <f t="shared" si="11"/>
        <v/>
      </c>
    </row>
    <row r="75" spans="1:155" x14ac:dyDescent="0.35">
      <c r="A75" s="220" cm="1">
        <f t="array" aca="1" ref="A75" ca="1">HYPERLINK(CONCATENATE("#",CELL("address",IF(MAX($CM75:$CR75)=0,A75,INDEX($CM75:$CR75,MATCH(1,$CM75:$CR75,0))))),MAX($CM75:$CR75))</f>
        <v>0</v>
      </c>
      <c r="D75" s="109"/>
      <c r="H75" s="9"/>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CK75" s="11"/>
      <c r="CL75" s="221">
        <f t="shared" si="12"/>
        <v>0</v>
      </c>
      <c r="CM75" s="11"/>
      <c r="CN75" s="7">
        <f t="shared" si="13"/>
        <v>0</v>
      </c>
      <c r="CO75" s="7">
        <f t="shared" si="14"/>
        <v>0</v>
      </c>
      <c r="CP75" s="7">
        <f t="shared" si="15"/>
        <v>0</v>
      </c>
      <c r="CQ75" s="7" cm="1">
        <f t="array" ref="CQ75">SUMPRODUCT(--NOT(ISNUMBER(AA75:BJ75)),--NOT(ISBLANK(AA75:BJ75)))</f>
        <v>0</v>
      </c>
      <c r="CR75" s="35"/>
      <c r="EY75" s="10" t="str">
        <f t="shared" si="11"/>
        <v/>
      </c>
    </row>
    <row r="76" spans="1:155" x14ac:dyDescent="0.35">
      <c r="A76" s="220" cm="1">
        <f t="array" aca="1" ref="A76" ca="1">HYPERLINK(CONCATENATE("#",CELL("address",IF(MAX($CM76:$CR76)=0,A76,INDEX($CM76:$CR76,MATCH(1,$CM76:$CR76,0))))),MAX($CM76:$CR76))</f>
        <v>0</v>
      </c>
      <c r="D76" s="109"/>
      <c r="H76" s="9"/>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CK76" s="11"/>
      <c r="CL76" s="221">
        <f t="shared" si="12"/>
        <v>0</v>
      </c>
      <c r="CM76" s="11"/>
      <c r="CN76" s="7">
        <f t="shared" si="13"/>
        <v>0</v>
      </c>
      <c r="CO76" s="7">
        <f t="shared" si="14"/>
        <v>0</v>
      </c>
      <c r="CP76" s="7">
        <f t="shared" si="15"/>
        <v>0</v>
      </c>
      <c r="CQ76" s="7" cm="1">
        <f t="array" ref="CQ76">SUMPRODUCT(--NOT(ISNUMBER(AA76:BJ76)),--NOT(ISBLANK(AA76:BJ76)))</f>
        <v>0</v>
      </c>
      <c r="CR76" s="35"/>
      <c r="EY76" s="10" t="str">
        <f t="shared" si="11"/>
        <v/>
      </c>
    </row>
    <row r="77" spans="1:155" x14ac:dyDescent="0.35">
      <c r="A77" s="220" cm="1">
        <f t="array" aca="1" ref="A77" ca="1">HYPERLINK(CONCATENATE("#",CELL("address",IF(MAX($CM77:$CR77)=0,A77,INDEX($CM77:$CR77,MATCH(1,$CM77:$CR77,0))))),MAX($CM77:$CR77))</f>
        <v>0</v>
      </c>
      <c r="D77" s="109"/>
      <c r="H77" s="9"/>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CK77" s="11"/>
      <c r="CL77" s="221">
        <f t="shared" si="12"/>
        <v>0</v>
      </c>
      <c r="CM77" s="11"/>
      <c r="CN77" s="7">
        <f t="shared" si="13"/>
        <v>0</v>
      </c>
      <c r="CO77" s="7">
        <f t="shared" si="14"/>
        <v>0</v>
      </c>
      <c r="CP77" s="7">
        <f t="shared" si="15"/>
        <v>0</v>
      </c>
      <c r="CQ77" s="7" cm="1">
        <f t="array" ref="CQ77">SUMPRODUCT(--NOT(ISNUMBER(AA77:BJ77)),--NOT(ISBLANK(AA77:BJ77)))</f>
        <v>0</v>
      </c>
      <c r="CR77" s="35"/>
      <c r="EY77" s="10" t="str">
        <f t="shared" si="11"/>
        <v/>
      </c>
    </row>
    <row r="78" spans="1:155" x14ac:dyDescent="0.35">
      <c r="A78" s="220" cm="1">
        <f t="array" aca="1" ref="A78" ca="1">HYPERLINK(CONCATENATE("#",CELL("address",IF(MAX($CM78:$CR78)=0,A78,INDEX($CM78:$CR78,MATCH(1,$CM78:$CR78,0))))),MAX($CM78:$CR78))</f>
        <v>0</v>
      </c>
      <c r="D78" s="109"/>
      <c r="H78" s="9"/>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CK78" s="11"/>
      <c r="CL78" s="221">
        <f t="shared" si="12"/>
        <v>0</v>
      </c>
      <c r="CM78" s="11"/>
      <c r="CN78" s="7">
        <f t="shared" si="13"/>
        <v>0</v>
      </c>
      <c r="CO78" s="7">
        <f t="shared" si="14"/>
        <v>0</v>
      </c>
      <c r="CP78" s="7">
        <f t="shared" si="15"/>
        <v>0</v>
      </c>
      <c r="CQ78" s="7" cm="1">
        <f t="array" ref="CQ78">SUMPRODUCT(--NOT(ISNUMBER(AA78:BJ78)),--NOT(ISBLANK(AA78:BJ78)))</f>
        <v>0</v>
      </c>
      <c r="CR78" s="35"/>
      <c r="EY78" s="10" t="str">
        <f t="shared" si="11"/>
        <v/>
      </c>
    </row>
    <row r="79" spans="1:155" x14ac:dyDescent="0.35">
      <c r="A79" s="220" cm="1">
        <f t="array" aca="1" ref="A79" ca="1">HYPERLINK(CONCATENATE("#",CELL("address",IF(MAX($CM79:$CR79)=0,A79,INDEX($CM79:$CR79,MATCH(1,$CM79:$CR79,0))))),MAX($CM79:$CR79))</f>
        <v>0</v>
      </c>
      <c r="D79" s="109"/>
      <c r="H79" s="9"/>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CK79" s="11"/>
      <c r="CL79" s="221">
        <f t="shared" si="12"/>
        <v>0</v>
      </c>
      <c r="CM79" s="11"/>
      <c r="CN79" s="7">
        <f t="shared" si="13"/>
        <v>0</v>
      </c>
      <c r="CO79" s="7">
        <f t="shared" si="14"/>
        <v>0</v>
      </c>
      <c r="CP79" s="7">
        <f t="shared" si="15"/>
        <v>0</v>
      </c>
      <c r="CQ79" s="7" cm="1">
        <f t="array" ref="CQ79">SUMPRODUCT(--NOT(ISNUMBER(AA79:BJ79)),--NOT(ISBLANK(AA79:BJ79)))</f>
        <v>0</v>
      </c>
      <c r="CR79" s="35"/>
      <c r="EY79" s="10" t="str">
        <f t="shared" si="11"/>
        <v/>
      </c>
    </row>
    <row r="80" spans="1:155" s="5" customFormat="1" x14ac:dyDescent="0.35">
      <c r="A80" s="220" cm="1">
        <f t="array" aca="1" ref="A80" ca="1">HYPERLINK(CONCATENATE("#",CELL("address",IF(MAX($CM80:$CR80)=0,A80,INDEX($CM80:$CR80,MATCH(1,$CM80:$CR80,0))))),MAX($CM80:$CR80))</f>
        <v>0</v>
      </c>
      <c r="B80"/>
      <c r="C80"/>
      <c r="D80" s="109"/>
      <c r="E80" s="1"/>
      <c r="F80"/>
      <c r="G80"/>
      <c r="H80" s="9"/>
      <c r="I80"/>
      <c r="J80"/>
      <c r="K80"/>
      <c r="L80"/>
      <c r="M80"/>
      <c r="N80"/>
      <c r="O80"/>
      <c r="P80"/>
      <c r="Q80"/>
      <c r="R80"/>
      <c r="S80"/>
      <c r="T80"/>
      <c r="U80"/>
      <c r="V80"/>
      <c r="W80"/>
      <c r="X80"/>
      <c r="Y80"/>
      <c r="Z80"/>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c r="BL80"/>
      <c r="BM80"/>
      <c r="BN80"/>
      <c r="BO80"/>
      <c r="BP80"/>
      <c r="BQ80"/>
      <c r="BR80"/>
      <c r="BS80"/>
      <c r="BT80"/>
      <c r="BU80"/>
      <c r="BV80"/>
      <c r="BW80"/>
      <c r="BX80"/>
      <c r="BY80"/>
      <c r="BZ80"/>
      <c r="CA80"/>
      <c r="CB80"/>
      <c r="CC80"/>
      <c r="CD80"/>
      <c r="CE80"/>
      <c r="CF80"/>
      <c r="CG80"/>
      <c r="CH80"/>
      <c r="CI80"/>
      <c r="CJ80"/>
      <c r="CK80" s="11"/>
      <c r="CL80" s="221">
        <f t="shared" si="12"/>
        <v>0</v>
      </c>
      <c r="CM80" s="11"/>
      <c r="CN80" s="7">
        <f t="shared" si="13"/>
        <v>0</v>
      </c>
      <c r="CO80" s="7">
        <f t="shared" si="14"/>
        <v>0</v>
      </c>
      <c r="CP80" s="7">
        <f t="shared" si="15"/>
        <v>0</v>
      </c>
      <c r="CQ80" s="7" cm="1">
        <f t="array" ref="CQ80">SUMPRODUCT(--NOT(ISNUMBER(AA80:BJ80)),--NOT(ISBLANK(AA80:BJ80)))</f>
        <v>0</v>
      </c>
      <c r="CR80" s="35"/>
      <c r="EY80" s="10" t="str">
        <f t="shared" si="11"/>
        <v/>
      </c>
    </row>
    <row r="81" spans="1:155" x14ac:dyDescent="0.35">
      <c r="A81" s="220" cm="1">
        <f t="array" aca="1" ref="A81" ca="1">HYPERLINK(CONCATENATE("#",CELL("address",IF(MAX($CM81:$CR81)=0,A81,INDEX($CM81:$CR81,MATCH(1,$CM81:$CR81,0))))),MAX($CM81:$CR81))</f>
        <v>0</v>
      </c>
      <c r="D81" s="109"/>
      <c r="H81" s="9"/>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CK81" s="11"/>
      <c r="CL81" s="221">
        <f t="shared" si="12"/>
        <v>0</v>
      </c>
      <c r="CM81" s="11"/>
      <c r="CN81" s="7">
        <f t="shared" si="13"/>
        <v>0</v>
      </c>
      <c r="CO81" s="7">
        <f t="shared" si="14"/>
        <v>0</v>
      </c>
      <c r="CP81" s="7">
        <f t="shared" si="15"/>
        <v>0</v>
      </c>
      <c r="CQ81" s="7" cm="1">
        <f t="array" ref="CQ81">SUMPRODUCT(--NOT(ISNUMBER(AA81:BJ81)),--NOT(ISBLANK(AA81:BJ81)))</f>
        <v>0</v>
      </c>
      <c r="CR81" s="35"/>
      <c r="EY81" s="10" t="str">
        <f t="shared" si="11"/>
        <v/>
      </c>
    </row>
    <row r="82" spans="1:155" x14ac:dyDescent="0.35">
      <c r="A82" s="220" cm="1">
        <f t="array" aca="1" ref="A82" ca="1">HYPERLINK(CONCATENATE("#",CELL("address",IF(MAX($CM82:$CR82)=0,A82,INDEX($CM82:$CR82,MATCH(1,$CM82:$CR82,0))))),MAX($CM82:$CR82))</f>
        <v>0</v>
      </c>
      <c r="D82" s="109"/>
      <c r="H82" s="9"/>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CK82" s="11"/>
      <c r="CL82" s="221">
        <f t="shared" si="12"/>
        <v>0</v>
      </c>
      <c r="CM82" s="11"/>
      <c r="CN82" s="7">
        <f t="shared" si="13"/>
        <v>0</v>
      </c>
      <c r="CO82" s="7">
        <f t="shared" si="14"/>
        <v>0</v>
      </c>
      <c r="CP82" s="7">
        <f t="shared" si="15"/>
        <v>0</v>
      </c>
      <c r="CQ82" s="7" cm="1">
        <f t="array" ref="CQ82">SUMPRODUCT(--NOT(ISNUMBER(AA82:BJ82)),--NOT(ISBLANK(AA82:BJ82)))</f>
        <v>0</v>
      </c>
      <c r="CR82" s="35"/>
      <c r="EY82" s="10" t="str">
        <f t="shared" si="11"/>
        <v/>
      </c>
    </row>
    <row r="83" spans="1:155" x14ac:dyDescent="0.35">
      <c r="A83" s="220" cm="1">
        <f t="array" aca="1" ref="A83" ca="1">HYPERLINK(CONCATENATE("#",CELL("address",IF(MAX($CM83:$CR83)=0,A83,INDEX($CM83:$CR83,MATCH(1,$CM83:$CR83,0))))),MAX($CM83:$CR83))</f>
        <v>0</v>
      </c>
      <c r="D83" s="109"/>
      <c r="H83" s="9"/>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CK83" s="11"/>
      <c r="CL83" s="221">
        <f t="shared" si="12"/>
        <v>0</v>
      </c>
      <c r="CM83" s="11"/>
      <c r="CN83" s="7">
        <f t="shared" si="13"/>
        <v>0</v>
      </c>
      <c r="CO83" s="7">
        <f t="shared" si="14"/>
        <v>0</v>
      </c>
      <c r="CP83" s="7">
        <f t="shared" si="15"/>
        <v>0</v>
      </c>
      <c r="CQ83" s="7" cm="1">
        <f t="array" ref="CQ83">SUMPRODUCT(--NOT(ISNUMBER(AA83:BJ83)),--NOT(ISBLANK(AA83:BJ83)))</f>
        <v>0</v>
      </c>
      <c r="CR83" s="35"/>
      <c r="EY83" s="10" t="str">
        <f t="shared" si="11"/>
        <v/>
      </c>
    </row>
    <row r="84" spans="1:155" x14ac:dyDescent="0.35">
      <c r="A84" s="220" cm="1">
        <f t="array" aca="1" ref="A84" ca="1">HYPERLINK(CONCATENATE("#",CELL("address",IF(MAX($CM84:$CR84)=0,A84,INDEX($CM84:$CR84,MATCH(1,$CM84:$CR84,0))))),MAX($CM84:$CR84))</f>
        <v>0</v>
      </c>
      <c r="D84" s="109"/>
      <c r="H84" s="9"/>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CK84" s="11"/>
      <c r="CL84" s="221">
        <f t="shared" si="12"/>
        <v>0</v>
      </c>
      <c r="CM84" s="11"/>
      <c r="CN84" s="7">
        <f t="shared" si="13"/>
        <v>0</v>
      </c>
      <c r="CO84" s="7">
        <f t="shared" si="14"/>
        <v>0</v>
      </c>
      <c r="CP84" s="7">
        <f t="shared" si="15"/>
        <v>0</v>
      </c>
      <c r="CQ84" s="7" cm="1">
        <f t="array" ref="CQ84">SUMPRODUCT(--NOT(ISNUMBER(AA84:BJ84)),--NOT(ISBLANK(AA84:BJ84)))</f>
        <v>0</v>
      </c>
      <c r="CR84" s="35"/>
      <c r="EY84" s="10" t="str">
        <f t="shared" si="11"/>
        <v/>
      </c>
    </row>
    <row r="85" spans="1:155" x14ac:dyDescent="0.35">
      <c r="A85" s="220" cm="1">
        <f t="array" aca="1" ref="A85" ca="1">HYPERLINK(CONCATENATE("#",CELL("address",IF(MAX($CM85:$CR85)=0,A85,INDEX($CM85:$CR85,MATCH(1,$CM85:$CR85,0))))),MAX($CM85:$CR85))</f>
        <v>0</v>
      </c>
      <c r="D85" s="109"/>
      <c r="H85" s="9"/>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CK85" s="11"/>
      <c r="CL85" s="221">
        <f t="shared" si="12"/>
        <v>0</v>
      </c>
      <c r="CM85" s="11"/>
      <c r="CN85" s="7">
        <f t="shared" si="13"/>
        <v>0</v>
      </c>
      <c r="CO85" s="7">
        <f t="shared" si="14"/>
        <v>0</v>
      </c>
      <c r="CP85" s="7">
        <f t="shared" si="15"/>
        <v>0</v>
      </c>
      <c r="CQ85" s="7" cm="1">
        <f t="array" ref="CQ85">SUMPRODUCT(--NOT(ISNUMBER(AA85:BJ85)),--NOT(ISBLANK(AA85:BJ85)))</f>
        <v>0</v>
      </c>
      <c r="CR85" s="35"/>
      <c r="EY85" s="10" t="str">
        <f t="shared" si="11"/>
        <v/>
      </c>
    </row>
    <row r="86" spans="1:155" x14ac:dyDescent="0.35">
      <c r="A86" s="220" cm="1">
        <f t="array" aca="1" ref="A86" ca="1">HYPERLINK(CONCATENATE("#",CELL("address",IF(MAX($CM86:$CR86)=0,A86,INDEX($CM86:$CR86,MATCH(1,$CM86:$CR86,0))))),MAX($CM86:$CR86))</f>
        <v>0</v>
      </c>
      <c r="D86" s="109"/>
      <c r="H86" s="9"/>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CK86" s="11"/>
      <c r="CL86" s="221">
        <f t="shared" si="12"/>
        <v>0</v>
      </c>
      <c r="CM86" s="11"/>
      <c r="CN86" s="7">
        <f t="shared" si="13"/>
        <v>0</v>
      </c>
      <c r="CO86" s="7">
        <f t="shared" si="14"/>
        <v>0</v>
      </c>
      <c r="CP86" s="7">
        <f t="shared" si="15"/>
        <v>0</v>
      </c>
      <c r="CQ86" s="7" cm="1">
        <f t="array" ref="CQ86">SUMPRODUCT(--NOT(ISNUMBER(AA86:BJ86)),--NOT(ISBLANK(AA86:BJ86)))</f>
        <v>0</v>
      </c>
      <c r="CR86" s="35"/>
      <c r="EY86" s="10" t="str">
        <f t="shared" si="11"/>
        <v/>
      </c>
    </row>
    <row r="87" spans="1:155" x14ac:dyDescent="0.35">
      <c r="A87" s="220" cm="1">
        <f t="array" aca="1" ref="A87" ca="1">HYPERLINK(CONCATENATE("#",CELL("address",IF(MAX($CM87:$CR87)=0,A87,INDEX($CM87:$CR87,MATCH(1,$CM87:$CR87,0))))),MAX($CM87:$CR87))</f>
        <v>0</v>
      </c>
      <c r="D87" s="109"/>
      <c r="H87" s="9"/>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CK87" s="11"/>
      <c r="CL87" s="221">
        <f t="shared" si="12"/>
        <v>0</v>
      </c>
      <c r="CM87" s="11"/>
      <c r="CN87" s="7">
        <f t="shared" si="13"/>
        <v>0</v>
      </c>
      <c r="CO87" s="7">
        <f t="shared" si="14"/>
        <v>0</v>
      </c>
      <c r="CP87" s="7">
        <f t="shared" si="15"/>
        <v>0</v>
      </c>
      <c r="CQ87" s="7" cm="1">
        <f t="array" ref="CQ87">SUMPRODUCT(--NOT(ISNUMBER(AA87:BJ87)),--NOT(ISBLANK(AA87:BJ87)))</f>
        <v>0</v>
      </c>
      <c r="CR87" s="35"/>
      <c r="EY87" s="10" t="str">
        <f t="shared" si="11"/>
        <v/>
      </c>
    </row>
    <row r="88" spans="1:155" x14ac:dyDescent="0.35">
      <c r="A88" s="220" cm="1">
        <f t="array" aca="1" ref="A88" ca="1">HYPERLINK(CONCATENATE("#",CELL("address",IF(MAX($CM88:$CR88)=0,A88,INDEX($CM88:$CR88,MATCH(1,$CM88:$CR88,0))))),MAX($CM88:$CR88))</f>
        <v>0</v>
      </c>
      <c r="D88" s="109"/>
      <c r="H88" s="9"/>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CK88" s="11"/>
      <c r="CL88" s="221">
        <f t="shared" si="12"/>
        <v>0</v>
      </c>
      <c r="CM88" s="11"/>
      <c r="CN88" s="7">
        <f t="shared" si="13"/>
        <v>0</v>
      </c>
      <c r="CO88" s="7">
        <f t="shared" si="14"/>
        <v>0</v>
      </c>
      <c r="CP88" s="7">
        <f t="shared" si="15"/>
        <v>0</v>
      </c>
      <c r="CQ88" s="7" cm="1">
        <f t="array" ref="CQ88">SUMPRODUCT(--NOT(ISNUMBER(AA88:BJ88)),--NOT(ISBLANK(AA88:BJ88)))</f>
        <v>0</v>
      </c>
      <c r="CR88" s="35"/>
      <c r="EY88" s="10" t="str">
        <f t="shared" si="11"/>
        <v/>
      </c>
    </row>
    <row r="89" spans="1:155" x14ac:dyDescent="0.35">
      <c r="A89" s="220" cm="1">
        <f t="array" aca="1" ref="A89" ca="1">HYPERLINK(CONCATENATE("#",CELL("address",IF(MAX($CM89:$CR89)=0,A89,INDEX($CM89:$CR89,MATCH(1,$CM89:$CR89,0))))),MAX($CM89:$CR89))</f>
        <v>0</v>
      </c>
      <c r="D89" s="109"/>
      <c r="H89" s="9"/>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CK89" s="11"/>
      <c r="CL89" s="221">
        <f t="shared" si="12"/>
        <v>0</v>
      </c>
      <c r="CM89" s="11"/>
      <c r="CN89" s="7">
        <f t="shared" si="13"/>
        <v>0</v>
      </c>
      <c r="CO89" s="7">
        <f t="shared" si="14"/>
        <v>0</v>
      </c>
      <c r="CP89" s="7">
        <f t="shared" si="15"/>
        <v>0</v>
      </c>
      <c r="CQ89" s="7" cm="1">
        <f t="array" ref="CQ89">SUMPRODUCT(--NOT(ISNUMBER(AA89:BJ89)),--NOT(ISBLANK(AA89:BJ89)))</f>
        <v>0</v>
      </c>
      <c r="CR89" s="35"/>
      <c r="EY89" s="10" t="str">
        <f t="shared" si="11"/>
        <v/>
      </c>
    </row>
    <row r="90" spans="1:155" x14ac:dyDescent="0.35">
      <c r="A90" s="220" cm="1">
        <f t="array" aca="1" ref="A90" ca="1">HYPERLINK(CONCATENATE("#",CELL("address",IF(MAX($CM90:$CR90)=0,A90,INDEX($CM90:$CR90,MATCH(1,$CM90:$CR90,0))))),MAX($CM90:$CR90))</f>
        <v>0</v>
      </c>
      <c r="D90" s="109"/>
      <c r="H90" s="9"/>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CK90" s="11"/>
      <c r="CL90" s="221">
        <f t="shared" si="12"/>
        <v>0</v>
      </c>
      <c r="CM90" s="11"/>
      <c r="CN90" s="7">
        <f t="shared" si="13"/>
        <v>0</v>
      </c>
      <c r="CO90" s="7">
        <f t="shared" si="14"/>
        <v>0</v>
      </c>
      <c r="CP90" s="7">
        <f t="shared" si="15"/>
        <v>0</v>
      </c>
      <c r="CQ90" s="7" cm="1">
        <f t="array" ref="CQ90">SUMPRODUCT(--NOT(ISNUMBER(AA90:BJ90)),--NOT(ISBLANK(AA90:BJ90)))</f>
        <v>0</v>
      </c>
      <c r="CR90" s="35"/>
      <c r="EY90" s="10" t="str">
        <f t="shared" si="11"/>
        <v/>
      </c>
    </row>
    <row r="91" spans="1:155" x14ac:dyDescent="0.35">
      <c r="A91" s="220" cm="1">
        <f t="array" aca="1" ref="A91" ca="1">HYPERLINK(CONCATENATE("#",CELL("address",IF(MAX($CM91:$CR91)=0,A91,INDEX($CM91:$CR91,MATCH(1,$CM91:$CR91,0))))),MAX($CM91:$CR91))</f>
        <v>0</v>
      </c>
      <c r="D91" s="109"/>
      <c r="H91" s="9"/>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CK91" s="11"/>
      <c r="CL91" s="221">
        <f t="shared" si="12"/>
        <v>0</v>
      </c>
      <c r="CM91" s="11"/>
      <c r="CN91" s="7">
        <f t="shared" si="13"/>
        <v>0</v>
      </c>
      <c r="CO91" s="7">
        <f t="shared" si="14"/>
        <v>0</v>
      </c>
      <c r="CP91" s="7">
        <f t="shared" si="15"/>
        <v>0</v>
      </c>
      <c r="CQ91" s="7" cm="1">
        <f t="array" ref="CQ91">SUMPRODUCT(--NOT(ISNUMBER(AA91:BJ91)),--NOT(ISBLANK(AA91:BJ91)))</f>
        <v>0</v>
      </c>
      <c r="CR91" s="35"/>
      <c r="EY91" s="10" t="str">
        <f t="shared" si="11"/>
        <v/>
      </c>
    </row>
    <row r="92" spans="1:155" x14ac:dyDescent="0.35">
      <c r="A92" s="220" cm="1">
        <f t="array" aca="1" ref="A92" ca="1">HYPERLINK(CONCATENATE("#",CELL("address",IF(MAX($CM92:$CR92)=0,A92,INDEX($CM92:$CR92,MATCH(1,$CM92:$CR92,0))))),MAX($CM92:$CR92))</f>
        <v>0</v>
      </c>
      <c r="D92" s="109"/>
      <c r="H92" s="9"/>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c r="CK92" s="11"/>
      <c r="CL92" s="221">
        <f t="shared" si="12"/>
        <v>0</v>
      </c>
      <c r="CM92" s="11"/>
      <c r="CN92" s="7">
        <f t="shared" si="13"/>
        <v>0</v>
      </c>
      <c r="CO92" s="7">
        <f t="shared" si="14"/>
        <v>0</v>
      </c>
      <c r="CP92" s="7">
        <f t="shared" si="15"/>
        <v>0</v>
      </c>
      <c r="CQ92" s="7" cm="1">
        <f t="array" ref="CQ92">SUMPRODUCT(--NOT(ISNUMBER(AA92:BJ92)),--NOT(ISBLANK(AA92:BJ92)))</f>
        <v>0</v>
      </c>
      <c r="CR92" s="35"/>
      <c r="EY92" s="10" t="str">
        <f t="shared" si="11"/>
        <v/>
      </c>
    </row>
    <row r="93" spans="1:155" x14ac:dyDescent="0.35">
      <c r="D93" s="77" t="s">
        <v>611</v>
      </c>
      <c r="E93" s="78"/>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CK93" s="11"/>
      <c r="CM93" s="11"/>
      <c r="CR93" s="35"/>
      <c r="EY93" s="10" t="str">
        <f t="shared" si="11"/>
        <v/>
      </c>
    </row>
    <row r="94" spans="1:155" ht="6.75" customHeight="1" x14ac:dyDescent="0.35">
      <c r="D94" s="1"/>
      <c r="E94"/>
      <c r="BY94" s="6"/>
      <c r="CK94" s="35"/>
      <c r="CM94" s="35"/>
      <c r="CR94" s="35"/>
      <c r="EY94" s="10" t="str">
        <f t="shared" si="11"/>
        <v/>
      </c>
    </row>
    <row r="95" spans="1:155" x14ac:dyDescent="0.35">
      <c r="D95" s="5" t="s">
        <v>612</v>
      </c>
      <c r="E95"/>
      <c r="AA95" s="126" t="s">
        <v>122</v>
      </c>
      <c r="AB95" s="84"/>
      <c r="AC95" s="84"/>
      <c r="AD95" s="84"/>
      <c r="AE95" s="84"/>
      <c r="AF95" s="84"/>
      <c r="AG95" s="84"/>
      <c r="AH95" s="84"/>
      <c r="AI95" s="84"/>
      <c r="AJ95" s="84"/>
      <c r="AK95" s="84"/>
      <c r="AL95" s="84"/>
      <c r="CK95" s="11"/>
      <c r="CM95" s="11"/>
      <c r="CR95" s="35"/>
      <c r="EY95" s="10" t="str">
        <f t="shared" si="11"/>
        <v/>
      </c>
    </row>
    <row r="96" spans="1:155" x14ac:dyDescent="0.35">
      <c r="A96" s="220" cm="1">
        <f t="array" aca="1" ref="A96" ca="1">HYPERLINK(CONCATENATE("#",CELL("address",IF(MAX($CM96:$CR96)=0,A96,INDEX($CM96:$CR96,MATCH(1,$CM96:$CR96,0))))),MAX($CM96:$CR96))</f>
        <v>0</v>
      </c>
      <c r="D96" t="s">
        <v>608</v>
      </c>
      <c r="E96"/>
      <c r="H96" s="9"/>
      <c r="AA96" s="134">
        <f t="shared" ref="AA96:BJ96" si="16">IF(SUMIFS($AA9:$BJ9, $AA$3:$BJ$3, AA$3, $AA$4:$BJ$4, 1)=0, 0,(AA9/SUMIFS($AA9:$BJ9, $AA$3:$BJ$3, AA$3, $AA$4:$BJ$4, 1))*AA$4)</f>
        <v>0</v>
      </c>
      <c r="AB96" s="55">
        <f t="shared" si="16"/>
        <v>0</v>
      </c>
      <c r="AC96" s="55">
        <f t="shared" si="16"/>
        <v>0</v>
      </c>
      <c r="AD96" s="55">
        <f t="shared" si="16"/>
        <v>0</v>
      </c>
      <c r="AE96" s="55">
        <f t="shared" si="16"/>
        <v>0</v>
      </c>
      <c r="AF96" s="55">
        <f t="shared" si="16"/>
        <v>0</v>
      </c>
      <c r="AG96" s="55">
        <f t="shared" si="16"/>
        <v>0</v>
      </c>
      <c r="AH96" s="55">
        <f t="shared" si="16"/>
        <v>0</v>
      </c>
      <c r="AI96" s="55">
        <f t="shared" si="16"/>
        <v>0.31845840362430811</v>
      </c>
      <c r="AJ96" s="55">
        <f t="shared" si="16"/>
        <v>0.29411766499543762</v>
      </c>
      <c r="AK96" s="55">
        <f t="shared" si="16"/>
        <v>0.24340769121114431</v>
      </c>
      <c r="AL96" s="55">
        <f t="shared" si="16"/>
        <v>0.14401624016910999</v>
      </c>
      <c r="AM96" s="55">
        <f t="shared" si="16"/>
        <v>0.12560001433516235</v>
      </c>
      <c r="AN96" s="55">
        <f t="shared" si="16"/>
        <v>9.439999047529482E-2</v>
      </c>
      <c r="AO96" s="55">
        <f t="shared" si="16"/>
        <v>9.5600019145619511E-2</v>
      </c>
      <c r="AP96" s="55">
        <f t="shared" si="16"/>
        <v>7.4399973638694744E-2</v>
      </c>
      <c r="AQ96" s="55">
        <f t="shared" si="16"/>
        <v>5.5999974985622744E-2</v>
      </c>
      <c r="AR96" s="55">
        <f t="shared" si="16"/>
        <v>5.5999974985622744E-2</v>
      </c>
      <c r="AS96" s="55">
        <f t="shared" si="16"/>
        <v>5.2000019722874373E-2</v>
      </c>
      <c r="AT96" s="55">
        <f t="shared" si="16"/>
        <v>5.1599970078956441E-2</v>
      </c>
      <c r="AU96" s="55">
        <f t="shared" si="16"/>
        <v>0.12560001433516235</v>
      </c>
      <c r="AV96" s="55">
        <f t="shared" si="16"/>
        <v>0.11600002549542297</v>
      </c>
      <c r="AW96" s="55">
        <f t="shared" si="16"/>
        <v>9.6000008658822897E-2</v>
      </c>
      <c r="AX96" s="55">
        <f t="shared" si="16"/>
        <v>5.6800014142744062E-2</v>
      </c>
      <c r="AY96" s="55">
        <f t="shared" si="16"/>
        <v>0.12560001433516235</v>
      </c>
      <c r="AZ96" s="55">
        <f t="shared" si="16"/>
        <v>9.439999047529482E-2</v>
      </c>
      <c r="BA96" s="55">
        <f t="shared" si="16"/>
        <v>9.5600019145619511E-2</v>
      </c>
      <c r="BB96" s="55">
        <f t="shared" si="16"/>
        <v>7.4399973638694744E-2</v>
      </c>
      <c r="BC96" s="55">
        <f t="shared" si="16"/>
        <v>5.5999974985622744E-2</v>
      </c>
      <c r="BD96" s="55">
        <f t="shared" si="16"/>
        <v>5.5999974985622744E-2</v>
      </c>
      <c r="BE96" s="55">
        <f t="shared" si="16"/>
        <v>5.2000019722874373E-2</v>
      </c>
      <c r="BF96" s="55">
        <f t="shared" si="16"/>
        <v>5.1599970078956441E-2</v>
      </c>
      <c r="BG96" s="55">
        <f t="shared" si="16"/>
        <v>0.12560001433516235</v>
      </c>
      <c r="BH96" s="55">
        <f t="shared" si="16"/>
        <v>0.11600002549542297</v>
      </c>
      <c r="BI96" s="55">
        <f t="shared" si="16"/>
        <v>9.6000008658822897E-2</v>
      </c>
      <c r="BJ96" s="55">
        <f t="shared" si="16"/>
        <v>5.6800014142744062E-2</v>
      </c>
      <c r="CK96" s="11"/>
      <c r="CL96" s="221">
        <f t="shared" ref="CL96:CL127" si="17">IF(MIN($AA96:$BJ96)&lt;0, 1, 0)</f>
        <v>0</v>
      </c>
      <c r="CM96" s="11"/>
      <c r="CN96" s="7">
        <f t="shared" ref="CN96:CN127" si="18">IF(OR(SUM(AA96:AL96)=1, SUM(AA96:AL96)=0), 0, 1)</f>
        <v>0</v>
      </c>
      <c r="CO96" s="7">
        <f t="shared" ref="CO96:CO127" si="19">IF(OR(SUM(AM96:AX96)=1, SUM(AM96:AX96)=0), 0, 1)</f>
        <v>0</v>
      </c>
      <c r="CP96" s="7">
        <f t="shared" ref="CP96:CP127" si="20">IF(OR(SUM(AY96:BJ96)=1, SUM(AY96:BJ96)=0), 0, 1)</f>
        <v>0</v>
      </c>
      <c r="CR96" s="35"/>
      <c r="EY96" s="12" t="str">
        <f t="shared" ref="EY96:EY124" si="21">IF($C96="","",CONCATENATE($D95, "  ",$D96))</f>
        <v/>
      </c>
    </row>
    <row r="97" spans="1:155" x14ac:dyDescent="0.35">
      <c r="A97" s="220" cm="1">
        <f t="array" aca="1" ref="A97" ca="1">HYPERLINK(CONCATENATE("#",CELL("address",IF(MAX($CM97:$CR97)=0,A97,INDEX($CM97:$CR97,MATCH(1,$CM97:$CR97,0))))),MAX($CM97:$CR97))</f>
        <v>0</v>
      </c>
      <c r="D97" t="s">
        <v>609</v>
      </c>
      <c r="E97"/>
      <c r="H97" s="9"/>
      <c r="AA97" s="134">
        <f t="shared" ref="AA97:BJ97" si="22">IF(SUMIFS($AA10:$BJ10, $AA$3:$BJ$3, AA$3, $AA$4:$BJ$4, 1)=0, 0,(AA10/SUMIFS($AA10:$BJ10, $AA$3:$BJ$3, AA$3, $AA$4:$BJ$4, 1))*AA$4)</f>
        <v>0</v>
      </c>
      <c r="AB97" s="55">
        <f t="shared" si="22"/>
        <v>0</v>
      </c>
      <c r="AC97" s="55">
        <f t="shared" si="22"/>
        <v>0</v>
      </c>
      <c r="AD97" s="55">
        <f t="shared" si="22"/>
        <v>0</v>
      </c>
      <c r="AE97" s="55">
        <f t="shared" si="22"/>
        <v>0</v>
      </c>
      <c r="AF97" s="55">
        <f t="shared" si="22"/>
        <v>0</v>
      </c>
      <c r="AG97" s="55">
        <f t="shared" si="22"/>
        <v>0</v>
      </c>
      <c r="AH97" s="55">
        <f t="shared" si="22"/>
        <v>0</v>
      </c>
      <c r="AI97" s="55">
        <f t="shared" si="22"/>
        <v>0.25</v>
      </c>
      <c r="AJ97" s="55">
        <f t="shared" si="22"/>
        <v>0.25</v>
      </c>
      <c r="AK97" s="55">
        <f t="shared" si="22"/>
        <v>0.25</v>
      </c>
      <c r="AL97" s="55">
        <f t="shared" si="22"/>
        <v>0.25</v>
      </c>
      <c r="AM97" s="55">
        <f t="shared" si="22"/>
        <v>8.3333333333333329E-2</v>
      </c>
      <c r="AN97" s="55">
        <f t="shared" si="22"/>
        <v>8.3333333333333329E-2</v>
      </c>
      <c r="AO97" s="55">
        <f t="shared" si="22"/>
        <v>8.3333333333333329E-2</v>
      </c>
      <c r="AP97" s="55">
        <f t="shared" si="22"/>
        <v>8.3333333333333329E-2</v>
      </c>
      <c r="AQ97" s="55">
        <f t="shared" si="22"/>
        <v>8.3333333333333329E-2</v>
      </c>
      <c r="AR97" s="55">
        <f t="shared" si="22"/>
        <v>8.3333333333333329E-2</v>
      </c>
      <c r="AS97" s="55">
        <f t="shared" si="22"/>
        <v>8.3333333333333329E-2</v>
      </c>
      <c r="AT97" s="55">
        <f t="shared" si="22"/>
        <v>8.3333333333333329E-2</v>
      </c>
      <c r="AU97" s="55">
        <f t="shared" si="22"/>
        <v>8.3333333333333329E-2</v>
      </c>
      <c r="AV97" s="55">
        <f t="shared" si="22"/>
        <v>8.3333333333333329E-2</v>
      </c>
      <c r="AW97" s="55">
        <f t="shared" si="22"/>
        <v>8.3333333333333329E-2</v>
      </c>
      <c r="AX97" s="55">
        <f t="shared" si="22"/>
        <v>8.3333333333333329E-2</v>
      </c>
      <c r="AY97" s="55">
        <f t="shared" si="22"/>
        <v>8.3333333333333329E-2</v>
      </c>
      <c r="AZ97" s="55">
        <f t="shared" si="22"/>
        <v>8.3333333333333329E-2</v>
      </c>
      <c r="BA97" s="55">
        <f t="shared" si="22"/>
        <v>8.3333333333333329E-2</v>
      </c>
      <c r="BB97" s="55">
        <f t="shared" si="22"/>
        <v>8.3333333333333329E-2</v>
      </c>
      <c r="BC97" s="55">
        <f t="shared" si="22"/>
        <v>8.3333333333333329E-2</v>
      </c>
      <c r="BD97" s="55">
        <f t="shared" si="22"/>
        <v>8.3333333333333329E-2</v>
      </c>
      <c r="BE97" s="55">
        <f t="shared" si="22"/>
        <v>8.3333333333333329E-2</v>
      </c>
      <c r="BF97" s="55">
        <f t="shared" si="22"/>
        <v>8.3333333333333329E-2</v>
      </c>
      <c r="BG97" s="55">
        <f t="shared" si="22"/>
        <v>8.3333333333333329E-2</v>
      </c>
      <c r="BH97" s="55">
        <f t="shared" si="22"/>
        <v>8.3333333333333329E-2</v>
      </c>
      <c r="BI97" s="55">
        <f t="shared" si="22"/>
        <v>8.3333333333333329E-2</v>
      </c>
      <c r="BJ97" s="55">
        <f t="shared" si="22"/>
        <v>8.3333333333333329E-2</v>
      </c>
      <c r="CK97" s="11"/>
      <c r="CL97" s="221">
        <f t="shared" si="17"/>
        <v>0</v>
      </c>
      <c r="CM97" s="11"/>
      <c r="CN97" s="7">
        <f t="shared" si="18"/>
        <v>0</v>
      </c>
      <c r="CO97" s="7">
        <f t="shared" si="19"/>
        <v>0</v>
      </c>
      <c r="CP97" s="7">
        <f t="shared" si="20"/>
        <v>0</v>
      </c>
      <c r="CR97" s="35"/>
      <c r="EY97" s="12" t="str">
        <f t="shared" si="21"/>
        <v/>
      </c>
    </row>
    <row r="98" spans="1:155" x14ac:dyDescent="0.35">
      <c r="A98" s="220" cm="1">
        <f t="array" aca="1" ref="A98" ca="1">HYPERLINK(CONCATENATE("#",CELL("address",IF(MAX($CM98:$CR98)=0,A98,INDEX($CM98:$CR98,MATCH(1,$CM98:$CR98,0))))),MAX($CM98:$CR98))</f>
        <v>0</v>
      </c>
      <c r="D98" t="s">
        <v>610</v>
      </c>
      <c r="E98"/>
      <c r="H98" s="9"/>
      <c r="AA98" s="134">
        <f t="shared" ref="AA98:BJ98" si="23">IF(SUMIFS($AA11:$BJ11, $AA$3:$BJ$3, AA$3, $AA$4:$BJ$4, 1)=0, 0,(AA11/SUMIFS($AA11:$BJ11, $AA$3:$BJ$3, AA$3, $AA$4:$BJ$4, 1))*AA$4)</f>
        <v>0</v>
      </c>
      <c r="AB98" s="55">
        <f t="shared" si="23"/>
        <v>0</v>
      </c>
      <c r="AC98" s="55">
        <f t="shared" si="23"/>
        <v>0</v>
      </c>
      <c r="AD98" s="55">
        <f t="shared" si="23"/>
        <v>0</v>
      </c>
      <c r="AE98" s="55">
        <f t="shared" si="23"/>
        <v>0</v>
      </c>
      <c r="AF98" s="55">
        <f t="shared" si="23"/>
        <v>0</v>
      </c>
      <c r="AG98" s="55">
        <f t="shared" si="23"/>
        <v>0</v>
      </c>
      <c r="AH98" s="55">
        <f t="shared" si="23"/>
        <v>0</v>
      </c>
      <c r="AI98" s="55">
        <f t="shared" si="23"/>
        <v>1</v>
      </c>
      <c r="AJ98" s="55">
        <f t="shared" si="23"/>
        <v>0</v>
      </c>
      <c r="AK98" s="55">
        <f t="shared" si="23"/>
        <v>0</v>
      </c>
      <c r="AL98" s="55">
        <f t="shared" si="23"/>
        <v>0</v>
      </c>
      <c r="AM98" s="55">
        <f t="shared" si="23"/>
        <v>0.5</v>
      </c>
      <c r="AN98" s="55">
        <f t="shared" si="23"/>
        <v>0</v>
      </c>
      <c r="AO98" s="55">
        <f t="shared" si="23"/>
        <v>0</v>
      </c>
      <c r="AP98" s="55">
        <f t="shared" si="23"/>
        <v>0</v>
      </c>
      <c r="AQ98" s="55">
        <f t="shared" si="23"/>
        <v>0</v>
      </c>
      <c r="AR98" s="55">
        <f t="shared" si="23"/>
        <v>0.25</v>
      </c>
      <c r="AS98" s="55">
        <f t="shared" si="23"/>
        <v>0</v>
      </c>
      <c r="AT98" s="55">
        <f t="shared" si="23"/>
        <v>0</v>
      </c>
      <c r="AU98" s="55">
        <f t="shared" si="23"/>
        <v>0.25</v>
      </c>
      <c r="AV98" s="55">
        <f t="shared" si="23"/>
        <v>0</v>
      </c>
      <c r="AW98" s="55">
        <f t="shared" si="23"/>
        <v>0</v>
      </c>
      <c r="AX98" s="55">
        <f t="shared" si="23"/>
        <v>0</v>
      </c>
      <c r="AY98" s="55">
        <f t="shared" si="23"/>
        <v>0.5</v>
      </c>
      <c r="AZ98" s="55">
        <f t="shared" si="23"/>
        <v>0</v>
      </c>
      <c r="BA98" s="55">
        <f t="shared" si="23"/>
        <v>0</v>
      </c>
      <c r="BB98" s="55">
        <f t="shared" si="23"/>
        <v>0</v>
      </c>
      <c r="BC98" s="55">
        <f t="shared" si="23"/>
        <v>0</v>
      </c>
      <c r="BD98" s="55">
        <f t="shared" si="23"/>
        <v>0.25</v>
      </c>
      <c r="BE98" s="55">
        <f t="shared" si="23"/>
        <v>0</v>
      </c>
      <c r="BF98" s="55">
        <f t="shared" si="23"/>
        <v>0</v>
      </c>
      <c r="BG98" s="55">
        <f t="shared" si="23"/>
        <v>0.25</v>
      </c>
      <c r="BH98" s="55">
        <f t="shared" si="23"/>
        <v>0</v>
      </c>
      <c r="BI98" s="55">
        <f t="shared" si="23"/>
        <v>0</v>
      </c>
      <c r="BJ98" s="55">
        <f t="shared" si="23"/>
        <v>0</v>
      </c>
      <c r="CK98" s="11"/>
      <c r="CL98" s="221">
        <f t="shared" si="17"/>
        <v>0</v>
      </c>
      <c r="CM98" s="11"/>
      <c r="CN98" s="7">
        <f t="shared" ref="CN98:CN99" si="24">IF(OR(SUM(AA98:AL98)=1, SUM(AA98:AL98)=0), 0, 1)</f>
        <v>0</v>
      </c>
      <c r="CO98" s="7">
        <f t="shared" ref="CO98:CO99" si="25">IF(OR(SUM(AM98:AX98)=1, SUM(AM98:AX98)=0), 0, 1)</f>
        <v>0</v>
      </c>
      <c r="CP98" s="7">
        <f t="shared" ref="CP98:CP99" si="26">IF(OR(SUM(AY98:BJ98)=1, SUM(AY98:BJ98)=0), 0, 1)</f>
        <v>0</v>
      </c>
      <c r="CR98" s="35"/>
      <c r="EY98" s="12"/>
    </row>
    <row r="99" spans="1:155" x14ac:dyDescent="0.35">
      <c r="A99" s="220" cm="1">
        <f t="array" aca="1" ref="A99" ca="1">HYPERLINK(CONCATENATE("#",CELL("address",IF(MAX($CM99:$CR99)=0,A99,INDEX($CM99:$CR99,MATCH(1,$CM99:$CR99,0))))),MAX($CM99:$CR99))</f>
        <v>0</v>
      </c>
      <c r="D99" s="10">
        <f t="shared" ref="D99:D131" si="27">D12</f>
        <v>0</v>
      </c>
      <c r="E99"/>
      <c r="H99" s="9"/>
      <c r="AA99" s="134">
        <f t="shared" ref="AA99:BJ99" si="28">IF(SUMIFS($AA12:$BJ12, $AA$3:$BJ$3, AA$3, $AA$4:$BJ$4, 1)=0, 0,(AA12/SUMIFS($AA12:$BJ12, $AA$3:$BJ$3, AA$3, $AA$4:$BJ$4, 1))*AA$4)</f>
        <v>0</v>
      </c>
      <c r="AB99" s="55">
        <f t="shared" si="28"/>
        <v>0</v>
      </c>
      <c r="AC99" s="55">
        <f t="shared" si="28"/>
        <v>0</v>
      </c>
      <c r="AD99" s="55">
        <f t="shared" si="28"/>
        <v>0</v>
      </c>
      <c r="AE99" s="55">
        <f t="shared" si="28"/>
        <v>0</v>
      </c>
      <c r="AF99" s="55">
        <f t="shared" si="28"/>
        <v>0</v>
      </c>
      <c r="AG99" s="55">
        <f t="shared" si="28"/>
        <v>0</v>
      </c>
      <c r="AH99" s="55">
        <f t="shared" si="28"/>
        <v>0</v>
      </c>
      <c r="AI99" s="55">
        <f t="shared" si="28"/>
        <v>0</v>
      </c>
      <c r="AJ99" s="55">
        <f t="shared" si="28"/>
        <v>0</v>
      </c>
      <c r="AK99" s="55">
        <f t="shared" si="28"/>
        <v>0</v>
      </c>
      <c r="AL99" s="55">
        <f t="shared" si="28"/>
        <v>0</v>
      </c>
      <c r="AM99" s="55">
        <f t="shared" si="28"/>
        <v>0</v>
      </c>
      <c r="AN99" s="55">
        <f t="shared" si="28"/>
        <v>0</v>
      </c>
      <c r="AO99" s="55">
        <f t="shared" si="28"/>
        <v>0</v>
      </c>
      <c r="AP99" s="55">
        <f t="shared" si="28"/>
        <v>0</v>
      </c>
      <c r="AQ99" s="55">
        <f t="shared" si="28"/>
        <v>0</v>
      </c>
      <c r="AR99" s="55">
        <f t="shared" si="28"/>
        <v>0</v>
      </c>
      <c r="AS99" s="55">
        <f t="shared" si="28"/>
        <v>0</v>
      </c>
      <c r="AT99" s="55">
        <f t="shared" si="28"/>
        <v>0</v>
      </c>
      <c r="AU99" s="55">
        <f t="shared" si="28"/>
        <v>0</v>
      </c>
      <c r="AV99" s="55">
        <f t="shared" si="28"/>
        <v>0</v>
      </c>
      <c r="AW99" s="55">
        <f t="shared" si="28"/>
        <v>0</v>
      </c>
      <c r="AX99" s="55">
        <f t="shared" si="28"/>
        <v>0</v>
      </c>
      <c r="AY99" s="55">
        <f t="shared" si="28"/>
        <v>0</v>
      </c>
      <c r="AZ99" s="55">
        <f t="shared" si="28"/>
        <v>0</v>
      </c>
      <c r="BA99" s="55">
        <f t="shared" si="28"/>
        <v>0</v>
      </c>
      <c r="BB99" s="55">
        <f t="shared" si="28"/>
        <v>0</v>
      </c>
      <c r="BC99" s="55">
        <f t="shared" si="28"/>
        <v>0</v>
      </c>
      <c r="BD99" s="55">
        <f t="shared" si="28"/>
        <v>0</v>
      </c>
      <c r="BE99" s="55">
        <f t="shared" si="28"/>
        <v>0</v>
      </c>
      <c r="BF99" s="55">
        <f t="shared" si="28"/>
        <v>0</v>
      </c>
      <c r="BG99" s="55">
        <f t="shared" si="28"/>
        <v>0</v>
      </c>
      <c r="BH99" s="55">
        <f t="shared" si="28"/>
        <v>0</v>
      </c>
      <c r="BI99" s="55">
        <f t="shared" si="28"/>
        <v>0</v>
      </c>
      <c r="BJ99" s="55">
        <f t="shared" si="28"/>
        <v>0</v>
      </c>
      <c r="CK99" s="11"/>
      <c r="CL99" s="221">
        <f t="shared" si="17"/>
        <v>0</v>
      </c>
      <c r="CM99" s="11"/>
      <c r="CN99" s="7">
        <f t="shared" si="24"/>
        <v>0</v>
      </c>
      <c r="CO99" s="7">
        <f t="shared" si="25"/>
        <v>0</v>
      </c>
      <c r="CP99" s="7">
        <f t="shared" si="26"/>
        <v>0</v>
      </c>
      <c r="CR99" s="35"/>
      <c r="EY99" s="12"/>
    </row>
    <row r="100" spans="1:155" x14ac:dyDescent="0.35">
      <c r="A100" s="220" cm="1">
        <f t="array" aca="1" ref="A100" ca="1">HYPERLINK(CONCATENATE("#",CELL("address",IF(MAX($CM100:$CR100)=0,A100,INDEX($CM100:$CR100,MATCH(1,$CM100:$CR100,0))))),MAX($CM100:$CR100))</f>
        <v>0</v>
      </c>
      <c r="D100" s="10">
        <f t="shared" si="27"/>
        <v>0</v>
      </c>
      <c r="H100" s="9"/>
      <c r="AA100" s="134">
        <f t="shared" ref="AA100:BJ100" si="29">IF(SUMIFS($AA13:$BJ13, $AA$3:$BJ$3, AA$3, $AA$4:$BJ$4, 1)=0, 0,(AA13/SUMIFS($AA13:$BJ13, $AA$3:$BJ$3, AA$3, $AA$4:$BJ$4, 1))*AA$4)</f>
        <v>0</v>
      </c>
      <c r="AB100" s="55">
        <f t="shared" si="29"/>
        <v>0</v>
      </c>
      <c r="AC100" s="55">
        <f t="shared" si="29"/>
        <v>0</v>
      </c>
      <c r="AD100" s="55">
        <f t="shared" si="29"/>
        <v>0</v>
      </c>
      <c r="AE100" s="55">
        <f t="shared" si="29"/>
        <v>0</v>
      </c>
      <c r="AF100" s="55">
        <f t="shared" si="29"/>
        <v>0</v>
      </c>
      <c r="AG100" s="55">
        <f t="shared" si="29"/>
        <v>0</v>
      </c>
      <c r="AH100" s="55">
        <f t="shared" si="29"/>
        <v>0</v>
      </c>
      <c r="AI100" s="55">
        <f t="shared" si="29"/>
        <v>0</v>
      </c>
      <c r="AJ100" s="55">
        <f t="shared" si="29"/>
        <v>0</v>
      </c>
      <c r="AK100" s="55">
        <f t="shared" si="29"/>
        <v>0</v>
      </c>
      <c r="AL100" s="55">
        <f t="shared" si="29"/>
        <v>0</v>
      </c>
      <c r="AM100" s="55">
        <f t="shared" si="29"/>
        <v>0</v>
      </c>
      <c r="AN100" s="55">
        <f t="shared" si="29"/>
        <v>0</v>
      </c>
      <c r="AO100" s="55">
        <f t="shared" si="29"/>
        <v>0</v>
      </c>
      <c r="AP100" s="55">
        <f t="shared" si="29"/>
        <v>0</v>
      </c>
      <c r="AQ100" s="55">
        <f t="shared" si="29"/>
        <v>0</v>
      </c>
      <c r="AR100" s="55">
        <f t="shared" si="29"/>
        <v>0</v>
      </c>
      <c r="AS100" s="55">
        <f t="shared" si="29"/>
        <v>0</v>
      </c>
      <c r="AT100" s="55">
        <f t="shared" si="29"/>
        <v>0</v>
      </c>
      <c r="AU100" s="55">
        <f t="shared" si="29"/>
        <v>0</v>
      </c>
      <c r="AV100" s="55">
        <f t="shared" si="29"/>
        <v>0</v>
      </c>
      <c r="AW100" s="55">
        <f t="shared" si="29"/>
        <v>0</v>
      </c>
      <c r="AX100" s="55">
        <f t="shared" si="29"/>
        <v>0</v>
      </c>
      <c r="AY100" s="55">
        <f t="shared" si="29"/>
        <v>0</v>
      </c>
      <c r="AZ100" s="55">
        <f t="shared" si="29"/>
        <v>0</v>
      </c>
      <c r="BA100" s="55">
        <f t="shared" si="29"/>
        <v>0</v>
      </c>
      <c r="BB100" s="55">
        <f t="shared" si="29"/>
        <v>0</v>
      </c>
      <c r="BC100" s="55">
        <f t="shared" si="29"/>
        <v>0</v>
      </c>
      <c r="BD100" s="55">
        <f t="shared" si="29"/>
        <v>0</v>
      </c>
      <c r="BE100" s="55">
        <f t="shared" si="29"/>
        <v>0</v>
      </c>
      <c r="BF100" s="55">
        <f t="shared" si="29"/>
        <v>0</v>
      </c>
      <c r="BG100" s="55">
        <f t="shared" si="29"/>
        <v>0</v>
      </c>
      <c r="BH100" s="55">
        <f t="shared" si="29"/>
        <v>0</v>
      </c>
      <c r="BI100" s="55">
        <f t="shared" si="29"/>
        <v>0</v>
      </c>
      <c r="BJ100" s="55">
        <f t="shared" si="29"/>
        <v>0</v>
      </c>
      <c r="CK100" s="11"/>
      <c r="CL100" s="221">
        <f t="shared" si="17"/>
        <v>0</v>
      </c>
      <c r="CM100" s="11"/>
      <c r="CN100" s="7">
        <f t="shared" si="18"/>
        <v>0</v>
      </c>
      <c r="CO100" s="7">
        <f t="shared" si="19"/>
        <v>0</v>
      </c>
      <c r="CP100" s="7">
        <f t="shared" si="20"/>
        <v>0</v>
      </c>
      <c r="CR100" s="35"/>
      <c r="EY100" s="12" t="str">
        <f t="shared" si="21"/>
        <v/>
      </c>
    </row>
    <row r="101" spans="1:155" x14ac:dyDescent="0.35">
      <c r="A101" s="220" cm="1">
        <f t="array" aca="1" ref="A101" ca="1">HYPERLINK(CONCATENATE("#",CELL("address",IF(MAX($CM101:$CR101)=0,A101,INDEX($CM101:$CR101,MATCH(1,$CM101:$CR101,0))))),MAX($CM101:$CR101))</f>
        <v>0</v>
      </c>
      <c r="D101" s="10">
        <f t="shared" si="27"/>
        <v>0</v>
      </c>
      <c r="H101" s="9"/>
      <c r="AA101" s="134">
        <f t="shared" ref="AA101:BJ101" si="30">IF(SUMIFS($AA14:$BJ14, $AA$3:$BJ$3, AA$3, $AA$4:$BJ$4, 1)=0, 0,(AA14/SUMIFS($AA14:$BJ14, $AA$3:$BJ$3, AA$3, $AA$4:$BJ$4, 1))*AA$4)</f>
        <v>0</v>
      </c>
      <c r="AB101" s="55">
        <f t="shared" si="30"/>
        <v>0</v>
      </c>
      <c r="AC101" s="55">
        <f t="shared" si="30"/>
        <v>0</v>
      </c>
      <c r="AD101" s="55">
        <f t="shared" si="30"/>
        <v>0</v>
      </c>
      <c r="AE101" s="55">
        <f t="shared" si="30"/>
        <v>0</v>
      </c>
      <c r="AF101" s="55">
        <f t="shared" si="30"/>
        <v>0</v>
      </c>
      <c r="AG101" s="55">
        <f t="shared" si="30"/>
        <v>0</v>
      </c>
      <c r="AH101" s="55">
        <f t="shared" si="30"/>
        <v>0</v>
      </c>
      <c r="AI101" s="55">
        <f t="shared" si="30"/>
        <v>0</v>
      </c>
      <c r="AJ101" s="55">
        <f t="shared" si="30"/>
        <v>0</v>
      </c>
      <c r="AK101" s="55">
        <f t="shared" si="30"/>
        <v>0</v>
      </c>
      <c r="AL101" s="55">
        <f t="shared" si="30"/>
        <v>0</v>
      </c>
      <c r="AM101" s="55">
        <f t="shared" si="30"/>
        <v>0</v>
      </c>
      <c r="AN101" s="55">
        <f t="shared" si="30"/>
        <v>0</v>
      </c>
      <c r="AO101" s="55">
        <f t="shared" si="30"/>
        <v>0</v>
      </c>
      <c r="AP101" s="55">
        <f t="shared" si="30"/>
        <v>0</v>
      </c>
      <c r="AQ101" s="55">
        <f t="shared" si="30"/>
        <v>0</v>
      </c>
      <c r="AR101" s="55">
        <f t="shared" si="30"/>
        <v>0</v>
      </c>
      <c r="AS101" s="55">
        <f t="shared" si="30"/>
        <v>0</v>
      </c>
      <c r="AT101" s="55">
        <f t="shared" si="30"/>
        <v>0</v>
      </c>
      <c r="AU101" s="55">
        <f t="shared" si="30"/>
        <v>0</v>
      </c>
      <c r="AV101" s="55">
        <f t="shared" si="30"/>
        <v>0</v>
      </c>
      <c r="AW101" s="55">
        <f t="shared" si="30"/>
        <v>0</v>
      </c>
      <c r="AX101" s="55">
        <f t="shared" si="30"/>
        <v>0</v>
      </c>
      <c r="AY101" s="55">
        <f t="shared" si="30"/>
        <v>0</v>
      </c>
      <c r="AZ101" s="55">
        <f t="shared" si="30"/>
        <v>0</v>
      </c>
      <c r="BA101" s="55">
        <f t="shared" si="30"/>
        <v>0</v>
      </c>
      <c r="BB101" s="55">
        <f t="shared" si="30"/>
        <v>0</v>
      </c>
      <c r="BC101" s="55">
        <f t="shared" si="30"/>
        <v>0</v>
      </c>
      <c r="BD101" s="55">
        <f t="shared" si="30"/>
        <v>0</v>
      </c>
      <c r="BE101" s="55">
        <f t="shared" si="30"/>
        <v>0</v>
      </c>
      <c r="BF101" s="55">
        <f t="shared" si="30"/>
        <v>0</v>
      </c>
      <c r="BG101" s="55">
        <f t="shared" si="30"/>
        <v>0</v>
      </c>
      <c r="BH101" s="55">
        <f t="shared" si="30"/>
        <v>0</v>
      </c>
      <c r="BI101" s="55">
        <f t="shared" si="30"/>
        <v>0</v>
      </c>
      <c r="BJ101" s="55">
        <f t="shared" si="30"/>
        <v>0</v>
      </c>
      <c r="CK101" s="11"/>
      <c r="CL101" s="221">
        <f t="shared" si="17"/>
        <v>0</v>
      </c>
      <c r="CM101" s="11"/>
      <c r="CN101" s="7">
        <f t="shared" si="18"/>
        <v>0</v>
      </c>
      <c r="CO101" s="7">
        <f t="shared" si="19"/>
        <v>0</v>
      </c>
      <c r="CP101" s="7">
        <f t="shared" si="20"/>
        <v>0</v>
      </c>
      <c r="CR101" s="35"/>
      <c r="EY101" s="12" t="str">
        <f t="shared" si="21"/>
        <v/>
      </c>
    </row>
    <row r="102" spans="1:155" x14ac:dyDescent="0.35">
      <c r="A102" s="220" cm="1">
        <f t="array" aca="1" ref="A102" ca="1">HYPERLINK(CONCATENATE("#",CELL("address",IF(MAX($CM102:$CR102)=0,A102,INDEX($CM102:$CR102,MATCH(1,$CM102:$CR102,0))))),MAX($CM102:$CR102))</f>
        <v>0</v>
      </c>
      <c r="D102" s="10">
        <f t="shared" si="27"/>
        <v>0</v>
      </c>
      <c r="H102" s="9"/>
      <c r="AA102" s="134">
        <f t="shared" ref="AA102:BJ102" si="31">IF(SUMIFS($AA15:$BJ15, $AA$3:$BJ$3, AA$3, $AA$4:$BJ$4, 1)=0, 0,(AA15/SUMIFS($AA15:$BJ15, $AA$3:$BJ$3, AA$3, $AA$4:$BJ$4, 1))*AA$4)</f>
        <v>0</v>
      </c>
      <c r="AB102" s="55">
        <f t="shared" si="31"/>
        <v>0</v>
      </c>
      <c r="AC102" s="55">
        <f t="shared" si="31"/>
        <v>0</v>
      </c>
      <c r="AD102" s="55">
        <f t="shared" si="31"/>
        <v>0</v>
      </c>
      <c r="AE102" s="55">
        <f t="shared" si="31"/>
        <v>0</v>
      </c>
      <c r="AF102" s="55">
        <f t="shared" si="31"/>
        <v>0</v>
      </c>
      <c r="AG102" s="55">
        <f t="shared" si="31"/>
        <v>0</v>
      </c>
      <c r="AH102" s="55">
        <f t="shared" si="31"/>
        <v>0</v>
      </c>
      <c r="AI102" s="55">
        <f t="shared" si="31"/>
        <v>0</v>
      </c>
      <c r="AJ102" s="55">
        <f t="shared" si="31"/>
        <v>0</v>
      </c>
      <c r="AK102" s="55">
        <f t="shared" si="31"/>
        <v>0</v>
      </c>
      <c r="AL102" s="55">
        <f t="shared" si="31"/>
        <v>0</v>
      </c>
      <c r="AM102" s="55">
        <f t="shared" si="31"/>
        <v>0</v>
      </c>
      <c r="AN102" s="55">
        <f t="shared" si="31"/>
        <v>0</v>
      </c>
      <c r="AO102" s="55">
        <f t="shared" si="31"/>
        <v>0</v>
      </c>
      <c r="AP102" s="55">
        <f t="shared" si="31"/>
        <v>0</v>
      </c>
      <c r="AQ102" s="55">
        <f t="shared" si="31"/>
        <v>0</v>
      </c>
      <c r="AR102" s="55">
        <f t="shared" si="31"/>
        <v>0</v>
      </c>
      <c r="AS102" s="55">
        <f t="shared" si="31"/>
        <v>0</v>
      </c>
      <c r="AT102" s="55">
        <f t="shared" si="31"/>
        <v>0</v>
      </c>
      <c r="AU102" s="55">
        <f t="shared" si="31"/>
        <v>0</v>
      </c>
      <c r="AV102" s="55">
        <f t="shared" si="31"/>
        <v>0</v>
      </c>
      <c r="AW102" s="55">
        <f t="shared" si="31"/>
        <v>0</v>
      </c>
      <c r="AX102" s="55">
        <f t="shared" si="31"/>
        <v>0</v>
      </c>
      <c r="AY102" s="55">
        <f t="shared" si="31"/>
        <v>0</v>
      </c>
      <c r="AZ102" s="55">
        <f t="shared" si="31"/>
        <v>0</v>
      </c>
      <c r="BA102" s="55">
        <f t="shared" si="31"/>
        <v>0</v>
      </c>
      <c r="BB102" s="55">
        <f t="shared" si="31"/>
        <v>0</v>
      </c>
      <c r="BC102" s="55">
        <f t="shared" si="31"/>
        <v>0</v>
      </c>
      <c r="BD102" s="55">
        <f t="shared" si="31"/>
        <v>0</v>
      </c>
      <c r="BE102" s="55">
        <f t="shared" si="31"/>
        <v>0</v>
      </c>
      <c r="BF102" s="55">
        <f t="shared" si="31"/>
        <v>0</v>
      </c>
      <c r="BG102" s="55">
        <f t="shared" si="31"/>
        <v>0</v>
      </c>
      <c r="BH102" s="55">
        <f t="shared" si="31"/>
        <v>0</v>
      </c>
      <c r="BI102" s="55">
        <f t="shared" si="31"/>
        <v>0</v>
      </c>
      <c r="BJ102" s="55">
        <f t="shared" si="31"/>
        <v>0</v>
      </c>
      <c r="CK102" s="11"/>
      <c r="CL102" s="221">
        <f t="shared" si="17"/>
        <v>0</v>
      </c>
      <c r="CM102" s="11"/>
      <c r="CN102" s="7">
        <f t="shared" si="18"/>
        <v>0</v>
      </c>
      <c r="CO102" s="7">
        <f t="shared" si="19"/>
        <v>0</v>
      </c>
      <c r="CP102" s="7">
        <f t="shared" si="20"/>
        <v>0</v>
      </c>
      <c r="CR102" s="35"/>
      <c r="EY102" s="12" t="str">
        <f t="shared" si="21"/>
        <v/>
      </c>
    </row>
    <row r="103" spans="1:155" x14ac:dyDescent="0.35">
      <c r="A103" s="220" cm="1">
        <f t="array" aca="1" ref="A103" ca="1">HYPERLINK(CONCATENATE("#",CELL("address",IF(MAX($CM103:$CR103)=0,A103,INDEX($CM103:$CR103,MATCH(1,$CM103:$CR103,0))))),MAX($CM103:$CR103))</f>
        <v>0</v>
      </c>
      <c r="D103" s="10">
        <f t="shared" si="27"/>
        <v>0</v>
      </c>
      <c r="H103" s="9"/>
      <c r="AA103" s="134">
        <f t="shared" ref="AA103:BJ103" si="32">IF(SUMIFS($AA16:$BJ16, $AA$3:$BJ$3, AA$3, $AA$4:$BJ$4, 1)=0, 0,(AA16/SUMIFS($AA16:$BJ16, $AA$3:$BJ$3, AA$3, $AA$4:$BJ$4, 1))*AA$4)</f>
        <v>0</v>
      </c>
      <c r="AB103" s="55">
        <f t="shared" si="32"/>
        <v>0</v>
      </c>
      <c r="AC103" s="55">
        <f t="shared" si="32"/>
        <v>0</v>
      </c>
      <c r="AD103" s="55">
        <f t="shared" si="32"/>
        <v>0</v>
      </c>
      <c r="AE103" s="55">
        <f t="shared" si="32"/>
        <v>0</v>
      </c>
      <c r="AF103" s="55">
        <f t="shared" si="32"/>
        <v>0</v>
      </c>
      <c r="AG103" s="55">
        <f t="shared" si="32"/>
        <v>0</v>
      </c>
      <c r="AH103" s="55">
        <f t="shared" si="32"/>
        <v>0</v>
      </c>
      <c r="AI103" s="55">
        <f t="shared" si="32"/>
        <v>0</v>
      </c>
      <c r="AJ103" s="55">
        <f t="shared" si="32"/>
        <v>0</v>
      </c>
      <c r="AK103" s="55">
        <f t="shared" si="32"/>
        <v>0</v>
      </c>
      <c r="AL103" s="55">
        <f t="shared" si="32"/>
        <v>0</v>
      </c>
      <c r="AM103" s="55">
        <f t="shared" si="32"/>
        <v>0</v>
      </c>
      <c r="AN103" s="55">
        <f t="shared" si="32"/>
        <v>0</v>
      </c>
      <c r="AO103" s="55">
        <f t="shared" si="32"/>
        <v>0</v>
      </c>
      <c r="AP103" s="55">
        <f t="shared" si="32"/>
        <v>0</v>
      </c>
      <c r="AQ103" s="55">
        <f t="shared" si="32"/>
        <v>0</v>
      </c>
      <c r="AR103" s="55">
        <f t="shared" si="32"/>
        <v>0</v>
      </c>
      <c r="AS103" s="55">
        <f t="shared" si="32"/>
        <v>0</v>
      </c>
      <c r="AT103" s="55">
        <f t="shared" si="32"/>
        <v>0</v>
      </c>
      <c r="AU103" s="55">
        <f t="shared" si="32"/>
        <v>0</v>
      </c>
      <c r="AV103" s="55">
        <f t="shared" si="32"/>
        <v>0</v>
      </c>
      <c r="AW103" s="55">
        <f t="shared" si="32"/>
        <v>0</v>
      </c>
      <c r="AX103" s="55">
        <f t="shared" si="32"/>
        <v>0</v>
      </c>
      <c r="AY103" s="55">
        <f t="shared" si="32"/>
        <v>0</v>
      </c>
      <c r="AZ103" s="55">
        <f t="shared" si="32"/>
        <v>0</v>
      </c>
      <c r="BA103" s="55">
        <f t="shared" si="32"/>
        <v>0</v>
      </c>
      <c r="BB103" s="55">
        <f t="shared" si="32"/>
        <v>0</v>
      </c>
      <c r="BC103" s="55">
        <f t="shared" si="32"/>
        <v>0</v>
      </c>
      <c r="BD103" s="55">
        <f t="shared" si="32"/>
        <v>0</v>
      </c>
      <c r="BE103" s="55">
        <f t="shared" si="32"/>
        <v>0</v>
      </c>
      <c r="BF103" s="55">
        <f t="shared" si="32"/>
        <v>0</v>
      </c>
      <c r="BG103" s="55">
        <f t="shared" si="32"/>
        <v>0</v>
      </c>
      <c r="BH103" s="55">
        <f t="shared" si="32"/>
        <v>0</v>
      </c>
      <c r="BI103" s="55">
        <f t="shared" si="32"/>
        <v>0</v>
      </c>
      <c r="BJ103" s="55">
        <f t="shared" si="32"/>
        <v>0</v>
      </c>
      <c r="CK103" s="11"/>
      <c r="CL103" s="221">
        <f t="shared" si="17"/>
        <v>0</v>
      </c>
      <c r="CM103" s="11"/>
      <c r="CN103" s="7">
        <f t="shared" si="18"/>
        <v>0</v>
      </c>
      <c r="CO103" s="7">
        <f t="shared" si="19"/>
        <v>0</v>
      </c>
      <c r="CP103" s="7">
        <f t="shared" si="20"/>
        <v>0</v>
      </c>
      <c r="CR103" s="35"/>
      <c r="EY103" s="12" t="str">
        <f t="shared" si="21"/>
        <v/>
      </c>
    </row>
    <row r="104" spans="1:155" x14ac:dyDescent="0.35">
      <c r="A104" s="220" cm="1">
        <f t="array" aca="1" ref="A104" ca="1">HYPERLINK(CONCATENATE("#",CELL("address",IF(MAX($CM104:$CR104)=0,A104,INDEX($CM104:$CR104,MATCH(1,$CM104:$CR104,0))))),MAX($CM104:$CR104))</f>
        <v>0</v>
      </c>
      <c r="D104" s="10">
        <f t="shared" si="27"/>
        <v>0</v>
      </c>
      <c r="H104" s="9"/>
      <c r="AA104" s="134">
        <f t="shared" ref="AA104:BJ104" si="33">IF(SUMIFS($AA17:$BJ17, $AA$3:$BJ$3, AA$3, $AA$4:$BJ$4, 1)=0, 0,(AA17/SUMIFS($AA17:$BJ17, $AA$3:$BJ$3, AA$3, $AA$4:$BJ$4, 1))*AA$4)</f>
        <v>0</v>
      </c>
      <c r="AB104" s="55">
        <f t="shared" si="33"/>
        <v>0</v>
      </c>
      <c r="AC104" s="55">
        <f t="shared" si="33"/>
        <v>0</v>
      </c>
      <c r="AD104" s="55">
        <f t="shared" si="33"/>
        <v>0</v>
      </c>
      <c r="AE104" s="55">
        <f t="shared" si="33"/>
        <v>0</v>
      </c>
      <c r="AF104" s="55">
        <f t="shared" si="33"/>
        <v>0</v>
      </c>
      <c r="AG104" s="55">
        <f t="shared" si="33"/>
        <v>0</v>
      </c>
      <c r="AH104" s="55">
        <f t="shared" si="33"/>
        <v>0</v>
      </c>
      <c r="AI104" s="55">
        <f t="shared" si="33"/>
        <v>0</v>
      </c>
      <c r="AJ104" s="55">
        <f t="shared" si="33"/>
        <v>0</v>
      </c>
      <c r="AK104" s="55">
        <f t="shared" si="33"/>
        <v>0</v>
      </c>
      <c r="AL104" s="55">
        <f t="shared" si="33"/>
        <v>0</v>
      </c>
      <c r="AM104" s="55">
        <f t="shared" si="33"/>
        <v>0</v>
      </c>
      <c r="AN104" s="55">
        <f t="shared" si="33"/>
        <v>0</v>
      </c>
      <c r="AO104" s="55">
        <f t="shared" si="33"/>
        <v>0</v>
      </c>
      <c r="AP104" s="55">
        <f t="shared" si="33"/>
        <v>0</v>
      </c>
      <c r="AQ104" s="55">
        <f t="shared" si="33"/>
        <v>0</v>
      </c>
      <c r="AR104" s="55">
        <f t="shared" si="33"/>
        <v>0</v>
      </c>
      <c r="AS104" s="55">
        <f t="shared" si="33"/>
        <v>0</v>
      </c>
      <c r="AT104" s="55">
        <f t="shared" si="33"/>
        <v>0</v>
      </c>
      <c r="AU104" s="55">
        <f t="shared" si="33"/>
        <v>0</v>
      </c>
      <c r="AV104" s="55">
        <f t="shared" si="33"/>
        <v>0</v>
      </c>
      <c r="AW104" s="55">
        <f t="shared" si="33"/>
        <v>0</v>
      </c>
      <c r="AX104" s="55">
        <f t="shared" si="33"/>
        <v>0</v>
      </c>
      <c r="AY104" s="55">
        <f t="shared" si="33"/>
        <v>0</v>
      </c>
      <c r="AZ104" s="55">
        <f t="shared" si="33"/>
        <v>0</v>
      </c>
      <c r="BA104" s="55">
        <f t="shared" si="33"/>
        <v>0</v>
      </c>
      <c r="BB104" s="55">
        <f t="shared" si="33"/>
        <v>0</v>
      </c>
      <c r="BC104" s="55">
        <f t="shared" si="33"/>
        <v>0</v>
      </c>
      <c r="BD104" s="55">
        <f t="shared" si="33"/>
        <v>0</v>
      </c>
      <c r="BE104" s="55">
        <f t="shared" si="33"/>
        <v>0</v>
      </c>
      <c r="BF104" s="55">
        <f t="shared" si="33"/>
        <v>0</v>
      </c>
      <c r="BG104" s="55">
        <f t="shared" si="33"/>
        <v>0</v>
      </c>
      <c r="BH104" s="55">
        <f t="shared" si="33"/>
        <v>0</v>
      </c>
      <c r="BI104" s="55">
        <f t="shared" si="33"/>
        <v>0</v>
      </c>
      <c r="BJ104" s="55">
        <f t="shared" si="33"/>
        <v>0</v>
      </c>
      <c r="CK104" s="11"/>
      <c r="CL104" s="221">
        <f t="shared" si="17"/>
        <v>0</v>
      </c>
      <c r="CM104" s="11"/>
      <c r="CN104" s="7">
        <f t="shared" si="18"/>
        <v>0</v>
      </c>
      <c r="CO104" s="7">
        <f t="shared" si="19"/>
        <v>0</v>
      </c>
      <c r="CP104" s="7">
        <f t="shared" si="20"/>
        <v>0</v>
      </c>
      <c r="CR104" s="35"/>
      <c r="EY104" s="12" t="str">
        <f t="shared" si="21"/>
        <v/>
      </c>
    </row>
    <row r="105" spans="1:155" x14ac:dyDescent="0.35">
      <c r="A105" s="220" cm="1">
        <f t="array" aca="1" ref="A105" ca="1">HYPERLINK(CONCATENATE("#",CELL("address",IF(MAX($CM105:$CR105)=0,A105,INDEX($CM105:$CR105,MATCH(1,$CM105:$CR105,0))))),MAX($CM105:$CR105))</f>
        <v>0</v>
      </c>
      <c r="D105" s="10">
        <f t="shared" si="27"/>
        <v>0</v>
      </c>
      <c r="H105" s="9"/>
      <c r="AA105" s="134">
        <f t="shared" ref="AA105:BJ105" si="34">IF(SUMIFS($AA18:$BJ18, $AA$3:$BJ$3, AA$3, $AA$4:$BJ$4, 1)=0, 0,(AA18/SUMIFS($AA18:$BJ18, $AA$3:$BJ$3, AA$3, $AA$4:$BJ$4, 1))*AA$4)</f>
        <v>0</v>
      </c>
      <c r="AB105" s="55">
        <f t="shared" si="34"/>
        <v>0</v>
      </c>
      <c r="AC105" s="55">
        <f t="shared" si="34"/>
        <v>0</v>
      </c>
      <c r="AD105" s="55">
        <f t="shared" si="34"/>
        <v>0</v>
      </c>
      <c r="AE105" s="55">
        <f t="shared" si="34"/>
        <v>0</v>
      </c>
      <c r="AF105" s="55">
        <f t="shared" si="34"/>
        <v>0</v>
      </c>
      <c r="AG105" s="55">
        <f t="shared" si="34"/>
        <v>0</v>
      </c>
      <c r="AH105" s="55">
        <f t="shared" si="34"/>
        <v>0</v>
      </c>
      <c r="AI105" s="55">
        <f t="shared" si="34"/>
        <v>0</v>
      </c>
      <c r="AJ105" s="55">
        <f t="shared" si="34"/>
        <v>0</v>
      </c>
      <c r="AK105" s="55">
        <f t="shared" si="34"/>
        <v>0</v>
      </c>
      <c r="AL105" s="55">
        <f t="shared" si="34"/>
        <v>0</v>
      </c>
      <c r="AM105" s="55">
        <f t="shared" si="34"/>
        <v>0</v>
      </c>
      <c r="AN105" s="55">
        <f t="shared" si="34"/>
        <v>0</v>
      </c>
      <c r="AO105" s="55">
        <f t="shared" si="34"/>
        <v>0</v>
      </c>
      <c r="AP105" s="55">
        <f t="shared" si="34"/>
        <v>0</v>
      </c>
      <c r="AQ105" s="55">
        <f t="shared" si="34"/>
        <v>0</v>
      </c>
      <c r="AR105" s="55">
        <f t="shared" si="34"/>
        <v>0</v>
      </c>
      <c r="AS105" s="55">
        <f t="shared" si="34"/>
        <v>0</v>
      </c>
      <c r="AT105" s="55">
        <f t="shared" si="34"/>
        <v>0</v>
      </c>
      <c r="AU105" s="55">
        <f t="shared" si="34"/>
        <v>0</v>
      </c>
      <c r="AV105" s="55">
        <f t="shared" si="34"/>
        <v>0</v>
      </c>
      <c r="AW105" s="55">
        <f t="shared" si="34"/>
        <v>0</v>
      </c>
      <c r="AX105" s="55">
        <f t="shared" si="34"/>
        <v>0</v>
      </c>
      <c r="AY105" s="55">
        <f t="shared" si="34"/>
        <v>0</v>
      </c>
      <c r="AZ105" s="55">
        <f t="shared" si="34"/>
        <v>0</v>
      </c>
      <c r="BA105" s="55">
        <f t="shared" si="34"/>
        <v>0</v>
      </c>
      <c r="BB105" s="55">
        <f t="shared" si="34"/>
        <v>0</v>
      </c>
      <c r="BC105" s="55">
        <f t="shared" si="34"/>
        <v>0</v>
      </c>
      <c r="BD105" s="55">
        <f t="shared" si="34"/>
        <v>0</v>
      </c>
      <c r="BE105" s="55">
        <f t="shared" si="34"/>
        <v>0</v>
      </c>
      <c r="BF105" s="55">
        <f t="shared" si="34"/>
        <v>0</v>
      </c>
      <c r="BG105" s="55">
        <f t="shared" si="34"/>
        <v>0</v>
      </c>
      <c r="BH105" s="55">
        <f t="shared" si="34"/>
        <v>0</v>
      </c>
      <c r="BI105" s="55">
        <f t="shared" si="34"/>
        <v>0</v>
      </c>
      <c r="BJ105" s="55">
        <f t="shared" si="34"/>
        <v>0</v>
      </c>
      <c r="CK105" s="11"/>
      <c r="CL105" s="221">
        <f t="shared" si="17"/>
        <v>0</v>
      </c>
      <c r="CM105" s="11"/>
      <c r="CN105" s="7">
        <f t="shared" si="18"/>
        <v>0</v>
      </c>
      <c r="CO105" s="7">
        <f t="shared" si="19"/>
        <v>0</v>
      </c>
      <c r="CP105" s="7">
        <f t="shared" si="20"/>
        <v>0</v>
      </c>
      <c r="CR105" s="35"/>
      <c r="EY105" s="12" t="str">
        <f t="shared" si="21"/>
        <v/>
      </c>
    </row>
    <row r="106" spans="1:155" x14ac:dyDescent="0.35">
      <c r="A106" s="220" cm="1">
        <f t="array" aca="1" ref="A106" ca="1">HYPERLINK(CONCATENATE("#",CELL("address",IF(MAX($CM106:$CR106)=0,A106,INDEX($CM106:$CR106,MATCH(1,$CM106:$CR106,0))))),MAX($CM106:$CR106))</f>
        <v>0</v>
      </c>
      <c r="D106" s="10">
        <f t="shared" si="27"/>
        <v>0</v>
      </c>
      <c r="H106" s="9"/>
      <c r="AA106" s="134">
        <f t="shared" ref="AA106:BJ106" si="35">IF(SUMIFS($AA19:$BJ19, $AA$3:$BJ$3, AA$3, $AA$4:$BJ$4, 1)=0, 0,(AA19/SUMIFS($AA19:$BJ19, $AA$3:$BJ$3, AA$3, $AA$4:$BJ$4, 1))*AA$4)</f>
        <v>0</v>
      </c>
      <c r="AB106" s="55">
        <f t="shared" si="35"/>
        <v>0</v>
      </c>
      <c r="AC106" s="55">
        <f t="shared" si="35"/>
        <v>0</v>
      </c>
      <c r="AD106" s="55">
        <f t="shared" si="35"/>
        <v>0</v>
      </c>
      <c r="AE106" s="55">
        <f t="shared" si="35"/>
        <v>0</v>
      </c>
      <c r="AF106" s="55">
        <f t="shared" si="35"/>
        <v>0</v>
      </c>
      <c r="AG106" s="55">
        <f t="shared" si="35"/>
        <v>0</v>
      </c>
      <c r="AH106" s="55">
        <f t="shared" si="35"/>
        <v>0</v>
      </c>
      <c r="AI106" s="55">
        <f t="shared" si="35"/>
        <v>0</v>
      </c>
      <c r="AJ106" s="55">
        <f t="shared" si="35"/>
        <v>0</v>
      </c>
      <c r="AK106" s="55">
        <f t="shared" si="35"/>
        <v>0</v>
      </c>
      <c r="AL106" s="55">
        <f t="shared" si="35"/>
        <v>0</v>
      </c>
      <c r="AM106" s="55">
        <f t="shared" si="35"/>
        <v>0</v>
      </c>
      <c r="AN106" s="55">
        <f t="shared" si="35"/>
        <v>0</v>
      </c>
      <c r="AO106" s="55">
        <f t="shared" si="35"/>
        <v>0</v>
      </c>
      <c r="AP106" s="55">
        <f t="shared" si="35"/>
        <v>0</v>
      </c>
      <c r="AQ106" s="55">
        <f t="shared" si="35"/>
        <v>0</v>
      </c>
      <c r="AR106" s="55">
        <f t="shared" si="35"/>
        <v>0</v>
      </c>
      <c r="AS106" s="55">
        <f t="shared" si="35"/>
        <v>0</v>
      </c>
      <c r="AT106" s="55">
        <f t="shared" si="35"/>
        <v>0</v>
      </c>
      <c r="AU106" s="55">
        <f t="shared" si="35"/>
        <v>0</v>
      </c>
      <c r="AV106" s="55">
        <f t="shared" si="35"/>
        <v>0</v>
      </c>
      <c r="AW106" s="55">
        <f t="shared" si="35"/>
        <v>0</v>
      </c>
      <c r="AX106" s="55">
        <f t="shared" si="35"/>
        <v>0</v>
      </c>
      <c r="AY106" s="55">
        <f t="shared" si="35"/>
        <v>0</v>
      </c>
      <c r="AZ106" s="55">
        <f t="shared" si="35"/>
        <v>0</v>
      </c>
      <c r="BA106" s="55">
        <f t="shared" si="35"/>
        <v>0</v>
      </c>
      <c r="BB106" s="55">
        <f t="shared" si="35"/>
        <v>0</v>
      </c>
      <c r="BC106" s="55">
        <f t="shared" si="35"/>
        <v>0</v>
      </c>
      <c r="BD106" s="55">
        <f t="shared" si="35"/>
        <v>0</v>
      </c>
      <c r="BE106" s="55">
        <f t="shared" si="35"/>
        <v>0</v>
      </c>
      <c r="BF106" s="55">
        <f t="shared" si="35"/>
        <v>0</v>
      </c>
      <c r="BG106" s="55">
        <f t="shared" si="35"/>
        <v>0</v>
      </c>
      <c r="BH106" s="55">
        <f t="shared" si="35"/>
        <v>0</v>
      </c>
      <c r="BI106" s="55">
        <f t="shared" si="35"/>
        <v>0</v>
      </c>
      <c r="BJ106" s="55">
        <f t="shared" si="35"/>
        <v>0</v>
      </c>
      <c r="CK106" s="11"/>
      <c r="CL106" s="221">
        <f t="shared" si="17"/>
        <v>0</v>
      </c>
      <c r="CM106" s="11"/>
      <c r="CN106" s="7">
        <f t="shared" si="18"/>
        <v>0</v>
      </c>
      <c r="CO106" s="7">
        <f t="shared" si="19"/>
        <v>0</v>
      </c>
      <c r="CP106" s="7">
        <f t="shared" si="20"/>
        <v>0</v>
      </c>
      <c r="CR106" s="35"/>
      <c r="EY106" s="12" t="str">
        <f t="shared" si="21"/>
        <v/>
      </c>
    </row>
    <row r="107" spans="1:155" x14ac:dyDescent="0.35">
      <c r="A107" s="220" cm="1">
        <f t="array" aca="1" ref="A107" ca="1">HYPERLINK(CONCATENATE("#",CELL("address",IF(MAX($CM107:$CR107)=0,A107,INDEX($CM107:$CR107,MATCH(1,$CM107:$CR107,0))))),MAX($CM107:$CR107))</f>
        <v>0</v>
      </c>
      <c r="D107" s="10">
        <f t="shared" si="27"/>
        <v>0</v>
      </c>
      <c r="H107" s="9"/>
      <c r="AA107" s="134">
        <f t="shared" ref="AA107:BJ107" si="36">IF(SUMIFS($AA20:$BJ20, $AA$3:$BJ$3, AA$3, $AA$4:$BJ$4, 1)=0, 0,(AA20/SUMIFS($AA20:$BJ20, $AA$3:$BJ$3, AA$3, $AA$4:$BJ$4, 1))*AA$4)</f>
        <v>0</v>
      </c>
      <c r="AB107" s="55">
        <f t="shared" si="36"/>
        <v>0</v>
      </c>
      <c r="AC107" s="55">
        <f t="shared" si="36"/>
        <v>0</v>
      </c>
      <c r="AD107" s="55">
        <f t="shared" si="36"/>
        <v>0</v>
      </c>
      <c r="AE107" s="55">
        <f t="shared" si="36"/>
        <v>0</v>
      </c>
      <c r="AF107" s="55">
        <f t="shared" si="36"/>
        <v>0</v>
      </c>
      <c r="AG107" s="55">
        <f t="shared" si="36"/>
        <v>0</v>
      </c>
      <c r="AH107" s="55">
        <f t="shared" si="36"/>
        <v>0</v>
      </c>
      <c r="AI107" s="55">
        <f t="shared" si="36"/>
        <v>0</v>
      </c>
      <c r="AJ107" s="55">
        <f t="shared" si="36"/>
        <v>0</v>
      </c>
      <c r="AK107" s="55">
        <f t="shared" si="36"/>
        <v>0</v>
      </c>
      <c r="AL107" s="55">
        <f t="shared" si="36"/>
        <v>0</v>
      </c>
      <c r="AM107" s="55">
        <f t="shared" si="36"/>
        <v>0</v>
      </c>
      <c r="AN107" s="55">
        <f t="shared" si="36"/>
        <v>0</v>
      </c>
      <c r="AO107" s="55">
        <f t="shared" si="36"/>
        <v>0</v>
      </c>
      <c r="AP107" s="55">
        <f t="shared" si="36"/>
        <v>0</v>
      </c>
      <c r="AQ107" s="55">
        <f t="shared" si="36"/>
        <v>0</v>
      </c>
      <c r="AR107" s="55">
        <f t="shared" si="36"/>
        <v>0</v>
      </c>
      <c r="AS107" s="55">
        <f t="shared" si="36"/>
        <v>0</v>
      </c>
      <c r="AT107" s="55">
        <f t="shared" si="36"/>
        <v>0</v>
      </c>
      <c r="AU107" s="55">
        <f t="shared" si="36"/>
        <v>0</v>
      </c>
      <c r="AV107" s="55">
        <f t="shared" si="36"/>
        <v>0</v>
      </c>
      <c r="AW107" s="55">
        <f t="shared" si="36"/>
        <v>0</v>
      </c>
      <c r="AX107" s="55">
        <f t="shared" si="36"/>
        <v>0</v>
      </c>
      <c r="AY107" s="55">
        <f t="shared" si="36"/>
        <v>0</v>
      </c>
      <c r="AZ107" s="55">
        <f t="shared" si="36"/>
        <v>0</v>
      </c>
      <c r="BA107" s="55">
        <f t="shared" si="36"/>
        <v>0</v>
      </c>
      <c r="BB107" s="55">
        <f t="shared" si="36"/>
        <v>0</v>
      </c>
      <c r="BC107" s="55">
        <f t="shared" si="36"/>
        <v>0</v>
      </c>
      <c r="BD107" s="55">
        <f t="shared" si="36"/>
        <v>0</v>
      </c>
      <c r="BE107" s="55">
        <f t="shared" si="36"/>
        <v>0</v>
      </c>
      <c r="BF107" s="55">
        <f t="shared" si="36"/>
        <v>0</v>
      </c>
      <c r="BG107" s="55">
        <f t="shared" si="36"/>
        <v>0</v>
      </c>
      <c r="BH107" s="55">
        <f t="shared" si="36"/>
        <v>0</v>
      </c>
      <c r="BI107" s="55">
        <f t="shared" si="36"/>
        <v>0</v>
      </c>
      <c r="BJ107" s="55">
        <f t="shared" si="36"/>
        <v>0</v>
      </c>
      <c r="CK107" s="11"/>
      <c r="CL107" s="221">
        <f t="shared" si="17"/>
        <v>0</v>
      </c>
      <c r="CM107" s="11"/>
      <c r="CN107" s="7">
        <f t="shared" si="18"/>
        <v>0</v>
      </c>
      <c r="CO107" s="7">
        <f t="shared" si="19"/>
        <v>0</v>
      </c>
      <c r="CP107" s="7">
        <f t="shared" si="20"/>
        <v>0</v>
      </c>
      <c r="CR107" s="35"/>
      <c r="EY107" s="12" t="str">
        <f t="shared" si="21"/>
        <v/>
      </c>
    </row>
    <row r="108" spans="1:155" x14ac:dyDescent="0.35">
      <c r="A108" s="220" cm="1">
        <f t="array" aca="1" ref="A108" ca="1">HYPERLINK(CONCATENATE("#",CELL("address",IF(MAX($CM108:$CR108)=0,A108,INDEX($CM108:$CR108,MATCH(1,$CM108:$CR108,0))))),MAX($CM108:$CR108))</f>
        <v>0</v>
      </c>
      <c r="D108" s="10">
        <f t="shared" si="27"/>
        <v>0</v>
      </c>
      <c r="H108" s="9"/>
      <c r="AA108" s="134">
        <f t="shared" ref="AA108:BJ108" si="37">IF(SUMIFS($AA21:$BJ21, $AA$3:$BJ$3, AA$3, $AA$4:$BJ$4, 1)=0, 0,(AA21/SUMIFS($AA21:$BJ21, $AA$3:$BJ$3, AA$3, $AA$4:$BJ$4, 1))*AA$4)</f>
        <v>0</v>
      </c>
      <c r="AB108" s="55">
        <f t="shared" si="37"/>
        <v>0</v>
      </c>
      <c r="AC108" s="55">
        <f t="shared" si="37"/>
        <v>0</v>
      </c>
      <c r="AD108" s="55">
        <f t="shared" si="37"/>
        <v>0</v>
      </c>
      <c r="AE108" s="55">
        <f t="shared" si="37"/>
        <v>0</v>
      </c>
      <c r="AF108" s="55">
        <f t="shared" si="37"/>
        <v>0</v>
      </c>
      <c r="AG108" s="55">
        <f t="shared" si="37"/>
        <v>0</v>
      </c>
      <c r="AH108" s="55">
        <f t="shared" si="37"/>
        <v>0</v>
      </c>
      <c r="AI108" s="55">
        <f t="shared" si="37"/>
        <v>0</v>
      </c>
      <c r="AJ108" s="55">
        <f t="shared" si="37"/>
        <v>0</v>
      </c>
      <c r="AK108" s="55">
        <f t="shared" si="37"/>
        <v>0</v>
      </c>
      <c r="AL108" s="55">
        <f t="shared" si="37"/>
        <v>0</v>
      </c>
      <c r="AM108" s="55">
        <f t="shared" si="37"/>
        <v>0</v>
      </c>
      <c r="AN108" s="55">
        <f t="shared" si="37"/>
        <v>0</v>
      </c>
      <c r="AO108" s="55">
        <f t="shared" si="37"/>
        <v>0</v>
      </c>
      <c r="AP108" s="55">
        <f t="shared" si="37"/>
        <v>0</v>
      </c>
      <c r="AQ108" s="55">
        <f t="shared" si="37"/>
        <v>0</v>
      </c>
      <c r="AR108" s="55">
        <f t="shared" si="37"/>
        <v>0</v>
      </c>
      <c r="AS108" s="55">
        <f t="shared" si="37"/>
        <v>0</v>
      </c>
      <c r="AT108" s="55">
        <f t="shared" si="37"/>
        <v>0</v>
      </c>
      <c r="AU108" s="55">
        <f t="shared" si="37"/>
        <v>0</v>
      </c>
      <c r="AV108" s="55">
        <f t="shared" si="37"/>
        <v>0</v>
      </c>
      <c r="AW108" s="55">
        <f t="shared" si="37"/>
        <v>0</v>
      </c>
      <c r="AX108" s="55">
        <f t="shared" si="37"/>
        <v>0</v>
      </c>
      <c r="AY108" s="55">
        <f t="shared" si="37"/>
        <v>0</v>
      </c>
      <c r="AZ108" s="55">
        <f t="shared" si="37"/>
        <v>0</v>
      </c>
      <c r="BA108" s="55">
        <f t="shared" si="37"/>
        <v>0</v>
      </c>
      <c r="BB108" s="55">
        <f t="shared" si="37"/>
        <v>0</v>
      </c>
      <c r="BC108" s="55">
        <f t="shared" si="37"/>
        <v>0</v>
      </c>
      <c r="BD108" s="55">
        <f t="shared" si="37"/>
        <v>0</v>
      </c>
      <c r="BE108" s="55">
        <f t="shared" si="37"/>
        <v>0</v>
      </c>
      <c r="BF108" s="55">
        <f t="shared" si="37"/>
        <v>0</v>
      </c>
      <c r="BG108" s="55">
        <f t="shared" si="37"/>
        <v>0</v>
      </c>
      <c r="BH108" s="55">
        <f t="shared" si="37"/>
        <v>0</v>
      </c>
      <c r="BI108" s="55">
        <f t="shared" si="37"/>
        <v>0</v>
      </c>
      <c r="BJ108" s="55">
        <f t="shared" si="37"/>
        <v>0</v>
      </c>
      <c r="CK108" s="11"/>
      <c r="CL108" s="221">
        <f t="shared" si="17"/>
        <v>0</v>
      </c>
      <c r="CM108" s="11"/>
      <c r="CN108" s="7">
        <f t="shared" si="18"/>
        <v>0</v>
      </c>
      <c r="CO108" s="7">
        <f t="shared" si="19"/>
        <v>0</v>
      </c>
      <c r="CP108" s="7">
        <f t="shared" si="20"/>
        <v>0</v>
      </c>
      <c r="CR108" s="35"/>
      <c r="EY108" s="12" t="str">
        <f t="shared" si="21"/>
        <v/>
      </c>
    </row>
    <row r="109" spans="1:155" x14ac:dyDescent="0.35">
      <c r="A109" s="220" cm="1">
        <f t="array" aca="1" ref="A109" ca="1">HYPERLINK(CONCATENATE("#",CELL("address",IF(MAX($CM109:$CR109)=0,A109,INDEX($CM109:$CR109,MATCH(1,$CM109:$CR109,0))))),MAX($CM109:$CR109))</f>
        <v>0</v>
      </c>
      <c r="D109" s="10">
        <f t="shared" si="27"/>
        <v>0</v>
      </c>
      <c r="H109" s="9"/>
      <c r="AA109" s="134">
        <f t="shared" ref="AA109:BJ109" si="38">IF(SUMIFS($AA22:$BJ22, $AA$3:$BJ$3, AA$3, $AA$4:$BJ$4, 1)=0, 0,(AA22/SUMIFS($AA22:$BJ22, $AA$3:$BJ$3, AA$3, $AA$4:$BJ$4, 1))*AA$4)</f>
        <v>0</v>
      </c>
      <c r="AB109" s="55">
        <f t="shared" si="38"/>
        <v>0</v>
      </c>
      <c r="AC109" s="55">
        <f t="shared" si="38"/>
        <v>0</v>
      </c>
      <c r="AD109" s="55">
        <f t="shared" si="38"/>
        <v>0</v>
      </c>
      <c r="AE109" s="55">
        <f t="shared" si="38"/>
        <v>0</v>
      </c>
      <c r="AF109" s="55">
        <f t="shared" si="38"/>
        <v>0</v>
      </c>
      <c r="AG109" s="55">
        <f t="shared" si="38"/>
        <v>0</v>
      </c>
      <c r="AH109" s="55">
        <f t="shared" si="38"/>
        <v>0</v>
      </c>
      <c r="AI109" s="55">
        <f t="shared" si="38"/>
        <v>0</v>
      </c>
      <c r="AJ109" s="55">
        <f t="shared" si="38"/>
        <v>0</v>
      </c>
      <c r="AK109" s="55">
        <f t="shared" si="38"/>
        <v>0</v>
      </c>
      <c r="AL109" s="55">
        <f t="shared" si="38"/>
        <v>0</v>
      </c>
      <c r="AM109" s="55">
        <f t="shared" si="38"/>
        <v>0</v>
      </c>
      <c r="AN109" s="55">
        <f t="shared" si="38"/>
        <v>0</v>
      </c>
      <c r="AO109" s="55">
        <f t="shared" si="38"/>
        <v>0</v>
      </c>
      <c r="AP109" s="55">
        <f t="shared" si="38"/>
        <v>0</v>
      </c>
      <c r="AQ109" s="55">
        <f t="shared" si="38"/>
        <v>0</v>
      </c>
      <c r="AR109" s="55">
        <f t="shared" si="38"/>
        <v>0</v>
      </c>
      <c r="AS109" s="55">
        <f t="shared" si="38"/>
        <v>0</v>
      </c>
      <c r="AT109" s="55">
        <f t="shared" si="38"/>
        <v>0</v>
      </c>
      <c r="AU109" s="55">
        <f t="shared" si="38"/>
        <v>0</v>
      </c>
      <c r="AV109" s="55">
        <f t="shared" si="38"/>
        <v>0</v>
      </c>
      <c r="AW109" s="55">
        <f t="shared" si="38"/>
        <v>0</v>
      </c>
      <c r="AX109" s="55">
        <f t="shared" si="38"/>
        <v>0</v>
      </c>
      <c r="AY109" s="55">
        <f t="shared" si="38"/>
        <v>0</v>
      </c>
      <c r="AZ109" s="55">
        <f t="shared" si="38"/>
        <v>0</v>
      </c>
      <c r="BA109" s="55">
        <f t="shared" si="38"/>
        <v>0</v>
      </c>
      <c r="BB109" s="55">
        <f t="shared" si="38"/>
        <v>0</v>
      </c>
      <c r="BC109" s="55">
        <f t="shared" si="38"/>
        <v>0</v>
      </c>
      <c r="BD109" s="55">
        <f t="shared" si="38"/>
        <v>0</v>
      </c>
      <c r="BE109" s="55">
        <f t="shared" si="38"/>
        <v>0</v>
      </c>
      <c r="BF109" s="55">
        <f t="shared" si="38"/>
        <v>0</v>
      </c>
      <c r="BG109" s="55">
        <f t="shared" si="38"/>
        <v>0</v>
      </c>
      <c r="BH109" s="55">
        <f t="shared" si="38"/>
        <v>0</v>
      </c>
      <c r="BI109" s="55">
        <f t="shared" si="38"/>
        <v>0</v>
      </c>
      <c r="BJ109" s="55">
        <f t="shared" si="38"/>
        <v>0</v>
      </c>
      <c r="CK109" s="11"/>
      <c r="CL109" s="221">
        <f t="shared" si="17"/>
        <v>0</v>
      </c>
      <c r="CM109" s="11"/>
      <c r="CN109" s="7">
        <f t="shared" si="18"/>
        <v>0</v>
      </c>
      <c r="CO109" s="7">
        <f t="shared" si="19"/>
        <v>0</v>
      </c>
      <c r="CP109" s="7">
        <f t="shared" si="20"/>
        <v>0</v>
      </c>
      <c r="CR109" s="35"/>
      <c r="EY109" s="12" t="str">
        <f t="shared" si="21"/>
        <v/>
      </c>
    </row>
    <row r="110" spans="1:155" x14ac:dyDescent="0.35">
      <c r="A110" s="220" cm="1">
        <f t="array" aca="1" ref="A110" ca="1">HYPERLINK(CONCATENATE("#",CELL("address",IF(MAX($CM110:$CR110)=0,A110,INDEX($CM110:$CR110,MATCH(1,$CM110:$CR110,0))))),MAX($CM110:$CR110))</f>
        <v>0</v>
      </c>
      <c r="D110" s="10">
        <f t="shared" si="27"/>
        <v>0</v>
      </c>
      <c r="H110" s="9"/>
      <c r="AA110" s="134">
        <f t="shared" ref="AA110:BJ110" si="39">IF(SUMIFS($AA23:$BJ23, $AA$3:$BJ$3, AA$3, $AA$4:$BJ$4, 1)=0, 0,(AA23/SUMIFS($AA23:$BJ23, $AA$3:$BJ$3, AA$3, $AA$4:$BJ$4, 1))*AA$4)</f>
        <v>0</v>
      </c>
      <c r="AB110" s="55">
        <f t="shared" si="39"/>
        <v>0</v>
      </c>
      <c r="AC110" s="55">
        <f t="shared" si="39"/>
        <v>0</v>
      </c>
      <c r="AD110" s="55">
        <f t="shared" si="39"/>
        <v>0</v>
      </c>
      <c r="AE110" s="55">
        <f t="shared" si="39"/>
        <v>0</v>
      </c>
      <c r="AF110" s="55">
        <f t="shared" si="39"/>
        <v>0</v>
      </c>
      <c r="AG110" s="55">
        <f t="shared" si="39"/>
        <v>0</v>
      </c>
      <c r="AH110" s="55">
        <f t="shared" si="39"/>
        <v>0</v>
      </c>
      <c r="AI110" s="55">
        <f t="shared" si="39"/>
        <v>0</v>
      </c>
      <c r="AJ110" s="55">
        <f t="shared" si="39"/>
        <v>0</v>
      </c>
      <c r="AK110" s="55">
        <f t="shared" si="39"/>
        <v>0</v>
      </c>
      <c r="AL110" s="55">
        <f t="shared" si="39"/>
        <v>0</v>
      </c>
      <c r="AM110" s="55">
        <f t="shared" si="39"/>
        <v>0</v>
      </c>
      <c r="AN110" s="55">
        <f t="shared" si="39"/>
        <v>0</v>
      </c>
      <c r="AO110" s="55">
        <f t="shared" si="39"/>
        <v>0</v>
      </c>
      <c r="AP110" s="55">
        <f t="shared" si="39"/>
        <v>0</v>
      </c>
      <c r="AQ110" s="55">
        <f t="shared" si="39"/>
        <v>0</v>
      </c>
      <c r="AR110" s="55">
        <f t="shared" si="39"/>
        <v>0</v>
      </c>
      <c r="AS110" s="55">
        <f t="shared" si="39"/>
        <v>0</v>
      </c>
      <c r="AT110" s="55">
        <f t="shared" si="39"/>
        <v>0</v>
      </c>
      <c r="AU110" s="55">
        <f t="shared" si="39"/>
        <v>0</v>
      </c>
      <c r="AV110" s="55">
        <f t="shared" si="39"/>
        <v>0</v>
      </c>
      <c r="AW110" s="55">
        <f t="shared" si="39"/>
        <v>0</v>
      </c>
      <c r="AX110" s="55">
        <f t="shared" si="39"/>
        <v>0</v>
      </c>
      <c r="AY110" s="55">
        <f t="shared" si="39"/>
        <v>0</v>
      </c>
      <c r="AZ110" s="55">
        <f t="shared" si="39"/>
        <v>0</v>
      </c>
      <c r="BA110" s="55">
        <f t="shared" si="39"/>
        <v>0</v>
      </c>
      <c r="BB110" s="55">
        <f t="shared" si="39"/>
        <v>0</v>
      </c>
      <c r="BC110" s="55">
        <f t="shared" si="39"/>
        <v>0</v>
      </c>
      <c r="BD110" s="55">
        <f t="shared" si="39"/>
        <v>0</v>
      </c>
      <c r="BE110" s="55">
        <f t="shared" si="39"/>
        <v>0</v>
      </c>
      <c r="BF110" s="55">
        <f t="shared" si="39"/>
        <v>0</v>
      </c>
      <c r="BG110" s="55">
        <f t="shared" si="39"/>
        <v>0</v>
      </c>
      <c r="BH110" s="55">
        <f t="shared" si="39"/>
        <v>0</v>
      </c>
      <c r="BI110" s="55">
        <f t="shared" si="39"/>
        <v>0</v>
      </c>
      <c r="BJ110" s="55">
        <f t="shared" si="39"/>
        <v>0</v>
      </c>
      <c r="CK110" s="11"/>
      <c r="CL110" s="221">
        <f t="shared" si="17"/>
        <v>0</v>
      </c>
      <c r="CM110" s="11"/>
      <c r="CN110" s="7">
        <f t="shared" si="18"/>
        <v>0</v>
      </c>
      <c r="CO110" s="7">
        <f t="shared" si="19"/>
        <v>0</v>
      </c>
      <c r="CP110" s="7">
        <f t="shared" si="20"/>
        <v>0</v>
      </c>
      <c r="CR110" s="35"/>
      <c r="EY110" s="12" t="str">
        <f t="shared" si="21"/>
        <v/>
      </c>
    </row>
    <row r="111" spans="1:155" x14ac:dyDescent="0.35">
      <c r="A111" s="220" cm="1">
        <f t="array" aca="1" ref="A111" ca="1">HYPERLINK(CONCATENATE("#",CELL("address",IF(MAX($CM111:$CR111)=0,A111,INDEX($CM111:$CR111,MATCH(1,$CM111:$CR111,0))))),MAX($CM111:$CR111))</f>
        <v>0</v>
      </c>
      <c r="D111" s="10">
        <f t="shared" si="27"/>
        <v>0</v>
      </c>
      <c r="H111" s="9"/>
      <c r="AA111" s="134">
        <f t="shared" ref="AA111:BJ111" si="40">IF(SUMIFS($AA24:$BJ24, $AA$3:$BJ$3, AA$3, $AA$4:$BJ$4, 1)=0, 0,(AA24/SUMIFS($AA24:$BJ24, $AA$3:$BJ$3, AA$3, $AA$4:$BJ$4, 1))*AA$4)</f>
        <v>0</v>
      </c>
      <c r="AB111" s="55">
        <f t="shared" si="40"/>
        <v>0</v>
      </c>
      <c r="AC111" s="55">
        <f t="shared" si="40"/>
        <v>0</v>
      </c>
      <c r="AD111" s="55">
        <f t="shared" si="40"/>
        <v>0</v>
      </c>
      <c r="AE111" s="55">
        <f t="shared" si="40"/>
        <v>0</v>
      </c>
      <c r="AF111" s="55">
        <f t="shared" si="40"/>
        <v>0</v>
      </c>
      <c r="AG111" s="55">
        <f t="shared" si="40"/>
        <v>0</v>
      </c>
      <c r="AH111" s="55">
        <f t="shared" si="40"/>
        <v>0</v>
      </c>
      <c r="AI111" s="55">
        <f t="shared" si="40"/>
        <v>0</v>
      </c>
      <c r="AJ111" s="55">
        <f t="shared" si="40"/>
        <v>0</v>
      </c>
      <c r="AK111" s="55">
        <f t="shared" si="40"/>
        <v>0</v>
      </c>
      <c r="AL111" s="55">
        <f t="shared" si="40"/>
        <v>0</v>
      </c>
      <c r="AM111" s="55">
        <f t="shared" si="40"/>
        <v>0</v>
      </c>
      <c r="AN111" s="55">
        <f t="shared" si="40"/>
        <v>0</v>
      </c>
      <c r="AO111" s="55">
        <f t="shared" si="40"/>
        <v>0</v>
      </c>
      <c r="AP111" s="55">
        <f t="shared" si="40"/>
        <v>0</v>
      </c>
      <c r="AQ111" s="55">
        <f t="shared" si="40"/>
        <v>0</v>
      </c>
      <c r="AR111" s="55">
        <f t="shared" si="40"/>
        <v>0</v>
      </c>
      <c r="AS111" s="55">
        <f t="shared" si="40"/>
        <v>0</v>
      </c>
      <c r="AT111" s="55">
        <f t="shared" si="40"/>
        <v>0</v>
      </c>
      <c r="AU111" s="55">
        <f t="shared" si="40"/>
        <v>0</v>
      </c>
      <c r="AV111" s="55">
        <f t="shared" si="40"/>
        <v>0</v>
      </c>
      <c r="AW111" s="55">
        <f t="shared" si="40"/>
        <v>0</v>
      </c>
      <c r="AX111" s="55">
        <f t="shared" si="40"/>
        <v>0</v>
      </c>
      <c r="AY111" s="55">
        <f t="shared" si="40"/>
        <v>0</v>
      </c>
      <c r="AZ111" s="55">
        <f t="shared" si="40"/>
        <v>0</v>
      </c>
      <c r="BA111" s="55">
        <f t="shared" si="40"/>
        <v>0</v>
      </c>
      <c r="BB111" s="55">
        <f t="shared" si="40"/>
        <v>0</v>
      </c>
      <c r="BC111" s="55">
        <f t="shared" si="40"/>
        <v>0</v>
      </c>
      <c r="BD111" s="55">
        <f t="shared" si="40"/>
        <v>0</v>
      </c>
      <c r="BE111" s="55">
        <f t="shared" si="40"/>
        <v>0</v>
      </c>
      <c r="BF111" s="55">
        <f t="shared" si="40"/>
        <v>0</v>
      </c>
      <c r="BG111" s="55">
        <f t="shared" si="40"/>
        <v>0</v>
      </c>
      <c r="BH111" s="55">
        <f t="shared" si="40"/>
        <v>0</v>
      </c>
      <c r="BI111" s="55">
        <f t="shared" si="40"/>
        <v>0</v>
      </c>
      <c r="BJ111" s="55">
        <f t="shared" si="40"/>
        <v>0</v>
      </c>
      <c r="CK111" s="11"/>
      <c r="CL111" s="221">
        <f t="shared" si="17"/>
        <v>0</v>
      </c>
      <c r="CM111" s="11"/>
      <c r="CN111" s="7">
        <f t="shared" si="18"/>
        <v>0</v>
      </c>
      <c r="CO111" s="7">
        <f t="shared" si="19"/>
        <v>0</v>
      </c>
      <c r="CP111" s="7">
        <f t="shared" si="20"/>
        <v>0</v>
      </c>
      <c r="CR111" s="35"/>
      <c r="EY111" s="12" t="str">
        <f t="shared" si="21"/>
        <v/>
      </c>
    </row>
    <row r="112" spans="1:155" x14ac:dyDescent="0.35">
      <c r="A112" s="220" cm="1">
        <f t="array" aca="1" ref="A112" ca="1">HYPERLINK(CONCATENATE("#",CELL("address",IF(MAX($CM112:$CR112)=0,A112,INDEX($CM112:$CR112,MATCH(1,$CM112:$CR112,0))))),MAX($CM112:$CR112))</f>
        <v>0</v>
      </c>
      <c r="D112" s="10">
        <f t="shared" si="27"/>
        <v>0</v>
      </c>
      <c r="H112" s="9"/>
      <c r="AA112" s="134">
        <f t="shared" ref="AA112:BJ112" si="41">IF(SUMIFS($AA25:$BJ25, $AA$3:$BJ$3, AA$3, $AA$4:$BJ$4, 1)=0, 0,(AA25/SUMIFS($AA25:$BJ25, $AA$3:$BJ$3, AA$3, $AA$4:$BJ$4, 1))*AA$4)</f>
        <v>0</v>
      </c>
      <c r="AB112" s="55">
        <f t="shared" si="41"/>
        <v>0</v>
      </c>
      <c r="AC112" s="55">
        <f t="shared" si="41"/>
        <v>0</v>
      </c>
      <c r="AD112" s="55">
        <f t="shared" si="41"/>
        <v>0</v>
      </c>
      <c r="AE112" s="55">
        <f t="shared" si="41"/>
        <v>0</v>
      </c>
      <c r="AF112" s="55">
        <f t="shared" si="41"/>
        <v>0</v>
      </c>
      <c r="AG112" s="55">
        <f t="shared" si="41"/>
        <v>0</v>
      </c>
      <c r="AH112" s="55">
        <f t="shared" si="41"/>
        <v>0</v>
      </c>
      <c r="AI112" s="55">
        <f t="shared" si="41"/>
        <v>0</v>
      </c>
      <c r="AJ112" s="55">
        <f t="shared" si="41"/>
        <v>0</v>
      </c>
      <c r="AK112" s="55">
        <f t="shared" si="41"/>
        <v>0</v>
      </c>
      <c r="AL112" s="55">
        <f t="shared" si="41"/>
        <v>0</v>
      </c>
      <c r="AM112" s="55">
        <f t="shared" si="41"/>
        <v>0</v>
      </c>
      <c r="AN112" s="55">
        <f t="shared" si="41"/>
        <v>0</v>
      </c>
      <c r="AO112" s="55">
        <f t="shared" si="41"/>
        <v>0</v>
      </c>
      <c r="AP112" s="55">
        <f t="shared" si="41"/>
        <v>0</v>
      </c>
      <c r="AQ112" s="55">
        <f t="shared" si="41"/>
        <v>0</v>
      </c>
      <c r="AR112" s="55">
        <f t="shared" si="41"/>
        <v>0</v>
      </c>
      <c r="AS112" s="55">
        <f t="shared" si="41"/>
        <v>0</v>
      </c>
      <c r="AT112" s="55">
        <f t="shared" si="41"/>
        <v>0</v>
      </c>
      <c r="AU112" s="55">
        <f t="shared" si="41"/>
        <v>0</v>
      </c>
      <c r="AV112" s="55">
        <f t="shared" si="41"/>
        <v>0</v>
      </c>
      <c r="AW112" s="55">
        <f t="shared" si="41"/>
        <v>0</v>
      </c>
      <c r="AX112" s="55">
        <f t="shared" si="41"/>
        <v>0</v>
      </c>
      <c r="AY112" s="55">
        <f t="shared" si="41"/>
        <v>0</v>
      </c>
      <c r="AZ112" s="55">
        <f t="shared" si="41"/>
        <v>0</v>
      </c>
      <c r="BA112" s="55">
        <f t="shared" si="41"/>
        <v>0</v>
      </c>
      <c r="BB112" s="55">
        <f t="shared" si="41"/>
        <v>0</v>
      </c>
      <c r="BC112" s="55">
        <f t="shared" si="41"/>
        <v>0</v>
      </c>
      <c r="BD112" s="55">
        <f t="shared" si="41"/>
        <v>0</v>
      </c>
      <c r="BE112" s="55">
        <f t="shared" si="41"/>
        <v>0</v>
      </c>
      <c r="BF112" s="55">
        <f t="shared" si="41"/>
        <v>0</v>
      </c>
      <c r="BG112" s="55">
        <f t="shared" si="41"/>
        <v>0</v>
      </c>
      <c r="BH112" s="55">
        <f t="shared" si="41"/>
        <v>0</v>
      </c>
      <c r="BI112" s="55">
        <f t="shared" si="41"/>
        <v>0</v>
      </c>
      <c r="BJ112" s="55">
        <f t="shared" si="41"/>
        <v>0</v>
      </c>
      <c r="CK112" s="11"/>
      <c r="CL112" s="221">
        <f t="shared" si="17"/>
        <v>0</v>
      </c>
      <c r="CM112" s="11"/>
      <c r="CN112" s="7">
        <f t="shared" si="18"/>
        <v>0</v>
      </c>
      <c r="CO112" s="7">
        <f t="shared" si="19"/>
        <v>0</v>
      </c>
      <c r="CP112" s="7">
        <f t="shared" si="20"/>
        <v>0</v>
      </c>
      <c r="CR112" s="35"/>
      <c r="EY112" s="12" t="str">
        <f t="shared" si="21"/>
        <v/>
      </c>
    </row>
    <row r="113" spans="1:155" x14ac:dyDescent="0.35">
      <c r="A113" s="220" cm="1">
        <f t="array" aca="1" ref="A113" ca="1">HYPERLINK(CONCATENATE("#",CELL("address",IF(MAX($CM113:$CR113)=0,A113,INDEX($CM113:$CR113,MATCH(1,$CM113:$CR113,0))))),MAX($CM113:$CR113))</f>
        <v>0</v>
      </c>
      <c r="D113" s="10">
        <f t="shared" si="27"/>
        <v>0</v>
      </c>
      <c r="H113" s="9"/>
      <c r="AA113" s="134">
        <f t="shared" ref="AA113:BJ113" si="42">IF(SUMIFS($AA26:$BJ26, $AA$3:$BJ$3, AA$3, $AA$4:$BJ$4, 1)=0, 0,(AA26/SUMIFS($AA26:$BJ26, $AA$3:$BJ$3, AA$3, $AA$4:$BJ$4, 1))*AA$4)</f>
        <v>0</v>
      </c>
      <c r="AB113" s="55">
        <f t="shared" si="42"/>
        <v>0</v>
      </c>
      <c r="AC113" s="55">
        <f t="shared" si="42"/>
        <v>0</v>
      </c>
      <c r="AD113" s="55">
        <f t="shared" si="42"/>
        <v>0</v>
      </c>
      <c r="AE113" s="55">
        <f t="shared" si="42"/>
        <v>0</v>
      </c>
      <c r="AF113" s="55">
        <f t="shared" si="42"/>
        <v>0</v>
      </c>
      <c r="AG113" s="55">
        <f t="shared" si="42"/>
        <v>0</v>
      </c>
      <c r="AH113" s="55">
        <f t="shared" si="42"/>
        <v>0</v>
      </c>
      <c r="AI113" s="55">
        <f t="shared" si="42"/>
        <v>0</v>
      </c>
      <c r="AJ113" s="55">
        <f t="shared" si="42"/>
        <v>0</v>
      </c>
      <c r="AK113" s="55">
        <f t="shared" si="42"/>
        <v>0</v>
      </c>
      <c r="AL113" s="55">
        <f t="shared" si="42"/>
        <v>0</v>
      </c>
      <c r="AM113" s="55">
        <f t="shared" si="42"/>
        <v>0</v>
      </c>
      <c r="AN113" s="55">
        <f t="shared" si="42"/>
        <v>0</v>
      </c>
      <c r="AO113" s="55">
        <f t="shared" si="42"/>
        <v>0</v>
      </c>
      <c r="AP113" s="55">
        <f t="shared" si="42"/>
        <v>0</v>
      </c>
      <c r="AQ113" s="55">
        <f t="shared" si="42"/>
        <v>0</v>
      </c>
      <c r="AR113" s="55">
        <f t="shared" si="42"/>
        <v>0</v>
      </c>
      <c r="AS113" s="55">
        <f t="shared" si="42"/>
        <v>0</v>
      </c>
      <c r="AT113" s="55">
        <f t="shared" si="42"/>
        <v>0</v>
      </c>
      <c r="AU113" s="55">
        <f t="shared" si="42"/>
        <v>0</v>
      </c>
      <c r="AV113" s="55">
        <f t="shared" si="42"/>
        <v>0</v>
      </c>
      <c r="AW113" s="55">
        <f t="shared" si="42"/>
        <v>0</v>
      </c>
      <c r="AX113" s="55">
        <f t="shared" si="42"/>
        <v>0</v>
      </c>
      <c r="AY113" s="55">
        <f t="shared" si="42"/>
        <v>0</v>
      </c>
      <c r="AZ113" s="55">
        <f t="shared" si="42"/>
        <v>0</v>
      </c>
      <c r="BA113" s="55">
        <f t="shared" si="42"/>
        <v>0</v>
      </c>
      <c r="BB113" s="55">
        <f t="shared" si="42"/>
        <v>0</v>
      </c>
      <c r="BC113" s="55">
        <f t="shared" si="42"/>
        <v>0</v>
      </c>
      <c r="BD113" s="55">
        <f t="shared" si="42"/>
        <v>0</v>
      </c>
      <c r="BE113" s="55">
        <f t="shared" si="42"/>
        <v>0</v>
      </c>
      <c r="BF113" s="55">
        <f t="shared" si="42"/>
        <v>0</v>
      </c>
      <c r="BG113" s="55">
        <f t="shared" si="42"/>
        <v>0</v>
      </c>
      <c r="BH113" s="55">
        <f t="shared" si="42"/>
        <v>0</v>
      </c>
      <c r="BI113" s="55">
        <f t="shared" si="42"/>
        <v>0</v>
      </c>
      <c r="BJ113" s="55">
        <f t="shared" si="42"/>
        <v>0</v>
      </c>
      <c r="CK113" s="11"/>
      <c r="CL113" s="221">
        <f t="shared" si="17"/>
        <v>0</v>
      </c>
      <c r="CM113" s="11"/>
      <c r="CN113" s="7">
        <f t="shared" si="18"/>
        <v>0</v>
      </c>
      <c r="CO113" s="7">
        <f t="shared" si="19"/>
        <v>0</v>
      </c>
      <c r="CP113" s="7">
        <f t="shared" si="20"/>
        <v>0</v>
      </c>
      <c r="CR113" s="35"/>
      <c r="EY113" s="12" t="str">
        <f t="shared" si="21"/>
        <v/>
      </c>
    </row>
    <row r="114" spans="1:155" x14ac:dyDescent="0.35">
      <c r="A114" s="220" cm="1">
        <f t="array" aca="1" ref="A114" ca="1">HYPERLINK(CONCATENATE("#",CELL("address",IF(MAX($CM114:$CR114)=0,A114,INDEX($CM114:$CR114,MATCH(1,$CM114:$CR114,0))))),MAX($CM114:$CR114))</f>
        <v>0</v>
      </c>
      <c r="D114" s="10">
        <f t="shared" si="27"/>
        <v>0</v>
      </c>
      <c r="H114" s="9"/>
      <c r="AA114" s="134">
        <f t="shared" ref="AA114:BJ114" si="43">IF(SUMIFS($AA27:$BJ27, $AA$3:$BJ$3, AA$3, $AA$4:$BJ$4, 1)=0, 0,(AA27/SUMIFS($AA27:$BJ27, $AA$3:$BJ$3, AA$3, $AA$4:$BJ$4, 1))*AA$4)</f>
        <v>0</v>
      </c>
      <c r="AB114" s="55">
        <f t="shared" si="43"/>
        <v>0</v>
      </c>
      <c r="AC114" s="55">
        <f t="shared" si="43"/>
        <v>0</v>
      </c>
      <c r="AD114" s="55">
        <f t="shared" si="43"/>
        <v>0</v>
      </c>
      <c r="AE114" s="55">
        <f t="shared" si="43"/>
        <v>0</v>
      </c>
      <c r="AF114" s="55">
        <f t="shared" si="43"/>
        <v>0</v>
      </c>
      <c r="AG114" s="55">
        <f t="shared" si="43"/>
        <v>0</v>
      </c>
      <c r="AH114" s="55">
        <f t="shared" si="43"/>
        <v>0</v>
      </c>
      <c r="AI114" s="55">
        <f t="shared" si="43"/>
        <v>0</v>
      </c>
      <c r="AJ114" s="55">
        <f t="shared" si="43"/>
        <v>0</v>
      </c>
      <c r="AK114" s="55">
        <f t="shared" si="43"/>
        <v>0</v>
      </c>
      <c r="AL114" s="55">
        <f t="shared" si="43"/>
        <v>0</v>
      </c>
      <c r="AM114" s="55">
        <f t="shared" si="43"/>
        <v>0</v>
      </c>
      <c r="AN114" s="55">
        <f t="shared" si="43"/>
        <v>0</v>
      </c>
      <c r="AO114" s="55">
        <f t="shared" si="43"/>
        <v>0</v>
      </c>
      <c r="AP114" s="55">
        <f t="shared" si="43"/>
        <v>0</v>
      </c>
      <c r="AQ114" s="55">
        <f t="shared" si="43"/>
        <v>0</v>
      </c>
      <c r="AR114" s="55">
        <f t="shared" si="43"/>
        <v>0</v>
      </c>
      <c r="AS114" s="55">
        <f t="shared" si="43"/>
        <v>0</v>
      </c>
      <c r="AT114" s="55">
        <f t="shared" si="43"/>
        <v>0</v>
      </c>
      <c r="AU114" s="55">
        <f t="shared" si="43"/>
        <v>0</v>
      </c>
      <c r="AV114" s="55">
        <f t="shared" si="43"/>
        <v>0</v>
      </c>
      <c r="AW114" s="55">
        <f t="shared" si="43"/>
        <v>0</v>
      </c>
      <c r="AX114" s="55">
        <f t="shared" si="43"/>
        <v>0</v>
      </c>
      <c r="AY114" s="55">
        <f t="shared" si="43"/>
        <v>0</v>
      </c>
      <c r="AZ114" s="55">
        <f t="shared" si="43"/>
        <v>0</v>
      </c>
      <c r="BA114" s="55">
        <f t="shared" si="43"/>
        <v>0</v>
      </c>
      <c r="BB114" s="55">
        <f t="shared" si="43"/>
        <v>0</v>
      </c>
      <c r="BC114" s="55">
        <f t="shared" si="43"/>
        <v>0</v>
      </c>
      <c r="BD114" s="55">
        <f t="shared" si="43"/>
        <v>0</v>
      </c>
      <c r="BE114" s="55">
        <f t="shared" si="43"/>
        <v>0</v>
      </c>
      <c r="BF114" s="55">
        <f t="shared" si="43"/>
        <v>0</v>
      </c>
      <c r="BG114" s="55">
        <f t="shared" si="43"/>
        <v>0</v>
      </c>
      <c r="BH114" s="55">
        <f t="shared" si="43"/>
        <v>0</v>
      </c>
      <c r="BI114" s="55">
        <f t="shared" si="43"/>
        <v>0</v>
      </c>
      <c r="BJ114" s="55">
        <f t="shared" si="43"/>
        <v>0</v>
      </c>
      <c r="CK114" s="11"/>
      <c r="CL114" s="221">
        <f t="shared" si="17"/>
        <v>0</v>
      </c>
      <c r="CM114" s="11"/>
      <c r="CN114" s="7">
        <f t="shared" si="18"/>
        <v>0</v>
      </c>
      <c r="CO114" s="7">
        <f t="shared" si="19"/>
        <v>0</v>
      </c>
      <c r="CP114" s="7">
        <f t="shared" si="20"/>
        <v>0</v>
      </c>
      <c r="CR114" s="35"/>
      <c r="EY114" s="12" t="str">
        <f t="shared" si="21"/>
        <v/>
      </c>
    </row>
    <row r="115" spans="1:155" x14ac:dyDescent="0.35">
      <c r="A115" s="220" cm="1">
        <f t="array" aca="1" ref="A115" ca="1">HYPERLINK(CONCATENATE("#",CELL("address",IF(MAX($CM115:$CR115)=0,A115,INDEX($CM115:$CR115,MATCH(1,$CM115:$CR115,0))))),MAX($CM115:$CR115))</f>
        <v>0</v>
      </c>
      <c r="D115" s="10">
        <f t="shared" si="27"/>
        <v>0</v>
      </c>
      <c r="H115" s="9"/>
      <c r="AA115" s="134">
        <f t="shared" ref="AA115:BJ115" si="44">IF(SUMIFS($AA28:$BJ28, $AA$3:$BJ$3, AA$3, $AA$4:$BJ$4, 1)=0, 0,(AA28/SUMIFS($AA28:$BJ28, $AA$3:$BJ$3, AA$3, $AA$4:$BJ$4, 1))*AA$4)</f>
        <v>0</v>
      </c>
      <c r="AB115" s="55">
        <f t="shared" si="44"/>
        <v>0</v>
      </c>
      <c r="AC115" s="55">
        <f t="shared" si="44"/>
        <v>0</v>
      </c>
      <c r="AD115" s="55">
        <f t="shared" si="44"/>
        <v>0</v>
      </c>
      <c r="AE115" s="55">
        <f t="shared" si="44"/>
        <v>0</v>
      </c>
      <c r="AF115" s="55">
        <f t="shared" si="44"/>
        <v>0</v>
      </c>
      <c r="AG115" s="55">
        <f t="shared" si="44"/>
        <v>0</v>
      </c>
      <c r="AH115" s="55">
        <f t="shared" si="44"/>
        <v>0</v>
      </c>
      <c r="AI115" s="55">
        <f t="shared" si="44"/>
        <v>0</v>
      </c>
      <c r="AJ115" s="55">
        <f t="shared" si="44"/>
        <v>0</v>
      </c>
      <c r="AK115" s="55">
        <f t="shared" si="44"/>
        <v>0</v>
      </c>
      <c r="AL115" s="55">
        <f t="shared" si="44"/>
        <v>0</v>
      </c>
      <c r="AM115" s="55">
        <f t="shared" si="44"/>
        <v>0</v>
      </c>
      <c r="AN115" s="55">
        <f t="shared" si="44"/>
        <v>0</v>
      </c>
      <c r="AO115" s="55">
        <f t="shared" si="44"/>
        <v>0</v>
      </c>
      <c r="AP115" s="55">
        <f t="shared" si="44"/>
        <v>0</v>
      </c>
      <c r="AQ115" s="55">
        <f t="shared" si="44"/>
        <v>0</v>
      </c>
      <c r="AR115" s="55">
        <f t="shared" si="44"/>
        <v>0</v>
      </c>
      <c r="AS115" s="55">
        <f t="shared" si="44"/>
        <v>0</v>
      </c>
      <c r="AT115" s="55">
        <f t="shared" si="44"/>
        <v>0</v>
      </c>
      <c r="AU115" s="55">
        <f t="shared" si="44"/>
        <v>0</v>
      </c>
      <c r="AV115" s="55">
        <f t="shared" si="44"/>
        <v>0</v>
      </c>
      <c r="AW115" s="55">
        <f t="shared" si="44"/>
        <v>0</v>
      </c>
      <c r="AX115" s="55">
        <f t="shared" si="44"/>
        <v>0</v>
      </c>
      <c r="AY115" s="55">
        <f t="shared" si="44"/>
        <v>0</v>
      </c>
      <c r="AZ115" s="55">
        <f t="shared" si="44"/>
        <v>0</v>
      </c>
      <c r="BA115" s="55">
        <f t="shared" si="44"/>
        <v>0</v>
      </c>
      <c r="BB115" s="55">
        <f t="shared" si="44"/>
        <v>0</v>
      </c>
      <c r="BC115" s="55">
        <f t="shared" si="44"/>
        <v>0</v>
      </c>
      <c r="BD115" s="55">
        <f t="shared" si="44"/>
        <v>0</v>
      </c>
      <c r="BE115" s="55">
        <f t="shared" si="44"/>
        <v>0</v>
      </c>
      <c r="BF115" s="55">
        <f t="shared" si="44"/>
        <v>0</v>
      </c>
      <c r="BG115" s="55">
        <f t="shared" si="44"/>
        <v>0</v>
      </c>
      <c r="BH115" s="55">
        <f t="shared" si="44"/>
        <v>0</v>
      </c>
      <c r="BI115" s="55">
        <f t="shared" si="44"/>
        <v>0</v>
      </c>
      <c r="BJ115" s="55">
        <f t="shared" si="44"/>
        <v>0</v>
      </c>
      <c r="CK115" s="11"/>
      <c r="CL115" s="221">
        <f t="shared" si="17"/>
        <v>0</v>
      </c>
      <c r="CM115" s="11"/>
      <c r="CN115" s="7">
        <f t="shared" si="18"/>
        <v>0</v>
      </c>
      <c r="CO115" s="7">
        <f t="shared" si="19"/>
        <v>0</v>
      </c>
      <c r="CP115" s="7">
        <f t="shared" si="20"/>
        <v>0</v>
      </c>
      <c r="CR115" s="35"/>
      <c r="EY115" s="12" t="str">
        <f t="shared" si="21"/>
        <v/>
      </c>
    </row>
    <row r="116" spans="1:155" x14ac:dyDescent="0.35">
      <c r="A116" s="220" cm="1">
        <f t="array" aca="1" ref="A116" ca="1">HYPERLINK(CONCATENATE("#",CELL("address",IF(MAX($CM116:$CR116)=0,A116,INDEX($CM116:$CR116,MATCH(1,$CM116:$CR116,0))))),MAX($CM116:$CR116))</f>
        <v>0</v>
      </c>
      <c r="D116" s="10">
        <f t="shared" si="27"/>
        <v>0</v>
      </c>
      <c r="H116" s="9"/>
      <c r="AA116" s="134">
        <f t="shared" ref="AA116:BJ116" si="45">IF(SUMIFS($AA29:$BJ29, $AA$3:$BJ$3, AA$3, $AA$4:$BJ$4, 1)=0, 0,(AA29/SUMIFS($AA29:$BJ29, $AA$3:$BJ$3, AA$3, $AA$4:$BJ$4, 1))*AA$4)</f>
        <v>0</v>
      </c>
      <c r="AB116" s="55">
        <f t="shared" si="45"/>
        <v>0</v>
      </c>
      <c r="AC116" s="55">
        <f t="shared" si="45"/>
        <v>0</v>
      </c>
      <c r="AD116" s="55">
        <f t="shared" si="45"/>
        <v>0</v>
      </c>
      <c r="AE116" s="55">
        <f t="shared" si="45"/>
        <v>0</v>
      </c>
      <c r="AF116" s="55">
        <f t="shared" si="45"/>
        <v>0</v>
      </c>
      <c r="AG116" s="55">
        <f t="shared" si="45"/>
        <v>0</v>
      </c>
      <c r="AH116" s="55">
        <f t="shared" si="45"/>
        <v>0</v>
      </c>
      <c r="AI116" s="55">
        <f t="shared" si="45"/>
        <v>0</v>
      </c>
      <c r="AJ116" s="55">
        <f t="shared" si="45"/>
        <v>0</v>
      </c>
      <c r="AK116" s="55">
        <f t="shared" si="45"/>
        <v>0</v>
      </c>
      <c r="AL116" s="55">
        <f t="shared" si="45"/>
        <v>0</v>
      </c>
      <c r="AM116" s="55">
        <f t="shared" si="45"/>
        <v>0</v>
      </c>
      <c r="AN116" s="55">
        <f t="shared" si="45"/>
        <v>0</v>
      </c>
      <c r="AO116" s="55">
        <f t="shared" si="45"/>
        <v>0</v>
      </c>
      <c r="AP116" s="55">
        <f t="shared" si="45"/>
        <v>0</v>
      </c>
      <c r="AQ116" s="55">
        <f t="shared" si="45"/>
        <v>0</v>
      </c>
      <c r="AR116" s="55">
        <f t="shared" si="45"/>
        <v>0</v>
      </c>
      <c r="AS116" s="55">
        <f t="shared" si="45"/>
        <v>0</v>
      </c>
      <c r="AT116" s="55">
        <f t="shared" si="45"/>
        <v>0</v>
      </c>
      <c r="AU116" s="55">
        <f t="shared" si="45"/>
        <v>0</v>
      </c>
      <c r="AV116" s="55">
        <f t="shared" si="45"/>
        <v>0</v>
      </c>
      <c r="AW116" s="55">
        <f t="shared" si="45"/>
        <v>0</v>
      </c>
      <c r="AX116" s="55">
        <f t="shared" si="45"/>
        <v>0</v>
      </c>
      <c r="AY116" s="55">
        <f t="shared" si="45"/>
        <v>0</v>
      </c>
      <c r="AZ116" s="55">
        <f t="shared" si="45"/>
        <v>0</v>
      </c>
      <c r="BA116" s="55">
        <f t="shared" si="45"/>
        <v>0</v>
      </c>
      <c r="BB116" s="55">
        <f t="shared" si="45"/>
        <v>0</v>
      </c>
      <c r="BC116" s="55">
        <f t="shared" si="45"/>
        <v>0</v>
      </c>
      <c r="BD116" s="55">
        <f t="shared" si="45"/>
        <v>0</v>
      </c>
      <c r="BE116" s="55">
        <f t="shared" si="45"/>
        <v>0</v>
      </c>
      <c r="BF116" s="55">
        <f t="shared" si="45"/>
        <v>0</v>
      </c>
      <c r="BG116" s="55">
        <f t="shared" si="45"/>
        <v>0</v>
      </c>
      <c r="BH116" s="55">
        <f t="shared" si="45"/>
        <v>0</v>
      </c>
      <c r="BI116" s="55">
        <f t="shared" si="45"/>
        <v>0</v>
      </c>
      <c r="BJ116" s="55">
        <f t="shared" si="45"/>
        <v>0</v>
      </c>
      <c r="CK116" s="11"/>
      <c r="CL116" s="221">
        <f t="shared" si="17"/>
        <v>0</v>
      </c>
      <c r="CM116" s="11"/>
      <c r="CN116" s="7">
        <f t="shared" si="18"/>
        <v>0</v>
      </c>
      <c r="CO116" s="7">
        <f t="shared" si="19"/>
        <v>0</v>
      </c>
      <c r="CP116" s="7">
        <f t="shared" si="20"/>
        <v>0</v>
      </c>
      <c r="CR116" s="35"/>
      <c r="EY116" s="12" t="str">
        <f t="shared" si="21"/>
        <v/>
      </c>
    </row>
    <row r="117" spans="1:155" s="5" customFormat="1" x14ac:dyDescent="0.35">
      <c r="A117" s="220" cm="1">
        <f t="array" aca="1" ref="A117" ca="1">HYPERLINK(CONCATENATE("#",CELL("address",IF(MAX($CM117:$CR117)=0,A117,INDEX($CM117:$CR117,MATCH(1,$CM117:$CR117,0))))),MAX($CM117:$CR117))</f>
        <v>0</v>
      </c>
      <c r="B117"/>
      <c r="C117"/>
      <c r="D117" s="10">
        <f t="shared" si="27"/>
        <v>0</v>
      </c>
      <c r="E117" s="1"/>
      <c r="F117"/>
      <c r="G117"/>
      <c r="H117" s="9"/>
      <c r="I117"/>
      <c r="J117"/>
      <c r="K117"/>
      <c r="L117"/>
      <c r="M117"/>
      <c r="N117"/>
      <c r="O117"/>
      <c r="P117"/>
      <c r="Q117"/>
      <c r="R117"/>
      <c r="S117"/>
      <c r="T117"/>
      <c r="U117"/>
      <c r="V117"/>
      <c r="W117"/>
      <c r="X117"/>
      <c r="Y117"/>
      <c r="Z117"/>
      <c r="AA117" s="134">
        <f t="shared" ref="AA117:BJ117" si="46">IF(SUMIFS($AA30:$BJ30, $AA$3:$BJ$3, AA$3, $AA$4:$BJ$4, 1)=0, 0,(AA30/SUMIFS($AA30:$BJ30, $AA$3:$BJ$3, AA$3, $AA$4:$BJ$4, 1))*AA$4)</f>
        <v>0</v>
      </c>
      <c r="AB117" s="55">
        <f t="shared" si="46"/>
        <v>0</v>
      </c>
      <c r="AC117" s="55">
        <f t="shared" si="46"/>
        <v>0</v>
      </c>
      <c r="AD117" s="55">
        <f t="shared" si="46"/>
        <v>0</v>
      </c>
      <c r="AE117" s="55">
        <f t="shared" si="46"/>
        <v>0</v>
      </c>
      <c r="AF117" s="55">
        <f t="shared" si="46"/>
        <v>0</v>
      </c>
      <c r="AG117" s="55">
        <f t="shared" si="46"/>
        <v>0</v>
      </c>
      <c r="AH117" s="55">
        <f t="shared" si="46"/>
        <v>0</v>
      </c>
      <c r="AI117" s="55">
        <f t="shared" si="46"/>
        <v>0</v>
      </c>
      <c r="AJ117" s="55">
        <f t="shared" si="46"/>
        <v>0</v>
      </c>
      <c r="AK117" s="55">
        <f t="shared" si="46"/>
        <v>0</v>
      </c>
      <c r="AL117" s="55">
        <f t="shared" si="46"/>
        <v>0</v>
      </c>
      <c r="AM117" s="55">
        <f t="shared" si="46"/>
        <v>0</v>
      </c>
      <c r="AN117" s="55">
        <f t="shared" si="46"/>
        <v>0</v>
      </c>
      <c r="AO117" s="55">
        <f t="shared" si="46"/>
        <v>0</v>
      </c>
      <c r="AP117" s="55">
        <f t="shared" si="46"/>
        <v>0</v>
      </c>
      <c r="AQ117" s="55">
        <f t="shared" si="46"/>
        <v>0</v>
      </c>
      <c r="AR117" s="55">
        <f t="shared" si="46"/>
        <v>0</v>
      </c>
      <c r="AS117" s="55">
        <f t="shared" si="46"/>
        <v>0</v>
      </c>
      <c r="AT117" s="55">
        <f t="shared" si="46"/>
        <v>0</v>
      </c>
      <c r="AU117" s="55">
        <f t="shared" si="46"/>
        <v>0</v>
      </c>
      <c r="AV117" s="55">
        <f t="shared" si="46"/>
        <v>0</v>
      </c>
      <c r="AW117" s="55">
        <f t="shared" si="46"/>
        <v>0</v>
      </c>
      <c r="AX117" s="55">
        <f t="shared" si="46"/>
        <v>0</v>
      </c>
      <c r="AY117" s="55">
        <f t="shared" si="46"/>
        <v>0</v>
      </c>
      <c r="AZ117" s="55">
        <f t="shared" si="46"/>
        <v>0</v>
      </c>
      <c r="BA117" s="55">
        <f t="shared" si="46"/>
        <v>0</v>
      </c>
      <c r="BB117" s="55">
        <f t="shared" si="46"/>
        <v>0</v>
      </c>
      <c r="BC117" s="55">
        <f t="shared" si="46"/>
        <v>0</v>
      </c>
      <c r="BD117" s="55">
        <f t="shared" si="46"/>
        <v>0</v>
      </c>
      <c r="BE117" s="55">
        <f t="shared" si="46"/>
        <v>0</v>
      </c>
      <c r="BF117" s="55">
        <f t="shared" si="46"/>
        <v>0</v>
      </c>
      <c r="BG117" s="55">
        <f t="shared" si="46"/>
        <v>0</v>
      </c>
      <c r="BH117" s="55">
        <f t="shared" si="46"/>
        <v>0</v>
      </c>
      <c r="BI117" s="55">
        <f t="shared" si="46"/>
        <v>0</v>
      </c>
      <c r="BJ117" s="55">
        <f t="shared" si="46"/>
        <v>0</v>
      </c>
      <c r="BK117"/>
      <c r="BL117"/>
      <c r="BM117"/>
      <c r="BN117"/>
      <c r="BO117"/>
      <c r="BP117"/>
      <c r="BQ117"/>
      <c r="BR117"/>
      <c r="BS117"/>
      <c r="BT117"/>
      <c r="BU117"/>
      <c r="BV117"/>
      <c r="BW117"/>
      <c r="BX117"/>
      <c r="BY117"/>
      <c r="BZ117"/>
      <c r="CA117"/>
      <c r="CB117"/>
      <c r="CC117"/>
      <c r="CD117"/>
      <c r="CE117"/>
      <c r="CF117"/>
      <c r="CG117"/>
      <c r="CH117"/>
      <c r="CI117"/>
      <c r="CJ117"/>
      <c r="CK117" s="11"/>
      <c r="CL117" s="221">
        <f t="shared" si="17"/>
        <v>0</v>
      </c>
      <c r="CM117" s="11"/>
      <c r="CN117" s="7">
        <f t="shared" si="18"/>
        <v>0</v>
      </c>
      <c r="CO117" s="7">
        <f t="shared" si="19"/>
        <v>0</v>
      </c>
      <c r="CP117" s="7">
        <f t="shared" si="20"/>
        <v>0</v>
      </c>
      <c r="CQ117"/>
      <c r="CR117" s="35"/>
      <c r="EY117" s="12" t="str">
        <f t="shared" si="21"/>
        <v/>
      </c>
    </row>
    <row r="118" spans="1:155" x14ac:dyDescent="0.35">
      <c r="A118" s="220" cm="1">
        <f t="array" aca="1" ref="A118" ca="1">HYPERLINK(CONCATENATE("#",CELL("address",IF(MAX($CM118:$CR118)=0,A118,INDEX($CM118:$CR118,MATCH(1,$CM118:$CR118,0))))),MAX($CM118:$CR118))</f>
        <v>0</v>
      </c>
      <c r="D118" s="10">
        <f t="shared" si="27"/>
        <v>0</v>
      </c>
      <c r="H118" s="9"/>
      <c r="AA118" s="134">
        <f t="shared" ref="AA118:BJ118" si="47">IF(SUMIFS($AA31:$BJ31, $AA$3:$BJ$3, AA$3, $AA$4:$BJ$4, 1)=0, 0,(AA31/SUMIFS($AA31:$BJ31, $AA$3:$BJ$3, AA$3, $AA$4:$BJ$4, 1))*AA$4)</f>
        <v>0</v>
      </c>
      <c r="AB118" s="55">
        <f t="shared" si="47"/>
        <v>0</v>
      </c>
      <c r="AC118" s="55">
        <f t="shared" si="47"/>
        <v>0</v>
      </c>
      <c r="AD118" s="55">
        <f t="shared" si="47"/>
        <v>0</v>
      </c>
      <c r="AE118" s="55">
        <f t="shared" si="47"/>
        <v>0</v>
      </c>
      <c r="AF118" s="55">
        <f t="shared" si="47"/>
        <v>0</v>
      </c>
      <c r="AG118" s="55">
        <f t="shared" si="47"/>
        <v>0</v>
      </c>
      <c r="AH118" s="55">
        <f t="shared" si="47"/>
        <v>0</v>
      </c>
      <c r="AI118" s="55">
        <f t="shared" si="47"/>
        <v>0</v>
      </c>
      <c r="AJ118" s="55">
        <f t="shared" si="47"/>
        <v>0</v>
      </c>
      <c r="AK118" s="55">
        <f t="shared" si="47"/>
        <v>0</v>
      </c>
      <c r="AL118" s="55">
        <f t="shared" si="47"/>
        <v>0</v>
      </c>
      <c r="AM118" s="55">
        <f t="shared" si="47"/>
        <v>0</v>
      </c>
      <c r="AN118" s="55">
        <f t="shared" si="47"/>
        <v>0</v>
      </c>
      <c r="AO118" s="55">
        <f t="shared" si="47"/>
        <v>0</v>
      </c>
      <c r="AP118" s="55">
        <f t="shared" si="47"/>
        <v>0</v>
      </c>
      <c r="AQ118" s="55">
        <f t="shared" si="47"/>
        <v>0</v>
      </c>
      <c r="AR118" s="55">
        <f t="shared" si="47"/>
        <v>0</v>
      </c>
      <c r="AS118" s="55">
        <f t="shared" si="47"/>
        <v>0</v>
      </c>
      <c r="AT118" s="55">
        <f t="shared" si="47"/>
        <v>0</v>
      </c>
      <c r="AU118" s="55">
        <f t="shared" si="47"/>
        <v>0</v>
      </c>
      <c r="AV118" s="55">
        <f t="shared" si="47"/>
        <v>0</v>
      </c>
      <c r="AW118" s="55">
        <f t="shared" si="47"/>
        <v>0</v>
      </c>
      <c r="AX118" s="55">
        <f t="shared" si="47"/>
        <v>0</v>
      </c>
      <c r="AY118" s="55">
        <f t="shared" si="47"/>
        <v>0</v>
      </c>
      <c r="AZ118" s="55">
        <f t="shared" si="47"/>
        <v>0</v>
      </c>
      <c r="BA118" s="55">
        <f t="shared" si="47"/>
        <v>0</v>
      </c>
      <c r="BB118" s="55">
        <f t="shared" si="47"/>
        <v>0</v>
      </c>
      <c r="BC118" s="55">
        <f t="shared" si="47"/>
        <v>0</v>
      </c>
      <c r="BD118" s="55">
        <f t="shared" si="47"/>
        <v>0</v>
      </c>
      <c r="BE118" s="55">
        <f t="shared" si="47"/>
        <v>0</v>
      </c>
      <c r="BF118" s="55">
        <f t="shared" si="47"/>
        <v>0</v>
      </c>
      <c r="BG118" s="55">
        <f t="shared" si="47"/>
        <v>0</v>
      </c>
      <c r="BH118" s="55">
        <f t="shared" si="47"/>
        <v>0</v>
      </c>
      <c r="BI118" s="55">
        <f t="shared" si="47"/>
        <v>0</v>
      </c>
      <c r="BJ118" s="55">
        <f t="shared" si="47"/>
        <v>0</v>
      </c>
      <c r="CK118" s="11"/>
      <c r="CL118" s="221">
        <f t="shared" si="17"/>
        <v>0</v>
      </c>
      <c r="CM118" s="11"/>
      <c r="CN118" s="7">
        <f t="shared" si="18"/>
        <v>0</v>
      </c>
      <c r="CO118" s="7">
        <f t="shared" si="19"/>
        <v>0</v>
      </c>
      <c r="CP118" s="7">
        <f t="shared" si="20"/>
        <v>0</v>
      </c>
      <c r="CR118" s="35"/>
      <c r="EY118" s="12" t="str">
        <f t="shared" si="21"/>
        <v/>
      </c>
    </row>
    <row r="119" spans="1:155" x14ac:dyDescent="0.35">
      <c r="A119" s="220" cm="1">
        <f t="array" aca="1" ref="A119" ca="1">HYPERLINK(CONCATENATE("#",CELL("address",IF(MAX($CM119:$CR119)=0,A119,INDEX($CM119:$CR119,MATCH(1,$CM119:$CR119,0))))),MAX($CM119:$CR119))</f>
        <v>0</v>
      </c>
      <c r="D119" s="10">
        <f t="shared" si="27"/>
        <v>0</v>
      </c>
      <c r="H119" s="9"/>
      <c r="AA119" s="134">
        <f t="shared" ref="AA119:BJ119" si="48">IF(SUMIFS($AA32:$BJ32, $AA$3:$BJ$3, AA$3, $AA$4:$BJ$4, 1)=0, 0,(AA32/SUMIFS($AA32:$BJ32, $AA$3:$BJ$3, AA$3, $AA$4:$BJ$4, 1))*AA$4)</f>
        <v>0</v>
      </c>
      <c r="AB119" s="55">
        <f t="shared" si="48"/>
        <v>0</v>
      </c>
      <c r="AC119" s="55">
        <f t="shared" si="48"/>
        <v>0</v>
      </c>
      <c r="AD119" s="55">
        <f t="shared" si="48"/>
        <v>0</v>
      </c>
      <c r="AE119" s="55">
        <f t="shared" si="48"/>
        <v>0</v>
      </c>
      <c r="AF119" s="55">
        <f t="shared" si="48"/>
        <v>0</v>
      </c>
      <c r="AG119" s="55">
        <f t="shared" si="48"/>
        <v>0</v>
      </c>
      <c r="AH119" s="55">
        <f t="shared" si="48"/>
        <v>0</v>
      </c>
      <c r="AI119" s="55">
        <f t="shared" si="48"/>
        <v>0</v>
      </c>
      <c r="AJ119" s="55">
        <f t="shared" si="48"/>
        <v>0</v>
      </c>
      <c r="AK119" s="55">
        <f t="shared" si="48"/>
        <v>0</v>
      </c>
      <c r="AL119" s="55">
        <f t="shared" si="48"/>
        <v>0</v>
      </c>
      <c r="AM119" s="55">
        <f t="shared" si="48"/>
        <v>0</v>
      </c>
      <c r="AN119" s="55">
        <f t="shared" si="48"/>
        <v>0</v>
      </c>
      <c r="AO119" s="55">
        <f t="shared" si="48"/>
        <v>0</v>
      </c>
      <c r="AP119" s="55">
        <f t="shared" si="48"/>
        <v>0</v>
      </c>
      <c r="AQ119" s="55">
        <f t="shared" si="48"/>
        <v>0</v>
      </c>
      <c r="AR119" s="55">
        <f t="shared" si="48"/>
        <v>0</v>
      </c>
      <c r="AS119" s="55">
        <f t="shared" si="48"/>
        <v>0</v>
      </c>
      <c r="AT119" s="55">
        <f t="shared" si="48"/>
        <v>0</v>
      </c>
      <c r="AU119" s="55">
        <f t="shared" si="48"/>
        <v>0</v>
      </c>
      <c r="AV119" s="55">
        <f t="shared" si="48"/>
        <v>0</v>
      </c>
      <c r="AW119" s="55">
        <f t="shared" si="48"/>
        <v>0</v>
      </c>
      <c r="AX119" s="55">
        <f t="shared" si="48"/>
        <v>0</v>
      </c>
      <c r="AY119" s="55">
        <f t="shared" si="48"/>
        <v>0</v>
      </c>
      <c r="AZ119" s="55">
        <f t="shared" si="48"/>
        <v>0</v>
      </c>
      <c r="BA119" s="55">
        <f t="shared" si="48"/>
        <v>0</v>
      </c>
      <c r="BB119" s="55">
        <f t="shared" si="48"/>
        <v>0</v>
      </c>
      <c r="BC119" s="55">
        <f t="shared" si="48"/>
        <v>0</v>
      </c>
      <c r="BD119" s="55">
        <f t="shared" si="48"/>
        <v>0</v>
      </c>
      <c r="BE119" s="55">
        <f t="shared" si="48"/>
        <v>0</v>
      </c>
      <c r="BF119" s="55">
        <f t="shared" si="48"/>
        <v>0</v>
      </c>
      <c r="BG119" s="55">
        <f t="shared" si="48"/>
        <v>0</v>
      </c>
      <c r="BH119" s="55">
        <f t="shared" si="48"/>
        <v>0</v>
      </c>
      <c r="BI119" s="55">
        <f t="shared" si="48"/>
        <v>0</v>
      </c>
      <c r="BJ119" s="55">
        <f t="shared" si="48"/>
        <v>0</v>
      </c>
      <c r="CK119" s="11"/>
      <c r="CL119" s="221">
        <f t="shared" si="17"/>
        <v>0</v>
      </c>
      <c r="CM119" s="11"/>
      <c r="CN119" s="7">
        <f t="shared" si="18"/>
        <v>0</v>
      </c>
      <c r="CO119" s="7">
        <f t="shared" si="19"/>
        <v>0</v>
      </c>
      <c r="CP119" s="7">
        <f t="shared" si="20"/>
        <v>0</v>
      </c>
      <c r="CR119" s="35"/>
      <c r="EY119" s="12" t="str">
        <f t="shared" si="21"/>
        <v/>
      </c>
    </row>
    <row r="120" spans="1:155" x14ac:dyDescent="0.35">
      <c r="A120" s="220" cm="1">
        <f t="array" aca="1" ref="A120" ca="1">HYPERLINK(CONCATENATE("#",CELL("address",IF(MAX($CM120:$CR120)=0,A120,INDEX($CM120:$CR120,MATCH(1,$CM120:$CR120,0))))),MAX($CM120:$CR120))</f>
        <v>0</v>
      </c>
      <c r="D120" s="10">
        <f t="shared" si="27"/>
        <v>0</v>
      </c>
      <c r="H120" s="9"/>
      <c r="AA120" s="134">
        <f t="shared" ref="AA120:BJ120" si="49">IF(SUMIFS($AA33:$BJ33, $AA$3:$BJ$3, AA$3, $AA$4:$BJ$4, 1)=0, 0,(AA33/SUMIFS($AA33:$BJ33, $AA$3:$BJ$3, AA$3, $AA$4:$BJ$4, 1))*AA$4)</f>
        <v>0</v>
      </c>
      <c r="AB120" s="55">
        <f t="shared" si="49"/>
        <v>0</v>
      </c>
      <c r="AC120" s="55">
        <f t="shared" si="49"/>
        <v>0</v>
      </c>
      <c r="AD120" s="55">
        <f t="shared" si="49"/>
        <v>0</v>
      </c>
      <c r="AE120" s="55">
        <f t="shared" si="49"/>
        <v>0</v>
      </c>
      <c r="AF120" s="55">
        <f t="shared" si="49"/>
        <v>0</v>
      </c>
      <c r="AG120" s="55">
        <f t="shared" si="49"/>
        <v>0</v>
      </c>
      <c r="AH120" s="55">
        <f t="shared" si="49"/>
        <v>0</v>
      </c>
      <c r="AI120" s="55">
        <f t="shared" si="49"/>
        <v>0</v>
      </c>
      <c r="AJ120" s="55">
        <f t="shared" si="49"/>
        <v>0</v>
      </c>
      <c r="AK120" s="55">
        <f t="shared" si="49"/>
        <v>0</v>
      </c>
      <c r="AL120" s="55">
        <f t="shared" si="49"/>
        <v>0</v>
      </c>
      <c r="AM120" s="55">
        <f t="shared" si="49"/>
        <v>0</v>
      </c>
      <c r="AN120" s="55">
        <f t="shared" si="49"/>
        <v>0</v>
      </c>
      <c r="AO120" s="55">
        <f t="shared" si="49"/>
        <v>0</v>
      </c>
      <c r="AP120" s="55">
        <f t="shared" si="49"/>
        <v>0</v>
      </c>
      <c r="AQ120" s="55">
        <f t="shared" si="49"/>
        <v>0</v>
      </c>
      <c r="AR120" s="55">
        <f t="shared" si="49"/>
        <v>0</v>
      </c>
      <c r="AS120" s="55">
        <f t="shared" si="49"/>
        <v>0</v>
      </c>
      <c r="AT120" s="55">
        <f t="shared" si="49"/>
        <v>0</v>
      </c>
      <c r="AU120" s="55">
        <f t="shared" si="49"/>
        <v>0</v>
      </c>
      <c r="AV120" s="55">
        <f t="shared" si="49"/>
        <v>0</v>
      </c>
      <c r="AW120" s="55">
        <f t="shared" si="49"/>
        <v>0</v>
      </c>
      <c r="AX120" s="55">
        <f t="shared" si="49"/>
        <v>0</v>
      </c>
      <c r="AY120" s="55">
        <f t="shared" si="49"/>
        <v>0</v>
      </c>
      <c r="AZ120" s="55">
        <f t="shared" si="49"/>
        <v>0</v>
      </c>
      <c r="BA120" s="55">
        <f t="shared" si="49"/>
        <v>0</v>
      </c>
      <c r="BB120" s="55">
        <f t="shared" si="49"/>
        <v>0</v>
      </c>
      <c r="BC120" s="55">
        <f t="shared" si="49"/>
        <v>0</v>
      </c>
      <c r="BD120" s="55">
        <f t="shared" si="49"/>
        <v>0</v>
      </c>
      <c r="BE120" s="55">
        <f t="shared" si="49"/>
        <v>0</v>
      </c>
      <c r="BF120" s="55">
        <f t="shared" si="49"/>
        <v>0</v>
      </c>
      <c r="BG120" s="55">
        <f t="shared" si="49"/>
        <v>0</v>
      </c>
      <c r="BH120" s="55">
        <f t="shared" si="49"/>
        <v>0</v>
      </c>
      <c r="BI120" s="55">
        <f t="shared" si="49"/>
        <v>0</v>
      </c>
      <c r="BJ120" s="55">
        <f t="shared" si="49"/>
        <v>0</v>
      </c>
      <c r="CK120" s="11"/>
      <c r="CL120" s="221">
        <f t="shared" si="17"/>
        <v>0</v>
      </c>
      <c r="CM120" s="11"/>
      <c r="CN120" s="7">
        <f t="shared" si="18"/>
        <v>0</v>
      </c>
      <c r="CO120" s="7">
        <f t="shared" si="19"/>
        <v>0</v>
      </c>
      <c r="CP120" s="7">
        <f t="shared" si="20"/>
        <v>0</v>
      </c>
      <c r="CR120" s="35"/>
      <c r="EY120" s="12" t="str">
        <f t="shared" si="21"/>
        <v/>
      </c>
    </row>
    <row r="121" spans="1:155" x14ac:dyDescent="0.35">
      <c r="A121" s="220" cm="1">
        <f t="array" aca="1" ref="A121" ca="1">HYPERLINK(CONCATENATE("#",CELL("address",IF(MAX($CM121:$CR121)=0,A121,INDEX($CM121:$CR121,MATCH(1,$CM121:$CR121,0))))),MAX($CM121:$CR121))</f>
        <v>0</v>
      </c>
      <c r="D121" s="10">
        <f t="shared" si="27"/>
        <v>0</v>
      </c>
      <c r="H121" s="9"/>
      <c r="AA121" s="134">
        <f t="shared" ref="AA121:BJ121" si="50">IF(SUMIFS($AA34:$BJ34, $AA$3:$BJ$3, AA$3, $AA$4:$BJ$4, 1)=0, 0,(AA34/SUMIFS($AA34:$BJ34, $AA$3:$BJ$3, AA$3, $AA$4:$BJ$4, 1))*AA$4)</f>
        <v>0</v>
      </c>
      <c r="AB121" s="55">
        <f t="shared" si="50"/>
        <v>0</v>
      </c>
      <c r="AC121" s="55">
        <f t="shared" si="50"/>
        <v>0</v>
      </c>
      <c r="AD121" s="55">
        <f t="shared" si="50"/>
        <v>0</v>
      </c>
      <c r="AE121" s="55">
        <f t="shared" si="50"/>
        <v>0</v>
      </c>
      <c r="AF121" s="55">
        <f t="shared" si="50"/>
        <v>0</v>
      </c>
      <c r="AG121" s="55">
        <f t="shared" si="50"/>
        <v>0</v>
      </c>
      <c r="AH121" s="55">
        <f t="shared" si="50"/>
        <v>0</v>
      </c>
      <c r="AI121" s="55">
        <f t="shared" si="50"/>
        <v>0</v>
      </c>
      <c r="AJ121" s="55">
        <f t="shared" si="50"/>
        <v>0</v>
      </c>
      <c r="AK121" s="55">
        <f t="shared" si="50"/>
        <v>0</v>
      </c>
      <c r="AL121" s="55">
        <f t="shared" si="50"/>
        <v>0</v>
      </c>
      <c r="AM121" s="55">
        <f t="shared" si="50"/>
        <v>0</v>
      </c>
      <c r="AN121" s="55">
        <f t="shared" si="50"/>
        <v>0</v>
      </c>
      <c r="AO121" s="55">
        <f t="shared" si="50"/>
        <v>0</v>
      </c>
      <c r="AP121" s="55">
        <f t="shared" si="50"/>
        <v>0</v>
      </c>
      <c r="AQ121" s="55">
        <f t="shared" si="50"/>
        <v>0</v>
      </c>
      <c r="AR121" s="55">
        <f t="shared" si="50"/>
        <v>0</v>
      </c>
      <c r="AS121" s="55">
        <f t="shared" si="50"/>
        <v>0</v>
      </c>
      <c r="AT121" s="55">
        <f t="shared" si="50"/>
        <v>0</v>
      </c>
      <c r="AU121" s="55">
        <f t="shared" si="50"/>
        <v>0</v>
      </c>
      <c r="AV121" s="55">
        <f t="shared" si="50"/>
        <v>0</v>
      </c>
      <c r="AW121" s="55">
        <f t="shared" si="50"/>
        <v>0</v>
      </c>
      <c r="AX121" s="55">
        <f t="shared" si="50"/>
        <v>0</v>
      </c>
      <c r="AY121" s="55">
        <f t="shared" si="50"/>
        <v>0</v>
      </c>
      <c r="AZ121" s="55">
        <f t="shared" si="50"/>
        <v>0</v>
      </c>
      <c r="BA121" s="55">
        <f t="shared" si="50"/>
        <v>0</v>
      </c>
      <c r="BB121" s="55">
        <f t="shared" si="50"/>
        <v>0</v>
      </c>
      <c r="BC121" s="55">
        <f t="shared" si="50"/>
        <v>0</v>
      </c>
      <c r="BD121" s="55">
        <f t="shared" si="50"/>
        <v>0</v>
      </c>
      <c r="BE121" s="55">
        <f t="shared" si="50"/>
        <v>0</v>
      </c>
      <c r="BF121" s="55">
        <f t="shared" si="50"/>
        <v>0</v>
      </c>
      <c r="BG121" s="55">
        <f t="shared" si="50"/>
        <v>0</v>
      </c>
      <c r="BH121" s="55">
        <f t="shared" si="50"/>
        <v>0</v>
      </c>
      <c r="BI121" s="55">
        <f t="shared" si="50"/>
        <v>0</v>
      </c>
      <c r="BJ121" s="55">
        <f t="shared" si="50"/>
        <v>0</v>
      </c>
      <c r="CK121" s="11"/>
      <c r="CL121" s="221">
        <f t="shared" si="17"/>
        <v>0</v>
      </c>
      <c r="CM121" s="11"/>
      <c r="CN121" s="7">
        <f t="shared" si="18"/>
        <v>0</v>
      </c>
      <c r="CO121" s="7">
        <f t="shared" si="19"/>
        <v>0</v>
      </c>
      <c r="CP121" s="7">
        <f t="shared" si="20"/>
        <v>0</v>
      </c>
      <c r="CR121" s="35"/>
      <c r="EY121" s="12" t="str">
        <f t="shared" si="21"/>
        <v/>
      </c>
    </row>
    <row r="122" spans="1:155" x14ac:dyDescent="0.35">
      <c r="A122" s="220" cm="1">
        <f t="array" aca="1" ref="A122" ca="1">HYPERLINK(CONCATENATE("#",CELL("address",IF(MAX($CM122:$CR122)=0,A122,INDEX($CM122:$CR122,MATCH(1,$CM122:$CR122,0))))),MAX($CM122:$CR122))</f>
        <v>0</v>
      </c>
      <c r="D122" s="10">
        <f t="shared" si="27"/>
        <v>0</v>
      </c>
      <c r="H122" s="9"/>
      <c r="AA122" s="134">
        <f t="shared" ref="AA122:BJ122" si="51">IF(SUMIFS($AA35:$BJ35, $AA$3:$BJ$3, AA$3, $AA$4:$BJ$4, 1)=0, 0,(AA35/SUMIFS($AA35:$BJ35, $AA$3:$BJ$3, AA$3, $AA$4:$BJ$4, 1))*AA$4)</f>
        <v>0</v>
      </c>
      <c r="AB122" s="55">
        <f t="shared" si="51"/>
        <v>0</v>
      </c>
      <c r="AC122" s="55">
        <f t="shared" si="51"/>
        <v>0</v>
      </c>
      <c r="AD122" s="55">
        <f t="shared" si="51"/>
        <v>0</v>
      </c>
      <c r="AE122" s="55">
        <f t="shared" si="51"/>
        <v>0</v>
      </c>
      <c r="AF122" s="55">
        <f t="shared" si="51"/>
        <v>0</v>
      </c>
      <c r="AG122" s="55">
        <f t="shared" si="51"/>
        <v>0</v>
      </c>
      <c r="AH122" s="55">
        <f t="shared" si="51"/>
        <v>0</v>
      </c>
      <c r="AI122" s="55">
        <f t="shared" si="51"/>
        <v>0</v>
      </c>
      <c r="AJ122" s="55">
        <f t="shared" si="51"/>
        <v>0</v>
      </c>
      <c r="AK122" s="55">
        <f t="shared" si="51"/>
        <v>0</v>
      </c>
      <c r="AL122" s="55">
        <f t="shared" si="51"/>
        <v>0</v>
      </c>
      <c r="AM122" s="55">
        <f t="shared" si="51"/>
        <v>0</v>
      </c>
      <c r="AN122" s="55">
        <f t="shared" si="51"/>
        <v>0</v>
      </c>
      <c r="AO122" s="55">
        <f t="shared" si="51"/>
        <v>0</v>
      </c>
      <c r="AP122" s="55">
        <f t="shared" si="51"/>
        <v>0</v>
      </c>
      <c r="AQ122" s="55">
        <f t="shared" si="51"/>
        <v>0</v>
      </c>
      <c r="AR122" s="55">
        <f t="shared" si="51"/>
        <v>0</v>
      </c>
      <c r="AS122" s="55">
        <f t="shared" si="51"/>
        <v>0</v>
      </c>
      <c r="AT122" s="55">
        <f t="shared" si="51"/>
        <v>0</v>
      </c>
      <c r="AU122" s="55">
        <f t="shared" si="51"/>
        <v>0</v>
      </c>
      <c r="AV122" s="55">
        <f t="shared" si="51"/>
        <v>0</v>
      </c>
      <c r="AW122" s="55">
        <f t="shared" si="51"/>
        <v>0</v>
      </c>
      <c r="AX122" s="55">
        <f t="shared" si="51"/>
        <v>0</v>
      </c>
      <c r="AY122" s="55">
        <f t="shared" si="51"/>
        <v>0</v>
      </c>
      <c r="AZ122" s="55">
        <f t="shared" si="51"/>
        <v>0</v>
      </c>
      <c r="BA122" s="55">
        <f t="shared" si="51"/>
        <v>0</v>
      </c>
      <c r="BB122" s="55">
        <f t="shared" si="51"/>
        <v>0</v>
      </c>
      <c r="BC122" s="55">
        <f t="shared" si="51"/>
        <v>0</v>
      </c>
      <c r="BD122" s="55">
        <f t="shared" si="51"/>
        <v>0</v>
      </c>
      <c r="BE122" s="55">
        <f t="shared" si="51"/>
        <v>0</v>
      </c>
      <c r="BF122" s="55">
        <f t="shared" si="51"/>
        <v>0</v>
      </c>
      <c r="BG122" s="55">
        <f t="shared" si="51"/>
        <v>0</v>
      </c>
      <c r="BH122" s="55">
        <f t="shared" si="51"/>
        <v>0</v>
      </c>
      <c r="BI122" s="55">
        <f t="shared" si="51"/>
        <v>0</v>
      </c>
      <c r="BJ122" s="55">
        <f t="shared" si="51"/>
        <v>0</v>
      </c>
      <c r="CK122" s="11"/>
      <c r="CL122" s="221">
        <f t="shared" si="17"/>
        <v>0</v>
      </c>
      <c r="CM122" s="11"/>
      <c r="CN122" s="7">
        <f t="shared" si="18"/>
        <v>0</v>
      </c>
      <c r="CO122" s="7">
        <f t="shared" si="19"/>
        <v>0</v>
      </c>
      <c r="CP122" s="7">
        <f t="shared" si="20"/>
        <v>0</v>
      </c>
      <c r="CR122" s="35"/>
      <c r="EY122" s="12" t="str">
        <f t="shared" si="21"/>
        <v/>
      </c>
    </row>
    <row r="123" spans="1:155" x14ac:dyDescent="0.35">
      <c r="A123" s="220" cm="1">
        <f t="array" aca="1" ref="A123" ca="1">HYPERLINK(CONCATENATE("#",CELL("address",IF(MAX($CM123:$CR123)=0,A123,INDEX($CM123:$CR123,MATCH(1,$CM123:$CR123,0))))),MAX($CM123:$CR123))</f>
        <v>0</v>
      </c>
      <c r="D123" s="10">
        <f t="shared" si="27"/>
        <v>0</v>
      </c>
      <c r="H123" s="9"/>
      <c r="AA123" s="134">
        <f t="shared" ref="AA123:BJ123" si="52">IF(SUMIFS($AA36:$BJ36, $AA$3:$BJ$3, AA$3, $AA$4:$BJ$4, 1)=0, 0,(AA36/SUMIFS($AA36:$BJ36, $AA$3:$BJ$3, AA$3, $AA$4:$BJ$4, 1))*AA$4)</f>
        <v>0</v>
      </c>
      <c r="AB123" s="55">
        <f t="shared" si="52"/>
        <v>0</v>
      </c>
      <c r="AC123" s="55">
        <f t="shared" si="52"/>
        <v>0</v>
      </c>
      <c r="AD123" s="55">
        <f t="shared" si="52"/>
        <v>0</v>
      </c>
      <c r="AE123" s="55">
        <f t="shared" si="52"/>
        <v>0</v>
      </c>
      <c r="AF123" s="55">
        <f t="shared" si="52"/>
        <v>0</v>
      </c>
      <c r="AG123" s="55">
        <f t="shared" si="52"/>
        <v>0</v>
      </c>
      <c r="AH123" s="55">
        <f t="shared" si="52"/>
        <v>0</v>
      </c>
      <c r="AI123" s="55">
        <f t="shared" si="52"/>
        <v>0</v>
      </c>
      <c r="AJ123" s="55">
        <f t="shared" si="52"/>
        <v>0</v>
      </c>
      <c r="AK123" s="55">
        <f t="shared" si="52"/>
        <v>0</v>
      </c>
      <c r="AL123" s="55">
        <f t="shared" si="52"/>
        <v>0</v>
      </c>
      <c r="AM123" s="55">
        <f t="shared" si="52"/>
        <v>0</v>
      </c>
      <c r="AN123" s="55">
        <f t="shared" si="52"/>
        <v>0</v>
      </c>
      <c r="AO123" s="55">
        <f t="shared" si="52"/>
        <v>0</v>
      </c>
      <c r="AP123" s="55">
        <f t="shared" si="52"/>
        <v>0</v>
      </c>
      <c r="AQ123" s="55">
        <f t="shared" si="52"/>
        <v>0</v>
      </c>
      <c r="AR123" s="55">
        <f t="shared" si="52"/>
        <v>0</v>
      </c>
      <c r="AS123" s="55">
        <f t="shared" si="52"/>
        <v>0</v>
      </c>
      <c r="AT123" s="55">
        <f t="shared" si="52"/>
        <v>0</v>
      </c>
      <c r="AU123" s="55">
        <f t="shared" si="52"/>
        <v>0</v>
      </c>
      <c r="AV123" s="55">
        <f t="shared" si="52"/>
        <v>0</v>
      </c>
      <c r="AW123" s="55">
        <f t="shared" si="52"/>
        <v>0</v>
      </c>
      <c r="AX123" s="55">
        <f t="shared" si="52"/>
        <v>0</v>
      </c>
      <c r="AY123" s="55">
        <f t="shared" si="52"/>
        <v>0</v>
      </c>
      <c r="AZ123" s="55">
        <f t="shared" si="52"/>
        <v>0</v>
      </c>
      <c r="BA123" s="55">
        <f t="shared" si="52"/>
        <v>0</v>
      </c>
      <c r="BB123" s="55">
        <f t="shared" si="52"/>
        <v>0</v>
      </c>
      <c r="BC123" s="55">
        <f t="shared" si="52"/>
        <v>0</v>
      </c>
      <c r="BD123" s="55">
        <f t="shared" si="52"/>
        <v>0</v>
      </c>
      <c r="BE123" s="55">
        <f t="shared" si="52"/>
        <v>0</v>
      </c>
      <c r="BF123" s="55">
        <f t="shared" si="52"/>
        <v>0</v>
      </c>
      <c r="BG123" s="55">
        <f t="shared" si="52"/>
        <v>0</v>
      </c>
      <c r="BH123" s="55">
        <f t="shared" si="52"/>
        <v>0</v>
      </c>
      <c r="BI123" s="55">
        <f t="shared" si="52"/>
        <v>0</v>
      </c>
      <c r="BJ123" s="55">
        <f t="shared" si="52"/>
        <v>0</v>
      </c>
      <c r="CK123" s="11"/>
      <c r="CL123" s="221">
        <f t="shared" si="17"/>
        <v>0</v>
      </c>
      <c r="CM123" s="11"/>
      <c r="CN123" s="7">
        <f t="shared" si="18"/>
        <v>0</v>
      </c>
      <c r="CO123" s="7">
        <f t="shared" si="19"/>
        <v>0</v>
      </c>
      <c r="CP123" s="7">
        <f t="shared" si="20"/>
        <v>0</v>
      </c>
      <c r="CR123" s="35"/>
      <c r="EY123" s="12" t="str">
        <f t="shared" si="21"/>
        <v/>
      </c>
    </row>
    <row r="124" spans="1:155" x14ac:dyDescent="0.35">
      <c r="A124" s="220" cm="1">
        <f t="array" aca="1" ref="A124" ca="1">HYPERLINK(CONCATENATE("#",CELL("address",IF(MAX($CM124:$CR124)=0,A124,INDEX($CM124:$CR124,MATCH(1,$CM124:$CR124,0))))),MAX($CM124:$CR124))</f>
        <v>0</v>
      </c>
      <c r="D124" s="10">
        <f t="shared" si="27"/>
        <v>0</v>
      </c>
      <c r="H124" s="9"/>
      <c r="AA124" s="134">
        <f t="shared" ref="AA124:BJ124" si="53">IF(SUMIFS($AA37:$BJ37, $AA$3:$BJ$3, AA$3, $AA$4:$BJ$4, 1)=0, 0,(AA37/SUMIFS($AA37:$BJ37, $AA$3:$BJ$3, AA$3, $AA$4:$BJ$4, 1))*AA$4)</f>
        <v>0</v>
      </c>
      <c r="AB124" s="55">
        <f t="shared" si="53"/>
        <v>0</v>
      </c>
      <c r="AC124" s="55">
        <f t="shared" si="53"/>
        <v>0</v>
      </c>
      <c r="AD124" s="55">
        <f t="shared" si="53"/>
        <v>0</v>
      </c>
      <c r="AE124" s="55">
        <f t="shared" si="53"/>
        <v>0</v>
      </c>
      <c r="AF124" s="55">
        <f t="shared" si="53"/>
        <v>0</v>
      </c>
      <c r="AG124" s="55">
        <f t="shared" si="53"/>
        <v>0</v>
      </c>
      <c r="AH124" s="55">
        <f t="shared" si="53"/>
        <v>0</v>
      </c>
      <c r="AI124" s="55">
        <f t="shared" si="53"/>
        <v>0</v>
      </c>
      <c r="AJ124" s="55">
        <f t="shared" si="53"/>
        <v>0</v>
      </c>
      <c r="AK124" s="55">
        <f t="shared" si="53"/>
        <v>0</v>
      </c>
      <c r="AL124" s="55">
        <f t="shared" si="53"/>
        <v>0</v>
      </c>
      <c r="AM124" s="55">
        <f t="shared" si="53"/>
        <v>0</v>
      </c>
      <c r="AN124" s="55">
        <f t="shared" si="53"/>
        <v>0</v>
      </c>
      <c r="AO124" s="55">
        <f t="shared" si="53"/>
        <v>0</v>
      </c>
      <c r="AP124" s="55">
        <f t="shared" si="53"/>
        <v>0</v>
      </c>
      <c r="AQ124" s="55">
        <f t="shared" si="53"/>
        <v>0</v>
      </c>
      <c r="AR124" s="55">
        <f t="shared" si="53"/>
        <v>0</v>
      </c>
      <c r="AS124" s="55">
        <f t="shared" si="53"/>
        <v>0</v>
      </c>
      <c r="AT124" s="55">
        <f t="shared" si="53"/>
        <v>0</v>
      </c>
      <c r="AU124" s="55">
        <f t="shared" si="53"/>
        <v>0</v>
      </c>
      <c r="AV124" s="55">
        <f t="shared" si="53"/>
        <v>0</v>
      </c>
      <c r="AW124" s="55">
        <f t="shared" si="53"/>
        <v>0</v>
      </c>
      <c r="AX124" s="55">
        <f t="shared" si="53"/>
        <v>0</v>
      </c>
      <c r="AY124" s="55">
        <f t="shared" si="53"/>
        <v>0</v>
      </c>
      <c r="AZ124" s="55">
        <f t="shared" si="53"/>
        <v>0</v>
      </c>
      <c r="BA124" s="55">
        <f t="shared" si="53"/>
        <v>0</v>
      </c>
      <c r="BB124" s="55">
        <f t="shared" si="53"/>
        <v>0</v>
      </c>
      <c r="BC124" s="55">
        <f t="shared" si="53"/>
        <v>0</v>
      </c>
      <c r="BD124" s="55">
        <f t="shared" si="53"/>
        <v>0</v>
      </c>
      <c r="BE124" s="55">
        <f t="shared" si="53"/>
        <v>0</v>
      </c>
      <c r="BF124" s="55">
        <f t="shared" si="53"/>
        <v>0</v>
      </c>
      <c r="BG124" s="55">
        <f t="shared" si="53"/>
        <v>0</v>
      </c>
      <c r="BH124" s="55">
        <f t="shared" si="53"/>
        <v>0</v>
      </c>
      <c r="BI124" s="55">
        <f t="shared" si="53"/>
        <v>0</v>
      </c>
      <c r="BJ124" s="55">
        <f t="shared" si="53"/>
        <v>0</v>
      </c>
      <c r="CK124" s="11"/>
      <c r="CL124" s="221">
        <f t="shared" si="17"/>
        <v>0</v>
      </c>
      <c r="CM124" s="11"/>
      <c r="CN124" s="7">
        <f t="shared" si="18"/>
        <v>0</v>
      </c>
      <c r="CO124" s="7">
        <f t="shared" si="19"/>
        <v>0</v>
      </c>
      <c r="CP124" s="7">
        <f t="shared" si="20"/>
        <v>0</v>
      </c>
      <c r="CR124" s="35"/>
      <c r="EY124" s="12" t="str">
        <f t="shared" si="21"/>
        <v/>
      </c>
    </row>
    <row r="125" spans="1:155" x14ac:dyDescent="0.35">
      <c r="A125" s="220" cm="1">
        <f t="array" aca="1" ref="A125" ca="1">HYPERLINK(CONCATENATE("#",CELL("address",IF(MAX($CM125:$CR125)=0,A125,INDEX($CM125:$CR125,MATCH(1,$CM125:$CR125,0))))),MAX($CM125:$CR125))</f>
        <v>0</v>
      </c>
      <c r="D125" s="10">
        <f t="shared" si="27"/>
        <v>0</v>
      </c>
      <c r="H125" s="9"/>
      <c r="AA125" s="134">
        <f t="shared" ref="AA125:BJ125" si="54">IF(SUMIFS($AA38:$BJ38, $AA$3:$BJ$3, AA$3, $AA$4:$BJ$4, 1)=0, 0,(AA38/SUMIFS($AA38:$BJ38, $AA$3:$BJ$3, AA$3, $AA$4:$BJ$4, 1))*AA$4)</f>
        <v>0</v>
      </c>
      <c r="AB125" s="55">
        <f t="shared" si="54"/>
        <v>0</v>
      </c>
      <c r="AC125" s="55">
        <f t="shared" si="54"/>
        <v>0</v>
      </c>
      <c r="AD125" s="55">
        <f t="shared" si="54"/>
        <v>0</v>
      </c>
      <c r="AE125" s="55">
        <f t="shared" si="54"/>
        <v>0</v>
      </c>
      <c r="AF125" s="55">
        <f t="shared" si="54"/>
        <v>0</v>
      </c>
      <c r="AG125" s="55">
        <f t="shared" si="54"/>
        <v>0</v>
      </c>
      <c r="AH125" s="55">
        <f t="shared" si="54"/>
        <v>0</v>
      </c>
      <c r="AI125" s="55">
        <f t="shared" si="54"/>
        <v>0</v>
      </c>
      <c r="AJ125" s="55">
        <f t="shared" si="54"/>
        <v>0</v>
      </c>
      <c r="AK125" s="55">
        <f t="shared" si="54"/>
        <v>0</v>
      </c>
      <c r="AL125" s="55">
        <f t="shared" si="54"/>
        <v>0</v>
      </c>
      <c r="AM125" s="55">
        <f t="shared" si="54"/>
        <v>0</v>
      </c>
      <c r="AN125" s="55">
        <f t="shared" si="54"/>
        <v>0</v>
      </c>
      <c r="AO125" s="55">
        <f t="shared" si="54"/>
        <v>0</v>
      </c>
      <c r="AP125" s="55">
        <f t="shared" si="54"/>
        <v>0</v>
      </c>
      <c r="AQ125" s="55">
        <f t="shared" si="54"/>
        <v>0</v>
      </c>
      <c r="AR125" s="55">
        <f t="shared" si="54"/>
        <v>0</v>
      </c>
      <c r="AS125" s="55">
        <f t="shared" si="54"/>
        <v>0</v>
      </c>
      <c r="AT125" s="55">
        <f t="shared" si="54"/>
        <v>0</v>
      </c>
      <c r="AU125" s="55">
        <f t="shared" si="54"/>
        <v>0</v>
      </c>
      <c r="AV125" s="55">
        <f t="shared" si="54"/>
        <v>0</v>
      </c>
      <c r="AW125" s="55">
        <f t="shared" si="54"/>
        <v>0</v>
      </c>
      <c r="AX125" s="55">
        <f t="shared" si="54"/>
        <v>0</v>
      </c>
      <c r="AY125" s="55">
        <f t="shared" si="54"/>
        <v>0</v>
      </c>
      <c r="AZ125" s="55">
        <f t="shared" si="54"/>
        <v>0</v>
      </c>
      <c r="BA125" s="55">
        <f t="shared" si="54"/>
        <v>0</v>
      </c>
      <c r="BB125" s="55">
        <f t="shared" si="54"/>
        <v>0</v>
      </c>
      <c r="BC125" s="55">
        <f t="shared" si="54"/>
        <v>0</v>
      </c>
      <c r="BD125" s="55">
        <f t="shared" si="54"/>
        <v>0</v>
      </c>
      <c r="BE125" s="55">
        <f t="shared" si="54"/>
        <v>0</v>
      </c>
      <c r="BF125" s="55">
        <f t="shared" si="54"/>
        <v>0</v>
      </c>
      <c r="BG125" s="55">
        <f t="shared" si="54"/>
        <v>0</v>
      </c>
      <c r="BH125" s="55">
        <f t="shared" si="54"/>
        <v>0</v>
      </c>
      <c r="BI125" s="55">
        <f t="shared" si="54"/>
        <v>0</v>
      </c>
      <c r="BJ125" s="55">
        <f t="shared" si="54"/>
        <v>0</v>
      </c>
      <c r="CK125" s="11"/>
      <c r="CL125" s="221">
        <f t="shared" si="17"/>
        <v>0</v>
      </c>
      <c r="CM125" s="11"/>
      <c r="CN125" s="7">
        <f t="shared" si="18"/>
        <v>0</v>
      </c>
      <c r="CO125" s="7">
        <f t="shared" si="19"/>
        <v>0</v>
      </c>
      <c r="CP125" s="7">
        <f t="shared" si="20"/>
        <v>0</v>
      </c>
      <c r="CR125" s="35"/>
      <c r="EY125" s="10" t="str">
        <f t="shared" ref="EY125:EY156" si="55">IF($C125="","",$D125)</f>
        <v/>
      </c>
    </row>
    <row r="126" spans="1:155" x14ac:dyDescent="0.35">
      <c r="A126" s="220" cm="1">
        <f t="array" aca="1" ref="A126" ca="1">HYPERLINK(CONCATENATE("#",CELL("address",IF(MAX($CM126:$CR126)=0,A126,INDEX($CM126:$CR126,MATCH(1,$CM126:$CR126,0))))),MAX($CM126:$CR126))</f>
        <v>0</v>
      </c>
      <c r="D126" s="10">
        <f t="shared" si="27"/>
        <v>0</v>
      </c>
      <c r="H126" s="9"/>
      <c r="AA126" s="134">
        <f t="shared" ref="AA126:BJ126" si="56">IF(SUMIFS($AA39:$BJ39, $AA$3:$BJ$3, AA$3, $AA$4:$BJ$4, 1)=0, 0,(AA39/SUMIFS($AA39:$BJ39, $AA$3:$BJ$3, AA$3, $AA$4:$BJ$4, 1))*AA$4)</f>
        <v>0</v>
      </c>
      <c r="AB126" s="55">
        <f t="shared" si="56"/>
        <v>0</v>
      </c>
      <c r="AC126" s="55">
        <f t="shared" si="56"/>
        <v>0</v>
      </c>
      <c r="AD126" s="55">
        <f t="shared" si="56"/>
        <v>0</v>
      </c>
      <c r="AE126" s="55">
        <f t="shared" si="56"/>
        <v>0</v>
      </c>
      <c r="AF126" s="55">
        <f t="shared" si="56"/>
        <v>0</v>
      </c>
      <c r="AG126" s="55">
        <f t="shared" si="56"/>
        <v>0</v>
      </c>
      <c r="AH126" s="55">
        <f t="shared" si="56"/>
        <v>0</v>
      </c>
      <c r="AI126" s="55">
        <f t="shared" si="56"/>
        <v>0</v>
      </c>
      <c r="AJ126" s="55">
        <f t="shared" si="56"/>
        <v>0</v>
      </c>
      <c r="AK126" s="55">
        <f t="shared" si="56"/>
        <v>0</v>
      </c>
      <c r="AL126" s="55">
        <f t="shared" si="56"/>
        <v>0</v>
      </c>
      <c r="AM126" s="55">
        <f t="shared" si="56"/>
        <v>0</v>
      </c>
      <c r="AN126" s="55">
        <f t="shared" si="56"/>
        <v>0</v>
      </c>
      <c r="AO126" s="55">
        <f t="shared" si="56"/>
        <v>0</v>
      </c>
      <c r="AP126" s="55">
        <f t="shared" si="56"/>
        <v>0</v>
      </c>
      <c r="AQ126" s="55">
        <f t="shared" si="56"/>
        <v>0</v>
      </c>
      <c r="AR126" s="55">
        <f t="shared" si="56"/>
        <v>0</v>
      </c>
      <c r="AS126" s="55">
        <f t="shared" si="56"/>
        <v>0</v>
      </c>
      <c r="AT126" s="55">
        <f t="shared" si="56"/>
        <v>0</v>
      </c>
      <c r="AU126" s="55">
        <f t="shared" si="56"/>
        <v>0</v>
      </c>
      <c r="AV126" s="55">
        <f t="shared" si="56"/>
        <v>0</v>
      </c>
      <c r="AW126" s="55">
        <f t="shared" si="56"/>
        <v>0</v>
      </c>
      <c r="AX126" s="55">
        <f t="shared" si="56"/>
        <v>0</v>
      </c>
      <c r="AY126" s="55">
        <f t="shared" si="56"/>
        <v>0</v>
      </c>
      <c r="AZ126" s="55">
        <f t="shared" si="56"/>
        <v>0</v>
      </c>
      <c r="BA126" s="55">
        <f t="shared" si="56"/>
        <v>0</v>
      </c>
      <c r="BB126" s="55">
        <f t="shared" si="56"/>
        <v>0</v>
      </c>
      <c r="BC126" s="55">
        <f t="shared" si="56"/>
        <v>0</v>
      </c>
      <c r="BD126" s="55">
        <f t="shared" si="56"/>
        <v>0</v>
      </c>
      <c r="BE126" s="55">
        <f t="shared" si="56"/>
        <v>0</v>
      </c>
      <c r="BF126" s="55">
        <f t="shared" si="56"/>
        <v>0</v>
      </c>
      <c r="BG126" s="55">
        <f t="shared" si="56"/>
        <v>0</v>
      </c>
      <c r="BH126" s="55">
        <f t="shared" si="56"/>
        <v>0</v>
      </c>
      <c r="BI126" s="55">
        <f t="shared" si="56"/>
        <v>0</v>
      </c>
      <c r="BJ126" s="55">
        <f t="shared" si="56"/>
        <v>0</v>
      </c>
      <c r="CK126" s="11"/>
      <c r="CL126" s="221">
        <f t="shared" si="17"/>
        <v>0</v>
      </c>
      <c r="CM126" s="11"/>
      <c r="CN126" s="7">
        <f t="shared" si="18"/>
        <v>0</v>
      </c>
      <c r="CO126" s="7">
        <f t="shared" si="19"/>
        <v>0</v>
      </c>
      <c r="CP126" s="7">
        <f t="shared" si="20"/>
        <v>0</v>
      </c>
      <c r="CR126" s="35"/>
      <c r="EY126" s="10" t="str">
        <f t="shared" si="55"/>
        <v/>
      </c>
    </row>
    <row r="127" spans="1:155" x14ac:dyDescent="0.35">
      <c r="A127" s="220" cm="1">
        <f t="array" aca="1" ref="A127" ca="1">HYPERLINK(CONCATENATE("#",CELL("address",IF(MAX($CM127:$CR127)=0,A127,INDEX($CM127:$CR127,MATCH(1,$CM127:$CR127,0))))),MAX($CM127:$CR127))</f>
        <v>0</v>
      </c>
      <c r="D127" s="10">
        <f t="shared" si="27"/>
        <v>0</v>
      </c>
      <c r="H127" s="9"/>
      <c r="AA127" s="134">
        <f t="shared" ref="AA127:BJ127" si="57">IF(SUMIFS($AA40:$BJ40, $AA$3:$BJ$3, AA$3, $AA$4:$BJ$4, 1)=0, 0,(AA40/SUMIFS($AA40:$BJ40, $AA$3:$BJ$3, AA$3, $AA$4:$BJ$4, 1))*AA$4)</f>
        <v>0</v>
      </c>
      <c r="AB127" s="55">
        <f t="shared" si="57"/>
        <v>0</v>
      </c>
      <c r="AC127" s="55">
        <f t="shared" si="57"/>
        <v>0</v>
      </c>
      <c r="AD127" s="55">
        <f t="shared" si="57"/>
        <v>0</v>
      </c>
      <c r="AE127" s="55">
        <f t="shared" si="57"/>
        <v>0</v>
      </c>
      <c r="AF127" s="55">
        <f t="shared" si="57"/>
        <v>0</v>
      </c>
      <c r="AG127" s="55">
        <f t="shared" si="57"/>
        <v>0</v>
      </c>
      <c r="AH127" s="55">
        <f t="shared" si="57"/>
        <v>0</v>
      </c>
      <c r="AI127" s="55">
        <f t="shared" si="57"/>
        <v>0</v>
      </c>
      <c r="AJ127" s="55">
        <f t="shared" si="57"/>
        <v>0</v>
      </c>
      <c r="AK127" s="55">
        <f t="shared" si="57"/>
        <v>0</v>
      </c>
      <c r="AL127" s="55">
        <f t="shared" si="57"/>
        <v>0</v>
      </c>
      <c r="AM127" s="55">
        <f t="shared" si="57"/>
        <v>0</v>
      </c>
      <c r="AN127" s="55">
        <f t="shared" si="57"/>
        <v>0</v>
      </c>
      <c r="AO127" s="55">
        <f t="shared" si="57"/>
        <v>0</v>
      </c>
      <c r="AP127" s="55">
        <f t="shared" si="57"/>
        <v>0</v>
      </c>
      <c r="AQ127" s="55">
        <f t="shared" si="57"/>
        <v>0</v>
      </c>
      <c r="AR127" s="55">
        <f t="shared" si="57"/>
        <v>0</v>
      </c>
      <c r="AS127" s="55">
        <f t="shared" si="57"/>
        <v>0</v>
      </c>
      <c r="AT127" s="55">
        <f t="shared" si="57"/>
        <v>0</v>
      </c>
      <c r="AU127" s="55">
        <f t="shared" si="57"/>
        <v>0</v>
      </c>
      <c r="AV127" s="55">
        <f t="shared" si="57"/>
        <v>0</v>
      </c>
      <c r="AW127" s="55">
        <f t="shared" si="57"/>
        <v>0</v>
      </c>
      <c r="AX127" s="55">
        <f t="shared" si="57"/>
        <v>0</v>
      </c>
      <c r="AY127" s="55">
        <f t="shared" si="57"/>
        <v>0</v>
      </c>
      <c r="AZ127" s="55">
        <f t="shared" si="57"/>
        <v>0</v>
      </c>
      <c r="BA127" s="55">
        <f t="shared" si="57"/>
        <v>0</v>
      </c>
      <c r="BB127" s="55">
        <f t="shared" si="57"/>
        <v>0</v>
      </c>
      <c r="BC127" s="55">
        <f t="shared" si="57"/>
        <v>0</v>
      </c>
      <c r="BD127" s="55">
        <f t="shared" si="57"/>
        <v>0</v>
      </c>
      <c r="BE127" s="55">
        <f t="shared" si="57"/>
        <v>0</v>
      </c>
      <c r="BF127" s="55">
        <f t="shared" si="57"/>
        <v>0</v>
      </c>
      <c r="BG127" s="55">
        <f t="shared" si="57"/>
        <v>0</v>
      </c>
      <c r="BH127" s="55">
        <f t="shared" si="57"/>
        <v>0</v>
      </c>
      <c r="BI127" s="55">
        <f t="shared" si="57"/>
        <v>0</v>
      </c>
      <c r="BJ127" s="55">
        <f t="shared" si="57"/>
        <v>0</v>
      </c>
      <c r="CK127" s="11"/>
      <c r="CL127" s="221">
        <f t="shared" si="17"/>
        <v>0</v>
      </c>
      <c r="CM127" s="11"/>
      <c r="CN127" s="7">
        <f t="shared" si="18"/>
        <v>0</v>
      </c>
      <c r="CO127" s="7">
        <f t="shared" si="19"/>
        <v>0</v>
      </c>
      <c r="CP127" s="7">
        <f t="shared" si="20"/>
        <v>0</v>
      </c>
      <c r="CR127" s="35"/>
      <c r="EY127" s="10" t="str">
        <f t="shared" si="55"/>
        <v/>
      </c>
    </row>
    <row r="128" spans="1:155" x14ac:dyDescent="0.35">
      <c r="A128" s="220" cm="1">
        <f t="array" aca="1" ref="A128" ca="1">HYPERLINK(CONCATENATE("#",CELL("address",IF(MAX($CM128:$CR128)=0,A128,INDEX($CM128:$CR128,MATCH(1,$CM128:$CR128,0))))),MAX($CM128:$CR128))</f>
        <v>0</v>
      </c>
      <c r="D128" s="10">
        <f t="shared" si="27"/>
        <v>0</v>
      </c>
      <c r="H128" s="9"/>
      <c r="AA128" s="134">
        <f t="shared" ref="AA128:BJ128" si="58">IF(SUMIFS($AA41:$BJ41, $AA$3:$BJ$3, AA$3, $AA$4:$BJ$4, 1)=0, 0,(AA41/SUMIFS($AA41:$BJ41, $AA$3:$BJ$3, AA$3, $AA$4:$BJ$4, 1))*AA$4)</f>
        <v>0</v>
      </c>
      <c r="AB128" s="55">
        <f t="shared" si="58"/>
        <v>0</v>
      </c>
      <c r="AC128" s="55">
        <f t="shared" si="58"/>
        <v>0</v>
      </c>
      <c r="AD128" s="55">
        <f t="shared" si="58"/>
        <v>0</v>
      </c>
      <c r="AE128" s="55">
        <f t="shared" si="58"/>
        <v>0</v>
      </c>
      <c r="AF128" s="55">
        <f t="shared" si="58"/>
        <v>0</v>
      </c>
      <c r="AG128" s="55">
        <f t="shared" si="58"/>
        <v>0</v>
      </c>
      <c r="AH128" s="55">
        <f t="shared" si="58"/>
        <v>0</v>
      </c>
      <c r="AI128" s="55">
        <f t="shared" si="58"/>
        <v>0</v>
      </c>
      <c r="AJ128" s="55">
        <f t="shared" si="58"/>
        <v>0</v>
      </c>
      <c r="AK128" s="55">
        <f t="shared" si="58"/>
        <v>0</v>
      </c>
      <c r="AL128" s="55">
        <f t="shared" si="58"/>
        <v>0</v>
      </c>
      <c r="AM128" s="55">
        <f t="shared" si="58"/>
        <v>0</v>
      </c>
      <c r="AN128" s="55">
        <f t="shared" si="58"/>
        <v>0</v>
      </c>
      <c r="AO128" s="55">
        <f t="shared" si="58"/>
        <v>0</v>
      </c>
      <c r="AP128" s="55">
        <f t="shared" si="58"/>
        <v>0</v>
      </c>
      <c r="AQ128" s="55">
        <f t="shared" si="58"/>
        <v>0</v>
      </c>
      <c r="AR128" s="55">
        <f t="shared" si="58"/>
        <v>0</v>
      </c>
      <c r="AS128" s="55">
        <f t="shared" si="58"/>
        <v>0</v>
      </c>
      <c r="AT128" s="55">
        <f t="shared" si="58"/>
        <v>0</v>
      </c>
      <c r="AU128" s="55">
        <f t="shared" si="58"/>
        <v>0</v>
      </c>
      <c r="AV128" s="55">
        <f t="shared" si="58"/>
        <v>0</v>
      </c>
      <c r="AW128" s="55">
        <f t="shared" si="58"/>
        <v>0</v>
      </c>
      <c r="AX128" s="55">
        <f t="shared" si="58"/>
        <v>0</v>
      </c>
      <c r="AY128" s="55">
        <f t="shared" si="58"/>
        <v>0</v>
      </c>
      <c r="AZ128" s="55">
        <f t="shared" si="58"/>
        <v>0</v>
      </c>
      <c r="BA128" s="55">
        <f t="shared" si="58"/>
        <v>0</v>
      </c>
      <c r="BB128" s="55">
        <f t="shared" si="58"/>
        <v>0</v>
      </c>
      <c r="BC128" s="55">
        <f t="shared" si="58"/>
        <v>0</v>
      </c>
      <c r="BD128" s="55">
        <f t="shared" si="58"/>
        <v>0</v>
      </c>
      <c r="BE128" s="55">
        <f t="shared" si="58"/>
        <v>0</v>
      </c>
      <c r="BF128" s="55">
        <f t="shared" si="58"/>
        <v>0</v>
      </c>
      <c r="BG128" s="55">
        <f t="shared" si="58"/>
        <v>0</v>
      </c>
      <c r="BH128" s="55">
        <f t="shared" si="58"/>
        <v>0</v>
      </c>
      <c r="BI128" s="55">
        <f t="shared" si="58"/>
        <v>0</v>
      </c>
      <c r="BJ128" s="55">
        <f t="shared" si="58"/>
        <v>0</v>
      </c>
      <c r="CK128" s="11"/>
      <c r="CL128" s="221">
        <f t="shared" ref="CL128:CL159" si="59">IF(MIN($AA128:$BJ128)&lt;0, 1, 0)</f>
        <v>0</v>
      </c>
      <c r="CM128" s="11"/>
      <c r="CN128" s="7">
        <f t="shared" ref="CN128:CN159" si="60">IF(OR(SUM(AA128:AL128)=1, SUM(AA128:AL128)=0), 0, 1)</f>
        <v>0</v>
      </c>
      <c r="CO128" s="7">
        <f t="shared" ref="CO128:CO159" si="61">IF(OR(SUM(AM128:AX128)=1, SUM(AM128:AX128)=0), 0, 1)</f>
        <v>0</v>
      </c>
      <c r="CP128" s="7">
        <f t="shared" ref="CP128:CP159" si="62">IF(OR(SUM(AY128:BJ128)=1, SUM(AY128:BJ128)=0), 0, 1)</f>
        <v>0</v>
      </c>
      <c r="CR128" s="35"/>
      <c r="EY128" s="10" t="str">
        <f t="shared" si="55"/>
        <v/>
      </c>
    </row>
    <row r="129" spans="1:155" x14ac:dyDescent="0.35">
      <c r="A129" s="220" cm="1">
        <f t="array" aca="1" ref="A129" ca="1">HYPERLINK(CONCATENATE("#",CELL("address",IF(MAX($CM129:$CR129)=0,A129,INDEX($CM129:$CR129,MATCH(1,$CM129:$CR129,0))))),MAX($CM129:$CR129))</f>
        <v>0</v>
      </c>
      <c r="D129" s="10">
        <f t="shared" si="27"/>
        <v>0</v>
      </c>
      <c r="H129" s="9"/>
      <c r="AA129" s="134">
        <f t="shared" ref="AA129:BJ129" si="63">IF(SUMIFS($AA42:$BJ42, $AA$3:$BJ$3, AA$3, $AA$4:$BJ$4, 1)=0, 0,(AA42/SUMIFS($AA42:$BJ42, $AA$3:$BJ$3, AA$3, $AA$4:$BJ$4, 1))*AA$4)</f>
        <v>0</v>
      </c>
      <c r="AB129" s="55">
        <f t="shared" si="63"/>
        <v>0</v>
      </c>
      <c r="AC129" s="55">
        <f t="shared" si="63"/>
        <v>0</v>
      </c>
      <c r="AD129" s="55">
        <f t="shared" si="63"/>
        <v>0</v>
      </c>
      <c r="AE129" s="55">
        <f t="shared" si="63"/>
        <v>0</v>
      </c>
      <c r="AF129" s="55">
        <f t="shared" si="63"/>
        <v>0</v>
      </c>
      <c r="AG129" s="55">
        <f t="shared" si="63"/>
        <v>0</v>
      </c>
      <c r="AH129" s="55">
        <f t="shared" si="63"/>
        <v>0</v>
      </c>
      <c r="AI129" s="55">
        <f t="shared" si="63"/>
        <v>0</v>
      </c>
      <c r="AJ129" s="55">
        <f t="shared" si="63"/>
        <v>0</v>
      </c>
      <c r="AK129" s="55">
        <f t="shared" si="63"/>
        <v>0</v>
      </c>
      <c r="AL129" s="55">
        <f t="shared" si="63"/>
        <v>0</v>
      </c>
      <c r="AM129" s="55">
        <f t="shared" si="63"/>
        <v>0</v>
      </c>
      <c r="AN129" s="55">
        <f t="shared" si="63"/>
        <v>0</v>
      </c>
      <c r="AO129" s="55">
        <f t="shared" si="63"/>
        <v>0</v>
      </c>
      <c r="AP129" s="55">
        <f t="shared" si="63"/>
        <v>0</v>
      </c>
      <c r="AQ129" s="55">
        <f t="shared" si="63"/>
        <v>0</v>
      </c>
      <c r="AR129" s="55">
        <f t="shared" si="63"/>
        <v>0</v>
      </c>
      <c r="AS129" s="55">
        <f t="shared" si="63"/>
        <v>0</v>
      </c>
      <c r="AT129" s="55">
        <f t="shared" si="63"/>
        <v>0</v>
      </c>
      <c r="AU129" s="55">
        <f t="shared" si="63"/>
        <v>0</v>
      </c>
      <c r="AV129" s="55">
        <f t="shared" si="63"/>
        <v>0</v>
      </c>
      <c r="AW129" s="55">
        <f t="shared" si="63"/>
        <v>0</v>
      </c>
      <c r="AX129" s="55">
        <f t="shared" si="63"/>
        <v>0</v>
      </c>
      <c r="AY129" s="55">
        <f t="shared" si="63"/>
        <v>0</v>
      </c>
      <c r="AZ129" s="55">
        <f t="shared" si="63"/>
        <v>0</v>
      </c>
      <c r="BA129" s="55">
        <f t="shared" si="63"/>
        <v>0</v>
      </c>
      <c r="BB129" s="55">
        <f t="shared" si="63"/>
        <v>0</v>
      </c>
      <c r="BC129" s="55">
        <f t="shared" si="63"/>
        <v>0</v>
      </c>
      <c r="BD129" s="55">
        <f t="shared" si="63"/>
        <v>0</v>
      </c>
      <c r="BE129" s="55">
        <f t="shared" si="63"/>
        <v>0</v>
      </c>
      <c r="BF129" s="55">
        <f t="shared" si="63"/>
        <v>0</v>
      </c>
      <c r="BG129" s="55">
        <f t="shared" si="63"/>
        <v>0</v>
      </c>
      <c r="BH129" s="55">
        <f t="shared" si="63"/>
        <v>0</v>
      </c>
      <c r="BI129" s="55">
        <f t="shared" si="63"/>
        <v>0</v>
      </c>
      <c r="BJ129" s="55">
        <f t="shared" si="63"/>
        <v>0</v>
      </c>
      <c r="CK129" s="11"/>
      <c r="CL129" s="221">
        <f t="shared" si="59"/>
        <v>0</v>
      </c>
      <c r="CM129" s="11"/>
      <c r="CN129" s="7">
        <f t="shared" si="60"/>
        <v>0</v>
      </c>
      <c r="CO129" s="7">
        <f t="shared" si="61"/>
        <v>0</v>
      </c>
      <c r="CP129" s="7">
        <f t="shared" si="62"/>
        <v>0</v>
      </c>
      <c r="CR129" s="35"/>
      <c r="EY129" s="10" t="str">
        <f t="shared" si="55"/>
        <v/>
      </c>
    </row>
    <row r="130" spans="1:155" x14ac:dyDescent="0.35">
      <c r="A130" s="220" cm="1">
        <f t="array" aca="1" ref="A130" ca="1">HYPERLINK(CONCATENATE("#",CELL("address",IF(MAX($CM130:$CR130)=0,A130,INDEX($CM130:$CR130,MATCH(1,$CM130:$CR130,0))))),MAX($CM130:$CR130))</f>
        <v>0</v>
      </c>
      <c r="D130" s="10">
        <f t="shared" si="27"/>
        <v>0</v>
      </c>
      <c r="H130" s="9"/>
      <c r="AA130" s="134">
        <f t="shared" ref="AA130:BJ130" si="64">IF(SUMIFS($AA43:$BJ43, $AA$3:$BJ$3, AA$3, $AA$4:$BJ$4, 1)=0, 0,(AA43/SUMIFS($AA43:$BJ43, $AA$3:$BJ$3, AA$3, $AA$4:$BJ$4, 1))*AA$4)</f>
        <v>0</v>
      </c>
      <c r="AB130" s="55">
        <f t="shared" si="64"/>
        <v>0</v>
      </c>
      <c r="AC130" s="55">
        <f t="shared" si="64"/>
        <v>0</v>
      </c>
      <c r="AD130" s="55">
        <f t="shared" si="64"/>
        <v>0</v>
      </c>
      <c r="AE130" s="55">
        <f t="shared" si="64"/>
        <v>0</v>
      </c>
      <c r="AF130" s="55">
        <f t="shared" si="64"/>
        <v>0</v>
      </c>
      <c r="AG130" s="55">
        <f t="shared" si="64"/>
        <v>0</v>
      </c>
      <c r="AH130" s="55">
        <f t="shared" si="64"/>
        <v>0</v>
      </c>
      <c r="AI130" s="55">
        <f t="shared" si="64"/>
        <v>0</v>
      </c>
      <c r="AJ130" s="55">
        <f t="shared" si="64"/>
        <v>0</v>
      </c>
      <c r="AK130" s="55">
        <f t="shared" si="64"/>
        <v>0</v>
      </c>
      <c r="AL130" s="55">
        <f t="shared" si="64"/>
        <v>0</v>
      </c>
      <c r="AM130" s="55">
        <f t="shared" si="64"/>
        <v>0</v>
      </c>
      <c r="AN130" s="55">
        <f t="shared" si="64"/>
        <v>0</v>
      </c>
      <c r="AO130" s="55">
        <f t="shared" si="64"/>
        <v>0</v>
      </c>
      <c r="AP130" s="55">
        <f t="shared" si="64"/>
        <v>0</v>
      </c>
      <c r="AQ130" s="55">
        <f t="shared" si="64"/>
        <v>0</v>
      </c>
      <c r="AR130" s="55">
        <f t="shared" si="64"/>
        <v>0</v>
      </c>
      <c r="AS130" s="55">
        <f t="shared" si="64"/>
        <v>0</v>
      </c>
      <c r="AT130" s="55">
        <f t="shared" si="64"/>
        <v>0</v>
      </c>
      <c r="AU130" s="55">
        <f t="shared" si="64"/>
        <v>0</v>
      </c>
      <c r="AV130" s="55">
        <f t="shared" si="64"/>
        <v>0</v>
      </c>
      <c r="AW130" s="55">
        <f t="shared" si="64"/>
        <v>0</v>
      </c>
      <c r="AX130" s="55">
        <f t="shared" si="64"/>
        <v>0</v>
      </c>
      <c r="AY130" s="55">
        <f t="shared" si="64"/>
        <v>0</v>
      </c>
      <c r="AZ130" s="55">
        <f t="shared" si="64"/>
        <v>0</v>
      </c>
      <c r="BA130" s="55">
        <f t="shared" si="64"/>
        <v>0</v>
      </c>
      <c r="BB130" s="55">
        <f t="shared" si="64"/>
        <v>0</v>
      </c>
      <c r="BC130" s="55">
        <f t="shared" si="64"/>
        <v>0</v>
      </c>
      <c r="BD130" s="55">
        <f t="shared" si="64"/>
        <v>0</v>
      </c>
      <c r="BE130" s="55">
        <f t="shared" si="64"/>
        <v>0</v>
      </c>
      <c r="BF130" s="55">
        <f t="shared" si="64"/>
        <v>0</v>
      </c>
      <c r="BG130" s="55">
        <f t="shared" si="64"/>
        <v>0</v>
      </c>
      <c r="BH130" s="55">
        <f t="shared" si="64"/>
        <v>0</v>
      </c>
      <c r="BI130" s="55">
        <f t="shared" si="64"/>
        <v>0</v>
      </c>
      <c r="BJ130" s="55">
        <f t="shared" si="64"/>
        <v>0</v>
      </c>
      <c r="CK130" s="11"/>
      <c r="CL130" s="221">
        <f t="shared" si="59"/>
        <v>0</v>
      </c>
      <c r="CM130" s="11"/>
      <c r="CN130" s="7">
        <f t="shared" si="60"/>
        <v>0</v>
      </c>
      <c r="CO130" s="7">
        <f t="shared" si="61"/>
        <v>0</v>
      </c>
      <c r="CP130" s="7">
        <f t="shared" si="62"/>
        <v>0</v>
      </c>
      <c r="CR130" s="35"/>
      <c r="EY130" s="10" t="str">
        <f t="shared" si="55"/>
        <v/>
      </c>
    </row>
    <row r="131" spans="1:155" x14ac:dyDescent="0.35">
      <c r="A131" s="220" cm="1">
        <f t="array" aca="1" ref="A131" ca="1">HYPERLINK(CONCATENATE("#",CELL("address",IF(MAX($CM131:$CR131)=0,A131,INDEX($CM131:$CR131,MATCH(1,$CM131:$CR131,0))))),MAX($CM131:$CR131))</f>
        <v>0</v>
      </c>
      <c r="D131" s="10">
        <f t="shared" si="27"/>
        <v>0</v>
      </c>
      <c r="H131" s="9"/>
      <c r="AA131" s="134">
        <f t="shared" ref="AA131:BJ131" si="65">IF(SUMIFS($AA44:$BJ44, $AA$3:$BJ$3, AA$3, $AA$4:$BJ$4, 1)=0, 0,(AA44/SUMIFS($AA44:$BJ44, $AA$3:$BJ$3, AA$3, $AA$4:$BJ$4, 1))*AA$4)</f>
        <v>0</v>
      </c>
      <c r="AB131" s="55">
        <f t="shared" si="65"/>
        <v>0</v>
      </c>
      <c r="AC131" s="55">
        <f t="shared" si="65"/>
        <v>0</v>
      </c>
      <c r="AD131" s="55">
        <f t="shared" si="65"/>
        <v>0</v>
      </c>
      <c r="AE131" s="55">
        <f t="shared" si="65"/>
        <v>0</v>
      </c>
      <c r="AF131" s="55">
        <f t="shared" si="65"/>
        <v>0</v>
      </c>
      <c r="AG131" s="55">
        <f t="shared" si="65"/>
        <v>0</v>
      </c>
      <c r="AH131" s="55">
        <f t="shared" si="65"/>
        <v>0</v>
      </c>
      <c r="AI131" s="55">
        <f t="shared" si="65"/>
        <v>0</v>
      </c>
      <c r="AJ131" s="55">
        <f t="shared" si="65"/>
        <v>0</v>
      </c>
      <c r="AK131" s="55">
        <f t="shared" si="65"/>
        <v>0</v>
      </c>
      <c r="AL131" s="55">
        <f t="shared" si="65"/>
        <v>0</v>
      </c>
      <c r="AM131" s="55">
        <f t="shared" si="65"/>
        <v>0</v>
      </c>
      <c r="AN131" s="55">
        <f t="shared" si="65"/>
        <v>0</v>
      </c>
      <c r="AO131" s="55">
        <f t="shared" si="65"/>
        <v>0</v>
      </c>
      <c r="AP131" s="55">
        <f t="shared" si="65"/>
        <v>0</v>
      </c>
      <c r="AQ131" s="55">
        <f t="shared" si="65"/>
        <v>0</v>
      </c>
      <c r="AR131" s="55">
        <f t="shared" si="65"/>
        <v>0</v>
      </c>
      <c r="AS131" s="55">
        <f t="shared" si="65"/>
        <v>0</v>
      </c>
      <c r="AT131" s="55">
        <f t="shared" si="65"/>
        <v>0</v>
      </c>
      <c r="AU131" s="55">
        <f t="shared" si="65"/>
        <v>0</v>
      </c>
      <c r="AV131" s="55">
        <f t="shared" si="65"/>
        <v>0</v>
      </c>
      <c r="AW131" s="55">
        <f t="shared" si="65"/>
        <v>0</v>
      </c>
      <c r="AX131" s="55">
        <f t="shared" si="65"/>
        <v>0</v>
      </c>
      <c r="AY131" s="55">
        <f t="shared" si="65"/>
        <v>0</v>
      </c>
      <c r="AZ131" s="55">
        <f t="shared" si="65"/>
        <v>0</v>
      </c>
      <c r="BA131" s="55">
        <f t="shared" si="65"/>
        <v>0</v>
      </c>
      <c r="BB131" s="55">
        <f t="shared" si="65"/>
        <v>0</v>
      </c>
      <c r="BC131" s="55">
        <f t="shared" si="65"/>
        <v>0</v>
      </c>
      <c r="BD131" s="55">
        <f t="shared" si="65"/>
        <v>0</v>
      </c>
      <c r="BE131" s="55">
        <f t="shared" si="65"/>
        <v>0</v>
      </c>
      <c r="BF131" s="55">
        <f t="shared" si="65"/>
        <v>0</v>
      </c>
      <c r="BG131" s="55">
        <f t="shared" si="65"/>
        <v>0</v>
      </c>
      <c r="BH131" s="55">
        <f t="shared" si="65"/>
        <v>0</v>
      </c>
      <c r="BI131" s="55">
        <f t="shared" si="65"/>
        <v>0</v>
      </c>
      <c r="BJ131" s="55">
        <f t="shared" si="65"/>
        <v>0</v>
      </c>
      <c r="CK131" s="11"/>
      <c r="CL131" s="221">
        <f t="shared" si="59"/>
        <v>0</v>
      </c>
      <c r="CM131" s="11"/>
      <c r="CN131" s="7">
        <f t="shared" si="60"/>
        <v>0</v>
      </c>
      <c r="CO131" s="7">
        <f t="shared" si="61"/>
        <v>0</v>
      </c>
      <c r="CP131" s="7">
        <f t="shared" si="62"/>
        <v>0</v>
      </c>
      <c r="CR131" s="35"/>
      <c r="EY131" s="10" t="str">
        <f t="shared" si="55"/>
        <v/>
      </c>
    </row>
    <row r="132" spans="1:155" x14ac:dyDescent="0.35">
      <c r="A132" s="220" cm="1">
        <f t="array" aca="1" ref="A132" ca="1">HYPERLINK(CONCATENATE("#",CELL("address",IF(MAX($CM132:$CR132)=0,A132,INDEX($CM132:$CR132,MATCH(1,$CM132:$CR132,0))))),MAX($CM132:$CR132))</f>
        <v>0</v>
      </c>
      <c r="D132" s="10">
        <f t="shared" ref="D132:D163" si="66">D45</f>
        <v>0</v>
      </c>
      <c r="H132" s="9"/>
      <c r="AA132" s="134">
        <f t="shared" ref="AA132:BJ132" si="67">IF(SUMIFS($AA45:$BJ45, $AA$3:$BJ$3, AA$3, $AA$4:$BJ$4, 1)=0, 0,(AA45/SUMIFS($AA45:$BJ45, $AA$3:$BJ$3, AA$3, $AA$4:$BJ$4, 1))*AA$4)</f>
        <v>0</v>
      </c>
      <c r="AB132" s="55">
        <f t="shared" si="67"/>
        <v>0</v>
      </c>
      <c r="AC132" s="55">
        <f t="shared" si="67"/>
        <v>0</v>
      </c>
      <c r="AD132" s="55">
        <f t="shared" si="67"/>
        <v>0</v>
      </c>
      <c r="AE132" s="55">
        <f t="shared" si="67"/>
        <v>0</v>
      </c>
      <c r="AF132" s="55">
        <f t="shared" si="67"/>
        <v>0</v>
      </c>
      <c r="AG132" s="55">
        <f t="shared" si="67"/>
        <v>0</v>
      </c>
      <c r="AH132" s="55">
        <f t="shared" si="67"/>
        <v>0</v>
      </c>
      <c r="AI132" s="55">
        <f t="shared" si="67"/>
        <v>0</v>
      </c>
      <c r="AJ132" s="55">
        <f t="shared" si="67"/>
        <v>0</v>
      </c>
      <c r="AK132" s="55">
        <f t="shared" si="67"/>
        <v>0</v>
      </c>
      <c r="AL132" s="55">
        <f t="shared" si="67"/>
        <v>0</v>
      </c>
      <c r="AM132" s="55">
        <f t="shared" si="67"/>
        <v>0</v>
      </c>
      <c r="AN132" s="55">
        <f t="shared" si="67"/>
        <v>0</v>
      </c>
      <c r="AO132" s="55">
        <f t="shared" si="67"/>
        <v>0</v>
      </c>
      <c r="AP132" s="55">
        <f t="shared" si="67"/>
        <v>0</v>
      </c>
      <c r="AQ132" s="55">
        <f t="shared" si="67"/>
        <v>0</v>
      </c>
      <c r="AR132" s="55">
        <f t="shared" si="67"/>
        <v>0</v>
      </c>
      <c r="AS132" s="55">
        <f t="shared" si="67"/>
        <v>0</v>
      </c>
      <c r="AT132" s="55">
        <f t="shared" si="67"/>
        <v>0</v>
      </c>
      <c r="AU132" s="55">
        <f t="shared" si="67"/>
        <v>0</v>
      </c>
      <c r="AV132" s="55">
        <f t="shared" si="67"/>
        <v>0</v>
      </c>
      <c r="AW132" s="55">
        <f t="shared" si="67"/>
        <v>0</v>
      </c>
      <c r="AX132" s="55">
        <f t="shared" si="67"/>
        <v>0</v>
      </c>
      <c r="AY132" s="55">
        <f t="shared" si="67"/>
        <v>0</v>
      </c>
      <c r="AZ132" s="55">
        <f t="shared" si="67"/>
        <v>0</v>
      </c>
      <c r="BA132" s="55">
        <f t="shared" si="67"/>
        <v>0</v>
      </c>
      <c r="BB132" s="55">
        <f t="shared" si="67"/>
        <v>0</v>
      </c>
      <c r="BC132" s="55">
        <f t="shared" si="67"/>
        <v>0</v>
      </c>
      <c r="BD132" s="55">
        <f t="shared" si="67"/>
        <v>0</v>
      </c>
      <c r="BE132" s="55">
        <f t="shared" si="67"/>
        <v>0</v>
      </c>
      <c r="BF132" s="55">
        <f t="shared" si="67"/>
        <v>0</v>
      </c>
      <c r="BG132" s="55">
        <f t="shared" si="67"/>
        <v>0</v>
      </c>
      <c r="BH132" s="55">
        <f t="shared" si="67"/>
        <v>0</v>
      </c>
      <c r="BI132" s="55">
        <f t="shared" si="67"/>
        <v>0</v>
      </c>
      <c r="BJ132" s="55">
        <f t="shared" si="67"/>
        <v>0</v>
      </c>
      <c r="CK132" s="11"/>
      <c r="CL132" s="221">
        <f t="shared" si="59"/>
        <v>0</v>
      </c>
      <c r="CM132" s="11"/>
      <c r="CN132" s="7">
        <f t="shared" si="60"/>
        <v>0</v>
      </c>
      <c r="CO132" s="7">
        <f t="shared" si="61"/>
        <v>0</v>
      </c>
      <c r="CP132" s="7">
        <f t="shared" si="62"/>
        <v>0</v>
      </c>
      <c r="CR132" s="35"/>
      <c r="EY132" s="10" t="str">
        <f t="shared" si="55"/>
        <v/>
      </c>
    </row>
    <row r="133" spans="1:155" x14ac:dyDescent="0.35">
      <c r="A133" s="220" cm="1">
        <f t="array" aca="1" ref="A133" ca="1">HYPERLINK(CONCATENATE("#",CELL("address",IF(MAX($CM133:$CR133)=0,A133,INDEX($CM133:$CR133,MATCH(1,$CM133:$CR133,0))))),MAX($CM133:$CR133))</f>
        <v>0</v>
      </c>
      <c r="D133" s="10">
        <f t="shared" si="66"/>
        <v>0</v>
      </c>
      <c r="H133" s="9"/>
      <c r="AA133" s="134">
        <f t="shared" ref="AA133:BJ133" si="68">IF(SUMIFS($AA46:$BJ46, $AA$3:$BJ$3, AA$3, $AA$4:$BJ$4, 1)=0, 0,(AA46/SUMIFS($AA46:$BJ46, $AA$3:$BJ$3, AA$3, $AA$4:$BJ$4, 1))*AA$4)</f>
        <v>0</v>
      </c>
      <c r="AB133" s="55">
        <f t="shared" si="68"/>
        <v>0</v>
      </c>
      <c r="AC133" s="55">
        <f t="shared" si="68"/>
        <v>0</v>
      </c>
      <c r="AD133" s="55">
        <f t="shared" si="68"/>
        <v>0</v>
      </c>
      <c r="AE133" s="55">
        <f t="shared" si="68"/>
        <v>0</v>
      </c>
      <c r="AF133" s="55">
        <f t="shared" si="68"/>
        <v>0</v>
      </c>
      <c r="AG133" s="55">
        <f t="shared" si="68"/>
        <v>0</v>
      </c>
      <c r="AH133" s="55">
        <f t="shared" si="68"/>
        <v>0</v>
      </c>
      <c r="AI133" s="55">
        <f t="shared" si="68"/>
        <v>0</v>
      </c>
      <c r="AJ133" s="55">
        <f t="shared" si="68"/>
        <v>0</v>
      </c>
      <c r="AK133" s="55">
        <f t="shared" si="68"/>
        <v>0</v>
      </c>
      <c r="AL133" s="55">
        <f t="shared" si="68"/>
        <v>0</v>
      </c>
      <c r="AM133" s="55">
        <f t="shared" si="68"/>
        <v>0</v>
      </c>
      <c r="AN133" s="55">
        <f t="shared" si="68"/>
        <v>0</v>
      </c>
      <c r="AO133" s="55">
        <f t="shared" si="68"/>
        <v>0</v>
      </c>
      <c r="AP133" s="55">
        <f t="shared" si="68"/>
        <v>0</v>
      </c>
      <c r="AQ133" s="55">
        <f t="shared" si="68"/>
        <v>0</v>
      </c>
      <c r="AR133" s="55">
        <f t="shared" si="68"/>
        <v>0</v>
      </c>
      <c r="AS133" s="55">
        <f t="shared" si="68"/>
        <v>0</v>
      </c>
      <c r="AT133" s="55">
        <f t="shared" si="68"/>
        <v>0</v>
      </c>
      <c r="AU133" s="55">
        <f t="shared" si="68"/>
        <v>0</v>
      </c>
      <c r="AV133" s="55">
        <f t="shared" si="68"/>
        <v>0</v>
      </c>
      <c r="AW133" s="55">
        <f t="shared" si="68"/>
        <v>0</v>
      </c>
      <c r="AX133" s="55">
        <f t="shared" si="68"/>
        <v>0</v>
      </c>
      <c r="AY133" s="55">
        <f t="shared" si="68"/>
        <v>0</v>
      </c>
      <c r="AZ133" s="55">
        <f t="shared" si="68"/>
        <v>0</v>
      </c>
      <c r="BA133" s="55">
        <f t="shared" si="68"/>
        <v>0</v>
      </c>
      <c r="BB133" s="55">
        <f t="shared" si="68"/>
        <v>0</v>
      </c>
      <c r="BC133" s="55">
        <f t="shared" si="68"/>
        <v>0</v>
      </c>
      <c r="BD133" s="55">
        <f t="shared" si="68"/>
        <v>0</v>
      </c>
      <c r="BE133" s="55">
        <f t="shared" si="68"/>
        <v>0</v>
      </c>
      <c r="BF133" s="55">
        <f t="shared" si="68"/>
        <v>0</v>
      </c>
      <c r="BG133" s="55">
        <f t="shared" si="68"/>
        <v>0</v>
      </c>
      <c r="BH133" s="55">
        <f t="shared" si="68"/>
        <v>0</v>
      </c>
      <c r="BI133" s="55">
        <f t="shared" si="68"/>
        <v>0</v>
      </c>
      <c r="BJ133" s="55">
        <f t="shared" si="68"/>
        <v>0</v>
      </c>
      <c r="CK133" s="11"/>
      <c r="CL133" s="221">
        <f t="shared" si="59"/>
        <v>0</v>
      </c>
      <c r="CM133" s="11"/>
      <c r="CN133" s="7">
        <f t="shared" si="60"/>
        <v>0</v>
      </c>
      <c r="CO133" s="7">
        <f t="shared" si="61"/>
        <v>0</v>
      </c>
      <c r="CP133" s="7">
        <f t="shared" si="62"/>
        <v>0</v>
      </c>
      <c r="CR133" s="35"/>
      <c r="EY133" s="10" t="str">
        <f t="shared" si="55"/>
        <v/>
      </c>
    </row>
    <row r="134" spans="1:155" x14ac:dyDescent="0.35">
      <c r="A134" s="220" cm="1">
        <f t="array" aca="1" ref="A134" ca="1">HYPERLINK(CONCATENATE("#",CELL("address",IF(MAX($CM134:$CR134)=0,A134,INDEX($CM134:$CR134,MATCH(1,$CM134:$CR134,0))))),MAX($CM134:$CR134))</f>
        <v>0</v>
      </c>
      <c r="D134" s="10">
        <f t="shared" si="66"/>
        <v>0</v>
      </c>
      <c r="H134" s="9"/>
      <c r="AA134" s="134">
        <f t="shared" ref="AA134:BJ134" si="69">IF(SUMIFS($AA47:$BJ47, $AA$3:$BJ$3, AA$3, $AA$4:$BJ$4, 1)=0, 0,(AA47/SUMIFS($AA47:$BJ47, $AA$3:$BJ$3, AA$3, $AA$4:$BJ$4, 1))*AA$4)</f>
        <v>0</v>
      </c>
      <c r="AB134" s="55">
        <f t="shared" si="69"/>
        <v>0</v>
      </c>
      <c r="AC134" s="55">
        <f t="shared" si="69"/>
        <v>0</v>
      </c>
      <c r="AD134" s="55">
        <f t="shared" si="69"/>
        <v>0</v>
      </c>
      <c r="AE134" s="55">
        <f t="shared" si="69"/>
        <v>0</v>
      </c>
      <c r="AF134" s="55">
        <f t="shared" si="69"/>
        <v>0</v>
      </c>
      <c r="AG134" s="55">
        <f t="shared" si="69"/>
        <v>0</v>
      </c>
      <c r="AH134" s="55">
        <f t="shared" si="69"/>
        <v>0</v>
      </c>
      <c r="AI134" s="55">
        <f t="shared" si="69"/>
        <v>0</v>
      </c>
      <c r="AJ134" s="55">
        <f t="shared" si="69"/>
        <v>0</v>
      </c>
      <c r="AK134" s="55">
        <f t="shared" si="69"/>
        <v>0</v>
      </c>
      <c r="AL134" s="55">
        <f t="shared" si="69"/>
        <v>0</v>
      </c>
      <c r="AM134" s="55">
        <f t="shared" si="69"/>
        <v>0</v>
      </c>
      <c r="AN134" s="55">
        <f t="shared" si="69"/>
        <v>0</v>
      </c>
      <c r="AO134" s="55">
        <f t="shared" si="69"/>
        <v>0</v>
      </c>
      <c r="AP134" s="55">
        <f t="shared" si="69"/>
        <v>0</v>
      </c>
      <c r="AQ134" s="55">
        <f t="shared" si="69"/>
        <v>0</v>
      </c>
      <c r="AR134" s="55">
        <f t="shared" si="69"/>
        <v>0</v>
      </c>
      <c r="AS134" s="55">
        <f t="shared" si="69"/>
        <v>0</v>
      </c>
      <c r="AT134" s="55">
        <f t="shared" si="69"/>
        <v>0</v>
      </c>
      <c r="AU134" s="55">
        <f t="shared" si="69"/>
        <v>0</v>
      </c>
      <c r="AV134" s="55">
        <f t="shared" si="69"/>
        <v>0</v>
      </c>
      <c r="AW134" s="55">
        <f t="shared" si="69"/>
        <v>0</v>
      </c>
      <c r="AX134" s="55">
        <f t="shared" si="69"/>
        <v>0</v>
      </c>
      <c r="AY134" s="55">
        <f t="shared" si="69"/>
        <v>0</v>
      </c>
      <c r="AZ134" s="55">
        <f t="shared" si="69"/>
        <v>0</v>
      </c>
      <c r="BA134" s="55">
        <f t="shared" si="69"/>
        <v>0</v>
      </c>
      <c r="BB134" s="55">
        <f t="shared" si="69"/>
        <v>0</v>
      </c>
      <c r="BC134" s="55">
        <f t="shared" si="69"/>
        <v>0</v>
      </c>
      <c r="BD134" s="55">
        <f t="shared" si="69"/>
        <v>0</v>
      </c>
      <c r="BE134" s="55">
        <f t="shared" si="69"/>
        <v>0</v>
      </c>
      <c r="BF134" s="55">
        <f t="shared" si="69"/>
        <v>0</v>
      </c>
      <c r="BG134" s="55">
        <f t="shared" si="69"/>
        <v>0</v>
      </c>
      <c r="BH134" s="55">
        <f t="shared" si="69"/>
        <v>0</v>
      </c>
      <c r="BI134" s="55">
        <f t="shared" si="69"/>
        <v>0</v>
      </c>
      <c r="BJ134" s="55">
        <f t="shared" si="69"/>
        <v>0</v>
      </c>
      <c r="CK134" s="11"/>
      <c r="CL134" s="221">
        <f t="shared" si="59"/>
        <v>0</v>
      </c>
      <c r="CM134" s="11"/>
      <c r="CN134" s="7">
        <f t="shared" si="60"/>
        <v>0</v>
      </c>
      <c r="CO134" s="7">
        <f t="shared" si="61"/>
        <v>0</v>
      </c>
      <c r="CP134" s="7">
        <f t="shared" si="62"/>
        <v>0</v>
      </c>
      <c r="CR134" s="35"/>
      <c r="EY134" s="10" t="str">
        <f t="shared" si="55"/>
        <v/>
      </c>
    </row>
    <row r="135" spans="1:155" x14ac:dyDescent="0.35">
      <c r="A135" s="220" cm="1">
        <f t="array" aca="1" ref="A135" ca="1">HYPERLINK(CONCATENATE("#",CELL("address",IF(MAX($CM135:$CR135)=0,A135,INDEX($CM135:$CR135,MATCH(1,$CM135:$CR135,0))))),MAX($CM135:$CR135))</f>
        <v>0</v>
      </c>
      <c r="D135" s="10">
        <f t="shared" si="66"/>
        <v>0</v>
      </c>
      <c r="H135" s="9"/>
      <c r="AA135" s="134">
        <f t="shared" ref="AA135:BJ135" si="70">IF(SUMIFS($AA48:$BJ48, $AA$3:$BJ$3, AA$3, $AA$4:$BJ$4, 1)=0, 0,(AA48/SUMIFS($AA48:$BJ48, $AA$3:$BJ$3, AA$3, $AA$4:$BJ$4, 1))*AA$4)</f>
        <v>0</v>
      </c>
      <c r="AB135" s="55">
        <f t="shared" si="70"/>
        <v>0</v>
      </c>
      <c r="AC135" s="55">
        <f t="shared" si="70"/>
        <v>0</v>
      </c>
      <c r="AD135" s="55">
        <f t="shared" si="70"/>
        <v>0</v>
      </c>
      <c r="AE135" s="55">
        <f t="shared" si="70"/>
        <v>0</v>
      </c>
      <c r="AF135" s="55">
        <f t="shared" si="70"/>
        <v>0</v>
      </c>
      <c r="AG135" s="55">
        <f t="shared" si="70"/>
        <v>0</v>
      </c>
      <c r="AH135" s="55">
        <f t="shared" si="70"/>
        <v>0</v>
      </c>
      <c r="AI135" s="55">
        <f t="shared" si="70"/>
        <v>0</v>
      </c>
      <c r="AJ135" s="55">
        <f t="shared" si="70"/>
        <v>0</v>
      </c>
      <c r="AK135" s="55">
        <f t="shared" si="70"/>
        <v>0</v>
      </c>
      <c r="AL135" s="55">
        <f t="shared" si="70"/>
        <v>0</v>
      </c>
      <c r="AM135" s="55">
        <f t="shared" si="70"/>
        <v>0</v>
      </c>
      <c r="AN135" s="55">
        <f t="shared" si="70"/>
        <v>0</v>
      </c>
      <c r="AO135" s="55">
        <f t="shared" si="70"/>
        <v>0</v>
      </c>
      <c r="AP135" s="55">
        <f t="shared" si="70"/>
        <v>0</v>
      </c>
      <c r="AQ135" s="55">
        <f t="shared" si="70"/>
        <v>0</v>
      </c>
      <c r="AR135" s="55">
        <f t="shared" si="70"/>
        <v>0</v>
      </c>
      <c r="AS135" s="55">
        <f t="shared" si="70"/>
        <v>0</v>
      </c>
      <c r="AT135" s="55">
        <f t="shared" si="70"/>
        <v>0</v>
      </c>
      <c r="AU135" s="55">
        <f t="shared" si="70"/>
        <v>0</v>
      </c>
      <c r="AV135" s="55">
        <f t="shared" si="70"/>
        <v>0</v>
      </c>
      <c r="AW135" s="55">
        <f t="shared" si="70"/>
        <v>0</v>
      </c>
      <c r="AX135" s="55">
        <f t="shared" si="70"/>
        <v>0</v>
      </c>
      <c r="AY135" s="55">
        <f t="shared" si="70"/>
        <v>0</v>
      </c>
      <c r="AZ135" s="55">
        <f t="shared" si="70"/>
        <v>0</v>
      </c>
      <c r="BA135" s="55">
        <f t="shared" si="70"/>
        <v>0</v>
      </c>
      <c r="BB135" s="55">
        <f t="shared" si="70"/>
        <v>0</v>
      </c>
      <c r="BC135" s="55">
        <f t="shared" si="70"/>
        <v>0</v>
      </c>
      <c r="BD135" s="55">
        <f t="shared" si="70"/>
        <v>0</v>
      </c>
      <c r="BE135" s="55">
        <f t="shared" si="70"/>
        <v>0</v>
      </c>
      <c r="BF135" s="55">
        <f t="shared" si="70"/>
        <v>0</v>
      </c>
      <c r="BG135" s="55">
        <f t="shared" si="70"/>
        <v>0</v>
      </c>
      <c r="BH135" s="55">
        <f t="shared" si="70"/>
        <v>0</v>
      </c>
      <c r="BI135" s="55">
        <f t="shared" si="70"/>
        <v>0</v>
      </c>
      <c r="BJ135" s="55">
        <f t="shared" si="70"/>
        <v>0</v>
      </c>
      <c r="CK135" s="11"/>
      <c r="CL135" s="221">
        <f t="shared" si="59"/>
        <v>0</v>
      </c>
      <c r="CM135" s="11"/>
      <c r="CN135" s="7">
        <f t="shared" si="60"/>
        <v>0</v>
      </c>
      <c r="CO135" s="7">
        <f t="shared" si="61"/>
        <v>0</v>
      </c>
      <c r="CP135" s="7">
        <f t="shared" si="62"/>
        <v>0</v>
      </c>
      <c r="CR135" s="35"/>
      <c r="EY135" s="10" t="str">
        <f t="shared" si="55"/>
        <v/>
      </c>
    </row>
    <row r="136" spans="1:155" x14ac:dyDescent="0.35">
      <c r="A136" s="220" cm="1">
        <f t="array" aca="1" ref="A136" ca="1">HYPERLINK(CONCATENATE("#",CELL("address",IF(MAX($CM136:$CR136)=0,A136,INDEX($CM136:$CR136,MATCH(1,$CM136:$CR136,0))))),MAX($CM136:$CR136))</f>
        <v>0</v>
      </c>
      <c r="D136" s="10">
        <f t="shared" si="66"/>
        <v>0</v>
      </c>
      <c r="H136" s="9"/>
      <c r="AA136" s="134">
        <f t="shared" ref="AA136:BJ136" si="71">IF(SUMIFS($AA49:$BJ49, $AA$3:$BJ$3, AA$3, $AA$4:$BJ$4, 1)=0, 0,(AA49/SUMIFS($AA49:$BJ49, $AA$3:$BJ$3, AA$3, $AA$4:$BJ$4, 1))*AA$4)</f>
        <v>0</v>
      </c>
      <c r="AB136" s="55">
        <f t="shared" si="71"/>
        <v>0</v>
      </c>
      <c r="AC136" s="55">
        <f t="shared" si="71"/>
        <v>0</v>
      </c>
      <c r="AD136" s="55">
        <f t="shared" si="71"/>
        <v>0</v>
      </c>
      <c r="AE136" s="55">
        <f t="shared" si="71"/>
        <v>0</v>
      </c>
      <c r="AF136" s="55">
        <f t="shared" si="71"/>
        <v>0</v>
      </c>
      <c r="AG136" s="55">
        <f t="shared" si="71"/>
        <v>0</v>
      </c>
      <c r="AH136" s="55">
        <f t="shared" si="71"/>
        <v>0</v>
      </c>
      <c r="AI136" s="55">
        <f t="shared" si="71"/>
        <v>0</v>
      </c>
      <c r="AJ136" s="55">
        <f t="shared" si="71"/>
        <v>0</v>
      </c>
      <c r="AK136" s="55">
        <f t="shared" si="71"/>
        <v>0</v>
      </c>
      <c r="AL136" s="55">
        <f t="shared" si="71"/>
        <v>0</v>
      </c>
      <c r="AM136" s="55">
        <f t="shared" si="71"/>
        <v>0</v>
      </c>
      <c r="AN136" s="55">
        <f t="shared" si="71"/>
        <v>0</v>
      </c>
      <c r="AO136" s="55">
        <f t="shared" si="71"/>
        <v>0</v>
      </c>
      <c r="AP136" s="55">
        <f t="shared" si="71"/>
        <v>0</v>
      </c>
      <c r="AQ136" s="55">
        <f t="shared" si="71"/>
        <v>0</v>
      </c>
      <c r="AR136" s="55">
        <f t="shared" si="71"/>
        <v>0</v>
      </c>
      <c r="AS136" s="55">
        <f t="shared" si="71"/>
        <v>0</v>
      </c>
      <c r="AT136" s="55">
        <f t="shared" si="71"/>
        <v>0</v>
      </c>
      <c r="AU136" s="55">
        <f t="shared" si="71"/>
        <v>0</v>
      </c>
      <c r="AV136" s="55">
        <f t="shared" si="71"/>
        <v>0</v>
      </c>
      <c r="AW136" s="55">
        <f t="shared" si="71"/>
        <v>0</v>
      </c>
      <c r="AX136" s="55">
        <f t="shared" si="71"/>
        <v>0</v>
      </c>
      <c r="AY136" s="55">
        <f t="shared" si="71"/>
        <v>0</v>
      </c>
      <c r="AZ136" s="55">
        <f t="shared" si="71"/>
        <v>0</v>
      </c>
      <c r="BA136" s="55">
        <f t="shared" si="71"/>
        <v>0</v>
      </c>
      <c r="BB136" s="55">
        <f t="shared" si="71"/>
        <v>0</v>
      </c>
      <c r="BC136" s="55">
        <f t="shared" si="71"/>
        <v>0</v>
      </c>
      <c r="BD136" s="55">
        <f t="shared" si="71"/>
        <v>0</v>
      </c>
      <c r="BE136" s="55">
        <f t="shared" si="71"/>
        <v>0</v>
      </c>
      <c r="BF136" s="55">
        <f t="shared" si="71"/>
        <v>0</v>
      </c>
      <c r="BG136" s="55">
        <f t="shared" si="71"/>
        <v>0</v>
      </c>
      <c r="BH136" s="55">
        <f t="shared" si="71"/>
        <v>0</v>
      </c>
      <c r="BI136" s="55">
        <f t="shared" si="71"/>
        <v>0</v>
      </c>
      <c r="BJ136" s="55">
        <f t="shared" si="71"/>
        <v>0</v>
      </c>
      <c r="CK136" s="11"/>
      <c r="CL136" s="221">
        <f t="shared" si="59"/>
        <v>0</v>
      </c>
      <c r="CM136" s="11"/>
      <c r="CN136" s="7">
        <f t="shared" si="60"/>
        <v>0</v>
      </c>
      <c r="CO136" s="7">
        <f t="shared" si="61"/>
        <v>0</v>
      </c>
      <c r="CP136" s="7">
        <f t="shared" si="62"/>
        <v>0</v>
      </c>
      <c r="CR136" s="35"/>
      <c r="EY136" s="10" t="str">
        <f t="shared" si="55"/>
        <v/>
      </c>
    </row>
    <row r="137" spans="1:155" x14ac:dyDescent="0.35">
      <c r="A137" s="220" cm="1">
        <f t="array" aca="1" ref="A137" ca="1">HYPERLINK(CONCATENATE("#",CELL("address",IF(MAX($CM137:$CR137)=0,A137,INDEX($CM137:$CR137,MATCH(1,$CM137:$CR137,0))))),MAX($CM137:$CR137))</f>
        <v>0</v>
      </c>
      <c r="D137" s="10">
        <f t="shared" si="66"/>
        <v>0</v>
      </c>
      <c r="H137" s="9"/>
      <c r="AA137" s="134">
        <f t="shared" ref="AA137:BJ137" si="72">IF(SUMIFS($AA50:$BJ50, $AA$3:$BJ$3, AA$3, $AA$4:$BJ$4, 1)=0, 0,(AA50/SUMIFS($AA50:$BJ50, $AA$3:$BJ$3, AA$3, $AA$4:$BJ$4, 1))*AA$4)</f>
        <v>0</v>
      </c>
      <c r="AB137" s="55">
        <f t="shared" si="72"/>
        <v>0</v>
      </c>
      <c r="AC137" s="55">
        <f t="shared" si="72"/>
        <v>0</v>
      </c>
      <c r="AD137" s="55">
        <f t="shared" si="72"/>
        <v>0</v>
      </c>
      <c r="AE137" s="55">
        <f t="shared" si="72"/>
        <v>0</v>
      </c>
      <c r="AF137" s="55">
        <f t="shared" si="72"/>
        <v>0</v>
      </c>
      <c r="AG137" s="55">
        <f t="shared" si="72"/>
        <v>0</v>
      </c>
      <c r="AH137" s="55">
        <f t="shared" si="72"/>
        <v>0</v>
      </c>
      <c r="AI137" s="55">
        <f t="shared" si="72"/>
        <v>0</v>
      </c>
      <c r="AJ137" s="55">
        <f t="shared" si="72"/>
        <v>0</v>
      </c>
      <c r="AK137" s="55">
        <f t="shared" si="72"/>
        <v>0</v>
      </c>
      <c r="AL137" s="55">
        <f t="shared" si="72"/>
        <v>0</v>
      </c>
      <c r="AM137" s="55">
        <f t="shared" si="72"/>
        <v>0</v>
      </c>
      <c r="AN137" s="55">
        <f t="shared" si="72"/>
        <v>0</v>
      </c>
      <c r="AO137" s="55">
        <f t="shared" si="72"/>
        <v>0</v>
      </c>
      <c r="AP137" s="55">
        <f t="shared" si="72"/>
        <v>0</v>
      </c>
      <c r="AQ137" s="55">
        <f t="shared" si="72"/>
        <v>0</v>
      </c>
      <c r="AR137" s="55">
        <f t="shared" si="72"/>
        <v>0</v>
      </c>
      <c r="AS137" s="55">
        <f t="shared" si="72"/>
        <v>0</v>
      </c>
      <c r="AT137" s="55">
        <f t="shared" si="72"/>
        <v>0</v>
      </c>
      <c r="AU137" s="55">
        <f t="shared" si="72"/>
        <v>0</v>
      </c>
      <c r="AV137" s="55">
        <f t="shared" si="72"/>
        <v>0</v>
      </c>
      <c r="AW137" s="55">
        <f t="shared" si="72"/>
        <v>0</v>
      </c>
      <c r="AX137" s="55">
        <f t="shared" si="72"/>
        <v>0</v>
      </c>
      <c r="AY137" s="55">
        <f t="shared" si="72"/>
        <v>0</v>
      </c>
      <c r="AZ137" s="55">
        <f t="shared" si="72"/>
        <v>0</v>
      </c>
      <c r="BA137" s="55">
        <f t="shared" si="72"/>
        <v>0</v>
      </c>
      <c r="BB137" s="55">
        <f t="shared" si="72"/>
        <v>0</v>
      </c>
      <c r="BC137" s="55">
        <f t="shared" si="72"/>
        <v>0</v>
      </c>
      <c r="BD137" s="55">
        <f t="shared" si="72"/>
        <v>0</v>
      </c>
      <c r="BE137" s="55">
        <f t="shared" si="72"/>
        <v>0</v>
      </c>
      <c r="BF137" s="55">
        <f t="shared" si="72"/>
        <v>0</v>
      </c>
      <c r="BG137" s="55">
        <f t="shared" si="72"/>
        <v>0</v>
      </c>
      <c r="BH137" s="55">
        <f t="shared" si="72"/>
        <v>0</v>
      </c>
      <c r="BI137" s="55">
        <f t="shared" si="72"/>
        <v>0</v>
      </c>
      <c r="BJ137" s="55">
        <f t="shared" si="72"/>
        <v>0</v>
      </c>
      <c r="CK137" s="11"/>
      <c r="CL137" s="221">
        <f t="shared" si="59"/>
        <v>0</v>
      </c>
      <c r="CM137" s="11"/>
      <c r="CN137" s="7">
        <f t="shared" si="60"/>
        <v>0</v>
      </c>
      <c r="CO137" s="7">
        <f t="shared" si="61"/>
        <v>0</v>
      </c>
      <c r="CP137" s="7">
        <f t="shared" si="62"/>
        <v>0</v>
      </c>
      <c r="CR137" s="35"/>
      <c r="EY137" s="10" t="str">
        <f t="shared" si="55"/>
        <v/>
      </c>
    </row>
    <row r="138" spans="1:155" x14ac:dyDescent="0.35">
      <c r="A138" s="220" cm="1">
        <f t="array" aca="1" ref="A138" ca="1">HYPERLINK(CONCATENATE("#",CELL("address",IF(MAX($CM138:$CR138)=0,A138,INDEX($CM138:$CR138,MATCH(1,$CM138:$CR138,0))))),MAX($CM138:$CR138))</f>
        <v>0</v>
      </c>
      <c r="D138" s="10">
        <f t="shared" si="66"/>
        <v>0</v>
      </c>
      <c r="H138" s="9"/>
      <c r="AA138" s="134">
        <f t="shared" ref="AA138:BJ138" si="73">IF(SUMIFS($AA51:$BJ51, $AA$3:$BJ$3, AA$3, $AA$4:$BJ$4, 1)=0, 0,(AA51/SUMIFS($AA51:$BJ51, $AA$3:$BJ$3, AA$3, $AA$4:$BJ$4, 1))*AA$4)</f>
        <v>0</v>
      </c>
      <c r="AB138" s="55">
        <f t="shared" si="73"/>
        <v>0</v>
      </c>
      <c r="AC138" s="55">
        <f t="shared" si="73"/>
        <v>0</v>
      </c>
      <c r="AD138" s="55">
        <f t="shared" si="73"/>
        <v>0</v>
      </c>
      <c r="AE138" s="55">
        <f t="shared" si="73"/>
        <v>0</v>
      </c>
      <c r="AF138" s="55">
        <f t="shared" si="73"/>
        <v>0</v>
      </c>
      <c r="AG138" s="55">
        <f t="shared" si="73"/>
        <v>0</v>
      </c>
      <c r="AH138" s="55">
        <f t="shared" si="73"/>
        <v>0</v>
      </c>
      <c r="AI138" s="55">
        <f t="shared" si="73"/>
        <v>0</v>
      </c>
      <c r="AJ138" s="55">
        <f t="shared" si="73"/>
        <v>0</v>
      </c>
      <c r="AK138" s="55">
        <f t="shared" si="73"/>
        <v>0</v>
      </c>
      <c r="AL138" s="55">
        <f t="shared" si="73"/>
        <v>0</v>
      </c>
      <c r="AM138" s="55">
        <f t="shared" si="73"/>
        <v>0</v>
      </c>
      <c r="AN138" s="55">
        <f t="shared" si="73"/>
        <v>0</v>
      </c>
      <c r="AO138" s="55">
        <f t="shared" si="73"/>
        <v>0</v>
      </c>
      <c r="AP138" s="55">
        <f t="shared" si="73"/>
        <v>0</v>
      </c>
      <c r="AQ138" s="55">
        <f t="shared" si="73"/>
        <v>0</v>
      </c>
      <c r="AR138" s="55">
        <f t="shared" si="73"/>
        <v>0</v>
      </c>
      <c r="AS138" s="55">
        <f t="shared" si="73"/>
        <v>0</v>
      </c>
      <c r="AT138" s="55">
        <f t="shared" si="73"/>
        <v>0</v>
      </c>
      <c r="AU138" s="55">
        <f t="shared" si="73"/>
        <v>0</v>
      </c>
      <c r="AV138" s="55">
        <f t="shared" si="73"/>
        <v>0</v>
      </c>
      <c r="AW138" s="55">
        <f t="shared" si="73"/>
        <v>0</v>
      </c>
      <c r="AX138" s="55">
        <f t="shared" si="73"/>
        <v>0</v>
      </c>
      <c r="AY138" s="55">
        <f t="shared" si="73"/>
        <v>0</v>
      </c>
      <c r="AZ138" s="55">
        <f t="shared" si="73"/>
        <v>0</v>
      </c>
      <c r="BA138" s="55">
        <f t="shared" si="73"/>
        <v>0</v>
      </c>
      <c r="BB138" s="55">
        <f t="shared" si="73"/>
        <v>0</v>
      </c>
      <c r="BC138" s="55">
        <f t="shared" si="73"/>
        <v>0</v>
      </c>
      <c r="BD138" s="55">
        <f t="shared" si="73"/>
        <v>0</v>
      </c>
      <c r="BE138" s="55">
        <f t="shared" si="73"/>
        <v>0</v>
      </c>
      <c r="BF138" s="55">
        <f t="shared" si="73"/>
        <v>0</v>
      </c>
      <c r="BG138" s="55">
        <f t="shared" si="73"/>
        <v>0</v>
      </c>
      <c r="BH138" s="55">
        <f t="shared" si="73"/>
        <v>0</v>
      </c>
      <c r="BI138" s="55">
        <f t="shared" si="73"/>
        <v>0</v>
      </c>
      <c r="BJ138" s="55">
        <f t="shared" si="73"/>
        <v>0</v>
      </c>
      <c r="CK138" s="11"/>
      <c r="CL138" s="221">
        <f t="shared" si="59"/>
        <v>0</v>
      </c>
      <c r="CM138" s="11"/>
      <c r="CN138" s="7">
        <f t="shared" si="60"/>
        <v>0</v>
      </c>
      <c r="CO138" s="7">
        <f t="shared" si="61"/>
        <v>0</v>
      </c>
      <c r="CP138" s="7">
        <f t="shared" si="62"/>
        <v>0</v>
      </c>
      <c r="CR138" s="35"/>
      <c r="EY138" s="10" t="str">
        <f t="shared" si="55"/>
        <v/>
      </c>
    </row>
    <row r="139" spans="1:155" x14ac:dyDescent="0.35">
      <c r="A139" s="220" cm="1">
        <f t="array" aca="1" ref="A139" ca="1">HYPERLINK(CONCATENATE("#",CELL("address",IF(MAX($CM139:$CR139)=0,A139,INDEX($CM139:$CR139,MATCH(1,$CM139:$CR139,0))))),MAX($CM139:$CR139))</f>
        <v>0</v>
      </c>
      <c r="D139" s="10">
        <f t="shared" si="66"/>
        <v>0</v>
      </c>
      <c r="H139" s="9"/>
      <c r="AA139" s="134">
        <f t="shared" ref="AA139:BJ139" si="74">IF(SUMIFS($AA52:$BJ52, $AA$3:$BJ$3, AA$3, $AA$4:$BJ$4, 1)=0, 0,(AA52/SUMIFS($AA52:$BJ52, $AA$3:$BJ$3, AA$3, $AA$4:$BJ$4, 1))*AA$4)</f>
        <v>0</v>
      </c>
      <c r="AB139" s="55">
        <f t="shared" si="74"/>
        <v>0</v>
      </c>
      <c r="AC139" s="55">
        <f t="shared" si="74"/>
        <v>0</v>
      </c>
      <c r="AD139" s="55">
        <f t="shared" si="74"/>
        <v>0</v>
      </c>
      <c r="AE139" s="55">
        <f t="shared" si="74"/>
        <v>0</v>
      </c>
      <c r="AF139" s="55">
        <f t="shared" si="74"/>
        <v>0</v>
      </c>
      <c r="AG139" s="55">
        <f t="shared" si="74"/>
        <v>0</v>
      </c>
      <c r="AH139" s="55">
        <f t="shared" si="74"/>
        <v>0</v>
      </c>
      <c r="AI139" s="55">
        <f t="shared" si="74"/>
        <v>0</v>
      </c>
      <c r="AJ139" s="55">
        <f t="shared" si="74"/>
        <v>0</v>
      </c>
      <c r="AK139" s="55">
        <f t="shared" si="74"/>
        <v>0</v>
      </c>
      <c r="AL139" s="55">
        <f t="shared" si="74"/>
        <v>0</v>
      </c>
      <c r="AM139" s="55">
        <f t="shared" si="74"/>
        <v>0</v>
      </c>
      <c r="AN139" s="55">
        <f t="shared" si="74"/>
        <v>0</v>
      </c>
      <c r="AO139" s="55">
        <f t="shared" si="74"/>
        <v>0</v>
      </c>
      <c r="AP139" s="55">
        <f t="shared" si="74"/>
        <v>0</v>
      </c>
      <c r="AQ139" s="55">
        <f t="shared" si="74"/>
        <v>0</v>
      </c>
      <c r="AR139" s="55">
        <f t="shared" si="74"/>
        <v>0</v>
      </c>
      <c r="AS139" s="55">
        <f t="shared" si="74"/>
        <v>0</v>
      </c>
      <c r="AT139" s="55">
        <f t="shared" si="74"/>
        <v>0</v>
      </c>
      <c r="AU139" s="55">
        <f t="shared" si="74"/>
        <v>0</v>
      </c>
      <c r="AV139" s="55">
        <f t="shared" si="74"/>
        <v>0</v>
      </c>
      <c r="AW139" s="55">
        <f t="shared" si="74"/>
        <v>0</v>
      </c>
      <c r="AX139" s="55">
        <f t="shared" si="74"/>
        <v>0</v>
      </c>
      <c r="AY139" s="55">
        <f t="shared" si="74"/>
        <v>0</v>
      </c>
      <c r="AZ139" s="55">
        <f t="shared" si="74"/>
        <v>0</v>
      </c>
      <c r="BA139" s="55">
        <f t="shared" si="74"/>
        <v>0</v>
      </c>
      <c r="BB139" s="55">
        <f t="shared" si="74"/>
        <v>0</v>
      </c>
      <c r="BC139" s="55">
        <f t="shared" si="74"/>
        <v>0</v>
      </c>
      <c r="BD139" s="55">
        <f t="shared" si="74"/>
        <v>0</v>
      </c>
      <c r="BE139" s="55">
        <f t="shared" si="74"/>
        <v>0</v>
      </c>
      <c r="BF139" s="55">
        <f t="shared" si="74"/>
        <v>0</v>
      </c>
      <c r="BG139" s="55">
        <f t="shared" si="74"/>
        <v>0</v>
      </c>
      <c r="BH139" s="55">
        <f t="shared" si="74"/>
        <v>0</v>
      </c>
      <c r="BI139" s="55">
        <f t="shared" si="74"/>
        <v>0</v>
      </c>
      <c r="BJ139" s="55">
        <f t="shared" si="74"/>
        <v>0</v>
      </c>
      <c r="CK139" s="11"/>
      <c r="CL139" s="221">
        <f t="shared" si="59"/>
        <v>0</v>
      </c>
      <c r="CM139" s="11"/>
      <c r="CN139" s="7">
        <f t="shared" si="60"/>
        <v>0</v>
      </c>
      <c r="CO139" s="7">
        <f t="shared" si="61"/>
        <v>0</v>
      </c>
      <c r="CP139" s="7">
        <f t="shared" si="62"/>
        <v>0</v>
      </c>
      <c r="CR139" s="35"/>
      <c r="EY139" s="10" t="str">
        <f t="shared" si="55"/>
        <v/>
      </c>
    </row>
    <row r="140" spans="1:155" x14ac:dyDescent="0.35">
      <c r="A140" s="220" cm="1">
        <f t="array" aca="1" ref="A140" ca="1">HYPERLINK(CONCATENATE("#",CELL("address",IF(MAX($CM140:$CR140)=0,A140,INDEX($CM140:$CR140,MATCH(1,$CM140:$CR140,0))))),MAX($CM140:$CR140))</f>
        <v>0</v>
      </c>
      <c r="D140" s="10">
        <f t="shared" si="66"/>
        <v>0</v>
      </c>
      <c r="H140" s="9"/>
      <c r="AA140" s="134">
        <f t="shared" ref="AA140:BJ140" si="75">IF(SUMIFS($AA53:$BJ53, $AA$3:$BJ$3, AA$3, $AA$4:$BJ$4, 1)=0, 0,(AA53/SUMIFS($AA53:$BJ53, $AA$3:$BJ$3, AA$3, $AA$4:$BJ$4, 1))*AA$4)</f>
        <v>0</v>
      </c>
      <c r="AB140" s="55">
        <f t="shared" si="75"/>
        <v>0</v>
      </c>
      <c r="AC140" s="55">
        <f t="shared" si="75"/>
        <v>0</v>
      </c>
      <c r="AD140" s="55">
        <f t="shared" si="75"/>
        <v>0</v>
      </c>
      <c r="AE140" s="55">
        <f t="shared" si="75"/>
        <v>0</v>
      </c>
      <c r="AF140" s="55">
        <f t="shared" si="75"/>
        <v>0</v>
      </c>
      <c r="AG140" s="55">
        <f t="shared" si="75"/>
        <v>0</v>
      </c>
      <c r="AH140" s="55">
        <f t="shared" si="75"/>
        <v>0</v>
      </c>
      <c r="AI140" s="55">
        <f t="shared" si="75"/>
        <v>0</v>
      </c>
      <c r="AJ140" s="55">
        <f t="shared" si="75"/>
        <v>0</v>
      </c>
      <c r="AK140" s="55">
        <f t="shared" si="75"/>
        <v>0</v>
      </c>
      <c r="AL140" s="55">
        <f t="shared" si="75"/>
        <v>0</v>
      </c>
      <c r="AM140" s="55">
        <f t="shared" si="75"/>
        <v>0</v>
      </c>
      <c r="AN140" s="55">
        <f t="shared" si="75"/>
        <v>0</v>
      </c>
      <c r="AO140" s="55">
        <f t="shared" si="75"/>
        <v>0</v>
      </c>
      <c r="AP140" s="55">
        <f t="shared" si="75"/>
        <v>0</v>
      </c>
      <c r="AQ140" s="55">
        <f t="shared" si="75"/>
        <v>0</v>
      </c>
      <c r="AR140" s="55">
        <f t="shared" si="75"/>
        <v>0</v>
      </c>
      <c r="AS140" s="55">
        <f t="shared" si="75"/>
        <v>0</v>
      </c>
      <c r="AT140" s="55">
        <f t="shared" si="75"/>
        <v>0</v>
      </c>
      <c r="AU140" s="55">
        <f t="shared" si="75"/>
        <v>0</v>
      </c>
      <c r="AV140" s="55">
        <f t="shared" si="75"/>
        <v>0</v>
      </c>
      <c r="AW140" s="55">
        <f t="shared" si="75"/>
        <v>0</v>
      </c>
      <c r="AX140" s="55">
        <f t="shared" si="75"/>
        <v>0</v>
      </c>
      <c r="AY140" s="55">
        <f t="shared" si="75"/>
        <v>0</v>
      </c>
      <c r="AZ140" s="55">
        <f t="shared" si="75"/>
        <v>0</v>
      </c>
      <c r="BA140" s="55">
        <f t="shared" si="75"/>
        <v>0</v>
      </c>
      <c r="BB140" s="55">
        <f t="shared" si="75"/>
        <v>0</v>
      </c>
      <c r="BC140" s="55">
        <f t="shared" si="75"/>
        <v>0</v>
      </c>
      <c r="BD140" s="55">
        <f t="shared" si="75"/>
        <v>0</v>
      </c>
      <c r="BE140" s="55">
        <f t="shared" si="75"/>
        <v>0</v>
      </c>
      <c r="BF140" s="55">
        <f t="shared" si="75"/>
        <v>0</v>
      </c>
      <c r="BG140" s="55">
        <f t="shared" si="75"/>
        <v>0</v>
      </c>
      <c r="BH140" s="55">
        <f t="shared" si="75"/>
        <v>0</v>
      </c>
      <c r="BI140" s="55">
        <f t="shared" si="75"/>
        <v>0</v>
      </c>
      <c r="BJ140" s="55">
        <f t="shared" si="75"/>
        <v>0</v>
      </c>
      <c r="CK140" s="11"/>
      <c r="CL140" s="221">
        <f t="shared" si="59"/>
        <v>0</v>
      </c>
      <c r="CM140" s="11"/>
      <c r="CN140" s="7">
        <f t="shared" si="60"/>
        <v>0</v>
      </c>
      <c r="CO140" s="7">
        <f t="shared" si="61"/>
        <v>0</v>
      </c>
      <c r="CP140" s="7">
        <f t="shared" si="62"/>
        <v>0</v>
      </c>
      <c r="CR140" s="35"/>
      <c r="EY140" s="10" t="str">
        <f t="shared" si="55"/>
        <v/>
      </c>
    </row>
    <row r="141" spans="1:155" x14ac:dyDescent="0.35">
      <c r="A141" s="220" cm="1">
        <f t="array" aca="1" ref="A141" ca="1">HYPERLINK(CONCATENATE("#",CELL("address",IF(MAX($CM141:$CR141)=0,A141,INDEX($CM141:$CR141,MATCH(1,$CM141:$CR141,0))))),MAX($CM141:$CR141))</f>
        <v>0</v>
      </c>
      <c r="D141" s="10">
        <f t="shared" si="66"/>
        <v>0</v>
      </c>
      <c r="H141" s="9"/>
      <c r="AA141" s="134">
        <f t="shared" ref="AA141:BJ141" si="76">IF(SUMIFS($AA54:$BJ54, $AA$3:$BJ$3, AA$3, $AA$4:$BJ$4, 1)=0, 0,(AA54/SUMIFS($AA54:$BJ54, $AA$3:$BJ$3, AA$3, $AA$4:$BJ$4, 1))*AA$4)</f>
        <v>0</v>
      </c>
      <c r="AB141" s="55">
        <f t="shared" si="76"/>
        <v>0</v>
      </c>
      <c r="AC141" s="55">
        <f t="shared" si="76"/>
        <v>0</v>
      </c>
      <c r="AD141" s="55">
        <f t="shared" si="76"/>
        <v>0</v>
      </c>
      <c r="AE141" s="55">
        <f t="shared" si="76"/>
        <v>0</v>
      </c>
      <c r="AF141" s="55">
        <f t="shared" si="76"/>
        <v>0</v>
      </c>
      <c r="AG141" s="55">
        <f t="shared" si="76"/>
        <v>0</v>
      </c>
      <c r="AH141" s="55">
        <f t="shared" si="76"/>
        <v>0</v>
      </c>
      <c r="AI141" s="55">
        <f t="shared" si="76"/>
        <v>0</v>
      </c>
      <c r="AJ141" s="55">
        <f t="shared" si="76"/>
        <v>0</v>
      </c>
      <c r="AK141" s="55">
        <f t="shared" si="76"/>
        <v>0</v>
      </c>
      <c r="AL141" s="55">
        <f t="shared" si="76"/>
        <v>0</v>
      </c>
      <c r="AM141" s="55">
        <f t="shared" si="76"/>
        <v>0</v>
      </c>
      <c r="AN141" s="55">
        <f t="shared" si="76"/>
        <v>0</v>
      </c>
      <c r="AO141" s="55">
        <f t="shared" si="76"/>
        <v>0</v>
      </c>
      <c r="AP141" s="55">
        <f t="shared" si="76"/>
        <v>0</v>
      </c>
      <c r="AQ141" s="55">
        <f t="shared" si="76"/>
        <v>0</v>
      </c>
      <c r="AR141" s="55">
        <f t="shared" si="76"/>
        <v>0</v>
      </c>
      <c r="AS141" s="55">
        <f t="shared" si="76"/>
        <v>0</v>
      </c>
      <c r="AT141" s="55">
        <f t="shared" si="76"/>
        <v>0</v>
      </c>
      <c r="AU141" s="55">
        <f t="shared" si="76"/>
        <v>0</v>
      </c>
      <c r="AV141" s="55">
        <f t="shared" si="76"/>
        <v>0</v>
      </c>
      <c r="AW141" s="55">
        <f t="shared" si="76"/>
        <v>0</v>
      </c>
      <c r="AX141" s="55">
        <f t="shared" si="76"/>
        <v>0</v>
      </c>
      <c r="AY141" s="55">
        <f t="shared" si="76"/>
        <v>0</v>
      </c>
      <c r="AZ141" s="55">
        <f t="shared" si="76"/>
        <v>0</v>
      </c>
      <c r="BA141" s="55">
        <f t="shared" si="76"/>
        <v>0</v>
      </c>
      <c r="BB141" s="55">
        <f t="shared" si="76"/>
        <v>0</v>
      </c>
      <c r="BC141" s="55">
        <f t="shared" si="76"/>
        <v>0</v>
      </c>
      <c r="BD141" s="55">
        <f t="shared" si="76"/>
        <v>0</v>
      </c>
      <c r="BE141" s="55">
        <f t="shared" si="76"/>
        <v>0</v>
      </c>
      <c r="BF141" s="55">
        <f t="shared" si="76"/>
        <v>0</v>
      </c>
      <c r="BG141" s="55">
        <f t="shared" si="76"/>
        <v>0</v>
      </c>
      <c r="BH141" s="55">
        <f t="shared" si="76"/>
        <v>0</v>
      </c>
      <c r="BI141" s="55">
        <f t="shared" si="76"/>
        <v>0</v>
      </c>
      <c r="BJ141" s="55">
        <f t="shared" si="76"/>
        <v>0</v>
      </c>
      <c r="CK141" s="11"/>
      <c r="CL141" s="221">
        <f t="shared" si="59"/>
        <v>0</v>
      </c>
      <c r="CM141" s="11"/>
      <c r="CN141" s="7">
        <f t="shared" si="60"/>
        <v>0</v>
      </c>
      <c r="CO141" s="7">
        <f t="shared" si="61"/>
        <v>0</v>
      </c>
      <c r="CP141" s="7">
        <f t="shared" si="62"/>
        <v>0</v>
      </c>
      <c r="CR141" s="35"/>
      <c r="EY141" s="10" t="str">
        <f t="shared" si="55"/>
        <v/>
      </c>
    </row>
    <row r="142" spans="1:155" x14ac:dyDescent="0.35">
      <c r="A142" s="220" cm="1">
        <f t="array" aca="1" ref="A142" ca="1">HYPERLINK(CONCATENATE("#",CELL("address",IF(MAX($CM142:$CR142)=0,A142,INDEX($CM142:$CR142,MATCH(1,$CM142:$CR142,0))))),MAX($CM142:$CR142))</f>
        <v>0</v>
      </c>
      <c r="D142" s="10">
        <f t="shared" si="66"/>
        <v>0</v>
      </c>
      <c r="H142" s="9"/>
      <c r="AA142" s="134">
        <f t="shared" ref="AA142:BJ142" si="77">IF(SUMIFS($AA55:$BJ55, $AA$3:$BJ$3, AA$3, $AA$4:$BJ$4, 1)=0, 0,(AA55/SUMIFS($AA55:$BJ55, $AA$3:$BJ$3, AA$3, $AA$4:$BJ$4, 1))*AA$4)</f>
        <v>0</v>
      </c>
      <c r="AB142" s="55">
        <f t="shared" si="77"/>
        <v>0</v>
      </c>
      <c r="AC142" s="55">
        <f t="shared" si="77"/>
        <v>0</v>
      </c>
      <c r="AD142" s="55">
        <f t="shared" si="77"/>
        <v>0</v>
      </c>
      <c r="AE142" s="55">
        <f t="shared" si="77"/>
        <v>0</v>
      </c>
      <c r="AF142" s="55">
        <f t="shared" si="77"/>
        <v>0</v>
      </c>
      <c r="AG142" s="55">
        <f t="shared" si="77"/>
        <v>0</v>
      </c>
      <c r="AH142" s="55">
        <f t="shared" si="77"/>
        <v>0</v>
      </c>
      <c r="AI142" s="55">
        <f t="shared" si="77"/>
        <v>0</v>
      </c>
      <c r="AJ142" s="55">
        <f t="shared" si="77"/>
        <v>0</v>
      </c>
      <c r="AK142" s="55">
        <f t="shared" si="77"/>
        <v>0</v>
      </c>
      <c r="AL142" s="55">
        <f t="shared" si="77"/>
        <v>0</v>
      </c>
      <c r="AM142" s="55">
        <f t="shared" si="77"/>
        <v>0</v>
      </c>
      <c r="AN142" s="55">
        <f t="shared" si="77"/>
        <v>0</v>
      </c>
      <c r="AO142" s="55">
        <f t="shared" si="77"/>
        <v>0</v>
      </c>
      <c r="AP142" s="55">
        <f t="shared" si="77"/>
        <v>0</v>
      </c>
      <c r="AQ142" s="55">
        <f t="shared" si="77"/>
        <v>0</v>
      </c>
      <c r="AR142" s="55">
        <f t="shared" si="77"/>
        <v>0</v>
      </c>
      <c r="AS142" s="55">
        <f t="shared" si="77"/>
        <v>0</v>
      </c>
      <c r="AT142" s="55">
        <f t="shared" si="77"/>
        <v>0</v>
      </c>
      <c r="AU142" s="55">
        <f t="shared" si="77"/>
        <v>0</v>
      </c>
      <c r="AV142" s="55">
        <f t="shared" si="77"/>
        <v>0</v>
      </c>
      <c r="AW142" s="55">
        <f t="shared" si="77"/>
        <v>0</v>
      </c>
      <c r="AX142" s="55">
        <f t="shared" si="77"/>
        <v>0</v>
      </c>
      <c r="AY142" s="55">
        <f t="shared" si="77"/>
        <v>0</v>
      </c>
      <c r="AZ142" s="55">
        <f t="shared" si="77"/>
        <v>0</v>
      </c>
      <c r="BA142" s="55">
        <f t="shared" si="77"/>
        <v>0</v>
      </c>
      <c r="BB142" s="55">
        <f t="shared" si="77"/>
        <v>0</v>
      </c>
      <c r="BC142" s="55">
        <f t="shared" si="77"/>
        <v>0</v>
      </c>
      <c r="BD142" s="55">
        <f t="shared" si="77"/>
        <v>0</v>
      </c>
      <c r="BE142" s="55">
        <f t="shared" si="77"/>
        <v>0</v>
      </c>
      <c r="BF142" s="55">
        <f t="shared" si="77"/>
        <v>0</v>
      </c>
      <c r="BG142" s="55">
        <f t="shared" si="77"/>
        <v>0</v>
      </c>
      <c r="BH142" s="55">
        <f t="shared" si="77"/>
        <v>0</v>
      </c>
      <c r="BI142" s="55">
        <f t="shared" si="77"/>
        <v>0</v>
      </c>
      <c r="BJ142" s="55">
        <f t="shared" si="77"/>
        <v>0</v>
      </c>
      <c r="CK142" s="11"/>
      <c r="CL142" s="221">
        <f t="shared" si="59"/>
        <v>0</v>
      </c>
      <c r="CM142" s="11"/>
      <c r="CN142" s="7">
        <f t="shared" si="60"/>
        <v>0</v>
      </c>
      <c r="CO142" s="7">
        <f t="shared" si="61"/>
        <v>0</v>
      </c>
      <c r="CP142" s="7">
        <f t="shared" si="62"/>
        <v>0</v>
      </c>
      <c r="CR142" s="35"/>
      <c r="EY142" s="10" t="str">
        <f t="shared" si="55"/>
        <v/>
      </c>
    </row>
    <row r="143" spans="1:155" x14ac:dyDescent="0.35">
      <c r="A143" s="220" cm="1">
        <f t="array" aca="1" ref="A143" ca="1">HYPERLINK(CONCATENATE("#",CELL("address",IF(MAX($CM143:$CR143)=0,A143,INDEX($CM143:$CR143,MATCH(1,$CM143:$CR143,0))))),MAX($CM143:$CR143))</f>
        <v>0</v>
      </c>
      <c r="D143" s="10">
        <f t="shared" si="66"/>
        <v>0</v>
      </c>
      <c r="H143" s="9"/>
      <c r="AA143" s="134">
        <f t="shared" ref="AA143:BJ143" si="78">IF(SUMIFS($AA56:$BJ56, $AA$3:$BJ$3, AA$3, $AA$4:$BJ$4, 1)=0, 0,(AA56/SUMIFS($AA56:$BJ56, $AA$3:$BJ$3, AA$3, $AA$4:$BJ$4, 1))*AA$4)</f>
        <v>0</v>
      </c>
      <c r="AB143" s="55">
        <f t="shared" si="78"/>
        <v>0</v>
      </c>
      <c r="AC143" s="55">
        <f t="shared" si="78"/>
        <v>0</v>
      </c>
      <c r="AD143" s="55">
        <f t="shared" si="78"/>
        <v>0</v>
      </c>
      <c r="AE143" s="55">
        <f t="shared" si="78"/>
        <v>0</v>
      </c>
      <c r="AF143" s="55">
        <f t="shared" si="78"/>
        <v>0</v>
      </c>
      <c r="AG143" s="55">
        <f t="shared" si="78"/>
        <v>0</v>
      </c>
      <c r="AH143" s="55">
        <f t="shared" si="78"/>
        <v>0</v>
      </c>
      <c r="AI143" s="55">
        <f t="shared" si="78"/>
        <v>0</v>
      </c>
      <c r="AJ143" s="55">
        <f t="shared" si="78"/>
        <v>0</v>
      </c>
      <c r="AK143" s="55">
        <f t="shared" si="78"/>
        <v>0</v>
      </c>
      <c r="AL143" s="55">
        <f t="shared" si="78"/>
        <v>0</v>
      </c>
      <c r="AM143" s="55">
        <f t="shared" si="78"/>
        <v>0</v>
      </c>
      <c r="AN143" s="55">
        <f t="shared" si="78"/>
        <v>0</v>
      </c>
      <c r="AO143" s="55">
        <f t="shared" si="78"/>
        <v>0</v>
      </c>
      <c r="AP143" s="55">
        <f t="shared" si="78"/>
        <v>0</v>
      </c>
      <c r="AQ143" s="55">
        <f t="shared" si="78"/>
        <v>0</v>
      </c>
      <c r="AR143" s="55">
        <f t="shared" si="78"/>
        <v>0</v>
      </c>
      <c r="AS143" s="55">
        <f t="shared" si="78"/>
        <v>0</v>
      </c>
      <c r="AT143" s="55">
        <f t="shared" si="78"/>
        <v>0</v>
      </c>
      <c r="AU143" s="55">
        <f t="shared" si="78"/>
        <v>0</v>
      </c>
      <c r="AV143" s="55">
        <f t="shared" si="78"/>
        <v>0</v>
      </c>
      <c r="AW143" s="55">
        <f t="shared" si="78"/>
        <v>0</v>
      </c>
      <c r="AX143" s="55">
        <f t="shared" si="78"/>
        <v>0</v>
      </c>
      <c r="AY143" s="55">
        <f t="shared" si="78"/>
        <v>0</v>
      </c>
      <c r="AZ143" s="55">
        <f t="shared" si="78"/>
        <v>0</v>
      </c>
      <c r="BA143" s="55">
        <f t="shared" si="78"/>
        <v>0</v>
      </c>
      <c r="BB143" s="55">
        <f t="shared" si="78"/>
        <v>0</v>
      </c>
      <c r="BC143" s="55">
        <f t="shared" si="78"/>
        <v>0</v>
      </c>
      <c r="BD143" s="55">
        <f t="shared" si="78"/>
        <v>0</v>
      </c>
      <c r="BE143" s="55">
        <f t="shared" si="78"/>
        <v>0</v>
      </c>
      <c r="BF143" s="55">
        <f t="shared" si="78"/>
        <v>0</v>
      </c>
      <c r="BG143" s="55">
        <f t="shared" si="78"/>
        <v>0</v>
      </c>
      <c r="BH143" s="55">
        <f t="shared" si="78"/>
        <v>0</v>
      </c>
      <c r="BI143" s="55">
        <f t="shared" si="78"/>
        <v>0</v>
      </c>
      <c r="BJ143" s="55">
        <f t="shared" si="78"/>
        <v>0</v>
      </c>
      <c r="CK143" s="11"/>
      <c r="CL143" s="221">
        <f t="shared" si="59"/>
        <v>0</v>
      </c>
      <c r="CM143" s="11"/>
      <c r="CN143" s="7">
        <f t="shared" si="60"/>
        <v>0</v>
      </c>
      <c r="CO143" s="7">
        <f t="shared" si="61"/>
        <v>0</v>
      </c>
      <c r="CP143" s="7">
        <f t="shared" si="62"/>
        <v>0</v>
      </c>
      <c r="CR143" s="35"/>
      <c r="EY143" s="10" t="str">
        <f t="shared" si="55"/>
        <v/>
      </c>
    </row>
    <row r="144" spans="1:155" x14ac:dyDescent="0.35">
      <c r="A144" s="220" cm="1">
        <f t="array" aca="1" ref="A144" ca="1">HYPERLINK(CONCATENATE("#",CELL("address",IF(MAX($CM144:$CR144)=0,A144,INDEX($CM144:$CR144,MATCH(1,$CM144:$CR144,0))))),MAX($CM144:$CR144))</f>
        <v>0</v>
      </c>
      <c r="D144" s="10">
        <f t="shared" si="66"/>
        <v>0</v>
      </c>
      <c r="H144" s="9"/>
      <c r="AA144" s="134">
        <f t="shared" ref="AA144:BJ144" si="79">IF(SUMIFS($AA57:$BJ57, $AA$3:$BJ$3, AA$3, $AA$4:$BJ$4, 1)=0, 0,(AA57/SUMIFS($AA57:$BJ57, $AA$3:$BJ$3, AA$3, $AA$4:$BJ$4, 1))*AA$4)</f>
        <v>0</v>
      </c>
      <c r="AB144" s="55">
        <f t="shared" si="79"/>
        <v>0</v>
      </c>
      <c r="AC144" s="55">
        <f t="shared" si="79"/>
        <v>0</v>
      </c>
      <c r="AD144" s="55">
        <f t="shared" si="79"/>
        <v>0</v>
      </c>
      <c r="AE144" s="55">
        <f t="shared" si="79"/>
        <v>0</v>
      </c>
      <c r="AF144" s="55">
        <f t="shared" si="79"/>
        <v>0</v>
      </c>
      <c r="AG144" s="55">
        <f t="shared" si="79"/>
        <v>0</v>
      </c>
      <c r="AH144" s="55">
        <f t="shared" si="79"/>
        <v>0</v>
      </c>
      <c r="AI144" s="55">
        <f t="shared" si="79"/>
        <v>0</v>
      </c>
      <c r="AJ144" s="55">
        <f t="shared" si="79"/>
        <v>0</v>
      </c>
      <c r="AK144" s="55">
        <f t="shared" si="79"/>
        <v>0</v>
      </c>
      <c r="AL144" s="55">
        <f t="shared" si="79"/>
        <v>0</v>
      </c>
      <c r="AM144" s="55">
        <f t="shared" si="79"/>
        <v>0</v>
      </c>
      <c r="AN144" s="55">
        <f t="shared" si="79"/>
        <v>0</v>
      </c>
      <c r="AO144" s="55">
        <f t="shared" si="79"/>
        <v>0</v>
      </c>
      <c r="AP144" s="55">
        <f t="shared" si="79"/>
        <v>0</v>
      </c>
      <c r="AQ144" s="55">
        <f t="shared" si="79"/>
        <v>0</v>
      </c>
      <c r="AR144" s="55">
        <f t="shared" si="79"/>
        <v>0</v>
      </c>
      <c r="AS144" s="55">
        <f t="shared" si="79"/>
        <v>0</v>
      </c>
      <c r="AT144" s="55">
        <f t="shared" si="79"/>
        <v>0</v>
      </c>
      <c r="AU144" s="55">
        <f t="shared" si="79"/>
        <v>0</v>
      </c>
      <c r="AV144" s="55">
        <f t="shared" si="79"/>
        <v>0</v>
      </c>
      <c r="AW144" s="55">
        <f t="shared" si="79"/>
        <v>0</v>
      </c>
      <c r="AX144" s="55">
        <f t="shared" si="79"/>
        <v>0</v>
      </c>
      <c r="AY144" s="55">
        <f t="shared" si="79"/>
        <v>0</v>
      </c>
      <c r="AZ144" s="55">
        <f t="shared" si="79"/>
        <v>0</v>
      </c>
      <c r="BA144" s="55">
        <f t="shared" si="79"/>
        <v>0</v>
      </c>
      <c r="BB144" s="55">
        <f t="shared" si="79"/>
        <v>0</v>
      </c>
      <c r="BC144" s="55">
        <f t="shared" si="79"/>
        <v>0</v>
      </c>
      <c r="BD144" s="55">
        <f t="shared" si="79"/>
        <v>0</v>
      </c>
      <c r="BE144" s="55">
        <f t="shared" si="79"/>
        <v>0</v>
      </c>
      <c r="BF144" s="55">
        <f t="shared" si="79"/>
        <v>0</v>
      </c>
      <c r="BG144" s="55">
        <f t="shared" si="79"/>
        <v>0</v>
      </c>
      <c r="BH144" s="55">
        <f t="shared" si="79"/>
        <v>0</v>
      </c>
      <c r="BI144" s="55">
        <f t="shared" si="79"/>
        <v>0</v>
      </c>
      <c r="BJ144" s="55">
        <f t="shared" si="79"/>
        <v>0</v>
      </c>
      <c r="CK144" s="11"/>
      <c r="CL144" s="221">
        <f t="shared" si="59"/>
        <v>0</v>
      </c>
      <c r="CM144" s="11"/>
      <c r="CN144" s="7">
        <f t="shared" si="60"/>
        <v>0</v>
      </c>
      <c r="CO144" s="7">
        <f t="shared" si="61"/>
        <v>0</v>
      </c>
      <c r="CP144" s="7">
        <f t="shared" si="62"/>
        <v>0</v>
      </c>
      <c r="CR144" s="35"/>
      <c r="EY144" s="10" t="str">
        <f t="shared" si="55"/>
        <v/>
      </c>
    </row>
    <row r="145" spans="1:155" x14ac:dyDescent="0.35">
      <c r="A145" s="220" cm="1">
        <f t="array" aca="1" ref="A145" ca="1">HYPERLINK(CONCATENATE("#",CELL("address",IF(MAX($CM145:$CR145)=0,A145,INDEX($CM145:$CR145,MATCH(1,$CM145:$CR145,0))))),MAX($CM145:$CR145))</f>
        <v>0</v>
      </c>
      <c r="D145" s="10">
        <f t="shared" si="66"/>
        <v>0</v>
      </c>
      <c r="H145" s="9"/>
      <c r="AA145" s="134">
        <f t="shared" ref="AA145:BJ145" si="80">IF(SUMIFS($AA58:$BJ58, $AA$3:$BJ$3, AA$3, $AA$4:$BJ$4, 1)=0, 0,(AA58/SUMIFS($AA58:$BJ58, $AA$3:$BJ$3, AA$3, $AA$4:$BJ$4, 1))*AA$4)</f>
        <v>0</v>
      </c>
      <c r="AB145" s="55">
        <f t="shared" si="80"/>
        <v>0</v>
      </c>
      <c r="AC145" s="55">
        <f t="shared" si="80"/>
        <v>0</v>
      </c>
      <c r="AD145" s="55">
        <f t="shared" si="80"/>
        <v>0</v>
      </c>
      <c r="AE145" s="55">
        <f t="shared" si="80"/>
        <v>0</v>
      </c>
      <c r="AF145" s="55">
        <f t="shared" si="80"/>
        <v>0</v>
      </c>
      <c r="AG145" s="55">
        <f t="shared" si="80"/>
        <v>0</v>
      </c>
      <c r="AH145" s="55">
        <f t="shared" si="80"/>
        <v>0</v>
      </c>
      <c r="AI145" s="55">
        <f t="shared" si="80"/>
        <v>0</v>
      </c>
      <c r="AJ145" s="55">
        <f t="shared" si="80"/>
        <v>0</v>
      </c>
      <c r="AK145" s="55">
        <f t="shared" si="80"/>
        <v>0</v>
      </c>
      <c r="AL145" s="55">
        <f t="shared" si="80"/>
        <v>0</v>
      </c>
      <c r="AM145" s="55">
        <f t="shared" si="80"/>
        <v>0</v>
      </c>
      <c r="AN145" s="55">
        <f t="shared" si="80"/>
        <v>0</v>
      </c>
      <c r="AO145" s="55">
        <f t="shared" si="80"/>
        <v>0</v>
      </c>
      <c r="AP145" s="55">
        <f t="shared" si="80"/>
        <v>0</v>
      </c>
      <c r="AQ145" s="55">
        <f t="shared" si="80"/>
        <v>0</v>
      </c>
      <c r="AR145" s="55">
        <f t="shared" si="80"/>
        <v>0</v>
      </c>
      <c r="AS145" s="55">
        <f t="shared" si="80"/>
        <v>0</v>
      </c>
      <c r="AT145" s="55">
        <f t="shared" si="80"/>
        <v>0</v>
      </c>
      <c r="AU145" s="55">
        <f t="shared" si="80"/>
        <v>0</v>
      </c>
      <c r="AV145" s="55">
        <f t="shared" si="80"/>
        <v>0</v>
      </c>
      <c r="AW145" s="55">
        <f t="shared" si="80"/>
        <v>0</v>
      </c>
      <c r="AX145" s="55">
        <f t="shared" si="80"/>
        <v>0</v>
      </c>
      <c r="AY145" s="55">
        <f t="shared" si="80"/>
        <v>0</v>
      </c>
      <c r="AZ145" s="55">
        <f t="shared" si="80"/>
        <v>0</v>
      </c>
      <c r="BA145" s="55">
        <f t="shared" si="80"/>
        <v>0</v>
      </c>
      <c r="BB145" s="55">
        <f t="shared" si="80"/>
        <v>0</v>
      </c>
      <c r="BC145" s="55">
        <f t="shared" si="80"/>
        <v>0</v>
      </c>
      <c r="BD145" s="55">
        <f t="shared" si="80"/>
        <v>0</v>
      </c>
      <c r="BE145" s="55">
        <f t="shared" si="80"/>
        <v>0</v>
      </c>
      <c r="BF145" s="55">
        <f t="shared" si="80"/>
        <v>0</v>
      </c>
      <c r="BG145" s="55">
        <f t="shared" si="80"/>
        <v>0</v>
      </c>
      <c r="BH145" s="55">
        <f t="shared" si="80"/>
        <v>0</v>
      </c>
      <c r="BI145" s="55">
        <f t="shared" si="80"/>
        <v>0</v>
      </c>
      <c r="BJ145" s="55">
        <f t="shared" si="80"/>
        <v>0</v>
      </c>
      <c r="CK145" s="11"/>
      <c r="CL145" s="221">
        <f t="shared" si="59"/>
        <v>0</v>
      </c>
      <c r="CM145" s="11"/>
      <c r="CN145" s="7">
        <f t="shared" si="60"/>
        <v>0</v>
      </c>
      <c r="CO145" s="7">
        <f t="shared" si="61"/>
        <v>0</v>
      </c>
      <c r="CP145" s="7">
        <f t="shared" si="62"/>
        <v>0</v>
      </c>
      <c r="CR145" s="35"/>
      <c r="EY145" s="10" t="str">
        <f t="shared" si="55"/>
        <v/>
      </c>
    </row>
    <row r="146" spans="1:155" x14ac:dyDescent="0.35">
      <c r="A146" s="220" cm="1">
        <f t="array" aca="1" ref="A146" ca="1">HYPERLINK(CONCATENATE("#",CELL("address",IF(MAX($CM146:$CR146)=0,A146,INDEX($CM146:$CR146,MATCH(1,$CM146:$CR146,0))))),MAX($CM146:$CR146))</f>
        <v>0</v>
      </c>
      <c r="D146" s="10">
        <f t="shared" si="66"/>
        <v>0</v>
      </c>
      <c r="H146" s="9"/>
      <c r="AA146" s="134">
        <f t="shared" ref="AA146:BJ146" si="81">IF(SUMIFS($AA59:$BJ59, $AA$3:$BJ$3, AA$3, $AA$4:$BJ$4, 1)=0, 0,(AA59/SUMIFS($AA59:$BJ59, $AA$3:$BJ$3, AA$3, $AA$4:$BJ$4, 1))*AA$4)</f>
        <v>0</v>
      </c>
      <c r="AB146" s="55">
        <f t="shared" si="81"/>
        <v>0</v>
      </c>
      <c r="AC146" s="55">
        <f t="shared" si="81"/>
        <v>0</v>
      </c>
      <c r="AD146" s="55">
        <f t="shared" si="81"/>
        <v>0</v>
      </c>
      <c r="AE146" s="55">
        <f t="shared" si="81"/>
        <v>0</v>
      </c>
      <c r="AF146" s="55">
        <f t="shared" si="81"/>
        <v>0</v>
      </c>
      <c r="AG146" s="55">
        <f t="shared" si="81"/>
        <v>0</v>
      </c>
      <c r="AH146" s="55">
        <f t="shared" si="81"/>
        <v>0</v>
      </c>
      <c r="AI146" s="55">
        <f t="shared" si="81"/>
        <v>0</v>
      </c>
      <c r="AJ146" s="55">
        <f t="shared" si="81"/>
        <v>0</v>
      </c>
      <c r="AK146" s="55">
        <f t="shared" si="81"/>
        <v>0</v>
      </c>
      <c r="AL146" s="55">
        <f t="shared" si="81"/>
        <v>0</v>
      </c>
      <c r="AM146" s="55">
        <f t="shared" si="81"/>
        <v>0</v>
      </c>
      <c r="AN146" s="55">
        <f t="shared" si="81"/>
        <v>0</v>
      </c>
      <c r="AO146" s="55">
        <f t="shared" si="81"/>
        <v>0</v>
      </c>
      <c r="AP146" s="55">
        <f t="shared" si="81"/>
        <v>0</v>
      </c>
      <c r="AQ146" s="55">
        <f t="shared" si="81"/>
        <v>0</v>
      </c>
      <c r="AR146" s="55">
        <f t="shared" si="81"/>
        <v>0</v>
      </c>
      <c r="AS146" s="55">
        <f t="shared" si="81"/>
        <v>0</v>
      </c>
      <c r="AT146" s="55">
        <f t="shared" si="81"/>
        <v>0</v>
      </c>
      <c r="AU146" s="55">
        <f t="shared" si="81"/>
        <v>0</v>
      </c>
      <c r="AV146" s="55">
        <f t="shared" si="81"/>
        <v>0</v>
      </c>
      <c r="AW146" s="55">
        <f t="shared" si="81"/>
        <v>0</v>
      </c>
      <c r="AX146" s="55">
        <f t="shared" si="81"/>
        <v>0</v>
      </c>
      <c r="AY146" s="55">
        <f t="shared" si="81"/>
        <v>0</v>
      </c>
      <c r="AZ146" s="55">
        <f t="shared" si="81"/>
        <v>0</v>
      </c>
      <c r="BA146" s="55">
        <f t="shared" si="81"/>
        <v>0</v>
      </c>
      <c r="BB146" s="55">
        <f t="shared" si="81"/>
        <v>0</v>
      </c>
      <c r="BC146" s="55">
        <f t="shared" si="81"/>
        <v>0</v>
      </c>
      <c r="BD146" s="55">
        <f t="shared" si="81"/>
        <v>0</v>
      </c>
      <c r="BE146" s="55">
        <f t="shared" si="81"/>
        <v>0</v>
      </c>
      <c r="BF146" s="55">
        <f t="shared" si="81"/>
        <v>0</v>
      </c>
      <c r="BG146" s="55">
        <f t="shared" si="81"/>
        <v>0</v>
      </c>
      <c r="BH146" s="55">
        <f t="shared" si="81"/>
        <v>0</v>
      </c>
      <c r="BI146" s="55">
        <f t="shared" si="81"/>
        <v>0</v>
      </c>
      <c r="BJ146" s="55">
        <f t="shared" si="81"/>
        <v>0</v>
      </c>
      <c r="CK146" s="11"/>
      <c r="CL146" s="221">
        <f t="shared" si="59"/>
        <v>0</v>
      </c>
      <c r="CM146" s="11"/>
      <c r="CN146" s="7">
        <f t="shared" si="60"/>
        <v>0</v>
      </c>
      <c r="CO146" s="7">
        <f t="shared" si="61"/>
        <v>0</v>
      </c>
      <c r="CP146" s="7">
        <f t="shared" si="62"/>
        <v>0</v>
      </c>
      <c r="CR146" s="35"/>
      <c r="EY146" s="10" t="str">
        <f t="shared" si="55"/>
        <v/>
      </c>
    </row>
    <row r="147" spans="1:155" x14ac:dyDescent="0.35">
      <c r="A147" s="220" cm="1">
        <f t="array" aca="1" ref="A147" ca="1">HYPERLINK(CONCATENATE("#",CELL("address",IF(MAX($CM147:$CR147)=0,A147,INDEX($CM147:$CR147,MATCH(1,$CM147:$CR147,0))))),MAX($CM147:$CR147))</f>
        <v>0</v>
      </c>
      <c r="D147" s="10">
        <f t="shared" si="66"/>
        <v>0</v>
      </c>
      <c r="H147" s="9"/>
      <c r="AA147" s="134">
        <f t="shared" ref="AA147:BJ147" si="82">IF(SUMIFS($AA60:$BJ60, $AA$3:$BJ$3, AA$3, $AA$4:$BJ$4, 1)=0, 0,(AA60/SUMIFS($AA60:$BJ60, $AA$3:$BJ$3, AA$3, $AA$4:$BJ$4, 1))*AA$4)</f>
        <v>0</v>
      </c>
      <c r="AB147" s="55">
        <f t="shared" si="82"/>
        <v>0</v>
      </c>
      <c r="AC147" s="55">
        <f t="shared" si="82"/>
        <v>0</v>
      </c>
      <c r="AD147" s="55">
        <f t="shared" si="82"/>
        <v>0</v>
      </c>
      <c r="AE147" s="55">
        <f t="shared" si="82"/>
        <v>0</v>
      </c>
      <c r="AF147" s="55">
        <f t="shared" si="82"/>
        <v>0</v>
      </c>
      <c r="AG147" s="55">
        <f t="shared" si="82"/>
        <v>0</v>
      </c>
      <c r="AH147" s="55">
        <f t="shared" si="82"/>
        <v>0</v>
      </c>
      <c r="AI147" s="55">
        <f t="shared" si="82"/>
        <v>0</v>
      </c>
      <c r="AJ147" s="55">
        <f t="shared" si="82"/>
        <v>0</v>
      </c>
      <c r="AK147" s="55">
        <f t="shared" si="82"/>
        <v>0</v>
      </c>
      <c r="AL147" s="55">
        <f t="shared" si="82"/>
        <v>0</v>
      </c>
      <c r="AM147" s="55">
        <f t="shared" si="82"/>
        <v>0</v>
      </c>
      <c r="AN147" s="55">
        <f t="shared" si="82"/>
        <v>0</v>
      </c>
      <c r="AO147" s="55">
        <f t="shared" si="82"/>
        <v>0</v>
      </c>
      <c r="AP147" s="55">
        <f t="shared" si="82"/>
        <v>0</v>
      </c>
      <c r="AQ147" s="55">
        <f t="shared" si="82"/>
        <v>0</v>
      </c>
      <c r="AR147" s="55">
        <f t="shared" si="82"/>
        <v>0</v>
      </c>
      <c r="AS147" s="55">
        <f t="shared" si="82"/>
        <v>0</v>
      </c>
      <c r="AT147" s="55">
        <f t="shared" si="82"/>
        <v>0</v>
      </c>
      <c r="AU147" s="55">
        <f t="shared" si="82"/>
        <v>0</v>
      </c>
      <c r="AV147" s="55">
        <f t="shared" si="82"/>
        <v>0</v>
      </c>
      <c r="AW147" s="55">
        <f t="shared" si="82"/>
        <v>0</v>
      </c>
      <c r="AX147" s="55">
        <f t="shared" si="82"/>
        <v>0</v>
      </c>
      <c r="AY147" s="55">
        <f t="shared" si="82"/>
        <v>0</v>
      </c>
      <c r="AZ147" s="55">
        <f t="shared" si="82"/>
        <v>0</v>
      </c>
      <c r="BA147" s="55">
        <f t="shared" si="82"/>
        <v>0</v>
      </c>
      <c r="BB147" s="55">
        <f t="shared" si="82"/>
        <v>0</v>
      </c>
      <c r="BC147" s="55">
        <f t="shared" si="82"/>
        <v>0</v>
      </c>
      <c r="BD147" s="55">
        <f t="shared" si="82"/>
        <v>0</v>
      </c>
      <c r="BE147" s="55">
        <f t="shared" si="82"/>
        <v>0</v>
      </c>
      <c r="BF147" s="55">
        <f t="shared" si="82"/>
        <v>0</v>
      </c>
      <c r="BG147" s="55">
        <f t="shared" si="82"/>
        <v>0</v>
      </c>
      <c r="BH147" s="55">
        <f t="shared" si="82"/>
        <v>0</v>
      </c>
      <c r="BI147" s="55">
        <f t="shared" si="82"/>
        <v>0</v>
      </c>
      <c r="BJ147" s="55">
        <f t="shared" si="82"/>
        <v>0</v>
      </c>
      <c r="CK147" s="11"/>
      <c r="CL147" s="221">
        <f t="shared" si="59"/>
        <v>0</v>
      </c>
      <c r="CM147" s="11"/>
      <c r="CN147" s="7">
        <f t="shared" si="60"/>
        <v>0</v>
      </c>
      <c r="CO147" s="7">
        <f t="shared" si="61"/>
        <v>0</v>
      </c>
      <c r="CP147" s="7">
        <f t="shared" si="62"/>
        <v>0</v>
      </c>
      <c r="CR147" s="35"/>
      <c r="EY147" s="10" t="str">
        <f t="shared" si="55"/>
        <v/>
      </c>
    </row>
    <row r="148" spans="1:155" x14ac:dyDescent="0.35">
      <c r="A148" s="220" cm="1">
        <f t="array" aca="1" ref="A148" ca="1">HYPERLINK(CONCATENATE("#",CELL("address",IF(MAX($CM148:$CR148)=0,A148,INDEX($CM148:$CR148,MATCH(1,$CM148:$CR148,0))))),MAX($CM148:$CR148))</f>
        <v>0</v>
      </c>
      <c r="D148" s="10">
        <f t="shared" si="66"/>
        <v>0</v>
      </c>
      <c r="H148" s="9"/>
      <c r="AA148" s="134">
        <f t="shared" ref="AA148:BJ148" si="83">IF(SUMIFS($AA61:$BJ61, $AA$3:$BJ$3, AA$3, $AA$4:$BJ$4, 1)=0, 0,(AA61/SUMIFS($AA61:$BJ61, $AA$3:$BJ$3, AA$3, $AA$4:$BJ$4, 1))*AA$4)</f>
        <v>0</v>
      </c>
      <c r="AB148" s="55">
        <f t="shared" si="83"/>
        <v>0</v>
      </c>
      <c r="AC148" s="55">
        <f t="shared" si="83"/>
        <v>0</v>
      </c>
      <c r="AD148" s="55">
        <f t="shared" si="83"/>
        <v>0</v>
      </c>
      <c r="AE148" s="55">
        <f t="shared" si="83"/>
        <v>0</v>
      </c>
      <c r="AF148" s="55">
        <f t="shared" si="83"/>
        <v>0</v>
      </c>
      <c r="AG148" s="55">
        <f t="shared" si="83"/>
        <v>0</v>
      </c>
      <c r="AH148" s="55">
        <f t="shared" si="83"/>
        <v>0</v>
      </c>
      <c r="AI148" s="55">
        <f t="shared" si="83"/>
        <v>0</v>
      </c>
      <c r="AJ148" s="55">
        <f t="shared" si="83"/>
        <v>0</v>
      </c>
      <c r="AK148" s="55">
        <f t="shared" si="83"/>
        <v>0</v>
      </c>
      <c r="AL148" s="55">
        <f t="shared" si="83"/>
        <v>0</v>
      </c>
      <c r="AM148" s="55">
        <f t="shared" si="83"/>
        <v>0</v>
      </c>
      <c r="AN148" s="55">
        <f t="shared" si="83"/>
        <v>0</v>
      </c>
      <c r="AO148" s="55">
        <f t="shared" si="83"/>
        <v>0</v>
      </c>
      <c r="AP148" s="55">
        <f t="shared" si="83"/>
        <v>0</v>
      </c>
      <c r="AQ148" s="55">
        <f t="shared" si="83"/>
        <v>0</v>
      </c>
      <c r="AR148" s="55">
        <f t="shared" si="83"/>
        <v>0</v>
      </c>
      <c r="AS148" s="55">
        <f t="shared" si="83"/>
        <v>0</v>
      </c>
      <c r="AT148" s="55">
        <f t="shared" si="83"/>
        <v>0</v>
      </c>
      <c r="AU148" s="55">
        <f t="shared" si="83"/>
        <v>0</v>
      </c>
      <c r="AV148" s="55">
        <f t="shared" si="83"/>
        <v>0</v>
      </c>
      <c r="AW148" s="55">
        <f t="shared" si="83"/>
        <v>0</v>
      </c>
      <c r="AX148" s="55">
        <f t="shared" si="83"/>
        <v>0</v>
      </c>
      <c r="AY148" s="55">
        <f t="shared" si="83"/>
        <v>0</v>
      </c>
      <c r="AZ148" s="55">
        <f t="shared" si="83"/>
        <v>0</v>
      </c>
      <c r="BA148" s="55">
        <f t="shared" si="83"/>
        <v>0</v>
      </c>
      <c r="BB148" s="55">
        <f t="shared" si="83"/>
        <v>0</v>
      </c>
      <c r="BC148" s="55">
        <f t="shared" si="83"/>
        <v>0</v>
      </c>
      <c r="BD148" s="55">
        <f t="shared" si="83"/>
        <v>0</v>
      </c>
      <c r="BE148" s="55">
        <f t="shared" si="83"/>
        <v>0</v>
      </c>
      <c r="BF148" s="55">
        <f t="shared" si="83"/>
        <v>0</v>
      </c>
      <c r="BG148" s="55">
        <f t="shared" si="83"/>
        <v>0</v>
      </c>
      <c r="BH148" s="55">
        <f t="shared" si="83"/>
        <v>0</v>
      </c>
      <c r="BI148" s="55">
        <f t="shared" si="83"/>
        <v>0</v>
      </c>
      <c r="BJ148" s="55">
        <f t="shared" si="83"/>
        <v>0</v>
      </c>
      <c r="CK148" s="11"/>
      <c r="CL148" s="221">
        <f t="shared" si="59"/>
        <v>0</v>
      </c>
      <c r="CM148" s="11"/>
      <c r="CN148" s="7">
        <f t="shared" si="60"/>
        <v>0</v>
      </c>
      <c r="CO148" s="7">
        <f t="shared" si="61"/>
        <v>0</v>
      </c>
      <c r="CP148" s="7">
        <f t="shared" si="62"/>
        <v>0</v>
      </c>
      <c r="CR148" s="35"/>
      <c r="EY148" s="10" t="str">
        <f t="shared" si="55"/>
        <v/>
      </c>
    </row>
    <row r="149" spans="1:155" x14ac:dyDescent="0.35">
      <c r="A149" s="220" cm="1">
        <f t="array" aca="1" ref="A149" ca="1">HYPERLINK(CONCATENATE("#",CELL("address",IF(MAX($CM149:$CR149)=0,A149,INDEX($CM149:$CR149,MATCH(1,$CM149:$CR149,0))))),MAX($CM149:$CR149))</f>
        <v>0</v>
      </c>
      <c r="D149" s="10">
        <f t="shared" si="66"/>
        <v>0</v>
      </c>
      <c r="H149" s="9"/>
      <c r="AA149" s="134">
        <f t="shared" ref="AA149:BJ149" si="84">IF(SUMIFS($AA62:$BJ62, $AA$3:$BJ$3, AA$3, $AA$4:$BJ$4, 1)=0, 0,(AA62/SUMIFS($AA62:$BJ62, $AA$3:$BJ$3, AA$3, $AA$4:$BJ$4, 1))*AA$4)</f>
        <v>0</v>
      </c>
      <c r="AB149" s="55">
        <f t="shared" si="84"/>
        <v>0</v>
      </c>
      <c r="AC149" s="55">
        <f t="shared" si="84"/>
        <v>0</v>
      </c>
      <c r="AD149" s="55">
        <f t="shared" si="84"/>
        <v>0</v>
      </c>
      <c r="AE149" s="55">
        <f t="shared" si="84"/>
        <v>0</v>
      </c>
      <c r="AF149" s="55">
        <f t="shared" si="84"/>
        <v>0</v>
      </c>
      <c r="AG149" s="55">
        <f t="shared" si="84"/>
        <v>0</v>
      </c>
      <c r="AH149" s="55">
        <f t="shared" si="84"/>
        <v>0</v>
      </c>
      <c r="AI149" s="55">
        <f t="shared" si="84"/>
        <v>0</v>
      </c>
      <c r="AJ149" s="55">
        <f t="shared" si="84"/>
        <v>0</v>
      </c>
      <c r="AK149" s="55">
        <f t="shared" si="84"/>
        <v>0</v>
      </c>
      <c r="AL149" s="55">
        <f t="shared" si="84"/>
        <v>0</v>
      </c>
      <c r="AM149" s="55">
        <f t="shared" si="84"/>
        <v>0</v>
      </c>
      <c r="AN149" s="55">
        <f t="shared" si="84"/>
        <v>0</v>
      </c>
      <c r="AO149" s="55">
        <f t="shared" si="84"/>
        <v>0</v>
      </c>
      <c r="AP149" s="55">
        <f t="shared" si="84"/>
        <v>0</v>
      </c>
      <c r="AQ149" s="55">
        <f t="shared" si="84"/>
        <v>0</v>
      </c>
      <c r="AR149" s="55">
        <f t="shared" si="84"/>
        <v>0</v>
      </c>
      <c r="AS149" s="55">
        <f t="shared" si="84"/>
        <v>0</v>
      </c>
      <c r="AT149" s="55">
        <f t="shared" si="84"/>
        <v>0</v>
      </c>
      <c r="AU149" s="55">
        <f t="shared" si="84"/>
        <v>0</v>
      </c>
      <c r="AV149" s="55">
        <f t="shared" si="84"/>
        <v>0</v>
      </c>
      <c r="AW149" s="55">
        <f t="shared" si="84"/>
        <v>0</v>
      </c>
      <c r="AX149" s="55">
        <f t="shared" si="84"/>
        <v>0</v>
      </c>
      <c r="AY149" s="55">
        <f t="shared" si="84"/>
        <v>0</v>
      </c>
      <c r="AZ149" s="55">
        <f t="shared" si="84"/>
        <v>0</v>
      </c>
      <c r="BA149" s="55">
        <f t="shared" si="84"/>
        <v>0</v>
      </c>
      <c r="BB149" s="55">
        <f t="shared" si="84"/>
        <v>0</v>
      </c>
      <c r="BC149" s="55">
        <f t="shared" si="84"/>
        <v>0</v>
      </c>
      <c r="BD149" s="55">
        <f t="shared" si="84"/>
        <v>0</v>
      </c>
      <c r="BE149" s="55">
        <f t="shared" si="84"/>
        <v>0</v>
      </c>
      <c r="BF149" s="55">
        <f t="shared" si="84"/>
        <v>0</v>
      </c>
      <c r="BG149" s="55">
        <f t="shared" si="84"/>
        <v>0</v>
      </c>
      <c r="BH149" s="55">
        <f t="shared" si="84"/>
        <v>0</v>
      </c>
      <c r="BI149" s="55">
        <f t="shared" si="84"/>
        <v>0</v>
      </c>
      <c r="BJ149" s="55">
        <f t="shared" si="84"/>
        <v>0</v>
      </c>
      <c r="CK149" s="11"/>
      <c r="CL149" s="221">
        <f t="shared" si="59"/>
        <v>0</v>
      </c>
      <c r="CM149" s="11"/>
      <c r="CN149" s="7">
        <f t="shared" si="60"/>
        <v>0</v>
      </c>
      <c r="CO149" s="7">
        <f t="shared" si="61"/>
        <v>0</v>
      </c>
      <c r="CP149" s="7">
        <f t="shared" si="62"/>
        <v>0</v>
      </c>
      <c r="CR149" s="35"/>
      <c r="EY149" s="10" t="str">
        <f t="shared" si="55"/>
        <v/>
      </c>
    </row>
    <row r="150" spans="1:155" x14ac:dyDescent="0.35">
      <c r="A150" s="220" cm="1">
        <f t="array" aca="1" ref="A150" ca="1">HYPERLINK(CONCATENATE("#",CELL("address",IF(MAX($CM150:$CR150)=0,A150,INDEX($CM150:$CR150,MATCH(1,$CM150:$CR150,0))))),MAX($CM150:$CR150))</f>
        <v>0</v>
      </c>
      <c r="D150" s="10">
        <f t="shared" si="66"/>
        <v>0</v>
      </c>
      <c r="H150" s="9"/>
      <c r="AA150" s="134">
        <f t="shared" ref="AA150:BJ150" si="85">IF(SUMIFS($AA63:$BJ63, $AA$3:$BJ$3, AA$3, $AA$4:$BJ$4, 1)=0, 0,(AA63/SUMIFS($AA63:$BJ63, $AA$3:$BJ$3, AA$3, $AA$4:$BJ$4, 1))*AA$4)</f>
        <v>0</v>
      </c>
      <c r="AB150" s="55">
        <f t="shared" si="85"/>
        <v>0</v>
      </c>
      <c r="AC150" s="55">
        <f t="shared" si="85"/>
        <v>0</v>
      </c>
      <c r="AD150" s="55">
        <f t="shared" si="85"/>
        <v>0</v>
      </c>
      <c r="AE150" s="55">
        <f t="shared" si="85"/>
        <v>0</v>
      </c>
      <c r="AF150" s="55">
        <f t="shared" si="85"/>
        <v>0</v>
      </c>
      <c r="AG150" s="55">
        <f t="shared" si="85"/>
        <v>0</v>
      </c>
      <c r="AH150" s="55">
        <f t="shared" si="85"/>
        <v>0</v>
      </c>
      <c r="AI150" s="55">
        <f t="shared" si="85"/>
        <v>0</v>
      </c>
      <c r="AJ150" s="55">
        <f t="shared" si="85"/>
        <v>0</v>
      </c>
      <c r="AK150" s="55">
        <f t="shared" si="85"/>
        <v>0</v>
      </c>
      <c r="AL150" s="55">
        <f t="shared" si="85"/>
        <v>0</v>
      </c>
      <c r="AM150" s="55">
        <f t="shared" si="85"/>
        <v>0</v>
      </c>
      <c r="AN150" s="55">
        <f t="shared" si="85"/>
        <v>0</v>
      </c>
      <c r="AO150" s="55">
        <f t="shared" si="85"/>
        <v>0</v>
      </c>
      <c r="AP150" s="55">
        <f t="shared" si="85"/>
        <v>0</v>
      </c>
      <c r="AQ150" s="55">
        <f t="shared" si="85"/>
        <v>0</v>
      </c>
      <c r="AR150" s="55">
        <f t="shared" si="85"/>
        <v>0</v>
      </c>
      <c r="AS150" s="55">
        <f t="shared" si="85"/>
        <v>0</v>
      </c>
      <c r="AT150" s="55">
        <f t="shared" si="85"/>
        <v>0</v>
      </c>
      <c r="AU150" s="55">
        <f t="shared" si="85"/>
        <v>0</v>
      </c>
      <c r="AV150" s="55">
        <f t="shared" si="85"/>
        <v>0</v>
      </c>
      <c r="AW150" s="55">
        <f t="shared" si="85"/>
        <v>0</v>
      </c>
      <c r="AX150" s="55">
        <f t="shared" si="85"/>
        <v>0</v>
      </c>
      <c r="AY150" s="55">
        <f t="shared" si="85"/>
        <v>0</v>
      </c>
      <c r="AZ150" s="55">
        <f t="shared" si="85"/>
        <v>0</v>
      </c>
      <c r="BA150" s="55">
        <f t="shared" si="85"/>
        <v>0</v>
      </c>
      <c r="BB150" s="55">
        <f t="shared" si="85"/>
        <v>0</v>
      </c>
      <c r="BC150" s="55">
        <f t="shared" si="85"/>
        <v>0</v>
      </c>
      <c r="BD150" s="55">
        <f t="shared" si="85"/>
        <v>0</v>
      </c>
      <c r="BE150" s="55">
        <f t="shared" si="85"/>
        <v>0</v>
      </c>
      <c r="BF150" s="55">
        <f t="shared" si="85"/>
        <v>0</v>
      </c>
      <c r="BG150" s="55">
        <f t="shared" si="85"/>
        <v>0</v>
      </c>
      <c r="BH150" s="55">
        <f t="shared" si="85"/>
        <v>0</v>
      </c>
      <c r="BI150" s="55">
        <f t="shared" si="85"/>
        <v>0</v>
      </c>
      <c r="BJ150" s="55">
        <f t="shared" si="85"/>
        <v>0</v>
      </c>
      <c r="CK150" s="11"/>
      <c r="CL150" s="221">
        <f t="shared" si="59"/>
        <v>0</v>
      </c>
      <c r="CM150" s="11"/>
      <c r="CN150" s="7">
        <f t="shared" si="60"/>
        <v>0</v>
      </c>
      <c r="CO150" s="7">
        <f t="shared" si="61"/>
        <v>0</v>
      </c>
      <c r="CP150" s="7">
        <f t="shared" si="62"/>
        <v>0</v>
      </c>
      <c r="CR150" s="35"/>
      <c r="EY150" s="10" t="str">
        <f t="shared" si="55"/>
        <v/>
      </c>
    </row>
    <row r="151" spans="1:155" x14ac:dyDescent="0.35">
      <c r="A151" s="220" cm="1">
        <f t="array" aca="1" ref="A151" ca="1">HYPERLINK(CONCATENATE("#",CELL("address",IF(MAX($CM151:$CR151)=0,A151,INDEX($CM151:$CR151,MATCH(1,$CM151:$CR151,0))))),MAX($CM151:$CR151))</f>
        <v>0</v>
      </c>
      <c r="D151" s="10">
        <f t="shared" si="66"/>
        <v>0</v>
      </c>
      <c r="H151" s="9"/>
      <c r="AA151" s="134">
        <f t="shared" ref="AA151:BJ151" si="86">IF(SUMIFS($AA64:$BJ64, $AA$3:$BJ$3, AA$3, $AA$4:$BJ$4, 1)=0, 0,(AA64/SUMIFS($AA64:$BJ64, $AA$3:$BJ$3, AA$3, $AA$4:$BJ$4, 1))*AA$4)</f>
        <v>0</v>
      </c>
      <c r="AB151" s="55">
        <f t="shared" si="86"/>
        <v>0</v>
      </c>
      <c r="AC151" s="55">
        <f t="shared" si="86"/>
        <v>0</v>
      </c>
      <c r="AD151" s="55">
        <f t="shared" si="86"/>
        <v>0</v>
      </c>
      <c r="AE151" s="55">
        <f t="shared" si="86"/>
        <v>0</v>
      </c>
      <c r="AF151" s="55">
        <f t="shared" si="86"/>
        <v>0</v>
      </c>
      <c r="AG151" s="55">
        <f t="shared" si="86"/>
        <v>0</v>
      </c>
      <c r="AH151" s="55">
        <f t="shared" si="86"/>
        <v>0</v>
      </c>
      <c r="AI151" s="55">
        <f t="shared" si="86"/>
        <v>0</v>
      </c>
      <c r="AJ151" s="55">
        <f t="shared" si="86"/>
        <v>0</v>
      </c>
      <c r="AK151" s="55">
        <f t="shared" si="86"/>
        <v>0</v>
      </c>
      <c r="AL151" s="55">
        <f t="shared" si="86"/>
        <v>0</v>
      </c>
      <c r="AM151" s="55">
        <f t="shared" si="86"/>
        <v>0</v>
      </c>
      <c r="AN151" s="55">
        <f t="shared" si="86"/>
        <v>0</v>
      </c>
      <c r="AO151" s="55">
        <f t="shared" si="86"/>
        <v>0</v>
      </c>
      <c r="AP151" s="55">
        <f t="shared" si="86"/>
        <v>0</v>
      </c>
      <c r="AQ151" s="55">
        <f t="shared" si="86"/>
        <v>0</v>
      </c>
      <c r="AR151" s="55">
        <f t="shared" si="86"/>
        <v>0</v>
      </c>
      <c r="AS151" s="55">
        <f t="shared" si="86"/>
        <v>0</v>
      </c>
      <c r="AT151" s="55">
        <f t="shared" si="86"/>
        <v>0</v>
      </c>
      <c r="AU151" s="55">
        <f t="shared" si="86"/>
        <v>0</v>
      </c>
      <c r="AV151" s="55">
        <f t="shared" si="86"/>
        <v>0</v>
      </c>
      <c r="AW151" s="55">
        <f t="shared" si="86"/>
        <v>0</v>
      </c>
      <c r="AX151" s="55">
        <f t="shared" si="86"/>
        <v>0</v>
      </c>
      <c r="AY151" s="55">
        <f t="shared" si="86"/>
        <v>0</v>
      </c>
      <c r="AZ151" s="55">
        <f t="shared" si="86"/>
        <v>0</v>
      </c>
      <c r="BA151" s="55">
        <f t="shared" si="86"/>
        <v>0</v>
      </c>
      <c r="BB151" s="55">
        <f t="shared" si="86"/>
        <v>0</v>
      </c>
      <c r="BC151" s="55">
        <f t="shared" si="86"/>
        <v>0</v>
      </c>
      <c r="BD151" s="55">
        <f t="shared" si="86"/>
        <v>0</v>
      </c>
      <c r="BE151" s="55">
        <f t="shared" si="86"/>
        <v>0</v>
      </c>
      <c r="BF151" s="55">
        <f t="shared" si="86"/>
        <v>0</v>
      </c>
      <c r="BG151" s="55">
        <f t="shared" si="86"/>
        <v>0</v>
      </c>
      <c r="BH151" s="55">
        <f t="shared" si="86"/>
        <v>0</v>
      </c>
      <c r="BI151" s="55">
        <f t="shared" si="86"/>
        <v>0</v>
      </c>
      <c r="BJ151" s="55">
        <f t="shared" si="86"/>
        <v>0</v>
      </c>
      <c r="CK151" s="11"/>
      <c r="CL151" s="221">
        <f t="shared" si="59"/>
        <v>0</v>
      </c>
      <c r="CM151" s="11"/>
      <c r="CN151" s="7">
        <f t="shared" si="60"/>
        <v>0</v>
      </c>
      <c r="CO151" s="7">
        <f t="shared" si="61"/>
        <v>0</v>
      </c>
      <c r="CP151" s="7">
        <f t="shared" si="62"/>
        <v>0</v>
      </c>
      <c r="CR151" s="35"/>
      <c r="EY151" s="10" t="str">
        <f t="shared" si="55"/>
        <v/>
      </c>
    </row>
    <row r="152" spans="1:155" x14ac:dyDescent="0.35">
      <c r="A152" s="220" cm="1">
        <f t="array" aca="1" ref="A152" ca="1">HYPERLINK(CONCATENATE("#",CELL("address",IF(MAX($CM152:$CR152)=0,A152,INDEX($CM152:$CR152,MATCH(1,$CM152:$CR152,0))))),MAX($CM152:$CR152))</f>
        <v>0</v>
      </c>
      <c r="D152" s="10">
        <f t="shared" si="66"/>
        <v>0</v>
      </c>
      <c r="H152" s="9"/>
      <c r="AA152" s="134">
        <f t="shared" ref="AA152:BJ152" si="87">IF(SUMIFS($AA65:$BJ65, $AA$3:$BJ$3, AA$3, $AA$4:$BJ$4, 1)=0, 0,(AA65/SUMIFS($AA65:$BJ65, $AA$3:$BJ$3, AA$3, $AA$4:$BJ$4, 1))*AA$4)</f>
        <v>0</v>
      </c>
      <c r="AB152" s="55">
        <f t="shared" si="87"/>
        <v>0</v>
      </c>
      <c r="AC152" s="55">
        <f t="shared" si="87"/>
        <v>0</v>
      </c>
      <c r="AD152" s="55">
        <f t="shared" si="87"/>
        <v>0</v>
      </c>
      <c r="AE152" s="55">
        <f t="shared" si="87"/>
        <v>0</v>
      </c>
      <c r="AF152" s="55">
        <f t="shared" si="87"/>
        <v>0</v>
      </c>
      <c r="AG152" s="55">
        <f t="shared" si="87"/>
        <v>0</v>
      </c>
      <c r="AH152" s="55">
        <f t="shared" si="87"/>
        <v>0</v>
      </c>
      <c r="AI152" s="55">
        <f t="shared" si="87"/>
        <v>0</v>
      </c>
      <c r="AJ152" s="55">
        <f t="shared" si="87"/>
        <v>0</v>
      </c>
      <c r="AK152" s="55">
        <f t="shared" si="87"/>
        <v>0</v>
      </c>
      <c r="AL152" s="55">
        <f t="shared" si="87"/>
        <v>0</v>
      </c>
      <c r="AM152" s="55">
        <f t="shared" si="87"/>
        <v>0</v>
      </c>
      <c r="AN152" s="55">
        <f t="shared" si="87"/>
        <v>0</v>
      </c>
      <c r="AO152" s="55">
        <f t="shared" si="87"/>
        <v>0</v>
      </c>
      <c r="AP152" s="55">
        <f t="shared" si="87"/>
        <v>0</v>
      </c>
      <c r="AQ152" s="55">
        <f t="shared" si="87"/>
        <v>0</v>
      </c>
      <c r="AR152" s="55">
        <f t="shared" si="87"/>
        <v>0</v>
      </c>
      <c r="AS152" s="55">
        <f t="shared" si="87"/>
        <v>0</v>
      </c>
      <c r="AT152" s="55">
        <f t="shared" si="87"/>
        <v>0</v>
      </c>
      <c r="AU152" s="55">
        <f t="shared" si="87"/>
        <v>0</v>
      </c>
      <c r="AV152" s="55">
        <f t="shared" si="87"/>
        <v>0</v>
      </c>
      <c r="AW152" s="55">
        <f t="shared" si="87"/>
        <v>0</v>
      </c>
      <c r="AX152" s="55">
        <f t="shared" si="87"/>
        <v>0</v>
      </c>
      <c r="AY152" s="55">
        <f t="shared" si="87"/>
        <v>0</v>
      </c>
      <c r="AZ152" s="55">
        <f t="shared" si="87"/>
        <v>0</v>
      </c>
      <c r="BA152" s="55">
        <f t="shared" si="87"/>
        <v>0</v>
      </c>
      <c r="BB152" s="55">
        <f t="shared" si="87"/>
        <v>0</v>
      </c>
      <c r="BC152" s="55">
        <f t="shared" si="87"/>
        <v>0</v>
      </c>
      <c r="BD152" s="55">
        <f t="shared" si="87"/>
        <v>0</v>
      </c>
      <c r="BE152" s="55">
        <f t="shared" si="87"/>
        <v>0</v>
      </c>
      <c r="BF152" s="55">
        <f t="shared" si="87"/>
        <v>0</v>
      </c>
      <c r="BG152" s="55">
        <f t="shared" si="87"/>
        <v>0</v>
      </c>
      <c r="BH152" s="55">
        <f t="shared" si="87"/>
        <v>0</v>
      </c>
      <c r="BI152" s="55">
        <f t="shared" si="87"/>
        <v>0</v>
      </c>
      <c r="BJ152" s="55">
        <f t="shared" si="87"/>
        <v>0</v>
      </c>
      <c r="CK152" s="11"/>
      <c r="CL152" s="221">
        <f t="shared" si="59"/>
        <v>0</v>
      </c>
      <c r="CM152" s="11"/>
      <c r="CN152" s="7">
        <f t="shared" si="60"/>
        <v>0</v>
      </c>
      <c r="CO152" s="7">
        <f t="shared" si="61"/>
        <v>0</v>
      </c>
      <c r="CP152" s="7">
        <f t="shared" si="62"/>
        <v>0</v>
      </c>
      <c r="CR152" s="35"/>
      <c r="EY152" s="10" t="str">
        <f t="shared" si="55"/>
        <v/>
      </c>
    </row>
    <row r="153" spans="1:155" x14ac:dyDescent="0.35">
      <c r="A153" s="220" cm="1">
        <f t="array" aca="1" ref="A153" ca="1">HYPERLINK(CONCATENATE("#",CELL("address",IF(MAX($CM153:$CR153)=0,A153,INDEX($CM153:$CR153,MATCH(1,$CM153:$CR153,0))))),MAX($CM153:$CR153))</f>
        <v>0</v>
      </c>
      <c r="D153" s="10">
        <f t="shared" si="66"/>
        <v>0</v>
      </c>
      <c r="H153" s="9"/>
      <c r="AA153" s="134">
        <f t="shared" ref="AA153:BJ153" si="88">IF(SUMIFS($AA66:$BJ66, $AA$3:$BJ$3, AA$3, $AA$4:$BJ$4, 1)=0, 0,(AA66/SUMIFS($AA66:$BJ66, $AA$3:$BJ$3, AA$3, $AA$4:$BJ$4, 1))*AA$4)</f>
        <v>0</v>
      </c>
      <c r="AB153" s="55">
        <f t="shared" si="88"/>
        <v>0</v>
      </c>
      <c r="AC153" s="55">
        <f t="shared" si="88"/>
        <v>0</v>
      </c>
      <c r="AD153" s="55">
        <f t="shared" si="88"/>
        <v>0</v>
      </c>
      <c r="AE153" s="55">
        <f t="shared" si="88"/>
        <v>0</v>
      </c>
      <c r="AF153" s="55">
        <f t="shared" si="88"/>
        <v>0</v>
      </c>
      <c r="AG153" s="55">
        <f t="shared" si="88"/>
        <v>0</v>
      </c>
      <c r="AH153" s="55">
        <f t="shared" si="88"/>
        <v>0</v>
      </c>
      <c r="AI153" s="55">
        <f t="shared" si="88"/>
        <v>0</v>
      </c>
      <c r="AJ153" s="55">
        <f t="shared" si="88"/>
        <v>0</v>
      </c>
      <c r="AK153" s="55">
        <f t="shared" si="88"/>
        <v>0</v>
      </c>
      <c r="AL153" s="55">
        <f t="shared" si="88"/>
        <v>0</v>
      </c>
      <c r="AM153" s="55">
        <f t="shared" si="88"/>
        <v>0</v>
      </c>
      <c r="AN153" s="55">
        <f t="shared" si="88"/>
        <v>0</v>
      </c>
      <c r="AO153" s="55">
        <f t="shared" si="88"/>
        <v>0</v>
      </c>
      <c r="AP153" s="55">
        <f t="shared" si="88"/>
        <v>0</v>
      </c>
      <c r="AQ153" s="55">
        <f t="shared" si="88"/>
        <v>0</v>
      </c>
      <c r="AR153" s="55">
        <f t="shared" si="88"/>
        <v>0</v>
      </c>
      <c r="AS153" s="55">
        <f t="shared" si="88"/>
        <v>0</v>
      </c>
      <c r="AT153" s="55">
        <f t="shared" si="88"/>
        <v>0</v>
      </c>
      <c r="AU153" s="55">
        <f t="shared" si="88"/>
        <v>0</v>
      </c>
      <c r="AV153" s="55">
        <f t="shared" si="88"/>
        <v>0</v>
      </c>
      <c r="AW153" s="55">
        <f t="shared" si="88"/>
        <v>0</v>
      </c>
      <c r="AX153" s="55">
        <f t="shared" si="88"/>
        <v>0</v>
      </c>
      <c r="AY153" s="55">
        <f t="shared" si="88"/>
        <v>0</v>
      </c>
      <c r="AZ153" s="55">
        <f t="shared" si="88"/>
        <v>0</v>
      </c>
      <c r="BA153" s="55">
        <f t="shared" si="88"/>
        <v>0</v>
      </c>
      <c r="BB153" s="55">
        <f t="shared" si="88"/>
        <v>0</v>
      </c>
      <c r="BC153" s="55">
        <f t="shared" si="88"/>
        <v>0</v>
      </c>
      <c r="BD153" s="55">
        <f t="shared" si="88"/>
        <v>0</v>
      </c>
      <c r="BE153" s="55">
        <f t="shared" si="88"/>
        <v>0</v>
      </c>
      <c r="BF153" s="55">
        <f t="shared" si="88"/>
        <v>0</v>
      </c>
      <c r="BG153" s="55">
        <f t="shared" si="88"/>
        <v>0</v>
      </c>
      <c r="BH153" s="55">
        <f t="shared" si="88"/>
        <v>0</v>
      </c>
      <c r="BI153" s="55">
        <f t="shared" si="88"/>
        <v>0</v>
      </c>
      <c r="BJ153" s="55">
        <f t="shared" si="88"/>
        <v>0</v>
      </c>
      <c r="CK153" s="11"/>
      <c r="CL153" s="221">
        <f t="shared" si="59"/>
        <v>0</v>
      </c>
      <c r="CM153" s="11"/>
      <c r="CN153" s="7">
        <f t="shared" si="60"/>
        <v>0</v>
      </c>
      <c r="CO153" s="7">
        <f t="shared" si="61"/>
        <v>0</v>
      </c>
      <c r="CP153" s="7">
        <f t="shared" si="62"/>
        <v>0</v>
      </c>
      <c r="CR153" s="35"/>
      <c r="EY153" s="10" t="str">
        <f t="shared" si="55"/>
        <v/>
      </c>
    </row>
    <row r="154" spans="1:155" x14ac:dyDescent="0.35">
      <c r="A154" s="220" cm="1">
        <f t="array" aca="1" ref="A154" ca="1">HYPERLINK(CONCATENATE("#",CELL("address",IF(MAX($CM154:$CR154)=0,A154,INDEX($CM154:$CR154,MATCH(1,$CM154:$CR154,0))))),MAX($CM154:$CR154))</f>
        <v>0</v>
      </c>
      <c r="D154" s="10">
        <f t="shared" si="66"/>
        <v>0</v>
      </c>
      <c r="H154" s="9"/>
      <c r="AA154" s="134">
        <f t="shared" ref="AA154:BJ154" si="89">IF(SUMIFS($AA67:$BJ67, $AA$3:$BJ$3, AA$3, $AA$4:$BJ$4, 1)=0, 0,(AA67/SUMIFS($AA67:$BJ67, $AA$3:$BJ$3, AA$3, $AA$4:$BJ$4, 1))*AA$4)</f>
        <v>0</v>
      </c>
      <c r="AB154" s="55">
        <f t="shared" si="89"/>
        <v>0</v>
      </c>
      <c r="AC154" s="55">
        <f t="shared" si="89"/>
        <v>0</v>
      </c>
      <c r="AD154" s="55">
        <f t="shared" si="89"/>
        <v>0</v>
      </c>
      <c r="AE154" s="55">
        <f t="shared" si="89"/>
        <v>0</v>
      </c>
      <c r="AF154" s="55">
        <f t="shared" si="89"/>
        <v>0</v>
      </c>
      <c r="AG154" s="55">
        <f t="shared" si="89"/>
        <v>0</v>
      </c>
      <c r="AH154" s="55">
        <f t="shared" si="89"/>
        <v>0</v>
      </c>
      <c r="AI154" s="55">
        <f t="shared" si="89"/>
        <v>0</v>
      </c>
      <c r="AJ154" s="55">
        <f t="shared" si="89"/>
        <v>0</v>
      </c>
      <c r="AK154" s="55">
        <f t="shared" si="89"/>
        <v>0</v>
      </c>
      <c r="AL154" s="55">
        <f t="shared" si="89"/>
        <v>0</v>
      </c>
      <c r="AM154" s="55">
        <f t="shared" si="89"/>
        <v>0</v>
      </c>
      <c r="AN154" s="55">
        <f t="shared" si="89"/>
        <v>0</v>
      </c>
      <c r="AO154" s="55">
        <f t="shared" si="89"/>
        <v>0</v>
      </c>
      <c r="AP154" s="55">
        <f t="shared" si="89"/>
        <v>0</v>
      </c>
      <c r="AQ154" s="55">
        <f t="shared" si="89"/>
        <v>0</v>
      </c>
      <c r="AR154" s="55">
        <f t="shared" si="89"/>
        <v>0</v>
      </c>
      <c r="AS154" s="55">
        <f t="shared" si="89"/>
        <v>0</v>
      </c>
      <c r="AT154" s="55">
        <f t="shared" si="89"/>
        <v>0</v>
      </c>
      <c r="AU154" s="55">
        <f t="shared" si="89"/>
        <v>0</v>
      </c>
      <c r="AV154" s="55">
        <f t="shared" si="89"/>
        <v>0</v>
      </c>
      <c r="AW154" s="55">
        <f t="shared" si="89"/>
        <v>0</v>
      </c>
      <c r="AX154" s="55">
        <f t="shared" si="89"/>
        <v>0</v>
      </c>
      <c r="AY154" s="55">
        <f t="shared" si="89"/>
        <v>0</v>
      </c>
      <c r="AZ154" s="55">
        <f t="shared" si="89"/>
        <v>0</v>
      </c>
      <c r="BA154" s="55">
        <f t="shared" si="89"/>
        <v>0</v>
      </c>
      <c r="BB154" s="55">
        <f t="shared" si="89"/>
        <v>0</v>
      </c>
      <c r="BC154" s="55">
        <f t="shared" si="89"/>
        <v>0</v>
      </c>
      <c r="BD154" s="55">
        <f t="shared" si="89"/>
        <v>0</v>
      </c>
      <c r="BE154" s="55">
        <f t="shared" si="89"/>
        <v>0</v>
      </c>
      <c r="BF154" s="55">
        <f t="shared" si="89"/>
        <v>0</v>
      </c>
      <c r="BG154" s="55">
        <f t="shared" si="89"/>
        <v>0</v>
      </c>
      <c r="BH154" s="55">
        <f t="shared" si="89"/>
        <v>0</v>
      </c>
      <c r="BI154" s="55">
        <f t="shared" si="89"/>
        <v>0</v>
      </c>
      <c r="BJ154" s="55">
        <f t="shared" si="89"/>
        <v>0</v>
      </c>
      <c r="CK154" s="11"/>
      <c r="CL154" s="221">
        <f t="shared" si="59"/>
        <v>0</v>
      </c>
      <c r="CM154" s="11"/>
      <c r="CN154" s="7">
        <f t="shared" si="60"/>
        <v>0</v>
      </c>
      <c r="CO154" s="7">
        <f t="shared" si="61"/>
        <v>0</v>
      </c>
      <c r="CP154" s="7">
        <f t="shared" si="62"/>
        <v>0</v>
      </c>
      <c r="CR154" s="35"/>
      <c r="EY154" s="10" t="str">
        <f t="shared" si="55"/>
        <v/>
      </c>
    </row>
    <row r="155" spans="1:155" x14ac:dyDescent="0.35">
      <c r="A155" s="220" cm="1">
        <f t="array" aca="1" ref="A155" ca="1">HYPERLINK(CONCATENATE("#",CELL("address",IF(MAX($CM155:$CR155)=0,A155,INDEX($CM155:$CR155,MATCH(1,$CM155:$CR155,0))))),MAX($CM155:$CR155))</f>
        <v>0</v>
      </c>
      <c r="D155" s="10">
        <f t="shared" si="66"/>
        <v>0</v>
      </c>
      <c r="H155" s="9"/>
      <c r="AA155" s="134">
        <f t="shared" ref="AA155:BJ155" si="90">IF(SUMIFS($AA68:$BJ68, $AA$3:$BJ$3, AA$3, $AA$4:$BJ$4, 1)=0, 0,(AA68/SUMIFS($AA68:$BJ68, $AA$3:$BJ$3, AA$3, $AA$4:$BJ$4, 1))*AA$4)</f>
        <v>0</v>
      </c>
      <c r="AB155" s="55">
        <f t="shared" si="90"/>
        <v>0</v>
      </c>
      <c r="AC155" s="55">
        <f t="shared" si="90"/>
        <v>0</v>
      </c>
      <c r="AD155" s="55">
        <f t="shared" si="90"/>
        <v>0</v>
      </c>
      <c r="AE155" s="55">
        <f t="shared" si="90"/>
        <v>0</v>
      </c>
      <c r="AF155" s="55">
        <f t="shared" si="90"/>
        <v>0</v>
      </c>
      <c r="AG155" s="55">
        <f t="shared" si="90"/>
        <v>0</v>
      </c>
      <c r="AH155" s="55">
        <f t="shared" si="90"/>
        <v>0</v>
      </c>
      <c r="AI155" s="55">
        <f t="shared" si="90"/>
        <v>0</v>
      </c>
      <c r="AJ155" s="55">
        <f t="shared" si="90"/>
        <v>0</v>
      </c>
      <c r="AK155" s="55">
        <f t="shared" si="90"/>
        <v>0</v>
      </c>
      <c r="AL155" s="55">
        <f t="shared" si="90"/>
        <v>0</v>
      </c>
      <c r="AM155" s="55">
        <f t="shared" si="90"/>
        <v>0</v>
      </c>
      <c r="AN155" s="55">
        <f t="shared" si="90"/>
        <v>0</v>
      </c>
      <c r="AO155" s="55">
        <f t="shared" si="90"/>
        <v>0</v>
      </c>
      <c r="AP155" s="55">
        <f t="shared" si="90"/>
        <v>0</v>
      </c>
      <c r="AQ155" s="55">
        <f t="shared" si="90"/>
        <v>0</v>
      </c>
      <c r="AR155" s="55">
        <f t="shared" si="90"/>
        <v>0</v>
      </c>
      <c r="AS155" s="55">
        <f t="shared" si="90"/>
        <v>0</v>
      </c>
      <c r="AT155" s="55">
        <f t="shared" si="90"/>
        <v>0</v>
      </c>
      <c r="AU155" s="55">
        <f t="shared" si="90"/>
        <v>0</v>
      </c>
      <c r="AV155" s="55">
        <f t="shared" si="90"/>
        <v>0</v>
      </c>
      <c r="AW155" s="55">
        <f t="shared" si="90"/>
        <v>0</v>
      </c>
      <c r="AX155" s="55">
        <f t="shared" si="90"/>
        <v>0</v>
      </c>
      <c r="AY155" s="55">
        <f t="shared" si="90"/>
        <v>0</v>
      </c>
      <c r="AZ155" s="55">
        <f t="shared" si="90"/>
        <v>0</v>
      </c>
      <c r="BA155" s="55">
        <f t="shared" si="90"/>
        <v>0</v>
      </c>
      <c r="BB155" s="55">
        <f t="shared" si="90"/>
        <v>0</v>
      </c>
      <c r="BC155" s="55">
        <f t="shared" si="90"/>
        <v>0</v>
      </c>
      <c r="BD155" s="55">
        <f t="shared" si="90"/>
        <v>0</v>
      </c>
      <c r="BE155" s="55">
        <f t="shared" si="90"/>
        <v>0</v>
      </c>
      <c r="BF155" s="55">
        <f t="shared" si="90"/>
        <v>0</v>
      </c>
      <c r="BG155" s="55">
        <f t="shared" si="90"/>
        <v>0</v>
      </c>
      <c r="BH155" s="55">
        <f t="shared" si="90"/>
        <v>0</v>
      </c>
      <c r="BI155" s="55">
        <f t="shared" si="90"/>
        <v>0</v>
      </c>
      <c r="BJ155" s="55">
        <f t="shared" si="90"/>
        <v>0</v>
      </c>
      <c r="CK155" s="11"/>
      <c r="CL155" s="221">
        <f t="shared" si="59"/>
        <v>0</v>
      </c>
      <c r="CM155" s="11"/>
      <c r="CN155" s="7">
        <f t="shared" si="60"/>
        <v>0</v>
      </c>
      <c r="CO155" s="7">
        <f t="shared" si="61"/>
        <v>0</v>
      </c>
      <c r="CP155" s="7">
        <f t="shared" si="62"/>
        <v>0</v>
      </c>
      <c r="CR155" s="35"/>
      <c r="EY155" s="10" t="str">
        <f t="shared" si="55"/>
        <v/>
      </c>
    </row>
    <row r="156" spans="1:155" x14ac:dyDescent="0.35">
      <c r="A156" s="220" cm="1">
        <f t="array" aca="1" ref="A156" ca="1">HYPERLINK(CONCATENATE("#",CELL("address",IF(MAX($CM156:$CR156)=0,A156,INDEX($CM156:$CR156,MATCH(1,$CM156:$CR156,0))))),MAX($CM156:$CR156))</f>
        <v>0</v>
      </c>
      <c r="D156" s="10">
        <f t="shared" si="66"/>
        <v>0</v>
      </c>
      <c r="H156" s="9"/>
      <c r="AA156" s="134">
        <f t="shared" ref="AA156:BJ156" si="91">IF(SUMIFS($AA69:$BJ69, $AA$3:$BJ$3, AA$3, $AA$4:$BJ$4, 1)=0, 0,(AA69/SUMIFS($AA69:$BJ69, $AA$3:$BJ$3, AA$3, $AA$4:$BJ$4, 1))*AA$4)</f>
        <v>0</v>
      </c>
      <c r="AB156" s="55">
        <f t="shared" si="91"/>
        <v>0</v>
      </c>
      <c r="AC156" s="55">
        <f t="shared" si="91"/>
        <v>0</v>
      </c>
      <c r="AD156" s="55">
        <f t="shared" si="91"/>
        <v>0</v>
      </c>
      <c r="AE156" s="55">
        <f t="shared" si="91"/>
        <v>0</v>
      </c>
      <c r="AF156" s="55">
        <f t="shared" si="91"/>
        <v>0</v>
      </c>
      <c r="AG156" s="55">
        <f t="shared" si="91"/>
        <v>0</v>
      </c>
      <c r="AH156" s="55">
        <f t="shared" si="91"/>
        <v>0</v>
      </c>
      <c r="AI156" s="55">
        <f t="shared" si="91"/>
        <v>0</v>
      </c>
      <c r="AJ156" s="55">
        <f t="shared" si="91"/>
        <v>0</v>
      </c>
      <c r="AK156" s="55">
        <f t="shared" si="91"/>
        <v>0</v>
      </c>
      <c r="AL156" s="55">
        <f t="shared" si="91"/>
        <v>0</v>
      </c>
      <c r="AM156" s="55">
        <f t="shared" si="91"/>
        <v>0</v>
      </c>
      <c r="AN156" s="55">
        <f t="shared" si="91"/>
        <v>0</v>
      </c>
      <c r="AO156" s="55">
        <f t="shared" si="91"/>
        <v>0</v>
      </c>
      <c r="AP156" s="55">
        <f t="shared" si="91"/>
        <v>0</v>
      </c>
      <c r="AQ156" s="55">
        <f t="shared" si="91"/>
        <v>0</v>
      </c>
      <c r="AR156" s="55">
        <f t="shared" si="91"/>
        <v>0</v>
      </c>
      <c r="AS156" s="55">
        <f t="shared" si="91"/>
        <v>0</v>
      </c>
      <c r="AT156" s="55">
        <f t="shared" si="91"/>
        <v>0</v>
      </c>
      <c r="AU156" s="55">
        <f t="shared" si="91"/>
        <v>0</v>
      </c>
      <c r="AV156" s="55">
        <f t="shared" si="91"/>
        <v>0</v>
      </c>
      <c r="AW156" s="55">
        <f t="shared" si="91"/>
        <v>0</v>
      </c>
      <c r="AX156" s="55">
        <f t="shared" si="91"/>
        <v>0</v>
      </c>
      <c r="AY156" s="55">
        <f t="shared" si="91"/>
        <v>0</v>
      </c>
      <c r="AZ156" s="55">
        <f t="shared" si="91"/>
        <v>0</v>
      </c>
      <c r="BA156" s="55">
        <f t="shared" si="91"/>
        <v>0</v>
      </c>
      <c r="BB156" s="55">
        <f t="shared" si="91"/>
        <v>0</v>
      </c>
      <c r="BC156" s="55">
        <f t="shared" si="91"/>
        <v>0</v>
      </c>
      <c r="BD156" s="55">
        <f t="shared" si="91"/>
        <v>0</v>
      </c>
      <c r="BE156" s="55">
        <f t="shared" si="91"/>
        <v>0</v>
      </c>
      <c r="BF156" s="55">
        <f t="shared" si="91"/>
        <v>0</v>
      </c>
      <c r="BG156" s="55">
        <f t="shared" si="91"/>
        <v>0</v>
      </c>
      <c r="BH156" s="55">
        <f t="shared" si="91"/>
        <v>0</v>
      </c>
      <c r="BI156" s="55">
        <f t="shared" si="91"/>
        <v>0</v>
      </c>
      <c r="BJ156" s="55">
        <f t="shared" si="91"/>
        <v>0</v>
      </c>
      <c r="CK156" s="11"/>
      <c r="CL156" s="221">
        <f t="shared" si="59"/>
        <v>0</v>
      </c>
      <c r="CM156" s="11"/>
      <c r="CN156" s="7">
        <f t="shared" si="60"/>
        <v>0</v>
      </c>
      <c r="CO156" s="7">
        <f t="shared" si="61"/>
        <v>0</v>
      </c>
      <c r="CP156" s="7">
        <f t="shared" si="62"/>
        <v>0</v>
      </c>
      <c r="CR156" s="35"/>
      <c r="EY156" s="10" t="str">
        <f t="shared" si="55"/>
        <v/>
      </c>
    </row>
    <row r="157" spans="1:155" x14ac:dyDescent="0.35">
      <c r="A157" s="220" cm="1">
        <f t="array" aca="1" ref="A157" ca="1">HYPERLINK(CONCATENATE("#",CELL("address",IF(MAX($CM157:$CR157)=0,A157,INDEX($CM157:$CR157,MATCH(1,$CM157:$CR157,0))))),MAX($CM157:$CR157))</f>
        <v>0</v>
      </c>
      <c r="D157" s="10">
        <f t="shared" si="66"/>
        <v>0</v>
      </c>
      <c r="H157" s="9"/>
      <c r="AA157" s="134">
        <f t="shared" ref="AA157:BJ157" si="92">IF(SUMIFS($AA70:$BJ70, $AA$3:$BJ$3, AA$3, $AA$4:$BJ$4, 1)=0, 0,(AA70/SUMIFS($AA70:$BJ70, $AA$3:$BJ$3, AA$3, $AA$4:$BJ$4, 1))*AA$4)</f>
        <v>0</v>
      </c>
      <c r="AB157" s="55">
        <f t="shared" si="92"/>
        <v>0</v>
      </c>
      <c r="AC157" s="55">
        <f t="shared" si="92"/>
        <v>0</v>
      </c>
      <c r="AD157" s="55">
        <f t="shared" si="92"/>
        <v>0</v>
      </c>
      <c r="AE157" s="55">
        <f t="shared" si="92"/>
        <v>0</v>
      </c>
      <c r="AF157" s="55">
        <f t="shared" si="92"/>
        <v>0</v>
      </c>
      <c r="AG157" s="55">
        <f t="shared" si="92"/>
        <v>0</v>
      </c>
      <c r="AH157" s="55">
        <f t="shared" si="92"/>
        <v>0</v>
      </c>
      <c r="AI157" s="55">
        <f t="shared" si="92"/>
        <v>0</v>
      </c>
      <c r="AJ157" s="55">
        <f t="shared" si="92"/>
        <v>0</v>
      </c>
      <c r="AK157" s="55">
        <f t="shared" si="92"/>
        <v>0</v>
      </c>
      <c r="AL157" s="55">
        <f t="shared" si="92"/>
        <v>0</v>
      </c>
      <c r="AM157" s="55">
        <f t="shared" si="92"/>
        <v>0</v>
      </c>
      <c r="AN157" s="55">
        <f t="shared" si="92"/>
        <v>0</v>
      </c>
      <c r="AO157" s="55">
        <f t="shared" si="92"/>
        <v>0</v>
      </c>
      <c r="AP157" s="55">
        <f t="shared" si="92"/>
        <v>0</v>
      </c>
      <c r="AQ157" s="55">
        <f t="shared" si="92"/>
        <v>0</v>
      </c>
      <c r="AR157" s="55">
        <f t="shared" si="92"/>
        <v>0</v>
      </c>
      <c r="AS157" s="55">
        <f t="shared" si="92"/>
        <v>0</v>
      </c>
      <c r="AT157" s="55">
        <f t="shared" si="92"/>
        <v>0</v>
      </c>
      <c r="AU157" s="55">
        <f t="shared" si="92"/>
        <v>0</v>
      </c>
      <c r="AV157" s="55">
        <f t="shared" si="92"/>
        <v>0</v>
      </c>
      <c r="AW157" s="55">
        <f t="shared" si="92"/>
        <v>0</v>
      </c>
      <c r="AX157" s="55">
        <f t="shared" si="92"/>
        <v>0</v>
      </c>
      <c r="AY157" s="55">
        <f t="shared" si="92"/>
        <v>0</v>
      </c>
      <c r="AZ157" s="55">
        <f t="shared" si="92"/>
        <v>0</v>
      </c>
      <c r="BA157" s="55">
        <f t="shared" si="92"/>
        <v>0</v>
      </c>
      <c r="BB157" s="55">
        <f t="shared" si="92"/>
        <v>0</v>
      </c>
      <c r="BC157" s="55">
        <f t="shared" si="92"/>
        <v>0</v>
      </c>
      <c r="BD157" s="55">
        <f t="shared" si="92"/>
        <v>0</v>
      </c>
      <c r="BE157" s="55">
        <f t="shared" si="92"/>
        <v>0</v>
      </c>
      <c r="BF157" s="55">
        <f t="shared" si="92"/>
        <v>0</v>
      </c>
      <c r="BG157" s="55">
        <f t="shared" si="92"/>
        <v>0</v>
      </c>
      <c r="BH157" s="55">
        <f t="shared" si="92"/>
        <v>0</v>
      </c>
      <c r="BI157" s="55">
        <f t="shared" si="92"/>
        <v>0</v>
      </c>
      <c r="BJ157" s="55">
        <f t="shared" si="92"/>
        <v>0</v>
      </c>
      <c r="CK157" s="11"/>
      <c r="CL157" s="221">
        <f t="shared" si="59"/>
        <v>0</v>
      </c>
      <c r="CM157" s="11"/>
      <c r="CN157" s="7">
        <f t="shared" si="60"/>
        <v>0</v>
      </c>
      <c r="CO157" s="7">
        <f t="shared" si="61"/>
        <v>0</v>
      </c>
      <c r="CP157" s="7">
        <f t="shared" si="62"/>
        <v>0</v>
      </c>
      <c r="CR157" s="35"/>
      <c r="EY157" s="10" t="str">
        <f t="shared" ref="EY157:EY182" si="93">IF($C157="","",$D157)</f>
        <v/>
      </c>
    </row>
    <row r="158" spans="1:155" x14ac:dyDescent="0.35">
      <c r="A158" s="220" cm="1">
        <f t="array" aca="1" ref="A158" ca="1">HYPERLINK(CONCATENATE("#",CELL("address",IF(MAX($CM158:$CR158)=0,A158,INDEX($CM158:$CR158,MATCH(1,$CM158:$CR158,0))))),MAX($CM158:$CR158))</f>
        <v>0</v>
      </c>
      <c r="D158" s="10">
        <f t="shared" si="66"/>
        <v>0</v>
      </c>
      <c r="H158" s="9"/>
      <c r="AA158" s="134">
        <f t="shared" ref="AA158:BJ158" si="94">IF(SUMIFS($AA71:$BJ71, $AA$3:$BJ$3, AA$3, $AA$4:$BJ$4, 1)=0, 0,(AA71/SUMIFS($AA71:$BJ71, $AA$3:$BJ$3, AA$3, $AA$4:$BJ$4, 1))*AA$4)</f>
        <v>0</v>
      </c>
      <c r="AB158" s="55">
        <f t="shared" si="94"/>
        <v>0</v>
      </c>
      <c r="AC158" s="55">
        <f t="shared" si="94"/>
        <v>0</v>
      </c>
      <c r="AD158" s="55">
        <f t="shared" si="94"/>
        <v>0</v>
      </c>
      <c r="AE158" s="55">
        <f t="shared" si="94"/>
        <v>0</v>
      </c>
      <c r="AF158" s="55">
        <f t="shared" si="94"/>
        <v>0</v>
      </c>
      <c r="AG158" s="55">
        <f t="shared" si="94"/>
        <v>0</v>
      </c>
      <c r="AH158" s="55">
        <f t="shared" si="94"/>
        <v>0</v>
      </c>
      <c r="AI158" s="55">
        <f t="shared" si="94"/>
        <v>0</v>
      </c>
      <c r="AJ158" s="55">
        <f t="shared" si="94"/>
        <v>0</v>
      </c>
      <c r="AK158" s="55">
        <f t="shared" si="94"/>
        <v>0</v>
      </c>
      <c r="AL158" s="55">
        <f t="shared" si="94"/>
        <v>0</v>
      </c>
      <c r="AM158" s="55">
        <f t="shared" si="94"/>
        <v>0</v>
      </c>
      <c r="AN158" s="55">
        <f t="shared" si="94"/>
        <v>0</v>
      </c>
      <c r="AO158" s="55">
        <f t="shared" si="94"/>
        <v>0</v>
      </c>
      <c r="AP158" s="55">
        <f t="shared" si="94"/>
        <v>0</v>
      </c>
      <c r="AQ158" s="55">
        <f t="shared" si="94"/>
        <v>0</v>
      </c>
      <c r="AR158" s="55">
        <f t="shared" si="94"/>
        <v>0</v>
      </c>
      <c r="AS158" s="55">
        <f t="shared" si="94"/>
        <v>0</v>
      </c>
      <c r="AT158" s="55">
        <f t="shared" si="94"/>
        <v>0</v>
      </c>
      <c r="AU158" s="55">
        <f t="shared" si="94"/>
        <v>0</v>
      </c>
      <c r="AV158" s="55">
        <f t="shared" si="94"/>
        <v>0</v>
      </c>
      <c r="AW158" s="55">
        <f t="shared" si="94"/>
        <v>0</v>
      </c>
      <c r="AX158" s="55">
        <f t="shared" si="94"/>
        <v>0</v>
      </c>
      <c r="AY158" s="55">
        <f t="shared" si="94"/>
        <v>0</v>
      </c>
      <c r="AZ158" s="55">
        <f t="shared" si="94"/>
        <v>0</v>
      </c>
      <c r="BA158" s="55">
        <f t="shared" si="94"/>
        <v>0</v>
      </c>
      <c r="BB158" s="55">
        <f t="shared" si="94"/>
        <v>0</v>
      </c>
      <c r="BC158" s="55">
        <f t="shared" si="94"/>
        <v>0</v>
      </c>
      <c r="BD158" s="55">
        <f t="shared" si="94"/>
        <v>0</v>
      </c>
      <c r="BE158" s="55">
        <f t="shared" si="94"/>
        <v>0</v>
      </c>
      <c r="BF158" s="55">
        <f t="shared" si="94"/>
        <v>0</v>
      </c>
      <c r="BG158" s="55">
        <f t="shared" si="94"/>
        <v>0</v>
      </c>
      <c r="BH158" s="55">
        <f t="shared" si="94"/>
        <v>0</v>
      </c>
      <c r="BI158" s="55">
        <f t="shared" si="94"/>
        <v>0</v>
      </c>
      <c r="BJ158" s="55">
        <f t="shared" si="94"/>
        <v>0</v>
      </c>
      <c r="CK158" s="11"/>
      <c r="CL158" s="221">
        <f t="shared" si="59"/>
        <v>0</v>
      </c>
      <c r="CM158" s="11"/>
      <c r="CN158" s="7">
        <f t="shared" si="60"/>
        <v>0</v>
      </c>
      <c r="CO158" s="7">
        <f t="shared" si="61"/>
        <v>0</v>
      </c>
      <c r="CP158" s="7">
        <f t="shared" si="62"/>
        <v>0</v>
      </c>
      <c r="CR158" s="35"/>
      <c r="EY158" s="10" t="str">
        <f t="shared" si="93"/>
        <v/>
      </c>
    </row>
    <row r="159" spans="1:155" x14ac:dyDescent="0.35">
      <c r="A159" s="220" cm="1">
        <f t="array" aca="1" ref="A159" ca="1">HYPERLINK(CONCATENATE("#",CELL("address",IF(MAX($CM159:$CR159)=0,A159,INDEX($CM159:$CR159,MATCH(1,$CM159:$CR159,0))))),MAX($CM159:$CR159))</f>
        <v>0</v>
      </c>
      <c r="D159" s="10">
        <f t="shared" si="66"/>
        <v>0</v>
      </c>
      <c r="H159" s="9"/>
      <c r="AA159" s="134">
        <f t="shared" ref="AA159:BJ159" si="95">IF(SUMIFS($AA72:$BJ72, $AA$3:$BJ$3, AA$3, $AA$4:$BJ$4, 1)=0, 0,(AA72/SUMIFS($AA72:$BJ72, $AA$3:$BJ$3, AA$3, $AA$4:$BJ$4, 1))*AA$4)</f>
        <v>0</v>
      </c>
      <c r="AB159" s="55">
        <f t="shared" si="95"/>
        <v>0</v>
      </c>
      <c r="AC159" s="55">
        <f t="shared" si="95"/>
        <v>0</v>
      </c>
      <c r="AD159" s="55">
        <f t="shared" si="95"/>
        <v>0</v>
      </c>
      <c r="AE159" s="55">
        <f t="shared" si="95"/>
        <v>0</v>
      </c>
      <c r="AF159" s="55">
        <f t="shared" si="95"/>
        <v>0</v>
      </c>
      <c r="AG159" s="55">
        <f t="shared" si="95"/>
        <v>0</v>
      </c>
      <c r="AH159" s="55">
        <f t="shared" si="95"/>
        <v>0</v>
      </c>
      <c r="AI159" s="55">
        <f t="shared" si="95"/>
        <v>0</v>
      </c>
      <c r="AJ159" s="55">
        <f t="shared" si="95"/>
        <v>0</v>
      </c>
      <c r="AK159" s="55">
        <f t="shared" si="95"/>
        <v>0</v>
      </c>
      <c r="AL159" s="55">
        <f t="shared" si="95"/>
        <v>0</v>
      </c>
      <c r="AM159" s="55">
        <f t="shared" si="95"/>
        <v>0</v>
      </c>
      <c r="AN159" s="55">
        <f t="shared" si="95"/>
        <v>0</v>
      </c>
      <c r="AO159" s="55">
        <f t="shared" si="95"/>
        <v>0</v>
      </c>
      <c r="AP159" s="55">
        <f t="shared" si="95"/>
        <v>0</v>
      </c>
      <c r="AQ159" s="55">
        <f t="shared" si="95"/>
        <v>0</v>
      </c>
      <c r="AR159" s="55">
        <f t="shared" si="95"/>
        <v>0</v>
      </c>
      <c r="AS159" s="55">
        <f t="shared" si="95"/>
        <v>0</v>
      </c>
      <c r="AT159" s="55">
        <f t="shared" si="95"/>
        <v>0</v>
      </c>
      <c r="AU159" s="55">
        <f t="shared" si="95"/>
        <v>0</v>
      </c>
      <c r="AV159" s="55">
        <f t="shared" si="95"/>
        <v>0</v>
      </c>
      <c r="AW159" s="55">
        <f t="shared" si="95"/>
        <v>0</v>
      </c>
      <c r="AX159" s="55">
        <f t="shared" si="95"/>
        <v>0</v>
      </c>
      <c r="AY159" s="55">
        <f t="shared" si="95"/>
        <v>0</v>
      </c>
      <c r="AZ159" s="55">
        <f t="shared" si="95"/>
        <v>0</v>
      </c>
      <c r="BA159" s="55">
        <f t="shared" si="95"/>
        <v>0</v>
      </c>
      <c r="BB159" s="55">
        <f t="shared" si="95"/>
        <v>0</v>
      </c>
      <c r="BC159" s="55">
        <f t="shared" si="95"/>
        <v>0</v>
      </c>
      <c r="BD159" s="55">
        <f t="shared" si="95"/>
        <v>0</v>
      </c>
      <c r="BE159" s="55">
        <f t="shared" si="95"/>
        <v>0</v>
      </c>
      <c r="BF159" s="55">
        <f t="shared" si="95"/>
        <v>0</v>
      </c>
      <c r="BG159" s="55">
        <f t="shared" si="95"/>
        <v>0</v>
      </c>
      <c r="BH159" s="55">
        <f t="shared" si="95"/>
        <v>0</v>
      </c>
      <c r="BI159" s="55">
        <f t="shared" si="95"/>
        <v>0</v>
      </c>
      <c r="BJ159" s="55">
        <f t="shared" si="95"/>
        <v>0</v>
      </c>
      <c r="CK159" s="11"/>
      <c r="CL159" s="221">
        <f t="shared" si="59"/>
        <v>0</v>
      </c>
      <c r="CM159" s="11"/>
      <c r="CN159" s="7">
        <f t="shared" si="60"/>
        <v>0</v>
      </c>
      <c r="CO159" s="7">
        <f t="shared" si="61"/>
        <v>0</v>
      </c>
      <c r="CP159" s="7">
        <f t="shared" si="62"/>
        <v>0</v>
      </c>
      <c r="CR159" s="35"/>
      <c r="EY159" s="10" t="str">
        <f t="shared" si="93"/>
        <v/>
      </c>
    </row>
    <row r="160" spans="1:155" x14ac:dyDescent="0.35">
      <c r="A160" s="220" cm="1">
        <f t="array" aca="1" ref="A160" ca="1">HYPERLINK(CONCATENATE("#",CELL("address",IF(MAX($CM160:$CR160)=0,A160,INDEX($CM160:$CR160,MATCH(1,$CM160:$CR160,0))))),MAX($CM160:$CR160))</f>
        <v>0</v>
      </c>
      <c r="D160" s="10">
        <f t="shared" si="66"/>
        <v>0</v>
      </c>
      <c r="H160" s="9"/>
      <c r="AA160" s="134">
        <f t="shared" ref="AA160:BJ160" si="96">IF(SUMIFS($AA73:$BJ73, $AA$3:$BJ$3, AA$3, $AA$4:$BJ$4, 1)=0, 0,(AA73/SUMIFS($AA73:$BJ73, $AA$3:$BJ$3, AA$3, $AA$4:$BJ$4, 1))*AA$4)</f>
        <v>0</v>
      </c>
      <c r="AB160" s="55">
        <f t="shared" si="96"/>
        <v>0</v>
      </c>
      <c r="AC160" s="55">
        <f t="shared" si="96"/>
        <v>0</v>
      </c>
      <c r="AD160" s="55">
        <f t="shared" si="96"/>
        <v>0</v>
      </c>
      <c r="AE160" s="55">
        <f t="shared" si="96"/>
        <v>0</v>
      </c>
      <c r="AF160" s="55">
        <f t="shared" si="96"/>
        <v>0</v>
      </c>
      <c r="AG160" s="55">
        <f t="shared" si="96"/>
        <v>0</v>
      </c>
      <c r="AH160" s="55">
        <f t="shared" si="96"/>
        <v>0</v>
      </c>
      <c r="AI160" s="55">
        <f t="shared" si="96"/>
        <v>0</v>
      </c>
      <c r="AJ160" s="55">
        <f t="shared" si="96"/>
        <v>0</v>
      </c>
      <c r="AK160" s="55">
        <f t="shared" si="96"/>
        <v>0</v>
      </c>
      <c r="AL160" s="55">
        <f t="shared" si="96"/>
        <v>0</v>
      </c>
      <c r="AM160" s="55">
        <f t="shared" si="96"/>
        <v>0</v>
      </c>
      <c r="AN160" s="55">
        <f t="shared" si="96"/>
        <v>0</v>
      </c>
      <c r="AO160" s="55">
        <f t="shared" si="96"/>
        <v>0</v>
      </c>
      <c r="AP160" s="55">
        <f t="shared" si="96"/>
        <v>0</v>
      </c>
      <c r="AQ160" s="55">
        <f t="shared" si="96"/>
        <v>0</v>
      </c>
      <c r="AR160" s="55">
        <f t="shared" si="96"/>
        <v>0</v>
      </c>
      <c r="AS160" s="55">
        <f t="shared" si="96"/>
        <v>0</v>
      </c>
      <c r="AT160" s="55">
        <f t="shared" si="96"/>
        <v>0</v>
      </c>
      <c r="AU160" s="55">
        <f t="shared" si="96"/>
        <v>0</v>
      </c>
      <c r="AV160" s="55">
        <f t="shared" si="96"/>
        <v>0</v>
      </c>
      <c r="AW160" s="55">
        <f t="shared" si="96"/>
        <v>0</v>
      </c>
      <c r="AX160" s="55">
        <f t="shared" si="96"/>
        <v>0</v>
      </c>
      <c r="AY160" s="55">
        <f t="shared" si="96"/>
        <v>0</v>
      </c>
      <c r="AZ160" s="55">
        <f t="shared" si="96"/>
        <v>0</v>
      </c>
      <c r="BA160" s="55">
        <f t="shared" si="96"/>
        <v>0</v>
      </c>
      <c r="BB160" s="55">
        <f t="shared" si="96"/>
        <v>0</v>
      </c>
      <c r="BC160" s="55">
        <f t="shared" si="96"/>
        <v>0</v>
      </c>
      <c r="BD160" s="55">
        <f t="shared" si="96"/>
        <v>0</v>
      </c>
      <c r="BE160" s="55">
        <f t="shared" si="96"/>
        <v>0</v>
      </c>
      <c r="BF160" s="55">
        <f t="shared" si="96"/>
        <v>0</v>
      </c>
      <c r="BG160" s="55">
        <f t="shared" si="96"/>
        <v>0</v>
      </c>
      <c r="BH160" s="55">
        <f t="shared" si="96"/>
        <v>0</v>
      </c>
      <c r="BI160" s="55">
        <f t="shared" si="96"/>
        <v>0</v>
      </c>
      <c r="BJ160" s="55">
        <f t="shared" si="96"/>
        <v>0</v>
      </c>
      <c r="CK160" s="11"/>
      <c r="CL160" s="221">
        <f t="shared" ref="CL160:CL179" si="97">IF(MIN($AA160:$BJ160)&lt;0, 1, 0)</f>
        <v>0</v>
      </c>
      <c r="CM160" s="11"/>
      <c r="CN160" s="7">
        <f t="shared" ref="CN160:CN179" si="98">IF(OR(SUM(AA160:AL160)=1, SUM(AA160:AL160)=0), 0, 1)</f>
        <v>0</v>
      </c>
      <c r="CO160" s="7">
        <f t="shared" ref="CO160:CO179" si="99">IF(OR(SUM(AM160:AX160)=1, SUM(AM160:AX160)=0), 0, 1)</f>
        <v>0</v>
      </c>
      <c r="CP160" s="7">
        <f t="shared" ref="CP160:CP179" si="100">IF(OR(SUM(AY160:BJ160)=1, SUM(AY160:BJ160)=0), 0, 1)</f>
        <v>0</v>
      </c>
      <c r="CR160" s="35"/>
      <c r="EY160" s="10" t="str">
        <f t="shared" si="93"/>
        <v/>
      </c>
    </row>
    <row r="161" spans="1:155" x14ac:dyDescent="0.35">
      <c r="A161" s="220" cm="1">
        <f t="array" aca="1" ref="A161" ca="1">HYPERLINK(CONCATENATE("#",CELL("address",IF(MAX($CM161:$CR161)=0,A161,INDEX($CM161:$CR161,MATCH(1,$CM161:$CR161,0))))),MAX($CM161:$CR161))</f>
        <v>0</v>
      </c>
      <c r="D161" s="10">
        <f t="shared" si="66"/>
        <v>0</v>
      </c>
      <c r="H161" s="9"/>
      <c r="AA161" s="134">
        <f t="shared" ref="AA161:BJ161" si="101">IF(SUMIFS($AA74:$BJ74, $AA$3:$BJ$3, AA$3, $AA$4:$BJ$4, 1)=0, 0,(AA74/SUMIFS($AA74:$BJ74, $AA$3:$BJ$3, AA$3, $AA$4:$BJ$4, 1))*AA$4)</f>
        <v>0</v>
      </c>
      <c r="AB161" s="55">
        <f t="shared" si="101"/>
        <v>0</v>
      </c>
      <c r="AC161" s="55">
        <f t="shared" si="101"/>
        <v>0</v>
      </c>
      <c r="AD161" s="55">
        <f t="shared" si="101"/>
        <v>0</v>
      </c>
      <c r="AE161" s="55">
        <f t="shared" si="101"/>
        <v>0</v>
      </c>
      <c r="AF161" s="55">
        <f t="shared" si="101"/>
        <v>0</v>
      </c>
      <c r="AG161" s="55">
        <f t="shared" si="101"/>
        <v>0</v>
      </c>
      <c r="AH161" s="55">
        <f t="shared" si="101"/>
        <v>0</v>
      </c>
      <c r="AI161" s="55">
        <f t="shared" si="101"/>
        <v>0</v>
      </c>
      <c r="AJ161" s="55">
        <f t="shared" si="101"/>
        <v>0</v>
      </c>
      <c r="AK161" s="55">
        <f t="shared" si="101"/>
        <v>0</v>
      </c>
      <c r="AL161" s="55">
        <f t="shared" si="101"/>
        <v>0</v>
      </c>
      <c r="AM161" s="55">
        <f t="shared" si="101"/>
        <v>0</v>
      </c>
      <c r="AN161" s="55">
        <f t="shared" si="101"/>
        <v>0</v>
      </c>
      <c r="AO161" s="55">
        <f t="shared" si="101"/>
        <v>0</v>
      </c>
      <c r="AP161" s="55">
        <f t="shared" si="101"/>
        <v>0</v>
      </c>
      <c r="AQ161" s="55">
        <f t="shared" si="101"/>
        <v>0</v>
      </c>
      <c r="AR161" s="55">
        <f t="shared" si="101"/>
        <v>0</v>
      </c>
      <c r="AS161" s="55">
        <f t="shared" si="101"/>
        <v>0</v>
      </c>
      <c r="AT161" s="55">
        <f t="shared" si="101"/>
        <v>0</v>
      </c>
      <c r="AU161" s="55">
        <f t="shared" si="101"/>
        <v>0</v>
      </c>
      <c r="AV161" s="55">
        <f t="shared" si="101"/>
        <v>0</v>
      </c>
      <c r="AW161" s="55">
        <f t="shared" si="101"/>
        <v>0</v>
      </c>
      <c r="AX161" s="55">
        <f t="shared" si="101"/>
        <v>0</v>
      </c>
      <c r="AY161" s="55">
        <f t="shared" si="101"/>
        <v>0</v>
      </c>
      <c r="AZ161" s="55">
        <f t="shared" si="101"/>
        <v>0</v>
      </c>
      <c r="BA161" s="55">
        <f t="shared" si="101"/>
        <v>0</v>
      </c>
      <c r="BB161" s="55">
        <f t="shared" si="101"/>
        <v>0</v>
      </c>
      <c r="BC161" s="55">
        <f t="shared" si="101"/>
        <v>0</v>
      </c>
      <c r="BD161" s="55">
        <f t="shared" si="101"/>
        <v>0</v>
      </c>
      <c r="BE161" s="55">
        <f t="shared" si="101"/>
        <v>0</v>
      </c>
      <c r="BF161" s="55">
        <f t="shared" si="101"/>
        <v>0</v>
      </c>
      <c r="BG161" s="55">
        <f t="shared" si="101"/>
        <v>0</v>
      </c>
      <c r="BH161" s="55">
        <f t="shared" si="101"/>
        <v>0</v>
      </c>
      <c r="BI161" s="55">
        <f t="shared" si="101"/>
        <v>0</v>
      </c>
      <c r="BJ161" s="55">
        <f t="shared" si="101"/>
        <v>0</v>
      </c>
      <c r="CK161" s="11"/>
      <c r="CL161" s="221">
        <f t="shared" si="97"/>
        <v>0</v>
      </c>
      <c r="CM161" s="11"/>
      <c r="CN161" s="7">
        <f t="shared" si="98"/>
        <v>0</v>
      </c>
      <c r="CO161" s="7">
        <f t="shared" si="99"/>
        <v>0</v>
      </c>
      <c r="CP161" s="7">
        <f t="shared" si="100"/>
        <v>0</v>
      </c>
      <c r="CR161" s="35"/>
      <c r="EY161" s="10" t="str">
        <f t="shared" si="93"/>
        <v/>
      </c>
    </row>
    <row r="162" spans="1:155" x14ac:dyDescent="0.35">
      <c r="A162" s="220" cm="1">
        <f t="array" aca="1" ref="A162" ca="1">HYPERLINK(CONCATENATE("#",CELL("address",IF(MAX($CM162:$CR162)=0,A162,INDEX($CM162:$CR162,MATCH(1,$CM162:$CR162,0))))),MAX($CM162:$CR162))</f>
        <v>0</v>
      </c>
      <c r="D162" s="10">
        <f t="shared" si="66"/>
        <v>0</v>
      </c>
      <c r="H162" s="9"/>
      <c r="AA162" s="134">
        <f t="shared" ref="AA162:BJ162" si="102">IF(SUMIFS($AA75:$BJ75, $AA$3:$BJ$3, AA$3, $AA$4:$BJ$4, 1)=0, 0,(AA75/SUMIFS($AA75:$BJ75, $AA$3:$BJ$3, AA$3, $AA$4:$BJ$4, 1))*AA$4)</f>
        <v>0</v>
      </c>
      <c r="AB162" s="55">
        <f t="shared" si="102"/>
        <v>0</v>
      </c>
      <c r="AC162" s="55">
        <f t="shared" si="102"/>
        <v>0</v>
      </c>
      <c r="AD162" s="55">
        <f t="shared" si="102"/>
        <v>0</v>
      </c>
      <c r="AE162" s="55">
        <f t="shared" si="102"/>
        <v>0</v>
      </c>
      <c r="AF162" s="55">
        <f t="shared" si="102"/>
        <v>0</v>
      </c>
      <c r="AG162" s="55">
        <f t="shared" si="102"/>
        <v>0</v>
      </c>
      <c r="AH162" s="55">
        <f t="shared" si="102"/>
        <v>0</v>
      </c>
      <c r="AI162" s="55">
        <f t="shared" si="102"/>
        <v>0</v>
      </c>
      <c r="AJ162" s="55">
        <f t="shared" si="102"/>
        <v>0</v>
      </c>
      <c r="AK162" s="55">
        <f t="shared" si="102"/>
        <v>0</v>
      </c>
      <c r="AL162" s="55">
        <f t="shared" si="102"/>
        <v>0</v>
      </c>
      <c r="AM162" s="55">
        <f t="shared" si="102"/>
        <v>0</v>
      </c>
      <c r="AN162" s="55">
        <f t="shared" si="102"/>
        <v>0</v>
      </c>
      <c r="AO162" s="55">
        <f t="shared" si="102"/>
        <v>0</v>
      </c>
      <c r="AP162" s="55">
        <f t="shared" si="102"/>
        <v>0</v>
      </c>
      <c r="AQ162" s="55">
        <f t="shared" si="102"/>
        <v>0</v>
      </c>
      <c r="AR162" s="55">
        <f t="shared" si="102"/>
        <v>0</v>
      </c>
      <c r="AS162" s="55">
        <f t="shared" si="102"/>
        <v>0</v>
      </c>
      <c r="AT162" s="55">
        <f t="shared" si="102"/>
        <v>0</v>
      </c>
      <c r="AU162" s="55">
        <f t="shared" si="102"/>
        <v>0</v>
      </c>
      <c r="AV162" s="55">
        <f t="shared" si="102"/>
        <v>0</v>
      </c>
      <c r="AW162" s="55">
        <f t="shared" si="102"/>
        <v>0</v>
      </c>
      <c r="AX162" s="55">
        <f t="shared" si="102"/>
        <v>0</v>
      </c>
      <c r="AY162" s="55">
        <f t="shared" si="102"/>
        <v>0</v>
      </c>
      <c r="AZ162" s="55">
        <f t="shared" si="102"/>
        <v>0</v>
      </c>
      <c r="BA162" s="55">
        <f t="shared" si="102"/>
        <v>0</v>
      </c>
      <c r="BB162" s="55">
        <f t="shared" si="102"/>
        <v>0</v>
      </c>
      <c r="BC162" s="55">
        <f t="shared" si="102"/>
        <v>0</v>
      </c>
      <c r="BD162" s="55">
        <f t="shared" si="102"/>
        <v>0</v>
      </c>
      <c r="BE162" s="55">
        <f t="shared" si="102"/>
        <v>0</v>
      </c>
      <c r="BF162" s="55">
        <f t="shared" si="102"/>
        <v>0</v>
      </c>
      <c r="BG162" s="55">
        <f t="shared" si="102"/>
        <v>0</v>
      </c>
      <c r="BH162" s="55">
        <f t="shared" si="102"/>
        <v>0</v>
      </c>
      <c r="BI162" s="55">
        <f t="shared" si="102"/>
        <v>0</v>
      </c>
      <c r="BJ162" s="55">
        <f t="shared" si="102"/>
        <v>0</v>
      </c>
      <c r="CK162" s="11"/>
      <c r="CL162" s="221">
        <f t="shared" si="97"/>
        <v>0</v>
      </c>
      <c r="CM162" s="11"/>
      <c r="CN162" s="7">
        <f t="shared" si="98"/>
        <v>0</v>
      </c>
      <c r="CO162" s="7">
        <f t="shared" si="99"/>
        <v>0</v>
      </c>
      <c r="CP162" s="7">
        <f t="shared" si="100"/>
        <v>0</v>
      </c>
      <c r="CR162" s="35"/>
      <c r="EY162" s="10" t="str">
        <f t="shared" si="93"/>
        <v/>
      </c>
    </row>
    <row r="163" spans="1:155" x14ac:dyDescent="0.35">
      <c r="A163" s="220" cm="1">
        <f t="array" aca="1" ref="A163" ca="1">HYPERLINK(CONCATENATE("#",CELL("address",IF(MAX($CM163:$CR163)=0,A163,INDEX($CM163:$CR163,MATCH(1,$CM163:$CR163,0))))),MAX($CM163:$CR163))</f>
        <v>0</v>
      </c>
      <c r="D163" s="10">
        <f t="shared" si="66"/>
        <v>0</v>
      </c>
      <c r="H163" s="9"/>
      <c r="AA163" s="134">
        <f t="shared" ref="AA163:BJ163" si="103">IF(SUMIFS($AA76:$BJ76, $AA$3:$BJ$3, AA$3, $AA$4:$BJ$4, 1)=0, 0,(AA76/SUMIFS($AA76:$BJ76, $AA$3:$BJ$3, AA$3, $AA$4:$BJ$4, 1))*AA$4)</f>
        <v>0</v>
      </c>
      <c r="AB163" s="55">
        <f t="shared" si="103"/>
        <v>0</v>
      </c>
      <c r="AC163" s="55">
        <f t="shared" si="103"/>
        <v>0</v>
      </c>
      <c r="AD163" s="55">
        <f t="shared" si="103"/>
        <v>0</v>
      </c>
      <c r="AE163" s="55">
        <f t="shared" si="103"/>
        <v>0</v>
      </c>
      <c r="AF163" s="55">
        <f t="shared" si="103"/>
        <v>0</v>
      </c>
      <c r="AG163" s="55">
        <f t="shared" si="103"/>
        <v>0</v>
      </c>
      <c r="AH163" s="55">
        <f t="shared" si="103"/>
        <v>0</v>
      </c>
      <c r="AI163" s="55">
        <f t="shared" si="103"/>
        <v>0</v>
      </c>
      <c r="AJ163" s="55">
        <f t="shared" si="103"/>
        <v>0</v>
      </c>
      <c r="AK163" s="55">
        <f t="shared" si="103"/>
        <v>0</v>
      </c>
      <c r="AL163" s="55">
        <f t="shared" si="103"/>
        <v>0</v>
      </c>
      <c r="AM163" s="55">
        <f t="shared" si="103"/>
        <v>0</v>
      </c>
      <c r="AN163" s="55">
        <f t="shared" si="103"/>
        <v>0</v>
      </c>
      <c r="AO163" s="55">
        <f t="shared" si="103"/>
        <v>0</v>
      </c>
      <c r="AP163" s="55">
        <f t="shared" si="103"/>
        <v>0</v>
      </c>
      <c r="AQ163" s="55">
        <f t="shared" si="103"/>
        <v>0</v>
      </c>
      <c r="AR163" s="55">
        <f t="shared" si="103"/>
        <v>0</v>
      </c>
      <c r="AS163" s="55">
        <f t="shared" si="103"/>
        <v>0</v>
      </c>
      <c r="AT163" s="55">
        <f t="shared" si="103"/>
        <v>0</v>
      </c>
      <c r="AU163" s="55">
        <f t="shared" si="103"/>
        <v>0</v>
      </c>
      <c r="AV163" s="55">
        <f t="shared" si="103"/>
        <v>0</v>
      </c>
      <c r="AW163" s="55">
        <f t="shared" si="103"/>
        <v>0</v>
      </c>
      <c r="AX163" s="55">
        <f t="shared" si="103"/>
        <v>0</v>
      </c>
      <c r="AY163" s="55">
        <f t="shared" si="103"/>
        <v>0</v>
      </c>
      <c r="AZ163" s="55">
        <f t="shared" si="103"/>
        <v>0</v>
      </c>
      <c r="BA163" s="55">
        <f t="shared" si="103"/>
        <v>0</v>
      </c>
      <c r="BB163" s="55">
        <f t="shared" si="103"/>
        <v>0</v>
      </c>
      <c r="BC163" s="55">
        <f t="shared" si="103"/>
        <v>0</v>
      </c>
      <c r="BD163" s="55">
        <f t="shared" si="103"/>
        <v>0</v>
      </c>
      <c r="BE163" s="55">
        <f t="shared" si="103"/>
        <v>0</v>
      </c>
      <c r="BF163" s="55">
        <f t="shared" si="103"/>
        <v>0</v>
      </c>
      <c r="BG163" s="55">
        <f t="shared" si="103"/>
        <v>0</v>
      </c>
      <c r="BH163" s="55">
        <f t="shared" si="103"/>
        <v>0</v>
      </c>
      <c r="BI163" s="55">
        <f t="shared" si="103"/>
        <v>0</v>
      </c>
      <c r="BJ163" s="55">
        <f t="shared" si="103"/>
        <v>0</v>
      </c>
      <c r="CK163" s="11"/>
      <c r="CL163" s="221">
        <f t="shared" si="97"/>
        <v>0</v>
      </c>
      <c r="CM163" s="11"/>
      <c r="CN163" s="7">
        <f t="shared" si="98"/>
        <v>0</v>
      </c>
      <c r="CO163" s="7">
        <f t="shared" si="99"/>
        <v>0</v>
      </c>
      <c r="CP163" s="7">
        <f t="shared" si="100"/>
        <v>0</v>
      </c>
      <c r="CR163" s="35"/>
      <c r="EY163" s="10" t="str">
        <f t="shared" si="93"/>
        <v/>
      </c>
    </row>
    <row r="164" spans="1:155" x14ac:dyDescent="0.35">
      <c r="A164" s="220" cm="1">
        <f t="array" aca="1" ref="A164" ca="1">HYPERLINK(CONCATENATE("#",CELL("address",IF(MAX($CM164:$CR164)=0,A164,INDEX($CM164:$CR164,MATCH(1,$CM164:$CR164,0))))),MAX($CM164:$CR164))</f>
        <v>0</v>
      </c>
      <c r="D164" s="10">
        <f t="shared" ref="D164:D179" si="104">D77</f>
        <v>0</v>
      </c>
      <c r="H164" s="9"/>
      <c r="AA164" s="134">
        <f t="shared" ref="AA164:BJ164" si="105">IF(SUMIFS($AA77:$BJ77, $AA$3:$BJ$3, AA$3, $AA$4:$BJ$4, 1)=0, 0,(AA77/SUMIFS($AA77:$BJ77, $AA$3:$BJ$3, AA$3, $AA$4:$BJ$4, 1))*AA$4)</f>
        <v>0</v>
      </c>
      <c r="AB164" s="55">
        <f t="shared" si="105"/>
        <v>0</v>
      </c>
      <c r="AC164" s="55">
        <f t="shared" si="105"/>
        <v>0</v>
      </c>
      <c r="AD164" s="55">
        <f t="shared" si="105"/>
        <v>0</v>
      </c>
      <c r="AE164" s="55">
        <f t="shared" si="105"/>
        <v>0</v>
      </c>
      <c r="AF164" s="55">
        <f t="shared" si="105"/>
        <v>0</v>
      </c>
      <c r="AG164" s="55">
        <f t="shared" si="105"/>
        <v>0</v>
      </c>
      <c r="AH164" s="55">
        <f t="shared" si="105"/>
        <v>0</v>
      </c>
      <c r="AI164" s="55">
        <f t="shared" si="105"/>
        <v>0</v>
      </c>
      <c r="AJ164" s="55">
        <f t="shared" si="105"/>
        <v>0</v>
      </c>
      <c r="AK164" s="55">
        <f t="shared" si="105"/>
        <v>0</v>
      </c>
      <c r="AL164" s="55">
        <f t="shared" si="105"/>
        <v>0</v>
      </c>
      <c r="AM164" s="55">
        <f t="shared" si="105"/>
        <v>0</v>
      </c>
      <c r="AN164" s="55">
        <f t="shared" si="105"/>
        <v>0</v>
      </c>
      <c r="AO164" s="55">
        <f t="shared" si="105"/>
        <v>0</v>
      </c>
      <c r="AP164" s="55">
        <f t="shared" si="105"/>
        <v>0</v>
      </c>
      <c r="AQ164" s="55">
        <f t="shared" si="105"/>
        <v>0</v>
      </c>
      <c r="AR164" s="55">
        <f t="shared" si="105"/>
        <v>0</v>
      </c>
      <c r="AS164" s="55">
        <f t="shared" si="105"/>
        <v>0</v>
      </c>
      <c r="AT164" s="55">
        <f t="shared" si="105"/>
        <v>0</v>
      </c>
      <c r="AU164" s="55">
        <f t="shared" si="105"/>
        <v>0</v>
      </c>
      <c r="AV164" s="55">
        <f t="shared" si="105"/>
        <v>0</v>
      </c>
      <c r="AW164" s="55">
        <f t="shared" si="105"/>
        <v>0</v>
      </c>
      <c r="AX164" s="55">
        <f t="shared" si="105"/>
        <v>0</v>
      </c>
      <c r="AY164" s="55">
        <f t="shared" si="105"/>
        <v>0</v>
      </c>
      <c r="AZ164" s="55">
        <f t="shared" si="105"/>
        <v>0</v>
      </c>
      <c r="BA164" s="55">
        <f t="shared" si="105"/>
        <v>0</v>
      </c>
      <c r="BB164" s="55">
        <f t="shared" si="105"/>
        <v>0</v>
      </c>
      <c r="BC164" s="55">
        <f t="shared" si="105"/>
        <v>0</v>
      </c>
      <c r="BD164" s="55">
        <f t="shared" si="105"/>
        <v>0</v>
      </c>
      <c r="BE164" s="55">
        <f t="shared" si="105"/>
        <v>0</v>
      </c>
      <c r="BF164" s="55">
        <f t="shared" si="105"/>
        <v>0</v>
      </c>
      <c r="BG164" s="55">
        <f t="shared" si="105"/>
        <v>0</v>
      </c>
      <c r="BH164" s="55">
        <f t="shared" si="105"/>
        <v>0</v>
      </c>
      <c r="BI164" s="55">
        <f t="shared" si="105"/>
        <v>0</v>
      </c>
      <c r="BJ164" s="55">
        <f t="shared" si="105"/>
        <v>0</v>
      </c>
      <c r="CK164" s="11"/>
      <c r="CL164" s="221">
        <f t="shared" si="97"/>
        <v>0</v>
      </c>
      <c r="CM164" s="11"/>
      <c r="CN164" s="7">
        <f t="shared" si="98"/>
        <v>0</v>
      </c>
      <c r="CO164" s="7">
        <f t="shared" si="99"/>
        <v>0</v>
      </c>
      <c r="CP164" s="7">
        <f t="shared" si="100"/>
        <v>0</v>
      </c>
      <c r="CR164" s="35"/>
      <c r="EY164" s="10" t="str">
        <f t="shared" si="93"/>
        <v/>
      </c>
    </row>
    <row r="165" spans="1:155" x14ac:dyDescent="0.35">
      <c r="A165" s="220" cm="1">
        <f t="array" aca="1" ref="A165" ca="1">HYPERLINK(CONCATENATE("#",CELL("address",IF(MAX($CM165:$CR165)=0,A165,INDEX($CM165:$CR165,MATCH(1,$CM165:$CR165,0))))),MAX($CM165:$CR165))</f>
        <v>0</v>
      </c>
      <c r="D165" s="10">
        <f t="shared" si="104"/>
        <v>0</v>
      </c>
      <c r="H165" s="9"/>
      <c r="AA165" s="134">
        <f t="shared" ref="AA165:BJ165" si="106">IF(SUMIFS($AA78:$BJ78, $AA$3:$BJ$3, AA$3, $AA$4:$BJ$4, 1)=0, 0,(AA78/SUMIFS($AA78:$BJ78, $AA$3:$BJ$3, AA$3, $AA$4:$BJ$4, 1))*AA$4)</f>
        <v>0</v>
      </c>
      <c r="AB165" s="55">
        <f t="shared" si="106"/>
        <v>0</v>
      </c>
      <c r="AC165" s="55">
        <f t="shared" si="106"/>
        <v>0</v>
      </c>
      <c r="AD165" s="55">
        <f t="shared" si="106"/>
        <v>0</v>
      </c>
      <c r="AE165" s="55">
        <f t="shared" si="106"/>
        <v>0</v>
      </c>
      <c r="AF165" s="55">
        <f t="shared" si="106"/>
        <v>0</v>
      </c>
      <c r="AG165" s="55">
        <f t="shared" si="106"/>
        <v>0</v>
      </c>
      <c r="AH165" s="55">
        <f t="shared" si="106"/>
        <v>0</v>
      </c>
      <c r="AI165" s="55">
        <f t="shared" si="106"/>
        <v>0</v>
      </c>
      <c r="AJ165" s="55">
        <f t="shared" si="106"/>
        <v>0</v>
      </c>
      <c r="AK165" s="55">
        <f t="shared" si="106"/>
        <v>0</v>
      </c>
      <c r="AL165" s="55">
        <f t="shared" si="106"/>
        <v>0</v>
      </c>
      <c r="AM165" s="55">
        <f t="shared" si="106"/>
        <v>0</v>
      </c>
      <c r="AN165" s="55">
        <f t="shared" si="106"/>
        <v>0</v>
      </c>
      <c r="AO165" s="55">
        <f t="shared" si="106"/>
        <v>0</v>
      </c>
      <c r="AP165" s="55">
        <f t="shared" si="106"/>
        <v>0</v>
      </c>
      <c r="AQ165" s="55">
        <f t="shared" si="106"/>
        <v>0</v>
      </c>
      <c r="AR165" s="55">
        <f t="shared" si="106"/>
        <v>0</v>
      </c>
      <c r="AS165" s="55">
        <f t="shared" si="106"/>
        <v>0</v>
      </c>
      <c r="AT165" s="55">
        <f t="shared" si="106"/>
        <v>0</v>
      </c>
      <c r="AU165" s="55">
        <f t="shared" si="106"/>
        <v>0</v>
      </c>
      <c r="AV165" s="55">
        <f t="shared" si="106"/>
        <v>0</v>
      </c>
      <c r="AW165" s="55">
        <f t="shared" si="106"/>
        <v>0</v>
      </c>
      <c r="AX165" s="55">
        <f t="shared" si="106"/>
        <v>0</v>
      </c>
      <c r="AY165" s="55">
        <f t="shared" si="106"/>
        <v>0</v>
      </c>
      <c r="AZ165" s="55">
        <f t="shared" si="106"/>
        <v>0</v>
      </c>
      <c r="BA165" s="55">
        <f t="shared" si="106"/>
        <v>0</v>
      </c>
      <c r="BB165" s="55">
        <f t="shared" si="106"/>
        <v>0</v>
      </c>
      <c r="BC165" s="55">
        <f t="shared" si="106"/>
        <v>0</v>
      </c>
      <c r="BD165" s="55">
        <f t="shared" si="106"/>
        <v>0</v>
      </c>
      <c r="BE165" s="55">
        <f t="shared" si="106"/>
        <v>0</v>
      </c>
      <c r="BF165" s="55">
        <f t="shared" si="106"/>
        <v>0</v>
      </c>
      <c r="BG165" s="55">
        <f t="shared" si="106"/>
        <v>0</v>
      </c>
      <c r="BH165" s="55">
        <f t="shared" si="106"/>
        <v>0</v>
      </c>
      <c r="BI165" s="55">
        <f t="shared" si="106"/>
        <v>0</v>
      </c>
      <c r="BJ165" s="55">
        <f t="shared" si="106"/>
        <v>0</v>
      </c>
      <c r="CK165" s="11"/>
      <c r="CL165" s="221">
        <f t="shared" si="97"/>
        <v>0</v>
      </c>
      <c r="CM165" s="11"/>
      <c r="CN165" s="7">
        <f t="shared" si="98"/>
        <v>0</v>
      </c>
      <c r="CO165" s="7">
        <f t="shared" si="99"/>
        <v>0</v>
      </c>
      <c r="CP165" s="7">
        <f t="shared" si="100"/>
        <v>0</v>
      </c>
      <c r="CR165" s="35"/>
      <c r="EY165" s="10" t="str">
        <f t="shared" si="93"/>
        <v/>
      </c>
    </row>
    <row r="166" spans="1:155" x14ac:dyDescent="0.35">
      <c r="A166" s="220" cm="1">
        <f t="array" aca="1" ref="A166" ca="1">HYPERLINK(CONCATENATE("#",CELL("address",IF(MAX($CM166:$CR166)=0,A166,INDEX($CM166:$CR166,MATCH(1,$CM166:$CR166,0))))),MAX($CM166:$CR166))</f>
        <v>0</v>
      </c>
      <c r="D166" s="10">
        <f t="shared" si="104"/>
        <v>0</v>
      </c>
      <c r="H166" s="9"/>
      <c r="AA166" s="134">
        <f t="shared" ref="AA166:BJ166" si="107">IF(SUMIFS($AA79:$BJ79, $AA$3:$BJ$3, AA$3, $AA$4:$BJ$4, 1)=0, 0,(AA79/SUMIFS($AA79:$BJ79, $AA$3:$BJ$3, AA$3, $AA$4:$BJ$4, 1))*AA$4)</f>
        <v>0</v>
      </c>
      <c r="AB166" s="55">
        <f t="shared" si="107"/>
        <v>0</v>
      </c>
      <c r="AC166" s="55">
        <f t="shared" si="107"/>
        <v>0</v>
      </c>
      <c r="AD166" s="55">
        <f t="shared" si="107"/>
        <v>0</v>
      </c>
      <c r="AE166" s="55">
        <f t="shared" si="107"/>
        <v>0</v>
      </c>
      <c r="AF166" s="55">
        <f t="shared" si="107"/>
        <v>0</v>
      </c>
      <c r="AG166" s="55">
        <f t="shared" si="107"/>
        <v>0</v>
      </c>
      <c r="AH166" s="55">
        <f t="shared" si="107"/>
        <v>0</v>
      </c>
      <c r="AI166" s="55">
        <f t="shared" si="107"/>
        <v>0</v>
      </c>
      <c r="AJ166" s="55">
        <f t="shared" si="107"/>
        <v>0</v>
      </c>
      <c r="AK166" s="55">
        <f t="shared" si="107"/>
        <v>0</v>
      </c>
      <c r="AL166" s="55">
        <f t="shared" si="107"/>
        <v>0</v>
      </c>
      <c r="AM166" s="55">
        <f t="shared" si="107"/>
        <v>0</v>
      </c>
      <c r="AN166" s="55">
        <f t="shared" si="107"/>
        <v>0</v>
      </c>
      <c r="AO166" s="55">
        <f t="shared" si="107"/>
        <v>0</v>
      </c>
      <c r="AP166" s="55">
        <f t="shared" si="107"/>
        <v>0</v>
      </c>
      <c r="AQ166" s="55">
        <f t="shared" si="107"/>
        <v>0</v>
      </c>
      <c r="AR166" s="55">
        <f t="shared" si="107"/>
        <v>0</v>
      </c>
      <c r="AS166" s="55">
        <f t="shared" si="107"/>
        <v>0</v>
      </c>
      <c r="AT166" s="55">
        <f t="shared" si="107"/>
        <v>0</v>
      </c>
      <c r="AU166" s="55">
        <f t="shared" si="107"/>
        <v>0</v>
      </c>
      <c r="AV166" s="55">
        <f t="shared" si="107"/>
        <v>0</v>
      </c>
      <c r="AW166" s="55">
        <f t="shared" si="107"/>
        <v>0</v>
      </c>
      <c r="AX166" s="55">
        <f t="shared" si="107"/>
        <v>0</v>
      </c>
      <c r="AY166" s="55">
        <f t="shared" si="107"/>
        <v>0</v>
      </c>
      <c r="AZ166" s="55">
        <f t="shared" si="107"/>
        <v>0</v>
      </c>
      <c r="BA166" s="55">
        <f t="shared" si="107"/>
        <v>0</v>
      </c>
      <c r="BB166" s="55">
        <f t="shared" si="107"/>
        <v>0</v>
      </c>
      <c r="BC166" s="55">
        <f t="shared" si="107"/>
        <v>0</v>
      </c>
      <c r="BD166" s="55">
        <f t="shared" si="107"/>
        <v>0</v>
      </c>
      <c r="BE166" s="55">
        <f t="shared" si="107"/>
        <v>0</v>
      </c>
      <c r="BF166" s="55">
        <f t="shared" si="107"/>
        <v>0</v>
      </c>
      <c r="BG166" s="55">
        <f t="shared" si="107"/>
        <v>0</v>
      </c>
      <c r="BH166" s="55">
        <f t="shared" si="107"/>
        <v>0</v>
      </c>
      <c r="BI166" s="55">
        <f t="shared" si="107"/>
        <v>0</v>
      </c>
      <c r="BJ166" s="55">
        <f t="shared" si="107"/>
        <v>0</v>
      </c>
      <c r="CK166" s="11"/>
      <c r="CL166" s="221">
        <f t="shared" si="97"/>
        <v>0</v>
      </c>
      <c r="CM166" s="11"/>
      <c r="CN166" s="7">
        <f t="shared" si="98"/>
        <v>0</v>
      </c>
      <c r="CO166" s="7">
        <f t="shared" si="99"/>
        <v>0</v>
      </c>
      <c r="CP166" s="7">
        <f t="shared" si="100"/>
        <v>0</v>
      </c>
      <c r="CR166" s="35"/>
      <c r="EY166" s="10" t="str">
        <f t="shared" si="93"/>
        <v/>
      </c>
    </row>
    <row r="167" spans="1:155" x14ac:dyDescent="0.35">
      <c r="A167" s="220" cm="1">
        <f t="array" aca="1" ref="A167" ca="1">HYPERLINK(CONCATENATE("#",CELL("address",IF(MAX($CM167:$CR167)=0,A167,INDEX($CM167:$CR167,MATCH(1,$CM167:$CR167,0))))),MAX($CM167:$CR167))</f>
        <v>0</v>
      </c>
      <c r="D167" s="10">
        <f t="shared" si="104"/>
        <v>0</v>
      </c>
      <c r="H167" s="9"/>
      <c r="AA167" s="134">
        <f t="shared" ref="AA167:BJ167" si="108">IF(SUMIFS($AA80:$BJ80, $AA$3:$BJ$3, AA$3, $AA$4:$BJ$4, 1)=0, 0,(AA80/SUMIFS($AA80:$BJ80, $AA$3:$BJ$3, AA$3, $AA$4:$BJ$4, 1))*AA$4)</f>
        <v>0</v>
      </c>
      <c r="AB167" s="55">
        <f t="shared" si="108"/>
        <v>0</v>
      </c>
      <c r="AC167" s="55">
        <f t="shared" si="108"/>
        <v>0</v>
      </c>
      <c r="AD167" s="55">
        <f t="shared" si="108"/>
        <v>0</v>
      </c>
      <c r="AE167" s="55">
        <f t="shared" si="108"/>
        <v>0</v>
      </c>
      <c r="AF167" s="55">
        <f t="shared" si="108"/>
        <v>0</v>
      </c>
      <c r="AG167" s="55">
        <f t="shared" si="108"/>
        <v>0</v>
      </c>
      <c r="AH167" s="55">
        <f t="shared" si="108"/>
        <v>0</v>
      </c>
      <c r="AI167" s="55">
        <f t="shared" si="108"/>
        <v>0</v>
      </c>
      <c r="AJ167" s="55">
        <f t="shared" si="108"/>
        <v>0</v>
      </c>
      <c r="AK167" s="55">
        <f t="shared" si="108"/>
        <v>0</v>
      </c>
      <c r="AL167" s="55">
        <f t="shared" si="108"/>
        <v>0</v>
      </c>
      <c r="AM167" s="55">
        <f t="shared" si="108"/>
        <v>0</v>
      </c>
      <c r="AN167" s="55">
        <f t="shared" si="108"/>
        <v>0</v>
      </c>
      <c r="AO167" s="55">
        <f t="shared" si="108"/>
        <v>0</v>
      </c>
      <c r="AP167" s="55">
        <f t="shared" si="108"/>
        <v>0</v>
      </c>
      <c r="AQ167" s="55">
        <f t="shared" si="108"/>
        <v>0</v>
      </c>
      <c r="AR167" s="55">
        <f t="shared" si="108"/>
        <v>0</v>
      </c>
      <c r="AS167" s="55">
        <f t="shared" si="108"/>
        <v>0</v>
      </c>
      <c r="AT167" s="55">
        <f t="shared" si="108"/>
        <v>0</v>
      </c>
      <c r="AU167" s="55">
        <f t="shared" si="108"/>
        <v>0</v>
      </c>
      <c r="AV167" s="55">
        <f t="shared" si="108"/>
        <v>0</v>
      </c>
      <c r="AW167" s="55">
        <f t="shared" si="108"/>
        <v>0</v>
      </c>
      <c r="AX167" s="55">
        <f t="shared" si="108"/>
        <v>0</v>
      </c>
      <c r="AY167" s="55">
        <f t="shared" si="108"/>
        <v>0</v>
      </c>
      <c r="AZ167" s="55">
        <f t="shared" si="108"/>
        <v>0</v>
      </c>
      <c r="BA167" s="55">
        <f t="shared" si="108"/>
        <v>0</v>
      </c>
      <c r="BB167" s="55">
        <f t="shared" si="108"/>
        <v>0</v>
      </c>
      <c r="BC167" s="55">
        <f t="shared" si="108"/>
        <v>0</v>
      </c>
      <c r="BD167" s="55">
        <f t="shared" si="108"/>
        <v>0</v>
      </c>
      <c r="BE167" s="55">
        <f t="shared" si="108"/>
        <v>0</v>
      </c>
      <c r="BF167" s="55">
        <f t="shared" si="108"/>
        <v>0</v>
      </c>
      <c r="BG167" s="55">
        <f t="shared" si="108"/>
        <v>0</v>
      </c>
      <c r="BH167" s="55">
        <f t="shared" si="108"/>
        <v>0</v>
      </c>
      <c r="BI167" s="55">
        <f t="shared" si="108"/>
        <v>0</v>
      </c>
      <c r="BJ167" s="55">
        <f t="shared" si="108"/>
        <v>0</v>
      </c>
      <c r="CK167" s="11"/>
      <c r="CL167" s="221">
        <f t="shared" si="97"/>
        <v>0</v>
      </c>
      <c r="CM167" s="11"/>
      <c r="CN167" s="7">
        <f t="shared" si="98"/>
        <v>0</v>
      </c>
      <c r="CO167" s="7">
        <f t="shared" si="99"/>
        <v>0</v>
      </c>
      <c r="CP167" s="7">
        <f t="shared" si="100"/>
        <v>0</v>
      </c>
      <c r="CR167" s="35"/>
      <c r="EY167" s="10" t="str">
        <f t="shared" si="93"/>
        <v/>
      </c>
    </row>
    <row r="168" spans="1:155" x14ac:dyDescent="0.35">
      <c r="A168" s="220" cm="1">
        <f t="array" aca="1" ref="A168" ca="1">HYPERLINK(CONCATENATE("#",CELL("address",IF(MAX($CM168:$CR168)=0,A168,INDEX($CM168:$CR168,MATCH(1,$CM168:$CR168,0))))),MAX($CM168:$CR168))</f>
        <v>0</v>
      </c>
      <c r="D168" s="10">
        <f t="shared" si="104"/>
        <v>0</v>
      </c>
      <c r="H168" s="9"/>
      <c r="AA168" s="134">
        <f t="shared" ref="AA168:BJ168" si="109">IF(SUMIFS($AA81:$BJ81, $AA$3:$BJ$3, AA$3, $AA$4:$BJ$4, 1)=0, 0,(AA81/SUMIFS($AA81:$BJ81, $AA$3:$BJ$3, AA$3, $AA$4:$BJ$4, 1))*AA$4)</f>
        <v>0</v>
      </c>
      <c r="AB168" s="55">
        <f t="shared" si="109"/>
        <v>0</v>
      </c>
      <c r="AC168" s="55">
        <f t="shared" si="109"/>
        <v>0</v>
      </c>
      <c r="AD168" s="55">
        <f t="shared" si="109"/>
        <v>0</v>
      </c>
      <c r="AE168" s="55">
        <f t="shared" si="109"/>
        <v>0</v>
      </c>
      <c r="AF168" s="55">
        <f t="shared" si="109"/>
        <v>0</v>
      </c>
      <c r="AG168" s="55">
        <f t="shared" si="109"/>
        <v>0</v>
      </c>
      <c r="AH168" s="55">
        <f t="shared" si="109"/>
        <v>0</v>
      </c>
      <c r="AI168" s="55">
        <f t="shared" si="109"/>
        <v>0</v>
      </c>
      <c r="AJ168" s="55">
        <f t="shared" si="109"/>
        <v>0</v>
      </c>
      <c r="AK168" s="55">
        <f t="shared" si="109"/>
        <v>0</v>
      </c>
      <c r="AL168" s="55">
        <f t="shared" si="109"/>
        <v>0</v>
      </c>
      <c r="AM168" s="55">
        <f t="shared" si="109"/>
        <v>0</v>
      </c>
      <c r="AN168" s="55">
        <f t="shared" si="109"/>
        <v>0</v>
      </c>
      <c r="AO168" s="55">
        <f t="shared" si="109"/>
        <v>0</v>
      </c>
      <c r="AP168" s="55">
        <f t="shared" si="109"/>
        <v>0</v>
      </c>
      <c r="AQ168" s="55">
        <f t="shared" si="109"/>
        <v>0</v>
      </c>
      <c r="AR168" s="55">
        <f t="shared" si="109"/>
        <v>0</v>
      </c>
      <c r="AS168" s="55">
        <f t="shared" si="109"/>
        <v>0</v>
      </c>
      <c r="AT168" s="55">
        <f t="shared" si="109"/>
        <v>0</v>
      </c>
      <c r="AU168" s="55">
        <f t="shared" si="109"/>
        <v>0</v>
      </c>
      <c r="AV168" s="55">
        <f t="shared" si="109"/>
        <v>0</v>
      </c>
      <c r="AW168" s="55">
        <f t="shared" si="109"/>
        <v>0</v>
      </c>
      <c r="AX168" s="55">
        <f t="shared" si="109"/>
        <v>0</v>
      </c>
      <c r="AY168" s="55">
        <f t="shared" si="109"/>
        <v>0</v>
      </c>
      <c r="AZ168" s="55">
        <f t="shared" si="109"/>
        <v>0</v>
      </c>
      <c r="BA168" s="55">
        <f t="shared" si="109"/>
        <v>0</v>
      </c>
      <c r="BB168" s="55">
        <f t="shared" si="109"/>
        <v>0</v>
      </c>
      <c r="BC168" s="55">
        <f t="shared" si="109"/>
        <v>0</v>
      </c>
      <c r="BD168" s="55">
        <f t="shared" si="109"/>
        <v>0</v>
      </c>
      <c r="BE168" s="55">
        <f t="shared" si="109"/>
        <v>0</v>
      </c>
      <c r="BF168" s="55">
        <f t="shared" si="109"/>
        <v>0</v>
      </c>
      <c r="BG168" s="55">
        <f t="shared" si="109"/>
        <v>0</v>
      </c>
      <c r="BH168" s="55">
        <f t="shared" si="109"/>
        <v>0</v>
      </c>
      <c r="BI168" s="55">
        <f t="shared" si="109"/>
        <v>0</v>
      </c>
      <c r="BJ168" s="55">
        <f t="shared" si="109"/>
        <v>0</v>
      </c>
      <c r="CK168" s="11"/>
      <c r="CL168" s="221">
        <f t="shared" si="97"/>
        <v>0</v>
      </c>
      <c r="CM168" s="11"/>
      <c r="CN168" s="7">
        <f t="shared" si="98"/>
        <v>0</v>
      </c>
      <c r="CO168" s="7">
        <f t="shared" si="99"/>
        <v>0</v>
      </c>
      <c r="CP168" s="7">
        <f t="shared" si="100"/>
        <v>0</v>
      </c>
      <c r="CR168" s="35"/>
      <c r="EY168" s="10" t="str">
        <f t="shared" si="93"/>
        <v/>
      </c>
    </row>
    <row r="169" spans="1:155" x14ac:dyDescent="0.35">
      <c r="A169" s="220" cm="1">
        <f t="array" aca="1" ref="A169" ca="1">HYPERLINK(CONCATENATE("#",CELL("address",IF(MAX($CM169:$CR169)=0,A169,INDEX($CM169:$CR169,MATCH(1,$CM169:$CR169,0))))),MAX($CM169:$CR169))</f>
        <v>0</v>
      </c>
      <c r="D169" s="10">
        <f t="shared" si="104"/>
        <v>0</v>
      </c>
      <c r="H169" s="9"/>
      <c r="AA169" s="134">
        <f t="shared" ref="AA169:BJ169" si="110">IF(SUMIFS($AA82:$BJ82, $AA$3:$BJ$3, AA$3, $AA$4:$BJ$4, 1)=0, 0,(AA82/SUMIFS($AA82:$BJ82, $AA$3:$BJ$3, AA$3, $AA$4:$BJ$4, 1))*AA$4)</f>
        <v>0</v>
      </c>
      <c r="AB169" s="55">
        <f t="shared" si="110"/>
        <v>0</v>
      </c>
      <c r="AC169" s="55">
        <f t="shared" si="110"/>
        <v>0</v>
      </c>
      <c r="AD169" s="55">
        <f t="shared" si="110"/>
        <v>0</v>
      </c>
      <c r="AE169" s="55">
        <f t="shared" si="110"/>
        <v>0</v>
      </c>
      <c r="AF169" s="55">
        <f t="shared" si="110"/>
        <v>0</v>
      </c>
      <c r="AG169" s="55">
        <f t="shared" si="110"/>
        <v>0</v>
      </c>
      <c r="AH169" s="55">
        <f t="shared" si="110"/>
        <v>0</v>
      </c>
      <c r="AI169" s="55">
        <f t="shared" si="110"/>
        <v>0</v>
      </c>
      <c r="AJ169" s="55">
        <f t="shared" si="110"/>
        <v>0</v>
      </c>
      <c r="AK169" s="55">
        <f t="shared" si="110"/>
        <v>0</v>
      </c>
      <c r="AL169" s="55">
        <f t="shared" si="110"/>
        <v>0</v>
      </c>
      <c r="AM169" s="55">
        <f t="shared" si="110"/>
        <v>0</v>
      </c>
      <c r="AN169" s="55">
        <f t="shared" si="110"/>
        <v>0</v>
      </c>
      <c r="AO169" s="55">
        <f t="shared" si="110"/>
        <v>0</v>
      </c>
      <c r="AP169" s="55">
        <f t="shared" si="110"/>
        <v>0</v>
      </c>
      <c r="AQ169" s="55">
        <f t="shared" si="110"/>
        <v>0</v>
      </c>
      <c r="AR169" s="55">
        <f t="shared" si="110"/>
        <v>0</v>
      </c>
      <c r="AS169" s="55">
        <f t="shared" si="110"/>
        <v>0</v>
      </c>
      <c r="AT169" s="55">
        <f t="shared" si="110"/>
        <v>0</v>
      </c>
      <c r="AU169" s="55">
        <f t="shared" si="110"/>
        <v>0</v>
      </c>
      <c r="AV169" s="55">
        <f t="shared" si="110"/>
        <v>0</v>
      </c>
      <c r="AW169" s="55">
        <f t="shared" si="110"/>
        <v>0</v>
      </c>
      <c r="AX169" s="55">
        <f t="shared" si="110"/>
        <v>0</v>
      </c>
      <c r="AY169" s="55">
        <f t="shared" si="110"/>
        <v>0</v>
      </c>
      <c r="AZ169" s="55">
        <f t="shared" si="110"/>
        <v>0</v>
      </c>
      <c r="BA169" s="55">
        <f t="shared" si="110"/>
        <v>0</v>
      </c>
      <c r="BB169" s="55">
        <f t="shared" si="110"/>
        <v>0</v>
      </c>
      <c r="BC169" s="55">
        <f t="shared" si="110"/>
        <v>0</v>
      </c>
      <c r="BD169" s="55">
        <f t="shared" si="110"/>
        <v>0</v>
      </c>
      <c r="BE169" s="55">
        <f t="shared" si="110"/>
        <v>0</v>
      </c>
      <c r="BF169" s="55">
        <f t="shared" si="110"/>
        <v>0</v>
      </c>
      <c r="BG169" s="55">
        <f t="shared" si="110"/>
        <v>0</v>
      </c>
      <c r="BH169" s="55">
        <f t="shared" si="110"/>
        <v>0</v>
      </c>
      <c r="BI169" s="55">
        <f t="shared" si="110"/>
        <v>0</v>
      </c>
      <c r="BJ169" s="55">
        <f t="shared" si="110"/>
        <v>0</v>
      </c>
      <c r="CK169" s="11"/>
      <c r="CL169" s="221">
        <f t="shared" si="97"/>
        <v>0</v>
      </c>
      <c r="CM169" s="11"/>
      <c r="CN169" s="7">
        <f t="shared" si="98"/>
        <v>0</v>
      </c>
      <c r="CO169" s="7">
        <f t="shared" si="99"/>
        <v>0</v>
      </c>
      <c r="CP169" s="7">
        <f t="shared" si="100"/>
        <v>0</v>
      </c>
      <c r="CR169" s="35"/>
      <c r="EY169" s="10" t="str">
        <f t="shared" si="93"/>
        <v/>
      </c>
    </row>
    <row r="170" spans="1:155" x14ac:dyDescent="0.35">
      <c r="A170" s="220" cm="1">
        <f t="array" aca="1" ref="A170" ca="1">HYPERLINK(CONCATENATE("#",CELL("address",IF(MAX($CM170:$CR170)=0,A170,INDEX($CM170:$CR170,MATCH(1,$CM170:$CR170,0))))),MAX($CM170:$CR170))</f>
        <v>0</v>
      </c>
      <c r="D170" s="10">
        <f t="shared" si="104"/>
        <v>0</v>
      </c>
      <c r="H170" s="9"/>
      <c r="AA170" s="134">
        <f t="shared" ref="AA170:BJ170" si="111">IF(SUMIFS($AA83:$BJ83, $AA$3:$BJ$3, AA$3, $AA$4:$BJ$4, 1)=0, 0,(AA83/SUMIFS($AA83:$BJ83, $AA$3:$BJ$3, AA$3, $AA$4:$BJ$4, 1))*AA$4)</f>
        <v>0</v>
      </c>
      <c r="AB170" s="55">
        <f t="shared" si="111"/>
        <v>0</v>
      </c>
      <c r="AC170" s="55">
        <f t="shared" si="111"/>
        <v>0</v>
      </c>
      <c r="AD170" s="55">
        <f t="shared" si="111"/>
        <v>0</v>
      </c>
      <c r="AE170" s="55">
        <f t="shared" si="111"/>
        <v>0</v>
      </c>
      <c r="AF170" s="55">
        <f t="shared" si="111"/>
        <v>0</v>
      </c>
      <c r="AG170" s="55">
        <f t="shared" si="111"/>
        <v>0</v>
      </c>
      <c r="AH170" s="55">
        <f t="shared" si="111"/>
        <v>0</v>
      </c>
      <c r="AI170" s="55">
        <f t="shared" si="111"/>
        <v>0</v>
      </c>
      <c r="AJ170" s="55">
        <f t="shared" si="111"/>
        <v>0</v>
      </c>
      <c r="AK170" s="55">
        <f t="shared" si="111"/>
        <v>0</v>
      </c>
      <c r="AL170" s="55">
        <f t="shared" si="111"/>
        <v>0</v>
      </c>
      <c r="AM170" s="55">
        <f t="shared" si="111"/>
        <v>0</v>
      </c>
      <c r="AN170" s="55">
        <f t="shared" si="111"/>
        <v>0</v>
      </c>
      <c r="AO170" s="55">
        <f t="shared" si="111"/>
        <v>0</v>
      </c>
      <c r="AP170" s="55">
        <f t="shared" si="111"/>
        <v>0</v>
      </c>
      <c r="AQ170" s="55">
        <f t="shared" si="111"/>
        <v>0</v>
      </c>
      <c r="AR170" s="55">
        <f t="shared" si="111"/>
        <v>0</v>
      </c>
      <c r="AS170" s="55">
        <f t="shared" si="111"/>
        <v>0</v>
      </c>
      <c r="AT170" s="55">
        <f t="shared" si="111"/>
        <v>0</v>
      </c>
      <c r="AU170" s="55">
        <f t="shared" si="111"/>
        <v>0</v>
      </c>
      <c r="AV170" s="55">
        <f t="shared" si="111"/>
        <v>0</v>
      </c>
      <c r="AW170" s="55">
        <f t="shared" si="111"/>
        <v>0</v>
      </c>
      <c r="AX170" s="55">
        <f t="shared" si="111"/>
        <v>0</v>
      </c>
      <c r="AY170" s="55">
        <f t="shared" si="111"/>
        <v>0</v>
      </c>
      <c r="AZ170" s="55">
        <f t="shared" si="111"/>
        <v>0</v>
      </c>
      <c r="BA170" s="55">
        <f t="shared" si="111"/>
        <v>0</v>
      </c>
      <c r="BB170" s="55">
        <f t="shared" si="111"/>
        <v>0</v>
      </c>
      <c r="BC170" s="55">
        <f t="shared" si="111"/>
        <v>0</v>
      </c>
      <c r="BD170" s="55">
        <f t="shared" si="111"/>
        <v>0</v>
      </c>
      <c r="BE170" s="55">
        <f t="shared" si="111"/>
        <v>0</v>
      </c>
      <c r="BF170" s="55">
        <f t="shared" si="111"/>
        <v>0</v>
      </c>
      <c r="BG170" s="55">
        <f t="shared" si="111"/>
        <v>0</v>
      </c>
      <c r="BH170" s="55">
        <f t="shared" si="111"/>
        <v>0</v>
      </c>
      <c r="BI170" s="55">
        <f t="shared" si="111"/>
        <v>0</v>
      </c>
      <c r="BJ170" s="55">
        <f t="shared" si="111"/>
        <v>0</v>
      </c>
      <c r="CK170" s="11"/>
      <c r="CL170" s="221">
        <f t="shared" si="97"/>
        <v>0</v>
      </c>
      <c r="CM170" s="11"/>
      <c r="CN170" s="7">
        <f t="shared" si="98"/>
        <v>0</v>
      </c>
      <c r="CO170" s="7">
        <f t="shared" si="99"/>
        <v>0</v>
      </c>
      <c r="CP170" s="7">
        <f t="shared" si="100"/>
        <v>0</v>
      </c>
      <c r="CR170" s="35"/>
      <c r="EY170" s="10" t="str">
        <f t="shared" si="93"/>
        <v/>
      </c>
    </row>
    <row r="171" spans="1:155" x14ac:dyDescent="0.35">
      <c r="A171" s="220" cm="1">
        <f t="array" aca="1" ref="A171" ca="1">HYPERLINK(CONCATENATE("#",CELL("address",IF(MAX($CM171:$CR171)=0,A171,INDEX($CM171:$CR171,MATCH(1,$CM171:$CR171,0))))),MAX($CM171:$CR171))</f>
        <v>0</v>
      </c>
      <c r="D171" s="10">
        <f t="shared" si="104"/>
        <v>0</v>
      </c>
      <c r="H171" s="9"/>
      <c r="AA171" s="134">
        <f t="shared" ref="AA171:BJ171" si="112">IF(SUMIFS($AA84:$BJ84, $AA$3:$BJ$3, AA$3, $AA$4:$BJ$4, 1)=0, 0,(AA84/SUMIFS($AA84:$BJ84, $AA$3:$BJ$3, AA$3, $AA$4:$BJ$4, 1))*AA$4)</f>
        <v>0</v>
      </c>
      <c r="AB171" s="55">
        <f t="shared" si="112"/>
        <v>0</v>
      </c>
      <c r="AC171" s="55">
        <f t="shared" si="112"/>
        <v>0</v>
      </c>
      <c r="AD171" s="55">
        <f t="shared" si="112"/>
        <v>0</v>
      </c>
      <c r="AE171" s="55">
        <f t="shared" si="112"/>
        <v>0</v>
      </c>
      <c r="AF171" s="55">
        <f t="shared" si="112"/>
        <v>0</v>
      </c>
      <c r="AG171" s="55">
        <f t="shared" si="112"/>
        <v>0</v>
      </c>
      <c r="AH171" s="55">
        <f t="shared" si="112"/>
        <v>0</v>
      </c>
      <c r="AI171" s="55">
        <f t="shared" si="112"/>
        <v>0</v>
      </c>
      <c r="AJ171" s="55">
        <f t="shared" si="112"/>
        <v>0</v>
      </c>
      <c r="AK171" s="55">
        <f t="shared" si="112"/>
        <v>0</v>
      </c>
      <c r="AL171" s="55">
        <f t="shared" si="112"/>
        <v>0</v>
      </c>
      <c r="AM171" s="55">
        <f t="shared" si="112"/>
        <v>0</v>
      </c>
      <c r="AN171" s="55">
        <f t="shared" si="112"/>
        <v>0</v>
      </c>
      <c r="AO171" s="55">
        <f t="shared" si="112"/>
        <v>0</v>
      </c>
      <c r="AP171" s="55">
        <f t="shared" si="112"/>
        <v>0</v>
      </c>
      <c r="AQ171" s="55">
        <f t="shared" si="112"/>
        <v>0</v>
      </c>
      <c r="AR171" s="55">
        <f t="shared" si="112"/>
        <v>0</v>
      </c>
      <c r="AS171" s="55">
        <f t="shared" si="112"/>
        <v>0</v>
      </c>
      <c r="AT171" s="55">
        <f t="shared" si="112"/>
        <v>0</v>
      </c>
      <c r="AU171" s="55">
        <f t="shared" si="112"/>
        <v>0</v>
      </c>
      <c r="AV171" s="55">
        <f t="shared" si="112"/>
        <v>0</v>
      </c>
      <c r="AW171" s="55">
        <f t="shared" si="112"/>
        <v>0</v>
      </c>
      <c r="AX171" s="55">
        <f t="shared" si="112"/>
        <v>0</v>
      </c>
      <c r="AY171" s="55">
        <f t="shared" si="112"/>
        <v>0</v>
      </c>
      <c r="AZ171" s="55">
        <f t="shared" si="112"/>
        <v>0</v>
      </c>
      <c r="BA171" s="55">
        <f t="shared" si="112"/>
        <v>0</v>
      </c>
      <c r="BB171" s="55">
        <f t="shared" si="112"/>
        <v>0</v>
      </c>
      <c r="BC171" s="55">
        <f t="shared" si="112"/>
        <v>0</v>
      </c>
      <c r="BD171" s="55">
        <f t="shared" si="112"/>
        <v>0</v>
      </c>
      <c r="BE171" s="55">
        <f t="shared" si="112"/>
        <v>0</v>
      </c>
      <c r="BF171" s="55">
        <f t="shared" si="112"/>
        <v>0</v>
      </c>
      <c r="BG171" s="55">
        <f t="shared" si="112"/>
        <v>0</v>
      </c>
      <c r="BH171" s="55">
        <f t="shared" si="112"/>
        <v>0</v>
      </c>
      <c r="BI171" s="55">
        <f t="shared" si="112"/>
        <v>0</v>
      </c>
      <c r="BJ171" s="55">
        <f t="shared" si="112"/>
        <v>0</v>
      </c>
      <c r="CK171" s="11"/>
      <c r="CL171" s="221">
        <f t="shared" si="97"/>
        <v>0</v>
      </c>
      <c r="CM171" s="11"/>
      <c r="CN171" s="7">
        <f t="shared" si="98"/>
        <v>0</v>
      </c>
      <c r="CO171" s="7">
        <f t="shared" si="99"/>
        <v>0</v>
      </c>
      <c r="CP171" s="7">
        <f t="shared" si="100"/>
        <v>0</v>
      </c>
      <c r="CR171" s="35"/>
      <c r="EY171" s="10" t="str">
        <f t="shared" si="93"/>
        <v/>
      </c>
    </row>
    <row r="172" spans="1:155" x14ac:dyDescent="0.35">
      <c r="A172" s="220" cm="1">
        <f t="array" aca="1" ref="A172" ca="1">HYPERLINK(CONCATENATE("#",CELL("address",IF(MAX($CM172:$CR172)=0,A172,INDEX($CM172:$CR172,MATCH(1,$CM172:$CR172,0))))),MAX($CM172:$CR172))</f>
        <v>0</v>
      </c>
      <c r="D172" s="10">
        <f t="shared" si="104"/>
        <v>0</v>
      </c>
      <c r="H172" s="9"/>
      <c r="AA172" s="134">
        <f t="shared" ref="AA172:BJ172" si="113">IF(SUMIFS($AA85:$BJ85, $AA$3:$BJ$3, AA$3, $AA$4:$BJ$4, 1)=0, 0,(AA85/SUMIFS($AA85:$BJ85, $AA$3:$BJ$3, AA$3, $AA$4:$BJ$4, 1))*AA$4)</f>
        <v>0</v>
      </c>
      <c r="AB172" s="55">
        <f t="shared" si="113"/>
        <v>0</v>
      </c>
      <c r="AC172" s="55">
        <f t="shared" si="113"/>
        <v>0</v>
      </c>
      <c r="AD172" s="55">
        <f t="shared" si="113"/>
        <v>0</v>
      </c>
      <c r="AE172" s="55">
        <f t="shared" si="113"/>
        <v>0</v>
      </c>
      <c r="AF172" s="55">
        <f t="shared" si="113"/>
        <v>0</v>
      </c>
      <c r="AG172" s="55">
        <f t="shared" si="113"/>
        <v>0</v>
      </c>
      <c r="AH172" s="55">
        <f t="shared" si="113"/>
        <v>0</v>
      </c>
      <c r="AI172" s="55">
        <f t="shared" si="113"/>
        <v>0</v>
      </c>
      <c r="AJ172" s="55">
        <f t="shared" si="113"/>
        <v>0</v>
      </c>
      <c r="AK172" s="55">
        <f t="shared" si="113"/>
        <v>0</v>
      </c>
      <c r="AL172" s="55">
        <f t="shared" si="113"/>
        <v>0</v>
      </c>
      <c r="AM172" s="55">
        <f t="shared" si="113"/>
        <v>0</v>
      </c>
      <c r="AN172" s="55">
        <f t="shared" si="113"/>
        <v>0</v>
      </c>
      <c r="AO172" s="55">
        <f t="shared" si="113"/>
        <v>0</v>
      </c>
      <c r="AP172" s="55">
        <f t="shared" si="113"/>
        <v>0</v>
      </c>
      <c r="AQ172" s="55">
        <f t="shared" si="113"/>
        <v>0</v>
      </c>
      <c r="AR172" s="55">
        <f t="shared" si="113"/>
        <v>0</v>
      </c>
      <c r="AS172" s="55">
        <f t="shared" si="113"/>
        <v>0</v>
      </c>
      <c r="AT172" s="55">
        <f t="shared" si="113"/>
        <v>0</v>
      </c>
      <c r="AU172" s="55">
        <f t="shared" si="113"/>
        <v>0</v>
      </c>
      <c r="AV172" s="55">
        <f t="shared" si="113"/>
        <v>0</v>
      </c>
      <c r="AW172" s="55">
        <f t="shared" si="113"/>
        <v>0</v>
      </c>
      <c r="AX172" s="55">
        <f t="shared" si="113"/>
        <v>0</v>
      </c>
      <c r="AY172" s="55">
        <f t="shared" si="113"/>
        <v>0</v>
      </c>
      <c r="AZ172" s="55">
        <f t="shared" si="113"/>
        <v>0</v>
      </c>
      <c r="BA172" s="55">
        <f t="shared" si="113"/>
        <v>0</v>
      </c>
      <c r="BB172" s="55">
        <f t="shared" si="113"/>
        <v>0</v>
      </c>
      <c r="BC172" s="55">
        <f t="shared" si="113"/>
        <v>0</v>
      </c>
      <c r="BD172" s="55">
        <f t="shared" si="113"/>
        <v>0</v>
      </c>
      <c r="BE172" s="55">
        <f t="shared" si="113"/>
        <v>0</v>
      </c>
      <c r="BF172" s="55">
        <f t="shared" si="113"/>
        <v>0</v>
      </c>
      <c r="BG172" s="55">
        <f t="shared" si="113"/>
        <v>0</v>
      </c>
      <c r="BH172" s="55">
        <f t="shared" si="113"/>
        <v>0</v>
      </c>
      <c r="BI172" s="55">
        <f t="shared" si="113"/>
        <v>0</v>
      </c>
      <c r="BJ172" s="55">
        <f t="shared" si="113"/>
        <v>0</v>
      </c>
      <c r="CK172" s="11"/>
      <c r="CL172" s="221">
        <f t="shared" si="97"/>
        <v>0</v>
      </c>
      <c r="CM172" s="11"/>
      <c r="CN172" s="7">
        <f t="shared" si="98"/>
        <v>0</v>
      </c>
      <c r="CO172" s="7">
        <f t="shared" si="99"/>
        <v>0</v>
      </c>
      <c r="CP172" s="7">
        <f t="shared" si="100"/>
        <v>0</v>
      </c>
      <c r="CR172" s="35"/>
      <c r="EY172" s="10" t="str">
        <f t="shared" si="93"/>
        <v/>
      </c>
    </row>
    <row r="173" spans="1:155" x14ac:dyDescent="0.35">
      <c r="A173" s="220" cm="1">
        <f t="array" aca="1" ref="A173" ca="1">HYPERLINK(CONCATENATE("#",CELL("address",IF(MAX($CM173:$CR173)=0,A173,INDEX($CM173:$CR173,MATCH(1,$CM173:$CR173,0))))),MAX($CM173:$CR173))</f>
        <v>0</v>
      </c>
      <c r="D173" s="10">
        <f t="shared" si="104"/>
        <v>0</v>
      </c>
      <c r="H173" s="9"/>
      <c r="AA173" s="134">
        <f t="shared" ref="AA173:BJ173" si="114">IF(SUMIFS($AA86:$BJ86, $AA$3:$BJ$3, AA$3, $AA$4:$BJ$4, 1)=0, 0,(AA86/SUMIFS($AA86:$BJ86, $AA$3:$BJ$3, AA$3, $AA$4:$BJ$4, 1))*AA$4)</f>
        <v>0</v>
      </c>
      <c r="AB173" s="55">
        <f t="shared" si="114"/>
        <v>0</v>
      </c>
      <c r="AC173" s="55">
        <f t="shared" si="114"/>
        <v>0</v>
      </c>
      <c r="AD173" s="55">
        <f t="shared" si="114"/>
        <v>0</v>
      </c>
      <c r="AE173" s="55">
        <f t="shared" si="114"/>
        <v>0</v>
      </c>
      <c r="AF173" s="55">
        <f t="shared" si="114"/>
        <v>0</v>
      </c>
      <c r="AG173" s="55">
        <f t="shared" si="114"/>
        <v>0</v>
      </c>
      <c r="AH173" s="55">
        <f t="shared" si="114"/>
        <v>0</v>
      </c>
      <c r="AI173" s="55">
        <f t="shared" si="114"/>
        <v>0</v>
      </c>
      <c r="AJ173" s="55">
        <f t="shared" si="114"/>
        <v>0</v>
      </c>
      <c r="AK173" s="55">
        <f t="shared" si="114"/>
        <v>0</v>
      </c>
      <c r="AL173" s="55">
        <f t="shared" si="114"/>
        <v>0</v>
      </c>
      <c r="AM173" s="55">
        <f t="shared" si="114"/>
        <v>0</v>
      </c>
      <c r="AN173" s="55">
        <f t="shared" si="114"/>
        <v>0</v>
      </c>
      <c r="AO173" s="55">
        <f t="shared" si="114"/>
        <v>0</v>
      </c>
      <c r="AP173" s="55">
        <f t="shared" si="114"/>
        <v>0</v>
      </c>
      <c r="AQ173" s="55">
        <f t="shared" si="114"/>
        <v>0</v>
      </c>
      <c r="AR173" s="55">
        <f t="shared" si="114"/>
        <v>0</v>
      </c>
      <c r="AS173" s="55">
        <f t="shared" si="114"/>
        <v>0</v>
      </c>
      <c r="AT173" s="55">
        <f t="shared" si="114"/>
        <v>0</v>
      </c>
      <c r="AU173" s="55">
        <f t="shared" si="114"/>
        <v>0</v>
      </c>
      <c r="AV173" s="55">
        <f t="shared" si="114"/>
        <v>0</v>
      </c>
      <c r="AW173" s="55">
        <f t="shared" si="114"/>
        <v>0</v>
      </c>
      <c r="AX173" s="55">
        <f t="shared" si="114"/>
        <v>0</v>
      </c>
      <c r="AY173" s="55">
        <f t="shared" si="114"/>
        <v>0</v>
      </c>
      <c r="AZ173" s="55">
        <f t="shared" si="114"/>
        <v>0</v>
      </c>
      <c r="BA173" s="55">
        <f t="shared" si="114"/>
        <v>0</v>
      </c>
      <c r="BB173" s="55">
        <f t="shared" si="114"/>
        <v>0</v>
      </c>
      <c r="BC173" s="55">
        <f t="shared" si="114"/>
        <v>0</v>
      </c>
      <c r="BD173" s="55">
        <f t="shared" si="114"/>
        <v>0</v>
      </c>
      <c r="BE173" s="55">
        <f t="shared" si="114"/>
        <v>0</v>
      </c>
      <c r="BF173" s="55">
        <f t="shared" si="114"/>
        <v>0</v>
      </c>
      <c r="BG173" s="55">
        <f t="shared" si="114"/>
        <v>0</v>
      </c>
      <c r="BH173" s="55">
        <f t="shared" si="114"/>
        <v>0</v>
      </c>
      <c r="BI173" s="55">
        <f t="shared" si="114"/>
        <v>0</v>
      </c>
      <c r="BJ173" s="55">
        <f t="shared" si="114"/>
        <v>0</v>
      </c>
      <c r="CK173" s="11"/>
      <c r="CL173" s="221">
        <f t="shared" si="97"/>
        <v>0</v>
      </c>
      <c r="CM173" s="11"/>
      <c r="CN173" s="7">
        <f t="shared" si="98"/>
        <v>0</v>
      </c>
      <c r="CO173" s="7">
        <f t="shared" si="99"/>
        <v>0</v>
      </c>
      <c r="CP173" s="7">
        <f t="shared" si="100"/>
        <v>0</v>
      </c>
      <c r="CR173" s="35"/>
      <c r="EY173" s="10" t="str">
        <f t="shared" si="93"/>
        <v/>
      </c>
    </row>
    <row r="174" spans="1:155" x14ac:dyDescent="0.35">
      <c r="A174" s="220" cm="1">
        <f t="array" aca="1" ref="A174" ca="1">HYPERLINK(CONCATENATE("#",CELL("address",IF(MAX($CM174:$CR174)=0,A174,INDEX($CM174:$CR174,MATCH(1,$CM174:$CR174,0))))),MAX($CM174:$CR174))</f>
        <v>0</v>
      </c>
      <c r="D174" s="10">
        <f t="shared" si="104"/>
        <v>0</v>
      </c>
      <c r="H174" s="9"/>
      <c r="AA174" s="134">
        <f t="shared" ref="AA174:BJ174" si="115">IF(SUMIFS($AA87:$BJ87, $AA$3:$BJ$3, AA$3, $AA$4:$BJ$4, 1)=0, 0,(AA87/SUMIFS($AA87:$BJ87, $AA$3:$BJ$3, AA$3, $AA$4:$BJ$4, 1))*AA$4)</f>
        <v>0</v>
      </c>
      <c r="AB174" s="55">
        <f t="shared" si="115"/>
        <v>0</v>
      </c>
      <c r="AC174" s="55">
        <f t="shared" si="115"/>
        <v>0</v>
      </c>
      <c r="AD174" s="55">
        <f t="shared" si="115"/>
        <v>0</v>
      </c>
      <c r="AE174" s="55">
        <f t="shared" si="115"/>
        <v>0</v>
      </c>
      <c r="AF174" s="55">
        <f t="shared" si="115"/>
        <v>0</v>
      </c>
      <c r="AG174" s="55">
        <f t="shared" si="115"/>
        <v>0</v>
      </c>
      <c r="AH174" s="55">
        <f t="shared" si="115"/>
        <v>0</v>
      </c>
      <c r="AI174" s="55">
        <f t="shared" si="115"/>
        <v>0</v>
      </c>
      <c r="AJ174" s="55">
        <f t="shared" si="115"/>
        <v>0</v>
      </c>
      <c r="AK174" s="55">
        <f t="shared" si="115"/>
        <v>0</v>
      </c>
      <c r="AL174" s="55">
        <f t="shared" si="115"/>
        <v>0</v>
      </c>
      <c r="AM174" s="55">
        <f t="shared" si="115"/>
        <v>0</v>
      </c>
      <c r="AN174" s="55">
        <f t="shared" si="115"/>
        <v>0</v>
      </c>
      <c r="AO174" s="55">
        <f t="shared" si="115"/>
        <v>0</v>
      </c>
      <c r="AP174" s="55">
        <f t="shared" si="115"/>
        <v>0</v>
      </c>
      <c r="AQ174" s="55">
        <f t="shared" si="115"/>
        <v>0</v>
      </c>
      <c r="AR174" s="55">
        <f t="shared" si="115"/>
        <v>0</v>
      </c>
      <c r="AS174" s="55">
        <f t="shared" si="115"/>
        <v>0</v>
      </c>
      <c r="AT174" s="55">
        <f t="shared" si="115"/>
        <v>0</v>
      </c>
      <c r="AU174" s="55">
        <f t="shared" si="115"/>
        <v>0</v>
      </c>
      <c r="AV174" s="55">
        <f t="shared" si="115"/>
        <v>0</v>
      </c>
      <c r="AW174" s="55">
        <f t="shared" si="115"/>
        <v>0</v>
      </c>
      <c r="AX174" s="55">
        <f t="shared" si="115"/>
        <v>0</v>
      </c>
      <c r="AY174" s="55">
        <f t="shared" si="115"/>
        <v>0</v>
      </c>
      <c r="AZ174" s="55">
        <f t="shared" si="115"/>
        <v>0</v>
      </c>
      <c r="BA174" s="55">
        <f t="shared" si="115"/>
        <v>0</v>
      </c>
      <c r="BB174" s="55">
        <f t="shared" si="115"/>
        <v>0</v>
      </c>
      <c r="BC174" s="55">
        <f t="shared" si="115"/>
        <v>0</v>
      </c>
      <c r="BD174" s="55">
        <f t="shared" si="115"/>
        <v>0</v>
      </c>
      <c r="BE174" s="55">
        <f t="shared" si="115"/>
        <v>0</v>
      </c>
      <c r="BF174" s="55">
        <f t="shared" si="115"/>
        <v>0</v>
      </c>
      <c r="BG174" s="55">
        <f t="shared" si="115"/>
        <v>0</v>
      </c>
      <c r="BH174" s="55">
        <f t="shared" si="115"/>
        <v>0</v>
      </c>
      <c r="BI174" s="55">
        <f t="shared" si="115"/>
        <v>0</v>
      </c>
      <c r="BJ174" s="55">
        <f t="shared" si="115"/>
        <v>0</v>
      </c>
      <c r="CK174" s="11"/>
      <c r="CL174" s="221">
        <f t="shared" si="97"/>
        <v>0</v>
      </c>
      <c r="CM174" s="11"/>
      <c r="CN174" s="7">
        <f t="shared" si="98"/>
        <v>0</v>
      </c>
      <c r="CO174" s="7">
        <f t="shared" si="99"/>
        <v>0</v>
      </c>
      <c r="CP174" s="7">
        <f t="shared" si="100"/>
        <v>0</v>
      </c>
      <c r="CR174" s="35"/>
      <c r="EY174" s="10" t="str">
        <f t="shared" si="93"/>
        <v/>
      </c>
    </row>
    <row r="175" spans="1:155" x14ac:dyDescent="0.35">
      <c r="A175" s="220" cm="1">
        <f t="array" aca="1" ref="A175" ca="1">HYPERLINK(CONCATENATE("#",CELL("address",IF(MAX($CM175:$CR175)=0,A175,INDEX($CM175:$CR175,MATCH(1,$CM175:$CR175,0))))),MAX($CM175:$CR175))</f>
        <v>0</v>
      </c>
      <c r="D175" s="10">
        <f t="shared" si="104"/>
        <v>0</v>
      </c>
      <c r="H175" s="9"/>
      <c r="AA175" s="134">
        <f t="shared" ref="AA175:BJ175" si="116">IF(SUMIFS($AA88:$BJ88, $AA$3:$BJ$3, AA$3, $AA$4:$BJ$4, 1)=0, 0,(AA88/SUMIFS($AA88:$BJ88, $AA$3:$BJ$3, AA$3, $AA$4:$BJ$4, 1))*AA$4)</f>
        <v>0</v>
      </c>
      <c r="AB175" s="55">
        <f t="shared" si="116"/>
        <v>0</v>
      </c>
      <c r="AC175" s="55">
        <f t="shared" si="116"/>
        <v>0</v>
      </c>
      <c r="AD175" s="55">
        <f t="shared" si="116"/>
        <v>0</v>
      </c>
      <c r="AE175" s="55">
        <f t="shared" si="116"/>
        <v>0</v>
      </c>
      <c r="AF175" s="55">
        <f t="shared" si="116"/>
        <v>0</v>
      </c>
      <c r="AG175" s="55">
        <f t="shared" si="116"/>
        <v>0</v>
      </c>
      <c r="AH175" s="55">
        <f t="shared" si="116"/>
        <v>0</v>
      </c>
      <c r="AI175" s="55">
        <f t="shared" si="116"/>
        <v>0</v>
      </c>
      <c r="AJ175" s="55">
        <f t="shared" si="116"/>
        <v>0</v>
      </c>
      <c r="AK175" s="55">
        <f t="shared" si="116"/>
        <v>0</v>
      </c>
      <c r="AL175" s="55">
        <f t="shared" si="116"/>
        <v>0</v>
      </c>
      <c r="AM175" s="55">
        <f t="shared" si="116"/>
        <v>0</v>
      </c>
      <c r="AN175" s="55">
        <f t="shared" si="116"/>
        <v>0</v>
      </c>
      <c r="AO175" s="55">
        <f t="shared" si="116"/>
        <v>0</v>
      </c>
      <c r="AP175" s="55">
        <f t="shared" si="116"/>
        <v>0</v>
      </c>
      <c r="AQ175" s="55">
        <f t="shared" si="116"/>
        <v>0</v>
      </c>
      <c r="AR175" s="55">
        <f t="shared" si="116"/>
        <v>0</v>
      </c>
      <c r="AS175" s="55">
        <f t="shared" si="116"/>
        <v>0</v>
      </c>
      <c r="AT175" s="55">
        <f t="shared" si="116"/>
        <v>0</v>
      </c>
      <c r="AU175" s="55">
        <f t="shared" si="116"/>
        <v>0</v>
      </c>
      <c r="AV175" s="55">
        <f t="shared" si="116"/>
        <v>0</v>
      </c>
      <c r="AW175" s="55">
        <f t="shared" si="116"/>
        <v>0</v>
      </c>
      <c r="AX175" s="55">
        <f t="shared" si="116"/>
        <v>0</v>
      </c>
      <c r="AY175" s="55">
        <f t="shared" si="116"/>
        <v>0</v>
      </c>
      <c r="AZ175" s="55">
        <f t="shared" si="116"/>
        <v>0</v>
      </c>
      <c r="BA175" s="55">
        <f t="shared" si="116"/>
        <v>0</v>
      </c>
      <c r="BB175" s="55">
        <f t="shared" si="116"/>
        <v>0</v>
      </c>
      <c r="BC175" s="55">
        <f t="shared" si="116"/>
        <v>0</v>
      </c>
      <c r="BD175" s="55">
        <f t="shared" si="116"/>
        <v>0</v>
      </c>
      <c r="BE175" s="55">
        <f t="shared" si="116"/>
        <v>0</v>
      </c>
      <c r="BF175" s="55">
        <f t="shared" si="116"/>
        <v>0</v>
      </c>
      <c r="BG175" s="55">
        <f t="shared" si="116"/>
        <v>0</v>
      </c>
      <c r="BH175" s="55">
        <f t="shared" si="116"/>
        <v>0</v>
      </c>
      <c r="BI175" s="55">
        <f t="shared" si="116"/>
        <v>0</v>
      </c>
      <c r="BJ175" s="55">
        <f t="shared" si="116"/>
        <v>0</v>
      </c>
      <c r="CK175" s="11"/>
      <c r="CL175" s="221">
        <f t="shared" si="97"/>
        <v>0</v>
      </c>
      <c r="CM175" s="11"/>
      <c r="CN175" s="7">
        <f t="shared" si="98"/>
        <v>0</v>
      </c>
      <c r="CO175" s="7">
        <f t="shared" si="99"/>
        <v>0</v>
      </c>
      <c r="CP175" s="7">
        <f t="shared" si="100"/>
        <v>0</v>
      </c>
      <c r="CR175" s="35"/>
      <c r="EY175" s="10" t="str">
        <f t="shared" si="93"/>
        <v/>
      </c>
    </row>
    <row r="176" spans="1:155" x14ac:dyDescent="0.35">
      <c r="A176" s="220" cm="1">
        <f t="array" aca="1" ref="A176" ca="1">HYPERLINK(CONCATENATE("#",CELL("address",IF(MAX($CM176:$CR176)=0,A176,INDEX($CM176:$CR176,MATCH(1,$CM176:$CR176,0))))),MAX($CM176:$CR176))</f>
        <v>0</v>
      </c>
      <c r="D176" s="10">
        <f t="shared" si="104"/>
        <v>0</v>
      </c>
      <c r="H176" s="9"/>
      <c r="AA176" s="134">
        <f t="shared" ref="AA176:BJ176" si="117">IF(SUMIFS($AA89:$BJ89, $AA$3:$BJ$3, AA$3, $AA$4:$BJ$4, 1)=0, 0,(AA89/SUMIFS($AA89:$BJ89, $AA$3:$BJ$3, AA$3, $AA$4:$BJ$4, 1))*AA$4)</f>
        <v>0</v>
      </c>
      <c r="AB176" s="55">
        <f t="shared" si="117"/>
        <v>0</v>
      </c>
      <c r="AC176" s="55">
        <f t="shared" si="117"/>
        <v>0</v>
      </c>
      <c r="AD176" s="55">
        <f t="shared" si="117"/>
        <v>0</v>
      </c>
      <c r="AE176" s="55">
        <f t="shared" si="117"/>
        <v>0</v>
      </c>
      <c r="AF176" s="55">
        <f t="shared" si="117"/>
        <v>0</v>
      </c>
      <c r="AG176" s="55">
        <f t="shared" si="117"/>
        <v>0</v>
      </c>
      <c r="AH176" s="55">
        <f t="shared" si="117"/>
        <v>0</v>
      </c>
      <c r="AI176" s="55">
        <f t="shared" si="117"/>
        <v>0</v>
      </c>
      <c r="AJ176" s="55">
        <f t="shared" si="117"/>
        <v>0</v>
      </c>
      <c r="AK176" s="55">
        <f t="shared" si="117"/>
        <v>0</v>
      </c>
      <c r="AL176" s="55">
        <f t="shared" si="117"/>
        <v>0</v>
      </c>
      <c r="AM176" s="55">
        <f t="shared" si="117"/>
        <v>0</v>
      </c>
      <c r="AN176" s="55">
        <f t="shared" si="117"/>
        <v>0</v>
      </c>
      <c r="AO176" s="55">
        <f t="shared" si="117"/>
        <v>0</v>
      </c>
      <c r="AP176" s="55">
        <f t="shared" si="117"/>
        <v>0</v>
      </c>
      <c r="AQ176" s="55">
        <f t="shared" si="117"/>
        <v>0</v>
      </c>
      <c r="AR176" s="55">
        <f t="shared" si="117"/>
        <v>0</v>
      </c>
      <c r="AS176" s="55">
        <f t="shared" si="117"/>
        <v>0</v>
      </c>
      <c r="AT176" s="55">
        <f t="shared" si="117"/>
        <v>0</v>
      </c>
      <c r="AU176" s="55">
        <f t="shared" si="117"/>
        <v>0</v>
      </c>
      <c r="AV176" s="55">
        <f t="shared" si="117"/>
        <v>0</v>
      </c>
      <c r="AW176" s="55">
        <f t="shared" si="117"/>
        <v>0</v>
      </c>
      <c r="AX176" s="55">
        <f t="shared" si="117"/>
        <v>0</v>
      </c>
      <c r="AY176" s="55">
        <f t="shared" si="117"/>
        <v>0</v>
      </c>
      <c r="AZ176" s="55">
        <f t="shared" si="117"/>
        <v>0</v>
      </c>
      <c r="BA176" s="55">
        <f t="shared" si="117"/>
        <v>0</v>
      </c>
      <c r="BB176" s="55">
        <f t="shared" si="117"/>
        <v>0</v>
      </c>
      <c r="BC176" s="55">
        <f t="shared" si="117"/>
        <v>0</v>
      </c>
      <c r="BD176" s="55">
        <f t="shared" si="117"/>
        <v>0</v>
      </c>
      <c r="BE176" s="55">
        <f t="shared" si="117"/>
        <v>0</v>
      </c>
      <c r="BF176" s="55">
        <f t="shared" si="117"/>
        <v>0</v>
      </c>
      <c r="BG176" s="55">
        <f t="shared" si="117"/>
        <v>0</v>
      </c>
      <c r="BH176" s="55">
        <f t="shared" si="117"/>
        <v>0</v>
      </c>
      <c r="BI176" s="55">
        <f t="shared" si="117"/>
        <v>0</v>
      </c>
      <c r="BJ176" s="55">
        <f t="shared" si="117"/>
        <v>0</v>
      </c>
      <c r="CK176" s="11"/>
      <c r="CL176" s="221">
        <f t="shared" si="97"/>
        <v>0</v>
      </c>
      <c r="CM176" s="11"/>
      <c r="CN176" s="7">
        <f t="shared" si="98"/>
        <v>0</v>
      </c>
      <c r="CO176" s="7">
        <f t="shared" si="99"/>
        <v>0</v>
      </c>
      <c r="CP176" s="7">
        <f t="shared" si="100"/>
        <v>0</v>
      </c>
      <c r="CR176" s="35"/>
      <c r="EY176" s="10" t="str">
        <f t="shared" si="93"/>
        <v/>
      </c>
    </row>
    <row r="177" spans="1:155" x14ac:dyDescent="0.35">
      <c r="A177" s="220" cm="1">
        <f t="array" aca="1" ref="A177" ca="1">HYPERLINK(CONCATENATE("#",CELL("address",IF(MAX($CM177:$CR177)=0,A177,INDEX($CM177:$CR177,MATCH(1,$CM177:$CR177,0))))),MAX($CM177:$CR177))</f>
        <v>0</v>
      </c>
      <c r="D177" s="10">
        <f t="shared" si="104"/>
        <v>0</v>
      </c>
      <c r="H177" s="9"/>
      <c r="AA177" s="134">
        <f t="shared" ref="AA177:BJ177" si="118">IF(SUMIFS($AA90:$BJ90, $AA$3:$BJ$3, AA$3, $AA$4:$BJ$4, 1)=0, 0,(AA90/SUMIFS($AA90:$BJ90, $AA$3:$BJ$3, AA$3, $AA$4:$BJ$4, 1))*AA$4)</f>
        <v>0</v>
      </c>
      <c r="AB177" s="55">
        <f t="shared" si="118"/>
        <v>0</v>
      </c>
      <c r="AC177" s="55">
        <f t="shared" si="118"/>
        <v>0</v>
      </c>
      <c r="AD177" s="55">
        <f t="shared" si="118"/>
        <v>0</v>
      </c>
      <c r="AE177" s="55">
        <f t="shared" si="118"/>
        <v>0</v>
      </c>
      <c r="AF177" s="55">
        <f t="shared" si="118"/>
        <v>0</v>
      </c>
      <c r="AG177" s="55">
        <f t="shared" si="118"/>
        <v>0</v>
      </c>
      <c r="AH177" s="55">
        <f t="shared" si="118"/>
        <v>0</v>
      </c>
      <c r="AI177" s="55">
        <f t="shared" si="118"/>
        <v>0</v>
      </c>
      <c r="AJ177" s="55">
        <f t="shared" si="118"/>
        <v>0</v>
      </c>
      <c r="AK177" s="55">
        <f t="shared" si="118"/>
        <v>0</v>
      </c>
      <c r="AL177" s="55">
        <f t="shared" si="118"/>
        <v>0</v>
      </c>
      <c r="AM177" s="55">
        <f t="shared" si="118"/>
        <v>0</v>
      </c>
      <c r="AN177" s="55">
        <f t="shared" si="118"/>
        <v>0</v>
      </c>
      <c r="AO177" s="55">
        <f t="shared" si="118"/>
        <v>0</v>
      </c>
      <c r="AP177" s="55">
        <f t="shared" si="118"/>
        <v>0</v>
      </c>
      <c r="AQ177" s="55">
        <f t="shared" si="118"/>
        <v>0</v>
      </c>
      <c r="AR177" s="55">
        <f t="shared" si="118"/>
        <v>0</v>
      </c>
      <c r="AS177" s="55">
        <f t="shared" si="118"/>
        <v>0</v>
      </c>
      <c r="AT177" s="55">
        <f t="shared" si="118"/>
        <v>0</v>
      </c>
      <c r="AU177" s="55">
        <f t="shared" si="118"/>
        <v>0</v>
      </c>
      <c r="AV177" s="55">
        <f t="shared" si="118"/>
        <v>0</v>
      </c>
      <c r="AW177" s="55">
        <f t="shared" si="118"/>
        <v>0</v>
      </c>
      <c r="AX177" s="55">
        <f t="shared" si="118"/>
        <v>0</v>
      </c>
      <c r="AY177" s="55">
        <f t="shared" si="118"/>
        <v>0</v>
      </c>
      <c r="AZ177" s="55">
        <f t="shared" si="118"/>
        <v>0</v>
      </c>
      <c r="BA177" s="55">
        <f t="shared" si="118"/>
        <v>0</v>
      </c>
      <c r="BB177" s="55">
        <f t="shared" si="118"/>
        <v>0</v>
      </c>
      <c r="BC177" s="55">
        <f t="shared" si="118"/>
        <v>0</v>
      </c>
      <c r="BD177" s="55">
        <f t="shared" si="118"/>
        <v>0</v>
      </c>
      <c r="BE177" s="55">
        <f t="shared" si="118"/>
        <v>0</v>
      </c>
      <c r="BF177" s="55">
        <f t="shared" si="118"/>
        <v>0</v>
      </c>
      <c r="BG177" s="55">
        <f t="shared" si="118"/>
        <v>0</v>
      </c>
      <c r="BH177" s="55">
        <f t="shared" si="118"/>
        <v>0</v>
      </c>
      <c r="BI177" s="55">
        <f t="shared" si="118"/>
        <v>0</v>
      </c>
      <c r="BJ177" s="55">
        <f t="shared" si="118"/>
        <v>0</v>
      </c>
      <c r="CK177" s="11"/>
      <c r="CL177" s="221">
        <f t="shared" si="97"/>
        <v>0</v>
      </c>
      <c r="CM177" s="11"/>
      <c r="CN177" s="7">
        <f t="shared" si="98"/>
        <v>0</v>
      </c>
      <c r="CO177" s="7">
        <f t="shared" si="99"/>
        <v>0</v>
      </c>
      <c r="CP177" s="7">
        <f t="shared" si="100"/>
        <v>0</v>
      </c>
      <c r="CR177" s="35"/>
      <c r="EY177" s="10" t="str">
        <f t="shared" si="93"/>
        <v/>
      </c>
    </row>
    <row r="178" spans="1:155" x14ac:dyDescent="0.35">
      <c r="A178" s="220" cm="1">
        <f t="array" aca="1" ref="A178" ca="1">HYPERLINK(CONCATENATE("#",CELL("address",IF(MAX($CM178:$CR178)=0,A178,INDEX($CM178:$CR178,MATCH(1,$CM178:$CR178,0))))),MAX($CM178:$CR178))</f>
        <v>0</v>
      </c>
      <c r="D178" s="10">
        <f t="shared" si="104"/>
        <v>0</v>
      </c>
      <c r="H178" s="9"/>
      <c r="AA178" s="134">
        <f t="shared" ref="AA178:BJ178" si="119">IF(SUMIFS($AA91:$BJ91, $AA$3:$BJ$3, AA$3, $AA$4:$BJ$4, 1)=0, 0,(AA91/SUMIFS($AA91:$BJ91, $AA$3:$BJ$3, AA$3, $AA$4:$BJ$4, 1))*AA$4)</f>
        <v>0</v>
      </c>
      <c r="AB178" s="55">
        <f t="shared" si="119"/>
        <v>0</v>
      </c>
      <c r="AC178" s="55">
        <f t="shared" si="119"/>
        <v>0</v>
      </c>
      <c r="AD178" s="55">
        <f t="shared" si="119"/>
        <v>0</v>
      </c>
      <c r="AE178" s="55">
        <f t="shared" si="119"/>
        <v>0</v>
      </c>
      <c r="AF178" s="55">
        <f t="shared" si="119"/>
        <v>0</v>
      </c>
      <c r="AG178" s="55">
        <f t="shared" si="119"/>
        <v>0</v>
      </c>
      <c r="AH178" s="55">
        <f t="shared" si="119"/>
        <v>0</v>
      </c>
      <c r="AI178" s="55">
        <f t="shared" si="119"/>
        <v>0</v>
      </c>
      <c r="AJ178" s="55">
        <f t="shared" si="119"/>
        <v>0</v>
      </c>
      <c r="AK178" s="55">
        <f t="shared" si="119"/>
        <v>0</v>
      </c>
      <c r="AL178" s="55">
        <f t="shared" si="119"/>
        <v>0</v>
      </c>
      <c r="AM178" s="55">
        <f t="shared" si="119"/>
        <v>0</v>
      </c>
      <c r="AN178" s="55">
        <f t="shared" si="119"/>
        <v>0</v>
      </c>
      <c r="AO178" s="55">
        <f t="shared" si="119"/>
        <v>0</v>
      </c>
      <c r="AP178" s="55">
        <f t="shared" si="119"/>
        <v>0</v>
      </c>
      <c r="AQ178" s="55">
        <f t="shared" si="119"/>
        <v>0</v>
      </c>
      <c r="AR178" s="55">
        <f t="shared" si="119"/>
        <v>0</v>
      </c>
      <c r="AS178" s="55">
        <f t="shared" si="119"/>
        <v>0</v>
      </c>
      <c r="AT178" s="55">
        <f t="shared" si="119"/>
        <v>0</v>
      </c>
      <c r="AU178" s="55">
        <f t="shared" si="119"/>
        <v>0</v>
      </c>
      <c r="AV178" s="55">
        <f t="shared" si="119"/>
        <v>0</v>
      </c>
      <c r="AW178" s="55">
        <f t="shared" si="119"/>
        <v>0</v>
      </c>
      <c r="AX178" s="55">
        <f t="shared" si="119"/>
        <v>0</v>
      </c>
      <c r="AY178" s="55">
        <f t="shared" si="119"/>
        <v>0</v>
      </c>
      <c r="AZ178" s="55">
        <f t="shared" si="119"/>
        <v>0</v>
      </c>
      <c r="BA178" s="55">
        <f t="shared" si="119"/>
        <v>0</v>
      </c>
      <c r="BB178" s="55">
        <f t="shared" si="119"/>
        <v>0</v>
      </c>
      <c r="BC178" s="55">
        <f t="shared" si="119"/>
        <v>0</v>
      </c>
      <c r="BD178" s="55">
        <f t="shared" si="119"/>
        <v>0</v>
      </c>
      <c r="BE178" s="55">
        <f t="shared" si="119"/>
        <v>0</v>
      </c>
      <c r="BF178" s="55">
        <f t="shared" si="119"/>
        <v>0</v>
      </c>
      <c r="BG178" s="55">
        <f t="shared" si="119"/>
        <v>0</v>
      </c>
      <c r="BH178" s="55">
        <f t="shared" si="119"/>
        <v>0</v>
      </c>
      <c r="BI178" s="55">
        <f t="shared" si="119"/>
        <v>0</v>
      </c>
      <c r="BJ178" s="55">
        <f t="shared" si="119"/>
        <v>0</v>
      </c>
      <c r="CK178" s="11"/>
      <c r="CL178" s="221">
        <f t="shared" si="97"/>
        <v>0</v>
      </c>
      <c r="CM178" s="11"/>
      <c r="CN178" s="7">
        <f t="shared" si="98"/>
        <v>0</v>
      </c>
      <c r="CO178" s="7">
        <f t="shared" si="99"/>
        <v>0</v>
      </c>
      <c r="CP178" s="7">
        <f t="shared" si="100"/>
        <v>0</v>
      </c>
      <c r="CR178" s="35"/>
      <c r="EY178" s="10" t="str">
        <f t="shared" si="93"/>
        <v/>
      </c>
    </row>
    <row r="179" spans="1:155" x14ac:dyDescent="0.35">
      <c r="A179" s="220" cm="1">
        <f t="array" aca="1" ref="A179" ca="1">HYPERLINK(CONCATENATE("#",CELL("address",IF(MAX($CM179:$CR179)=0,A179,INDEX($CM179:$CR179,MATCH(1,$CM179:$CR179,0))))),MAX($CM179:$CR179))</f>
        <v>0</v>
      </c>
      <c r="D179" s="10">
        <f t="shared" si="104"/>
        <v>0</v>
      </c>
      <c r="H179" s="9"/>
      <c r="AA179" s="134">
        <f t="shared" ref="AA179:BJ179" si="120">IF(SUMIFS($AA92:$BJ92, $AA$3:$BJ$3, AA$3, $AA$4:$BJ$4, 1)=0, 0,(AA92/SUMIFS($AA92:$BJ92, $AA$3:$BJ$3, AA$3, $AA$4:$BJ$4, 1))*AA$4)</f>
        <v>0</v>
      </c>
      <c r="AB179" s="55">
        <f t="shared" si="120"/>
        <v>0</v>
      </c>
      <c r="AC179" s="55">
        <f t="shared" si="120"/>
        <v>0</v>
      </c>
      <c r="AD179" s="55">
        <f t="shared" si="120"/>
        <v>0</v>
      </c>
      <c r="AE179" s="55">
        <f t="shared" si="120"/>
        <v>0</v>
      </c>
      <c r="AF179" s="55">
        <f t="shared" si="120"/>
        <v>0</v>
      </c>
      <c r="AG179" s="55">
        <f t="shared" si="120"/>
        <v>0</v>
      </c>
      <c r="AH179" s="55">
        <f t="shared" si="120"/>
        <v>0</v>
      </c>
      <c r="AI179" s="55">
        <f t="shared" si="120"/>
        <v>0</v>
      </c>
      <c r="AJ179" s="55">
        <f t="shared" si="120"/>
        <v>0</v>
      </c>
      <c r="AK179" s="55">
        <f t="shared" si="120"/>
        <v>0</v>
      </c>
      <c r="AL179" s="55">
        <f t="shared" si="120"/>
        <v>0</v>
      </c>
      <c r="AM179" s="55">
        <f t="shared" si="120"/>
        <v>0</v>
      </c>
      <c r="AN179" s="55">
        <f t="shared" si="120"/>
        <v>0</v>
      </c>
      <c r="AO179" s="55">
        <f t="shared" si="120"/>
        <v>0</v>
      </c>
      <c r="AP179" s="55">
        <f t="shared" si="120"/>
        <v>0</v>
      </c>
      <c r="AQ179" s="55">
        <f t="shared" si="120"/>
        <v>0</v>
      </c>
      <c r="AR179" s="55">
        <f t="shared" si="120"/>
        <v>0</v>
      </c>
      <c r="AS179" s="55">
        <f t="shared" si="120"/>
        <v>0</v>
      </c>
      <c r="AT179" s="55">
        <f t="shared" si="120"/>
        <v>0</v>
      </c>
      <c r="AU179" s="55">
        <f t="shared" si="120"/>
        <v>0</v>
      </c>
      <c r="AV179" s="55">
        <f t="shared" si="120"/>
        <v>0</v>
      </c>
      <c r="AW179" s="55">
        <f t="shared" si="120"/>
        <v>0</v>
      </c>
      <c r="AX179" s="55">
        <f t="shared" si="120"/>
        <v>0</v>
      </c>
      <c r="AY179" s="55">
        <f t="shared" si="120"/>
        <v>0</v>
      </c>
      <c r="AZ179" s="55">
        <f t="shared" si="120"/>
        <v>0</v>
      </c>
      <c r="BA179" s="55">
        <f t="shared" si="120"/>
        <v>0</v>
      </c>
      <c r="BB179" s="55">
        <f t="shared" si="120"/>
        <v>0</v>
      </c>
      <c r="BC179" s="55">
        <f t="shared" si="120"/>
        <v>0</v>
      </c>
      <c r="BD179" s="55">
        <f t="shared" si="120"/>
        <v>0</v>
      </c>
      <c r="BE179" s="55">
        <f t="shared" si="120"/>
        <v>0</v>
      </c>
      <c r="BF179" s="55">
        <f t="shared" si="120"/>
        <v>0</v>
      </c>
      <c r="BG179" s="55">
        <f t="shared" si="120"/>
        <v>0</v>
      </c>
      <c r="BH179" s="55">
        <f t="shared" si="120"/>
        <v>0</v>
      </c>
      <c r="BI179" s="55">
        <f t="shared" si="120"/>
        <v>0</v>
      </c>
      <c r="BJ179" s="55">
        <f t="shared" si="120"/>
        <v>0</v>
      </c>
      <c r="CK179" s="11"/>
      <c r="CL179" s="221">
        <f t="shared" si="97"/>
        <v>0</v>
      </c>
      <c r="CM179" s="11"/>
      <c r="CN179" s="7">
        <f t="shared" si="98"/>
        <v>0</v>
      </c>
      <c r="CO179" s="7">
        <f t="shared" si="99"/>
        <v>0</v>
      </c>
      <c r="CP179" s="7">
        <f t="shared" si="100"/>
        <v>0</v>
      </c>
      <c r="CR179" s="35"/>
      <c r="EY179" s="10" t="str">
        <f t="shared" si="93"/>
        <v/>
      </c>
    </row>
    <row r="180" spans="1:155" x14ac:dyDescent="0.35">
      <c r="D180" s="77" t="s">
        <v>611</v>
      </c>
      <c r="H180" s="9"/>
      <c r="I180" s="77"/>
      <c r="J180" s="77"/>
      <c r="K180" s="77"/>
      <c r="L180" s="77"/>
      <c r="M180" s="77"/>
      <c r="N180" s="77"/>
      <c r="O180" s="77"/>
      <c r="P180" s="77"/>
      <c r="Q180" s="77"/>
      <c r="R180" s="77"/>
      <c r="S180" s="77"/>
      <c r="T180" s="77"/>
      <c r="U180" s="77"/>
      <c r="V180" s="77"/>
      <c r="W180" s="77"/>
      <c r="X180" s="77"/>
      <c r="Y180" s="77"/>
      <c r="Z180" s="77"/>
      <c r="AA180" s="205"/>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CK180" s="11"/>
      <c r="CM180" s="11"/>
      <c r="CR180" s="35"/>
      <c r="EY180" s="10" t="str">
        <f t="shared" si="93"/>
        <v/>
      </c>
    </row>
    <row r="181" spans="1:155" ht="6.75" customHeight="1" x14ac:dyDescent="0.35">
      <c r="D181" s="1"/>
      <c r="E181"/>
      <c r="BY181" s="6"/>
      <c r="CK181" s="35"/>
      <c r="CM181" s="35"/>
      <c r="CR181" s="35"/>
      <c r="EY181" s="10" t="str">
        <f t="shared" si="93"/>
        <v/>
      </c>
    </row>
    <row r="182" spans="1:155" x14ac:dyDescent="0.35">
      <c r="A182" s="11" t="s">
        <v>16</v>
      </c>
      <c r="B182" s="11" t="s">
        <v>16</v>
      </c>
      <c r="C182" s="11" t="s">
        <v>16</v>
      </c>
      <c r="D182" s="11" t="s">
        <v>16</v>
      </c>
      <c r="E182" s="25" t="s">
        <v>16</v>
      </c>
      <c r="F182" s="11" t="s">
        <v>16</v>
      </c>
      <c r="G182" s="11" t="s">
        <v>16</v>
      </c>
      <c r="H182" s="11" t="s">
        <v>16</v>
      </c>
      <c r="I182" s="11" t="s">
        <v>16</v>
      </c>
      <c r="J182" s="11" t="s">
        <v>16</v>
      </c>
      <c r="K182" s="11" t="s">
        <v>16</v>
      </c>
      <c r="L182" s="11" t="s">
        <v>16</v>
      </c>
      <c r="M182" s="11" t="s">
        <v>16</v>
      </c>
      <c r="N182" s="11" t="s">
        <v>16</v>
      </c>
      <c r="O182" s="11" t="s">
        <v>16</v>
      </c>
      <c r="P182" s="11" t="s">
        <v>16</v>
      </c>
      <c r="Q182" s="11" t="s">
        <v>16</v>
      </c>
      <c r="R182" s="11" t="s">
        <v>16</v>
      </c>
      <c r="S182" s="11"/>
      <c r="T182" s="11" t="s">
        <v>16</v>
      </c>
      <c r="U182" s="11" t="s">
        <v>16</v>
      </c>
      <c r="V182" s="11" t="s">
        <v>16</v>
      </c>
      <c r="W182" s="11" t="s">
        <v>16</v>
      </c>
      <c r="X182" s="11"/>
      <c r="Y182" s="11"/>
      <c r="Z182" s="11" t="s">
        <v>16</v>
      </c>
      <c r="AA182" s="11" t="s">
        <v>16</v>
      </c>
      <c r="AB182" s="11" t="s">
        <v>16</v>
      </c>
      <c r="AC182" s="11" t="s">
        <v>16</v>
      </c>
      <c r="AD182" s="11" t="s">
        <v>16</v>
      </c>
      <c r="AE182" s="11" t="s">
        <v>16</v>
      </c>
      <c r="AF182" s="11" t="s">
        <v>16</v>
      </c>
      <c r="AG182" s="11" t="s">
        <v>16</v>
      </c>
      <c r="AH182" s="11" t="s">
        <v>16</v>
      </c>
      <c r="AI182" s="11" t="s">
        <v>16</v>
      </c>
      <c r="AJ182" s="11" t="s">
        <v>16</v>
      </c>
      <c r="AK182" s="11" t="s">
        <v>16</v>
      </c>
      <c r="AL182" s="11" t="s">
        <v>16</v>
      </c>
      <c r="AM182" s="11" t="s">
        <v>16</v>
      </c>
      <c r="AN182" s="11" t="s">
        <v>16</v>
      </c>
      <c r="AO182" s="11" t="s">
        <v>16</v>
      </c>
      <c r="AP182" s="11" t="s">
        <v>16</v>
      </c>
      <c r="AQ182" s="11" t="s">
        <v>16</v>
      </c>
      <c r="AR182" s="11" t="s">
        <v>16</v>
      </c>
      <c r="AS182" s="11" t="s">
        <v>16</v>
      </c>
      <c r="AT182" s="11" t="s">
        <v>16</v>
      </c>
      <c r="AU182" s="11" t="s">
        <v>16</v>
      </c>
      <c r="AV182" s="11" t="s">
        <v>16</v>
      </c>
      <c r="AW182" s="11" t="s">
        <v>16</v>
      </c>
      <c r="AX182" s="11" t="s">
        <v>16</v>
      </c>
      <c r="AY182" s="11" t="s">
        <v>16</v>
      </c>
      <c r="AZ182" s="11" t="s">
        <v>16</v>
      </c>
      <c r="BA182" s="11" t="s">
        <v>16</v>
      </c>
      <c r="BB182" s="11" t="s">
        <v>16</v>
      </c>
      <c r="BC182" s="11" t="s">
        <v>16</v>
      </c>
      <c r="BD182" s="11" t="s">
        <v>16</v>
      </c>
      <c r="BE182" s="11" t="s">
        <v>16</v>
      </c>
      <c r="BF182" s="11" t="s">
        <v>16</v>
      </c>
      <c r="BG182" s="11" t="s">
        <v>16</v>
      </c>
      <c r="BH182" s="11" t="s">
        <v>16</v>
      </c>
      <c r="BI182" s="11" t="s">
        <v>16</v>
      </c>
      <c r="BJ182" s="11" t="s">
        <v>16</v>
      </c>
      <c r="BK182" s="11" t="s">
        <v>16</v>
      </c>
      <c r="BL182" s="11" t="s">
        <v>16</v>
      </c>
      <c r="BM182" s="11" t="s">
        <v>16</v>
      </c>
      <c r="BN182" s="11" t="s">
        <v>16</v>
      </c>
      <c r="BO182" s="11" t="s">
        <v>16</v>
      </c>
      <c r="BP182" s="11" t="s">
        <v>16</v>
      </c>
      <c r="BQ182" s="11" t="s">
        <v>16</v>
      </c>
      <c r="BR182" s="11" t="s">
        <v>16</v>
      </c>
      <c r="BS182" s="11" t="s">
        <v>16</v>
      </c>
      <c r="BT182" s="11" t="s">
        <v>16</v>
      </c>
      <c r="BU182" s="11" t="s">
        <v>16</v>
      </c>
      <c r="BV182" s="11" t="s">
        <v>16</v>
      </c>
      <c r="BW182" s="11" t="s">
        <v>16</v>
      </c>
      <c r="BX182" s="11" t="s">
        <v>16</v>
      </c>
      <c r="BY182" s="11" t="s">
        <v>16</v>
      </c>
      <c r="BZ182" s="11" t="s">
        <v>16</v>
      </c>
      <c r="CA182" s="11" t="s">
        <v>16</v>
      </c>
      <c r="CB182" s="11" t="s">
        <v>16</v>
      </c>
      <c r="CC182" s="11" t="s">
        <v>16</v>
      </c>
      <c r="CD182" s="11" t="s">
        <v>16</v>
      </c>
      <c r="CE182" s="11" t="s">
        <v>16</v>
      </c>
      <c r="CF182" s="11" t="s">
        <v>16</v>
      </c>
      <c r="CG182" s="11" t="s">
        <v>16</v>
      </c>
      <c r="CH182" s="11" t="s">
        <v>16</v>
      </c>
      <c r="CI182" s="11" t="s">
        <v>16</v>
      </c>
      <c r="CJ182" s="11" t="s">
        <v>16</v>
      </c>
      <c r="CK182" s="11" t="s">
        <v>16</v>
      </c>
      <c r="CL182" s="11" t="s">
        <v>16</v>
      </c>
      <c r="CM182" s="11" t="s">
        <v>16</v>
      </c>
      <c r="CN182" s="11" t="s">
        <v>16</v>
      </c>
      <c r="CO182" s="11" t="s">
        <v>16</v>
      </c>
      <c r="CP182" s="11" t="s">
        <v>16</v>
      </c>
      <c r="CQ182" s="11"/>
      <c r="CR182" s="11" t="s">
        <v>16</v>
      </c>
      <c r="EY182" s="10" t="str">
        <f t="shared" si="93"/>
        <v>*</v>
      </c>
    </row>
  </sheetData>
  <sheetProtection algorithmName="SHA-512" hashValue="nYl5Ar/MwJ14ZzDAmOm5f0lirJnRt4ZFxnq4TEH2j7+RW/h5WY+wKLxmoXoOoHTu6XVkYYX5/Z7A2JIHSDSiqQ==" saltValue="hf6sNKEN/0LEu6IHn8y+lA==" spinCount="100000" sheet="1" objects="1" scenarios="1"/>
  <mergeCells count="7">
    <mergeCell ref="CK1:CK6"/>
    <mergeCell ref="CM1:CM6"/>
    <mergeCell ref="CR1:CR6"/>
    <mergeCell ref="CN4:CN6"/>
    <mergeCell ref="CO4:CO6"/>
    <mergeCell ref="CP4:CP6"/>
    <mergeCell ref="CQ4:CQ6"/>
  </mergeCells>
  <phoneticPr fontId="9" type="noConversion"/>
  <conditionalFormatting sqref="A1:A2">
    <cfRule type="cellIs" dxfId="1391" priority="10" operator="equal">
      <formula>0</formula>
    </cfRule>
    <cfRule type="cellIs" dxfId="1390" priority="11" operator="greaterThan">
      <formula>0</formula>
    </cfRule>
  </conditionalFormatting>
  <conditionalFormatting sqref="A9:A92 CL9:CL92">
    <cfRule type="cellIs" dxfId="1389" priority="6" operator="equal">
      <formula>0</formula>
    </cfRule>
  </conditionalFormatting>
  <conditionalFormatting sqref="A9:A92">
    <cfRule type="cellIs" dxfId="1388" priority="7" operator="greaterThan">
      <formula>0</formula>
    </cfRule>
  </conditionalFormatting>
  <conditionalFormatting sqref="A96:A179">
    <cfRule type="cellIs" dxfId="1387" priority="2" operator="equal">
      <formula>0</formula>
    </cfRule>
    <cfRule type="cellIs" dxfId="1386" priority="3" operator="greaterThan">
      <formula>0</formula>
    </cfRule>
  </conditionalFormatting>
  <conditionalFormatting sqref="D98">
    <cfRule type="cellIs" dxfId="1385" priority="1" operator="equal">
      <formula>0</formula>
    </cfRule>
  </conditionalFormatting>
  <conditionalFormatting sqref="CL2">
    <cfRule type="cellIs" dxfId="1384" priority="12" operator="greaterThan">
      <formula>0</formula>
    </cfRule>
    <cfRule type="cellIs" dxfId="1383" priority="13" operator="equal">
      <formula>0</formula>
    </cfRule>
  </conditionalFormatting>
  <conditionalFormatting sqref="CL9:CL92">
    <cfRule type="cellIs" dxfId="1382" priority="18" operator="equal">
      <formula>1</formula>
    </cfRule>
  </conditionalFormatting>
  <conditionalFormatting sqref="CL96:CL179">
    <cfRule type="cellIs" dxfId="1381" priority="14" operator="equal">
      <formula>1</formula>
    </cfRule>
    <cfRule type="cellIs" dxfId="1380" priority="15" operator="equal">
      <formula>0</formula>
    </cfRule>
  </conditionalFormatting>
  <conditionalFormatting sqref="CN9:CP12">
    <cfRule type="cellIs" dxfId="1379" priority="410" operator="equal">
      <formula>0</formula>
    </cfRule>
    <cfRule type="cellIs" dxfId="1378" priority="411" operator="equal">
      <formula>1</formula>
    </cfRule>
  </conditionalFormatting>
  <conditionalFormatting sqref="CN96:CP179">
    <cfRule type="cellIs" dxfId="1377" priority="176" operator="equal">
      <formula>0</formula>
    </cfRule>
    <cfRule type="cellIs" dxfId="1376" priority="177" operator="equal">
      <formula>1</formula>
    </cfRule>
  </conditionalFormatting>
  <conditionalFormatting sqref="CQ12 CN13:CQ92">
    <cfRule type="cellIs" dxfId="1375" priority="392" operator="equal">
      <formula>0</formula>
    </cfRule>
    <cfRule type="cellIs" dxfId="1374" priority="393" operator="equal">
      <formula>1</formula>
    </cfRule>
  </conditionalFormatting>
  <dataValidations count="6">
    <dataValidation allowBlank="1" showInputMessage="1" promptTitle="I&amp;E profiles - forecast periods" prompt="The formula rolls forward the I&amp;E profile for the remaining forecast period._x000a__x000a_&gt; 0% income/expenditure is allocated to actual periods._x000a_&gt; For forecast periods the I&amp;E% is allocated as a weighted average of that Month's % out of 100%._x000a_" sqref="AA95" xr:uid="{6D9326ED-2219-4BCE-B5DA-8677080D7B5B}"/>
    <dataValidation allowBlank="1" showInputMessage="1" promptTitle="Year 1 I&amp;E Profile" prompt="Checks that the I&amp;E profile adds up to 100% if used." sqref="CN7" xr:uid="{F8497AEC-0ABD-4B1C-A86E-D13FC63F6091}"/>
    <dataValidation allowBlank="1" showInputMessage="1" promptTitle="Year 2 I&amp;E Profile" prompt="Checks that the I&amp;E profile adds up to 100% if used." sqref="CO7" xr:uid="{A119AFDE-C144-4154-BEA8-4F9C000E24BF}"/>
    <dataValidation allowBlank="1" showInputMessage="1" promptTitle="Year 3 I&amp;E Profile" prompt="Checks that the I&amp;E profile adds up to 100% if used." sqref="CP7" xr:uid="{2142660D-D627-486A-AA8B-7A5797A827D0}"/>
    <dataValidation allowBlank="1" showInputMessage="1" promptTitle="Sign Warning" prompt="The sign flag checks for unexpected input signs._x000a__x000a_I&amp;E Profile percentages over by month are expected to be entered as positive numbers. The warning will be triggerred in case of a negative number." sqref="CL7" xr:uid="{96E01A0F-BDCF-4FF5-8670-88B9A9E27E06}"/>
    <dataValidation allowBlank="1" showInputMessage="1" promptTitle="Input validation check" prompt="Flags where a cell contains invalid characters, such as full stops, dashes and spaces._x000a_" sqref="CQ7" xr:uid="{67643127-2E0E-4E49-90A6-7C5A4DC150BB}"/>
  </dataValidations>
  <pageMargins left="0.70866141732283472" right="0.70866141732283472" top="0.74803149606299213" bottom="0.74803149606299213" header="0.31496062992125984" footer="0.31496062992125984"/>
  <pageSetup paperSize="9" scale="40" orientation="landscape" r:id="rId1"/>
  <headerFooter>
    <oddHeader>&amp;C&amp;"Aptos"&amp;11&amp;K000000 OFFICIAL - FOR PUBLIC RELEASE&amp;1#_x000D_</oddHeader>
    <oddFooter>&amp;C_x000D_&amp;1#&amp;"Aptos"&amp;11&amp;K000000 OFFICIAL - FOR PUBLIC RELEASE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848B-A1BD-46A8-9A39-F4959431B0C6}">
  <sheetPr codeName="Sheet7">
    <tabColor theme="7" tint="0.59999389629810485"/>
    <outlinePr summaryBelow="0" summaryRight="0"/>
    <pageSetUpPr autoPageBreaks="0"/>
  </sheetPr>
  <dimension ref="A1:EY88"/>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Row="1" outlineLevelCol="1" x14ac:dyDescent="0.35"/>
  <cols>
    <col min="1" max="1" width="6.81640625" bestFit="1" customWidth="1" collapsed="1"/>
    <col min="2" max="2" width="9.453125" bestFit="1" customWidth="1"/>
    <col min="3" max="3" width="9.1796875" bestFit="1" customWidth="1"/>
    <col min="4" max="4" width="48.453125" style="1" customWidth="1"/>
    <col min="5" max="7" width="2" bestFit="1" customWidth="1"/>
    <col min="8" max="8" width="15" customWidth="1"/>
    <col min="9" max="9" width="2" bestFit="1" customWidth="1" collapsed="1"/>
    <col min="10" max="18" width="8.81640625" hidden="1" customWidth="1" outlineLevel="1"/>
    <col min="19" max="19" width="3" hidden="1" customWidth="1" outlineLevel="1"/>
    <col min="20" max="20" width="11.54296875" hidden="1" customWidth="1" outlineLevel="1"/>
    <col min="21" max="21" width="9.54296875" hidden="1" customWidth="1" outlineLevel="1"/>
    <col min="22" max="22" width="12" customWidth="1"/>
    <col min="23" max="23" width="12" customWidth="1" collapsed="1"/>
    <col min="24" max="24" width="9.54296875" hidden="1" customWidth="1" outlineLevel="1"/>
    <col min="25" max="25" width="9.54296875" hidden="1" customWidth="1" outlineLevel="1" collapsed="1"/>
    <col min="26" max="26" width="3" hidden="1" customWidth="1" outlineLevel="1"/>
    <col min="27" max="27" width="9.54296875" hidden="1" customWidth="1" outlineLevel="1"/>
    <col min="28" max="29" width="9.453125" hidden="1" customWidth="1" outlineLevel="1"/>
    <col min="30" max="31" width="9.54296875" hidden="1" customWidth="1" outlineLevel="1"/>
    <col min="32" max="32" width="9.1796875" hidden="1" customWidth="1" outlineLevel="1"/>
    <col min="33" max="33" width="9.453125" hidden="1" customWidth="1" outlineLevel="1"/>
    <col min="34" max="34" width="9.54296875" hidden="1" customWidth="1" outlineLevel="1"/>
    <col min="35" max="35" width="9.453125" hidden="1" customWidth="1" outlineLevel="1"/>
    <col min="36" max="36" width="10.1796875" hidden="1" customWidth="1" outlineLevel="1"/>
    <col min="37" max="37" width="9.453125" hidden="1" customWidth="1" outlineLevel="1"/>
    <col min="38" max="38" width="8.54296875" hidden="1" customWidth="1" outlineLevel="1"/>
    <col min="39" max="39" width="9.54296875" hidden="1" customWidth="1" outlineLevel="1"/>
    <col min="40" max="41" width="9.453125" hidden="1" customWidth="1" outlineLevel="1"/>
    <col min="42" max="43" width="9.54296875" hidden="1" customWidth="1" outlineLevel="1"/>
    <col min="44" max="44" width="9.1796875" hidden="1" customWidth="1" outlineLevel="1"/>
    <col min="45" max="45" width="9.453125" hidden="1" customWidth="1" outlineLevel="1"/>
    <col min="46" max="46" width="9.54296875" hidden="1" customWidth="1" outlineLevel="1"/>
    <col min="47" max="47" width="9.453125" hidden="1" customWidth="1" outlineLevel="1"/>
    <col min="48" max="48" width="10.1796875" hidden="1" customWidth="1" outlineLevel="1"/>
    <col min="49" max="49" width="9.453125" hidden="1" customWidth="1" outlineLevel="1"/>
    <col min="50" max="50" width="8.54296875" hidden="1" customWidth="1" outlineLevel="1"/>
    <col min="51" max="51" width="9.54296875" hidden="1" customWidth="1" outlineLevel="1"/>
    <col min="52" max="53" width="9.453125" hidden="1" customWidth="1" outlineLevel="1"/>
    <col min="54" max="55" width="9.54296875" hidden="1" customWidth="1" outlineLevel="1"/>
    <col min="56" max="56" width="9.1796875" hidden="1" customWidth="1" outlineLevel="1"/>
    <col min="57" max="57" width="9.453125" hidden="1" customWidth="1" outlineLevel="1"/>
    <col min="58" max="58" width="9.54296875" hidden="1" customWidth="1" outlineLevel="1"/>
    <col min="59" max="59" width="9.453125" hidden="1" customWidth="1" outlineLevel="1"/>
    <col min="60" max="60" width="10.1796875" hidden="1" customWidth="1" outlineLevel="1"/>
    <col min="61" max="61" width="9.453125" hidden="1" customWidth="1" outlineLevel="1"/>
    <col min="62" max="74" width="8.54296875" hidden="1" customWidth="1" outlineLevel="1"/>
    <col min="75" max="75" width="3" hidden="1" customWidth="1" outlineLevel="1"/>
    <col min="76" max="76" width="9.54296875" hidden="1" customWidth="1" outlineLevel="1"/>
    <col min="77" max="77" width="10.54296875" hidden="1" customWidth="1" outlineLevel="1"/>
    <col min="78" max="86" width="9.54296875" hidden="1" customWidth="1" outlineLevel="1"/>
    <col min="87" max="87" width="8.54296875" hidden="1" customWidth="1" outlineLevel="1"/>
    <col min="88" max="88" width="2" bestFit="1" customWidth="1"/>
    <col min="89" max="89" width="3.453125" customWidth="1"/>
    <col min="90" max="90" width="13.1796875" customWidth="1"/>
    <col min="91" max="91" width="3.453125" customWidth="1"/>
    <col min="92" max="93" width="13.1796875" customWidth="1"/>
    <col min="94" max="94" width="2.81640625" customWidth="1"/>
    <col min="154" max="154" width="8.81640625" collapsed="1"/>
    <col min="155" max="155" width="37.453125" hidden="1" customWidth="1" outlineLevel="1"/>
  </cols>
  <sheetData>
    <row r="1" spans="1:155" x14ac:dyDescent="0.35">
      <c r="A1" s="7">
        <f ca="1">ToC!A1</f>
        <v>0</v>
      </c>
      <c r="B1" s="13" t="s">
        <v>613</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175</v>
      </c>
      <c r="CO1" s="5"/>
      <c r="CP1" s="663"/>
      <c r="EY1" s="5" t="s">
        <v>177</v>
      </c>
    </row>
    <row r="2" spans="1:155" ht="14.65" customHeight="1" x14ac:dyDescent="0.35">
      <c r="A2" s="220" cm="1">
        <f t="array" aca="1" ref="A2" ca="1">HYPERLINK(CONCATENATE("#",CELL("address",IF(SUM(A$7:A$88)=0,$A$2,INDEX(A$7:A$88,MATCH(1,A$7:A$88,0))))),SUM(A$7:A$88))</f>
        <v>0</v>
      </c>
      <c r="B2" s="67" t="str" cm="1">
        <f t="array" aca="1" ref="B2" ca="1">HYPERLINK(CONCATENATE("#",CELL("address",Guide!$C$99)),Guide!$B$1)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HYPERLINK(CONCATENATE("#",CELL("address",IF(SUM(CL$7:CL$88)=0,$CL$2,INDEX(CL$7:CL$88,MATCH(1,CL$7:CL$88,0))))),SUM(CL$7:CL$88))</f>
        <v>0</v>
      </c>
      <c r="CM2" s="663"/>
      <c r="CP2" s="663"/>
    </row>
    <row r="3" spans="1:155" x14ac:dyDescent="0.35">
      <c r="A3" s="67" t="str" cm="1">
        <f t="array" aca="1" ref="A3" ca="1">HYPERLINK(CONCATENATE("#",CELL("address",ToC!$A$1)),ToC!$C$1)</f>
        <v>ToC</v>
      </c>
      <c r="B3" s="67" t="str" cm="1">
        <f t="array" aca="1" ref="B3" ca="1">HYPERLINK(CONCATENATE("#",CELL("address",B8)),"NCA")</f>
        <v>NCA</v>
      </c>
      <c r="C3" s="13"/>
      <c r="D3" s="36" t="str">
        <f>Timeline!D3</f>
        <v>Financial Year</v>
      </c>
      <c r="E3" s="13"/>
      <c r="F3" s="13"/>
      <c r="G3" s="13"/>
      <c r="H3" s="13"/>
      <c r="I3" s="13"/>
      <c r="J3" s="13"/>
      <c r="K3" s="13"/>
      <c r="L3" s="13"/>
      <c r="M3" s="13"/>
      <c r="N3" s="13"/>
      <c r="O3" s="13"/>
      <c r="P3" s="13"/>
      <c r="Q3" s="13"/>
      <c r="R3" s="13"/>
      <c r="S3" s="13"/>
      <c r="T3" s="13"/>
      <c r="U3" s="13"/>
      <c r="V3" s="304" t="str">
        <f>Timeline!V3</f>
        <v>FY2025</v>
      </c>
      <c r="W3" s="304"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664" t="s">
        <v>311</v>
      </c>
      <c r="CM3" s="663"/>
      <c r="CN3" s="664" t="s">
        <v>614</v>
      </c>
      <c r="CO3" s="664" t="s">
        <v>270</v>
      </c>
      <c r="CP3" s="663"/>
    </row>
    <row r="4" spans="1:155" ht="14.65" customHeight="1" collapsed="1" x14ac:dyDescent="0.35">
      <c r="A4" s="13"/>
      <c r="B4" s="67" t="str" cm="1">
        <f t="array" aca="1" ref="B4" ca="1">HYPERLINK(CONCATENATE("#",CELL("address",B19)),"Current Assets")</f>
        <v>Current Assets</v>
      </c>
      <c r="C4" s="13"/>
      <c r="D4" s="36" t="str">
        <f>Timeline!D4</f>
        <v>Forecast vs Actual</v>
      </c>
      <c r="E4" s="13"/>
      <c r="F4" s="13"/>
      <c r="G4" s="13"/>
      <c r="H4" s="13"/>
      <c r="I4" s="13"/>
      <c r="J4" s="13"/>
      <c r="K4" s="13"/>
      <c r="L4" s="13"/>
      <c r="M4" s="13"/>
      <c r="N4" s="13"/>
      <c r="O4" s="13"/>
      <c r="P4" s="13"/>
      <c r="Q4" s="13"/>
      <c r="R4" s="13"/>
      <c r="S4" s="13"/>
      <c r="T4" s="13"/>
      <c r="U4" s="13"/>
      <c r="V4" s="29">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c r="CN4" s="664"/>
      <c r="CO4" s="664"/>
      <c r="CP4" s="663"/>
    </row>
    <row r="5" spans="1:155" ht="14.5" hidden="1" customHeight="1" outlineLevel="1" x14ac:dyDescent="0.35">
      <c r="A5" s="13"/>
      <c r="B5" s="67"/>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c r="CN5" s="664"/>
      <c r="CO5" s="664"/>
      <c r="CP5" s="663"/>
    </row>
    <row r="6" spans="1:155" x14ac:dyDescent="0.35">
      <c r="A6" s="67" t="str" cm="1">
        <f t="array" aca="1" ref="A6" ca="1">HYPERLINK(CONCATENATE("#",CELL("address",CM7)),"Check")</f>
        <v>Check</v>
      </c>
      <c r="B6" s="67" t="str" cm="1">
        <f t="array" aca="1" ref="B6" ca="1">HYPERLINK(CONCATENATE("#",CELL("address",B35)),"Liabilities")</f>
        <v>Liabilities</v>
      </c>
      <c r="C6" s="13" t="s">
        <v>183</v>
      </c>
      <c r="D6" s="13" t="s">
        <v>19</v>
      </c>
      <c r="E6" s="37"/>
      <c r="F6" s="13"/>
      <c r="G6" s="13"/>
      <c r="H6" s="13" t="s">
        <v>313</v>
      </c>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2"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c r="CN6" s="664"/>
      <c r="CO6" s="664"/>
      <c r="CP6" s="663"/>
    </row>
    <row r="7" spans="1:155" x14ac:dyDescent="0.35">
      <c r="B7" s="97" t="s">
        <v>615</v>
      </c>
      <c r="D7" s="36" t="s">
        <v>616</v>
      </c>
      <c r="E7" s="13"/>
      <c r="F7" s="13"/>
      <c r="G7" s="13"/>
      <c r="H7" s="13"/>
      <c r="I7" s="13"/>
      <c r="V7" s="261">
        <f>Timeline!V8</f>
        <v>45505</v>
      </c>
      <c r="W7" s="261">
        <f>Timeline!W8</f>
        <v>45870</v>
      </c>
      <c r="BY7" s="6"/>
      <c r="CJ7" s="13"/>
      <c r="CK7" s="35"/>
      <c r="CL7" s="85" t="s">
        <v>122</v>
      </c>
      <c r="CM7" s="35"/>
      <c r="CN7" s="85" t="s">
        <v>122</v>
      </c>
      <c r="CO7" s="85" t="s">
        <v>122</v>
      </c>
      <c r="CP7" s="35"/>
    </row>
    <row r="8" spans="1:155" x14ac:dyDescent="0.35">
      <c r="A8" s="34"/>
      <c r="B8" s="34"/>
      <c r="C8" s="230"/>
      <c r="D8" s="34" t="s">
        <v>617</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P8" s="11"/>
      <c r="EY8" s="10" t="str">
        <f t="shared" ref="EY8:EY37" si="0">IF($C8="","",$D8)</f>
        <v/>
      </c>
    </row>
    <row r="9" spans="1:155" ht="8.25" customHeight="1" x14ac:dyDescent="0.35">
      <c r="C9" s="211"/>
      <c r="BY9" s="6"/>
      <c r="CK9" s="11"/>
      <c r="CM9" s="11"/>
      <c r="CP9" s="11"/>
      <c r="EY9" s="10" t="str">
        <f t="shared" si="0"/>
        <v/>
      </c>
    </row>
    <row r="10" spans="1:155" x14ac:dyDescent="0.35">
      <c r="C10" s="211" t="s">
        <v>618</v>
      </c>
      <c r="D10" s="33" t="s">
        <v>619</v>
      </c>
      <c r="E10" s="33"/>
      <c r="G10" s="8"/>
      <c r="H10" s="9" t="s">
        <v>620</v>
      </c>
      <c r="V10" s="109"/>
      <c r="W10" s="131"/>
      <c r="CK10" s="11"/>
      <c r="CL10" s="221">
        <f t="shared" ref="CL10:CL16" si="1">IF(MIN(V10:W10)&lt;0, 1, 0)</f>
        <v>0</v>
      </c>
      <c r="CM10" s="11"/>
      <c r="CO10" s="7" cm="1">
        <f t="array" ref="CO10">SUMPRODUCT(--NOT(ISNUMBER(V10:W10)),--NOT(ISBLANK(V10:W10)))</f>
        <v>0</v>
      </c>
      <c r="CP10" s="11"/>
      <c r="EY10" s="10" t="str">
        <f t="shared" si="0"/>
        <v>Land &amp; Buildings</v>
      </c>
    </row>
    <row r="11" spans="1:155" x14ac:dyDescent="0.35">
      <c r="C11" s="211" t="s">
        <v>621</v>
      </c>
      <c r="D11" s="33" t="s">
        <v>622</v>
      </c>
      <c r="E11" s="33"/>
      <c r="G11" s="8"/>
      <c r="H11" s="9" t="s">
        <v>620</v>
      </c>
      <c r="V11" s="109"/>
      <c r="W11" s="131"/>
      <c r="CK11" s="11"/>
      <c r="CL11" s="221">
        <f t="shared" si="1"/>
        <v>0</v>
      </c>
      <c r="CM11" s="11"/>
      <c r="CO11" s="7" cm="1">
        <f t="array" ref="CO11">SUMPRODUCT(--NOT(ISNUMBER(V11:W11)),--NOT(ISBLANK(V11:W11)))</f>
        <v>0</v>
      </c>
      <c r="CP11" s="11"/>
      <c r="EY11" s="10" t="str">
        <f t="shared" si="0"/>
        <v>Equipment</v>
      </c>
    </row>
    <row r="12" spans="1:155" x14ac:dyDescent="0.35">
      <c r="C12" s="211" t="s">
        <v>623</v>
      </c>
      <c r="D12" s="33" t="s">
        <v>624</v>
      </c>
      <c r="E12" s="33"/>
      <c r="G12" s="8"/>
      <c r="H12" s="9" t="s">
        <v>620</v>
      </c>
      <c r="V12" s="109"/>
      <c r="W12" s="114"/>
      <c r="CJ12" s="2"/>
      <c r="CK12" s="11"/>
      <c r="CL12" s="221">
        <f t="shared" si="1"/>
        <v>0</v>
      </c>
      <c r="CM12" s="11"/>
      <c r="CO12" s="7" cm="1">
        <f t="array" ref="CO12">SUMPRODUCT(--NOT(ISNUMBER(V12:W12)),--NOT(ISBLANK(V12:W12)))</f>
        <v>0</v>
      </c>
      <c r="CP12" s="11"/>
      <c r="EY12" s="10" t="str">
        <f t="shared" si="0"/>
        <v>Other NCA</v>
      </c>
    </row>
    <row r="13" spans="1:155" x14ac:dyDescent="0.35">
      <c r="C13" s="211" t="s">
        <v>625</v>
      </c>
      <c r="D13" s="33" t="s">
        <v>626</v>
      </c>
      <c r="E13" s="33"/>
      <c r="G13" s="8"/>
      <c r="H13" s="9" t="s">
        <v>620</v>
      </c>
      <c r="V13" s="109"/>
      <c r="W13" s="114"/>
      <c r="CK13" s="11"/>
      <c r="CL13" s="221">
        <f t="shared" si="1"/>
        <v>0</v>
      </c>
      <c r="CM13" s="11"/>
      <c r="CO13" s="7" cm="1">
        <f t="array" ref="CO13">SUMPRODUCT(--NOT(ISNUMBER(V13:W13)),--NOT(ISBLANK(V13:W13)))</f>
        <v>0</v>
      </c>
      <c r="CP13" s="11"/>
      <c r="EY13" s="10" t="str">
        <f t="shared" si="0"/>
        <v>Assets under Construction</v>
      </c>
    </row>
    <row r="14" spans="1:155" x14ac:dyDescent="0.35">
      <c r="C14" s="211" t="s">
        <v>627</v>
      </c>
      <c r="D14" s="33" t="s">
        <v>628</v>
      </c>
      <c r="E14" s="33"/>
      <c r="G14" s="8"/>
      <c r="H14" s="9" t="s">
        <v>620</v>
      </c>
      <c r="V14" s="109"/>
      <c r="W14" s="114"/>
      <c r="CK14" s="11"/>
      <c r="CL14" s="221">
        <f t="shared" si="1"/>
        <v>0</v>
      </c>
      <c r="CM14" s="11"/>
      <c r="CO14" s="7" cm="1">
        <f t="array" ref="CO14">SUMPRODUCT(--NOT(ISNUMBER(V14:W14)),--NOT(ISBLANK(V14:W14)))</f>
        <v>0</v>
      </c>
      <c r="CP14" s="11"/>
      <c r="EY14" s="10" t="str">
        <f t="shared" si="0"/>
        <v>Investments</v>
      </c>
    </row>
    <row r="15" spans="1:155" x14ac:dyDescent="0.35">
      <c r="C15" s="211" t="s">
        <v>629</v>
      </c>
      <c r="D15" s="33" t="s">
        <v>630</v>
      </c>
      <c r="E15" s="33"/>
      <c r="G15" s="8"/>
      <c r="H15" s="9" t="s">
        <v>620</v>
      </c>
      <c r="V15" s="109"/>
      <c r="W15" s="114"/>
      <c r="CK15" s="11"/>
      <c r="CL15" s="221">
        <f t="shared" si="1"/>
        <v>0</v>
      </c>
      <c r="CM15" s="11"/>
      <c r="CO15" s="7" cm="1">
        <f t="array" ref="CO15">SUMPRODUCT(--NOT(ISNUMBER(V15:W15)),--NOT(ISBLANK(V15:W15)))</f>
        <v>0</v>
      </c>
      <c r="CP15" s="11"/>
      <c r="EY15" s="10" t="str">
        <f t="shared" si="0"/>
        <v>Investment in JVs and Associates (inc. overseas)</v>
      </c>
    </row>
    <row r="16" spans="1:155" x14ac:dyDescent="0.35">
      <c r="C16" s="211" t="s">
        <v>631</v>
      </c>
      <c r="D16" s="219" t="s">
        <v>632</v>
      </c>
      <c r="E16" s="33"/>
      <c r="G16" s="8"/>
      <c r="H16" s="9" t="s">
        <v>620</v>
      </c>
      <c r="V16" s="109"/>
      <c r="W16" s="114"/>
      <c r="CJ16" s="2"/>
      <c r="CK16" s="11"/>
      <c r="CL16" s="221">
        <f t="shared" si="1"/>
        <v>0</v>
      </c>
      <c r="CM16" s="11"/>
      <c r="CO16" s="7" cm="1">
        <f t="array" ref="CO16">SUMPRODUCT(--NOT(ISNUMBER(V16:W16)),--NOT(ISBLANK(V16:W16)))</f>
        <v>0</v>
      </c>
      <c r="CP16" s="11"/>
      <c r="EY16" s="10" t="str">
        <f t="shared" si="0"/>
        <v>Non-current asset debtors due after one year</v>
      </c>
    </row>
    <row r="17" spans="1:155" x14ac:dyDescent="0.35">
      <c r="C17" s="211" t="s">
        <v>633</v>
      </c>
      <c r="D17" s="24" t="s">
        <v>634</v>
      </c>
      <c r="V17" s="135">
        <f>SUM(V10:V16)</f>
        <v>0</v>
      </c>
      <c r="W17" s="135">
        <f>SUM(W10:W16)</f>
        <v>0</v>
      </c>
      <c r="BY17" s="6"/>
      <c r="BZ17" s="6"/>
      <c r="CK17" s="11"/>
      <c r="CM17" s="11"/>
      <c r="CP17" s="11"/>
      <c r="EY17" s="10" t="str">
        <f t="shared" si="0"/>
        <v>Total Non-Current Assets</v>
      </c>
    </row>
    <row r="18" spans="1:155" ht="8.25" customHeight="1" x14ac:dyDescent="0.35">
      <c r="C18" s="211"/>
      <c r="BY18" s="6"/>
      <c r="CK18" s="11"/>
      <c r="CM18" s="11"/>
      <c r="CP18" s="11"/>
      <c r="EY18" s="10" t="str">
        <f t="shared" si="0"/>
        <v/>
      </c>
    </row>
    <row r="19" spans="1:155" x14ac:dyDescent="0.35">
      <c r="A19" s="34"/>
      <c r="B19" s="34"/>
      <c r="C19" s="231"/>
      <c r="D19" s="34" t="s">
        <v>635</v>
      </c>
      <c r="E19" s="34"/>
      <c r="F19" s="34"/>
      <c r="G19" s="39"/>
      <c r="H19" s="39"/>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11"/>
      <c r="CM19" s="11"/>
      <c r="CP19" s="11"/>
      <c r="EY19" s="10" t="str">
        <f t="shared" si="0"/>
        <v/>
      </c>
    </row>
    <row r="20" spans="1:155" ht="8.25" customHeight="1" x14ac:dyDescent="0.35">
      <c r="C20" s="211"/>
      <c r="BY20" s="6"/>
      <c r="CK20" s="11"/>
      <c r="CM20" s="11"/>
      <c r="CP20" s="11"/>
      <c r="EY20" s="10" t="str">
        <f t="shared" si="0"/>
        <v/>
      </c>
    </row>
    <row r="21" spans="1:155" x14ac:dyDescent="0.35">
      <c r="C21" s="211" t="s">
        <v>636</v>
      </c>
      <c r="D21" s="33" t="s">
        <v>637</v>
      </c>
      <c r="E21" s="33"/>
      <c r="G21" s="8"/>
      <c r="H21" s="9" t="s">
        <v>620</v>
      </c>
      <c r="V21" s="109"/>
      <c r="W21" s="111"/>
      <c r="CK21" s="11"/>
      <c r="CL21" s="221">
        <f>IF(MIN(V21:W21)&lt;0, 1, 0)</f>
        <v>0</v>
      </c>
      <c r="CM21" s="11"/>
      <c r="CO21" s="7" cm="1">
        <f t="array" ref="CO21">SUMPRODUCT(--NOT(ISNUMBER(V21:W21)),--NOT(ISBLANK(V21:W21)))</f>
        <v>0</v>
      </c>
      <c r="CP21" s="11"/>
      <c r="EY21" s="10" t="str">
        <f t="shared" si="0"/>
        <v xml:space="preserve">Assets Held for Sale </v>
      </c>
    </row>
    <row r="22" spans="1:155" x14ac:dyDescent="0.35">
      <c r="C22" s="211" t="s">
        <v>638</v>
      </c>
      <c r="D22" s="33" t="s">
        <v>639</v>
      </c>
      <c r="E22" s="33"/>
      <c r="G22" s="8"/>
      <c r="H22" s="9" t="s">
        <v>620</v>
      </c>
      <c r="V22" s="109"/>
      <c r="W22" s="111"/>
      <c r="CK22" s="11"/>
      <c r="CL22" s="221">
        <f>IF(MIN(V22:W22)&lt;0, 1, 0)</f>
        <v>0</v>
      </c>
      <c r="CM22" s="11"/>
      <c r="CO22" s="7" cm="1">
        <f t="array" ref="CO22">SUMPRODUCT(--NOT(ISNUMBER(V22:W22)),--NOT(ISBLANK(V22:W22)))</f>
        <v>0</v>
      </c>
      <c r="CP22" s="11"/>
      <c r="EY22" s="10" t="str">
        <f t="shared" si="0"/>
        <v>Stock</v>
      </c>
    </row>
    <row r="23" spans="1:155" x14ac:dyDescent="0.35">
      <c r="C23" s="211" t="s">
        <v>640</v>
      </c>
      <c r="D23" s="33" t="s">
        <v>641</v>
      </c>
      <c r="E23" s="33"/>
      <c r="G23" s="8"/>
      <c r="H23" s="9" t="s">
        <v>620</v>
      </c>
      <c r="V23" s="109"/>
      <c r="W23" s="111"/>
      <c r="CK23" s="11"/>
      <c r="CL23" s="221">
        <f>IF(MIN(V23:W23)&lt;0, 1, 0)</f>
        <v>0</v>
      </c>
      <c r="CM23" s="11"/>
      <c r="CO23" s="7" cm="1">
        <f t="array" ref="CO23">SUMPRODUCT(--NOT(ISNUMBER(V23:W23)),--NOT(ISBLANK(V23:W23)))</f>
        <v>0</v>
      </c>
      <c r="CP23" s="11"/>
      <c r="EY23" s="10" t="str">
        <f t="shared" si="0"/>
        <v>Trade Receivables</v>
      </c>
    </row>
    <row r="24" spans="1:155" x14ac:dyDescent="0.35">
      <c r="C24" s="211" t="s">
        <v>642</v>
      </c>
      <c r="D24" s="33" t="s">
        <v>643</v>
      </c>
      <c r="E24" s="33"/>
      <c r="G24" s="8"/>
      <c r="H24" s="9" t="s">
        <v>620</v>
      </c>
      <c r="V24" s="109"/>
      <c r="W24" s="111"/>
      <c r="CK24" s="11"/>
      <c r="CL24" s="221">
        <f>IF(MIN(V24:W24)&lt;0, 1, 0)</f>
        <v>0</v>
      </c>
      <c r="CM24" s="11"/>
      <c r="CO24" s="7" cm="1">
        <f t="array" ref="CO24">SUMPRODUCT(--NOT(ISNUMBER(V24:W24)),--NOT(ISBLANK(V24:W24)))</f>
        <v>0</v>
      </c>
      <c r="CP24" s="11"/>
      <c r="EY24" s="10" t="str">
        <f t="shared" si="0"/>
        <v>Other Receivables</v>
      </c>
    </row>
    <row r="25" spans="1:155" x14ac:dyDescent="0.35">
      <c r="B25" s="85" t="s">
        <v>122</v>
      </c>
      <c r="C25" s="213" t="s">
        <v>644</v>
      </c>
      <c r="D25" s="4" t="s">
        <v>645</v>
      </c>
      <c r="G25" s="8"/>
      <c r="H25" s="9" t="s">
        <v>646</v>
      </c>
      <c r="V25" s="109"/>
      <c r="W25" s="114"/>
      <c r="CK25" s="11"/>
      <c r="CL25" s="221">
        <f>IF(MAX(V25:W25)&gt;0, 1, 0)</f>
        <v>0</v>
      </c>
      <c r="CM25" s="11"/>
      <c r="CO25" s="7" cm="1">
        <f t="array" ref="CO25">SUMPRODUCT(--NOT(ISNUMBER(V25:W25)),--NOT(ISBLANK(V25:W25)))</f>
        <v>0</v>
      </c>
      <c r="CP25" s="11"/>
      <c r="EY25" s="10" t="str">
        <f t="shared" si="0"/>
        <v>Bad Debt Provision</v>
      </c>
    </row>
    <row r="26" spans="1:155" x14ac:dyDescent="0.35">
      <c r="C26" s="211" t="s">
        <v>647</v>
      </c>
      <c r="D26" s="33" t="s">
        <v>648</v>
      </c>
      <c r="E26" s="33"/>
      <c r="G26" s="8"/>
      <c r="H26" s="9" t="s">
        <v>620</v>
      </c>
      <c r="V26" s="109"/>
      <c r="W26" s="111"/>
      <c r="CK26" s="11"/>
      <c r="CL26" s="221">
        <f t="shared" ref="CL26:CL31" si="2">IF(MIN(V26:W26)&lt;0, 1, 0)</f>
        <v>0</v>
      </c>
      <c r="CM26" s="11"/>
      <c r="CO26" s="7" cm="1">
        <f t="array" ref="CO26">SUMPRODUCT(--NOT(ISNUMBER(V26:W26)),--NOT(ISBLANK(V26:W26)))</f>
        <v>0</v>
      </c>
      <c r="CP26" s="11"/>
      <c r="EY26" s="10" t="str">
        <f t="shared" si="0"/>
        <v>Prepayments</v>
      </c>
    </row>
    <row r="27" spans="1:155" x14ac:dyDescent="0.35">
      <c r="C27" s="211" t="s">
        <v>649</v>
      </c>
      <c r="D27" s="33" t="s">
        <v>650</v>
      </c>
      <c r="E27" s="33"/>
      <c r="G27" s="8"/>
      <c r="H27" s="9" t="s">
        <v>620</v>
      </c>
      <c r="V27" s="109"/>
      <c r="W27" s="111"/>
      <c r="CK27" s="11"/>
      <c r="CL27" s="221">
        <f t="shared" si="2"/>
        <v>0</v>
      </c>
      <c r="CM27" s="11"/>
      <c r="CO27" s="7" cm="1">
        <f t="array" ref="CO27">SUMPRODUCT(--NOT(ISNUMBER(V27:W27)),--NOT(ISBLANK(V27:W27)))</f>
        <v>0</v>
      </c>
      <c r="CP27" s="11"/>
      <c r="EY27" s="10" t="str">
        <f t="shared" si="0"/>
        <v>Accrued Income</v>
      </c>
    </row>
    <row r="28" spans="1:155" x14ac:dyDescent="0.35">
      <c r="C28" s="213" t="s">
        <v>651</v>
      </c>
      <c r="D28" s="33" t="s">
        <v>652</v>
      </c>
      <c r="E28" s="33"/>
      <c r="G28" s="8"/>
      <c r="H28" s="9" t="s">
        <v>620</v>
      </c>
      <c r="V28" s="109"/>
      <c r="W28" s="111"/>
      <c r="CK28" s="11"/>
      <c r="CL28" s="221">
        <f t="shared" si="2"/>
        <v>0</v>
      </c>
      <c r="CM28" s="11"/>
      <c r="CO28" s="7" cm="1">
        <f t="array" ref="CO28">SUMPRODUCT(--NOT(ISNUMBER(V28:W28)),--NOT(ISBLANK(V28:W28)))</f>
        <v>0</v>
      </c>
      <c r="CP28" s="11"/>
      <c r="EY28" s="10" t="str">
        <f t="shared" si="0"/>
        <v>Unrestricted Short-term Investments</v>
      </c>
    </row>
    <row r="29" spans="1:155" x14ac:dyDescent="0.35">
      <c r="C29" s="213" t="s">
        <v>653</v>
      </c>
      <c r="D29" s="33" t="s">
        <v>654</v>
      </c>
      <c r="E29" s="33"/>
      <c r="G29" s="8"/>
      <c r="H29" s="9" t="s">
        <v>620</v>
      </c>
      <c r="V29" s="109"/>
      <c r="W29" s="111"/>
      <c r="CK29" s="11"/>
      <c r="CL29" s="221">
        <f t="shared" si="2"/>
        <v>0</v>
      </c>
      <c r="CM29" s="11"/>
      <c r="CO29" s="7" cm="1">
        <f t="array" ref="CO29">SUMPRODUCT(--NOT(ISNUMBER(V29:W29)),--NOT(ISBLANK(V29:W29)))</f>
        <v>0</v>
      </c>
      <c r="CP29" s="11"/>
      <c r="EY29" s="10" t="str">
        <f t="shared" si="0"/>
        <v>Unrestricted Cash and Cash Equivalents</v>
      </c>
    </row>
    <row r="30" spans="1:155" x14ac:dyDescent="0.35">
      <c r="C30" s="213" t="s">
        <v>655</v>
      </c>
      <c r="D30" s="33" t="s">
        <v>656</v>
      </c>
      <c r="E30" s="33"/>
      <c r="G30" s="8"/>
      <c r="H30" s="9" t="s">
        <v>620</v>
      </c>
      <c r="V30" s="109"/>
      <c r="W30" s="111"/>
      <c r="CK30" s="11"/>
      <c r="CL30" s="221">
        <f t="shared" si="2"/>
        <v>0</v>
      </c>
      <c r="CM30" s="11"/>
      <c r="CO30" s="7" cm="1">
        <f t="array" ref="CO30">SUMPRODUCT(--NOT(ISNUMBER(V30:W30)),--NOT(ISBLANK(V30:W30)))</f>
        <v>0</v>
      </c>
      <c r="CP30" s="11"/>
      <c r="EY30" s="10" t="str">
        <f t="shared" si="0"/>
        <v xml:space="preserve">Restricted Cash </v>
      </c>
    </row>
    <row r="31" spans="1:155" x14ac:dyDescent="0.35">
      <c r="C31" s="213" t="s">
        <v>657</v>
      </c>
      <c r="D31" s="33" t="s">
        <v>658</v>
      </c>
      <c r="E31" s="33"/>
      <c r="G31" s="8"/>
      <c r="H31" s="9" t="s">
        <v>620</v>
      </c>
      <c r="V31" s="109"/>
      <c r="W31" s="111"/>
      <c r="CK31" s="11"/>
      <c r="CL31" s="221">
        <f t="shared" si="2"/>
        <v>0</v>
      </c>
      <c r="CM31" s="11"/>
      <c r="CO31" s="7" cm="1">
        <f t="array" ref="CO31">SUMPRODUCT(--NOT(ISNUMBER(V31:W31)),--NOT(ISBLANK(V31:W31)))</f>
        <v>0</v>
      </c>
      <c r="CP31" s="11"/>
      <c r="EY31" s="10" t="str">
        <f t="shared" si="0"/>
        <v>Non-current asset debtors due within one year</v>
      </c>
    </row>
    <row r="32" spans="1:155" x14ac:dyDescent="0.35">
      <c r="C32" s="211" t="s">
        <v>659</v>
      </c>
      <c r="D32" s="24" t="s">
        <v>660</v>
      </c>
      <c r="V32" s="135">
        <f t="shared" ref="V32:BA32" si="3">SUM(V21:V31)</f>
        <v>0</v>
      </c>
      <c r="W32" s="135">
        <f t="shared" si="3"/>
        <v>0</v>
      </c>
      <c r="X32" s="135">
        <f t="shared" si="3"/>
        <v>0</v>
      </c>
      <c r="Y32" s="135">
        <f t="shared" si="3"/>
        <v>0</v>
      </c>
      <c r="Z32" s="135">
        <f t="shared" si="3"/>
        <v>0</v>
      </c>
      <c r="AA32" s="135">
        <f t="shared" si="3"/>
        <v>0</v>
      </c>
      <c r="AB32" s="135">
        <f t="shared" si="3"/>
        <v>0</v>
      </c>
      <c r="AC32" s="135">
        <f t="shared" si="3"/>
        <v>0</v>
      </c>
      <c r="AD32" s="135">
        <f t="shared" si="3"/>
        <v>0</v>
      </c>
      <c r="AE32" s="135">
        <f t="shared" si="3"/>
        <v>0</v>
      </c>
      <c r="AF32" s="135">
        <f t="shared" si="3"/>
        <v>0</v>
      </c>
      <c r="AG32" s="135">
        <f t="shared" si="3"/>
        <v>0</v>
      </c>
      <c r="AH32" s="135">
        <f t="shared" si="3"/>
        <v>0</v>
      </c>
      <c r="AI32" s="135">
        <f t="shared" si="3"/>
        <v>0</v>
      </c>
      <c r="AJ32" s="135">
        <f t="shared" si="3"/>
        <v>0</v>
      </c>
      <c r="AK32" s="135">
        <f t="shared" si="3"/>
        <v>0</v>
      </c>
      <c r="AL32" s="135">
        <f t="shared" si="3"/>
        <v>0</v>
      </c>
      <c r="AM32" s="135">
        <f t="shared" si="3"/>
        <v>0</v>
      </c>
      <c r="AN32" s="135">
        <f t="shared" si="3"/>
        <v>0</v>
      </c>
      <c r="AO32" s="135">
        <f t="shared" si="3"/>
        <v>0</v>
      </c>
      <c r="AP32" s="135">
        <f t="shared" si="3"/>
        <v>0</v>
      </c>
      <c r="AQ32" s="135">
        <f t="shared" si="3"/>
        <v>0</v>
      </c>
      <c r="AR32" s="135">
        <f t="shared" si="3"/>
        <v>0</v>
      </c>
      <c r="AS32" s="135">
        <f t="shared" si="3"/>
        <v>0</v>
      </c>
      <c r="AT32" s="135">
        <f t="shared" si="3"/>
        <v>0</v>
      </c>
      <c r="AU32" s="135">
        <f t="shared" si="3"/>
        <v>0</v>
      </c>
      <c r="AV32" s="135">
        <f t="shared" si="3"/>
        <v>0</v>
      </c>
      <c r="AW32" s="135">
        <f t="shared" si="3"/>
        <v>0</v>
      </c>
      <c r="AX32" s="135">
        <f t="shared" si="3"/>
        <v>0</v>
      </c>
      <c r="AY32" s="135">
        <f t="shared" si="3"/>
        <v>0</v>
      </c>
      <c r="AZ32" s="135">
        <f t="shared" si="3"/>
        <v>0</v>
      </c>
      <c r="BA32" s="135">
        <f t="shared" si="3"/>
        <v>0</v>
      </c>
      <c r="BB32" s="135">
        <f t="shared" ref="BB32:CG32" si="4">SUM(BB21:BB31)</f>
        <v>0</v>
      </c>
      <c r="BC32" s="135">
        <f t="shared" si="4"/>
        <v>0</v>
      </c>
      <c r="BD32" s="135">
        <f t="shared" si="4"/>
        <v>0</v>
      </c>
      <c r="BE32" s="135">
        <f t="shared" si="4"/>
        <v>0</v>
      </c>
      <c r="BF32" s="135">
        <f t="shared" si="4"/>
        <v>0</v>
      </c>
      <c r="BG32" s="135">
        <f t="shared" si="4"/>
        <v>0</v>
      </c>
      <c r="BH32" s="135">
        <f t="shared" si="4"/>
        <v>0</v>
      </c>
      <c r="BI32" s="135">
        <f t="shared" si="4"/>
        <v>0</v>
      </c>
      <c r="BJ32" s="135">
        <f t="shared" si="4"/>
        <v>0</v>
      </c>
      <c r="BK32" s="135">
        <f t="shared" si="4"/>
        <v>0</v>
      </c>
      <c r="BL32" s="135">
        <f t="shared" si="4"/>
        <v>0</v>
      </c>
      <c r="BM32" s="135">
        <f t="shared" si="4"/>
        <v>0</v>
      </c>
      <c r="BN32" s="135">
        <f t="shared" si="4"/>
        <v>0</v>
      </c>
      <c r="BO32" s="135">
        <f t="shared" si="4"/>
        <v>0</v>
      </c>
      <c r="BP32" s="135">
        <f t="shared" si="4"/>
        <v>0</v>
      </c>
      <c r="BQ32" s="135">
        <f t="shared" si="4"/>
        <v>0</v>
      </c>
      <c r="BR32" s="135">
        <f t="shared" si="4"/>
        <v>0</v>
      </c>
      <c r="BS32" s="135">
        <f t="shared" si="4"/>
        <v>0</v>
      </c>
      <c r="BT32" s="135">
        <f t="shared" si="4"/>
        <v>0</v>
      </c>
      <c r="BU32" s="135">
        <f t="shared" si="4"/>
        <v>0</v>
      </c>
      <c r="BV32" s="135">
        <f t="shared" si="4"/>
        <v>0</v>
      </c>
      <c r="BW32" s="135">
        <f t="shared" si="4"/>
        <v>0</v>
      </c>
      <c r="BX32" s="135">
        <f t="shared" si="4"/>
        <v>0</v>
      </c>
      <c r="BY32" s="135">
        <f t="shared" si="4"/>
        <v>0</v>
      </c>
      <c r="BZ32" s="135">
        <f t="shared" si="4"/>
        <v>0</v>
      </c>
      <c r="CA32" s="135">
        <f t="shared" si="4"/>
        <v>0</v>
      </c>
      <c r="CB32" s="135">
        <f t="shared" si="4"/>
        <v>0</v>
      </c>
      <c r="CC32" s="135">
        <f t="shared" si="4"/>
        <v>0</v>
      </c>
      <c r="CD32" s="135">
        <f t="shared" si="4"/>
        <v>0</v>
      </c>
      <c r="CE32" s="135">
        <f t="shared" si="4"/>
        <v>0</v>
      </c>
      <c r="CF32" s="135">
        <f t="shared" si="4"/>
        <v>0</v>
      </c>
      <c r="CG32" s="135">
        <f t="shared" si="4"/>
        <v>0</v>
      </c>
      <c r="CH32" s="135">
        <f>SUM(CH21:CH31)</f>
        <v>0</v>
      </c>
      <c r="CI32" s="135">
        <f>SUM(CI21:CI31)</f>
        <v>0</v>
      </c>
      <c r="CK32" s="11"/>
      <c r="CM32" s="11"/>
      <c r="CP32" s="11"/>
      <c r="EY32" s="10" t="str">
        <f t="shared" si="0"/>
        <v>Total Current Assets</v>
      </c>
    </row>
    <row r="33" spans="1:155" ht="8.25" customHeight="1" x14ac:dyDescent="0.35">
      <c r="C33" s="211"/>
      <c r="BY33" s="6"/>
      <c r="CK33" s="11"/>
      <c r="CM33" s="11"/>
      <c r="CP33" s="11"/>
      <c r="EY33" s="10" t="str">
        <f t="shared" si="0"/>
        <v/>
      </c>
    </row>
    <row r="34" spans="1:155" x14ac:dyDescent="0.35">
      <c r="A34" s="34"/>
      <c r="B34" s="34"/>
      <c r="C34" s="231"/>
      <c r="D34" s="34" t="s">
        <v>661</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11"/>
      <c r="CM34" s="11"/>
      <c r="CP34" s="11"/>
      <c r="EY34" s="10" t="str">
        <f t="shared" si="0"/>
        <v/>
      </c>
    </row>
    <row r="35" spans="1:155" ht="8.25" customHeight="1" x14ac:dyDescent="0.35">
      <c r="C35" s="211"/>
      <c r="BY35" s="6"/>
      <c r="CK35" s="11"/>
      <c r="CM35" s="11"/>
      <c r="CP35" s="11"/>
      <c r="EY35" s="10" t="str">
        <f t="shared" si="0"/>
        <v/>
      </c>
    </row>
    <row r="36" spans="1:155" x14ac:dyDescent="0.35">
      <c r="B36" s="5"/>
      <c r="C36" s="211"/>
      <c r="D36" s="72" t="s">
        <v>662</v>
      </c>
      <c r="CK36" s="11"/>
      <c r="CM36" s="11"/>
      <c r="CP36" s="11"/>
      <c r="EY36" s="10" t="str">
        <f t="shared" si="0"/>
        <v/>
      </c>
    </row>
    <row r="37" spans="1:155" x14ac:dyDescent="0.35">
      <c r="B37" s="5"/>
      <c r="C37" s="213" t="s">
        <v>663</v>
      </c>
      <c r="D37" s="4" t="s">
        <v>664</v>
      </c>
      <c r="G37" s="8"/>
      <c r="H37" s="9" t="s">
        <v>665</v>
      </c>
      <c r="V37" s="109"/>
      <c r="W37" s="111"/>
      <c r="CK37" s="11"/>
      <c r="CL37" s="221">
        <f t="shared" ref="CL37:CL55" si="5">IF(MIN(V37:W37)&lt;0, 1, 0)</f>
        <v>0</v>
      </c>
      <c r="CM37" s="11"/>
      <c r="CO37" s="7" cm="1">
        <f t="array" ref="CO37">SUMPRODUCT(--NOT(ISNUMBER(V37:W37)),--NOT(ISBLANK(V37:W37)))</f>
        <v>0</v>
      </c>
      <c r="CP37" s="11"/>
      <c r="EY37" s="10" t="str">
        <f t="shared" si="0"/>
        <v>Overdrafts</v>
      </c>
    </row>
    <row r="38" spans="1:155" x14ac:dyDescent="0.35">
      <c r="B38" s="5"/>
      <c r="C38" s="211" t="s">
        <v>666</v>
      </c>
      <c r="D38" s="4" t="s">
        <v>667</v>
      </c>
      <c r="G38" s="8"/>
      <c r="H38" s="9" t="s">
        <v>665</v>
      </c>
      <c r="V38" s="109"/>
      <c r="W38" s="111"/>
      <c r="CK38" s="11"/>
      <c r="CL38" s="221">
        <f t="shared" si="5"/>
        <v>0</v>
      </c>
      <c r="CM38" s="11"/>
      <c r="CO38" s="7" cm="1">
        <f t="array" ref="CO38">SUMPRODUCT(--NOT(ISNUMBER(V38:W38)),--NOT(ISBLANK(V38:W38)))</f>
        <v>0</v>
      </c>
      <c r="CP38" s="11"/>
      <c r="EY38" s="12" t="str">
        <f t="shared" ref="EY38:EY44" si="6">IF($C38="","",CONCATENATE(D$36, " ",$D38))</f>
        <v>Creditors: amounts falling due within one year Loans (DfE/ESFA)</v>
      </c>
    </row>
    <row r="39" spans="1:155" x14ac:dyDescent="0.35">
      <c r="B39" s="5"/>
      <c r="C39" s="211" t="s">
        <v>668</v>
      </c>
      <c r="D39" s="4" t="s">
        <v>669</v>
      </c>
      <c r="G39" s="8"/>
      <c r="H39" s="9" t="s">
        <v>665</v>
      </c>
      <c r="V39" s="109"/>
      <c r="W39" s="111"/>
      <c r="CK39" s="11"/>
      <c r="CL39" s="221">
        <f t="shared" si="5"/>
        <v>0</v>
      </c>
      <c r="CM39" s="11"/>
      <c r="CO39" s="7" cm="1">
        <f t="array" ref="CO39">SUMPRODUCT(--NOT(ISNUMBER(V39:W39)),--NOT(ISBLANK(V39:W39)))</f>
        <v>0</v>
      </c>
      <c r="CP39" s="11"/>
      <c r="EY39" s="12" t="str">
        <f t="shared" si="6"/>
        <v>Creditors: amounts falling due within one year Commercial Loans</v>
      </c>
    </row>
    <row r="40" spans="1:155" x14ac:dyDescent="0.35">
      <c r="B40" s="5"/>
      <c r="C40" s="213" t="s">
        <v>670</v>
      </c>
      <c r="D40" s="4" t="s">
        <v>671</v>
      </c>
      <c r="G40" s="8"/>
      <c r="H40" s="9" t="s">
        <v>665</v>
      </c>
      <c r="V40" s="109"/>
      <c r="W40" s="114"/>
      <c r="CK40" s="11"/>
      <c r="CL40" s="221">
        <f t="shared" si="5"/>
        <v>0</v>
      </c>
      <c r="CM40" s="11"/>
      <c r="CO40" s="7" cm="1">
        <f t="array" ref="CO40">SUMPRODUCT(--NOT(ISNUMBER(V40:W40)),--NOT(ISBLANK(V40:W40)))</f>
        <v>0</v>
      </c>
      <c r="CP40" s="11"/>
      <c r="EY40" s="12" t="str">
        <f t="shared" si="6"/>
        <v>Creditors: amounts falling due within one year Finance Lease Obligations</v>
      </c>
    </row>
    <row r="41" spans="1:155" x14ac:dyDescent="0.35">
      <c r="B41" s="85" t="s">
        <v>122</v>
      </c>
      <c r="C41" s="234" t="s">
        <v>672</v>
      </c>
      <c r="D41" s="4" t="s">
        <v>673</v>
      </c>
      <c r="G41" s="8"/>
      <c r="H41" s="9" t="s">
        <v>665</v>
      </c>
      <c r="V41" s="648"/>
      <c r="W41" s="649"/>
      <c r="CK41" s="11"/>
      <c r="CL41" s="221">
        <f t="shared" si="5"/>
        <v>0</v>
      </c>
      <c r="CM41" s="11"/>
      <c r="CO41" s="7" cm="1">
        <f t="array" ref="CO41">SUMPRODUCT(--NOT(ISNUMBER(V41:W41)),--NOT(ISBLANK(V41:W41)))</f>
        <v>0</v>
      </c>
      <c r="CP41" s="11"/>
      <c r="EY41" s="12"/>
    </row>
    <row r="42" spans="1:155" x14ac:dyDescent="0.35">
      <c r="B42" s="5"/>
      <c r="C42" s="234" t="s">
        <v>674</v>
      </c>
      <c r="D42" s="4" t="s">
        <v>675</v>
      </c>
      <c r="G42" s="8"/>
      <c r="H42" s="9" t="s">
        <v>665</v>
      </c>
      <c r="V42" s="109"/>
      <c r="W42" s="114"/>
      <c r="CK42" s="11"/>
      <c r="CL42" s="221">
        <f t="shared" si="5"/>
        <v>0</v>
      </c>
      <c r="CM42" s="11"/>
      <c r="CO42" s="7" cm="1">
        <f t="array" ref="CO42">SUMPRODUCT(--NOT(ISNUMBER(V42:W42)),--NOT(ISBLANK(V42:W42)))</f>
        <v>0</v>
      </c>
      <c r="CP42" s="11"/>
      <c r="EY42" s="12" t="str">
        <f t="shared" si="6"/>
        <v xml:space="preserve">Creditors: amounts falling due within one year Interest Payable </v>
      </c>
    </row>
    <row r="43" spans="1:155" x14ac:dyDescent="0.35">
      <c r="B43" s="5"/>
      <c r="C43" s="234" t="s">
        <v>676</v>
      </c>
      <c r="D43" s="4" t="s">
        <v>677</v>
      </c>
      <c r="G43" s="8"/>
      <c r="H43" s="9" t="s">
        <v>665</v>
      </c>
      <c r="V43" s="109"/>
      <c r="W43" s="114"/>
      <c r="CK43" s="11"/>
      <c r="CL43" s="221">
        <f t="shared" si="5"/>
        <v>0</v>
      </c>
      <c r="CM43" s="11"/>
      <c r="CO43" s="7" cm="1">
        <f t="array" ref="CO43">SUMPRODUCT(--NOT(ISNUMBER(V43:W43)),--NOT(ISBLANK(V43:W43)))</f>
        <v>0</v>
      </c>
      <c r="CP43" s="11"/>
      <c r="EY43" s="12" t="str">
        <f t="shared" si="6"/>
        <v>Creditors: amounts falling due within one year Deferred Income - Capital Grant Liability</v>
      </c>
    </row>
    <row r="44" spans="1:155" x14ac:dyDescent="0.35">
      <c r="B44" s="5"/>
      <c r="C44" s="234" t="s">
        <v>678</v>
      </c>
      <c r="D44" s="4" t="s">
        <v>679</v>
      </c>
      <c r="G44" s="8"/>
      <c r="H44" s="9" t="s">
        <v>665</v>
      </c>
      <c r="V44" s="109"/>
      <c r="W44" s="114"/>
      <c r="CK44" s="11"/>
      <c r="CL44" s="221">
        <f t="shared" si="5"/>
        <v>0</v>
      </c>
      <c r="CM44" s="11"/>
      <c r="CO44" s="7" cm="1">
        <f t="array" ref="CO44">SUMPRODUCT(--NOT(ISNUMBER(V44:W44)),--NOT(ISBLANK(V44:W44)))</f>
        <v>0</v>
      </c>
      <c r="CP44" s="11"/>
      <c r="EY44" s="12" t="str">
        <f t="shared" si="6"/>
        <v>Creditors: amounts falling due within one year Capital Grants in Advance - Value Unspent</v>
      </c>
    </row>
    <row r="45" spans="1:155" x14ac:dyDescent="0.35">
      <c r="B45" s="5"/>
      <c r="C45" s="213" t="s">
        <v>680</v>
      </c>
      <c r="D45" s="74" t="s">
        <v>681</v>
      </c>
      <c r="E45" s="33"/>
      <c r="G45" s="8"/>
      <c r="H45" s="9" t="s">
        <v>665</v>
      </c>
      <c r="V45" s="109"/>
      <c r="W45" s="114"/>
      <c r="CK45" s="11"/>
      <c r="CL45" s="221">
        <f t="shared" si="5"/>
        <v>0</v>
      </c>
      <c r="CM45" s="11"/>
      <c r="CO45" s="7" cm="1">
        <f t="array" ref="CO45">SUMPRODUCT(--NOT(ISNUMBER(V45:W45)),--NOT(ISBLANK(V45:W45)))</f>
        <v>0</v>
      </c>
      <c r="CP45" s="11"/>
      <c r="EY45" s="10" t="str">
        <f>IF($C45="","",$D45)</f>
        <v>Trade Payables</v>
      </c>
    </row>
    <row r="46" spans="1:155" x14ac:dyDescent="0.35">
      <c r="B46" s="5"/>
      <c r="C46" s="211" t="s">
        <v>682</v>
      </c>
      <c r="D46" s="74" t="s">
        <v>683</v>
      </c>
      <c r="E46" s="33"/>
      <c r="G46" s="8"/>
      <c r="H46" s="9" t="s">
        <v>620</v>
      </c>
      <c r="V46" s="109"/>
      <c r="W46" s="114"/>
      <c r="CK46" s="11"/>
      <c r="CL46" s="221">
        <f t="shared" si="5"/>
        <v>0</v>
      </c>
      <c r="CM46" s="11"/>
      <c r="CO46" s="7" cm="1">
        <f t="array" ref="CO46">SUMPRODUCT(--NOT(ISNUMBER(V46:W46)),--NOT(ISBLANK(V46:W46)))</f>
        <v>0</v>
      </c>
      <c r="CP46" s="11"/>
      <c r="EY46" s="10" t="str">
        <f>IF($C46="","",$D46)</f>
        <v>Other Payments on Account</v>
      </c>
    </row>
    <row r="47" spans="1:155" x14ac:dyDescent="0.35">
      <c r="B47" s="5"/>
      <c r="C47" s="211" t="s">
        <v>684</v>
      </c>
      <c r="D47" s="4" t="s">
        <v>685</v>
      </c>
      <c r="G47" s="8"/>
      <c r="H47" s="9" t="s">
        <v>665</v>
      </c>
      <c r="V47" s="109"/>
      <c r="W47" s="114"/>
      <c r="CK47" s="11"/>
      <c r="CL47" s="221">
        <f t="shared" si="5"/>
        <v>0</v>
      </c>
      <c r="CM47" s="11"/>
      <c r="CO47" s="7" cm="1">
        <f t="array" ref="CO47">SUMPRODUCT(--NOT(ISNUMBER(V47:W47)),--NOT(ISBLANK(V47:W47)))</f>
        <v>0</v>
      </c>
      <c r="CP47" s="11"/>
      <c r="EY47" s="12" t="str">
        <f>IF($C47="","",CONCATENATE(D$36, " ",$D47))</f>
        <v>Creditors: amounts falling due within one year Other Liabilities</v>
      </c>
    </row>
    <row r="48" spans="1:155" x14ac:dyDescent="0.35">
      <c r="B48" s="5"/>
      <c r="C48" s="213" t="s">
        <v>686</v>
      </c>
      <c r="D48" s="4" t="s">
        <v>687</v>
      </c>
      <c r="G48" s="8"/>
      <c r="H48" s="9" t="s">
        <v>665</v>
      </c>
      <c r="V48" s="109"/>
      <c r="W48" s="114"/>
      <c r="CK48" s="11"/>
      <c r="CL48" s="221">
        <f t="shared" si="5"/>
        <v>0</v>
      </c>
      <c r="CM48" s="11"/>
      <c r="CO48" s="7" cm="1">
        <f t="array" ref="CO48">SUMPRODUCT(--NOT(ISNUMBER(V48:W48)),--NOT(ISBLANK(V48:W48)))</f>
        <v>0</v>
      </c>
      <c r="CP48" s="11"/>
      <c r="EY48" s="10" t="str">
        <f t="shared" ref="EY48:EY59" si="7">IF($C48="","",$D48)</f>
        <v>Fixed Asset Retentions</v>
      </c>
    </row>
    <row r="49" spans="2:155" x14ac:dyDescent="0.35">
      <c r="B49" s="5"/>
      <c r="C49" s="211" t="s">
        <v>688</v>
      </c>
      <c r="D49" s="4" t="s">
        <v>689</v>
      </c>
      <c r="G49" s="8"/>
      <c r="H49" s="9" t="s">
        <v>665</v>
      </c>
      <c r="V49" s="109"/>
      <c r="W49" s="114"/>
      <c r="CK49" s="11"/>
      <c r="CL49" s="221">
        <f t="shared" si="5"/>
        <v>0</v>
      </c>
      <c r="CM49" s="11"/>
      <c r="CO49" s="7" cm="1">
        <f t="array" ref="CO49">SUMPRODUCT(--NOT(ISNUMBER(V49:W49)),--NOT(ISBLANK(V49:W49)))</f>
        <v>0</v>
      </c>
      <c r="CP49" s="11"/>
      <c r="EY49" s="10" t="str">
        <f t="shared" si="7"/>
        <v>Recovery of DfE/ESFA/DA Funding</v>
      </c>
    </row>
    <row r="50" spans="2:155" x14ac:dyDescent="0.35">
      <c r="B50" s="5"/>
      <c r="C50" s="211" t="s">
        <v>690</v>
      </c>
      <c r="D50" s="4" t="s">
        <v>691</v>
      </c>
      <c r="G50" s="8"/>
      <c r="H50" s="9"/>
      <c r="V50" s="109"/>
      <c r="W50" s="114"/>
      <c r="CK50" s="11"/>
      <c r="CL50" s="221">
        <f t="shared" si="5"/>
        <v>0</v>
      </c>
      <c r="CM50" s="11"/>
      <c r="CO50" s="7" cm="1">
        <f t="array" ref="CO50">SUMPRODUCT(--NOT(ISNUMBER(V50:W50)),--NOT(ISBLANK(V50:W50)))</f>
        <v>0</v>
      </c>
      <c r="CP50" s="11"/>
      <c r="EY50" s="10" t="str">
        <f t="shared" si="7"/>
        <v>AEB Clawback</v>
      </c>
    </row>
    <row r="51" spans="2:155" x14ac:dyDescent="0.35">
      <c r="B51" s="5"/>
      <c r="C51" s="213" t="s">
        <v>692</v>
      </c>
      <c r="D51" s="4" t="s">
        <v>693</v>
      </c>
      <c r="G51" s="8"/>
      <c r="H51" s="9" t="s">
        <v>665</v>
      </c>
      <c r="V51" s="109"/>
      <c r="W51" s="114"/>
      <c r="CK51" s="11"/>
      <c r="CL51" s="221">
        <f t="shared" si="5"/>
        <v>0</v>
      </c>
      <c r="CM51" s="11"/>
      <c r="CO51" s="7" cm="1">
        <f t="array" ref="CO51">SUMPRODUCT(--NOT(ISNUMBER(V51:W51)),--NOT(ISBLANK(V51:W51)))</f>
        <v>0</v>
      </c>
      <c r="CP51" s="11"/>
      <c r="EY51" s="10" t="str">
        <f t="shared" si="7"/>
        <v>Deferred Income - Revenue</v>
      </c>
    </row>
    <row r="52" spans="2:155" x14ac:dyDescent="0.35">
      <c r="B52" s="5"/>
      <c r="C52" s="211" t="s">
        <v>694</v>
      </c>
      <c r="D52" s="4" t="s">
        <v>695</v>
      </c>
      <c r="G52" s="8"/>
      <c r="H52" s="9" t="s">
        <v>665</v>
      </c>
      <c r="V52" s="109"/>
      <c r="W52" s="114"/>
      <c r="CK52" s="11"/>
      <c r="CL52" s="221">
        <f t="shared" si="5"/>
        <v>0</v>
      </c>
      <c r="CM52" s="11"/>
      <c r="CO52" s="7" cm="1">
        <f t="array" ref="CO52">SUMPRODUCT(--NOT(ISNUMBER(V52:W52)),--NOT(ISBLANK(V52:W52)))</f>
        <v>0</v>
      </c>
      <c r="CP52" s="11"/>
      <c r="EY52" s="10" t="str">
        <f t="shared" si="7"/>
        <v>Accruals</v>
      </c>
    </row>
    <row r="53" spans="2:155" x14ac:dyDescent="0.35">
      <c r="B53" s="5"/>
      <c r="C53" s="211" t="s">
        <v>696</v>
      </c>
      <c r="D53" s="4" t="s">
        <v>697</v>
      </c>
      <c r="G53" s="8"/>
      <c r="H53" s="9" t="s">
        <v>665</v>
      </c>
      <c r="V53" s="109"/>
      <c r="W53" s="114"/>
      <c r="CK53" s="11"/>
      <c r="CL53" s="221">
        <f t="shared" si="5"/>
        <v>0</v>
      </c>
      <c r="CM53" s="11"/>
      <c r="CO53" s="7" cm="1">
        <f t="array" ref="CO53">SUMPRODUCT(--NOT(ISNUMBER(V53:W53)),--NOT(ISBLANK(V53:W53)))</f>
        <v>0</v>
      </c>
      <c r="CP53" s="11"/>
      <c r="EY53" s="10" t="str">
        <f t="shared" si="7"/>
        <v>Holiday and Sabbatical Pay Accrual</v>
      </c>
    </row>
    <row r="54" spans="2:155" x14ac:dyDescent="0.35">
      <c r="B54" s="5"/>
      <c r="C54" s="213" t="s">
        <v>698</v>
      </c>
      <c r="D54" s="4" t="s">
        <v>699</v>
      </c>
      <c r="G54" s="8"/>
      <c r="H54" s="9" t="s">
        <v>665</v>
      </c>
      <c r="V54" s="109"/>
      <c r="W54" s="114"/>
      <c r="CK54" s="11"/>
      <c r="CL54" s="221">
        <f t="shared" si="5"/>
        <v>0</v>
      </c>
      <c r="CM54" s="11"/>
      <c r="CO54" s="7" cm="1">
        <f t="array" ref="CO54">SUMPRODUCT(--NOT(ISNUMBER(V54:W54)),--NOT(ISBLANK(V54:W54)))</f>
        <v>0</v>
      </c>
      <c r="CP54" s="11"/>
      <c r="EY54" s="10" t="str">
        <f t="shared" si="7"/>
        <v>Bursary Deferred Income Account</v>
      </c>
    </row>
    <row r="55" spans="2:155" x14ac:dyDescent="0.35">
      <c r="B55" s="5"/>
      <c r="C55" s="211" t="s">
        <v>700</v>
      </c>
      <c r="D55" s="4" t="s">
        <v>701</v>
      </c>
      <c r="G55" s="8"/>
      <c r="H55" s="9" t="s">
        <v>317</v>
      </c>
      <c r="V55" s="109"/>
      <c r="W55" s="114"/>
      <c r="CK55" s="11"/>
      <c r="CL55" s="221">
        <f t="shared" si="5"/>
        <v>0</v>
      </c>
      <c r="CM55" s="11"/>
      <c r="CO55" s="7" cm="1">
        <f t="array" ref="CO55">SUMPRODUCT(--NOT(ISNUMBER(V55:W55)),--NOT(ISBLANK(V55:W55)))</f>
        <v>0</v>
      </c>
      <c r="CP55" s="11"/>
      <c r="EY55" s="10" t="str">
        <f t="shared" si="7"/>
        <v>Corporation Tax</v>
      </c>
    </row>
    <row r="56" spans="2:155" x14ac:dyDescent="0.35">
      <c r="B56" s="5"/>
      <c r="C56" s="211" t="s">
        <v>702</v>
      </c>
      <c r="D56" s="4" t="s">
        <v>703</v>
      </c>
      <c r="G56" s="8"/>
      <c r="H56" s="9" t="s">
        <v>665</v>
      </c>
      <c r="V56" s="109"/>
      <c r="W56" s="114"/>
      <c r="CK56" s="11"/>
      <c r="CL56" s="221">
        <f>IF(MIN(V56:W56)&lt;0, 1, 0)</f>
        <v>0</v>
      </c>
      <c r="CM56" s="11"/>
      <c r="CO56" s="7" cm="1">
        <f t="array" ref="CO56">SUMPRODUCT(--NOT(ISNUMBER(V56:W56)),--NOT(ISBLANK(V56:W56)))</f>
        <v>0</v>
      </c>
      <c r="CP56" s="11"/>
      <c r="EY56" s="10" t="str">
        <f t="shared" si="7"/>
        <v>Other Taxation and Social Security</v>
      </c>
    </row>
    <row r="57" spans="2:155" x14ac:dyDescent="0.35">
      <c r="B57" s="5"/>
      <c r="C57" s="211" t="s">
        <v>704</v>
      </c>
      <c r="D57" s="72" t="s">
        <v>705</v>
      </c>
      <c r="G57" s="71"/>
      <c r="V57" s="135">
        <f>SUM(V37:V56)</f>
        <v>0</v>
      </c>
      <c r="W57" s="135">
        <f>SUM(W37:W56)</f>
        <v>0</v>
      </c>
      <c r="CK57" s="11"/>
      <c r="CL57" s="221">
        <f>IF(MIN(V57:W57)&lt;0, 1, 0)</f>
        <v>0</v>
      </c>
      <c r="CM57" s="11"/>
      <c r="CO57" s="7" cm="1">
        <f t="array" ref="CO57">SUMPRODUCT(--NOT(ISNUMBER(V57:W57)),--NOT(ISBLANK(V57:W57)))</f>
        <v>0</v>
      </c>
      <c r="CP57" s="11"/>
      <c r="EY57" s="10" t="str">
        <f t="shared" si="7"/>
        <v>Total Creditors: amounts falling due within one year</v>
      </c>
    </row>
    <row r="58" spans="2:155" ht="8.25" customHeight="1" x14ac:dyDescent="0.35">
      <c r="B58" s="5"/>
      <c r="C58" s="211"/>
      <c r="CK58" s="11"/>
      <c r="CM58" s="11"/>
      <c r="CP58" s="11"/>
      <c r="EY58" s="10" t="str">
        <f t="shared" si="7"/>
        <v/>
      </c>
    </row>
    <row r="59" spans="2:155" x14ac:dyDescent="0.35">
      <c r="B59" s="5"/>
      <c r="C59" s="211"/>
      <c r="D59" s="24" t="s">
        <v>706</v>
      </c>
      <c r="CK59" s="11"/>
      <c r="CM59" s="11"/>
      <c r="CP59" s="11"/>
      <c r="EY59" s="10" t="str">
        <f t="shared" si="7"/>
        <v/>
      </c>
    </row>
    <row r="60" spans="2:155" x14ac:dyDescent="0.35">
      <c r="B60" s="5"/>
      <c r="C60" s="213" t="s">
        <v>707</v>
      </c>
      <c r="D60" s="4" t="s">
        <v>667</v>
      </c>
      <c r="G60" s="8"/>
      <c r="H60" s="9" t="s">
        <v>665</v>
      </c>
      <c r="V60" s="109"/>
      <c r="W60" s="114"/>
      <c r="CK60" s="11"/>
      <c r="CL60" s="221">
        <f t="shared" ref="CL60:CL68" si="8">IF(MIN(V60:W60)&lt;0, 1, 0)</f>
        <v>0</v>
      </c>
      <c r="CM60" s="11"/>
      <c r="CO60" s="7" cm="1">
        <f t="array" ref="CO60">SUMPRODUCT(--NOT(ISNUMBER(V60:W60)),--NOT(ISBLANK(V60:W60)))</f>
        <v>0</v>
      </c>
      <c r="CP60" s="11"/>
      <c r="EY60" s="12" t="str">
        <f t="shared" ref="EY60:EY67" si="9">IF($C60="","",CONCATENATE(D$59, " ",$D60))</f>
        <v>Creditors: amounts falling due after one year Loans (DfE/ESFA)</v>
      </c>
    </row>
    <row r="61" spans="2:155" x14ac:dyDescent="0.35">
      <c r="B61" s="5"/>
      <c r="C61" s="213" t="s">
        <v>708</v>
      </c>
      <c r="D61" s="4" t="s">
        <v>669</v>
      </c>
      <c r="G61" s="8"/>
      <c r="H61" s="9" t="s">
        <v>665</v>
      </c>
      <c r="V61" s="109"/>
      <c r="W61" s="114"/>
      <c r="CK61" s="11"/>
      <c r="CL61" s="221">
        <f t="shared" si="8"/>
        <v>0</v>
      </c>
      <c r="CM61" s="11"/>
      <c r="CO61" s="7" cm="1">
        <f t="array" ref="CO61">SUMPRODUCT(--NOT(ISNUMBER(V61:W61)),--NOT(ISBLANK(V61:W61)))</f>
        <v>0</v>
      </c>
      <c r="CP61" s="11"/>
      <c r="EY61" s="12" t="str">
        <f t="shared" si="9"/>
        <v>Creditors: amounts falling due after one year Commercial Loans</v>
      </c>
    </row>
    <row r="62" spans="2:155" x14ac:dyDescent="0.35">
      <c r="B62" s="5"/>
      <c r="C62" s="213" t="s">
        <v>709</v>
      </c>
      <c r="D62" t="s">
        <v>671</v>
      </c>
      <c r="G62" s="8"/>
      <c r="H62" s="9" t="s">
        <v>665</v>
      </c>
      <c r="V62" s="109"/>
      <c r="W62" s="114"/>
      <c r="CK62" s="11"/>
      <c r="CL62" s="221">
        <f t="shared" si="8"/>
        <v>0</v>
      </c>
      <c r="CM62" s="11"/>
      <c r="CO62" s="7" cm="1">
        <f t="array" ref="CO62">SUMPRODUCT(--NOT(ISNUMBER(V62:W62)),--NOT(ISBLANK(V62:W62)))</f>
        <v>0</v>
      </c>
      <c r="CP62" s="11"/>
      <c r="EY62" s="12" t="str">
        <f t="shared" si="9"/>
        <v>Creditors: amounts falling due after one year Finance Lease Obligations</v>
      </c>
    </row>
    <row r="63" spans="2:155" x14ac:dyDescent="0.35">
      <c r="B63" s="85" t="s">
        <v>122</v>
      </c>
      <c r="C63" s="235" t="s">
        <v>710</v>
      </c>
      <c r="D63" s="4" t="s">
        <v>673</v>
      </c>
      <c r="G63" s="8"/>
      <c r="H63" s="9" t="s">
        <v>665</v>
      </c>
      <c r="V63" s="648"/>
      <c r="W63" s="649"/>
      <c r="CK63" s="11"/>
      <c r="CL63" s="221">
        <f t="shared" si="8"/>
        <v>0</v>
      </c>
      <c r="CM63" s="11"/>
      <c r="CO63" s="7" cm="1">
        <f t="array" ref="CO63">SUMPRODUCT(--NOT(ISNUMBER(V63:W63)),--NOT(ISBLANK(V63:W63)))</f>
        <v>0</v>
      </c>
      <c r="CP63" s="11"/>
      <c r="EY63" s="12"/>
    </row>
    <row r="64" spans="2:155" x14ac:dyDescent="0.35">
      <c r="B64" s="5"/>
      <c r="C64" s="213" t="s">
        <v>711</v>
      </c>
      <c r="D64" s="4" t="s">
        <v>675</v>
      </c>
      <c r="G64" s="8"/>
      <c r="H64" s="9"/>
      <c r="V64" s="109"/>
      <c r="W64" s="111"/>
      <c r="CK64" s="11"/>
      <c r="CL64" s="221">
        <f t="shared" si="8"/>
        <v>0</v>
      </c>
      <c r="CM64" s="11"/>
      <c r="CO64" s="7" cm="1">
        <f t="array" ref="CO64">SUMPRODUCT(--NOT(ISNUMBER(V64:W64)),--NOT(ISBLANK(V64:W64)))</f>
        <v>0</v>
      </c>
      <c r="CP64" s="11"/>
      <c r="EY64" s="12" t="str">
        <f t="shared" si="9"/>
        <v xml:space="preserve">Creditors: amounts falling due after one year Interest Payable </v>
      </c>
    </row>
    <row r="65" spans="2:155" x14ac:dyDescent="0.35">
      <c r="B65" s="5"/>
      <c r="C65" s="211" t="s">
        <v>712</v>
      </c>
      <c r="D65" s="4" t="s">
        <v>677</v>
      </c>
      <c r="G65" s="8"/>
      <c r="H65" s="9" t="s">
        <v>665</v>
      </c>
      <c r="V65" s="109"/>
      <c r="W65" s="114"/>
      <c r="CK65" s="11"/>
      <c r="CL65" s="221">
        <f t="shared" si="8"/>
        <v>0</v>
      </c>
      <c r="CM65" s="11"/>
      <c r="CO65" s="7" cm="1">
        <f t="array" ref="CO65">SUMPRODUCT(--NOT(ISNUMBER(V65:W65)),--NOT(ISBLANK(V65:W65)))</f>
        <v>0</v>
      </c>
      <c r="CP65" s="11"/>
      <c r="EY65" s="12" t="str">
        <f t="shared" si="9"/>
        <v>Creditors: amounts falling due after one year Deferred Income - Capital Grant Liability</v>
      </c>
    </row>
    <row r="66" spans="2:155" x14ac:dyDescent="0.35">
      <c r="B66" s="5"/>
      <c r="C66" s="234" t="s">
        <v>713</v>
      </c>
      <c r="D66" s="4" t="s">
        <v>679</v>
      </c>
      <c r="G66" s="8"/>
      <c r="H66" s="9" t="s">
        <v>665</v>
      </c>
      <c r="V66" s="109"/>
      <c r="W66" s="114"/>
      <c r="CK66" s="11"/>
      <c r="CL66" s="221">
        <f t="shared" ref="CL66" si="10">IF(MIN(V66:W66)&lt;0, 1, 0)</f>
        <v>0</v>
      </c>
      <c r="CM66" s="11"/>
      <c r="CO66" s="7" cm="1">
        <f t="array" ref="CO66">SUMPRODUCT(--NOT(ISNUMBER(V66:W66)),--NOT(ISBLANK(V66:W66)))</f>
        <v>0</v>
      </c>
      <c r="CP66" s="11"/>
      <c r="EY66" s="12" t="str">
        <f t="shared" si="9"/>
        <v>Creditors: amounts falling due after one year Capital Grants in Advance - Value Unspent</v>
      </c>
    </row>
    <row r="67" spans="2:155" x14ac:dyDescent="0.35">
      <c r="B67" s="5"/>
      <c r="C67" s="213" t="s">
        <v>714</v>
      </c>
      <c r="D67" s="4" t="s">
        <v>685</v>
      </c>
      <c r="G67" s="8"/>
      <c r="H67" s="9" t="s">
        <v>665</v>
      </c>
      <c r="V67" s="109"/>
      <c r="W67" s="114"/>
      <c r="CK67" s="11"/>
      <c r="CL67" s="221">
        <f t="shared" si="8"/>
        <v>0</v>
      </c>
      <c r="CM67" s="11"/>
      <c r="CO67" s="7" cm="1">
        <f t="array" ref="CO67">SUMPRODUCT(--NOT(ISNUMBER(V67:W67)),--NOT(ISBLANK(V67:W67)))</f>
        <v>0</v>
      </c>
      <c r="CP67" s="11"/>
      <c r="EY67" s="12" t="str">
        <f t="shared" si="9"/>
        <v>Creditors: amounts falling due after one year Other Liabilities</v>
      </c>
    </row>
    <row r="68" spans="2:155" x14ac:dyDescent="0.35">
      <c r="B68" s="5"/>
      <c r="C68" s="211" t="s">
        <v>715</v>
      </c>
      <c r="D68" s="72" t="s">
        <v>716</v>
      </c>
      <c r="G68" s="71"/>
      <c r="V68" s="135">
        <f>SUM(V60:V67)</f>
        <v>0</v>
      </c>
      <c r="W68" s="135">
        <f>SUM(W60:W67)</f>
        <v>0</v>
      </c>
      <c r="CK68" s="11"/>
      <c r="CL68" s="221">
        <f t="shared" si="8"/>
        <v>0</v>
      </c>
      <c r="CM68" s="11"/>
      <c r="CO68" s="7" cm="1">
        <f t="array" ref="CO68">SUMPRODUCT(--NOT(ISNUMBER(V68:W68)),--NOT(ISBLANK(V68:W68)))</f>
        <v>0</v>
      </c>
      <c r="CP68" s="11"/>
      <c r="EY68" s="10" t="str">
        <f t="shared" ref="EY68:EY88" si="11">IF($C68="","",$D68)</f>
        <v>Total Creditors: amounts falling due after one year</v>
      </c>
    </row>
    <row r="69" spans="2:155" ht="8.25" customHeight="1" x14ac:dyDescent="0.35">
      <c r="C69" s="211"/>
      <c r="D69" s="73"/>
      <c r="CK69" s="11"/>
      <c r="CM69" s="11"/>
      <c r="CP69" s="11"/>
      <c r="EY69" s="10" t="str">
        <f t="shared" si="11"/>
        <v/>
      </c>
    </row>
    <row r="70" spans="2:155" x14ac:dyDescent="0.35">
      <c r="B70" s="5"/>
      <c r="C70" s="211"/>
      <c r="D70" s="24" t="s">
        <v>717</v>
      </c>
      <c r="CK70" s="11"/>
      <c r="CM70" s="11"/>
      <c r="CP70" s="11"/>
      <c r="EY70" s="10" t="str">
        <f t="shared" si="11"/>
        <v/>
      </c>
    </row>
    <row r="71" spans="2:155" x14ac:dyDescent="0.35">
      <c r="C71" s="211" t="s">
        <v>718</v>
      </c>
      <c r="D71" s="1" t="s">
        <v>719</v>
      </c>
      <c r="G71" s="8"/>
      <c r="H71" s="9" t="s">
        <v>665</v>
      </c>
      <c r="V71" s="109"/>
      <c r="W71" s="114"/>
      <c r="CK71" s="11"/>
      <c r="CL71" s="221">
        <f>IF(MIN(V71:W71)&lt;0, 1, 0)</f>
        <v>0</v>
      </c>
      <c r="CM71" s="11"/>
      <c r="CO71" s="7" cm="1">
        <f t="array" ref="CO71">SUMPRODUCT(--NOT(ISNUMBER(V71:W71)),--NOT(ISBLANK(V71:W71)))</f>
        <v>0</v>
      </c>
      <c r="CP71" s="11"/>
      <c r="EY71" s="10" t="str">
        <f t="shared" si="11"/>
        <v>Local Government Pension Scheme Provision</v>
      </c>
    </row>
    <row r="72" spans="2:155" x14ac:dyDescent="0.35">
      <c r="C72" s="211" t="s">
        <v>720</v>
      </c>
      <c r="D72" t="s">
        <v>721</v>
      </c>
      <c r="G72" s="8"/>
      <c r="H72" s="9" t="s">
        <v>665</v>
      </c>
      <c r="V72" s="109"/>
      <c r="W72" s="114"/>
      <c r="CK72" s="11"/>
      <c r="CL72" s="221">
        <f>IF(MIN(V72:W72)&lt;0, 1, 0)</f>
        <v>0</v>
      </c>
      <c r="CM72" s="11"/>
      <c r="CO72" s="7" cm="1">
        <f t="array" ref="CO72">SUMPRODUCT(--NOT(ISNUMBER(V72:W72)),--NOT(ISBLANK(V72:W72)))</f>
        <v>0</v>
      </c>
      <c r="CP72" s="11"/>
      <c r="EY72" s="10" t="str">
        <f t="shared" si="11"/>
        <v>Enhanced Pension Provision</v>
      </c>
    </row>
    <row r="73" spans="2:155" x14ac:dyDescent="0.35">
      <c r="C73" s="211" t="s">
        <v>722</v>
      </c>
      <c r="D73" t="s">
        <v>723</v>
      </c>
      <c r="G73" s="8"/>
      <c r="H73" s="9" t="s">
        <v>665</v>
      </c>
      <c r="V73" s="109"/>
      <c r="W73" s="114"/>
      <c r="CK73" s="11"/>
      <c r="CL73" s="221">
        <f>IF(MIN(V73:W73)&lt;0, 1, 0)</f>
        <v>0</v>
      </c>
      <c r="CM73" s="11"/>
      <c r="CO73" s="7" cm="1">
        <f t="array" ref="CO73">SUMPRODUCT(--NOT(ISNUMBER(V73:W73)),--NOT(ISBLANK(V73:W73)))</f>
        <v>0</v>
      </c>
      <c r="CP73" s="11"/>
      <c r="EY73" s="10" t="str">
        <f t="shared" si="11"/>
        <v>Other Pension Provisions</v>
      </c>
    </row>
    <row r="74" spans="2:155" x14ac:dyDescent="0.35">
      <c r="C74" s="211" t="s">
        <v>724</v>
      </c>
      <c r="D74" t="s">
        <v>725</v>
      </c>
      <c r="G74" s="8"/>
      <c r="H74" s="9" t="s">
        <v>665</v>
      </c>
      <c r="V74" s="109"/>
      <c r="W74" s="114"/>
      <c r="CK74" s="11"/>
      <c r="CL74" s="221">
        <f>IF(MIN(V74:W74)&lt;0, 1, 0)</f>
        <v>0</v>
      </c>
      <c r="CM74" s="11"/>
      <c r="CO74" s="7" cm="1">
        <f t="array" ref="CO74">SUMPRODUCT(--NOT(ISNUMBER(V74:W74)),--NOT(ISBLANK(V74:W74)))</f>
        <v>0</v>
      </c>
      <c r="CP74" s="11"/>
      <c r="EY74" s="10" t="str">
        <f t="shared" si="11"/>
        <v>Other Provisions</v>
      </c>
    </row>
    <row r="75" spans="2:155" x14ac:dyDescent="0.35">
      <c r="C75" s="211" t="s">
        <v>726</v>
      </c>
      <c r="D75" s="24" t="s">
        <v>727</v>
      </c>
      <c r="G75" s="71"/>
      <c r="V75" s="135">
        <f>SUM(V71:V74)</f>
        <v>0</v>
      </c>
      <c r="W75" s="135">
        <f>SUM(W71:W74)</f>
        <v>0</v>
      </c>
      <c r="CK75" s="11"/>
      <c r="CL75" s="221">
        <f>IF(MIN(V75:W75)&lt;0, 1, 0)</f>
        <v>0</v>
      </c>
      <c r="CM75" s="11"/>
      <c r="CO75" s="7" cm="1">
        <f t="array" ref="CO75">SUMPRODUCT(--NOT(ISNUMBER(V75:W75)),--NOT(ISBLANK(V75:W75)))</f>
        <v>0</v>
      </c>
      <c r="CP75" s="11"/>
      <c r="EY75" s="10" t="str">
        <f t="shared" si="11"/>
        <v>Total Provisions</v>
      </c>
    </row>
    <row r="76" spans="2:155" ht="8.25" customHeight="1" x14ac:dyDescent="0.35">
      <c r="C76" s="211"/>
      <c r="CK76" s="11"/>
      <c r="CM76" s="11"/>
      <c r="CP76" s="11"/>
      <c r="EY76" s="10" t="str">
        <f t="shared" si="11"/>
        <v/>
      </c>
    </row>
    <row r="77" spans="2:155" x14ac:dyDescent="0.35">
      <c r="B77" s="5"/>
      <c r="C77" s="211"/>
      <c r="D77" s="24" t="s">
        <v>728</v>
      </c>
      <c r="CK77" s="11"/>
      <c r="CM77" s="11"/>
      <c r="CP77" s="11"/>
      <c r="EY77" s="10" t="str">
        <f t="shared" si="11"/>
        <v/>
      </c>
    </row>
    <row r="78" spans="2:155" x14ac:dyDescent="0.35">
      <c r="C78" s="211" t="s">
        <v>729</v>
      </c>
      <c r="D78" t="s">
        <v>730</v>
      </c>
      <c r="G78" s="8"/>
      <c r="H78" s="9" t="s">
        <v>665</v>
      </c>
      <c r="V78" s="109"/>
      <c r="W78" s="114"/>
      <c r="CK78" s="11"/>
      <c r="CL78" s="221">
        <f>IF(MIN(V78:W78)&lt;0, 1, 0)</f>
        <v>0</v>
      </c>
      <c r="CM78" s="11"/>
      <c r="CO78" s="7" cm="1">
        <f t="array" ref="CO78">SUMPRODUCT(--NOT(ISNUMBER(V78:W78)),--NOT(ISBLANK(V78:W78)))</f>
        <v>0</v>
      </c>
      <c r="CP78" s="11"/>
      <c r="EY78" s="10" t="str">
        <f t="shared" si="11"/>
        <v>Revaluation Reserve</v>
      </c>
    </row>
    <row r="79" spans="2:155" x14ac:dyDescent="0.35">
      <c r="C79" s="211" t="s">
        <v>731</v>
      </c>
      <c r="D79" s="1" t="s">
        <v>732</v>
      </c>
      <c r="G79" s="8"/>
      <c r="H79" s="9" t="s">
        <v>665</v>
      </c>
      <c r="V79" s="109"/>
      <c r="W79" s="114"/>
      <c r="CK79" s="11"/>
      <c r="CL79" s="221">
        <f>IF(MIN(V79:W79)&lt;0, 1, 0)</f>
        <v>0</v>
      </c>
      <c r="CM79" s="11"/>
      <c r="CO79" s="7" cm="1">
        <f t="array" ref="CO79">SUMPRODUCT(--NOT(ISNUMBER(V79:W79)),--NOT(ISBLANK(V79:W79)))</f>
        <v>0</v>
      </c>
      <c r="CP79" s="11"/>
      <c r="EY79" s="10" t="str">
        <f t="shared" si="11"/>
        <v>Restricted Reserve</v>
      </c>
    </row>
    <row r="80" spans="2:155" x14ac:dyDescent="0.35">
      <c r="C80" s="211" t="s">
        <v>733</v>
      </c>
      <c r="D80" s="1" t="s">
        <v>734</v>
      </c>
      <c r="G80" s="8"/>
      <c r="H80" s="9" t="s">
        <v>665</v>
      </c>
      <c r="V80" s="109"/>
      <c r="W80" s="114"/>
      <c r="CK80" s="11"/>
      <c r="CL80" s="221">
        <f>IF(MIN(V80:W80)&lt;0, 1, 0)</f>
        <v>0</v>
      </c>
      <c r="CM80" s="11"/>
      <c r="CO80" s="7" cm="1">
        <f t="array" ref="CO80">SUMPRODUCT(--NOT(ISNUMBER(V80:W80)),--NOT(ISBLANK(V80:W80)))</f>
        <v>0</v>
      </c>
      <c r="CP80" s="11"/>
      <c r="EY80" s="10" t="str">
        <f t="shared" si="11"/>
        <v>I&amp;E Reserve</v>
      </c>
    </row>
    <row r="81" spans="1:155" x14ac:dyDescent="0.35">
      <c r="C81" s="211" t="s">
        <v>735</v>
      </c>
      <c r="D81" s="5" t="s">
        <v>736</v>
      </c>
      <c r="G81" s="71"/>
      <c r="H81" s="9"/>
      <c r="V81" s="135">
        <f>SUM(V78:V80)</f>
        <v>0</v>
      </c>
      <c r="W81" s="135">
        <f>SUM(W78:W80)</f>
        <v>0</v>
      </c>
      <c r="CK81" s="11"/>
      <c r="CM81" s="11"/>
      <c r="CP81" s="11"/>
      <c r="EY81" s="10" t="str">
        <f t="shared" si="11"/>
        <v>Total Reserves</v>
      </c>
    </row>
    <row r="82" spans="1:155" ht="8.25" customHeight="1" x14ac:dyDescent="0.35">
      <c r="C82" s="211"/>
      <c r="CK82" s="11"/>
      <c r="CM82" s="11"/>
      <c r="CP82" s="11"/>
      <c r="EY82" s="10" t="str">
        <f t="shared" si="11"/>
        <v/>
      </c>
    </row>
    <row r="83" spans="1:155" x14ac:dyDescent="0.35">
      <c r="C83" s="211"/>
      <c r="D83" s="5" t="s">
        <v>737</v>
      </c>
      <c r="H83" s="9"/>
      <c r="V83" s="125">
        <f>SUM(V17,V32)-SUM(V57,V68,V75,V81)</f>
        <v>0</v>
      </c>
      <c r="W83" s="125">
        <f>SUM(W17,W32)-SUM(W57,W68,W75,W81)</f>
        <v>0</v>
      </c>
      <c r="CJ83" s="49"/>
      <c r="CK83" s="11"/>
      <c r="CM83" s="11"/>
      <c r="CP83" s="11"/>
      <c r="EY83" s="10" t="str">
        <f t="shared" si="11"/>
        <v/>
      </c>
    </row>
    <row r="84" spans="1:155" x14ac:dyDescent="0.35">
      <c r="A84" s="220" cm="1">
        <f t="array" aca="1" ref="A84" ca="1">HYPERLINK(CONCATENATE("#",CELL("address",IF(MAX($CM84:$CP84)=0,A84,INDEX($CM84:$CP84,MATCH(1,$CM84:$CP84,0))))),MAX($CM84:$CP84))</f>
        <v>0</v>
      </c>
      <c r="C84" s="211"/>
      <c r="D84" s="5" t="s">
        <v>738</v>
      </c>
      <c r="H84" s="9"/>
      <c r="V84" s="125">
        <f>IF(ABS(V83)&lt;Parameters!$D$33,0,1)</f>
        <v>0</v>
      </c>
      <c r="W84" s="125">
        <f>IF(ABS(W83)&lt;Parameters!$D$33,0,1)</f>
        <v>0</v>
      </c>
      <c r="CK84" s="11"/>
      <c r="CM84" s="11"/>
      <c r="CN84" s="7">
        <f>IF(SUM(V84:W84)=0, 0, 1)</f>
        <v>0</v>
      </c>
      <c r="CP84" s="11"/>
      <c r="EY84" s="10" t="str">
        <f t="shared" si="11"/>
        <v/>
      </c>
    </row>
    <row r="85" spans="1:155" ht="8.25" customHeight="1" x14ac:dyDescent="0.35">
      <c r="C85" s="211"/>
      <c r="CK85" s="11"/>
      <c r="CM85" s="11"/>
      <c r="CP85" s="11"/>
      <c r="EY85" s="10" t="str">
        <f t="shared" si="11"/>
        <v/>
      </c>
    </row>
    <row r="86" spans="1:155" x14ac:dyDescent="0.35">
      <c r="B86" s="85" t="s">
        <v>122</v>
      </c>
      <c r="C86" s="211"/>
      <c r="D86" s="5" t="s">
        <v>739</v>
      </c>
      <c r="H86" s="9"/>
      <c r="V86" s="38">
        <f>IF(COUNTA(V78:V80,V71:V74,V60:V67,V37:V56,V21:V31,V10:V16)=0, 0, 1)</f>
        <v>0</v>
      </c>
      <c r="W86" s="38">
        <f>IF(COUNTA(W78:W80,W71:W74,W60:W67,W37:CI56,W21:CI31,W10:W16)=0, 0, 1)</f>
        <v>0</v>
      </c>
      <c r="CK86" s="11"/>
      <c r="CM86" s="11"/>
      <c r="CP86" s="11"/>
      <c r="EY86" s="10" t="str">
        <f t="shared" si="11"/>
        <v/>
      </c>
    </row>
    <row r="87" spans="1:155" ht="8.25" customHeight="1" x14ac:dyDescent="0.35">
      <c r="C87" s="211"/>
      <c r="CK87" s="11"/>
      <c r="CM87" s="11"/>
      <c r="CP87" s="11"/>
      <c r="EY87" s="10" t="str">
        <f t="shared" si="11"/>
        <v/>
      </c>
    </row>
    <row r="88" spans="1:155" x14ac:dyDescent="0.35">
      <c r="A88" s="11" t="s">
        <v>16</v>
      </c>
      <c r="B88" s="11" t="s">
        <v>16</v>
      </c>
      <c r="C88" s="233" t="s">
        <v>16</v>
      </c>
      <c r="D88" s="25" t="s">
        <v>16</v>
      </c>
      <c r="E88" s="11" t="s">
        <v>16</v>
      </c>
      <c r="F88" s="11" t="s">
        <v>16</v>
      </c>
      <c r="G88" s="11" t="s">
        <v>16</v>
      </c>
      <c r="H88" s="11" t="s">
        <v>16</v>
      </c>
      <c r="I88" s="11" t="s">
        <v>16</v>
      </c>
      <c r="J88" s="11" t="s">
        <v>16</v>
      </c>
      <c r="K88" s="11" t="s">
        <v>16</v>
      </c>
      <c r="L88" s="11" t="s">
        <v>16</v>
      </c>
      <c r="M88" s="11" t="s">
        <v>16</v>
      </c>
      <c r="N88" s="11" t="s">
        <v>16</v>
      </c>
      <c r="O88" s="11" t="s">
        <v>16</v>
      </c>
      <c r="P88" s="11" t="s">
        <v>16</v>
      </c>
      <c r="Q88" s="11" t="s">
        <v>16</v>
      </c>
      <c r="R88" s="11" t="s">
        <v>16</v>
      </c>
      <c r="S88" s="11"/>
      <c r="T88" s="11" t="s">
        <v>16</v>
      </c>
      <c r="U88" s="11" t="s">
        <v>16</v>
      </c>
      <c r="V88" s="11" t="s">
        <v>16</v>
      </c>
      <c r="W88" s="11" t="s">
        <v>16</v>
      </c>
      <c r="X88" s="11" t="s">
        <v>16</v>
      </c>
      <c r="Y88" s="11" t="s">
        <v>16</v>
      </c>
      <c r="Z88" s="11" t="s">
        <v>16</v>
      </c>
      <c r="AA88" s="11" t="s">
        <v>16</v>
      </c>
      <c r="AB88" s="11" t="s">
        <v>16</v>
      </c>
      <c r="AC88" s="11" t="s">
        <v>16</v>
      </c>
      <c r="AD88" s="11" t="s">
        <v>16</v>
      </c>
      <c r="AE88" s="11" t="s">
        <v>16</v>
      </c>
      <c r="AF88" s="11" t="s">
        <v>16</v>
      </c>
      <c r="AG88" s="11" t="s">
        <v>16</v>
      </c>
      <c r="AH88" s="11" t="s">
        <v>16</v>
      </c>
      <c r="AI88" s="11" t="s">
        <v>16</v>
      </c>
      <c r="AJ88" s="11" t="s">
        <v>16</v>
      </c>
      <c r="AK88" s="11" t="s">
        <v>16</v>
      </c>
      <c r="AL88" s="11" t="s">
        <v>16</v>
      </c>
      <c r="AM88" s="11" t="s">
        <v>16</v>
      </c>
      <c r="AN88" s="11" t="s">
        <v>16</v>
      </c>
      <c r="AO88" s="11" t="s">
        <v>16</v>
      </c>
      <c r="AP88" s="11" t="s">
        <v>16</v>
      </c>
      <c r="AQ88" s="11" t="s">
        <v>16</v>
      </c>
      <c r="AR88" s="11" t="s">
        <v>16</v>
      </c>
      <c r="AS88" s="11" t="s">
        <v>16</v>
      </c>
      <c r="AT88" s="11" t="s">
        <v>16</v>
      </c>
      <c r="AU88" s="11" t="s">
        <v>16</v>
      </c>
      <c r="AV88" s="11" t="s">
        <v>16</v>
      </c>
      <c r="AW88" s="11" t="s">
        <v>16</v>
      </c>
      <c r="AX88" s="11" t="s">
        <v>16</v>
      </c>
      <c r="AY88" s="11" t="s">
        <v>16</v>
      </c>
      <c r="AZ88" s="11" t="s">
        <v>16</v>
      </c>
      <c r="BA88" s="11" t="s">
        <v>16</v>
      </c>
      <c r="BB88" s="11" t="s">
        <v>16</v>
      </c>
      <c r="BC88" s="11" t="s">
        <v>16</v>
      </c>
      <c r="BD88" s="11" t="s">
        <v>16</v>
      </c>
      <c r="BE88" s="11" t="s">
        <v>16</v>
      </c>
      <c r="BF88" s="11" t="s">
        <v>16</v>
      </c>
      <c r="BG88" s="11" t="s">
        <v>16</v>
      </c>
      <c r="BH88" s="11" t="s">
        <v>16</v>
      </c>
      <c r="BI88" s="11" t="s">
        <v>16</v>
      </c>
      <c r="BJ88" s="11" t="s">
        <v>16</v>
      </c>
      <c r="BK88" s="11" t="s">
        <v>16</v>
      </c>
      <c r="BL88" s="11" t="s">
        <v>16</v>
      </c>
      <c r="BM88" s="11" t="s">
        <v>16</v>
      </c>
      <c r="BN88" s="11" t="s">
        <v>16</v>
      </c>
      <c r="BO88" s="11" t="s">
        <v>16</v>
      </c>
      <c r="BP88" s="11" t="s">
        <v>16</v>
      </c>
      <c r="BQ88" s="11" t="s">
        <v>16</v>
      </c>
      <c r="BR88" s="11" t="s">
        <v>16</v>
      </c>
      <c r="BS88" s="11" t="s">
        <v>16</v>
      </c>
      <c r="BT88" s="11" t="s">
        <v>16</v>
      </c>
      <c r="BU88" s="11" t="s">
        <v>16</v>
      </c>
      <c r="BV88" s="11" t="s">
        <v>16</v>
      </c>
      <c r="BW88" s="11" t="s">
        <v>16</v>
      </c>
      <c r="BX88" s="11" t="s">
        <v>16</v>
      </c>
      <c r="BY88" s="11" t="s">
        <v>16</v>
      </c>
      <c r="BZ88" s="11" t="s">
        <v>16</v>
      </c>
      <c r="CA88" s="11" t="s">
        <v>16</v>
      </c>
      <c r="CB88" s="11" t="s">
        <v>16</v>
      </c>
      <c r="CC88" s="11" t="s">
        <v>16</v>
      </c>
      <c r="CD88" s="11" t="s">
        <v>16</v>
      </c>
      <c r="CE88" s="11" t="s">
        <v>16</v>
      </c>
      <c r="CF88" s="11" t="s">
        <v>16</v>
      </c>
      <c r="CG88" s="11" t="s">
        <v>16</v>
      </c>
      <c r="CH88" s="11" t="s">
        <v>16</v>
      </c>
      <c r="CI88" s="11" t="s">
        <v>16</v>
      </c>
      <c r="CJ88" s="11" t="s">
        <v>16</v>
      </c>
      <c r="CK88" s="11" t="s">
        <v>16</v>
      </c>
      <c r="CL88" s="11" t="s">
        <v>16</v>
      </c>
      <c r="CM88" s="11" t="s">
        <v>16</v>
      </c>
      <c r="CN88" s="11" t="s">
        <v>16</v>
      </c>
      <c r="CO88" s="11"/>
      <c r="CP88" s="11" t="s">
        <v>16</v>
      </c>
      <c r="EY88" s="10" t="str">
        <f t="shared" si="11"/>
        <v>*</v>
      </c>
    </row>
  </sheetData>
  <sheetProtection algorithmName="SHA-512" hashValue="8w0AFdOnGBSxsiQtzxRpsDn0mot0NIB4VTw+hwAuSBIZv0vec2ca1oJXuR124zat//uTQEFvIpi/uUyNR0pNCg==" saltValue="7kGk+0d0/+zGne0HbDfAJA==" spinCount="100000" sheet="1" objects="1" scenarios="1"/>
  <mergeCells count="6">
    <mergeCell ref="CK1:CK6"/>
    <mergeCell ref="CL3:CL6"/>
    <mergeCell ref="CM1:CM6"/>
    <mergeCell ref="CP1:CP6"/>
    <mergeCell ref="CN3:CN6"/>
    <mergeCell ref="CO3:CO6"/>
  </mergeCells>
  <phoneticPr fontId="9" type="noConversion"/>
  <conditionalFormatting sqref="A1:A2">
    <cfRule type="cellIs" dxfId="1373" priority="25" operator="equal">
      <formula>0</formula>
    </cfRule>
    <cfRule type="cellIs" dxfId="1372" priority="26" operator="greaterThan">
      <formula>0</formula>
    </cfRule>
  </conditionalFormatting>
  <conditionalFormatting sqref="A84">
    <cfRule type="cellIs" dxfId="1371" priority="23" operator="equal">
      <formula>0</formula>
    </cfRule>
    <cfRule type="cellIs" dxfId="1370" priority="24" operator="greaterThan">
      <formula>0</formula>
    </cfRule>
  </conditionalFormatting>
  <conditionalFormatting sqref="V83:W84">
    <cfRule type="cellIs" dxfId="1369" priority="19" operator="equal">
      <formula>0</formula>
    </cfRule>
    <cfRule type="cellIs" dxfId="1368" priority="20" operator="greaterThan">
      <formula>0</formula>
    </cfRule>
  </conditionalFormatting>
  <conditionalFormatting sqref="CL2">
    <cfRule type="cellIs" dxfId="1367" priority="47" operator="greaterThan">
      <formula>0</formula>
    </cfRule>
    <cfRule type="cellIs" dxfId="1366" priority="48" operator="equal">
      <formula>0</formula>
    </cfRule>
  </conditionalFormatting>
  <conditionalFormatting sqref="CL10:CL16">
    <cfRule type="cellIs" dxfId="1365" priority="45" operator="equal">
      <formula>1</formula>
    </cfRule>
    <cfRule type="cellIs" dxfId="1364" priority="46" operator="equal">
      <formula>0</formula>
    </cfRule>
  </conditionalFormatting>
  <conditionalFormatting sqref="CL21:CL31 CO21:CO31">
    <cfRule type="cellIs" dxfId="1363" priority="11" operator="equal">
      <formula>0</formula>
    </cfRule>
  </conditionalFormatting>
  <conditionalFormatting sqref="CL21:CL31">
    <cfRule type="cellIs" dxfId="1362" priority="15" operator="equal">
      <formula>1</formula>
    </cfRule>
  </conditionalFormatting>
  <conditionalFormatting sqref="CL37:CL57">
    <cfRule type="cellIs" dxfId="1361" priority="38" operator="equal">
      <formula>0</formula>
    </cfRule>
  </conditionalFormatting>
  <conditionalFormatting sqref="CL37:CL80">
    <cfRule type="cellIs" dxfId="1360" priority="17" operator="equal">
      <formula>1</formula>
    </cfRule>
  </conditionalFormatting>
  <conditionalFormatting sqref="CL60:CL68">
    <cfRule type="cellIs" dxfId="1359" priority="34" operator="equal">
      <formula>0</formula>
    </cfRule>
  </conditionalFormatting>
  <conditionalFormatting sqref="CL71:CL75">
    <cfRule type="cellIs" dxfId="1358" priority="30" operator="equal">
      <formula>0</formula>
    </cfRule>
  </conditionalFormatting>
  <conditionalFormatting sqref="CL78:CL80">
    <cfRule type="cellIs" dxfId="1357" priority="18" operator="equal">
      <formula>0</formula>
    </cfRule>
  </conditionalFormatting>
  <conditionalFormatting sqref="CN84">
    <cfRule type="cellIs" dxfId="1356" priority="83" operator="equal">
      <formula>0</formula>
    </cfRule>
    <cfRule type="cellIs" dxfId="1355" priority="84" operator="equal">
      <formula>1</formula>
    </cfRule>
  </conditionalFormatting>
  <conditionalFormatting sqref="CO10:CO16">
    <cfRule type="cellIs" dxfId="1354" priority="13" operator="equal">
      <formula>0</formula>
    </cfRule>
    <cfRule type="cellIs" dxfId="1353" priority="14" operator="equal">
      <formula>1</formula>
    </cfRule>
  </conditionalFormatting>
  <conditionalFormatting sqref="CO21:CO31">
    <cfRule type="cellIs" dxfId="1352" priority="12" operator="equal">
      <formula>1</formula>
    </cfRule>
  </conditionalFormatting>
  <conditionalFormatting sqref="CO37:CO57">
    <cfRule type="cellIs" dxfId="1351" priority="7" operator="equal">
      <formula>0</formula>
    </cfRule>
    <cfRule type="cellIs" dxfId="1350" priority="8" operator="equal">
      <formula>1</formula>
    </cfRule>
  </conditionalFormatting>
  <conditionalFormatting sqref="CO60:CO68">
    <cfRule type="cellIs" dxfId="1349" priority="5" operator="equal">
      <formula>0</formula>
    </cfRule>
    <cfRule type="cellIs" dxfId="1348" priority="6" operator="equal">
      <formula>1</formula>
    </cfRule>
  </conditionalFormatting>
  <conditionalFormatting sqref="CO71:CO75">
    <cfRule type="cellIs" dxfId="1347" priority="3" operator="equal">
      <formula>0</formula>
    </cfRule>
    <cfRule type="cellIs" dxfId="1346" priority="4" operator="equal">
      <formula>1</formula>
    </cfRule>
  </conditionalFormatting>
  <conditionalFormatting sqref="CO78:CO80">
    <cfRule type="cellIs" dxfId="1345" priority="1" operator="equal">
      <formula>0</formula>
    </cfRule>
    <cfRule type="cellIs" dxfId="1344" priority="2" operator="equal">
      <formula>1</formula>
    </cfRule>
  </conditionalFormatting>
  <dataValidations count="6">
    <dataValidation allowBlank="1" showInputMessage="1" promptTitle="Bad Debt Provision Initial Bal." prompt="Bad debt provision initial balance to be entered as a negative asset amount to be netted against receivables as follows:_x000a_Credit Assets: -ve (Cr.)" sqref="B25" xr:uid="{7FD9D240-1D99-428E-9560-85D4814A05CF}"/>
    <dataValidation allowBlank="1" showInputMessage="1" promptTitle="Sign Warning" prompt="The sign flag checks for unexpected input signs. Both asset and liability accounts should be entered as positives as follows:_x000a_Debit asset: +ve (Dr.)_x000a_Credit liability: +ve (Cr.)_x000a__x000a_Bad Debt Provision account is an exception to be recorded as a negative asset" sqref="CL7" xr:uid="{A459471F-6A17-4BFD-AFD8-C1F2B7E28A33}"/>
    <dataValidation allowBlank="1" showInputMessage="1" promptTitle="Balance Sheet check" prompt="Checks that the balance sheet balances:_x000a_Assets = Liabilities + Reserves" sqref="CN7" xr:uid="{A37AC326-351A-4291-9FF0-3EE093DB511C}"/>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86" xr:uid="{C98A3A0A-23BE-4B5E-A4D3-CAAE87F0D170}"/>
    <dataValidation allowBlank="1" showInputMessage="1" promptTitle="Input validation check" prompt="Flags where a cell contains invalid characters, such as full stops, dashes and spaces._x000a_" sqref="CO7" xr:uid="{FF1F10B1-8A74-4A01-B3CD-8F12FA76202E}"/>
    <dataValidation allowBlank="1" showInputMessage="1" promptTitle="In use from 2026/27" prompt="This line is for use only from 2026/27. The input cells will be unlocked in CFFR27. Please see paragraphs 16 and 17 of the College Financial Planning Handbook for more information." sqref="B63 B41" xr:uid="{70ABCDE3-7AC3-461B-A552-A16E7EBEBADC}"/>
  </dataValidations>
  <pageMargins left="0.70866141732283472" right="0.70866141732283472" top="0.74803149606299213" bottom="0.74803149606299213" header="0.31496062992125984" footer="0.31496062992125984"/>
  <pageSetup paperSize="9" scale="50" orientation="portrait" r:id="rId1"/>
  <headerFooter>
    <oddHeader>&amp;C&amp;"Aptos"&amp;11&amp;K000000 OFFICIAL - FOR PUBLIC RELEASE&amp;1#_x000D_</oddHeader>
    <oddFooter>&amp;C_x000D_&amp;1#&amp;"Aptos"&amp;11&amp;K000000 OFFICIAL - FOR PUBLIC RELEASE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56E1-24F4-4F15-A4B8-289167731173}">
  <sheetPr codeName="Sheet18">
    <tabColor theme="7" tint="0.59999389629810485"/>
    <outlinePr summaryBelow="0" summaryRight="0"/>
    <pageSetUpPr autoPageBreaks="0"/>
  </sheetPr>
  <dimension ref="A1:EZ358"/>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8.1796875" bestFit="1" customWidth="1" collapsed="1"/>
    <col min="2" max="2" width="6.81640625" customWidth="1"/>
    <col min="3" max="3" width="11" customWidth="1"/>
    <col min="4" max="4" width="58.453125" bestFit="1" customWidth="1"/>
    <col min="5" max="5" width="27.81640625" style="1" customWidth="1"/>
    <col min="6" max="6" width="25.7265625" customWidth="1"/>
    <col min="7" max="7" width="20.453125" customWidth="1"/>
    <col min="8" max="8" width="15" customWidth="1"/>
    <col min="9" max="9" width="2" customWidth="1" collapsed="1"/>
    <col min="10" max="10" width="8.81640625" hidden="1" customWidth="1" outlineLevel="1" collapsed="1"/>
    <col min="11" max="15" width="8.81640625" hidden="1" customWidth="1" outlineLevel="1"/>
    <col min="16" max="18" width="11.81640625" hidden="1" customWidth="1" outlineLevel="1"/>
    <col min="19" max="19" width="1.1796875" hidden="1" customWidth="1" outlineLevel="1"/>
    <col min="20" max="20" width="12.1796875" hidden="1" customWidth="1" outlineLevel="1"/>
    <col min="21" max="21" width="11.1796875" hidden="1" customWidth="1" outlineLevel="1"/>
    <col min="22" max="22" width="9.453125" customWidth="1"/>
    <col min="23"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0" width="15.54296875" customWidth="1"/>
    <col min="91" max="91" width="3.453125" customWidth="1"/>
    <col min="92" max="99" width="13.1796875" customWidth="1"/>
    <col min="100" max="103" width="14.54296875" customWidth="1"/>
    <col min="104" max="104" width="14.26953125" customWidth="1"/>
    <col min="105" max="105" width="2.81640625" customWidth="1"/>
    <col min="106" max="108" width="9.81640625" customWidth="1"/>
    <col min="109" max="109" width="11.453125" customWidth="1"/>
    <col min="110" max="112" width="12.54296875" customWidth="1"/>
    <col min="113" max="113" width="2.81640625" customWidth="1"/>
    <col min="116" max="116" width="2.81640625" customWidth="1"/>
    <col min="155" max="155" width="8.81640625" collapsed="1"/>
    <col min="156" max="156" width="41.81640625" hidden="1" customWidth="1" outlineLevel="1"/>
  </cols>
  <sheetData>
    <row r="1" spans="1:156" ht="14.5" customHeight="1" x14ac:dyDescent="0.35">
      <c r="A1" s="7">
        <f ca="1">ToC!A1</f>
        <v>0</v>
      </c>
      <c r="B1" s="13" t="s">
        <v>740</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175</v>
      </c>
      <c r="CV1" s="5" t="s">
        <v>741</v>
      </c>
      <c r="CW1" s="5"/>
      <c r="CX1" s="5"/>
      <c r="CY1" s="5"/>
      <c r="CZ1" s="5"/>
      <c r="DA1" s="663"/>
      <c r="DB1" s="5" t="s">
        <v>295</v>
      </c>
      <c r="DI1" s="663"/>
      <c r="DJ1" s="5" t="s">
        <v>296</v>
      </c>
      <c r="DL1" s="663"/>
      <c r="EZ1" s="5" t="s">
        <v>177</v>
      </c>
    </row>
    <row r="2" spans="1:156" ht="14.65" customHeight="1" x14ac:dyDescent="0.35">
      <c r="A2" s="220" cm="1">
        <f t="array" aca="1" ref="A2" ca="1">HYPERLINK(CONCATENATE("#",CELL("address",IF(SUM(A$7:A$358)=0,$A$2,INDEX(A$7:A$358,MATCH(1,A$7:A$358,0))))),SUM(A$7:A$358))</f>
        <v>0</v>
      </c>
      <c r="B2" s="67" t="str" cm="1">
        <f t="array" aca="1" ref="B2" ca="1">HYPERLINK(CONCATENATE("#",CELL("address",Guide!$C$100)),Guide!$B$1)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HYPERLINK(CONCATENATE("#",CELL("address",IF(SUM(CL$7:CL$358)=0,$CL$2,INDEX(CL$7:CL$358,MATCH(1,CL$7:CL$358,0))))),SUM(CL$7:CL$358))</f>
        <v>0</v>
      </c>
      <c r="CM2" s="663"/>
      <c r="CS2" s="57"/>
      <c r="CT2" s="57"/>
      <c r="CU2" s="57"/>
      <c r="CW2" s="664" t="s">
        <v>298</v>
      </c>
      <c r="CX2" s="664" t="s">
        <v>299</v>
      </c>
      <c r="CY2" s="664" t="s">
        <v>300</v>
      </c>
      <c r="CZ2" s="664" t="s">
        <v>742</v>
      </c>
      <c r="DA2" s="663"/>
      <c r="DB2" s="667" t="s">
        <v>301</v>
      </c>
      <c r="DC2" s="668" t="s">
        <v>302</v>
      </c>
      <c r="DD2" s="669" t="s">
        <v>303</v>
      </c>
      <c r="DE2" s="667" t="s">
        <v>304</v>
      </c>
      <c r="DF2" s="668" t="s">
        <v>305</v>
      </c>
      <c r="DG2" s="669" t="s">
        <v>306</v>
      </c>
      <c r="DH2" s="670" t="s">
        <v>300</v>
      </c>
      <c r="DI2" s="663"/>
      <c r="DJ2" s="664" t="s">
        <v>308</v>
      </c>
      <c r="DK2" s="664" t="s">
        <v>743</v>
      </c>
      <c r="DL2" s="663"/>
    </row>
    <row r="3" spans="1:156" ht="14.25" customHeight="1" x14ac:dyDescent="0.35">
      <c r="A3" s="67" t="str" cm="1">
        <f t="array" aca="1" ref="A3" ca="1">HYPERLINK(CONCATENATE("#",CELL("address",ToC!$A$1)),ToC!$C$1)</f>
        <v>ToC</v>
      </c>
      <c r="B3" s="67" t="str" cm="1">
        <f t="array" aca="1" ref="B3" ca="1">HYPERLINK(CONCATENATE("#",CELL("address",$D$8)),"Capex")</f>
        <v>Capex</v>
      </c>
      <c r="C3" s="67" t="str" cm="1">
        <f t="array" aca="1" ref="C3" ca="1">HYPERLINK(CONCATENATE("#",CELL("address",D55)),"Assets under Constr.")</f>
        <v>Assets under Constr.</v>
      </c>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664" t="s">
        <v>311</v>
      </c>
      <c r="CM3" s="663"/>
      <c r="CN3" s="664" t="s">
        <v>744</v>
      </c>
      <c r="CO3" s="664" t="s">
        <v>745</v>
      </c>
      <c r="CP3" s="664" t="s">
        <v>746</v>
      </c>
      <c r="CQ3" s="664" t="s">
        <v>747</v>
      </c>
      <c r="CR3" s="679" t="s">
        <v>748</v>
      </c>
      <c r="CS3" s="664" t="s">
        <v>749</v>
      </c>
      <c r="CT3" s="664" t="s">
        <v>750</v>
      </c>
      <c r="CU3" s="664" t="s">
        <v>270</v>
      </c>
      <c r="CV3" s="664" t="s">
        <v>751</v>
      </c>
      <c r="CW3" s="664"/>
      <c r="CX3" s="664"/>
      <c r="CY3" s="664"/>
      <c r="CZ3" s="664"/>
      <c r="DA3" s="663"/>
      <c r="DB3" s="672"/>
      <c r="DC3" s="664"/>
      <c r="DD3" s="677"/>
      <c r="DE3" s="672"/>
      <c r="DF3" s="664"/>
      <c r="DG3" s="677"/>
      <c r="DH3" s="674"/>
      <c r="DI3" s="663"/>
      <c r="DJ3" s="664"/>
      <c r="DK3" s="664"/>
      <c r="DL3" s="663"/>
    </row>
    <row r="4" spans="1:156" x14ac:dyDescent="0.35">
      <c r="A4" s="13"/>
      <c r="B4" s="67" t="str" cm="1">
        <f t="array" aca="1" ref="B4" ca="1">HYPERLINK(CONCATENATE("#",CELL("address",$D$80)),"Revals")</f>
        <v>Revals</v>
      </c>
      <c r="C4" s="67" t="str" cm="1">
        <f t="array" aca="1" ref="C4" ca="1">HYPERLINK(CONCATENATE("#",CELL("address",$D$106)),"Assets for Sale")</f>
        <v>Assets for Sale</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c r="CN4" s="664"/>
      <c r="CO4" s="664"/>
      <c r="CP4" s="664"/>
      <c r="CQ4" s="664"/>
      <c r="CR4" s="679"/>
      <c r="CS4" s="664"/>
      <c r="CT4" s="664"/>
      <c r="CU4" s="664"/>
      <c r="CV4" s="664"/>
      <c r="CW4" s="664"/>
      <c r="CX4" s="664"/>
      <c r="CY4" s="664"/>
      <c r="CZ4" s="664"/>
      <c r="DA4" s="663"/>
      <c r="DB4" s="672"/>
      <c r="DC4" s="664"/>
      <c r="DD4" s="677"/>
      <c r="DE4" s="672"/>
      <c r="DF4" s="664"/>
      <c r="DG4" s="677"/>
      <c r="DH4" s="674"/>
      <c r="DI4" s="663"/>
      <c r="DJ4" s="664"/>
      <c r="DK4" s="664"/>
      <c r="DL4" s="663"/>
    </row>
    <row r="5" spans="1:156" x14ac:dyDescent="0.35">
      <c r="A5" s="13"/>
      <c r="B5" s="67" t="str" cm="1">
        <f t="array" aca="1" ref="B5" ca="1">HYPERLINK(CONCATENATE("#",CELL("address",D132)),"Disposals")</f>
        <v>Disposals</v>
      </c>
      <c r="C5" s="67" t="str" cm="1">
        <f t="array" aca="1" ref="C5" ca="1">HYPERLINK(CONCATENATE("#",CELL("address",D217)),"Account Balances")</f>
        <v>Account Balances</v>
      </c>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f>V5</f>
        <v>45869</v>
      </c>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c r="CN5" s="664"/>
      <c r="CO5" s="664"/>
      <c r="CP5" s="664"/>
      <c r="CQ5" s="664"/>
      <c r="CR5" s="679"/>
      <c r="CS5" s="664"/>
      <c r="CT5" s="664"/>
      <c r="CU5" s="664"/>
      <c r="CV5" s="664"/>
      <c r="CW5" s="664"/>
      <c r="CX5" s="664"/>
      <c r="CY5" s="664"/>
      <c r="CZ5" s="664"/>
      <c r="DA5" s="663"/>
      <c r="DB5" s="672"/>
      <c r="DC5" s="664"/>
      <c r="DD5" s="677"/>
      <c r="DE5" s="672"/>
      <c r="DF5" s="664"/>
      <c r="DG5" s="677"/>
      <c r="DH5" s="674"/>
      <c r="DI5" s="663"/>
      <c r="DJ5" s="664"/>
      <c r="DK5" s="664"/>
      <c r="DL5" s="663"/>
    </row>
    <row r="6" spans="1:156" x14ac:dyDescent="0.35">
      <c r="A6" s="67" t="str" cm="1">
        <f t="array" aca="1" ref="A6" ca="1">HYPERLINK(CONCATENATE("#",CELL("address",CM7)),"Check")</f>
        <v>Check</v>
      </c>
      <c r="B6" s="13"/>
      <c r="C6" s="13" t="s">
        <v>183</v>
      </c>
      <c r="D6" s="23" t="s">
        <v>19</v>
      </c>
      <c r="E6" s="13"/>
      <c r="F6" s="13"/>
      <c r="G6" s="13"/>
      <c r="H6" s="13" t="s">
        <v>313</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c r="CN6" s="664"/>
      <c r="CO6" s="664"/>
      <c r="CP6" s="664"/>
      <c r="CQ6" s="664"/>
      <c r="CR6" s="679"/>
      <c r="CS6" s="664"/>
      <c r="CT6" s="664"/>
      <c r="CU6" s="664"/>
      <c r="CV6" s="664"/>
      <c r="CW6" s="664"/>
      <c r="CX6" s="664"/>
      <c r="CY6" s="664"/>
      <c r="CZ6" s="664"/>
      <c r="DA6" s="663"/>
      <c r="DB6" s="673"/>
      <c r="DC6" s="676"/>
      <c r="DD6" s="678"/>
      <c r="DE6" s="673"/>
      <c r="DF6" s="676"/>
      <c r="DG6" s="678"/>
      <c r="DH6" s="675"/>
      <c r="DI6" s="663"/>
      <c r="DJ6" s="664"/>
      <c r="DK6" s="664"/>
      <c r="DL6" s="663"/>
    </row>
    <row r="7" spans="1:156" x14ac:dyDescent="0.35">
      <c r="B7" s="97" t="s">
        <v>184</v>
      </c>
      <c r="C7" s="229"/>
      <c r="D7" s="1"/>
      <c r="E7"/>
      <c r="BY7" s="6"/>
      <c r="CK7" s="35"/>
      <c r="CL7" s="85" t="s">
        <v>122</v>
      </c>
      <c r="CM7" s="35"/>
      <c r="CN7" s="85" t="s">
        <v>122</v>
      </c>
      <c r="CO7" s="85" t="s">
        <v>122</v>
      </c>
      <c r="CP7" s="85" t="s">
        <v>122</v>
      </c>
      <c r="CQ7" s="85" t="s">
        <v>122</v>
      </c>
      <c r="CR7" s="85" t="s">
        <v>122</v>
      </c>
      <c r="CS7" s="85" t="s">
        <v>122</v>
      </c>
      <c r="CT7" s="85" t="s">
        <v>122</v>
      </c>
      <c r="CU7" s="85" t="s">
        <v>122</v>
      </c>
      <c r="CV7" s="85" t="s">
        <v>122</v>
      </c>
      <c r="CW7" s="85" t="s">
        <v>122</v>
      </c>
      <c r="CX7" s="85" t="s">
        <v>122</v>
      </c>
      <c r="CY7" s="85" t="s">
        <v>122</v>
      </c>
      <c r="CZ7" s="85" t="s">
        <v>122</v>
      </c>
      <c r="DA7" s="35"/>
      <c r="DI7" s="35"/>
      <c r="DL7" s="35"/>
    </row>
    <row r="8" spans="1:156" x14ac:dyDescent="0.35">
      <c r="A8" s="88"/>
      <c r="B8" s="34"/>
      <c r="C8" s="252"/>
      <c r="D8" s="34" t="s">
        <v>752</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Z8" s="650"/>
      <c r="DA8" s="35"/>
      <c r="DI8" s="35"/>
      <c r="DL8" s="35"/>
      <c r="EZ8" s="10" t="str">
        <f>IF($C8="","",$D8)</f>
        <v/>
      </c>
    </row>
    <row r="9" spans="1:156" ht="6.75" customHeight="1" x14ac:dyDescent="0.35">
      <c r="C9" s="253"/>
      <c r="D9" s="1"/>
      <c r="E9"/>
      <c r="BY9" s="6"/>
      <c r="CK9" s="35"/>
      <c r="CM9" s="35"/>
      <c r="CZ9" s="650"/>
      <c r="DA9" s="35"/>
      <c r="DI9" s="35"/>
      <c r="DL9" s="35"/>
      <c r="EZ9" s="10" t="str">
        <f>IF($C9="","",$D9)</f>
        <v/>
      </c>
    </row>
    <row r="10" spans="1:156" x14ac:dyDescent="0.35">
      <c r="C10" s="253"/>
      <c r="E10" s="85" t="s">
        <v>122</v>
      </c>
      <c r="F10" s="85" t="s">
        <v>122</v>
      </c>
      <c r="CK10" s="11"/>
      <c r="CM10" s="11"/>
      <c r="CZ10" s="650"/>
      <c r="DA10" s="35"/>
      <c r="DI10" s="35"/>
      <c r="DL10" s="35"/>
      <c r="EZ10" s="10" t="str">
        <f>IF($C10="","",$D10)</f>
        <v/>
      </c>
    </row>
    <row r="11" spans="1:156" x14ac:dyDescent="0.35">
      <c r="C11" s="253"/>
      <c r="D11" s="44" t="s">
        <v>753</v>
      </c>
      <c r="E11" s="45" t="s">
        <v>754</v>
      </c>
      <c r="F11" s="45" t="s">
        <v>755</v>
      </c>
      <c r="G11" s="46" t="s">
        <v>756</v>
      </c>
      <c r="CK11" s="11"/>
      <c r="CM11" s="11"/>
      <c r="CZ11" s="650"/>
      <c r="DA11" s="35"/>
      <c r="DI11" s="35"/>
      <c r="DL11" s="35"/>
      <c r="EZ11" s="10" t="str">
        <f>IF($C11="","",$D11)</f>
        <v/>
      </c>
    </row>
    <row r="12" spans="1:156" x14ac:dyDescent="0.35">
      <c r="C12" s="253"/>
      <c r="D12" s="226"/>
      <c r="E12" s="227" t="s">
        <v>757</v>
      </c>
      <c r="F12" s="227" t="s">
        <v>757</v>
      </c>
      <c r="G12" s="228" t="s">
        <v>758</v>
      </c>
      <c r="CK12" s="11"/>
      <c r="CM12" s="11"/>
      <c r="CZ12" s="650"/>
      <c r="DA12" s="35"/>
      <c r="DI12" s="35"/>
      <c r="DL12" s="35"/>
      <c r="EZ12" s="10" t="str">
        <f>IF($C12="","",$D12)</f>
        <v/>
      </c>
    </row>
    <row r="13" spans="1:156" x14ac:dyDescent="0.35">
      <c r="A13" s="220" cm="1">
        <f t="array" aca="1" ref="A13" ca="1">HYPERLINK(CONCATENATE("#",CELL("address",IF(MAX($CM13:$CZ13)=0,A13,INDEX($CM13:$CZ13,MATCH(1,$CM13:$CZ13,0))))),MAX($CM13:$CZ13))</f>
        <v>0</v>
      </c>
      <c r="C13" s="309" t="s">
        <v>759</v>
      </c>
      <c r="D13" s="243"/>
      <c r="E13" s="243"/>
      <c r="F13" s="243"/>
      <c r="G13" s="567"/>
      <c r="H13" s="9" t="s">
        <v>620</v>
      </c>
      <c r="V13" s="109"/>
      <c r="W13" s="133">
        <f t="shared" ref="W13:Y27"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0">
        <f t="shared" ref="BX13:BX27" si="1">V13</f>
        <v>0</v>
      </c>
      <c r="BY13" s="10">
        <f t="shared" ref="BY13:BY27" si="2">W13</f>
        <v>0</v>
      </c>
      <c r="BZ13" s="10">
        <f t="shared" ref="BZ13:BZ27" si="3">X13</f>
        <v>0</v>
      </c>
      <c r="CA13" s="10">
        <f t="shared" ref="CA13:CA27" si="4">Y13</f>
        <v>0</v>
      </c>
      <c r="CB13" s="109"/>
      <c r="CC13" s="109"/>
      <c r="CD13" s="109"/>
      <c r="CE13" s="109"/>
      <c r="CF13" s="109"/>
      <c r="CG13" s="109"/>
      <c r="CH13" s="520"/>
      <c r="CI13" s="109"/>
      <c r="CK13" s="11"/>
      <c r="CL13" s="221">
        <f t="shared" ref="CL13:CL32" si="5">IF(MIN($V13:$CI13)&lt;0, 1, 0)</f>
        <v>0</v>
      </c>
      <c r="CM13" s="11"/>
      <c r="CN13" s="7">
        <f t="shared" ref="CN13:CN27" si="6">IF(AND(E13="", ABS(SUM($AA13:$BJ13))&gt;0), 1,0)</f>
        <v>0</v>
      </c>
      <c r="CO13" s="7" cm="1">
        <f t="array" ref="CO13">IF(AND(OR(IFERROR(MAX(ABS($AA13:$CI13)),0)&gt;0, ABS($V13)&gt;0), IFERROR(MATCH(E13, Parameters!$D$39:$D$42, 0), 0)=0), 1, 0)</f>
        <v>0</v>
      </c>
      <c r="CP13" s="7" cm="1">
        <f t="array" ref="CP13">IF(AND(OR(IFERROR(MAX(ABS($AA13:$CI13)),0)&gt;0, ABS($V13)&gt;0), IFERROR(MATCH(F13, Parameters!$D$52:$D$59, 0), "N/A")="N/A"), 1, 0)</f>
        <v>0</v>
      </c>
      <c r="CU13" s="7" cm="1">
        <f t="array" ref="CU13">NOT(OR(AND(ISNUMBER(G13:G13),G13&gt;=0,G13&lt;=1),ISBLANK(G13:G13)))+SUMPRODUCT(--NOT(ISNUMBER(V13:CI13)),--NOT(ISBLANK(V13:CI13)))</f>
        <v>0</v>
      </c>
      <c r="CW13" s="7">
        <f t="shared" ref="CW13:CW32" si="7">IF(SUM($DB13:$DD13)=0, 0, 1)</f>
        <v>0</v>
      </c>
      <c r="CX13" s="7">
        <f t="shared" ref="CX13:CX32" si="8">IF(SUM($DE13:$DG13)=0, 0, 1)</f>
        <v>0</v>
      </c>
      <c r="CY13" s="7">
        <f t="shared" ref="CY13:CY32" si="9">IF($DH13=0, 0, 1)</f>
        <v>0</v>
      </c>
      <c r="CZ13" s="650"/>
      <c r="DA13" s="35"/>
      <c r="DB13" s="215">
        <f t="shared" ref="DB13:DB32" si="10">ROUND(W13-SUMIFS($AA13:$BJ13, $AA$3:$BJ$3, W$3), rounding)</f>
        <v>0</v>
      </c>
      <c r="DC13" s="215">
        <f t="shared" ref="DC13:DC32" si="11">ROUND(X13-SUMIFS($AA13:$BJ13, $AA$3:$BJ$3, X$3), rounding)</f>
        <v>0</v>
      </c>
      <c r="DD13" s="215">
        <f t="shared" ref="DD13:DD32" si="12">ROUND(Y13-SUMIFS($AA13:$BJ13, $AA$3:$BJ$3, Y$3), rounding)</f>
        <v>0</v>
      </c>
      <c r="DE13" s="215">
        <f t="shared" ref="DE13:DE32" si="13">ROUND($BY13-SUMIFS($AA13:$BJ13, $AA$3:$BJ$3, $BY$3), rounding)</f>
        <v>0</v>
      </c>
      <c r="DF13" s="215">
        <f t="shared" ref="DF13:DF32" si="14">ROUND($BZ13-SUMIFS($AA13:$BJ13, $AA$3:$BJ$3, $BZ$3), rounding)</f>
        <v>0</v>
      </c>
      <c r="DG13" s="215">
        <f t="shared" ref="DG13:DG32" si="15">ROUND($CA13-SUMIFS($AA13:$BJ13, $AA$3:$BJ$3, $CA$3), rounding)</f>
        <v>0</v>
      </c>
      <c r="DH13" s="215">
        <f t="shared" ref="DH13:DH32" si="16">ROUND($V13-$BX13, rounding)</f>
        <v>0</v>
      </c>
      <c r="DI13" s="35"/>
      <c r="DJ13">
        <v>1</v>
      </c>
      <c r="DK13">
        <v>1</v>
      </c>
      <c r="DL13" s="35"/>
      <c r="EZ13" s="12" t="str">
        <f t="shared" ref="EZ13:EZ27" si="17">IF($C13="","",CONCATENATE(D$8, " ",$C13))</f>
        <v>Capital Expenditure CP1</v>
      </c>
    </row>
    <row r="14" spans="1:156" x14ac:dyDescent="0.35">
      <c r="A14" s="220" cm="1">
        <f t="array" aca="1" ref="A14" ca="1">HYPERLINK(CONCATENATE("#",CELL("address",IF(MAX($CM14:$CZ14)=0,A14,INDEX($CM14:$CZ14,MATCH(1,$CM14:$CZ14,0))))),MAX($CM14:$CZ14))</f>
        <v>0</v>
      </c>
      <c r="C14" s="309" t="s">
        <v>760</v>
      </c>
      <c r="D14" s="243"/>
      <c r="E14" s="243"/>
      <c r="F14" s="243"/>
      <c r="G14" s="567"/>
      <c r="H14" s="9" t="s">
        <v>620</v>
      </c>
      <c r="V14" s="109"/>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33">
        <f t="shared" si="1"/>
        <v>0</v>
      </c>
      <c r="BY14" s="133">
        <f t="shared" si="2"/>
        <v>0</v>
      </c>
      <c r="BZ14" s="133">
        <f t="shared" si="3"/>
        <v>0</v>
      </c>
      <c r="CA14" s="133">
        <f t="shared" si="4"/>
        <v>0</v>
      </c>
      <c r="CB14" s="109"/>
      <c r="CC14" s="109"/>
      <c r="CD14" s="109"/>
      <c r="CE14" s="109"/>
      <c r="CF14" s="109"/>
      <c r="CG14" s="109"/>
      <c r="CH14" s="109"/>
      <c r="CI14" s="109"/>
      <c r="CK14" s="11"/>
      <c r="CL14" s="221">
        <f t="shared" si="5"/>
        <v>0</v>
      </c>
      <c r="CM14" s="11"/>
      <c r="CN14" s="7">
        <f t="shared" si="6"/>
        <v>0</v>
      </c>
      <c r="CO14" s="7" cm="1">
        <f t="array" ref="CO14">IF(AND(OR(IFERROR(MAX(ABS($AA14:$CI14)),0)&gt;0, ABS($V14)&gt;0), IFERROR(MATCH(E14, Parameters!$D$39:$D$42, 0), 0)=0), 1, 0)</f>
        <v>0</v>
      </c>
      <c r="CP14" s="7" cm="1">
        <f t="array" ref="CP14">IF(AND(OR(IFERROR(MAX(ABS($AA14:$CI14)),0)&gt;0, ABS($V14)&gt;0), IFERROR(MATCH(F14, Parameters!$D$52:$D$59, 0), "N/A")="N/A"), 1, 0)</f>
        <v>0</v>
      </c>
      <c r="CU14" s="7" cm="1">
        <f t="array" ref="CU14">NOT(OR(AND(ISNUMBER(G14:G14),G14&gt;=0,G14&lt;=1),ISBLANK(G14:G14)))+SUMPRODUCT(--NOT(ISNUMBER(V14:CI14)),--NOT(ISBLANK(V14:CI14)))</f>
        <v>0</v>
      </c>
      <c r="CW14" s="7">
        <f t="shared" si="7"/>
        <v>0</v>
      </c>
      <c r="CX14" s="7">
        <f t="shared" si="8"/>
        <v>0</v>
      </c>
      <c r="CY14" s="7">
        <f t="shared" si="9"/>
        <v>0</v>
      </c>
      <c r="CZ14" s="650"/>
      <c r="DA14" s="35"/>
      <c r="DB14" s="215">
        <f t="shared" si="10"/>
        <v>0</v>
      </c>
      <c r="DC14" s="215">
        <f t="shared" si="11"/>
        <v>0</v>
      </c>
      <c r="DD14" s="215">
        <f t="shared" si="12"/>
        <v>0</v>
      </c>
      <c r="DE14" s="215">
        <f t="shared" si="13"/>
        <v>0</v>
      </c>
      <c r="DF14" s="215">
        <f t="shared" si="14"/>
        <v>0</v>
      </c>
      <c r="DG14" s="215">
        <f t="shared" si="15"/>
        <v>0</v>
      </c>
      <c r="DH14" s="215">
        <f t="shared" si="16"/>
        <v>0</v>
      </c>
      <c r="DI14" s="35"/>
      <c r="DJ14">
        <v>1</v>
      </c>
      <c r="DK14">
        <v>1</v>
      </c>
      <c r="DL14" s="35"/>
      <c r="EZ14" s="12" t="str">
        <f t="shared" si="17"/>
        <v>Capital Expenditure CP2</v>
      </c>
    </row>
    <row r="15" spans="1:156" x14ac:dyDescent="0.35">
      <c r="A15" s="220" cm="1">
        <f t="array" aca="1" ref="A15" ca="1">HYPERLINK(CONCATENATE("#",CELL("address",IF(MAX($CM15:$CZ15)=0,A15,INDEX($CM15:$CZ15,MATCH(1,$CM15:$CZ15,0))))),MAX($CM15:$CZ15))</f>
        <v>0</v>
      </c>
      <c r="C15" s="309" t="s">
        <v>761</v>
      </c>
      <c r="D15" s="243"/>
      <c r="E15" s="243"/>
      <c r="F15" s="237"/>
      <c r="G15" s="567"/>
      <c r="H15" s="9" t="s">
        <v>620</v>
      </c>
      <c r="V15" s="109"/>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0">
        <f t="shared" si="1"/>
        <v>0</v>
      </c>
      <c r="BY15" s="10">
        <f t="shared" si="2"/>
        <v>0</v>
      </c>
      <c r="BZ15" s="10">
        <f t="shared" si="3"/>
        <v>0</v>
      </c>
      <c r="CA15" s="10">
        <f t="shared" si="4"/>
        <v>0</v>
      </c>
      <c r="CB15" s="109"/>
      <c r="CC15" s="109"/>
      <c r="CD15" s="109"/>
      <c r="CE15" s="109"/>
      <c r="CF15" s="109"/>
      <c r="CG15" s="109"/>
      <c r="CH15" s="109"/>
      <c r="CI15" s="109"/>
      <c r="CK15" s="128"/>
      <c r="CL15" s="221">
        <f t="shared" si="5"/>
        <v>0</v>
      </c>
      <c r="CM15" s="128"/>
      <c r="CN15" s="7">
        <f t="shared" si="6"/>
        <v>0</v>
      </c>
      <c r="CO15" s="7" cm="1">
        <f t="array" ref="CO15">IF(AND(OR(IFERROR(MAX(ABS($AA15:$CI15)),0)&gt;0, ABS($V15)&gt;0), IFERROR(MATCH(E15, Parameters!$D$39:$D$42, 0), 0)=0), 1, 0)</f>
        <v>0</v>
      </c>
      <c r="CP15" s="7" cm="1">
        <f t="array" ref="CP15">IF(AND(OR(IFERROR(MAX(ABS($AA15:$CI15)),0)&gt;0, ABS($V15)&gt;0), IFERROR(MATCH(F15, Parameters!$D$52:$D$59, 0), "N/A")="N/A"), 1, 0)</f>
        <v>0</v>
      </c>
      <c r="CU15" s="7" cm="1">
        <f t="array" ref="CU15">NOT(OR(AND(ISNUMBER(G15:G15),G15&gt;=0,G15&lt;=1),ISBLANK(G15:G15)))+SUMPRODUCT(--NOT(ISNUMBER(V15:CI15)),--NOT(ISBLANK(V15:CI15)))</f>
        <v>0</v>
      </c>
      <c r="CW15" s="7">
        <f t="shared" si="7"/>
        <v>0</v>
      </c>
      <c r="CX15" s="7">
        <f t="shared" si="8"/>
        <v>0</v>
      </c>
      <c r="CY15" s="7">
        <f t="shared" si="9"/>
        <v>0</v>
      </c>
      <c r="CZ15" s="650"/>
      <c r="DA15" s="129"/>
      <c r="DB15" s="215">
        <f t="shared" si="10"/>
        <v>0</v>
      </c>
      <c r="DC15" s="215">
        <f t="shared" si="11"/>
        <v>0</v>
      </c>
      <c r="DD15" s="215">
        <f t="shared" si="12"/>
        <v>0</v>
      </c>
      <c r="DE15" s="215">
        <f t="shared" si="13"/>
        <v>0</v>
      </c>
      <c r="DF15" s="215">
        <f t="shared" si="14"/>
        <v>0</v>
      </c>
      <c r="DG15" s="215">
        <f t="shared" si="15"/>
        <v>0</v>
      </c>
      <c r="DH15" s="215">
        <f t="shared" si="16"/>
        <v>0</v>
      </c>
      <c r="DI15" s="129"/>
      <c r="DJ15">
        <v>1</v>
      </c>
      <c r="DK15">
        <v>1</v>
      </c>
      <c r="DL15" s="129"/>
      <c r="EZ15" s="12" t="str">
        <f t="shared" si="17"/>
        <v>Capital Expenditure CP3</v>
      </c>
    </row>
    <row r="16" spans="1:156" x14ac:dyDescent="0.35">
      <c r="A16" s="220" cm="1">
        <f t="array" aca="1" ref="A16" ca="1">HYPERLINK(CONCATENATE("#",CELL("address",IF(MAX($CM16:$CZ16)=0,A16,INDEX($CM16:$CZ16,MATCH(1,$CM16:$CZ16,0))))),MAX($CM16:$CZ16))</f>
        <v>0</v>
      </c>
      <c r="C16" s="309" t="s">
        <v>762</v>
      </c>
      <c r="D16" s="243"/>
      <c r="E16" s="243"/>
      <c r="F16" s="243"/>
      <c r="G16" s="567"/>
      <c r="H16" s="9" t="s">
        <v>620</v>
      </c>
      <c r="V16" s="109"/>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X16" s="10">
        <f t="shared" si="1"/>
        <v>0</v>
      </c>
      <c r="BY16" s="10">
        <f t="shared" si="2"/>
        <v>0</v>
      </c>
      <c r="BZ16" s="10">
        <f t="shared" si="3"/>
        <v>0</v>
      </c>
      <c r="CA16" s="10">
        <f t="shared" si="4"/>
        <v>0</v>
      </c>
      <c r="CB16" s="109"/>
      <c r="CC16" s="109"/>
      <c r="CD16" s="109"/>
      <c r="CE16" s="109"/>
      <c r="CF16" s="109"/>
      <c r="CG16" s="109"/>
      <c r="CH16" s="109"/>
      <c r="CI16" s="109"/>
      <c r="CK16" s="11"/>
      <c r="CL16" s="221">
        <f t="shared" si="5"/>
        <v>0</v>
      </c>
      <c r="CM16" s="11"/>
      <c r="CN16" s="7">
        <f t="shared" si="6"/>
        <v>0</v>
      </c>
      <c r="CO16" s="7" cm="1">
        <f t="array" ref="CO16">IF(AND(OR(IFERROR(MAX(ABS($AA16:$CI16)),0)&gt;0, ABS($V16)&gt;0), IFERROR(MATCH(E16, Parameters!$D$39:$D$42, 0), 0)=0), 1, 0)</f>
        <v>0</v>
      </c>
      <c r="CP16" s="7" cm="1">
        <f t="array" ref="CP16">IF(AND(OR(IFERROR(MAX(ABS($AA16:$CI16)),0)&gt;0, ABS($V16)&gt;0), IFERROR(MATCH(F16, Parameters!$D$52:$D$59, 0), "N/A")="N/A"), 1, 0)</f>
        <v>0</v>
      </c>
      <c r="CU16" s="7" cm="1">
        <f t="array" ref="CU16">NOT(OR(AND(ISNUMBER(G16:G16),G16&gt;=0,G16&lt;=1),ISBLANK(G16:G16)))+SUMPRODUCT(--NOT(ISNUMBER(V16:CI16)),--NOT(ISBLANK(V16:CI16)))</f>
        <v>0</v>
      </c>
      <c r="CW16" s="7">
        <f t="shared" si="7"/>
        <v>0</v>
      </c>
      <c r="CX16" s="7">
        <f t="shared" si="8"/>
        <v>0</v>
      </c>
      <c r="CY16" s="7">
        <f t="shared" si="9"/>
        <v>0</v>
      </c>
      <c r="CZ16" s="650"/>
      <c r="DA16" s="35"/>
      <c r="DB16" s="215">
        <f t="shared" si="10"/>
        <v>0</v>
      </c>
      <c r="DC16" s="215">
        <f t="shared" si="11"/>
        <v>0</v>
      </c>
      <c r="DD16" s="215">
        <f t="shared" si="12"/>
        <v>0</v>
      </c>
      <c r="DE16" s="215">
        <f t="shared" si="13"/>
        <v>0</v>
      </c>
      <c r="DF16" s="215">
        <f t="shared" si="14"/>
        <v>0</v>
      </c>
      <c r="DG16" s="215">
        <f t="shared" si="15"/>
        <v>0</v>
      </c>
      <c r="DH16" s="215">
        <f t="shared" si="16"/>
        <v>0</v>
      </c>
      <c r="DI16" s="35"/>
      <c r="DJ16">
        <v>1</v>
      </c>
      <c r="DK16">
        <v>1</v>
      </c>
      <c r="DL16" s="35"/>
      <c r="EZ16" s="12" t="str">
        <f t="shared" si="17"/>
        <v>Capital Expenditure CP4</v>
      </c>
    </row>
    <row r="17" spans="1:156" x14ac:dyDescent="0.35">
      <c r="A17" s="220" cm="1">
        <f t="array" aca="1" ref="A17" ca="1">HYPERLINK(CONCATENATE("#",CELL("address",IF(MAX($CM17:$CZ17)=0,A17,INDEX($CM17:$CZ17,MATCH(1,$CM17:$CZ17,0))))),MAX($CM17:$CZ17))</f>
        <v>0</v>
      </c>
      <c r="C17" s="309" t="s">
        <v>763</v>
      </c>
      <c r="D17" s="243"/>
      <c r="E17" s="243"/>
      <c r="F17" s="243"/>
      <c r="G17" s="567"/>
      <c r="H17" s="9" t="s">
        <v>620</v>
      </c>
      <c r="V17" s="109"/>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0">
        <f t="shared" si="1"/>
        <v>0</v>
      </c>
      <c r="BY17" s="10">
        <f t="shared" si="2"/>
        <v>0</v>
      </c>
      <c r="BZ17" s="10">
        <f t="shared" si="3"/>
        <v>0</v>
      </c>
      <c r="CA17" s="10">
        <f t="shared" si="4"/>
        <v>0</v>
      </c>
      <c r="CB17" s="109"/>
      <c r="CC17" s="109"/>
      <c r="CD17" s="109"/>
      <c r="CE17" s="109"/>
      <c r="CF17" s="109"/>
      <c r="CG17" s="109"/>
      <c r="CH17" s="109"/>
      <c r="CI17" s="109"/>
      <c r="CK17" s="11"/>
      <c r="CL17" s="221">
        <f t="shared" si="5"/>
        <v>0</v>
      </c>
      <c r="CM17" s="11"/>
      <c r="CN17" s="7">
        <f t="shared" si="6"/>
        <v>0</v>
      </c>
      <c r="CO17" s="7" cm="1">
        <f t="array" ref="CO17">IF(AND(OR(IFERROR(MAX(ABS($AA17:$CI17)),0)&gt;0, ABS($V17)&gt;0), IFERROR(MATCH(E17, Parameters!$D$39:$D$42, 0), 0)=0), 1, 0)</f>
        <v>0</v>
      </c>
      <c r="CP17" s="7" cm="1">
        <f t="array" ref="CP17">IF(AND(OR(IFERROR(MAX(ABS($AA17:$CI17)),0)&gt;0, ABS($V17)&gt;0), IFERROR(MATCH(F17, Parameters!$D$52:$D$59, 0), "N/A")="N/A"), 1, 0)</f>
        <v>0</v>
      </c>
      <c r="CU17" s="7" cm="1">
        <f t="array" ref="CU17">NOT(OR(AND(ISNUMBER(G17:G17),G17&gt;=0,G17&lt;=1),ISBLANK(G17:G17)))+SUMPRODUCT(--NOT(ISNUMBER(V17:CI17)),--NOT(ISBLANK(V17:CI17)))</f>
        <v>0</v>
      </c>
      <c r="CW17" s="7">
        <f t="shared" si="7"/>
        <v>0</v>
      </c>
      <c r="CX17" s="7">
        <f t="shared" si="8"/>
        <v>0</v>
      </c>
      <c r="CY17" s="7">
        <f t="shared" si="9"/>
        <v>0</v>
      </c>
      <c r="CZ17" s="650"/>
      <c r="DA17" s="35"/>
      <c r="DB17" s="215">
        <f t="shared" si="10"/>
        <v>0</v>
      </c>
      <c r="DC17" s="215">
        <f t="shared" si="11"/>
        <v>0</v>
      </c>
      <c r="DD17" s="215">
        <f t="shared" si="12"/>
        <v>0</v>
      </c>
      <c r="DE17" s="215">
        <f t="shared" si="13"/>
        <v>0</v>
      </c>
      <c r="DF17" s="215">
        <f t="shared" si="14"/>
        <v>0</v>
      </c>
      <c r="DG17" s="215">
        <f t="shared" si="15"/>
        <v>0</v>
      </c>
      <c r="DH17" s="215">
        <f t="shared" si="16"/>
        <v>0</v>
      </c>
      <c r="DI17" s="35"/>
      <c r="DJ17">
        <v>1</v>
      </c>
      <c r="DK17">
        <v>1</v>
      </c>
      <c r="DL17" s="35"/>
      <c r="EZ17" s="12" t="str">
        <f t="shared" si="17"/>
        <v>Capital Expenditure CP5</v>
      </c>
    </row>
    <row r="18" spans="1:156" x14ac:dyDescent="0.35">
      <c r="A18" s="220" cm="1">
        <f t="array" aca="1" ref="A18" ca="1">HYPERLINK(CONCATENATE("#",CELL("address",IF(MAX($CM18:$CZ18)=0,A18,INDEX($CM18:$CZ18,MATCH(1,$CM18:$CZ18,0))))),MAX($CM18:$CZ18))</f>
        <v>0</v>
      </c>
      <c r="C18" s="309" t="s">
        <v>764</v>
      </c>
      <c r="D18" s="243"/>
      <c r="E18" s="243"/>
      <c r="F18" s="243"/>
      <c r="G18" s="567"/>
      <c r="H18" s="9" t="s">
        <v>620</v>
      </c>
      <c r="V18" s="109"/>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1"/>
        <v>0</v>
      </c>
      <c r="BY18" s="10">
        <f t="shared" si="2"/>
        <v>0</v>
      </c>
      <c r="BZ18" s="10">
        <f t="shared" si="3"/>
        <v>0</v>
      </c>
      <c r="CA18" s="10">
        <f t="shared" si="4"/>
        <v>0</v>
      </c>
      <c r="CB18" s="109"/>
      <c r="CC18" s="109"/>
      <c r="CD18" s="109"/>
      <c r="CE18" s="109"/>
      <c r="CF18" s="109"/>
      <c r="CG18" s="109"/>
      <c r="CH18" s="109"/>
      <c r="CI18" s="109"/>
      <c r="CK18" s="11"/>
      <c r="CL18" s="221">
        <f t="shared" si="5"/>
        <v>0</v>
      </c>
      <c r="CM18" s="11"/>
      <c r="CN18" s="7">
        <f t="shared" si="6"/>
        <v>0</v>
      </c>
      <c r="CO18" s="7" cm="1">
        <f t="array" ref="CO18">IF(AND(OR(IFERROR(MAX(ABS($AA18:$CI18)),0)&gt;0, ABS($V18)&gt;0), IFERROR(MATCH(E18, Parameters!$D$39:$D$42, 0), 0)=0), 1, 0)</f>
        <v>0</v>
      </c>
      <c r="CP18" s="7" cm="1">
        <f t="array" ref="CP18">IF(AND(OR(IFERROR(MAX(ABS($AA18:$CI18)),0)&gt;0, ABS($V18)&gt;0), IFERROR(MATCH(F18, Parameters!$D$52:$D$59, 0), "N/A")="N/A"), 1, 0)</f>
        <v>0</v>
      </c>
      <c r="CU18" s="7" cm="1">
        <f t="array" ref="CU18">NOT(OR(AND(ISNUMBER(G18:G18),G18&gt;=0,G18&lt;=1),ISBLANK(G18:G18)))+SUMPRODUCT(--NOT(ISNUMBER(V18:CI18)),--NOT(ISBLANK(V18:CI18)))</f>
        <v>0</v>
      </c>
      <c r="CW18" s="7">
        <f t="shared" si="7"/>
        <v>0</v>
      </c>
      <c r="CX18" s="7">
        <f t="shared" si="8"/>
        <v>0</v>
      </c>
      <c r="CY18" s="7">
        <f t="shared" si="9"/>
        <v>0</v>
      </c>
      <c r="CZ18" s="650"/>
      <c r="DA18" s="35"/>
      <c r="DB18" s="215">
        <f t="shared" si="10"/>
        <v>0</v>
      </c>
      <c r="DC18" s="215">
        <f t="shared" si="11"/>
        <v>0</v>
      </c>
      <c r="DD18" s="215">
        <f t="shared" si="12"/>
        <v>0</v>
      </c>
      <c r="DE18" s="215">
        <f t="shared" si="13"/>
        <v>0</v>
      </c>
      <c r="DF18" s="215">
        <f t="shared" si="14"/>
        <v>0</v>
      </c>
      <c r="DG18" s="215">
        <f t="shared" si="15"/>
        <v>0</v>
      </c>
      <c r="DH18" s="215">
        <f t="shared" si="16"/>
        <v>0</v>
      </c>
      <c r="DI18" s="35"/>
      <c r="DJ18">
        <v>1</v>
      </c>
      <c r="DK18">
        <v>1</v>
      </c>
      <c r="DL18" s="35"/>
      <c r="EZ18" s="12" t="str">
        <f t="shared" si="17"/>
        <v>Capital Expenditure CP6</v>
      </c>
    </row>
    <row r="19" spans="1:156" x14ac:dyDescent="0.35">
      <c r="A19" s="220" cm="1">
        <f t="array" aca="1" ref="A19" ca="1">HYPERLINK(CONCATENATE("#",CELL("address",IF(MAX($CM19:$CZ19)=0,A19,INDEX($CM19:$CZ19,MATCH(1,$CM19:$CZ19,0))))),MAX($CM19:$CZ19))</f>
        <v>0</v>
      </c>
      <c r="C19" s="309" t="s">
        <v>765</v>
      </c>
      <c r="D19" s="243"/>
      <c r="E19" s="243"/>
      <c r="F19" s="243"/>
      <c r="G19" s="567"/>
      <c r="H19" s="9" t="s">
        <v>620</v>
      </c>
      <c r="V19" s="109"/>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1"/>
        <v>0</v>
      </c>
      <c r="BY19" s="10">
        <f t="shared" si="2"/>
        <v>0</v>
      </c>
      <c r="BZ19" s="10">
        <f t="shared" si="3"/>
        <v>0</v>
      </c>
      <c r="CA19" s="10">
        <f t="shared" si="4"/>
        <v>0</v>
      </c>
      <c r="CB19" s="109"/>
      <c r="CC19" s="109"/>
      <c r="CD19" s="109"/>
      <c r="CE19" s="109"/>
      <c r="CF19" s="109"/>
      <c r="CG19" s="109"/>
      <c r="CH19" s="109"/>
      <c r="CI19" s="109"/>
      <c r="CK19" s="11"/>
      <c r="CL19" s="221">
        <f t="shared" si="5"/>
        <v>0</v>
      </c>
      <c r="CM19" s="11"/>
      <c r="CN19" s="7">
        <f t="shared" si="6"/>
        <v>0</v>
      </c>
      <c r="CO19" s="7" cm="1">
        <f t="array" ref="CO19">IF(AND(OR(IFERROR(MAX(ABS($AA19:$CI19)),0)&gt;0, ABS($V19)&gt;0), IFERROR(MATCH(E19, Parameters!$D$39:$D$42, 0), 0)=0), 1, 0)</f>
        <v>0</v>
      </c>
      <c r="CP19" s="7" cm="1">
        <f t="array" ref="CP19">IF(AND(OR(IFERROR(MAX(ABS($AA19:$CI19)),0)&gt;0, ABS($V19)&gt;0), IFERROR(MATCH(F19, Parameters!$D$52:$D$59, 0), "N/A")="N/A"), 1, 0)</f>
        <v>0</v>
      </c>
      <c r="CU19" s="7" cm="1">
        <f t="array" ref="CU19">NOT(OR(AND(ISNUMBER(G19:G19),G19&gt;=0,G19&lt;=1),ISBLANK(G19:G19)))+SUMPRODUCT(--NOT(ISNUMBER(V19:CI19)),--NOT(ISBLANK(V19:CI19)))</f>
        <v>0</v>
      </c>
      <c r="CW19" s="7">
        <f t="shared" si="7"/>
        <v>0</v>
      </c>
      <c r="CX19" s="7">
        <f t="shared" si="8"/>
        <v>0</v>
      </c>
      <c r="CY19" s="7">
        <f t="shared" si="9"/>
        <v>0</v>
      </c>
      <c r="CZ19" s="650"/>
      <c r="DA19" s="35"/>
      <c r="DB19" s="215">
        <f t="shared" si="10"/>
        <v>0</v>
      </c>
      <c r="DC19" s="215">
        <f t="shared" si="11"/>
        <v>0</v>
      </c>
      <c r="DD19" s="215">
        <f t="shared" si="12"/>
        <v>0</v>
      </c>
      <c r="DE19" s="215">
        <f t="shared" si="13"/>
        <v>0</v>
      </c>
      <c r="DF19" s="215">
        <f t="shared" si="14"/>
        <v>0</v>
      </c>
      <c r="DG19" s="215">
        <f t="shared" si="15"/>
        <v>0</v>
      </c>
      <c r="DH19" s="215">
        <f t="shared" si="16"/>
        <v>0</v>
      </c>
      <c r="DI19" s="35"/>
      <c r="DJ19">
        <v>1</v>
      </c>
      <c r="DK19">
        <v>1</v>
      </c>
      <c r="DL19" s="35"/>
      <c r="EZ19" s="12" t="str">
        <f t="shared" si="17"/>
        <v>Capital Expenditure CP7</v>
      </c>
    </row>
    <row r="20" spans="1:156" x14ac:dyDescent="0.35">
      <c r="A20" s="220" cm="1">
        <f t="array" aca="1" ref="A20" ca="1">HYPERLINK(CONCATENATE("#",CELL("address",IF(MAX($CM20:$CZ20)=0,A20,INDEX($CM20:$CZ20,MATCH(1,$CM20:$CZ20,0))))),MAX($CM20:$CZ20))</f>
        <v>0</v>
      </c>
      <c r="C20" s="309" t="s">
        <v>766</v>
      </c>
      <c r="D20" s="243"/>
      <c r="E20" s="243"/>
      <c r="F20" s="243"/>
      <c r="G20" s="567"/>
      <c r="H20" s="9" t="s">
        <v>620</v>
      </c>
      <c r="V20" s="109"/>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1"/>
        <v>0</v>
      </c>
      <c r="BY20" s="10">
        <f t="shared" si="2"/>
        <v>0</v>
      </c>
      <c r="BZ20" s="10">
        <f t="shared" si="3"/>
        <v>0</v>
      </c>
      <c r="CA20" s="10">
        <f t="shared" si="4"/>
        <v>0</v>
      </c>
      <c r="CB20" s="109"/>
      <c r="CC20" s="109"/>
      <c r="CD20" s="109"/>
      <c r="CE20" s="109"/>
      <c r="CF20" s="109"/>
      <c r="CG20" s="109"/>
      <c r="CH20" s="109"/>
      <c r="CI20" s="109"/>
      <c r="CK20" s="11"/>
      <c r="CL20" s="221">
        <f t="shared" si="5"/>
        <v>0</v>
      </c>
      <c r="CM20" s="11"/>
      <c r="CN20" s="7">
        <f t="shared" si="6"/>
        <v>0</v>
      </c>
      <c r="CO20" s="7" cm="1">
        <f t="array" ref="CO20">IF(AND(OR(IFERROR(MAX(ABS($AA20:$CI20)),0)&gt;0, ABS($V20)&gt;0), IFERROR(MATCH(E20, Parameters!$D$39:$D$42, 0), 0)=0), 1, 0)</f>
        <v>0</v>
      </c>
      <c r="CP20" s="7" cm="1">
        <f t="array" ref="CP20">IF(AND(OR(IFERROR(MAX(ABS($AA20:$CI20)),0)&gt;0, ABS($V20)&gt;0), IFERROR(MATCH(F20, Parameters!$D$52:$D$59, 0), "N/A")="N/A"), 1, 0)</f>
        <v>0</v>
      </c>
      <c r="CU20" s="7" cm="1">
        <f t="array" ref="CU20">NOT(OR(AND(ISNUMBER(G20:G20),G20&gt;=0,G20&lt;=1),ISBLANK(G20:G20)))+SUMPRODUCT(--NOT(ISNUMBER(V20:CI20)),--NOT(ISBLANK(V20:CI20)))</f>
        <v>0</v>
      </c>
      <c r="CW20" s="7">
        <f t="shared" si="7"/>
        <v>0</v>
      </c>
      <c r="CX20" s="7">
        <f t="shared" si="8"/>
        <v>0</v>
      </c>
      <c r="CY20" s="7">
        <f t="shared" si="9"/>
        <v>0</v>
      </c>
      <c r="CZ20" s="650"/>
      <c r="DA20" s="35"/>
      <c r="DB20" s="215">
        <f t="shared" si="10"/>
        <v>0</v>
      </c>
      <c r="DC20" s="215">
        <f t="shared" si="11"/>
        <v>0</v>
      </c>
      <c r="DD20" s="215">
        <f t="shared" si="12"/>
        <v>0</v>
      </c>
      <c r="DE20" s="215">
        <f t="shared" si="13"/>
        <v>0</v>
      </c>
      <c r="DF20" s="215">
        <f t="shared" si="14"/>
        <v>0</v>
      </c>
      <c r="DG20" s="215">
        <f t="shared" si="15"/>
        <v>0</v>
      </c>
      <c r="DH20" s="215">
        <f t="shared" si="16"/>
        <v>0</v>
      </c>
      <c r="DI20" s="35"/>
      <c r="DJ20">
        <v>1</v>
      </c>
      <c r="DK20">
        <v>1</v>
      </c>
      <c r="DL20" s="35"/>
      <c r="EZ20" s="12" t="str">
        <f t="shared" si="17"/>
        <v>Capital Expenditure CP8</v>
      </c>
    </row>
    <row r="21" spans="1:156" x14ac:dyDescent="0.35">
      <c r="A21" s="220" cm="1">
        <f t="array" aca="1" ref="A21" ca="1">HYPERLINK(CONCATENATE("#",CELL("address",IF(MAX($CM21:$CZ21)=0,A21,INDEX($CM21:$CZ21,MATCH(1,$CM21:$CZ21,0))))),MAX($CM21:$CZ21))</f>
        <v>0</v>
      </c>
      <c r="C21" s="309" t="s">
        <v>767</v>
      </c>
      <c r="D21" s="243"/>
      <c r="E21" s="243"/>
      <c r="F21" s="243"/>
      <c r="G21" s="567"/>
      <c r="H21" s="9" t="s">
        <v>620</v>
      </c>
      <c r="V21" s="109"/>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1"/>
        <v>0</v>
      </c>
      <c r="BY21" s="10">
        <f t="shared" si="2"/>
        <v>0</v>
      </c>
      <c r="BZ21" s="10">
        <f t="shared" si="3"/>
        <v>0</v>
      </c>
      <c r="CA21" s="10">
        <f t="shared" si="4"/>
        <v>0</v>
      </c>
      <c r="CB21" s="109"/>
      <c r="CC21" s="109"/>
      <c r="CD21" s="109"/>
      <c r="CE21" s="109"/>
      <c r="CF21" s="109"/>
      <c r="CG21" s="109"/>
      <c r="CH21" s="109"/>
      <c r="CI21" s="109"/>
      <c r="CK21" s="11"/>
      <c r="CL21" s="221">
        <f t="shared" si="5"/>
        <v>0</v>
      </c>
      <c r="CM21" s="11"/>
      <c r="CN21" s="7">
        <f t="shared" si="6"/>
        <v>0</v>
      </c>
      <c r="CO21" s="7" cm="1">
        <f t="array" ref="CO21">IF(AND(OR(IFERROR(MAX(ABS($AA21:$CI21)),0)&gt;0, ABS($V21)&gt;0), IFERROR(MATCH(E21, Parameters!$D$39:$D$42, 0), 0)=0), 1, 0)</f>
        <v>0</v>
      </c>
      <c r="CP21" s="7" cm="1">
        <f t="array" ref="CP21">IF(AND(OR(IFERROR(MAX(ABS($AA21:$CI21)),0)&gt;0, ABS($V21)&gt;0), IFERROR(MATCH(F21, Parameters!$D$52:$D$59, 0), "N/A")="N/A"), 1, 0)</f>
        <v>0</v>
      </c>
      <c r="CU21" s="7" cm="1">
        <f t="array" ref="CU21">NOT(OR(AND(ISNUMBER(G21:G21),G21&gt;=0,G21&lt;=1),ISBLANK(G21:G21)))+SUMPRODUCT(--NOT(ISNUMBER(V21:CI21)),--NOT(ISBLANK(V21:CI21)))</f>
        <v>0</v>
      </c>
      <c r="CW21" s="7">
        <f t="shared" si="7"/>
        <v>0</v>
      </c>
      <c r="CX21" s="7">
        <f t="shared" si="8"/>
        <v>0</v>
      </c>
      <c r="CY21" s="7">
        <f t="shared" si="9"/>
        <v>0</v>
      </c>
      <c r="CZ21" s="650"/>
      <c r="DA21" s="35"/>
      <c r="DB21" s="215">
        <f t="shared" si="10"/>
        <v>0</v>
      </c>
      <c r="DC21" s="215">
        <f t="shared" si="11"/>
        <v>0</v>
      </c>
      <c r="DD21" s="215">
        <f t="shared" si="12"/>
        <v>0</v>
      </c>
      <c r="DE21" s="215">
        <f t="shared" si="13"/>
        <v>0</v>
      </c>
      <c r="DF21" s="215">
        <f t="shared" si="14"/>
        <v>0</v>
      </c>
      <c r="DG21" s="215">
        <f t="shared" si="15"/>
        <v>0</v>
      </c>
      <c r="DH21" s="215">
        <f t="shared" si="16"/>
        <v>0</v>
      </c>
      <c r="DI21" s="35"/>
      <c r="DJ21">
        <v>1</v>
      </c>
      <c r="DK21">
        <v>1</v>
      </c>
      <c r="DL21" s="35"/>
      <c r="EZ21" s="12" t="str">
        <f t="shared" si="17"/>
        <v>Capital Expenditure CP9</v>
      </c>
    </row>
    <row r="22" spans="1:156" x14ac:dyDescent="0.35">
      <c r="A22" s="220" cm="1">
        <f t="array" aca="1" ref="A22" ca="1">HYPERLINK(CONCATENATE("#",CELL("address",IF(MAX($CM22:$CZ22)=0,A22,INDEX($CM22:$CZ22,MATCH(1,$CM22:$CZ22,0))))),MAX($CM22:$CZ22))</f>
        <v>0</v>
      </c>
      <c r="C22" s="309" t="s">
        <v>768</v>
      </c>
      <c r="D22" s="243"/>
      <c r="E22" s="243"/>
      <c r="F22" s="243"/>
      <c r="G22" s="567"/>
      <c r="H22" s="9" t="s">
        <v>620</v>
      </c>
      <c r="V22" s="109"/>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1"/>
        <v>0</v>
      </c>
      <c r="BY22" s="10">
        <f t="shared" si="2"/>
        <v>0</v>
      </c>
      <c r="BZ22" s="10">
        <f t="shared" si="3"/>
        <v>0</v>
      </c>
      <c r="CA22" s="10">
        <f t="shared" si="4"/>
        <v>0</v>
      </c>
      <c r="CB22" s="109"/>
      <c r="CC22" s="109"/>
      <c r="CD22" s="109"/>
      <c r="CE22" s="109"/>
      <c r="CF22" s="109"/>
      <c r="CG22" s="109"/>
      <c r="CH22" s="109"/>
      <c r="CI22" s="109"/>
      <c r="CK22" s="11"/>
      <c r="CL22" s="221">
        <f t="shared" si="5"/>
        <v>0</v>
      </c>
      <c r="CM22" s="11"/>
      <c r="CN22" s="7">
        <f t="shared" si="6"/>
        <v>0</v>
      </c>
      <c r="CO22" s="7" cm="1">
        <f t="array" ref="CO22">IF(AND(OR(IFERROR(MAX(ABS($AA22:$CI22)),0)&gt;0, ABS($V22)&gt;0), IFERROR(MATCH(E22, Parameters!$D$39:$D$42, 0), 0)=0), 1, 0)</f>
        <v>0</v>
      </c>
      <c r="CP22" s="7" cm="1">
        <f t="array" ref="CP22">IF(AND(OR(IFERROR(MAX(ABS($AA22:$CI22)),0)&gt;0, ABS($V22)&gt;0), IFERROR(MATCH(F22, Parameters!$D$52:$D$59, 0), "N/A")="N/A"), 1, 0)</f>
        <v>0</v>
      </c>
      <c r="CU22" s="7" cm="1">
        <f t="array" ref="CU22">NOT(OR(AND(ISNUMBER(G22:G22),G22&gt;=0,G22&lt;=1),ISBLANK(G22:G22)))+SUMPRODUCT(--NOT(ISNUMBER(V22:CI22)),--NOT(ISBLANK(V22:CI22)))</f>
        <v>0</v>
      </c>
      <c r="CW22" s="7">
        <f t="shared" si="7"/>
        <v>0</v>
      </c>
      <c r="CX22" s="7">
        <f t="shared" si="8"/>
        <v>0</v>
      </c>
      <c r="CY22" s="7">
        <f t="shared" si="9"/>
        <v>0</v>
      </c>
      <c r="CZ22" s="650"/>
      <c r="DA22" s="35"/>
      <c r="DB22" s="215">
        <f t="shared" si="10"/>
        <v>0</v>
      </c>
      <c r="DC22" s="215">
        <f t="shared" si="11"/>
        <v>0</v>
      </c>
      <c r="DD22" s="215">
        <f t="shared" si="12"/>
        <v>0</v>
      </c>
      <c r="DE22" s="215">
        <f t="shared" si="13"/>
        <v>0</v>
      </c>
      <c r="DF22" s="215">
        <f t="shared" si="14"/>
        <v>0</v>
      </c>
      <c r="DG22" s="215">
        <f t="shared" si="15"/>
        <v>0</v>
      </c>
      <c r="DH22" s="215">
        <f t="shared" si="16"/>
        <v>0</v>
      </c>
      <c r="DI22" s="35"/>
      <c r="DJ22">
        <v>1</v>
      </c>
      <c r="DK22">
        <v>1</v>
      </c>
      <c r="DL22" s="35"/>
      <c r="EZ22" s="12" t="str">
        <f t="shared" si="17"/>
        <v>Capital Expenditure CP10</v>
      </c>
    </row>
    <row r="23" spans="1:156" x14ac:dyDescent="0.35">
      <c r="A23" s="220" cm="1">
        <f t="array" aca="1" ref="A23" ca="1">HYPERLINK(CONCATENATE("#",CELL("address",IF(MAX($CM23:$CZ23)=0,A23,INDEX($CM23:$CZ23,MATCH(1,$CM23:$CZ23,0))))),MAX($CM23:$CZ23))</f>
        <v>0</v>
      </c>
      <c r="C23" s="309" t="s">
        <v>769</v>
      </c>
      <c r="D23" s="243"/>
      <c r="E23" s="243"/>
      <c r="F23" s="243"/>
      <c r="G23" s="567"/>
      <c r="H23" s="9" t="s">
        <v>620</v>
      </c>
      <c r="V23" s="109"/>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0">
        <f t="shared" si="1"/>
        <v>0</v>
      </c>
      <c r="BY23" s="10">
        <f t="shared" si="2"/>
        <v>0</v>
      </c>
      <c r="BZ23" s="10">
        <f t="shared" si="3"/>
        <v>0</v>
      </c>
      <c r="CA23" s="10">
        <f t="shared" si="4"/>
        <v>0</v>
      </c>
      <c r="CB23" s="109"/>
      <c r="CC23" s="109"/>
      <c r="CD23" s="109"/>
      <c r="CE23" s="109"/>
      <c r="CF23" s="109"/>
      <c r="CG23" s="109"/>
      <c r="CH23" s="109"/>
      <c r="CI23" s="109"/>
      <c r="CK23" s="11"/>
      <c r="CL23" s="221">
        <f t="shared" si="5"/>
        <v>0</v>
      </c>
      <c r="CM23" s="11"/>
      <c r="CN23" s="7">
        <f t="shared" si="6"/>
        <v>0</v>
      </c>
      <c r="CO23" s="7" cm="1">
        <f t="array" ref="CO23">IF(AND(OR(IFERROR(MAX(ABS($AA23:$CI23)),0)&gt;0, ABS($V23)&gt;0), IFERROR(MATCH(E23, Parameters!$D$39:$D$42, 0), 0)=0), 1, 0)</f>
        <v>0</v>
      </c>
      <c r="CP23" s="7" cm="1">
        <f t="array" ref="CP23">IF(AND(OR(IFERROR(MAX(ABS($AA23:$CI23)),0)&gt;0, ABS($V23)&gt;0), IFERROR(MATCH(F23, Parameters!$D$52:$D$59, 0), "N/A")="N/A"), 1, 0)</f>
        <v>0</v>
      </c>
      <c r="CU23" s="7" cm="1">
        <f t="array" ref="CU23">NOT(OR(AND(ISNUMBER(G23:G23),G23&gt;=0,G23&lt;=1),ISBLANK(G23:G23)))+SUMPRODUCT(--NOT(ISNUMBER(V23:CI23)),--NOT(ISBLANK(V23:CI23)))</f>
        <v>0</v>
      </c>
      <c r="CW23" s="7">
        <f t="shared" si="7"/>
        <v>0</v>
      </c>
      <c r="CX23" s="7">
        <f t="shared" si="8"/>
        <v>0</v>
      </c>
      <c r="CY23" s="7">
        <f t="shared" si="9"/>
        <v>0</v>
      </c>
      <c r="CZ23" s="650"/>
      <c r="DA23" s="35"/>
      <c r="DB23" s="215">
        <f t="shared" si="10"/>
        <v>0</v>
      </c>
      <c r="DC23" s="215">
        <f t="shared" si="11"/>
        <v>0</v>
      </c>
      <c r="DD23" s="215">
        <f t="shared" si="12"/>
        <v>0</v>
      </c>
      <c r="DE23" s="215">
        <f t="shared" si="13"/>
        <v>0</v>
      </c>
      <c r="DF23" s="215">
        <f t="shared" si="14"/>
        <v>0</v>
      </c>
      <c r="DG23" s="215">
        <f t="shared" si="15"/>
        <v>0</v>
      </c>
      <c r="DH23" s="215">
        <f t="shared" si="16"/>
        <v>0</v>
      </c>
      <c r="DI23" s="35"/>
      <c r="DJ23">
        <v>1</v>
      </c>
      <c r="DK23">
        <v>1</v>
      </c>
      <c r="DL23" s="35"/>
      <c r="EZ23" s="12" t="str">
        <f t="shared" si="17"/>
        <v>Capital Expenditure CP11</v>
      </c>
    </row>
    <row r="24" spans="1:156" x14ac:dyDescent="0.35">
      <c r="A24" s="220" cm="1">
        <f t="array" aca="1" ref="A24" ca="1">HYPERLINK(CONCATENATE("#",CELL("address",IF(MAX($CM24:$CZ24)=0,A24,INDEX($CM24:$CZ24,MATCH(1,$CM24:$CZ24,0))))),MAX($CM24:$CZ24))</f>
        <v>0</v>
      </c>
      <c r="C24" s="309" t="s">
        <v>770</v>
      </c>
      <c r="D24" s="243"/>
      <c r="E24" s="243"/>
      <c r="F24" s="243"/>
      <c r="G24" s="567"/>
      <c r="H24" s="9" t="s">
        <v>620</v>
      </c>
      <c r="V24" s="109"/>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 t="shared" si="1"/>
        <v>0</v>
      </c>
      <c r="BY24" s="10">
        <f t="shared" si="2"/>
        <v>0</v>
      </c>
      <c r="BZ24" s="10">
        <f t="shared" si="3"/>
        <v>0</v>
      </c>
      <c r="CA24" s="10">
        <f t="shared" si="4"/>
        <v>0</v>
      </c>
      <c r="CB24" s="109"/>
      <c r="CC24" s="109"/>
      <c r="CD24" s="109"/>
      <c r="CE24" s="109"/>
      <c r="CF24" s="109"/>
      <c r="CG24" s="109"/>
      <c r="CH24" s="109"/>
      <c r="CI24" s="109"/>
      <c r="CK24" s="11"/>
      <c r="CL24" s="221">
        <f t="shared" si="5"/>
        <v>0</v>
      </c>
      <c r="CM24" s="11"/>
      <c r="CN24" s="7">
        <f t="shared" si="6"/>
        <v>0</v>
      </c>
      <c r="CO24" s="7" cm="1">
        <f t="array" ref="CO24">IF(AND(OR(IFERROR(MAX(ABS($AA24:$CI24)),0)&gt;0, ABS($V24)&gt;0), IFERROR(MATCH(E24, Parameters!$D$39:$D$42, 0), 0)=0), 1, 0)</f>
        <v>0</v>
      </c>
      <c r="CP24" s="7" cm="1">
        <f t="array" ref="CP24">IF(AND(OR(IFERROR(MAX(ABS($AA24:$CI24)),0)&gt;0, ABS($V24)&gt;0), IFERROR(MATCH(F24, Parameters!$D$52:$D$59, 0), "N/A")="N/A"), 1, 0)</f>
        <v>0</v>
      </c>
      <c r="CU24" s="7" cm="1">
        <f t="array" ref="CU24">NOT(OR(AND(ISNUMBER(G24:G24),G24&gt;=0,G24&lt;=1),ISBLANK(G24:G24)))+SUMPRODUCT(--NOT(ISNUMBER(V24:CI24)),--NOT(ISBLANK(V24:CI24)))</f>
        <v>0</v>
      </c>
      <c r="CW24" s="7">
        <f t="shared" si="7"/>
        <v>0</v>
      </c>
      <c r="CX24" s="7">
        <f t="shared" si="8"/>
        <v>0</v>
      </c>
      <c r="CY24" s="7">
        <f t="shared" si="9"/>
        <v>0</v>
      </c>
      <c r="CZ24" s="650"/>
      <c r="DA24" s="35"/>
      <c r="DB24" s="215">
        <f t="shared" si="10"/>
        <v>0</v>
      </c>
      <c r="DC24" s="215">
        <f t="shared" si="11"/>
        <v>0</v>
      </c>
      <c r="DD24" s="215">
        <f t="shared" si="12"/>
        <v>0</v>
      </c>
      <c r="DE24" s="215">
        <f t="shared" si="13"/>
        <v>0</v>
      </c>
      <c r="DF24" s="215">
        <f t="shared" si="14"/>
        <v>0</v>
      </c>
      <c r="DG24" s="215">
        <f t="shared" si="15"/>
        <v>0</v>
      </c>
      <c r="DH24" s="215">
        <f t="shared" si="16"/>
        <v>0</v>
      </c>
      <c r="DI24" s="35"/>
      <c r="DJ24">
        <v>1</v>
      </c>
      <c r="DK24">
        <v>1</v>
      </c>
      <c r="DL24" s="35"/>
      <c r="EZ24" s="12" t="str">
        <f t="shared" si="17"/>
        <v>Capital Expenditure CP12</v>
      </c>
    </row>
    <row r="25" spans="1:156" x14ac:dyDescent="0.35">
      <c r="A25" s="220" cm="1">
        <f t="array" aca="1" ref="A25" ca="1">HYPERLINK(CONCATENATE("#",CELL("address",IF(MAX($CM25:$CZ25)=0,A25,INDEX($CM25:$CZ25,MATCH(1,$CM25:$CZ25,0))))),MAX($CM25:$CZ25))</f>
        <v>0</v>
      </c>
      <c r="C25" s="309" t="s">
        <v>771</v>
      </c>
      <c r="D25" s="243"/>
      <c r="E25" s="243"/>
      <c r="F25" s="243"/>
      <c r="G25" s="567"/>
      <c r="H25" s="9" t="s">
        <v>620</v>
      </c>
      <c r="V25" s="109"/>
      <c r="W25" s="133">
        <f t="shared" si="0"/>
        <v>0</v>
      </c>
      <c r="X25" s="133">
        <f t="shared" si="0"/>
        <v>0</v>
      </c>
      <c r="Y25" s="133">
        <f t="shared" si="0"/>
        <v>0</v>
      </c>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X25" s="10">
        <f t="shared" si="1"/>
        <v>0</v>
      </c>
      <c r="BY25" s="10">
        <f t="shared" si="2"/>
        <v>0</v>
      </c>
      <c r="BZ25" s="10">
        <f t="shared" si="3"/>
        <v>0</v>
      </c>
      <c r="CA25" s="10">
        <f t="shared" si="4"/>
        <v>0</v>
      </c>
      <c r="CB25" s="109"/>
      <c r="CC25" s="109"/>
      <c r="CD25" s="109"/>
      <c r="CE25" s="109"/>
      <c r="CF25" s="109"/>
      <c r="CG25" s="109"/>
      <c r="CH25" s="109"/>
      <c r="CI25" s="109"/>
      <c r="CK25" s="11"/>
      <c r="CL25" s="221">
        <f t="shared" si="5"/>
        <v>0</v>
      </c>
      <c r="CM25" s="11"/>
      <c r="CN25" s="7">
        <f t="shared" si="6"/>
        <v>0</v>
      </c>
      <c r="CO25" s="7" cm="1">
        <f t="array" ref="CO25">IF(AND(OR(IFERROR(MAX(ABS($AA25:$CI25)),0)&gt;0, ABS($V25)&gt;0), IFERROR(MATCH(E25, Parameters!$D$39:$D$42, 0), 0)=0), 1, 0)</f>
        <v>0</v>
      </c>
      <c r="CP25" s="7" cm="1">
        <f t="array" ref="CP25">IF(AND(OR(IFERROR(MAX(ABS($AA25:$CI25)),0)&gt;0, ABS($V25)&gt;0), IFERROR(MATCH(F25, Parameters!$D$52:$D$59, 0), "N/A")="N/A"), 1, 0)</f>
        <v>0</v>
      </c>
      <c r="CU25" s="7" cm="1">
        <f t="array" ref="CU25">NOT(OR(AND(ISNUMBER(G25:G25),G25&gt;=0,G25&lt;=1),ISBLANK(G25:G25)))+SUMPRODUCT(--NOT(ISNUMBER(V25:CI25)),--NOT(ISBLANK(V25:CI25)))</f>
        <v>0</v>
      </c>
      <c r="CW25" s="7">
        <f t="shared" si="7"/>
        <v>0</v>
      </c>
      <c r="CX25" s="7">
        <f t="shared" si="8"/>
        <v>0</v>
      </c>
      <c r="CY25" s="7">
        <f t="shared" si="9"/>
        <v>0</v>
      </c>
      <c r="CZ25" s="650"/>
      <c r="DA25" s="35"/>
      <c r="DB25" s="215">
        <f t="shared" si="10"/>
        <v>0</v>
      </c>
      <c r="DC25" s="215">
        <f t="shared" si="11"/>
        <v>0</v>
      </c>
      <c r="DD25" s="215">
        <f t="shared" si="12"/>
        <v>0</v>
      </c>
      <c r="DE25" s="215">
        <f t="shared" si="13"/>
        <v>0</v>
      </c>
      <c r="DF25" s="215">
        <f t="shared" si="14"/>
        <v>0</v>
      </c>
      <c r="DG25" s="215">
        <f t="shared" si="15"/>
        <v>0</v>
      </c>
      <c r="DH25" s="215">
        <f t="shared" si="16"/>
        <v>0</v>
      </c>
      <c r="DI25" s="35"/>
      <c r="DJ25">
        <v>1</v>
      </c>
      <c r="DK25">
        <v>1</v>
      </c>
      <c r="DL25" s="35"/>
      <c r="EZ25" s="12" t="str">
        <f t="shared" si="17"/>
        <v>Capital Expenditure CP13</v>
      </c>
    </row>
    <row r="26" spans="1:156" x14ac:dyDescent="0.35">
      <c r="A26" s="220" cm="1">
        <f t="array" aca="1" ref="A26" ca="1">HYPERLINK(CONCATENATE("#",CELL("address",IF(MAX($CM26:$CZ26)=0,A26,INDEX($CM26:$CZ26,MATCH(1,$CM26:$CZ26,0))))),MAX($CM26:$CZ26))</f>
        <v>0</v>
      </c>
      <c r="C26" s="309" t="s">
        <v>772</v>
      </c>
      <c r="D26" s="243"/>
      <c r="E26" s="243"/>
      <c r="F26" s="243"/>
      <c r="G26" s="567"/>
      <c r="H26" s="9" t="s">
        <v>620</v>
      </c>
      <c r="V26" s="109"/>
      <c r="W26" s="133">
        <f t="shared" si="0"/>
        <v>0</v>
      </c>
      <c r="X26" s="133">
        <f t="shared" si="0"/>
        <v>0</v>
      </c>
      <c r="Y26" s="133">
        <f t="shared" si="0"/>
        <v>0</v>
      </c>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X26" s="10">
        <f t="shared" si="1"/>
        <v>0</v>
      </c>
      <c r="BY26" s="10">
        <f t="shared" si="2"/>
        <v>0</v>
      </c>
      <c r="BZ26" s="10">
        <f t="shared" si="3"/>
        <v>0</v>
      </c>
      <c r="CA26" s="10">
        <f t="shared" si="4"/>
        <v>0</v>
      </c>
      <c r="CB26" s="109"/>
      <c r="CC26" s="109"/>
      <c r="CD26" s="109"/>
      <c r="CE26" s="109"/>
      <c r="CF26" s="109"/>
      <c r="CG26" s="109"/>
      <c r="CH26" s="109"/>
      <c r="CI26" s="109"/>
      <c r="CK26" s="11"/>
      <c r="CL26" s="221">
        <f t="shared" si="5"/>
        <v>0</v>
      </c>
      <c r="CM26" s="11"/>
      <c r="CN26" s="7">
        <f t="shared" si="6"/>
        <v>0</v>
      </c>
      <c r="CO26" s="7" cm="1">
        <f t="array" ref="CO26">IF(AND(OR(IFERROR(MAX(ABS($AA26:$CI26)),0)&gt;0, ABS($V26)&gt;0), IFERROR(MATCH(E26, Parameters!$D$39:$D$42, 0), 0)=0), 1, 0)</f>
        <v>0</v>
      </c>
      <c r="CP26" s="7" cm="1">
        <f t="array" ref="CP26">IF(AND(OR(IFERROR(MAX(ABS($AA26:$CI26)),0)&gt;0, ABS($V26)&gt;0), IFERROR(MATCH(F26, Parameters!$D$52:$D$59, 0), "N/A")="N/A"), 1, 0)</f>
        <v>0</v>
      </c>
      <c r="CU26" s="7" cm="1">
        <f t="array" ref="CU26">NOT(OR(AND(ISNUMBER(G26:G26),G26&gt;=0,G26&lt;=1),ISBLANK(G26:G26)))+SUMPRODUCT(--NOT(ISNUMBER(V26:CI26)),--NOT(ISBLANK(V26:CI26)))</f>
        <v>0</v>
      </c>
      <c r="CW26" s="7">
        <f t="shared" si="7"/>
        <v>0</v>
      </c>
      <c r="CX26" s="7">
        <f t="shared" si="8"/>
        <v>0</v>
      </c>
      <c r="CY26" s="7">
        <f t="shared" si="9"/>
        <v>0</v>
      </c>
      <c r="CZ26" s="650"/>
      <c r="DA26" s="35"/>
      <c r="DB26" s="215">
        <f t="shared" si="10"/>
        <v>0</v>
      </c>
      <c r="DC26" s="215">
        <f t="shared" si="11"/>
        <v>0</v>
      </c>
      <c r="DD26" s="215">
        <f t="shared" si="12"/>
        <v>0</v>
      </c>
      <c r="DE26" s="215">
        <f t="shared" si="13"/>
        <v>0</v>
      </c>
      <c r="DF26" s="215">
        <f t="shared" si="14"/>
        <v>0</v>
      </c>
      <c r="DG26" s="215">
        <f t="shared" si="15"/>
        <v>0</v>
      </c>
      <c r="DH26" s="215">
        <f t="shared" si="16"/>
        <v>0</v>
      </c>
      <c r="DI26" s="35"/>
      <c r="DJ26">
        <v>1</v>
      </c>
      <c r="DK26">
        <v>1</v>
      </c>
      <c r="DL26" s="35"/>
      <c r="EZ26" s="12" t="str">
        <f t="shared" si="17"/>
        <v>Capital Expenditure CP14</v>
      </c>
    </row>
    <row r="27" spans="1:156" x14ac:dyDescent="0.35">
      <c r="A27" s="220" cm="1">
        <f t="array" aca="1" ref="A27" ca="1">HYPERLINK(CONCATENATE("#",CELL("address",IF(MAX($CM27:$CZ27)=0,A27,INDEX($CM27:$CZ27,MATCH(1,$CM27:$CZ27,0))))),MAX($CM27:$CZ27))</f>
        <v>0</v>
      </c>
      <c r="C27" s="309" t="s">
        <v>773</v>
      </c>
      <c r="D27" s="243"/>
      <c r="E27" s="243"/>
      <c r="F27" s="243"/>
      <c r="G27" s="567"/>
      <c r="H27" s="9" t="s">
        <v>620</v>
      </c>
      <c r="V27" s="109"/>
      <c r="W27" s="133">
        <f t="shared" si="0"/>
        <v>0</v>
      </c>
      <c r="X27" s="133">
        <f t="shared" si="0"/>
        <v>0</v>
      </c>
      <c r="Y27" s="133">
        <f t="shared" si="0"/>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si="1"/>
        <v>0</v>
      </c>
      <c r="BY27" s="10">
        <f t="shared" si="2"/>
        <v>0</v>
      </c>
      <c r="BZ27" s="10">
        <f t="shared" si="3"/>
        <v>0</v>
      </c>
      <c r="CA27" s="10">
        <f t="shared" si="4"/>
        <v>0</v>
      </c>
      <c r="CB27" s="109"/>
      <c r="CC27" s="109"/>
      <c r="CD27" s="109"/>
      <c r="CE27" s="109"/>
      <c r="CF27" s="109"/>
      <c r="CG27" s="109"/>
      <c r="CH27" s="109"/>
      <c r="CI27" s="109"/>
      <c r="CK27" s="11"/>
      <c r="CL27" s="221">
        <f t="shared" si="5"/>
        <v>0</v>
      </c>
      <c r="CM27" s="11"/>
      <c r="CN27" s="7">
        <f t="shared" si="6"/>
        <v>0</v>
      </c>
      <c r="CO27" s="7" cm="1">
        <f t="array" ref="CO27">IF(AND(OR(IFERROR(MAX(ABS($AA27:$CI27)),0)&gt;0, ABS($V27)&gt;0), IFERROR(MATCH(E27, Parameters!$D$39:$D$42, 0), 0)=0), 1, 0)</f>
        <v>0</v>
      </c>
      <c r="CP27" s="7" cm="1">
        <f t="array" ref="CP27">IF(AND(OR(IFERROR(MAX(ABS($AA27:$CI27)),0)&gt;0, ABS($V27)&gt;0), IFERROR(MATCH(F27, Parameters!$D$52:$D$59, 0), "N/A")="N/A"), 1, 0)</f>
        <v>0</v>
      </c>
      <c r="CU27" s="7" cm="1">
        <f t="array" ref="CU27">NOT(OR(AND(ISNUMBER(G27:G27),G27&gt;=0,G27&lt;=1),ISBLANK(G27:G27)))+SUMPRODUCT(--NOT(ISNUMBER(V27:CI27)),--NOT(ISBLANK(V27:CI27)))</f>
        <v>0</v>
      </c>
      <c r="CW27" s="7">
        <f t="shared" si="7"/>
        <v>0</v>
      </c>
      <c r="CX27" s="7">
        <f t="shared" si="8"/>
        <v>0</v>
      </c>
      <c r="CY27" s="7">
        <f t="shared" si="9"/>
        <v>0</v>
      </c>
      <c r="CZ27" s="650"/>
      <c r="DA27" s="35"/>
      <c r="DB27" s="215">
        <f t="shared" si="10"/>
        <v>0</v>
      </c>
      <c r="DC27" s="215">
        <f t="shared" si="11"/>
        <v>0</v>
      </c>
      <c r="DD27" s="215">
        <f t="shared" si="12"/>
        <v>0</v>
      </c>
      <c r="DE27" s="215">
        <f t="shared" si="13"/>
        <v>0</v>
      </c>
      <c r="DF27" s="215">
        <f t="shared" si="14"/>
        <v>0</v>
      </c>
      <c r="DG27" s="215">
        <f t="shared" si="15"/>
        <v>0</v>
      </c>
      <c r="DH27" s="215">
        <f t="shared" si="16"/>
        <v>0</v>
      </c>
      <c r="DI27" s="35"/>
      <c r="DJ27">
        <v>1</v>
      </c>
      <c r="DK27">
        <v>1</v>
      </c>
      <c r="DL27" s="35"/>
      <c r="EZ27" s="12" t="str">
        <f t="shared" si="17"/>
        <v>Capital Expenditure CP15</v>
      </c>
    </row>
    <row r="28" spans="1:156" x14ac:dyDescent="0.35">
      <c r="A28" s="220" cm="1">
        <f t="array" aca="1" ref="A28" ca="1">HYPERLINK(CONCATENATE("#",CELL("address",IF(MAX($CM28:$CZ28)=0,A28,INDEX($CM28:$CZ28,MATCH(1,$CM28:$CZ28,0))))),MAX($CM28:$CZ28))</f>
        <v>0</v>
      </c>
      <c r="C28" s="253"/>
      <c r="D28" s="5" t="s">
        <v>774</v>
      </c>
      <c r="E28" s="5" t="str">
        <f>Parameters!$D$39</f>
        <v>Land &amp; Buildings</v>
      </c>
      <c r="V28" s="12">
        <f t="shared" ref="V28:Y31" si="18">SUMIFS(V$13:V$27, $E$13:$E$27, $E28)</f>
        <v>0</v>
      </c>
      <c r="W28" s="12">
        <f t="shared" si="18"/>
        <v>0</v>
      </c>
      <c r="X28" s="12">
        <f t="shared" si="18"/>
        <v>0</v>
      </c>
      <c r="Y28" s="12">
        <f t="shared" si="18"/>
        <v>0</v>
      </c>
      <c r="AA28" s="12">
        <f t="shared" ref="AA28:AJ31" si="19">SUMIFS(AA$13:AA$27, $E$13:$E$27, $E28)</f>
        <v>0</v>
      </c>
      <c r="AB28" s="12">
        <f t="shared" si="19"/>
        <v>0</v>
      </c>
      <c r="AC28" s="12">
        <f t="shared" si="19"/>
        <v>0</v>
      </c>
      <c r="AD28" s="12">
        <f t="shared" si="19"/>
        <v>0</v>
      </c>
      <c r="AE28" s="12">
        <f t="shared" si="19"/>
        <v>0</v>
      </c>
      <c r="AF28" s="12">
        <f t="shared" si="19"/>
        <v>0</v>
      </c>
      <c r="AG28" s="12">
        <f t="shared" si="19"/>
        <v>0</v>
      </c>
      <c r="AH28" s="12">
        <f t="shared" ref="AH28:AI31" si="20">SUMIFS(AH$13:AH$27, $E$13:$E$27, $E28)</f>
        <v>0</v>
      </c>
      <c r="AI28" s="12">
        <f t="shared" si="20"/>
        <v>0</v>
      </c>
      <c r="AJ28" s="12">
        <f t="shared" si="19"/>
        <v>0</v>
      </c>
      <c r="AK28" s="12">
        <f t="shared" ref="AK28:AT31" si="21">SUMIFS(AK$13:AK$27, $E$13:$E$27, $E28)</f>
        <v>0</v>
      </c>
      <c r="AL28" s="12">
        <f t="shared" si="21"/>
        <v>0</v>
      </c>
      <c r="AM28" s="12">
        <f t="shared" si="21"/>
        <v>0</v>
      </c>
      <c r="AN28" s="12">
        <f t="shared" si="21"/>
        <v>0</v>
      </c>
      <c r="AO28" s="12">
        <f t="shared" si="21"/>
        <v>0</v>
      </c>
      <c r="AP28" s="12">
        <f t="shared" si="21"/>
        <v>0</v>
      </c>
      <c r="AQ28" s="12">
        <f t="shared" si="21"/>
        <v>0</v>
      </c>
      <c r="AR28" s="12">
        <f t="shared" si="21"/>
        <v>0</v>
      </c>
      <c r="AS28" s="12">
        <f t="shared" si="21"/>
        <v>0</v>
      </c>
      <c r="AT28" s="12">
        <f t="shared" si="21"/>
        <v>0</v>
      </c>
      <c r="AU28" s="12">
        <f t="shared" ref="AU28:BD31" si="22">SUMIFS(AU$13:AU$27, $E$13:$E$27, $E28)</f>
        <v>0</v>
      </c>
      <c r="AV28" s="12">
        <f t="shared" si="22"/>
        <v>0</v>
      </c>
      <c r="AW28" s="12">
        <f t="shared" si="22"/>
        <v>0</v>
      </c>
      <c r="AX28" s="12">
        <f t="shared" si="22"/>
        <v>0</v>
      </c>
      <c r="AY28" s="12">
        <f t="shared" si="22"/>
        <v>0</v>
      </c>
      <c r="AZ28" s="12">
        <f t="shared" si="22"/>
        <v>0</v>
      </c>
      <c r="BA28" s="12">
        <f t="shared" si="22"/>
        <v>0</v>
      </c>
      <c r="BB28" s="12">
        <f t="shared" si="22"/>
        <v>0</v>
      </c>
      <c r="BC28" s="12">
        <f t="shared" si="22"/>
        <v>0</v>
      </c>
      <c r="BD28" s="12">
        <f t="shared" si="22"/>
        <v>0</v>
      </c>
      <c r="BE28" s="12">
        <f t="shared" ref="BE28:BJ31" si="23">SUMIFS(BE$13:BE$27, $E$13:$E$27, $E28)</f>
        <v>0</v>
      </c>
      <c r="BF28" s="12">
        <f t="shared" si="23"/>
        <v>0</v>
      </c>
      <c r="BG28" s="12">
        <f t="shared" si="23"/>
        <v>0</v>
      </c>
      <c r="BH28" s="12">
        <f t="shared" si="23"/>
        <v>0</v>
      </c>
      <c r="BI28" s="12">
        <f t="shared" si="23"/>
        <v>0</v>
      </c>
      <c r="BJ28" s="12">
        <f t="shared" si="23"/>
        <v>0</v>
      </c>
      <c r="BX28" s="12">
        <f t="shared" ref="BX28:CI31" si="24">SUMIFS(BX$13:BX$27, $E$13:$E$27, $E28)</f>
        <v>0</v>
      </c>
      <c r="BY28" s="12">
        <f t="shared" si="24"/>
        <v>0</v>
      </c>
      <c r="BZ28" s="12">
        <f t="shared" si="24"/>
        <v>0</v>
      </c>
      <c r="CA28" s="12">
        <f t="shared" si="24"/>
        <v>0</v>
      </c>
      <c r="CB28" s="12">
        <f t="shared" si="24"/>
        <v>0</v>
      </c>
      <c r="CC28" s="12">
        <f t="shared" si="24"/>
        <v>0</v>
      </c>
      <c r="CD28" s="12">
        <f t="shared" si="24"/>
        <v>0</v>
      </c>
      <c r="CE28" s="12">
        <f t="shared" si="24"/>
        <v>0</v>
      </c>
      <c r="CF28" s="12">
        <f t="shared" si="24"/>
        <v>0</v>
      </c>
      <c r="CG28" s="12">
        <f t="shared" si="24"/>
        <v>0</v>
      </c>
      <c r="CH28" s="12">
        <f t="shared" si="24"/>
        <v>0</v>
      </c>
      <c r="CI28" s="12">
        <f t="shared" si="24"/>
        <v>0</v>
      </c>
      <c r="CK28" s="11"/>
      <c r="CL28" s="221">
        <f t="shared" si="5"/>
        <v>0</v>
      </c>
      <c r="CM28" s="11"/>
      <c r="CW28" s="7">
        <f t="shared" si="7"/>
        <v>0</v>
      </c>
      <c r="CX28" s="7">
        <f t="shared" si="8"/>
        <v>0</v>
      </c>
      <c r="CY28" s="7">
        <f t="shared" si="9"/>
        <v>0</v>
      </c>
      <c r="CZ28" s="650"/>
      <c r="DA28" s="35"/>
      <c r="DB28" s="215">
        <f t="shared" si="10"/>
        <v>0</v>
      </c>
      <c r="DC28" s="215">
        <f t="shared" si="11"/>
        <v>0</v>
      </c>
      <c r="DD28" s="215">
        <f t="shared" si="12"/>
        <v>0</v>
      </c>
      <c r="DE28" s="215">
        <f t="shared" si="13"/>
        <v>0</v>
      </c>
      <c r="DF28" s="215">
        <f t="shared" si="14"/>
        <v>0</v>
      </c>
      <c r="DG28" s="215">
        <f t="shared" si="15"/>
        <v>0</v>
      </c>
      <c r="DH28" s="215">
        <f t="shared" si="16"/>
        <v>0</v>
      </c>
      <c r="DI28" s="35"/>
      <c r="DJ28">
        <v>0</v>
      </c>
      <c r="DK28">
        <v>0</v>
      </c>
      <c r="DL28" s="35"/>
      <c r="EZ28" s="10" t="str">
        <f t="shared" ref="EZ28:EZ59" si="25">IF($C28="","",$D28)</f>
        <v/>
      </c>
    </row>
    <row r="29" spans="1:156" x14ac:dyDescent="0.35">
      <c r="A29" s="220" cm="1">
        <f t="array" aca="1" ref="A29" ca="1">HYPERLINK(CONCATENATE("#",CELL("address",IF(MAX($CM29:$CZ29)=0,A29,INDEX($CM29:$CZ29,MATCH(1,$CM29:$CZ29,0))))),MAX($CM29:$CZ29))</f>
        <v>0</v>
      </c>
      <c r="C29" s="253"/>
      <c r="D29" s="5" t="s">
        <v>775</v>
      </c>
      <c r="E29" s="5" t="str">
        <f>Parameters!$D$40</f>
        <v>Equipment</v>
      </c>
      <c r="V29" s="12">
        <f t="shared" si="18"/>
        <v>0</v>
      </c>
      <c r="W29" s="12">
        <f t="shared" si="18"/>
        <v>0</v>
      </c>
      <c r="X29" s="12">
        <f t="shared" si="18"/>
        <v>0</v>
      </c>
      <c r="Y29" s="12">
        <f t="shared" si="18"/>
        <v>0</v>
      </c>
      <c r="AA29" s="12">
        <f t="shared" si="19"/>
        <v>0</v>
      </c>
      <c r="AB29" s="12">
        <f t="shared" si="19"/>
        <v>0</v>
      </c>
      <c r="AC29" s="12">
        <f t="shared" si="19"/>
        <v>0</v>
      </c>
      <c r="AD29" s="12">
        <f t="shared" si="19"/>
        <v>0</v>
      </c>
      <c r="AE29" s="12">
        <f t="shared" si="19"/>
        <v>0</v>
      </c>
      <c r="AF29" s="12">
        <f t="shared" si="19"/>
        <v>0</v>
      </c>
      <c r="AG29" s="12">
        <f t="shared" si="19"/>
        <v>0</v>
      </c>
      <c r="AH29" s="12">
        <f t="shared" si="20"/>
        <v>0</v>
      </c>
      <c r="AI29" s="12">
        <f t="shared" si="20"/>
        <v>0</v>
      </c>
      <c r="AJ29" s="12">
        <f t="shared" si="19"/>
        <v>0</v>
      </c>
      <c r="AK29" s="12">
        <f t="shared" si="21"/>
        <v>0</v>
      </c>
      <c r="AL29" s="12">
        <f t="shared" si="21"/>
        <v>0</v>
      </c>
      <c r="AM29" s="12">
        <f t="shared" si="21"/>
        <v>0</v>
      </c>
      <c r="AN29" s="12">
        <f t="shared" si="21"/>
        <v>0</v>
      </c>
      <c r="AO29" s="12">
        <f t="shared" si="21"/>
        <v>0</v>
      </c>
      <c r="AP29" s="12">
        <f t="shared" si="21"/>
        <v>0</v>
      </c>
      <c r="AQ29" s="12">
        <f t="shared" si="21"/>
        <v>0</v>
      </c>
      <c r="AR29" s="12">
        <f t="shared" si="21"/>
        <v>0</v>
      </c>
      <c r="AS29" s="12">
        <f t="shared" si="21"/>
        <v>0</v>
      </c>
      <c r="AT29" s="12">
        <f t="shared" si="21"/>
        <v>0</v>
      </c>
      <c r="AU29" s="12">
        <f t="shared" si="22"/>
        <v>0</v>
      </c>
      <c r="AV29" s="12">
        <f t="shared" si="22"/>
        <v>0</v>
      </c>
      <c r="AW29" s="12">
        <f t="shared" si="22"/>
        <v>0</v>
      </c>
      <c r="AX29" s="12">
        <f t="shared" si="22"/>
        <v>0</v>
      </c>
      <c r="AY29" s="12">
        <f t="shared" si="22"/>
        <v>0</v>
      </c>
      <c r="AZ29" s="12">
        <f t="shared" si="22"/>
        <v>0</v>
      </c>
      <c r="BA29" s="12">
        <f t="shared" si="22"/>
        <v>0</v>
      </c>
      <c r="BB29" s="12">
        <f t="shared" si="22"/>
        <v>0</v>
      </c>
      <c r="BC29" s="12">
        <f t="shared" si="22"/>
        <v>0</v>
      </c>
      <c r="BD29" s="12">
        <f t="shared" si="22"/>
        <v>0</v>
      </c>
      <c r="BE29" s="12">
        <f t="shared" si="23"/>
        <v>0</v>
      </c>
      <c r="BF29" s="12">
        <f t="shared" si="23"/>
        <v>0</v>
      </c>
      <c r="BG29" s="12">
        <f t="shared" si="23"/>
        <v>0</v>
      </c>
      <c r="BH29" s="12">
        <f t="shared" si="23"/>
        <v>0</v>
      </c>
      <c r="BI29" s="12">
        <f t="shared" si="23"/>
        <v>0</v>
      </c>
      <c r="BJ29" s="12">
        <f t="shared" si="23"/>
        <v>0</v>
      </c>
      <c r="BX29" s="12">
        <f t="shared" si="24"/>
        <v>0</v>
      </c>
      <c r="BY29" s="12">
        <f t="shared" si="24"/>
        <v>0</v>
      </c>
      <c r="BZ29" s="12">
        <f t="shared" si="24"/>
        <v>0</v>
      </c>
      <c r="CA29" s="12">
        <f t="shared" si="24"/>
        <v>0</v>
      </c>
      <c r="CB29" s="12">
        <f t="shared" si="24"/>
        <v>0</v>
      </c>
      <c r="CC29" s="12">
        <f t="shared" si="24"/>
        <v>0</v>
      </c>
      <c r="CD29" s="12">
        <f t="shared" si="24"/>
        <v>0</v>
      </c>
      <c r="CE29" s="12">
        <f t="shared" si="24"/>
        <v>0</v>
      </c>
      <c r="CF29" s="12">
        <f t="shared" si="24"/>
        <v>0</v>
      </c>
      <c r="CG29" s="12">
        <f t="shared" si="24"/>
        <v>0</v>
      </c>
      <c r="CH29" s="12">
        <f t="shared" si="24"/>
        <v>0</v>
      </c>
      <c r="CI29" s="12">
        <f t="shared" si="24"/>
        <v>0</v>
      </c>
      <c r="CK29" s="11"/>
      <c r="CL29" s="221">
        <f t="shared" si="5"/>
        <v>0</v>
      </c>
      <c r="CM29" s="11"/>
      <c r="CW29" s="7">
        <f t="shared" si="7"/>
        <v>0</v>
      </c>
      <c r="CX29" s="7">
        <f t="shared" si="8"/>
        <v>0</v>
      </c>
      <c r="CY29" s="7">
        <f t="shared" si="9"/>
        <v>0</v>
      </c>
      <c r="CZ29" s="650"/>
      <c r="DA29" s="35"/>
      <c r="DB29" s="215">
        <f t="shared" si="10"/>
        <v>0</v>
      </c>
      <c r="DC29" s="215">
        <f t="shared" si="11"/>
        <v>0</v>
      </c>
      <c r="DD29" s="215">
        <f t="shared" si="12"/>
        <v>0</v>
      </c>
      <c r="DE29" s="215">
        <f t="shared" si="13"/>
        <v>0</v>
      </c>
      <c r="DF29" s="215">
        <f t="shared" si="14"/>
        <v>0</v>
      </c>
      <c r="DG29" s="215">
        <f t="shared" si="15"/>
        <v>0</v>
      </c>
      <c r="DH29" s="215">
        <f t="shared" si="16"/>
        <v>0</v>
      </c>
      <c r="DI29" s="35"/>
      <c r="DJ29">
        <v>0</v>
      </c>
      <c r="DK29">
        <v>0</v>
      </c>
      <c r="DL29" s="35"/>
      <c r="EZ29" s="10" t="str">
        <f t="shared" si="25"/>
        <v/>
      </c>
    </row>
    <row r="30" spans="1:156" x14ac:dyDescent="0.35">
      <c r="A30" s="220" cm="1">
        <f t="array" aca="1" ref="A30" ca="1">HYPERLINK(CONCATENATE("#",CELL("address",IF(MAX($CM30:$CZ30)=0,A30,INDEX($CM30:$CZ30,MATCH(1,$CM30:$CZ30,0))))),MAX($CM30:$CZ30))</f>
        <v>0</v>
      </c>
      <c r="C30" s="253"/>
      <c r="D30" s="5" t="s">
        <v>776</v>
      </c>
      <c r="E30" s="5" t="str">
        <f>Parameters!$D$41</f>
        <v>Other NCA</v>
      </c>
      <c r="V30" s="12">
        <f t="shared" si="18"/>
        <v>0</v>
      </c>
      <c r="W30" s="12">
        <f t="shared" si="18"/>
        <v>0</v>
      </c>
      <c r="X30" s="12">
        <f t="shared" si="18"/>
        <v>0</v>
      </c>
      <c r="Y30" s="12">
        <f t="shared" si="18"/>
        <v>0</v>
      </c>
      <c r="AA30" s="12">
        <f t="shared" si="19"/>
        <v>0</v>
      </c>
      <c r="AB30" s="12">
        <f t="shared" si="19"/>
        <v>0</v>
      </c>
      <c r="AC30" s="12">
        <f t="shared" si="19"/>
        <v>0</v>
      </c>
      <c r="AD30" s="12">
        <f t="shared" si="19"/>
        <v>0</v>
      </c>
      <c r="AE30" s="12">
        <f t="shared" si="19"/>
        <v>0</v>
      </c>
      <c r="AF30" s="12">
        <f t="shared" si="19"/>
        <v>0</v>
      </c>
      <c r="AG30" s="12">
        <f t="shared" si="19"/>
        <v>0</v>
      </c>
      <c r="AH30" s="12">
        <f t="shared" si="20"/>
        <v>0</v>
      </c>
      <c r="AI30" s="12">
        <f t="shared" si="20"/>
        <v>0</v>
      </c>
      <c r="AJ30" s="12">
        <f t="shared" si="19"/>
        <v>0</v>
      </c>
      <c r="AK30" s="12">
        <f t="shared" si="21"/>
        <v>0</v>
      </c>
      <c r="AL30" s="12">
        <f t="shared" si="21"/>
        <v>0</v>
      </c>
      <c r="AM30" s="12">
        <f t="shared" si="21"/>
        <v>0</v>
      </c>
      <c r="AN30" s="12">
        <f t="shared" si="21"/>
        <v>0</v>
      </c>
      <c r="AO30" s="12">
        <f t="shared" si="21"/>
        <v>0</v>
      </c>
      <c r="AP30" s="12">
        <f t="shared" si="21"/>
        <v>0</v>
      </c>
      <c r="AQ30" s="12">
        <f t="shared" si="21"/>
        <v>0</v>
      </c>
      <c r="AR30" s="12">
        <f t="shared" si="21"/>
        <v>0</v>
      </c>
      <c r="AS30" s="12">
        <f t="shared" si="21"/>
        <v>0</v>
      </c>
      <c r="AT30" s="12">
        <f t="shared" si="21"/>
        <v>0</v>
      </c>
      <c r="AU30" s="12">
        <f t="shared" si="22"/>
        <v>0</v>
      </c>
      <c r="AV30" s="12">
        <f t="shared" si="22"/>
        <v>0</v>
      </c>
      <c r="AW30" s="12">
        <f t="shared" si="22"/>
        <v>0</v>
      </c>
      <c r="AX30" s="12">
        <f t="shared" si="22"/>
        <v>0</v>
      </c>
      <c r="AY30" s="12">
        <f t="shared" si="22"/>
        <v>0</v>
      </c>
      <c r="AZ30" s="12">
        <f t="shared" si="22"/>
        <v>0</v>
      </c>
      <c r="BA30" s="12">
        <f t="shared" si="22"/>
        <v>0</v>
      </c>
      <c r="BB30" s="12">
        <f t="shared" si="22"/>
        <v>0</v>
      </c>
      <c r="BC30" s="12">
        <f t="shared" si="22"/>
        <v>0</v>
      </c>
      <c r="BD30" s="12">
        <f t="shared" si="22"/>
        <v>0</v>
      </c>
      <c r="BE30" s="12">
        <f t="shared" si="23"/>
        <v>0</v>
      </c>
      <c r="BF30" s="12">
        <f t="shared" si="23"/>
        <v>0</v>
      </c>
      <c r="BG30" s="12">
        <f t="shared" si="23"/>
        <v>0</v>
      </c>
      <c r="BH30" s="12">
        <f t="shared" si="23"/>
        <v>0</v>
      </c>
      <c r="BI30" s="12">
        <f t="shared" si="23"/>
        <v>0</v>
      </c>
      <c r="BJ30" s="12">
        <f t="shared" si="23"/>
        <v>0</v>
      </c>
      <c r="BX30" s="12">
        <f t="shared" si="24"/>
        <v>0</v>
      </c>
      <c r="BY30" s="12">
        <f t="shared" si="24"/>
        <v>0</v>
      </c>
      <c r="BZ30" s="12">
        <f t="shared" si="24"/>
        <v>0</v>
      </c>
      <c r="CA30" s="12">
        <f t="shared" si="24"/>
        <v>0</v>
      </c>
      <c r="CB30" s="12">
        <f t="shared" si="24"/>
        <v>0</v>
      </c>
      <c r="CC30" s="12">
        <f t="shared" si="24"/>
        <v>0</v>
      </c>
      <c r="CD30" s="12">
        <f t="shared" si="24"/>
        <v>0</v>
      </c>
      <c r="CE30" s="12">
        <f t="shared" si="24"/>
        <v>0</v>
      </c>
      <c r="CF30" s="12">
        <f t="shared" si="24"/>
        <v>0</v>
      </c>
      <c r="CG30" s="12">
        <f t="shared" si="24"/>
        <v>0</v>
      </c>
      <c r="CH30" s="12">
        <f t="shared" si="24"/>
        <v>0</v>
      </c>
      <c r="CI30" s="12">
        <f t="shared" si="24"/>
        <v>0</v>
      </c>
      <c r="CK30" s="11"/>
      <c r="CL30" s="221">
        <f t="shared" si="5"/>
        <v>0</v>
      </c>
      <c r="CM30" s="11"/>
      <c r="CW30" s="7">
        <f t="shared" si="7"/>
        <v>0</v>
      </c>
      <c r="CX30" s="7">
        <f t="shared" si="8"/>
        <v>0</v>
      </c>
      <c r="CY30" s="7">
        <f t="shared" si="9"/>
        <v>0</v>
      </c>
      <c r="CZ30" s="650"/>
      <c r="DA30" s="35"/>
      <c r="DB30" s="215">
        <f t="shared" si="10"/>
        <v>0</v>
      </c>
      <c r="DC30" s="215">
        <f t="shared" si="11"/>
        <v>0</v>
      </c>
      <c r="DD30" s="215">
        <f t="shared" si="12"/>
        <v>0</v>
      </c>
      <c r="DE30" s="215">
        <f t="shared" si="13"/>
        <v>0</v>
      </c>
      <c r="DF30" s="215">
        <f t="shared" si="14"/>
        <v>0</v>
      </c>
      <c r="DG30" s="215">
        <f t="shared" si="15"/>
        <v>0</v>
      </c>
      <c r="DH30" s="215">
        <f t="shared" si="16"/>
        <v>0</v>
      </c>
      <c r="DI30" s="35"/>
      <c r="DJ30">
        <v>0</v>
      </c>
      <c r="DK30">
        <v>0</v>
      </c>
      <c r="DL30" s="35"/>
      <c r="EZ30" s="10" t="str">
        <f t="shared" si="25"/>
        <v/>
      </c>
    </row>
    <row r="31" spans="1:156" x14ac:dyDescent="0.35">
      <c r="A31" s="220" cm="1">
        <f t="array" aca="1" ref="A31" ca="1">HYPERLINK(CONCATENATE("#",CELL("address",IF(MAX($CM31:$CZ31)=0,A31,INDEX($CM31:$CZ31,MATCH(1,$CM31:$CZ31,0))))),MAX($CM31:$CZ31))</f>
        <v>0</v>
      </c>
      <c r="C31" s="253"/>
      <c r="D31" s="5" t="s">
        <v>626</v>
      </c>
      <c r="E31" s="5" t="str">
        <f>Parameters!$D$42</f>
        <v>Assets under Construction</v>
      </c>
      <c r="V31" s="12">
        <f t="shared" si="18"/>
        <v>0</v>
      </c>
      <c r="W31" s="12">
        <f t="shared" si="18"/>
        <v>0</v>
      </c>
      <c r="X31" s="12">
        <f t="shared" si="18"/>
        <v>0</v>
      </c>
      <c r="Y31" s="12">
        <f t="shared" si="18"/>
        <v>0</v>
      </c>
      <c r="AA31" s="12">
        <f t="shared" si="19"/>
        <v>0</v>
      </c>
      <c r="AB31" s="12">
        <f t="shared" si="19"/>
        <v>0</v>
      </c>
      <c r="AC31" s="12">
        <f t="shared" si="19"/>
        <v>0</v>
      </c>
      <c r="AD31" s="12">
        <f t="shared" si="19"/>
        <v>0</v>
      </c>
      <c r="AE31" s="12">
        <f t="shared" si="19"/>
        <v>0</v>
      </c>
      <c r="AF31" s="12">
        <f t="shared" si="19"/>
        <v>0</v>
      </c>
      <c r="AG31" s="12">
        <f t="shared" si="19"/>
        <v>0</v>
      </c>
      <c r="AH31" s="12">
        <f t="shared" si="20"/>
        <v>0</v>
      </c>
      <c r="AI31" s="12">
        <f t="shared" si="20"/>
        <v>0</v>
      </c>
      <c r="AJ31" s="12">
        <f t="shared" si="19"/>
        <v>0</v>
      </c>
      <c r="AK31" s="12">
        <f t="shared" si="21"/>
        <v>0</v>
      </c>
      <c r="AL31" s="12">
        <f t="shared" si="21"/>
        <v>0</v>
      </c>
      <c r="AM31" s="12">
        <f t="shared" si="21"/>
        <v>0</v>
      </c>
      <c r="AN31" s="12">
        <f t="shared" si="21"/>
        <v>0</v>
      </c>
      <c r="AO31" s="12">
        <f t="shared" si="21"/>
        <v>0</v>
      </c>
      <c r="AP31" s="12">
        <f t="shared" si="21"/>
        <v>0</v>
      </c>
      <c r="AQ31" s="12">
        <f t="shared" si="21"/>
        <v>0</v>
      </c>
      <c r="AR31" s="12">
        <f t="shared" si="21"/>
        <v>0</v>
      </c>
      <c r="AS31" s="12">
        <f t="shared" si="21"/>
        <v>0</v>
      </c>
      <c r="AT31" s="12">
        <f t="shared" si="21"/>
        <v>0</v>
      </c>
      <c r="AU31" s="12">
        <f t="shared" si="22"/>
        <v>0</v>
      </c>
      <c r="AV31" s="12">
        <f t="shared" si="22"/>
        <v>0</v>
      </c>
      <c r="AW31" s="12">
        <f t="shared" si="22"/>
        <v>0</v>
      </c>
      <c r="AX31" s="12">
        <f t="shared" si="22"/>
        <v>0</v>
      </c>
      <c r="AY31" s="12">
        <f t="shared" si="22"/>
        <v>0</v>
      </c>
      <c r="AZ31" s="12">
        <f t="shared" si="22"/>
        <v>0</v>
      </c>
      <c r="BA31" s="12">
        <f t="shared" si="22"/>
        <v>0</v>
      </c>
      <c r="BB31" s="12">
        <f t="shared" si="22"/>
        <v>0</v>
      </c>
      <c r="BC31" s="12">
        <f t="shared" si="22"/>
        <v>0</v>
      </c>
      <c r="BD31" s="12">
        <f t="shared" si="22"/>
        <v>0</v>
      </c>
      <c r="BE31" s="12">
        <f t="shared" si="23"/>
        <v>0</v>
      </c>
      <c r="BF31" s="12">
        <f t="shared" si="23"/>
        <v>0</v>
      </c>
      <c r="BG31" s="12">
        <f t="shared" si="23"/>
        <v>0</v>
      </c>
      <c r="BH31" s="12">
        <f t="shared" si="23"/>
        <v>0</v>
      </c>
      <c r="BI31" s="12">
        <f t="shared" si="23"/>
        <v>0</v>
      </c>
      <c r="BJ31" s="12">
        <f t="shared" si="23"/>
        <v>0</v>
      </c>
      <c r="BX31" s="12">
        <f t="shared" si="24"/>
        <v>0</v>
      </c>
      <c r="BY31" s="12">
        <f t="shared" si="24"/>
        <v>0</v>
      </c>
      <c r="BZ31" s="12">
        <f t="shared" si="24"/>
        <v>0</v>
      </c>
      <c r="CA31" s="12">
        <f t="shared" si="24"/>
        <v>0</v>
      </c>
      <c r="CB31" s="12">
        <f t="shared" si="24"/>
        <v>0</v>
      </c>
      <c r="CC31" s="12">
        <f t="shared" si="24"/>
        <v>0</v>
      </c>
      <c r="CD31" s="12">
        <f t="shared" si="24"/>
        <v>0</v>
      </c>
      <c r="CE31" s="12">
        <f t="shared" si="24"/>
        <v>0</v>
      </c>
      <c r="CF31" s="12">
        <f t="shared" si="24"/>
        <v>0</v>
      </c>
      <c r="CG31" s="12">
        <f t="shared" si="24"/>
        <v>0</v>
      </c>
      <c r="CH31" s="12">
        <f t="shared" si="24"/>
        <v>0</v>
      </c>
      <c r="CI31" s="12">
        <f t="shared" si="24"/>
        <v>0</v>
      </c>
      <c r="CK31" s="11"/>
      <c r="CL31" s="221">
        <f t="shared" si="5"/>
        <v>0</v>
      </c>
      <c r="CM31" s="11"/>
      <c r="CW31" s="7">
        <f t="shared" si="7"/>
        <v>0</v>
      </c>
      <c r="CX31" s="7">
        <f t="shared" si="8"/>
        <v>0</v>
      </c>
      <c r="CY31" s="7">
        <f t="shared" si="9"/>
        <v>0</v>
      </c>
      <c r="CZ31" s="650"/>
      <c r="DA31" s="35"/>
      <c r="DB31" s="215">
        <f t="shared" si="10"/>
        <v>0</v>
      </c>
      <c r="DC31" s="215">
        <f t="shared" si="11"/>
        <v>0</v>
      </c>
      <c r="DD31" s="215">
        <f t="shared" si="12"/>
        <v>0</v>
      </c>
      <c r="DE31" s="215">
        <f t="shared" si="13"/>
        <v>0</v>
      </c>
      <c r="DF31" s="215">
        <f t="shared" si="14"/>
        <v>0</v>
      </c>
      <c r="DG31" s="215">
        <f t="shared" si="15"/>
        <v>0</v>
      </c>
      <c r="DH31" s="215">
        <f t="shared" si="16"/>
        <v>0</v>
      </c>
      <c r="DI31" s="35"/>
      <c r="DJ31">
        <v>0</v>
      </c>
      <c r="DK31">
        <v>0</v>
      </c>
      <c r="DL31" s="35"/>
      <c r="EZ31" s="10" t="str">
        <f t="shared" si="25"/>
        <v/>
      </c>
    </row>
    <row r="32" spans="1:156" x14ac:dyDescent="0.35">
      <c r="A32" s="220" cm="1">
        <f t="array" aca="1" ref="A32" ca="1">HYPERLINK(CONCATENATE("#",CELL("address",IF(MAX($CM32:$CZ32)=0,A32,INDEX($CM32:$CZ32,MATCH(1,$CM32:$CZ32,0))))),MAX($CM32:$CZ32))</f>
        <v>0</v>
      </c>
      <c r="C32" s="253"/>
      <c r="D32" s="5" t="s">
        <v>777</v>
      </c>
      <c r="E32" s="5" t="s">
        <v>778</v>
      </c>
      <c r="V32" s="12">
        <f>SUM(V28:V31)</f>
        <v>0</v>
      </c>
      <c r="W32" s="12">
        <f>SUM(W28:W31)</f>
        <v>0</v>
      </c>
      <c r="X32" s="12">
        <f>SUM(X28:X31)</f>
        <v>0</v>
      </c>
      <c r="Y32" s="12">
        <f>SUM(Y28:Y31)</f>
        <v>0</v>
      </c>
      <c r="AA32" s="12">
        <f t="shared" ref="AA32:BJ32" si="26">SUM(AA28:AA31)</f>
        <v>0</v>
      </c>
      <c r="AB32" s="12">
        <f t="shared" si="26"/>
        <v>0</v>
      </c>
      <c r="AC32" s="12">
        <f t="shared" si="26"/>
        <v>0</v>
      </c>
      <c r="AD32" s="12">
        <f t="shared" si="26"/>
        <v>0</v>
      </c>
      <c r="AE32" s="12">
        <f t="shared" si="26"/>
        <v>0</v>
      </c>
      <c r="AF32" s="12">
        <f t="shared" si="26"/>
        <v>0</v>
      </c>
      <c r="AG32" s="12">
        <f t="shared" si="26"/>
        <v>0</v>
      </c>
      <c r="AH32" s="12">
        <f t="shared" si="26"/>
        <v>0</v>
      </c>
      <c r="AI32" s="12">
        <f t="shared" si="26"/>
        <v>0</v>
      </c>
      <c r="AJ32" s="12">
        <f t="shared" si="26"/>
        <v>0</v>
      </c>
      <c r="AK32" s="12">
        <f t="shared" si="26"/>
        <v>0</v>
      </c>
      <c r="AL32" s="12">
        <f t="shared" si="26"/>
        <v>0</v>
      </c>
      <c r="AM32" s="12">
        <f t="shared" si="26"/>
        <v>0</v>
      </c>
      <c r="AN32" s="12">
        <f t="shared" si="26"/>
        <v>0</v>
      </c>
      <c r="AO32" s="12">
        <f t="shared" si="26"/>
        <v>0</v>
      </c>
      <c r="AP32" s="12">
        <f t="shared" si="26"/>
        <v>0</v>
      </c>
      <c r="AQ32" s="12">
        <f t="shared" si="26"/>
        <v>0</v>
      </c>
      <c r="AR32" s="12">
        <f t="shared" si="26"/>
        <v>0</v>
      </c>
      <c r="AS32" s="12">
        <f t="shared" si="26"/>
        <v>0</v>
      </c>
      <c r="AT32" s="12">
        <f t="shared" si="26"/>
        <v>0</v>
      </c>
      <c r="AU32" s="12">
        <f t="shared" si="26"/>
        <v>0</v>
      </c>
      <c r="AV32" s="12">
        <f t="shared" si="26"/>
        <v>0</v>
      </c>
      <c r="AW32" s="12">
        <f t="shared" si="26"/>
        <v>0</v>
      </c>
      <c r="AX32" s="12">
        <f t="shared" si="26"/>
        <v>0</v>
      </c>
      <c r="AY32" s="12">
        <f t="shared" si="26"/>
        <v>0</v>
      </c>
      <c r="AZ32" s="12">
        <f t="shared" si="26"/>
        <v>0</v>
      </c>
      <c r="BA32" s="12">
        <f t="shared" si="26"/>
        <v>0</v>
      </c>
      <c r="BB32" s="12">
        <f t="shared" si="26"/>
        <v>0</v>
      </c>
      <c r="BC32" s="12">
        <f t="shared" si="26"/>
        <v>0</v>
      </c>
      <c r="BD32" s="12">
        <f t="shared" si="26"/>
        <v>0</v>
      </c>
      <c r="BE32" s="12">
        <f t="shared" si="26"/>
        <v>0</v>
      </c>
      <c r="BF32" s="12">
        <f t="shared" si="26"/>
        <v>0</v>
      </c>
      <c r="BG32" s="12">
        <f t="shared" si="26"/>
        <v>0</v>
      </c>
      <c r="BH32" s="12">
        <f t="shared" si="26"/>
        <v>0</v>
      </c>
      <c r="BI32" s="12">
        <f t="shared" si="26"/>
        <v>0</v>
      </c>
      <c r="BJ32" s="12">
        <f t="shared" si="26"/>
        <v>0</v>
      </c>
      <c r="BX32" s="12">
        <f t="shared" ref="BX32:CI32" si="27">SUM(BX28:BX31)</f>
        <v>0</v>
      </c>
      <c r="BY32" s="12">
        <f t="shared" si="27"/>
        <v>0</v>
      </c>
      <c r="BZ32" s="12">
        <f t="shared" si="27"/>
        <v>0</v>
      </c>
      <c r="CA32" s="12">
        <f t="shared" si="27"/>
        <v>0</v>
      </c>
      <c r="CB32" s="12">
        <f t="shared" si="27"/>
        <v>0</v>
      </c>
      <c r="CC32" s="12">
        <f t="shared" si="27"/>
        <v>0</v>
      </c>
      <c r="CD32" s="12">
        <f t="shared" si="27"/>
        <v>0</v>
      </c>
      <c r="CE32" s="12">
        <f t="shared" si="27"/>
        <v>0</v>
      </c>
      <c r="CF32" s="12">
        <f t="shared" si="27"/>
        <v>0</v>
      </c>
      <c r="CG32" s="12">
        <f t="shared" si="27"/>
        <v>0</v>
      </c>
      <c r="CH32" s="12">
        <f t="shared" si="27"/>
        <v>0</v>
      </c>
      <c r="CI32" s="12">
        <f t="shared" si="27"/>
        <v>0</v>
      </c>
      <c r="CK32" s="11"/>
      <c r="CL32" s="221">
        <f t="shared" si="5"/>
        <v>0</v>
      </c>
      <c r="CM32" s="11"/>
      <c r="CV32" s="7">
        <f>IF(ROUND(SUM($V32:$CI32)-SUM($V13:$CI27), rounding)=0, 0, 1)</f>
        <v>0</v>
      </c>
      <c r="CW32" s="7">
        <f t="shared" si="7"/>
        <v>0</v>
      </c>
      <c r="CX32" s="7">
        <f t="shared" si="8"/>
        <v>0</v>
      </c>
      <c r="CY32" s="7">
        <f t="shared" si="9"/>
        <v>0</v>
      </c>
      <c r="CZ32" s="650"/>
      <c r="DA32" s="35"/>
      <c r="DB32" s="215">
        <f t="shared" si="10"/>
        <v>0</v>
      </c>
      <c r="DC32" s="215">
        <f t="shared" si="11"/>
        <v>0</v>
      </c>
      <c r="DD32" s="215">
        <f t="shared" si="12"/>
        <v>0</v>
      </c>
      <c r="DE32" s="215">
        <f t="shared" si="13"/>
        <v>0</v>
      </c>
      <c r="DF32" s="215">
        <f t="shared" si="14"/>
        <v>0</v>
      </c>
      <c r="DG32" s="215">
        <f t="shared" si="15"/>
        <v>0</v>
      </c>
      <c r="DH32" s="215">
        <f t="shared" si="16"/>
        <v>0</v>
      </c>
      <c r="DI32" s="35"/>
      <c r="DJ32">
        <v>0</v>
      </c>
      <c r="DK32">
        <v>0</v>
      </c>
      <c r="DL32" s="35"/>
      <c r="EZ32" s="10" t="str">
        <f t="shared" si="25"/>
        <v/>
      </c>
    </row>
    <row r="33" spans="1:156" ht="6.75" customHeight="1" x14ac:dyDescent="0.35">
      <c r="C33" s="253"/>
      <c r="D33" s="1"/>
      <c r="E33"/>
      <c r="BY33" s="6"/>
      <c r="CK33" s="35"/>
      <c r="CM33" s="35"/>
      <c r="CZ33" s="650"/>
      <c r="DA33" s="35"/>
      <c r="DB33" s="215"/>
      <c r="DC33" s="215"/>
      <c r="DD33" s="215"/>
      <c r="DE33" s="215"/>
      <c r="DF33" s="215"/>
      <c r="DG33" s="215"/>
      <c r="DH33" s="215"/>
      <c r="DI33" s="35"/>
      <c r="DJ33">
        <v>0</v>
      </c>
      <c r="DK33">
        <v>0</v>
      </c>
      <c r="DL33" s="35"/>
      <c r="EZ33" s="10" t="str">
        <f t="shared" si="25"/>
        <v/>
      </c>
    </row>
    <row r="34" spans="1:156" ht="15" customHeight="1" x14ac:dyDescent="0.35">
      <c r="C34" s="253"/>
      <c r="D34" s="5" t="s">
        <v>779</v>
      </c>
      <c r="E34" s="5" t="str">
        <f>Parameters!$D$55</f>
        <v>Donation of FA</v>
      </c>
      <c r="CK34" s="35"/>
      <c r="CM34" s="35"/>
      <c r="CZ34" s="650"/>
      <c r="DA34" s="35"/>
      <c r="DB34" s="215"/>
      <c r="DC34" s="215"/>
      <c r="DD34" s="215"/>
      <c r="DE34" s="215"/>
      <c r="DF34" s="215"/>
      <c r="DG34" s="215"/>
      <c r="DH34" s="215"/>
      <c r="DI34" s="35"/>
      <c r="DJ34">
        <v>0</v>
      </c>
      <c r="DK34">
        <v>0</v>
      </c>
      <c r="DL34" s="35"/>
      <c r="EZ34" s="10" t="str">
        <f t="shared" si="25"/>
        <v/>
      </c>
    </row>
    <row r="35" spans="1:156" ht="15" customHeight="1" x14ac:dyDescent="0.35">
      <c r="A35" s="220" cm="1">
        <f t="array" aca="1" ref="A35" ca="1">HYPERLINK(CONCATENATE("#",CELL("address",IF(MAX($CM35:$CZ35)=0,A35,INDEX($CM35:$CZ35,MATCH(1,$CM35:$CZ35,0))))),MAX($CM35:$CZ35))</f>
        <v>0</v>
      </c>
      <c r="C35" s="253"/>
      <c r="D35" t="s">
        <v>780</v>
      </c>
      <c r="E35" t="str">
        <f>Parameters!$D$39</f>
        <v>Land &amp; Buildings</v>
      </c>
      <c r="V35" s="135">
        <f t="shared" ref="V35:Y38" si="28">SUMIFS(V$13:V$27, $E$13:$E$27, $E35, $F$13:$F$27, $E$34)</f>
        <v>0</v>
      </c>
      <c r="W35" s="135">
        <f t="shared" si="28"/>
        <v>0</v>
      </c>
      <c r="X35" s="135">
        <f t="shared" si="28"/>
        <v>0</v>
      </c>
      <c r="Y35" s="135">
        <f t="shared" si="28"/>
        <v>0</v>
      </c>
      <c r="AA35" s="135">
        <f t="shared" ref="AA35:AJ38" si="29">SUMIFS(AA$13:AA$27, $E$13:$E$27, $E35, $F$13:$F$27, $E$34)</f>
        <v>0</v>
      </c>
      <c r="AB35" s="135">
        <f t="shared" si="29"/>
        <v>0</v>
      </c>
      <c r="AC35" s="135">
        <f t="shared" si="29"/>
        <v>0</v>
      </c>
      <c r="AD35" s="135">
        <f t="shared" si="29"/>
        <v>0</v>
      </c>
      <c r="AE35" s="135">
        <f t="shared" si="29"/>
        <v>0</v>
      </c>
      <c r="AF35" s="135">
        <f t="shared" si="29"/>
        <v>0</v>
      </c>
      <c r="AG35" s="135">
        <f t="shared" si="29"/>
        <v>0</v>
      </c>
      <c r="AH35" s="135">
        <f t="shared" ref="AH35:AI38" si="30">SUMIFS(AH$13:AH$27, $E$13:$E$27, $E35, $F$13:$F$27, $E$34)</f>
        <v>0</v>
      </c>
      <c r="AI35" s="135">
        <f t="shared" si="30"/>
        <v>0</v>
      </c>
      <c r="AJ35" s="135">
        <f t="shared" si="29"/>
        <v>0</v>
      </c>
      <c r="AK35" s="135">
        <f t="shared" ref="AK35:AT38" si="31">SUMIFS(AK$13:AK$27, $E$13:$E$27, $E35, $F$13:$F$27, $E$34)</f>
        <v>0</v>
      </c>
      <c r="AL35" s="135">
        <f t="shared" si="31"/>
        <v>0</v>
      </c>
      <c r="AM35" s="135">
        <f t="shared" si="31"/>
        <v>0</v>
      </c>
      <c r="AN35" s="135">
        <f t="shared" si="31"/>
        <v>0</v>
      </c>
      <c r="AO35" s="135">
        <f t="shared" si="31"/>
        <v>0</v>
      </c>
      <c r="AP35" s="135">
        <f t="shared" si="31"/>
        <v>0</v>
      </c>
      <c r="AQ35" s="135">
        <f t="shared" si="31"/>
        <v>0</v>
      </c>
      <c r="AR35" s="135">
        <f t="shared" si="31"/>
        <v>0</v>
      </c>
      <c r="AS35" s="135">
        <f t="shared" si="31"/>
        <v>0</v>
      </c>
      <c r="AT35" s="135">
        <f t="shared" si="31"/>
        <v>0</v>
      </c>
      <c r="AU35" s="135">
        <f t="shared" ref="AU35:BD38" si="32">SUMIFS(AU$13:AU$27, $E$13:$E$27, $E35, $F$13:$F$27, $E$34)</f>
        <v>0</v>
      </c>
      <c r="AV35" s="135">
        <f t="shared" si="32"/>
        <v>0</v>
      </c>
      <c r="AW35" s="135">
        <f t="shared" si="32"/>
        <v>0</v>
      </c>
      <c r="AX35" s="135">
        <f t="shared" si="32"/>
        <v>0</v>
      </c>
      <c r="AY35" s="135">
        <f t="shared" si="32"/>
        <v>0</v>
      </c>
      <c r="AZ35" s="135">
        <f t="shared" si="32"/>
        <v>0</v>
      </c>
      <c r="BA35" s="135">
        <f t="shared" si="32"/>
        <v>0</v>
      </c>
      <c r="BB35" s="135">
        <f t="shared" si="32"/>
        <v>0</v>
      </c>
      <c r="BC35" s="135">
        <f t="shared" si="32"/>
        <v>0</v>
      </c>
      <c r="BD35" s="135">
        <f t="shared" si="32"/>
        <v>0</v>
      </c>
      <c r="BE35" s="135">
        <f t="shared" ref="BE35:BJ38" si="33">SUMIFS(BE$13:BE$27, $E$13:$E$27, $E35, $F$13:$F$27, $E$34)</f>
        <v>0</v>
      </c>
      <c r="BF35" s="135">
        <f t="shared" si="33"/>
        <v>0</v>
      </c>
      <c r="BG35" s="135">
        <f t="shared" si="33"/>
        <v>0</v>
      </c>
      <c r="BH35" s="135">
        <f t="shared" si="33"/>
        <v>0</v>
      </c>
      <c r="BI35" s="135">
        <f t="shared" si="33"/>
        <v>0</v>
      </c>
      <c r="BJ35" s="135">
        <f t="shared" si="33"/>
        <v>0</v>
      </c>
      <c r="BX35" s="135">
        <f t="shared" ref="BX35:CI38" si="34">SUMIFS(BX$13:BX$27, $E$13:$E$27, $E35, $F$13:$F$27, $E$34)</f>
        <v>0</v>
      </c>
      <c r="BY35" s="135">
        <f t="shared" si="34"/>
        <v>0</v>
      </c>
      <c r="BZ35" s="135">
        <f t="shared" si="34"/>
        <v>0</v>
      </c>
      <c r="CA35" s="135">
        <f t="shared" si="34"/>
        <v>0</v>
      </c>
      <c r="CB35" s="135">
        <f t="shared" si="34"/>
        <v>0</v>
      </c>
      <c r="CC35" s="135">
        <f t="shared" si="34"/>
        <v>0</v>
      </c>
      <c r="CD35" s="135">
        <f t="shared" si="34"/>
        <v>0</v>
      </c>
      <c r="CE35" s="135">
        <f t="shared" si="34"/>
        <v>0</v>
      </c>
      <c r="CF35" s="135">
        <f t="shared" si="34"/>
        <v>0</v>
      </c>
      <c r="CG35" s="135">
        <f t="shared" si="34"/>
        <v>0</v>
      </c>
      <c r="CH35" s="135">
        <f t="shared" si="34"/>
        <v>0</v>
      </c>
      <c r="CI35" s="135">
        <f t="shared" si="34"/>
        <v>0</v>
      </c>
      <c r="CK35" s="35"/>
      <c r="CL35" s="221">
        <f>IF(MIN($V35:$CI35)&lt;0, 1, 0)</f>
        <v>0</v>
      </c>
      <c r="CM35" s="35"/>
      <c r="CW35" s="7">
        <f>IF(SUM($DB35:$DD35)=0, 0, 1)</f>
        <v>0</v>
      </c>
      <c r="CX35" s="7">
        <f>IF(SUM($DE35:$DG35)=0, 0, 1)</f>
        <v>0</v>
      </c>
      <c r="CY35" s="7">
        <f>IF($DH35=0, 0, 1)</f>
        <v>0</v>
      </c>
      <c r="CZ35" s="650"/>
      <c r="DA35" s="35"/>
      <c r="DB35" s="215">
        <f t="shared" ref="DB35:DD39" si="35">ROUND(W35-SUMIFS($AA35:$BJ35, $AA$3:$BJ$3, W$3), rounding)</f>
        <v>0</v>
      </c>
      <c r="DC35" s="215">
        <f t="shared" si="35"/>
        <v>0</v>
      </c>
      <c r="DD35" s="215">
        <f t="shared" si="35"/>
        <v>0</v>
      </c>
      <c r="DE35" s="215">
        <f>ROUND($BY35-SUMIFS($AA35:$BJ35, $AA$3:$BJ$3, $BY$3), rounding)</f>
        <v>0</v>
      </c>
      <c r="DF35" s="215">
        <f>ROUND($BZ35-SUMIFS($AA35:$BJ35, $AA$3:$BJ$3, $BZ$3), rounding)</f>
        <v>0</v>
      </c>
      <c r="DG35" s="215">
        <f>ROUND($CA35-SUMIFS($AA35:$BJ35, $AA$3:$BJ$3, $CA$3), rounding)</f>
        <v>0</v>
      </c>
      <c r="DH35" s="215">
        <f>ROUND($V35-$BX35, rounding)</f>
        <v>0</v>
      </c>
      <c r="DI35" s="35"/>
      <c r="DJ35">
        <v>0</v>
      </c>
      <c r="DK35">
        <v>0</v>
      </c>
      <c r="DL35" s="35"/>
      <c r="EZ35" s="10" t="str">
        <f t="shared" si="25"/>
        <v/>
      </c>
    </row>
    <row r="36" spans="1:156" ht="15" customHeight="1" x14ac:dyDescent="0.35">
      <c r="A36" s="220" cm="1">
        <f t="array" aca="1" ref="A36" ca="1">HYPERLINK(CONCATENATE("#",CELL("address",IF(MAX($CM36:$CZ36)=0,A36,INDEX($CM36:$CZ36,MATCH(1,$CM36:$CZ36,0))))),MAX($CM36:$CZ36))</f>
        <v>0</v>
      </c>
      <c r="C36" s="253"/>
      <c r="D36" t="s">
        <v>781</v>
      </c>
      <c r="E36" t="str">
        <f>Parameters!$D$40</f>
        <v>Equipment</v>
      </c>
      <c r="V36" s="135">
        <f t="shared" si="28"/>
        <v>0</v>
      </c>
      <c r="W36" s="135">
        <f t="shared" si="28"/>
        <v>0</v>
      </c>
      <c r="X36" s="135">
        <f t="shared" si="28"/>
        <v>0</v>
      </c>
      <c r="Y36" s="135">
        <f t="shared" si="28"/>
        <v>0</v>
      </c>
      <c r="AA36" s="135">
        <f t="shared" si="29"/>
        <v>0</v>
      </c>
      <c r="AB36" s="135">
        <f t="shared" si="29"/>
        <v>0</v>
      </c>
      <c r="AC36" s="135">
        <f t="shared" si="29"/>
        <v>0</v>
      </c>
      <c r="AD36" s="135">
        <f t="shared" si="29"/>
        <v>0</v>
      </c>
      <c r="AE36" s="135">
        <f t="shared" si="29"/>
        <v>0</v>
      </c>
      <c r="AF36" s="135">
        <f t="shared" si="29"/>
        <v>0</v>
      </c>
      <c r="AG36" s="135">
        <f t="shared" si="29"/>
        <v>0</v>
      </c>
      <c r="AH36" s="135">
        <f t="shared" si="30"/>
        <v>0</v>
      </c>
      <c r="AI36" s="135">
        <f t="shared" si="30"/>
        <v>0</v>
      </c>
      <c r="AJ36" s="135">
        <f t="shared" si="29"/>
        <v>0</v>
      </c>
      <c r="AK36" s="135">
        <f t="shared" si="31"/>
        <v>0</v>
      </c>
      <c r="AL36" s="135">
        <f t="shared" si="31"/>
        <v>0</v>
      </c>
      <c r="AM36" s="135">
        <f t="shared" si="31"/>
        <v>0</v>
      </c>
      <c r="AN36" s="135">
        <f t="shared" si="31"/>
        <v>0</v>
      </c>
      <c r="AO36" s="135">
        <f t="shared" si="31"/>
        <v>0</v>
      </c>
      <c r="AP36" s="135">
        <f t="shared" si="31"/>
        <v>0</v>
      </c>
      <c r="AQ36" s="135">
        <f t="shared" si="31"/>
        <v>0</v>
      </c>
      <c r="AR36" s="135">
        <f t="shared" si="31"/>
        <v>0</v>
      </c>
      <c r="AS36" s="135">
        <f t="shared" si="31"/>
        <v>0</v>
      </c>
      <c r="AT36" s="135">
        <f t="shared" si="31"/>
        <v>0</v>
      </c>
      <c r="AU36" s="135">
        <f t="shared" si="32"/>
        <v>0</v>
      </c>
      <c r="AV36" s="135">
        <f t="shared" si="32"/>
        <v>0</v>
      </c>
      <c r="AW36" s="135">
        <f t="shared" si="32"/>
        <v>0</v>
      </c>
      <c r="AX36" s="135">
        <f t="shared" si="32"/>
        <v>0</v>
      </c>
      <c r="AY36" s="135">
        <f t="shared" si="32"/>
        <v>0</v>
      </c>
      <c r="AZ36" s="135">
        <f t="shared" si="32"/>
        <v>0</v>
      </c>
      <c r="BA36" s="135">
        <f t="shared" si="32"/>
        <v>0</v>
      </c>
      <c r="BB36" s="135">
        <f t="shared" si="32"/>
        <v>0</v>
      </c>
      <c r="BC36" s="135">
        <f t="shared" si="32"/>
        <v>0</v>
      </c>
      <c r="BD36" s="135">
        <f t="shared" si="32"/>
        <v>0</v>
      </c>
      <c r="BE36" s="135">
        <f t="shared" si="33"/>
        <v>0</v>
      </c>
      <c r="BF36" s="135">
        <f t="shared" si="33"/>
        <v>0</v>
      </c>
      <c r="BG36" s="135">
        <f t="shared" si="33"/>
        <v>0</v>
      </c>
      <c r="BH36" s="135">
        <f t="shared" si="33"/>
        <v>0</v>
      </c>
      <c r="BI36" s="135">
        <f t="shared" si="33"/>
        <v>0</v>
      </c>
      <c r="BJ36" s="135">
        <f t="shared" si="33"/>
        <v>0</v>
      </c>
      <c r="BX36" s="135">
        <f t="shared" si="34"/>
        <v>0</v>
      </c>
      <c r="BY36" s="135">
        <f t="shared" si="34"/>
        <v>0</v>
      </c>
      <c r="BZ36" s="135">
        <f t="shared" si="34"/>
        <v>0</v>
      </c>
      <c r="CA36" s="135">
        <f t="shared" si="34"/>
        <v>0</v>
      </c>
      <c r="CB36" s="135">
        <f t="shared" si="34"/>
        <v>0</v>
      </c>
      <c r="CC36" s="135">
        <f t="shared" si="34"/>
        <v>0</v>
      </c>
      <c r="CD36" s="135">
        <f t="shared" si="34"/>
        <v>0</v>
      </c>
      <c r="CE36" s="135">
        <f t="shared" si="34"/>
        <v>0</v>
      </c>
      <c r="CF36" s="135">
        <f t="shared" si="34"/>
        <v>0</v>
      </c>
      <c r="CG36" s="135">
        <f t="shared" si="34"/>
        <v>0</v>
      </c>
      <c r="CH36" s="135">
        <f t="shared" si="34"/>
        <v>0</v>
      </c>
      <c r="CI36" s="135">
        <f t="shared" si="34"/>
        <v>0</v>
      </c>
      <c r="CK36" s="35"/>
      <c r="CL36" s="221">
        <f>IF(MIN($V36:$CI36)&lt;0, 1, 0)</f>
        <v>0</v>
      </c>
      <c r="CM36" s="35"/>
      <c r="CW36" s="7">
        <f>IF(SUM($DB36:$DD36)=0, 0, 1)</f>
        <v>0</v>
      </c>
      <c r="CX36" s="7">
        <f>IF(SUM($DE36:$DG36)=0, 0, 1)</f>
        <v>0</v>
      </c>
      <c r="CY36" s="7">
        <f>IF($DH36=0, 0, 1)</f>
        <v>0</v>
      </c>
      <c r="CZ36" s="650"/>
      <c r="DA36" s="35"/>
      <c r="DB36" s="215">
        <f t="shared" si="35"/>
        <v>0</v>
      </c>
      <c r="DC36" s="215">
        <f t="shared" si="35"/>
        <v>0</v>
      </c>
      <c r="DD36" s="215">
        <f t="shared" si="35"/>
        <v>0</v>
      </c>
      <c r="DE36" s="215">
        <f>ROUND($BY36-SUMIFS($AA36:$BJ36, $AA$3:$BJ$3, $BY$3), rounding)</f>
        <v>0</v>
      </c>
      <c r="DF36" s="215">
        <f>ROUND($BZ36-SUMIFS($AA36:$BJ36, $AA$3:$BJ$3, $BZ$3), rounding)</f>
        <v>0</v>
      </c>
      <c r="DG36" s="215">
        <f>ROUND($CA36-SUMIFS($AA36:$BJ36, $AA$3:$BJ$3, $CA$3), rounding)</f>
        <v>0</v>
      </c>
      <c r="DH36" s="215">
        <f>ROUND($V36-$BX36, rounding)</f>
        <v>0</v>
      </c>
      <c r="DI36" s="35"/>
      <c r="DJ36">
        <v>0</v>
      </c>
      <c r="DK36">
        <v>0</v>
      </c>
      <c r="DL36" s="35"/>
      <c r="EZ36" s="10" t="str">
        <f t="shared" si="25"/>
        <v/>
      </c>
    </row>
    <row r="37" spans="1:156" ht="15" customHeight="1" x14ac:dyDescent="0.35">
      <c r="A37" s="220" cm="1">
        <f t="array" aca="1" ref="A37" ca="1">HYPERLINK(CONCATENATE("#",CELL("address",IF(MAX($CM37:$CZ37)=0,A37,INDEX($CM37:$CZ37,MATCH(1,$CM37:$CZ37,0))))),MAX($CM37:$CZ37))</f>
        <v>0</v>
      </c>
      <c r="C37" s="253"/>
      <c r="D37" t="s">
        <v>782</v>
      </c>
      <c r="E37" t="str">
        <f>Parameters!$D$41</f>
        <v>Other NCA</v>
      </c>
      <c r="V37" s="135">
        <f t="shared" si="28"/>
        <v>0</v>
      </c>
      <c r="W37" s="135">
        <f t="shared" si="28"/>
        <v>0</v>
      </c>
      <c r="X37" s="135">
        <f t="shared" si="28"/>
        <v>0</v>
      </c>
      <c r="Y37" s="135">
        <f t="shared" si="28"/>
        <v>0</v>
      </c>
      <c r="AA37" s="135">
        <f t="shared" si="29"/>
        <v>0</v>
      </c>
      <c r="AB37" s="135">
        <f t="shared" si="29"/>
        <v>0</v>
      </c>
      <c r="AC37" s="135">
        <f t="shared" si="29"/>
        <v>0</v>
      </c>
      <c r="AD37" s="135">
        <f t="shared" si="29"/>
        <v>0</v>
      </c>
      <c r="AE37" s="135">
        <f t="shared" si="29"/>
        <v>0</v>
      </c>
      <c r="AF37" s="135">
        <f t="shared" si="29"/>
        <v>0</v>
      </c>
      <c r="AG37" s="135">
        <f t="shared" si="29"/>
        <v>0</v>
      </c>
      <c r="AH37" s="135">
        <f t="shared" si="30"/>
        <v>0</v>
      </c>
      <c r="AI37" s="135">
        <f t="shared" si="30"/>
        <v>0</v>
      </c>
      <c r="AJ37" s="135">
        <f t="shared" si="29"/>
        <v>0</v>
      </c>
      <c r="AK37" s="135">
        <f t="shared" si="31"/>
        <v>0</v>
      </c>
      <c r="AL37" s="135">
        <f t="shared" si="31"/>
        <v>0</v>
      </c>
      <c r="AM37" s="135">
        <f t="shared" si="31"/>
        <v>0</v>
      </c>
      <c r="AN37" s="135">
        <f t="shared" si="31"/>
        <v>0</v>
      </c>
      <c r="AO37" s="135">
        <f t="shared" si="31"/>
        <v>0</v>
      </c>
      <c r="AP37" s="135">
        <f t="shared" si="31"/>
        <v>0</v>
      </c>
      <c r="AQ37" s="135">
        <f t="shared" si="31"/>
        <v>0</v>
      </c>
      <c r="AR37" s="135">
        <f t="shared" si="31"/>
        <v>0</v>
      </c>
      <c r="AS37" s="135">
        <f t="shared" si="31"/>
        <v>0</v>
      </c>
      <c r="AT37" s="135">
        <f t="shared" si="31"/>
        <v>0</v>
      </c>
      <c r="AU37" s="135">
        <f t="shared" si="32"/>
        <v>0</v>
      </c>
      <c r="AV37" s="135">
        <f t="shared" si="32"/>
        <v>0</v>
      </c>
      <c r="AW37" s="135">
        <f t="shared" si="32"/>
        <v>0</v>
      </c>
      <c r="AX37" s="135">
        <f t="shared" si="32"/>
        <v>0</v>
      </c>
      <c r="AY37" s="135">
        <f t="shared" si="32"/>
        <v>0</v>
      </c>
      <c r="AZ37" s="135">
        <f t="shared" si="32"/>
        <v>0</v>
      </c>
      <c r="BA37" s="135">
        <f t="shared" si="32"/>
        <v>0</v>
      </c>
      <c r="BB37" s="135">
        <f t="shared" si="32"/>
        <v>0</v>
      </c>
      <c r="BC37" s="135">
        <f t="shared" si="32"/>
        <v>0</v>
      </c>
      <c r="BD37" s="135">
        <f t="shared" si="32"/>
        <v>0</v>
      </c>
      <c r="BE37" s="135">
        <f t="shared" si="33"/>
        <v>0</v>
      </c>
      <c r="BF37" s="135">
        <f t="shared" si="33"/>
        <v>0</v>
      </c>
      <c r="BG37" s="135">
        <f t="shared" si="33"/>
        <v>0</v>
      </c>
      <c r="BH37" s="135">
        <f t="shared" si="33"/>
        <v>0</v>
      </c>
      <c r="BI37" s="135">
        <f t="shared" si="33"/>
        <v>0</v>
      </c>
      <c r="BJ37" s="135">
        <f t="shared" si="33"/>
        <v>0</v>
      </c>
      <c r="BX37" s="135">
        <f t="shared" si="34"/>
        <v>0</v>
      </c>
      <c r="BY37" s="135">
        <f t="shared" si="34"/>
        <v>0</v>
      </c>
      <c r="BZ37" s="135">
        <f t="shared" si="34"/>
        <v>0</v>
      </c>
      <c r="CA37" s="135">
        <f t="shared" si="34"/>
        <v>0</v>
      </c>
      <c r="CB37" s="135">
        <f t="shared" si="34"/>
        <v>0</v>
      </c>
      <c r="CC37" s="135">
        <f t="shared" si="34"/>
        <v>0</v>
      </c>
      <c r="CD37" s="135">
        <f t="shared" si="34"/>
        <v>0</v>
      </c>
      <c r="CE37" s="135">
        <f t="shared" si="34"/>
        <v>0</v>
      </c>
      <c r="CF37" s="135">
        <f t="shared" si="34"/>
        <v>0</v>
      </c>
      <c r="CG37" s="135">
        <f t="shared" si="34"/>
        <v>0</v>
      </c>
      <c r="CH37" s="135">
        <f t="shared" si="34"/>
        <v>0</v>
      </c>
      <c r="CI37" s="135">
        <f t="shared" si="34"/>
        <v>0</v>
      </c>
      <c r="CK37" s="35"/>
      <c r="CL37" s="221">
        <f>IF(MIN($V37:$CI37)&lt;0, 1, 0)</f>
        <v>0</v>
      </c>
      <c r="CM37" s="35"/>
      <c r="CW37" s="7">
        <f>IF(SUM($DB37:$DD37)=0, 0, 1)</f>
        <v>0</v>
      </c>
      <c r="CX37" s="7">
        <f>IF(SUM($DE37:$DG37)=0, 0, 1)</f>
        <v>0</v>
      </c>
      <c r="CY37" s="7">
        <f>IF($DH37=0, 0, 1)</f>
        <v>0</v>
      </c>
      <c r="CZ37" s="650"/>
      <c r="DA37" s="35"/>
      <c r="DB37" s="215">
        <f t="shared" si="35"/>
        <v>0</v>
      </c>
      <c r="DC37" s="215">
        <f t="shared" si="35"/>
        <v>0</v>
      </c>
      <c r="DD37" s="215">
        <f t="shared" si="35"/>
        <v>0</v>
      </c>
      <c r="DE37" s="215">
        <f>ROUND($BY37-SUMIFS($AA37:$BJ37, $AA$3:$BJ$3, $BY$3), rounding)</f>
        <v>0</v>
      </c>
      <c r="DF37" s="215">
        <f>ROUND($BZ37-SUMIFS($AA37:$BJ37, $AA$3:$BJ$3, $BZ$3), rounding)</f>
        <v>0</v>
      </c>
      <c r="DG37" s="215">
        <f>ROUND($CA37-SUMIFS($AA37:$BJ37, $AA$3:$BJ$3, $CA$3), rounding)</f>
        <v>0</v>
      </c>
      <c r="DH37" s="215">
        <f>ROUND($V37-$BX37, rounding)</f>
        <v>0</v>
      </c>
      <c r="DI37" s="35"/>
      <c r="DJ37">
        <v>0</v>
      </c>
      <c r="DK37">
        <v>0</v>
      </c>
      <c r="DL37" s="35"/>
      <c r="EZ37" s="10" t="str">
        <f t="shared" si="25"/>
        <v/>
      </c>
    </row>
    <row r="38" spans="1:156" ht="15" customHeight="1" x14ac:dyDescent="0.35">
      <c r="A38" s="220" cm="1">
        <f t="array" aca="1" ref="A38" ca="1">HYPERLINK(CONCATENATE("#",CELL("address",IF(MAX($CM38:$CZ38)=0,A38,INDEX($CM38:$CZ38,MATCH(1,$CM38:$CZ38,0))))),MAX($CM38:$CZ38))</f>
        <v>0</v>
      </c>
      <c r="C38" s="253"/>
      <c r="D38" t="s">
        <v>783</v>
      </c>
      <c r="E38" t="str">
        <f>Parameters!$D$42</f>
        <v>Assets under Construction</v>
      </c>
      <c r="V38" s="135">
        <f t="shared" si="28"/>
        <v>0</v>
      </c>
      <c r="W38" s="135">
        <f t="shared" si="28"/>
        <v>0</v>
      </c>
      <c r="X38" s="135">
        <f t="shared" si="28"/>
        <v>0</v>
      </c>
      <c r="Y38" s="135">
        <f t="shared" si="28"/>
        <v>0</v>
      </c>
      <c r="AA38" s="135">
        <f t="shared" si="29"/>
        <v>0</v>
      </c>
      <c r="AB38" s="135">
        <f t="shared" si="29"/>
        <v>0</v>
      </c>
      <c r="AC38" s="135">
        <f t="shared" si="29"/>
        <v>0</v>
      </c>
      <c r="AD38" s="135">
        <f t="shared" si="29"/>
        <v>0</v>
      </c>
      <c r="AE38" s="135">
        <f t="shared" si="29"/>
        <v>0</v>
      </c>
      <c r="AF38" s="135">
        <f t="shared" si="29"/>
        <v>0</v>
      </c>
      <c r="AG38" s="135">
        <f t="shared" si="29"/>
        <v>0</v>
      </c>
      <c r="AH38" s="135">
        <f t="shared" si="30"/>
        <v>0</v>
      </c>
      <c r="AI38" s="135">
        <f t="shared" si="30"/>
        <v>0</v>
      </c>
      <c r="AJ38" s="135">
        <f t="shared" si="29"/>
        <v>0</v>
      </c>
      <c r="AK38" s="135">
        <f t="shared" si="31"/>
        <v>0</v>
      </c>
      <c r="AL38" s="135">
        <f t="shared" si="31"/>
        <v>0</v>
      </c>
      <c r="AM38" s="135">
        <f t="shared" si="31"/>
        <v>0</v>
      </c>
      <c r="AN38" s="135">
        <f t="shared" si="31"/>
        <v>0</v>
      </c>
      <c r="AO38" s="135">
        <f t="shared" si="31"/>
        <v>0</v>
      </c>
      <c r="AP38" s="135">
        <f t="shared" si="31"/>
        <v>0</v>
      </c>
      <c r="AQ38" s="135">
        <f t="shared" si="31"/>
        <v>0</v>
      </c>
      <c r="AR38" s="135">
        <f t="shared" si="31"/>
        <v>0</v>
      </c>
      <c r="AS38" s="135">
        <f t="shared" si="31"/>
        <v>0</v>
      </c>
      <c r="AT38" s="135">
        <f t="shared" si="31"/>
        <v>0</v>
      </c>
      <c r="AU38" s="135">
        <f t="shared" si="32"/>
        <v>0</v>
      </c>
      <c r="AV38" s="135">
        <f t="shared" si="32"/>
        <v>0</v>
      </c>
      <c r="AW38" s="135">
        <f t="shared" si="32"/>
        <v>0</v>
      </c>
      <c r="AX38" s="135">
        <f t="shared" si="32"/>
        <v>0</v>
      </c>
      <c r="AY38" s="135">
        <f t="shared" si="32"/>
        <v>0</v>
      </c>
      <c r="AZ38" s="135">
        <f t="shared" si="32"/>
        <v>0</v>
      </c>
      <c r="BA38" s="135">
        <f t="shared" si="32"/>
        <v>0</v>
      </c>
      <c r="BB38" s="135">
        <f t="shared" si="32"/>
        <v>0</v>
      </c>
      <c r="BC38" s="135">
        <f t="shared" si="32"/>
        <v>0</v>
      </c>
      <c r="BD38" s="135">
        <f t="shared" si="32"/>
        <v>0</v>
      </c>
      <c r="BE38" s="135">
        <f t="shared" si="33"/>
        <v>0</v>
      </c>
      <c r="BF38" s="135">
        <f t="shared" si="33"/>
        <v>0</v>
      </c>
      <c r="BG38" s="135">
        <f t="shared" si="33"/>
        <v>0</v>
      </c>
      <c r="BH38" s="135">
        <f t="shared" si="33"/>
        <v>0</v>
      </c>
      <c r="BI38" s="135">
        <f t="shared" si="33"/>
        <v>0</v>
      </c>
      <c r="BJ38" s="135">
        <f t="shared" si="33"/>
        <v>0</v>
      </c>
      <c r="BX38" s="135">
        <f t="shared" si="34"/>
        <v>0</v>
      </c>
      <c r="BY38" s="135">
        <f t="shared" si="34"/>
        <v>0</v>
      </c>
      <c r="BZ38" s="135">
        <f t="shared" si="34"/>
        <v>0</v>
      </c>
      <c r="CA38" s="135">
        <f t="shared" si="34"/>
        <v>0</v>
      </c>
      <c r="CB38" s="135">
        <f t="shared" si="34"/>
        <v>0</v>
      </c>
      <c r="CC38" s="135">
        <f t="shared" si="34"/>
        <v>0</v>
      </c>
      <c r="CD38" s="135">
        <f t="shared" si="34"/>
        <v>0</v>
      </c>
      <c r="CE38" s="135">
        <f t="shared" si="34"/>
        <v>0</v>
      </c>
      <c r="CF38" s="135">
        <f t="shared" si="34"/>
        <v>0</v>
      </c>
      <c r="CG38" s="135">
        <f t="shared" si="34"/>
        <v>0</v>
      </c>
      <c r="CH38" s="135">
        <f t="shared" si="34"/>
        <v>0</v>
      </c>
      <c r="CI38" s="135">
        <f t="shared" si="34"/>
        <v>0</v>
      </c>
      <c r="CK38" s="35"/>
      <c r="CL38" s="221">
        <f>IF(MIN($V38:$CI38)&lt;0, 1, 0)</f>
        <v>0</v>
      </c>
      <c r="CM38" s="35"/>
      <c r="CW38" s="7">
        <f>IF(SUM($DB38:$DD38)=0, 0, 1)</f>
        <v>0</v>
      </c>
      <c r="CX38" s="7">
        <f>IF(SUM($DE38:$DG38)=0, 0, 1)</f>
        <v>0</v>
      </c>
      <c r="CY38" s="7">
        <f>IF($DH38=0, 0, 1)</f>
        <v>0</v>
      </c>
      <c r="CZ38" s="650"/>
      <c r="DA38" s="35"/>
      <c r="DB38" s="215">
        <f t="shared" si="35"/>
        <v>0</v>
      </c>
      <c r="DC38" s="215">
        <f t="shared" si="35"/>
        <v>0</v>
      </c>
      <c r="DD38" s="215">
        <f t="shared" si="35"/>
        <v>0</v>
      </c>
      <c r="DE38" s="215">
        <f>ROUND($BY38-SUMIFS($AA38:$BJ38, $AA$3:$BJ$3, $BY$3), rounding)</f>
        <v>0</v>
      </c>
      <c r="DF38" s="215">
        <f>ROUND($BZ38-SUMIFS($AA38:$BJ38, $AA$3:$BJ$3, $BZ$3), rounding)</f>
        <v>0</v>
      </c>
      <c r="DG38" s="215">
        <f>ROUND($CA38-SUMIFS($AA38:$BJ38, $AA$3:$BJ$3, $CA$3), rounding)</f>
        <v>0</v>
      </c>
      <c r="DH38" s="215">
        <f>ROUND($V38-$BX38, rounding)</f>
        <v>0</v>
      </c>
      <c r="DI38" s="35"/>
      <c r="DJ38">
        <v>0</v>
      </c>
      <c r="DK38">
        <v>0</v>
      </c>
      <c r="DL38" s="35"/>
      <c r="EZ38" s="10" t="str">
        <f t="shared" si="25"/>
        <v/>
      </c>
    </row>
    <row r="39" spans="1:156" ht="15" customHeight="1" x14ac:dyDescent="0.35">
      <c r="A39" s="220" cm="1">
        <f t="array" aca="1" ref="A39" ca="1">HYPERLINK(CONCATENATE("#",CELL("address",IF(MAX($CM39:$CZ39)=0,A39,INDEX($CM39:$CZ39,MATCH(1,$CM39:$CZ39,0))))),MAX($CM39:$CZ39))</f>
        <v>0</v>
      </c>
      <c r="C39" s="253"/>
      <c r="D39" s="5" t="s">
        <v>784</v>
      </c>
      <c r="E39" s="5" t="s">
        <v>778</v>
      </c>
      <c r="V39" s="135">
        <f>SUM(V35:V38)</f>
        <v>0</v>
      </c>
      <c r="W39" s="135">
        <f>SUM(W35:W38)</f>
        <v>0</v>
      </c>
      <c r="X39" s="135">
        <f>SUM(X35:X38)</f>
        <v>0</v>
      </c>
      <c r="Y39" s="135">
        <f>SUM(Y35:Y38)</f>
        <v>0</v>
      </c>
      <c r="AA39" s="135">
        <f t="shared" ref="AA39:BJ39" si="36">SUM(AA35:AA38)</f>
        <v>0</v>
      </c>
      <c r="AB39" s="135">
        <f t="shared" si="36"/>
        <v>0</v>
      </c>
      <c r="AC39" s="135">
        <f t="shared" si="36"/>
        <v>0</v>
      </c>
      <c r="AD39" s="135">
        <f t="shared" si="36"/>
        <v>0</v>
      </c>
      <c r="AE39" s="135">
        <f t="shared" si="36"/>
        <v>0</v>
      </c>
      <c r="AF39" s="135">
        <f t="shared" si="36"/>
        <v>0</v>
      </c>
      <c r="AG39" s="135">
        <f t="shared" si="36"/>
        <v>0</v>
      </c>
      <c r="AH39" s="135">
        <f t="shared" si="36"/>
        <v>0</v>
      </c>
      <c r="AI39" s="135">
        <f t="shared" si="36"/>
        <v>0</v>
      </c>
      <c r="AJ39" s="135">
        <f t="shared" si="36"/>
        <v>0</v>
      </c>
      <c r="AK39" s="135">
        <f t="shared" si="36"/>
        <v>0</v>
      </c>
      <c r="AL39" s="135">
        <f t="shared" si="36"/>
        <v>0</v>
      </c>
      <c r="AM39" s="135">
        <f t="shared" si="36"/>
        <v>0</v>
      </c>
      <c r="AN39" s="135">
        <f t="shared" si="36"/>
        <v>0</v>
      </c>
      <c r="AO39" s="135">
        <f t="shared" si="36"/>
        <v>0</v>
      </c>
      <c r="AP39" s="135">
        <f t="shared" si="36"/>
        <v>0</v>
      </c>
      <c r="AQ39" s="135">
        <f t="shared" si="36"/>
        <v>0</v>
      </c>
      <c r="AR39" s="135">
        <f t="shared" si="36"/>
        <v>0</v>
      </c>
      <c r="AS39" s="135">
        <f t="shared" si="36"/>
        <v>0</v>
      </c>
      <c r="AT39" s="135">
        <f t="shared" si="36"/>
        <v>0</v>
      </c>
      <c r="AU39" s="135">
        <f t="shared" si="36"/>
        <v>0</v>
      </c>
      <c r="AV39" s="135">
        <f t="shared" si="36"/>
        <v>0</v>
      </c>
      <c r="AW39" s="135">
        <f t="shared" si="36"/>
        <v>0</v>
      </c>
      <c r="AX39" s="135">
        <f t="shared" si="36"/>
        <v>0</v>
      </c>
      <c r="AY39" s="135">
        <f t="shared" si="36"/>
        <v>0</v>
      </c>
      <c r="AZ39" s="135">
        <f t="shared" si="36"/>
        <v>0</v>
      </c>
      <c r="BA39" s="135">
        <f t="shared" si="36"/>
        <v>0</v>
      </c>
      <c r="BB39" s="135">
        <f t="shared" si="36"/>
        <v>0</v>
      </c>
      <c r="BC39" s="135">
        <f t="shared" si="36"/>
        <v>0</v>
      </c>
      <c r="BD39" s="135">
        <f t="shared" si="36"/>
        <v>0</v>
      </c>
      <c r="BE39" s="135">
        <f t="shared" si="36"/>
        <v>0</v>
      </c>
      <c r="BF39" s="135">
        <f t="shared" si="36"/>
        <v>0</v>
      </c>
      <c r="BG39" s="135">
        <f t="shared" si="36"/>
        <v>0</v>
      </c>
      <c r="BH39" s="135">
        <f t="shared" si="36"/>
        <v>0</v>
      </c>
      <c r="BI39" s="135">
        <f t="shared" si="36"/>
        <v>0</v>
      </c>
      <c r="BJ39" s="135">
        <f t="shared" si="36"/>
        <v>0</v>
      </c>
      <c r="BX39" s="135">
        <f t="shared" ref="BX39:CI39" si="37">SUM(BX35:BX38)</f>
        <v>0</v>
      </c>
      <c r="BY39" s="135">
        <f t="shared" si="37"/>
        <v>0</v>
      </c>
      <c r="BZ39" s="135">
        <f t="shared" si="37"/>
        <v>0</v>
      </c>
      <c r="CA39" s="135">
        <f t="shared" si="37"/>
        <v>0</v>
      </c>
      <c r="CB39" s="135">
        <f t="shared" si="37"/>
        <v>0</v>
      </c>
      <c r="CC39" s="135">
        <f t="shared" si="37"/>
        <v>0</v>
      </c>
      <c r="CD39" s="135">
        <f t="shared" si="37"/>
        <v>0</v>
      </c>
      <c r="CE39" s="135">
        <f t="shared" si="37"/>
        <v>0</v>
      </c>
      <c r="CF39" s="135">
        <f t="shared" si="37"/>
        <v>0</v>
      </c>
      <c r="CG39" s="135">
        <f t="shared" si="37"/>
        <v>0</v>
      </c>
      <c r="CH39" s="135">
        <f t="shared" si="37"/>
        <v>0</v>
      </c>
      <c r="CI39" s="135">
        <f t="shared" si="37"/>
        <v>0</v>
      </c>
      <c r="CK39" s="35"/>
      <c r="CL39" s="221">
        <f>IF(MIN($V39:$CI39)&lt;0, 1, 0)</f>
        <v>0</v>
      </c>
      <c r="CM39" s="35"/>
      <c r="CW39" s="7">
        <f>IF(SUM($DB39:$DD39)=0, 0, 1)</f>
        <v>0</v>
      </c>
      <c r="CX39" s="7">
        <f>IF(SUM($DE39:$DG39)=0, 0, 1)</f>
        <v>0</v>
      </c>
      <c r="CY39" s="7">
        <f>IF($DH39=0, 0, 1)</f>
        <v>0</v>
      </c>
      <c r="CZ39" s="650"/>
      <c r="DA39" s="35"/>
      <c r="DB39" s="215">
        <f t="shared" si="35"/>
        <v>0</v>
      </c>
      <c r="DC39" s="215">
        <f t="shared" si="35"/>
        <v>0</v>
      </c>
      <c r="DD39" s="215">
        <f t="shared" si="35"/>
        <v>0</v>
      </c>
      <c r="DE39" s="215">
        <f>ROUND($BY39-SUMIFS($AA39:$BJ39, $AA$3:$BJ$3, $BY$3), rounding)</f>
        <v>0</v>
      </c>
      <c r="DF39" s="215">
        <f>ROUND($BZ39-SUMIFS($AA39:$BJ39, $AA$3:$BJ$3, $BZ$3), rounding)</f>
        <v>0</v>
      </c>
      <c r="DG39" s="215">
        <f>ROUND($CA39-SUMIFS($AA39:$BJ39, $AA$3:$BJ$3, $CA$3), rounding)</f>
        <v>0</v>
      </c>
      <c r="DH39" s="215">
        <f>ROUND($V39-$BX39, rounding)</f>
        <v>0</v>
      </c>
      <c r="DI39" s="35"/>
      <c r="DJ39">
        <v>0</v>
      </c>
      <c r="DK39">
        <v>0</v>
      </c>
      <c r="DL39" s="35"/>
      <c r="EZ39" s="10" t="str">
        <f t="shared" si="25"/>
        <v/>
      </c>
    </row>
    <row r="40" spans="1:156" ht="15" customHeight="1" x14ac:dyDescent="0.35">
      <c r="C40" s="253"/>
      <c r="D40" s="1"/>
      <c r="E40"/>
      <c r="CK40" s="35"/>
      <c r="CM40" s="35"/>
      <c r="CZ40" s="650"/>
      <c r="DA40" s="35"/>
      <c r="DB40" s="215"/>
      <c r="DC40" s="215"/>
      <c r="DD40" s="215"/>
      <c r="DE40" s="215"/>
      <c r="DI40" s="35"/>
      <c r="DJ40">
        <v>0</v>
      </c>
      <c r="DK40">
        <v>0</v>
      </c>
      <c r="DL40" s="35"/>
      <c r="EZ40" s="10" t="str">
        <f t="shared" si="25"/>
        <v/>
      </c>
    </row>
    <row r="41" spans="1:156" ht="15" customHeight="1" x14ac:dyDescent="0.35">
      <c r="C41" s="253"/>
      <c r="D41" s="5" t="s">
        <v>785</v>
      </c>
      <c r="E41" s="5" t="str">
        <f>Parameters!$D$56</f>
        <v>Finance Lease</v>
      </c>
      <c r="CK41" s="35"/>
      <c r="CM41" s="35"/>
      <c r="CZ41" s="650"/>
      <c r="DA41" s="35"/>
      <c r="DB41" s="215"/>
      <c r="DC41" s="215"/>
      <c r="DD41" s="215"/>
      <c r="DE41" s="215"/>
      <c r="DF41" s="215"/>
      <c r="DG41" s="215"/>
      <c r="DH41" s="215"/>
      <c r="DI41" s="35"/>
      <c r="DJ41">
        <v>0</v>
      </c>
      <c r="DK41">
        <v>0</v>
      </c>
      <c r="DL41" s="35"/>
      <c r="EZ41" s="10" t="str">
        <f t="shared" si="25"/>
        <v/>
      </c>
    </row>
    <row r="42" spans="1:156" ht="15" customHeight="1" x14ac:dyDescent="0.35">
      <c r="A42" s="220" cm="1">
        <f t="array" aca="1" ref="A42" ca="1">HYPERLINK(CONCATENATE("#",CELL("address",IF(MAX($CM42:$CZ42)=0,A42,INDEX($CM42:$CZ42,MATCH(1,$CM42:$CZ42,0))))),MAX($CM42:$CZ42))</f>
        <v>0</v>
      </c>
      <c r="C42" s="253"/>
      <c r="D42" t="s">
        <v>786</v>
      </c>
      <c r="E42" t="str">
        <f>Parameters!$D$39</f>
        <v>Land &amp; Buildings</v>
      </c>
      <c r="V42" s="135">
        <f t="shared" ref="V42:Y45" si="38">SUMIFS(V$13:V$27, $E$13:$E$27, $E42, $F$13:$F$27, $E$41)</f>
        <v>0</v>
      </c>
      <c r="W42" s="135">
        <f t="shared" si="38"/>
        <v>0</v>
      </c>
      <c r="X42" s="135">
        <f t="shared" si="38"/>
        <v>0</v>
      </c>
      <c r="Y42" s="135">
        <f t="shared" si="38"/>
        <v>0</v>
      </c>
      <c r="AA42" s="135">
        <f t="shared" ref="AA42:AJ45" si="39">SUMIFS(AA$13:AA$27, $E$13:$E$27, $E42, $F$13:$F$27, $E$41)</f>
        <v>0</v>
      </c>
      <c r="AB42" s="135">
        <f t="shared" si="39"/>
        <v>0</v>
      </c>
      <c r="AC42" s="135">
        <f t="shared" si="39"/>
        <v>0</v>
      </c>
      <c r="AD42" s="135">
        <f t="shared" si="39"/>
        <v>0</v>
      </c>
      <c r="AE42" s="135">
        <f t="shared" si="39"/>
        <v>0</v>
      </c>
      <c r="AF42" s="135">
        <f t="shared" si="39"/>
        <v>0</v>
      </c>
      <c r="AG42" s="135">
        <f t="shared" si="39"/>
        <v>0</v>
      </c>
      <c r="AH42" s="135">
        <f t="shared" ref="AH42:AI45" si="40">SUMIFS(AH$13:AH$27, $E$13:$E$27, $E42, $F$13:$F$27, $E$41)</f>
        <v>0</v>
      </c>
      <c r="AI42" s="135">
        <f t="shared" si="40"/>
        <v>0</v>
      </c>
      <c r="AJ42" s="135">
        <f t="shared" si="39"/>
        <v>0</v>
      </c>
      <c r="AK42" s="135">
        <f t="shared" ref="AK42:AT45" si="41">SUMIFS(AK$13:AK$27, $E$13:$E$27, $E42, $F$13:$F$27, $E$41)</f>
        <v>0</v>
      </c>
      <c r="AL42" s="135">
        <f t="shared" si="41"/>
        <v>0</v>
      </c>
      <c r="AM42" s="135">
        <f t="shared" si="41"/>
        <v>0</v>
      </c>
      <c r="AN42" s="135">
        <f t="shared" si="41"/>
        <v>0</v>
      </c>
      <c r="AO42" s="135">
        <f t="shared" si="41"/>
        <v>0</v>
      </c>
      <c r="AP42" s="135">
        <f t="shared" si="41"/>
        <v>0</v>
      </c>
      <c r="AQ42" s="135">
        <f t="shared" si="41"/>
        <v>0</v>
      </c>
      <c r="AR42" s="135">
        <f t="shared" si="41"/>
        <v>0</v>
      </c>
      <c r="AS42" s="135">
        <f t="shared" si="41"/>
        <v>0</v>
      </c>
      <c r="AT42" s="135">
        <f t="shared" si="41"/>
        <v>0</v>
      </c>
      <c r="AU42" s="135">
        <f t="shared" ref="AU42:BD45" si="42">SUMIFS(AU$13:AU$27, $E$13:$E$27, $E42, $F$13:$F$27, $E$41)</f>
        <v>0</v>
      </c>
      <c r="AV42" s="135">
        <f t="shared" si="42"/>
        <v>0</v>
      </c>
      <c r="AW42" s="135">
        <f t="shared" si="42"/>
        <v>0</v>
      </c>
      <c r="AX42" s="135">
        <f t="shared" si="42"/>
        <v>0</v>
      </c>
      <c r="AY42" s="135">
        <f t="shared" si="42"/>
        <v>0</v>
      </c>
      <c r="AZ42" s="135">
        <f t="shared" si="42"/>
        <v>0</v>
      </c>
      <c r="BA42" s="135">
        <f t="shared" si="42"/>
        <v>0</v>
      </c>
      <c r="BB42" s="135">
        <f t="shared" si="42"/>
        <v>0</v>
      </c>
      <c r="BC42" s="135">
        <f t="shared" si="42"/>
        <v>0</v>
      </c>
      <c r="BD42" s="135">
        <f t="shared" si="42"/>
        <v>0</v>
      </c>
      <c r="BE42" s="135">
        <f t="shared" ref="BE42:BJ45" si="43">SUMIFS(BE$13:BE$27, $E$13:$E$27, $E42, $F$13:$F$27, $E$41)</f>
        <v>0</v>
      </c>
      <c r="BF42" s="135">
        <f t="shared" si="43"/>
        <v>0</v>
      </c>
      <c r="BG42" s="135">
        <f t="shared" si="43"/>
        <v>0</v>
      </c>
      <c r="BH42" s="135">
        <f t="shared" si="43"/>
        <v>0</v>
      </c>
      <c r="BI42" s="135">
        <f t="shared" si="43"/>
        <v>0</v>
      </c>
      <c r="BJ42" s="135">
        <f t="shared" si="43"/>
        <v>0</v>
      </c>
      <c r="BX42" s="135">
        <f t="shared" ref="BX42:CI45" si="44">SUMIFS(BX$13:BX$27, $E$13:$E$27, $E42, $F$13:$F$27, $E$41)</f>
        <v>0</v>
      </c>
      <c r="BY42" s="135">
        <f t="shared" si="44"/>
        <v>0</v>
      </c>
      <c r="BZ42" s="135">
        <f t="shared" si="44"/>
        <v>0</v>
      </c>
      <c r="CA42" s="135">
        <f t="shared" si="44"/>
        <v>0</v>
      </c>
      <c r="CB42" s="135">
        <f t="shared" si="44"/>
        <v>0</v>
      </c>
      <c r="CC42" s="135">
        <f t="shared" si="44"/>
        <v>0</v>
      </c>
      <c r="CD42" s="135">
        <f t="shared" si="44"/>
        <v>0</v>
      </c>
      <c r="CE42" s="135">
        <f t="shared" si="44"/>
        <v>0</v>
      </c>
      <c r="CF42" s="135">
        <f t="shared" si="44"/>
        <v>0</v>
      </c>
      <c r="CG42" s="135">
        <f t="shared" si="44"/>
        <v>0</v>
      </c>
      <c r="CH42" s="135">
        <f t="shared" si="44"/>
        <v>0</v>
      </c>
      <c r="CI42" s="135">
        <f t="shared" si="44"/>
        <v>0</v>
      </c>
      <c r="CK42" s="35"/>
      <c r="CL42" s="221">
        <f>IF(MIN($V42:$CI42)&lt;0, 1, 0)</f>
        <v>0</v>
      </c>
      <c r="CM42" s="35"/>
      <c r="CW42" s="7">
        <f>IF(SUM($DB42:$DD42)=0, 0, 1)</f>
        <v>0</v>
      </c>
      <c r="CX42" s="7">
        <f>IF(SUM($DE42:$DG42)=0, 0, 1)</f>
        <v>0</v>
      </c>
      <c r="CY42" s="7">
        <f>IF($DH42=0, 0, 1)</f>
        <v>0</v>
      </c>
      <c r="CZ42" s="650"/>
      <c r="DA42" s="35"/>
      <c r="DB42" s="215">
        <f t="shared" ref="DB42:DD46" si="45">ROUND(W42-SUMIFS($AA42:$BJ42, $AA$3:$BJ$3, W$3), rounding)</f>
        <v>0</v>
      </c>
      <c r="DC42" s="215">
        <f t="shared" si="45"/>
        <v>0</v>
      </c>
      <c r="DD42" s="215">
        <f t="shared" si="45"/>
        <v>0</v>
      </c>
      <c r="DE42" s="215">
        <f>ROUND($BY42-SUMIFS($AA42:$BJ42, $AA$3:$BJ$3, $BY$3), rounding)</f>
        <v>0</v>
      </c>
      <c r="DF42" s="215">
        <f>ROUND($BZ42-SUMIFS($AA42:$BJ42, $AA$3:$BJ$3, $BZ$3), rounding)</f>
        <v>0</v>
      </c>
      <c r="DG42" s="215">
        <f>ROUND($CA42-SUMIFS($AA42:$BJ42, $AA$3:$BJ$3, $CA$3), rounding)</f>
        <v>0</v>
      </c>
      <c r="DH42" s="215">
        <f>ROUND($V42-$BX42, rounding)</f>
        <v>0</v>
      </c>
      <c r="DI42" s="35"/>
      <c r="DJ42">
        <v>0</v>
      </c>
      <c r="DK42">
        <v>0</v>
      </c>
      <c r="DL42" s="35"/>
      <c r="EZ42" s="10" t="str">
        <f t="shared" si="25"/>
        <v/>
      </c>
    </row>
    <row r="43" spans="1:156" ht="15" customHeight="1" x14ac:dyDescent="0.35">
      <c r="A43" s="220" cm="1">
        <f t="array" aca="1" ref="A43" ca="1">HYPERLINK(CONCATENATE("#",CELL("address",IF(MAX($CM43:$CZ43)=0,A43,INDEX($CM43:$CZ43,MATCH(1,$CM43:$CZ43,0))))),MAX($CM43:$CZ43))</f>
        <v>0</v>
      </c>
      <c r="C43" s="253"/>
      <c r="D43" t="s">
        <v>787</v>
      </c>
      <c r="E43" t="str">
        <f>Parameters!$D$40</f>
        <v>Equipment</v>
      </c>
      <c r="V43" s="135">
        <f t="shared" si="38"/>
        <v>0</v>
      </c>
      <c r="W43" s="135">
        <f t="shared" si="38"/>
        <v>0</v>
      </c>
      <c r="X43" s="135">
        <f t="shared" si="38"/>
        <v>0</v>
      </c>
      <c r="Y43" s="135">
        <f t="shared" si="38"/>
        <v>0</v>
      </c>
      <c r="AA43" s="135">
        <f t="shared" si="39"/>
        <v>0</v>
      </c>
      <c r="AB43" s="135">
        <f t="shared" si="39"/>
        <v>0</v>
      </c>
      <c r="AC43" s="135">
        <f t="shared" si="39"/>
        <v>0</v>
      </c>
      <c r="AD43" s="135">
        <f t="shared" si="39"/>
        <v>0</v>
      </c>
      <c r="AE43" s="135">
        <f t="shared" si="39"/>
        <v>0</v>
      </c>
      <c r="AF43" s="135">
        <f t="shared" si="39"/>
        <v>0</v>
      </c>
      <c r="AG43" s="135">
        <f t="shared" si="39"/>
        <v>0</v>
      </c>
      <c r="AH43" s="135">
        <f t="shared" si="40"/>
        <v>0</v>
      </c>
      <c r="AI43" s="135">
        <f t="shared" si="40"/>
        <v>0</v>
      </c>
      <c r="AJ43" s="135">
        <f t="shared" si="39"/>
        <v>0</v>
      </c>
      <c r="AK43" s="135">
        <f t="shared" si="41"/>
        <v>0</v>
      </c>
      <c r="AL43" s="135">
        <f t="shared" si="41"/>
        <v>0</v>
      </c>
      <c r="AM43" s="135">
        <f t="shared" si="41"/>
        <v>0</v>
      </c>
      <c r="AN43" s="135">
        <f t="shared" si="41"/>
        <v>0</v>
      </c>
      <c r="AO43" s="135">
        <f t="shared" si="41"/>
        <v>0</v>
      </c>
      <c r="AP43" s="135">
        <f t="shared" si="41"/>
        <v>0</v>
      </c>
      <c r="AQ43" s="135">
        <f t="shared" si="41"/>
        <v>0</v>
      </c>
      <c r="AR43" s="135">
        <f t="shared" si="41"/>
        <v>0</v>
      </c>
      <c r="AS43" s="135">
        <f t="shared" si="41"/>
        <v>0</v>
      </c>
      <c r="AT43" s="135">
        <f t="shared" si="41"/>
        <v>0</v>
      </c>
      <c r="AU43" s="135">
        <f t="shared" si="42"/>
        <v>0</v>
      </c>
      <c r="AV43" s="135">
        <f t="shared" si="42"/>
        <v>0</v>
      </c>
      <c r="AW43" s="135">
        <f t="shared" si="42"/>
        <v>0</v>
      </c>
      <c r="AX43" s="135">
        <f t="shared" si="42"/>
        <v>0</v>
      </c>
      <c r="AY43" s="135">
        <f t="shared" si="42"/>
        <v>0</v>
      </c>
      <c r="AZ43" s="135">
        <f t="shared" si="42"/>
        <v>0</v>
      </c>
      <c r="BA43" s="135">
        <f t="shared" si="42"/>
        <v>0</v>
      </c>
      <c r="BB43" s="135">
        <f t="shared" si="42"/>
        <v>0</v>
      </c>
      <c r="BC43" s="135">
        <f t="shared" si="42"/>
        <v>0</v>
      </c>
      <c r="BD43" s="135">
        <f t="shared" si="42"/>
        <v>0</v>
      </c>
      <c r="BE43" s="135">
        <f t="shared" si="43"/>
        <v>0</v>
      </c>
      <c r="BF43" s="135">
        <f t="shared" si="43"/>
        <v>0</v>
      </c>
      <c r="BG43" s="135">
        <f t="shared" si="43"/>
        <v>0</v>
      </c>
      <c r="BH43" s="135">
        <f t="shared" si="43"/>
        <v>0</v>
      </c>
      <c r="BI43" s="135">
        <f t="shared" si="43"/>
        <v>0</v>
      </c>
      <c r="BJ43" s="135">
        <f t="shared" si="43"/>
        <v>0</v>
      </c>
      <c r="BX43" s="135">
        <f t="shared" si="44"/>
        <v>0</v>
      </c>
      <c r="BY43" s="135">
        <f t="shared" si="44"/>
        <v>0</v>
      </c>
      <c r="BZ43" s="135">
        <f t="shared" si="44"/>
        <v>0</v>
      </c>
      <c r="CA43" s="135">
        <f t="shared" si="44"/>
        <v>0</v>
      </c>
      <c r="CB43" s="135">
        <f t="shared" si="44"/>
        <v>0</v>
      </c>
      <c r="CC43" s="135">
        <f t="shared" si="44"/>
        <v>0</v>
      </c>
      <c r="CD43" s="135">
        <f t="shared" si="44"/>
        <v>0</v>
      </c>
      <c r="CE43" s="135">
        <f t="shared" si="44"/>
        <v>0</v>
      </c>
      <c r="CF43" s="135">
        <f t="shared" si="44"/>
        <v>0</v>
      </c>
      <c r="CG43" s="135">
        <f t="shared" si="44"/>
        <v>0</v>
      </c>
      <c r="CH43" s="135">
        <f t="shared" si="44"/>
        <v>0</v>
      </c>
      <c r="CI43" s="135">
        <f t="shared" si="44"/>
        <v>0</v>
      </c>
      <c r="CK43" s="35"/>
      <c r="CL43" s="221">
        <f>IF(MIN($V43:$CI43)&lt;0, 1, 0)</f>
        <v>0</v>
      </c>
      <c r="CM43" s="35"/>
      <c r="CW43" s="7">
        <f>IF(SUM($DB43:$DD43)=0, 0, 1)</f>
        <v>0</v>
      </c>
      <c r="CX43" s="7">
        <f>IF(SUM($DE43:$DG43)=0, 0, 1)</f>
        <v>0</v>
      </c>
      <c r="CY43" s="7">
        <f>IF($DH43=0, 0, 1)</f>
        <v>0</v>
      </c>
      <c r="CZ43" s="650"/>
      <c r="DA43" s="35"/>
      <c r="DB43" s="215">
        <f t="shared" si="45"/>
        <v>0</v>
      </c>
      <c r="DC43" s="215">
        <f t="shared" si="45"/>
        <v>0</v>
      </c>
      <c r="DD43" s="215">
        <f t="shared" si="45"/>
        <v>0</v>
      </c>
      <c r="DE43" s="215">
        <f>ROUND($BY43-SUMIFS($AA43:$BJ43, $AA$3:$BJ$3, $BY$3), rounding)</f>
        <v>0</v>
      </c>
      <c r="DF43" s="215">
        <f>ROUND($BZ43-SUMIFS($AA43:$BJ43, $AA$3:$BJ$3, $BZ$3), rounding)</f>
        <v>0</v>
      </c>
      <c r="DG43" s="215">
        <f>ROUND($CA43-SUMIFS($AA43:$BJ43, $AA$3:$BJ$3, $CA$3), rounding)</f>
        <v>0</v>
      </c>
      <c r="DH43" s="215">
        <f>ROUND($V43-$BX43, rounding)</f>
        <v>0</v>
      </c>
      <c r="DI43" s="35"/>
      <c r="DJ43">
        <v>0</v>
      </c>
      <c r="DK43">
        <v>0</v>
      </c>
      <c r="DL43" s="35"/>
      <c r="EZ43" s="10" t="str">
        <f t="shared" si="25"/>
        <v/>
      </c>
    </row>
    <row r="44" spans="1:156" ht="15" customHeight="1" x14ac:dyDescent="0.35">
      <c r="A44" s="220" cm="1">
        <f t="array" aca="1" ref="A44" ca="1">HYPERLINK(CONCATENATE("#",CELL("address",IF(MAX($CM44:$CZ44)=0,A44,INDEX($CM44:$CZ44,MATCH(1,$CM44:$CZ44,0))))),MAX($CM44:$CZ44))</f>
        <v>0</v>
      </c>
      <c r="C44" s="253"/>
      <c r="D44" t="s">
        <v>788</v>
      </c>
      <c r="E44" t="str">
        <f>Parameters!$D$41</f>
        <v>Other NCA</v>
      </c>
      <c r="V44" s="135">
        <f t="shared" si="38"/>
        <v>0</v>
      </c>
      <c r="W44" s="135">
        <f t="shared" si="38"/>
        <v>0</v>
      </c>
      <c r="X44" s="135">
        <f t="shared" si="38"/>
        <v>0</v>
      </c>
      <c r="Y44" s="135">
        <f t="shared" si="38"/>
        <v>0</v>
      </c>
      <c r="AA44" s="135">
        <f t="shared" si="39"/>
        <v>0</v>
      </c>
      <c r="AB44" s="135">
        <f t="shared" si="39"/>
        <v>0</v>
      </c>
      <c r="AC44" s="135">
        <f t="shared" si="39"/>
        <v>0</v>
      </c>
      <c r="AD44" s="135">
        <f t="shared" si="39"/>
        <v>0</v>
      </c>
      <c r="AE44" s="135">
        <f t="shared" si="39"/>
        <v>0</v>
      </c>
      <c r="AF44" s="135">
        <f t="shared" si="39"/>
        <v>0</v>
      </c>
      <c r="AG44" s="135">
        <f t="shared" si="39"/>
        <v>0</v>
      </c>
      <c r="AH44" s="135">
        <f t="shared" si="40"/>
        <v>0</v>
      </c>
      <c r="AI44" s="135">
        <f t="shared" si="40"/>
        <v>0</v>
      </c>
      <c r="AJ44" s="135">
        <f t="shared" si="39"/>
        <v>0</v>
      </c>
      <c r="AK44" s="135">
        <f t="shared" si="41"/>
        <v>0</v>
      </c>
      <c r="AL44" s="135">
        <f t="shared" si="41"/>
        <v>0</v>
      </c>
      <c r="AM44" s="135">
        <f t="shared" si="41"/>
        <v>0</v>
      </c>
      <c r="AN44" s="135">
        <f t="shared" si="41"/>
        <v>0</v>
      </c>
      <c r="AO44" s="135">
        <f t="shared" si="41"/>
        <v>0</v>
      </c>
      <c r="AP44" s="135">
        <f t="shared" si="41"/>
        <v>0</v>
      </c>
      <c r="AQ44" s="135">
        <f t="shared" si="41"/>
        <v>0</v>
      </c>
      <c r="AR44" s="135">
        <f t="shared" si="41"/>
        <v>0</v>
      </c>
      <c r="AS44" s="135">
        <f t="shared" si="41"/>
        <v>0</v>
      </c>
      <c r="AT44" s="135">
        <f t="shared" si="41"/>
        <v>0</v>
      </c>
      <c r="AU44" s="135">
        <f t="shared" si="42"/>
        <v>0</v>
      </c>
      <c r="AV44" s="135">
        <f t="shared" si="42"/>
        <v>0</v>
      </c>
      <c r="AW44" s="135">
        <f t="shared" si="42"/>
        <v>0</v>
      </c>
      <c r="AX44" s="135">
        <f t="shared" si="42"/>
        <v>0</v>
      </c>
      <c r="AY44" s="135">
        <f t="shared" si="42"/>
        <v>0</v>
      </c>
      <c r="AZ44" s="135">
        <f t="shared" si="42"/>
        <v>0</v>
      </c>
      <c r="BA44" s="135">
        <f t="shared" si="42"/>
        <v>0</v>
      </c>
      <c r="BB44" s="135">
        <f t="shared" si="42"/>
        <v>0</v>
      </c>
      <c r="BC44" s="135">
        <f t="shared" si="42"/>
        <v>0</v>
      </c>
      <c r="BD44" s="135">
        <f t="shared" si="42"/>
        <v>0</v>
      </c>
      <c r="BE44" s="135">
        <f t="shared" si="43"/>
        <v>0</v>
      </c>
      <c r="BF44" s="135">
        <f t="shared" si="43"/>
        <v>0</v>
      </c>
      <c r="BG44" s="135">
        <f t="shared" si="43"/>
        <v>0</v>
      </c>
      <c r="BH44" s="135">
        <f t="shared" si="43"/>
        <v>0</v>
      </c>
      <c r="BI44" s="135">
        <f t="shared" si="43"/>
        <v>0</v>
      </c>
      <c r="BJ44" s="135">
        <f t="shared" si="43"/>
        <v>0</v>
      </c>
      <c r="BX44" s="135">
        <f t="shared" si="44"/>
        <v>0</v>
      </c>
      <c r="BY44" s="135">
        <f t="shared" si="44"/>
        <v>0</v>
      </c>
      <c r="BZ44" s="135">
        <f t="shared" si="44"/>
        <v>0</v>
      </c>
      <c r="CA44" s="135">
        <f t="shared" si="44"/>
        <v>0</v>
      </c>
      <c r="CB44" s="135">
        <f t="shared" si="44"/>
        <v>0</v>
      </c>
      <c r="CC44" s="135">
        <f t="shared" si="44"/>
        <v>0</v>
      </c>
      <c r="CD44" s="135">
        <f t="shared" si="44"/>
        <v>0</v>
      </c>
      <c r="CE44" s="135">
        <f t="shared" si="44"/>
        <v>0</v>
      </c>
      <c r="CF44" s="135">
        <f t="shared" si="44"/>
        <v>0</v>
      </c>
      <c r="CG44" s="135">
        <f t="shared" si="44"/>
        <v>0</v>
      </c>
      <c r="CH44" s="135">
        <f t="shared" si="44"/>
        <v>0</v>
      </c>
      <c r="CI44" s="135">
        <f t="shared" si="44"/>
        <v>0</v>
      </c>
      <c r="CK44" s="35"/>
      <c r="CL44" s="221">
        <f>IF(MIN($V44:$CI44)&lt;0, 1, 0)</f>
        <v>0</v>
      </c>
      <c r="CM44" s="35"/>
      <c r="CW44" s="7">
        <f>IF(SUM($DB44:$DD44)=0, 0, 1)</f>
        <v>0</v>
      </c>
      <c r="CX44" s="7">
        <f>IF(SUM($DE44:$DG44)=0, 0, 1)</f>
        <v>0</v>
      </c>
      <c r="CY44" s="7">
        <f>IF($DH44=0, 0, 1)</f>
        <v>0</v>
      </c>
      <c r="CZ44" s="650"/>
      <c r="DA44" s="35"/>
      <c r="DB44" s="215">
        <f t="shared" si="45"/>
        <v>0</v>
      </c>
      <c r="DC44" s="215">
        <f t="shared" si="45"/>
        <v>0</v>
      </c>
      <c r="DD44" s="215">
        <f t="shared" si="45"/>
        <v>0</v>
      </c>
      <c r="DE44" s="215">
        <f>ROUND($BY44-SUMIFS($AA44:$BJ44, $AA$3:$BJ$3, $BY$3), rounding)</f>
        <v>0</v>
      </c>
      <c r="DF44" s="215">
        <f>ROUND($BZ44-SUMIFS($AA44:$BJ44, $AA$3:$BJ$3, $BZ$3), rounding)</f>
        <v>0</v>
      </c>
      <c r="DG44" s="215">
        <f>ROUND($CA44-SUMIFS($AA44:$BJ44, $AA$3:$BJ$3, $CA$3), rounding)</f>
        <v>0</v>
      </c>
      <c r="DH44" s="215">
        <f>ROUND($V44-$BX44, rounding)</f>
        <v>0</v>
      </c>
      <c r="DI44" s="35"/>
      <c r="DJ44">
        <v>0</v>
      </c>
      <c r="DK44">
        <v>0</v>
      </c>
      <c r="DL44" s="35"/>
      <c r="EZ44" s="10" t="str">
        <f t="shared" si="25"/>
        <v/>
      </c>
    </row>
    <row r="45" spans="1:156" ht="15" customHeight="1" x14ac:dyDescent="0.35">
      <c r="A45" s="220" cm="1">
        <f t="array" aca="1" ref="A45" ca="1">HYPERLINK(CONCATENATE("#",CELL("address",IF(MAX($CM45:$CZ45)=0,A45,INDEX($CM45:$CZ45,MATCH(1,$CM45:$CZ45,0))))),MAX($CM45:$CZ45))</f>
        <v>0</v>
      </c>
      <c r="C45" s="253"/>
      <c r="D45" t="s">
        <v>789</v>
      </c>
      <c r="E45" t="str">
        <f>Parameters!$D$42</f>
        <v>Assets under Construction</v>
      </c>
      <c r="V45" s="135">
        <f t="shared" si="38"/>
        <v>0</v>
      </c>
      <c r="W45" s="135">
        <f t="shared" si="38"/>
        <v>0</v>
      </c>
      <c r="X45" s="135">
        <f t="shared" si="38"/>
        <v>0</v>
      </c>
      <c r="Y45" s="135">
        <f t="shared" si="38"/>
        <v>0</v>
      </c>
      <c r="AA45" s="135">
        <f t="shared" si="39"/>
        <v>0</v>
      </c>
      <c r="AB45" s="135">
        <f t="shared" si="39"/>
        <v>0</v>
      </c>
      <c r="AC45" s="135">
        <f t="shared" si="39"/>
        <v>0</v>
      </c>
      <c r="AD45" s="135">
        <f t="shared" si="39"/>
        <v>0</v>
      </c>
      <c r="AE45" s="135">
        <f t="shared" si="39"/>
        <v>0</v>
      </c>
      <c r="AF45" s="135">
        <f t="shared" si="39"/>
        <v>0</v>
      </c>
      <c r="AG45" s="135">
        <f t="shared" si="39"/>
        <v>0</v>
      </c>
      <c r="AH45" s="135">
        <f t="shared" si="40"/>
        <v>0</v>
      </c>
      <c r="AI45" s="135">
        <f t="shared" si="40"/>
        <v>0</v>
      </c>
      <c r="AJ45" s="135">
        <f t="shared" si="39"/>
        <v>0</v>
      </c>
      <c r="AK45" s="135">
        <f t="shared" si="41"/>
        <v>0</v>
      </c>
      <c r="AL45" s="135">
        <f t="shared" si="41"/>
        <v>0</v>
      </c>
      <c r="AM45" s="135">
        <f t="shared" si="41"/>
        <v>0</v>
      </c>
      <c r="AN45" s="135">
        <f t="shared" si="41"/>
        <v>0</v>
      </c>
      <c r="AO45" s="135">
        <f t="shared" si="41"/>
        <v>0</v>
      </c>
      <c r="AP45" s="135">
        <f t="shared" si="41"/>
        <v>0</v>
      </c>
      <c r="AQ45" s="135">
        <f t="shared" si="41"/>
        <v>0</v>
      </c>
      <c r="AR45" s="135">
        <f t="shared" si="41"/>
        <v>0</v>
      </c>
      <c r="AS45" s="135">
        <f t="shared" si="41"/>
        <v>0</v>
      </c>
      <c r="AT45" s="135">
        <f t="shared" si="41"/>
        <v>0</v>
      </c>
      <c r="AU45" s="135">
        <f t="shared" si="42"/>
        <v>0</v>
      </c>
      <c r="AV45" s="135">
        <f t="shared" si="42"/>
        <v>0</v>
      </c>
      <c r="AW45" s="135">
        <f t="shared" si="42"/>
        <v>0</v>
      </c>
      <c r="AX45" s="135">
        <f t="shared" si="42"/>
        <v>0</v>
      </c>
      <c r="AY45" s="135">
        <f t="shared" si="42"/>
        <v>0</v>
      </c>
      <c r="AZ45" s="135">
        <f t="shared" si="42"/>
        <v>0</v>
      </c>
      <c r="BA45" s="135">
        <f t="shared" si="42"/>
        <v>0</v>
      </c>
      <c r="BB45" s="135">
        <f t="shared" si="42"/>
        <v>0</v>
      </c>
      <c r="BC45" s="135">
        <f t="shared" si="42"/>
        <v>0</v>
      </c>
      <c r="BD45" s="135">
        <f t="shared" si="42"/>
        <v>0</v>
      </c>
      <c r="BE45" s="135">
        <f t="shared" si="43"/>
        <v>0</v>
      </c>
      <c r="BF45" s="135">
        <f t="shared" si="43"/>
        <v>0</v>
      </c>
      <c r="BG45" s="135">
        <f t="shared" si="43"/>
        <v>0</v>
      </c>
      <c r="BH45" s="135">
        <f t="shared" si="43"/>
        <v>0</v>
      </c>
      <c r="BI45" s="135">
        <f t="shared" si="43"/>
        <v>0</v>
      </c>
      <c r="BJ45" s="135">
        <f t="shared" si="43"/>
        <v>0</v>
      </c>
      <c r="BX45" s="135">
        <f t="shared" si="44"/>
        <v>0</v>
      </c>
      <c r="BY45" s="135">
        <f t="shared" si="44"/>
        <v>0</v>
      </c>
      <c r="BZ45" s="135">
        <f t="shared" si="44"/>
        <v>0</v>
      </c>
      <c r="CA45" s="135">
        <f t="shared" si="44"/>
        <v>0</v>
      </c>
      <c r="CB45" s="135">
        <f t="shared" si="44"/>
        <v>0</v>
      </c>
      <c r="CC45" s="135">
        <f t="shared" si="44"/>
        <v>0</v>
      </c>
      <c r="CD45" s="135">
        <f t="shared" si="44"/>
        <v>0</v>
      </c>
      <c r="CE45" s="135">
        <f t="shared" si="44"/>
        <v>0</v>
      </c>
      <c r="CF45" s="135">
        <f t="shared" si="44"/>
        <v>0</v>
      </c>
      <c r="CG45" s="135">
        <f t="shared" si="44"/>
        <v>0</v>
      </c>
      <c r="CH45" s="135">
        <f t="shared" si="44"/>
        <v>0</v>
      </c>
      <c r="CI45" s="135">
        <f t="shared" si="44"/>
        <v>0</v>
      </c>
      <c r="CK45" s="35"/>
      <c r="CL45" s="221">
        <f>IF(MIN($V45:$CI45)&lt;0, 1, 0)</f>
        <v>0</v>
      </c>
      <c r="CM45" s="35"/>
      <c r="CW45" s="7">
        <f>IF(SUM($DB45:$DD45)=0, 0, 1)</f>
        <v>0</v>
      </c>
      <c r="CX45" s="7">
        <f>IF(SUM($DE45:$DG45)=0, 0, 1)</f>
        <v>0</v>
      </c>
      <c r="CY45" s="7">
        <f>IF($DH45=0, 0, 1)</f>
        <v>0</v>
      </c>
      <c r="CZ45" s="650"/>
      <c r="DA45" s="35"/>
      <c r="DB45" s="215">
        <f t="shared" si="45"/>
        <v>0</v>
      </c>
      <c r="DC45" s="215">
        <f t="shared" si="45"/>
        <v>0</v>
      </c>
      <c r="DD45" s="215">
        <f t="shared" si="45"/>
        <v>0</v>
      </c>
      <c r="DE45" s="215">
        <f>ROUND($BY45-SUMIFS($AA45:$BJ45, $AA$3:$BJ$3, $BY$3), rounding)</f>
        <v>0</v>
      </c>
      <c r="DF45" s="215">
        <f>ROUND($BZ45-SUMIFS($AA45:$BJ45, $AA$3:$BJ$3, $BZ$3), rounding)</f>
        <v>0</v>
      </c>
      <c r="DG45" s="215">
        <f>ROUND($CA45-SUMIFS($AA45:$BJ45, $AA$3:$BJ$3, $CA$3), rounding)</f>
        <v>0</v>
      </c>
      <c r="DH45" s="215">
        <f>ROUND($V45-$BX45, rounding)</f>
        <v>0</v>
      </c>
      <c r="DI45" s="35"/>
      <c r="DJ45">
        <v>0</v>
      </c>
      <c r="DK45">
        <v>0</v>
      </c>
      <c r="DL45" s="35"/>
      <c r="EZ45" s="10" t="str">
        <f t="shared" si="25"/>
        <v/>
      </c>
    </row>
    <row r="46" spans="1:156" ht="15" customHeight="1" x14ac:dyDescent="0.35">
      <c r="A46" s="220" cm="1">
        <f t="array" aca="1" ref="A46" ca="1">HYPERLINK(CONCATENATE("#",CELL("address",IF(MAX($CM46:$CZ46)=0,A46,INDEX($CM46:$CZ46,MATCH(1,$CM46:$CZ46,0))))),MAX($CM46:$CZ46))</f>
        <v>0</v>
      </c>
      <c r="C46" s="253"/>
      <c r="D46" s="5" t="s">
        <v>790</v>
      </c>
      <c r="E46" s="5" t="s">
        <v>778</v>
      </c>
      <c r="V46" s="135">
        <f>SUM(V42:V45)</f>
        <v>0</v>
      </c>
      <c r="W46" s="135">
        <f>SUM(W42:W45)</f>
        <v>0</v>
      </c>
      <c r="X46" s="135">
        <f>SUM(X42:X45)</f>
        <v>0</v>
      </c>
      <c r="Y46" s="135">
        <f>SUM(Y42:Y45)</f>
        <v>0</v>
      </c>
      <c r="AA46" s="135">
        <f>SUM(AA42:AA45)</f>
        <v>0</v>
      </c>
      <c r="AB46" s="135">
        <f t="shared" ref="AB46:BJ46" si="46">SUM(AB42:AB45)</f>
        <v>0</v>
      </c>
      <c r="AC46" s="135">
        <f t="shared" si="46"/>
        <v>0</v>
      </c>
      <c r="AD46" s="135">
        <f t="shared" si="46"/>
        <v>0</v>
      </c>
      <c r="AE46" s="135">
        <f t="shared" si="46"/>
        <v>0</v>
      </c>
      <c r="AF46" s="135">
        <f t="shared" si="46"/>
        <v>0</v>
      </c>
      <c r="AG46" s="135">
        <f t="shared" si="46"/>
        <v>0</v>
      </c>
      <c r="AH46" s="135">
        <f t="shared" si="46"/>
        <v>0</v>
      </c>
      <c r="AI46" s="135">
        <f t="shared" si="46"/>
        <v>0</v>
      </c>
      <c r="AJ46" s="135">
        <f t="shared" si="46"/>
        <v>0</v>
      </c>
      <c r="AK46" s="135">
        <f t="shared" si="46"/>
        <v>0</v>
      </c>
      <c r="AL46" s="135">
        <f t="shared" si="46"/>
        <v>0</v>
      </c>
      <c r="AM46" s="135">
        <f t="shared" si="46"/>
        <v>0</v>
      </c>
      <c r="AN46" s="135">
        <f t="shared" si="46"/>
        <v>0</v>
      </c>
      <c r="AO46" s="135">
        <f t="shared" si="46"/>
        <v>0</v>
      </c>
      <c r="AP46" s="135">
        <f t="shared" si="46"/>
        <v>0</v>
      </c>
      <c r="AQ46" s="135">
        <f t="shared" si="46"/>
        <v>0</v>
      </c>
      <c r="AR46" s="135">
        <f t="shared" si="46"/>
        <v>0</v>
      </c>
      <c r="AS46" s="135">
        <f t="shared" si="46"/>
        <v>0</v>
      </c>
      <c r="AT46" s="135">
        <f t="shared" si="46"/>
        <v>0</v>
      </c>
      <c r="AU46" s="135">
        <f t="shared" si="46"/>
        <v>0</v>
      </c>
      <c r="AV46" s="135">
        <f t="shared" si="46"/>
        <v>0</v>
      </c>
      <c r="AW46" s="135">
        <f t="shared" si="46"/>
        <v>0</v>
      </c>
      <c r="AX46" s="135">
        <f t="shared" si="46"/>
        <v>0</v>
      </c>
      <c r="AY46" s="135">
        <f t="shared" si="46"/>
        <v>0</v>
      </c>
      <c r="AZ46" s="135">
        <f t="shared" si="46"/>
        <v>0</v>
      </c>
      <c r="BA46" s="135">
        <f t="shared" si="46"/>
        <v>0</v>
      </c>
      <c r="BB46" s="135">
        <f t="shared" si="46"/>
        <v>0</v>
      </c>
      <c r="BC46" s="135">
        <f t="shared" si="46"/>
        <v>0</v>
      </c>
      <c r="BD46" s="135">
        <f t="shared" si="46"/>
        <v>0</v>
      </c>
      <c r="BE46" s="135">
        <f t="shared" si="46"/>
        <v>0</v>
      </c>
      <c r="BF46" s="135">
        <f t="shared" si="46"/>
        <v>0</v>
      </c>
      <c r="BG46" s="135">
        <f t="shared" si="46"/>
        <v>0</v>
      </c>
      <c r="BH46" s="135">
        <f t="shared" si="46"/>
        <v>0</v>
      </c>
      <c r="BI46" s="135">
        <f t="shared" si="46"/>
        <v>0</v>
      </c>
      <c r="BJ46" s="135">
        <f t="shared" si="46"/>
        <v>0</v>
      </c>
      <c r="BX46" s="135">
        <f>SUM(BX42:BX45)</f>
        <v>0</v>
      </c>
      <c r="BY46" s="135">
        <f t="shared" ref="BY46:CI46" si="47">SUM(BY42:BY45)</f>
        <v>0</v>
      </c>
      <c r="BZ46" s="135">
        <f t="shared" si="47"/>
        <v>0</v>
      </c>
      <c r="CA46" s="135">
        <f t="shared" si="47"/>
        <v>0</v>
      </c>
      <c r="CB46" s="135">
        <f t="shared" si="47"/>
        <v>0</v>
      </c>
      <c r="CC46" s="135">
        <f t="shared" si="47"/>
        <v>0</v>
      </c>
      <c r="CD46" s="135">
        <f t="shared" si="47"/>
        <v>0</v>
      </c>
      <c r="CE46" s="135">
        <f t="shared" si="47"/>
        <v>0</v>
      </c>
      <c r="CF46" s="135">
        <f t="shared" si="47"/>
        <v>0</v>
      </c>
      <c r="CG46" s="135">
        <f t="shared" si="47"/>
        <v>0</v>
      </c>
      <c r="CH46" s="135">
        <f t="shared" si="47"/>
        <v>0</v>
      </c>
      <c r="CI46" s="135">
        <f t="shared" si="47"/>
        <v>0</v>
      </c>
      <c r="CK46" s="35"/>
      <c r="CL46" s="221">
        <f>IF(MIN($V46:$CI46)&lt;0, 1, 0)</f>
        <v>0</v>
      </c>
      <c r="CM46" s="35"/>
      <c r="CW46" s="7">
        <f>IF(SUM($DB46:$DD46)=0, 0, 1)</f>
        <v>0</v>
      </c>
      <c r="CX46" s="7">
        <f>IF(SUM($DE46:$DG46)=0, 0, 1)</f>
        <v>0</v>
      </c>
      <c r="CY46" s="7">
        <f>IF($DH46=0, 0, 1)</f>
        <v>0</v>
      </c>
      <c r="CZ46" s="650"/>
      <c r="DA46" s="35"/>
      <c r="DB46" s="215">
        <f t="shared" si="45"/>
        <v>0</v>
      </c>
      <c r="DC46" s="215">
        <f t="shared" si="45"/>
        <v>0</v>
      </c>
      <c r="DD46" s="215">
        <f t="shared" si="45"/>
        <v>0</v>
      </c>
      <c r="DE46" s="215">
        <f>ROUND($BY46-SUMIFS($AA46:$BJ46, $AA$3:$BJ$3, $BY$3), rounding)</f>
        <v>0</v>
      </c>
      <c r="DF46" s="215">
        <f>ROUND($BZ46-SUMIFS($AA46:$BJ46, $AA$3:$BJ$3, $BZ$3), rounding)</f>
        <v>0</v>
      </c>
      <c r="DG46" s="215">
        <f>ROUND($CA46-SUMIFS($AA46:$BJ46, $AA$3:$BJ$3, $CA$3), rounding)</f>
        <v>0</v>
      </c>
      <c r="DH46" s="215">
        <f>ROUND($V46-$BX46, rounding)</f>
        <v>0</v>
      </c>
      <c r="DI46" s="35"/>
      <c r="DJ46">
        <v>0</v>
      </c>
      <c r="DK46">
        <v>0</v>
      </c>
      <c r="DL46" s="35"/>
      <c r="EZ46" s="10" t="str">
        <f t="shared" si="25"/>
        <v/>
      </c>
    </row>
    <row r="47" spans="1:156" ht="6.75" customHeight="1" x14ac:dyDescent="0.35">
      <c r="C47" s="253"/>
      <c r="D47" s="1"/>
      <c r="E47"/>
      <c r="BY47" s="6"/>
      <c r="CK47" s="35"/>
      <c r="CM47" s="35"/>
      <c r="CZ47" s="650"/>
      <c r="DA47" s="35"/>
      <c r="DB47" s="215"/>
      <c r="DC47" s="215"/>
      <c r="DD47" s="215"/>
      <c r="DE47" s="215"/>
      <c r="DF47" s="215"/>
      <c r="DG47" s="215"/>
      <c r="DH47" s="215"/>
      <c r="DI47" s="35"/>
      <c r="DJ47">
        <v>0</v>
      </c>
      <c r="DK47">
        <v>0</v>
      </c>
      <c r="DL47" s="35"/>
      <c r="EZ47" s="10" t="str">
        <f t="shared" si="25"/>
        <v/>
      </c>
    </row>
    <row r="48" spans="1:156" ht="15" customHeight="1" x14ac:dyDescent="0.35">
      <c r="C48" s="253"/>
      <c r="D48" s="97" t="s">
        <v>791</v>
      </c>
      <c r="E48" s="97" t="s">
        <v>792</v>
      </c>
      <c r="CK48" s="35"/>
      <c r="CM48" s="35"/>
      <c r="CZ48" s="650"/>
      <c r="DA48" s="35"/>
      <c r="DB48" s="215"/>
      <c r="DC48" s="215"/>
      <c r="DD48" s="215"/>
      <c r="DE48" s="215"/>
      <c r="DF48" s="215"/>
      <c r="DG48" s="215"/>
      <c r="DH48" s="215"/>
      <c r="DI48" s="35"/>
      <c r="DJ48">
        <v>0</v>
      </c>
      <c r="DK48">
        <v>0</v>
      </c>
      <c r="DL48" s="35"/>
      <c r="EZ48" s="10" t="str">
        <f t="shared" si="25"/>
        <v/>
      </c>
    </row>
    <row r="49" spans="1:156" ht="15" customHeight="1" x14ac:dyDescent="0.35">
      <c r="A49" s="220" cm="1">
        <f t="array" aca="1" ref="A49" ca="1">HYPERLINK(CONCATENATE("#",CELL("address",IF(MAX($CM49:$CZ49)=0,A49,INDEX($CM49:$CZ49,MATCH(1,$CM49:$CZ49,0))))),MAX($CM49:$CZ49))</f>
        <v>0</v>
      </c>
      <c r="C49" s="253"/>
      <c r="D49" s="4" t="s">
        <v>793</v>
      </c>
      <c r="E49" s="4" t="str">
        <f>Parameters!$D$39</f>
        <v>Land &amp; Buildings</v>
      </c>
      <c r="V49" s="654">
        <f>SUMIFS(V$13:V$27, $E$13:$E$27, $E49, $F$13:$F$27, $E$48)</f>
        <v>0</v>
      </c>
      <c r="W49" s="654">
        <f t="shared" ref="W49:Y52" si="48">SUMIFS(W$13:W$27, $E$13:$E$27, $E49, $F$13:$F$27, $E$48)</f>
        <v>0</v>
      </c>
      <c r="X49" s="135">
        <f t="shared" si="48"/>
        <v>0</v>
      </c>
      <c r="Y49" s="135">
        <f>SUMIFS(Y$13:Y$27, $E$13:$E$27, $E49, $F$13:$F$27, $E$48)</f>
        <v>0</v>
      </c>
      <c r="AA49" s="654">
        <f t="shared" ref="AA49:BJ52" si="49">SUMIFS(AA$13:AA$27, $E$13:$E$27, $E49, $F$13:$F$27, $E$48)</f>
        <v>0</v>
      </c>
      <c r="AB49" s="654">
        <f t="shared" si="49"/>
        <v>0</v>
      </c>
      <c r="AC49" s="654">
        <f t="shared" si="49"/>
        <v>0</v>
      </c>
      <c r="AD49" s="654">
        <f t="shared" si="49"/>
        <v>0</v>
      </c>
      <c r="AE49" s="654">
        <f t="shared" si="49"/>
        <v>0</v>
      </c>
      <c r="AF49" s="654">
        <f t="shared" si="49"/>
        <v>0</v>
      </c>
      <c r="AG49" s="654">
        <f t="shared" si="49"/>
        <v>0</v>
      </c>
      <c r="AH49" s="654">
        <f t="shared" si="49"/>
        <v>0</v>
      </c>
      <c r="AI49" s="654">
        <f t="shared" si="49"/>
        <v>0</v>
      </c>
      <c r="AJ49" s="654">
        <f t="shared" si="49"/>
        <v>0</v>
      </c>
      <c r="AK49" s="654">
        <f t="shared" si="49"/>
        <v>0</v>
      </c>
      <c r="AL49" s="654">
        <f t="shared" si="49"/>
        <v>0</v>
      </c>
      <c r="AM49" s="135">
        <f t="shared" si="49"/>
        <v>0</v>
      </c>
      <c r="AN49" s="135">
        <f t="shared" si="49"/>
        <v>0</v>
      </c>
      <c r="AO49" s="135">
        <f t="shared" si="49"/>
        <v>0</v>
      </c>
      <c r="AP49" s="135">
        <f t="shared" si="49"/>
        <v>0</v>
      </c>
      <c r="AQ49" s="135">
        <f t="shared" si="49"/>
        <v>0</v>
      </c>
      <c r="AR49" s="135">
        <f t="shared" si="49"/>
        <v>0</v>
      </c>
      <c r="AS49" s="135">
        <f t="shared" si="49"/>
        <v>0</v>
      </c>
      <c r="AT49" s="135">
        <f t="shared" si="49"/>
        <v>0</v>
      </c>
      <c r="AU49" s="135">
        <f t="shared" si="49"/>
        <v>0</v>
      </c>
      <c r="AV49" s="135">
        <f t="shared" si="49"/>
        <v>0</v>
      </c>
      <c r="AW49" s="135">
        <f t="shared" si="49"/>
        <v>0</v>
      </c>
      <c r="AX49" s="135">
        <f t="shared" si="49"/>
        <v>0</v>
      </c>
      <c r="AY49" s="135">
        <f t="shared" si="49"/>
        <v>0</v>
      </c>
      <c r="AZ49" s="135">
        <f t="shared" si="49"/>
        <v>0</v>
      </c>
      <c r="BA49" s="135">
        <f t="shared" si="49"/>
        <v>0</v>
      </c>
      <c r="BB49" s="135">
        <f t="shared" si="49"/>
        <v>0</v>
      </c>
      <c r="BC49" s="135">
        <f t="shared" si="49"/>
        <v>0</v>
      </c>
      <c r="BD49" s="135">
        <f t="shared" si="49"/>
        <v>0</v>
      </c>
      <c r="BE49" s="135">
        <f t="shared" si="49"/>
        <v>0</v>
      </c>
      <c r="BF49" s="135">
        <f t="shared" si="49"/>
        <v>0</v>
      </c>
      <c r="BG49" s="135">
        <f t="shared" si="49"/>
        <v>0</v>
      </c>
      <c r="BH49" s="135">
        <f t="shared" si="49"/>
        <v>0</v>
      </c>
      <c r="BI49" s="135">
        <f t="shared" si="49"/>
        <v>0</v>
      </c>
      <c r="BJ49" s="135">
        <f>SUMIFS(BJ$13:BJ$27, $E$13:$E$27, $E49, $F$13:$F$27, $E$48)</f>
        <v>0</v>
      </c>
      <c r="BX49" s="135">
        <f t="shared" ref="BX49:CI52" si="50">SUMIFS(BX$13:BX$27, $E$13:$E$27, $E49, $F$13:$F$27, $E$48)</f>
        <v>0</v>
      </c>
      <c r="BY49" s="135">
        <f t="shared" si="50"/>
        <v>0</v>
      </c>
      <c r="BZ49" s="135">
        <f t="shared" si="50"/>
        <v>0</v>
      </c>
      <c r="CA49" s="135">
        <f t="shared" si="50"/>
        <v>0</v>
      </c>
      <c r="CB49" s="135">
        <f t="shared" si="50"/>
        <v>0</v>
      </c>
      <c r="CC49" s="135">
        <f t="shared" si="50"/>
        <v>0</v>
      </c>
      <c r="CD49" s="135">
        <f t="shared" si="50"/>
        <v>0</v>
      </c>
      <c r="CE49" s="135">
        <f t="shared" si="50"/>
        <v>0</v>
      </c>
      <c r="CF49" s="135">
        <f t="shared" si="50"/>
        <v>0</v>
      </c>
      <c r="CG49" s="135">
        <f t="shared" si="50"/>
        <v>0</v>
      </c>
      <c r="CH49" s="135">
        <f t="shared" si="50"/>
        <v>0</v>
      </c>
      <c r="CI49" s="135">
        <f t="shared" si="50"/>
        <v>0</v>
      </c>
      <c r="CK49" s="35"/>
      <c r="CL49" s="221">
        <f>IF(MIN($V49:$CI49)&lt;0, 1, 0)</f>
        <v>0</v>
      </c>
      <c r="CM49" s="35"/>
      <c r="CW49" s="7">
        <f>IF(SUM($DB49:$DD49)=0, 0, 1)</f>
        <v>0</v>
      </c>
      <c r="CX49" s="7">
        <f>IF(SUM($DE49:$DG49)=0, 0, 1)</f>
        <v>0</v>
      </c>
      <c r="CY49" s="7">
        <f>IF($DH49=0, 0, 1)</f>
        <v>0</v>
      </c>
      <c r="CZ49" s="650"/>
      <c r="DA49" s="35"/>
      <c r="DB49" s="215">
        <f t="shared" ref="DB49:DB53" si="51">ROUND(W49-SUMIFS($AA49:$BJ49, $AA$3:$BJ$3, W$3), rounding)</f>
        <v>0</v>
      </c>
      <c r="DC49" s="215">
        <f t="shared" ref="DC49:DC53" si="52">ROUND(X49-SUMIFS($AA49:$BJ49, $AA$3:$BJ$3, X$3), rounding)</f>
        <v>0</v>
      </c>
      <c r="DD49" s="215">
        <f t="shared" ref="DD49:DD53" si="53">ROUND(Y49-SUMIFS($AA49:$BJ49, $AA$3:$BJ$3, Y$3), rounding)</f>
        <v>0</v>
      </c>
      <c r="DE49" s="215">
        <f>ROUND($BY49-SUMIFS($AA49:$BJ49, $AA$3:$BJ$3, $BY$3), rounding)</f>
        <v>0</v>
      </c>
      <c r="DF49" s="215">
        <f>ROUND($BZ49-SUMIFS($AA49:$BJ49, $AA$3:$BJ$3, $BZ$3), rounding)</f>
        <v>0</v>
      </c>
      <c r="DG49" s="215">
        <f>ROUND($CA49-SUMIFS($AA49:$BJ49, $AA$3:$BJ$3, $CA$3), rounding)</f>
        <v>0</v>
      </c>
      <c r="DH49" s="215">
        <f>ROUND($V49-$BX49, rounding)</f>
        <v>0</v>
      </c>
      <c r="DI49" s="35"/>
      <c r="DJ49">
        <v>0</v>
      </c>
      <c r="DK49">
        <v>0</v>
      </c>
      <c r="DL49" s="35"/>
      <c r="EZ49" s="10" t="str">
        <f t="shared" si="25"/>
        <v/>
      </c>
    </row>
    <row r="50" spans="1:156" ht="15" customHeight="1" x14ac:dyDescent="0.35">
      <c r="A50" s="220" cm="1">
        <f t="array" aca="1" ref="A50" ca="1">HYPERLINK(CONCATENATE("#",CELL("address",IF(MAX($CM50:$CZ50)=0,A50,INDEX($CM50:$CZ50,MATCH(1,$CM50:$CZ50,0))))),MAX($CM50:$CZ50))</f>
        <v>0</v>
      </c>
      <c r="C50" s="253"/>
      <c r="D50" s="4" t="s">
        <v>794</v>
      </c>
      <c r="E50" s="4" t="str">
        <f>Parameters!$D$40</f>
        <v>Equipment</v>
      </c>
      <c r="V50" s="654">
        <f t="shared" ref="V50:AI52" si="54">SUMIFS(V$13:V$27, $E$13:$E$27, $E50, $F$13:$F$27, $E$48)</f>
        <v>0</v>
      </c>
      <c r="W50" s="654">
        <f t="shared" si="48"/>
        <v>0</v>
      </c>
      <c r="X50" s="135">
        <f t="shared" si="48"/>
        <v>0</v>
      </c>
      <c r="Y50" s="135">
        <f t="shared" si="48"/>
        <v>0</v>
      </c>
      <c r="AA50" s="654">
        <f t="shared" si="54"/>
        <v>0</v>
      </c>
      <c r="AB50" s="654">
        <f t="shared" si="49"/>
        <v>0</v>
      </c>
      <c r="AC50" s="654">
        <f t="shared" si="49"/>
        <v>0</v>
      </c>
      <c r="AD50" s="654">
        <f t="shared" si="49"/>
        <v>0</v>
      </c>
      <c r="AE50" s="654">
        <f t="shared" si="54"/>
        <v>0</v>
      </c>
      <c r="AF50" s="654">
        <f t="shared" si="49"/>
        <v>0</v>
      </c>
      <c r="AG50" s="654">
        <f t="shared" si="49"/>
        <v>0</v>
      </c>
      <c r="AH50" s="654">
        <f t="shared" si="49"/>
        <v>0</v>
      </c>
      <c r="AI50" s="654">
        <f t="shared" si="54"/>
        <v>0</v>
      </c>
      <c r="AJ50" s="654">
        <f t="shared" si="49"/>
        <v>0</v>
      </c>
      <c r="AK50" s="654">
        <f t="shared" si="49"/>
        <v>0</v>
      </c>
      <c r="AL50" s="654">
        <f t="shared" si="49"/>
        <v>0</v>
      </c>
      <c r="AM50" s="135">
        <f t="shared" si="49"/>
        <v>0</v>
      </c>
      <c r="AN50" s="135">
        <f t="shared" si="49"/>
        <v>0</v>
      </c>
      <c r="AO50" s="135">
        <f t="shared" si="49"/>
        <v>0</v>
      </c>
      <c r="AP50" s="135">
        <f t="shared" si="49"/>
        <v>0</v>
      </c>
      <c r="AQ50" s="135">
        <f t="shared" si="49"/>
        <v>0</v>
      </c>
      <c r="AR50" s="135">
        <f t="shared" si="49"/>
        <v>0</v>
      </c>
      <c r="AS50" s="135">
        <f t="shared" si="49"/>
        <v>0</v>
      </c>
      <c r="AT50" s="135">
        <f t="shared" si="49"/>
        <v>0</v>
      </c>
      <c r="AU50" s="135">
        <f t="shared" si="49"/>
        <v>0</v>
      </c>
      <c r="AV50" s="135">
        <f t="shared" si="49"/>
        <v>0</v>
      </c>
      <c r="AW50" s="135">
        <f t="shared" si="49"/>
        <v>0</v>
      </c>
      <c r="AX50" s="135">
        <f t="shared" si="49"/>
        <v>0</v>
      </c>
      <c r="AY50" s="135">
        <f t="shared" si="49"/>
        <v>0</v>
      </c>
      <c r="AZ50" s="135">
        <f t="shared" si="49"/>
        <v>0</v>
      </c>
      <c r="BA50" s="135">
        <f t="shared" si="49"/>
        <v>0</v>
      </c>
      <c r="BB50" s="135">
        <f t="shared" si="49"/>
        <v>0</v>
      </c>
      <c r="BC50" s="135">
        <f t="shared" si="49"/>
        <v>0</v>
      </c>
      <c r="BD50" s="135">
        <f t="shared" si="49"/>
        <v>0</v>
      </c>
      <c r="BE50" s="135">
        <f t="shared" si="49"/>
        <v>0</v>
      </c>
      <c r="BF50" s="135">
        <f t="shared" si="49"/>
        <v>0</v>
      </c>
      <c r="BG50" s="135">
        <f t="shared" si="49"/>
        <v>0</v>
      </c>
      <c r="BH50" s="135">
        <f t="shared" si="49"/>
        <v>0</v>
      </c>
      <c r="BI50" s="135">
        <f t="shared" si="49"/>
        <v>0</v>
      </c>
      <c r="BJ50" s="135">
        <f t="shared" si="49"/>
        <v>0</v>
      </c>
      <c r="BX50" s="135">
        <f t="shared" si="50"/>
        <v>0</v>
      </c>
      <c r="BY50" s="135">
        <f t="shared" si="50"/>
        <v>0</v>
      </c>
      <c r="BZ50" s="135">
        <f t="shared" si="50"/>
        <v>0</v>
      </c>
      <c r="CA50" s="135">
        <f t="shared" si="50"/>
        <v>0</v>
      </c>
      <c r="CB50" s="135">
        <f t="shared" si="50"/>
        <v>0</v>
      </c>
      <c r="CC50" s="135">
        <f t="shared" si="50"/>
        <v>0</v>
      </c>
      <c r="CD50" s="135">
        <f t="shared" si="50"/>
        <v>0</v>
      </c>
      <c r="CE50" s="135">
        <f t="shared" si="50"/>
        <v>0</v>
      </c>
      <c r="CF50" s="135">
        <f t="shared" si="50"/>
        <v>0</v>
      </c>
      <c r="CG50" s="135">
        <f t="shared" si="50"/>
        <v>0</v>
      </c>
      <c r="CH50" s="135">
        <f t="shared" si="50"/>
        <v>0</v>
      </c>
      <c r="CI50" s="135">
        <f t="shared" si="50"/>
        <v>0</v>
      </c>
      <c r="CK50" s="35"/>
      <c r="CL50" s="221">
        <f>IF(MIN($V50:$CI50)&lt;0, 1, 0)</f>
        <v>0</v>
      </c>
      <c r="CM50" s="35"/>
      <c r="CW50" s="7">
        <f>IF(SUM($DB50:$DD50)=0, 0, 1)</f>
        <v>0</v>
      </c>
      <c r="CX50" s="7">
        <f>IF(SUM($DE50:$DG50)=0, 0, 1)</f>
        <v>0</v>
      </c>
      <c r="CY50" s="7">
        <f>IF($DH50=0, 0, 1)</f>
        <v>0</v>
      </c>
      <c r="CZ50" s="650"/>
      <c r="DA50" s="35"/>
      <c r="DB50" s="215">
        <f t="shared" si="51"/>
        <v>0</v>
      </c>
      <c r="DC50" s="215">
        <f t="shared" si="52"/>
        <v>0</v>
      </c>
      <c r="DD50" s="215">
        <f t="shared" si="53"/>
        <v>0</v>
      </c>
      <c r="DE50" s="215">
        <f>ROUND($BY50-SUMIFS($AA50:$BJ50, $AA$3:$BJ$3, $BY$3), rounding)</f>
        <v>0</v>
      </c>
      <c r="DF50" s="215">
        <f>ROUND($BZ50-SUMIFS($AA50:$BJ50, $AA$3:$BJ$3, $BZ$3), rounding)</f>
        <v>0</v>
      </c>
      <c r="DG50" s="215">
        <f>ROUND($CA50-SUMIFS($AA50:$BJ50, $AA$3:$BJ$3, $CA$3), rounding)</f>
        <v>0</v>
      </c>
      <c r="DH50" s="215">
        <f>ROUND($V50-$BX50, rounding)</f>
        <v>0</v>
      </c>
      <c r="DI50" s="35"/>
      <c r="DJ50">
        <v>0</v>
      </c>
      <c r="DK50">
        <v>0</v>
      </c>
      <c r="DL50" s="35"/>
      <c r="EZ50" s="10" t="str">
        <f t="shared" si="25"/>
        <v/>
      </c>
    </row>
    <row r="51" spans="1:156" ht="15" customHeight="1" x14ac:dyDescent="0.35">
      <c r="A51" s="220" cm="1">
        <f t="array" aca="1" ref="A51" ca="1">HYPERLINK(CONCATENATE("#",CELL("address",IF(MAX($CM51:$CZ51)=0,A51,INDEX($CM51:$CZ51,MATCH(1,$CM51:$CZ51,0))))),MAX($CM51:$CZ51))</f>
        <v>0</v>
      </c>
      <c r="C51" s="253"/>
      <c r="D51" s="4" t="s">
        <v>795</v>
      </c>
      <c r="E51" s="4" t="str">
        <f>Parameters!$D$41</f>
        <v>Other NCA</v>
      </c>
      <c r="V51" s="654">
        <f t="shared" si="54"/>
        <v>0</v>
      </c>
      <c r="W51" s="654">
        <f t="shared" si="48"/>
        <v>0</v>
      </c>
      <c r="X51" s="135">
        <f t="shared" si="48"/>
        <v>0</v>
      </c>
      <c r="Y51" s="135">
        <f t="shared" si="48"/>
        <v>0</v>
      </c>
      <c r="AA51" s="654">
        <f t="shared" si="49"/>
        <v>0</v>
      </c>
      <c r="AB51" s="654">
        <f t="shared" si="49"/>
        <v>0</v>
      </c>
      <c r="AC51" s="654">
        <f t="shared" si="49"/>
        <v>0</v>
      </c>
      <c r="AD51" s="654">
        <f t="shared" si="49"/>
        <v>0</v>
      </c>
      <c r="AE51" s="654">
        <f t="shared" si="49"/>
        <v>0</v>
      </c>
      <c r="AF51" s="654">
        <f t="shared" si="49"/>
        <v>0</v>
      </c>
      <c r="AG51" s="654">
        <f t="shared" si="49"/>
        <v>0</v>
      </c>
      <c r="AH51" s="654">
        <f t="shared" si="49"/>
        <v>0</v>
      </c>
      <c r="AI51" s="654">
        <f t="shared" si="49"/>
        <v>0</v>
      </c>
      <c r="AJ51" s="654">
        <f t="shared" si="49"/>
        <v>0</v>
      </c>
      <c r="AK51" s="654">
        <f t="shared" si="49"/>
        <v>0</v>
      </c>
      <c r="AL51" s="654">
        <f t="shared" si="49"/>
        <v>0</v>
      </c>
      <c r="AM51" s="135">
        <f t="shared" si="49"/>
        <v>0</v>
      </c>
      <c r="AN51" s="135">
        <f t="shared" si="49"/>
        <v>0</v>
      </c>
      <c r="AO51" s="135">
        <f t="shared" si="49"/>
        <v>0</v>
      </c>
      <c r="AP51" s="135">
        <f t="shared" si="49"/>
        <v>0</v>
      </c>
      <c r="AQ51" s="135">
        <f t="shared" si="49"/>
        <v>0</v>
      </c>
      <c r="AR51" s="135">
        <f t="shared" si="49"/>
        <v>0</v>
      </c>
      <c r="AS51" s="135">
        <f t="shared" si="49"/>
        <v>0</v>
      </c>
      <c r="AT51" s="135">
        <f t="shared" si="49"/>
        <v>0</v>
      </c>
      <c r="AU51" s="135">
        <f t="shared" si="49"/>
        <v>0</v>
      </c>
      <c r="AV51" s="135">
        <f t="shared" si="49"/>
        <v>0</v>
      </c>
      <c r="AW51" s="135">
        <f t="shared" si="49"/>
        <v>0</v>
      </c>
      <c r="AX51" s="135">
        <f t="shared" si="49"/>
        <v>0</v>
      </c>
      <c r="AY51" s="135">
        <f t="shared" si="49"/>
        <v>0</v>
      </c>
      <c r="AZ51" s="135">
        <f t="shared" si="49"/>
        <v>0</v>
      </c>
      <c r="BA51" s="135">
        <f t="shared" si="49"/>
        <v>0</v>
      </c>
      <c r="BB51" s="135">
        <f t="shared" si="49"/>
        <v>0</v>
      </c>
      <c r="BC51" s="135">
        <f t="shared" si="49"/>
        <v>0</v>
      </c>
      <c r="BD51" s="135">
        <f t="shared" si="49"/>
        <v>0</v>
      </c>
      <c r="BE51" s="135">
        <f t="shared" si="49"/>
        <v>0</v>
      </c>
      <c r="BF51" s="135">
        <f t="shared" si="49"/>
        <v>0</v>
      </c>
      <c r="BG51" s="135">
        <f t="shared" si="49"/>
        <v>0</v>
      </c>
      <c r="BH51" s="135">
        <f t="shared" si="49"/>
        <v>0</v>
      </c>
      <c r="BI51" s="135">
        <f t="shared" si="49"/>
        <v>0</v>
      </c>
      <c r="BJ51" s="135">
        <f t="shared" si="49"/>
        <v>0</v>
      </c>
      <c r="BX51" s="135">
        <f t="shared" si="50"/>
        <v>0</v>
      </c>
      <c r="BY51" s="135">
        <f t="shared" si="50"/>
        <v>0</v>
      </c>
      <c r="BZ51" s="135">
        <f t="shared" si="50"/>
        <v>0</v>
      </c>
      <c r="CA51" s="135">
        <f t="shared" si="50"/>
        <v>0</v>
      </c>
      <c r="CB51" s="135">
        <f t="shared" si="50"/>
        <v>0</v>
      </c>
      <c r="CC51" s="135">
        <f t="shared" si="50"/>
        <v>0</v>
      </c>
      <c r="CD51" s="135">
        <f t="shared" si="50"/>
        <v>0</v>
      </c>
      <c r="CE51" s="135">
        <f t="shared" si="50"/>
        <v>0</v>
      </c>
      <c r="CF51" s="135">
        <f t="shared" si="50"/>
        <v>0</v>
      </c>
      <c r="CG51" s="135">
        <f t="shared" si="50"/>
        <v>0</v>
      </c>
      <c r="CH51" s="135">
        <f t="shared" si="50"/>
        <v>0</v>
      </c>
      <c r="CI51" s="135">
        <f t="shared" si="50"/>
        <v>0</v>
      </c>
      <c r="CK51" s="35"/>
      <c r="CL51" s="221">
        <f>IF(MIN($V51:$CI51)&lt;0, 1, 0)</f>
        <v>0</v>
      </c>
      <c r="CM51" s="35"/>
      <c r="CW51" s="7">
        <f>IF(SUM($DB51:$DD51)=0, 0, 1)</f>
        <v>0</v>
      </c>
      <c r="CX51" s="7">
        <f>IF(SUM($DE51:$DG51)=0, 0, 1)</f>
        <v>0</v>
      </c>
      <c r="CY51" s="7">
        <f>IF($DH51=0, 0, 1)</f>
        <v>0</v>
      </c>
      <c r="CZ51" s="650"/>
      <c r="DA51" s="35"/>
      <c r="DB51" s="215">
        <f t="shared" si="51"/>
        <v>0</v>
      </c>
      <c r="DC51" s="215">
        <f t="shared" si="52"/>
        <v>0</v>
      </c>
      <c r="DD51" s="215">
        <f t="shared" si="53"/>
        <v>0</v>
      </c>
      <c r="DE51" s="215">
        <f>ROUND($BY51-SUMIFS($AA51:$BJ51, $AA$3:$BJ$3, $BY$3), rounding)</f>
        <v>0</v>
      </c>
      <c r="DF51" s="215">
        <f>ROUND($BZ51-SUMIFS($AA51:$BJ51, $AA$3:$BJ$3, $BZ$3), rounding)</f>
        <v>0</v>
      </c>
      <c r="DG51" s="215">
        <f>ROUND($CA51-SUMIFS($AA51:$BJ51, $AA$3:$BJ$3, $CA$3), rounding)</f>
        <v>0</v>
      </c>
      <c r="DH51" s="215">
        <f>ROUND($V51-$BX51, rounding)</f>
        <v>0</v>
      </c>
      <c r="DI51" s="35"/>
      <c r="DJ51">
        <v>0</v>
      </c>
      <c r="DK51">
        <v>0</v>
      </c>
      <c r="DL51" s="35"/>
      <c r="EZ51" s="10" t="str">
        <f t="shared" si="25"/>
        <v/>
      </c>
    </row>
    <row r="52" spans="1:156" ht="15" customHeight="1" x14ac:dyDescent="0.35">
      <c r="A52" s="220" cm="1">
        <f t="array" aca="1" ref="A52" ca="1">HYPERLINK(CONCATENATE("#",CELL("address",IF(MAX($CM52:$CZ52)=0,A52,INDEX($CM52:$CZ52,MATCH(1,$CM52:$CZ52,0))))),MAX($CM52:$CZ52))</f>
        <v>0</v>
      </c>
      <c r="C52" s="253"/>
      <c r="D52" s="4" t="s">
        <v>796</v>
      </c>
      <c r="E52" s="4" t="str">
        <f>Parameters!$D$42</f>
        <v>Assets under Construction</v>
      </c>
      <c r="V52" s="654">
        <f t="shared" si="54"/>
        <v>0</v>
      </c>
      <c r="W52" s="654">
        <f t="shared" si="48"/>
        <v>0</v>
      </c>
      <c r="X52" s="135">
        <f t="shared" si="48"/>
        <v>0</v>
      </c>
      <c r="Y52" s="135">
        <f t="shared" si="48"/>
        <v>0</v>
      </c>
      <c r="AA52" s="654">
        <f t="shared" si="49"/>
        <v>0</v>
      </c>
      <c r="AB52" s="654">
        <f t="shared" si="49"/>
        <v>0</v>
      </c>
      <c r="AC52" s="654">
        <f t="shared" si="49"/>
        <v>0</v>
      </c>
      <c r="AD52" s="654">
        <f t="shared" si="49"/>
        <v>0</v>
      </c>
      <c r="AE52" s="654">
        <f t="shared" si="49"/>
        <v>0</v>
      </c>
      <c r="AF52" s="654">
        <f t="shared" si="49"/>
        <v>0</v>
      </c>
      <c r="AG52" s="654">
        <f t="shared" si="49"/>
        <v>0</v>
      </c>
      <c r="AH52" s="654">
        <f t="shared" si="49"/>
        <v>0</v>
      </c>
      <c r="AI52" s="654">
        <f t="shared" si="49"/>
        <v>0</v>
      </c>
      <c r="AJ52" s="654">
        <f t="shared" si="49"/>
        <v>0</v>
      </c>
      <c r="AK52" s="654">
        <f t="shared" si="49"/>
        <v>0</v>
      </c>
      <c r="AL52" s="654">
        <f t="shared" si="49"/>
        <v>0</v>
      </c>
      <c r="AM52" s="135">
        <f t="shared" si="49"/>
        <v>0</v>
      </c>
      <c r="AN52" s="135">
        <f t="shared" si="49"/>
        <v>0</v>
      </c>
      <c r="AO52" s="135">
        <f t="shared" si="49"/>
        <v>0</v>
      </c>
      <c r="AP52" s="135">
        <f t="shared" si="49"/>
        <v>0</v>
      </c>
      <c r="AQ52" s="135">
        <f t="shared" si="49"/>
        <v>0</v>
      </c>
      <c r="AR52" s="135">
        <f t="shared" si="49"/>
        <v>0</v>
      </c>
      <c r="AS52" s="135">
        <f t="shared" si="49"/>
        <v>0</v>
      </c>
      <c r="AT52" s="135">
        <f t="shared" si="49"/>
        <v>0</v>
      </c>
      <c r="AU52" s="135">
        <f t="shared" si="49"/>
        <v>0</v>
      </c>
      <c r="AV52" s="135">
        <f t="shared" si="49"/>
        <v>0</v>
      </c>
      <c r="AW52" s="135">
        <f t="shared" si="49"/>
        <v>0</v>
      </c>
      <c r="AX52" s="135">
        <f t="shared" si="49"/>
        <v>0</v>
      </c>
      <c r="AY52" s="135">
        <f t="shared" si="49"/>
        <v>0</v>
      </c>
      <c r="AZ52" s="135">
        <f t="shared" si="49"/>
        <v>0</v>
      </c>
      <c r="BA52" s="135">
        <f t="shared" si="49"/>
        <v>0</v>
      </c>
      <c r="BB52" s="135">
        <f t="shared" si="49"/>
        <v>0</v>
      </c>
      <c r="BC52" s="135">
        <f t="shared" si="49"/>
        <v>0</v>
      </c>
      <c r="BD52" s="135">
        <f t="shared" si="49"/>
        <v>0</v>
      </c>
      <c r="BE52" s="135">
        <f t="shared" si="49"/>
        <v>0</v>
      </c>
      <c r="BF52" s="135">
        <f t="shared" si="49"/>
        <v>0</v>
      </c>
      <c r="BG52" s="135">
        <f t="shared" si="49"/>
        <v>0</v>
      </c>
      <c r="BH52" s="135">
        <f t="shared" si="49"/>
        <v>0</v>
      </c>
      <c r="BI52" s="135">
        <f t="shared" si="49"/>
        <v>0</v>
      </c>
      <c r="BJ52" s="135">
        <f t="shared" si="49"/>
        <v>0</v>
      </c>
      <c r="BX52" s="135">
        <f t="shared" si="50"/>
        <v>0</v>
      </c>
      <c r="BY52" s="135">
        <f t="shared" si="50"/>
        <v>0</v>
      </c>
      <c r="BZ52" s="135">
        <f t="shared" si="50"/>
        <v>0</v>
      </c>
      <c r="CA52" s="135">
        <f t="shared" si="50"/>
        <v>0</v>
      </c>
      <c r="CB52" s="135">
        <f t="shared" si="50"/>
        <v>0</v>
      </c>
      <c r="CC52" s="135">
        <f t="shared" si="50"/>
        <v>0</v>
      </c>
      <c r="CD52" s="135">
        <f t="shared" si="50"/>
        <v>0</v>
      </c>
      <c r="CE52" s="135">
        <f t="shared" si="50"/>
        <v>0</v>
      </c>
      <c r="CF52" s="135">
        <f t="shared" si="50"/>
        <v>0</v>
      </c>
      <c r="CG52" s="135">
        <f t="shared" si="50"/>
        <v>0</v>
      </c>
      <c r="CH52" s="135">
        <f t="shared" si="50"/>
        <v>0</v>
      </c>
      <c r="CI52" s="135">
        <f t="shared" si="50"/>
        <v>0</v>
      </c>
      <c r="CK52" s="35"/>
      <c r="CL52" s="221">
        <f>IF(MIN($V52:$CI52)&lt;0, 1, 0)</f>
        <v>0</v>
      </c>
      <c r="CM52" s="35"/>
      <c r="CW52" s="7">
        <f>IF(SUM($DB52:$DD52)=0, 0, 1)</f>
        <v>0</v>
      </c>
      <c r="CX52" s="7">
        <f>IF(SUM($DE52:$DG52)=0, 0, 1)</f>
        <v>0</v>
      </c>
      <c r="CY52" s="7">
        <f>IF($DH52=0, 0, 1)</f>
        <v>0</v>
      </c>
      <c r="CZ52" s="650"/>
      <c r="DA52" s="35"/>
      <c r="DB52" s="215">
        <f t="shared" si="51"/>
        <v>0</v>
      </c>
      <c r="DC52" s="215">
        <f t="shared" si="52"/>
        <v>0</v>
      </c>
      <c r="DD52" s="215">
        <f t="shared" si="53"/>
        <v>0</v>
      </c>
      <c r="DE52" s="215">
        <f>ROUND($BY52-SUMIFS($AA52:$BJ52, $AA$3:$BJ$3, $BY$3), rounding)</f>
        <v>0</v>
      </c>
      <c r="DF52" s="215">
        <f>ROUND($BZ52-SUMIFS($AA52:$BJ52, $AA$3:$BJ$3, $BZ$3), rounding)</f>
        <v>0</v>
      </c>
      <c r="DG52" s="215">
        <f>ROUND($CA52-SUMIFS($AA52:$BJ52, $AA$3:$BJ$3, $CA$3), rounding)</f>
        <v>0</v>
      </c>
      <c r="DH52" s="215">
        <f>ROUND($V52-$BX52, rounding)</f>
        <v>0</v>
      </c>
      <c r="DI52" s="35"/>
      <c r="DJ52">
        <v>0</v>
      </c>
      <c r="DK52">
        <v>0</v>
      </c>
      <c r="DL52" s="35"/>
      <c r="EZ52" s="10" t="str">
        <f t="shared" si="25"/>
        <v/>
      </c>
    </row>
    <row r="53" spans="1:156" ht="15" customHeight="1" x14ac:dyDescent="0.35">
      <c r="A53" s="220" cm="1">
        <f t="array" aca="1" ref="A53" ca="1">HYPERLINK(CONCATENATE("#",CELL("address",IF(MAX($CM53:$CZ53)=0,A53,INDEX($CM53:$CZ53,MATCH(1,$CM53:$CZ53,0))))),MAX($CM53:$CZ53))</f>
        <v>0</v>
      </c>
      <c r="C53" s="253"/>
      <c r="D53" s="97" t="s">
        <v>797</v>
      </c>
      <c r="E53" s="97" t="s">
        <v>778</v>
      </c>
      <c r="V53" s="654">
        <f>SUM(V49:V52)</f>
        <v>0</v>
      </c>
      <c r="W53" s="654">
        <f>SUM(W49:W52)</f>
        <v>0</v>
      </c>
      <c r="X53" s="135">
        <f>SUM(X49:X52)</f>
        <v>0</v>
      </c>
      <c r="Y53" s="135">
        <f>SUM(Y49:Y52)</f>
        <v>0</v>
      </c>
      <c r="AA53" s="654">
        <f>SUM(AA49:AA52)</f>
        <v>0</v>
      </c>
      <c r="AB53" s="654">
        <f t="shared" ref="AB53:BI53" si="55">SUM(AB49:AB52)</f>
        <v>0</v>
      </c>
      <c r="AC53" s="654">
        <f t="shared" si="55"/>
        <v>0</v>
      </c>
      <c r="AD53" s="654">
        <f t="shared" si="55"/>
        <v>0</v>
      </c>
      <c r="AE53" s="654">
        <f t="shared" si="55"/>
        <v>0</v>
      </c>
      <c r="AF53" s="654">
        <f t="shared" si="55"/>
        <v>0</v>
      </c>
      <c r="AG53" s="654">
        <f t="shared" si="55"/>
        <v>0</v>
      </c>
      <c r="AH53" s="654">
        <f t="shared" si="55"/>
        <v>0</v>
      </c>
      <c r="AI53" s="654">
        <f t="shared" si="55"/>
        <v>0</v>
      </c>
      <c r="AJ53" s="654">
        <f t="shared" si="55"/>
        <v>0</v>
      </c>
      <c r="AK53" s="654">
        <f t="shared" si="55"/>
        <v>0</v>
      </c>
      <c r="AL53" s="654">
        <f t="shared" si="55"/>
        <v>0</v>
      </c>
      <c r="AM53" s="135">
        <f t="shared" si="55"/>
        <v>0</v>
      </c>
      <c r="AN53" s="135">
        <f t="shared" si="55"/>
        <v>0</v>
      </c>
      <c r="AO53" s="135">
        <f t="shared" si="55"/>
        <v>0</v>
      </c>
      <c r="AP53" s="135">
        <f t="shared" si="55"/>
        <v>0</v>
      </c>
      <c r="AQ53" s="135">
        <f t="shared" si="55"/>
        <v>0</v>
      </c>
      <c r="AR53" s="135">
        <f t="shared" si="55"/>
        <v>0</v>
      </c>
      <c r="AS53" s="135">
        <f t="shared" si="55"/>
        <v>0</v>
      </c>
      <c r="AT53" s="135">
        <f t="shared" si="55"/>
        <v>0</v>
      </c>
      <c r="AU53" s="135">
        <f t="shared" si="55"/>
        <v>0</v>
      </c>
      <c r="AV53" s="135">
        <f t="shared" si="55"/>
        <v>0</v>
      </c>
      <c r="AW53" s="135">
        <f t="shared" si="55"/>
        <v>0</v>
      </c>
      <c r="AX53" s="135">
        <f t="shared" si="55"/>
        <v>0</v>
      </c>
      <c r="AY53" s="135">
        <f t="shared" si="55"/>
        <v>0</v>
      </c>
      <c r="AZ53" s="135">
        <f t="shared" si="55"/>
        <v>0</v>
      </c>
      <c r="BA53" s="135">
        <f t="shared" si="55"/>
        <v>0</v>
      </c>
      <c r="BB53" s="135">
        <f t="shared" si="55"/>
        <v>0</v>
      </c>
      <c r="BC53" s="135">
        <f t="shared" si="55"/>
        <v>0</v>
      </c>
      <c r="BD53" s="135">
        <f t="shared" si="55"/>
        <v>0</v>
      </c>
      <c r="BE53" s="135">
        <f t="shared" si="55"/>
        <v>0</v>
      </c>
      <c r="BF53" s="135">
        <f t="shared" si="55"/>
        <v>0</v>
      </c>
      <c r="BG53" s="135">
        <f t="shared" si="55"/>
        <v>0</v>
      </c>
      <c r="BH53" s="135">
        <f t="shared" si="55"/>
        <v>0</v>
      </c>
      <c r="BI53" s="135">
        <f t="shared" si="55"/>
        <v>0</v>
      </c>
      <c r="BJ53" s="135">
        <f>SUM(BJ49:BJ52)</f>
        <v>0</v>
      </c>
      <c r="BX53" s="135">
        <f>SUM(BX49:BX52)</f>
        <v>0</v>
      </c>
      <c r="BY53" s="135">
        <f t="shared" ref="BY53:CI53" si="56">SUM(BY49:BY52)</f>
        <v>0</v>
      </c>
      <c r="BZ53" s="135">
        <f t="shared" si="56"/>
        <v>0</v>
      </c>
      <c r="CA53" s="135">
        <f t="shared" si="56"/>
        <v>0</v>
      </c>
      <c r="CB53" s="135">
        <f t="shared" si="56"/>
        <v>0</v>
      </c>
      <c r="CC53" s="135">
        <f t="shared" si="56"/>
        <v>0</v>
      </c>
      <c r="CD53" s="135">
        <f t="shared" si="56"/>
        <v>0</v>
      </c>
      <c r="CE53" s="135">
        <f t="shared" si="56"/>
        <v>0</v>
      </c>
      <c r="CF53" s="135">
        <f t="shared" si="56"/>
        <v>0</v>
      </c>
      <c r="CG53" s="135">
        <f t="shared" si="56"/>
        <v>0</v>
      </c>
      <c r="CH53" s="135">
        <f t="shared" si="56"/>
        <v>0</v>
      </c>
      <c r="CI53" s="135">
        <f t="shared" si="56"/>
        <v>0</v>
      </c>
      <c r="CK53" s="35"/>
      <c r="CL53" s="221">
        <f>IF(MIN($V53:$CI53)&lt;0, 1, 0)</f>
        <v>0</v>
      </c>
      <c r="CM53" s="35"/>
      <c r="CW53" s="7">
        <f>IF(SUM($DB53:$DD53)=0, 0, 1)</f>
        <v>0</v>
      </c>
      <c r="CX53" s="7">
        <f>IF(SUM($DE53:$DG53)=0, 0, 1)</f>
        <v>0</v>
      </c>
      <c r="CY53" s="7">
        <f>IF($DH53=0, 0, 1)</f>
        <v>0</v>
      </c>
      <c r="CZ53" s="7">
        <f>IF(($V53+$W53)=0, 0, 1)</f>
        <v>0</v>
      </c>
      <c r="DA53" s="35"/>
      <c r="DB53" s="215">
        <f t="shared" si="51"/>
        <v>0</v>
      </c>
      <c r="DC53" s="215">
        <f t="shared" si="52"/>
        <v>0</v>
      </c>
      <c r="DD53" s="215">
        <f t="shared" si="53"/>
        <v>0</v>
      </c>
      <c r="DE53" s="215">
        <f>ROUND($BY53-SUMIFS($AA53:$BJ53, $AA$3:$BJ$3, $BY$3), rounding)</f>
        <v>0</v>
      </c>
      <c r="DF53" s="215">
        <f>ROUND($BZ53-SUMIFS($AA53:$BJ53, $AA$3:$BJ$3, $BZ$3), rounding)</f>
        <v>0</v>
      </c>
      <c r="DG53" s="215">
        <f>ROUND($CA53-SUMIFS($AA53:$BJ53, $AA$3:$BJ$3, $CA$3), rounding)</f>
        <v>0</v>
      </c>
      <c r="DH53" s="215">
        <f>ROUND($V53-$BX53, rounding)</f>
        <v>0</v>
      </c>
      <c r="DI53" s="35"/>
      <c r="DJ53">
        <v>0</v>
      </c>
      <c r="DK53">
        <v>0</v>
      </c>
      <c r="DL53" s="35"/>
      <c r="EZ53" s="10" t="str">
        <f t="shared" si="25"/>
        <v/>
      </c>
    </row>
    <row r="54" spans="1:156" ht="6.75" customHeight="1" x14ac:dyDescent="0.35">
      <c r="C54" s="253"/>
      <c r="D54" s="1"/>
      <c r="E54"/>
      <c r="BY54" s="6"/>
      <c r="CK54" s="35"/>
      <c r="CM54" s="35"/>
      <c r="CZ54" s="650"/>
      <c r="DA54" s="35"/>
      <c r="DB54" s="215"/>
      <c r="DC54" s="215"/>
      <c r="DD54" s="215"/>
      <c r="DE54" s="215"/>
      <c r="DF54" s="215"/>
      <c r="DG54" s="215"/>
      <c r="DH54" s="215"/>
      <c r="DI54" s="35"/>
      <c r="DJ54">
        <v>0</v>
      </c>
      <c r="DK54">
        <v>0</v>
      </c>
      <c r="DL54" s="35"/>
      <c r="EZ54" s="10" t="str">
        <f t="shared" si="25"/>
        <v/>
      </c>
    </row>
    <row r="55" spans="1:156" x14ac:dyDescent="0.35">
      <c r="A55" s="88"/>
      <c r="B55" s="88"/>
      <c r="C55" s="254"/>
      <c r="D55" s="34" t="s">
        <v>798</v>
      </c>
      <c r="E55" s="34"/>
      <c r="F55" s="34"/>
      <c r="G55" s="34"/>
      <c r="H55" s="34"/>
      <c r="I55" s="34"/>
      <c r="J55" s="34"/>
      <c r="K55" s="34"/>
      <c r="L55" s="34"/>
      <c r="M55" s="34"/>
      <c r="N55" s="34"/>
      <c r="O55" s="34"/>
      <c r="P55" s="34"/>
      <c r="Q55" s="34"/>
      <c r="R55" s="34"/>
      <c r="S55" s="34"/>
      <c r="T55" s="34"/>
      <c r="U55" s="34"/>
      <c r="V55" s="34"/>
      <c r="W55" s="34"/>
      <c r="X55" s="34"/>
      <c r="Y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5"/>
      <c r="CM55" s="35"/>
      <c r="CZ55" s="650"/>
      <c r="DA55" s="35"/>
      <c r="DB55" s="215"/>
      <c r="DC55" s="215"/>
      <c r="DD55" s="215"/>
      <c r="DE55" s="215"/>
      <c r="DF55" s="215"/>
      <c r="DG55" s="215"/>
      <c r="DH55" s="215"/>
      <c r="DI55" s="35"/>
      <c r="DJ55">
        <v>0</v>
      </c>
      <c r="DK55">
        <v>0</v>
      </c>
      <c r="DL55" s="35"/>
      <c r="EZ55" s="10" t="str">
        <f t="shared" si="25"/>
        <v/>
      </c>
    </row>
    <row r="56" spans="1:156" ht="6.75" customHeight="1" x14ac:dyDescent="0.35">
      <c r="C56" s="253"/>
      <c r="D56" s="1"/>
      <c r="E56"/>
      <c r="BY56" s="6"/>
      <c r="CK56" s="35"/>
      <c r="CM56" s="35"/>
      <c r="CZ56" s="650"/>
      <c r="DA56" s="35"/>
      <c r="DB56" s="215"/>
      <c r="DC56" s="215"/>
      <c r="DD56" s="215"/>
      <c r="DE56" s="215"/>
      <c r="DF56" s="215"/>
      <c r="DG56" s="215"/>
      <c r="DH56" s="215"/>
      <c r="DI56" s="35"/>
      <c r="DJ56">
        <v>0</v>
      </c>
      <c r="DK56">
        <v>0</v>
      </c>
      <c r="DL56" s="35"/>
      <c r="EZ56" s="10" t="str">
        <f t="shared" si="25"/>
        <v/>
      </c>
    </row>
    <row r="57" spans="1:156" x14ac:dyDescent="0.35">
      <c r="C57" s="253"/>
      <c r="D57" s="1"/>
      <c r="E57" s="85" t="s">
        <v>122</v>
      </c>
      <c r="F57" s="85" t="s">
        <v>122</v>
      </c>
      <c r="G57" s="85" t="s">
        <v>122</v>
      </c>
      <c r="CK57" s="11"/>
      <c r="CM57" s="11"/>
      <c r="CZ57" s="650"/>
      <c r="DA57" s="35"/>
      <c r="DB57" s="215"/>
      <c r="DC57" s="215"/>
      <c r="DD57" s="215"/>
      <c r="DE57" s="215"/>
      <c r="DF57" s="215"/>
      <c r="DG57" s="215"/>
      <c r="DH57" s="215"/>
      <c r="DI57" s="35"/>
      <c r="DJ57">
        <v>0</v>
      </c>
      <c r="DK57">
        <v>0</v>
      </c>
      <c r="DL57" s="35"/>
      <c r="EZ57" s="10" t="str">
        <f t="shared" si="25"/>
        <v/>
      </c>
    </row>
    <row r="58" spans="1:156" s="1" customFormat="1" ht="26" x14ac:dyDescent="0.35">
      <c r="C58" s="255"/>
      <c r="D58" s="44" t="s">
        <v>799</v>
      </c>
      <c r="E58" s="45" t="s">
        <v>754</v>
      </c>
      <c r="F58" s="45" t="s">
        <v>800</v>
      </c>
      <c r="G58" s="46" t="s">
        <v>801</v>
      </c>
      <c r="H58"/>
      <c r="Z58"/>
      <c r="CK58" s="25"/>
      <c r="CM58" s="25"/>
      <c r="CQ58"/>
      <c r="CV58"/>
      <c r="CW58"/>
      <c r="CX58"/>
      <c r="CY58"/>
      <c r="CZ58" s="651"/>
      <c r="DA58" s="43"/>
      <c r="DB58" s="215"/>
      <c r="DC58" s="215"/>
      <c r="DD58" s="215"/>
      <c r="DE58" s="215">
        <f>$BY58-SUMIFS($AA58:$BJ58, $AA$3:$BJ$3, $BY$3)</f>
        <v>0</v>
      </c>
      <c r="DF58"/>
      <c r="DG58"/>
      <c r="DH58"/>
      <c r="DI58" s="43"/>
      <c r="DJ58" s="1">
        <v>0</v>
      </c>
      <c r="DK58" s="1">
        <v>0</v>
      </c>
      <c r="DL58" s="43"/>
      <c r="EZ58" s="10" t="str">
        <f t="shared" si="25"/>
        <v/>
      </c>
    </row>
    <row r="59" spans="1:156" x14ac:dyDescent="0.35">
      <c r="C59" s="253"/>
      <c r="D59" s="226"/>
      <c r="E59" s="227" t="s">
        <v>757</v>
      </c>
      <c r="F59" s="227" t="s">
        <v>20</v>
      </c>
      <c r="G59" s="228" t="s">
        <v>802</v>
      </c>
      <c r="S59" s="1"/>
      <c r="BK59" s="1"/>
      <c r="BL59" s="1"/>
      <c r="BM59" s="1"/>
      <c r="BN59" s="1"/>
      <c r="BO59" s="1"/>
      <c r="BP59" s="1"/>
      <c r="BQ59" s="1"/>
      <c r="BR59" s="1"/>
      <c r="BS59" s="1"/>
      <c r="BT59" s="1"/>
      <c r="BU59" s="1"/>
      <c r="BV59" s="1"/>
      <c r="BW59" s="1"/>
      <c r="CK59" s="11"/>
      <c r="CM59" s="11"/>
      <c r="CZ59" s="650"/>
      <c r="DA59" s="35"/>
      <c r="DB59" s="215"/>
      <c r="DC59" s="215"/>
      <c r="DD59" s="215"/>
      <c r="DE59" s="215"/>
      <c r="DI59" s="35"/>
      <c r="DJ59">
        <v>0</v>
      </c>
      <c r="DK59">
        <v>0</v>
      </c>
      <c r="DL59" s="35"/>
      <c r="EZ59" s="10" t="str">
        <f t="shared" si="25"/>
        <v/>
      </c>
    </row>
    <row r="60" spans="1:156" x14ac:dyDescent="0.35">
      <c r="A60" s="220" cm="1">
        <f t="array" aca="1" ref="A60" ca="1">HYPERLINK(CONCATENATE("#",CELL("address",IF(MAX($CM60:$CZ60)=0,A60,INDEX($CM60:$CZ60,MATCH(1,$CM60:$CZ60,0))))),MAX($CM60:$CZ60))</f>
        <v>0</v>
      </c>
      <c r="C60" s="309" t="s">
        <v>803</v>
      </c>
      <c r="D60" s="113"/>
      <c r="E60" s="113"/>
      <c r="F60" s="130"/>
      <c r="G60" s="136"/>
      <c r="H60" s="9" t="s">
        <v>620</v>
      </c>
      <c r="I60" s="9"/>
      <c r="S60" s="1"/>
      <c r="V60" s="12">
        <f>IF(AND($F60&gt;=Timeline!$V$8,$F60 &lt;=V$5), $G60, 0)</f>
        <v>0</v>
      </c>
      <c r="W60" s="133">
        <f t="shared" ref="W60:Y74" si="57">IF(AND($F60&gt;V$5,$F60 &lt;=W$5), $G60, 0)</f>
        <v>0</v>
      </c>
      <c r="X60" s="133">
        <f t="shared" si="57"/>
        <v>0</v>
      </c>
      <c r="Y60" s="133">
        <f t="shared" si="57"/>
        <v>0</v>
      </c>
      <c r="AA60" s="133">
        <f t="shared" ref="AA60:AA74" si="58">IF(AND($F60&gt;V$5,$F60 &lt;=AA$5), $G60, 0)</f>
        <v>0</v>
      </c>
      <c r="AB60" s="133">
        <f t="shared" ref="AB60:BJ60" si="59">IF(AND($F60&gt;AA$5,$F60 &lt;=AB$5), $G60, 0)</f>
        <v>0</v>
      </c>
      <c r="AC60" s="133">
        <f t="shared" si="59"/>
        <v>0</v>
      </c>
      <c r="AD60" s="133">
        <f t="shared" si="59"/>
        <v>0</v>
      </c>
      <c r="AE60" s="133">
        <f t="shared" si="59"/>
        <v>0</v>
      </c>
      <c r="AF60" s="133">
        <f t="shared" si="59"/>
        <v>0</v>
      </c>
      <c r="AG60" s="133">
        <f t="shared" si="59"/>
        <v>0</v>
      </c>
      <c r="AH60" s="133">
        <f t="shared" si="59"/>
        <v>0</v>
      </c>
      <c r="AI60" s="133">
        <f t="shared" si="59"/>
        <v>0</v>
      </c>
      <c r="AJ60" s="133">
        <f t="shared" si="59"/>
        <v>0</v>
      </c>
      <c r="AK60" s="133">
        <f t="shared" si="59"/>
        <v>0</v>
      </c>
      <c r="AL60" s="133">
        <f t="shared" si="59"/>
        <v>0</v>
      </c>
      <c r="AM60" s="133">
        <f t="shared" si="59"/>
        <v>0</v>
      </c>
      <c r="AN60" s="133">
        <f t="shared" si="59"/>
        <v>0</v>
      </c>
      <c r="AO60" s="133">
        <f t="shared" si="59"/>
        <v>0</v>
      </c>
      <c r="AP60" s="133">
        <f t="shared" si="59"/>
        <v>0</v>
      </c>
      <c r="AQ60" s="133">
        <f t="shared" si="59"/>
        <v>0</v>
      </c>
      <c r="AR60" s="133">
        <f t="shared" si="59"/>
        <v>0</v>
      </c>
      <c r="AS60" s="133">
        <f t="shared" si="59"/>
        <v>0</v>
      </c>
      <c r="AT60" s="133">
        <f t="shared" si="59"/>
        <v>0</v>
      </c>
      <c r="AU60" s="133">
        <f t="shared" si="59"/>
        <v>0</v>
      </c>
      <c r="AV60" s="133">
        <f t="shared" si="59"/>
        <v>0</v>
      </c>
      <c r="AW60" s="133">
        <f t="shared" si="59"/>
        <v>0</v>
      </c>
      <c r="AX60" s="133">
        <f t="shared" si="59"/>
        <v>0</v>
      </c>
      <c r="AY60" s="133">
        <f t="shared" si="59"/>
        <v>0</v>
      </c>
      <c r="AZ60" s="133">
        <f t="shared" si="59"/>
        <v>0</v>
      </c>
      <c r="BA60" s="133">
        <f t="shared" si="59"/>
        <v>0</v>
      </c>
      <c r="BB60" s="133">
        <f t="shared" si="59"/>
        <v>0</v>
      </c>
      <c r="BC60" s="133">
        <f t="shared" si="59"/>
        <v>0</v>
      </c>
      <c r="BD60" s="133">
        <f t="shared" si="59"/>
        <v>0</v>
      </c>
      <c r="BE60" s="133">
        <f t="shared" si="59"/>
        <v>0</v>
      </c>
      <c r="BF60" s="133">
        <f t="shared" si="59"/>
        <v>0</v>
      </c>
      <c r="BG60" s="133">
        <f t="shared" si="59"/>
        <v>0</v>
      </c>
      <c r="BH60" s="133">
        <f t="shared" si="59"/>
        <v>0</v>
      </c>
      <c r="BI60" s="133">
        <f t="shared" si="59"/>
        <v>0</v>
      </c>
      <c r="BJ60" s="133">
        <f t="shared" si="59"/>
        <v>0</v>
      </c>
      <c r="BK60" s="1"/>
      <c r="BL60" s="1"/>
      <c r="BM60" s="1"/>
      <c r="BN60" s="1"/>
      <c r="BO60" s="1"/>
      <c r="BP60" s="1"/>
      <c r="BQ60" s="1"/>
      <c r="BR60" s="1"/>
      <c r="BS60" s="1"/>
      <c r="BT60" s="1"/>
      <c r="BU60" s="1"/>
      <c r="BV60" s="1"/>
      <c r="BW60" s="1"/>
      <c r="BX60" s="12">
        <f t="shared" ref="BX60:BX74" si="60">V60</f>
        <v>0</v>
      </c>
      <c r="BY60" s="133">
        <f t="shared" ref="BY60:CI60" si="61">IF(AND($F60&gt;BX$5,$F60 &lt;=BY$5), $G60, 0)</f>
        <v>0</v>
      </c>
      <c r="BZ60" s="133">
        <f t="shared" si="61"/>
        <v>0</v>
      </c>
      <c r="CA60" s="133">
        <f t="shared" si="61"/>
        <v>0</v>
      </c>
      <c r="CB60" s="133">
        <f t="shared" si="61"/>
        <v>0</v>
      </c>
      <c r="CC60" s="133">
        <f t="shared" si="61"/>
        <v>0</v>
      </c>
      <c r="CD60" s="133">
        <f t="shared" si="61"/>
        <v>0</v>
      </c>
      <c r="CE60" s="133">
        <f t="shared" si="61"/>
        <v>0</v>
      </c>
      <c r="CF60" s="133">
        <f t="shared" si="61"/>
        <v>0</v>
      </c>
      <c r="CG60" s="133">
        <f t="shared" si="61"/>
        <v>0</v>
      </c>
      <c r="CH60" s="133">
        <f t="shared" si="61"/>
        <v>0</v>
      </c>
      <c r="CI60" s="133">
        <f t="shared" si="61"/>
        <v>0</v>
      </c>
      <c r="CK60" s="11"/>
      <c r="CL60" s="221">
        <f t="shared" ref="CL60:CL78" si="62">IF($G60&lt;0, 1, 0)</f>
        <v>0</v>
      </c>
      <c r="CM60" s="11"/>
      <c r="CN60" s="7">
        <f t="shared" ref="CN60:CN74" si="63">IF(AND(E60="", IFERROR(ABS(G60),0)&gt;0), 1,0)</f>
        <v>0</v>
      </c>
      <c r="CO60" s="7">
        <f>IF(AND(G60&lt;&gt;0, IFERROR(MATCH(E60, Parameters!$D$45:$D$48, 0), "N/A")="N/A"), 1, 0)</f>
        <v>0</v>
      </c>
      <c r="CQ60" s="7">
        <f>IF($F60="", 0, IF(AND($F60&lt;=$CI$5, $F60&gt;=Timeline!$V$8), 0, 1))</f>
        <v>0</v>
      </c>
      <c r="CU60" s="7" cm="1">
        <f t="array" ref="CU60">SUMPRODUCT(--NOT(ISNUMBER(G60:G60)),--NOT(ISBLANK(G60:G60)))</f>
        <v>0</v>
      </c>
      <c r="CW60" s="7">
        <f t="shared" ref="CW60:CW78" si="64">IF(SUM($DB60:$DD60)=0, 0, 1)</f>
        <v>0</v>
      </c>
      <c r="CX60" s="7">
        <f t="shared" ref="CX60:CX78" si="65">IF(SUM($DE60:$DG60)=0, 0, 1)</f>
        <v>0</v>
      </c>
      <c r="CY60" s="7">
        <f t="shared" ref="CY60:CY78" si="66">IF($DH60=0, 0, 1)</f>
        <v>0</v>
      </c>
      <c r="CZ60" s="650"/>
      <c r="DA60" s="35"/>
      <c r="DB60" s="215">
        <f t="shared" ref="DB60:DB78" si="67">ROUND(W60-SUMIFS($AA60:$BJ60, $AA$3:$BJ$3, W$3), rounding)</f>
        <v>0</v>
      </c>
      <c r="DC60" s="215">
        <f t="shared" ref="DC60:DC78" si="68">ROUND(X60-SUMIFS($AA60:$BJ60, $AA$3:$BJ$3, X$3), rounding)</f>
        <v>0</v>
      </c>
      <c r="DD60" s="215">
        <f t="shared" ref="DD60:DD78" si="69">ROUND(Y60-SUMIFS($AA60:$BJ60, $AA$3:$BJ$3, Y$3), rounding)</f>
        <v>0</v>
      </c>
      <c r="DE60" s="215">
        <f t="shared" ref="DE60:DE78" si="70">ROUND($BY60-SUMIFS($AA60:$BJ60, $AA$3:$BJ$3, $BY$3), rounding)</f>
        <v>0</v>
      </c>
      <c r="DF60" s="215">
        <f t="shared" ref="DF60:DF78" si="71">ROUND($BZ60-SUMIFS($AA60:$BJ60, $AA$3:$BJ$3, $BZ$3), rounding)</f>
        <v>0</v>
      </c>
      <c r="DG60" s="215">
        <f t="shared" ref="DG60:DG78" si="72">ROUND($CA60-SUMIFS($AA60:$BJ60, $AA$3:$BJ$3, $CA$3), rounding)</f>
        <v>0</v>
      </c>
      <c r="DH60" s="215">
        <f t="shared" ref="DH60:DH78" si="73">ROUND($V60-$BX60, rounding)</f>
        <v>0</v>
      </c>
      <c r="DI60" s="35"/>
      <c r="DJ60">
        <v>0</v>
      </c>
      <c r="DK60">
        <v>0</v>
      </c>
      <c r="DL60" s="35"/>
      <c r="EZ60" s="12" t="str">
        <f t="shared" ref="EZ60:EZ74" si="74">IF($C60="","",CONCATENATE(D$55, " ",$C60))</f>
        <v>Movement from Assets under Construction AC1</v>
      </c>
    </row>
    <row r="61" spans="1:156" x14ac:dyDescent="0.35">
      <c r="A61" s="220" cm="1">
        <f t="array" aca="1" ref="A61" ca="1">HYPERLINK(CONCATENATE("#",CELL("address",IF(MAX($CM61:$CZ61)=0,A61,INDEX($CM61:$CZ61,MATCH(1,$CM61:$CZ61,0))))),MAX($CM61:$CZ61))</f>
        <v>0</v>
      </c>
      <c r="C61" s="309" t="s">
        <v>804</v>
      </c>
      <c r="D61" s="114"/>
      <c r="E61" s="113"/>
      <c r="F61" s="130"/>
      <c r="G61" s="136"/>
      <c r="H61" s="9" t="s">
        <v>620</v>
      </c>
      <c r="I61" s="9"/>
      <c r="S61" s="1"/>
      <c r="V61" s="12">
        <f>IF(AND($F61&gt;=Timeline!$V$8,$F61 &lt;=V$5), $G61, 0)</f>
        <v>0</v>
      </c>
      <c r="W61" s="10">
        <f t="shared" si="57"/>
        <v>0</v>
      </c>
      <c r="X61" s="10">
        <f t="shared" si="57"/>
        <v>0</v>
      </c>
      <c r="Y61" s="10">
        <f t="shared" si="57"/>
        <v>0</v>
      </c>
      <c r="AA61" s="133">
        <f t="shared" si="58"/>
        <v>0</v>
      </c>
      <c r="AB61" s="10">
        <f t="shared" ref="AB61:BJ61" si="75">IF(AND($F61&gt;AA$5,$F61 &lt;=AB$5), $G61, 0)</f>
        <v>0</v>
      </c>
      <c r="AC61" s="10">
        <f t="shared" si="75"/>
        <v>0</v>
      </c>
      <c r="AD61" s="10">
        <f t="shared" si="75"/>
        <v>0</v>
      </c>
      <c r="AE61" s="10">
        <f t="shared" si="75"/>
        <v>0</v>
      </c>
      <c r="AF61" s="10">
        <f t="shared" si="75"/>
        <v>0</v>
      </c>
      <c r="AG61" s="10">
        <f t="shared" si="75"/>
        <v>0</v>
      </c>
      <c r="AH61" s="10">
        <f t="shared" si="75"/>
        <v>0</v>
      </c>
      <c r="AI61" s="10">
        <f t="shared" si="75"/>
        <v>0</v>
      </c>
      <c r="AJ61" s="10">
        <f t="shared" si="75"/>
        <v>0</v>
      </c>
      <c r="AK61" s="10">
        <f t="shared" si="75"/>
        <v>0</v>
      </c>
      <c r="AL61" s="10">
        <f t="shared" si="75"/>
        <v>0</v>
      </c>
      <c r="AM61" s="10">
        <f t="shared" si="75"/>
        <v>0</v>
      </c>
      <c r="AN61" s="10">
        <f t="shared" si="75"/>
        <v>0</v>
      </c>
      <c r="AO61" s="10">
        <f t="shared" si="75"/>
        <v>0</v>
      </c>
      <c r="AP61" s="10">
        <f t="shared" si="75"/>
        <v>0</v>
      </c>
      <c r="AQ61" s="10">
        <f t="shared" si="75"/>
        <v>0</v>
      </c>
      <c r="AR61" s="10">
        <f t="shared" si="75"/>
        <v>0</v>
      </c>
      <c r="AS61" s="10">
        <f t="shared" si="75"/>
        <v>0</v>
      </c>
      <c r="AT61" s="10">
        <f t="shared" si="75"/>
        <v>0</v>
      </c>
      <c r="AU61" s="10">
        <f t="shared" si="75"/>
        <v>0</v>
      </c>
      <c r="AV61" s="10">
        <f t="shared" si="75"/>
        <v>0</v>
      </c>
      <c r="AW61" s="10">
        <f t="shared" si="75"/>
        <v>0</v>
      </c>
      <c r="AX61" s="10">
        <f t="shared" si="75"/>
        <v>0</v>
      </c>
      <c r="AY61" s="10">
        <f t="shared" si="75"/>
        <v>0</v>
      </c>
      <c r="AZ61" s="10">
        <f t="shared" si="75"/>
        <v>0</v>
      </c>
      <c r="BA61" s="10">
        <f t="shared" si="75"/>
        <v>0</v>
      </c>
      <c r="BB61" s="10">
        <f t="shared" si="75"/>
        <v>0</v>
      </c>
      <c r="BC61" s="10">
        <f t="shared" si="75"/>
        <v>0</v>
      </c>
      <c r="BD61" s="10">
        <f t="shared" si="75"/>
        <v>0</v>
      </c>
      <c r="BE61" s="10">
        <f t="shared" si="75"/>
        <v>0</v>
      </c>
      <c r="BF61" s="10">
        <f t="shared" si="75"/>
        <v>0</v>
      </c>
      <c r="BG61" s="10">
        <f t="shared" si="75"/>
        <v>0</v>
      </c>
      <c r="BH61" s="10">
        <f t="shared" si="75"/>
        <v>0</v>
      </c>
      <c r="BI61" s="10">
        <f t="shared" si="75"/>
        <v>0</v>
      </c>
      <c r="BJ61" s="10">
        <f t="shared" si="75"/>
        <v>0</v>
      </c>
      <c r="BK61" s="1"/>
      <c r="BL61" s="1"/>
      <c r="BM61" s="1"/>
      <c r="BN61" s="1"/>
      <c r="BO61" s="1"/>
      <c r="BP61" s="1"/>
      <c r="BQ61" s="1"/>
      <c r="BR61" s="1"/>
      <c r="BS61" s="1"/>
      <c r="BT61" s="1"/>
      <c r="BU61" s="1"/>
      <c r="BV61" s="1"/>
      <c r="BW61" s="1"/>
      <c r="BX61" s="12">
        <f t="shared" si="60"/>
        <v>0</v>
      </c>
      <c r="BY61" s="10">
        <f t="shared" ref="BY61:CI61" si="76">IF(AND($F61&gt;BX$5,$F61 &lt;=BY$5), $G61, 0)</f>
        <v>0</v>
      </c>
      <c r="BZ61" s="10">
        <f t="shared" si="76"/>
        <v>0</v>
      </c>
      <c r="CA61" s="10">
        <f t="shared" si="76"/>
        <v>0</v>
      </c>
      <c r="CB61" s="133">
        <f t="shared" si="76"/>
        <v>0</v>
      </c>
      <c r="CC61" s="133">
        <f t="shared" si="76"/>
        <v>0</v>
      </c>
      <c r="CD61" s="133">
        <f t="shared" si="76"/>
        <v>0</v>
      </c>
      <c r="CE61" s="133">
        <f t="shared" si="76"/>
        <v>0</v>
      </c>
      <c r="CF61" s="133">
        <f t="shared" si="76"/>
        <v>0</v>
      </c>
      <c r="CG61" s="133">
        <f t="shared" si="76"/>
        <v>0</v>
      </c>
      <c r="CH61" s="133">
        <f t="shared" si="76"/>
        <v>0</v>
      </c>
      <c r="CI61" s="133">
        <f t="shared" si="76"/>
        <v>0</v>
      </c>
      <c r="CK61" s="11"/>
      <c r="CL61" s="221">
        <f t="shared" si="62"/>
        <v>0</v>
      </c>
      <c r="CM61" s="11"/>
      <c r="CN61" s="7">
        <f t="shared" si="63"/>
        <v>0</v>
      </c>
      <c r="CO61" s="7">
        <f>IF(AND(G61&lt;&gt;0, IFERROR(MATCH(E61, Parameters!$D$45:$D$48, 0), "N/A")="N/A"), 1, 0)</f>
        <v>0</v>
      </c>
      <c r="CQ61" s="7">
        <f>IF($F61="", 0, IF(AND($F61&lt;=$CI$5, $F61&gt;=Timeline!$V$8), 0, 1))</f>
        <v>0</v>
      </c>
      <c r="CU61" s="7" cm="1">
        <f t="array" ref="CU61">SUMPRODUCT(--NOT(ISNUMBER(G61:G61)),--NOT(ISBLANK(G61:G61)))+SUMPRODUCT(--NOT(ISNUMBER(V61:CI61)),--NOT(ISBLANK(V61:CI61)))</f>
        <v>0</v>
      </c>
      <c r="CW61" s="7">
        <f t="shared" si="64"/>
        <v>0</v>
      </c>
      <c r="CX61" s="7">
        <f t="shared" si="65"/>
        <v>0</v>
      </c>
      <c r="CY61" s="7">
        <f t="shared" si="66"/>
        <v>0</v>
      </c>
      <c r="CZ61" s="650"/>
      <c r="DA61" s="35"/>
      <c r="DB61" s="215">
        <f t="shared" si="67"/>
        <v>0</v>
      </c>
      <c r="DC61" s="215">
        <f t="shared" si="68"/>
        <v>0</v>
      </c>
      <c r="DD61" s="215">
        <f t="shared" si="69"/>
        <v>0</v>
      </c>
      <c r="DE61" s="215">
        <f t="shared" si="70"/>
        <v>0</v>
      </c>
      <c r="DF61" s="215">
        <f t="shared" si="71"/>
        <v>0</v>
      </c>
      <c r="DG61" s="215">
        <f t="shared" si="72"/>
        <v>0</v>
      </c>
      <c r="DH61" s="215">
        <f t="shared" si="73"/>
        <v>0</v>
      </c>
      <c r="DI61" s="35"/>
      <c r="DJ61">
        <v>0</v>
      </c>
      <c r="DK61">
        <v>0</v>
      </c>
      <c r="DL61" s="35"/>
      <c r="EZ61" s="12" t="str">
        <f t="shared" si="74"/>
        <v>Movement from Assets under Construction AC2</v>
      </c>
    </row>
    <row r="62" spans="1:156" x14ac:dyDescent="0.35">
      <c r="A62" s="220" cm="1">
        <f t="array" aca="1" ref="A62" ca="1">HYPERLINK(CONCATENATE("#",CELL("address",IF(MAX($CM62:$CZ62)=0,A62,INDEX($CM62:$CZ62,MATCH(1,$CM62:$CZ62,0))))),MAX($CM62:$CZ62))</f>
        <v>0</v>
      </c>
      <c r="C62" s="309" t="s">
        <v>805</v>
      </c>
      <c r="D62" s="114"/>
      <c r="E62" s="113"/>
      <c r="F62" s="110"/>
      <c r="G62" s="114"/>
      <c r="H62" s="9" t="s">
        <v>620</v>
      </c>
      <c r="I62" s="9"/>
      <c r="S62" s="1"/>
      <c r="V62" s="12">
        <f>IF(AND($F62&gt;=Timeline!$V$8,$F62 &lt;=V$5), $G62, 0)</f>
        <v>0</v>
      </c>
      <c r="W62" s="10">
        <f t="shared" si="57"/>
        <v>0</v>
      </c>
      <c r="X62" s="10">
        <f t="shared" si="57"/>
        <v>0</v>
      </c>
      <c r="Y62" s="10">
        <f t="shared" si="57"/>
        <v>0</v>
      </c>
      <c r="AA62" s="133">
        <f t="shared" si="58"/>
        <v>0</v>
      </c>
      <c r="AB62" s="10">
        <f t="shared" ref="AB62:BJ62" si="77">IF(AND($F62&gt;AA$5,$F62 &lt;=AB$5), $G62, 0)</f>
        <v>0</v>
      </c>
      <c r="AC62" s="10">
        <f t="shared" si="77"/>
        <v>0</v>
      </c>
      <c r="AD62" s="10">
        <f t="shared" si="77"/>
        <v>0</v>
      </c>
      <c r="AE62" s="10">
        <f t="shared" si="77"/>
        <v>0</v>
      </c>
      <c r="AF62" s="10">
        <f t="shared" si="77"/>
        <v>0</v>
      </c>
      <c r="AG62" s="10">
        <f t="shared" si="77"/>
        <v>0</v>
      </c>
      <c r="AH62" s="10">
        <f t="shared" si="77"/>
        <v>0</v>
      </c>
      <c r="AI62" s="10">
        <f t="shared" si="77"/>
        <v>0</v>
      </c>
      <c r="AJ62" s="10">
        <f t="shared" si="77"/>
        <v>0</v>
      </c>
      <c r="AK62" s="10">
        <f t="shared" si="77"/>
        <v>0</v>
      </c>
      <c r="AL62" s="10">
        <f t="shared" si="77"/>
        <v>0</v>
      </c>
      <c r="AM62" s="10">
        <f t="shared" si="77"/>
        <v>0</v>
      </c>
      <c r="AN62" s="10">
        <f t="shared" si="77"/>
        <v>0</v>
      </c>
      <c r="AO62" s="10">
        <f t="shared" si="77"/>
        <v>0</v>
      </c>
      <c r="AP62" s="10">
        <f t="shared" si="77"/>
        <v>0</v>
      </c>
      <c r="AQ62" s="10">
        <f t="shared" si="77"/>
        <v>0</v>
      </c>
      <c r="AR62" s="10">
        <f t="shared" si="77"/>
        <v>0</v>
      </c>
      <c r="AS62" s="10">
        <f t="shared" si="77"/>
        <v>0</v>
      </c>
      <c r="AT62" s="10">
        <f t="shared" si="77"/>
        <v>0</v>
      </c>
      <c r="AU62" s="10">
        <f t="shared" si="77"/>
        <v>0</v>
      </c>
      <c r="AV62" s="10">
        <f t="shared" si="77"/>
        <v>0</v>
      </c>
      <c r="AW62" s="10">
        <f t="shared" si="77"/>
        <v>0</v>
      </c>
      <c r="AX62" s="10">
        <f t="shared" si="77"/>
        <v>0</v>
      </c>
      <c r="AY62" s="10">
        <f t="shared" si="77"/>
        <v>0</v>
      </c>
      <c r="AZ62" s="10">
        <f t="shared" si="77"/>
        <v>0</v>
      </c>
      <c r="BA62" s="10">
        <f t="shared" si="77"/>
        <v>0</v>
      </c>
      <c r="BB62" s="10">
        <f t="shared" si="77"/>
        <v>0</v>
      </c>
      <c r="BC62" s="10">
        <f t="shared" si="77"/>
        <v>0</v>
      </c>
      <c r="BD62" s="10">
        <f t="shared" si="77"/>
        <v>0</v>
      </c>
      <c r="BE62" s="10">
        <f t="shared" si="77"/>
        <v>0</v>
      </c>
      <c r="BF62" s="10">
        <f t="shared" si="77"/>
        <v>0</v>
      </c>
      <c r="BG62" s="10">
        <f t="shared" si="77"/>
        <v>0</v>
      </c>
      <c r="BH62" s="10">
        <f t="shared" si="77"/>
        <v>0</v>
      </c>
      <c r="BI62" s="10">
        <f t="shared" si="77"/>
        <v>0</v>
      </c>
      <c r="BJ62" s="10">
        <f t="shared" si="77"/>
        <v>0</v>
      </c>
      <c r="BK62" s="1"/>
      <c r="BL62" s="1"/>
      <c r="BM62" s="1"/>
      <c r="BN62" s="1"/>
      <c r="BO62" s="1"/>
      <c r="BP62" s="1"/>
      <c r="BQ62" s="1"/>
      <c r="BR62" s="1"/>
      <c r="BS62" s="1"/>
      <c r="BT62" s="1"/>
      <c r="BU62" s="1"/>
      <c r="BV62" s="1"/>
      <c r="BW62" s="1"/>
      <c r="BX62" s="12">
        <f t="shared" si="60"/>
        <v>0</v>
      </c>
      <c r="BY62" s="10">
        <f t="shared" ref="BY62:CI62" si="78">IF(AND($F62&gt;BX$5,$F62 &lt;=BY$5), $G62, 0)</f>
        <v>0</v>
      </c>
      <c r="BZ62" s="10">
        <f t="shared" si="78"/>
        <v>0</v>
      </c>
      <c r="CA62" s="10">
        <f t="shared" si="78"/>
        <v>0</v>
      </c>
      <c r="CB62" s="133">
        <f t="shared" si="78"/>
        <v>0</v>
      </c>
      <c r="CC62" s="133">
        <f t="shared" si="78"/>
        <v>0</v>
      </c>
      <c r="CD62" s="133">
        <f t="shared" si="78"/>
        <v>0</v>
      </c>
      <c r="CE62" s="133">
        <f t="shared" si="78"/>
        <v>0</v>
      </c>
      <c r="CF62" s="133">
        <f t="shared" si="78"/>
        <v>0</v>
      </c>
      <c r="CG62" s="133">
        <f t="shared" si="78"/>
        <v>0</v>
      </c>
      <c r="CH62" s="133">
        <f t="shared" si="78"/>
        <v>0</v>
      </c>
      <c r="CI62" s="133">
        <f t="shared" si="78"/>
        <v>0</v>
      </c>
      <c r="CK62" s="11"/>
      <c r="CL62" s="221">
        <f t="shared" si="62"/>
        <v>0</v>
      </c>
      <c r="CM62" s="11"/>
      <c r="CN62" s="7">
        <f t="shared" si="63"/>
        <v>0</v>
      </c>
      <c r="CO62" s="7">
        <f>IF(AND(G62&lt;&gt;0, IFERROR(MATCH(E62, Parameters!$D$45:$D$48, 0), "N/A")="N/A"), 1, 0)</f>
        <v>0</v>
      </c>
      <c r="CQ62" s="7">
        <f>IF($F62="", 0, IF(AND($F62&lt;=$CI$5, $F62&gt;=Timeline!$V$8), 0, 1))</f>
        <v>0</v>
      </c>
      <c r="CU62" s="7" cm="1">
        <f t="array" ref="CU62">SUMPRODUCT(--NOT(ISNUMBER(G62:G62)),--NOT(ISBLANK(G62:G62)))+SUMPRODUCT(--NOT(ISNUMBER(V62:CI62)),--NOT(ISBLANK(V62:CI62)))</f>
        <v>0</v>
      </c>
      <c r="CW62" s="7">
        <f t="shared" si="64"/>
        <v>0</v>
      </c>
      <c r="CX62" s="7">
        <f t="shared" si="65"/>
        <v>0</v>
      </c>
      <c r="CY62" s="7">
        <f t="shared" si="66"/>
        <v>0</v>
      </c>
      <c r="CZ62" s="650"/>
      <c r="DA62" s="129"/>
      <c r="DB62" s="215">
        <f t="shared" si="67"/>
        <v>0</v>
      </c>
      <c r="DC62" s="215">
        <f t="shared" si="68"/>
        <v>0</v>
      </c>
      <c r="DD62" s="215">
        <f t="shared" si="69"/>
        <v>0</v>
      </c>
      <c r="DE62" s="215">
        <f t="shared" si="70"/>
        <v>0</v>
      </c>
      <c r="DF62" s="215">
        <f t="shared" si="71"/>
        <v>0</v>
      </c>
      <c r="DG62" s="215">
        <f t="shared" si="72"/>
        <v>0</v>
      </c>
      <c r="DH62" s="215">
        <f t="shared" si="73"/>
        <v>0</v>
      </c>
      <c r="DI62" s="35"/>
      <c r="DJ62">
        <v>0</v>
      </c>
      <c r="DK62">
        <v>0</v>
      </c>
      <c r="DL62" s="35"/>
      <c r="EZ62" s="12" t="str">
        <f t="shared" si="74"/>
        <v>Movement from Assets under Construction AC3</v>
      </c>
    </row>
    <row r="63" spans="1:156" x14ac:dyDescent="0.35">
      <c r="A63" s="220" cm="1">
        <f t="array" aca="1" ref="A63" ca="1">HYPERLINK(CONCATENATE("#",CELL("address",IF(MAX($CM63:$CZ63)=0,A63,INDEX($CM63:$CZ63,MATCH(1,$CM63:$CZ63,0))))),MAX($CM63:$CZ63))</f>
        <v>0</v>
      </c>
      <c r="C63" s="309" t="s">
        <v>806</v>
      </c>
      <c r="D63" s="114"/>
      <c r="E63" s="113"/>
      <c r="F63" s="110"/>
      <c r="G63" s="114"/>
      <c r="H63" s="9" t="s">
        <v>620</v>
      </c>
      <c r="I63" s="9"/>
      <c r="S63" s="1"/>
      <c r="V63" s="12">
        <f>IF(AND($F63&gt;=Timeline!$V$8,$F63 &lt;=V$5), $G63, 0)</f>
        <v>0</v>
      </c>
      <c r="W63" s="10">
        <f t="shared" si="57"/>
        <v>0</v>
      </c>
      <c r="X63" s="10">
        <f t="shared" si="57"/>
        <v>0</v>
      </c>
      <c r="Y63" s="10">
        <f t="shared" si="57"/>
        <v>0</v>
      </c>
      <c r="AA63" s="133">
        <f t="shared" si="58"/>
        <v>0</v>
      </c>
      <c r="AB63" s="10">
        <f t="shared" ref="AB63:BJ63" si="79">IF(AND($F63&gt;AA$5,$F63 &lt;=AB$5), $G63, 0)</f>
        <v>0</v>
      </c>
      <c r="AC63" s="10">
        <f t="shared" si="79"/>
        <v>0</v>
      </c>
      <c r="AD63" s="10">
        <f t="shared" si="79"/>
        <v>0</v>
      </c>
      <c r="AE63" s="10">
        <f t="shared" si="79"/>
        <v>0</v>
      </c>
      <c r="AF63" s="10">
        <f t="shared" si="79"/>
        <v>0</v>
      </c>
      <c r="AG63" s="10">
        <f t="shared" si="79"/>
        <v>0</v>
      </c>
      <c r="AH63" s="10">
        <f t="shared" si="79"/>
        <v>0</v>
      </c>
      <c r="AI63" s="10">
        <f t="shared" si="79"/>
        <v>0</v>
      </c>
      <c r="AJ63" s="10">
        <f t="shared" si="79"/>
        <v>0</v>
      </c>
      <c r="AK63" s="10">
        <f t="shared" si="79"/>
        <v>0</v>
      </c>
      <c r="AL63" s="10">
        <f t="shared" si="79"/>
        <v>0</v>
      </c>
      <c r="AM63" s="10">
        <f t="shared" si="79"/>
        <v>0</v>
      </c>
      <c r="AN63" s="10">
        <f t="shared" si="79"/>
        <v>0</v>
      </c>
      <c r="AO63" s="10">
        <f t="shared" si="79"/>
        <v>0</v>
      </c>
      <c r="AP63" s="10">
        <f t="shared" si="79"/>
        <v>0</v>
      </c>
      <c r="AQ63" s="10">
        <f t="shared" si="79"/>
        <v>0</v>
      </c>
      <c r="AR63" s="10">
        <f t="shared" si="79"/>
        <v>0</v>
      </c>
      <c r="AS63" s="10">
        <f t="shared" si="79"/>
        <v>0</v>
      </c>
      <c r="AT63" s="10">
        <f t="shared" si="79"/>
        <v>0</v>
      </c>
      <c r="AU63" s="10">
        <f t="shared" si="79"/>
        <v>0</v>
      </c>
      <c r="AV63" s="10">
        <f t="shared" si="79"/>
        <v>0</v>
      </c>
      <c r="AW63" s="10">
        <f t="shared" si="79"/>
        <v>0</v>
      </c>
      <c r="AX63" s="10">
        <f t="shared" si="79"/>
        <v>0</v>
      </c>
      <c r="AY63" s="10">
        <f t="shared" si="79"/>
        <v>0</v>
      </c>
      <c r="AZ63" s="10">
        <f t="shared" si="79"/>
        <v>0</v>
      </c>
      <c r="BA63" s="10">
        <f t="shared" si="79"/>
        <v>0</v>
      </c>
      <c r="BB63" s="10">
        <f t="shared" si="79"/>
        <v>0</v>
      </c>
      <c r="BC63" s="10">
        <f t="shared" si="79"/>
        <v>0</v>
      </c>
      <c r="BD63" s="10">
        <f t="shared" si="79"/>
        <v>0</v>
      </c>
      <c r="BE63" s="10">
        <f t="shared" si="79"/>
        <v>0</v>
      </c>
      <c r="BF63" s="10">
        <f t="shared" si="79"/>
        <v>0</v>
      </c>
      <c r="BG63" s="10">
        <f t="shared" si="79"/>
        <v>0</v>
      </c>
      <c r="BH63" s="10">
        <f t="shared" si="79"/>
        <v>0</v>
      </c>
      <c r="BI63" s="10">
        <f t="shared" si="79"/>
        <v>0</v>
      </c>
      <c r="BJ63" s="10">
        <f t="shared" si="79"/>
        <v>0</v>
      </c>
      <c r="BK63" s="1"/>
      <c r="BL63" s="1"/>
      <c r="BM63" s="1"/>
      <c r="BN63" s="1"/>
      <c r="BO63" s="1"/>
      <c r="BP63" s="1"/>
      <c r="BQ63" s="1"/>
      <c r="BR63" s="1"/>
      <c r="BS63" s="1"/>
      <c r="BT63" s="1"/>
      <c r="BU63" s="1"/>
      <c r="BV63" s="1"/>
      <c r="BW63" s="1"/>
      <c r="BX63" s="12">
        <f t="shared" si="60"/>
        <v>0</v>
      </c>
      <c r="BY63" s="10">
        <f t="shared" ref="BY63:CI63" si="80">IF(AND($F63&gt;BX$5,$F63 &lt;=BY$5), $G63, 0)</f>
        <v>0</v>
      </c>
      <c r="BZ63" s="10">
        <f t="shared" si="80"/>
        <v>0</v>
      </c>
      <c r="CA63" s="10">
        <f t="shared" si="80"/>
        <v>0</v>
      </c>
      <c r="CB63" s="133">
        <f t="shared" si="80"/>
        <v>0</v>
      </c>
      <c r="CC63" s="133">
        <f t="shared" si="80"/>
        <v>0</v>
      </c>
      <c r="CD63" s="133">
        <f t="shared" si="80"/>
        <v>0</v>
      </c>
      <c r="CE63" s="133">
        <f t="shared" si="80"/>
        <v>0</v>
      </c>
      <c r="CF63" s="133">
        <f t="shared" si="80"/>
        <v>0</v>
      </c>
      <c r="CG63" s="133">
        <f t="shared" si="80"/>
        <v>0</v>
      </c>
      <c r="CH63" s="133">
        <f t="shared" si="80"/>
        <v>0</v>
      </c>
      <c r="CI63" s="133">
        <f t="shared" si="80"/>
        <v>0</v>
      </c>
      <c r="CK63" s="11"/>
      <c r="CL63" s="221">
        <f t="shared" si="62"/>
        <v>0</v>
      </c>
      <c r="CM63" s="11"/>
      <c r="CN63" s="7">
        <f t="shared" si="63"/>
        <v>0</v>
      </c>
      <c r="CO63" s="7">
        <f>IF(AND(G63&lt;&gt;0, IFERROR(MATCH(E63, Parameters!$D$45:$D$48, 0), "N/A")="N/A"), 1, 0)</f>
        <v>0</v>
      </c>
      <c r="CQ63" s="7">
        <f>IF($F63="", 0, IF(AND($F63&lt;=$CI$5, $F63&gt;=Timeline!$V$8), 0, 1))</f>
        <v>0</v>
      </c>
      <c r="CU63" s="7" cm="1">
        <f t="array" ref="CU63">SUMPRODUCT(--NOT(ISNUMBER(G63:G63)),--NOT(ISBLANK(G63:G63)))+SUMPRODUCT(--NOT(ISNUMBER(V63:CI63)),--NOT(ISBLANK(V63:CI63)))</f>
        <v>0</v>
      </c>
      <c r="CW63" s="7">
        <f t="shared" si="64"/>
        <v>0</v>
      </c>
      <c r="CX63" s="7">
        <f t="shared" si="65"/>
        <v>0</v>
      </c>
      <c r="CY63" s="7">
        <f t="shared" si="66"/>
        <v>0</v>
      </c>
      <c r="CZ63" s="650"/>
      <c r="DA63" s="35"/>
      <c r="DB63" s="215">
        <f t="shared" si="67"/>
        <v>0</v>
      </c>
      <c r="DC63" s="215">
        <f t="shared" si="68"/>
        <v>0</v>
      </c>
      <c r="DD63" s="215">
        <f t="shared" si="69"/>
        <v>0</v>
      </c>
      <c r="DE63" s="215">
        <f t="shared" si="70"/>
        <v>0</v>
      </c>
      <c r="DF63" s="215">
        <f t="shared" si="71"/>
        <v>0</v>
      </c>
      <c r="DG63" s="215">
        <f t="shared" si="72"/>
        <v>0</v>
      </c>
      <c r="DH63" s="215">
        <f t="shared" si="73"/>
        <v>0</v>
      </c>
      <c r="DI63" s="35"/>
      <c r="DJ63">
        <v>0</v>
      </c>
      <c r="DK63">
        <v>0</v>
      </c>
      <c r="DL63" s="35"/>
      <c r="EZ63" s="12" t="str">
        <f t="shared" si="74"/>
        <v>Movement from Assets under Construction AC4</v>
      </c>
    </row>
    <row r="64" spans="1:156" x14ac:dyDescent="0.35">
      <c r="A64" s="220" cm="1">
        <f t="array" aca="1" ref="A64" ca="1">HYPERLINK(CONCATENATE("#",CELL("address",IF(MAX($CM64:$CZ64)=0,A64,INDEX($CM64:$CZ64,MATCH(1,$CM64:$CZ64,0))))),MAX($CM64:$CZ64))</f>
        <v>0</v>
      </c>
      <c r="C64" s="309" t="s">
        <v>807</v>
      </c>
      <c r="D64" s="114"/>
      <c r="E64" s="113"/>
      <c r="F64" s="110"/>
      <c r="G64" s="114"/>
      <c r="H64" s="9" t="s">
        <v>620</v>
      </c>
      <c r="I64" s="9"/>
      <c r="S64" s="1"/>
      <c r="V64" s="12">
        <f>IF(AND($F64&gt;=Timeline!$V$8,$F64 &lt;=V$5), $G64, 0)</f>
        <v>0</v>
      </c>
      <c r="W64" s="10">
        <f t="shared" si="57"/>
        <v>0</v>
      </c>
      <c r="X64" s="10">
        <f t="shared" si="57"/>
        <v>0</v>
      </c>
      <c r="Y64" s="10">
        <f t="shared" si="57"/>
        <v>0</v>
      </c>
      <c r="AA64" s="133">
        <f t="shared" si="58"/>
        <v>0</v>
      </c>
      <c r="AB64" s="10">
        <f t="shared" ref="AB64:BJ64" si="81">IF(AND($F64&gt;AA$5,$F64 &lt;=AB$5), $G64, 0)</f>
        <v>0</v>
      </c>
      <c r="AC64" s="10">
        <f t="shared" si="81"/>
        <v>0</v>
      </c>
      <c r="AD64" s="10">
        <f t="shared" si="81"/>
        <v>0</v>
      </c>
      <c r="AE64" s="10">
        <f t="shared" si="81"/>
        <v>0</v>
      </c>
      <c r="AF64" s="10">
        <f t="shared" si="81"/>
        <v>0</v>
      </c>
      <c r="AG64" s="10">
        <f t="shared" si="81"/>
        <v>0</v>
      </c>
      <c r="AH64" s="10">
        <f t="shared" si="81"/>
        <v>0</v>
      </c>
      <c r="AI64" s="10">
        <f t="shared" si="81"/>
        <v>0</v>
      </c>
      <c r="AJ64" s="10">
        <f t="shared" si="81"/>
        <v>0</v>
      </c>
      <c r="AK64" s="10">
        <f t="shared" si="81"/>
        <v>0</v>
      </c>
      <c r="AL64" s="10">
        <f t="shared" si="81"/>
        <v>0</v>
      </c>
      <c r="AM64" s="10">
        <f t="shared" si="81"/>
        <v>0</v>
      </c>
      <c r="AN64" s="10">
        <f t="shared" si="81"/>
        <v>0</v>
      </c>
      <c r="AO64" s="10">
        <f t="shared" si="81"/>
        <v>0</v>
      </c>
      <c r="AP64" s="10">
        <f t="shared" si="81"/>
        <v>0</v>
      </c>
      <c r="AQ64" s="10">
        <f t="shared" si="81"/>
        <v>0</v>
      </c>
      <c r="AR64" s="10">
        <f t="shared" si="81"/>
        <v>0</v>
      </c>
      <c r="AS64" s="10">
        <f t="shared" si="81"/>
        <v>0</v>
      </c>
      <c r="AT64" s="10">
        <f t="shared" si="81"/>
        <v>0</v>
      </c>
      <c r="AU64" s="10">
        <f t="shared" si="81"/>
        <v>0</v>
      </c>
      <c r="AV64" s="10">
        <f t="shared" si="81"/>
        <v>0</v>
      </c>
      <c r="AW64" s="10">
        <f t="shared" si="81"/>
        <v>0</v>
      </c>
      <c r="AX64" s="10">
        <f t="shared" si="81"/>
        <v>0</v>
      </c>
      <c r="AY64" s="10">
        <f t="shared" si="81"/>
        <v>0</v>
      </c>
      <c r="AZ64" s="10">
        <f t="shared" si="81"/>
        <v>0</v>
      </c>
      <c r="BA64" s="10">
        <f t="shared" si="81"/>
        <v>0</v>
      </c>
      <c r="BB64" s="10">
        <f t="shared" si="81"/>
        <v>0</v>
      </c>
      <c r="BC64" s="10">
        <f t="shared" si="81"/>
        <v>0</v>
      </c>
      <c r="BD64" s="10">
        <f t="shared" si="81"/>
        <v>0</v>
      </c>
      <c r="BE64" s="10">
        <f t="shared" si="81"/>
        <v>0</v>
      </c>
      <c r="BF64" s="10">
        <f t="shared" si="81"/>
        <v>0</v>
      </c>
      <c r="BG64" s="10">
        <f t="shared" si="81"/>
        <v>0</v>
      </c>
      <c r="BH64" s="10">
        <f t="shared" si="81"/>
        <v>0</v>
      </c>
      <c r="BI64" s="10">
        <f t="shared" si="81"/>
        <v>0</v>
      </c>
      <c r="BJ64" s="10">
        <f t="shared" si="81"/>
        <v>0</v>
      </c>
      <c r="BK64" s="1"/>
      <c r="BL64" s="1"/>
      <c r="BM64" s="1"/>
      <c r="BN64" s="1"/>
      <c r="BO64" s="1"/>
      <c r="BP64" s="1"/>
      <c r="BQ64" s="1"/>
      <c r="BR64" s="1"/>
      <c r="BS64" s="1"/>
      <c r="BT64" s="1"/>
      <c r="BU64" s="1"/>
      <c r="BV64" s="1"/>
      <c r="BW64" s="1"/>
      <c r="BX64" s="12">
        <f t="shared" si="60"/>
        <v>0</v>
      </c>
      <c r="BY64" s="10">
        <f t="shared" ref="BY64:CI64" si="82">IF(AND($F64&gt;BX$5,$F64 &lt;=BY$5), $G64, 0)</f>
        <v>0</v>
      </c>
      <c r="BZ64" s="10">
        <f t="shared" si="82"/>
        <v>0</v>
      </c>
      <c r="CA64" s="10">
        <f t="shared" si="82"/>
        <v>0</v>
      </c>
      <c r="CB64" s="133">
        <f t="shared" si="82"/>
        <v>0</v>
      </c>
      <c r="CC64" s="133">
        <f t="shared" si="82"/>
        <v>0</v>
      </c>
      <c r="CD64" s="133">
        <f t="shared" si="82"/>
        <v>0</v>
      </c>
      <c r="CE64" s="133">
        <f t="shared" si="82"/>
        <v>0</v>
      </c>
      <c r="CF64" s="133">
        <f t="shared" si="82"/>
        <v>0</v>
      </c>
      <c r="CG64" s="133">
        <f t="shared" si="82"/>
        <v>0</v>
      </c>
      <c r="CH64" s="133">
        <f t="shared" si="82"/>
        <v>0</v>
      </c>
      <c r="CI64" s="133">
        <f t="shared" si="82"/>
        <v>0</v>
      </c>
      <c r="CK64" s="11"/>
      <c r="CL64" s="221">
        <f t="shared" si="62"/>
        <v>0</v>
      </c>
      <c r="CM64" s="11"/>
      <c r="CN64" s="7">
        <f t="shared" si="63"/>
        <v>0</v>
      </c>
      <c r="CO64" s="7">
        <f>IF(AND(G64&lt;&gt;0, IFERROR(MATCH(E64, Parameters!$D$45:$D$48, 0), "N/A")="N/A"), 1, 0)</f>
        <v>0</v>
      </c>
      <c r="CQ64" s="7">
        <f>IF($F64="", 0, IF(AND($F64&lt;=$CI$5, $F64&gt;=Timeline!$V$8), 0, 1))</f>
        <v>0</v>
      </c>
      <c r="CU64" s="7" cm="1">
        <f t="array" ref="CU64">SUMPRODUCT(--NOT(ISNUMBER(G64:G64)),--NOT(ISBLANK(G64:G64)))+SUMPRODUCT(--NOT(ISNUMBER(V64:CI64)),--NOT(ISBLANK(V64:CI64)))</f>
        <v>0</v>
      </c>
      <c r="CW64" s="7">
        <f t="shared" si="64"/>
        <v>0</v>
      </c>
      <c r="CX64" s="7">
        <f t="shared" si="65"/>
        <v>0</v>
      </c>
      <c r="CY64" s="7">
        <f t="shared" si="66"/>
        <v>0</v>
      </c>
      <c r="CZ64" s="650"/>
      <c r="DA64" s="35"/>
      <c r="DB64" s="215">
        <f t="shared" si="67"/>
        <v>0</v>
      </c>
      <c r="DC64" s="215">
        <f t="shared" si="68"/>
        <v>0</v>
      </c>
      <c r="DD64" s="215">
        <f t="shared" si="69"/>
        <v>0</v>
      </c>
      <c r="DE64" s="215">
        <f t="shared" si="70"/>
        <v>0</v>
      </c>
      <c r="DF64" s="215">
        <f t="shared" si="71"/>
        <v>0</v>
      </c>
      <c r="DG64" s="215">
        <f t="shared" si="72"/>
        <v>0</v>
      </c>
      <c r="DH64" s="215">
        <f t="shared" si="73"/>
        <v>0</v>
      </c>
      <c r="DI64" s="35"/>
      <c r="DJ64">
        <v>0</v>
      </c>
      <c r="DK64">
        <v>0</v>
      </c>
      <c r="DL64" s="35"/>
      <c r="EZ64" s="12" t="str">
        <f t="shared" si="74"/>
        <v>Movement from Assets under Construction AC5</v>
      </c>
    </row>
    <row r="65" spans="1:156" x14ac:dyDescent="0.35">
      <c r="A65" s="220" cm="1">
        <f t="array" aca="1" ref="A65" ca="1">HYPERLINK(CONCATENATE("#",CELL("address",IF(MAX($CM65:$CZ65)=0,A65,INDEX($CM65:$CZ65,MATCH(1,$CM65:$CZ65,0))))),MAX($CM65:$CZ65))</f>
        <v>0</v>
      </c>
      <c r="C65" s="309" t="s">
        <v>808</v>
      </c>
      <c r="D65" s="114"/>
      <c r="E65" s="113"/>
      <c r="F65" s="110"/>
      <c r="G65" s="114"/>
      <c r="H65" s="9" t="s">
        <v>620</v>
      </c>
      <c r="I65" s="9"/>
      <c r="S65" s="1"/>
      <c r="V65" s="12">
        <f>IF(AND($F65&gt;=Timeline!$V$8,$F65 &lt;=V$5), $G65, 0)</f>
        <v>0</v>
      </c>
      <c r="W65" s="10">
        <f t="shared" si="57"/>
        <v>0</v>
      </c>
      <c r="X65" s="10">
        <f t="shared" si="57"/>
        <v>0</v>
      </c>
      <c r="Y65" s="10">
        <f t="shared" si="57"/>
        <v>0</v>
      </c>
      <c r="AA65" s="133">
        <f t="shared" si="58"/>
        <v>0</v>
      </c>
      <c r="AB65" s="10">
        <f t="shared" ref="AB65:BJ65" si="83">IF(AND($F65&gt;AA$5,$F65 &lt;=AB$5), $G65, 0)</f>
        <v>0</v>
      </c>
      <c r="AC65" s="10">
        <f t="shared" si="83"/>
        <v>0</v>
      </c>
      <c r="AD65" s="10">
        <f t="shared" si="83"/>
        <v>0</v>
      </c>
      <c r="AE65" s="10">
        <f t="shared" si="83"/>
        <v>0</v>
      </c>
      <c r="AF65" s="10">
        <f t="shared" si="83"/>
        <v>0</v>
      </c>
      <c r="AG65" s="10">
        <f t="shared" si="83"/>
        <v>0</v>
      </c>
      <c r="AH65" s="10">
        <f t="shared" si="83"/>
        <v>0</v>
      </c>
      <c r="AI65" s="10">
        <f t="shared" si="83"/>
        <v>0</v>
      </c>
      <c r="AJ65" s="10">
        <f t="shared" si="83"/>
        <v>0</v>
      </c>
      <c r="AK65" s="10">
        <f t="shared" si="83"/>
        <v>0</v>
      </c>
      <c r="AL65" s="10">
        <f t="shared" si="83"/>
        <v>0</v>
      </c>
      <c r="AM65" s="10">
        <f t="shared" si="83"/>
        <v>0</v>
      </c>
      <c r="AN65" s="10">
        <f t="shared" si="83"/>
        <v>0</v>
      </c>
      <c r="AO65" s="10">
        <f t="shared" si="83"/>
        <v>0</v>
      </c>
      <c r="AP65" s="10">
        <f t="shared" si="83"/>
        <v>0</v>
      </c>
      <c r="AQ65" s="10">
        <f t="shared" si="83"/>
        <v>0</v>
      </c>
      <c r="AR65" s="10">
        <f t="shared" si="83"/>
        <v>0</v>
      </c>
      <c r="AS65" s="10">
        <f t="shared" si="83"/>
        <v>0</v>
      </c>
      <c r="AT65" s="10">
        <f t="shared" si="83"/>
        <v>0</v>
      </c>
      <c r="AU65" s="10">
        <f t="shared" si="83"/>
        <v>0</v>
      </c>
      <c r="AV65" s="10">
        <f t="shared" si="83"/>
        <v>0</v>
      </c>
      <c r="AW65" s="10">
        <f t="shared" si="83"/>
        <v>0</v>
      </c>
      <c r="AX65" s="10">
        <f t="shared" si="83"/>
        <v>0</v>
      </c>
      <c r="AY65" s="10">
        <f t="shared" si="83"/>
        <v>0</v>
      </c>
      <c r="AZ65" s="10">
        <f t="shared" si="83"/>
        <v>0</v>
      </c>
      <c r="BA65" s="10">
        <f t="shared" si="83"/>
        <v>0</v>
      </c>
      <c r="BB65" s="10">
        <f t="shared" si="83"/>
        <v>0</v>
      </c>
      <c r="BC65" s="10">
        <f t="shared" si="83"/>
        <v>0</v>
      </c>
      <c r="BD65" s="10">
        <f t="shared" si="83"/>
        <v>0</v>
      </c>
      <c r="BE65" s="10">
        <f t="shared" si="83"/>
        <v>0</v>
      </c>
      <c r="BF65" s="10">
        <f t="shared" si="83"/>
        <v>0</v>
      </c>
      <c r="BG65" s="10">
        <f t="shared" si="83"/>
        <v>0</v>
      </c>
      <c r="BH65" s="10">
        <f t="shared" si="83"/>
        <v>0</v>
      </c>
      <c r="BI65" s="10">
        <f t="shared" si="83"/>
        <v>0</v>
      </c>
      <c r="BJ65" s="10">
        <f t="shared" si="83"/>
        <v>0</v>
      </c>
      <c r="BK65" s="1"/>
      <c r="BL65" s="1"/>
      <c r="BM65" s="1"/>
      <c r="BN65" s="1"/>
      <c r="BO65" s="1"/>
      <c r="BP65" s="1"/>
      <c r="BQ65" s="1"/>
      <c r="BR65" s="1"/>
      <c r="BS65" s="1"/>
      <c r="BT65" s="1"/>
      <c r="BU65" s="1"/>
      <c r="BV65" s="1"/>
      <c r="BW65" s="1"/>
      <c r="BX65" s="12">
        <f t="shared" si="60"/>
        <v>0</v>
      </c>
      <c r="BY65" s="10">
        <f t="shared" ref="BY65:CI65" si="84">IF(AND($F65&gt;BX$5,$F65 &lt;=BY$5), $G65, 0)</f>
        <v>0</v>
      </c>
      <c r="BZ65" s="10">
        <f t="shared" si="84"/>
        <v>0</v>
      </c>
      <c r="CA65" s="10">
        <f t="shared" si="84"/>
        <v>0</v>
      </c>
      <c r="CB65" s="133">
        <f t="shared" si="84"/>
        <v>0</v>
      </c>
      <c r="CC65" s="133">
        <f t="shared" si="84"/>
        <v>0</v>
      </c>
      <c r="CD65" s="133">
        <f t="shared" si="84"/>
        <v>0</v>
      </c>
      <c r="CE65" s="133">
        <f t="shared" si="84"/>
        <v>0</v>
      </c>
      <c r="CF65" s="133">
        <f t="shared" si="84"/>
        <v>0</v>
      </c>
      <c r="CG65" s="133">
        <f t="shared" si="84"/>
        <v>0</v>
      </c>
      <c r="CH65" s="133">
        <f t="shared" si="84"/>
        <v>0</v>
      </c>
      <c r="CI65" s="133">
        <f t="shared" si="84"/>
        <v>0</v>
      </c>
      <c r="CK65" s="11"/>
      <c r="CL65" s="221">
        <f t="shared" si="62"/>
        <v>0</v>
      </c>
      <c r="CM65" s="11"/>
      <c r="CN65" s="7">
        <f t="shared" si="63"/>
        <v>0</v>
      </c>
      <c r="CO65" s="7">
        <f>IF(AND(G65&lt;&gt;0, IFERROR(MATCH(E65, Parameters!$D$45:$D$48, 0), "N/A")="N/A"), 1, 0)</f>
        <v>0</v>
      </c>
      <c r="CQ65" s="7">
        <f>IF($F65="", 0, IF(AND($F65&lt;=$CI$5, $F65&gt;=Timeline!$V$8), 0, 1))</f>
        <v>0</v>
      </c>
      <c r="CU65" s="7" cm="1">
        <f t="array" ref="CU65">SUMPRODUCT(--NOT(ISNUMBER(G65:G65)),--NOT(ISBLANK(G65:G65)))+SUMPRODUCT(--NOT(ISNUMBER(V65:CI65)),--NOT(ISBLANK(V65:CI65)))</f>
        <v>0</v>
      </c>
      <c r="CW65" s="7">
        <f t="shared" si="64"/>
        <v>0</v>
      </c>
      <c r="CX65" s="7">
        <f t="shared" si="65"/>
        <v>0</v>
      </c>
      <c r="CY65" s="7">
        <f t="shared" si="66"/>
        <v>0</v>
      </c>
      <c r="CZ65" s="650"/>
      <c r="DA65" s="35"/>
      <c r="DB65" s="215">
        <f t="shared" si="67"/>
        <v>0</v>
      </c>
      <c r="DC65" s="215">
        <f t="shared" si="68"/>
        <v>0</v>
      </c>
      <c r="DD65" s="215">
        <f t="shared" si="69"/>
        <v>0</v>
      </c>
      <c r="DE65" s="215">
        <f t="shared" si="70"/>
        <v>0</v>
      </c>
      <c r="DF65" s="215">
        <f t="shared" si="71"/>
        <v>0</v>
      </c>
      <c r="DG65" s="215">
        <f t="shared" si="72"/>
        <v>0</v>
      </c>
      <c r="DH65" s="215">
        <f t="shared" si="73"/>
        <v>0</v>
      </c>
      <c r="DI65" s="35"/>
      <c r="DJ65">
        <v>0</v>
      </c>
      <c r="DK65">
        <v>0</v>
      </c>
      <c r="DL65" s="35"/>
      <c r="EZ65" s="12" t="str">
        <f t="shared" si="74"/>
        <v>Movement from Assets under Construction AC6</v>
      </c>
    </row>
    <row r="66" spans="1:156" x14ac:dyDescent="0.35">
      <c r="A66" s="220" cm="1">
        <f t="array" aca="1" ref="A66" ca="1">HYPERLINK(CONCATENATE("#",CELL("address",IF(MAX($CM66:$CZ66)=0,A66,INDEX($CM66:$CZ66,MATCH(1,$CM66:$CZ66,0))))),MAX($CM66:$CZ66))</f>
        <v>0</v>
      </c>
      <c r="C66" s="309" t="s">
        <v>809</v>
      </c>
      <c r="D66" s="114"/>
      <c r="E66" s="113"/>
      <c r="F66" s="110"/>
      <c r="G66" s="114"/>
      <c r="H66" s="9" t="s">
        <v>620</v>
      </c>
      <c r="I66" s="9"/>
      <c r="S66" s="1"/>
      <c r="V66" s="12">
        <f>IF(AND($F66&gt;=Timeline!$V$8,$F66 &lt;=V$5), $G66, 0)</f>
        <v>0</v>
      </c>
      <c r="W66" s="10">
        <f t="shared" si="57"/>
        <v>0</v>
      </c>
      <c r="X66" s="10">
        <f t="shared" si="57"/>
        <v>0</v>
      </c>
      <c r="Y66" s="10">
        <f t="shared" si="57"/>
        <v>0</v>
      </c>
      <c r="AA66" s="133">
        <f t="shared" si="58"/>
        <v>0</v>
      </c>
      <c r="AB66" s="10">
        <f t="shared" ref="AB66:BJ66" si="85">IF(AND($F66&gt;AA$5,$F66 &lt;=AB$5), $G66, 0)</f>
        <v>0</v>
      </c>
      <c r="AC66" s="10">
        <f t="shared" si="85"/>
        <v>0</v>
      </c>
      <c r="AD66" s="10">
        <f t="shared" si="85"/>
        <v>0</v>
      </c>
      <c r="AE66" s="10">
        <f t="shared" si="85"/>
        <v>0</v>
      </c>
      <c r="AF66" s="10">
        <f t="shared" si="85"/>
        <v>0</v>
      </c>
      <c r="AG66" s="10">
        <f t="shared" si="85"/>
        <v>0</v>
      </c>
      <c r="AH66" s="10">
        <f t="shared" si="85"/>
        <v>0</v>
      </c>
      <c r="AI66" s="10">
        <f t="shared" si="85"/>
        <v>0</v>
      </c>
      <c r="AJ66" s="10">
        <f t="shared" si="85"/>
        <v>0</v>
      </c>
      <c r="AK66" s="10">
        <f t="shared" si="85"/>
        <v>0</v>
      </c>
      <c r="AL66" s="10">
        <f t="shared" si="85"/>
        <v>0</v>
      </c>
      <c r="AM66" s="10">
        <f t="shared" si="85"/>
        <v>0</v>
      </c>
      <c r="AN66" s="10">
        <f t="shared" si="85"/>
        <v>0</v>
      </c>
      <c r="AO66" s="10">
        <f t="shared" si="85"/>
        <v>0</v>
      </c>
      <c r="AP66" s="10">
        <f t="shared" si="85"/>
        <v>0</v>
      </c>
      <c r="AQ66" s="10">
        <f t="shared" si="85"/>
        <v>0</v>
      </c>
      <c r="AR66" s="10">
        <f t="shared" si="85"/>
        <v>0</v>
      </c>
      <c r="AS66" s="10">
        <f t="shared" si="85"/>
        <v>0</v>
      </c>
      <c r="AT66" s="10">
        <f t="shared" si="85"/>
        <v>0</v>
      </c>
      <c r="AU66" s="10">
        <f t="shared" si="85"/>
        <v>0</v>
      </c>
      <c r="AV66" s="10">
        <f t="shared" si="85"/>
        <v>0</v>
      </c>
      <c r="AW66" s="10">
        <f t="shared" si="85"/>
        <v>0</v>
      </c>
      <c r="AX66" s="10">
        <f t="shared" si="85"/>
        <v>0</v>
      </c>
      <c r="AY66" s="10">
        <f t="shared" si="85"/>
        <v>0</v>
      </c>
      <c r="AZ66" s="10">
        <f t="shared" si="85"/>
        <v>0</v>
      </c>
      <c r="BA66" s="10">
        <f t="shared" si="85"/>
        <v>0</v>
      </c>
      <c r="BB66" s="10">
        <f t="shared" si="85"/>
        <v>0</v>
      </c>
      <c r="BC66" s="10">
        <f t="shared" si="85"/>
        <v>0</v>
      </c>
      <c r="BD66" s="10">
        <f t="shared" si="85"/>
        <v>0</v>
      </c>
      <c r="BE66" s="10">
        <f t="shared" si="85"/>
        <v>0</v>
      </c>
      <c r="BF66" s="10">
        <f t="shared" si="85"/>
        <v>0</v>
      </c>
      <c r="BG66" s="10">
        <f t="shared" si="85"/>
        <v>0</v>
      </c>
      <c r="BH66" s="10">
        <f t="shared" si="85"/>
        <v>0</v>
      </c>
      <c r="BI66" s="10">
        <f t="shared" si="85"/>
        <v>0</v>
      </c>
      <c r="BJ66" s="10">
        <f t="shared" si="85"/>
        <v>0</v>
      </c>
      <c r="BK66" s="1"/>
      <c r="BL66" s="1"/>
      <c r="BM66" s="1"/>
      <c r="BN66" s="1"/>
      <c r="BO66" s="1"/>
      <c r="BP66" s="1"/>
      <c r="BQ66" s="1"/>
      <c r="BR66" s="1"/>
      <c r="BS66" s="1"/>
      <c r="BT66" s="1"/>
      <c r="BU66" s="1"/>
      <c r="BV66" s="1"/>
      <c r="BW66" s="1"/>
      <c r="BX66" s="12">
        <f t="shared" si="60"/>
        <v>0</v>
      </c>
      <c r="BY66" s="10">
        <f t="shared" ref="BY66:CI66" si="86">IF(AND($F66&gt;BX$5,$F66 &lt;=BY$5), $G66, 0)</f>
        <v>0</v>
      </c>
      <c r="BZ66" s="10">
        <f t="shared" si="86"/>
        <v>0</v>
      </c>
      <c r="CA66" s="10">
        <f t="shared" si="86"/>
        <v>0</v>
      </c>
      <c r="CB66" s="133">
        <f t="shared" si="86"/>
        <v>0</v>
      </c>
      <c r="CC66" s="133">
        <f t="shared" si="86"/>
        <v>0</v>
      </c>
      <c r="CD66" s="133">
        <f t="shared" si="86"/>
        <v>0</v>
      </c>
      <c r="CE66" s="133">
        <f t="shared" si="86"/>
        <v>0</v>
      </c>
      <c r="CF66" s="133">
        <f t="shared" si="86"/>
        <v>0</v>
      </c>
      <c r="CG66" s="133">
        <f t="shared" si="86"/>
        <v>0</v>
      </c>
      <c r="CH66" s="133">
        <f t="shared" si="86"/>
        <v>0</v>
      </c>
      <c r="CI66" s="133">
        <f t="shared" si="86"/>
        <v>0</v>
      </c>
      <c r="CK66" s="11"/>
      <c r="CL66" s="221">
        <f t="shared" si="62"/>
        <v>0</v>
      </c>
      <c r="CM66" s="11"/>
      <c r="CN66" s="7">
        <f t="shared" si="63"/>
        <v>0</v>
      </c>
      <c r="CO66" s="7">
        <f>IF(AND(G66&lt;&gt;0, IFERROR(MATCH(E66, Parameters!$D$45:$D$48, 0), "N/A")="N/A"), 1, 0)</f>
        <v>0</v>
      </c>
      <c r="CQ66" s="7">
        <f>IF($F66="", 0, IF(AND($F66&lt;=$CI$5, $F66&gt;=Timeline!$V$8), 0, 1))</f>
        <v>0</v>
      </c>
      <c r="CU66" s="7" cm="1">
        <f t="array" ref="CU66">SUMPRODUCT(--NOT(ISNUMBER(G66:G66)),--NOT(ISBLANK(G66:G66)))+SUMPRODUCT(--NOT(ISNUMBER(V66:CI66)),--NOT(ISBLANK(V66:CI66)))</f>
        <v>0</v>
      </c>
      <c r="CW66" s="7">
        <f t="shared" si="64"/>
        <v>0</v>
      </c>
      <c r="CX66" s="7">
        <f t="shared" si="65"/>
        <v>0</v>
      </c>
      <c r="CY66" s="7">
        <f t="shared" si="66"/>
        <v>0</v>
      </c>
      <c r="CZ66" s="650"/>
      <c r="DA66" s="35"/>
      <c r="DB66" s="215">
        <f t="shared" si="67"/>
        <v>0</v>
      </c>
      <c r="DC66" s="215">
        <f t="shared" si="68"/>
        <v>0</v>
      </c>
      <c r="DD66" s="215">
        <f t="shared" si="69"/>
        <v>0</v>
      </c>
      <c r="DE66" s="215">
        <f t="shared" si="70"/>
        <v>0</v>
      </c>
      <c r="DF66" s="215">
        <f t="shared" si="71"/>
        <v>0</v>
      </c>
      <c r="DG66" s="215">
        <f t="shared" si="72"/>
        <v>0</v>
      </c>
      <c r="DH66" s="215">
        <f t="shared" si="73"/>
        <v>0</v>
      </c>
      <c r="DI66" s="35"/>
      <c r="DJ66">
        <v>0</v>
      </c>
      <c r="DK66">
        <v>0</v>
      </c>
      <c r="DL66" s="35"/>
      <c r="EZ66" s="12" t="str">
        <f t="shared" si="74"/>
        <v>Movement from Assets under Construction AC7</v>
      </c>
    </row>
    <row r="67" spans="1:156" x14ac:dyDescent="0.35">
      <c r="A67" s="220" cm="1">
        <f t="array" aca="1" ref="A67" ca="1">HYPERLINK(CONCATENATE("#",CELL("address",IF(MAX($CM67:$CZ67)=0,A67,INDEX($CM67:$CZ67,MATCH(1,$CM67:$CZ67,0))))),MAX($CM67:$CZ67))</f>
        <v>0</v>
      </c>
      <c r="C67" s="309" t="s">
        <v>810</v>
      </c>
      <c r="D67" s="114"/>
      <c r="E67" s="113"/>
      <c r="F67" s="110"/>
      <c r="G67" s="114"/>
      <c r="H67" s="9" t="s">
        <v>620</v>
      </c>
      <c r="I67" s="9"/>
      <c r="S67" s="1"/>
      <c r="V67" s="12">
        <f>IF(AND($F67&gt;=Timeline!$V$8,$F67 &lt;=V$5), $G67, 0)</f>
        <v>0</v>
      </c>
      <c r="W67" s="10">
        <f t="shared" si="57"/>
        <v>0</v>
      </c>
      <c r="X67" s="10">
        <f t="shared" si="57"/>
        <v>0</v>
      </c>
      <c r="Y67" s="10">
        <f t="shared" si="57"/>
        <v>0</v>
      </c>
      <c r="AA67" s="133">
        <f t="shared" si="58"/>
        <v>0</v>
      </c>
      <c r="AB67" s="10">
        <f t="shared" ref="AB67:BJ67" si="87">IF(AND($F67&gt;AA$5,$F67 &lt;=AB$5), $G67, 0)</f>
        <v>0</v>
      </c>
      <c r="AC67" s="10">
        <f t="shared" si="87"/>
        <v>0</v>
      </c>
      <c r="AD67" s="10">
        <f t="shared" si="87"/>
        <v>0</v>
      </c>
      <c r="AE67" s="10">
        <f t="shared" si="87"/>
        <v>0</v>
      </c>
      <c r="AF67" s="10">
        <f t="shared" si="87"/>
        <v>0</v>
      </c>
      <c r="AG67" s="10">
        <f t="shared" si="87"/>
        <v>0</v>
      </c>
      <c r="AH67" s="10">
        <f t="shared" si="87"/>
        <v>0</v>
      </c>
      <c r="AI67" s="10">
        <f t="shared" si="87"/>
        <v>0</v>
      </c>
      <c r="AJ67" s="10">
        <f t="shared" si="87"/>
        <v>0</v>
      </c>
      <c r="AK67" s="10">
        <f t="shared" si="87"/>
        <v>0</v>
      </c>
      <c r="AL67" s="10">
        <f t="shared" si="87"/>
        <v>0</v>
      </c>
      <c r="AM67" s="10">
        <f t="shared" si="87"/>
        <v>0</v>
      </c>
      <c r="AN67" s="10">
        <f t="shared" si="87"/>
        <v>0</v>
      </c>
      <c r="AO67" s="10">
        <f t="shared" si="87"/>
        <v>0</v>
      </c>
      <c r="AP67" s="10">
        <f t="shared" si="87"/>
        <v>0</v>
      </c>
      <c r="AQ67" s="10">
        <f t="shared" si="87"/>
        <v>0</v>
      </c>
      <c r="AR67" s="10">
        <f t="shared" si="87"/>
        <v>0</v>
      </c>
      <c r="AS67" s="10">
        <f t="shared" si="87"/>
        <v>0</v>
      </c>
      <c r="AT67" s="10">
        <f t="shared" si="87"/>
        <v>0</v>
      </c>
      <c r="AU67" s="10">
        <f t="shared" si="87"/>
        <v>0</v>
      </c>
      <c r="AV67" s="10">
        <f t="shared" si="87"/>
        <v>0</v>
      </c>
      <c r="AW67" s="10">
        <f t="shared" si="87"/>
        <v>0</v>
      </c>
      <c r="AX67" s="10">
        <f t="shared" si="87"/>
        <v>0</v>
      </c>
      <c r="AY67" s="10">
        <f t="shared" si="87"/>
        <v>0</v>
      </c>
      <c r="AZ67" s="10">
        <f t="shared" si="87"/>
        <v>0</v>
      </c>
      <c r="BA67" s="10">
        <f t="shared" si="87"/>
        <v>0</v>
      </c>
      <c r="BB67" s="10">
        <f t="shared" si="87"/>
        <v>0</v>
      </c>
      <c r="BC67" s="10">
        <f t="shared" si="87"/>
        <v>0</v>
      </c>
      <c r="BD67" s="10">
        <f t="shared" si="87"/>
        <v>0</v>
      </c>
      <c r="BE67" s="10">
        <f t="shared" si="87"/>
        <v>0</v>
      </c>
      <c r="BF67" s="10">
        <f t="shared" si="87"/>
        <v>0</v>
      </c>
      <c r="BG67" s="10">
        <f t="shared" si="87"/>
        <v>0</v>
      </c>
      <c r="BH67" s="10">
        <f t="shared" si="87"/>
        <v>0</v>
      </c>
      <c r="BI67" s="10">
        <f t="shared" si="87"/>
        <v>0</v>
      </c>
      <c r="BJ67" s="10">
        <f t="shared" si="87"/>
        <v>0</v>
      </c>
      <c r="BK67" s="1"/>
      <c r="BL67" s="1"/>
      <c r="BM67" s="1"/>
      <c r="BN67" s="1"/>
      <c r="BO67" s="1"/>
      <c r="BP67" s="1"/>
      <c r="BQ67" s="1"/>
      <c r="BR67" s="1"/>
      <c r="BS67" s="1"/>
      <c r="BT67" s="1"/>
      <c r="BU67" s="1"/>
      <c r="BV67" s="1"/>
      <c r="BW67" s="1"/>
      <c r="BX67" s="12">
        <f t="shared" si="60"/>
        <v>0</v>
      </c>
      <c r="BY67" s="10">
        <f t="shared" ref="BY67:CI67" si="88">IF(AND($F67&gt;BX$5,$F67 &lt;=BY$5), $G67, 0)</f>
        <v>0</v>
      </c>
      <c r="BZ67" s="10">
        <f t="shared" si="88"/>
        <v>0</v>
      </c>
      <c r="CA67" s="10">
        <f t="shared" si="88"/>
        <v>0</v>
      </c>
      <c r="CB67" s="133">
        <f t="shared" si="88"/>
        <v>0</v>
      </c>
      <c r="CC67" s="133">
        <f t="shared" si="88"/>
        <v>0</v>
      </c>
      <c r="CD67" s="133">
        <f t="shared" si="88"/>
        <v>0</v>
      </c>
      <c r="CE67" s="133">
        <f t="shared" si="88"/>
        <v>0</v>
      </c>
      <c r="CF67" s="133">
        <f t="shared" si="88"/>
        <v>0</v>
      </c>
      <c r="CG67" s="133">
        <f t="shared" si="88"/>
        <v>0</v>
      </c>
      <c r="CH67" s="133">
        <f t="shared" si="88"/>
        <v>0</v>
      </c>
      <c r="CI67" s="133">
        <f t="shared" si="88"/>
        <v>0</v>
      </c>
      <c r="CK67" s="11"/>
      <c r="CL67" s="221">
        <f t="shared" si="62"/>
        <v>0</v>
      </c>
      <c r="CM67" s="11"/>
      <c r="CN67" s="7">
        <f t="shared" si="63"/>
        <v>0</v>
      </c>
      <c r="CO67" s="7">
        <f>IF(AND(G67&lt;&gt;0, IFERROR(MATCH(E67, Parameters!$D$45:$D$48, 0), "N/A")="N/A"), 1, 0)</f>
        <v>0</v>
      </c>
      <c r="CQ67" s="7">
        <f>IF($F67="", 0, IF(AND($F67&lt;=$CI$5, $F67&gt;=Timeline!$V$8), 0, 1))</f>
        <v>0</v>
      </c>
      <c r="CU67" s="7" cm="1">
        <f t="array" ref="CU67">SUMPRODUCT(--NOT(ISNUMBER(G67:G67)),--NOT(ISBLANK(G67:G67)))+SUMPRODUCT(--NOT(ISNUMBER(V67:CI67)),--NOT(ISBLANK(V67:CI67)))</f>
        <v>0</v>
      </c>
      <c r="CW67" s="7">
        <f t="shared" si="64"/>
        <v>0</v>
      </c>
      <c r="CX67" s="7">
        <f t="shared" si="65"/>
        <v>0</v>
      </c>
      <c r="CY67" s="7">
        <f t="shared" si="66"/>
        <v>0</v>
      </c>
      <c r="CZ67" s="650"/>
      <c r="DA67" s="35"/>
      <c r="DB67" s="215">
        <f t="shared" si="67"/>
        <v>0</v>
      </c>
      <c r="DC67" s="215">
        <f t="shared" si="68"/>
        <v>0</v>
      </c>
      <c r="DD67" s="215">
        <f t="shared" si="69"/>
        <v>0</v>
      </c>
      <c r="DE67" s="215">
        <f t="shared" si="70"/>
        <v>0</v>
      </c>
      <c r="DF67" s="215">
        <f t="shared" si="71"/>
        <v>0</v>
      </c>
      <c r="DG67" s="215">
        <f t="shared" si="72"/>
        <v>0</v>
      </c>
      <c r="DH67" s="215">
        <f t="shared" si="73"/>
        <v>0</v>
      </c>
      <c r="DI67" s="35"/>
      <c r="DJ67">
        <v>0</v>
      </c>
      <c r="DK67">
        <v>0</v>
      </c>
      <c r="DL67" s="35"/>
      <c r="EZ67" s="12" t="str">
        <f t="shared" si="74"/>
        <v>Movement from Assets under Construction AC8</v>
      </c>
    </row>
    <row r="68" spans="1:156" x14ac:dyDescent="0.35">
      <c r="A68" s="220" cm="1">
        <f t="array" aca="1" ref="A68" ca="1">HYPERLINK(CONCATENATE("#",CELL("address",IF(MAX($CM68:$CZ68)=0,A68,INDEX($CM68:$CZ68,MATCH(1,$CM68:$CZ68,0))))),MAX($CM68:$CZ68))</f>
        <v>0</v>
      </c>
      <c r="C68" s="309" t="s">
        <v>811</v>
      </c>
      <c r="D68" s="114"/>
      <c r="E68" s="113"/>
      <c r="F68" s="110"/>
      <c r="G68" s="114"/>
      <c r="H68" s="9" t="s">
        <v>620</v>
      </c>
      <c r="I68" s="9"/>
      <c r="S68" s="1"/>
      <c r="V68" s="12">
        <f>IF(AND($F68&gt;=Timeline!$V$8,$F68 &lt;=V$5), $G68, 0)</f>
        <v>0</v>
      </c>
      <c r="W68" s="10">
        <f t="shared" si="57"/>
        <v>0</v>
      </c>
      <c r="X68" s="10">
        <f t="shared" si="57"/>
        <v>0</v>
      </c>
      <c r="Y68" s="10">
        <f t="shared" si="57"/>
        <v>0</v>
      </c>
      <c r="AA68" s="133">
        <f t="shared" si="58"/>
        <v>0</v>
      </c>
      <c r="AB68" s="10">
        <f t="shared" ref="AB68:BJ68" si="89">IF(AND($F68&gt;AA$5,$F68 &lt;=AB$5), $G68, 0)</f>
        <v>0</v>
      </c>
      <c r="AC68" s="10">
        <f t="shared" si="89"/>
        <v>0</v>
      </c>
      <c r="AD68" s="10">
        <f t="shared" si="89"/>
        <v>0</v>
      </c>
      <c r="AE68" s="10">
        <f t="shared" si="89"/>
        <v>0</v>
      </c>
      <c r="AF68" s="10">
        <f t="shared" si="89"/>
        <v>0</v>
      </c>
      <c r="AG68" s="10">
        <f t="shared" si="89"/>
        <v>0</v>
      </c>
      <c r="AH68" s="10">
        <f t="shared" si="89"/>
        <v>0</v>
      </c>
      <c r="AI68" s="10">
        <f t="shared" si="89"/>
        <v>0</v>
      </c>
      <c r="AJ68" s="10">
        <f t="shared" si="89"/>
        <v>0</v>
      </c>
      <c r="AK68" s="10">
        <f t="shared" si="89"/>
        <v>0</v>
      </c>
      <c r="AL68" s="10">
        <f t="shared" si="89"/>
        <v>0</v>
      </c>
      <c r="AM68" s="10">
        <f t="shared" si="89"/>
        <v>0</v>
      </c>
      <c r="AN68" s="10">
        <f t="shared" si="89"/>
        <v>0</v>
      </c>
      <c r="AO68" s="10">
        <f t="shared" si="89"/>
        <v>0</v>
      </c>
      <c r="AP68" s="10">
        <f t="shared" si="89"/>
        <v>0</v>
      </c>
      <c r="AQ68" s="10">
        <f t="shared" si="89"/>
        <v>0</v>
      </c>
      <c r="AR68" s="10">
        <f t="shared" si="89"/>
        <v>0</v>
      </c>
      <c r="AS68" s="10">
        <f t="shared" si="89"/>
        <v>0</v>
      </c>
      <c r="AT68" s="10">
        <f t="shared" si="89"/>
        <v>0</v>
      </c>
      <c r="AU68" s="10">
        <f t="shared" si="89"/>
        <v>0</v>
      </c>
      <c r="AV68" s="10">
        <f t="shared" si="89"/>
        <v>0</v>
      </c>
      <c r="AW68" s="10">
        <f t="shared" si="89"/>
        <v>0</v>
      </c>
      <c r="AX68" s="10">
        <f t="shared" si="89"/>
        <v>0</v>
      </c>
      <c r="AY68" s="10">
        <f t="shared" si="89"/>
        <v>0</v>
      </c>
      <c r="AZ68" s="10">
        <f t="shared" si="89"/>
        <v>0</v>
      </c>
      <c r="BA68" s="10">
        <f t="shared" si="89"/>
        <v>0</v>
      </c>
      <c r="BB68" s="10">
        <f t="shared" si="89"/>
        <v>0</v>
      </c>
      <c r="BC68" s="10">
        <f t="shared" si="89"/>
        <v>0</v>
      </c>
      <c r="BD68" s="10">
        <f t="shared" si="89"/>
        <v>0</v>
      </c>
      <c r="BE68" s="10">
        <f t="shared" si="89"/>
        <v>0</v>
      </c>
      <c r="BF68" s="10">
        <f t="shared" si="89"/>
        <v>0</v>
      </c>
      <c r="BG68" s="10">
        <f t="shared" si="89"/>
        <v>0</v>
      </c>
      <c r="BH68" s="10">
        <f t="shared" si="89"/>
        <v>0</v>
      </c>
      <c r="BI68" s="10">
        <f t="shared" si="89"/>
        <v>0</v>
      </c>
      <c r="BJ68" s="10">
        <f t="shared" si="89"/>
        <v>0</v>
      </c>
      <c r="BK68" s="1"/>
      <c r="BL68" s="1"/>
      <c r="BM68" s="1"/>
      <c r="BN68" s="1"/>
      <c r="BO68" s="1"/>
      <c r="BP68" s="1"/>
      <c r="BQ68" s="1"/>
      <c r="BR68" s="1"/>
      <c r="BS68" s="1"/>
      <c r="BT68" s="1"/>
      <c r="BU68" s="1"/>
      <c r="BV68" s="1"/>
      <c r="BW68" s="1"/>
      <c r="BX68" s="12">
        <f t="shared" si="60"/>
        <v>0</v>
      </c>
      <c r="BY68" s="10">
        <f t="shared" ref="BY68:CI68" si="90">IF(AND($F68&gt;BX$5,$F68 &lt;=BY$5), $G68, 0)</f>
        <v>0</v>
      </c>
      <c r="BZ68" s="10">
        <f t="shared" si="90"/>
        <v>0</v>
      </c>
      <c r="CA68" s="10">
        <f t="shared" si="90"/>
        <v>0</v>
      </c>
      <c r="CB68" s="133">
        <f t="shared" si="90"/>
        <v>0</v>
      </c>
      <c r="CC68" s="133">
        <f t="shared" si="90"/>
        <v>0</v>
      </c>
      <c r="CD68" s="133">
        <f t="shared" si="90"/>
        <v>0</v>
      </c>
      <c r="CE68" s="133">
        <f t="shared" si="90"/>
        <v>0</v>
      </c>
      <c r="CF68" s="133">
        <f t="shared" si="90"/>
        <v>0</v>
      </c>
      <c r="CG68" s="133">
        <f t="shared" si="90"/>
        <v>0</v>
      </c>
      <c r="CH68" s="133">
        <f t="shared" si="90"/>
        <v>0</v>
      </c>
      <c r="CI68" s="133">
        <f t="shared" si="90"/>
        <v>0</v>
      </c>
      <c r="CK68" s="11"/>
      <c r="CL68" s="221">
        <f t="shared" si="62"/>
        <v>0</v>
      </c>
      <c r="CM68" s="11"/>
      <c r="CN68" s="7">
        <f t="shared" si="63"/>
        <v>0</v>
      </c>
      <c r="CO68" s="7">
        <f>IF(AND(G68&lt;&gt;0, IFERROR(MATCH(E68, Parameters!$D$45:$D$48, 0), "N/A")="N/A"), 1, 0)</f>
        <v>0</v>
      </c>
      <c r="CQ68" s="7">
        <f>IF($F68="", 0, IF(AND($F68&lt;=$CI$5, $F68&gt;=Timeline!$V$8), 0, 1))</f>
        <v>0</v>
      </c>
      <c r="CU68" s="7" cm="1">
        <f t="array" ref="CU68">SUMPRODUCT(--NOT(ISNUMBER(G68:G68)),--NOT(ISBLANK(G68:G68)))+SUMPRODUCT(--NOT(ISNUMBER(V68:CI68)),--NOT(ISBLANK(V68:CI68)))</f>
        <v>0</v>
      </c>
      <c r="CW68" s="7">
        <f t="shared" si="64"/>
        <v>0</v>
      </c>
      <c r="CX68" s="7">
        <f t="shared" si="65"/>
        <v>0</v>
      </c>
      <c r="CY68" s="7">
        <f t="shared" si="66"/>
        <v>0</v>
      </c>
      <c r="CZ68" s="650"/>
      <c r="DA68" s="35"/>
      <c r="DB68" s="215">
        <f t="shared" si="67"/>
        <v>0</v>
      </c>
      <c r="DC68" s="215">
        <f t="shared" si="68"/>
        <v>0</v>
      </c>
      <c r="DD68" s="215">
        <f t="shared" si="69"/>
        <v>0</v>
      </c>
      <c r="DE68" s="215">
        <f t="shared" si="70"/>
        <v>0</v>
      </c>
      <c r="DF68" s="215">
        <f t="shared" si="71"/>
        <v>0</v>
      </c>
      <c r="DG68" s="215">
        <f t="shared" si="72"/>
        <v>0</v>
      </c>
      <c r="DH68" s="215">
        <f t="shared" si="73"/>
        <v>0</v>
      </c>
      <c r="DI68" s="35"/>
      <c r="DJ68">
        <v>0</v>
      </c>
      <c r="DK68">
        <v>0</v>
      </c>
      <c r="DL68" s="35"/>
      <c r="EZ68" s="12" t="str">
        <f t="shared" si="74"/>
        <v>Movement from Assets under Construction AC9</v>
      </c>
    </row>
    <row r="69" spans="1:156" x14ac:dyDescent="0.35">
      <c r="A69" s="220" cm="1">
        <f t="array" aca="1" ref="A69" ca="1">HYPERLINK(CONCATENATE("#",CELL("address",IF(MAX($CM69:$CZ69)=0,A69,INDEX($CM69:$CZ69,MATCH(1,$CM69:$CZ69,0))))),MAX($CM69:$CZ69))</f>
        <v>0</v>
      </c>
      <c r="C69" s="309" t="s">
        <v>812</v>
      </c>
      <c r="D69" s="114"/>
      <c r="E69" s="113"/>
      <c r="F69" s="110"/>
      <c r="G69" s="114"/>
      <c r="H69" s="9" t="s">
        <v>620</v>
      </c>
      <c r="I69" s="9"/>
      <c r="S69" s="1"/>
      <c r="V69" s="12">
        <f>IF(AND($F69&gt;=Timeline!$V$8,$F69 &lt;=V$5), $G69, 0)</f>
        <v>0</v>
      </c>
      <c r="W69" s="10">
        <f t="shared" si="57"/>
        <v>0</v>
      </c>
      <c r="X69" s="10">
        <f t="shared" si="57"/>
        <v>0</v>
      </c>
      <c r="Y69" s="10">
        <f t="shared" si="57"/>
        <v>0</v>
      </c>
      <c r="AA69" s="133">
        <f t="shared" si="58"/>
        <v>0</v>
      </c>
      <c r="AB69" s="10">
        <f t="shared" ref="AB69:BJ69" si="91">IF(AND($F69&gt;AA$5,$F69 &lt;=AB$5), $G69, 0)</f>
        <v>0</v>
      </c>
      <c r="AC69" s="10">
        <f t="shared" si="91"/>
        <v>0</v>
      </c>
      <c r="AD69" s="10">
        <f t="shared" si="91"/>
        <v>0</v>
      </c>
      <c r="AE69" s="10">
        <f t="shared" si="91"/>
        <v>0</v>
      </c>
      <c r="AF69" s="10">
        <f t="shared" si="91"/>
        <v>0</v>
      </c>
      <c r="AG69" s="10">
        <f t="shared" si="91"/>
        <v>0</v>
      </c>
      <c r="AH69" s="10">
        <f t="shared" si="91"/>
        <v>0</v>
      </c>
      <c r="AI69" s="10">
        <f t="shared" si="91"/>
        <v>0</v>
      </c>
      <c r="AJ69" s="10">
        <f t="shared" si="91"/>
        <v>0</v>
      </c>
      <c r="AK69" s="10">
        <f t="shared" si="91"/>
        <v>0</v>
      </c>
      <c r="AL69" s="10">
        <f t="shared" si="91"/>
        <v>0</v>
      </c>
      <c r="AM69" s="10">
        <f t="shared" si="91"/>
        <v>0</v>
      </c>
      <c r="AN69" s="10">
        <f t="shared" si="91"/>
        <v>0</v>
      </c>
      <c r="AO69" s="10">
        <f t="shared" si="91"/>
        <v>0</v>
      </c>
      <c r="AP69" s="10">
        <f t="shared" si="91"/>
        <v>0</v>
      </c>
      <c r="AQ69" s="10">
        <f t="shared" si="91"/>
        <v>0</v>
      </c>
      <c r="AR69" s="10">
        <f t="shared" si="91"/>
        <v>0</v>
      </c>
      <c r="AS69" s="10">
        <f t="shared" si="91"/>
        <v>0</v>
      </c>
      <c r="AT69" s="10">
        <f t="shared" si="91"/>
        <v>0</v>
      </c>
      <c r="AU69" s="10">
        <f t="shared" si="91"/>
        <v>0</v>
      </c>
      <c r="AV69" s="10">
        <f t="shared" si="91"/>
        <v>0</v>
      </c>
      <c r="AW69" s="10">
        <f t="shared" si="91"/>
        <v>0</v>
      </c>
      <c r="AX69" s="10">
        <f t="shared" si="91"/>
        <v>0</v>
      </c>
      <c r="AY69" s="10">
        <f t="shared" si="91"/>
        <v>0</v>
      </c>
      <c r="AZ69" s="10">
        <f t="shared" si="91"/>
        <v>0</v>
      </c>
      <c r="BA69" s="10">
        <f t="shared" si="91"/>
        <v>0</v>
      </c>
      <c r="BB69" s="10">
        <f t="shared" si="91"/>
        <v>0</v>
      </c>
      <c r="BC69" s="10">
        <f t="shared" si="91"/>
        <v>0</v>
      </c>
      <c r="BD69" s="10">
        <f t="shared" si="91"/>
        <v>0</v>
      </c>
      <c r="BE69" s="10">
        <f t="shared" si="91"/>
        <v>0</v>
      </c>
      <c r="BF69" s="10">
        <f t="shared" si="91"/>
        <v>0</v>
      </c>
      <c r="BG69" s="10">
        <f t="shared" si="91"/>
        <v>0</v>
      </c>
      <c r="BH69" s="10">
        <f t="shared" si="91"/>
        <v>0</v>
      </c>
      <c r="BI69" s="10">
        <f t="shared" si="91"/>
        <v>0</v>
      </c>
      <c r="BJ69" s="10">
        <f t="shared" si="91"/>
        <v>0</v>
      </c>
      <c r="BK69" s="1"/>
      <c r="BL69" s="1"/>
      <c r="BM69" s="1"/>
      <c r="BN69" s="1"/>
      <c r="BO69" s="1"/>
      <c r="BP69" s="1"/>
      <c r="BQ69" s="1"/>
      <c r="BR69" s="1"/>
      <c r="BS69" s="1"/>
      <c r="BT69" s="1"/>
      <c r="BU69" s="1"/>
      <c r="BV69" s="1"/>
      <c r="BW69" s="1"/>
      <c r="BX69" s="12">
        <f t="shared" si="60"/>
        <v>0</v>
      </c>
      <c r="BY69" s="10">
        <f t="shared" ref="BY69:CI69" si="92">IF(AND($F69&gt;BX$5,$F69 &lt;=BY$5), $G69, 0)</f>
        <v>0</v>
      </c>
      <c r="BZ69" s="10">
        <f t="shared" si="92"/>
        <v>0</v>
      </c>
      <c r="CA69" s="10">
        <f t="shared" si="92"/>
        <v>0</v>
      </c>
      <c r="CB69" s="133">
        <f t="shared" si="92"/>
        <v>0</v>
      </c>
      <c r="CC69" s="133">
        <f t="shared" si="92"/>
        <v>0</v>
      </c>
      <c r="CD69" s="133">
        <f t="shared" si="92"/>
        <v>0</v>
      </c>
      <c r="CE69" s="133">
        <f t="shared" si="92"/>
        <v>0</v>
      </c>
      <c r="CF69" s="133">
        <f t="shared" si="92"/>
        <v>0</v>
      </c>
      <c r="CG69" s="133">
        <f t="shared" si="92"/>
        <v>0</v>
      </c>
      <c r="CH69" s="133">
        <f t="shared" si="92"/>
        <v>0</v>
      </c>
      <c r="CI69" s="133">
        <f t="shared" si="92"/>
        <v>0</v>
      </c>
      <c r="CK69" s="11"/>
      <c r="CL69" s="221">
        <f t="shared" si="62"/>
        <v>0</v>
      </c>
      <c r="CM69" s="11"/>
      <c r="CN69" s="7">
        <f t="shared" si="63"/>
        <v>0</v>
      </c>
      <c r="CO69" s="7">
        <f>IF(AND(G69&lt;&gt;0, IFERROR(MATCH(E69, Parameters!$D$45:$D$48, 0), "N/A")="N/A"), 1, 0)</f>
        <v>0</v>
      </c>
      <c r="CQ69" s="7">
        <f>IF($F69="", 0, IF(AND($F69&lt;=$CI$5, $F69&gt;=Timeline!$V$8), 0, 1))</f>
        <v>0</v>
      </c>
      <c r="CU69" s="7" cm="1">
        <f t="array" ref="CU69">SUMPRODUCT(--NOT(ISNUMBER(G69:G69)),--NOT(ISBLANK(G69:G69)))+SUMPRODUCT(--NOT(ISNUMBER(V69:CI69)),--NOT(ISBLANK(V69:CI69)))</f>
        <v>0</v>
      </c>
      <c r="CW69" s="7">
        <f t="shared" si="64"/>
        <v>0</v>
      </c>
      <c r="CX69" s="7">
        <f t="shared" si="65"/>
        <v>0</v>
      </c>
      <c r="CY69" s="7">
        <f t="shared" si="66"/>
        <v>0</v>
      </c>
      <c r="CZ69" s="650"/>
      <c r="DA69" s="35"/>
      <c r="DB69" s="215">
        <f t="shared" si="67"/>
        <v>0</v>
      </c>
      <c r="DC69" s="215">
        <f t="shared" si="68"/>
        <v>0</v>
      </c>
      <c r="DD69" s="215">
        <f t="shared" si="69"/>
        <v>0</v>
      </c>
      <c r="DE69" s="215">
        <f t="shared" si="70"/>
        <v>0</v>
      </c>
      <c r="DF69" s="215">
        <f t="shared" si="71"/>
        <v>0</v>
      </c>
      <c r="DG69" s="215">
        <f t="shared" si="72"/>
        <v>0</v>
      </c>
      <c r="DH69" s="215">
        <f t="shared" si="73"/>
        <v>0</v>
      </c>
      <c r="DI69" s="35"/>
      <c r="DJ69">
        <v>0</v>
      </c>
      <c r="DK69">
        <v>0</v>
      </c>
      <c r="DL69" s="35"/>
      <c r="EZ69" s="12" t="str">
        <f t="shared" si="74"/>
        <v>Movement from Assets under Construction AC10</v>
      </c>
    </row>
    <row r="70" spans="1:156" x14ac:dyDescent="0.35">
      <c r="A70" s="220" cm="1">
        <f t="array" aca="1" ref="A70" ca="1">HYPERLINK(CONCATENATE("#",CELL("address",IF(MAX($CM70:$CZ70)=0,A70,INDEX($CM70:$CZ70,MATCH(1,$CM70:$CZ70,0))))),MAX($CM70:$CZ70))</f>
        <v>0</v>
      </c>
      <c r="C70" s="309" t="s">
        <v>813</v>
      </c>
      <c r="D70" s="114"/>
      <c r="E70" s="113"/>
      <c r="F70" s="110"/>
      <c r="G70" s="114"/>
      <c r="H70" s="9" t="s">
        <v>620</v>
      </c>
      <c r="I70" s="9"/>
      <c r="S70" s="1"/>
      <c r="V70" s="12">
        <f>IF(AND($F70&gt;=Timeline!$V$8,$F70 &lt;=V$5), $G70, 0)</f>
        <v>0</v>
      </c>
      <c r="W70" s="10">
        <f t="shared" si="57"/>
        <v>0</v>
      </c>
      <c r="X70" s="10">
        <f t="shared" si="57"/>
        <v>0</v>
      </c>
      <c r="Y70" s="10">
        <f t="shared" si="57"/>
        <v>0</v>
      </c>
      <c r="AA70" s="133">
        <f t="shared" si="58"/>
        <v>0</v>
      </c>
      <c r="AB70" s="10">
        <f t="shared" ref="AB70:BJ70" si="93">IF(AND($F70&gt;AA$5,$F70 &lt;=AB$5), $G70, 0)</f>
        <v>0</v>
      </c>
      <c r="AC70" s="10">
        <f t="shared" si="93"/>
        <v>0</v>
      </c>
      <c r="AD70" s="10">
        <f t="shared" si="93"/>
        <v>0</v>
      </c>
      <c r="AE70" s="10">
        <f t="shared" si="93"/>
        <v>0</v>
      </c>
      <c r="AF70" s="10">
        <f t="shared" si="93"/>
        <v>0</v>
      </c>
      <c r="AG70" s="10">
        <f t="shared" si="93"/>
        <v>0</v>
      </c>
      <c r="AH70" s="10">
        <f t="shared" si="93"/>
        <v>0</v>
      </c>
      <c r="AI70" s="10">
        <f t="shared" si="93"/>
        <v>0</v>
      </c>
      <c r="AJ70" s="10">
        <f t="shared" si="93"/>
        <v>0</v>
      </c>
      <c r="AK70" s="10">
        <f t="shared" si="93"/>
        <v>0</v>
      </c>
      <c r="AL70" s="10">
        <f t="shared" si="93"/>
        <v>0</v>
      </c>
      <c r="AM70" s="10">
        <f t="shared" si="93"/>
        <v>0</v>
      </c>
      <c r="AN70" s="10">
        <f t="shared" si="93"/>
        <v>0</v>
      </c>
      <c r="AO70" s="10">
        <f t="shared" si="93"/>
        <v>0</v>
      </c>
      <c r="AP70" s="10">
        <f t="shared" si="93"/>
        <v>0</v>
      </c>
      <c r="AQ70" s="10">
        <f t="shared" si="93"/>
        <v>0</v>
      </c>
      <c r="AR70" s="10">
        <f t="shared" si="93"/>
        <v>0</v>
      </c>
      <c r="AS70" s="10">
        <f t="shared" si="93"/>
        <v>0</v>
      </c>
      <c r="AT70" s="10">
        <f t="shared" si="93"/>
        <v>0</v>
      </c>
      <c r="AU70" s="10">
        <f t="shared" si="93"/>
        <v>0</v>
      </c>
      <c r="AV70" s="10">
        <f t="shared" si="93"/>
        <v>0</v>
      </c>
      <c r="AW70" s="10">
        <f t="shared" si="93"/>
        <v>0</v>
      </c>
      <c r="AX70" s="10">
        <f t="shared" si="93"/>
        <v>0</v>
      </c>
      <c r="AY70" s="10">
        <f t="shared" si="93"/>
        <v>0</v>
      </c>
      <c r="AZ70" s="10">
        <f t="shared" si="93"/>
        <v>0</v>
      </c>
      <c r="BA70" s="10">
        <f t="shared" si="93"/>
        <v>0</v>
      </c>
      <c r="BB70" s="10">
        <f t="shared" si="93"/>
        <v>0</v>
      </c>
      <c r="BC70" s="10">
        <f t="shared" si="93"/>
        <v>0</v>
      </c>
      <c r="BD70" s="10">
        <f t="shared" si="93"/>
        <v>0</v>
      </c>
      <c r="BE70" s="10">
        <f t="shared" si="93"/>
        <v>0</v>
      </c>
      <c r="BF70" s="10">
        <f t="shared" si="93"/>
        <v>0</v>
      </c>
      <c r="BG70" s="10">
        <f t="shared" si="93"/>
        <v>0</v>
      </c>
      <c r="BH70" s="10">
        <f t="shared" si="93"/>
        <v>0</v>
      </c>
      <c r="BI70" s="10">
        <f t="shared" si="93"/>
        <v>0</v>
      </c>
      <c r="BJ70" s="10">
        <f t="shared" si="93"/>
        <v>0</v>
      </c>
      <c r="BK70" s="1"/>
      <c r="BL70" s="1"/>
      <c r="BM70" s="1"/>
      <c r="BN70" s="1"/>
      <c r="BO70" s="1"/>
      <c r="BP70" s="1"/>
      <c r="BQ70" s="1"/>
      <c r="BR70" s="1"/>
      <c r="BS70" s="1"/>
      <c r="BT70" s="1"/>
      <c r="BU70" s="1"/>
      <c r="BV70" s="1"/>
      <c r="BW70" s="1"/>
      <c r="BX70" s="12">
        <f t="shared" si="60"/>
        <v>0</v>
      </c>
      <c r="BY70" s="10">
        <f t="shared" ref="BY70:CI70" si="94">IF(AND($F70&gt;BX$5,$F70 &lt;=BY$5), $G70, 0)</f>
        <v>0</v>
      </c>
      <c r="BZ70" s="10">
        <f t="shared" si="94"/>
        <v>0</v>
      </c>
      <c r="CA70" s="10">
        <f t="shared" si="94"/>
        <v>0</v>
      </c>
      <c r="CB70" s="133">
        <f t="shared" si="94"/>
        <v>0</v>
      </c>
      <c r="CC70" s="133">
        <f t="shared" si="94"/>
        <v>0</v>
      </c>
      <c r="CD70" s="133">
        <f t="shared" si="94"/>
        <v>0</v>
      </c>
      <c r="CE70" s="133">
        <f t="shared" si="94"/>
        <v>0</v>
      </c>
      <c r="CF70" s="133">
        <f t="shared" si="94"/>
        <v>0</v>
      </c>
      <c r="CG70" s="133">
        <f t="shared" si="94"/>
        <v>0</v>
      </c>
      <c r="CH70" s="133">
        <f t="shared" si="94"/>
        <v>0</v>
      </c>
      <c r="CI70" s="133">
        <f t="shared" si="94"/>
        <v>0</v>
      </c>
      <c r="CK70" s="11"/>
      <c r="CL70" s="221">
        <f t="shared" si="62"/>
        <v>0</v>
      </c>
      <c r="CM70" s="11"/>
      <c r="CN70" s="7">
        <f t="shared" si="63"/>
        <v>0</v>
      </c>
      <c r="CO70" s="7">
        <f>IF(AND(G70&lt;&gt;0, IFERROR(MATCH(E70, Parameters!$D$45:$D$48, 0), "N/A")="N/A"), 1, 0)</f>
        <v>0</v>
      </c>
      <c r="CQ70" s="7">
        <f>IF($F70="", 0, IF(AND($F70&lt;=$CI$5, $F70&gt;=Timeline!$V$8), 0, 1))</f>
        <v>0</v>
      </c>
      <c r="CU70" s="7" cm="1">
        <f t="array" ref="CU70">SUMPRODUCT(--NOT(ISNUMBER(G70:G70)),--NOT(ISBLANK(G70:G70)))+SUMPRODUCT(--NOT(ISNUMBER(V70:CI70)),--NOT(ISBLANK(V70:CI70)))</f>
        <v>0</v>
      </c>
      <c r="CW70" s="7">
        <f t="shared" si="64"/>
        <v>0</v>
      </c>
      <c r="CX70" s="7">
        <f t="shared" si="65"/>
        <v>0</v>
      </c>
      <c r="CY70" s="7">
        <f t="shared" si="66"/>
        <v>0</v>
      </c>
      <c r="CZ70" s="650"/>
      <c r="DA70" s="35"/>
      <c r="DB70" s="215">
        <f t="shared" si="67"/>
        <v>0</v>
      </c>
      <c r="DC70" s="215">
        <f t="shared" si="68"/>
        <v>0</v>
      </c>
      <c r="DD70" s="215">
        <f t="shared" si="69"/>
        <v>0</v>
      </c>
      <c r="DE70" s="215">
        <f t="shared" si="70"/>
        <v>0</v>
      </c>
      <c r="DF70" s="215">
        <f t="shared" si="71"/>
        <v>0</v>
      </c>
      <c r="DG70" s="215">
        <f t="shared" si="72"/>
        <v>0</v>
      </c>
      <c r="DH70" s="215">
        <f t="shared" si="73"/>
        <v>0</v>
      </c>
      <c r="DI70" s="35"/>
      <c r="DJ70">
        <v>0</v>
      </c>
      <c r="DK70">
        <v>0</v>
      </c>
      <c r="DL70" s="35"/>
      <c r="EZ70" s="12" t="str">
        <f t="shared" si="74"/>
        <v>Movement from Assets under Construction AC11</v>
      </c>
    </row>
    <row r="71" spans="1:156" x14ac:dyDescent="0.35">
      <c r="A71" s="220" cm="1">
        <f t="array" aca="1" ref="A71" ca="1">HYPERLINK(CONCATENATE("#",CELL("address",IF(MAX($CM71:$CZ71)=0,A71,INDEX($CM71:$CZ71,MATCH(1,$CM71:$CZ71,0))))),MAX($CM71:$CZ71))</f>
        <v>0</v>
      </c>
      <c r="C71" s="309" t="s">
        <v>814</v>
      </c>
      <c r="D71" s="114"/>
      <c r="E71" s="113"/>
      <c r="F71" s="110"/>
      <c r="G71" s="114"/>
      <c r="H71" s="9" t="s">
        <v>620</v>
      </c>
      <c r="I71" s="9"/>
      <c r="S71" s="1"/>
      <c r="V71" s="12">
        <f>IF(AND($F71&gt;=Timeline!$V$8,$F71 &lt;=V$5), $G71, 0)</f>
        <v>0</v>
      </c>
      <c r="W71" s="10">
        <f t="shared" si="57"/>
        <v>0</v>
      </c>
      <c r="X71" s="10">
        <f t="shared" si="57"/>
        <v>0</v>
      </c>
      <c r="Y71" s="10">
        <f t="shared" si="57"/>
        <v>0</v>
      </c>
      <c r="AA71" s="133">
        <f t="shared" si="58"/>
        <v>0</v>
      </c>
      <c r="AB71" s="10">
        <f t="shared" ref="AB71:BJ71" si="95">IF(AND($F71&gt;AA$5,$F71 &lt;=AB$5), $G71, 0)</f>
        <v>0</v>
      </c>
      <c r="AC71" s="10">
        <f t="shared" si="95"/>
        <v>0</v>
      </c>
      <c r="AD71" s="10">
        <f t="shared" si="95"/>
        <v>0</v>
      </c>
      <c r="AE71" s="10">
        <f t="shared" si="95"/>
        <v>0</v>
      </c>
      <c r="AF71" s="10">
        <f t="shared" si="95"/>
        <v>0</v>
      </c>
      <c r="AG71" s="10">
        <f t="shared" si="95"/>
        <v>0</v>
      </c>
      <c r="AH71" s="10">
        <f t="shared" si="95"/>
        <v>0</v>
      </c>
      <c r="AI71" s="10">
        <f t="shared" si="95"/>
        <v>0</v>
      </c>
      <c r="AJ71" s="10">
        <f t="shared" si="95"/>
        <v>0</v>
      </c>
      <c r="AK71" s="10">
        <f t="shared" si="95"/>
        <v>0</v>
      </c>
      <c r="AL71" s="10">
        <f t="shared" si="95"/>
        <v>0</v>
      </c>
      <c r="AM71" s="10">
        <f t="shared" si="95"/>
        <v>0</v>
      </c>
      <c r="AN71" s="10">
        <f t="shared" si="95"/>
        <v>0</v>
      </c>
      <c r="AO71" s="10">
        <f t="shared" si="95"/>
        <v>0</v>
      </c>
      <c r="AP71" s="10">
        <f t="shared" si="95"/>
        <v>0</v>
      </c>
      <c r="AQ71" s="10">
        <f t="shared" si="95"/>
        <v>0</v>
      </c>
      <c r="AR71" s="10">
        <f t="shared" si="95"/>
        <v>0</v>
      </c>
      <c r="AS71" s="10">
        <f t="shared" si="95"/>
        <v>0</v>
      </c>
      <c r="AT71" s="10">
        <f t="shared" si="95"/>
        <v>0</v>
      </c>
      <c r="AU71" s="10">
        <f t="shared" si="95"/>
        <v>0</v>
      </c>
      <c r="AV71" s="10">
        <f t="shared" si="95"/>
        <v>0</v>
      </c>
      <c r="AW71" s="10">
        <f t="shared" si="95"/>
        <v>0</v>
      </c>
      <c r="AX71" s="10">
        <f t="shared" si="95"/>
        <v>0</v>
      </c>
      <c r="AY71" s="10">
        <f t="shared" si="95"/>
        <v>0</v>
      </c>
      <c r="AZ71" s="10">
        <f t="shared" si="95"/>
        <v>0</v>
      </c>
      <c r="BA71" s="10">
        <f t="shared" si="95"/>
        <v>0</v>
      </c>
      <c r="BB71" s="10">
        <f t="shared" si="95"/>
        <v>0</v>
      </c>
      <c r="BC71" s="10">
        <f t="shared" si="95"/>
        <v>0</v>
      </c>
      <c r="BD71" s="10">
        <f t="shared" si="95"/>
        <v>0</v>
      </c>
      <c r="BE71" s="10">
        <f t="shared" si="95"/>
        <v>0</v>
      </c>
      <c r="BF71" s="10">
        <f t="shared" si="95"/>
        <v>0</v>
      </c>
      <c r="BG71" s="10">
        <f t="shared" si="95"/>
        <v>0</v>
      </c>
      <c r="BH71" s="10">
        <f t="shared" si="95"/>
        <v>0</v>
      </c>
      <c r="BI71" s="10">
        <f t="shared" si="95"/>
        <v>0</v>
      </c>
      <c r="BJ71" s="10">
        <f t="shared" si="95"/>
        <v>0</v>
      </c>
      <c r="BK71" s="1"/>
      <c r="BL71" s="1"/>
      <c r="BM71" s="1"/>
      <c r="BN71" s="1"/>
      <c r="BO71" s="1"/>
      <c r="BP71" s="1"/>
      <c r="BQ71" s="1"/>
      <c r="BR71" s="1"/>
      <c r="BS71" s="1"/>
      <c r="BT71" s="1"/>
      <c r="BU71" s="1"/>
      <c r="BV71" s="1"/>
      <c r="BW71" s="1"/>
      <c r="BX71" s="12">
        <f t="shared" si="60"/>
        <v>0</v>
      </c>
      <c r="BY71" s="10">
        <f t="shared" ref="BY71:CI71" si="96">IF(AND($F71&gt;BX$5,$F71 &lt;=BY$5), $G71, 0)</f>
        <v>0</v>
      </c>
      <c r="BZ71" s="10">
        <f t="shared" si="96"/>
        <v>0</v>
      </c>
      <c r="CA71" s="10">
        <f t="shared" si="96"/>
        <v>0</v>
      </c>
      <c r="CB71" s="133">
        <f t="shared" si="96"/>
        <v>0</v>
      </c>
      <c r="CC71" s="133">
        <f t="shared" si="96"/>
        <v>0</v>
      </c>
      <c r="CD71" s="133">
        <f t="shared" si="96"/>
        <v>0</v>
      </c>
      <c r="CE71" s="133">
        <f t="shared" si="96"/>
        <v>0</v>
      </c>
      <c r="CF71" s="133">
        <f t="shared" si="96"/>
        <v>0</v>
      </c>
      <c r="CG71" s="133">
        <f t="shared" si="96"/>
        <v>0</v>
      </c>
      <c r="CH71" s="133">
        <f t="shared" si="96"/>
        <v>0</v>
      </c>
      <c r="CI71" s="133">
        <f t="shared" si="96"/>
        <v>0</v>
      </c>
      <c r="CK71" s="11"/>
      <c r="CL71" s="221">
        <f t="shared" si="62"/>
        <v>0</v>
      </c>
      <c r="CM71" s="11"/>
      <c r="CN71" s="7">
        <f t="shared" si="63"/>
        <v>0</v>
      </c>
      <c r="CO71" s="7">
        <f>IF(AND(G71&lt;&gt;0, IFERROR(MATCH(E71, Parameters!$D$45:$D$48, 0), "N/A")="N/A"), 1, 0)</f>
        <v>0</v>
      </c>
      <c r="CQ71" s="7">
        <f>IF($F71="", 0, IF(AND($F71&lt;=$CI$5, $F71&gt;=Timeline!$V$8), 0, 1))</f>
        <v>0</v>
      </c>
      <c r="CU71" s="7" cm="1">
        <f t="array" ref="CU71">SUMPRODUCT(--NOT(ISNUMBER(G71:G71)),--NOT(ISBLANK(G71:G71)))+SUMPRODUCT(--NOT(ISNUMBER(V71:CI71)),--NOT(ISBLANK(V71:CI71)))</f>
        <v>0</v>
      </c>
      <c r="CW71" s="7">
        <f t="shared" si="64"/>
        <v>0</v>
      </c>
      <c r="CX71" s="7">
        <f t="shared" si="65"/>
        <v>0</v>
      </c>
      <c r="CY71" s="7">
        <f t="shared" si="66"/>
        <v>0</v>
      </c>
      <c r="CZ71" s="650"/>
      <c r="DA71" s="35"/>
      <c r="DB71" s="215">
        <f t="shared" si="67"/>
        <v>0</v>
      </c>
      <c r="DC71" s="215">
        <f t="shared" si="68"/>
        <v>0</v>
      </c>
      <c r="DD71" s="215">
        <f t="shared" si="69"/>
        <v>0</v>
      </c>
      <c r="DE71" s="215">
        <f t="shared" si="70"/>
        <v>0</v>
      </c>
      <c r="DF71" s="215">
        <f t="shared" si="71"/>
        <v>0</v>
      </c>
      <c r="DG71" s="215">
        <f t="shared" si="72"/>
        <v>0</v>
      </c>
      <c r="DH71" s="215">
        <f t="shared" si="73"/>
        <v>0</v>
      </c>
      <c r="DI71" s="35"/>
      <c r="DJ71">
        <v>0</v>
      </c>
      <c r="DK71">
        <v>0</v>
      </c>
      <c r="DL71" s="35"/>
      <c r="EZ71" s="12" t="str">
        <f t="shared" si="74"/>
        <v>Movement from Assets under Construction AC12</v>
      </c>
    </row>
    <row r="72" spans="1:156" x14ac:dyDescent="0.35">
      <c r="A72" s="220" cm="1">
        <f t="array" aca="1" ref="A72" ca="1">HYPERLINK(CONCATENATE("#",CELL("address",IF(MAX($CM72:$CZ72)=0,A72,INDEX($CM72:$CZ72,MATCH(1,$CM72:$CZ72,0))))),MAX($CM72:$CZ72))</f>
        <v>0</v>
      </c>
      <c r="C72" s="309" t="s">
        <v>815</v>
      </c>
      <c r="D72" s="114"/>
      <c r="E72" s="113"/>
      <c r="F72" s="110"/>
      <c r="G72" s="114"/>
      <c r="H72" s="9" t="s">
        <v>620</v>
      </c>
      <c r="I72" s="9"/>
      <c r="S72" s="1"/>
      <c r="V72" s="12">
        <f>IF(AND($F72&gt;=Timeline!$V$8,$F72 &lt;=V$5), $G72, 0)</f>
        <v>0</v>
      </c>
      <c r="W72" s="10">
        <f t="shared" si="57"/>
        <v>0</v>
      </c>
      <c r="X72" s="10">
        <f t="shared" si="57"/>
        <v>0</v>
      </c>
      <c r="Y72" s="10">
        <f t="shared" si="57"/>
        <v>0</v>
      </c>
      <c r="AA72" s="133">
        <f t="shared" si="58"/>
        <v>0</v>
      </c>
      <c r="AB72" s="10">
        <f t="shared" ref="AB72:BJ72" si="97">IF(AND($F72&gt;AA$5,$F72 &lt;=AB$5), $G72, 0)</f>
        <v>0</v>
      </c>
      <c r="AC72" s="10">
        <f t="shared" si="97"/>
        <v>0</v>
      </c>
      <c r="AD72" s="10">
        <f t="shared" si="97"/>
        <v>0</v>
      </c>
      <c r="AE72" s="10">
        <f t="shared" si="97"/>
        <v>0</v>
      </c>
      <c r="AF72" s="10">
        <f t="shared" si="97"/>
        <v>0</v>
      </c>
      <c r="AG72" s="10">
        <f t="shared" si="97"/>
        <v>0</v>
      </c>
      <c r="AH72" s="10">
        <f t="shared" si="97"/>
        <v>0</v>
      </c>
      <c r="AI72" s="10">
        <f t="shared" si="97"/>
        <v>0</v>
      </c>
      <c r="AJ72" s="10">
        <f t="shared" si="97"/>
        <v>0</v>
      </c>
      <c r="AK72" s="10">
        <f t="shared" si="97"/>
        <v>0</v>
      </c>
      <c r="AL72" s="10">
        <f t="shared" si="97"/>
        <v>0</v>
      </c>
      <c r="AM72" s="10">
        <f t="shared" si="97"/>
        <v>0</v>
      </c>
      <c r="AN72" s="10">
        <f t="shared" si="97"/>
        <v>0</v>
      </c>
      <c r="AO72" s="10">
        <f t="shared" si="97"/>
        <v>0</v>
      </c>
      <c r="AP72" s="10">
        <f t="shared" si="97"/>
        <v>0</v>
      </c>
      <c r="AQ72" s="10">
        <f t="shared" si="97"/>
        <v>0</v>
      </c>
      <c r="AR72" s="10">
        <f t="shared" si="97"/>
        <v>0</v>
      </c>
      <c r="AS72" s="10">
        <f t="shared" si="97"/>
        <v>0</v>
      </c>
      <c r="AT72" s="10">
        <f t="shared" si="97"/>
        <v>0</v>
      </c>
      <c r="AU72" s="10">
        <f t="shared" si="97"/>
        <v>0</v>
      </c>
      <c r="AV72" s="10">
        <f t="shared" si="97"/>
        <v>0</v>
      </c>
      <c r="AW72" s="10">
        <f t="shared" si="97"/>
        <v>0</v>
      </c>
      <c r="AX72" s="10">
        <f t="shared" si="97"/>
        <v>0</v>
      </c>
      <c r="AY72" s="10">
        <f t="shared" si="97"/>
        <v>0</v>
      </c>
      <c r="AZ72" s="10">
        <f t="shared" si="97"/>
        <v>0</v>
      </c>
      <c r="BA72" s="10">
        <f t="shared" si="97"/>
        <v>0</v>
      </c>
      <c r="BB72" s="10">
        <f t="shared" si="97"/>
        <v>0</v>
      </c>
      <c r="BC72" s="10">
        <f t="shared" si="97"/>
        <v>0</v>
      </c>
      <c r="BD72" s="10">
        <f t="shared" si="97"/>
        <v>0</v>
      </c>
      <c r="BE72" s="10">
        <f t="shared" si="97"/>
        <v>0</v>
      </c>
      <c r="BF72" s="10">
        <f t="shared" si="97"/>
        <v>0</v>
      </c>
      <c r="BG72" s="10">
        <f t="shared" si="97"/>
        <v>0</v>
      </c>
      <c r="BH72" s="10">
        <f t="shared" si="97"/>
        <v>0</v>
      </c>
      <c r="BI72" s="10">
        <f t="shared" si="97"/>
        <v>0</v>
      </c>
      <c r="BJ72" s="10">
        <f t="shared" si="97"/>
        <v>0</v>
      </c>
      <c r="BK72" s="1"/>
      <c r="BL72" s="1"/>
      <c r="BM72" s="1"/>
      <c r="BN72" s="1"/>
      <c r="BO72" s="1"/>
      <c r="BP72" s="1"/>
      <c r="BQ72" s="1"/>
      <c r="BR72" s="1"/>
      <c r="BS72" s="1"/>
      <c r="BT72" s="1"/>
      <c r="BU72" s="1"/>
      <c r="BV72" s="1"/>
      <c r="BW72" s="1"/>
      <c r="BX72" s="12">
        <f t="shared" si="60"/>
        <v>0</v>
      </c>
      <c r="BY72" s="10">
        <f t="shared" ref="BY72:CI72" si="98">IF(AND($F72&gt;BX$5,$F72 &lt;=BY$5), $G72, 0)</f>
        <v>0</v>
      </c>
      <c r="BZ72" s="10">
        <f t="shared" si="98"/>
        <v>0</v>
      </c>
      <c r="CA72" s="10">
        <f t="shared" si="98"/>
        <v>0</v>
      </c>
      <c r="CB72" s="133">
        <f t="shared" si="98"/>
        <v>0</v>
      </c>
      <c r="CC72" s="133">
        <f t="shared" si="98"/>
        <v>0</v>
      </c>
      <c r="CD72" s="133">
        <f t="shared" si="98"/>
        <v>0</v>
      </c>
      <c r="CE72" s="133">
        <f t="shared" si="98"/>
        <v>0</v>
      </c>
      <c r="CF72" s="133">
        <f t="shared" si="98"/>
        <v>0</v>
      </c>
      <c r="CG72" s="133">
        <f t="shared" si="98"/>
        <v>0</v>
      </c>
      <c r="CH72" s="133">
        <f t="shared" si="98"/>
        <v>0</v>
      </c>
      <c r="CI72" s="133">
        <f t="shared" si="98"/>
        <v>0</v>
      </c>
      <c r="CK72" s="11"/>
      <c r="CL72" s="221">
        <f t="shared" si="62"/>
        <v>0</v>
      </c>
      <c r="CM72" s="11"/>
      <c r="CN72" s="7">
        <f t="shared" si="63"/>
        <v>0</v>
      </c>
      <c r="CO72" s="7">
        <f>IF(AND(G72&lt;&gt;0, IFERROR(MATCH(E72, Parameters!$D$45:$D$48, 0), "N/A")="N/A"), 1, 0)</f>
        <v>0</v>
      </c>
      <c r="CQ72" s="7">
        <f>IF($F72="", 0, IF(AND($F72&lt;=$CI$5, $F72&gt;=Timeline!$V$8), 0, 1))</f>
        <v>0</v>
      </c>
      <c r="CU72" s="7" cm="1">
        <f t="array" ref="CU72">SUMPRODUCT(--NOT(ISNUMBER(G72:G72)),--NOT(ISBLANK(G72:G72)))+SUMPRODUCT(--NOT(ISNUMBER(V72:CI72)),--NOT(ISBLANK(V72:CI72)))</f>
        <v>0</v>
      </c>
      <c r="CW72" s="7">
        <f t="shared" si="64"/>
        <v>0</v>
      </c>
      <c r="CX72" s="7">
        <f t="shared" si="65"/>
        <v>0</v>
      </c>
      <c r="CY72" s="7">
        <f t="shared" si="66"/>
        <v>0</v>
      </c>
      <c r="CZ72" s="650"/>
      <c r="DA72" s="35"/>
      <c r="DB72" s="215">
        <f t="shared" si="67"/>
        <v>0</v>
      </c>
      <c r="DC72" s="215">
        <f t="shared" si="68"/>
        <v>0</v>
      </c>
      <c r="DD72" s="215">
        <f t="shared" si="69"/>
        <v>0</v>
      </c>
      <c r="DE72" s="215">
        <f t="shared" si="70"/>
        <v>0</v>
      </c>
      <c r="DF72" s="215">
        <f t="shared" si="71"/>
        <v>0</v>
      </c>
      <c r="DG72" s="215">
        <f t="shared" si="72"/>
        <v>0</v>
      </c>
      <c r="DH72" s="215">
        <f t="shared" si="73"/>
        <v>0</v>
      </c>
      <c r="DI72" s="35"/>
      <c r="DJ72">
        <v>0</v>
      </c>
      <c r="DK72">
        <v>0</v>
      </c>
      <c r="DL72" s="35"/>
      <c r="EZ72" s="12" t="str">
        <f t="shared" si="74"/>
        <v>Movement from Assets under Construction AC13</v>
      </c>
    </row>
    <row r="73" spans="1:156" x14ac:dyDescent="0.35">
      <c r="A73" s="220" cm="1">
        <f t="array" aca="1" ref="A73" ca="1">HYPERLINK(CONCATENATE("#",CELL("address",IF(MAX($CM73:$CZ73)=0,A73,INDEX($CM73:$CZ73,MATCH(1,$CM73:$CZ73,0))))),MAX($CM73:$CZ73))</f>
        <v>0</v>
      </c>
      <c r="C73" s="309" t="s">
        <v>816</v>
      </c>
      <c r="D73" s="114"/>
      <c r="E73" s="113"/>
      <c r="F73" s="110"/>
      <c r="G73" s="114"/>
      <c r="H73" s="9" t="s">
        <v>620</v>
      </c>
      <c r="I73" s="9"/>
      <c r="S73" s="1"/>
      <c r="V73" s="12">
        <f>IF(AND($F73&gt;=Timeline!$V$8,$F73 &lt;=V$5), $G73, 0)</f>
        <v>0</v>
      </c>
      <c r="W73" s="10">
        <f t="shared" si="57"/>
        <v>0</v>
      </c>
      <c r="X73" s="10">
        <f t="shared" si="57"/>
        <v>0</v>
      </c>
      <c r="Y73" s="10">
        <f t="shared" si="57"/>
        <v>0</v>
      </c>
      <c r="AA73" s="133">
        <f t="shared" si="58"/>
        <v>0</v>
      </c>
      <c r="AB73" s="10">
        <f t="shared" ref="AB73:BJ73" si="99">IF(AND($F73&gt;AA$5,$F73 &lt;=AB$5), $G73, 0)</f>
        <v>0</v>
      </c>
      <c r="AC73" s="10">
        <f t="shared" si="99"/>
        <v>0</v>
      </c>
      <c r="AD73" s="10">
        <f t="shared" si="99"/>
        <v>0</v>
      </c>
      <c r="AE73" s="10">
        <f t="shared" si="99"/>
        <v>0</v>
      </c>
      <c r="AF73" s="10">
        <f t="shared" si="99"/>
        <v>0</v>
      </c>
      <c r="AG73" s="10">
        <f t="shared" si="99"/>
        <v>0</v>
      </c>
      <c r="AH73" s="10">
        <f t="shared" si="99"/>
        <v>0</v>
      </c>
      <c r="AI73" s="10">
        <f t="shared" si="99"/>
        <v>0</v>
      </c>
      <c r="AJ73" s="10">
        <f t="shared" si="99"/>
        <v>0</v>
      </c>
      <c r="AK73" s="10">
        <f t="shared" si="99"/>
        <v>0</v>
      </c>
      <c r="AL73" s="10">
        <f t="shared" si="99"/>
        <v>0</v>
      </c>
      <c r="AM73" s="10">
        <f t="shared" si="99"/>
        <v>0</v>
      </c>
      <c r="AN73" s="10">
        <f t="shared" si="99"/>
        <v>0</v>
      </c>
      <c r="AO73" s="10">
        <f t="shared" si="99"/>
        <v>0</v>
      </c>
      <c r="AP73" s="10">
        <f t="shared" si="99"/>
        <v>0</v>
      </c>
      <c r="AQ73" s="10">
        <f t="shared" si="99"/>
        <v>0</v>
      </c>
      <c r="AR73" s="10">
        <f t="shared" si="99"/>
        <v>0</v>
      </c>
      <c r="AS73" s="10">
        <f t="shared" si="99"/>
        <v>0</v>
      </c>
      <c r="AT73" s="10">
        <f t="shared" si="99"/>
        <v>0</v>
      </c>
      <c r="AU73" s="10">
        <f t="shared" si="99"/>
        <v>0</v>
      </c>
      <c r="AV73" s="10">
        <f t="shared" si="99"/>
        <v>0</v>
      </c>
      <c r="AW73" s="10">
        <f t="shared" si="99"/>
        <v>0</v>
      </c>
      <c r="AX73" s="10">
        <f t="shared" si="99"/>
        <v>0</v>
      </c>
      <c r="AY73" s="10">
        <f t="shared" si="99"/>
        <v>0</v>
      </c>
      <c r="AZ73" s="10">
        <f t="shared" si="99"/>
        <v>0</v>
      </c>
      <c r="BA73" s="10">
        <f t="shared" si="99"/>
        <v>0</v>
      </c>
      <c r="BB73" s="10">
        <f t="shared" si="99"/>
        <v>0</v>
      </c>
      <c r="BC73" s="10">
        <f t="shared" si="99"/>
        <v>0</v>
      </c>
      <c r="BD73" s="10">
        <f t="shared" si="99"/>
        <v>0</v>
      </c>
      <c r="BE73" s="10">
        <f t="shared" si="99"/>
        <v>0</v>
      </c>
      <c r="BF73" s="10">
        <f t="shared" si="99"/>
        <v>0</v>
      </c>
      <c r="BG73" s="10">
        <f t="shared" si="99"/>
        <v>0</v>
      </c>
      <c r="BH73" s="10">
        <f t="shared" si="99"/>
        <v>0</v>
      </c>
      <c r="BI73" s="10">
        <f t="shared" si="99"/>
        <v>0</v>
      </c>
      <c r="BJ73" s="10">
        <f t="shared" si="99"/>
        <v>0</v>
      </c>
      <c r="BK73" s="1"/>
      <c r="BL73" s="1"/>
      <c r="BM73" s="1"/>
      <c r="BN73" s="1"/>
      <c r="BO73" s="1"/>
      <c r="BP73" s="1"/>
      <c r="BQ73" s="1"/>
      <c r="BR73" s="1"/>
      <c r="BS73" s="1"/>
      <c r="BT73" s="1"/>
      <c r="BU73" s="1"/>
      <c r="BV73" s="1"/>
      <c r="BW73" s="1"/>
      <c r="BX73" s="12">
        <f t="shared" si="60"/>
        <v>0</v>
      </c>
      <c r="BY73" s="10">
        <f t="shared" ref="BY73:CI73" si="100">IF(AND($F73&gt;BX$5,$F73 &lt;=BY$5), $G73, 0)</f>
        <v>0</v>
      </c>
      <c r="BZ73" s="10">
        <f t="shared" si="100"/>
        <v>0</v>
      </c>
      <c r="CA73" s="10">
        <f t="shared" si="100"/>
        <v>0</v>
      </c>
      <c r="CB73" s="133">
        <f t="shared" si="100"/>
        <v>0</v>
      </c>
      <c r="CC73" s="133">
        <f t="shared" si="100"/>
        <v>0</v>
      </c>
      <c r="CD73" s="133">
        <f t="shared" si="100"/>
        <v>0</v>
      </c>
      <c r="CE73" s="133">
        <f t="shared" si="100"/>
        <v>0</v>
      </c>
      <c r="CF73" s="133">
        <f t="shared" si="100"/>
        <v>0</v>
      </c>
      <c r="CG73" s="133">
        <f t="shared" si="100"/>
        <v>0</v>
      </c>
      <c r="CH73" s="133">
        <f t="shared" si="100"/>
        <v>0</v>
      </c>
      <c r="CI73" s="133">
        <f t="shared" si="100"/>
        <v>0</v>
      </c>
      <c r="CK73" s="11"/>
      <c r="CL73" s="221">
        <f t="shared" si="62"/>
        <v>0</v>
      </c>
      <c r="CM73" s="11"/>
      <c r="CN73" s="7">
        <f t="shared" si="63"/>
        <v>0</v>
      </c>
      <c r="CO73" s="7">
        <f>IF(AND(G73&lt;&gt;0, IFERROR(MATCH(E73, Parameters!$D$45:$D$48, 0), "N/A")="N/A"), 1, 0)</f>
        <v>0</v>
      </c>
      <c r="CQ73" s="7">
        <f>IF($F73="", 0, IF(AND($F73&lt;=$CI$5, $F73&gt;=Timeline!$V$8), 0, 1))</f>
        <v>0</v>
      </c>
      <c r="CU73" s="7" cm="1">
        <f t="array" ref="CU73">SUMPRODUCT(--NOT(ISNUMBER(G73:G73)),--NOT(ISBLANK(G73:G73)))+SUMPRODUCT(--NOT(ISNUMBER(V73:CI73)),--NOT(ISBLANK(V73:CI73)))</f>
        <v>0</v>
      </c>
      <c r="CW73" s="7">
        <f t="shared" si="64"/>
        <v>0</v>
      </c>
      <c r="CX73" s="7">
        <f t="shared" si="65"/>
        <v>0</v>
      </c>
      <c r="CY73" s="7">
        <f t="shared" si="66"/>
        <v>0</v>
      </c>
      <c r="CZ73" s="650"/>
      <c r="DA73" s="35"/>
      <c r="DB73" s="215">
        <f t="shared" si="67"/>
        <v>0</v>
      </c>
      <c r="DC73" s="215">
        <f t="shared" si="68"/>
        <v>0</v>
      </c>
      <c r="DD73" s="215">
        <f t="shared" si="69"/>
        <v>0</v>
      </c>
      <c r="DE73" s="215">
        <f t="shared" si="70"/>
        <v>0</v>
      </c>
      <c r="DF73" s="215">
        <f t="shared" si="71"/>
        <v>0</v>
      </c>
      <c r="DG73" s="215">
        <f t="shared" si="72"/>
        <v>0</v>
      </c>
      <c r="DH73" s="215">
        <f t="shared" si="73"/>
        <v>0</v>
      </c>
      <c r="DI73" s="35"/>
      <c r="DJ73">
        <v>0</v>
      </c>
      <c r="DK73">
        <v>0</v>
      </c>
      <c r="DL73" s="35"/>
      <c r="EZ73" s="12" t="str">
        <f t="shared" si="74"/>
        <v>Movement from Assets under Construction AC14</v>
      </c>
    </row>
    <row r="74" spans="1:156" x14ac:dyDescent="0.35">
      <c r="A74" s="220" cm="1">
        <f t="array" aca="1" ref="A74" ca="1">HYPERLINK(CONCATENATE("#",CELL("address",IF(MAX($CM74:$CZ74)=0,A74,INDEX($CM74:$CZ74,MATCH(1,$CM74:$CZ74,0))))),MAX($CM74:$CZ74))</f>
        <v>0</v>
      </c>
      <c r="C74" s="309" t="s">
        <v>817</v>
      </c>
      <c r="D74" s="114"/>
      <c r="E74" s="113"/>
      <c r="F74" s="110"/>
      <c r="G74" s="114"/>
      <c r="H74" s="9" t="s">
        <v>620</v>
      </c>
      <c r="I74" s="9"/>
      <c r="S74" s="1"/>
      <c r="V74" s="12">
        <f>IF(AND($F74&gt;=Timeline!$V$8,$F74 &lt;=V$5), $G74, 0)</f>
        <v>0</v>
      </c>
      <c r="W74" s="10">
        <f t="shared" si="57"/>
        <v>0</v>
      </c>
      <c r="X74" s="10">
        <f t="shared" si="57"/>
        <v>0</v>
      </c>
      <c r="Y74" s="10">
        <f t="shared" si="57"/>
        <v>0</v>
      </c>
      <c r="AA74" s="133">
        <f t="shared" si="58"/>
        <v>0</v>
      </c>
      <c r="AB74" s="10">
        <f t="shared" ref="AB74:BJ74" si="101">IF(AND($F74&gt;AA$5,$F74 &lt;=AB$5), $G74, 0)</f>
        <v>0</v>
      </c>
      <c r="AC74" s="10">
        <f t="shared" si="101"/>
        <v>0</v>
      </c>
      <c r="AD74" s="10">
        <f t="shared" si="101"/>
        <v>0</v>
      </c>
      <c r="AE74" s="10">
        <f t="shared" si="101"/>
        <v>0</v>
      </c>
      <c r="AF74" s="10">
        <f t="shared" si="101"/>
        <v>0</v>
      </c>
      <c r="AG74" s="10">
        <f t="shared" si="101"/>
        <v>0</v>
      </c>
      <c r="AH74" s="10">
        <f t="shared" si="101"/>
        <v>0</v>
      </c>
      <c r="AI74" s="10">
        <f t="shared" si="101"/>
        <v>0</v>
      </c>
      <c r="AJ74" s="10">
        <f t="shared" si="101"/>
        <v>0</v>
      </c>
      <c r="AK74" s="10">
        <f t="shared" si="101"/>
        <v>0</v>
      </c>
      <c r="AL74" s="10">
        <f t="shared" si="101"/>
        <v>0</v>
      </c>
      <c r="AM74" s="10">
        <f t="shared" si="101"/>
        <v>0</v>
      </c>
      <c r="AN74" s="10">
        <f t="shared" si="101"/>
        <v>0</v>
      </c>
      <c r="AO74" s="10">
        <f t="shared" si="101"/>
        <v>0</v>
      </c>
      <c r="AP74" s="10">
        <f t="shared" si="101"/>
        <v>0</v>
      </c>
      <c r="AQ74" s="10">
        <f t="shared" si="101"/>
        <v>0</v>
      </c>
      <c r="AR74" s="10">
        <f t="shared" si="101"/>
        <v>0</v>
      </c>
      <c r="AS74" s="10">
        <f t="shared" si="101"/>
        <v>0</v>
      </c>
      <c r="AT74" s="10">
        <f t="shared" si="101"/>
        <v>0</v>
      </c>
      <c r="AU74" s="10">
        <f t="shared" si="101"/>
        <v>0</v>
      </c>
      <c r="AV74" s="10">
        <f t="shared" si="101"/>
        <v>0</v>
      </c>
      <c r="AW74" s="10">
        <f t="shared" si="101"/>
        <v>0</v>
      </c>
      <c r="AX74" s="10">
        <f t="shared" si="101"/>
        <v>0</v>
      </c>
      <c r="AY74" s="10">
        <f t="shared" si="101"/>
        <v>0</v>
      </c>
      <c r="AZ74" s="10">
        <f t="shared" si="101"/>
        <v>0</v>
      </c>
      <c r="BA74" s="10">
        <f t="shared" si="101"/>
        <v>0</v>
      </c>
      <c r="BB74" s="10">
        <f t="shared" si="101"/>
        <v>0</v>
      </c>
      <c r="BC74" s="10">
        <f t="shared" si="101"/>
        <v>0</v>
      </c>
      <c r="BD74" s="10">
        <f t="shared" si="101"/>
        <v>0</v>
      </c>
      <c r="BE74" s="10">
        <f t="shared" si="101"/>
        <v>0</v>
      </c>
      <c r="BF74" s="10">
        <f t="shared" si="101"/>
        <v>0</v>
      </c>
      <c r="BG74" s="10">
        <f t="shared" si="101"/>
        <v>0</v>
      </c>
      <c r="BH74" s="10">
        <f t="shared" si="101"/>
        <v>0</v>
      </c>
      <c r="BI74" s="10">
        <f t="shared" si="101"/>
        <v>0</v>
      </c>
      <c r="BJ74" s="10">
        <f t="shared" si="101"/>
        <v>0</v>
      </c>
      <c r="BK74" s="1"/>
      <c r="BL74" s="1"/>
      <c r="BM74" s="1"/>
      <c r="BN74" s="1"/>
      <c r="BO74" s="1"/>
      <c r="BP74" s="1"/>
      <c r="BQ74" s="1"/>
      <c r="BR74" s="1"/>
      <c r="BS74" s="1"/>
      <c r="BT74" s="1"/>
      <c r="BU74" s="1"/>
      <c r="BV74" s="1"/>
      <c r="BW74" s="1"/>
      <c r="BX74" s="12">
        <f t="shared" si="60"/>
        <v>0</v>
      </c>
      <c r="BY74" s="10">
        <f t="shared" ref="BY74:CI74" si="102">IF(AND($F74&gt;BX$5,$F74 &lt;=BY$5), $G74, 0)</f>
        <v>0</v>
      </c>
      <c r="BZ74" s="10">
        <f t="shared" si="102"/>
        <v>0</v>
      </c>
      <c r="CA74" s="10">
        <f t="shared" si="102"/>
        <v>0</v>
      </c>
      <c r="CB74" s="133">
        <f t="shared" si="102"/>
        <v>0</v>
      </c>
      <c r="CC74" s="133">
        <f t="shared" si="102"/>
        <v>0</v>
      </c>
      <c r="CD74" s="133">
        <f t="shared" si="102"/>
        <v>0</v>
      </c>
      <c r="CE74" s="133">
        <f t="shared" si="102"/>
        <v>0</v>
      </c>
      <c r="CF74" s="133">
        <f t="shared" si="102"/>
        <v>0</v>
      </c>
      <c r="CG74" s="133">
        <f t="shared" si="102"/>
        <v>0</v>
      </c>
      <c r="CH74" s="133">
        <f t="shared" si="102"/>
        <v>0</v>
      </c>
      <c r="CI74" s="133">
        <f t="shared" si="102"/>
        <v>0</v>
      </c>
      <c r="CK74" s="11"/>
      <c r="CL74" s="221">
        <f t="shared" si="62"/>
        <v>0</v>
      </c>
      <c r="CM74" s="11"/>
      <c r="CN74" s="7">
        <f t="shared" si="63"/>
        <v>0</v>
      </c>
      <c r="CO74" s="7">
        <f>IF(AND(G74&lt;&gt;0, IFERROR(MATCH(E74, Parameters!$D$45:$D$48, 0), "N/A")="N/A"), 1, 0)</f>
        <v>0</v>
      </c>
      <c r="CQ74" s="7">
        <f>IF($F74="", 0, IF(AND($F74&lt;=$CI$5, $F74&gt;=Timeline!$V$8), 0, 1))</f>
        <v>0</v>
      </c>
      <c r="CU74" s="7" cm="1">
        <f t="array" ref="CU74">SUMPRODUCT(--NOT(ISNUMBER(G74:G74)),--NOT(ISBLANK(G74:G74)))+SUMPRODUCT(--NOT(ISNUMBER(V74:CI74)),--NOT(ISBLANK(V74:CI74)))</f>
        <v>0</v>
      </c>
      <c r="CW74" s="7">
        <f t="shared" si="64"/>
        <v>0</v>
      </c>
      <c r="CX74" s="7">
        <f t="shared" si="65"/>
        <v>0</v>
      </c>
      <c r="CY74" s="7">
        <f t="shared" si="66"/>
        <v>0</v>
      </c>
      <c r="CZ74" s="650"/>
      <c r="DA74" s="35"/>
      <c r="DB74" s="215">
        <f t="shared" si="67"/>
        <v>0</v>
      </c>
      <c r="DC74" s="215">
        <f t="shared" si="68"/>
        <v>0</v>
      </c>
      <c r="DD74" s="215">
        <f t="shared" si="69"/>
        <v>0</v>
      </c>
      <c r="DE74" s="215">
        <f t="shared" si="70"/>
        <v>0</v>
      </c>
      <c r="DF74" s="215">
        <f t="shared" si="71"/>
        <v>0</v>
      </c>
      <c r="DG74" s="215">
        <f t="shared" si="72"/>
        <v>0</v>
      </c>
      <c r="DH74" s="215">
        <f t="shared" si="73"/>
        <v>0</v>
      </c>
      <c r="DI74" s="35"/>
      <c r="DJ74">
        <v>0</v>
      </c>
      <c r="DK74">
        <v>0</v>
      </c>
      <c r="DL74" s="35"/>
      <c r="EZ74" s="12" t="str">
        <f t="shared" si="74"/>
        <v>Movement from Assets under Construction AC15</v>
      </c>
    </row>
    <row r="75" spans="1:156" x14ac:dyDescent="0.35">
      <c r="A75" s="220" cm="1">
        <f t="array" aca="1" ref="A75" ca="1">HYPERLINK(CONCATENATE("#",CELL("address",IF(MAX($CM75:$CZ75)=0,A75,INDEX($CM75:$CZ75,MATCH(1,$CM75:$CZ75,0))))),MAX($CM75:$CZ75))</f>
        <v>0</v>
      </c>
      <c r="C75" s="253"/>
      <c r="D75" s="5" t="s">
        <v>774</v>
      </c>
      <c r="E75" s="5" t="str">
        <f>Parameters!$D$39</f>
        <v>Land &amp; Buildings</v>
      </c>
      <c r="I75" s="96"/>
      <c r="S75" s="1"/>
      <c r="V75" s="135">
        <f t="shared" ref="V75:Y77" si="103">SUMIFS(V$60:V$74, $E$60:$E$74, $E75)</f>
        <v>0</v>
      </c>
      <c r="W75" s="135">
        <f t="shared" si="103"/>
        <v>0</v>
      </c>
      <c r="X75" s="135">
        <f t="shared" si="103"/>
        <v>0</v>
      </c>
      <c r="Y75" s="135">
        <f t="shared" si="103"/>
        <v>0</v>
      </c>
      <c r="AA75" s="135">
        <f t="shared" ref="AA75:AJ77" si="104">SUMIFS(AA$60:AA$74, $E$60:$E$74, $E75)</f>
        <v>0</v>
      </c>
      <c r="AB75" s="135">
        <f t="shared" si="104"/>
        <v>0</v>
      </c>
      <c r="AC75" s="135">
        <f t="shared" si="104"/>
        <v>0</v>
      </c>
      <c r="AD75" s="135">
        <f t="shared" si="104"/>
        <v>0</v>
      </c>
      <c r="AE75" s="135">
        <f t="shared" si="104"/>
        <v>0</v>
      </c>
      <c r="AF75" s="135">
        <f t="shared" si="104"/>
        <v>0</v>
      </c>
      <c r="AG75" s="135">
        <f t="shared" si="104"/>
        <v>0</v>
      </c>
      <c r="AH75" s="135">
        <f t="shared" si="104"/>
        <v>0</v>
      </c>
      <c r="AI75" s="135">
        <f t="shared" si="104"/>
        <v>0</v>
      </c>
      <c r="AJ75" s="135">
        <f t="shared" si="104"/>
        <v>0</v>
      </c>
      <c r="AK75" s="135">
        <f t="shared" ref="AK75:AT77" si="105">SUMIFS(AK$60:AK$74, $E$60:$E$74, $E75)</f>
        <v>0</v>
      </c>
      <c r="AL75" s="135">
        <f t="shared" si="105"/>
        <v>0</v>
      </c>
      <c r="AM75" s="135">
        <f t="shared" si="105"/>
        <v>0</v>
      </c>
      <c r="AN75" s="135">
        <f t="shared" si="105"/>
        <v>0</v>
      </c>
      <c r="AO75" s="135">
        <f t="shared" si="105"/>
        <v>0</v>
      </c>
      <c r="AP75" s="135">
        <f t="shared" si="105"/>
        <v>0</v>
      </c>
      <c r="AQ75" s="135">
        <f t="shared" si="105"/>
        <v>0</v>
      </c>
      <c r="AR75" s="135">
        <f t="shared" si="105"/>
        <v>0</v>
      </c>
      <c r="AS75" s="135">
        <f t="shared" si="105"/>
        <v>0</v>
      </c>
      <c r="AT75" s="135">
        <f t="shared" si="105"/>
        <v>0</v>
      </c>
      <c r="AU75" s="135">
        <f t="shared" ref="AU75:BD77" si="106">SUMIFS(AU$60:AU$74, $E$60:$E$74, $E75)</f>
        <v>0</v>
      </c>
      <c r="AV75" s="135">
        <f t="shared" si="106"/>
        <v>0</v>
      </c>
      <c r="AW75" s="135">
        <f t="shared" si="106"/>
        <v>0</v>
      </c>
      <c r="AX75" s="135">
        <f t="shared" si="106"/>
        <v>0</v>
      </c>
      <c r="AY75" s="135">
        <f t="shared" si="106"/>
        <v>0</v>
      </c>
      <c r="AZ75" s="135">
        <f t="shared" si="106"/>
        <v>0</v>
      </c>
      <c r="BA75" s="135">
        <f t="shared" si="106"/>
        <v>0</v>
      </c>
      <c r="BB75" s="135">
        <f t="shared" si="106"/>
        <v>0</v>
      </c>
      <c r="BC75" s="135">
        <f t="shared" si="106"/>
        <v>0</v>
      </c>
      <c r="BD75" s="135">
        <f t="shared" si="106"/>
        <v>0</v>
      </c>
      <c r="BE75" s="135">
        <f t="shared" ref="BE75:BJ77" si="107">SUMIFS(BE$60:BE$74, $E$60:$E$74, $E75)</f>
        <v>0</v>
      </c>
      <c r="BF75" s="135">
        <f t="shared" si="107"/>
        <v>0</v>
      </c>
      <c r="BG75" s="135">
        <f t="shared" si="107"/>
        <v>0</v>
      </c>
      <c r="BH75" s="135">
        <f t="shared" si="107"/>
        <v>0</v>
      </c>
      <c r="BI75" s="135">
        <f t="shared" si="107"/>
        <v>0</v>
      </c>
      <c r="BJ75" s="135">
        <f t="shared" si="107"/>
        <v>0</v>
      </c>
      <c r="BK75" s="1"/>
      <c r="BL75" s="1"/>
      <c r="BM75" s="1"/>
      <c r="BN75" s="1"/>
      <c r="BO75" s="1"/>
      <c r="BP75" s="1"/>
      <c r="BQ75" s="1"/>
      <c r="BR75" s="1"/>
      <c r="BS75" s="1"/>
      <c r="BT75" s="1"/>
      <c r="BU75" s="1"/>
      <c r="BV75" s="1"/>
      <c r="BW75" s="1"/>
      <c r="BX75" s="135">
        <f t="shared" ref="BX75:CI77" si="108">SUMIFS(BX$60:BX$74, $E$60:$E$74, $E75)</f>
        <v>0</v>
      </c>
      <c r="BY75" s="135">
        <f t="shared" si="108"/>
        <v>0</v>
      </c>
      <c r="BZ75" s="135">
        <f t="shared" si="108"/>
        <v>0</v>
      </c>
      <c r="CA75" s="135">
        <f t="shared" si="108"/>
        <v>0</v>
      </c>
      <c r="CB75" s="135">
        <f t="shared" si="108"/>
        <v>0</v>
      </c>
      <c r="CC75" s="135">
        <f t="shared" si="108"/>
        <v>0</v>
      </c>
      <c r="CD75" s="135">
        <f t="shared" si="108"/>
        <v>0</v>
      </c>
      <c r="CE75" s="135">
        <f t="shared" si="108"/>
        <v>0</v>
      </c>
      <c r="CF75" s="135">
        <f t="shared" si="108"/>
        <v>0</v>
      </c>
      <c r="CG75" s="135">
        <f t="shared" si="108"/>
        <v>0</v>
      </c>
      <c r="CH75" s="135">
        <f t="shared" si="108"/>
        <v>0</v>
      </c>
      <c r="CI75" s="135">
        <f t="shared" si="108"/>
        <v>0</v>
      </c>
      <c r="CK75" s="11"/>
      <c r="CL75" s="221">
        <f t="shared" si="62"/>
        <v>0</v>
      </c>
      <c r="CM75" s="11"/>
      <c r="CW75" s="7">
        <f t="shared" si="64"/>
        <v>0</v>
      </c>
      <c r="CX75" s="7">
        <f t="shared" si="65"/>
        <v>0</v>
      </c>
      <c r="CY75" s="7">
        <f t="shared" si="66"/>
        <v>0</v>
      </c>
      <c r="CZ75" s="650"/>
      <c r="DA75" s="35"/>
      <c r="DB75" s="215">
        <f t="shared" si="67"/>
        <v>0</v>
      </c>
      <c r="DC75" s="215">
        <f t="shared" si="68"/>
        <v>0</v>
      </c>
      <c r="DD75" s="215">
        <f t="shared" si="69"/>
        <v>0</v>
      </c>
      <c r="DE75" s="215">
        <f t="shared" si="70"/>
        <v>0</v>
      </c>
      <c r="DF75" s="215">
        <f t="shared" si="71"/>
        <v>0</v>
      </c>
      <c r="DG75" s="215">
        <f t="shared" si="72"/>
        <v>0</v>
      </c>
      <c r="DH75" s="215">
        <f t="shared" si="73"/>
        <v>0</v>
      </c>
      <c r="DI75" s="35"/>
      <c r="DJ75">
        <v>0</v>
      </c>
      <c r="DK75">
        <v>0</v>
      </c>
      <c r="DL75" s="35"/>
      <c r="EZ75" s="10" t="str">
        <f t="shared" ref="EZ75:EZ84" si="109">IF($C75="","",$D75)</f>
        <v/>
      </c>
    </row>
    <row r="76" spans="1:156" x14ac:dyDescent="0.35">
      <c r="A76" s="220" cm="1">
        <f t="array" aca="1" ref="A76" ca="1">HYPERLINK(CONCATENATE("#",CELL("address",IF(MAX($CM76:$CZ76)=0,A76,INDEX($CM76:$CZ76,MATCH(1,$CM76:$CZ76,0))))),MAX($CM76:$CZ76))</f>
        <v>0</v>
      </c>
      <c r="C76" s="253"/>
      <c r="D76" s="5" t="s">
        <v>775</v>
      </c>
      <c r="E76" s="5" t="str">
        <f>Parameters!$D$40</f>
        <v>Equipment</v>
      </c>
      <c r="I76" s="96"/>
      <c r="S76" s="1"/>
      <c r="V76" s="135">
        <f t="shared" si="103"/>
        <v>0</v>
      </c>
      <c r="W76" s="135">
        <f t="shared" si="103"/>
        <v>0</v>
      </c>
      <c r="X76" s="135">
        <f t="shared" si="103"/>
        <v>0</v>
      </c>
      <c r="Y76" s="135">
        <f t="shared" si="103"/>
        <v>0</v>
      </c>
      <c r="AA76" s="135">
        <f t="shared" si="104"/>
        <v>0</v>
      </c>
      <c r="AB76" s="135">
        <f t="shared" si="104"/>
        <v>0</v>
      </c>
      <c r="AC76" s="135">
        <f t="shared" si="104"/>
        <v>0</v>
      </c>
      <c r="AD76" s="135">
        <f t="shared" si="104"/>
        <v>0</v>
      </c>
      <c r="AE76" s="135">
        <f t="shared" si="104"/>
        <v>0</v>
      </c>
      <c r="AF76" s="135">
        <f t="shared" si="104"/>
        <v>0</v>
      </c>
      <c r="AG76" s="135">
        <f t="shared" si="104"/>
        <v>0</v>
      </c>
      <c r="AH76" s="135">
        <f t="shared" si="104"/>
        <v>0</v>
      </c>
      <c r="AI76" s="135">
        <f t="shared" si="104"/>
        <v>0</v>
      </c>
      <c r="AJ76" s="135">
        <f t="shared" si="104"/>
        <v>0</v>
      </c>
      <c r="AK76" s="135">
        <f t="shared" si="105"/>
        <v>0</v>
      </c>
      <c r="AL76" s="135">
        <f t="shared" si="105"/>
        <v>0</v>
      </c>
      <c r="AM76" s="135">
        <f t="shared" si="105"/>
        <v>0</v>
      </c>
      <c r="AN76" s="135">
        <f t="shared" si="105"/>
        <v>0</v>
      </c>
      <c r="AO76" s="135">
        <f t="shared" si="105"/>
        <v>0</v>
      </c>
      <c r="AP76" s="135">
        <f t="shared" si="105"/>
        <v>0</v>
      </c>
      <c r="AQ76" s="135">
        <f t="shared" si="105"/>
        <v>0</v>
      </c>
      <c r="AR76" s="135">
        <f t="shared" si="105"/>
        <v>0</v>
      </c>
      <c r="AS76" s="135">
        <f t="shared" si="105"/>
        <v>0</v>
      </c>
      <c r="AT76" s="135">
        <f t="shared" si="105"/>
        <v>0</v>
      </c>
      <c r="AU76" s="135">
        <f t="shared" si="106"/>
        <v>0</v>
      </c>
      <c r="AV76" s="135">
        <f t="shared" si="106"/>
        <v>0</v>
      </c>
      <c r="AW76" s="135">
        <f t="shared" si="106"/>
        <v>0</v>
      </c>
      <c r="AX76" s="135">
        <f t="shared" si="106"/>
        <v>0</v>
      </c>
      <c r="AY76" s="135">
        <f t="shared" si="106"/>
        <v>0</v>
      </c>
      <c r="AZ76" s="135">
        <f t="shared" si="106"/>
        <v>0</v>
      </c>
      <c r="BA76" s="135">
        <f t="shared" si="106"/>
        <v>0</v>
      </c>
      <c r="BB76" s="135">
        <f t="shared" si="106"/>
        <v>0</v>
      </c>
      <c r="BC76" s="135">
        <f t="shared" si="106"/>
        <v>0</v>
      </c>
      <c r="BD76" s="135">
        <f t="shared" si="106"/>
        <v>0</v>
      </c>
      <c r="BE76" s="135">
        <f t="shared" si="107"/>
        <v>0</v>
      </c>
      <c r="BF76" s="135">
        <f t="shared" si="107"/>
        <v>0</v>
      </c>
      <c r="BG76" s="135">
        <f t="shared" si="107"/>
        <v>0</v>
      </c>
      <c r="BH76" s="135">
        <f t="shared" si="107"/>
        <v>0</v>
      </c>
      <c r="BI76" s="135">
        <f t="shared" si="107"/>
        <v>0</v>
      </c>
      <c r="BJ76" s="135">
        <f t="shared" si="107"/>
        <v>0</v>
      </c>
      <c r="BK76" s="1"/>
      <c r="BL76" s="1"/>
      <c r="BM76" s="1"/>
      <c r="BN76" s="1"/>
      <c r="BO76" s="1"/>
      <c r="BP76" s="1"/>
      <c r="BQ76" s="1"/>
      <c r="BR76" s="1"/>
      <c r="BS76" s="1"/>
      <c r="BT76" s="1"/>
      <c r="BU76" s="1"/>
      <c r="BV76" s="1"/>
      <c r="BW76" s="1"/>
      <c r="BX76" s="135">
        <f t="shared" si="108"/>
        <v>0</v>
      </c>
      <c r="BY76" s="135">
        <f t="shared" si="108"/>
        <v>0</v>
      </c>
      <c r="BZ76" s="135">
        <f t="shared" si="108"/>
        <v>0</v>
      </c>
      <c r="CA76" s="135">
        <f t="shared" si="108"/>
        <v>0</v>
      </c>
      <c r="CB76" s="135">
        <f t="shared" si="108"/>
        <v>0</v>
      </c>
      <c r="CC76" s="135">
        <f t="shared" si="108"/>
        <v>0</v>
      </c>
      <c r="CD76" s="135">
        <f t="shared" si="108"/>
        <v>0</v>
      </c>
      <c r="CE76" s="135">
        <f t="shared" si="108"/>
        <v>0</v>
      </c>
      <c r="CF76" s="135">
        <f t="shared" si="108"/>
        <v>0</v>
      </c>
      <c r="CG76" s="135">
        <f t="shared" si="108"/>
        <v>0</v>
      </c>
      <c r="CH76" s="135">
        <f t="shared" si="108"/>
        <v>0</v>
      </c>
      <c r="CI76" s="135">
        <f t="shared" si="108"/>
        <v>0</v>
      </c>
      <c r="CK76" s="11"/>
      <c r="CL76" s="221">
        <f t="shared" si="62"/>
        <v>0</v>
      </c>
      <c r="CM76" s="11"/>
      <c r="CW76" s="7">
        <f t="shared" si="64"/>
        <v>0</v>
      </c>
      <c r="CX76" s="7">
        <f t="shared" si="65"/>
        <v>0</v>
      </c>
      <c r="CY76" s="7">
        <f t="shared" si="66"/>
        <v>0</v>
      </c>
      <c r="CZ76" s="650"/>
      <c r="DA76" s="35"/>
      <c r="DB76" s="215">
        <f t="shared" si="67"/>
        <v>0</v>
      </c>
      <c r="DC76" s="215">
        <f t="shared" si="68"/>
        <v>0</v>
      </c>
      <c r="DD76" s="215">
        <f t="shared" si="69"/>
        <v>0</v>
      </c>
      <c r="DE76" s="215">
        <f t="shared" si="70"/>
        <v>0</v>
      </c>
      <c r="DF76" s="215">
        <f t="shared" si="71"/>
        <v>0</v>
      </c>
      <c r="DG76" s="215">
        <f t="shared" si="72"/>
        <v>0</v>
      </c>
      <c r="DH76" s="215">
        <f t="shared" si="73"/>
        <v>0</v>
      </c>
      <c r="DI76" s="35"/>
      <c r="DJ76">
        <v>0</v>
      </c>
      <c r="DK76">
        <v>0</v>
      </c>
      <c r="DL76" s="35"/>
      <c r="EZ76" s="10" t="str">
        <f t="shared" si="109"/>
        <v/>
      </c>
    </row>
    <row r="77" spans="1:156" x14ac:dyDescent="0.35">
      <c r="A77" s="220" cm="1">
        <f t="array" aca="1" ref="A77" ca="1">HYPERLINK(CONCATENATE("#",CELL("address",IF(MAX($CM77:$CZ77)=0,A77,INDEX($CM77:$CZ77,MATCH(1,$CM77:$CZ77,0))))),MAX($CM77:$CZ77))</f>
        <v>0</v>
      </c>
      <c r="C77" s="253"/>
      <c r="D77" s="5" t="s">
        <v>776</v>
      </c>
      <c r="E77" s="5" t="str">
        <f>Parameters!$D$41</f>
        <v>Other NCA</v>
      </c>
      <c r="I77" s="96"/>
      <c r="S77" s="1"/>
      <c r="V77" s="135">
        <f t="shared" si="103"/>
        <v>0</v>
      </c>
      <c r="W77" s="135">
        <f t="shared" si="103"/>
        <v>0</v>
      </c>
      <c r="X77" s="135">
        <f t="shared" si="103"/>
        <v>0</v>
      </c>
      <c r="Y77" s="135">
        <f t="shared" si="103"/>
        <v>0</v>
      </c>
      <c r="AA77" s="135">
        <f t="shared" si="104"/>
        <v>0</v>
      </c>
      <c r="AB77" s="135">
        <f t="shared" si="104"/>
        <v>0</v>
      </c>
      <c r="AC77" s="135">
        <f t="shared" si="104"/>
        <v>0</v>
      </c>
      <c r="AD77" s="135">
        <f t="shared" si="104"/>
        <v>0</v>
      </c>
      <c r="AE77" s="135">
        <f t="shared" si="104"/>
        <v>0</v>
      </c>
      <c r="AF77" s="135">
        <f t="shared" si="104"/>
        <v>0</v>
      </c>
      <c r="AG77" s="135">
        <f t="shared" si="104"/>
        <v>0</v>
      </c>
      <c r="AH77" s="135">
        <f t="shared" si="104"/>
        <v>0</v>
      </c>
      <c r="AI77" s="135">
        <f t="shared" si="104"/>
        <v>0</v>
      </c>
      <c r="AJ77" s="135">
        <f t="shared" si="104"/>
        <v>0</v>
      </c>
      <c r="AK77" s="135">
        <f t="shared" si="105"/>
        <v>0</v>
      </c>
      <c r="AL77" s="135">
        <f t="shared" si="105"/>
        <v>0</v>
      </c>
      <c r="AM77" s="135">
        <f t="shared" si="105"/>
        <v>0</v>
      </c>
      <c r="AN77" s="135">
        <f t="shared" si="105"/>
        <v>0</v>
      </c>
      <c r="AO77" s="135">
        <f t="shared" si="105"/>
        <v>0</v>
      </c>
      <c r="AP77" s="135">
        <f t="shared" si="105"/>
        <v>0</v>
      </c>
      <c r="AQ77" s="135">
        <f t="shared" si="105"/>
        <v>0</v>
      </c>
      <c r="AR77" s="135">
        <f t="shared" si="105"/>
        <v>0</v>
      </c>
      <c r="AS77" s="135">
        <f t="shared" si="105"/>
        <v>0</v>
      </c>
      <c r="AT77" s="135">
        <f t="shared" si="105"/>
        <v>0</v>
      </c>
      <c r="AU77" s="135">
        <f t="shared" si="106"/>
        <v>0</v>
      </c>
      <c r="AV77" s="135">
        <f t="shared" si="106"/>
        <v>0</v>
      </c>
      <c r="AW77" s="135">
        <f t="shared" si="106"/>
        <v>0</v>
      </c>
      <c r="AX77" s="135">
        <f t="shared" si="106"/>
        <v>0</v>
      </c>
      <c r="AY77" s="135">
        <f t="shared" si="106"/>
        <v>0</v>
      </c>
      <c r="AZ77" s="135">
        <f t="shared" si="106"/>
        <v>0</v>
      </c>
      <c r="BA77" s="135">
        <f t="shared" si="106"/>
        <v>0</v>
      </c>
      <c r="BB77" s="135">
        <f t="shared" si="106"/>
        <v>0</v>
      </c>
      <c r="BC77" s="135">
        <f t="shared" si="106"/>
        <v>0</v>
      </c>
      <c r="BD77" s="135">
        <f t="shared" si="106"/>
        <v>0</v>
      </c>
      <c r="BE77" s="135">
        <f t="shared" si="107"/>
        <v>0</v>
      </c>
      <c r="BF77" s="135">
        <f t="shared" si="107"/>
        <v>0</v>
      </c>
      <c r="BG77" s="135">
        <f t="shared" si="107"/>
        <v>0</v>
      </c>
      <c r="BH77" s="135">
        <f t="shared" si="107"/>
        <v>0</v>
      </c>
      <c r="BI77" s="135">
        <f t="shared" si="107"/>
        <v>0</v>
      </c>
      <c r="BJ77" s="135">
        <f t="shared" si="107"/>
        <v>0</v>
      </c>
      <c r="BK77" s="1"/>
      <c r="BL77" s="1"/>
      <c r="BM77" s="1"/>
      <c r="BN77" s="1"/>
      <c r="BO77" s="1"/>
      <c r="BP77" s="1"/>
      <c r="BQ77" s="1"/>
      <c r="BR77" s="1"/>
      <c r="BS77" s="1"/>
      <c r="BT77" s="1"/>
      <c r="BU77" s="1"/>
      <c r="BV77" s="1"/>
      <c r="BW77" s="1"/>
      <c r="BX77" s="135">
        <f t="shared" si="108"/>
        <v>0</v>
      </c>
      <c r="BY77" s="135">
        <f t="shared" si="108"/>
        <v>0</v>
      </c>
      <c r="BZ77" s="135">
        <f t="shared" si="108"/>
        <v>0</v>
      </c>
      <c r="CA77" s="135">
        <f t="shared" si="108"/>
        <v>0</v>
      </c>
      <c r="CB77" s="135">
        <f t="shared" si="108"/>
        <v>0</v>
      </c>
      <c r="CC77" s="135">
        <f t="shared" si="108"/>
        <v>0</v>
      </c>
      <c r="CD77" s="135">
        <f t="shared" si="108"/>
        <v>0</v>
      </c>
      <c r="CE77" s="135">
        <f t="shared" si="108"/>
        <v>0</v>
      </c>
      <c r="CF77" s="135">
        <f t="shared" si="108"/>
        <v>0</v>
      </c>
      <c r="CG77" s="135">
        <f t="shared" si="108"/>
        <v>0</v>
      </c>
      <c r="CH77" s="135">
        <f t="shared" si="108"/>
        <v>0</v>
      </c>
      <c r="CI77" s="135">
        <f t="shared" si="108"/>
        <v>0</v>
      </c>
      <c r="CK77" s="11"/>
      <c r="CL77" s="221">
        <f t="shared" si="62"/>
        <v>0</v>
      </c>
      <c r="CM77" s="11"/>
      <c r="CW77" s="7">
        <f t="shared" si="64"/>
        <v>0</v>
      </c>
      <c r="CX77" s="7">
        <f t="shared" si="65"/>
        <v>0</v>
      </c>
      <c r="CY77" s="7">
        <f t="shared" si="66"/>
        <v>0</v>
      </c>
      <c r="CZ77" s="650"/>
      <c r="DA77" s="35"/>
      <c r="DB77" s="215">
        <f t="shared" si="67"/>
        <v>0</v>
      </c>
      <c r="DC77" s="215">
        <f t="shared" si="68"/>
        <v>0</v>
      </c>
      <c r="DD77" s="215">
        <f t="shared" si="69"/>
        <v>0</v>
      </c>
      <c r="DE77" s="215">
        <f t="shared" si="70"/>
        <v>0</v>
      </c>
      <c r="DF77" s="215">
        <f t="shared" si="71"/>
        <v>0</v>
      </c>
      <c r="DG77" s="215">
        <f t="shared" si="72"/>
        <v>0</v>
      </c>
      <c r="DH77" s="215">
        <f t="shared" si="73"/>
        <v>0</v>
      </c>
      <c r="DI77" s="35"/>
      <c r="DJ77">
        <v>0</v>
      </c>
      <c r="DK77">
        <v>0</v>
      </c>
      <c r="DL77" s="35"/>
      <c r="EZ77" s="10" t="str">
        <f t="shared" si="109"/>
        <v/>
      </c>
    </row>
    <row r="78" spans="1:156" x14ac:dyDescent="0.35">
      <c r="A78" s="220" cm="1">
        <f t="array" aca="1" ref="A78" ca="1">HYPERLINK(CONCATENATE("#",CELL("address",IF(MAX($CM78:$CZ78)=0,A78,INDEX($CM78:$CZ78,MATCH(1,$CM78:$CZ78,0))))),MAX($CM78:$CZ78))</f>
        <v>0</v>
      </c>
      <c r="C78" s="253"/>
      <c r="D78" s="5" t="s">
        <v>818</v>
      </c>
      <c r="E78" s="5" t="s">
        <v>778</v>
      </c>
      <c r="I78" s="96"/>
      <c r="S78" s="1"/>
      <c r="V78" s="12">
        <f>SUM(V75:V77)</f>
        <v>0</v>
      </c>
      <c r="W78" s="12">
        <f>SUM(W75:W77)</f>
        <v>0</v>
      </c>
      <c r="X78" s="12">
        <f>SUM(X75:X77)</f>
        <v>0</v>
      </c>
      <c r="Y78" s="12">
        <f>SUM(Y75:Y77)</f>
        <v>0</v>
      </c>
      <c r="AA78" s="12">
        <f t="shared" ref="AA78:BJ78" si="110">SUM(AA75:AA77)</f>
        <v>0</v>
      </c>
      <c r="AB78" s="12">
        <f t="shared" si="110"/>
        <v>0</v>
      </c>
      <c r="AC78" s="12">
        <f t="shared" si="110"/>
        <v>0</v>
      </c>
      <c r="AD78" s="12">
        <f t="shared" si="110"/>
        <v>0</v>
      </c>
      <c r="AE78" s="12">
        <f t="shared" si="110"/>
        <v>0</v>
      </c>
      <c r="AF78" s="12">
        <f t="shared" si="110"/>
        <v>0</v>
      </c>
      <c r="AG78" s="12">
        <f t="shared" si="110"/>
        <v>0</v>
      </c>
      <c r="AH78" s="12">
        <f t="shared" si="110"/>
        <v>0</v>
      </c>
      <c r="AI78" s="12">
        <f t="shared" si="110"/>
        <v>0</v>
      </c>
      <c r="AJ78" s="12">
        <f t="shared" si="110"/>
        <v>0</v>
      </c>
      <c r="AK78" s="12">
        <f t="shared" si="110"/>
        <v>0</v>
      </c>
      <c r="AL78" s="12">
        <f t="shared" si="110"/>
        <v>0</v>
      </c>
      <c r="AM78" s="12">
        <f t="shared" si="110"/>
        <v>0</v>
      </c>
      <c r="AN78" s="12">
        <f t="shared" si="110"/>
        <v>0</v>
      </c>
      <c r="AO78" s="12">
        <f t="shared" si="110"/>
        <v>0</v>
      </c>
      <c r="AP78" s="12">
        <f t="shared" si="110"/>
        <v>0</v>
      </c>
      <c r="AQ78" s="12">
        <f t="shared" si="110"/>
        <v>0</v>
      </c>
      <c r="AR78" s="12">
        <f t="shared" si="110"/>
        <v>0</v>
      </c>
      <c r="AS78" s="12">
        <f t="shared" si="110"/>
        <v>0</v>
      </c>
      <c r="AT78" s="12">
        <f t="shared" si="110"/>
        <v>0</v>
      </c>
      <c r="AU78" s="12">
        <f t="shared" si="110"/>
        <v>0</v>
      </c>
      <c r="AV78" s="12">
        <f t="shared" si="110"/>
        <v>0</v>
      </c>
      <c r="AW78" s="12">
        <f t="shared" si="110"/>
        <v>0</v>
      </c>
      <c r="AX78" s="12">
        <f t="shared" si="110"/>
        <v>0</v>
      </c>
      <c r="AY78" s="12">
        <f t="shared" si="110"/>
        <v>0</v>
      </c>
      <c r="AZ78" s="12">
        <f t="shared" si="110"/>
        <v>0</v>
      </c>
      <c r="BA78" s="12">
        <f t="shared" si="110"/>
        <v>0</v>
      </c>
      <c r="BB78" s="12">
        <f t="shared" si="110"/>
        <v>0</v>
      </c>
      <c r="BC78" s="12">
        <f t="shared" si="110"/>
        <v>0</v>
      </c>
      <c r="BD78" s="12">
        <f t="shared" si="110"/>
        <v>0</v>
      </c>
      <c r="BE78" s="12">
        <f t="shared" si="110"/>
        <v>0</v>
      </c>
      <c r="BF78" s="12">
        <f t="shared" si="110"/>
        <v>0</v>
      </c>
      <c r="BG78" s="12">
        <f t="shared" si="110"/>
        <v>0</v>
      </c>
      <c r="BH78" s="12">
        <f t="shared" si="110"/>
        <v>0</v>
      </c>
      <c r="BI78" s="12">
        <f t="shared" si="110"/>
        <v>0</v>
      </c>
      <c r="BJ78" s="12">
        <f t="shared" si="110"/>
        <v>0</v>
      </c>
      <c r="BK78" s="1"/>
      <c r="BL78" s="1"/>
      <c r="BM78" s="1"/>
      <c r="BN78" s="1"/>
      <c r="BO78" s="1"/>
      <c r="BP78" s="1"/>
      <c r="BQ78" s="1"/>
      <c r="BR78" s="1"/>
      <c r="BS78" s="1"/>
      <c r="BT78" s="1"/>
      <c r="BU78" s="1"/>
      <c r="BV78" s="1"/>
      <c r="BW78" s="1"/>
      <c r="BX78" s="12">
        <f t="shared" ref="BX78:CI78" si="111">SUM(BX75:BX77)</f>
        <v>0</v>
      </c>
      <c r="BY78" s="12">
        <f t="shared" si="111"/>
        <v>0</v>
      </c>
      <c r="BZ78" s="12">
        <f t="shared" si="111"/>
        <v>0</v>
      </c>
      <c r="CA78" s="12">
        <f t="shared" si="111"/>
        <v>0</v>
      </c>
      <c r="CB78" s="12">
        <f t="shared" si="111"/>
        <v>0</v>
      </c>
      <c r="CC78" s="12">
        <f t="shared" si="111"/>
        <v>0</v>
      </c>
      <c r="CD78" s="12">
        <f t="shared" si="111"/>
        <v>0</v>
      </c>
      <c r="CE78" s="12">
        <f t="shared" si="111"/>
        <v>0</v>
      </c>
      <c r="CF78" s="12">
        <f t="shared" si="111"/>
        <v>0</v>
      </c>
      <c r="CG78" s="12">
        <f t="shared" si="111"/>
        <v>0</v>
      </c>
      <c r="CH78" s="12">
        <f t="shared" si="111"/>
        <v>0</v>
      </c>
      <c r="CI78" s="12">
        <f t="shared" si="111"/>
        <v>0</v>
      </c>
      <c r="CK78" s="11"/>
      <c r="CL78" s="221">
        <f t="shared" si="62"/>
        <v>0</v>
      </c>
      <c r="CM78" s="11"/>
      <c r="CV78" s="7">
        <f>IF(ROUND(SUM($V78:$CI78)-SUM($V60:$CI74), rounding)=0, 0, 1)</f>
        <v>0</v>
      </c>
      <c r="CW78" s="7">
        <f t="shared" si="64"/>
        <v>0</v>
      </c>
      <c r="CX78" s="7">
        <f t="shared" si="65"/>
        <v>0</v>
      </c>
      <c r="CY78" s="7">
        <f t="shared" si="66"/>
        <v>0</v>
      </c>
      <c r="CZ78" s="650"/>
      <c r="DA78" s="35"/>
      <c r="DB78" s="215">
        <f t="shared" si="67"/>
        <v>0</v>
      </c>
      <c r="DC78" s="215">
        <f t="shared" si="68"/>
        <v>0</v>
      </c>
      <c r="DD78" s="215">
        <f t="shared" si="69"/>
        <v>0</v>
      </c>
      <c r="DE78" s="215">
        <f t="shared" si="70"/>
        <v>0</v>
      </c>
      <c r="DF78" s="215">
        <f t="shared" si="71"/>
        <v>0</v>
      </c>
      <c r="DG78" s="215">
        <f t="shared" si="72"/>
        <v>0</v>
      </c>
      <c r="DH78" s="215">
        <f t="shared" si="73"/>
        <v>0</v>
      </c>
      <c r="DI78" s="35"/>
      <c r="DJ78">
        <v>0</v>
      </c>
      <c r="DK78">
        <v>0</v>
      </c>
      <c r="DL78" s="35"/>
      <c r="EZ78" s="10" t="str">
        <f t="shared" si="109"/>
        <v/>
      </c>
    </row>
    <row r="79" spans="1:156" ht="6.75" customHeight="1" x14ac:dyDescent="0.35">
      <c r="C79" s="253"/>
      <c r="D79" s="1"/>
      <c r="E79"/>
      <c r="BY79" s="6"/>
      <c r="CK79" s="35"/>
      <c r="CM79" s="35"/>
      <c r="CZ79" s="650"/>
      <c r="DA79" s="35"/>
      <c r="DI79" s="35"/>
      <c r="DJ79">
        <v>0</v>
      </c>
      <c r="DK79">
        <v>0</v>
      </c>
      <c r="DL79" s="35"/>
      <c r="EZ79" s="10" t="str">
        <f t="shared" si="109"/>
        <v/>
      </c>
    </row>
    <row r="80" spans="1:156" x14ac:dyDescent="0.35">
      <c r="A80" s="88"/>
      <c r="B80" s="88"/>
      <c r="C80" s="254"/>
      <c r="D80" s="34" t="s">
        <v>819</v>
      </c>
      <c r="E80" s="34"/>
      <c r="F80" s="34"/>
      <c r="G80" s="34"/>
      <c r="H80" s="34"/>
      <c r="I80" s="34"/>
      <c r="J80" s="34"/>
      <c r="K80" s="34"/>
      <c r="L80" s="34"/>
      <c r="M80" s="34"/>
      <c r="N80" s="34"/>
      <c r="O80" s="34"/>
      <c r="P80" s="34"/>
      <c r="Q80" s="34"/>
      <c r="R80" s="34"/>
      <c r="S80" s="34"/>
      <c r="T80" s="34"/>
      <c r="U80" s="34"/>
      <c r="V80" s="34"/>
      <c r="W80" s="34"/>
      <c r="X80" s="34"/>
      <c r="Y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5"/>
      <c r="CM80" s="35"/>
      <c r="CZ80" s="650"/>
      <c r="DA80" s="35"/>
      <c r="DB80" s="215"/>
      <c r="DC80" s="215"/>
      <c r="DD80" s="215"/>
      <c r="DE80" s="215"/>
      <c r="DF80" s="215"/>
      <c r="DG80" s="215"/>
      <c r="DH80" s="215"/>
      <c r="DI80" s="35"/>
      <c r="DJ80">
        <v>0</v>
      </c>
      <c r="DK80">
        <v>0</v>
      </c>
      <c r="DL80" s="35"/>
      <c r="EZ80" s="10" t="str">
        <f t="shared" si="109"/>
        <v/>
      </c>
    </row>
    <row r="81" spans="1:156" ht="6.75" customHeight="1" x14ac:dyDescent="0.35">
      <c r="C81" s="253"/>
      <c r="D81" s="1"/>
      <c r="E81"/>
      <c r="BY81" s="6"/>
      <c r="CK81" s="35"/>
      <c r="CM81" s="35"/>
      <c r="CZ81" s="650"/>
      <c r="DA81" s="35"/>
      <c r="DB81" s="215"/>
      <c r="DC81" s="215"/>
      <c r="DD81" s="215"/>
      <c r="DE81" s="215"/>
      <c r="DF81" s="215"/>
      <c r="DG81" s="215"/>
      <c r="DH81" s="215"/>
      <c r="DI81" s="35"/>
      <c r="DJ81">
        <v>0</v>
      </c>
      <c r="DK81">
        <v>0</v>
      </c>
      <c r="DL81" s="35"/>
      <c r="EZ81" s="10" t="str">
        <f t="shared" si="109"/>
        <v/>
      </c>
    </row>
    <row r="82" spans="1:156" x14ac:dyDescent="0.35">
      <c r="C82" s="253"/>
      <c r="E82" s="85" t="s">
        <v>122</v>
      </c>
      <c r="F82" s="85" t="s">
        <v>122</v>
      </c>
      <c r="G82" s="85" t="s">
        <v>122</v>
      </c>
      <c r="CK82" s="11"/>
      <c r="CM82" s="11"/>
      <c r="CZ82" s="650"/>
      <c r="DA82" s="35"/>
      <c r="DB82" s="215"/>
      <c r="DC82" s="215"/>
      <c r="DD82" s="215"/>
      <c r="DE82" s="215"/>
      <c r="DF82" s="215"/>
      <c r="DG82" s="215"/>
      <c r="DH82" s="215"/>
      <c r="DI82" s="35"/>
      <c r="DJ82">
        <v>0</v>
      </c>
      <c r="DK82">
        <v>0</v>
      </c>
      <c r="DL82" s="35"/>
      <c r="EZ82" s="10" t="str">
        <f t="shared" si="109"/>
        <v/>
      </c>
    </row>
    <row r="83" spans="1:156" s="1" customFormat="1" ht="39" x14ac:dyDescent="0.35">
      <c r="C83" s="255"/>
      <c r="D83" s="44" t="s">
        <v>820</v>
      </c>
      <c r="E83" s="45" t="s">
        <v>754</v>
      </c>
      <c r="F83" s="45" t="s">
        <v>821</v>
      </c>
      <c r="G83" s="46" t="s">
        <v>822</v>
      </c>
      <c r="H83"/>
      <c r="Z83"/>
      <c r="CK83" s="25"/>
      <c r="CM83" s="25"/>
      <c r="CQ83"/>
      <c r="CV83"/>
      <c r="CW83"/>
      <c r="CX83"/>
      <c r="CY83"/>
      <c r="CZ83" s="651"/>
      <c r="DA83" s="43"/>
      <c r="DB83" s="215"/>
      <c r="DC83" s="215"/>
      <c r="DD83" s="215"/>
      <c r="DE83" s="215"/>
      <c r="DF83" s="215"/>
      <c r="DG83" s="215"/>
      <c r="DH83" s="215"/>
      <c r="DI83" s="43"/>
      <c r="DJ83" s="1">
        <v>0</v>
      </c>
      <c r="DK83" s="1">
        <v>0</v>
      </c>
      <c r="DL83" s="43"/>
      <c r="EZ83" s="10" t="str">
        <f t="shared" si="109"/>
        <v/>
      </c>
    </row>
    <row r="84" spans="1:156" x14ac:dyDescent="0.35">
      <c r="C84" s="253"/>
      <c r="D84" s="226"/>
      <c r="E84" s="227" t="s">
        <v>757</v>
      </c>
      <c r="F84" s="227" t="s">
        <v>20</v>
      </c>
      <c r="G84" s="228" t="s">
        <v>823</v>
      </c>
      <c r="BK84" s="1"/>
      <c r="BL84" s="1"/>
      <c r="BM84" s="1"/>
      <c r="BN84" s="1"/>
      <c r="BO84" s="1"/>
      <c r="BP84" s="1"/>
      <c r="BQ84" s="1"/>
      <c r="BR84" s="1"/>
      <c r="BS84" s="1"/>
      <c r="BT84" s="1"/>
      <c r="BU84" s="1"/>
      <c r="BV84" s="1"/>
      <c r="CK84" s="11"/>
      <c r="CM84" s="11"/>
      <c r="CZ84" s="650"/>
      <c r="DA84" s="35"/>
      <c r="DB84" s="215"/>
      <c r="DC84" s="215"/>
      <c r="DD84" s="215"/>
      <c r="DE84" s="215"/>
      <c r="DF84" s="215"/>
      <c r="DG84" s="215"/>
      <c r="DH84" s="215"/>
      <c r="DI84" s="35"/>
      <c r="DJ84">
        <v>0</v>
      </c>
      <c r="DK84">
        <v>0</v>
      </c>
      <c r="DL84" s="35"/>
      <c r="EZ84" s="10" t="str">
        <f t="shared" si="109"/>
        <v/>
      </c>
    </row>
    <row r="85" spans="1:156" x14ac:dyDescent="0.35">
      <c r="A85" s="220" cm="1">
        <f t="array" aca="1" ref="A85" ca="1">HYPERLINK(CONCATENATE("#",CELL("address",IF(MAX($CM85:$CZ85)=0,A85,INDEX($CM85:$CZ85,MATCH(1,$CM85:$CZ85,0))))),MAX($CM85:$CZ85))</f>
        <v>0</v>
      </c>
      <c r="C85" s="309" t="s">
        <v>824</v>
      </c>
      <c r="D85" s="113"/>
      <c r="E85" s="113"/>
      <c r="F85" s="110"/>
      <c r="G85" s="113"/>
      <c r="H85" t="s">
        <v>403</v>
      </c>
      <c r="I85" s="9"/>
      <c r="V85" s="12">
        <f>IF(AND($F85&gt;=Timeline!$V$8,$F85 &lt;=V$5), $G85, 0)</f>
        <v>0</v>
      </c>
      <c r="W85" s="10">
        <f t="shared" ref="W85:Y99" si="112">IF(AND($F85&gt;V$5,$F85 &lt;=W$5), $G85, 0)</f>
        <v>0</v>
      </c>
      <c r="X85" s="10">
        <f t="shared" si="112"/>
        <v>0</v>
      </c>
      <c r="Y85" s="10">
        <f t="shared" si="112"/>
        <v>0</v>
      </c>
      <c r="AA85" s="133">
        <f t="shared" ref="AA85:AA99" si="113">IF(AND($F85&gt;V$5,$F85 &lt;=AA$5), $G85, 0)</f>
        <v>0</v>
      </c>
      <c r="AB85" s="10">
        <f t="shared" ref="AB85:BJ85" si="114">IF(AND($F85&gt;AA$5,$F85 &lt;=AB$5), $G85, 0)</f>
        <v>0</v>
      </c>
      <c r="AC85" s="10">
        <f t="shared" si="114"/>
        <v>0</v>
      </c>
      <c r="AD85" s="10">
        <f t="shared" si="114"/>
        <v>0</v>
      </c>
      <c r="AE85" s="10">
        <f t="shared" si="114"/>
        <v>0</v>
      </c>
      <c r="AF85" s="10">
        <f t="shared" si="114"/>
        <v>0</v>
      </c>
      <c r="AG85" s="10">
        <f t="shared" si="114"/>
        <v>0</v>
      </c>
      <c r="AH85" s="10">
        <f t="shared" si="114"/>
        <v>0</v>
      </c>
      <c r="AI85" s="10">
        <f t="shared" si="114"/>
        <v>0</v>
      </c>
      <c r="AJ85" s="10">
        <f t="shared" si="114"/>
        <v>0</v>
      </c>
      <c r="AK85" s="10">
        <f t="shared" si="114"/>
        <v>0</v>
      </c>
      <c r="AL85" s="10">
        <f t="shared" si="114"/>
        <v>0</v>
      </c>
      <c r="AM85" s="10">
        <f t="shared" si="114"/>
        <v>0</v>
      </c>
      <c r="AN85" s="10">
        <f t="shared" si="114"/>
        <v>0</v>
      </c>
      <c r="AO85" s="10">
        <f t="shared" si="114"/>
        <v>0</v>
      </c>
      <c r="AP85" s="10">
        <f t="shared" si="114"/>
        <v>0</v>
      </c>
      <c r="AQ85" s="10">
        <f t="shared" si="114"/>
        <v>0</v>
      </c>
      <c r="AR85" s="10">
        <f t="shared" si="114"/>
        <v>0</v>
      </c>
      <c r="AS85" s="10">
        <f t="shared" si="114"/>
        <v>0</v>
      </c>
      <c r="AT85" s="10">
        <f t="shared" si="114"/>
        <v>0</v>
      </c>
      <c r="AU85" s="10">
        <f t="shared" si="114"/>
        <v>0</v>
      </c>
      <c r="AV85" s="10">
        <f t="shared" si="114"/>
        <v>0</v>
      </c>
      <c r="AW85" s="10">
        <f t="shared" si="114"/>
        <v>0</v>
      </c>
      <c r="AX85" s="10">
        <f t="shared" si="114"/>
        <v>0</v>
      </c>
      <c r="AY85" s="10">
        <f t="shared" si="114"/>
        <v>0</v>
      </c>
      <c r="AZ85" s="10">
        <f t="shared" si="114"/>
        <v>0</v>
      </c>
      <c r="BA85" s="10">
        <f t="shared" si="114"/>
        <v>0</v>
      </c>
      <c r="BB85" s="10">
        <f t="shared" si="114"/>
        <v>0</v>
      </c>
      <c r="BC85" s="10">
        <f t="shared" si="114"/>
        <v>0</v>
      </c>
      <c r="BD85" s="10">
        <f t="shared" si="114"/>
        <v>0</v>
      </c>
      <c r="BE85" s="10">
        <f t="shared" si="114"/>
        <v>0</v>
      </c>
      <c r="BF85" s="10">
        <f t="shared" si="114"/>
        <v>0</v>
      </c>
      <c r="BG85" s="10">
        <f t="shared" si="114"/>
        <v>0</v>
      </c>
      <c r="BH85" s="10">
        <f t="shared" si="114"/>
        <v>0</v>
      </c>
      <c r="BI85" s="10">
        <f t="shared" si="114"/>
        <v>0</v>
      </c>
      <c r="BJ85" s="10">
        <f t="shared" si="114"/>
        <v>0</v>
      </c>
      <c r="BK85" s="1"/>
      <c r="BL85" s="1"/>
      <c r="BM85" s="1"/>
      <c r="BN85" s="1"/>
      <c r="BO85" s="1"/>
      <c r="BP85" s="1"/>
      <c r="BQ85" s="1"/>
      <c r="BR85" s="1"/>
      <c r="BS85" s="1"/>
      <c r="BT85" s="1"/>
      <c r="BU85" s="1"/>
      <c r="BV85" s="1"/>
      <c r="BX85" s="12">
        <f t="shared" ref="BX85:BX99" si="115">V85</f>
        <v>0</v>
      </c>
      <c r="BY85" s="10">
        <f t="shared" ref="BY85:CI85" si="116">IF(AND($F85&gt;BX$5,$F85 &lt;=BY$5), $G85, 0)</f>
        <v>0</v>
      </c>
      <c r="BZ85" s="10">
        <f t="shared" si="116"/>
        <v>0</v>
      </c>
      <c r="CA85" s="10">
        <f t="shared" si="116"/>
        <v>0</v>
      </c>
      <c r="CB85" s="10">
        <f t="shared" si="116"/>
        <v>0</v>
      </c>
      <c r="CC85" s="10">
        <f t="shared" si="116"/>
        <v>0</v>
      </c>
      <c r="CD85" s="10">
        <f t="shared" si="116"/>
        <v>0</v>
      </c>
      <c r="CE85" s="10">
        <f t="shared" si="116"/>
        <v>0</v>
      </c>
      <c r="CF85" s="10">
        <f t="shared" si="116"/>
        <v>0</v>
      </c>
      <c r="CG85" s="10">
        <f t="shared" si="116"/>
        <v>0</v>
      </c>
      <c r="CH85" s="10">
        <f t="shared" si="116"/>
        <v>0</v>
      </c>
      <c r="CI85" s="10">
        <f t="shared" si="116"/>
        <v>0</v>
      </c>
      <c r="CK85" s="11"/>
      <c r="CM85" s="11"/>
      <c r="CN85" s="7">
        <f t="shared" ref="CN85:CN99" si="117">IF(AND(E85="", IFERROR(ABS(G85),0)&gt;0), 1,0)</f>
        <v>0</v>
      </c>
      <c r="CO85" s="7">
        <f>IF(AND(G85&lt;&gt;0, IFERROR(MATCH(E85, Parameters!$D$45:$D$48, 0), "N/A")="N/A"), 1, 0)</f>
        <v>0</v>
      </c>
      <c r="CQ85" s="7">
        <f>IF($F85="", 0, IF(AND($F85&lt;=$CI$5, $F85&gt;=Timeline!$V$8), 0, 1))</f>
        <v>0</v>
      </c>
      <c r="CU85" s="7" cm="1">
        <f t="array" ref="CU85">SUMPRODUCT(--NOT(ISNUMBER(G85:G85)),--NOT(ISBLANK(G85:G85)))</f>
        <v>0</v>
      </c>
      <c r="CW85" s="7">
        <f t="shared" ref="CW85:CW104" si="118">IF(SUM($DB85:$DD85)=0, 0, 1)</f>
        <v>0</v>
      </c>
      <c r="CX85" s="7">
        <f t="shared" ref="CX85:CX104" si="119">IF(SUM($DE85:$DG85)=0, 0, 1)</f>
        <v>0</v>
      </c>
      <c r="CY85" s="7">
        <f t="shared" ref="CY85:CY104" si="120">IF($DH85=0, 0, 1)</f>
        <v>0</v>
      </c>
      <c r="CZ85" s="650"/>
      <c r="DA85" s="35"/>
      <c r="DB85" s="215">
        <f t="shared" ref="DB85:DB104" si="121">ROUND(W85-SUMIFS($AA85:$BJ85, $AA$3:$BJ$3, W$3), rounding)</f>
        <v>0</v>
      </c>
      <c r="DC85" s="215">
        <f t="shared" ref="DC85:DC104" si="122">ROUND(X85-SUMIFS($AA85:$BJ85, $AA$3:$BJ$3, X$3), rounding)</f>
        <v>0</v>
      </c>
      <c r="DD85" s="215">
        <f t="shared" ref="DD85:DD104" si="123">ROUND(Y85-SUMIFS($AA85:$BJ85, $AA$3:$BJ$3, Y$3), rounding)</f>
        <v>0</v>
      </c>
      <c r="DE85" s="215">
        <f t="shared" ref="DE85:DE104" si="124">ROUND($BY85-SUMIFS($AA85:$BJ85, $AA$3:$BJ$3, $BY$3), rounding)</f>
        <v>0</v>
      </c>
      <c r="DF85" s="215">
        <f t="shared" ref="DF85:DF104" si="125">ROUND($BZ85-SUMIFS($AA85:$BJ85, $AA$3:$BJ$3, $BZ$3), rounding)</f>
        <v>0</v>
      </c>
      <c r="DG85" s="215">
        <f t="shared" ref="DG85:DG104" si="126">ROUND($CA85-SUMIFS($AA85:$BJ85, $AA$3:$BJ$3, $CA$3), rounding)</f>
        <v>0</v>
      </c>
      <c r="DH85" s="215">
        <f t="shared" ref="DH85:DH104" si="127">ROUND($V85-$BX85, rounding)</f>
        <v>0</v>
      </c>
      <c r="DI85" s="35"/>
      <c r="DJ85">
        <v>0</v>
      </c>
      <c r="DK85">
        <v>0</v>
      </c>
      <c r="DL85" s="35"/>
      <c r="EZ85" s="12" t="str">
        <f t="shared" ref="EZ85:EZ99" si="128">IF($C85="","",CONCATENATE(D$80, " ",$C85))</f>
        <v>Surplus/Loss on Revaluation/ Fair Value Adjustment RV1</v>
      </c>
    </row>
    <row r="86" spans="1:156" x14ac:dyDescent="0.35">
      <c r="A86" s="220" cm="1">
        <f t="array" aca="1" ref="A86" ca="1">HYPERLINK(CONCATENATE("#",CELL("address",IF(MAX($CM86:$CZ86)=0,A86,INDEX($CM86:$CZ86,MATCH(1,$CM86:$CZ86,0))))),MAX($CM86:$CZ86))</f>
        <v>0</v>
      </c>
      <c r="C86" s="309" t="s">
        <v>825</v>
      </c>
      <c r="D86" s="114"/>
      <c r="E86" s="113"/>
      <c r="F86" s="110"/>
      <c r="G86" s="114"/>
      <c r="H86" t="s">
        <v>403</v>
      </c>
      <c r="I86" s="9"/>
      <c r="V86" s="12">
        <f>IF(AND($F86&gt;=Timeline!$V$8,$F86 &lt;=V$5), $G86, 0)</f>
        <v>0</v>
      </c>
      <c r="W86" s="10">
        <f t="shared" si="112"/>
        <v>0</v>
      </c>
      <c r="X86" s="10">
        <f t="shared" si="112"/>
        <v>0</v>
      </c>
      <c r="Y86" s="10">
        <f t="shared" si="112"/>
        <v>0</v>
      </c>
      <c r="AA86" s="133">
        <f t="shared" si="113"/>
        <v>0</v>
      </c>
      <c r="AB86" s="10">
        <f t="shared" ref="AB86:BJ86" si="129">IF(AND($F86&gt;AA$5,$F86 &lt;=AB$5), $G86, 0)</f>
        <v>0</v>
      </c>
      <c r="AC86" s="10">
        <f t="shared" si="129"/>
        <v>0</v>
      </c>
      <c r="AD86" s="10">
        <f t="shared" si="129"/>
        <v>0</v>
      </c>
      <c r="AE86" s="10">
        <f t="shared" si="129"/>
        <v>0</v>
      </c>
      <c r="AF86" s="10">
        <f t="shared" si="129"/>
        <v>0</v>
      </c>
      <c r="AG86" s="10">
        <f t="shared" si="129"/>
        <v>0</v>
      </c>
      <c r="AH86" s="10">
        <f t="shared" si="129"/>
        <v>0</v>
      </c>
      <c r="AI86" s="10">
        <f t="shared" si="129"/>
        <v>0</v>
      </c>
      <c r="AJ86" s="10">
        <f t="shared" si="129"/>
        <v>0</v>
      </c>
      <c r="AK86" s="10">
        <f t="shared" si="129"/>
        <v>0</v>
      </c>
      <c r="AL86" s="10">
        <f t="shared" si="129"/>
        <v>0</v>
      </c>
      <c r="AM86" s="10">
        <f t="shared" si="129"/>
        <v>0</v>
      </c>
      <c r="AN86" s="10">
        <f t="shared" si="129"/>
        <v>0</v>
      </c>
      <c r="AO86" s="10">
        <f t="shared" si="129"/>
        <v>0</v>
      </c>
      <c r="AP86" s="10">
        <f t="shared" si="129"/>
        <v>0</v>
      </c>
      <c r="AQ86" s="10">
        <f t="shared" si="129"/>
        <v>0</v>
      </c>
      <c r="AR86" s="10">
        <f t="shared" si="129"/>
        <v>0</v>
      </c>
      <c r="AS86" s="10">
        <f t="shared" si="129"/>
        <v>0</v>
      </c>
      <c r="AT86" s="10">
        <f t="shared" si="129"/>
        <v>0</v>
      </c>
      <c r="AU86" s="10">
        <f t="shared" si="129"/>
        <v>0</v>
      </c>
      <c r="AV86" s="10">
        <f t="shared" si="129"/>
        <v>0</v>
      </c>
      <c r="AW86" s="10">
        <f t="shared" si="129"/>
        <v>0</v>
      </c>
      <c r="AX86" s="10">
        <f t="shared" si="129"/>
        <v>0</v>
      </c>
      <c r="AY86" s="10">
        <f t="shared" si="129"/>
        <v>0</v>
      </c>
      <c r="AZ86" s="10">
        <f t="shared" si="129"/>
        <v>0</v>
      </c>
      <c r="BA86" s="10">
        <f t="shared" si="129"/>
        <v>0</v>
      </c>
      <c r="BB86" s="10">
        <f t="shared" si="129"/>
        <v>0</v>
      </c>
      <c r="BC86" s="10">
        <f t="shared" si="129"/>
        <v>0</v>
      </c>
      <c r="BD86" s="10">
        <f t="shared" si="129"/>
        <v>0</v>
      </c>
      <c r="BE86" s="10">
        <f t="shared" si="129"/>
        <v>0</v>
      </c>
      <c r="BF86" s="10">
        <f t="shared" si="129"/>
        <v>0</v>
      </c>
      <c r="BG86" s="10">
        <f t="shared" si="129"/>
        <v>0</v>
      </c>
      <c r="BH86" s="10">
        <f t="shared" si="129"/>
        <v>0</v>
      </c>
      <c r="BI86" s="10">
        <f t="shared" si="129"/>
        <v>0</v>
      </c>
      <c r="BJ86" s="10">
        <f t="shared" si="129"/>
        <v>0</v>
      </c>
      <c r="BK86" s="1"/>
      <c r="BL86" s="1"/>
      <c r="BM86" s="1"/>
      <c r="BN86" s="1"/>
      <c r="BO86" s="1"/>
      <c r="BP86" s="1"/>
      <c r="BQ86" s="1"/>
      <c r="BR86" s="1"/>
      <c r="BS86" s="1"/>
      <c r="BT86" s="1"/>
      <c r="BU86" s="1"/>
      <c r="BV86" s="1"/>
      <c r="BX86" s="12">
        <f t="shared" si="115"/>
        <v>0</v>
      </c>
      <c r="BY86" s="10">
        <f t="shared" ref="BY86:CI86" si="130">IF(AND($F86&gt;BX$5,$F86 &lt;=BY$5), $G86, 0)</f>
        <v>0</v>
      </c>
      <c r="BZ86" s="10">
        <f t="shared" si="130"/>
        <v>0</v>
      </c>
      <c r="CA86" s="10">
        <f t="shared" si="130"/>
        <v>0</v>
      </c>
      <c r="CB86" s="10">
        <f t="shared" si="130"/>
        <v>0</v>
      </c>
      <c r="CC86" s="10">
        <f t="shared" si="130"/>
        <v>0</v>
      </c>
      <c r="CD86" s="10">
        <f t="shared" si="130"/>
        <v>0</v>
      </c>
      <c r="CE86" s="10">
        <f t="shared" si="130"/>
        <v>0</v>
      </c>
      <c r="CF86" s="10">
        <f t="shared" si="130"/>
        <v>0</v>
      </c>
      <c r="CG86" s="10">
        <f t="shared" si="130"/>
        <v>0</v>
      </c>
      <c r="CH86" s="10">
        <f t="shared" si="130"/>
        <v>0</v>
      </c>
      <c r="CI86" s="10">
        <f t="shared" si="130"/>
        <v>0</v>
      </c>
      <c r="CK86" s="11"/>
      <c r="CM86" s="11"/>
      <c r="CN86" s="7">
        <f t="shared" si="117"/>
        <v>0</v>
      </c>
      <c r="CO86" s="7">
        <f>IF(AND(G86&lt;&gt;0, IFERROR(MATCH(E86, Parameters!$D$45:$D$48, 0), "N/A")="N/A"), 1, 0)</f>
        <v>0</v>
      </c>
      <c r="CQ86" s="7">
        <f>IF($F86="", 0, IF(AND($F86&lt;=$CI$5, $F86&gt;=Timeline!$V$8), 0, 1))</f>
        <v>0</v>
      </c>
      <c r="CU86" s="7" cm="1">
        <f t="array" ref="CU86">SUMPRODUCT(--NOT(ISNUMBER(G86:G86)),--NOT(ISBLANK(G86:G86)))</f>
        <v>0</v>
      </c>
      <c r="CW86" s="7">
        <f t="shared" si="118"/>
        <v>0</v>
      </c>
      <c r="CX86" s="7">
        <f t="shared" si="119"/>
        <v>0</v>
      </c>
      <c r="CY86" s="7">
        <f t="shared" si="120"/>
        <v>0</v>
      </c>
      <c r="CZ86" s="650"/>
      <c r="DA86" s="35"/>
      <c r="DB86" s="215">
        <f t="shared" si="121"/>
        <v>0</v>
      </c>
      <c r="DC86" s="215">
        <f t="shared" si="122"/>
        <v>0</v>
      </c>
      <c r="DD86" s="215">
        <f t="shared" si="123"/>
        <v>0</v>
      </c>
      <c r="DE86" s="215">
        <f t="shared" si="124"/>
        <v>0</v>
      </c>
      <c r="DF86" s="215">
        <f t="shared" si="125"/>
        <v>0</v>
      </c>
      <c r="DG86" s="215">
        <f t="shared" si="126"/>
        <v>0</v>
      </c>
      <c r="DH86" s="215">
        <f t="shared" si="127"/>
        <v>0</v>
      </c>
      <c r="DI86" s="35"/>
      <c r="DJ86">
        <v>0</v>
      </c>
      <c r="DK86">
        <v>0</v>
      </c>
      <c r="DL86" s="35"/>
      <c r="EZ86" s="12" t="str">
        <f t="shared" si="128"/>
        <v>Surplus/Loss on Revaluation/ Fair Value Adjustment RV2</v>
      </c>
    </row>
    <row r="87" spans="1:156" x14ac:dyDescent="0.35">
      <c r="A87" s="220" cm="1">
        <f t="array" aca="1" ref="A87" ca="1">HYPERLINK(CONCATENATE("#",CELL("address",IF(MAX($CM87:$CZ87)=0,A87,INDEX($CM87:$CZ87,MATCH(1,$CM87:$CZ87,0))))),MAX($CM87:$CZ87))</f>
        <v>0</v>
      </c>
      <c r="C87" s="309" t="s">
        <v>826</v>
      </c>
      <c r="D87" s="114"/>
      <c r="E87" s="113"/>
      <c r="F87" s="110"/>
      <c r="G87" s="114"/>
      <c r="H87" t="s">
        <v>403</v>
      </c>
      <c r="I87" s="9"/>
      <c r="V87" s="12">
        <f>IF(AND($F87&gt;=Timeline!$V$8,$F87 &lt;=V$5), $G87, 0)</f>
        <v>0</v>
      </c>
      <c r="W87" s="10">
        <f t="shared" si="112"/>
        <v>0</v>
      </c>
      <c r="X87" s="10">
        <f t="shared" si="112"/>
        <v>0</v>
      </c>
      <c r="Y87" s="10">
        <f t="shared" si="112"/>
        <v>0</v>
      </c>
      <c r="AA87" s="133">
        <f t="shared" si="113"/>
        <v>0</v>
      </c>
      <c r="AB87" s="10">
        <f t="shared" ref="AB87:BJ87" si="131">IF(AND($F87&gt;AA$5,$F87 &lt;=AB$5), $G87, 0)</f>
        <v>0</v>
      </c>
      <c r="AC87" s="10">
        <f t="shared" si="131"/>
        <v>0</v>
      </c>
      <c r="AD87" s="10">
        <f t="shared" si="131"/>
        <v>0</v>
      </c>
      <c r="AE87" s="10">
        <f t="shared" si="131"/>
        <v>0</v>
      </c>
      <c r="AF87" s="10">
        <f t="shared" si="131"/>
        <v>0</v>
      </c>
      <c r="AG87" s="10">
        <f t="shared" si="131"/>
        <v>0</v>
      </c>
      <c r="AH87" s="10">
        <f t="shared" si="131"/>
        <v>0</v>
      </c>
      <c r="AI87" s="10">
        <f t="shared" si="131"/>
        <v>0</v>
      </c>
      <c r="AJ87" s="10">
        <f t="shared" si="131"/>
        <v>0</v>
      </c>
      <c r="AK87" s="10">
        <f t="shared" si="131"/>
        <v>0</v>
      </c>
      <c r="AL87" s="10">
        <f t="shared" si="131"/>
        <v>0</v>
      </c>
      <c r="AM87" s="10">
        <f t="shared" si="131"/>
        <v>0</v>
      </c>
      <c r="AN87" s="10">
        <f t="shared" si="131"/>
        <v>0</v>
      </c>
      <c r="AO87" s="10">
        <f t="shared" si="131"/>
        <v>0</v>
      </c>
      <c r="AP87" s="10">
        <f t="shared" si="131"/>
        <v>0</v>
      </c>
      <c r="AQ87" s="10">
        <f t="shared" si="131"/>
        <v>0</v>
      </c>
      <c r="AR87" s="10">
        <f t="shared" si="131"/>
        <v>0</v>
      </c>
      <c r="AS87" s="10">
        <f t="shared" si="131"/>
        <v>0</v>
      </c>
      <c r="AT87" s="10">
        <f t="shared" si="131"/>
        <v>0</v>
      </c>
      <c r="AU87" s="10">
        <f t="shared" si="131"/>
        <v>0</v>
      </c>
      <c r="AV87" s="10">
        <f t="shared" si="131"/>
        <v>0</v>
      </c>
      <c r="AW87" s="10">
        <f t="shared" si="131"/>
        <v>0</v>
      </c>
      <c r="AX87" s="10">
        <f t="shared" si="131"/>
        <v>0</v>
      </c>
      <c r="AY87" s="10">
        <f t="shared" si="131"/>
        <v>0</v>
      </c>
      <c r="AZ87" s="10">
        <f t="shared" si="131"/>
        <v>0</v>
      </c>
      <c r="BA87" s="10">
        <f t="shared" si="131"/>
        <v>0</v>
      </c>
      <c r="BB87" s="10">
        <f t="shared" si="131"/>
        <v>0</v>
      </c>
      <c r="BC87" s="10">
        <f t="shared" si="131"/>
        <v>0</v>
      </c>
      <c r="BD87" s="10">
        <f t="shared" si="131"/>
        <v>0</v>
      </c>
      <c r="BE87" s="10">
        <f t="shared" si="131"/>
        <v>0</v>
      </c>
      <c r="BF87" s="10">
        <f t="shared" si="131"/>
        <v>0</v>
      </c>
      <c r="BG87" s="10">
        <f t="shared" si="131"/>
        <v>0</v>
      </c>
      <c r="BH87" s="10">
        <f t="shared" si="131"/>
        <v>0</v>
      </c>
      <c r="BI87" s="10">
        <f t="shared" si="131"/>
        <v>0</v>
      </c>
      <c r="BJ87" s="10">
        <f t="shared" si="131"/>
        <v>0</v>
      </c>
      <c r="BK87" s="1"/>
      <c r="BL87" s="1"/>
      <c r="BM87" s="1"/>
      <c r="BN87" s="1"/>
      <c r="BO87" s="1"/>
      <c r="BP87" s="1"/>
      <c r="BQ87" s="1"/>
      <c r="BR87" s="1"/>
      <c r="BS87" s="1"/>
      <c r="BT87" s="1"/>
      <c r="BU87" s="1"/>
      <c r="BV87" s="1"/>
      <c r="BX87" s="12">
        <f t="shared" si="115"/>
        <v>0</v>
      </c>
      <c r="BY87" s="10">
        <f t="shared" ref="BY87:CI87" si="132">IF(AND($F87&gt;BX$5,$F87 &lt;=BY$5), $G87, 0)</f>
        <v>0</v>
      </c>
      <c r="BZ87" s="10">
        <f t="shared" si="132"/>
        <v>0</v>
      </c>
      <c r="CA87" s="10">
        <f t="shared" si="132"/>
        <v>0</v>
      </c>
      <c r="CB87" s="10">
        <f t="shared" si="132"/>
        <v>0</v>
      </c>
      <c r="CC87" s="10">
        <f t="shared" si="132"/>
        <v>0</v>
      </c>
      <c r="CD87" s="10">
        <f t="shared" si="132"/>
        <v>0</v>
      </c>
      <c r="CE87" s="10">
        <f t="shared" si="132"/>
        <v>0</v>
      </c>
      <c r="CF87" s="10">
        <f t="shared" si="132"/>
        <v>0</v>
      </c>
      <c r="CG87" s="10">
        <f t="shared" si="132"/>
        <v>0</v>
      </c>
      <c r="CH87" s="10">
        <f t="shared" si="132"/>
        <v>0</v>
      </c>
      <c r="CI87" s="10">
        <f t="shared" si="132"/>
        <v>0</v>
      </c>
      <c r="CK87" s="11"/>
      <c r="CM87" s="11"/>
      <c r="CN87" s="7">
        <f t="shared" si="117"/>
        <v>0</v>
      </c>
      <c r="CO87" s="7">
        <f>IF(AND(G87&lt;&gt;0, IFERROR(MATCH(E87, Parameters!$D$45:$D$48, 0), "N/A")="N/A"), 1, 0)</f>
        <v>0</v>
      </c>
      <c r="CQ87" s="7">
        <f>IF($F87="", 0, IF(AND($F87&lt;=$CI$5, $F87&gt;=Timeline!$V$8), 0, 1))</f>
        <v>0</v>
      </c>
      <c r="CU87" s="7" cm="1">
        <f t="array" ref="CU87">SUMPRODUCT(--NOT(ISNUMBER(G87:G87)),--NOT(ISBLANK(G87:G87)))</f>
        <v>0</v>
      </c>
      <c r="CW87" s="7">
        <f t="shared" si="118"/>
        <v>0</v>
      </c>
      <c r="CX87" s="7">
        <f t="shared" si="119"/>
        <v>0</v>
      </c>
      <c r="CY87" s="7">
        <f t="shared" si="120"/>
        <v>0</v>
      </c>
      <c r="CZ87" s="650"/>
      <c r="DA87" s="129"/>
      <c r="DB87" s="215">
        <f t="shared" si="121"/>
        <v>0</v>
      </c>
      <c r="DC87" s="215">
        <f t="shared" si="122"/>
        <v>0</v>
      </c>
      <c r="DD87" s="215">
        <f t="shared" si="123"/>
        <v>0</v>
      </c>
      <c r="DE87" s="215">
        <f t="shared" si="124"/>
        <v>0</v>
      </c>
      <c r="DF87" s="215">
        <f t="shared" si="125"/>
        <v>0</v>
      </c>
      <c r="DG87" s="215">
        <f t="shared" si="126"/>
        <v>0</v>
      </c>
      <c r="DH87" s="215">
        <f t="shared" si="127"/>
        <v>0</v>
      </c>
      <c r="DI87" s="35"/>
      <c r="DJ87">
        <v>0</v>
      </c>
      <c r="DK87">
        <v>0</v>
      </c>
      <c r="DL87" s="35"/>
      <c r="EZ87" s="12" t="str">
        <f t="shared" si="128"/>
        <v>Surplus/Loss on Revaluation/ Fair Value Adjustment RV3</v>
      </c>
    </row>
    <row r="88" spans="1:156" x14ac:dyDescent="0.35">
      <c r="A88" s="220" cm="1">
        <f t="array" aca="1" ref="A88" ca="1">HYPERLINK(CONCATENATE("#",CELL("address",IF(MAX($CM88:$CZ88)=0,A88,INDEX($CM88:$CZ88,MATCH(1,$CM88:$CZ88,0))))),MAX($CM88:$CZ88))</f>
        <v>0</v>
      </c>
      <c r="C88" s="309" t="s">
        <v>827</v>
      </c>
      <c r="D88" s="114"/>
      <c r="E88" s="113"/>
      <c r="F88" s="110"/>
      <c r="G88" s="114"/>
      <c r="H88" t="s">
        <v>403</v>
      </c>
      <c r="I88" s="9"/>
      <c r="V88" s="12">
        <f>IF(AND($F88&gt;=Timeline!$V$8,$F88 &lt;=V$5), $G88, 0)</f>
        <v>0</v>
      </c>
      <c r="W88" s="10">
        <f t="shared" si="112"/>
        <v>0</v>
      </c>
      <c r="X88" s="10">
        <f t="shared" si="112"/>
        <v>0</v>
      </c>
      <c r="Y88" s="10">
        <f t="shared" si="112"/>
        <v>0</v>
      </c>
      <c r="AA88" s="133">
        <f t="shared" si="113"/>
        <v>0</v>
      </c>
      <c r="AB88" s="10">
        <f t="shared" ref="AB88:BJ88" si="133">IF(AND($F88&gt;AA$5,$F88 &lt;=AB$5), $G88, 0)</f>
        <v>0</v>
      </c>
      <c r="AC88" s="10">
        <f t="shared" si="133"/>
        <v>0</v>
      </c>
      <c r="AD88" s="10">
        <f t="shared" si="133"/>
        <v>0</v>
      </c>
      <c r="AE88" s="10">
        <f t="shared" si="133"/>
        <v>0</v>
      </c>
      <c r="AF88" s="10">
        <f t="shared" si="133"/>
        <v>0</v>
      </c>
      <c r="AG88" s="10">
        <f t="shared" si="133"/>
        <v>0</v>
      </c>
      <c r="AH88" s="10">
        <f t="shared" si="133"/>
        <v>0</v>
      </c>
      <c r="AI88" s="10">
        <f t="shared" si="133"/>
        <v>0</v>
      </c>
      <c r="AJ88" s="10">
        <f t="shared" si="133"/>
        <v>0</v>
      </c>
      <c r="AK88" s="10">
        <f t="shared" si="133"/>
        <v>0</v>
      </c>
      <c r="AL88" s="10">
        <f t="shared" si="133"/>
        <v>0</v>
      </c>
      <c r="AM88" s="10">
        <f t="shared" si="133"/>
        <v>0</v>
      </c>
      <c r="AN88" s="10">
        <f t="shared" si="133"/>
        <v>0</v>
      </c>
      <c r="AO88" s="10">
        <f t="shared" si="133"/>
        <v>0</v>
      </c>
      <c r="AP88" s="10">
        <f t="shared" si="133"/>
        <v>0</v>
      </c>
      <c r="AQ88" s="10">
        <f t="shared" si="133"/>
        <v>0</v>
      </c>
      <c r="AR88" s="10">
        <f t="shared" si="133"/>
        <v>0</v>
      </c>
      <c r="AS88" s="10">
        <f t="shared" si="133"/>
        <v>0</v>
      </c>
      <c r="AT88" s="10">
        <f t="shared" si="133"/>
        <v>0</v>
      </c>
      <c r="AU88" s="10">
        <f t="shared" si="133"/>
        <v>0</v>
      </c>
      <c r="AV88" s="10">
        <f t="shared" si="133"/>
        <v>0</v>
      </c>
      <c r="AW88" s="10">
        <f t="shared" si="133"/>
        <v>0</v>
      </c>
      <c r="AX88" s="10">
        <f t="shared" si="133"/>
        <v>0</v>
      </c>
      <c r="AY88" s="10">
        <f t="shared" si="133"/>
        <v>0</v>
      </c>
      <c r="AZ88" s="10">
        <f t="shared" si="133"/>
        <v>0</v>
      </c>
      <c r="BA88" s="10">
        <f t="shared" si="133"/>
        <v>0</v>
      </c>
      <c r="BB88" s="10">
        <f t="shared" si="133"/>
        <v>0</v>
      </c>
      <c r="BC88" s="10">
        <f t="shared" si="133"/>
        <v>0</v>
      </c>
      <c r="BD88" s="10">
        <f t="shared" si="133"/>
        <v>0</v>
      </c>
      <c r="BE88" s="10">
        <f t="shared" si="133"/>
        <v>0</v>
      </c>
      <c r="BF88" s="10">
        <f t="shared" si="133"/>
        <v>0</v>
      </c>
      <c r="BG88" s="10">
        <f t="shared" si="133"/>
        <v>0</v>
      </c>
      <c r="BH88" s="10">
        <f t="shared" si="133"/>
        <v>0</v>
      </c>
      <c r="BI88" s="10">
        <f t="shared" si="133"/>
        <v>0</v>
      </c>
      <c r="BJ88" s="10">
        <f t="shared" si="133"/>
        <v>0</v>
      </c>
      <c r="BK88" s="1"/>
      <c r="BL88" s="1"/>
      <c r="BM88" s="1"/>
      <c r="BN88" s="1"/>
      <c r="BO88" s="1"/>
      <c r="BP88" s="1"/>
      <c r="BQ88" s="1"/>
      <c r="BR88" s="1"/>
      <c r="BS88" s="1"/>
      <c r="BT88" s="1"/>
      <c r="BU88" s="1"/>
      <c r="BV88" s="1"/>
      <c r="BX88" s="12">
        <f t="shared" si="115"/>
        <v>0</v>
      </c>
      <c r="BY88" s="10">
        <f t="shared" ref="BY88:CI88" si="134">IF(AND($F88&gt;BX$5,$F88 &lt;=BY$5), $G88, 0)</f>
        <v>0</v>
      </c>
      <c r="BZ88" s="10">
        <f t="shared" si="134"/>
        <v>0</v>
      </c>
      <c r="CA88" s="10">
        <f t="shared" si="134"/>
        <v>0</v>
      </c>
      <c r="CB88" s="10">
        <f t="shared" si="134"/>
        <v>0</v>
      </c>
      <c r="CC88" s="10">
        <f t="shared" si="134"/>
        <v>0</v>
      </c>
      <c r="CD88" s="10">
        <f t="shared" si="134"/>
        <v>0</v>
      </c>
      <c r="CE88" s="10">
        <f t="shared" si="134"/>
        <v>0</v>
      </c>
      <c r="CF88" s="10">
        <f t="shared" si="134"/>
        <v>0</v>
      </c>
      <c r="CG88" s="10">
        <f t="shared" si="134"/>
        <v>0</v>
      </c>
      <c r="CH88" s="10">
        <f t="shared" si="134"/>
        <v>0</v>
      </c>
      <c r="CI88" s="10">
        <f t="shared" si="134"/>
        <v>0</v>
      </c>
      <c r="CK88" s="11"/>
      <c r="CM88" s="11"/>
      <c r="CN88" s="7">
        <f t="shared" si="117"/>
        <v>0</v>
      </c>
      <c r="CO88" s="7">
        <f>IF(AND(G88&lt;&gt;0, IFERROR(MATCH(E88, Parameters!$D$45:$D$48, 0), "N/A")="N/A"), 1, 0)</f>
        <v>0</v>
      </c>
      <c r="CQ88" s="7">
        <f>IF($F88="", 0, IF(AND($F88&lt;=$CI$5, $F88&gt;=Timeline!$V$8), 0, 1))</f>
        <v>0</v>
      </c>
      <c r="CU88" s="7" cm="1">
        <f t="array" ref="CU88">SUMPRODUCT(--NOT(ISNUMBER(G88:G88)),--NOT(ISBLANK(G88:G88)))</f>
        <v>0</v>
      </c>
      <c r="CW88" s="7">
        <f t="shared" si="118"/>
        <v>0</v>
      </c>
      <c r="CX88" s="7">
        <f t="shared" si="119"/>
        <v>0</v>
      </c>
      <c r="CY88" s="7">
        <f t="shared" si="120"/>
        <v>0</v>
      </c>
      <c r="CZ88" s="650"/>
      <c r="DA88" s="35"/>
      <c r="DB88" s="215">
        <f t="shared" si="121"/>
        <v>0</v>
      </c>
      <c r="DC88" s="215">
        <f t="shared" si="122"/>
        <v>0</v>
      </c>
      <c r="DD88" s="215">
        <f t="shared" si="123"/>
        <v>0</v>
      </c>
      <c r="DE88" s="215">
        <f t="shared" si="124"/>
        <v>0</v>
      </c>
      <c r="DF88" s="215">
        <f t="shared" si="125"/>
        <v>0</v>
      </c>
      <c r="DG88" s="215">
        <f t="shared" si="126"/>
        <v>0</v>
      </c>
      <c r="DH88" s="215">
        <f t="shared" si="127"/>
        <v>0</v>
      </c>
      <c r="DI88" s="35"/>
      <c r="DJ88">
        <v>0</v>
      </c>
      <c r="DK88">
        <v>0</v>
      </c>
      <c r="DL88" s="35"/>
      <c r="EZ88" s="12" t="str">
        <f t="shared" si="128"/>
        <v>Surplus/Loss on Revaluation/ Fair Value Adjustment RV4</v>
      </c>
    </row>
    <row r="89" spans="1:156" x14ac:dyDescent="0.35">
      <c r="A89" s="220" cm="1">
        <f t="array" aca="1" ref="A89" ca="1">HYPERLINK(CONCATENATE("#",CELL("address",IF(MAX($CM89:$CZ89)=0,A89,INDEX($CM89:$CZ89,MATCH(1,$CM89:$CZ89,0))))),MAX($CM89:$CZ89))</f>
        <v>0</v>
      </c>
      <c r="C89" s="309" t="s">
        <v>828</v>
      </c>
      <c r="D89" s="114"/>
      <c r="E89" s="113"/>
      <c r="F89" s="110"/>
      <c r="G89" s="114"/>
      <c r="H89" t="s">
        <v>403</v>
      </c>
      <c r="I89" s="9"/>
      <c r="V89" s="12">
        <f>IF(AND($F89&gt;=Timeline!$V$8,$F89 &lt;=V$5), $G89, 0)</f>
        <v>0</v>
      </c>
      <c r="W89" s="10">
        <f t="shared" si="112"/>
        <v>0</v>
      </c>
      <c r="X89" s="10">
        <f t="shared" si="112"/>
        <v>0</v>
      </c>
      <c r="Y89" s="10">
        <f t="shared" si="112"/>
        <v>0</v>
      </c>
      <c r="AA89" s="133">
        <f t="shared" si="113"/>
        <v>0</v>
      </c>
      <c r="AB89" s="10">
        <f t="shared" ref="AB89:BJ89" si="135">IF(AND($F89&gt;AA$5,$F89 &lt;=AB$5), $G89, 0)</f>
        <v>0</v>
      </c>
      <c r="AC89" s="10">
        <f t="shared" si="135"/>
        <v>0</v>
      </c>
      <c r="AD89" s="10">
        <f t="shared" si="135"/>
        <v>0</v>
      </c>
      <c r="AE89" s="10">
        <f t="shared" si="135"/>
        <v>0</v>
      </c>
      <c r="AF89" s="10">
        <f t="shared" si="135"/>
        <v>0</v>
      </c>
      <c r="AG89" s="10">
        <f t="shared" si="135"/>
        <v>0</v>
      </c>
      <c r="AH89" s="10">
        <f t="shared" si="135"/>
        <v>0</v>
      </c>
      <c r="AI89" s="10">
        <f t="shared" si="135"/>
        <v>0</v>
      </c>
      <c r="AJ89" s="10">
        <f t="shared" si="135"/>
        <v>0</v>
      </c>
      <c r="AK89" s="10">
        <f t="shared" si="135"/>
        <v>0</v>
      </c>
      <c r="AL89" s="10">
        <f t="shared" si="135"/>
        <v>0</v>
      </c>
      <c r="AM89" s="10">
        <f t="shared" si="135"/>
        <v>0</v>
      </c>
      <c r="AN89" s="10">
        <f t="shared" si="135"/>
        <v>0</v>
      </c>
      <c r="AO89" s="10">
        <f t="shared" si="135"/>
        <v>0</v>
      </c>
      <c r="AP89" s="10">
        <f t="shared" si="135"/>
        <v>0</v>
      </c>
      <c r="AQ89" s="10">
        <f t="shared" si="135"/>
        <v>0</v>
      </c>
      <c r="AR89" s="10">
        <f t="shared" si="135"/>
        <v>0</v>
      </c>
      <c r="AS89" s="10">
        <f t="shared" si="135"/>
        <v>0</v>
      </c>
      <c r="AT89" s="10">
        <f t="shared" si="135"/>
        <v>0</v>
      </c>
      <c r="AU89" s="10">
        <f t="shared" si="135"/>
        <v>0</v>
      </c>
      <c r="AV89" s="10">
        <f t="shared" si="135"/>
        <v>0</v>
      </c>
      <c r="AW89" s="10">
        <f t="shared" si="135"/>
        <v>0</v>
      </c>
      <c r="AX89" s="10">
        <f t="shared" si="135"/>
        <v>0</v>
      </c>
      <c r="AY89" s="10">
        <f t="shared" si="135"/>
        <v>0</v>
      </c>
      <c r="AZ89" s="10">
        <f t="shared" si="135"/>
        <v>0</v>
      </c>
      <c r="BA89" s="10">
        <f t="shared" si="135"/>
        <v>0</v>
      </c>
      <c r="BB89" s="10">
        <f t="shared" si="135"/>
        <v>0</v>
      </c>
      <c r="BC89" s="10">
        <f t="shared" si="135"/>
        <v>0</v>
      </c>
      <c r="BD89" s="10">
        <f t="shared" si="135"/>
        <v>0</v>
      </c>
      <c r="BE89" s="10">
        <f t="shared" si="135"/>
        <v>0</v>
      </c>
      <c r="BF89" s="10">
        <f t="shared" si="135"/>
        <v>0</v>
      </c>
      <c r="BG89" s="10">
        <f t="shared" si="135"/>
        <v>0</v>
      </c>
      <c r="BH89" s="10">
        <f t="shared" si="135"/>
        <v>0</v>
      </c>
      <c r="BI89" s="10">
        <f t="shared" si="135"/>
        <v>0</v>
      </c>
      <c r="BJ89" s="10">
        <f t="shared" si="135"/>
        <v>0</v>
      </c>
      <c r="BK89" s="1"/>
      <c r="BL89" s="1"/>
      <c r="BM89" s="1"/>
      <c r="BN89" s="1"/>
      <c r="BO89" s="1"/>
      <c r="BP89" s="1"/>
      <c r="BQ89" s="1"/>
      <c r="BR89" s="1"/>
      <c r="BS89" s="1"/>
      <c r="BT89" s="1"/>
      <c r="BU89" s="1"/>
      <c r="BV89" s="1"/>
      <c r="BX89" s="12">
        <f t="shared" si="115"/>
        <v>0</v>
      </c>
      <c r="BY89" s="10">
        <f t="shared" ref="BY89:CI89" si="136">IF(AND($F89&gt;BX$5,$F89 &lt;=BY$5), $G89, 0)</f>
        <v>0</v>
      </c>
      <c r="BZ89" s="10">
        <f t="shared" si="136"/>
        <v>0</v>
      </c>
      <c r="CA89" s="10">
        <f t="shared" si="136"/>
        <v>0</v>
      </c>
      <c r="CB89" s="10">
        <f t="shared" si="136"/>
        <v>0</v>
      </c>
      <c r="CC89" s="10">
        <f t="shared" si="136"/>
        <v>0</v>
      </c>
      <c r="CD89" s="10">
        <f t="shared" si="136"/>
        <v>0</v>
      </c>
      <c r="CE89" s="10">
        <f t="shared" si="136"/>
        <v>0</v>
      </c>
      <c r="CF89" s="10">
        <f t="shared" si="136"/>
        <v>0</v>
      </c>
      <c r="CG89" s="10">
        <f t="shared" si="136"/>
        <v>0</v>
      </c>
      <c r="CH89" s="10">
        <f t="shared" si="136"/>
        <v>0</v>
      </c>
      <c r="CI89" s="10">
        <f t="shared" si="136"/>
        <v>0</v>
      </c>
      <c r="CK89" s="11"/>
      <c r="CM89" s="11"/>
      <c r="CN89" s="7">
        <f t="shared" si="117"/>
        <v>0</v>
      </c>
      <c r="CO89" s="7">
        <f>IF(AND(G89&lt;&gt;0, IFERROR(MATCH(E89, Parameters!$D$45:$D$48, 0), "N/A")="N/A"), 1, 0)</f>
        <v>0</v>
      </c>
      <c r="CQ89" s="7">
        <f>IF($F89="", 0, IF(AND($F89&lt;=$CI$5, $F89&gt;=Timeline!$V$8), 0, 1))</f>
        <v>0</v>
      </c>
      <c r="CU89" s="7" cm="1">
        <f t="array" ref="CU89">SUMPRODUCT(--NOT(ISNUMBER(G89:G89)),--NOT(ISBLANK(G89:G89)))</f>
        <v>0</v>
      </c>
      <c r="CW89" s="7">
        <f t="shared" si="118"/>
        <v>0</v>
      </c>
      <c r="CX89" s="7">
        <f t="shared" si="119"/>
        <v>0</v>
      </c>
      <c r="CY89" s="7">
        <f t="shared" si="120"/>
        <v>0</v>
      </c>
      <c r="CZ89" s="650"/>
      <c r="DA89" s="35"/>
      <c r="DB89" s="215">
        <f t="shared" si="121"/>
        <v>0</v>
      </c>
      <c r="DC89" s="215">
        <f t="shared" si="122"/>
        <v>0</v>
      </c>
      <c r="DD89" s="215">
        <f t="shared" si="123"/>
        <v>0</v>
      </c>
      <c r="DE89" s="215">
        <f t="shared" si="124"/>
        <v>0</v>
      </c>
      <c r="DF89" s="215">
        <f t="shared" si="125"/>
        <v>0</v>
      </c>
      <c r="DG89" s="215">
        <f t="shared" si="126"/>
        <v>0</v>
      </c>
      <c r="DH89" s="215">
        <f t="shared" si="127"/>
        <v>0</v>
      </c>
      <c r="DI89" s="35"/>
      <c r="DJ89">
        <v>0</v>
      </c>
      <c r="DK89">
        <v>0</v>
      </c>
      <c r="DL89" s="35"/>
      <c r="EZ89" s="12" t="str">
        <f t="shared" si="128"/>
        <v>Surplus/Loss on Revaluation/ Fair Value Adjustment RV5</v>
      </c>
    </row>
    <row r="90" spans="1:156" x14ac:dyDescent="0.35">
      <c r="A90" s="220" cm="1">
        <f t="array" aca="1" ref="A90" ca="1">HYPERLINK(CONCATENATE("#",CELL("address",IF(MAX($CM90:$CZ90)=0,A90,INDEX($CM90:$CZ90,MATCH(1,$CM90:$CZ90,0))))),MAX($CM90:$CZ90))</f>
        <v>0</v>
      </c>
      <c r="C90" s="309" t="s">
        <v>829</v>
      </c>
      <c r="D90" s="114"/>
      <c r="E90" s="113"/>
      <c r="F90" s="110"/>
      <c r="G90" s="114"/>
      <c r="H90" t="s">
        <v>403</v>
      </c>
      <c r="I90" s="9"/>
      <c r="V90" s="12">
        <f>IF(AND($F90&gt;=Timeline!$V$8,$F90 &lt;=V$5), $G90, 0)</f>
        <v>0</v>
      </c>
      <c r="W90" s="10">
        <f t="shared" si="112"/>
        <v>0</v>
      </c>
      <c r="X90" s="10">
        <f t="shared" si="112"/>
        <v>0</v>
      </c>
      <c r="Y90" s="10">
        <f t="shared" si="112"/>
        <v>0</v>
      </c>
      <c r="AA90" s="133">
        <f t="shared" si="113"/>
        <v>0</v>
      </c>
      <c r="AB90" s="10">
        <f t="shared" ref="AB90:BJ90" si="137">IF(AND($F90&gt;AA$5,$F90 &lt;=AB$5), $G90, 0)</f>
        <v>0</v>
      </c>
      <c r="AC90" s="10">
        <f t="shared" si="137"/>
        <v>0</v>
      </c>
      <c r="AD90" s="10">
        <f t="shared" si="137"/>
        <v>0</v>
      </c>
      <c r="AE90" s="10">
        <f t="shared" si="137"/>
        <v>0</v>
      </c>
      <c r="AF90" s="10">
        <f t="shared" si="137"/>
        <v>0</v>
      </c>
      <c r="AG90" s="10">
        <f t="shared" si="137"/>
        <v>0</v>
      </c>
      <c r="AH90" s="10">
        <f t="shared" si="137"/>
        <v>0</v>
      </c>
      <c r="AI90" s="10">
        <f t="shared" si="137"/>
        <v>0</v>
      </c>
      <c r="AJ90" s="10">
        <f t="shared" si="137"/>
        <v>0</v>
      </c>
      <c r="AK90" s="10">
        <f t="shared" si="137"/>
        <v>0</v>
      </c>
      <c r="AL90" s="10">
        <f t="shared" si="137"/>
        <v>0</v>
      </c>
      <c r="AM90" s="10">
        <f t="shared" si="137"/>
        <v>0</v>
      </c>
      <c r="AN90" s="10">
        <f t="shared" si="137"/>
        <v>0</v>
      </c>
      <c r="AO90" s="10">
        <f t="shared" si="137"/>
        <v>0</v>
      </c>
      <c r="AP90" s="10">
        <f t="shared" si="137"/>
        <v>0</v>
      </c>
      <c r="AQ90" s="10">
        <f t="shared" si="137"/>
        <v>0</v>
      </c>
      <c r="AR90" s="10">
        <f t="shared" si="137"/>
        <v>0</v>
      </c>
      <c r="AS90" s="10">
        <f t="shared" si="137"/>
        <v>0</v>
      </c>
      <c r="AT90" s="10">
        <f t="shared" si="137"/>
        <v>0</v>
      </c>
      <c r="AU90" s="10">
        <f t="shared" si="137"/>
        <v>0</v>
      </c>
      <c r="AV90" s="10">
        <f t="shared" si="137"/>
        <v>0</v>
      </c>
      <c r="AW90" s="10">
        <f t="shared" si="137"/>
        <v>0</v>
      </c>
      <c r="AX90" s="10">
        <f t="shared" si="137"/>
        <v>0</v>
      </c>
      <c r="AY90" s="10">
        <f t="shared" si="137"/>
        <v>0</v>
      </c>
      <c r="AZ90" s="10">
        <f t="shared" si="137"/>
        <v>0</v>
      </c>
      <c r="BA90" s="10">
        <f t="shared" si="137"/>
        <v>0</v>
      </c>
      <c r="BB90" s="10">
        <f t="shared" si="137"/>
        <v>0</v>
      </c>
      <c r="BC90" s="10">
        <f t="shared" si="137"/>
        <v>0</v>
      </c>
      <c r="BD90" s="10">
        <f t="shared" si="137"/>
        <v>0</v>
      </c>
      <c r="BE90" s="10">
        <f t="shared" si="137"/>
        <v>0</v>
      </c>
      <c r="BF90" s="10">
        <f t="shared" si="137"/>
        <v>0</v>
      </c>
      <c r="BG90" s="10">
        <f t="shared" si="137"/>
        <v>0</v>
      </c>
      <c r="BH90" s="10">
        <f t="shared" si="137"/>
        <v>0</v>
      </c>
      <c r="BI90" s="10">
        <f t="shared" si="137"/>
        <v>0</v>
      </c>
      <c r="BJ90" s="10">
        <f t="shared" si="137"/>
        <v>0</v>
      </c>
      <c r="BK90" s="1"/>
      <c r="BL90" s="1"/>
      <c r="BM90" s="1"/>
      <c r="BN90" s="1"/>
      <c r="BO90" s="1"/>
      <c r="BP90" s="1"/>
      <c r="BQ90" s="1"/>
      <c r="BR90" s="1"/>
      <c r="BS90" s="1"/>
      <c r="BT90" s="1"/>
      <c r="BU90" s="1"/>
      <c r="BV90" s="1"/>
      <c r="BX90" s="12">
        <f t="shared" si="115"/>
        <v>0</v>
      </c>
      <c r="BY90" s="10">
        <f t="shared" ref="BY90:CI90" si="138">IF(AND($F90&gt;BX$5,$F90 &lt;=BY$5), $G90, 0)</f>
        <v>0</v>
      </c>
      <c r="BZ90" s="10">
        <f t="shared" si="138"/>
        <v>0</v>
      </c>
      <c r="CA90" s="10">
        <f t="shared" si="138"/>
        <v>0</v>
      </c>
      <c r="CB90" s="10">
        <f t="shared" si="138"/>
        <v>0</v>
      </c>
      <c r="CC90" s="10">
        <f t="shared" si="138"/>
        <v>0</v>
      </c>
      <c r="CD90" s="10">
        <f t="shared" si="138"/>
        <v>0</v>
      </c>
      <c r="CE90" s="10">
        <f t="shared" si="138"/>
        <v>0</v>
      </c>
      <c r="CF90" s="10">
        <f t="shared" si="138"/>
        <v>0</v>
      </c>
      <c r="CG90" s="10">
        <f t="shared" si="138"/>
        <v>0</v>
      </c>
      <c r="CH90" s="10">
        <f t="shared" si="138"/>
        <v>0</v>
      </c>
      <c r="CI90" s="10">
        <f t="shared" si="138"/>
        <v>0</v>
      </c>
      <c r="CK90" s="11"/>
      <c r="CM90" s="11"/>
      <c r="CN90" s="7">
        <f t="shared" si="117"/>
        <v>0</v>
      </c>
      <c r="CO90" s="7">
        <f>IF(AND(G90&lt;&gt;0, IFERROR(MATCH(E90, Parameters!$D$45:$D$48, 0), "N/A")="N/A"), 1, 0)</f>
        <v>0</v>
      </c>
      <c r="CQ90" s="7">
        <f>IF($F90="", 0, IF(AND($F90&lt;=$CI$5, $F90&gt;=Timeline!$V$8), 0, 1))</f>
        <v>0</v>
      </c>
      <c r="CU90" s="7" cm="1">
        <f t="array" ref="CU90">SUMPRODUCT(--NOT(ISNUMBER(G90:G90)),--NOT(ISBLANK(G90:G90)))</f>
        <v>0</v>
      </c>
      <c r="CW90" s="7">
        <f t="shared" si="118"/>
        <v>0</v>
      </c>
      <c r="CX90" s="7">
        <f t="shared" si="119"/>
        <v>0</v>
      </c>
      <c r="CY90" s="7">
        <f t="shared" si="120"/>
        <v>0</v>
      </c>
      <c r="CZ90" s="650"/>
      <c r="DA90" s="35"/>
      <c r="DB90" s="215">
        <f t="shared" si="121"/>
        <v>0</v>
      </c>
      <c r="DC90" s="215">
        <f t="shared" si="122"/>
        <v>0</v>
      </c>
      <c r="DD90" s="215">
        <f t="shared" si="123"/>
        <v>0</v>
      </c>
      <c r="DE90" s="215">
        <f t="shared" si="124"/>
        <v>0</v>
      </c>
      <c r="DF90" s="215">
        <f t="shared" si="125"/>
        <v>0</v>
      </c>
      <c r="DG90" s="215">
        <f t="shared" si="126"/>
        <v>0</v>
      </c>
      <c r="DH90" s="215">
        <f t="shared" si="127"/>
        <v>0</v>
      </c>
      <c r="DI90" s="35"/>
      <c r="DJ90">
        <v>0</v>
      </c>
      <c r="DK90">
        <v>0</v>
      </c>
      <c r="DL90" s="35"/>
      <c r="EZ90" s="12" t="str">
        <f t="shared" si="128"/>
        <v>Surplus/Loss on Revaluation/ Fair Value Adjustment RV6</v>
      </c>
    </row>
    <row r="91" spans="1:156" x14ac:dyDescent="0.35">
      <c r="A91" s="220" cm="1">
        <f t="array" aca="1" ref="A91" ca="1">HYPERLINK(CONCATENATE("#",CELL("address",IF(MAX($CM91:$CZ91)=0,A91,INDEX($CM91:$CZ91,MATCH(1,$CM91:$CZ91,0))))),MAX($CM91:$CZ91))</f>
        <v>0</v>
      </c>
      <c r="C91" s="309" t="s">
        <v>830</v>
      </c>
      <c r="D91" s="114"/>
      <c r="E91" s="113"/>
      <c r="F91" s="110"/>
      <c r="G91" s="114"/>
      <c r="H91" t="s">
        <v>403</v>
      </c>
      <c r="I91" s="9"/>
      <c r="V91" s="12">
        <f>IF(AND($F91&gt;=Timeline!$V$8,$F91 &lt;=V$5), $G91, 0)</f>
        <v>0</v>
      </c>
      <c r="W91" s="10">
        <f t="shared" si="112"/>
        <v>0</v>
      </c>
      <c r="X91" s="10">
        <f t="shared" si="112"/>
        <v>0</v>
      </c>
      <c r="Y91" s="10">
        <f t="shared" si="112"/>
        <v>0</v>
      </c>
      <c r="AA91" s="133">
        <f t="shared" si="113"/>
        <v>0</v>
      </c>
      <c r="AB91" s="10">
        <f t="shared" ref="AB91:BJ91" si="139">IF(AND($F91&gt;AA$5,$F91 &lt;=AB$5), $G91, 0)</f>
        <v>0</v>
      </c>
      <c r="AC91" s="10">
        <f t="shared" si="139"/>
        <v>0</v>
      </c>
      <c r="AD91" s="10">
        <f t="shared" si="139"/>
        <v>0</v>
      </c>
      <c r="AE91" s="10">
        <f t="shared" si="139"/>
        <v>0</v>
      </c>
      <c r="AF91" s="10">
        <f t="shared" si="139"/>
        <v>0</v>
      </c>
      <c r="AG91" s="10">
        <f t="shared" si="139"/>
        <v>0</v>
      </c>
      <c r="AH91" s="10">
        <f t="shared" si="139"/>
        <v>0</v>
      </c>
      <c r="AI91" s="10">
        <f t="shared" si="139"/>
        <v>0</v>
      </c>
      <c r="AJ91" s="10">
        <f t="shared" si="139"/>
        <v>0</v>
      </c>
      <c r="AK91" s="10">
        <f t="shared" si="139"/>
        <v>0</v>
      </c>
      <c r="AL91" s="10">
        <f t="shared" si="139"/>
        <v>0</v>
      </c>
      <c r="AM91" s="10">
        <f t="shared" si="139"/>
        <v>0</v>
      </c>
      <c r="AN91" s="10">
        <f t="shared" si="139"/>
        <v>0</v>
      </c>
      <c r="AO91" s="10">
        <f t="shared" si="139"/>
        <v>0</v>
      </c>
      <c r="AP91" s="10">
        <f t="shared" si="139"/>
        <v>0</v>
      </c>
      <c r="AQ91" s="10">
        <f t="shared" si="139"/>
        <v>0</v>
      </c>
      <c r="AR91" s="10">
        <f t="shared" si="139"/>
        <v>0</v>
      </c>
      <c r="AS91" s="10">
        <f t="shared" si="139"/>
        <v>0</v>
      </c>
      <c r="AT91" s="10">
        <f t="shared" si="139"/>
        <v>0</v>
      </c>
      <c r="AU91" s="10">
        <f t="shared" si="139"/>
        <v>0</v>
      </c>
      <c r="AV91" s="10">
        <f t="shared" si="139"/>
        <v>0</v>
      </c>
      <c r="AW91" s="10">
        <f t="shared" si="139"/>
        <v>0</v>
      </c>
      <c r="AX91" s="10">
        <f t="shared" si="139"/>
        <v>0</v>
      </c>
      <c r="AY91" s="10">
        <f t="shared" si="139"/>
        <v>0</v>
      </c>
      <c r="AZ91" s="10">
        <f t="shared" si="139"/>
        <v>0</v>
      </c>
      <c r="BA91" s="10">
        <f t="shared" si="139"/>
        <v>0</v>
      </c>
      <c r="BB91" s="10">
        <f t="shared" si="139"/>
        <v>0</v>
      </c>
      <c r="BC91" s="10">
        <f t="shared" si="139"/>
        <v>0</v>
      </c>
      <c r="BD91" s="10">
        <f t="shared" si="139"/>
        <v>0</v>
      </c>
      <c r="BE91" s="10">
        <f t="shared" si="139"/>
        <v>0</v>
      </c>
      <c r="BF91" s="10">
        <f t="shared" si="139"/>
        <v>0</v>
      </c>
      <c r="BG91" s="10">
        <f t="shared" si="139"/>
        <v>0</v>
      </c>
      <c r="BH91" s="10">
        <f t="shared" si="139"/>
        <v>0</v>
      </c>
      <c r="BI91" s="10">
        <f t="shared" si="139"/>
        <v>0</v>
      </c>
      <c r="BJ91" s="10">
        <f t="shared" si="139"/>
        <v>0</v>
      </c>
      <c r="BK91" s="1"/>
      <c r="BL91" s="1"/>
      <c r="BM91" s="1"/>
      <c r="BN91" s="1"/>
      <c r="BO91" s="1"/>
      <c r="BP91" s="1"/>
      <c r="BQ91" s="1"/>
      <c r="BR91" s="1"/>
      <c r="BS91" s="1"/>
      <c r="BT91" s="1"/>
      <c r="BU91" s="1"/>
      <c r="BV91" s="1"/>
      <c r="BX91" s="12">
        <f t="shared" si="115"/>
        <v>0</v>
      </c>
      <c r="BY91" s="10">
        <f t="shared" ref="BY91:CI91" si="140">IF(AND($F91&gt;BX$5,$F91 &lt;=BY$5), $G91, 0)</f>
        <v>0</v>
      </c>
      <c r="BZ91" s="10">
        <f t="shared" si="140"/>
        <v>0</v>
      </c>
      <c r="CA91" s="10">
        <f t="shared" si="140"/>
        <v>0</v>
      </c>
      <c r="CB91" s="10">
        <f t="shared" si="140"/>
        <v>0</v>
      </c>
      <c r="CC91" s="10">
        <f t="shared" si="140"/>
        <v>0</v>
      </c>
      <c r="CD91" s="10">
        <f t="shared" si="140"/>
        <v>0</v>
      </c>
      <c r="CE91" s="10">
        <f t="shared" si="140"/>
        <v>0</v>
      </c>
      <c r="CF91" s="10">
        <f t="shared" si="140"/>
        <v>0</v>
      </c>
      <c r="CG91" s="10">
        <f t="shared" si="140"/>
        <v>0</v>
      </c>
      <c r="CH91" s="10">
        <f t="shared" si="140"/>
        <v>0</v>
      </c>
      <c r="CI91" s="10">
        <f t="shared" si="140"/>
        <v>0</v>
      </c>
      <c r="CK91" s="11"/>
      <c r="CM91" s="11"/>
      <c r="CN91" s="7">
        <f t="shared" si="117"/>
        <v>0</v>
      </c>
      <c r="CO91" s="7">
        <f>IF(AND(G91&lt;&gt;0, IFERROR(MATCH(E91, Parameters!$D$45:$D$48, 0), "N/A")="N/A"), 1, 0)</f>
        <v>0</v>
      </c>
      <c r="CQ91" s="7">
        <f>IF($F91="", 0, IF(AND($F91&lt;=$CI$5, $F91&gt;=Timeline!$V$8), 0, 1))</f>
        <v>0</v>
      </c>
      <c r="CU91" s="7" cm="1">
        <f t="array" ref="CU91">SUMPRODUCT(--NOT(ISNUMBER(G91:G91)),--NOT(ISBLANK(G91:G91)))</f>
        <v>0</v>
      </c>
      <c r="CW91" s="7">
        <f t="shared" si="118"/>
        <v>0</v>
      </c>
      <c r="CX91" s="7">
        <f t="shared" si="119"/>
        <v>0</v>
      </c>
      <c r="CY91" s="7">
        <f t="shared" si="120"/>
        <v>0</v>
      </c>
      <c r="CZ91" s="650"/>
      <c r="DA91" s="35"/>
      <c r="DB91" s="215">
        <f t="shared" si="121"/>
        <v>0</v>
      </c>
      <c r="DC91" s="215">
        <f t="shared" si="122"/>
        <v>0</v>
      </c>
      <c r="DD91" s="215">
        <f t="shared" si="123"/>
        <v>0</v>
      </c>
      <c r="DE91" s="215">
        <f t="shared" si="124"/>
        <v>0</v>
      </c>
      <c r="DF91" s="215">
        <f t="shared" si="125"/>
        <v>0</v>
      </c>
      <c r="DG91" s="215">
        <f t="shared" si="126"/>
        <v>0</v>
      </c>
      <c r="DH91" s="215">
        <f t="shared" si="127"/>
        <v>0</v>
      </c>
      <c r="DI91" s="35"/>
      <c r="DJ91">
        <v>0</v>
      </c>
      <c r="DK91">
        <v>0</v>
      </c>
      <c r="DL91" s="35"/>
      <c r="EZ91" s="12" t="str">
        <f t="shared" si="128"/>
        <v>Surplus/Loss on Revaluation/ Fair Value Adjustment RV7</v>
      </c>
    </row>
    <row r="92" spans="1:156" x14ac:dyDescent="0.35">
      <c r="A92" s="220" cm="1">
        <f t="array" aca="1" ref="A92" ca="1">HYPERLINK(CONCATENATE("#",CELL("address",IF(MAX($CM92:$CZ92)=0,A92,INDEX($CM92:$CZ92,MATCH(1,$CM92:$CZ92,0))))),MAX($CM92:$CZ92))</f>
        <v>0</v>
      </c>
      <c r="C92" s="309" t="s">
        <v>831</v>
      </c>
      <c r="D92" s="114"/>
      <c r="E92" s="113"/>
      <c r="F92" s="110"/>
      <c r="G92" s="114"/>
      <c r="H92" t="s">
        <v>403</v>
      </c>
      <c r="I92" s="9"/>
      <c r="V92" s="12">
        <f>IF(AND($F92&gt;=Timeline!$V$8,$F92 &lt;=V$5), $G92, 0)</f>
        <v>0</v>
      </c>
      <c r="W92" s="10">
        <f t="shared" si="112"/>
        <v>0</v>
      </c>
      <c r="X92" s="10">
        <f t="shared" si="112"/>
        <v>0</v>
      </c>
      <c r="Y92" s="10">
        <f t="shared" si="112"/>
        <v>0</v>
      </c>
      <c r="AA92" s="133">
        <f t="shared" si="113"/>
        <v>0</v>
      </c>
      <c r="AB92" s="10">
        <f t="shared" ref="AB92:BJ92" si="141">IF(AND($F92&gt;AA$5,$F92 &lt;=AB$5), $G92, 0)</f>
        <v>0</v>
      </c>
      <c r="AC92" s="10">
        <f t="shared" si="141"/>
        <v>0</v>
      </c>
      <c r="AD92" s="10">
        <f t="shared" si="141"/>
        <v>0</v>
      </c>
      <c r="AE92" s="10">
        <f t="shared" si="141"/>
        <v>0</v>
      </c>
      <c r="AF92" s="10">
        <f t="shared" si="141"/>
        <v>0</v>
      </c>
      <c r="AG92" s="10">
        <f t="shared" si="141"/>
        <v>0</v>
      </c>
      <c r="AH92" s="10">
        <f t="shared" si="141"/>
        <v>0</v>
      </c>
      <c r="AI92" s="10">
        <f t="shared" si="141"/>
        <v>0</v>
      </c>
      <c r="AJ92" s="10">
        <f t="shared" si="141"/>
        <v>0</v>
      </c>
      <c r="AK92" s="10">
        <f t="shared" si="141"/>
        <v>0</v>
      </c>
      <c r="AL92" s="10">
        <f t="shared" si="141"/>
        <v>0</v>
      </c>
      <c r="AM92" s="10">
        <f t="shared" si="141"/>
        <v>0</v>
      </c>
      <c r="AN92" s="10">
        <f t="shared" si="141"/>
        <v>0</v>
      </c>
      <c r="AO92" s="10">
        <f t="shared" si="141"/>
        <v>0</v>
      </c>
      <c r="AP92" s="10">
        <f t="shared" si="141"/>
        <v>0</v>
      </c>
      <c r="AQ92" s="10">
        <f t="shared" si="141"/>
        <v>0</v>
      </c>
      <c r="AR92" s="10">
        <f t="shared" si="141"/>
        <v>0</v>
      </c>
      <c r="AS92" s="10">
        <f t="shared" si="141"/>
        <v>0</v>
      </c>
      <c r="AT92" s="10">
        <f t="shared" si="141"/>
        <v>0</v>
      </c>
      <c r="AU92" s="10">
        <f t="shared" si="141"/>
        <v>0</v>
      </c>
      <c r="AV92" s="10">
        <f t="shared" si="141"/>
        <v>0</v>
      </c>
      <c r="AW92" s="10">
        <f t="shared" si="141"/>
        <v>0</v>
      </c>
      <c r="AX92" s="10">
        <f t="shared" si="141"/>
        <v>0</v>
      </c>
      <c r="AY92" s="10">
        <f t="shared" si="141"/>
        <v>0</v>
      </c>
      <c r="AZ92" s="10">
        <f t="shared" si="141"/>
        <v>0</v>
      </c>
      <c r="BA92" s="10">
        <f t="shared" si="141"/>
        <v>0</v>
      </c>
      <c r="BB92" s="10">
        <f t="shared" si="141"/>
        <v>0</v>
      </c>
      <c r="BC92" s="10">
        <f t="shared" si="141"/>
        <v>0</v>
      </c>
      <c r="BD92" s="10">
        <f t="shared" si="141"/>
        <v>0</v>
      </c>
      <c r="BE92" s="10">
        <f t="shared" si="141"/>
        <v>0</v>
      </c>
      <c r="BF92" s="10">
        <f t="shared" si="141"/>
        <v>0</v>
      </c>
      <c r="BG92" s="10">
        <f t="shared" si="141"/>
        <v>0</v>
      </c>
      <c r="BH92" s="10">
        <f t="shared" si="141"/>
        <v>0</v>
      </c>
      <c r="BI92" s="10">
        <f t="shared" si="141"/>
        <v>0</v>
      </c>
      <c r="BJ92" s="10">
        <f t="shared" si="141"/>
        <v>0</v>
      </c>
      <c r="BK92" s="1"/>
      <c r="BL92" s="1"/>
      <c r="BM92" s="1"/>
      <c r="BN92" s="1"/>
      <c r="BO92" s="1"/>
      <c r="BP92" s="1"/>
      <c r="BQ92" s="1"/>
      <c r="BR92" s="1"/>
      <c r="BS92" s="1"/>
      <c r="BT92" s="1"/>
      <c r="BU92" s="1"/>
      <c r="BV92" s="1"/>
      <c r="BX92" s="12">
        <f t="shared" si="115"/>
        <v>0</v>
      </c>
      <c r="BY92" s="10">
        <f t="shared" ref="BY92:CI92" si="142">IF(AND($F92&gt;BX$5,$F92 &lt;=BY$5), $G92, 0)</f>
        <v>0</v>
      </c>
      <c r="BZ92" s="10">
        <f t="shared" si="142"/>
        <v>0</v>
      </c>
      <c r="CA92" s="10">
        <f t="shared" si="142"/>
        <v>0</v>
      </c>
      <c r="CB92" s="10">
        <f t="shared" si="142"/>
        <v>0</v>
      </c>
      <c r="CC92" s="10">
        <f t="shared" si="142"/>
        <v>0</v>
      </c>
      <c r="CD92" s="10">
        <f t="shared" si="142"/>
        <v>0</v>
      </c>
      <c r="CE92" s="10">
        <f t="shared" si="142"/>
        <v>0</v>
      </c>
      <c r="CF92" s="10">
        <f t="shared" si="142"/>
        <v>0</v>
      </c>
      <c r="CG92" s="10">
        <f t="shared" si="142"/>
        <v>0</v>
      </c>
      <c r="CH92" s="10">
        <f t="shared" si="142"/>
        <v>0</v>
      </c>
      <c r="CI92" s="10">
        <f t="shared" si="142"/>
        <v>0</v>
      </c>
      <c r="CK92" s="11"/>
      <c r="CM92" s="11"/>
      <c r="CN92" s="7">
        <f t="shared" si="117"/>
        <v>0</v>
      </c>
      <c r="CO92" s="7">
        <f>IF(AND(G92&lt;&gt;0, IFERROR(MATCH(E92, Parameters!$D$45:$D$48, 0), "N/A")="N/A"), 1, 0)</f>
        <v>0</v>
      </c>
      <c r="CQ92" s="7">
        <f>IF($F92="", 0, IF(AND($F92&lt;=$CI$5, $F92&gt;=Timeline!$V$8), 0, 1))</f>
        <v>0</v>
      </c>
      <c r="CU92" s="7" cm="1">
        <f t="array" ref="CU92">SUMPRODUCT(--NOT(ISNUMBER(G92:G92)),--NOT(ISBLANK(G92:G92)))</f>
        <v>0</v>
      </c>
      <c r="CW92" s="7">
        <f t="shared" si="118"/>
        <v>0</v>
      </c>
      <c r="CX92" s="7">
        <f t="shared" si="119"/>
        <v>0</v>
      </c>
      <c r="CY92" s="7">
        <f t="shared" si="120"/>
        <v>0</v>
      </c>
      <c r="CZ92" s="650"/>
      <c r="DA92" s="35"/>
      <c r="DB92" s="215">
        <f t="shared" si="121"/>
        <v>0</v>
      </c>
      <c r="DC92" s="215">
        <f t="shared" si="122"/>
        <v>0</v>
      </c>
      <c r="DD92" s="215">
        <f t="shared" si="123"/>
        <v>0</v>
      </c>
      <c r="DE92" s="215">
        <f t="shared" si="124"/>
        <v>0</v>
      </c>
      <c r="DF92" s="215">
        <f t="shared" si="125"/>
        <v>0</v>
      </c>
      <c r="DG92" s="215">
        <f t="shared" si="126"/>
        <v>0</v>
      </c>
      <c r="DH92" s="215">
        <f t="shared" si="127"/>
        <v>0</v>
      </c>
      <c r="DI92" s="35"/>
      <c r="DJ92">
        <v>0</v>
      </c>
      <c r="DK92">
        <v>0</v>
      </c>
      <c r="DL92" s="35"/>
      <c r="EZ92" s="12" t="str">
        <f t="shared" si="128"/>
        <v>Surplus/Loss on Revaluation/ Fair Value Adjustment RV8</v>
      </c>
    </row>
    <row r="93" spans="1:156" x14ac:dyDescent="0.35">
      <c r="A93" s="220" cm="1">
        <f t="array" aca="1" ref="A93" ca="1">HYPERLINK(CONCATENATE("#",CELL("address",IF(MAX($CM93:$CZ93)=0,A93,INDEX($CM93:$CZ93,MATCH(1,$CM93:$CZ93,0))))),MAX($CM93:$CZ93))</f>
        <v>0</v>
      </c>
      <c r="C93" s="309" t="s">
        <v>832</v>
      </c>
      <c r="D93" s="114"/>
      <c r="E93" s="113"/>
      <c r="F93" s="110"/>
      <c r="G93" s="114"/>
      <c r="H93" t="s">
        <v>403</v>
      </c>
      <c r="I93" s="9"/>
      <c r="V93" s="12">
        <f>IF(AND($F93&gt;=Timeline!$V$8,$F93 &lt;=V$5), $G93, 0)</f>
        <v>0</v>
      </c>
      <c r="W93" s="10">
        <f t="shared" si="112"/>
        <v>0</v>
      </c>
      <c r="X93" s="10">
        <f t="shared" si="112"/>
        <v>0</v>
      </c>
      <c r="Y93" s="10">
        <f t="shared" si="112"/>
        <v>0</v>
      </c>
      <c r="AA93" s="133">
        <f t="shared" si="113"/>
        <v>0</v>
      </c>
      <c r="AB93" s="10">
        <f t="shared" ref="AB93:BJ93" si="143">IF(AND($F93&gt;AA$5,$F93 &lt;=AB$5), $G93, 0)</f>
        <v>0</v>
      </c>
      <c r="AC93" s="10">
        <f t="shared" si="143"/>
        <v>0</v>
      </c>
      <c r="AD93" s="10">
        <f t="shared" si="143"/>
        <v>0</v>
      </c>
      <c r="AE93" s="10">
        <f t="shared" si="143"/>
        <v>0</v>
      </c>
      <c r="AF93" s="10">
        <f t="shared" si="143"/>
        <v>0</v>
      </c>
      <c r="AG93" s="10">
        <f t="shared" si="143"/>
        <v>0</v>
      </c>
      <c r="AH93" s="10">
        <f t="shared" si="143"/>
        <v>0</v>
      </c>
      <c r="AI93" s="10">
        <f t="shared" si="143"/>
        <v>0</v>
      </c>
      <c r="AJ93" s="10">
        <f t="shared" si="143"/>
        <v>0</v>
      </c>
      <c r="AK93" s="10">
        <f t="shared" si="143"/>
        <v>0</v>
      </c>
      <c r="AL93" s="10">
        <f t="shared" si="143"/>
        <v>0</v>
      </c>
      <c r="AM93" s="10">
        <f t="shared" si="143"/>
        <v>0</v>
      </c>
      <c r="AN93" s="10">
        <f t="shared" si="143"/>
        <v>0</v>
      </c>
      <c r="AO93" s="10">
        <f t="shared" si="143"/>
        <v>0</v>
      </c>
      <c r="AP93" s="10">
        <f t="shared" si="143"/>
        <v>0</v>
      </c>
      <c r="AQ93" s="10">
        <f t="shared" si="143"/>
        <v>0</v>
      </c>
      <c r="AR93" s="10">
        <f t="shared" si="143"/>
        <v>0</v>
      </c>
      <c r="AS93" s="10">
        <f t="shared" si="143"/>
        <v>0</v>
      </c>
      <c r="AT93" s="10">
        <f t="shared" si="143"/>
        <v>0</v>
      </c>
      <c r="AU93" s="10">
        <f t="shared" si="143"/>
        <v>0</v>
      </c>
      <c r="AV93" s="10">
        <f t="shared" si="143"/>
        <v>0</v>
      </c>
      <c r="AW93" s="10">
        <f t="shared" si="143"/>
        <v>0</v>
      </c>
      <c r="AX93" s="10">
        <f t="shared" si="143"/>
        <v>0</v>
      </c>
      <c r="AY93" s="10">
        <f t="shared" si="143"/>
        <v>0</v>
      </c>
      <c r="AZ93" s="10">
        <f t="shared" si="143"/>
        <v>0</v>
      </c>
      <c r="BA93" s="10">
        <f t="shared" si="143"/>
        <v>0</v>
      </c>
      <c r="BB93" s="10">
        <f t="shared" si="143"/>
        <v>0</v>
      </c>
      <c r="BC93" s="10">
        <f t="shared" si="143"/>
        <v>0</v>
      </c>
      <c r="BD93" s="10">
        <f t="shared" si="143"/>
        <v>0</v>
      </c>
      <c r="BE93" s="10">
        <f t="shared" si="143"/>
        <v>0</v>
      </c>
      <c r="BF93" s="10">
        <f t="shared" si="143"/>
        <v>0</v>
      </c>
      <c r="BG93" s="10">
        <f t="shared" si="143"/>
        <v>0</v>
      </c>
      <c r="BH93" s="10">
        <f t="shared" si="143"/>
        <v>0</v>
      </c>
      <c r="BI93" s="10">
        <f t="shared" si="143"/>
        <v>0</v>
      </c>
      <c r="BJ93" s="10">
        <f t="shared" si="143"/>
        <v>0</v>
      </c>
      <c r="BK93" s="1"/>
      <c r="BL93" s="1"/>
      <c r="BM93" s="1"/>
      <c r="BN93" s="1"/>
      <c r="BO93" s="1"/>
      <c r="BP93" s="1"/>
      <c r="BQ93" s="1"/>
      <c r="BR93" s="1"/>
      <c r="BS93" s="1"/>
      <c r="BT93" s="1"/>
      <c r="BU93" s="1"/>
      <c r="BV93" s="1"/>
      <c r="BX93" s="12">
        <f t="shared" si="115"/>
        <v>0</v>
      </c>
      <c r="BY93" s="10">
        <f t="shared" ref="BY93:CI93" si="144">IF(AND($F93&gt;BX$5,$F93 &lt;=BY$5), $G93, 0)</f>
        <v>0</v>
      </c>
      <c r="BZ93" s="10">
        <f t="shared" si="144"/>
        <v>0</v>
      </c>
      <c r="CA93" s="10">
        <f t="shared" si="144"/>
        <v>0</v>
      </c>
      <c r="CB93" s="10">
        <f t="shared" si="144"/>
        <v>0</v>
      </c>
      <c r="CC93" s="10">
        <f t="shared" si="144"/>
        <v>0</v>
      </c>
      <c r="CD93" s="10">
        <f t="shared" si="144"/>
        <v>0</v>
      </c>
      <c r="CE93" s="10">
        <f t="shared" si="144"/>
        <v>0</v>
      </c>
      <c r="CF93" s="10">
        <f t="shared" si="144"/>
        <v>0</v>
      </c>
      <c r="CG93" s="10">
        <f t="shared" si="144"/>
        <v>0</v>
      </c>
      <c r="CH93" s="10">
        <f t="shared" si="144"/>
        <v>0</v>
      </c>
      <c r="CI93" s="10">
        <f t="shared" si="144"/>
        <v>0</v>
      </c>
      <c r="CK93" s="11"/>
      <c r="CM93" s="11"/>
      <c r="CN93" s="7">
        <f t="shared" si="117"/>
        <v>0</v>
      </c>
      <c r="CO93" s="7">
        <f>IF(AND(G93&lt;&gt;0, IFERROR(MATCH(E93, Parameters!$D$45:$D$48, 0), "N/A")="N/A"), 1, 0)</f>
        <v>0</v>
      </c>
      <c r="CQ93" s="7">
        <f>IF($F93="", 0, IF(AND($F93&lt;=$CI$5, $F93&gt;=Timeline!$V$8), 0, 1))</f>
        <v>0</v>
      </c>
      <c r="CU93" s="7" cm="1">
        <f t="array" ref="CU93">SUMPRODUCT(--NOT(ISNUMBER(G93:G93)),--NOT(ISBLANK(G93:G93)))</f>
        <v>0</v>
      </c>
      <c r="CW93" s="7">
        <f t="shared" si="118"/>
        <v>0</v>
      </c>
      <c r="CX93" s="7">
        <f t="shared" si="119"/>
        <v>0</v>
      </c>
      <c r="CY93" s="7">
        <f t="shared" si="120"/>
        <v>0</v>
      </c>
      <c r="CZ93" s="650"/>
      <c r="DA93" s="35"/>
      <c r="DB93" s="215">
        <f t="shared" si="121"/>
        <v>0</v>
      </c>
      <c r="DC93" s="215">
        <f t="shared" si="122"/>
        <v>0</v>
      </c>
      <c r="DD93" s="215">
        <f t="shared" si="123"/>
        <v>0</v>
      </c>
      <c r="DE93" s="215">
        <f t="shared" si="124"/>
        <v>0</v>
      </c>
      <c r="DF93" s="215">
        <f t="shared" si="125"/>
        <v>0</v>
      </c>
      <c r="DG93" s="215">
        <f t="shared" si="126"/>
        <v>0</v>
      </c>
      <c r="DH93" s="215">
        <f t="shared" si="127"/>
        <v>0</v>
      </c>
      <c r="DI93" s="35"/>
      <c r="DJ93">
        <v>0</v>
      </c>
      <c r="DK93">
        <v>0</v>
      </c>
      <c r="DL93" s="35"/>
      <c r="EZ93" s="12" t="str">
        <f t="shared" si="128"/>
        <v>Surplus/Loss on Revaluation/ Fair Value Adjustment RV9</v>
      </c>
    </row>
    <row r="94" spans="1:156" x14ac:dyDescent="0.35">
      <c r="A94" s="220" cm="1">
        <f t="array" aca="1" ref="A94" ca="1">HYPERLINK(CONCATENATE("#",CELL("address",IF(MAX($CM94:$CZ94)=0,A94,INDEX($CM94:$CZ94,MATCH(1,$CM94:$CZ94,0))))),MAX($CM94:$CZ94))</f>
        <v>0</v>
      </c>
      <c r="C94" s="309" t="s">
        <v>833</v>
      </c>
      <c r="D94" s="114"/>
      <c r="E94" s="113"/>
      <c r="F94" s="110"/>
      <c r="G94" s="114"/>
      <c r="H94" t="s">
        <v>403</v>
      </c>
      <c r="I94" s="9"/>
      <c r="V94" s="12">
        <f>IF(AND($F94&gt;=Timeline!$V$8,$F94 &lt;=V$5), $G94, 0)</f>
        <v>0</v>
      </c>
      <c r="W94" s="10">
        <f t="shared" si="112"/>
        <v>0</v>
      </c>
      <c r="X94" s="10">
        <f t="shared" si="112"/>
        <v>0</v>
      </c>
      <c r="Y94" s="10">
        <f t="shared" si="112"/>
        <v>0</v>
      </c>
      <c r="AA94" s="133">
        <f t="shared" si="113"/>
        <v>0</v>
      </c>
      <c r="AB94" s="10">
        <f t="shared" ref="AB94:BJ94" si="145">IF(AND($F94&gt;AA$5,$F94 &lt;=AB$5), $G94, 0)</f>
        <v>0</v>
      </c>
      <c r="AC94" s="10">
        <f t="shared" si="145"/>
        <v>0</v>
      </c>
      <c r="AD94" s="10">
        <f t="shared" si="145"/>
        <v>0</v>
      </c>
      <c r="AE94" s="10">
        <f t="shared" si="145"/>
        <v>0</v>
      </c>
      <c r="AF94" s="10">
        <f t="shared" si="145"/>
        <v>0</v>
      </c>
      <c r="AG94" s="10">
        <f t="shared" si="145"/>
        <v>0</v>
      </c>
      <c r="AH94" s="10">
        <f t="shared" si="145"/>
        <v>0</v>
      </c>
      <c r="AI94" s="10">
        <f t="shared" si="145"/>
        <v>0</v>
      </c>
      <c r="AJ94" s="10">
        <f t="shared" si="145"/>
        <v>0</v>
      </c>
      <c r="AK94" s="10">
        <f t="shared" si="145"/>
        <v>0</v>
      </c>
      <c r="AL94" s="10">
        <f t="shared" si="145"/>
        <v>0</v>
      </c>
      <c r="AM94" s="10">
        <f t="shared" si="145"/>
        <v>0</v>
      </c>
      <c r="AN94" s="10">
        <f t="shared" si="145"/>
        <v>0</v>
      </c>
      <c r="AO94" s="10">
        <f t="shared" si="145"/>
        <v>0</v>
      </c>
      <c r="AP94" s="10">
        <f t="shared" si="145"/>
        <v>0</v>
      </c>
      <c r="AQ94" s="10">
        <f t="shared" si="145"/>
        <v>0</v>
      </c>
      <c r="AR94" s="10">
        <f t="shared" si="145"/>
        <v>0</v>
      </c>
      <c r="AS94" s="10">
        <f t="shared" si="145"/>
        <v>0</v>
      </c>
      <c r="AT94" s="10">
        <f t="shared" si="145"/>
        <v>0</v>
      </c>
      <c r="AU94" s="10">
        <f t="shared" si="145"/>
        <v>0</v>
      </c>
      <c r="AV94" s="10">
        <f t="shared" si="145"/>
        <v>0</v>
      </c>
      <c r="AW94" s="10">
        <f t="shared" si="145"/>
        <v>0</v>
      </c>
      <c r="AX94" s="10">
        <f t="shared" si="145"/>
        <v>0</v>
      </c>
      <c r="AY94" s="10">
        <f t="shared" si="145"/>
        <v>0</v>
      </c>
      <c r="AZ94" s="10">
        <f t="shared" si="145"/>
        <v>0</v>
      </c>
      <c r="BA94" s="10">
        <f t="shared" si="145"/>
        <v>0</v>
      </c>
      <c r="BB94" s="10">
        <f t="shared" si="145"/>
        <v>0</v>
      </c>
      <c r="BC94" s="10">
        <f t="shared" si="145"/>
        <v>0</v>
      </c>
      <c r="BD94" s="10">
        <f t="shared" si="145"/>
        <v>0</v>
      </c>
      <c r="BE94" s="10">
        <f t="shared" si="145"/>
        <v>0</v>
      </c>
      <c r="BF94" s="10">
        <f t="shared" si="145"/>
        <v>0</v>
      </c>
      <c r="BG94" s="10">
        <f t="shared" si="145"/>
        <v>0</v>
      </c>
      <c r="BH94" s="10">
        <f t="shared" si="145"/>
        <v>0</v>
      </c>
      <c r="BI94" s="10">
        <f t="shared" si="145"/>
        <v>0</v>
      </c>
      <c r="BJ94" s="10">
        <f t="shared" si="145"/>
        <v>0</v>
      </c>
      <c r="BK94" s="1"/>
      <c r="BL94" s="1"/>
      <c r="BM94" s="1"/>
      <c r="BN94" s="1"/>
      <c r="BO94" s="1"/>
      <c r="BP94" s="1"/>
      <c r="BQ94" s="1"/>
      <c r="BR94" s="1"/>
      <c r="BS94" s="1"/>
      <c r="BT94" s="1"/>
      <c r="BU94" s="1"/>
      <c r="BV94" s="1"/>
      <c r="BX94" s="12">
        <f t="shared" si="115"/>
        <v>0</v>
      </c>
      <c r="BY94" s="10">
        <f t="shared" ref="BY94:CI94" si="146">IF(AND($F94&gt;BX$5,$F94 &lt;=BY$5), $G94, 0)</f>
        <v>0</v>
      </c>
      <c r="BZ94" s="10">
        <f t="shared" si="146"/>
        <v>0</v>
      </c>
      <c r="CA94" s="10">
        <f t="shared" si="146"/>
        <v>0</v>
      </c>
      <c r="CB94" s="10">
        <f t="shared" si="146"/>
        <v>0</v>
      </c>
      <c r="CC94" s="10">
        <f t="shared" si="146"/>
        <v>0</v>
      </c>
      <c r="CD94" s="10">
        <f t="shared" si="146"/>
        <v>0</v>
      </c>
      <c r="CE94" s="10">
        <f t="shared" si="146"/>
        <v>0</v>
      </c>
      <c r="CF94" s="10">
        <f t="shared" si="146"/>
        <v>0</v>
      </c>
      <c r="CG94" s="10">
        <f t="shared" si="146"/>
        <v>0</v>
      </c>
      <c r="CH94" s="10">
        <f t="shared" si="146"/>
        <v>0</v>
      </c>
      <c r="CI94" s="10">
        <f t="shared" si="146"/>
        <v>0</v>
      </c>
      <c r="CK94" s="11"/>
      <c r="CM94" s="11"/>
      <c r="CN94" s="7">
        <f t="shared" si="117"/>
        <v>0</v>
      </c>
      <c r="CO94" s="7">
        <f>IF(AND(G94&lt;&gt;0, IFERROR(MATCH(E94, Parameters!$D$45:$D$48, 0), "N/A")="N/A"), 1, 0)</f>
        <v>0</v>
      </c>
      <c r="CQ94" s="7">
        <f>IF($F94="", 0, IF(AND($F94&lt;=$CI$5, $F94&gt;=Timeline!$V$8), 0, 1))</f>
        <v>0</v>
      </c>
      <c r="CU94" s="7" cm="1">
        <f t="array" ref="CU94">SUMPRODUCT(--NOT(ISNUMBER(G94:G94)),--NOT(ISBLANK(G94:G94)))</f>
        <v>0</v>
      </c>
      <c r="CW94" s="7">
        <f t="shared" si="118"/>
        <v>0</v>
      </c>
      <c r="CX94" s="7">
        <f t="shared" si="119"/>
        <v>0</v>
      </c>
      <c r="CY94" s="7">
        <f t="shared" si="120"/>
        <v>0</v>
      </c>
      <c r="CZ94" s="650"/>
      <c r="DA94" s="35"/>
      <c r="DB94" s="215">
        <f t="shared" si="121"/>
        <v>0</v>
      </c>
      <c r="DC94" s="215">
        <f t="shared" si="122"/>
        <v>0</v>
      </c>
      <c r="DD94" s="215">
        <f t="shared" si="123"/>
        <v>0</v>
      </c>
      <c r="DE94" s="215">
        <f t="shared" si="124"/>
        <v>0</v>
      </c>
      <c r="DF94" s="215">
        <f t="shared" si="125"/>
        <v>0</v>
      </c>
      <c r="DG94" s="215">
        <f t="shared" si="126"/>
        <v>0</v>
      </c>
      <c r="DH94" s="215">
        <f t="shared" si="127"/>
        <v>0</v>
      </c>
      <c r="DI94" s="35"/>
      <c r="DJ94">
        <v>0</v>
      </c>
      <c r="DK94">
        <v>0</v>
      </c>
      <c r="DL94" s="35"/>
      <c r="EZ94" s="12" t="str">
        <f t="shared" si="128"/>
        <v>Surplus/Loss on Revaluation/ Fair Value Adjustment RV10</v>
      </c>
    </row>
    <row r="95" spans="1:156" x14ac:dyDescent="0.35">
      <c r="A95" s="220" cm="1">
        <f t="array" aca="1" ref="A95" ca="1">HYPERLINK(CONCATENATE("#",CELL("address",IF(MAX($CM95:$CZ95)=0,A95,INDEX($CM95:$CZ95,MATCH(1,$CM95:$CZ95,0))))),MAX($CM95:$CZ95))</f>
        <v>0</v>
      </c>
      <c r="C95" s="309" t="s">
        <v>834</v>
      </c>
      <c r="D95" s="114"/>
      <c r="E95" s="113"/>
      <c r="F95" s="110"/>
      <c r="G95" s="114"/>
      <c r="H95" t="s">
        <v>403</v>
      </c>
      <c r="I95" s="9"/>
      <c r="V95" s="12">
        <f>IF(AND($F95&gt;=Timeline!$V$8,$F95 &lt;=V$5), $G95, 0)</f>
        <v>0</v>
      </c>
      <c r="W95" s="10">
        <f t="shared" si="112"/>
        <v>0</v>
      </c>
      <c r="X95" s="10">
        <f t="shared" si="112"/>
        <v>0</v>
      </c>
      <c r="Y95" s="10">
        <f t="shared" si="112"/>
        <v>0</v>
      </c>
      <c r="AA95" s="133">
        <f t="shared" si="113"/>
        <v>0</v>
      </c>
      <c r="AB95" s="10">
        <f t="shared" ref="AB95:BJ95" si="147">IF(AND($F95&gt;AA$5,$F95 &lt;=AB$5), $G95, 0)</f>
        <v>0</v>
      </c>
      <c r="AC95" s="10">
        <f t="shared" si="147"/>
        <v>0</v>
      </c>
      <c r="AD95" s="10">
        <f t="shared" si="147"/>
        <v>0</v>
      </c>
      <c r="AE95" s="10">
        <f t="shared" si="147"/>
        <v>0</v>
      </c>
      <c r="AF95" s="10">
        <f t="shared" si="147"/>
        <v>0</v>
      </c>
      <c r="AG95" s="10">
        <f t="shared" si="147"/>
        <v>0</v>
      </c>
      <c r="AH95" s="10">
        <f t="shared" si="147"/>
        <v>0</v>
      </c>
      <c r="AI95" s="10">
        <f t="shared" si="147"/>
        <v>0</v>
      </c>
      <c r="AJ95" s="10">
        <f t="shared" si="147"/>
        <v>0</v>
      </c>
      <c r="AK95" s="10">
        <f t="shared" si="147"/>
        <v>0</v>
      </c>
      <c r="AL95" s="10">
        <f t="shared" si="147"/>
        <v>0</v>
      </c>
      <c r="AM95" s="10">
        <f t="shared" si="147"/>
        <v>0</v>
      </c>
      <c r="AN95" s="10">
        <f t="shared" si="147"/>
        <v>0</v>
      </c>
      <c r="AO95" s="10">
        <f t="shared" si="147"/>
        <v>0</v>
      </c>
      <c r="AP95" s="10">
        <f t="shared" si="147"/>
        <v>0</v>
      </c>
      <c r="AQ95" s="10">
        <f t="shared" si="147"/>
        <v>0</v>
      </c>
      <c r="AR95" s="10">
        <f t="shared" si="147"/>
        <v>0</v>
      </c>
      <c r="AS95" s="10">
        <f t="shared" si="147"/>
        <v>0</v>
      </c>
      <c r="AT95" s="10">
        <f t="shared" si="147"/>
        <v>0</v>
      </c>
      <c r="AU95" s="10">
        <f t="shared" si="147"/>
        <v>0</v>
      </c>
      <c r="AV95" s="10">
        <f t="shared" si="147"/>
        <v>0</v>
      </c>
      <c r="AW95" s="10">
        <f t="shared" si="147"/>
        <v>0</v>
      </c>
      <c r="AX95" s="10">
        <f t="shared" si="147"/>
        <v>0</v>
      </c>
      <c r="AY95" s="10">
        <f t="shared" si="147"/>
        <v>0</v>
      </c>
      <c r="AZ95" s="10">
        <f t="shared" si="147"/>
        <v>0</v>
      </c>
      <c r="BA95" s="10">
        <f t="shared" si="147"/>
        <v>0</v>
      </c>
      <c r="BB95" s="10">
        <f t="shared" si="147"/>
        <v>0</v>
      </c>
      <c r="BC95" s="10">
        <f t="shared" si="147"/>
        <v>0</v>
      </c>
      <c r="BD95" s="10">
        <f t="shared" si="147"/>
        <v>0</v>
      </c>
      <c r="BE95" s="10">
        <f t="shared" si="147"/>
        <v>0</v>
      </c>
      <c r="BF95" s="10">
        <f t="shared" si="147"/>
        <v>0</v>
      </c>
      <c r="BG95" s="10">
        <f t="shared" si="147"/>
        <v>0</v>
      </c>
      <c r="BH95" s="10">
        <f t="shared" si="147"/>
        <v>0</v>
      </c>
      <c r="BI95" s="10">
        <f t="shared" si="147"/>
        <v>0</v>
      </c>
      <c r="BJ95" s="10">
        <f t="shared" si="147"/>
        <v>0</v>
      </c>
      <c r="BK95" s="1"/>
      <c r="BL95" s="1"/>
      <c r="BM95" s="1"/>
      <c r="BN95" s="1"/>
      <c r="BO95" s="1"/>
      <c r="BP95" s="1"/>
      <c r="BQ95" s="1"/>
      <c r="BR95" s="1"/>
      <c r="BS95" s="1"/>
      <c r="BT95" s="1"/>
      <c r="BU95" s="1"/>
      <c r="BV95" s="1"/>
      <c r="BX95" s="12">
        <f t="shared" si="115"/>
        <v>0</v>
      </c>
      <c r="BY95" s="10">
        <f t="shared" ref="BY95:CI95" si="148">IF(AND($F95&gt;BX$5,$F95 &lt;=BY$5), $G95, 0)</f>
        <v>0</v>
      </c>
      <c r="BZ95" s="10">
        <f t="shared" si="148"/>
        <v>0</v>
      </c>
      <c r="CA95" s="10">
        <f t="shared" si="148"/>
        <v>0</v>
      </c>
      <c r="CB95" s="10">
        <f t="shared" si="148"/>
        <v>0</v>
      </c>
      <c r="CC95" s="10">
        <f t="shared" si="148"/>
        <v>0</v>
      </c>
      <c r="CD95" s="10">
        <f t="shared" si="148"/>
        <v>0</v>
      </c>
      <c r="CE95" s="10">
        <f t="shared" si="148"/>
        <v>0</v>
      </c>
      <c r="CF95" s="10">
        <f t="shared" si="148"/>
        <v>0</v>
      </c>
      <c r="CG95" s="10">
        <f t="shared" si="148"/>
        <v>0</v>
      </c>
      <c r="CH95" s="10">
        <f t="shared" si="148"/>
        <v>0</v>
      </c>
      <c r="CI95" s="10">
        <f t="shared" si="148"/>
        <v>0</v>
      </c>
      <c r="CK95" s="11"/>
      <c r="CM95" s="11"/>
      <c r="CN95" s="7">
        <f t="shared" si="117"/>
        <v>0</v>
      </c>
      <c r="CO95" s="7">
        <f>IF(AND(G95&lt;&gt;0, IFERROR(MATCH(E95, Parameters!$D$45:$D$48, 0), "N/A")="N/A"), 1, 0)</f>
        <v>0</v>
      </c>
      <c r="CQ95" s="7">
        <f>IF($F95="", 0, IF(AND($F95&lt;=$CI$5, $F95&gt;=Timeline!$V$8), 0, 1))</f>
        <v>0</v>
      </c>
      <c r="CU95" s="7" cm="1">
        <f t="array" ref="CU95">SUMPRODUCT(--NOT(ISNUMBER(G95:G95)),--NOT(ISBLANK(G95:G95)))</f>
        <v>0</v>
      </c>
      <c r="CW95" s="7">
        <f t="shared" si="118"/>
        <v>0</v>
      </c>
      <c r="CX95" s="7">
        <f t="shared" si="119"/>
        <v>0</v>
      </c>
      <c r="CY95" s="7">
        <f t="shared" si="120"/>
        <v>0</v>
      </c>
      <c r="CZ95" s="650"/>
      <c r="DA95" s="35"/>
      <c r="DB95" s="215">
        <f t="shared" si="121"/>
        <v>0</v>
      </c>
      <c r="DC95" s="215">
        <f t="shared" si="122"/>
        <v>0</v>
      </c>
      <c r="DD95" s="215">
        <f t="shared" si="123"/>
        <v>0</v>
      </c>
      <c r="DE95" s="215">
        <f t="shared" si="124"/>
        <v>0</v>
      </c>
      <c r="DF95" s="215">
        <f t="shared" si="125"/>
        <v>0</v>
      </c>
      <c r="DG95" s="215">
        <f t="shared" si="126"/>
        <v>0</v>
      </c>
      <c r="DH95" s="215">
        <f t="shared" si="127"/>
        <v>0</v>
      </c>
      <c r="DI95" s="35"/>
      <c r="DJ95">
        <v>0</v>
      </c>
      <c r="DK95">
        <v>0</v>
      </c>
      <c r="DL95" s="35"/>
      <c r="EZ95" s="12" t="str">
        <f t="shared" si="128"/>
        <v>Surplus/Loss on Revaluation/ Fair Value Adjustment RV11</v>
      </c>
    </row>
    <row r="96" spans="1:156" x14ac:dyDescent="0.35">
      <c r="A96" s="220" cm="1">
        <f t="array" aca="1" ref="A96" ca="1">HYPERLINK(CONCATENATE("#",CELL("address",IF(MAX($CM96:$CZ96)=0,A96,INDEX($CM96:$CZ96,MATCH(1,$CM96:$CZ96,0))))),MAX($CM96:$CZ96))</f>
        <v>0</v>
      </c>
      <c r="C96" s="309" t="s">
        <v>835</v>
      </c>
      <c r="D96" s="114"/>
      <c r="E96" s="113"/>
      <c r="F96" s="110"/>
      <c r="G96" s="114"/>
      <c r="H96" t="s">
        <v>403</v>
      </c>
      <c r="I96" s="9"/>
      <c r="V96" s="12">
        <f>IF(AND($F96&gt;=Timeline!$V$8,$F96 &lt;=V$5), $G96, 0)</f>
        <v>0</v>
      </c>
      <c r="W96" s="10">
        <f t="shared" si="112"/>
        <v>0</v>
      </c>
      <c r="X96" s="10">
        <f t="shared" si="112"/>
        <v>0</v>
      </c>
      <c r="Y96" s="10">
        <f t="shared" si="112"/>
        <v>0</v>
      </c>
      <c r="AA96" s="133">
        <f t="shared" si="113"/>
        <v>0</v>
      </c>
      <c r="AB96" s="10">
        <f t="shared" ref="AB96:BJ96" si="149">IF(AND($F96&gt;AA$5,$F96 &lt;=AB$5), $G96, 0)</f>
        <v>0</v>
      </c>
      <c r="AC96" s="10">
        <f t="shared" si="149"/>
        <v>0</v>
      </c>
      <c r="AD96" s="10">
        <f t="shared" si="149"/>
        <v>0</v>
      </c>
      <c r="AE96" s="10">
        <f t="shared" si="149"/>
        <v>0</v>
      </c>
      <c r="AF96" s="10">
        <f t="shared" si="149"/>
        <v>0</v>
      </c>
      <c r="AG96" s="10">
        <f t="shared" si="149"/>
        <v>0</v>
      </c>
      <c r="AH96" s="10">
        <f t="shared" si="149"/>
        <v>0</v>
      </c>
      <c r="AI96" s="10">
        <f t="shared" si="149"/>
        <v>0</v>
      </c>
      <c r="AJ96" s="10">
        <f t="shared" si="149"/>
        <v>0</v>
      </c>
      <c r="AK96" s="10">
        <f t="shared" si="149"/>
        <v>0</v>
      </c>
      <c r="AL96" s="10">
        <f t="shared" si="149"/>
        <v>0</v>
      </c>
      <c r="AM96" s="10">
        <f t="shared" si="149"/>
        <v>0</v>
      </c>
      <c r="AN96" s="10">
        <f t="shared" si="149"/>
        <v>0</v>
      </c>
      <c r="AO96" s="10">
        <f t="shared" si="149"/>
        <v>0</v>
      </c>
      <c r="AP96" s="10">
        <f t="shared" si="149"/>
        <v>0</v>
      </c>
      <c r="AQ96" s="10">
        <f t="shared" si="149"/>
        <v>0</v>
      </c>
      <c r="AR96" s="10">
        <f t="shared" si="149"/>
        <v>0</v>
      </c>
      <c r="AS96" s="10">
        <f t="shared" si="149"/>
        <v>0</v>
      </c>
      <c r="AT96" s="10">
        <f t="shared" si="149"/>
        <v>0</v>
      </c>
      <c r="AU96" s="10">
        <f t="shared" si="149"/>
        <v>0</v>
      </c>
      <c r="AV96" s="10">
        <f t="shared" si="149"/>
        <v>0</v>
      </c>
      <c r="AW96" s="10">
        <f t="shared" si="149"/>
        <v>0</v>
      </c>
      <c r="AX96" s="10">
        <f t="shared" si="149"/>
        <v>0</v>
      </c>
      <c r="AY96" s="10">
        <f t="shared" si="149"/>
        <v>0</v>
      </c>
      <c r="AZ96" s="10">
        <f t="shared" si="149"/>
        <v>0</v>
      </c>
      <c r="BA96" s="10">
        <f t="shared" si="149"/>
        <v>0</v>
      </c>
      <c r="BB96" s="10">
        <f t="shared" si="149"/>
        <v>0</v>
      </c>
      <c r="BC96" s="10">
        <f t="shared" si="149"/>
        <v>0</v>
      </c>
      <c r="BD96" s="10">
        <f t="shared" si="149"/>
        <v>0</v>
      </c>
      <c r="BE96" s="10">
        <f t="shared" si="149"/>
        <v>0</v>
      </c>
      <c r="BF96" s="10">
        <f t="shared" si="149"/>
        <v>0</v>
      </c>
      <c r="BG96" s="10">
        <f t="shared" si="149"/>
        <v>0</v>
      </c>
      <c r="BH96" s="10">
        <f t="shared" si="149"/>
        <v>0</v>
      </c>
      <c r="BI96" s="10">
        <f t="shared" si="149"/>
        <v>0</v>
      </c>
      <c r="BJ96" s="10">
        <f t="shared" si="149"/>
        <v>0</v>
      </c>
      <c r="BK96" s="1"/>
      <c r="BL96" s="1"/>
      <c r="BM96" s="1"/>
      <c r="BN96" s="1"/>
      <c r="BO96" s="1"/>
      <c r="BP96" s="1"/>
      <c r="BQ96" s="1"/>
      <c r="BR96" s="1"/>
      <c r="BS96" s="1"/>
      <c r="BT96" s="1"/>
      <c r="BU96" s="1"/>
      <c r="BV96" s="1"/>
      <c r="BX96" s="12">
        <f t="shared" si="115"/>
        <v>0</v>
      </c>
      <c r="BY96" s="10">
        <f t="shared" ref="BY96:CI96" si="150">IF(AND($F96&gt;BX$5,$F96 &lt;=BY$5), $G96, 0)</f>
        <v>0</v>
      </c>
      <c r="BZ96" s="10">
        <f t="shared" si="150"/>
        <v>0</v>
      </c>
      <c r="CA96" s="10">
        <f t="shared" si="150"/>
        <v>0</v>
      </c>
      <c r="CB96" s="10">
        <f t="shared" si="150"/>
        <v>0</v>
      </c>
      <c r="CC96" s="10">
        <f t="shared" si="150"/>
        <v>0</v>
      </c>
      <c r="CD96" s="10">
        <f t="shared" si="150"/>
        <v>0</v>
      </c>
      <c r="CE96" s="10">
        <f t="shared" si="150"/>
        <v>0</v>
      </c>
      <c r="CF96" s="10">
        <f t="shared" si="150"/>
        <v>0</v>
      </c>
      <c r="CG96" s="10">
        <f t="shared" si="150"/>
        <v>0</v>
      </c>
      <c r="CH96" s="10">
        <f t="shared" si="150"/>
        <v>0</v>
      </c>
      <c r="CI96" s="10">
        <f t="shared" si="150"/>
        <v>0</v>
      </c>
      <c r="CK96" s="11"/>
      <c r="CM96" s="11"/>
      <c r="CN96" s="7">
        <f t="shared" si="117"/>
        <v>0</v>
      </c>
      <c r="CO96" s="7">
        <f>IF(AND(G96&lt;&gt;0, IFERROR(MATCH(E96, Parameters!$D$45:$D$48, 0), "N/A")="N/A"), 1, 0)</f>
        <v>0</v>
      </c>
      <c r="CQ96" s="7">
        <f>IF($F96="", 0, IF(AND($F96&lt;=$CI$5, $F96&gt;=Timeline!$V$8), 0, 1))</f>
        <v>0</v>
      </c>
      <c r="CU96" s="7" cm="1">
        <f t="array" ref="CU96">SUMPRODUCT(--NOT(ISNUMBER(G96:G96)),--NOT(ISBLANK(G96:G96)))</f>
        <v>0</v>
      </c>
      <c r="CW96" s="7">
        <f t="shared" si="118"/>
        <v>0</v>
      </c>
      <c r="CX96" s="7">
        <f t="shared" si="119"/>
        <v>0</v>
      </c>
      <c r="CY96" s="7">
        <f t="shared" si="120"/>
        <v>0</v>
      </c>
      <c r="CZ96" s="650"/>
      <c r="DA96" s="35"/>
      <c r="DB96" s="215">
        <f t="shared" si="121"/>
        <v>0</v>
      </c>
      <c r="DC96" s="215">
        <f t="shared" si="122"/>
        <v>0</v>
      </c>
      <c r="DD96" s="215">
        <f t="shared" si="123"/>
        <v>0</v>
      </c>
      <c r="DE96" s="215">
        <f t="shared" si="124"/>
        <v>0</v>
      </c>
      <c r="DF96" s="215">
        <f t="shared" si="125"/>
        <v>0</v>
      </c>
      <c r="DG96" s="215">
        <f t="shared" si="126"/>
        <v>0</v>
      </c>
      <c r="DH96" s="215">
        <f t="shared" si="127"/>
        <v>0</v>
      </c>
      <c r="DI96" s="35"/>
      <c r="DJ96">
        <v>0</v>
      </c>
      <c r="DK96">
        <v>0</v>
      </c>
      <c r="DL96" s="35"/>
      <c r="EZ96" s="12" t="str">
        <f t="shared" si="128"/>
        <v>Surplus/Loss on Revaluation/ Fair Value Adjustment RV12</v>
      </c>
    </row>
    <row r="97" spans="1:156" x14ac:dyDescent="0.35">
      <c r="A97" s="220" cm="1">
        <f t="array" aca="1" ref="A97" ca="1">HYPERLINK(CONCATENATE("#",CELL("address",IF(MAX($CM97:$CZ97)=0,A97,INDEX($CM97:$CZ97,MATCH(1,$CM97:$CZ97,0))))),MAX($CM97:$CZ97))</f>
        <v>0</v>
      </c>
      <c r="C97" s="309" t="s">
        <v>836</v>
      </c>
      <c r="D97" s="114"/>
      <c r="E97" s="113"/>
      <c r="F97" s="110"/>
      <c r="G97" s="114"/>
      <c r="H97" t="s">
        <v>403</v>
      </c>
      <c r="I97" s="9"/>
      <c r="V97" s="12">
        <f>IF(AND($F97&gt;=Timeline!$V$8,$F97 &lt;=V$5), $G97, 0)</f>
        <v>0</v>
      </c>
      <c r="W97" s="10">
        <f t="shared" si="112"/>
        <v>0</v>
      </c>
      <c r="X97" s="10">
        <f t="shared" si="112"/>
        <v>0</v>
      </c>
      <c r="Y97" s="10">
        <f t="shared" si="112"/>
        <v>0</v>
      </c>
      <c r="AA97" s="133">
        <f t="shared" si="113"/>
        <v>0</v>
      </c>
      <c r="AB97" s="10">
        <f t="shared" ref="AB97:BJ97" si="151">IF(AND($F97&gt;AA$5,$F97 &lt;=AB$5), $G97, 0)</f>
        <v>0</v>
      </c>
      <c r="AC97" s="10">
        <f t="shared" si="151"/>
        <v>0</v>
      </c>
      <c r="AD97" s="10">
        <f t="shared" si="151"/>
        <v>0</v>
      </c>
      <c r="AE97" s="10">
        <f t="shared" si="151"/>
        <v>0</v>
      </c>
      <c r="AF97" s="10">
        <f t="shared" si="151"/>
        <v>0</v>
      </c>
      <c r="AG97" s="10">
        <f t="shared" si="151"/>
        <v>0</v>
      </c>
      <c r="AH97" s="10">
        <f t="shared" si="151"/>
        <v>0</v>
      </c>
      <c r="AI97" s="10">
        <f t="shared" si="151"/>
        <v>0</v>
      </c>
      <c r="AJ97" s="10">
        <f t="shared" si="151"/>
        <v>0</v>
      </c>
      <c r="AK97" s="10">
        <f t="shared" si="151"/>
        <v>0</v>
      </c>
      <c r="AL97" s="10">
        <f t="shared" si="151"/>
        <v>0</v>
      </c>
      <c r="AM97" s="10">
        <f t="shared" si="151"/>
        <v>0</v>
      </c>
      <c r="AN97" s="10">
        <f t="shared" si="151"/>
        <v>0</v>
      </c>
      <c r="AO97" s="10">
        <f t="shared" si="151"/>
        <v>0</v>
      </c>
      <c r="AP97" s="10">
        <f t="shared" si="151"/>
        <v>0</v>
      </c>
      <c r="AQ97" s="10">
        <f t="shared" si="151"/>
        <v>0</v>
      </c>
      <c r="AR97" s="10">
        <f t="shared" si="151"/>
        <v>0</v>
      </c>
      <c r="AS97" s="10">
        <f t="shared" si="151"/>
        <v>0</v>
      </c>
      <c r="AT97" s="10">
        <f t="shared" si="151"/>
        <v>0</v>
      </c>
      <c r="AU97" s="10">
        <f t="shared" si="151"/>
        <v>0</v>
      </c>
      <c r="AV97" s="10">
        <f t="shared" si="151"/>
        <v>0</v>
      </c>
      <c r="AW97" s="10">
        <f t="shared" si="151"/>
        <v>0</v>
      </c>
      <c r="AX97" s="10">
        <f t="shared" si="151"/>
        <v>0</v>
      </c>
      <c r="AY97" s="10">
        <f t="shared" si="151"/>
        <v>0</v>
      </c>
      <c r="AZ97" s="10">
        <f t="shared" si="151"/>
        <v>0</v>
      </c>
      <c r="BA97" s="10">
        <f t="shared" si="151"/>
        <v>0</v>
      </c>
      <c r="BB97" s="10">
        <f t="shared" si="151"/>
        <v>0</v>
      </c>
      <c r="BC97" s="10">
        <f t="shared" si="151"/>
        <v>0</v>
      </c>
      <c r="BD97" s="10">
        <f t="shared" si="151"/>
        <v>0</v>
      </c>
      <c r="BE97" s="10">
        <f t="shared" si="151"/>
        <v>0</v>
      </c>
      <c r="BF97" s="10">
        <f t="shared" si="151"/>
        <v>0</v>
      </c>
      <c r="BG97" s="10">
        <f t="shared" si="151"/>
        <v>0</v>
      </c>
      <c r="BH97" s="10">
        <f t="shared" si="151"/>
        <v>0</v>
      </c>
      <c r="BI97" s="10">
        <f t="shared" si="151"/>
        <v>0</v>
      </c>
      <c r="BJ97" s="10">
        <f t="shared" si="151"/>
        <v>0</v>
      </c>
      <c r="BK97" s="1"/>
      <c r="BL97" s="1"/>
      <c r="BM97" s="1"/>
      <c r="BN97" s="1"/>
      <c r="BO97" s="1"/>
      <c r="BP97" s="1"/>
      <c r="BQ97" s="1"/>
      <c r="BR97" s="1"/>
      <c r="BS97" s="1"/>
      <c r="BT97" s="1"/>
      <c r="BU97" s="1"/>
      <c r="BV97" s="1"/>
      <c r="BX97" s="12">
        <f t="shared" si="115"/>
        <v>0</v>
      </c>
      <c r="BY97" s="10">
        <f t="shared" ref="BY97:CI97" si="152">IF(AND($F97&gt;BX$5,$F97 &lt;=BY$5), $G97, 0)</f>
        <v>0</v>
      </c>
      <c r="BZ97" s="10">
        <f t="shared" si="152"/>
        <v>0</v>
      </c>
      <c r="CA97" s="10">
        <f t="shared" si="152"/>
        <v>0</v>
      </c>
      <c r="CB97" s="10">
        <f t="shared" si="152"/>
        <v>0</v>
      </c>
      <c r="CC97" s="10">
        <f t="shared" si="152"/>
        <v>0</v>
      </c>
      <c r="CD97" s="10">
        <f t="shared" si="152"/>
        <v>0</v>
      </c>
      <c r="CE97" s="10">
        <f t="shared" si="152"/>
        <v>0</v>
      </c>
      <c r="CF97" s="10">
        <f t="shared" si="152"/>
        <v>0</v>
      </c>
      <c r="CG97" s="10">
        <f t="shared" si="152"/>
        <v>0</v>
      </c>
      <c r="CH97" s="10">
        <f t="shared" si="152"/>
        <v>0</v>
      </c>
      <c r="CI97" s="10">
        <f t="shared" si="152"/>
        <v>0</v>
      </c>
      <c r="CK97" s="11"/>
      <c r="CM97" s="11"/>
      <c r="CN97" s="7">
        <f t="shared" si="117"/>
        <v>0</v>
      </c>
      <c r="CO97" s="7">
        <f>IF(AND(G97&lt;&gt;0, IFERROR(MATCH(E97, Parameters!$D$45:$D$48, 0), "N/A")="N/A"), 1, 0)</f>
        <v>0</v>
      </c>
      <c r="CQ97" s="7">
        <f>IF($F97="", 0, IF(AND($F97&lt;=$CI$5, $F97&gt;=Timeline!$V$8), 0, 1))</f>
        <v>0</v>
      </c>
      <c r="CU97" s="7" cm="1">
        <f t="array" ref="CU97">SUMPRODUCT(--NOT(ISNUMBER(G97:G97)),--NOT(ISBLANK(G97:G97)))</f>
        <v>0</v>
      </c>
      <c r="CW97" s="7">
        <f t="shared" si="118"/>
        <v>0</v>
      </c>
      <c r="CX97" s="7">
        <f t="shared" si="119"/>
        <v>0</v>
      </c>
      <c r="CY97" s="7">
        <f t="shared" si="120"/>
        <v>0</v>
      </c>
      <c r="CZ97" s="650"/>
      <c r="DA97" s="35"/>
      <c r="DB97" s="215">
        <f t="shared" si="121"/>
        <v>0</v>
      </c>
      <c r="DC97" s="215">
        <f t="shared" si="122"/>
        <v>0</v>
      </c>
      <c r="DD97" s="215">
        <f t="shared" si="123"/>
        <v>0</v>
      </c>
      <c r="DE97" s="215">
        <f t="shared" si="124"/>
        <v>0</v>
      </c>
      <c r="DF97" s="215">
        <f t="shared" si="125"/>
        <v>0</v>
      </c>
      <c r="DG97" s="215">
        <f t="shared" si="126"/>
        <v>0</v>
      </c>
      <c r="DH97" s="215">
        <f t="shared" si="127"/>
        <v>0</v>
      </c>
      <c r="DI97" s="35"/>
      <c r="DJ97">
        <v>0</v>
      </c>
      <c r="DK97">
        <v>0</v>
      </c>
      <c r="DL97" s="35"/>
      <c r="EZ97" s="12" t="str">
        <f t="shared" si="128"/>
        <v>Surplus/Loss on Revaluation/ Fair Value Adjustment RV13</v>
      </c>
    </row>
    <row r="98" spans="1:156" x14ac:dyDescent="0.35">
      <c r="A98" s="220" cm="1">
        <f t="array" aca="1" ref="A98" ca="1">HYPERLINK(CONCATENATE("#",CELL("address",IF(MAX($CM98:$CZ98)=0,A98,INDEX($CM98:$CZ98,MATCH(1,$CM98:$CZ98,0))))),MAX($CM98:$CZ98))</f>
        <v>0</v>
      </c>
      <c r="C98" s="309" t="s">
        <v>837</v>
      </c>
      <c r="D98" s="114"/>
      <c r="E98" s="113"/>
      <c r="F98" s="110"/>
      <c r="G98" s="114"/>
      <c r="H98" t="s">
        <v>403</v>
      </c>
      <c r="I98" s="9"/>
      <c r="V98" s="12">
        <f>IF(AND($F98&gt;=Timeline!$V$8,$F98 &lt;=V$5), $G98, 0)</f>
        <v>0</v>
      </c>
      <c r="W98" s="10">
        <f t="shared" si="112"/>
        <v>0</v>
      </c>
      <c r="X98" s="10">
        <f t="shared" si="112"/>
        <v>0</v>
      </c>
      <c r="Y98" s="10">
        <f t="shared" si="112"/>
        <v>0</v>
      </c>
      <c r="AA98" s="133">
        <f t="shared" si="113"/>
        <v>0</v>
      </c>
      <c r="AB98" s="10">
        <f t="shared" ref="AB98:BJ98" si="153">IF(AND($F98&gt;AA$5,$F98 &lt;=AB$5), $G98, 0)</f>
        <v>0</v>
      </c>
      <c r="AC98" s="10">
        <f t="shared" si="153"/>
        <v>0</v>
      </c>
      <c r="AD98" s="10">
        <f t="shared" si="153"/>
        <v>0</v>
      </c>
      <c r="AE98" s="10">
        <f t="shared" si="153"/>
        <v>0</v>
      </c>
      <c r="AF98" s="10">
        <f t="shared" si="153"/>
        <v>0</v>
      </c>
      <c r="AG98" s="10">
        <f t="shared" si="153"/>
        <v>0</v>
      </c>
      <c r="AH98" s="10">
        <f t="shared" si="153"/>
        <v>0</v>
      </c>
      <c r="AI98" s="10">
        <f t="shared" si="153"/>
        <v>0</v>
      </c>
      <c r="AJ98" s="10">
        <f t="shared" si="153"/>
        <v>0</v>
      </c>
      <c r="AK98" s="10">
        <f t="shared" si="153"/>
        <v>0</v>
      </c>
      <c r="AL98" s="10">
        <f t="shared" si="153"/>
        <v>0</v>
      </c>
      <c r="AM98" s="10">
        <f t="shared" si="153"/>
        <v>0</v>
      </c>
      <c r="AN98" s="10">
        <f t="shared" si="153"/>
        <v>0</v>
      </c>
      <c r="AO98" s="10">
        <f t="shared" si="153"/>
        <v>0</v>
      </c>
      <c r="AP98" s="10">
        <f t="shared" si="153"/>
        <v>0</v>
      </c>
      <c r="AQ98" s="10">
        <f t="shared" si="153"/>
        <v>0</v>
      </c>
      <c r="AR98" s="10">
        <f t="shared" si="153"/>
        <v>0</v>
      </c>
      <c r="AS98" s="10">
        <f t="shared" si="153"/>
        <v>0</v>
      </c>
      <c r="AT98" s="10">
        <f t="shared" si="153"/>
        <v>0</v>
      </c>
      <c r="AU98" s="10">
        <f t="shared" si="153"/>
        <v>0</v>
      </c>
      <c r="AV98" s="10">
        <f t="shared" si="153"/>
        <v>0</v>
      </c>
      <c r="AW98" s="10">
        <f t="shared" si="153"/>
        <v>0</v>
      </c>
      <c r="AX98" s="10">
        <f t="shared" si="153"/>
        <v>0</v>
      </c>
      <c r="AY98" s="10">
        <f t="shared" si="153"/>
        <v>0</v>
      </c>
      <c r="AZ98" s="10">
        <f t="shared" si="153"/>
        <v>0</v>
      </c>
      <c r="BA98" s="10">
        <f t="shared" si="153"/>
        <v>0</v>
      </c>
      <c r="BB98" s="10">
        <f t="shared" si="153"/>
        <v>0</v>
      </c>
      <c r="BC98" s="10">
        <f t="shared" si="153"/>
        <v>0</v>
      </c>
      <c r="BD98" s="10">
        <f t="shared" si="153"/>
        <v>0</v>
      </c>
      <c r="BE98" s="10">
        <f t="shared" si="153"/>
        <v>0</v>
      </c>
      <c r="BF98" s="10">
        <f t="shared" si="153"/>
        <v>0</v>
      </c>
      <c r="BG98" s="10">
        <f t="shared" si="153"/>
        <v>0</v>
      </c>
      <c r="BH98" s="10">
        <f t="shared" si="153"/>
        <v>0</v>
      </c>
      <c r="BI98" s="10">
        <f t="shared" si="153"/>
        <v>0</v>
      </c>
      <c r="BJ98" s="10">
        <f t="shared" si="153"/>
        <v>0</v>
      </c>
      <c r="BK98" s="1"/>
      <c r="BL98" s="1"/>
      <c r="BM98" s="1"/>
      <c r="BN98" s="1"/>
      <c r="BO98" s="1"/>
      <c r="BP98" s="1"/>
      <c r="BQ98" s="1"/>
      <c r="BR98" s="1"/>
      <c r="BS98" s="1"/>
      <c r="BT98" s="1"/>
      <c r="BU98" s="1"/>
      <c r="BV98" s="1"/>
      <c r="BX98" s="12">
        <f t="shared" si="115"/>
        <v>0</v>
      </c>
      <c r="BY98" s="10">
        <f t="shared" ref="BY98:CI98" si="154">IF(AND($F98&gt;BX$5,$F98 &lt;=BY$5), $G98, 0)</f>
        <v>0</v>
      </c>
      <c r="BZ98" s="10">
        <f t="shared" si="154"/>
        <v>0</v>
      </c>
      <c r="CA98" s="10">
        <f t="shared" si="154"/>
        <v>0</v>
      </c>
      <c r="CB98" s="10">
        <f t="shared" si="154"/>
        <v>0</v>
      </c>
      <c r="CC98" s="10">
        <f t="shared" si="154"/>
        <v>0</v>
      </c>
      <c r="CD98" s="10">
        <f t="shared" si="154"/>
        <v>0</v>
      </c>
      <c r="CE98" s="10">
        <f t="shared" si="154"/>
        <v>0</v>
      </c>
      <c r="CF98" s="10">
        <f t="shared" si="154"/>
        <v>0</v>
      </c>
      <c r="CG98" s="10">
        <f t="shared" si="154"/>
        <v>0</v>
      </c>
      <c r="CH98" s="10">
        <f t="shared" si="154"/>
        <v>0</v>
      </c>
      <c r="CI98" s="10">
        <f t="shared" si="154"/>
        <v>0</v>
      </c>
      <c r="CK98" s="11"/>
      <c r="CM98" s="11"/>
      <c r="CN98" s="7">
        <f t="shared" si="117"/>
        <v>0</v>
      </c>
      <c r="CO98" s="7">
        <f>IF(AND(G98&lt;&gt;0, IFERROR(MATCH(E98, Parameters!$D$45:$D$48, 0), "N/A")="N/A"), 1, 0)</f>
        <v>0</v>
      </c>
      <c r="CQ98" s="7">
        <f>IF($F98="", 0, IF(AND($F98&lt;=$CI$5, $F98&gt;=Timeline!$V$8), 0, 1))</f>
        <v>0</v>
      </c>
      <c r="CU98" s="7" cm="1">
        <f t="array" ref="CU98">SUMPRODUCT(--NOT(ISNUMBER(G98:G98)),--NOT(ISBLANK(G98:G98)))</f>
        <v>0</v>
      </c>
      <c r="CW98" s="7">
        <f t="shared" si="118"/>
        <v>0</v>
      </c>
      <c r="CX98" s="7">
        <f t="shared" si="119"/>
        <v>0</v>
      </c>
      <c r="CY98" s="7">
        <f t="shared" si="120"/>
        <v>0</v>
      </c>
      <c r="CZ98" s="650"/>
      <c r="DA98" s="35"/>
      <c r="DB98" s="215">
        <f t="shared" si="121"/>
        <v>0</v>
      </c>
      <c r="DC98" s="215">
        <f t="shared" si="122"/>
        <v>0</v>
      </c>
      <c r="DD98" s="215">
        <f t="shared" si="123"/>
        <v>0</v>
      </c>
      <c r="DE98" s="215">
        <f t="shared" si="124"/>
        <v>0</v>
      </c>
      <c r="DF98" s="215">
        <f t="shared" si="125"/>
        <v>0</v>
      </c>
      <c r="DG98" s="215">
        <f t="shared" si="126"/>
        <v>0</v>
      </c>
      <c r="DH98" s="215">
        <f t="shared" si="127"/>
        <v>0</v>
      </c>
      <c r="DI98" s="35"/>
      <c r="DJ98">
        <v>0</v>
      </c>
      <c r="DK98">
        <v>0</v>
      </c>
      <c r="DL98" s="35"/>
      <c r="EZ98" s="12" t="str">
        <f t="shared" si="128"/>
        <v>Surplus/Loss on Revaluation/ Fair Value Adjustment RV14</v>
      </c>
    </row>
    <row r="99" spans="1:156" x14ac:dyDescent="0.35">
      <c r="A99" s="220" cm="1">
        <f t="array" aca="1" ref="A99" ca="1">HYPERLINK(CONCATENATE("#",CELL("address",IF(MAX($CM99:$CZ99)=0,A99,INDEX($CM99:$CZ99,MATCH(1,$CM99:$CZ99,0))))),MAX($CM99:$CZ99))</f>
        <v>0</v>
      </c>
      <c r="C99" s="309" t="s">
        <v>838</v>
      </c>
      <c r="D99" s="114"/>
      <c r="E99" s="113"/>
      <c r="F99" s="110"/>
      <c r="G99" s="114"/>
      <c r="H99" t="s">
        <v>403</v>
      </c>
      <c r="I99" s="9"/>
      <c r="V99" s="12">
        <f>IF(AND($F99&gt;=Timeline!$V$8,$F99 &lt;=V$5), $G99, 0)</f>
        <v>0</v>
      </c>
      <c r="W99" s="10">
        <f t="shared" si="112"/>
        <v>0</v>
      </c>
      <c r="X99" s="10">
        <f t="shared" si="112"/>
        <v>0</v>
      </c>
      <c r="Y99" s="10">
        <f t="shared" si="112"/>
        <v>0</v>
      </c>
      <c r="AA99" s="133">
        <f t="shared" si="113"/>
        <v>0</v>
      </c>
      <c r="AB99" s="10">
        <f t="shared" ref="AB99:BJ99" si="155">IF(AND($F99&gt;AA$5,$F99 &lt;=AB$5), $G99, 0)</f>
        <v>0</v>
      </c>
      <c r="AC99" s="10">
        <f t="shared" si="155"/>
        <v>0</v>
      </c>
      <c r="AD99" s="10">
        <f t="shared" si="155"/>
        <v>0</v>
      </c>
      <c r="AE99" s="10">
        <f t="shared" si="155"/>
        <v>0</v>
      </c>
      <c r="AF99" s="10">
        <f t="shared" si="155"/>
        <v>0</v>
      </c>
      <c r="AG99" s="10">
        <f t="shared" si="155"/>
        <v>0</v>
      </c>
      <c r="AH99" s="10">
        <f t="shared" si="155"/>
        <v>0</v>
      </c>
      <c r="AI99" s="10">
        <f t="shared" si="155"/>
        <v>0</v>
      </c>
      <c r="AJ99" s="10">
        <f t="shared" si="155"/>
        <v>0</v>
      </c>
      <c r="AK99" s="10">
        <f t="shared" si="155"/>
        <v>0</v>
      </c>
      <c r="AL99" s="10">
        <f t="shared" si="155"/>
        <v>0</v>
      </c>
      <c r="AM99" s="10">
        <f t="shared" si="155"/>
        <v>0</v>
      </c>
      <c r="AN99" s="10">
        <f t="shared" si="155"/>
        <v>0</v>
      </c>
      <c r="AO99" s="10">
        <f t="shared" si="155"/>
        <v>0</v>
      </c>
      <c r="AP99" s="10">
        <f t="shared" si="155"/>
        <v>0</v>
      </c>
      <c r="AQ99" s="10">
        <f t="shared" si="155"/>
        <v>0</v>
      </c>
      <c r="AR99" s="10">
        <f t="shared" si="155"/>
        <v>0</v>
      </c>
      <c r="AS99" s="10">
        <f t="shared" si="155"/>
        <v>0</v>
      </c>
      <c r="AT99" s="10">
        <f t="shared" si="155"/>
        <v>0</v>
      </c>
      <c r="AU99" s="10">
        <f t="shared" si="155"/>
        <v>0</v>
      </c>
      <c r="AV99" s="10">
        <f t="shared" si="155"/>
        <v>0</v>
      </c>
      <c r="AW99" s="10">
        <f t="shared" si="155"/>
        <v>0</v>
      </c>
      <c r="AX99" s="10">
        <f t="shared" si="155"/>
        <v>0</v>
      </c>
      <c r="AY99" s="10">
        <f t="shared" si="155"/>
        <v>0</v>
      </c>
      <c r="AZ99" s="10">
        <f t="shared" si="155"/>
        <v>0</v>
      </c>
      <c r="BA99" s="10">
        <f t="shared" si="155"/>
        <v>0</v>
      </c>
      <c r="BB99" s="10">
        <f t="shared" si="155"/>
        <v>0</v>
      </c>
      <c r="BC99" s="10">
        <f t="shared" si="155"/>
        <v>0</v>
      </c>
      <c r="BD99" s="10">
        <f t="shared" si="155"/>
        <v>0</v>
      </c>
      <c r="BE99" s="10">
        <f t="shared" si="155"/>
        <v>0</v>
      </c>
      <c r="BF99" s="10">
        <f t="shared" si="155"/>
        <v>0</v>
      </c>
      <c r="BG99" s="10">
        <f t="shared" si="155"/>
        <v>0</v>
      </c>
      <c r="BH99" s="10">
        <f t="shared" si="155"/>
        <v>0</v>
      </c>
      <c r="BI99" s="10">
        <f t="shared" si="155"/>
        <v>0</v>
      </c>
      <c r="BJ99" s="10">
        <f t="shared" si="155"/>
        <v>0</v>
      </c>
      <c r="BK99" s="1"/>
      <c r="BL99" s="1"/>
      <c r="BM99" s="1"/>
      <c r="BN99" s="1"/>
      <c r="BO99" s="1"/>
      <c r="BP99" s="1"/>
      <c r="BQ99" s="1"/>
      <c r="BR99" s="1"/>
      <c r="BS99" s="1"/>
      <c r="BT99" s="1"/>
      <c r="BU99" s="1"/>
      <c r="BV99" s="1"/>
      <c r="BX99" s="12">
        <f t="shared" si="115"/>
        <v>0</v>
      </c>
      <c r="BY99" s="10">
        <f t="shared" ref="BY99:CI99" si="156">IF(AND($F99&gt;BX$5,$F99 &lt;=BY$5), $G99, 0)</f>
        <v>0</v>
      </c>
      <c r="BZ99" s="10">
        <f t="shared" si="156"/>
        <v>0</v>
      </c>
      <c r="CA99" s="10">
        <f t="shared" si="156"/>
        <v>0</v>
      </c>
      <c r="CB99" s="10">
        <f t="shared" si="156"/>
        <v>0</v>
      </c>
      <c r="CC99" s="10">
        <f t="shared" si="156"/>
        <v>0</v>
      </c>
      <c r="CD99" s="10">
        <f t="shared" si="156"/>
        <v>0</v>
      </c>
      <c r="CE99" s="10">
        <f t="shared" si="156"/>
        <v>0</v>
      </c>
      <c r="CF99" s="10">
        <f t="shared" si="156"/>
        <v>0</v>
      </c>
      <c r="CG99" s="10">
        <f t="shared" si="156"/>
        <v>0</v>
      </c>
      <c r="CH99" s="10">
        <f t="shared" si="156"/>
        <v>0</v>
      </c>
      <c r="CI99" s="10">
        <f t="shared" si="156"/>
        <v>0</v>
      </c>
      <c r="CK99" s="11"/>
      <c r="CM99" s="11"/>
      <c r="CN99" s="7">
        <f t="shared" si="117"/>
        <v>0</v>
      </c>
      <c r="CO99" s="7">
        <f>IF(AND(G99&lt;&gt;0, IFERROR(MATCH(E99, Parameters!$D$45:$D$48, 0), "N/A")="N/A"), 1, 0)</f>
        <v>0</v>
      </c>
      <c r="CQ99" s="7">
        <f>IF($F99="", 0, IF(AND($F99&lt;=$CI$5, $F99&gt;=Timeline!$V$8), 0, 1))</f>
        <v>0</v>
      </c>
      <c r="CU99" s="7" cm="1">
        <f t="array" ref="CU99">SUMPRODUCT(--NOT(ISNUMBER(G99:G99)),--NOT(ISBLANK(G99:G99)))</f>
        <v>0</v>
      </c>
      <c r="CW99" s="7">
        <f t="shared" si="118"/>
        <v>0</v>
      </c>
      <c r="CX99" s="7">
        <f t="shared" si="119"/>
        <v>0</v>
      </c>
      <c r="CY99" s="7">
        <f t="shared" si="120"/>
        <v>0</v>
      </c>
      <c r="CZ99" s="650"/>
      <c r="DA99" s="35"/>
      <c r="DB99" s="215">
        <f t="shared" si="121"/>
        <v>0</v>
      </c>
      <c r="DC99" s="215">
        <f t="shared" si="122"/>
        <v>0</v>
      </c>
      <c r="DD99" s="215">
        <f t="shared" si="123"/>
        <v>0</v>
      </c>
      <c r="DE99" s="215">
        <f t="shared" si="124"/>
        <v>0</v>
      </c>
      <c r="DF99" s="215">
        <f t="shared" si="125"/>
        <v>0</v>
      </c>
      <c r="DG99" s="215">
        <f t="shared" si="126"/>
        <v>0</v>
      </c>
      <c r="DH99" s="215">
        <f t="shared" si="127"/>
        <v>0</v>
      </c>
      <c r="DI99" s="35"/>
      <c r="DJ99">
        <v>0</v>
      </c>
      <c r="DK99">
        <v>0</v>
      </c>
      <c r="DL99" s="35"/>
      <c r="EZ99" s="12" t="str">
        <f t="shared" si="128"/>
        <v>Surplus/Loss on Revaluation/ Fair Value Adjustment RV15</v>
      </c>
    </row>
    <row r="100" spans="1:156" x14ac:dyDescent="0.35">
      <c r="A100" s="220" cm="1">
        <f t="array" aca="1" ref="A100" ca="1">HYPERLINK(CONCATENATE("#",CELL("address",IF(MAX($CM100:$CZ100)=0,A100,INDEX($CM100:$CZ100,MATCH(1,$CM100:$CZ100,0))))),MAX($CM100:$CZ100))</f>
        <v>0</v>
      </c>
      <c r="C100" s="253"/>
      <c r="D100" s="5" t="s">
        <v>774</v>
      </c>
      <c r="E100" s="5" t="str">
        <f>Parameters!$D$45</f>
        <v>Land &amp; Buildings</v>
      </c>
      <c r="I100" s="96"/>
      <c r="V100" s="12">
        <f>SUMIFS(V85:V99, $E85:$E99, $E100)</f>
        <v>0</v>
      </c>
      <c r="W100" s="12">
        <f>SUMIFS(W85:W99, $E85:$E99, $E100)</f>
        <v>0</v>
      </c>
      <c r="X100" s="12">
        <f>SUMIFS(X85:X99, $E85:$E99, $E100)</f>
        <v>0</v>
      </c>
      <c r="Y100" s="12">
        <f>SUMIFS(Y85:Y99, $E85:$E99, $E100)</f>
        <v>0</v>
      </c>
      <c r="AA100" s="12">
        <f t="shared" ref="AA100:BJ100" si="157">SUMIFS(AA85:AA99, $E85:$E99, $E100)</f>
        <v>0</v>
      </c>
      <c r="AB100" s="12">
        <f t="shared" si="157"/>
        <v>0</v>
      </c>
      <c r="AC100" s="12">
        <f t="shared" si="157"/>
        <v>0</v>
      </c>
      <c r="AD100" s="12">
        <f t="shared" si="157"/>
        <v>0</v>
      </c>
      <c r="AE100" s="12">
        <f t="shared" si="157"/>
        <v>0</v>
      </c>
      <c r="AF100" s="12">
        <f t="shared" si="157"/>
        <v>0</v>
      </c>
      <c r="AG100" s="12">
        <f t="shared" si="157"/>
        <v>0</v>
      </c>
      <c r="AH100" s="12">
        <f t="shared" si="157"/>
        <v>0</v>
      </c>
      <c r="AI100" s="12">
        <f t="shared" si="157"/>
        <v>0</v>
      </c>
      <c r="AJ100" s="12">
        <f t="shared" si="157"/>
        <v>0</v>
      </c>
      <c r="AK100" s="12">
        <f t="shared" si="157"/>
        <v>0</v>
      </c>
      <c r="AL100" s="12">
        <f t="shared" si="157"/>
        <v>0</v>
      </c>
      <c r="AM100" s="12">
        <f t="shared" si="157"/>
        <v>0</v>
      </c>
      <c r="AN100" s="12">
        <f t="shared" si="157"/>
        <v>0</v>
      </c>
      <c r="AO100" s="12">
        <f t="shared" si="157"/>
        <v>0</v>
      </c>
      <c r="AP100" s="12">
        <f t="shared" si="157"/>
        <v>0</v>
      </c>
      <c r="AQ100" s="12">
        <f t="shared" si="157"/>
        <v>0</v>
      </c>
      <c r="AR100" s="12">
        <f t="shared" si="157"/>
        <v>0</v>
      </c>
      <c r="AS100" s="12">
        <f t="shared" si="157"/>
        <v>0</v>
      </c>
      <c r="AT100" s="12">
        <f t="shared" si="157"/>
        <v>0</v>
      </c>
      <c r="AU100" s="12">
        <f t="shared" si="157"/>
        <v>0</v>
      </c>
      <c r="AV100" s="12">
        <f t="shared" si="157"/>
        <v>0</v>
      </c>
      <c r="AW100" s="12">
        <f t="shared" si="157"/>
        <v>0</v>
      </c>
      <c r="AX100" s="12">
        <f t="shared" si="157"/>
        <v>0</v>
      </c>
      <c r="AY100" s="12">
        <f t="shared" si="157"/>
        <v>0</v>
      </c>
      <c r="AZ100" s="12">
        <f t="shared" si="157"/>
        <v>0</v>
      </c>
      <c r="BA100" s="12">
        <f t="shared" si="157"/>
        <v>0</v>
      </c>
      <c r="BB100" s="12">
        <f t="shared" si="157"/>
        <v>0</v>
      </c>
      <c r="BC100" s="12">
        <f t="shared" si="157"/>
        <v>0</v>
      </c>
      <c r="BD100" s="12">
        <f t="shared" si="157"/>
        <v>0</v>
      </c>
      <c r="BE100" s="12">
        <f t="shared" si="157"/>
        <v>0</v>
      </c>
      <c r="BF100" s="12">
        <f t="shared" si="157"/>
        <v>0</v>
      </c>
      <c r="BG100" s="12">
        <f t="shared" si="157"/>
        <v>0</v>
      </c>
      <c r="BH100" s="12">
        <f t="shared" si="157"/>
        <v>0</v>
      </c>
      <c r="BI100" s="12">
        <f t="shared" si="157"/>
        <v>0</v>
      </c>
      <c r="BJ100" s="12">
        <f t="shared" si="157"/>
        <v>0</v>
      </c>
      <c r="BK100" s="1"/>
      <c r="BL100" s="1"/>
      <c r="BM100" s="1"/>
      <c r="BN100" s="1"/>
      <c r="BO100" s="1"/>
      <c r="BP100" s="1"/>
      <c r="BQ100" s="1"/>
      <c r="BR100" s="1"/>
      <c r="BS100" s="1"/>
      <c r="BT100" s="1"/>
      <c r="BU100" s="1"/>
      <c r="BV100" s="1"/>
      <c r="BX100" s="12">
        <f t="shared" ref="BX100:CI100" si="158">SUMIFS(BX85:BX99, $E85:$E99, $E100)</f>
        <v>0</v>
      </c>
      <c r="BY100" s="12">
        <f t="shared" si="158"/>
        <v>0</v>
      </c>
      <c r="BZ100" s="12">
        <f t="shared" si="158"/>
        <v>0</v>
      </c>
      <c r="CA100" s="12">
        <f t="shared" si="158"/>
        <v>0</v>
      </c>
      <c r="CB100" s="12">
        <f t="shared" si="158"/>
        <v>0</v>
      </c>
      <c r="CC100" s="12">
        <f t="shared" si="158"/>
        <v>0</v>
      </c>
      <c r="CD100" s="12">
        <f t="shared" si="158"/>
        <v>0</v>
      </c>
      <c r="CE100" s="12">
        <f t="shared" si="158"/>
        <v>0</v>
      </c>
      <c r="CF100" s="12">
        <f t="shared" si="158"/>
        <v>0</v>
      </c>
      <c r="CG100" s="12">
        <f t="shared" si="158"/>
        <v>0</v>
      </c>
      <c r="CH100" s="12">
        <f t="shared" si="158"/>
        <v>0</v>
      </c>
      <c r="CI100" s="12">
        <f t="shared" si="158"/>
        <v>0</v>
      </c>
      <c r="CK100" s="11"/>
      <c r="CM100" s="11"/>
      <c r="CW100" s="7">
        <f t="shared" si="118"/>
        <v>0</v>
      </c>
      <c r="CX100" s="7">
        <f t="shared" si="119"/>
        <v>0</v>
      </c>
      <c r="CY100" s="7">
        <f t="shared" si="120"/>
        <v>0</v>
      </c>
      <c r="CZ100" s="650"/>
      <c r="DA100" s="35"/>
      <c r="DB100" s="215">
        <f t="shared" si="121"/>
        <v>0</v>
      </c>
      <c r="DC100" s="215">
        <f t="shared" si="122"/>
        <v>0</v>
      </c>
      <c r="DD100" s="215">
        <f t="shared" si="123"/>
        <v>0</v>
      </c>
      <c r="DE100" s="215">
        <f t="shared" si="124"/>
        <v>0</v>
      </c>
      <c r="DF100" s="215">
        <f t="shared" si="125"/>
        <v>0</v>
      </c>
      <c r="DG100" s="215">
        <f t="shared" si="126"/>
        <v>0</v>
      </c>
      <c r="DH100" s="215">
        <f t="shared" si="127"/>
        <v>0</v>
      </c>
      <c r="DI100" s="35"/>
      <c r="DJ100">
        <v>0</v>
      </c>
      <c r="DK100">
        <v>0</v>
      </c>
      <c r="DL100" s="35"/>
      <c r="EZ100" s="10" t="str">
        <f t="shared" ref="EZ100:EZ110" si="159">IF($C100="","",$D100)</f>
        <v/>
      </c>
    </row>
    <row r="101" spans="1:156" x14ac:dyDescent="0.35">
      <c r="A101" s="220" cm="1">
        <f t="array" aca="1" ref="A101" ca="1">HYPERLINK(CONCATENATE("#",CELL("address",IF(MAX($CM101:$CZ101)=0,A101,INDEX($CM101:$CZ101,MATCH(1,$CM101:$CZ101,0))))),MAX($CM101:$CZ101))</f>
        <v>0</v>
      </c>
      <c r="C101" s="253"/>
      <c r="D101" s="5" t="s">
        <v>775</v>
      </c>
      <c r="E101" s="5" t="str">
        <f>Parameters!$D$46</f>
        <v>Equipment</v>
      </c>
      <c r="I101" s="96"/>
      <c r="V101" s="12">
        <f>SUMIFS(V85:V99, $E85:$E99, $E101)</f>
        <v>0</v>
      </c>
      <c r="W101" s="12">
        <f>SUMIFS(W85:W99, $E85:$E99, $E101)</f>
        <v>0</v>
      </c>
      <c r="X101" s="135">
        <f>SUMIFS(X85:X99, $E85:$E99, $E101)</f>
        <v>0</v>
      </c>
      <c r="Y101" s="12">
        <f>SUMIFS(Y85:Y99, $E85:$E99, $E101)</f>
        <v>0</v>
      </c>
      <c r="AA101" s="12">
        <f t="shared" ref="AA101:BJ101" si="160">SUMIFS(AA85:AA99, $E85:$E99, $E101)</f>
        <v>0</v>
      </c>
      <c r="AB101" s="12">
        <f t="shared" si="160"/>
        <v>0</v>
      </c>
      <c r="AC101" s="12">
        <f t="shared" si="160"/>
        <v>0</v>
      </c>
      <c r="AD101" s="12">
        <f t="shared" si="160"/>
        <v>0</v>
      </c>
      <c r="AE101" s="12">
        <f t="shared" si="160"/>
        <v>0</v>
      </c>
      <c r="AF101" s="12">
        <f t="shared" si="160"/>
        <v>0</v>
      </c>
      <c r="AG101" s="12">
        <f t="shared" si="160"/>
        <v>0</v>
      </c>
      <c r="AH101" s="12">
        <f t="shared" si="160"/>
        <v>0</v>
      </c>
      <c r="AI101" s="12">
        <f t="shared" si="160"/>
        <v>0</v>
      </c>
      <c r="AJ101" s="12">
        <f t="shared" si="160"/>
        <v>0</v>
      </c>
      <c r="AK101" s="12">
        <f t="shared" si="160"/>
        <v>0</v>
      </c>
      <c r="AL101" s="12">
        <f t="shared" si="160"/>
        <v>0</v>
      </c>
      <c r="AM101" s="12">
        <f t="shared" si="160"/>
        <v>0</v>
      </c>
      <c r="AN101" s="12">
        <f t="shared" si="160"/>
        <v>0</v>
      </c>
      <c r="AO101" s="12">
        <f t="shared" si="160"/>
        <v>0</v>
      </c>
      <c r="AP101" s="12">
        <f t="shared" si="160"/>
        <v>0</v>
      </c>
      <c r="AQ101" s="12">
        <f t="shared" si="160"/>
        <v>0</v>
      </c>
      <c r="AR101" s="12">
        <f t="shared" si="160"/>
        <v>0</v>
      </c>
      <c r="AS101" s="12">
        <f t="shared" si="160"/>
        <v>0</v>
      </c>
      <c r="AT101" s="12">
        <f t="shared" si="160"/>
        <v>0</v>
      </c>
      <c r="AU101" s="12">
        <f t="shared" si="160"/>
        <v>0</v>
      </c>
      <c r="AV101" s="12">
        <f t="shared" si="160"/>
        <v>0</v>
      </c>
      <c r="AW101" s="12">
        <f t="shared" si="160"/>
        <v>0</v>
      </c>
      <c r="AX101" s="12">
        <f t="shared" si="160"/>
        <v>0</v>
      </c>
      <c r="AY101" s="12">
        <f t="shared" si="160"/>
        <v>0</v>
      </c>
      <c r="AZ101" s="12">
        <f t="shared" si="160"/>
        <v>0</v>
      </c>
      <c r="BA101" s="12">
        <f t="shared" si="160"/>
        <v>0</v>
      </c>
      <c r="BB101" s="12">
        <f t="shared" si="160"/>
        <v>0</v>
      </c>
      <c r="BC101" s="12">
        <f t="shared" si="160"/>
        <v>0</v>
      </c>
      <c r="BD101" s="12">
        <f t="shared" si="160"/>
        <v>0</v>
      </c>
      <c r="BE101" s="12">
        <f t="shared" si="160"/>
        <v>0</v>
      </c>
      <c r="BF101" s="12">
        <f t="shared" si="160"/>
        <v>0</v>
      </c>
      <c r="BG101" s="12">
        <f t="shared" si="160"/>
        <v>0</v>
      </c>
      <c r="BH101" s="12">
        <f t="shared" si="160"/>
        <v>0</v>
      </c>
      <c r="BI101" s="12">
        <f t="shared" si="160"/>
        <v>0</v>
      </c>
      <c r="BJ101" s="12">
        <f t="shared" si="160"/>
        <v>0</v>
      </c>
      <c r="BK101" s="1"/>
      <c r="BL101" s="1"/>
      <c r="BM101" s="1"/>
      <c r="BN101" s="1"/>
      <c r="BO101" s="1"/>
      <c r="BP101" s="1"/>
      <c r="BQ101" s="1"/>
      <c r="BR101" s="1"/>
      <c r="BS101" s="1"/>
      <c r="BT101" s="1"/>
      <c r="BU101" s="1"/>
      <c r="BV101" s="1"/>
      <c r="BX101" s="12">
        <f t="shared" ref="BX101:CI101" si="161">SUMIFS(BX85:BX99, $E85:$E99, $E101)</f>
        <v>0</v>
      </c>
      <c r="BY101" s="12">
        <f t="shared" si="161"/>
        <v>0</v>
      </c>
      <c r="BZ101" s="12">
        <f t="shared" si="161"/>
        <v>0</v>
      </c>
      <c r="CA101" s="12">
        <f t="shared" si="161"/>
        <v>0</v>
      </c>
      <c r="CB101" s="12">
        <f t="shared" si="161"/>
        <v>0</v>
      </c>
      <c r="CC101" s="12">
        <f t="shared" si="161"/>
        <v>0</v>
      </c>
      <c r="CD101" s="12">
        <f t="shared" si="161"/>
        <v>0</v>
      </c>
      <c r="CE101" s="12">
        <f t="shared" si="161"/>
        <v>0</v>
      </c>
      <c r="CF101" s="12">
        <f t="shared" si="161"/>
        <v>0</v>
      </c>
      <c r="CG101" s="12">
        <f t="shared" si="161"/>
        <v>0</v>
      </c>
      <c r="CH101" s="12">
        <f t="shared" si="161"/>
        <v>0</v>
      </c>
      <c r="CI101" s="12">
        <f t="shared" si="161"/>
        <v>0</v>
      </c>
      <c r="CK101" s="11"/>
      <c r="CM101" s="11"/>
      <c r="CW101" s="7">
        <f t="shared" si="118"/>
        <v>0</v>
      </c>
      <c r="CX101" s="7">
        <f t="shared" si="119"/>
        <v>0</v>
      </c>
      <c r="CY101" s="7">
        <f t="shared" si="120"/>
        <v>0</v>
      </c>
      <c r="CZ101" s="650"/>
      <c r="DA101" s="35"/>
      <c r="DB101" s="215">
        <f t="shared" si="121"/>
        <v>0</v>
      </c>
      <c r="DC101" s="215">
        <f t="shared" si="122"/>
        <v>0</v>
      </c>
      <c r="DD101" s="215">
        <f t="shared" si="123"/>
        <v>0</v>
      </c>
      <c r="DE101" s="215">
        <f t="shared" si="124"/>
        <v>0</v>
      </c>
      <c r="DF101" s="215">
        <f t="shared" si="125"/>
        <v>0</v>
      </c>
      <c r="DG101" s="215">
        <f t="shared" si="126"/>
        <v>0</v>
      </c>
      <c r="DH101" s="215">
        <f t="shared" si="127"/>
        <v>0</v>
      </c>
      <c r="DI101" s="35"/>
      <c r="DJ101">
        <v>0</v>
      </c>
      <c r="DK101">
        <v>0</v>
      </c>
      <c r="DL101" s="35"/>
      <c r="EZ101" s="10" t="str">
        <f t="shared" si="159"/>
        <v/>
      </c>
    </row>
    <row r="102" spans="1:156" x14ac:dyDescent="0.35">
      <c r="A102" s="220" cm="1">
        <f t="array" aca="1" ref="A102" ca="1">HYPERLINK(CONCATENATE("#",CELL("address",IF(MAX($CM102:$CZ102)=0,A102,INDEX($CM102:$CZ102,MATCH(1,$CM102:$CZ102,0))))),MAX($CM102:$CZ102))</f>
        <v>0</v>
      </c>
      <c r="C102" s="253"/>
      <c r="D102" s="5" t="s">
        <v>839</v>
      </c>
      <c r="E102" s="5" t="str">
        <f>Parameters!$D$47</f>
        <v>Investments</v>
      </c>
      <c r="I102" s="96"/>
      <c r="V102" s="12">
        <f>SUMIFS(V85:V99, $E85:$E99, $E102)</f>
        <v>0</v>
      </c>
      <c r="W102" s="12">
        <f>SUMIFS(W85:W99, $E85:$E99, $E102)</f>
        <v>0</v>
      </c>
      <c r="X102" s="12">
        <f>SUMIFS(X85:X99, $E85:$E99, $E102)</f>
        <v>0</v>
      </c>
      <c r="Y102" s="12">
        <f>SUMIFS(Y85:Y99, $E85:$E99, $E102)</f>
        <v>0</v>
      </c>
      <c r="AA102" s="12">
        <f t="shared" ref="AA102:BJ102" si="162">SUMIFS(AA85:AA99, $E85:$E99, $E102)</f>
        <v>0</v>
      </c>
      <c r="AB102" s="12">
        <f t="shared" si="162"/>
        <v>0</v>
      </c>
      <c r="AC102" s="12">
        <f t="shared" si="162"/>
        <v>0</v>
      </c>
      <c r="AD102" s="12">
        <f t="shared" si="162"/>
        <v>0</v>
      </c>
      <c r="AE102" s="12">
        <f t="shared" si="162"/>
        <v>0</v>
      </c>
      <c r="AF102" s="12">
        <f t="shared" si="162"/>
        <v>0</v>
      </c>
      <c r="AG102" s="12">
        <f t="shared" si="162"/>
        <v>0</v>
      </c>
      <c r="AH102" s="12">
        <f t="shared" si="162"/>
        <v>0</v>
      </c>
      <c r="AI102" s="12">
        <f t="shared" si="162"/>
        <v>0</v>
      </c>
      <c r="AJ102" s="12">
        <f t="shared" si="162"/>
        <v>0</v>
      </c>
      <c r="AK102" s="12">
        <f t="shared" si="162"/>
        <v>0</v>
      </c>
      <c r="AL102" s="12">
        <f t="shared" si="162"/>
        <v>0</v>
      </c>
      <c r="AM102" s="12">
        <f t="shared" si="162"/>
        <v>0</v>
      </c>
      <c r="AN102" s="12">
        <f t="shared" si="162"/>
        <v>0</v>
      </c>
      <c r="AO102" s="12">
        <f t="shared" si="162"/>
        <v>0</v>
      </c>
      <c r="AP102" s="12">
        <f t="shared" si="162"/>
        <v>0</v>
      </c>
      <c r="AQ102" s="12">
        <f t="shared" si="162"/>
        <v>0</v>
      </c>
      <c r="AR102" s="12">
        <f t="shared" si="162"/>
        <v>0</v>
      </c>
      <c r="AS102" s="12">
        <f t="shared" si="162"/>
        <v>0</v>
      </c>
      <c r="AT102" s="12">
        <f t="shared" si="162"/>
        <v>0</v>
      </c>
      <c r="AU102" s="12">
        <f t="shared" si="162"/>
        <v>0</v>
      </c>
      <c r="AV102" s="12">
        <f t="shared" si="162"/>
        <v>0</v>
      </c>
      <c r="AW102" s="12">
        <f t="shared" si="162"/>
        <v>0</v>
      </c>
      <c r="AX102" s="12">
        <f t="shared" si="162"/>
        <v>0</v>
      </c>
      <c r="AY102" s="12">
        <f t="shared" si="162"/>
        <v>0</v>
      </c>
      <c r="AZ102" s="12">
        <f t="shared" si="162"/>
        <v>0</v>
      </c>
      <c r="BA102" s="12">
        <f t="shared" si="162"/>
        <v>0</v>
      </c>
      <c r="BB102" s="12">
        <f t="shared" si="162"/>
        <v>0</v>
      </c>
      <c r="BC102" s="12">
        <f t="shared" si="162"/>
        <v>0</v>
      </c>
      <c r="BD102" s="12">
        <f t="shared" si="162"/>
        <v>0</v>
      </c>
      <c r="BE102" s="12">
        <f t="shared" si="162"/>
        <v>0</v>
      </c>
      <c r="BF102" s="12">
        <f t="shared" si="162"/>
        <v>0</v>
      </c>
      <c r="BG102" s="12">
        <f t="shared" si="162"/>
        <v>0</v>
      </c>
      <c r="BH102" s="12">
        <f t="shared" si="162"/>
        <v>0</v>
      </c>
      <c r="BI102" s="12">
        <f t="shared" si="162"/>
        <v>0</v>
      </c>
      <c r="BJ102" s="12">
        <f t="shared" si="162"/>
        <v>0</v>
      </c>
      <c r="BK102" s="1"/>
      <c r="BL102" s="1"/>
      <c r="BM102" s="1"/>
      <c r="BN102" s="1"/>
      <c r="BO102" s="1"/>
      <c r="BP102" s="1"/>
      <c r="BQ102" s="1"/>
      <c r="BR102" s="1"/>
      <c r="BS102" s="1"/>
      <c r="BT102" s="1"/>
      <c r="BU102" s="1"/>
      <c r="BV102" s="1"/>
      <c r="BX102" s="12">
        <f t="shared" ref="BX102:CI102" si="163">SUMIFS(BX85:BX99, $E85:$E99, $E102)</f>
        <v>0</v>
      </c>
      <c r="BY102" s="12">
        <f t="shared" si="163"/>
        <v>0</v>
      </c>
      <c r="BZ102" s="12">
        <f t="shared" si="163"/>
        <v>0</v>
      </c>
      <c r="CA102" s="12">
        <f t="shared" si="163"/>
        <v>0</v>
      </c>
      <c r="CB102" s="12">
        <f t="shared" si="163"/>
        <v>0</v>
      </c>
      <c r="CC102" s="12">
        <f t="shared" si="163"/>
        <v>0</v>
      </c>
      <c r="CD102" s="12">
        <f t="shared" si="163"/>
        <v>0</v>
      </c>
      <c r="CE102" s="12">
        <f t="shared" si="163"/>
        <v>0</v>
      </c>
      <c r="CF102" s="12">
        <f t="shared" si="163"/>
        <v>0</v>
      </c>
      <c r="CG102" s="12">
        <f t="shared" si="163"/>
        <v>0</v>
      </c>
      <c r="CH102" s="12">
        <f t="shared" si="163"/>
        <v>0</v>
      </c>
      <c r="CI102" s="12">
        <f t="shared" si="163"/>
        <v>0</v>
      </c>
      <c r="CK102" s="11"/>
      <c r="CM102" s="11"/>
      <c r="CW102" s="7">
        <f t="shared" si="118"/>
        <v>0</v>
      </c>
      <c r="CX102" s="7">
        <f t="shared" si="119"/>
        <v>0</v>
      </c>
      <c r="CY102" s="7">
        <f t="shared" si="120"/>
        <v>0</v>
      </c>
      <c r="CZ102" s="650"/>
      <c r="DA102" s="35"/>
      <c r="DB102" s="215">
        <f t="shared" si="121"/>
        <v>0</v>
      </c>
      <c r="DC102" s="215">
        <f t="shared" si="122"/>
        <v>0</v>
      </c>
      <c r="DD102" s="215">
        <f t="shared" si="123"/>
        <v>0</v>
      </c>
      <c r="DE102" s="215">
        <f t="shared" si="124"/>
        <v>0</v>
      </c>
      <c r="DF102" s="215">
        <f t="shared" si="125"/>
        <v>0</v>
      </c>
      <c r="DG102" s="215">
        <f t="shared" si="126"/>
        <v>0</v>
      </c>
      <c r="DH102" s="215">
        <f t="shared" si="127"/>
        <v>0</v>
      </c>
      <c r="DI102" s="35"/>
      <c r="DJ102">
        <v>0</v>
      </c>
      <c r="DK102">
        <v>0</v>
      </c>
      <c r="DL102" s="35"/>
      <c r="EZ102" s="10" t="str">
        <f t="shared" si="159"/>
        <v/>
      </c>
    </row>
    <row r="103" spans="1:156" x14ac:dyDescent="0.35">
      <c r="A103" s="220" cm="1">
        <f t="array" aca="1" ref="A103" ca="1">HYPERLINK(CONCATENATE("#",CELL("address",IF(MAX($CM103:$CZ103)=0,A103,INDEX($CM103:$CZ103,MATCH(1,$CM103:$CZ103,0))))),MAX($CM103:$CZ103))</f>
        <v>0</v>
      </c>
      <c r="C103" s="253"/>
      <c r="D103" s="5" t="s">
        <v>776</v>
      </c>
      <c r="E103" s="5" t="str">
        <f>Parameters!$D$48</f>
        <v>Other NCA</v>
      </c>
      <c r="I103" s="96"/>
      <c r="V103" s="12">
        <f>SUMIFS(V85:V99, $E85:$E99, $E103)</f>
        <v>0</v>
      </c>
      <c r="W103" s="12">
        <f>SUMIFS(W85:W99, $E85:$E99, $E103)</f>
        <v>0</v>
      </c>
      <c r="X103" s="12">
        <f>SUMIFS(X85:X99, $E85:$E99, $E103)</f>
        <v>0</v>
      </c>
      <c r="Y103" s="12">
        <f>SUMIFS(Y85:Y99, $E85:$E99, $E103)</f>
        <v>0</v>
      </c>
      <c r="AA103" s="12">
        <f t="shared" ref="AA103:BJ103" si="164">SUMIFS(AA85:AA99, $E85:$E99, $E103)</f>
        <v>0</v>
      </c>
      <c r="AB103" s="12">
        <f t="shared" si="164"/>
        <v>0</v>
      </c>
      <c r="AC103" s="12">
        <f t="shared" si="164"/>
        <v>0</v>
      </c>
      <c r="AD103" s="12">
        <f t="shared" si="164"/>
        <v>0</v>
      </c>
      <c r="AE103" s="12">
        <f t="shared" si="164"/>
        <v>0</v>
      </c>
      <c r="AF103" s="12">
        <f t="shared" si="164"/>
        <v>0</v>
      </c>
      <c r="AG103" s="12">
        <f t="shared" si="164"/>
        <v>0</v>
      </c>
      <c r="AH103" s="12">
        <f t="shared" si="164"/>
        <v>0</v>
      </c>
      <c r="AI103" s="12">
        <f t="shared" si="164"/>
        <v>0</v>
      </c>
      <c r="AJ103" s="12">
        <f t="shared" si="164"/>
        <v>0</v>
      </c>
      <c r="AK103" s="12">
        <f t="shared" si="164"/>
        <v>0</v>
      </c>
      <c r="AL103" s="12">
        <f t="shared" si="164"/>
        <v>0</v>
      </c>
      <c r="AM103" s="12">
        <f t="shared" si="164"/>
        <v>0</v>
      </c>
      <c r="AN103" s="12">
        <f t="shared" si="164"/>
        <v>0</v>
      </c>
      <c r="AO103" s="12">
        <f t="shared" si="164"/>
        <v>0</v>
      </c>
      <c r="AP103" s="12">
        <f t="shared" si="164"/>
        <v>0</v>
      </c>
      <c r="AQ103" s="12">
        <f t="shared" si="164"/>
        <v>0</v>
      </c>
      <c r="AR103" s="12">
        <f t="shared" si="164"/>
        <v>0</v>
      </c>
      <c r="AS103" s="12">
        <f t="shared" si="164"/>
        <v>0</v>
      </c>
      <c r="AT103" s="12">
        <f t="shared" si="164"/>
        <v>0</v>
      </c>
      <c r="AU103" s="12">
        <f t="shared" si="164"/>
        <v>0</v>
      </c>
      <c r="AV103" s="12">
        <f t="shared" si="164"/>
        <v>0</v>
      </c>
      <c r="AW103" s="12">
        <f t="shared" si="164"/>
        <v>0</v>
      </c>
      <c r="AX103" s="12">
        <f t="shared" si="164"/>
        <v>0</v>
      </c>
      <c r="AY103" s="12">
        <f t="shared" si="164"/>
        <v>0</v>
      </c>
      <c r="AZ103" s="12">
        <f t="shared" si="164"/>
        <v>0</v>
      </c>
      <c r="BA103" s="12">
        <f t="shared" si="164"/>
        <v>0</v>
      </c>
      <c r="BB103" s="12">
        <f t="shared" si="164"/>
        <v>0</v>
      </c>
      <c r="BC103" s="12">
        <f t="shared" si="164"/>
        <v>0</v>
      </c>
      <c r="BD103" s="12">
        <f t="shared" si="164"/>
        <v>0</v>
      </c>
      <c r="BE103" s="12">
        <f t="shared" si="164"/>
        <v>0</v>
      </c>
      <c r="BF103" s="12">
        <f t="shared" si="164"/>
        <v>0</v>
      </c>
      <c r="BG103" s="12">
        <f t="shared" si="164"/>
        <v>0</v>
      </c>
      <c r="BH103" s="12">
        <f t="shared" si="164"/>
        <v>0</v>
      </c>
      <c r="BI103" s="12">
        <f t="shared" si="164"/>
        <v>0</v>
      </c>
      <c r="BJ103" s="12">
        <f t="shared" si="164"/>
        <v>0</v>
      </c>
      <c r="BK103" s="1"/>
      <c r="BL103" s="1"/>
      <c r="BM103" s="1"/>
      <c r="BN103" s="1"/>
      <c r="BO103" s="1"/>
      <c r="BP103" s="1"/>
      <c r="BQ103" s="1"/>
      <c r="BR103" s="1"/>
      <c r="BS103" s="1"/>
      <c r="BT103" s="1"/>
      <c r="BU103" s="1"/>
      <c r="BV103" s="1"/>
      <c r="BX103" s="12">
        <f t="shared" ref="BX103:CI103" si="165">SUMIFS(BX85:BX99, $E85:$E99, $E103)</f>
        <v>0</v>
      </c>
      <c r="BY103" s="12">
        <f t="shared" si="165"/>
        <v>0</v>
      </c>
      <c r="BZ103" s="12">
        <f t="shared" si="165"/>
        <v>0</v>
      </c>
      <c r="CA103" s="12">
        <f t="shared" si="165"/>
        <v>0</v>
      </c>
      <c r="CB103" s="12">
        <f t="shared" si="165"/>
        <v>0</v>
      </c>
      <c r="CC103" s="12">
        <f t="shared" si="165"/>
        <v>0</v>
      </c>
      <c r="CD103" s="12">
        <f t="shared" si="165"/>
        <v>0</v>
      </c>
      <c r="CE103" s="12">
        <f t="shared" si="165"/>
        <v>0</v>
      </c>
      <c r="CF103" s="12">
        <f t="shared" si="165"/>
        <v>0</v>
      </c>
      <c r="CG103" s="12">
        <f t="shared" si="165"/>
        <v>0</v>
      </c>
      <c r="CH103" s="12">
        <f t="shared" si="165"/>
        <v>0</v>
      </c>
      <c r="CI103" s="12">
        <f t="shared" si="165"/>
        <v>0</v>
      </c>
      <c r="CK103" s="11"/>
      <c r="CM103" s="11"/>
      <c r="CW103" s="7">
        <f t="shared" si="118"/>
        <v>0</v>
      </c>
      <c r="CX103" s="7">
        <f t="shared" si="119"/>
        <v>0</v>
      </c>
      <c r="CY103" s="7">
        <f t="shared" si="120"/>
        <v>0</v>
      </c>
      <c r="CZ103" s="650"/>
      <c r="DA103" s="35"/>
      <c r="DB103" s="215">
        <f t="shared" si="121"/>
        <v>0</v>
      </c>
      <c r="DC103" s="215">
        <f t="shared" si="122"/>
        <v>0</v>
      </c>
      <c r="DD103" s="215">
        <f t="shared" si="123"/>
        <v>0</v>
      </c>
      <c r="DE103" s="215">
        <f t="shared" si="124"/>
        <v>0</v>
      </c>
      <c r="DF103" s="215">
        <f t="shared" si="125"/>
        <v>0</v>
      </c>
      <c r="DG103" s="215">
        <f t="shared" si="126"/>
        <v>0</v>
      </c>
      <c r="DH103" s="215">
        <f t="shared" si="127"/>
        <v>0</v>
      </c>
      <c r="DI103" s="35"/>
      <c r="DJ103">
        <v>0</v>
      </c>
      <c r="DK103">
        <v>0</v>
      </c>
      <c r="DL103" s="35"/>
      <c r="EZ103" s="10" t="str">
        <f t="shared" si="159"/>
        <v/>
      </c>
    </row>
    <row r="104" spans="1:156" x14ac:dyDescent="0.35">
      <c r="A104" s="220" cm="1">
        <f t="array" aca="1" ref="A104" ca="1">HYPERLINK(CONCATENATE("#",CELL("address",IF(MAX($CM104:$CZ104)=0,A104,INDEX($CM104:$CZ104,MATCH(1,$CM104:$CZ104,0))))),MAX($CM104:$CZ104))</f>
        <v>0</v>
      </c>
      <c r="C104" s="253"/>
      <c r="D104" s="5" t="s">
        <v>840</v>
      </c>
      <c r="E104" s="5" t="s">
        <v>778</v>
      </c>
      <c r="I104" s="96"/>
      <c r="V104" s="12">
        <f>SUM(V100:V103)</f>
        <v>0</v>
      </c>
      <c r="W104" s="12">
        <f>SUM(W100:W103)</f>
        <v>0</v>
      </c>
      <c r="X104" s="12">
        <f>SUM(X100:X103)</f>
        <v>0</v>
      </c>
      <c r="Y104" s="12">
        <f>SUM(Y100:Y103)</f>
        <v>0</v>
      </c>
      <c r="AA104" s="12">
        <f t="shared" ref="AA104:BJ104" si="166">SUM(AA100:AA103)</f>
        <v>0</v>
      </c>
      <c r="AB104" s="12">
        <f t="shared" si="166"/>
        <v>0</v>
      </c>
      <c r="AC104" s="12">
        <f t="shared" si="166"/>
        <v>0</v>
      </c>
      <c r="AD104" s="12">
        <f t="shared" si="166"/>
        <v>0</v>
      </c>
      <c r="AE104" s="12">
        <f t="shared" si="166"/>
        <v>0</v>
      </c>
      <c r="AF104" s="12">
        <f t="shared" si="166"/>
        <v>0</v>
      </c>
      <c r="AG104" s="12">
        <f t="shared" si="166"/>
        <v>0</v>
      </c>
      <c r="AH104" s="12">
        <f t="shared" si="166"/>
        <v>0</v>
      </c>
      <c r="AI104" s="12">
        <f t="shared" si="166"/>
        <v>0</v>
      </c>
      <c r="AJ104" s="12">
        <f t="shared" si="166"/>
        <v>0</v>
      </c>
      <c r="AK104" s="12">
        <f t="shared" si="166"/>
        <v>0</v>
      </c>
      <c r="AL104" s="12">
        <f t="shared" si="166"/>
        <v>0</v>
      </c>
      <c r="AM104" s="12">
        <f t="shared" si="166"/>
        <v>0</v>
      </c>
      <c r="AN104" s="12">
        <f t="shared" si="166"/>
        <v>0</v>
      </c>
      <c r="AO104" s="12">
        <f t="shared" si="166"/>
        <v>0</v>
      </c>
      <c r="AP104" s="12">
        <f t="shared" si="166"/>
        <v>0</v>
      </c>
      <c r="AQ104" s="12">
        <f t="shared" si="166"/>
        <v>0</v>
      </c>
      <c r="AR104" s="12">
        <f t="shared" si="166"/>
        <v>0</v>
      </c>
      <c r="AS104" s="12">
        <f t="shared" si="166"/>
        <v>0</v>
      </c>
      <c r="AT104" s="12">
        <f t="shared" si="166"/>
        <v>0</v>
      </c>
      <c r="AU104" s="12">
        <f t="shared" si="166"/>
        <v>0</v>
      </c>
      <c r="AV104" s="12">
        <f t="shared" si="166"/>
        <v>0</v>
      </c>
      <c r="AW104" s="12">
        <f t="shared" si="166"/>
        <v>0</v>
      </c>
      <c r="AX104" s="12">
        <f t="shared" si="166"/>
        <v>0</v>
      </c>
      <c r="AY104" s="12">
        <f t="shared" si="166"/>
        <v>0</v>
      </c>
      <c r="AZ104" s="12">
        <f t="shared" si="166"/>
        <v>0</v>
      </c>
      <c r="BA104" s="12">
        <f t="shared" si="166"/>
        <v>0</v>
      </c>
      <c r="BB104" s="12">
        <f t="shared" si="166"/>
        <v>0</v>
      </c>
      <c r="BC104" s="12">
        <f t="shared" si="166"/>
        <v>0</v>
      </c>
      <c r="BD104" s="12">
        <f t="shared" si="166"/>
        <v>0</v>
      </c>
      <c r="BE104" s="12">
        <f t="shared" si="166"/>
        <v>0</v>
      </c>
      <c r="BF104" s="12">
        <f t="shared" si="166"/>
        <v>0</v>
      </c>
      <c r="BG104" s="12">
        <f t="shared" si="166"/>
        <v>0</v>
      </c>
      <c r="BH104" s="12">
        <f t="shared" si="166"/>
        <v>0</v>
      </c>
      <c r="BI104" s="12">
        <f t="shared" si="166"/>
        <v>0</v>
      </c>
      <c r="BJ104" s="12">
        <f t="shared" si="166"/>
        <v>0</v>
      </c>
      <c r="BK104" s="1"/>
      <c r="BL104" s="1"/>
      <c r="BM104" s="1"/>
      <c r="BN104" s="1"/>
      <c r="BO104" s="1"/>
      <c r="BP104" s="1"/>
      <c r="BQ104" s="1"/>
      <c r="BR104" s="1"/>
      <c r="BS104" s="1"/>
      <c r="BT104" s="1"/>
      <c r="BU104" s="1"/>
      <c r="BV104" s="1"/>
      <c r="BX104" s="12">
        <f t="shared" ref="BX104:CI104" si="167">SUM(BX100:BX103)</f>
        <v>0</v>
      </c>
      <c r="BY104" s="12">
        <f t="shared" si="167"/>
        <v>0</v>
      </c>
      <c r="BZ104" s="12">
        <f t="shared" si="167"/>
        <v>0</v>
      </c>
      <c r="CA104" s="12">
        <f t="shared" si="167"/>
        <v>0</v>
      </c>
      <c r="CB104" s="12">
        <f t="shared" si="167"/>
        <v>0</v>
      </c>
      <c r="CC104" s="12">
        <f t="shared" si="167"/>
        <v>0</v>
      </c>
      <c r="CD104" s="12">
        <f t="shared" si="167"/>
        <v>0</v>
      </c>
      <c r="CE104" s="12">
        <f t="shared" si="167"/>
        <v>0</v>
      </c>
      <c r="CF104" s="12">
        <f t="shared" si="167"/>
        <v>0</v>
      </c>
      <c r="CG104" s="12">
        <f t="shared" si="167"/>
        <v>0</v>
      </c>
      <c r="CH104" s="12">
        <f t="shared" si="167"/>
        <v>0</v>
      </c>
      <c r="CI104" s="12">
        <f t="shared" si="167"/>
        <v>0</v>
      </c>
      <c r="CK104" s="11"/>
      <c r="CM104" s="11"/>
      <c r="CV104" s="7">
        <f>IF(ROUND(SUM($V104:$CI104)-SUM($V85:$CI99), rounding)=0, 0, 1)</f>
        <v>0</v>
      </c>
      <c r="CW104" s="7">
        <f t="shared" si="118"/>
        <v>0</v>
      </c>
      <c r="CX104" s="7">
        <f t="shared" si="119"/>
        <v>0</v>
      </c>
      <c r="CY104" s="7">
        <f t="shared" si="120"/>
        <v>0</v>
      </c>
      <c r="CZ104" s="650"/>
      <c r="DA104" s="35"/>
      <c r="DB104" s="215">
        <f t="shared" si="121"/>
        <v>0</v>
      </c>
      <c r="DC104" s="215">
        <f t="shared" si="122"/>
        <v>0</v>
      </c>
      <c r="DD104" s="215">
        <f t="shared" si="123"/>
        <v>0</v>
      </c>
      <c r="DE104" s="215">
        <f t="shared" si="124"/>
        <v>0</v>
      </c>
      <c r="DF104" s="215">
        <f t="shared" si="125"/>
        <v>0</v>
      </c>
      <c r="DG104" s="215">
        <f t="shared" si="126"/>
        <v>0</v>
      </c>
      <c r="DH104" s="215">
        <f t="shared" si="127"/>
        <v>0</v>
      </c>
      <c r="DI104" s="35"/>
      <c r="DJ104">
        <v>0</v>
      </c>
      <c r="DK104">
        <v>0</v>
      </c>
      <c r="DL104" s="35"/>
      <c r="EZ104" s="10" t="str">
        <f t="shared" si="159"/>
        <v/>
      </c>
    </row>
    <row r="105" spans="1:156" ht="6.75" customHeight="1" x14ac:dyDescent="0.35">
      <c r="C105" s="253"/>
      <c r="D105" s="1"/>
      <c r="E105"/>
      <c r="BY105" s="6"/>
      <c r="CK105" s="35"/>
      <c r="CM105" s="35"/>
      <c r="CZ105" s="650"/>
      <c r="DA105" s="35"/>
      <c r="DB105" s="215"/>
      <c r="DC105" s="215"/>
      <c r="DD105" s="215"/>
      <c r="DE105" s="215"/>
      <c r="DF105" s="215"/>
      <c r="DG105" s="215"/>
      <c r="DH105" s="215"/>
      <c r="DI105" s="35"/>
      <c r="DJ105">
        <v>0</v>
      </c>
      <c r="DK105">
        <v>0</v>
      </c>
      <c r="DL105" s="35"/>
      <c r="EZ105" s="10" t="str">
        <f t="shared" si="159"/>
        <v/>
      </c>
    </row>
    <row r="106" spans="1:156" x14ac:dyDescent="0.35">
      <c r="A106" s="88"/>
      <c r="B106" s="88"/>
      <c r="C106" s="254"/>
      <c r="D106" s="34" t="s">
        <v>841</v>
      </c>
      <c r="E106" s="34"/>
      <c r="F106" s="34"/>
      <c r="G106" s="34"/>
      <c r="H106" s="34"/>
      <c r="I106" s="34"/>
      <c r="J106" s="34"/>
      <c r="K106" s="34"/>
      <c r="L106" s="34"/>
      <c r="M106" s="34"/>
      <c r="N106" s="34"/>
      <c r="O106" s="34"/>
      <c r="P106" s="34"/>
      <c r="Q106" s="34"/>
      <c r="R106" s="34"/>
      <c r="S106" s="34"/>
      <c r="T106" s="34"/>
      <c r="U106" s="34"/>
      <c r="V106" s="34"/>
      <c r="W106" s="34"/>
      <c r="X106" s="34"/>
      <c r="Y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5"/>
      <c r="CM106" s="35"/>
      <c r="CZ106" s="650"/>
      <c r="DA106" s="35"/>
      <c r="DI106" s="35"/>
      <c r="DJ106">
        <v>0</v>
      </c>
      <c r="DK106">
        <v>0</v>
      </c>
      <c r="DL106" s="35"/>
      <c r="EZ106" s="10" t="str">
        <f t="shared" si="159"/>
        <v/>
      </c>
    </row>
    <row r="107" spans="1:156" ht="6.75" customHeight="1" x14ac:dyDescent="0.35">
      <c r="C107" s="253"/>
      <c r="D107" s="1"/>
      <c r="E107"/>
      <c r="BY107" s="6"/>
      <c r="CK107" s="35"/>
      <c r="CM107" s="35"/>
      <c r="CZ107" s="650"/>
      <c r="DA107" s="35"/>
      <c r="DI107" s="35"/>
      <c r="DJ107">
        <v>0</v>
      </c>
      <c r="DK107">
        <v>0</v>
      </c>
      <c r="DL107" s="35"/>
      <c r="EZ107" s="10" t="str">
        <f t="shared" si="159"/>
        <v/>
      </c>
    </row>
    <row r="108" spans="1:156" x14ac:dyDescent="0.35">
      <c r="C108" s="253"/>
      <c r="E108" s="85" t="s">
        <v>122</v>
      </c>
      <c r="F108" s="85" t="s">
        <v>122</v>
      </c>
      <c r="G108" s="85" t="s">
        <v>122</v>
      </c>
      <c r="CK108" s="11"/>
      <c r="CM108" s="11"/>
      <c r="CZ108" s="650"/>
      <c r="DA108" s="35"/>
      <c r="DB108" s="215"/>
      <c r="DC108" s="215"/>
      <c r="DD108" s="215"/>
      <c r="DE108" s="215"/>
      <c r="DF108" s="215"/>
      <c r="DG108" s="215"/>
      <c r="DH108" s="215"/>
      <c r="DI108" s="35"/>
      <c r="DJ108">
        <v>0</v>
      </c>
      <c r="DK108">
        <v>0</v>
      </c>
      <c r="DL108" s="35"/>
      <c r="EZ108" s="10" t="str">
        <f t="shared" si="159"/>
        <v/>
      </c>
    </row>
    <row r="109" spans="1:156" s="1" customFormat="1" ht="26" x14ac:dyDescent="0.35">
      <c r="C109" s="255"/>
      <c r="D109" s="44" t="s">
        <v>842</v>
      </c>
      <c r="E109" s="45" t="s">
        <v>754</v>
      </c>
      <c r="F109" s="45" t="s">
        <v>843</v>
      </c>
      <c r="G109" s="46" t="s">
        <v>801</v>
      </c>
      <c r="H109"/>
      <c r="Z109"/>
      <c r="CK109" s="25"/>
      <c r="CM109" s="25"/>
      <c r="CQ109"/>
      <c r="CV109"/>
      <c r="CW109"/>
      <c r="CX109"/>
      <c r="CY109"/>
      <c r="CZ109" s="651"/>
      <c r="DA109" s="43"/>
      <c r="DB109" s="215"/>
      <c r="DC109" s="215"/>
      <c r="DD109" s="215"/>
      <c r="DE109" s="215"/>
      <c r="DF109" s="215"/>
      <c r="DG109" s="215"/>
      <c r="DH109" s="215"/>
      <c r="DI109" s="43"/>
      <c r="DJ109" s="1">
        <v>0</v>
      </c>
      <c r="DK109" s="1">
        <v>0</v>
      </c>
      <c r="DL109" s="43"/>
      <c r="EZ109" s="10" t="str">
        <f t="shared" si="159"/>
        <v/>
      </c>
    </row>
    <row r="110" spans="1:156" x14ac:dyDescent="0.35">
      <c r="C110" s="253"/>
      <c r="D110" s="226"/>
      <c r="E110" s="227" t="s">
        <v>757</v>
      </c>
      <c r="F110" s="227" t="s">
        <v>20</v>
      </c>
      <c r="G110" s="228" t="s">
        <v>802</v>
      </c>
      <c r="BK110" s="1"/>
      <c r="BL110" s="1"/>
      <c r="BM110" s="1"/>
      <c r="BN110" s="1"/>
      <c r="BO110" s="1"/>
      <c r="BP110" s="1"/>
      <c r="BQ110" s="1"/>
      <c r="BR110" s="1"/>
      <c r="BS110" s="1"/>
      <c r="BT110" s="1"/>
      <c r="BU110" s="1"/>
      <c r="BV110" s="1"/>
      <c r="CK110" s="11"/>
      <c r="CM110" s="11"/>
      <c r="CZ110" s="650"/>
      <c r="DA110" s="35"/>
      <c r="DB110" s="215"/>
      <c r="DC110" s="215"/>
      <c r="DD110" s="215"/>
      <c r="DE110" s="215"/>
      <c r="DF110" s="215"/>
      <c r="DG110" s="215"/>
      <c r="DH110" s="215"/>
      <c r="DI110" s="35"/>
      <c r="DJ110">
        <v>0</v>
      </c>
      <c r="DK110">
        <v>0</v>
      </c>
      <c r="DL110" s="35"/>
      <c r="EZ110" s="10" t="str">
        <f t="shared" si="159"/>
        <v/>
      </c>
    </row>
    <row r="111" spans="1:156" x14ac:dyDescent="0.35">
      <c r="A111" s="220" cm="1">
        <f t="array" aca="1" ref="A111" ca="1">HYPERLINK(CONCATENATE("#",CELL("address",IF(MAX($CM111:$CZ111)=0,A111,INDEX($CM111:$CZ111,MATCH(1,$CM111:$CZ111,0))))),MAX($CM111:$CZ111))</f>
        <v>0</v>
      </c>
      <c r="C111" s="309" t="s">
        <v>844</v>
      </c>
      <c r="D111" s="113"/>
      <c r="E111" s="113"/>
      <c r="F111" s="110"/>
      <c r="G111" s="113"/>
      <c r="H111" s="9" t="s">
        <v>646</v>
      </c>
      <c r="I111" s="9"/>
      <c r="V111" s="12">
        <f>0-IF(AND($F111&gt;=Timeline!$V$8,$F111 &lt;=V$5), $G111, 0)</f>
        <v>0</v>
      </c>
      <c r="W111" s="10">
        <f t="shared" ref="W111:Y125" si="168">0-IF(AND($F111&gt;V$5,$F111 &lt;=W$5), $G111, 0)</f>
        <v>0</v>
      </c>
      <c r="X111" s="10">
        <f t="shared" si="168"/>
        <v>0</v>
      </c>
      <c r="Y111" s="10">
        <f t="shared" si="168"/>
        <v>0</v>
      </c>
      <c r="AA111" s="10">
        <f t="shared" ref="AA111:AA125" si="169">0-IF(AND($F111&gt;V$5,$F111 &lt;=AA$5), $G111, 0)</f>
        <v>0</v>
      </c>
      <c r="AB111" s="10">
        <f t="shared" ref="AB111:BJ111" si="170">0-IF(AND($F111&gt;AA$5,$F111 &lt;=AB$5), $G111, 0)</f>
        <v>0</v>
      </c>
      <c r="AC111" s="10">
        <f t="shared" si="170"/>
        <v>0</v>
      </c>
      <c r="AD111" s="10">
        <f t="shared" si="170"/>
        <v>0</v>
      </c>
      <c r="AE111" s="10">
        <f t="shared" si="170"/>
        <v>0</v>
      </c>
      <c r="AF111" s="10">
        <f t="shared" si="170"/>
        <v>0</v>
      </c>
      <c r="AG111" s="10">
        <f t="shared" si="170"/>
        <v>0</v>
      </c>
      <c r="AH111" s="10">
        <f t="shared" si="170"/>
        <v>0</v>
      </c>
      <c r="AI111" s="10">
        <f t="shared" si="170"/>
        <v>0</v>
      </c>
      <c r="AJ111" s="10">
        <f t="shared" si="170"/>
        <v>0</v>
      </c>
      <c r="AK111" s="10">
        <f t="shared" si="170"/>
        <v>0</v>
      </c>
      <c r="AL111" s="10">
        <f t="shared" si="170"/>
        <v>0</v>
      </c>
      <c r="AM111" s="10">
        <f t="shared" si="170"/>
        <v>0</v>
      </c>
      <c r="AN111" s="10">
        <f t="shared" si="170"/>
        <v>0</v>
      </c>
      <c r="AO111" s="10">
        <f t="shared" si="170"/>
        <v>0</v>
      </c>
      <c r="AP111" s="10">
        <f t="shared" si="170"/>
        <v>0</v>
      </c>
      <c r="AQ111" s="10">
        <f t="shared" si="170"/>
        <v>0</v>
      </c>
      <c r="AR111" s="10">
        <f t="shared" si="170"/>
        <v>0</v>
      </c>
      <c r="AS111" s="10">
        <f t="shared" si="170"/>
        <v>0</v>
      </c>
      <c r="AT111" s="10">
        <f t="shared" si="170"/>
        <v>0</v>
      </c>
      <c r="AU111" s="10">
        <f t="shared" si="170"/>
        <v>0</v>
      </c>
      <c r="AV111" s="10">
        <f t="shared" si="170"/>
        <v>0</v>
      </c>
      <c r="AW111" s="10">
        <f t="shared" si="170"/>
        <v>0</v>
      </c>
      <c r="AX111" s="10">
        <f t="shared" si="170"/>
        <v>0</v>
      </c>
      <c r="AY111" s="10">
        <f t="shared" si="170"/>
        <v>0</v>
      </c>
      <c r="AZ111" s="10">
        <f t="shared" si="170"/>
        <v>0</v>
      </c>
      <c r="BA111" s="10">
        <f t="shared" si="170"/>
        <v>0</v>
      </c>
      <c r="BB111" s="10">
        <f t="shared" si="170"/>
        <v>0</v>
      </c>
      <c r="BC111" s="10">
        <f t="shared" si="170"/>
        <v>0</v>
      </c>
      <c r="BD111" s="10">
        <f t="shared" si="170"/>
        <v>0</v>
      </c>
      <c r="BE111" s="10">
        <f t="shared" si="170"/>
        <v>0</v>
      </c>
      <c r="BF111" s="10">
        <f t="shared" si="170"/>
        <v>0</v>
      </c>
      <c r="BG111" s="10">
        <f t="shared" si="170"/>
        <v>0</v>
      </c>
      <c r="BH111" s="10">
        <f t="shared" si="170"/>
        <v>0</v>
      </c>
      <c r="BI111" s="10">
        <f t="shared" si="170"/>
        <v>0</v>
      </c>
      <c r="BJ111" s="10">
        <f t="shared" si="170"/>
        <v>0</v>
      </c>
      <c r="BK111" s="1"/>
      <c r="BL111" s="1"/>
      <c r="BM111" s="1"/>
      <c r="BN111" s="1"/>
      <c r="BO111" s="1"/>
      <c r="BP111" s="1"/>
      <c r="BQ111" s="1"/>
      <c r="BR111" s="1"/>
      <c r="BS111" s="1"/>
      <c r="BT111" s="1"/>
      <c r="BU111" s="1"/>
      <c r="BV111" s="1"/>
      <c r="BX111" s="12">
        <f t="shared" ref="BX111:BX125" si="171">V111</f>
        <v>0</v>
      </c>
      <c r="BY111" s="10">
        <f t="shared" ref="BY111:CI111" si="172">0-IF(AND($F111&gt;BX$5,$F111 &lt;=BY$5), $G111, 0)</f>
        <v>0</v>
      </c>
      <c r="BZ111" s="10">
        <f t="shared" si="172"/>
        <v>0</v>
      </c>
      <c r="CA111" s="10">
        <f t="shared" si="172"/>
        <v>0</v>
      </c>
      <c r="CB111" s="10">
        <f t="shared" si="172"/>
        <v>0</v>
      </c>
      <c r="CC111" s="10">
        <f t="shared" si="172"/>
        <v>0</v>
      </c>
      <c r="CD111" s="10">
        <f t="shared" si="172"/>
        <v>0</v>
      </c>
      <c r="CE111" s="10">
        <f t="shared" si="172"/>
        <v>0</v>
      </c>
      <c r="CF111" s="10">
        <f t="shared" si="172"/>
        <v>0</v>
      </c>
      <c r="CG111" s="10">
        <f t="shared" si="172"/>
        <v>0</v>
      </c>
      <c r="CH111" s="10">
        <f t="shared" si="172"/>
        <v>0</v>
      </c>
      <c r="CI111" s="10">
        <f t="shared" si="172"/>
        <v>0</v>
      </c>
      <c r="CK111" s="11"/>
      <c r="CL111" s="221">
        <f t="shared" ref="CL111:CL130" si="173">IF($G111&lt;0, 1, 0)</f>
        <v>0</v>
      </c>
      <c r="CM111" s="11"/>
      <c r="CN111" s="7">
        <f t="shared" ref="CN111:CN125" si="174">IF(AND(E111="", IFERROR(ABS(G111),0)&gt;0), 1,0)</f>
        <v>0</v>
      </c>
      <c r="CO111" s="7">
        <f>IF(AND(G111&lt;&gt;0, IFERROR(MATCH(E111, Parameters!$D$45:$D$48, 0), "N/A")="N/A"), 1, 0)</f>
        <v>0</v>
      </c>
      <c r="CQ111" s="7">
        <f>IF($F111="", 0, IF(AND($F111&lt;=$CI$5, $F111&gt;=Timeline!$V$8), 0, 1))</f>
        <v>0</v>
      </c>
      <c r="CU111" s="7" cm="1">
        <f t="array" ref="CU111">SUMPRODUCT(--NOT(ISNUMBER(G111:G111)),--NOT(ISBLANK(G111:G111)))</f>
        <v>0</v>
      </c>
      <c r="CW111" s="7">
        <f t="shared" ref="CW111:CW130" si="175">IF(SUM($DB111:$DD111)=0, 0, 1)</f>
        <v>0</v>
      </c>
      <c r="CX111" s="7">
        <f t="shared" ref="CX111:CX130" si="176">IF(SUM($DE111:$DG111)=0, 0, 1)</f>
        <v>0</v>
      </c>
      <c r="CY111" s="7">
        <f t="shared" ref="CY111:CY130" si="177">IF($DH111=0, 0, 1)</f>
        <v>0</v>
      </c>
      <c r="CZ111" s="650"/>
      <c r="DA111" s="35"/>
      <c r="DB111" s="215">
        <f t="shared" ref="DB111:DB130" si="178">ROUND(W111-SUMIFS($AA111:$BJ111, $AA$3:$BJ$3, W$3), rounding)</f>
        <v>0</v>
      </c>
      <c r="DC111" s="215">
        <f t="shared" ref="DC111:DC130" si="179">ROUND(X111-SUMIFS($AA111:$BJ111, $AA$3:$BJ$3, X$3), rounding)</f>
        <v>0</v>
      </c>
      <c r="DD111" s="215">
        <f t="shared" ref="DD111:DD130" si="180">ROUND(Y111-SUMIFS($AA111:$BJ111, $AA$3:$BJ$3, Y$3), rounding)</f>
        <v>0</v>
      </c>
      <c r="DE111" s="215">
        <f t="shared" ref="DE111:DE130" si="181">ROUND($BY111-SUMIFS($AA111:$BJ111, $AA$3:$BJ$3, $BY$3), rounding)</f>
        <v>0</v>
      </c>
      <c r="DF111" s="215">
        <f t="shared" ref="DF111:DF130" si="182">ROUND($BZ111-SUMIFS($AA111:$BJ111, $AA$3:$BJ$3, $BZ$3), rounding)</f>
        <v>0</v>
      </c>
      <c r="DG111" s="215">
        <f t="shared" ref="DG111:DG130" si="183">ROUND($CA111-SUMIFS($AA111:$BJ111, $AA$3:$BJ$3, $CA$3), rounding)</f>
        <v>0</v>
      </c>
      <c r="DH111" s="215">
        <f t="shared" ref="DH111:DH130" si="184">ROUND($V111-$BX111, rounding)</f>
        <v>0</v>
      </c>
      <c r="DI111" s="35"/>
      <c r="DJ111">
        <v>0</v>
      </c>
      <c r="DK111">
        <v>0</v>
      </c>
      <c r="DL111" s="35"/>
      <c r="EZ111" s="12" t="str">
        <f t="shared" ref="EZ111:EZ125" si="185">IF($C111="","",CONCATENATE(D$106, " ",$C111))</f>
        <v>Moved to Assets Held for Sale AH1</v>
      </c>
    </row>
    <row r="112" spans="1:156" x14ac:dyDescent="0.35">
      <c r="A112" s="220" cm="1">
        <f t="array" aca="1" ref="A112" ca="1">HYPERLINK(CONCATENATE("#",CELL("address",IF(MAX($CM112:$CZ112)=0,A112,INDEX($CM112:$CZ112,MATCH(1,$CM112:$CZ112,0))))),MAX($CM112:$CZ112))</f>
        <v>0</v>
      </c>
      <c r="C112" s="309" t="s">
        <v>845</v>
      </c>
      <c r="D112" s="114"/>
      <c r="E112" s="113"/>
      <c r="F112" s="110"/>
      <c r="G112" s="114"/>
      <c r="H112" s="9" t="s">
        <v>646</v>
      </c>
      <c r="I112" s="9"/>
      <c r="V112" s="12">
        <f>0-IF(AND($F112&gt;=Timeline!$V$8,$F112 &lt;=V$5), $G112, 0)</f>
        <v>0</v>
      </c>
      <c r="W112" s="10">
        <f t="shared" si="168"/>
        <v>0</v>
      </c>
      <c r="X112" s="10">
        <f t="shared" si="168"/>
        <v>0</v>
      </c>
      <c r="Y112" s="10">
        <f t="shared" si="168"/>
        <v>0</v>
      </c>
      <c r="AA112" s="10">
        <f t="shared" si="169"/>
        <v>0</v>
      </c>
      <c r="AB112" s="10">
        <f t="shared" ref="AB112:BJ112" si="186">0-IF(AND($F112&gt;AA$5,$F112 &lt;=AB$5), $G112, 0)</f>
        <v>0</v>
      </c>
      <c r="AC112" s="10">
        <f t="shared" si="186"/>
        <v>0</v>
      </c>
      <c r="AD112" s="10">
        <f t="shared" si="186"/>
        <v>0</v>
      </c>
      <c r="AE112" s="10">
        <f t="shared" si="186"/>
        <v>0</v>
      </c>
      <c r="AF112" s="10">
        <f t="shared" si="186"/>
        <v>0</v>
      </c>
      <c r="AG112" s="10">
        <f t="shared" si="186"/>
        <v>0</v>
      </c>
      <c r="AH112" s="10">
        <f t="shared" si="186"/>
        <v>0</v>
      </c>
      <c r="AI112" s="10">
        <f t="shared" si="186"/>
        <v>0</v>
      </c>
      <c r="AJ112" s="10">
        <f t="shared" si="186"/>
        <v>0</v>
      </c>
      <c r="AK112" s="10">
        <f t="shared" si="186"/>
        <v>0</v>
      </c>
      <c r="AL112" s="10">
        <f t="shared" si="186"/>
        <v>0</v>
      </c>
      <c r="AM112" s="10">
        <f t="shared" si="186"/>
        <v>0</v>
      </c>
      <c r="AN112" s="10">
        <f t="shared" si="186"/>
        <v>0</v>
      </c>
      <c r="AO112" s="10">
        <f t="shared" si="186"/>
        <v>0</v>
      </c>
      <c r="AP112" s="10">
        <f t="shared" si="186"/>
        <v>0</v>
      </c>
      <c r="AQ112" s="10">
        <f t="shared" si="186"/>
        <v>0</v>
      </c>
      <c r="AR112" s="10">
        <f t="shared" si="186"/>
        <v>0</v>
      </c>
      <c r="AS112" s="10">
        <f t="shared" si="186"/>
        <v>0</v>
      </c>
      <c r="AT112" s="10">
        <f t="shared" si="186"/>
        <v>0</v>
      </c>
      <c r="AU112" s="10">
        <f t="shared" si="186"/>
        <v>0</v>
      </c>
      <c r="AV112" s="10">
        <f t="shared" si="186"/>
        <v>0</v>
      </c>
      <c r="AW112" s="10">
        <f t="shared" si="186"/>
        <v>0</v>
      </c>
      <c r="AX112" s="10">
        <f t="shared" si="186"/>
        <v>0</v>
      </c>
      <c r="AY112" s="10">
        <f t="shared" si="186"/>
        <v>0</v>
      </c>
      <c r="AZ112" s="10">
        <f t="shared" si="186"/>
        <v>0</v>
      </c>
      <c r="BA112" s="10">
        <f t="shared" si="186"/>
        <v>0</v>
      </c>
      <c r="BB112" s="10">
        <f t="shared" si="186"/>
        <v>0</v>
      </c>
      <c r="BC112" s="10">
        <f t="shared" si="186"/>
        <v>0</v>
      </c>
      <c r="BD112" s="10">
        <f t="shared" si="186"/>
        <v>0</v>
      </c>
      <c r="BE112" s="10">
        <f t="shared" si="186"/>
        <v>0</v>
      </c>
      <c r="BF112" s="10">
        <f t="shared" si="186"/>
        <v>0</v>
      </c>
      <c r="BG112" s="10">
        <f t="shared" si="186"/>
        <v>0</v>
      </c>
      <c r="BH112" s="10">
        <f t="shared" si="186"/>
        <v>0</v>
      </c>
      <c r="BI112" s="10">
        <f t="shared" si="186"/>
        <v>0</v>
      </c>
      <c r="BJ112" s="10">
        <f t="shared" si="186"/>
        <v>0</v>
      </c>
      <c r="BK112" s="1"/>
      <c r="BL112" s="1"/>
      <c r="BM112" s="1"/>
      <c r="BN112" s="1"/>
      <c r="BO112" s="1"/>
      <c r="BP112" s="1"/>
      <c r="BQ112" s="1"/>
      <c r="BR112" s="1"/>
      <c r="BS112" s="1"/>
      <c r="BT112" s="1"/>
      <c r="BU112" s="1"/>
      <c r="BV112" s="1"/>
      <c r="BX112" s="12">
        <f t="shared" si="171"/>
        <v>0</v>
      </c>
      <c r="BY112" s="10">
        <f t="shared" ref="BY112:CI112" si="187">0-IF(AND($F112&gt;BX$5,$F112 &lt;=BY$5), $G112, 0)</f>
        <v>0</v>
      </c>
      <c r="BZ112" s="10">
        <f t="shared" si="187"/>
        <v>0</v>
      </c>
      <c r="CA112" s="10">
        <f t="shared" si="187"/>
        <v>0</v>
      </c>
      <c r="CB112" s="10">
        <f t="shared" si="187"/>
        <v>0</v>
      </c>
      <c r="CC112" s="10">
        <f t="shared" si="187"/>
        <v>0</v>
      </c>
      <c r="CD112" s="10">
        <f t="shared" si="187"/>
        <v>0</v>
      </c>
      <c r="CE112" s="10">
        <f t="shared" si="187"/>
        <v>0</v>
      </c>
      <c r="CF112" s="10">
        <f t="shared" si="187"/>
        <v>0</v>
      </c>
      <c r="CG112" s="10">
        <f t="shared" si="187"/>
        <v>0</v>
      </c>
      <c r="CH112" s="10">
        <f t="shared" si="187"/>
        <v>0</v>
      </c>
      <c r="CI112" s="10">
        <f t="shared" si="187"/>
        <v>0</v>
      </c>
      <c r="CK112" s="11"/>
      <c r="CL112" s="221">
        <f t="shared" si="173"/>
        <v>0</v>
      </c>
      <c r="CM112" s="11"/>
      <c r="CN112" s="7">
        <f t="shared" si="174"/>
        <v>0</v>
      </c>
      <c r="CO112" s="7">
        <f>IF(AND(G112&lt;&gt;0, IFERROR(MATCH(E112, Parameters!$D$45:$D$48, 0), "N/A")="N/A"), 1, 0)</f>
        <v>0</v>
      </c>
      <c r="CQ112" s="7">
        <f>IF($F112="", 0, IF(AND($F112&lt;=$CI$5, $F112&gt;=Timeline!$V$8), 0, 1))</f>
        <v>0</v>
      </c>
      <c r="CU112" s="7" cm="1">
        <f t="array" ref="CU112">SUMPRODUCT(--NOT(ISNUMBER(G112:G112)),--NOT(ISBLANK(G112:G112)))</f>
        <v>0</v>
      </c>
      <c r="CW112" s="7">
        <f t="shared" si="175"/>
        <v>0</v>
      </c>
      <c r="CX112" s="7">
        <f t="shared" si="176"/>
        <v>0</v>
      </c>
      <c r="CY112" s="7">
        <f t="shared" si="177"/>
        <v>0</v>
      </c>
      <c r="CZ112" s="650"/>
      <c r="DA112" s="35"/>
      <c r="DB112" s="215">
        <f t="shared" si="178"/>
        <v>0</v>
      </c>
      <c r="DC112" s="215">
        <f t="shared" si="179"/>
        <v>0</v>
      </c>
      <c r="DD112" s="215">
        <f t="shared" si="180"/>
        <v>0</v>
      </c>
      <c r="DE112" s="215">
        <f t="shared" si="181"/>
        <v>0</v>
      </c>
      <c r="DF112" s="215">
        <f t="shared" si="182"/>
        <v>0</v>
      </c>
      <c r="DG112" s="215">
        <f t="shared" si="183"/>
        <v>0</v>
      </c>
      <c r="DH112" s="215">
        <f t="shared" si="184"/>
        <v>0</v>
      </c>
      <c r="DI112" s="35"/>
      <c r="DJ112">
        <v>0</v>
      </c>
      <c r="DK112">
        <v>0</v>
      </c>
      <c r="DL112" s="35"/>
      <c r="EZ112" s="12" t="str">
        <f t="shared" si="185"/>
        <v>Moved to Assets Held for Sale AH2</v>
      </c>
    </row>
    <row r="113" spans="1:156" x14ac:dyDescent="0.35">
      <c r="A113" s="220" cm="1">
        <f t="array" aca="1" ref="A113" ca="1">HYPERLINK(CONCATENATE("#",CELL("address",IF(MAX($CM113:$CZ113)=0,A113,INDEX($CM113:$CZ113,MATCH(1,$CM113:$CZ113,0))))),MAX($CM113:$CZ113))</f>
        <v>0</v>
      </c>
      <c r="C113" s="309" t="s">
        <v>846</v>
      </c>
      <c r="D113" s="114"/>
      <c r="E113" s="113"/>
      <c r="F113" s="110"/>
      <c r="G113" s="114"/>
      <c r="H113" s="9" t="s">
        <v>646</v>
      </c>
      <c r="I113" s="9"/>
      <c r="V113" s="12">
        <f>0-IF(AND($F113&gt;=Timeline!$V$8,$F113 &lt;=V$5), $G113, 0)</f>
        <v>0</v>
      </c>
      <c r="W113" s="10">
        <f t="shared" si="168"/>
        <v>0</v>
      </c>
      <c r="X113" s="10">
        <f t="shared" si="168"/>
        <v>0</v>
      </c>
      <c r="Y113" s="10">
        <f t="shared" si="168"/>
        <v>0</v>
      </c>
      <c r="AA113" s="10">
        <f t="shared" si="169"/>
        <v>0</v>
      </c>
      <c r="AB113" s="10">
        <f t="shared" ref="AB113:BJ113" si="188">0-IF(AND($F113&gt;AA$5,$F113 &lt;=AB$5), $G113, 0)</f>
        <v>0</v>
      </c>
      <c r="AC113" s="10">
        <f t="shared" si="188"/>
        <v>0</v>
      </c>
      <c r="AD113" s="10">
        <f t="shared" si="188"/>
        <v>0</v>
      </c>
      <c r="AE113" s="10">
        <f t="shared" si="188"/>
        <v>0</v>
      </c>
      <c r="AF113" s="10">
        <f t="shared" si="188"/>
        <v>0</v>
      </c>
      <c r="AG113" s="10">
        <f t="shared" si="188"/>
        <v>0</v>
      </c>
      <c r="AH113" s="10">
        <f t="shared" si="188"/>
        <v>0</v>
      </c>
      <c r="AI113" s="10">
        <f t="shared" si="188"/>
        <v>0</v>
      </c>
      <c r="AJ113" s="10">
        <f t="shared" si="188"/>
        <v>0</v>
      </c>
      <c r="AK113" s="10">
        <f t="shared" si="188"/>
        <v>0</v>
      </c>
      <c r="AL113" s="10">
        <f t="shared" si="188"/>
        <v>0</v>
      </c>
      <c r="AM113" s="10">
        <f t="shared" si="188"/>
        <v>0</v>
      </c>
      <c r="AN113" s="10">
        <f t="shared" si="188"/>
        <v>0</v>
      </c>
      <c r="AO113" s="10">
        <f t="shared" si="188"/>
        <v>0</v>
      </c>
      <c r="AP113" s="10">
        <f t="shared" si="188"/>
        <v>0</v>
      </c>
      <c r="AQ113" s="10">
        <f t="shared" si="188"/>
        <v>0</v>
      </c>
      <c r="AR113" s="10">
        <f t="shared" si="188"/>
        <v>0</v>
      </c>
      <c r="AS113" s="10">
        <f t="shared" si="188"/>
        <v>0</v>
      </c>
      <c r="AT113" s="10">
        <f t="shared" si="188"/>
        <v>0</v>
      </c>
      <c r="AU113" s="10">
        <f t="shared" si="188"/>
        <v>0</v>
      </c>
      <c r="AV113" s="10">
        <f t="shared" si="188"/>
        <v>0</v>
      </c>
      <c r="AW113" s="10">
        <f t="shared" si="188"/>
        <v>0</v>
      </c>
      <c r="AX113" s="10">
        <f t="shared" si="188"/>
        <v>0</v>
      </c>
      <c r="AY113" s="10">
        <f t="shared" si="188"/>
        <v>0</v>
      </c>
      <c r="AZ113" s="10">
        <f t="shared" si="188"/>
        <v>0</v>
      </c>
      <c r="BA113" s="10">
        <f t="shared" si="188"/>
        <v>0</v>
      </c>
      <c r="BB113" s="10">
        <f t="shared" si="188"/>
        <v>0</v>
      </c>
      <c r="BC113" s="10">
        <f t="shared" si="188"/>
        <v>0</v>
      </c>
      <c r="BD113" s="10">
        <f t="shared" si="188"/>
        <v>0</v>
      </c>
      <c r="BE113" s="10">
        <f t="shared" si="188"/>
        <v>0</v>
      </c>
      <c r="BF113" s="10">
        <f t="shared" si="188"/>
        <v>0</v>
      </c>
      <c r="BG113" s="10">
        <f t="shared" si="188"/>
        <v>0</v>
      </c>
      <c r="BH113" s="10">
        <f t="shared" si="188"/>
        <v>0</v>
      </c>
      <c r="BI113" s="10">
        <f t="shared" si="188"/>
        <v>0</v>
      </c>
      <c r="BJ113" s="10">
        <f t="shared" si="188"/>
        <v>0</v>
      </c>
      <c r="BK113" s="1"/>
      <c r="BL113" s="1"/>
      <c r="BM113" s="1"/>
      <c r="BN113" s="1"/>
      <c r="BO113" s="1"/>
      <c r="BP113" s="1"/>
      <c r="BQ113" s="1"/>
      <c r="BR113" s="1"/>
      <c r="BS113" s="1"/>
      <c r="BT113" s="1"/>
      <c r="BU113" s="1"/>
      <c r="BV113" s="1"/>
      <c r="BX113" s="12">
        <f t="shared" si="171"/>
        <v>0</v>
      </c>
      <c r="BY113" s="10">
        <f t="shared" ref="BY113:CI113" si="189">0-IF(AND($F113&gt;BX$5,$F113 &lt;=BY$5), $G113, 0)</f>
        <v>0</v>
      </c>
      <c r="BZ113" s="10">
        <f t="shared" si="189"/>
        <v>0</v>
      </c>
      <c r="CA113" s="10">
        <f t="shared" si="189"/>
        <v>0</v>
      </c>
      <c r="CB113" s="10">
        <f t="shared" si="189"/>
        <v>0</v>
      </c>
      <c r="CC113" s="10">
        <f t="shared" si="189"/>
        <v>0</v>
      </c>
      <c r="CD113" s="10">
        <f t="shared" si="189"/>
        <v>0</v>
      </c>
      <c r="CE113" s="10">
        <f t="shared" si="189"/>
        <v>0</v>
      </c>
      <c r="CF113" s="10">
        <f t="shared" si="189"/>
        <v>0</v>
      </c>
      <c r="CG113" s="10">
        <f t="shared" si="189"/>
        <v>0</v>
      </c>
      <c r="CH113" s="10">
        <f t="shared" si="189"/>
        <v>0</v>
      </c>
      <c r="CI113" s="10">
        <f t="shared" si="189"/>
        <v>0</v>
      </c>
      <c r="CK113" s="11"/>
      <c r="CL113" s="221">
        <f t="shared" si="173"/>
        <v>0</v>
      </c>
      <c r="CM113" s="11"/>
      <c r="CN113" s="7">
        <f t="shared" si="174"/>
        <v>0</v>
      </c>
      <c r="CO113" s="7">
        <f>IF(AND(G113&lt;&gt;0, IFERROR(MATCH(E113, Parameters!$D$45:$D$48, 0), "N/A")="N/A"), 1, 0)</f>
        <v>0</v>
      </c>
      <c r="CQ113" s="7">
        <f>IF($F113="", 0, IF(AND($F113&lt;=$CI$5, $F113&gt;=Timeline!$V$8), 0, 1))</f>
        <v>0</v>
      </c>
      <c r="CU113" s="7" cm="1">
        <f t="array" ref="CU113">SUMPRODUCT(--NOT(ISNUMBER(G113:G113)),--NOT(ISBLANK(G113:G113)))</f>
        <v>0</v>
      </c>
      <c r="CW113" s="7">
        <f t="shared" si="175"/>
        <v>0</v>
      </c>
      <c r="CX113" s="7">
        <f t="shared" si="176"/>
        <v>0</v>
      </c>
      <c r="CY113" s="7">
        <f t="shared" si="177"/>
        <v>0</v>
      </c>
      <c r="CZ113" s="650"/>
      <c r="DA113" s="129"/>
      <c r="DB113" s="215">
        <f t="shared" si="178"/>
        <v>0</v>
      </c>
      <c r="DC113" s="215">
        <f t="shared" si="179"/>
        <v>0</v>
      </c>
      <c r="DD113" s="215">
        <f t="shared" si="180"/>
        <v>0</v>
      </c>
      <c r="DE113" s="215">
        <f t="shared" si="181"/>
        <v>0</v>
      </c>
      <c r="DF113" s="215">
        <f t="shared" si="182"/>
        <v>0</v>
      </c>
      <c r="DG113" s="215">
        <f t="shared" si="183"/>
        <v>0</v>
      </c>
      <c r="DH113" s="215">
        <f t="shared" si="184"/>
        <v>0</v>
      </c>
      <c r="DI113" s="35"/>
      <c r="DJ113">
        <v>0</v>
      </c>
      <c r="DK113">
        <v>0</v>
      </c>
      <c r="DL113" s="35"/>
      <c r="EZ113" s="12" t="str">
        <f t="shared" si="185"/>
        <v>Moved to Assets Held for Sale AH3</v>
      </c>
    </row>
    <row r="114" spans="1:156" x14ac:dyDescent="0.35">
      <c r="A114" s="220" cm="1">
        <f t="array" aca="1" ref="A114" ca="1">HYPERLINK(CONCATENATE("#",CELL("address",IF(MAX($CM114:$CZ114)=0,A114,INDEX($CM114:$CZ114,MATCH(1,$CM114:$CZ114,0))))),MAX($CM114:$CZ114))</f>
        <v>0</v>
      </c>
      <c r="C114" s="309" t="s">
        <v>847</v>
      </c>
      <c r="D114" s="114"/>
      <c r="E114" s="113"/>
      <c r="F114" s="110"/>
      <c r="G114" s="114"/>
      <c r="H114" s="9" t="s">
        <v>646</v>
      </c>
      <c r="I114" s="9"/>
      <c r="V114" s="12">
        <f>0-IF(AND($F114&gt;=Timeline!$V$8,$F114 &lt;=V$5), $G114, 0)</f>
        <v>0</v>
      </c>
      <c r="W114" s="10">
        <f t="shared" si="168"/>
        <v>0</v>
      </c>
      <c r="X114" s="10">
        <f t="shared" si="168"/>
        <v>0</v>
      </c>
      <c r="Y114" s="10">
        <f t="shared" si="168"/>
        <v>0</v>
      </c>
      <c r="AA114" s="10">
        <f t="shared" si="169"/>
        <v>0</v>
      </c>
      <c r="AB114" s="10">
        <f t="shared" ref="AB114:BJ114" si="190">0-IF(AND($F114&gt;AA$5,$F114 &lt;=AB$5), $G114, 0)</f>
        <v>0</v>
      </c>
      <c r="AC114" s="10">
        <f t="shared" si="190"/>
        <v>0</v>
      </c>
      <c r="AD114" s="10">
        <f t="shared" si="190"/>
        <v>0</v>
      </c>
      <c r="AE114" s="10">
        <f t="shared" si="190"/>
        <v>0</v>
      </c>
      <c r="AF114" s="10">
        <f t="shared" si="190"/>
        <v>0</v>
      </c>
      <c r="AG114" s="10">
        <f t="shared" si="190"/>
        <v>0</v>
      </c>
      <c r="AH114" s="10">
        <f t="shared" si="190"/>
        <v>0</v>
      </c>
      <c r="AI114" s="10">
        <f t="shared" si="190"/>
        <v>0</v>
      </c>
      <c r="AJ114" s="10">
        <f t="shared" si="190"/>
        <v>0</v>
      </c>
      <c r="AK114" s="10">
        <f t="shared" si="190"/>
        <v>0</v>
      </c>
      <c r="AL114" s="10">
        <f t="shared" si="190"/>
        <v>0</v>
      </c>
      <c r="AM114" s="10">
        <f t="shared" si="190"/>
        <v>0</v>
      </c>
      <c r="AN114" s="10">
        <f t="shared" si="190"/>
        <v>0</v>
      </c>
      <c r="AO114" s="10">
        <f t="shared" si="190"/>
        <v>0</v>
      </c>
      <c r="AP114" s="10">
        <f t="shared" si="190"/>
        <v>0</v>
      </c>
      <c r="AQ114" s="10">
        <f t="shared" si="190"/>
        <v>0</v>
      </c>
      <c r="AR114" s="10">
        <f t="shared" si="190"/>
        <v>0</v>
      </c>
      <c r="AS114" s="10">
        <f t="shared" si="190"/>
        <v>0</v>
      </c>
      <c r="AT114" s="10">
        <f t="shared" si="190"/>
        <v>0</v>
      </c>
      <c r="AU114" s="10">
        <f t="shared" si="190"/>
        <v>0</v>
      </c>
      <c r="AV114" s="10">
        <f t="shared" si="190"/>
        <v>0</v>
      </c>
      <c r="AW114" s="10">
        <f t="shared" si="190"/>
        <v>0</v>
      </c>
      <c r="AX114" s="10">
        <f t="shared" si="190"/>
        <v>0</v>
      </c>
      <c r="AY114" s="10">
        <f t="shared" si="190"/>
        <v>0</v>
      </c>
      <c r="AZ114" s="10">
        <f t="shared" si="190"/>
        <v>0</v>
      </c>
      <c r="BA114" s="10">
        <f t="shared" si="190"/>
        <v>0</v>
      </c>
      <c r="BB114" s="10">
        <f t="shared" si="190"/>
        <v>0</v>
      </c>
      <c r="BC114" s="10">
        <f t="shared" si="190"/>
        <v>0</v>
      </c>
      <c r="BD114" s="10">
        <f t="shared" si="190"/>
        <v>0</v>
      </c>
      <c r="BE114" s="10">
        <f t="shared" si="190"/>
        <v>0</v>
      </c>
      <c r="BF114" s="10">
        <f t="shared" si="190"/>
        <v>0</v>
      </c>
      <c r="BG114" s="10">
        <f t="shared" si="190"/>
        <v>0</v>
      </c>
      <c r="BH114" s="10">
        <f t="shared" si="190"/>
        <v>0</v>
      </c>
      <c r="BI114" s="10">
        <f t="shared" si="190"/>
        <v>0</v>
      </c>
      <c r="BJ114" s="10">
        <f t="shared" si="190"/>
        <v>0</v>
      </c>
      <c r="BK114" s="1"/>
      <c r="BL114" s="1"/>
      <c r="BM114" s="1"/>
      <c r="BN114" s="1"/>
      <c r="BO114" s="1"/>
      <c r="BP114" s="1"/>
      <c r="BQ114" s="1"/>
      <c r="BR114" s="1"/>
      <c r="BS114" s="1"/>
      <c r="BT114" s="1"/>
      <c r="BU114" s="1"/>
      <c r="BV114" s="1"/>
      <c r="BX114" s="12">
        <f t="shared" si="171"/>
        <v>0</v>
      </c>
      <c r="BY114" s="10">
        <f t="shared" ref="BY114:CI114" si="191">0-IF(AND($F114&gt;BX$5,$F114 &lt;=BY$5), $G114, 0)</f>
        <v>0</v>
      </c>
      <c r="BZ114" s="10">
        <f t="shared" si="191"/>
        <v>0</v>
      </c>
      <c r="CA114" s="10">
        <f t="shared" si="191"/>
        <v>0</v>
      </c>
      <c r="CB114" s="10">
        <f t="shared" si="191"/>
        <v>0</v>
      </c>
      <c r="CC114" s="10">
        <f t="shared" si="191"/>
        <v>0</v>
      </c>
      <c r="CD114" s="10">
        <f t="shared" si="191"/>
        <v>0</v>
      </c>
      <c r="CE114" s="10">
        <f t="shared" si="191"/>
        <v>0</v>
      </c>
      <c r="CF114" s="10">
        <f t="shared" si="191"/>
        <v>0</v>
      </c>
      <c r="CG114" s="10">
        <f t="shared" si="191"/>
        <v>0</v>
      </c>
      <c r="CH114" s="10">
        <f t="shared" si="191"/>
        <v>0</v>
      </c>
      <c r="CI114" s="10">
        <f t="shared" si="191"/>
        <v>0</v>
      </c>
      <c r="CK114" s="11"/>
      <c r="CL114" s="221">
        <f t="shared" si="173"/>
        <v>0</v>
      </c>
      <c r="CM114" s="11"/>
      <c r="CN114" s="7">
        <f t="shared" si="174"/>
        <v>0</v>
      </c>
      <c r="CO114" s="7">
        <f>IF(AND(G114&lt;&gt;0, IFERROR(MATCH(E114, Parameters!$D$45:$D$48, 0), "N/A")="N/A"), 1, 0)</f>
        <v>0</v>
      </c>
      <c r="CQ114" s="7">
        <f>IF($F114="", 0, IF(AND($F114&lt;=$CI$5, $F114&gt;=Timeline!$V$8), 0, 1))</f>
        <v>0</v>
      </c>
      <c r="CU114" s="7" cm="1">
        <f t="array" ref="CU114">SUMPRODUCT(--NOT(ISNUMBER(G114:G114)),--NOT(ISBLANK(G114:G114)))</f>
        <v>0</v>
      </c>
      <c r="CW114" s="7">
        <f t="shared" si="175"/>
        <v>0</v>
      </c>
      <c r="CX114" s="7">
        <f t="shared" si="176"/>
        <v>0</v>
      </c>
      <c r="CY114" s="7">
        <f t="shared" si="177"/>
        <v>0</v>
      </c>
      <c r="CZ114" s="650"/>
      <c r="DA114" s="35"/>
      <c r="DB114" s="215">
        <f t="shared" si="178"/>
        <v>0</v>
      </c>
      <c r="DC114" s="215">
        <f t="shared" si="179"/>
        <v>0</v>
      </c>
      <c r="DD114" s="215">
        <f t="shared" si="180"/>
        <v>0</v>
      </c>
      <c r="DE114" s="215">
        <f t="shared" si="181"/>
        <v>0</v>
      </c>
      <c r="DF114" s="215">
        <f t="shared" si="182"/>
        <v>0</v>
      </c>
      <c r="DG114" s="215">
        <f t="shared" si="183"/>
        <v>0</v>
      </c>
      <c r="DH114" s="215">
        <f t="shared" si="184"/>
        <v>0</v>
      </c>
      <c r="DI114" s="35"/>
      <c r="DJ114">
        <v>0</v>
      </c>
      <c r="DK114">
        <v>0</v>
      </c>
      <c r="DL114" s="35"/>
      <c r="EZ114" s="12" t="str">
        <f t="shared" si="185"/>
        <v>Moved to Assets Held for Sale AH4</v>
      </c>
    </row>
    <row r="115" spans="1:156" x14ac:dyDescent="0.35">
      <c r="A115" s="220" cm="1">
        <f t="array" aca="1" ref="A115" ca="1">HYPERLINK(CONCATENATE("#",CELL("address",IF(MAX($CM115:$CZ115)=0,A115,INDEX($CM115:$CZ115,MATCH(1,$CM115:$CZ115,0))))),MAX($CM115:$CZ115))</f>
        <v>0</v>
      </c>
      <c r="C115" s="309" t="s">
        <v>848</v>
      </c>
      <c r="D115" s="114"/>
      <c r="E115" s="113"/>
      <c r="F115" s="110"/>
      <c r="G115" s="114"/>
      <c r="H115" s="9" t="s">
        <v>646</v>
      </c>
      <c r="I115" s="9"/>
      <c r="V115" s="12">
        <f>0-IF(AND($F115&gt;=Timeline!$V$8,$F115 &lt;=V$5), $G115, 0)</f>
        <v>0</v>
      </c>
      <c r="W115" s="10">
        <f t="shared" si="168"/>
        <v>0</v>
      </c>
      <c r="X115" s="10">
        <f t="shared" si="168"/>
        <v>0</v>
      </c>
      <c r="Y115" s="10">
        <f t="shared" si="168"/>
        <v>0</v>
      </c>
      <c r="AA115" s="10">
        <f t="shared" si="169"/>
        <v>0</v>
      </c>
      <c r="AB115" s="10">
        <f t="shared" ref="AB115:BJ115" si="192">0-IF(AND($F115&gt;AA$5,$F115 &lt;=AB$5), $G115, 0)</f>
        <v>0</v>
      </c>
      <c r="AC115" s="10">
        <f t="shared" si="192"/>
        <v>0</v>
      </c>
      <c r="AD115" s="10">
        <f t="shared" si="192"/>
        <v>0</v>
      </c>
      <c r="AE115" s="10">
        <f t="shared" si="192"/>
        <v>0</v>
      </c>
      <c r="AF115" s="10">
        <f t="shared" si="192"/>
        <v>0</v>
      </c>
      <c r="AG115" s="10">
        <f t="shared" si="192"/>
        <v>0</v>
      </c>
      <c r="AH115" s="10">
        <f t="shared" si="192"/>
        <v>0</v>
      </c>
      <c r="AI115" s="10">
        <f t="shared" si="192"/>
        <v>0</v>
      </c>
      <c r="AJ115" s="10">
        <f t="shared" si="192"/>
        <v>0</v>
      </c>
      <c r="AK115" s="10">
        <f t="shared" si="192"/>
        <v>0</v>
      </c>
      <c r="AL115" s="10">
        <f t="shared" si="192"/>
        <v>0</v>
      </c>
      <c r="AM115" s="10">
        <f t="shared" si="192"/>
        <v>0</v>
      </c>
      <c r="AN115" s="10">
        <f t="shared" si="192"/>
        <v>0</v>
      </c>
      <c r="AO115" s="10">
        <f t="shared" si="192"/>
        <v>0</v>
      </c>
      <c r="AP115" s="10">
        <f t="shared" si="192"/>
        <v>0</v>
      </c>
      <c r="AQ115" s="10">
        <f t="shared" si="192"/>
        <v>0</v>
      </c>
      <c r="AR115" s="10">
        <f t="shared" si="192"/>
        <v>0</v>
      </c>
      <c r="AS115" s="10">
        <f t="shared" si="192"/>
        <v>0</v>
      </c>
      <c r="AT115" s="10">
        <f t="shared" si="192"/>
        <v>0</v>
      </c>
      <c r="AU115" s="10">
        <f t="shared" si="192"/>
        <v>0</v>
      </c>
      <c r="AV115" s="10">
        <f t="shared" si="192"/>
        <v>0</v>
      </c>
      <c r="AW115" s="10">
        <f t="shared" si="192"/>
        <v>0</v>
      </c>
      <c r="AX115" s="10">
        <f t="shared" si="192"/>
        <v>0</v>
      </c>
      <c r="AY115" s="10">
        <f t="shared" si="192"/>
        <v>0</v>
      </c>
      <c r="AZ115" s="10">
        <f t="shared" si="192"/>
        <v>0</v>
      </c>
      <c r="BA115" s="10">
        <f t="shared" si="192"/>
        <v>0</v>
      </c>
      <c r="BB115" s="10">
        <f t="shared" si="192"/>
        <v>0</v>
      </c>
      <c r="BC115" s="10">
        <f t="shared" si="192"/>
        <v>0</v>
      </c>
      <c r="BD115" s="10">
        <f t="shared" si="192"/>
        <v>0</v>
      </c>
      <c r="BE115" s="10">
        <f t="shared" si="192"/>
        <v>0</v>
      </c>
      <c r="BF115" s="10">
        <f t="shared" si="192"/>
        <v>0</v>
      </c>
      <c r="BG115" s="10">
        <f t="shared" si="192"/>
        <v>0</v>
      </c>
      <c r="BH115" s="10">
        <f t="shared" si="192"/>
        <v>0</v>
      </c>
      <c r="BI115" s="10">
        <f t="shared" si="192"/>
        <v>0</v>
      </c>
      <c r="BJ115" s="10">
        <f t="shared" si="192"/>
        <v>0</v>
      </c>
      <c r="BK115" s="1"/>
      <c r="BL115" s="1"/>
      <c r="BM115" s="1"/>
      <c r="BN115" s="1"/>
      <c r="BO115" s="1"/>
      <c r="BP115" s="1"/>
      <c r="BQ115" s="1"/>
      <c r="BR115" s="1"/>
      <c r="BS115" s="1"/>
      <c r="BT115" s="1"/>
      <c r="BU115" s="1"/>
      <c r="BV115" s="1"/>
      <c r="BX115" s="12">
        <f t="shared" si="171"/>
        <v>0</v>
      </c>
      <c r="BY115" s="10">
        <f t="shared" ref="BY115:CI115" si="193">0-IF(AND($F115&gt;BX$5,$F115 &lt;=BY$5), $G115, 0)</f>
        <v>0</v>
      </c>
      <c r="BZ115" s="10">
        <f t="shared" si="193"/>
        <v>0</v>
      </c>
      <c r="CA115" s="10">
        <f t="shared" si="193"/>
        <v>0</v>
      </c>
      <c r="CB115" s="10">
        <f t="shared" si="193"/>
        <v>0</v>
      </c>
      <c r="CC115" s="10">
        <f t="shared" si="193"/>
        <v>0</v>
      </c>
      <c r="CD115" s="10">
        <f t="shared" si="193"/>
        <v>0</v>
      </c>
      <c r="CE115" s="10">
        <f t="shared" si="193"/>
        <v>0</v>
      </c>
      <c r="CF115" s="10">
        <f t="shared" si="193"/>
        <v>0</v>
      </c>
      <c r="CG115" s="10">
        <f t="shared" si="193"/>
        <v>0</v>
      </c>
      <c r="CH115" s="10">
        <f t="shared" si="193"/>
        <v>0</v>
      </c>
      <c r="CI115" s="10">
        <f t="shared" si="193"/>
        <v>0</v>
      </c>
      <c r="CK115" s="11"/>
      <c r="CL115" s="221">
        <f t="shared" si="173"/>
        <v>0</v>
      </c>
      <c r="CM115" s="11"/>
      <c r="CN115" s="7">
        <f t="shared" si="174"/>
        <v>0</v>
      </c>
      <c r="CO115" s="7">
        <f>IF(AND(G115&lt;&gt;0, IFERROR(MATCH(E115, Parameters!$D$45:$D$48, 0), "N/A")="N/A"), 1, 0)</f>
        <v>0</v>
      </c>
      <c r="CQ115" s="7">
        <f>IF($F115="", 0, IF(AND($F115&lt;=$CI$5, $F115&gt;=Timeline!$V$8), 0, 1))</f>
        <v>0</v>
      </c>
      <c r="CU115" s="7" cm="1">
        <f t="array" ref="CU115">SUMPRODUCT(--NOT(ISNUMBER(G115:G115)),--NOT(ISBLANK(G115:G115)))</f>
        <v>0</v>
      </c>
      <c r="CW115" s="7">
        <f t="shared" si="175"/>
        <v>0</v>
      </c>
      <c r="CX115" s="7">
        <f t="shared" si="176"/>
        <v>0</v>
      </c>
      <c r="CY115" s="7">
        <f t="shared" si="177"/>
        <v>0</v>
      </c>
      <c r="CZ115" s="650"/>
      <c r="DA115" s="35"/>
      <c r="DB115" s="215">
        <f t="shared" si="178"/>
        <v>0</v>
      </c>
      <c r="DC115" s="215">
        <f t="shared" si="179"/>
        <v>0</v>
      </c>
      <c r="DD115" s="215">
        <f t="shared" si="180"/>
        <v>0</v>
      </c>
      <c r="DE115" s="215">
        <f t="shared" si="181"/>
        <v>0</v>
      </c>
      <c r="DF115" s="215">
        <f t="shared" si="182"/>
        <v>0</v>
      </c>
      <c r="DG115" s="215">
        <f t="shared" si="183"/>
        <v>0</v>
      </c>
      <c r="DH115" s="215">
        <f t="shared" si="184"/>
        <v>0</v>
      </c>
      <c r="DI115" s="35"/>
      <c r="DJ115">
        <v>0</v>
      </c>
      <c r="DK115">
        <v>0</v>
      </c>
      <c r="DL115" s="35"/>
      <c r="EZ115" s="12" t="str">
        <f t="shared" si="185"/>
        <v>Moved to Assets Held for Sale AH5</v>
      </c>
    </row>
    <row r="116" spans="1:156" x14ac:dyDescent="0.35">
      <c r="A116" s="220" cm="1">
        <f t="array" aca="1" ref="A116" ca="1">HYPERLINK(CONCATENATE("#",CELL("address",IF(MAX($CM116:$CZ116)=0,A116,INDEX($CM116:$CZ116,MATCH(1,$CM116:$CZ116,0))))),MAX($CM116:$CZ116))</f>
        <v>0</v>
      </c>
      <c r="C116" s="309" t="s">
        <v>849</v>
      </c>
      <c r="D116" s="114"/>
      <c r="E116" s="113"/>
      <c r="F116" s="110"/>
      <c r="G116" s="114"/>
      <c r="H116" s="9" t="s">
        <v>646</v>
      </c>
      <c r="I116" s="9"/>
      <c r="V116" s="12">
        <f>0-IF(AND($F116&gt;=Timeline!$V$8,$F116 &lt;=V$5), $G116, 0)</f>
        <v>0</v>
      </c>
      <c r="W116" s="10">
        <f t="shared" si="168"/>
        <v>0</v>
      </c>
      <c r="X116" s="10">
        <f t="shared" si="168"/>
        <v>0</v>
      </c>
      <c r="Y116" s="10">
        <f t="shared" si="168"/>
        <v>0</v>
      </c>
      <c r="AA116" s="10">
        <f t="shared" si="169"/>
        <v>0</v>
      </c>
      <c r="AB116" s="10">
        <f t="shared" ref="AB116:BJ116" si="194">0-IF(AND($F116&gt;AA$5,$F116 &lt;=AB$5), $G116, 0)</f>
        <v>0</v>
      </c>
      <c r="AC116" s="10">
        <f t="shared" si="194"/>
        <v>0</v>
      </c>
      <c r="AD116" s="10">
        <f t="shared" si="194"/>
        <v>0</v>
      </c>
      <c r="AE116" s="10">
        <f t="shared" si="194"/>
        <v>0</v>
      </c>
      <c r="AF116" s="10">
        <f t="shared" si="194"/>
        <v>0</v>
      </c>
      <c r="AG116" s="10">
        <f t="shared" si="194"/>
        <v>0</v>
      </c>
      <c r="AH116" s="10">
        <f t="shared" si="194"/>
        <v>0</v>
      </c>
      <c r="AI116" s="10">
        <f t="shared" si="194"/>
        <v>0</v>
      </c>
      <c r="AJ116" s="10">
        <f t="shared" si="194"/>
        <v>0</v>
      </c>
      <c r="AK116" s="10">
        <f t="shared" si="194"/>
        <v>0</v>
      </c>
      <c r="AL116" s="10">
        <f t="shared" si="194"/>
        <v>0</v>
      </c>
      <c r="AM116" s="10">
        <f t="shared" si="194"/>
        <v>0</v>
      </c>
      <c r="AN116" s="10">
        <f t="shared" si="194"/>
        <v>0</v>
      </c>
      <c r="AO116" s="10">
        <f t="shared" si="194"/>
        <v>0</v>
      </c>
      <c r="AP116" s="10">
        <f t="shared" si="194"/>
        <v>0</v>
      </c>
      <c r="AQ116" s="10">
        <f t="shared" si="194"/>
        <v>0</v>
      </c>
      <c r="AR116" s="10">
        <f t="shared" si="194"/>
        <v>0</v>
      </c>
      <c r="AS116" s="10">
        <f t="shared" si="194"/>
        <v>0</v>
      </c>
      <c r="AT116" s="10">
        <f t="shared" si="194"/>
        <v>0</v>
      </c>
      <c r="AU116" s="10">
        <f t="shared" si="194"/>
        <v>0</v>
      </c>
      <c r="AV116" s="10">
        <f t="shared" si="194"/>
        <v>0</v>
      </c>
      <c r="AW116" s="10">
        <f t="shared" si="194"/>
        <v>0</v>
      </c>
      <c r="AX116" s="10">
        <f t="shared" si="194"/>
        <v>0</v>
      </c>
      <c r="AY116" s="10">
        <f t="shared" si="194"/>
        <v>0</v>
      </c>
      <c r="AZ116" s="10">
        <f t="shared" si="194"/>
        <v>0</v>
      </c>
      <c r="BA116" s="10">
        <f t="shared" si="194"/>
        <v>0</v>
      </c>
      <c r="BB116" s="10">
        <f t="shared" si="194"/>
        <v>0</v>
      </c>
      <c r="BC116" s="10">
        <f t="shared" si="194"/>
        <v>0</v>
      </c>
      <c r="BD116" s="10">
        <f t="shared" si="194"/>
        <v>0</v>
      </c>
      <c r="BE116" s="10">
        <f t="shared" si="194"/>
        <v>0</v>
      </c>
      <c r="BF116" s="10">
        <f t="shared" si="194"/>
        <v>0</v>
      </c>
      <c r="BG116" s="10">
        <f t="shared" si="194"/>
        <v>0</v>
      </c>
      <c r="BH116" s="10">
        <f t="shared" si="194"/>
        <v>0</v>
      </c>
      <c r="BI116" s="10">
        <f t="shared" si="194"/>
        <v>0</v>
      </c>
      <c r="BJ116" s="10">
        <f t="shared" si="194"/>
        <v>0</v>
      </c>
      <c r="BK116" s="1"/>
      <c r="BL116" s="1"/>
      <c r="BM116" s="1"/>
      <c r="BN116" s="1"/>
      <c r="BO116" s="1"/>
      <c r="BP116" s="1"/>
      <c r="BQ116" s="1"/>
      <c r="BR116" s="1"/>
      <c r="BS116" s="1"/>
      <c r="BT116" s="1"/>
      <c r="BU116" s="1"/>
      <c r="BV116" s="1"/>
      <c r="BX116" s="12">
        <f t="shared" si="171"/>
        <v>0</v>
      </c>
      <c r="BY116" s="10">
        <f t="shared" ref="BY116:CI116" si="195">0-IF(AND($F116&gt;BX$5,$F116 &lt;=BY$5), $G116, 0)</f>
        <v>0</v>
      </c>
      <c r="BZ116" s="10">
        <f t="shared" si="195"/>
        <v>0</v>
      </c>
      <c r="CA116" s="10">
        <f t="shared" si="195"/>
        <v>0</v>
      </c>
      <c r="CB116" s="10">
        <f t="shared" si="195"/>
        <v>0</v>
      </c>
      <c r="CC116" s="10">
        <f t="shared" si="195"/>
        <v>0</v>
      </c>
      <c r="CD116" s="10">
        <f t="shared" si="195"/>
        <v>0</v>
      </c>
      <c r="CE116" s="10">
        <f t="shared" si="195"/>
        <v>0</v>
      </c>
      <c r="CF116" s="10">
        <f t="shared" si="195"/>
        <v>0</v>
      </c>
      <c r="CG116" s="10">
        <f t="shared" si="195"/>
        <v>0</v>
      </c>
      <c r="CH116" s="10">
        <f t="shared" si="195"/>
        <v>0</v>
      </c>
      <c r="CI116" s="10">
        <f t="shared" si="195"/>
        <v>0</v>
      </c>
      <c r="CK116" s="11"/>
      <c r="CL116" s="221">
        <f t="shared" si="173"/>
        <v>0</v>
      </c>
      <c r="CM116" s="11"/>
      <c r="CN116" s="7">
        <f t="shared" si="174"/>
        <v>0</v>
      </c>
      <c r="CO116" s="7">
        <f>IF(AND(G116&lt;&gt;0, IFERROR(MATCH(E116, Parameters!$D$45:$D$48, 0), "N/A")="N/A"), 1, 0)</f>
        <v>0</v>
      </c>
      <c r="CQ116" s="7">
        <f>IF($F116="", 0, IF(AND($F116&lt;=$CI$5, $F116&gt;=Timeline!$V$8), 0, 1))</f>
        <v>0</v>
      </c>
      <c r="CU116" s="7" cm="1">
        <f t="array" ref="CU116">SUMPRODUCT(--NOT(ISNUMBER(G116:G116)),--NOT(ISBLANK(G116:G116)))</f>
        <v>0</v>
      </c>
      <c r="CW116" s="7">
        <f t="shared" si="175"/>
        <v>0</v>
      </c>
      <c r="CX116" s="7">
        <f t="shared" si="176"/>
        <v>0</v>
      </c>
      <c r="CY116" s="7">
        <f t="shared" si="177"/>
        <v>0</v>
      </c>
      <c r="CZ116" s="650"/>
      <c r="DA116" s="35"/>
      <c r="DB116" s="215">
        <f t="shared" si="178"/>
        <v>0</v>
      </c>
      <c r="DC116" s="215">
        <f t="shared" si="179"/>
        <v>0</v>
      </c>
      <c r="DD116" s="215">
        <f t="shared" si="180"/>
        <v>0</v>
      </c>
      <c r="DE116" s="215">
        <f t="shared" si="181"/>
        <v>0</v>
      </c>
      <c r="DF116" s="215">
        <f t="shared" si="182"/>
        <v>0</v>
      </c>
      <c r="DG116" s="215">
        <f t="shared" si="183"/>
        <v>0</v>
      </c>
      <c r="DH116" s="215">
        <f t="shared" si="184"/>
        <v>0</v>
      </c>
      <c r="DI116" s="35"/>
      <c r="DJ116">
        <v>0</v>
      </c>
      <c r="DK116">
        <v>0</v>
      </c>
      <c r="DL116" s="35"/>
      <c r="EZ116" s="12" t="str">
        <f t="shared" si="185"/>
        <v>Moved to Assets Held for Sale AH6</v>
      </c>
    </row>
    <row r="117" spans="1:156" x14ac:dyDescent="0.35">
      <c r="A117" s="220" cm="1">
        <f t="array" aca="1" ref="A117" ca="1">HYPERLINK(CONCATENATE("#",CELL("address",IF(MAX($CM117:$CZ117)=0,A117,INDEX($CM117:$CZ117,MATCH(1,$CM117:$CZ117,0))))),MAX($CM117:$CZ117))</f>
        <v>0</v>
      </c>
      <c r="C117" s="309" t="s">
        <v>850</v>
      </c>
      <c r="D117" s="114"/>
      <c r="E117" s="113"/>
      <c r="F117" s="110"/>
      <c r="G117" s="114"/>
      <c r="H117" s="9" t="s">
        <v>646</v>
      </c>
      <c r="I117" s="9"/>
      <c r="V117" s="12">
        <f>0-IF(AND($F117&gt;=Timeline!$V$8,$F117 &lt;=V$5), $G117, 0)</f>
        <v>0</v>
      </c>
      <c r="W117" s="10">
        <f t="shared" si="168"/>
        <v>0</v>
      </c>
      <c r="X117" s="10">
        <f t="shared" si="168"/>
        <v>0</v>
      </c>
      <c r="Y117" s="10">
        <f t="shared" si="168"/>
        <v>0</v>
      </c>
      <c r="AA117" s="10">
        <f t="shared" si="169"/>
        <v>0</v>
      </c>
      <c r="AB117" s="10">
        <f t="shared" ref="AB117:BJ117" si="196">0-IF(AND($F117&gt;AA$5,$F117 &lt;=AB$5), $G117, 0)</f>
        <v>0</v>
      </c>
      <c r="AC117" s="10">
        <f t="shared" si="196"/>
        <v>0</v>
      </c>
      <c r="AD117" s="10">
        <f t="shared" si="196"/>
        <v>0</v>
      </c>
      <c r="AE117" s="10">
        <f t="shared" si="196"/>
        <v>0</v>
      </c>
      <c r="AF117" s="10">
        <f t="shared" si="196"/>
        <v>0</v>
      </c>
      <c r="AG117" s="10">
        <f t="shared" si="196"/>
        <v>0</v>
      </c>
      <c r="AH117" s="10">
        <f t="shared" si="196"/>
        <v>0</v>
      </c>
      <c r="AI117" s="10">
        <f t="shared" si="196"/>
        <v>0</v>
      </c>
      <c r="AJ117" s="10">
        <f t="shared" si="196"/>
        <v>0</v>
      </c>
      <c r="AK117" s="10">
        <f t="shared" si="196"/>
        <v>0</v>
      </c>
      <c r="AL117" s="10">
        <f t="shared" si="196"/>
        <v>0</v>
      </c>
      <c r="AM117" s="10">
        <f t="shared" si="196"/>
        <v>0</v>
      </c>
      <c r="AN117" s="10">
        <f t="shared" si="196"/>
        <v>0</v>
      </c>
      <c r="AO117" s="10">
        <f t="shared" si="196"/>
        <v>0</v>
      </c>
      <c r="AP117" s="10">
        <f t="shared" si="196"/>
        <v>0</v>
      </c>
      <c r="AQ117" s="10">
        <f t="shared" si="196"/>
        <v>0</v>
      </c>
      <c r="AR117" s="10">
        <f t="shared" si="196"/>
        <v>0</v>
      </c>
      <c r="AS117" s="10">
        <f t="shared" si="196"/>
        <v>0</v>
      </c>
      <c r="AT117" s="10">
        <f t="shared" si="196"/>
        <v>0</v>
      </c>
      <c r="AU117" s="10">
        <f t="shared" si="196"/>
        <v>0</v>
      </c>
      <c r="AV117" s="10">
        <f t="shared" si="196"/>
        <v>0</v>
      </c>
      <c r="AW117" s="10">
        <f t="shared" si="196"/>
        <v>0</v>
      </c>
      <c r="AX117" s="10">
        <f t="shared" si="196"/>
        <v>0</v>
      </c>
      <c r="AY117" s="10">
        <f t="shared" si="196"/>
        <v>0</v>
      </c>
      <c r="AZ117" s="10">
        <f t="shared" si="196"/>
        <v>0</v>
      </c>
      <c r="BA117" s="10">
        <f t="shared" si="196"/>
        <v>0</v>
      </c>
      <c r="BB117" s="10">
        <f t="shared" si="196"/>
        <v>0</v>
      </c>
      <c r="BC117" s="10">
        <f t="shared" si="196"/>
        <v>0</v>
      </c>
      <c r="BD117" s="10">
        <f t="shared" si="196"/>
        <v>0</v>
      </c>
      <c r="BE117" s="10">
        <f t="shared" si="196"/>
        <v>0</v>
      </c>
      <c r="BF117" s="10">
        <f t="shared" si="196"/>
        <v>0</v>
      </c>
      <c r="BG117" s="10">
        <f t="shared" si="196"/>
        <v>0</v>
      </c>
      <c r="BH117" s="10">
        <f t="shared" si="196"/>
        <v>0</v>
      </c>
      <c r="BI117" s="10">
        <f t="shared" si="196"/>
        <v>0</v>
      </c>
      <c r="BJ117" s="10">
        <f t="shared" si="196"/>
        <v>0</v>
      </c>
      <c r="BK117" s="1"/>
      <c r="BL117" s="1"/>
      <c r="BM117" s="1"/>
      <c r="BN117" s="1"/>
      <c r="BO117" s="1"/>
      <c r="BP117" s="1"/>
      <c r="BQ117" s="1"/>
      <c r="BR117" s="1"/>
      <c r="BS117" s="1"/>
      <c r="BT117" s="1"/>
      <c r="BU117" s="1"/>
      <c r="BV117" s="1"/>
      <c r="BX117" s="12">
        <f t="shared" si="171"/>
        <v>0</v>
      </c>
      <c r="BY117" s="10">
        <f t="shared" ref="BY117:CI117" si="197">0-IF(AND($F117&gt;BX$5,$F117 &lt;=BY$5), $G117, 0)</f>
        <v>0</v>
      </c>
      <c r="BZ117" s="10">
        <f t="shared" si="197"/>
        <v>0</v>
      </c>
      <c r="CA117" s="10">
        <f t="shared" si="197"/>
        <v>0</v>
      </c>
      <c r="CB117" s="10">
        <f t="shared" si="197"/>
        <v>0</v>
      </c>
      <c r="CC117" s="10">
        <f t="shared" si="197"/>
        <v>0</v>
      </c>
      <c r="CD117" s="10">
        <f t="shared" si="197"/>
        <v>0</v>
      </c>
      <c r="CE117" s="10">
        <f t="shared" si="197"/>
        <v>0</v>
      </c>
      <c r="CF117" s="10">
        <f t="shared" si="197"/>
        <v>0</v>
      </c>
      <c r="CG117" s="10">
        <f t="shared" si="197"/>
        <v>0</v>
      </c>
      <c r="CH117" s="10">
        <f t="shared" si="197"/>
        <v>0</v>
      </c>
      <c r="CI117" s="10">
        <f t="shared" si="197"/>
        <v>0</v>
      </c>
      <c r="CK117" s="11"/>
      <c r="CL117" s="221">
        <f t="shared" si="173"/>
        <v>0</v>
      </c>
      <c r="CM117" s="11"/>
      <c r="CN117" s="7">
        <f t="shared" si="174"/>
        <v>0</v>
      </c>
      <c r="CO117" s="7">
        <f>IF(AND(G117&lt;&gt;0, IFERROR(MATCH(E117, Parameters!$D$45:$D$48, 0), "N/A")="N/A"), 1, 0)</f>
        <v>0</v>
      </c>
      <c r="CQ117" s="7">
        <f>IF($F117="", 0, IF(AND($F117&lt;=$CI$5, $F117&gt;=Timeline!$V$8), 0, 1))</f>
        <v>0</v>
      </c>
      <c r="CU117" s="7" cm="1">
        <f t="array" ref="CU117">SUMPRODUCT(--NOT(ISNUMBER(G117:G117)),--NOT(ISBLANK(G117:G117)))</f>
        <v>0</v>
      </c>
      <c r="CW117" s="7">
        <f t="shared" si="175"/>
        <v>0</v>
      </c>
      <c r="CX117" s="7">
        <f t="shared" si="176"/>
        <v>0</v>
      </c>
      <c r="CY117" s="7">
        <f t="shared" si="177"/>
        <v>0</v>
      </c>
      <c r="CZ117" s="650"/>
      <c r="DA117" s="35"/>
      <c r="DB117" s="215">
        <f t="shared" si="178"/>
        <v>0</v>
      </c>
      <c r="DC117" s="215">
        <f t="shared" si="179"/>
        <v>0</v>
      </c>
      <c r="DD117" s="215">
        <f t="shared" si="180"/>
        <v>0</v>
      </c>
      <c r="DE117" s="215">
        <f t="shared" si="181"/>
        <v>0</v>
      </c>
      <c r="DF117" s="215">
        <f t="shared" si="182"/>
        <v>0</v>
      </c>
      <c r="DG117" s="215">
        <f t="shared" si="183"/>
        <v>0</v>
      </c>
      <c r="DH117" s="215">
        <f t="shared" si="184"/>
        <v>0</v>
      </c>
      <c r="DI117" s="35"/>
      <c r="DJ117">
        <v>0</v>
      </c>
      <c r="DK117">
        <v>0</v>
      </c>
      <c r="DL117" s="35"/>
      <c r="EZ117" s="12" t="str">
        <f t="shared" si="185"/>
        <v>Moved to Assets Held for Sale AH7</v>
      </c>
    </row>
    <row r="118" spans="1:156" x14ac:dyDescent="0.35">
      <c r="A118" s="220" cm="1">
        <f t="array" aca="1" ref="A118" ca="1">HYPERLINK(CONCATENATE("#",CELL("address",IF(MAX($CM118:$CZ118)=0,A118,INDEX($CM118:$CZ118,MATCH(1,$CM118:$CZ118,0))))),MAX($CM118:$CZ118))</f>
        <v>0</v>
      </c>
      <c r="C118" s="309" t="s">
        <v>851</v>
      </c>
      <c r="D118" s="114"/>
      <c r="E118" s="113"/>
      <c r="F118" s="110"/>
      <c r="G118" s="114"/>
      <c r="H118" s="9" t="s">
        <v>646</v>
      </c>
      <c r="I118" s="9"/>
      <c r="V118" s="12">
        <f>0-IF(AND($F118&gt;=Timeline!$V$8,$F118 &lt;=V$5), $G118, 0)</f>
        <v>0</v>
      </c>
      <c r="W118" s="10">
        <f t="shared" si="168"/>
        <v>0</v>
      </c>
      <c r="X118" s="10">
        <f t="shared" si="168"/>
        <v>0</v>
      </c>
      <c r="Y118" s="10">
        <f t="shared" si="168"/>
        <v>0</v>
      </c>
      <c r="AA118" s="10">
        <f t="shared" si="169"/>
        <v>0</v>
      </c>
      <c r="AB118" s="10">
        <f t="shared" ref="AB118:BJ118" si="198">0-IF(AND($F118&gt;AA$5,$F118 &lt;=AB$5), $G118, 0)</f>
        <v>0</v>
      </c>
      <c r="AC118" s="10">
        <f t="shared" si="198"/>
        <v>0</v>
      </c>
      <c r="AD118" s="10">
        <f t="shared" si="198"/>
        <v>0</v>
      </c>
      <c r="AE118" s="10">
        <f t="shared" si="198"/>
        <v>0</v>
      </c>
      <c r="AF118" s="10">
        <f t="shared" si="198"/>
        <v>0</v>
      </c>
      <c r="AG118" s="10">
        <f t="shared" si="198"/>
        <v>0</v>
      </c>
      <c r="AH118" s="10">
        <f t="shared" si="198"/>
        <v>0</v>
      </c>
      <c r="AI118" s="10">
        <f t="shared" si="198"/>
        <v>0</v>
      </c>
      <c r="AJ118" s="10">
        <f t="shared" si="198"/>
        <v>0</v>
      </c>
      <c r="AK118" s="10">
        <f t="shared" si="198"/>
        <v>0</v>
      </c>
      <c r="AL118" s="10">
        <f t="shared" si="198"/>
        <v>0</v>
      </c>
      <c r="AM118" s="10">
        <f t="shared" si="198"/>
        <v>0</v>
      </c>
      <c r="AN118" s="10">
        <f t="shared" si="198"/>
        <v>0</v>
      </c>
      <c r="AO118" s="10">
        <f t="shared" si="198"/>
        <v>0</v>
      </c>
      <c r="AP118" s="10">
        <f t="shared" si="198"/>
        <v>0</v>
      </c>
      <c r="AQ118" s="10">
        <f t="shared" si="198"/>
        <v>0</v>
      </c>
      <c r="AR118" s="10">
        <f t="shared" si="198"/>
        <v>0</v>
      </c>
      <c r="AS118" s="10">
        <f t="shared" si="198"/>
        <v>0</v>
      </c>
      <c r="AT118" s="10">
        <f t="shared" si="198"/>
        <v>0</v>
      </c>
      <c r="AU118" s="10">
        <f t="shared" si="198"/>
        <v>0</v>
      </c>
      <c r="AV118" s="10">
        <f t="shared" si="198"/>
        <v>0</v>
      </c>
      <c r="AW118" s="10">
        <f t="shared" si="198"/>
        <v>0</v>
      </c>
      <c r="AX118" s="10">
        <f t="shared" si="198"/>
        <v>0</v>
      </c>
      <c r="AY118" s="10">
        <f t="shared" si="198"/>
        <v>0</v>
      </c>
      <c r="AZ118" s="10">
        <f t="shared" si="198"/>
        <v>0</v>
      </c>
      <c r="BA118" s="10">
        <f t="shared" si="198"/>
        <v>0</v>
      </c>
      <c r="BB118" s="10">
        <f t="shared" si="198"/>
        <v>0</v>
      </c>
      <c r="BC118" s="10">
        <f t="shared" si="198"/>
        <v>0</v>
      </c>
      <c r="BD118" s="10">
        <f t="shared" si="198"/>
        <v>0</v>
      </c>
      <c r="BE118" s="10">
        <f t="shared" si="198"/>
        <v>0</v>
      </c>
      <c r="BF118" s="10">
        <f t="shared" si="198"/>
        <v>0</v>
      </c>
      <c r="BG118" s="10">
        <f t="shared" si="198"/>
        <v>0</v>
      </c>
      <c r="BH118" s="10">
        <f t="shared" si="198"/>
        <v>0</v>
      </c>
      <c r="BI118" s="10">
        <f t="shared" si="198"/>
        <v>0</v>
      </c>
      <c r="BJ118" s="10">
        <f t="shared" si="198"/>
        <v>0</v>
      </c>
      <c r="BK118" s="1"/>
      <c r="BL118" s="1"/>
      <c r="BM118" s="1"/>
      <c r="BN118" s="1"/>
      <c r="BO118" s="1"/>
      <c r="BP118" s="1"/>
      <c r="BQ118" s="1"/>
      <c r="BR118" s="1"/>
      <c r="BS118" s="1"/>
      <c r="BT118" s="1"/>
      <c r="BU118" s="1"/>
      <c r="BV118" s="1"/>
      <c r="BX118" s="12">
        <f t="shared" si="171"/>
        <v>0</v>
      </c>
      <c r="BY118" s="10">
        <f t="shared" ref="BY118:CI118" si="199">0-IF(AND($F118&gt;BX$5,$F118 &lt;=BY$5), $G118, 0)</f>
        <v>0</v>
      </c>
      <c r="BZ118" s="10">
        <f t="shared" si="199"/>
        <v>0</v>
      </c>
      <c r="CA118" s="10">
        <f t="shared" si="199"/>
        <v>0</v>
      </c>
      <c r="CB118" s="10">
        <f t="shared" si="199"/>
        <v>0</v>
      </c>
      <c r="CC118" s="10">
        <f t="shared" si="199"/>
        <v>0</v>
      </c>
      <c r="CD118" s="10">
        <f t="shared" si="199"/>
        <v>0</v>
      </c>
      <c r="CE118" s="10">
        <f t="shared" si="199"/>
        <v>0</v>
      </c>
      <c r="CF118" s="10">
        <f t="shared" si="199"/>
        <v>0</v>
      </c>
      <c r="CG118" s="10">
        <f t="shared" si="199"/>
        <v>0</v>
      </c>
      <c r="CH118" s="10">
        <f t="shared" si="199"/>
        <v>0</v>
      </c>
      <c r="CI118" s="10">
        <f t="shared" si="199"/>
        <v>0</v>
      </c>
      <c r="CK118" s="11"/>
      <c r="CL118" s="221">
        <f t="shared" si="173"/>
        <v>0</v>
      </c>
      <c r="CM118" s="11"/>
      <c r="CN118" s="7">
        <f t="shared" si="174"/>
        <v>0</v>
      </c>
      <c r="CO118" s="7">
        <f>IF(AND(G118&lt;&gt;0, IFERROR(MATCH(E118, Parameters!$D$45:$D$48, 0), "N/A")="N/A"), 1, 0)</f>
        <v>0</v>
      </c>
      <c r="CQ118" s="7">
        <f>IF($F118="", 0, IF(AND($F118&lt;=$CI$5, $F118&gt;=Timeline!$V$8), 0, 1))</f>
        <v>0</v>
      </c>
      <c r="CU118" s="7" cm="1">
        <f t="array" ref="CU118">SUMPRODUCT(--NOT(ISNUMBER(G118:G118)),--NOT(ISBLANK(G118:G118)))</f>
        <v>0</v>
      </c>
      <c r="CW118" s="7">
        <f t="shared" si="175"/>
        <v>0</v>
      </c>
      <c r="CX118" s="7">
        <f t="shared" si="176"/>
        <v>0</v>
      </c>
      <c r="CY118" s="7">
        <f t="shared" si="177"/>
        <v>0</v>
      </c>
      <c r="CZ118" s="650"/>
      <c r="DA118" s="35"/>
      <c r="DB118" s="215">
        <f t="shared" si="178"/>
        <v>0</v>
      </c>
      <c r="DC118" s="215">
        <f t="shared" si="179"/>
        <v>0</v>
      </c>
      <c r="DD118" s="215">
        <f t="shared" si="180"/>
        <v>0</v>
      </c>
      <c r="DE118" s="215">
        <f t="shared" si="181"/>
        <v>0</v>
      </c>
      <c r="DF118" s="215">
        <f t="shared" si="182"/>
        <v>0</v>
      </c>
      <c r="DG118" s="215">
        <f t="shared" si="183"/>
        <v>0</v>
      </c>
      <c r="DH118" s="215">
        <f t="shared" si="184"/>
        <v>0</v>
      </c>
      <c r="DI118" s="35"/>
      <c r="DJ118">
        <v>0</v>
      </c>
      <c r="DK118">
        <v>0</v>
      </c>
      <c r="DL118" s="35"/>
      <c r="EZ118" s="12" t="str">
        <f t="shared" si="185"/>
        <v>Moved to Assets Held for Sale AH8</v>
      </c>
    </row>
    <row r="119" spans="1:156" x14ac:dyDescent="0.35">
      <c r="A119" s="220" cm="1">
        <f t="array" aca="1" ref="A119" ca="1">HYPERLINK(CONCATENATE("#",CELL("address",IF(MAX($CM119:$CZ119)=0,A119,INDEX($CM119:$CZ119,MATCH(1,$CM119:$CZ119,0))))),MAX($CM119:$CZ119))</f>
        <v>0</v>
      </c>
      <c r="C119" s="309" t="s">
        <v>852</v>
      </c>
      <c r="D119" s="114"/>
      <c r="E119" s="113"/>
      <c r="F119" s="110"/>
      <c r="G119" s="114"/>
      <c r="H119" s="9" t="s">
        <v>646</v>
      </c>
      <c r="I119" s="9"/>
      <c r="V119" s="12">
        <f>0-IF(AND($F119&gt;=Timeline!$V$8,$F119 &lt;=V$5), $G119, 0)</f>
        <v>0</v>
      </c>
      <c r="W119" s="10">
        <f t="shared" si="168"/>
        <v>0</v>
      </c>
      <c r="X119" s="10">
        <f t="shared" si="168"/>
        <v>0</v>
      </c>
      <c r="Y119" s="10">
        <f t="shared" si="168"/>
        <v>0</v>
      </c>
      <c r="AA119" s="10">
        <f t="shared" si="169"/>
        <v>0</v>
      </c>
      <c r="AB119" s="10">
        <f t="shared" ref="AB119:BJ119" si="200">0-IF(AND($F119&gt;AA$5,$F119 &lt;=AB$5), $G119, 0)</f>
        <v>0</v>
      </c>
      <c r="AC119" s="10">
        <f t="shared" si="200"/>
        <v>0</v>
      </c>
      <c r="AD119" s="10">
        <f t="shared" si="200"/>
        <v>0</v>
      </c>
      <c r="AE119" s="10">
        <f t="shared" si="200"/>
        <v>0</v>
      </c>
      <c r="AF119" s="10">
        <f t="shared" si="200"/>
        <v>0</v>
      </c>
      <c r="AG119" s="10">
        <f t="shared" si="200"/>
        <v>0</v>
      </c>
      <c r="AH119" s="10">
        <f t="shared" si="200"/>
        <v>0</v>
      </c>
      <c r="AI119" s="10">
        <f t="shared" si="200"/>
        <v>0</v>
      </c>
      <c r="AJ119" s="10">
        <f t="shared" si="200"/>
        <v>0</v>
      </c>
      <c r="AK119" s="10">
        <f t="shared" si="200"/>
        <v>0</v>
      </c>
      <c r="AL119" s="10">
        <f t="shared" si="200"/>
        <v>0</v>
      </c>
      <c r="AM119" s="10">
        <f t="shared" si="200"/>
        <v>0</v>
      </c>
      <c r="AN119" s="10">
        <f t="shared" si="200"/>
        <v>0</v>
      </c>
      <c r="AO119" s="10">
        <f t="shared" si="200"/>
        <v>0</v>
      </c>
      <c r="AP119" s="10">
        <f t="shared" si="200"/>
        <v>0</v>
      </c>
      <c r="AQ119" s="10">
        <f t="shared" si="200"/>
        <v>0</v>
      </c>
      <c r="AR119" s="10">
        <f t="shared" si="200"/>
        <v>0</v>
      </c>
      <c r="AS119" s="10">
        <f t="shared" si="200"/>
        <v>0</v>
      </c>
      <c r="AT119" s="10">
        <f t="shared" si="200"/>
        <v>0</v>
      </c>
      <c r="AU119" s="10">
        <f t="shared" si="200"/>
        <v>0</v>
      </c>
      <c r="AV119" s="10">
        <f t="shared" si="200"/>
        <v>0</v>
      </c>
      <c r="AW119" s="10">
        <f t="shared" si="200"/>
        <v>0</v>
      </c>
      <c r="AX119" s="10">
        <f t="shared" si="200"/>
        <v>0</v>
      </c>
      <c r="AY119" s="10">
        <f t="shared" si="200"/>
        <v>0</v>
      </c>
      <c r="AZ119" s="10">
        <f t="shared" si="200"/>
        <v>0</v>
      </c>
      <c r="BA119" s="10">
        <f t="shared" si="200"/>
        <v>0</v>
      </c>
      <c r="BB119" s="10">
        <f t="shared" si="200"/>
        <v>0</v>
      </c>
      <c r="BC119" s="10">
        <f t="shared" si="200"/>
        <v>0</v>
      </c>
      <c r="BD119" s="10">
        <f t="shared" si="200"/>
        <v>0</v>
      </c>
      <c r="BE119" s="10">
        <f t="shared" si="200"/>
        <v>0</v>
      </c>
      <c r="BF119" s="10">
        <f t="shared" si="200"/>
        <v>0</v>
      </c>
      <c r="BG119" s="10">
        <f t="shared" si="200"/>
        <v>0</v>
      </c>
      <c r="BH119" s="10">
        <f t="shared" si="200"/>
        <v>0</v>
      </c>
      <c r="BI119" s="10">
        <f t="shared" si="200"/>
        <v>0</v>
      </c>
      <c r="BJ119" s="10">
        <f t="shared" si="200"/>
        <v>0</v>
      </c>
      <c r="BK119" s="1"/>
      <c r="BL119" s="1"/>
      <c r="BM119" s="1"/>
      <c r="BN119" s="1"/>
      <c r="BO119" s="1"/>
      <c r="BP119" s="1"/>
      <c r="BQ119" s="1"/>
      <c r="BR119" s="1"/>
      <c r="BS119" s="1"/>
      <c r="BT119" s="1"/>
      <c r="BU119" s="1"/>
      <c r="BV119" s="1"/>
      <c r="BX119" s="12">
        <f t="shared" si="171"/>
        <v>0</v>
      </c>
      <c r="BY119" s="10">
        <f t="shared" ref="BY119:CI119" si="201">0-IF(AND($F119&gt;BX$5,$F119 &lt;=BY$5), $G119, 0)</f>
        <v>0</v>
      </c>
      <c r="BZ119" s="10">
        <f t="shared" si="201"/>
        <v>0</v>
      </c>
      <c r="CA119" s="10">
        <f t="shared" si="201"/>
        <v>0</v>
      </c>
      <c r="CB119" s="10">
        <f t="shared" si="201"/>
        <v>0</v>
      </c>
      <c r="CC119" s="10">
        <f t="shared" si="201"/>
        <v>0</v>
      </c>
      <c r="CD119" s="10">
        <f t="shared" si="201"/>
        <v>0</v>
      </c>
      <c r="CE119" s="10">
        <f t="shared" si="201"/>
        <v>0</v>
      </c>
      <c r="CF119" s="10">
        <f t="shared" si="201"/>
        <v>0</v>
      </c>
      <c r="CG119" s="10">
        <f t="shared" si="201"/>
        <v>0</v>
      </c>
      <c r="CH119" s="10">
        <f t="shared" si="201"/>
        <v>0</v>
      </c>
      <c r="CI119" s="10">
        <f t="shared" si="201"/>
        <v>0</v>
      </c>
      <c r="CK119" s="11"/>
      <c r="CL119" s="221">
        <f t="shared" si="173"/>
        <v>0</v>
      </c>
      <c r="CM119" s="11"/>
      <c r="CN119" s="7">
        <f t="shared" si="174"/>
        <v>0</v>
      </c>
      <c r="CO119" s="7">
        <f>IF(AND(G119&lt;&gt;0, IFERROR(MATCH(E119, Parameters!$D$45:$D$48, 0), "N/A")="N/A"), 1, 0)</f>
        <v>0</v>
      </c>
      <c r="CQ119" s="7">
        <f>IF($F119="", 0, IF(AND($F119&lt;=$CI$5, $F119&gt;=Timeline!$V$8), 0, 1))</f>
        <v>0</v>
      </c>
      <c r="CU119" s="7" cm="1">
        <f t="array" ref="CU119">SUMPRODUCT(--NOT(ISNUMBER(G119:G119)),--NOT(ISBLANK(G119:G119)))</f>
        <v>0</v>
      </c>
      <c r="CW119" s="7">
        <f t="shared" si="175"/>
        <v>0</v>
      </c>
      <c r="CX119" s="7">
        <f t="shared" si="176"/>
        <v>0</v>
      </c>
      <c r="CY119" s="7">
        <f t="shared" si="177"/>
        <v>0</v>
      </c>
      <c r="CZ119" s="650"/>
      <c r="DA119" s="35"/>
      <c r="DB119" s="215">
        <f t="shared" si="178"/>
        <v>0</v>
      </c>
      <c r="DC119" s="215">
        <f t="shared" si="179"/>
        <v>0</v>
      </c>
      <c r="DD119" s="215">
        <f t="shared" si="180"/>
        <v>0</v>
      </c>
      <c r="DE119" s="215">
        <f t="shared" si="181"/>
        <v>0</v>
      </c>
      <c r="DF119" s="215">
        <f t="shared" si="182"/>
        <v>0</v>
      </c>
      <c r="DG119" s="215">
        <f t="shared" si="183"/>
        <v>0</v>
      </c>
      <c r="DH119" s="215">
        <f t="shared" si="184"/>
        <v>0</v>
      </c>
      <c r="DI119" s="35"/>
      <c r="DJ119">
        <v>0</v>
      </c>
      <c r="DK119">
        <v>0</v>
      </c>
      <c r="DL119" s="35"/>
      <c r="EZ119" s="12" t="str">
        <f t="shared" si="185"/>
        <v>Moved to Assets Held for Sale AH9</v>
      </c>
    </row>
    <row r="120" spans="1:156" x14ac:dyDescent="0.35">
      <c r="A120" s="220" cm="1">
        <f t="array" aca="1" ref="A120" ca="1">HYPERLINK(CONCATENATE("#",CELL("address",IF(MAX($CM120:$CZ120)=0,A120,INDEX($CM120:$CZ120,MATCH(1,$CM120:$CZ120,0))))),MAX($CM120:$CZ120))</f>
        <v>0</v>
      </c>
      <c r="C120" s="309" t="s">
        <v>853</v>
      </c>
      <c r="D120" s="114"/>
      <c r="E120" s="113"/>
      <c r="F120" s="110"/>
      <c r="G120" s="114"/>
      <c r="H120" s="9" t="s">
        <v>646</v>
      </c>
      <c r="I120" s="9"/>
      <c r="V120" s="12">
        <f>0-IF(AND($F120&gt;=Timeline!$V$8,$F120 &lt;=V$5), $G120, 0)</f>
        <v>0</v>
      </c>
      <c r="W120" s="10">
        <f t="shared" si="168"/>
        <v>0</v>
      </c>
      <c r="X120" s="10">
        <f t="shared" si="168"/>
        <v>0</v>
      </c>
      <c r="Y120" s="10">
        <f t="shared" si="168"/>
        <v>0</v>
      </c>
      <c r="AA120" s="10">
        <f t="shared" si="169"/>
        <v>0</v>
      </c>
      <c r="AB120" s="10">
        <f t="shared" ref="AB120:BJ120" si="202">0-IF(AND($F120&gt;AA$5,$F120 &lt;=AB$5), $G120, 0)</f>
        <v>0</v>
      </c>
      <c r="AC120" s="10">
        <f t="shared" si="202"/>
        <v>0</v>
      </c>
      <c r="AD120" s="10">
        <f t="shared" si="202"/>
        <v>0</v>
      </c>
      <c r="AE120" s="10">
        <f t="shared" si="202"/>
        <v>0</v>
      </c>
      <c r="AF120" s="10">
        <f t="shared" si="202"/>
        <v>0</v>
      </c>
      <c r="AG120" s="10">
        <f t="shared" si="202"/>
        <v>0</v>
      </c>
      <c r="AH120" s="10">
        <f t="shared" si="202"/>
        <v>0</v>
      </c>
      <c r="AI120" s="10">
        <f t="shared" si="202"/>
        <v>0</v>
      </c>
      <c r="AJ120" s="10">
        <f t="shared" si="202"/>
        <v>0</v>
      </c>
      <c r="AK120" s="10">
        <f t="shared" si="202"/>
        <v>0</v>
      </c>
      <c r="AL120" s="10">
        <f t="shared" si="202"/>
        <v>0</v>
      </c>
      <c r="AM120" s="10">
        <f t="shared" si="202"/>
        <v>0</v>
      </c>
      <c r="AN120" s="10">
        <f t="shared" si="202"/>
        <v>0</v>
      </c>
      <c r="AO120" s="10">
        <f t="shared" si="202"/>
        <v>0</v>
      </c>
      <c r="AP120" s="10">
        <f t="shared" si="202"/>
        <v>0</v>
      </c>
      <c r="AQ120" s="10">
        <f t="shared" si="202"/>
        <v>0</v>
      </c>
      <c r="AR120" s="10">
        <f t="shared" si="202"/>
        <v>0</v>
      </c>
      <c r="AS120" s="10">
        <f t="shared" si="202"/>
        <v>0</v>
      </c>
      <c r="AT120" s="10">
        <f t="shared" si="202"/>
        <v>0</v>
      </c>
      <c r="AU120" s="10">
        <f t="shared" si="202"/>
        <v>0</v>
      </c>
      <c r="AV120" s="10">
        <f t="shared" si="202"/>
        <v>0</v>
      </c>
      <c r="AW120" s="10">
        <f t="shared" si="202"/>
        <v>0</v>
      </c>
      <c r="AX120" s="10">
        <f t="shared" si="202"/>
        <v>0</v>
      </c>
      <c r="AY120" s="10">
        <f t="shared" si="202"/>
        <v>0</v>
      </c>
      <c r="AZ120" s="10">
        <f t="shared" si="202"/>
        <v>0</v>
      </c>
      <c r="BA120" s="10">
        <f t="shared" si="202"/>
        <v>0</v>
      </c>
      <c r="BB120" s="10">
        <f t="shared" si="202"/>
        <v>0</v>
      </c>
      <c r="BC120" s="10">
        <f t="shared" si="202"/>
        <v>0</v>
      </c>
      <c r="BD120" s="10">
        <f t="shared" si="202"/>
        <v>0</v>
      </c>
      <c r="BE120" s="10">
        <f t="shared" si="202"/>
        <v>0</v>
      </c>
      <c r="BF120" s="10">
        <f t="shared" si="202"/>
        <v>0</v>
      </c>
      <c r="BG120" s="10">
        <f t="shared" si="202"/>
        <v>0</v>
      </c>
      <c r="BH120" s="10">
        <f t="shared" si="202"/>
        <v>0</v>
      </c>
      <c r="BI120" s="10">
        <f t="shared" si="202"/>
        <v>0</v>
      </c>
      <c r="BJ120" s="10">
        <f t="shared" si="202"/>
        <v>0</v>
      </c>
      <c r="BK120" s="1"/>
      <c r="BL120" s="1"/>
      <c r="BM120" s="1"/>
      <c r="BN120" s="1"/>
      <c r="BO120" s="1"/>
      <c r="BP120" s="1"/>
      <c r="BQ120" s="1"/>
      <c r="BR120" s="1"/>
      <c r="BS120" s="1"/>
      <c r="BT120" s="1"/>
      <c r="BU120" s="1"/>
      <c r="BV120" s="1"/>
      <c r="BX120" s="12">
        <f t="shared" si="171"/>
        <v>0</v>
      </c>
      <c r="BY120" s="10">
        <f t="shared" ref="BY120:CI120" si="203">0-IF(AND($F120&gt;BX$5,$F120 &lt;=BY$5), $G120, 0)</f>
        <v>0</v>
      </c>
      <c r="BZ120" s="10">
        <f t="shared" si="203"/>
        <v>0</v>
      </c>
      <c r="CA120" s="10">
        <f t="shared" si="203"/>
        <v>0</v>
      </c>
      <c r="CB120" s="10">
        <f t="shared" si="203"/>
        <v>0</v>
      </c>
      <c r="CC120" s="10">
        <f t="shared" si="203"/>
        <v>0</v>
      </c>
      <c r="CD120" s="10">
        <f t="shared" si="203"/>
        <v>0</v>
      </c>
      <c r="CE120" s="10">
        <f t="shared" si="203"/>
        <v>0</v>
      </c>
      <c r="CF120" s="10">
        <f t="shared" si="203"/>
        <v>0</v>
      </c>
      <c r="CG120" s="10">
        <f t="shared" si="203"/>
        <v>0</v>
      </c>
      <c r="CH120" s="10">
        <f t="shared" si="203"/>
        <v>0</v>
      </c>
      <c r="CI120" s="10">
        <f t="shared" si="203"/>
        <v>0</v>
      </c>
      <c r="CK120" s="11"/>
      <c r="CL120" s="221">
        <f t="shared" si="173"/>
        <v>0</v>
      </c>
      <c r="CM120" s="11"/>
      <c r="CN120" s="7">
        <f t="shared" si="174"/>
        <v>0</v>
      </c>
      <c r="CO120" s="7">
        <f>IF(AND(G120&lt;&gt;0, IFERROR(MATCH(E120, Parameters!$D$45:$D$48, 0), "N/A")="N/A"), 1, 0)</f>
        <v>0</v>
      </c>
      <c r="CQ120" s="7">
        <f>IF($F120="", 0, IF(AND($F120&lt;=$CI$5, $F120&gt;=Timeline!$V$8), 0, 1))</f>
        <v>0</v>
      </c>
      <c r="CU120" s="7" cm="1">
        <f t="array" ref="CU120">SUMPRODUCT(--NOT(ISNUMBER(G120:G120)),--NOT(ISBLANK(G120:G120)))</f>
        <v>0</v>
      </c>
      <c r="CW120" s="7">
        <f t="shared" si="175"/>
        <v>0</v>
      </c>
      <c r="CX120" s="7">
        <f t="shared" si="176"/>
        <v>0</v>
      </c>
      <c r="CY120" s="7">
        <f t="shared" si="177"/>
        <v>0</v>
      </c>
      <c r="CZ120" s="650"/>
      <c r="DA120" s="35"/>
      <c r="DB120" s="215">
        <f t="shared" si="178"/>
        <v>0</v>
      </c>
      <c r="DC120" s="215">
        <f t="shared" si="179"/>
        <v>0</v>
      </c>
      <c r="DD120" s="215">
        <f t="shared" si="180"/>
        <v>0</v>
      </c>
      <c r="DE120" s="215">
        <f t="shared" si="181"/>
        <v>0</v>
      </c>
      <c r="DF120" s="215">
        <f t="shared" si="182"/>
        <v>0</v>
      </c>
      <c r="DG120" s="215">
        <f t="shared" si="183"/>
        <v>0</v>
      </c>
      <c r="DH120" s="215">
        <f t="shared" si="184"/>
        <v>0</v>
      </c>
      <c r="DI120" s="35"/>
      <c r="DJ120">
        <v>0</v>
      </c>
      <c r="DK120">
        <v>0</v>
      </c>
      <c r="DL120" s="35"/>
      <c r="EZ120" s="12" t="str">
        <f t="shared" si="185"/>
        <v>Moved to Assets Held for Sale AH10</v>
      </c>
    </row>
    <row r="121" spans="1:156" x14ac:dyDescent="0.35">
      <c r="A121" s="220" cm="1">
        <f t="array" aca="1" ref="A121" ca="1">HYPERLINK(CONCATENATE("#",CELL("address",IF(MAX($CM121:$CZ121)=0,A121,INDEX($CM121:$CZ121,MATCH(1,$CM121:$CZ121,0))))),MAX($CM121:$CZ121))</f>
        <v>0</v>
      </c>
      <c r="C121" s="309" t="s">
        <v>854</v>
      </c>
      <c r="D121" s="114"/>
      <c r="E121" s="113"/>
      <c r="F121" s="110"/>
      <c r="G121" s="114"/>
      <c r="H121" s="9" t="s">
        <v>646</v>
      </c>
      <c r="I121" s="9"/>
      <c r="V121" s="12">
        <f>0-IF(AND($F121&gt;=Timeline!$V$8,$F121 &lt;=V$5), $G121, 0)</f>
        <v>0</v>
      </c>
      <c r="W121" s="10">
        <f t="shared" si="168"/>
        <v>0</v>
      </c>
      <c r="X121" s="10">
        <f t="shared" si="168"/>
        <v>0</v>
      </c>
      <c r="Y121" s="10">
        <f t="shared" si="168"/>
        <v>0</v>
      </c>
      <c r="AA121" s="10">
        <f t="shared" si="169"/>
        <v>0</v>
      </c>
      <c r="AB121" s="10">
        <f t="shared" ref="AB121:BJ121" si="204">0-IF(AND($F121&gt;AA$5,$F121 &lt;=AB$5), $G121, 0)</f>
        <v>0</v>
      </c>
      <c r="AC121" s="10">
        <f t="shared" si="204"/>
        <v>0</v>
      </c>
      <c r="AD121" s="10">
        <f t="shared" si="204"/>
        <v>0</v>
      </c>
      <c r="AE121" s="10">
        <f t="shared" si="204"/>
        <v>0</v>
      </c>
      <c r="AF121" s="10">
        <f t="shared" si="204"/>
        <v>0</v>
      </c>
      <c r="AG121" s="10">
        <f t="shared" si="204"/>
        <v>0</v>
      </c>
      <c r="AH121" s="10">
        <f t="shared" si="204"/>
        <v>0</v>
      </c>
      <c r="AI121" s="10">
        <f t="shared" si="204"/>
        <v>0</v>
      </c>
      <c r="AJ121" s="10">
        <f t="shared" si="204"/>
        <v>0</v>
      </c>
      <c r="AK121" s="10">
        <f t="shared" si="204"/>
        <v>0</v>
      </c>
      <c r="AL121" s="10">
        <f t="shared" si="204"/>
        <v>0</v>
      </c>
      <c r="AM121" s="10">
        <f t="shared" si="204"/>
        <v>0</v>
      </c>
      <c r="AN121" s="10">
        <f t="shared" si="204"/>
        <v>0</v>
      </c>
      <c r="AO121" s="10">
        <f t="shared" si="204"/>
        <v>0</v>
      </c>
      <c r="AP121" s="10">
        <f t="shared" si="204"/>
        <v>0</v>
      </c>
      <c r="AQ121" s="10">
        <f t="shared" si="204"/>
        <v>0</v>
      </c>
      <c r="AR121" s="10">
        <f t="shared" si="204"/>
        <v>0</v>
      </c>
      <c r="AS121" s="10">
        <f t="shared" si="204"/>
        <v>0</v>
      </c>
      <c r="AT121" s="10">
        <f t="shared" si="204"/>
        <v>0</v>
      </c>
      <c r="AU121" s="10">
        <f t="shared" si="204"/>
        <v>0</v>
      </c>
      <c r="AV121" s="10">
        <f t="shared" si="204"/>
        <v>0</v>
      </c>
      <c r="AW121" s="10">
        <f t="shared" si="204"/>
        <v>0</v>
      </c>
      <c r="AX121" s="10">
        <f t="shared" si="204"/>
        <v>0</v>
      </c>
      <c r="AY121" s="10">
        <f t="shared" si="204"/>
        <v>0</v>
      </c>
      <c r="AZ121" s="10">
        <f t="shared" si="204"/>
        <v>0</v>
      </c>
      <c r="BA121" s="10">
        <f t="shared" si="204"/>
        <v>0</v>
      </c>
      <c r="BB121" s="10">
        <f t="shared" si="204"/>
        <v>0</v>
      </c>
      <c r="BC121" s="10">
        <f t="shared" si="204"/>
        <v>0</v>
      </c>
      <c r="BD121" s="10">
        <f t="shared" si="204"/>
        <v>0</v>
      </c>
      <c r="BE121" s="10">
        <f t="shared" si="204"/>
        <v>0</v>
      </c>
      <c r="BF121" s="10">
        <f t="shared" si="204"/>
        <v>0</v>
      </c>
      <c r="BG121" s="10">
        <f t="shared" si="204"/>
        <v>0</v>
      </c>
      <c r="BH121" s="10">
        <f t="shared" si="204"/>
        <v>0</v>
      </c>
      <c r="BI121" s="10">
        <f t="shared" si="204"/>
        <v>0</v>
      </c>
      <c r="BJ121" s="10">
        <f t="shared" si="204"/>
        <v>0</v>
      </c>
      <c r="BK121" s="1"/>
      <c r="BL121" s="1"/>
      <c r="BM121" s="1"/>
      <c r="BN121" s="1"/>
      <c r="BO121" s="1"/>
      <c r="BP121" s="1"/>
      <c r="BQ121" s="1"/>
      <c r="BR121" s="1"/>
      <c r="BS121" s="1"/>
      <c r="BT121" s="1"/>
      <c r="BU121" s="1"/>
      <c r="BV121" s="1"/>
      <c r="BX121" s="12">
        <f t="shared" si="171"/>
        <v>0</v>
      </c>
      <c r="BY121" s="10">
        <f t="shared" ref="BY121:CI121" si="205">0-IF(AND($F121&gt;BX$5,$F121 &lt;=BY$5), $G121, 0)</f>
        <v>0</v>
      </c>
      <c r="BZ121" s="10">
        <f t="shared" si="205"/>
        <v>0</v>
      </c>
      <c r="CA121" s="10">
        <f t="shared" si="205"/>
        <v>0</v>
      </c>
      <c r="CB121" s="10">
        <f t="shared" si="205"/>
        <v>0</v>
      </c>
      <c r="CC121" s="10">
        <f t="shared" si="205"/>
        <v>0</v>
      </c>
      <c r="CD121" s="10">
        <f t="shared" si="205"/>
        <v>0</v>
      </c>
      <c r="CE121" s="10">
        <f t="shared" si="205"/>
        <v>0</v>
      </c>
      <c r="CF121" s="10">
        <f t="shared" si="205"/>
        <v>0</v>
      </c>
      <c r="CG121" s="10">
        <f t="shared" si="205"/>
        <v>0</v>
      </c>
      <c r="CH121" s="10">
        <f t="shared" si="205"/>
        <v>0</v>
      </c>
      <c r="CI121" s="10">
        <f t="shared" si="205"/>
        <v>0</v>
      </c>
      <c r="CK121" s="11"/>
      <c r="CL121" s="221">
        <f t="shared" si="173"/>
        <v>0</v>
      </c>
      <c r="CM121" s="11"/>
      <c r="CN121" s="7">
        <f t="shared" si="174"/>
        <v>0</v>
      </c>
      <c r="CO121" s="7">
        <f>IF(AND(G121&lt;&gt;0, IFERROR(MATCH(E121, Parameters!$D$45:$D$48, 0), "N/A")="N/A"), 1, 0)</f>
        <v>0</v>
      </c>
      <c r="CQ121" s="7">
        <f>IF($F121="", 0, IF(AND($F121&lt;=$CI$5, $F121&gt;=Timeline!$V$8), 0, 1))</f>
        <v>0</v>
      </c>
      <c r="CU121" s="7" cm="1">
        <f t="array" ref="CU121">SUMPRODUCT(--NOT(ISNUMBER(G121:G121)),--NOT(ISBLANK(G121:G121)))</f>
        <v>0</v>
      </c>
      <c r="CW121" s="7">
        <f t="shared" si="175"/>
        <v>0</v>
      </c>
      <c r="CX121" s="7">
        <f t="shared" si="176"/>
        <v>0</v>
      </c>
      <c r="CY121" s="7">
        <f t="shared" si="177"/>
        <v>0</v>
      </c>
      <c r="CZ121" s="650"/>
      <c r="DA121" s="35"/>
      <c r="DB121" s="215">
        <f t="shared" si="178"/>
        <v>0</v>
      </c>
      <c r="DC121" s="215">
        <f t="shared" si="179"/>
        <v>0</v>
      </c>
      <c r="DD121" s="215">
        <f t="shared" si="180"/>
        <v>0</v>
      </c>
      <c r="DE121" s="215">
        <f t="shared" si="181"/>
        <v>0</v>
      </c>
      <c r="DF121" s="215">
        <f t="shared" si="182"/>
        <v>0</v>
      </c>
      <c r="DG121" s="215">
        <f t="shared" si="183"/>
        <v>0</v>
      </c>
      <c r="DH121" s="215">
        <f t="shared" si="184"/>
        <v>0</v>
      </c>
      <c r="DI121" s="35"/>
      <c r="DJ121">
        <v>0</v>
      </c>
      <c r="DK121">
        <v>0</v>
      </c>
      <c r="DL121" s="35"/>
      <c r="EZ121" s="12" t="str">
        <f t="shared" si="185"/>
        <v>Moved to Assets Held for Sale AH11</v>
      </c>
    </row>
    <row r="122" spans="1:156" x14ac:dyDescent="0.35">
      <c r="A122" s="220" cm="1">
        <f t="array" aca="1" ref="A122" ca="1">HYPERLINK(CONCATENATE("#",CELL("address",IF(MAX($CM122:$CZ122)=0,A122,INDEX($CM122:$CZ122,MATCH(1,$CM122:$CZ122,0))))),MAX($CM122:$CZ122))</f>
        <v>0</v>
      </c>
      <c r="C122" s="309" t="s">
        <v>855</v>
      </c>
      <c r="D122" s="114"/>
      <c r="E122" s="113"/>
      <c r="F122" s="110"/>
      <c r="G122" s="114"/>
      <c r="H122" s="9" t="s">
        <v>646</v>
      </c>
      <c r="I122" s="9"/>
      <c r="V122" s="12">
        <f>0-IF(AND($F122&gt;=Timeline!$V$8,$F122 &lt;=V$5), $G122, 0)</f>
        <v>0</v>
      </c>
      <c r="W122" s="10">
        <f t="shared" si="168"/>
        <v>0</v>
      </c>
      <c r="X122" s="10">
        <f t="shared" si="168"/>
        <v>0</v>
      </c>
      <c r="Y122" s="10">
        <f t="shared" si="168"/>
        <v>0</v>
      </c>
      <c r="AA122" s="10">
        <f t="shared" si="169"/>
        <v>0</v>
      </c>
      <c r="AB122" s="10">
        <f t="shared" ref="AB122:BJ122" si="206">0-IF(AND($F122&gt;AA$5,$F122 &lt;=AB$5), $G122, 0)</f>
        <v>0</v>
      </c>
      <c r="AC122" s="10">
        <f t="shared" si="206"/>
        <v>0</v>
      </c>
      <c r="AD122" s="10">
        <f t="shared" si="206"/>
        <v>0</v>
      </c>
      <c r="AE122" s="10">
        <f t="shared" si="206"/>
        <v>0</v>
      </c>
      <c r="AF122" s="10">
        <f t="shared" si="206"/>
        <v>0</v>
      </c>
      <c r="AG122" s="10">
        <f t="shared" si="206"/>
        <v>0</v>
      </c>
      <c r="AH122" s="10">
        <f t="shared" si="206"/>
        <v>0</v>
      </c>
      <c r="AI122" s="10">
        <f t="shared" si="206"/>
        <v>0</v>
      </c>
      <c r="AJ122" s="10">
        <f t="shared" si="206"/>
        <v>0</v>
      </c>
      <c r="AK122" s="10">
        <f t="shared" si="206"/>
        <v>0</v>
      </c>
      <c r="AL122" s="10">
        <f t="shared" si="206"/>
        <v>0</v>
      </c>
      <c r="AM122" s="10">
        <f t="shared" si="206"/>
        <v>0</v>
      </c>
      <c r="AN122" s="10">
        <f t="shared" si="206"/>
        <v>0</v>
      </c>
      <c r="AO122" s="10">
        <f t="shared" si="206"/>
        <v>0</v>
      </c>
      <c r="AP122" s="10">
        <f t="shared" si="206"/>
        <v>0</v>
      </c>
      <c r="AQ122" s="10">
        <f t="shared" si="206"/>
        <v>0</v>
      </c>
      <c r="AR122" s="10">
        <f t="shared" si="206"/>
        <v>0</v>
      </c>
      <c r="AS122" s="10">
        <f t="shared" si="206"/>
        <v>0</v>
      </c>
      <c r="AT122" s="10">
        <f t="shared" si="206"/>
        <v>0</v>
      </c>
      <c r="AU122" s="10">
        <f t="shared" si="206"/>
        <v>0</v>
      </c>
      <c r="AV122" s="10">
        <f t="shared" si="206"/>
        <v>0</v>
      </c>
      <c r="AW122" s="10">
        <f t="shared" si="206"/>
        <v>0</v>
      </c>
      <c r="AX122" s="10">
        <f t="shared" si="206"/>
        <v>0</v>
      </c>
      <c r="AY122" s="10">
        <f t="shared" si="206"/>
        <v>0</v>
      </c>
      <c r="AZ122" s="10">
        <f t="shared" si="206"/>
        <v>0</v>
      </c>
      <c r="BA122" s="10">
        <f t="shared" si="206"/>
        <v>0</v>
      </c>
      <c r="BB122" s="10">
        <f t="shared" si="206"/>
        <v>0</v>
      </c>
      <c r="BC122" s="10">
        <f t="shared" si="206"/>
        <v>0</v>
      </c>
      <c r="BD122" s="10">
        <f t="shared" si="206"/>
        <v>0</v>
      </c>
      <c r="BE122" s="10">
        <f t="shared" si="206"/>
        <v>0</v>
      </c>
      <c r="BF122" s="10">
        <f t="shared" si="206"/>
        <v>0</v>
      </c>
      <c r="BG122" s="10">
        <f t="shared" si="206"/>
        <v>0</v>
      </c>
      <c r="BH122" s="10">
        <f t="shared" si="206"/>
        <v>0</v>
      </c>
      <c r="BI122" s="10">
        <f t="shared" si="206"/>
        <v>0</v>
      </c>
      <c r="BJ122" s="10">
        <f t="shared" si="206"/>
        <v>0</v>
      </c>
      <c r="BK122" s="1"/>
      <c r="BL122" s="1"/>
      <c r="BM122" s="1"/>
      <c r="BN122" s="1"/>
      <c r="BO122" s="1"/>
      <c r="BP122" s="1"/>
      <c r="BQ122" s="1"/>
      <c r="BR122" s="1"/>
      <c r="BS122" s="1"/>
      <c r="BT122" s="1"/>
      <c r="BU122" s="1"/>
      <c r="BV122" s="1"/>
      <c r="BX122" s="12">
        <f t="shared" si="171"/>
        <v>0</v>
      </c>
      <c r="BY122" s="10">
        <f t="shared" ref="BY122:CI122" si="207">0-IF(AND($F122&gt;BX$5,$F122 &lt;=BY$5), $G122, 0)</f>
        <v>0</v>
      </c>
      <c r="BZ122" s="10">
        <f t="shared" si="207"/>
        <v>0</v>
      </c>
      <c r="CA122" s="10">
        <f t="shared" si="207"/>
        <v>0</v>
      </c>
      <c r="CB122" s="10">
        <f t="shared" si="207"/>
        <v>0</v>
      </c>
      <c r="CC122" s="10">
        <f t="shared" si="207"/>
        <v>0</v>
      </c>
      <c r="CD122" s="10">
        <f t="shared" si="207"/>
        <v>0</v>
      </c>
      <c r="CE122" s="10">
        <f t="shared" si="207"/>
        <v>0</v>
      </c>
      <c r="CF122" s="10">
        <f t="shared" si="207"/>
        <v>0</v>
      </c>
      <c r="CG122" s="10">
        <f t="shared" si="207"/>
        <v>0</v>
      </c>
      <c r="CH122" s="10">
        <f t="shared" si="207"/>
        <v>0</v>
      </c>
      <c r="CI122" s="10">
        <f t="shared" si="207"/>
        <v>0</v>
      </c>
      <c r="CK122" s="11"/>
      <c r="CL122" s="221">
        <f t="shared" si="173"/>
        <v>0</v>
      </c>
      <c r="CM122" s="11"/>
      <c r="CN122" s="7">
        <f t="shared" si="174"/>
        <v>0</v>
      </c>
      <c r="CO122" s="7">
        <f>IF(AND(G122&lt;&gt;0, IFERROR(MATCH(E122, Parameters!$D$45:$D$48, 0), "N/A")="N/A"), 1, 0)</f>
        <v>0</v>
      </c>
      <c r="CQ122" s="7">
        <f>IF($F122="", 0, IF(AND($F122&lt;=$CI$5, $F122&gt;=Timeline!$V$8), 0, 1))</f>
        <v>0</v>
      </c>
      <c r="CU122" s="7" cm="1">
        <f t="array" ref="CU122">SUMPRODUCT(--NOT(ISNUMBER(G122:G122)),--NOT(ISBLANK(G122:G122)))</f>
        <v>0</v>
      </c>
      <c r="CW122" s="7">
        <f t="shared" si="175"/>
        <v>0</v>
      </c>
      <c r="CX122" s="7">
        <f t="shared" si="176"/>
        <v>0</v>
      </c>
      <c r="CY122" s="7">
        <f t="shared" si="177"/>
        <v>0</v>
      </c>
      <c r="CZ122" s="650"/>
      <c r="DA122" s="35"/>
      <c r="DB122" s="215">
        <f t="shared" si="178"/>
        <v>0</v>
      </c>
      <c r="DC122" s="215">
        <f t="shared" si="179"/>
        <v>0</v>
      </c>
      <c r="DD122" s="215">
        <f t="shared" si="180"/>
        <v>0</v>
      </c>
      <c r="DE122" s="215">
        <f t="shared" si="181"/>
        <v>0</v>
      </c>
      <c r="DF122" s="215">
        <f t="shared" si="182"/>
        <v>0</v>
      </c>
      <c r="DG122" s="215">
        <f t="shared" si="183"/>
        <v>0</v>
      </c>
      <c r="DH122" s="215">
        <f t="shared" si="184"/>
        <v>0</v>
      </c>
      <c r="DI122" s="35"/>
      <c r="DJ122">
        <v>0</v>
      </c>
      <c r="DK122">
        <v>0</v>
      </c>
      <c r="DL122" s="35"/>
      <c r="EZ122" s="12" t="str">
        <f t="shared" si="185"/>
        <v>Moved to Assets Held for Sale AH12</v>
      </c>
    </row>
    <row r="123" spans="1:156" x14ac:dyDescent="0.35">
      <c r="A123" s="220" cm="1">
        <f t="array" aca="1" ref="A123" ca="1">HYPERLINK(CONCATENATE("#",CELL("address",IF(MAX($CM123:$CZ123)=0,A123,INDEX($CM123:$CZ123,MATCH(1,$CM123:$CZ123,0))))),MAX($CM123:$CZ123))</f>
        <v>0</v>
      </c>
      <c r="C123" s="309" t="s">
        <v>856</v>
      </c>
      <c r="D123" s="114"/>
      <c r="E123" s="113"/>
      <c r="F123" s="110"/>
      <c r="G123" s="114"/>
      <c r="H123" s="9" t="s">
        <v>646</v>
      </c>
      <c r="I123" s="9"/>
      <c r="V123" s="12">
        <f>0-IF(AND($F123&gt;=Timeline!$V$8,$F123 &lt;=V$5), $G123, 0)</f>
        <v>0</v>
      </c>
      <c r="W123" s="10">
        <f t="shared" si="168"/>
        <v>0</v>
      </c>
      <c r="X123" s="10">
        <f t="shared" si="168"/>
        <v>0</v>
      </c>
      <c r="Y123" s="10">
        <f t="shared" si="168"/>
        <v>0</v>
      </c>
      <c r="AA123" s="10">
        <f t="shared" si="169"/>
        <v>0</v>
      </c>
      <c r="AB123" s="10">
        <f t="shared" ref="AB123:BJ123" si="208">0-IF(AND($F123&gt;AA$5,$F123 &lt;=AB$5), $G123, 0)</f>
        <v>0</v>
      </c>
      <c r="AC123" s="10">
        <f t="shared" si="208"/>
        <v>0</v>
      </c>
      <c r="AD123" s="10">
        <f t="shared" si="208"/>
        <v>0</v>
      </c>
      <c r="AE123" s="10">
        <f t="shared" si="208"/>
        <v>0</v>
      </c>
      <c r="AF123" s="10">
        <f t="shared" si="208"/>
        <v>0</v>
      </c>
      <c r="AG123" s="10">
        <f t="shared" si="208"/>
        <v>0</v>
      </c>
      <c r="AH123" s="10">
        <f t="shared" si="208"/>
        <v>0</v>
      </c>
      <c r="AI123" s="10">
        <f t="shared" si="208"/>
        <v>0</v>
      </c>
      <c r="AJ123" s="10">
        <f t="shared" si="208"/>
        <v>0</v>
      </c>
      <c r="AK123" s="10">
        <f t="shared" si="208"/>
        <v>0</v>
      </c>
      <c r="AL123" s="10">
        <f t="shared" si="208"/>
        <v>0</v>
      </c>
      <c r="AM123" s="10">
        <f t="shared" si="208"/>
        <v>0</v>
      </c>
      <c r="AN123" s="10">
        <f t="shared" si="208"/>
        <v>0</v>
      </c>
      <c r="AO123" s="10">
        <f t="shared" si="208"/>
        <v>0</v>
      </c>
      <c r="AP123" s="10">
        <f t="shared" si="208"/>
        <v>0</v>
      </c>
      <c r="AQ123" s="10">
        <f t="shared" si="208"/>
        <v>0</v>
      </c>
      <c r="AR123" s="10">
        <f t="shared" si="208"/>
        <v>0</v>
      </c>
      <c r="AS123" s="10">
        <f t="shared" si="208"/>
        <v>0</v>
      </c>
      <c r="AT123" s="10">
        <f t="shared" si="208"/>
        <v>0</v>
      </c>
      <c r="AU123" s="10">
        <f t="shared" si="208"/>
        <v>0</v>
      </c>
      <c r="AV123" s="10">
        <f t="shared" si="208"/>
        <v>0</v>
      </c>
      <c r="AW123" s="10">
        <f t="shared" si="208"/>
        <v>0</v>
      </c>
      <c r="AX123" s="10">
        <f t="shared" si="208"/>
        <v>0</v>
      </c>
      <c r="AY123" s="10">
        <f t="shared" si="208"/>
        <v>0</v>
      </c>
      <c r="AZ123" s="10">
        <f t="shared" si="208"/>
        <v>0</v>
      </c>
      <c r="BA123" s="10">
        <f t="shared" si="208"/>
        <v>0</v>
      </c>
      <c r="BB123" s="10">
        <f t="shared" si="208"/>
        <v>0</v>
      </c>
      <c r="BC123" s="10">
        <f t="shared" si="208"/>
        <v>0</v>
      </c>
      <c r="BD123" s="10">
        <f t="shared" si="208"/>
        <v>0</v>
      </c>
      <c r="BE123" s="10">
        <f t="shared" si="208"/>
        <v>0</v>
      </c>
      <c r="BF123" s="10">
        <f t="shared" si="208"/>
        <v>0</v>
      </c>
      <c r="BG123" s="10">
        <f t="shared" si="208"/>
        <v>0</v>
      </c>
      <c r="BH123" s="10">
        <f t="shared" si="208"/>
        <v>0</v>
      </c>
      <c r="BI123" s="10">
        <f t="shared" si="208"/>
        <v>0</v>
      </c>
      <c r="BJ123" s="10">
        <f t="shared" si="208"/>
        <v>0</v>
      </c>
      <c r="BK123" s="1"/>
      <c r="BL123" s="1"/>
      <c r="BM123" s="1"/>
      <c r="BN123" s="1"/>
      <c r="BO123" s="1"/>
      <c r="BP123" s="1"/>
      <c r="BQ123" s="1"/>
      <c r="BR123" s="1"/>
      <c r="BS123" s="1"/>
      <c r="BT123" s="1"/>
      <c r="BU123" s="1"/>
      <c r="BV123" s="1"/>
      <c r="BX123" s="12">
        <f t="shared" si="171"/>
        <v>0</v>
      </c>
      <c r="BY123" s="10">
        <f t="shared" ref="BY123:CI123" si="209">0-IF(AND($F123&gt;BX$5,$F123 &lt;=BY$5), $G123, 0)</f>
        <v>0</v>
      </c>
      <c r="BZ123" s="10">
        <f t="shared" si="209"/>
        <v>0</v>
      </c>
      <c r="CA123" s="10">
        <f t="shared" si="209"/>
        <v>0</v>
      </c>
      <c r="CB123" s="10">
        <f t="shared" si="209"/>
        <v>0</v>
      </c>
      <c r="CC123" s="10">
        <f t="shared" si="209"/>
        <v>0</v>
      </c>
      <c r="CD123" s="10">
        <f t="shared" si="209"/>
        <v>0</v>
      </c>
      <c r="CE123" s="10">
        <f t="shared" si="209"/>
        <v>0</v>
      </c>
      <c r="CF123" s="10">
        <f t="shared" si="209"/>
        <v>0</v>
      </c>
      <c r="CG123" s="10">
        <f t="shared" si="209"/>
        <v>0</v>
      </c>
      <c r="CH123" s="10">
        <f t="shared" si="209"/>
        <v>0</v>
      </c>
      <c r="CI123" s="10">
        <f t="shared" si="209"/>
        <v>0</v>
      </c>
      <c r="CK123" s="11"/>
      <c r="CL123" s="221">
        <f t="shared" si="173"/>
        <v>0</v>
      </c>
      <c r="CM123" s="11"/>
      <c r="CN123" s="7">
        <f t="shared" si="174"/>
        <v>0</v>
      </c>
      <c r="CO123" s="7">
        <f>IF(AND(G123&lt;&gt;0, IFERROR(MATCH(E123, Parameters!$D$45:$D$48, 0), "N/A")="N/A"), 1, 0)</f>
        <v>0</v>
      </c>
      <c r="CQ123" s="7">
        <f>IF($F123="", 0, IF(AND($F123&lt;=$CI$5, $F123&gt;=Timeline!$V$8), 0, 1))</f>
        <v>0</v>
      </c>
      <c r="CU123" s="7" cm="1">
        <f t="array" ref="CU123">SUMPRODUCT(--NOT(ISNUMBER(G123:G123)),--NOT(ISBLANK(G123:G123)))</f>
        <v>0</v>
      </c>
      <c r="CW123" s="7">
        <f t="shared" si="175"/>
        <v>0</v>
      </c>
      <c r="CX123" s="7">
        <f t="shared" si="176"/>
        <v>0</v>
      </c>
      <c r="CY123" s="7">
        <f t="shared" si="177"/>
        <v>0</v>
      </c>
      <c r="CZ123" s="650"/>
      <c r="DA123" s="35"/>
      <c r="DB123" s="215">
        <f t="shared" si="178"/>
        <v>0</v>
      </c>
      <c r="DC123" s="215">
        <f t="shared" si="179"/>
        <v>0</v>
      </c>
      <c r="DD123" s="215">
        <f t="shared" si="180"/>
        <v>0</v>
      </c>
      <c r="DE123" s="215">
        <f t="shared" si="181"/>
        <v>0</v>
      </c>
      <c r="DF123" s="215">
        <f t="shared" si="182"/>
        <v>0</v>
      </c>
      <c r="DG123" s="215">
        <f t="shared" si="183"/>
        <v>0</v>
      </c>
      <c r="DH123" s="215">
        <f t="shared" si="184"/>
        <v>0</v>
      </c>
      <c r="DI123" s="35"/>
      <c r="DJ123">
        <v>0</v>
      </c>
      <c r="DK123">
        <v>0</v>
      </c>
      <c r="DL123" s="35"/>
      <c r="EZ123" s="12" t="str">
        <f t="shared" si="185"/>
        <v>Moved to Assets Held for Sale AH13</v>
      </c>
    </row>
    <row r="124" spans="1:156" x14ac:dyDescent="0.35">
      <c r="A124" s="220" cm="1">
        <f t="array" aca="1" ref="A124" ca="1">HYPERLINK(CONCATENATE("#",CELL("address",IF(MAX($CM124:$CZ124)=0,A124,INDEX($CM124:$CZ124,MATCH(1,$CM124:$CZ124,0))))),MAX($CM124:$CZ124))</f>
        <v>0</v>
      </c>
      <c r="C124" s="309" t="s">
        <v>857</v>
      </c>
      <c r="D124" s="114"/>
      <c r="E124" s="113"/>
      <c r="F124" s="110"/>
      <c r="G124" s="114"/>
      <c r="H124" s="9" t="s">
        <v>646</v>
      </c>
      <c r="I124" s="9"/>
      <c r="V124" s="12">
        <f>0-IF(AND($F124&gt;=Timeline!$V$8,$F124 &lt;=V$5), $G124, 0)</f>
        <v>0</v>
      </c>
      <c r="W124" s="10">
        <f t="shared" si="168"/>
        <v>0</v>
      </c>
      <c r="X124" s="10">
        <f t="shared" si="168"/>
        <v>0</v>
      </c>
      <c r="Y124" s="10">
        <f t="shared" si="168"/>
        <v>0</v>
      </c>
      <c r="AA124" s="10">
        <f t="shared" si="169"/>
        <v>0</v>
      </c>
      <c r="AB124" s="10">
        <f t="shared" ref="AB124:BJ124" si="210">0-IF(AND($F124&gt;AA$5,$F124 &lt;=AB$5), $G124, 0)</f>
        <v>0</v>
      </c>
      <c r="AC124" s="10">
        <f t="shared" si="210"/>
        <v>0</v>
      </c>
      <c r="AD124" s="10">
        <f t="shared" si="210"/>
        <v>0</v>
      </c>
      <c r="AE124" s="10">
        <f t="shared" si="210"/>
        <v>0</v>
      </c>
      <c r="AF124" s="10">
        <f t="shared" si="210"/>
        <v>0</v>
      </c>
      <c r="AG124" s="10">
        <f t="shared" si="210"/>
        <v>0</v>
      </c>
      <c r="AH124" s="10">
        <f t="shared" si="210"/>
        <v>0</v>
      </c>
      <c r="AI124" s="10">
        <f t="shared" si="210"/>
        <v>0</v>
      </c>
      <c r="AJ124" s="10">
        <f t="shared" si="210"/>
        <v>0</v>
      </c>
      <c r="AK124" s="10">
        <f t="shared" si="210"/>
        <v>0</v>
      </c>
      <c r="AL124" s="10">
        <f t="shared" si="210"/>
        <v>0</v>
      </c>
      <c r="AM124" s="10">
        <f t="shared" si="210"/>
        <v>0</v>
      </c>
      <c r="AN124" s="10">
        <f t="shared" si="210"/>
        <v>0</v>
      </c>
      <c r="AO124" s="10">
        <f t="shared" si="210"/>
        <v>0</v>
      </c>
      <c r="AP124" s="10">
        <f t="shared" si="210"/>
        <v>0</v>
      </c>
      <c r="AQ124" s="10">
        <f t="shared" si="210"/>
        <v>0</v>
      </c>
      <c r="AR124" s="10">
        <f t="shared" si="210"/>
        <v>0</v>
      </c>
      <c r="AS124" s="10">
        <f t="shared" si="210"/>
        <v>0</v>
      </c>
      <c r="AT124" s="10">
        <f t="shared" si="210"/>
        <v>0</v>
      </c>
      <c r="AU124" s="10">
        <f t="shared" si="210"/>
        <v>0</v>
      </c>
      <c r="AV124" s="10">
        <f t="shared" si="210"/>
        <v>0</v>
      </c>
      <c r="AW124" s="10">
        <f t="shared" si="210"/>
        <v>0</v>
      </c>
      <c r="AX124" s="10">
        <f t="shared" si="210"/>
        <v>0</v>
      </c>
      <c r="AY124" s="10">
        <f t="shared" si="210"/>
        <v>0</v>
      </c>
      <c r="AZ124" s="10">
        <f t="shared" si="210"/>
        <v>0</v>
      </c>
      <c r="BA124" s="10">
        <f t="shared" si="210"/>
        <v>0</v>
      </c>
      <c r="BB124" s="10">
        <f t="shared" si="210"/>
        <v>0</v>
      </c>
      <c r="BC124" s="10">
        <f t="shared" si="210"/>
        <v>0</v>
      </c>
      <c r="BD124" s="10">
        <f t="shared" si="210"/>
        <v>0</v>
      </c>
      <c r="BE124" s="10">
        <f t="shared" si="210"/>
        <v>0</v>
      </c>
      <c r="BF124" s="10">
        <f t="shared" si="210"/>
        <v>0</v>
      </c>
      <c r="BG124" s="10">
        <f t="shared" si="210"/>
        <v>0</v>
      </c>
      <c r="BH124" s="10">
        <f t="shared" si="210"/>
        <v>0</v>
      </c>
      <c r="BI124" s="10">
        <f t="shared" si="210"/>
        <v>0</v>
      </c>
      <c r="BJ124" s="10">
        <f t="shared" si="210"/>
        <v>0</v>
      </c>
      <c r="BK124" s="1"/>
      <c r="BL124" s="1"/>
      <c r="BM124" s="1"/>
      <c r="BN124" s="1"/>
      <c r="BO124" s="1"/>
      <c r="BP124" s="1"/>
      <c r="BQ124" s="1"/>
      <c r="BR124" s="1"/>
      <c r="BS124" s="1"/>
      <c r="BT124" s="1"/>
      <c r="BU124" s="1"/>
      <c r="BV124" s="1"/>
      <c r="BX124" s="12">
        <f t="shared" si="171"/>
        <v>0</v>
      </c>
      <c r="BY124" s="10">
        <f t="shared" ref="BY124:CI124" si="211">0-IF(AND($F124&gt;BX$5,$F124 &lt;=BY$5), $G124, 0)</f>
        <v>0</v>
      </c>
      <c r="BZ124" s="10">
        <f t="shared" si="211"/>
        <v>0</v>
      </c>
      <c r="CA124" s="10">
        <f t="shared" si="211"/>
        <v>0</v>
      </c>
      <c r="CB124" s="10">
        <f t="shared" si="211"/>
        <v>0</v>
      </c>
      <c r="CC124" s="10">
        <f t="shared" si="211"/>
        <v>0</v>
      </c>
      <c r="CD124" s="10">
        <f t="shared" si="211"/>
        <v>0</v>
      </c>
      <c r="CE124" s="10">
        <f t="shared" si="211"/>
        <v>0</v>
      </c>
      <c r="CF124" s="10">
        <f t="shared" si="211"/>
        <v>0</v>
      </c>
      <c r="CG124" s="10">
        <f t="shared" si="211"/>
        <v>0</v>
      </c>
      <c r="CH124" s="10">
        <f t="shared" si="211"/>
        <v>0</v>
      </c>
      <c r="CI124" s="10">
        <f t="shared" si="211"/>
        <v>0</v>
      </c>
      <c r="CK124" s="11"/>
      <c r="CL124" s="221">
        <f t="shared" si="173"/>
        <v>0</v>
      </c>
      <c r="CM124" s="11"/>
      <c r="CN124" s="7">
        <f t="shared" si="174"/>
        <v>0</v>
      </c>
      <c r="CO124" s="7">
        <f>IF(AND(G124&lt;&gt;0, IFERROR(MATCH(E124, Parameters!$D$45:$D$48, 0), "N/A")="N/A"), 1, 0)</f>
        <v>0</v>
      </c>
      <c r="CQ124" s="7">
        <f>IF($F124="", 0, IF(AND($F124&lt;=$CI$5, $F124&gt;=Timeline!$V$8), 0, 1))</f>
        <v>0</v>
      </c>
      <c r="CU124" s="7" cm="1">
        <f t="array" ref="CU124">SUMPRODUCT(--NOT(ISNUMBER(G124:G124)),--NOT(ISBLANK(G124:G124)))</f>
        <v>0</v>
      </c>
      <c r="CW124" s="7">
        <f t="shared" si="175"/>
        <v>0</v>
      </c>
      <c r="CX124" s="7">
        <f t="shared" si="176"/>
        <v>0</v>
      </c>
      <c r="CY124" s="7">
        <f t="shared" si="177"/>
        <v>0</v>
      </c>
      <c r="CZ124" s="650"/>
      <c r="DA124" s="35"/>
      <c r="DB124" s="215">
        <f t="shared" si="178"/>
        <v>0</v>
      </c>
      <c r="DC124" s="215">
        <f t="shared" si="179"/>
        <v>0</v>
      </c>
      <c r="DD124" s="215">
        <f t="shared" si="180"/>
        <v>0</v>
      </c>
      <c r="DE124" s="215">
        <f t="shared" si="181"/>
        <v>0</v>
      </c>
      <c r="DF124" s="215">
        <f t="shared" si="182"/>
        <v>0</v>
      </c>
      <c r="DG124" s="215">
        <f t="shared" si="183"/>
        <v>0</v>
      </c>
      <c r="DH124" s="215">
        <f t="shared" si="184"/>
        <v>0</v>
      </c>
      <c r="DI124" s="35"/>
      <c r="DJ124">
        <v>0</v>
      </c>
      <c r="DK124">
        <v>0</v>
      </c>
      <c r="DL124" s="35"/>
      <c r="EZ124" s="12" t="str">
        <f t="shared" si="185"/>
        <v>Moved to Assets Held for Sale AH14</v>
      </c>
    </row>
    <row r="125" spans="1:156" x14ac:dyDescent="0.35">
      <c r="A125" s="220" cm="1">
        <f t="array" aca="1" ref="A125" ca="1">HYPERLINK(CONCATENATE("#",CELL("address",IF(MAX($CM125:$CZ125)=0,A125,INDEX($CM125:$CZ125,MATCH(1,$CM125:$CZ125,0))))),MAX($CM125:$CZ125))</f>
        <v>0</v>
      </c>
      <c r="C125" s="309" t="s">
        <v>858</v>
      </c>
      <c r="D125" s="114"/>
      <c r="E125" s="113"/>
      <c r="F125" s="110"/>
      <c r="G125" s="114"/>
      <c r="H125" s="9" t="s">
        <v>646</v>
      </c>
      <c r="I125" s="9"/>
      <c r="V125" s="12">
        <f>0-IF(AND($F125&gt;=Timeline!$V$8,$F125 &lt;=V$5), $G125, 0)</f>
        <v>0</v>
      </c>
      <c r="W125" s="10">
        <f t="shared" si="168"/>
        <v>0</v>
      </c>
      <c r="X125" s="10">
        <f t="shared" si="168"/>
        <v>0</v>
      </c>
      <c r="Y125" s="10">
        <f t="shared" si="168"/>
        <v>0</v>
      </c>
      <c r="AA125" s="10">
        <f t="shared" si="169"/>
        <v>0</v>
      </c>
      <c r="AB125" s="10">
        <f t="shared" ref="AB125:BJ125" si="212">0-IF(AND($F125&gt;AA$5,$F125 &lt;=AB$5), $G125, 0)</f>
        <v>0</v>
      </c>
      <c r="AC125" s="10">
        <f t="shared" si="212"/>
        <v>0</v>
      </c>
      <c r="AD125" s="10">
        <f t="shared" si="212"/>
        <v>0</v>
      </c>
      <c r="AE125" s="10">
        <f t="shared" si="212"/>
        <v>0</v>
      </c>
      <c r="AF125" s="10">
        <f t="shared" si="212"/>
        <v>0</v>
      </c>
      <c r="AG125" s="10">
        <f t="shared" si="212"/>
        <v>0</v>
      </c>
      <c r="AH125" s="10">
        <f t="shared" si="212"/>
        <v>0</v>
      </c>
      <c r="AI125" s="10">
        <f t="shared" si="212"/>
        <v>0</v>
      </c>
      <c r="AJ125" s="10">
        <f t="shared" si="212"/>
        <v>0</v>
      </c>
      <c r="AK125" s="10">
        <f t="shared" si="212"/>
        <v>0</v>
      </c>
      <c r="AL125" s="10">
        <f t="shared" si="212"/>
        <v>0</v>
      </c>
      <c r="AM125" s="10">
        <f t="shared" si="212"/>
        <v>0</v>
      </c>
      <c r="AN125" s="10">
        <f t="shared" si="212"/>
        <v>0</v>
      </c>
      <c r="AO125" s="10">
        <f t="shared" si="212"/>
        <v>0</v>
      </c>
      <c r="AP125" s="10">
        <f t="shared" si="212"/>
        <v>0</v>
      </c>
      <c r="AQ125" s="10">
        <f t="shared" si="212"/>
        <v>0</v>
      </c>
      <c r="AR125" s="10">
        <f t="shared" si="212"/>
        <v>0</v>
      </c>
      <c r="AS125" s="10">
        <f t="shared" si="212"/>
        <v>0</v>
      </c>
      <c r="AT125" s="10">
        <f t="shared" si="212"/>
        <v>0</v>
      </c>
      <c r="AU125" s="10">
        <f t="shared" si="212"/>
        <v>0</v>
      </c>
      <c r="AV125" s="10">
        <f t="shared" si="212"/>
        <v>0</v>
      </c>
      <c r="AW125" s="10">
        <f t="shared" si="212"/>
        <v>0</v>
      </c>
      <c r="AX125" s="10">
        <f t="shared" si="212"/>
        <v>0</v>
      </c>
      <c r="AY125" s="10">
        <f t="shared" si="212"/>
        <v>0</v>
      </c>
      <c r="AZ125" s="10">
        <f t="shared" si="212"/>
        <v>0</v>
      </c>
      <c r="BA125" s="10">
        <f t="shared" si="212"/>
        <v>0</v>
      </c>
      <c r="BB125" s="10">
        <f t="shared" si="212"/>
        <v>0</v>
      </c>
      <c r="BC125" s="10">
        <f t="shared" si="212"/>
        <v>0</v>
      </c>
      <c r="BD125" s="10">
        <f t="shared" si="212"/>
        <v>0</v>
      </c>
      <c r="BE125" s="10">
        <f t="shared" si="212"/>
        <v>0</v>
      </c>
      <c r="BF125" s="10">
        <f t="shared" si="212"/>
        <v>0</v>
      </c>
      <c r="BG125" s="10">
        <f t="shared" si="212"/>
        <v>0</v>
      </c>
      <c r="BH125" s="10">
        <f t="shared" si="212"/>
        <v>0</v>
      </c>
      <c r="BI125" s="10">
        <f t="shared" si="212"/>
        <v>0</v>
      </c>
      <c r="BJ125" s="10">
        <f t="shared" si="212"/>
        <v>0</v>
      </c>
      <c r="BK125" s="1"/>
      <c r="BL125" s="1"/>
      <c r="BM125" s="1"/>
      <c r="BN125" s="1"/>
      <c r="BO125" s="1"/>
      <c r="BP125" s="1"/>
      <c r="BQ125" s="1"/>
      <c r="BR125" s="1"/>
      <c r="BS125" s="1"/>
      <c r="BT125" s="1"/>
      <c r="BU125" s="1"/>
      <c r="BV125" s="1"/>
      <c r="BX125" s="12">
        <f t="shared" si="171"/>
        <v>0</v>
      </c>
      <c r="BY125" s="10">
        <f t="shared" ref="BY125:CI125" si="213">0-IF(AND($F125&gt;BX$5,$F125 &lt;=BY$5), $G125, 0)</f>
        <v>0</v>
      </c>
      <c r="BZ125" s="10">
        <f t="shared" si="213"/>
        <v>0</v>
      </c>
      <c r="CA125" s="10">
        <f t="shared" si="213"/>
        <v>0</v>
      </c>
      <c r="CB125" s="10">
        <f t="shared" si="213"/>
        <v>0</v>
      </c>
      <c r="CC125" s="10">
        <f t="shared" si="213"/>
        <v>0</v>
      </c>
      <c r="CD125" s="10">
        <f t="shared" si="213"/>
        <v>0</v>
      </c>
      <c r="CE125" s="10">
        <f t="shared" si="213"/>
        <v>0</v>
      </c>
      <c r="CF125" s="10">
        <f t="shared" si="213"/>
        <v>0</v>
      </c>
      <c r="CG125" s="10">
        <f t="shared" si="213"/>
        <v>0</v>
      </c>
      <c r="CH125" s="10">
        <f t="shared" si="213"/>
        <v>0</v>
      </c>
      <c r="CI125" s="10">
        <f t="shared" si="213"/>
        <v>0</v>
      </c>
      <c r="CK125" s="11"/>
      <c r="CL125" s="221">
        <f t="shared" si="173"/>
        <v>0</v>
      </c>
      <c r="CM125" s="11"/>
      <c r="CN125" s="7">
        <f t="shared" si="174"/>
        <v>0</v>
      </c>
      <c r="CO125" s="7">
        <f>IF(AND(G125&lt;&gt;0, IFERROR(MATCH(E125, Parameters!$D$45:$D$48, 0), "N/A")="N/A"), 1, 0)</f>
        <v>0</v>
      </c>
      <c r="CQ125" s="7">
        <f>IF($F125="", 0, IF(AND($F125&lt;=$CI$5, $F125&gt;=Timeline!$V$8), 0, 1))</f>
        <v>0</v>
      </c>
      <c r="CU125" s="7" cm="1">
        <f t="array" ref="CU125">SUMPRODUCT(--NOT(ISNUMBER(G125:G125)),--NOT(ISBLANK(G125:G125)))</f>
        <v>0</v>
      </c>
      <c r="CW125" s="7">
        <f t="shared" si="175"/>
        <v>0</v>
      </c>
      <c r="CX125" s="7">
        <f t="shared" si="176"/>
        <v>0</v>
      </c>
      <c r="CY125" s="7">
        <f t="shared" si="177"/>
        <v>0</v>
      </c>
      <c r="CZ125" s="650"/>
      <c r="DA125" s="35"/>
      <c r="DB125" s="215">
        <f t="shared" si="178"/>
        <v>0</v>
      </c>
      <c r="DC125" s="215">
        <f t="shared" si="179"/>
        <v>0</v>
      </c>
      <c r="DD125" s="215">
        <f t="shared" si="180"/>
        <v>0</v>
      </c>
      <c r="DE125" s="215">
        <f t="shared" si="181"/>
        <v>0</v>
      </c>
      <c r="DF125" s="215">
        <f t="shared" si="182"/>
        <v>0</v>
      </c>
      <c r="DG125" s="215">
        <f t="shared" si="183"/>
        <v>0</v>
      </c>
      <c r="DH125" s="215">
        <f t="shared" si="184"/>
        <v>0</v>
      </c>
      <c r="DI125" s="35"/>
      <c r="DJ125">
        <v>0</v>
      </c>
      <c r="DK125">
        <v>0</v>
      </c>
      <c r="DL125" s="35"/>
      <c r="EZ125" s="12" t="str">
        <f t="shared" si="185"/>
        <v>Moved to Assets Held for Sale AH15</v>
      </c>
    </row>
    <row r="126" spans="1:156" x14ac:dyDescent="0.35">
      <c r="A126" s="220" cm="1">
        <f t="array" aca="1" ref="A126" ca="1">HYPERLINK(CONCATENATE("#",CELL("address",IF(MAX($CM126:$CZ126)=0,A126,INDEX($CM126:$CZ126,MATCH(1,$CM126:$CZ126,0))))),MAX($CM126:$CZ126))</f>
        <v>0</v>
      </c>
      <c r="C126" s="253"/>
      <c r="D126" s="5" t="s">
        <v>774</v>
      </c>
      <c r="E126" s="5" t="str">
        <f>Parameters!$D$45</f>
        <v>Land &amp; Buildings</v>
      </c>
      <c r="I126" s="96"/>
      <c r="V126" s="12">
        <f>SUMIFS(V111:V125, $E111:$E125, $E126)</f>
        <v>0</v>
      </c>
      <c r="W126" s="12">
        <f>SUMIFS(W111:W125, $E111:$E125, $E126)</f>
        <v>0</v>
      </c>
      <c r="X126" s="12">
        <f>SUMIFS(X111:X125, $E111:$E125, $E126)</f>
        <v>0</v>
      </c>
      <c r="Y126" s="12">
        <f>SUMIFS(Y111:Y125, $E111:$E125, $E126)</f>
        <v>0</v>
      </c>
      <c r="AA126" s="12">
        <f t="shared" ref="AA126:BJ126" si="214">SUMIFS(AA111:AA125, $E111:$E125, $E126)</f>
        <v>0</v>
      </c>
      <c r="AB126" s="12">
        <f t="shared" si="214"/>
        <v>0</v>
      </c>
      <c r="AC126" s="12">
        <f t="shared" si="214"/>
        <v>0</v>
      </c>
      <c r="AD126" s="12">
        <f t="shared" si="214"/>
        <v>0</v>
      </c>
      <c r="AE126" s="12">
        <f t="shared" si="214"/>
        <v>0</v>
      </c>
      <c r="AF126" s="12">
        <f t="shared" si="214"/>
        <v>0</v>
      </c>
      <c r="AG126" s="12">
        <f t="shared" si="214"/>
        <v>0</v>
      </c>
      <c r="AH126" s="12">
        <f t="shared" si="214"/>
        <v>0</v>
      </c>
      <c r="AI126" s="12">
        <f t="shared" si="214"/>
        <v>0</v>
      </c>
      <c r="AJ126" s="12">
        <f t="shared" si="214"/>
        <v>0</v>
      </c>
      <c r="AK126" s="12">
        <f t="shared" si="214"/>
        <v>0</v>
      </c>
      <c r="AL126" s="12">
        <f t="shared" si="214"/>
        <v>0</v>
      </c>
      <c r="AM126" s="12">
        <f t="shared" si="214"/>
        <v>0</v>
      </c>
      <c r="AN126" s="12">
        <f t="shared" si="214"/>
        <v>0</v>
      </c>
      <c r="AO126" s="12">
        <f t="shared" si="214"/>
        <v>0</v>
      </c>
      <c r="AP126" s="12">
        <f t="shared" si="214"/>
        <v>0</v>
      </c>
      <c r="AQ126" s="12">
        <f t="shared" si="214"/>
        <v>0</v>
      </c>
      <c r="AR126" s="12">
        <f t="shared" si="214"/>
        <v>0</v>
      </c>
      <c r="AS126" s="12">
        <f t="shared" si="214"/>
        <v>0</v>
      </c>
      <c r="AT126" s="12">
        <f t="shared" si="214"/>
        <v>0</v>
      </c>
      <c r="AU126" s="12">
        <f t="shared" si="214"/>
        <v>0</v>
      </c>
      <c r="AV126" s="12">
        <f t="shared" si="214"/>
        <v>0</v>
      </c>
      <c r="AW126" s="12">
        <f t="shared" si="214"/>
        <v>0</v>
      </c>
      <c r="AX126" s="12">
        <f t="shared" si="214"/>
        <v>0</v>
      </c>
      <c r="AY126" s="12">
        <f t="shared" si="214"/>
        <v>0</v>
      </c>
      <c r="AZ126" s="12">
        <f t="shared" si="214"/>
        <v>0</v>
      </c>
      <c r="BA126" s="12">
        <f t="shared" si="214"/>
        <v>0</v>
      </c>
      <c r="BB126" s="12">
        <f t="shared" si="214"/>
        <v>0</v>
      </c>
      <c r="BC126" s="12">
        <f t="shared" si="214"/>
        <v>0</v>
      </c>
      <c r="BD126" s="12">
        <f t="shared" si="214"/>
        <v>0</v>
      </c>
      <c r="BE126" s="12">
        <f t="shared" si="214"/>
        <v>0</v>
      </c>
      <c r="BF126" s="12">
        <f t="shared" si="214"/>
        <v>0</v>
      </c>
      <c r="BG126" s="12">
        <f t="shared" si="214"/>
        <v>0</v>
      </c>
      <c r="BH126" s="12">
        <f t="shared" si="214"/>
        <v>0</v>
      </c>
      <c r="BI126" s="12">
        <f t="shared" si="214"/>
        <v>0</v>
      </c>
      <c r="BJ126" s="12">
        <f t="shared" si="214"/>
        <v>0</v>
      </c>
      <c r="BK126" s="1"/>
      <c r="BL126" s="1"/>
      <c r="BM126" s="1"/>
      <c r="BN126" s="1"/>
      <c r="BO126" s="1"/>
      <c r="BP126" s="1"/>
      <c r="BQ126" s="1"/>
      <c r="BR126" s="1"/>
      <c r="BS126" s="1"/>
      <c r="BT126" s="1"/>
      <c r="BU126" s="1"/>
      <c r="BV126" s="1"/>
      <c r="BX126" s="12">
        <f t="shared" ref="BX126:CI126" si="215">SUMIFS(BX111:BX125, $E111:$E125, $E126)</f>
        <v>0</v>
      </c>
      <c r="BY126" s="12">
        <f t="shared" si="215"/>
        <v>0</v>
      </c>
      <c r="BZ126" s="12">
        <f t="shared" si="215"/>
        <v>0</v>
      </c>
      <c r="CA126" s="12">
        <f t="shared" si="215"/>
        <v>0</v>
      </c>
      <c r="CB126" s="12">
        <f t="shared" si="215"/>
        <v>0</v>
      </c>
      <c r="CC126" s="12">
        <f t="shared" si="215"/>
        <v>0</v>
      </c>
      <c r="CD126" s="12">
        <f t="shared" si="215"/>
        <v>0</v>
      </c>
      <c r="CE126" s="12">
        <f t="shared" si="215"/>
        <v>0</v>
      </c>
      <c r="CF126" s="12">
        <f t="shared" si="215"/>
        <v>0</v>
      </c>
      <c r="CG126" s="12">
        <f t="shared" si="215"/>
        <v>0</v>
      </c>
      <c r="CH126" s="12">
        <f t="shared" si="215"/>
        <v>0</v>
      </c>
      <c r="CI126" s="12">
        <f t="shared" si="215"/>
        <v>0</v>
      </c>
      <c r="CK126" s="11"/>
      <c r="CL126" s="221">
        <f t="shared" si="173"/>
        <v>0</v>
      </c>
      <c r="CM126" s="11"/>
      <c r="CW126" s="7">
        <f t="shared" si="175"/>
        <v>0</v>
      </c>
      <c r="CX126" s="7">
        <f t="shared" si="176"/>
        <v>0</v>
      </c>
      <c r="CY126" s="7">
        <f t="shared" si="177"/>
        <v>0</v>
      </c>
      <c r="CZ126" s="650"/>
      <c r="DA126" s="35"/>
      <c r="DB126" s="215">
        <f t="shared" si="178"/>
        <v>0</v>
      </c>
      <c r="DC126" s="215">
        <f t="shared" si="179"/>
        <v>0</v>
      </c>
      <c r="DD126" s="215">
        <f t="shared" si="180"/>
        <v>0</v>
      </c>
      <c r="DE126" s="215">
        <f t="shared" si="181"/>
        <v>0</v>
      </c>
      <c r="DF126" s="215">
        <f t="shared" si="182"/>
        <v>0</v>
      </c>
      <c r="DG126" s="215">
        <f t="shared" si="183"/>
        <v>0</v>
      </c>
      <c r="DH126" s="215">
        <f t="shared" si="184"/>
        <v>0</v>
      </c>
      <c r="DI126" s="35"/>
      <c r="DJ126">
        <v>0</v>
      </c>
      <c r="DK126">
        <v>0</v>
      </c>
      <c r="DL126" s="35"/>
      <c r="EZ126" s="10" t="str">
        <f t="shared" ref="EZ126:EZ136" si="216">IF($C126="","",$D126)</f>
        <v/>
      </c>
    </row>
    <row r="127" spans="1:156" x14ac:dyDescent="0.35">
      <c r="A127" s="220" cm="1">
        <f t="array" aca="1" ref="A127" ca="1">HYPERLINK(CONCATENATE("#",CELL("address",IF(MAX($CM127:$CZ127)=0,A127,INDEX($CM127:$CZ127,MATCH(1,$CM127:$CZ127,0))))),MAX($CM127:$CZ127))</f>
        <v>0</v>
      </c>
      <c r="C127" s="253"/>
      <c r="D127" s="5" t="s">
        <v>775</v>
      </c>
      <c r="E127" s="5" t="str">
        <f>Parameters!$D$46</f>
        <v>Equipment</v>
      </c>
      <c r="I127" s="96"/>
      <c r="V127" s="12">
        <f>SUMIFS(V111:V125, $E111:$E125, $E127)</f>
        <v>0</v>
      </c>
      <c r="W127" s="12">
        <f>SUMIFS(W111:W125, $E111:$E125, $E127)</f>
        <v>0</v>
      </c>
      <c r="X127" s="12">
        <f>SUMIFS(X111:X125, $E111:$E125, $E127)</f>
        <v>0</v>
      </c>
      <c r="Y127" s="12">
        <f>SUMIFS(Y111:Y125, $E111:$E125, $E127)</f>
        <v>0</v>
      </c>
      <c r="AA127" s="12">
        <f t="shared" ref="AA127:BJ127" si="217">SUMIFS(AA111:AA125, $E111:$E125, $E127)</f>
        <v>0</v>
      </c>
      <c r="AB127" s="12">
        <f t="shared" si="217"/>
        <v>0</v>
      </c>
      <c r="AC127" s="12">
        <f t="shared" si="217"/>
        <v>0</v>
      </c>
      <c r="AD127" s="12">
        <f t="shared" si="217"/>
        <v>0</v>
      </c>
      <c r="AE127" s="12">
        <f t="shared" si="217"/>
        <v>0</v>
      </c>
      <c r="AF127" s="12">
        <f t="shared" si="217"/>
        <v>0</v>
      </c>
      <c r="AG127" s="12">
        <f t="shared" si="217"/>
        <v>0</v>
      </c>
      <c r="AH127" s="12">
        <f t="shared" si="217"/>
        <v>0</v>
      </c>
      <c r="AI127" s="12">
        <f t="shared" si="217"/>
        <v>0</v>
      </c>
      <c r="AJ127" s="12">
        <f t="shared" si="217"/>
        <v>0</v>
      </c>
      <c r="AK127" s="12">
        <f t="shared" si="217"/>
        <v>0</v>
      </c>
      <c r="AL127" s="12">
        <f t="shared" si="217"/>
        <v>0</v>
      </c>
      <c r="AM127" s="12">
        <f t="shared" si="217"/>
        <v>0</v>
      </c>
      <c r="AN127" s="12">
        <f t="shared" si="217"/>
        <v>0</v>
      </c>
      <c r="AO127" s="12">
        <f t="shared" si="217"/>
        <v>0</v>
      </c>
      <c r="AP127" s="12">
        <f t="shared" si="217"/>
        <v>0</v>
      </c>
      <c r="AQ127" s="12">
        <f t="shared" si="217"/>
        <v>0</v>
      </c>
      <c r="AR127" s="12">
        <f t="shared" si="217"/>
        <v>0</v>
      </c>
      <c r="AS127" s="12">
        <f t="shared" si="217"/>
        <v>0</v>
      </c>
      <c r="AT127" s="12">
        <f t="shared" si="217"/>
        <v>0</v>
      </c>
      <c r="AU127" s="12">
        <f t="shared" si="217"/>
        <v>0</v>
      </c>
      <c r="AV127" s="12">
        <f t="shared" si="217"/>
        <v>0</v>
      </c>
      <c r="AW127" s="12">
        <f t="shared" si="217"/>
        <v>0</v>
      </c>
      <c r="AX127" s="12">
        <f t="shared" si="217"/>
        <v>0</v>
      </c>
      <c r="AY127" s="12">
        <f t="shared" si="217"/>
        <v>0</v>
      </c>
      <c r="AZ127" s="12">
        <f t="shared" si="217"/>
        <v>0</v>
      </c>
      <c r="BA127" s="12">
        <f t="shared" si="217"/>
        <v>0</v>
      </c>
      <c r="BB127" s="12">
        <f t="shared" si="217"/>
        <v>0</v>
      </c>
      <c r="BC127" s="12">
        <f t="shared" si="217"/>
        <v>0</v>
      </c>
      <c r="BD127" s="12">
        <f t="shared" si="217"/>
        <v>0</v>
      </c>
      <c r="BE127" s="12">
        <f t="shared" si="217"/>
        <v>0</v>
      </c>
      <c r="BF127" s="12">
        <f t="shared" si="217"/>
        <v>0</v>
      </c>
      <c r="BG127" s="12">
        <f t="shared" si="217"/>
        <v>0</v>
      </c>
      <c r="BH127" s="12">
        <f t="shared" si="217"/>
        <v>0</v>
      </c>
      <c r="BI127" s="12">
        <f t="shared" si="217"/>
        <v>0</v>
      </c>
      <c r="BJ127" s="12">
        <f t="shared" si="217"/>
        <v>0</v>
      </c>
      <c r="BK127" s="1"/>
      <c r="BL127" s="1"/>
      <c r="BM127" s="1"/>
      <c r="BN127" s="1"/>
      <c r="BO127" s="1"/>
      <c r="BP127" s="1"/>
      <c r="BQ127" s="1"/>
      <c r="BR127" s="1"/>
      <c r="BS127" s="1"/>
      <c r="BT127" s="1"/>
      <c r="BU127" s="1"/>
      <c r="BV127" s="1"/>
      <c r="BX127" s="12">
        <f t="shared" ref="BX127:CI127" si="218">SUMIFS(BX111:BX125, $E111:$E125, $E127)</f>
        <v>0</v>
      </c>
      <c r="BY127" s="12">
        <f t="shared" si="218"/>
        <v>0</v>
      </c>
      <c r="BZ127" s="12">
        <f t="shared" si="218"/>
        <v>0</v>
      </c>
      <c r="CA127" s="12">
        <f t="shared" si="218"/>
        <v>0</v>
      </c>
      <c r="CB127" s="12">
        <f t="shared" si="218"/>
        <v>0</v>
      </c>
      <c r="CC127" s="12">
        <f t="shared" si="218"/>
        <v>0</v>
      </c>
      <c r="CD127" s="12">
        <f t="shared" si="218"/>
        <v>0</v>
      </c>
      <c r="CE127" s="12">
        <f t="shared" si="218"/>
        <v>0</v>
      </c>
      <c r="CF127" s="12">
        <f t="shared" si="218"/>
        <v>0</v>
      </c>
      <c r="CG127" s="12">
        <f t="shared" si="218"/>
        <v>0</v>
      </c>
      <c r="CH127" s="12">
        <f t="shared" si="218"/>
        <v>0</v>
      </c>
      <c r="CI127" s="12">
        <f t="shared" si="218"/>
        <v>0</v>
      </c>
      <c r="CK127" s="11"/>
      <c r="CL127" s="221">
        <f t="shared" si="173"/>
        <v>0</v>
      </c>
      <c r="CM127" s="11"/>
      <c r="CW127" s="7">
        <f t="shared" si="175"/>
        <v>0</v>
      </c>
      <c r="CX127" s="7">
        <f t="shared" si="176"/>
        <v>0</v>
      </c>
      <c r="CY127" s="7">
        <f t="shared" si="177"/>
        <v>0</v>
      </c>
      <c r="CZ127" s="650"/>
      <c r="DA127" s="35"/>
      <c r="DB127" s="215">
        <f t="shared" si="178"/>
        <v>0</v>
      </c>
      <c r="DC127" s="215">
        <f t="shared" si="179"/>
        <v>0</v>
      </c>
      <c r="DD127" s="215">
        <f t="shared" si="180"/>
        <v>0</v>
      </c>
      <c r="DE127" s="215">
        <f t="shared" si="181"/>
        <v>0</v>
      </c>
      <c r="DF127" s="215">
        <f t="shared" si="182"/>
        <v>0</v>
      </c>
      <c r="DG127" s="215">
        <f t="shared" si="183"/>
        <v>0</v>
      </c>
      <c r="DH127" s="215">
        <f t="shared" si="184"/>
        <v>0</v>
      </c>
      <c r="DI127" s="35"/>
      <c r="DJ127">
        <v>0</v>
      </c>
      <c r="DK127">
        <v>0</v>
      </c>
      <c r="DL127" s="35"/>
      <c r="EZ127" s="10" t="str">
        <f t="shared" si="216"/>
        <v/>
      </c>
    </row>
    <row r="128" spans="1:156" x14ac:dyDescent="0.35">
      <c r="A128" s="220" cm="1">
        <f t="array" aca="1" ref="A128" ca="1">HYPERLINK(CONCATENATE("#",CELL("address",IF(MAX($CM128:$CZ128)=0,A128,INDEX($CM128:$CZ128,MATCH(1,$CM128:$CZ128,0))))),MAX($CM128:$CZ128))</f>
        <v>0</v>
      </c>
      <c r="C128" s="253"/>
      <c r="D128" s="5" t="s">
        <v>839</v>
      </c>
      <c r="E128" s="5" t="str">
        <f>Parameters!$D$47</f>
        <v>Investments</v>
      </c>
      <c r="I128" s="96"/>
      <c r="V128" s="12">
        <f>SUMIFS(V111:V125, $E111:$E125, $E128)</f>
        <v>0</v>
      </c>
      <c r="W128" s="12">
        <f>SUMIFS(W111:W125, $E111:$E125, $E128)</f>
        <v>0</v>
      </c>
      <c r="X128" s="12">
        <f>SUMIFS(X111:X125, $E111:$E125, $E128)</f>
        <v>0</v>
      </c>
      <c r="Y128" s="12">
        <f>SUMIFS(Y111:Y125, $E111:$E125, $E128)</f>
        <v>0</v>
      </c>
      <c r="AA128" s="12">
        <f t="shared" ref="AA128:BJ128" si="219">SUMIFS(AA111:AA125, $E111:$E125, $E128)</f>
        <v>0</v>
      </c>
      <c r="AB128" s="12">
        <f t="shared" si="219"/>
        <v>0</v>
      </c>
      <c r="AC128" s="12">
        <f t="shared" si="219"/>
        <v>0</v>
      </c>
      <c r="AD128" s="12">
        <f t="shared" si="219"/>
        <v>0</v>
      </c>
      <c r="AE128" s="12">
        <f t="shared" si="219"/>
        <v>0</v>
      </c>
      <c r="AF128" s="12">
        <f t="shared" si="219"/>
        <v>0</v>
      </c>
      <c r="AG128" s="12">
        <f t="shared" si="219"/>
        <v>0</v>
      </c>
      <c r="AH128" s="12">
        <f t="shared" si="219"/>
        <v>0</v>
      </c>
      <c r="AI128" s="12">
        <f t="shared" si="219"/>
        <v>0</v>
      </c>
      <c r="AJ128" s="12">
        <f t="shared" si="219"/>
        <v>0</v>
      </c>
      <c r="AK128" s="12">
        <f t="shared" si="219"/>
        <v>0</v>
      </c>
      <c r="AL128" s="12">
        <f t="shared" si="219"/>
        <v>0</v>
      </c>
      <c r="AM128" s="12">
        <f t="shared" si="219"/>
        <v>0</v>
      </c>
      <c r="AN128" s="12">
        <f t="shared" si="219"/>
        <v>0</v>
      </c>
      <c r="AO128" s="12">
        <f t="shared" si="219"/>
        <v>0</v>
      </c>
      <c r="AP128" s="12">
        <f t="shared" si="219"/>
        <v>0</v>
      </c>
      <c r="AQ128" s="12">
        <f t="shared" si="219"/>
        <v>0</v>
      </c>
      <c r="AR128" s="12">
        <f t="shared" si="219"/>
        <v>0</v>
      </c>
      <c r="AS128" s="12">
        <f t="shared" si="219"/>
        <v>0</v>
      </c>
      <c r="AT128" s="12">
        <f t="shared" si="219"/>
        <v>0</v>
      </c>
      <c r="AU128" s="12">
        <f t="shared" si="219"/>
        <v>0</v>
      </c>
      <c r="AV128" s="12">
        <f t="shared" si="219"/>
        <v>0</v>
      </c>
      <c r="AW128" s="12">
        <f t="shared" si="219"/>
        <v>0</v>
      </c>
      <c r="AX128" s="12">
        <f t="shared" si="219"/>
        <v>0</v>
      </c>
      <c r="AY128" s="12">
        <f t="shared" si="219"/>
        <v>0</v>
      </c>
      <c r="AZ128" s="12">
        <f t="shared" si="219"/>
        <v>0</v>
      </c>
      <c r="BA128" s="12">
        <f t="shared" si="219"/>
        <v>0</v>
      </c>
      <c r="BB128" s="12">
        <f t="shared" si="219"/>
        <v>0</v>
      </c>
      <c r="BC128" s="12">
        <f t="shared" si="219"/>
        <v>0</v>
      </c>
      <c r="BD128" s="12">
        <f t="shared" si="219"/>
        <v>0</v>
      </c>
      <c r="BE128" s="12">
        <f t="shared" si="219"/>
        <v>0</v>
      </c>
      <c r="BF128" s="12">
        <f t="shared" si="219"/>
        <v>0</v>
      </c>
      <c r="BG128" s="12">
        <f t="shared" si="219"/>
        <v>0</v>
      </c>
      <c r="BH128" s="12">
        <f t="shared" si="219"/>
        <v>0</v>
      </c>
      <c r="BI128" s="12">
        <f t="shared" si="219"/>
        <v>0</v>
      </c>
      <c r="BJ128" s="12">
        <f t="shared" si="219"/>
        <v>0</v>
      </c>
      <c r="BK128" s="1"/>
      <c r="BL128" s="1"/>
      <c r="BM128" s="1"/>
      <c r="BN128" s="1"/>
      <c r="BO128" s="1"/>
      <c r="BP128" s="1"/>
      <c r="BQ128" s="1"/>
      <c r="BR128" s="1"/>
      <c r="BS128" s="1"/>
      <c r="BT128" s="1"/>
      <c r="BU128" s="1"/>
      <c r="BV128" s="1"/>
      <c r="BX128" s="12">
        <f t="shared" ref="BX128:CI128" si="220">SUMIFS(BX111:BX125, $E111:$E125, $E128)</f>
        <v>0</v>
      </c>
      <c r="BY128" s="12">
        <f t="shared" si="220"/>
        <v>0</v>
      </c>
      <c r="BZ128" s="12">
        <f t="shared" si="220"/>
        <v>0</v>
      </c>
      <c r="CA128" s="12">
        <f t="shared" si="220"/>
        <v>0</v>
      </c>
      <c r="CB128" s="12">
        <f t="shared" si="220"/>
        <v>0</v>
      </c>
      <c r="CC128" s="12">
        <f t="shared" si="220"/>
        <v>0</v>
      </c>
      <c r="CD128" s="12">
        <f t="shared" si="220"/>
        <v>0</v>
      </c>
      <c r="CE128" s="12">
        <f t="shared" si="220"/>
        <v>0</v>
      </c>
      <c r="CF128" s="12">
        <f t="shared" si="220"/>
        <v>0</v>
      </c>
      <c r="CG128" s="12">
        <f t="shared" si="220"/>
        <v>0</v>
      </c>
      <c r="CH128" s="12">
        <f t="shared" si="220"/>
        <v>0</v>
      </c>
      <c r="CI128" s="12">
        <f t="shared" si="220"/>
        <v>0</v>
      </c>
      <c r="CK128" s="11"/>
      <c r="CL128" s="221">
        <f t="shared" si="173"/>
        <v>0</v>
      </c>
      <c r="CM128" s="11"/>
      <c r="CW128" s="7">
        <f t="shared" si="175"/>
        <v>0</v>
      </c>
      <c r="CX128" s="7">
        <f t="shared" si="176"/>
        <v>0</v>
      </c>
      <c r="CY128" s="7">
        <f t="shared" si="177"/>
        <v>0</v>
      </c>
      <c r="CZ128" s="650"/>
      <c r="DA128" s="35"/>
      <c r="DB128" s="215">
        <f t="shared" si="178"/>
        <v>0</v>
      </c>
      <c r="DC128" s="215">
        <f t="shared" si="179"/>
        <v>0</v>
      </c>
      <c r="DD128" s="215">
        <f t="shared" si="180"/>
        <v>0</v>
      </c>
      <c r="DE128" s="215">
        <f t="shared" si="181"/>
        <v>0</v>
      </c>
      <c r="DF128" s="215">
        <f t="shared" si="182"/>
        <v>0</v>
      </c>
      <c r="DG128" s="215">
        <f t="shared" si="183"/>
        <v>0</v>
      </c>
      <c r="DH128" s="215">
        <f t="shared" si="184"/>
        <v>0</v>
      </c>
      <c r="DI128" s="35"/>
      <c r="DJ128">
        <v>0</v>
      </c>
      <c r="DK128">
        <v>0</v>
      </c>
      <c r="DL128" s="35"/>
      <c r="EZ128" s="10" t="str">
        <f t="shared" si="216"/>
        <v/>
      </c>
    </row>
    <row r="129" spans="1:156" x14ac:dyDescent="0.35">
      <c r="A129" s="220" cm="1">
        <f t="array" aca="1" ref="A129" ca="1">HYPERLINK(CONCATENATE("#",CELL("address",IF(MAX($CM129:$CZ129)=0,A129,INDEX($CM129:$CZ129,MATCH(1,$CM129:$CZ129,0))))),MAX($CM129:$CZ129))</f>
        <v>0</v>
      </c>
      <c r="C129" s="253"/>
      <c r="D129" s="5" t="s">
        <v>776</v>
      </c>
      <c r="E129" s="5" t="str">
        <f>Parameters!$D$48</f>
        <v>Other NCA</v>
      </c>
      <c r="I129" s="96"/>
      <c r="V129" s="12">
        <f>SUMIFS(V111:V125, $E111:$E125, $E129)</f>
        <v>0</v>
      </c>
      <c r="W129" s="12">
        <f>SUMIFS(W111:W125, $E111:$E125, $E129)</f>
        <v>0</v>
      </c>
      <c r="X129" s="12">
        <f>SUMIFS(X111:X125, $E111:$E125, $E129)</f>
        <v>0</v>
      </c>
      <c r="Y129" s="12">
        <f>SUMIFS(Y111:Y125, $E111:$E125, $E129)</f>
        <v>0</v>
      </c>
      <c r="AA129" s="12">
        <f t="shared" ref="AA129:BJ129" si="221">SUMIFS(AA111:AA125, $E111:$E125, $E129)</f>
        <v>0</v>
      </c>
      <c r="AB129" s="12">
        <f t="shared" si="221"/>
        <v>0</v>
      </c>
      <c r="AC129" s="12">
        <f t="shared" si="221"/>
        <v>0</v>
      </c>
      <c r="AD129" s="12">
        <f t="shared" si="221"/>
        <v>0</v>
      </c>
      <c r="AE129" s="12">
        <f t="shared" si="221"/>
        <v>0</v>
      </c>
      <c r="AF129" s="12">
        <f t="shared" si="221"/>
        <v>0</v>
      </c>
      <c r="AG129" s="12">
        <f t="shared" si="221"/>
        <v>0</v>
      </c>
      <c r="AH129" s="12">
        <f t="shared" si="221"/>
        <v>0</v>
      </c>
      <c r="AI129" s="12">
        <f t="shared" si="221"/>
        <v>0</v>
      </c>
      <c r="AJ129" s="12">
        <f t="shared" si="221"/>
        <v>0</v>
      </c>
      <c r="AK129" s="12">
        <f t="shared" si="221"/>
        <v>0</v>
      </c>
      <c r="AL129" s="12">
        <f t="shared" si="221"/>
        <v>0</v>
      </c>
      <c r="AM129" s="12">
        <f t="shared" si="221"/>
        <v>0</v>
      </c>
      <c r="AN129" s="12">
        <f t="shared" si="221"/>
        <v>0</v>
      </c>
      <c r="AO129" s="12">
        <f t="shared" si="221"/>
        <v>0</v>
      </c>
      <c r="AP129" s="12">
        <f t="shared" si="221"/>
        <v>0</v>
      </c>
      <c r="AQ129" s="12">
        <f t="shared" si="221"/>
        <v>0</v>
      </c>
      <c r="AR129" s="12">
        <f t="shared" si="221"/>
        <v>0</v>
      </c>
      <c r="AS129" s="12">
        <f t="shared" si="221"/>
        <v>0</v>
      </c>
      <c r="AT129" s="12">
        <f t="shared" si="221"/>
        <v>0</v>
      </c>
      <c r="AU129" s="12">
        <f t="shared" si="221"/>
        <v>0</v>
      </c>
      <c r="AV129" s="12">
        <f t="shared" si="221"/>
        <v>0</v>
      </c>
      <c r="AW129" s="12">
        <f t="shared" si="221"/>
        <v>0</v>
      </c>
      <c r="AX129" s="12">
        <f t="shared" si="221"/>
        <v>0</v>
      </c>
      <c r="AY129" s="12">
        <f t="shared" si="221"/>
        <v>0</v>
      </c>
      <c r="AZ129" s="12">
        <f t="shared" si="221"/>
        <v>0</v>
      </c>
      <c r="BA129" s="12">
        <f t="shared" si="221"/>
        <v>0</v>
      </c>
      <c r="BB129" s="12">
        <f t="shared" si="221"/>
        <v>0</v>
      </c>
      <c r="BC129" s="12">
        <f t="shared" si="221"/>
        <v>0</v>
      </c>
      <c r="BD129" s="12">
        <f t="shared" si="221"/>
        <v>0</v>
      </c>
      <c r="BE129" s="12">
        <f t="shared" si="221"/>
        <v>0</v>
      </c>
      <c r="BF129" s="12">
        <f t="shared" si="221"/>
        <v>0</v>
      </c>
      <c r="BG129" s="12">
        <f t="shared" si="221"/>
        <v>0</v>
      </c>
      <c r="BH129" s="12">
        <f t="shared" si="221"/>
        <v>0</v>
      </c>
      <c r="BI129" s="12">
        <f t="shared" si="221"/>
        <v>0</v>
      </c>
      <c r="BJ129" s="12">
        <f t="shared" si="221"/>
        <v>0</v>
      </c>
      <c r="BK129" s="1"/>
      <c r="BL129" s="1"/>
      <c r="BM129" s="1"/>
      <c r="BN129" s="1"/>
      <c r="BO129" s="1"/>
      <c r="BP129" s="1"/>
      <c r="BQ129" s="1"/>
      <c r="BR129" s="1"/>
      <c r="BS129" s="1"/>
      <c r="BT129" s="1"/>
      <c r="BU129" s="1"/>
      <c r="BV129" s="1"/>
      <c r="BX129" s="12">
        <f t="shared" ref="BX129:CI129" si="222">SUMIFS(BX111:BX125, $E111:$E125, $E129)</f>
        <v>0</v>
      </c>
      <c r="BY129" s="12">
        <f t="shared" si="222"/>
        <v>0</v>
      </c>
      <c r="BZ129" s="12">
        <f t="shared" si="222"/>
        <v>0</v>
      </c>
      <c r="CA129" s="12">
        <f t="shared" si="222"/>
        <v>0</v>
      </c>
      <c r="CB129" s="12">
        <f t="shared" si="222"/>
        <v>0</v>
      </c>
      <c r="CC129" s="12">
        <f t="shared" si="222"/>
        <v>0</v>
      </c>
      <c r="CD129" s="12">
        <f t="shared" si="222"/>
        <v>0</v>
      </c>
      <c r="CE129" s="12">
        <f t="shared" si="222"/>
        <v>0</v>
      </c>
      <c r="CF129" s="12">
        <f t="shared" si="222"/>
        <v>0</v>
      </c>
      <c r="CG129" s="12">
        <f t="shared" si="222"/>
        <v>0</v>
      </c>
      <c r="CH129" s="12">
        <f t="shared" si="222"/>
        <v>0</v>
      </c>
      <c r="CI129" s="12">
        <f t="shared" si="222"/>
        <v>0</v>
      </c>
      <c r="CK129" s="11"/>
      <c r="CL129" s="221">
        <f t="shared" si="173"/>
        <v>0</v>
      </c>
      <c r="CM129" s="11"/>
      <c r="CW129" s="7">
        <f t="shared" si="175"/>
        <v>0</v>
      </c>
      <c r="CX129" s="7">
        <f t="shared" si="176"/>
        <v>0</v>
      </c>
      <c r="CY129" s="7">
        <f t="shared" si="177"/>
        <v>0</v>
      </c>
      <c r="CZ129" s="650"/>
      <c r="DA129" s="35"/>
      <c r="DB129" s="215">
        <f t="shared" si="178"/>
        <v>0</v>
      </c>
      <c r="DC129" s="215">
        <f t="shared" si="179"/>
        <v>0</v>
      </c>
      <c r="DD129" s="215">
        <f t="shared" si="180"/>
        <v>0</v>
      </c>
      <c r="DE129" s="215">
        <f t="shared" si="181"/>
        <v>0</v>
      </c>
      <c r="DF129" s="215">
        <f t="shared" si="182"/>
        <v>0</v>
      </c>
      <c r="DG129" s="215">
        <f t="shared" si="183"/>
        <v>0</v>
      </c>
      <c r="DH129" s="215">
        <f t="shared" si="184"/>
        <v>0</v>
      </c>
      <c r="DI129" s="35"/>
      <c r="DJ129">
        <v>0</v>
      </c>
      <c r="DK129">
        <v>0</v>
      </c>
      <c r="DL129" s="35"/>
      <c r="EZ129" s="10" t="str">
        <f t="shared" si="216"/>
        <v/>
      </c>
    </row>
    <row r="130" spans="1:156" x14ac:dyDescent="0.35">
      <c r="A130" s="220" cm="1">
        <f t="array" aca="1" ref="A130" ca="1">HYPERLINK(CONCATENATE("#",CELL("address",IF(MAX($CM130:$CZ130)=0,A130,INDEX($CM130:$CZ130,MATCH(1,$CM130:$CZ130,0))))),MAX($CM130:$CZ130))</f>
        <v>0</v>
      </c>
      <c r="C130" s="253"/>
      <c r="D130" s="5" t="s">
        <v>859</v>
      </c>
      <c r="E130" s="5" t="s">
        <v>778</v>
      </c>
      <c r="I130" s="96"/>
      <c r="V130" s="12">
        <f>SUM(V126:V129)</f>
        <v>0</v>
      </c>
      <c r="W130" s="12">
        <f>SUM(W126:W129)</f>
        <v>0</v>
      </c>
      <c r="X130" s="12">
        <f>SUM(X126:X129)</f>
        <v>0</v>
      </c>
      <c r="Y130" s="12">
        <f>SUM(Y126:Y129)</f>
        <v>0</v>
      </c>
      <c r="AA130" s="12">
        <f t="shared" ref="AA130:BJ130" si="223">SUM(AA126:AA129)</f>
        <v>0</v>
      </c>
      <c r="AB130" s="12">
        <f t="shared" si="223"/>
        <v>0</v>
      </c>
      <c r="AC130" s="12">
        <f t="shared" si="223"/>
        <v>0</v>
      </c>
      <c r="AD130" s="12">
        <f t="shared" si="223"/>
        <v>0</v>
      </c>
      <c r="AE130" s="12">
        <f t="shared" si="223"/>
        <v>0</v>
      </c>
      <c r="AF130" s="12">
        <f t="shared" si="223"/>
        <v>0</v>
      </c>
      <c r="AG130" s="12">
        <f t="shared" si="223"/>
        <v>0</v>
      </c>
      <c r="AH130" s="12">
        <f t="shared" si="223"/>
        <v>0</v>
      </c>
      <c r="AI130" s="12">
        <f t="shared" si="223"/>
        <v>0</v>
      </c>
      <c r="AJ130" s="12">
        <f t="shared" si="223"/>
        <v>0</v>
      </c>
      <c r="AK130" s="12">
        <f t="shared" si="223"/>
        <v>0</v>
      </c>
      <c r="AL130" s="12">
        <f t="shared" si="223"/>
        <v>0</v>
      </c>
      <c r="AM130" s="12">
        <f t="shared" si="223"/>
        <v>0</v>
      </c>
      <c r="AN130" s="12">
        <f t="shared" si="223"/>
        <v>0</v>
      </c>
      <c r="AO130" s="12">
        <f t="shared" si="223"/>
        <v>0</v>
      </c>
      <c r="AP130" s="12">
        <f t="shared" si="223"/>
        <v>0</v>
      </c>
      <c r="AQ130" s="12">
        <f t="shared" si="223"/>
        <v>0</v>
      </c>
      <c r="AR130" s="12">
        <f t="shared" si="223"/>
        <v>0</v>
      </c>
      <c r="AS130" s="12">
        <f t="shared" si="223"/>
        <v>0</v>
      </c>
      <c r="AT130" s="12">
        <f t="shared" si="223"/>
        <v>0</v>
      </c>
      <c r="AU130" s="12">
        <f t="shared" si="223"/>
        <v>0</v>
      </c>
      <c r="AV130" s="12">
        <f t="shared" si="223"/>
        <v>0</v>
      </c>
      <c r="AW130" s="12">
        <f t="shared" si="223"/>
        <v>0</v>
      </c>
      <c r="AX130" s="12">
        <f t="shared" si="223"/>
        <v>0</v>
      </c>
      <c r="AY130" s="12">
        <f t="shared" si="223"/>
        <v>0</v>
      </c>
      <c r="AZ130" s="12">
        <f t="shared" si="223"/>
        <v>0</v>
      </c>
      <c r="BA130" s="12">
        <f t="shared" si="223"/>
        <v>0</v>
      </c>
      <c r="BB130" s="12">
        <f t="shared" si="223"/>
        <v>0</v>
      </c>
      <c r="BC130" s="12">
        <f t="shared" si="223"/>
        <v>0</v>
      </c>
      <c r="BD130" s="12">
        <f t="shared" si="223"/>
        <v>0</v>
      </c>
      <c r="BE130" s="12">
        <f t="shared" si="223"/>
        <v>0</v>
      </c>
      <c r="BF130" s="12">
        <f t="shared" si="223"/>
        <v>0</v>
      </c>
      <c r="BG130" s="12">
        <f t="shared" si="223"/>
        <v>0</v>
      </c>
      <c r="BH130" s="12">
        <f t="shared" si="223"/>
        <v>0</v>
      </c>
      <c r="BI130" s="12">
        <f t="shared" si="223"/>
        <v>0</v>
      </c>
      <c r="BJ130" s="12">
        <f t="shared" si="223"/>
        <v>0</v>
      </c>
      <c r="BK130" s="1"/>
      <c r="BL130" s="1"/>
      <c r="BM130" s="1"/>
      <c r="BN130" s="1"/>
      <c r="BO130" s="1"/>
      <c r="BP130" s="1"/>
      <c r="BQ130" s="1"/>
      <c r="BR130" s="1"/>
      <c r="BS130" s="1"/>
      <c r="BT130" s="1"/>
      <c r="BU130" s="1"/>
      <c r="BV130" s="1"/>
      <c r="BX130" s="12">
        <f t="shared" ref="BX130:CI130" si="224">SUM(BX126:BX129)</f>
        <v>0</v>
      </c>
      <c r="BY130" s="12">
        <f t="shared" si="224"/>
        <v>0</v>
      </c>
      <c r="BZ130" s="12">
        <f t="shared" si="224"/>
        <v>0</v>
      </c>
      <c r="CA130" s="12">
        <f t="shared" si="224"/>
        <v>0</v>
      </c>
      <c r="CB130" s="12">
        <f t="shared" si="224"/>
        <v>0</v>
      </c>
      <c r="CC130" s="12">
        <f t="shared" si="224"/>
        <v>0</v>
      </c>
      <c r="CD130" s="12">
        <f t="shared" si="224"/>
        <v>0</v>
      </c>
      <c r="CE130" s="12">
        <f t="shared" si="224"/>
        <v>0</v>
      </c>
      <c r="CF130" s="12">
        <f t="shared" si="224"/>
        <v>0</v>
      </c>
      <c r="CG130" s="12">
        <f t="shared" si="224"/>
        <v>0</v>
      </c>
      <c r="CH130" s="12">
        <f t="shared" si="224"/>
        <v>0</v>
      </c>
      <c r="CI130" s="12">
        <f t="shared" si="224"/>
        <v>0</v>
      </c>
      <c r="CK130" s="11"/>
      <c r="CL130" s="221">
        <f t="shared" si="173"/>
        <v>0</v>
      </c>
      <c r="CM130" s="11"/>
      <c r="CV130" s="7">
        <f>IF(ROUND(SUM($V130:$CI130)-SUM($V111:$CI125), rounding)=0, 0, 1)</f>
        <v>0</v>
      </c>
      <c r="CW130" s="7">
        <f t="shared" si="175"/>
        <v>0</v>
      </c>
      <c r="CX130" s="7">
        <f t="shared" si="176"/>
        <v>0</v>
      </c>
      <c r="CY130" s="7">
        <f t="shared" si="177"/>
        <v>0</v>
      </c>
      <c r="CZ130" s="650"/>
      <c r="DA130" s="35"/>
      <c r="DB130" s="215">
        <f t="shared" si="178"/>
        <v>0</v>
      </c>
      <c r="DC130" s="215">
        <f t="shared" si="179"/>
        <v>0</v>
      </c>
      <c r="DD130" s="215">
        <f t="shared" si="180"/>
        <v>0</v>
      </c>
      <c r="DE130" s="215">
        <f t="shared" si="181"/>
        <v>0</v>
      </c>
      <c r="DF130" s="215">
        <f t="shared" si="182"/>
        <v>0</v>
      </c>
      <c r="DG130" s="215">
        <f t="shared" si="183"/>
        <v>0</v>
      </c>
      <c r="DH130" s="215">
        <f t="shared" si="184"/>
        <v>0</v>
      </c>
      <c r="DI130" s="35"/>
      <c r="DJ130">
        <v>0</v>
      </c>
      <c r="DK130">
        <v>0</v>
      </c>
      <c r="DL130" s="35"/>
      <c r="EZ130" s="10" t="str">
        <f t="shared" si="216"/>
        <v/>
      </c>
    </row>
    <row r="131" spans="1:156" ht="6.75" customHeight="1" x14ac:dyDescent="0.35">
      <c r="C131" s="253"/>
      <c r="D131" s="1"/>
      <c r="E131"/>
      <c r="BY131" s="6"/>
      <c r="CK131" s="35"/>
      <c r="CM131" s="35"/>
      <c r="CZ131" s="650"/>
      <c r="DA131" s="35"/>
      <c r="DB131" s="215"/>
      <c r="DC131" s="215"/>
      <c r="DD131" s="215"/>
      <c r="DE131" s="215"/>
      <c r="DF131" s="215"/>
      <c r="DG131" s="215"/>
      <c r="DH131" s="215"/>
      <c r="DI131" s="35"/>
      <c r="DJ131">
        <v>0</v>
      </c>
      <c r="DK131">
        <v>0</v>
      </c>
      <c r="DL131" s="35"/>
      <c r="EZ131" s="10" t="str">
        <f t="shared" si="216"/>
        <v/>
      </c>
    </row>
    <row r="132" spans="1:156" x14ac:dyDescent="0.35">
      <c r="A132" s="88"/>
      <c r="B132" s="88"/>
      <c r="C132" s="254"/>
      <c r="D132" s="34" t="s">
        <v>860</v>
      </c>
      <c r="E132" s="34"/>
      <c r="F132" s="34"/>
      <c r="G132" s="34"/>
      <c r="H132" s="34"/>
      <c r="I132" s="34"/>
      <c r="J132" s="34"/>
      <c r="K132" s="34"/>
      <c r="L132" s="34"/>
      <c r="M132" s="34"/>
      <c r="N132" s="34"/>
      <c r="O132" s="34"/>
      <c r="P132" s="34"/>
      <c r="Q132" s="34"/>
      <c r="R132" s="34"/>
      <c r="S132" s="34"/>
      <c r="T132" s="34"/>
      <c r="U132" s="34"/>
      <c r="V132" s="34"/>
      <c r="W132" s="34"/>
      <c r="X132" s="34"/>
      <c r="Y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5"/>
      <c r="CM132" s="35"/>
      <c r="CZ132" s="650"/>
      <c r="DA132" s="35"/>
      <c r="DB132" s="215"/>
      <c r="DC132" s="215"/>
      <c r="DD132" s="215"/>
      <c r="DE132" s="215"/>
      <c r="DF132" s="215"/>
      <c r="DG132" s="215"/>
      <c r="DH132" s="215"/>
      <c r="DI132" s="35"/>
      <c r="DJ132">
        <v>0</v>
      </c>
      <c r="DK132">
        <v>0</v>
      </c>
      <c r="DL132" s="35"/>
      <c r="EZ132" s="10" t="str">
        <f t="shared" si="216"/>
        <v/>
      </c>
    </row>
    <row r="133" spans="1:156" ht="6.75" customHeight="1" x14ac:dyDescent="0.35">
      <c r="C133" s="253"/>
      <c r="D133" s="1"/>
      <c r="E133"/>
      <c r="BY133" s="6"/>
      <c r="CK133" s="35"/>
      <c r="CM133" s="35"/>
      <c r="CZ133" s="650"/>
      <c r="DA133" s="35"/>
      <c r="DB133" s="215"/>
      <c r="DC133" s="215"/>
      <c r="DD133" s="215"/>
      <c r="DE133" s="215"/>
      <c r="DF133" s="215"/>
      <c r="DG133" s="215"/>
      <c r="DH133" s="215"/>
      <c r="DI133" s="35"/>
      <c r="DJ133">
        <v>0</v>
      </c>
      <c r="DK133">
        <v>0</v>
      </c>
      <c r="DL133" s="35"/>
      <c r="EZ133" s="10" t="str">
        <f t="shared" si="216"/>
        <v/>
      </c>
    </row>
    <row r="134" spans="1:156" x14ac:dyDescent="0.35">
      <c r="C134" s="253"/>
      <c r="E134" s="85" t="s">
        <v>122</v>
      </c>
      <c r="F134" s="85" t="s">
        <v>122</v>
      </c>
      <c r="G134" s="85" t="s">
        <v>122</v>
      </c>
      <c r="H134" s="85" t="s">
        <v>122</v>
      </c>
      <c r="CK134" s="11"/>
      <c r="CM134" s="11"/>
      <c r="CZ134" s="650"/>
      <c r="DA134" s="35"/>
      <c r="DB134" s="215"/>
      <c r="DC134" s="215"/>
      <c r="DD134" s="215"/>
      <c r="DE134" s="215"/>
      <c r="DF134" s="215"/>
      <c r="DG134" s="215"/>
      <c r="DH134" s="215"/>
      <c r="DI134" s="35"/>
      <c r="DJ134">
        <v>0</v>
      </c>
      <c r="DK134">
        <v>0</v>
      </c>
      <c r="DL134" s="35"/>
      <c r="EZ134" s="10" t="str">
        <f t="shared" si="216"/>
        <v/>
      </c>
    </row>
    <row r="135" spans="1:156" s="1" customFormat="1" ht="26.65" customHeight="1" x14ac:dyDescent="0.35">
      <c r="C135" s="255"/>
      <c r="D135" s="44" t="s">
        <v>842</v>
      </c>
      <c r="E135" s="45" t="s">
        <v>754</v>
      </c>
      <c r="F135" s="45" t="s">
        <v>861</v>
      </c>
      <c r="G135" s="45" t="s">
        <v>862</v>
      </c>
      <c r="H135" s="46" t="s">
        <v>801</v>
      </c>
      <c r="I135"/>
      <c r="Z135"/>
      <c r="CK135" s="25"/>
      <c r="CM135" s="25"/>
      <c r="CQ135"/>
      <c r="CV135"/>
      <c r="CW135"/>
      <c r="CX135"/>
      <c r="CY135"/>
      <c r="CZ135" s="651"/>
      <c r="DA135" s="43"/>
      <c r="DB135" s="215"/>
      <c r="DC135" s="215"/>
      <c r="DD135" s="215"/>
      <c r="DE135" s="215"/>
      <c r="DF135" s="215"/>
      <c r="DG135" s="215"/>
      <c r="DH135" s="215"/>
      <c r="DI135" s="43"/>
      <c r="DJ135" s="1">
        <v>0</v>
      </c>
      <c r="DK135" s="1">
        <v>0</v>
      </c>
      <c r="DL135" s="43"/>
      <c r="EZ135" s="10" t="str">
        <f t="shared" si="216"/>
        <v/>
      </c>
    </row>
    <row r="136" spans="1:156" x14ac:dyDescent="0.35">
      <c r="C136" s="253"/>
      <c r="D136" s="226"/>
      <c r="E136" s="227" t="s">
        <v>757</v>
      </c>
      <c r="F136" s="227" t="s">
        <v>20</v>
      </c>
      <c r="G136" s="227" t="s">
        <v>802</v>
      </c>
      <c r="H136" s="228" t="s">
        <v>802</v>
      </c>
      <c r="V136" s="1"/>
      <c r="BK136" s="1"/>
      <c r="BL136" s="1"/>
      <c r="BM136" s="1"/>
      <c r="BN136" s="1"/>
      <c r="BO136" s="1"/>
      <c r="BP136" s="1"/>
      <c r="BQ136" s="1"/>
      <c r="BR136" s="1"/>
      <c r="BS136" s="1"/>
      <c r="BT136" s="1"/>
      <c r="BU136" s="1"/>
      <c r="BV136" s="1"/>
      <c r="CK136" s="11"/>
      <c r="CM136" s="11"/>
      <c r="CZ136" s="650"/>
      <c r="DA136" s="35"/>
      <c r="DB136" s="215"/>
      <c r="DC136" s="215"/>
      <c r="DD136" s="215"/>
      <c r="DE136" s="215"/>
      <c r="DF136" s="215"/>
      <c r="DG136" s="215"/>
      <c r="DH136" s="215"/>
      <c r="DI136" s="35"/>
      <c r="DJ136">
        <v>0</v>
      </c>
      <c r="DK136">
        <v>0</v>
      </c>
      <c r="DL136" s="35"/>
      <c r="EZ136" s="10" t="str">
        <f t="shared" si="216"/>
        <v/>
      </c>
    </row>
    <row r="137" spans="1:156" x14ac:dyDescent="0.35">
      <c r="A137" s="220" cm="1">
        <f t="array" aca="1" ref="A137" ca="1">HYPERLINK(CONCATENATE("#",CELL("address",IF(MAX($CM137:$CZ137)=0,A137,INDEX($CM137:$CZ137,MATCH(1,$CM137:$CZ137,0))))),MAX($CM137:$CZ137))</f>
        <v>0</v>
      </c>
      <c r="C137" s="309" t="s">
        <v>863</v>
      </c>
      <c r="D137" s="113"/>
      <c r="E137" s="113"/>
      <c r="F137" s="110"/>
      <c r="G137" s="114"/>
      <c r="H137" s="114"/>
      <c r="V137" s="12">
        <f>0-IF(AND($F137&gt;=Timeline!$V$8,$F137 &lt;=V$5), $G137, 0)</f>
        <v>0</v>
      </c>
      <c r="W137" s="10">
        <f t="shared" ref="W137:Y151" si="225">0-IF(AND($F137&gt;V$5,$F137 &lt;=W$5), $G137, 0)</f>
        <v>0</v>
      </c>
      <c r="X137" s="10">
        <f t="shared" si="225"/>
        <v>0</v>
      </c>
      <c r="Y137" s="10">
        <f t="shared" si="225"/>
        <v>0</v>
      </c>
      <c r="AA137" s="12">
        <f t="shared" ref="AA137:AA151" si="226">0-IF(AND($F137&gt;V$5,$F137 &lt;=AA$5), $G137, 0)</f>
        <v>0</v>
      </c>
      <c r="AB137" s="10">
        <f t="shared" ref="AB137:BJ137" si="227">0-IF(AND($F137&gt;AA$5,$F137 &lt;=AB$5), $G137, 0)</f>
        <v>0</v>
      </c>
      <c r="AC137" s="10">
        <f t="shared" si="227"/>
        <v>0</v>
      </c>
      <c r="AD137" s="10">
        <f t="shared" si="227"/>
        <v>0</v>
      </c>
      <c r="AE137" s="10">
        <f t="shared" si="227"/>
        <v>0</v>
      </c>
      <c r="AF137" s="10">
        <f t="shared" si="227"/>
        <v>0</v>
      </c>
      <c r="AG137" s="10">
        <f t="shared" si="227"/>
        <v>0</v>
      </c>
      <c r="AH137" s="10">
        <f t="shared" si="227"/>
        <v>0</v>
      </c>
      <c r="AI137" s="10">
        <f t="shared" si="227"/>
        <v>0</v>
      </c>
      <c r="AJ137" s="10">
        <f t="shared" si="227"/>
        <v>0</v>
      </c>
      <c r="AK137" s="10">
        <f t="shared" si="227"/>
        <v>0</v>
      </c>
      <c r="AL137" s="10">
        <f t="shared" si="227"/>
        <v>0</v>
      </c>
      <c r="AM137" s="10">
        <f t="shared" si="227"/>
        <v>0</v>
      </c>
      <c r="AN137" s="10">
        <f t="shared" si="227"/>
        <v>0</v>
      </c>
      <c r="AO137" s="10">
        <f t="shared" si="227"/>
        <v>0</v>
      </c>
      <c r="AP137" s="10">
        <f t="shared" si="227"/>
        <v>0</v>
      </c>
      <c r="AQ137" s="10">
        <f t="shared" si="227"/>
        <v>0</v>
      </c>
      <c r="AR137" s="10">
        <f t="shared" si="227"/>
        <v>0</v>
      </c>
      <c r="AS137" s="10">
        <f t="shared" si="227"/>
        <v>0</v>
      </c>
      <c r="AT137" s="10">
        <f t="shared" si="227"/>
        <v>0</v>
      </c>
      <c r="AU137" s="10">
        <f t="shared" si="227"/>
        <v>0</v>
      </c>
      <c r="AV137" s="10">
        <f t="shared" si="227"/>
        <v>0</v>
      </c>
      <c r="AW137" s="10">
        <f t="shared" si="227"/>
        <v>0</v>
      </c>
      <c r="AX137" s="10">
        <f t="shared" si="227"/>
        <v>0</v>
      </c>
      <c r="AY137" s="10">
        <f t="shared" si="227"/>
        <v>0</v>
      </c>
      <c r="AZ137" s="10">
        <f t="shared" si="227"/>
        <v>0</v>
      </c>
      <c r="BA137" s="10">
        <f t="shared" si="227"/>
        <v>0</v>
      </c>
      <c r="BB137" s="10">
        <f t="shared" si="227"/>
        <v>0</v>
      </c>
      <c r="BC137" s="10">
        <f t="shared" si="227"/>
        <v>0</v>
      </c>
      <c r="BD137" s="10">
        <f t="shared" si="227"/>
        <v>0</v>
      </c>
      <c r="BE137" s="10">
        <f t="shared" si="227"/>
        <v>0</v>
      </c>
      <c r="BF137" s="10">
        <f t="shared" si="227"/>
        <v>0</v>
      </c>
      <c r="BG137" s="10">
        <f t="shared" si="227"/>
        <v>0</v>
      </c>
      <c r="BH137" s="10">
        <f t="shared" si="227"/>
        <v>0</v>
      </c>
      <c r="BI137" s="10">
        <f t="shared" si="227"/>
        <v>0</v>
      </c>
      <c r="BJ137" s="10">
        <f t="shared" si="227"/>
        <v>0</v>
      </c>
      <c r="BK137" s="1"/>
      <c r="BL137" s="1"/>
      <c r="BM137" s="1"/>
      <c r="BN137" s="1"/>
      <c r="BO137" s="1"/>
      <c r="BP137" s="1"/>
      <c r="BQ137" s="1"/>
      <c r="BR137" s="1"/>
      <c r="BS137" s="1"/>
      <c r="BT137" s="1"/>
      <c r="BU137" s="1"/>
      <c r="BV137" s="1"/>
      <c r="BX137" s="12">
        <f t="shared" ref="BX137:BX151" si="228">V137</f>
        <v>0</v>
      </c>
      <c r="BY137" s="10">
        <f t="shared" ref="BY137:CI137" si="229">0-IF(AND($F137&gt;BX$5,$F137 &lt;=BY$5), $G137, 0)</f>
        <v>0</v>
      </c>
      <c r="BZ137" s="10">
        <f t="shared" si="229"/>
        <v>0</v>
      </c>
      <c r="CA137" s="10">
        <f t="shared" si="229"/>
        <v>0</v>
      </c>
      <c r="CB137" s="10">
        <f t="shared" si="229"/>
        <v>0</v>
      </c>
      <c r="CC137" s="10">
        <f t="shared" si="229"/>
        <v>0</v>
      </c>
      <c r="CD137" s="10">
        <f t="shared" si="229"/>
        <v>0</v>
      </c>
      <c r="CE137" s="10">
        <f t="shared" si="229"/>
        <v>0</v>
      </c>
      <c r="CF137" s="10">
        <f t="shared" si="229"/>
        <v>0</v>
      </c>
      <c r="CG137" s="10">
        <f t="shared" si="229"/>
        <v>0</v>
      </c>
      <c r="CH137" s="10">
        <f t="shared" si="229"/>
        <v>0</v>
      </c>
      <c r="CI137" s="10">
        <f t="shared" si="229"/>
        <v>0</v>
      </c>
      <c r="CK137" s="11"/>
      <c r="CL137" s="221">
        <f t="shared" ref="CL137:CL157" si="230">IF($G137&lt;0, 1, 0)</f>
        <v>0</v>
      </c>
      <c r="CM137" s="11"/>
      <c r="CN137" s="7">
        <f t="shared" ref="CN137:CN151" si="231">IF(AND(E137="", IFERROR(ABS(G137),0)&gt;0), 1,0)</f>
        <v>0</v>
      </c>
      <c r="CO137" s="7">
        <f>IF(AND(G137&lt;&gt;0, IFERROR(MATCH(E137, Parameters!$D$45:$D$49, 0), "N/A")="N/A"), 1, 0)</f>
        <v>0</v>
      </c>
      <c r="CQ137" s="7">
        <f>IF($F137="", 0, IF(AND($F137&lt;=$CI$5, $F137&gt;=Timeline!$V$8), 0, 1))</f>
        <v>0</v>
      </c>
      <c r="CU137" s="7" cm="1">
        <f t="array" ref="CU137">SUMPRODUCT(--NOT(ISNUMBER(G137:H137)),--NOT(ISBLANK(G137:H137)))</f>
        <v>0</v>
      </c>
      <c r="CW137" s="7">
        <f t="shared" ref="CW137:CW157" si="232">IF(SUM($DB137:$DD137)=0, 0, 1)</f>
        <v>0</v>
      </c>
      <c r="CX137" s="7">
        <f t="shared" ref="CX137:CX157" si="233">IF(SUM($DE137:$DG137)=0, 0, 1)</f>
        <v>0</v>
      </c>
      <c r="CY137" s="7">
        <f t="shared" ref="CY137:CY157" si="234">IF($DH137=0, 0, 1)</f>
        <v>0</v>
      </c>
      <c r="CZ137" s="650"/>
      <c r="DA137" s="35"/>
      <c r="DB137" s="215">
        <f t="shared" ref="DB137:DB157" si="235">ROUND(W137-SUMIFS($AA137:$BJ137, $AA$3:$BJ$3, W$3), rounding)</f>
        <v>0</v>
      </c>
      <c r="DC137" s="215">
        <f t="shared" ref="DC137:DC157" si="236">ROUND(X137-SUMIFS($AA137:$BJ137, $AA$3:$BJ$3, X$3), rounding)</f>
        <v>0</v>
      </c>
      <c r="DD137" s="215">
        <f t="shared" ref="DD137:DD157" si="237">ROUND(Y137-SUMIFS($AA137:$BJ137, $AA$3:$BJ$3, Y$3), rounding)</f>
        <v>0</v>
      </c>
      <c r="DE137" s="215">
        <f t="shared" ref="DE137:DE157" si="238">ROUND($BY137-SUMIFS($AA137:$BJ137, $AA$3:$BJ$3, $BY$3), rounding)</f>
        <v>0</v>
      </c>
      <c r="DF137" s="215">
        <f t="shared" ref="DF137:DF157" si="239">ROUND($BZ137-SUMIFS($AA137:$BJ137, $AA$3:$BJ$3, $BZ$3), rounding)</f>
        <v>0</v>
      </c>
      <c r="DG137" s="215">
        <f t="shared" ref="DG137:DG157" si="240">ROUND($CA137-SUMIFS($AA137:$BJ137, $AA$3:$BJ$3, $CA$3), rounding)</f>
        <v>0</v>
      </c>
      <c r="DH137" s="215">
        <f t="shared" ref="DH137:DH157" si="241">ROUND($V137-$BX137, rounding)</f>
        <v>0</v>
      </c>
      <c r="DI137" s="35"/>
      <c r="DJ137">
        <v>0</v>
      </c>
      <c r="DK137">
        <v>0</v>
      </c>
      <c r="DL137" s="35"/>
      <c r="EZ137" s="12" t="str">
        <f t="shared" ref="EZ137:EZ151" si="242">IF($C137="","",CONCATENATE(D$132, " ",$C137))</f>
        <v>Disposals DS1</v>
      </c>
    </row>
    <row r="138" spans="1:156" x14ac:dyDescent="0.35">
      <c r="A138" s="220" cm="1">
        <f t="array" aca="1" ref="A138" ca="1">HYPERLINK(CONCATENATE("#",CELL("address",IF(MAX($CM138:$CZ138)=0,A138,INDEX($CM138:$CZ138,MATCH(1,$CM138:$CZ138,0))))),MAX($CM138:$CZ138))</f>
        <v>0</v>
      </c>
      <c r="C138" s="309" t="s">
        <v>864</v>
      </c>
      <c r="D138" s="114"/>
      <c r="E138" s="113"/>
      <c r="F138" s="110"/>
      <c r="G138" s="114"/>
      <c r="H138" s="114"/>
      <c r="V138" s="12">
        <f>0-IF(AND($F138&gt;=Timeline!$V$8,$F138 &lt;=V$5), $G138, 0)</f>
        <v>0</v>
      </c>
      <c r="W138" s="10">
        <f t="shared" si="225"/>
        <v>0</v>
      </c>
      <c r="X138" s="10">
        <f t="shared" si="225"/>
        <v>0</v>
      </c>
      <c r="Y138" s="10">
        <f t="shared" si="225"/>
        <v>0</v>
      </c>
      <c r="AA138" s="12">
        <f t="shared" si="226"/>
        <v>0</v>
      </c>
      <c r="AB138" s="10">
        <f t="shared" ref="AB138:BJ138" si="243">0-IF(AND($F138&gt;AA$5,$F138 &lt;=AB$5), $G138, 0)</f>
        <v>0</v>
      </c>
      <c r="AC138" s="10">
        <f t="shared" si="243"/>
        <v>0</v>
      </c>
      <c r="AD138" s="10">
        <f t="shared" si="243"/>
        <v>0</v>
      </c>
      <c r="AE138" s="10">
        <f t="shared" si="243"/>
        <v>0</v>
      </c>
      <c r="AF138" s="10">
        <f t="shared" si="243"/>
        <v>0</v>
      </c>
      <c r="AG138" s="10">
        <f t="shared" si="243"/>
        <v>0</v>
      </c>
      <c r="AH138" s="10">
        <f t="shared" si="243"/>
        <v>0</v>
      </c>
      <c r="AI138" s="10">
        <f t="shared" si="243"/>
        <v>0</v>
      </c>
      <c r="AJ138" s="10">
        <f t="shared" si="243"/>
        <v>0</v>
      </c>
      <c r="AK138" s="10">
        <f t="shared" si="243"/>
        <v>0</v>
      </c>
      <c r="AL138" s="10">
        <f t="shared" si="243"/>
        <v>0</v>
      </c>
      <c r="AM138" s="10">
        <f t="shared" si="243"/>
        <v>0</v>
      </c>
      <c r="AN138" s="10">
        <f t="shared" si="243"/>
        <v>0</v>
      </c>
      <c r="AO138" s="10">
        <f t="shared" si="243"/>
        <v>0</v>
      </c>
      <c r="AP138" s="10">
        <f t="shared" si="243"/>
        <v>0</v>
      </c>
      <c r="AQ138" s="10">
        <f t="shared" si="243"/>
        <v>0</v>
      </c>
      <c r="AR138" s="10">
        <f t="shared" si="243"/>
        <v>0</v>
      </c>
      <c r="AS138" s="10">
        <f t="shared" si="243"/>
        <v>0</v>
      </c>
      <c r="AT138" s="10">
        <f t="shared" si="243"/>
        <v>0</v>
      </c>
      <c r="AU138" s="10">
        <f t="shared" si="243"/>
        <v>0</v>
      </c>
      <c r="AV138" s="10">
        <f t="shared" si="243"/>
        <v>0</v>
      </c>
      <c r="AW138" s="10">
        <f t="shared" si="243"/>
        <v>0</v>
      </c>
      <c r="AX138" s="10">
        <f t="shared" si="243"/>
        <v>0</v>
      </c>
      <c r="AY138" s="10">
        <f t="shared" si="243"/>
        <v>0</v>
      </c>
      <c r="AZ138" s="10">
        <f t="shared" si="243"/>
        <v>0</v>
      </c>
      <c r="BA138" s="10">
        <f t="shared" si="243"/>
        <v>0</v>
      </c>
      <c r="BB138" s="10">
        <f t="shared" si="243"/>
        <v>0</v>
      </c>
      <c r="BC138" s="10">
        <f t="shared" si="243"/>
        <v>0</v>
      </c>
      <c r="BD138" s="10">
        <f t="shared" si="243"/>
        <v>0</v>
      </c>
      <c r="BE138" s="10">
        <f t="shared" si="243"/>
        <v>0</v>
      </c>
      <c r="BF138" s="10">
        <f t="shared" si="243"/>
        <v>0</v>
      </c>
      <c r="BG138" s="10">
        <f t="shared" si="243"/>
        <v>0</v>
      </c>
      <c r="BH138" s="10">
        <f t="shared" si="243"/>
        <v>0</v>
      </c>
      <c r="BI138" s="10">
        <f t="shared" si="243"/>
        <v>0</v>
      </c>
      <c r="BJ138" s="10">
        <f t="shared" si="243"/>
        <v>0</v>
      </c>
      <c r="BK138" s="1"/>
      <c r="BL138" s="1"/>
      <c r="BM138" s="1"/>
      <c r="BN138" s="1"/>
      <c r="BO138" s="1"/>
      <c r="BP138" s="1"/>
      <c r="BQ138" s="1"/>
      <c r="BR138" s="1"/>
      <c r="BS138" s="1"/>
      <c r="BT138" s="1"/>
      <c r="BU138" s="1"/>
      <c r="BV138" s="1"/>
      <c r="BX138" s="12">
        <f t="shared" si="228"/>
        <v>0</v>
      </c>
      <c r="BY138" s="10">
        <f t="shared" ref="BY138:CI138" si="244">0-IF(AND($F138&gt;BX$5,$F138 &lt;=BY$5), $G138, 0)</f>
        <v>0</v>
      </c>
      <c r="BZ138" s="10">
        <f t="shared" si="244"/>
        <v>0</v>
      </c>
      <c r="CA138" s="10">
        <f t="shared" si="244"/>
        <v>0</v>
      </c>
      <c r="CB138" s="10">
        <f t="shared" si="244"/>
        <v>0</v>
      </c>
      <c r="CC138" s="10">
        <f t="shared" si="244"/>
        <v>0</v>
      </c>
      <c r="CD138" s="10">
        <f t="shared" si="244"/>
        <v>0</v>
      </c>
      <c r="CE138" s="10">
        <f t="shared" si="244"/>
        <v>0</v>
      </c>
      <c r="CF138" s="10">
        <f t="shared" si="244"/>
        <v>0</v>
      </c>
      <c r="CG138" s="10">
        <f t="shared" si="244"/>
        <v>0</v>
      </c>
      <c r="CH138" s="10">
        <f t="shared" si="244"/>
        <v>0</v>
      </c>
      <c r="CI138" s="10">
        <f t="shared" si="244"/>
        <v>0</v>
      </c>
      <c r="CK138" s="11"/>
      <c r="CL138" s="221">
        <f t="shared" si="230"/>
        <v>0</v>
      </c>
      <c r="CM138" s="11"/>
      <c r="CN138" s="7">
        <f t="shared" si="231"/>
        <v>0</v>
      </c>
      <c r="CO138" s="7">
        <f>IF(AND(G138&lt;&gt;0, IFERROR(MATCH(E138, Parameters!$D$45:$D$49, 0), "N/A")="N/A"), 1, 0)</f>
        <v>0</v>
      </c>
      <c r="CQ138" s="7">
        <f>IF($F138="", 0, IF(AND($F138&lt;=$CI$5, $F138&gt;=Timeline!$V$8), 0, 1))</f>
        <v>0</v>
      </c>
      <c r="CU138" s="7" cm="1">
        <f t="array" ref="CU138">SUMPRODUCT(--NOT(ISNUMBER(G138:H138)),--NOT(ISBLANK(G138:H138)))</f>
        <v>0</v>
      </c>
      <c r="CW138" s="7">
        <f t="shared" si="232"/>
        <v>0</v>
      </c>
      <c r="CX138" s="7">
        <f t="shared" si="233"/>
        <v>0</v>
      </c>
      <c r="CY138" s="7">
        <f t="shared" si="234"/>
        <v>0</v>
      </c>
      <c r="CZ138" s="650"/>
      <c r="DA138" s="35"/>
      <c r="DB138" s="215">
        <f t="shared" si="235"/>
        <v>0</v>
      </c>
      <c r="DC138" s="215">
        <f t="shared" si="236"/>
        <v>0</v>
      </c>
      <c r="DD138" s="215">
        <f t="shared" si="237"/>
        <v>0</v>
      </c>
      <c r="DE138" s="215">
        <f t="shared" si="238"/>
        <v>0</v>
      </c>
      <c r="DF138" s="215">
        <f t="shared" si="239"/>
        <v>0</v>
      </c>
      <c r="DG138" s="215">
        <f t="shared" si="240"/>
        <v>0</v>
      </c>
      <c r="DH138" s="215">
        <f t="shared" si="241"/>
        <v>0</v>
      </c>
      <c r="DI138" s="35"/>
      <c r="DJ138">
        <v>0</v>
      </c>
      <c r="DK138">
        <v>0</v>
      </c>
      <c r="DL138" s="35"/>
      <c r="EZ138" s="12" t="str">
        <f t="shared" si="242"/>
        <v>Disposals DS2</v>
      </c>
    </row>
    <row r="139" spans="1:156" x14ac:dyDescent="0.35">
      <c r="A139" s="220" cm="1">
        <f t="array" aca="1" ref="A139" ca="1">HYPERLINK(CONCATENATE("#",CELL("address",IF(MAX($CM139:$CZ139)=0,A139,INDEX($CM139:$CZ139,MATCH(1,$CM139:$CZ139,0))))),MAX($CM139:$CZ139))</f>
        <v>0</v>
      </c>
      <c r="C139" s="309" t="s">
        <v>865</v>
      </c>
      <c r="D139" s="114"/>
      <c r="E139" s="113"/>
      <c r="F139" s="110"/>
      <c r="G139" s="114"/>
      <c r="H139" s="111"/>
      <c r="V139" s="12">
        <f>0-IF(AND($F139&gt;=Timeline!$V$8,$F139 &lt;=V$5), $G139, 0)</f>
        <v>0</v>
      </c>
      <c r="W139" s="10">
        <f t="shared" si="225"/>
        <v>0</v>
      </c>
      <c r="X139" s="10">
        <f t="shared" si="225"/>
        <v>0</v>
      </c>
      <c r="Y139" s="10">
        <f t="shared" si="225"/>
        <v>0</v>
      </c>
      <c r="AA139" s="12">
        <f t="shared" si="226"/>
        <v>0</v>
      </c>
      <c r="AB139" s="10">
        <f t="shared" ref="AB139:BJ139" si="245">0-IF(AND($F139&gt;AA$5,$F139 &lt;=AB$5), $G139, 0)</f>
        <v>0</v>
      </c>
      <c r="AC139" s="10">
        <f t="shared" si="245"/>
        <v>0</v>
      </c>
      <c r="AD139" s="10">
        <f t="shared" si="245"/>
        <v>0</v>
      </c>
      <c r="AE139" s="10">
        <f t="shared" si="245"/>
        <v>0</v>
      </c>
      <c r="AF139" s="10">
        <f t="shared" si="245"/>
        <v>0</v>
      </c>
      <c r="AG139" s="10">
        <f t="shared" si="245"/>
        <v>0</v>
      </c>
      <c r="AH139" s="10">
        <f t="shared" si="245"/>
        <v>0</v>
      </c>
      <c r="AI139" s="10">
        <f t="shared" si="245"/>
        <v>0</v>
      </c>
      <c r="AJ139" s="10">
        <f t="shared" si="245"/>
        <v>0</v>
      </c>
      <c r="AK139" s="10">
        <f t="shared" si="245"/>
        <v>0</v>
      </c>
      <c r="AL139" s="10">
        <f t="shared" si="245"/>
        <v>0</v>
      </c>
      <c r="AM139" s="10">
        <f t="shared" si="245"/>
        <v>0</v>
      </c>
      <c r="AN139" s="10">
        <f t="shared" si="245"/>
        <v>0</v>
      </c>
      <c r="AO139" s="10">
        <f t="shared" si="245"/>
        <v>0</v>
      </c>
      <c r="AP139" s="10">
        <f t="shared" si="245"/>
        <v>0</v>
      </c>
      <c r="AQ139" s="10">
        <f t="shared" si="245"/>
        <v>0</v>
      </c>
      <c r="AR139" s="10">
        <f t="shared" si="245"/>
        <v>0</v>
      </c>
      <c r="AS139" s="10">
        <f t="shared" si="245"/>
        <v>0</v>
      </c>
      <c r="AT139" s="10">
        <f t="shared" si="245"/>
        <v>0</v>
      </c>
      <c r="AU139" s="10">
        <f t="shared" si="245"/>
        <v>0</v>
      </c>
      <c r="AV139" s="10">
        <f t="shared" si="245"/>
        <v>0</v>
      </c>
      <c r="AW139" s="10">
        <f t="shared" si="245"/>
        <v>0</v>
      </c>
      <c r="AX139" s="10">
        <f t="shared" si="245"/>
        <v>0</v>
      </c>
      <c r="AY139" s="10">
        <f t="shared" si="245"/>
        <v>0</v>
      </c>
      <c r="AZ139" s="10">
        <f t="shared" si="245"/>
        <v>0</v>
      </c>
      <c r="BA139" s="10">
        <f t="shared" si="245"/>
        <v>0</v>
      </c>
      <c r="BB139" s="10">
        <f t="shared" si="245"/>
        <v>0</v>
      </c>
      <c r="BC139" s="10">
        <f t="shared" si="245"/>
        <v>0</v>
      </c>
      <c r="BD139" s="10">
        <f t="shared" si="245"/>
        <v>0</v>
      </c>
      <c r="BE139" s="10">
        <f t="shared" si="245"/>
        <v>0</v>
      </c>
      <c r="BF139" s="10">
        <f t="shared" si="245"/>
        <v>0</v>
      </c>
      <c r="BG139" s="10">
        <f t="shared" si="245"/>
        <v>0</v>
      </c>
      <c r="BH139" s="10">
        <f t="shared" si="245"/>
        <v>0</v>
      </c>
      <c r="BI139" s="10">
        <f t="shared" si="245"/>
        <v>0</v>
      </c>
      <c r="BJ139" s="10">
        <f t="shared" si="245"/>
        <v>0</v>
      </c>
      <c r="BK139" s="1"/>
      <c r="BL139" s="1"/>
      <c r="BM139" s="1"/>
      <c r="BN139" s="1"/>
      <c r="BO139" s="1"/>
      <c r="BP139" s="1"/>
      <c r="BQ139" s="1"/>
      <c r="BR139" s="1"/>
      <c r="BS139" s="1"/>
      <c r="BT139" s="1"/>
      <c r="BU139" s="1"/>
      <c r="BV139" s="1"/>
      <c r="BX139" s="12">
        <f t="shared" si="228"/>
        <v>0</v>
      </c>
      <c r="BY139" s="10">
        <f t="shared" ref="BY139:CI139" si="246">0-IF(AND($F139&gt;BX$5,$F139 &lt;=BY$5), $G139, 0)</f>
        <v>0</v>
      </c>
      <c r="BZ139" s="10">
        <f t="shared" si="246"/>
        <v>0</v>
      </c>
      <c r="CA139" s="10">
        <f t="shared" si="246"/>
        <v>0</v>
      </c>
      <c r="CB139" s="10">
        <f t="shared" si="246"/>
        <v>0</v>
      </c>
      <c r="CC139" s="10">
        <f t="shared" si="246"/>
        <v>0</v>
      </c>
      <c r="CD139" s="10">
        <f t="shared" si="246"/>
        <v>0</v>
      </c>
      <c r="CE139" s="10">
        <f t="shared" si="246"/>
        <v>0</v>
      </c>
      <c r="CF139" s="10">
        <f t="shared" si="246"/>
        <v>0</v>
      </c>
      <c r="CG139" s="10">
        <f t="shared" si="246"/>
        <v>0</v>
      </c>
      <c r="CH139" s="10">
        <f t="shared" si="246"/>
        <v>0</v>
      </c>
      <c r="CI139" s="10">
        <f t="shared" si="246"/>
        <v>0</v>
      </c>
      <c r="CK139" s="11"/>
      <c r="CL139" s="221">
        <f t="shared" si="230"/>
        <v>0</v>
      </c>
      <c r="CM139" s="11"/>
      <c r="CN139" s="7">
        <f t="shared" si="231"/>
        <v>0</v>
      </c>
      <c r="CO139" s="7">
        <f>IF(AND(G139&lt;&gt;0, IFERROR(MATCH(E139, Parameters!$D$45:$D$49, 0), "N/A")="N/A"), 1, 0)</f>
        <v>0</v>
      </c>
      <c r="CQ139" s="7">
        <f>IF($F139="", 0, IF(AND($F139&lt;=$CI$5, $F139&gt;=Timeline!$V$8), 0, 1))</f>
        <v>0</v>
      </c>
      <c r="CU139" s="7" cm="1">
        <f t="array" ref="CU139">SUMPRODUCT(--NOT(ISNUMBER(G139:H139)),--NOT(ISBLANK(G139:H139)))</f>
        <v>0</v>
      </c>
      <c r="CW139" s="7">
        <f t="shared" si="232"/>
        <v>0</v>
      </c>
      <c r="CX139" s="7">
        <f t="shared" si="233"/>
        <v>0</v>
      </c>
      <c r="CY139" s="7">
        <f t="shared" si="234"/>
        <v>0</v>
      </c>
      <c r="CZ139" s="650"/>
      <c r="DA139" s="129"/>
      <c r="DB139" s="215">
        <f t="shared" si="235"/>
        <v>0</v>
      </c>
      <c r="DC139" s="215">
        <f t="shared" si="236"/>
        <v>0</v>
      </c>
      <c r="DD139" s="215">
        <f t="shared" si="237"/>
        <v>0</v>
      </c>
      <c r="DE139" s="215">
        <f t="shared" si="238"/>
        <v>0</v>
      </c>
      <c r="DF139" s="215">
        <f t="shared" si="239"/>
        <v>0</v>
      </c>
      <c r="DG139" s="215">
        <f t="shared" si="240"/>
        <v>0</v>
      </c>
      <c r="DH139" s="215">
        <f t="shared" si="241"/>
        <v>0</v>
      </c>
      <c r="DI139" s="35"/>
      <c r="DJ139">
        <v>0</v>
      </c>
      <c r="DK139">
        <v>0</v>
      </c>
      <c r="DL139" s="35"/>
      <c r="EZ139" s="12" t="str">
        <f t="shared" si="242"/>
        <v>Disposals DS3</v>
      </c>
    </row>
    <row r="140" spans="1:156" x14ac:dyDescent="0.35">
      <c r="A140" s="220" cm="1">
        <f t="array" aca="1" ref="A140" ca="1">HYPERLINK(CONCATENATE("#",CELL("address",IF(MAX($CM140:$CZ140)=0,A140,INDEX($CM140:$CZ140,MATCH(1,$CM140:$CZ140,0))))),MAX($CM140:$CZ140))</f>
        <v>0</v>
      </c>
      <c r="C140" s="309" t="s">
        <v>866</v>
      </c>
      <c r="D140" s="114"/>
      <c r="E140" s="113"/>
      <c r="F140" s="110"/>
      <c r="G140" s="114"/>
      <c r="H140" s="111"/>
      <c r="V140" s="12">
        <f>0-IF(AND($F140&gt;=Timeline!$V$8,$F140 &lt;=V$5), $G140, 0)</f>
        <v>0</v>
      </c>
      <c r="W140" s="10">
        <f t="shared" si="225"/>
        <v>0</v>
      </c>
      <c r="X140" s="10">
        <f t="shared" si="225"/>
        <v>0</v>
      </c>
      <c r="Y140" s="10">
        <f t="shared" si="225"/>
        <v>0</v>
      </c>
      <c r="AA140" s="12">
        <f t="shared" si="226"/>
        <v>0</v>
      </c>
      <c r="AB140" s="10">
        <f t="shared" ref="AB140:BJ140" si="247">0-IF(AND($F140&gt;AA$5,$F140 &lt;=AB$5), $G140, 0)</f>
        <v>0</v>
      </c>
      <c r="AC140" s="10">
        <f t="shared" si="247"/>
        <v>0</v>
      </c>
      <c r="AD140" s="10">
        <f t="shared" si="247"/>
        <v>0</v>
      </c>
      <c r="AE140" s="10">
        <f t="shared" si="247"/>
        <v>0</v>
      </c>
      <c r="AF140" s="10">
        <f t="shared" si="247"/>
        <v>0</v>
      </c>
      <c r="AG140" s="10">
        <f t="shared" si="247"/>
        <v>0</v>
      </c>
      <c r="AH140" s="10">
        <f t="shared" si="247"/>
        <v>0</v>
      </c>
      <c r="AI140" s="10">
        <f t="shared" si="247"/>
        <v>0</v>
      </c>
      <c r="AJ140" s="10">
        <f t="shared" si="247"/>
        <v>0</v>
      </c>
      <c r="AK140" s="10">
        <f t="shared" si="247"/>
        <v>0</v>
      </c>
      <c r="AL140" s="10">
        <f t="shared" si="247"/>
        <v>0</v>
      </c>
      <c r="AM140" s="10">
        <f t="shared" si="247"/>
        <v>0</v>
      </c>
      <c r="AN140" s="10">
        <f t="shared" si="247"/>
        <v>0</v>
      </c>
      <c r="AO140" s="10">
        <f t="shared" si="247"/>
        <v>0</v>
      </c>
      <c r="AP140" s="10">
        <f t="shared" si="247"/>
        <v>0</v>
      </c>
      <c r="AQ140" s="10">
        <f t="shared" si="247"/>
        <v>0</v>
      </c>
      <c r="AR140" s="10">
        <f t="shared" si="247"/>
        <v>0</v>
      </c>
      <c r="AS140" s="10">
        <f t="shared" si="247"/>
        <v>0</v>
      </c>
      <c r="AT140" s="10">
        <f t="shared" si="247"/>
        <v>0</v>
      </c>
      <c r="AU140" s="10">
        <f t="shared" si="247"/>
        <v>0</v>
      </c>
      <c r="AV140" s="10">
        <f t="shared" si="247"/>
        <v>0</v>
      </c>
      <c r="AW140" s="10">
        <f t="shared" si="247"/>
        <v>0</v>
      </c>
      <c r="AX140" s="10">
        <f t="shared" si="247"/>
        <v>0</v>
      </c>
      <c r="AY140" s="10">
        <f t="shared" si="247"/>
        <v>0</v>
      </c>
      <c r="AZ140" s="10">
        <f t="shared" si="247"/>
        <v>0</v>
      </c>
      <c r="BA140" s="10">
        <f t="shared" si="247"/>
        <v>0</v>
      </c>
      <c r="BB140" s="10">
        <f t="shared" si="247"/>
        <v>0</v>
      </c>
      <c r="BC140" s="10">
        <f t="shared" si="247"/>
        <v>0</v>
      </c>
      <c r="BD140" s="10">
        <f t="shared" si="247"/>
        <v>0</v>
      </c>
      <c r="BE140" s="10">
        <f t="shared" si="247"/>
        <v>0</v>
      </c>
      <c r="BF140" s="10">
        <f t="shared" si="247"/>
        <v>0</v>
      </c>
      <c r="BG140" s="10">
        <f t="shared" si="247"/>
        <v>0</v>
      </c>
      <c r="BH140" s="10">
        <f t="shared" si="247"/>
        <v>0</v>
      </c>
      <c r="BI140" s="10">
        <f t="shared" si="247"/>
        <v>0</v>
      </c>
      <c r="BJ140" s="10">
        <f t="shared" si="247"/>
        <v>0</v>
      </c>
      <c r="BK140" s="1"/>
      <c r="BL140" s="1"/>
      <c r="BM140" s="1"/>
      <c r="BN140" s="1"/>
      <c r="BO140" s="1"/>
      <c r="BP140" s="1"/>
      <c r="BQ140" s="1"/>
      <c r="BR140" s="1"/>
      <c r="BS140" s="1"/>
      <c r="BT140" s="1"/>
      <c r="BU140" s="1"/>
      <c r="BV140" s="1"/>
      <c r="BX140" s="12">
        <f t="shared" si="228"/>
        <v>0</v>
      </c>
      <c r="BY140" s="10">
        <f t="shared" ref="BY140:CI140" si="248">0-IF(AND($F140&gt;BX$5,$F140 &lt;=BY$5), $G140, 0)</f>
        <v>0</v>
      </c>
      <c r="BZ140" s="10">
        <f t="shared" si="248"/>
        <v>0</v>
      </c>
      <c r="CA140" s="10">
        <f t="shared" si="248"/>
        <v>0</v>
      </c>
      <c r="CB140" s="10">
        <f t="shared" si="248"/>
        <v>0</v>
      </c>
      <c r="CC140" s="10">
        <f t="shared" si="248"/>
        <v>0</v>
      </c>
      <c r="CD140" s="10">
        <f t="shared" si="248"/>
        <v>0</v>
      </c>
      <c r="CE140" s="10">
        <f t="shared" si="248"/>
        <v>0</v>
      </c>
      <c r="CF140" s="10">
        <f t="shared" si="248"/>
        <v>0</v>
      </c>
      <c r="CG140" s="10">
        <f t="shared" si="248"/>
        <v>0</v>
      </c>
      <c r="CH140" s="10">
        <f t="shared" si="248"/>
        <v>0</v>
      </c>
      <c r="CI140" s="10">
        <f t="shared" si="248"/>
        <v>0</v>
      </c>
      <c r="CK140" s="11"/>
      <c r="CL140" s="221">
        <f t="shared" si="230"/>
        <v>0</v>
      </c>
      <c r="CM140" s="11"/>
      <c r="CN140" s="7">
        <f t="shared" si="231"/>
        <v>0</v>
      </c>
      <c r="CO140" s="7">
        <f>IF(AND(G140&lt;&gt;0, IFERROR(MATCH(E140, Parameters!$D$45:$D$49, 0), "N/A")="N/A"), 1, 0)</f>
        <v>0</v>
      </c>
      <c r="CQ140" s="7">
        <f>IF($F140="", 0, IF(AND($F140&lt;=$CI$5, $F140&gt;=Timeline!$V$8), 0, 1))</f>
        <v>0</v>
      </c>
      <c r="CU140" s="7" cm="1">
        <f t="array" ref="CU140">SUMPRODUCT(--NOT(ISNUMBER(G140:H140)),--NOT(ISBLANK(G140:H140)))</f>
        <v>0</v>
      </c>
      <c r="CW140" s="7">
        <f t="shared" si="232"/>
        <v>0</v>
      </c>
      <c r="CX140" s="7">
        <f t="shared" si="233"/>
        <v>0</v>
      </c>
      <c r="CY140" s="7">
        <f t="shared" si="234"/>
        <v>0</v>
      </c>
      <c r="CZ140" s="650"/>
      <c r="DA140" s="35"/>
      <c r="DB140" s="215">
        <f t="shared" si="235"/>
        <v>0</v>
      </c>
      <c r="DC140" s="215">
        <f t="shared" si="236"/>
        <v>0</v>
      </c>
      <c r="DD140" s="215">
        <f t="shared" si="237"/>
        <v>0</v>
      </c>
      <c r="DE140" s="215">
        <f t="shared" si="238"/>
        <v>0</v>
      </c>
      <c r="DF140" s="215">
        <f t="shared" si="239"/>
        <v>0</v>
      </c>
      <c r="DG140" s="215">
        <f t="shared" si="240"/>
        <v>0</v>
      </c>
      <c r="DH140" s="215">
        <f t="shared" si="241"/>
        <v>0</v>
      </c>
      <c r="DI140" s="35"/>
      <c r="DJ140">
        <v>0</v>
      </c>
      <c r="DK140">
        <v>0</v>
      </c>
      <c r="DL140" s="35"/>
      <c r="EZ140" s="12" t="str">
        <f t="shared" si="242"/>
        <v>Disposals DS4</v>
      </c>
    </row>
    <row r="141" spans="1:156" x14ac:dyDescent="0.35">
      <c r="A141" s="220" cm="1">
        <f t="array" aca="1" ref="A141" ca="1">HYPERLINK(CONCATENATE("#",CELL("address",IF(MAX($CM141:$CZ141)=0,A141,INDEX($CM141:$CZ141,MATCH(1,$CM141:$CZ141,0))))),MAX($CM141:$CZ141))</f>
        <v>0</v>
      </c>
      <c r="C141" s="309" t="s">
        <v>867</v>
      </c>
      <c r="D141" s="114"/>
      <c r="E141" s="113"/>
      <c r="F141" s="110"/>
      <c r="G141" s="114"/>
      <c r="H141" s="111"/>
      <c r="V141" s="12">
        <f>0-IF(AND($F141&gt;=Timeline!$V$8,$F141 &lt;=V$5), $G141, 0)</f>
        <v>0</v>
      </c>
      <c r="W141" s="10">
        <f t="shared" si="225"/>
        <v>0</v>
      </c>
      <c r="X141" s="10">
        <f t="shared" si="225"/>
        <v>0</v>
      </c>
      <c r="Y141" s="10">
        <f t="shared" si="225"/>
        <v>0</v>
      </c>
      <c r="AA141" s="12">
        <f t="shared" si="226"/>
        <v>0</v>
      </c>
      <c r="AB141" s="10">
        <f t="shared" ref="AB141:BJ141" si="249">0-IF(AND($F141&gt;AA$5,$F141 &lt;=AB$5), $G141, 0)</f>
        <v>0</v>
      </c>
      <c r="AC141" s="10">
        <f t="shared" si="249"/>
        <v>0</v>
      </c>
      <c r="AD141" s="10">
        <f t="shared" si="249"/>
        <v>0</v>
      </c>
      <c r="AE141" s="10">
        <f t="shared" si="249"/>
        <v>0</v>
      </c>
      <c r="AF141" s="10">
        <f t="shared" si="249"/>
        <v>0</v>
      </c>
      <c r="AG141" s="10">
        <f t="shared" si="249"/>
        <v>0</v>
      </c>
      <c r="AH141" s="10">
        <f t="shared" si="249"/>
        <v>0</v>
      </c>
      <c r="AI141" s="10">
        <f t="shared" si="249"/>
        <v>0</v>
      </c>
      <c r="AJ141" s="10">
        <f t="shared" si="249"/>
        <v>0</v>
      </c>
      <c r="AK141" s="10">
        <f t="shared" si="249"/>
        <v>0</v>
      </c>
      <c r="AL141" s="10">
        <f t="shared" si="249"/>
        <v>0</v>
      </c>
      <c r="AM141" s="10">
        <f t="shared" si="249"/>
        <v>0</v>
      </c>
      <c r="AN141" s="10">
        <f t="shared" si="249"/>
        <v>0</v>
      </c>
      <c r="AO141" s="10">
        <f t="shared" si="249"/>
        <v>0</v>
      </c>
      <c r="AP141" s="10">
        <f t="shared" si="249"/>
        <v>0</v>
      </c>
      <c r="AQ141" s="10">
        <f t="shared" si="249"/>
        <v>0</v>
      </c>
      <c r="AR141" s="10">
        <f t="shared" si="249"/>
        <v>0</v>
      </c>
      <c r="AS141" s="10">
        <f t="shared" si="249"/>
        <v>0</v>
      </c>
      <c r="AT141" s="10">
        <f t="shared" si="249"/>
        <v>0</v>
      </c>
      <c r="AU141" s="10">
        <f t="shared" si="249"/>
        <v>0</v>
      </c>
      <c r="AV141" s="10">
        <f t="shared" si="249"/>
        <v>0</v>
      </c>
      <c r="AW141" s="10">
        <f t="shared" si="249"/>
        <v>0</v>
      </c>
      <c r="AX141" s="10">
        <f t="shared" si="249"/>
        <v>0</v>
      </c>
      <c r="AY141" s="10">
        <f t="shared" si="249"/>
        <v>0</v>
      </c>
      <c r="AZ141" s="10">
        <f t="shared" si="249"/>
        <v>0</v>
      </c>
      <c r="BA141" s="10">
        <f t="shared" si="249"/>
        <v>0</v>
      </c>
      <c r="BB141" s="10">
        <f t="shared" si="249"/>
        <v>0</v>
      </c>
      <c r="BC141" s="10">
        <f t="shared" si="249"/>
        <v>0</v>
      </c>
      <c r="BD141" s="10">
        <f t="shared" si="249"/>
        <v>0</v>
      </c>
      <c r="BE141" s="10">
        <f t="shared" si="249"/>
        <v>0</v>
      </c>
      <c r="BF141" s="10">
        <f t="shared" si="249"/>
        <v>0</v>
      </c>
      <c r="BG141" s="10">
        <f t="shared" si="249"/>
        <v>0</v>
      </c>
      <c r="BH141" s="10">
        <f t="shared" si="249"/>
        <v>0</v>
      </c>
      <c r="BI141" s="10">
        <f t="shared" si="249"/>
        <v>0</v>
      </c>
      <c r="BJ141" s="10">
        <f t="shared" si="249"/>
        <v>0</v>
      </c>
      <c r="BK141" s="1"/>
      <c r="BL141" s="1"/>
      <c r="BM141" s="1"/>
      <c r="BN141" s="1"/>
      <c r="BO141" s="1"/>
      <c r="BP141" s="1"/>
      <c r="BQ141" s="1"/>
      <c r="BR141" s="1"/>
      <c r="BS141" s="1"/>
      <c r="BT141" s="1"/>
      <c r="BU141" s="1"/>
      <c r="BV141" s="1"/>
      <c r="BX141" s="12">
        <f t="shared" si="228"/>
        <v>0</v>
      </c>
      <c r="BY141" s="10">
        <f t="shared" ref="BY141:CI141" si="250">0-IF(AND($F141&gt;BX$5,$F141 &lt;=BY$5), $G141, 0)</f>
        <v>0</v>
      </c>
      <c r="BZ141" s="10">
        <f t="shared" si="250"/>
        <v>0</v>
      </c>
      <c r="CA141" s="10">
        <f t="shared" si="250"/>
        <v>0</v>
      </c>
      <c r="CB141" s="10">
        <f t="shared" si="250"/>
        <v>0</v>
      </c>
      <c r="CC141" s="10">
        <f t="shared" si="250"/>
        <v>0</v>
      </c>
      <c r="CD141" s="10">
        <f t="shared" si="250"/>
        <v>0</v>
      </c>
      <c r="CE141" s="10">
        <f t="shared" si="250"/>
        <v>0</v>
      </c>
      <c r="CF141" s="10">
        <f t="shared" si="250"/>
        <v>0</v>
      </c>
      <c r="CG141" s="10">
        <f t="shared" si="250"/>
        <v>0</v>
      </c>
      <c r="CH141" s="10">
        <f t="shared" si="250"/>
        <v>0</v>
      </c>
      <c r="CI141" s="10">
        <f t="shared" si="250"/>
        <v>0</v>
      </c>
      <c r="CK141" s="11"/>
      <c r="CL141" s="221">
        <f t="shared" si="230"/>
        <v>0</v>
      </c>
      <c r="CM141" s="11"/>
      <c r="CN141" s="7">
        <f t="shared" si="231"/>
        <v>0</v>
      </c>
      <c r="CO141" s="7">
        <f>IF(AND(G141&lt;&gt;0, IFERROR(MATCH(E141, Parameters!$D$45:$D$49, 0), "N/A")="N/A"), 1, 0)</f>
        <v>0</v>
      </c>
      <c r="CQ141" s="7">
        <f>IF($F141="", 0, IF(AND($F141&lt;=$CI$5, $F141&gt;=Timeline!$V$8), 0, 1))</f>
        <v>0</v>
      </c>
      <c r="CU141" s="7" cm="1">
        <f t="array" ref="CU141">SUMPRODUCT(--NOT(ISNUMBER(G141:H141)),--NOT(ISBLANK(G141:H141)))</f>
        <v>0</v>
      </c>
      <c r="CW141" s="7">
        <f t="shared" si="232"/>
        <v>0</v>
      </c>
      <c r="CX141" s="7">
        <f t="shared" si="233"/>
        <v>0</v>
      </c>
      <c r="CY141" s="7">
        <f t="shared" si="234"/>
        <v>0</v>
      </c>
      <c r="CZ141" s="650"/>
      <c r="DA141" s="35"/>
      <c r="DB141" s="215">
        <f t="shared" si="235"/>
        <v>0</v>
      </c>
      <c r="DC141" s="215">
        <f t="shared" si="236"/>
        <v>0</v>
      </c>
      <c r="DD141" s="215">
        <f t="shared" si="237"/>
        <v>0</v>
      </c>
      <c r="DE141" s="215">
        <f t="shared" si="238"/>
        <v>0</v>
      </c>
      <c r="DF141" s="215">
        <f t="shared" si="239"/>
        <v>0</v>
      </c>
      <c r="DG141" s="215">
        <f t="shared" si="240"/>
        <v>0</v>
      </c>
      <c r="DH141" s="215">
        <f t="shared" si="241"/>
        <v>0</v>
      </c>
      <c r="DI141" s="35"/>
      <c r="DJ141">
        <v>0</v>
      </c>
      <c r="DK141">
        <v>0</v>
      </c>
      <c r="DL141" s="35"/>
      <c r="EZ141" s="12" t="str">
        <f t="shared" si="242"/>
        <v>Disposals DS5</v>
      </c>
    </row>
    <row r="142" spans="1:156" x14ac:dyDescent="0.35">
      <c r="A142" s="220" cm="1">
        <f t="array" aca="1" ref="A142" ca="1">HYPERLINK(CONCATENATE("#",CELL("address",IF(MAX($CM142:$CZ142)=0,A142,INDEX($CM142:$CZ142,MATCH(1,$CM142:$CZ142,0))))),MAX($CM142:$CZ142))</f>
        <v>0</v>
      </c>
      <c r="C142" s="309" t="s">
        <v>868</v>
      </c>
      <c r="D142" s="114"/>
      <c r="E142" s="113"/>
      <c r="F142" s="110"/>
      <c r="G142" s="114"/>
      <c r="H142" s="111"/>
      <c r="V142" s="12">
        <f>0-IF(AND($F142&gt;=Timeline!$V$8,$F142 &lt;=V$5), $G142, 0)</f>
        <v>0</v>
      </c>
      <c r="W142" s="10">
        <f t="shared" si="225"/>
        <v>0</v>
      </c>
      <c r="X142" s="10">
        <f t="shared" si="225"/>
        <v>0</v>
      </c>
      <c r="Y142" s="10">
        <f t="shared" si="225"/>
        <v>0</v>
      </c>
      <c r="AA142" s="12">
        <f t="shared" si="226"/>
        <v>0</v>
      </c>
      <c r="AB142" s="10">
        <f t="shared" ref="AB142:BJ142" si="251">0-IF(AND($F142&gt;AA$5,$F142 &lt;=AB$5), $G142, 0)</f>
        <v>0</v>
      </c>
      <c r="AC142" s="10">
        <f t="shared" si="251"/>
        <v>0</v>
      </c>
      <c r="AD142" s="10">
        <f t="shared" si="251"/>
        <v>0</v>
      </c>
      <c r="AE142" s="10">
        <f t="shared" si="251"/>
        <v>0</v>
      </c>
      <c r="AF142" s="10">
        <f t="shared" si="251"/>
        <v>0</v>
      </c>
      <c r="AG142" s="10">
        <f t="shared" si="251"/>
        <v>0</v>
      </c>
      <c r="AH142" s="10">
        <f t="shared" si="251"/>
        <v>0</v>
      </c>
      <c r="AI142" s="10">
        <f t="shared" si="251"/>
        <v>0</v>
      </c>
      <c r="AJ142" s="10">
        <f t="shared" si="251"/>
        <v>0</v>
      </c>
      <c r="AK142" s="10">
        <f t="shared" si="251"/>
        <v>0</v>
      </c>
      <c r="AL142" s="10">
        <f t="shared" si="251"/>
        <v>0</v>
      </c>
      <c r="AM142" s="10">
        <f t="shared" si="251"/>
        <v>0</v>
      </c>
      <c r="AN142" s="10">
        <f t="shared" si="251"/>
        <v>0</v>
      </c>
      <c r="AO142" s="10">
        <f t="shared" si="251"/>
        <v>0</v>
      </c>
      <c r="AP142" s="10">
        <f t="shared" si="251"/>
        <v>0</v>
      </c>
      <c r="AQ142" s="10">
        <f t="shared" si="251"/>
        <v>0</v>
      </c>
      <c r="AR142" s="10">
        <f t="shared" si="251"/>
        <v>0</v>
      </c>
      <c r="AS142" s="10">
        <f t="shared" si="251"/>
        <v>0</v>
      </c>
      <c r="AT142" s="10">
        <f t="shared" si="251"/>
        <v>0</v>
      </c>
      <c r="AU142" s="10">
        <f t="shared" si="251"/>
        <v>0</v>
      </c>
      <c r="AV142" s="10">
        <f t="shared" si="251"/>
        <v>0</v>
      </c>
      <c r="AW142" s="10">
        <f t="shared" si="251"/>
        <v>0</v>
      </c>
      <c r="AX142" s="10">
        <f t="shared" si="251"/>
        <v>0</v>
      </c>
      <c r="AY142" s="10">
        <f t="shared" si="251"/>
        <v>0</v>
      </c>
      <c r="AZ142" s="10">
        <f t="shared" si="251"/>
        <v>0</v>
      </c>
      <c r="BA142" s="10">
        <f t="shared" si="251"/>
        <v>0</v>
      </c>
      <c r="BB142" s="10">
        <f t="shared" si="251"/>
        <v>0</v>
      </c>
      <c r="BC142" s="10">
        <f t="shared" si="251"/>
        <v>0</v>
      </c>
      <c r="BD142" s="10">
        <f t="shared" si="251"/>
        <v>0</v>
      </c>
      <c r="BE142" s="10">
        <f t="shared" si="251"/>
        <v>0</v>
      </c>
      <c r="BF142" s="10">
        <f t="shared" si="251"/>
        <v>0</v>
      </c>
      <c r="BG142" s="10">
        <f t="shared" si="251"/>
        <v>0</v>
      </c>
      <c r="BH142" s="10">
        <f t="shared" si="251"/>
        <v>0</v>
      </c>
      <c r="BI142" s="10">
        <f t="shared" si="251"/>
        <v>0</v>
      </c>
      <c r="BJ142" s="10">
        <f t="shared" si="251"/>
        <v>0</v>
      </c>
      <c r="BK142" s="1"/>
      <c r="BL142" s="1"/>
      <c r="BM142" s="1"/>
      <c r="BN142" s="1"/>
      <c r="BO142" s="1"/>
      <c r="BP142" s="1"/>
      <c r="BQ142" s="1"/>
      <c r="BR142" s="1"/>
      <c r="BS142" s="1"/>
      <c r="BT142" s="1"/>
      <c r="BU142" s="1"/>
      <c r="BV142" s="1"/>
      <c r="BX142" s="12">
        <f t="shared" si="228"/>
        <v>0</v>
      </c>
      <c r="BY142" s="10">
        <f t="shared" ref="BY142:CI142" si="252">0-IF(AND($F142&gt;BX$5,$F142 &lt;=BY$5), $G142, 0)</f>
        <v>0</v>
      </c>
      <c r="BZ142" s="10">
        <f t="shared" si="252"/>
        <v>0</v>
      </c>
      <c r="CA142" s="10">
        <f t="shared" si="252"/>
        <v>0</v>
      </c>
      <c r="CB142" s="10">
        <f t="shared" si="252"/>
        <v>0</v>
      </c>
      <c r="CC142" s="10">
        <f t="shared" si="252"/>
        <v>0</v>
      </c>
      <c r="CD142" s="10">
        <f t="shared" si="252"/>
        <v>0</v>
      </c>
      <c r="CE142" s="10">
        <f t="shared" si="252"/>
        <v>0</v>
      </c>
      <c r="CF142" s="10">
        <f t="shared" si="252"/>
        <v>0</v>
      </c>
      <c r="CG142" s="10">
        <f t="shared" si="252"/>
        <v>0</v>
      </c>
      <c r="CH142" s="10">
        <f t="shared" si="252"/>
        <v>0</v>
      </c>
      <c r="CI142" s="10">
        <f t="shared" si="252"/>
        <v>0</v>
      </c>
      <c r="CK142" s="11"/>
      <c r="CL142" s="221">
        <f t="shared" si="230"/>
        <v>0</v>
      </c>
      <c r="CM142" s="11"/>
      <c r="CN142" s="7">
        <f t="shared" si="231"/>
        <v>0</v>
      </c>
      <c r="CO142" s="7">
        <f>IF(AND(G142&lt;&gt;0, IFERROR(MATCH(E142, Parameters!$D$45:$D$49, 0), "N/A")="N/A"), 1, 0)</f>
        <v>0</v>
      </c>
      <c r="CQ142" s="7">
        <f>IF($F142="", 0, IF(AND($F142&lt;=$CI$5, $F142&gt;=Timeline!$V$8), 0, 1))</f>
        <v>0</v>
      </c>
      <c r="CU142" s="7" cm="1">
        <f t="array" ref="CU142">SUMPRODUCT(--NOT(ISNUMBER(G142:H142)),--NOT(ISBLANK(G142:H142)))</f>
        <v>0</v>
      </c>
      <c r="CW142" s="7">
        <f t="shared" si="232"/>
        <v>0</v>
      </c>
      <c r="CX142" s="7">
        <f t="shared" si="233"/>
        <v>0</v>
      </c>
      <c r="CY142" s="7">
        <f t="shared" si="234"/>
        <v>0</v>
      </c>
      <c r="CZ142" s="650"/>
      <c r="DA142" s="35"/>
      <c r="DB142" s="215">
        <f t="shared" si="235"/>
        <v>0</v>
      </c>
      <c r="DC142" s="215">
        <f t="shared" si="236"/>
        <v>0</v>
      </c>
      <c r="DD142" s="215">
        <f t="shared" si="237"/>
        <v>0</v>
      </c>
      <c r="DE142" s="215">
        <f t="shared" si="238"/>
        <v>0</v>
      </c>
      <c r="DF142" s="215">
        <f t="shared" si="239"/>
        <v>0</v>
      </c>
      <c r="DG142" s="215">
        <f t="shared" si="240"/>
        <v>0</v>
      </c>
      <c r="DH142" s="215">
        <f t="shared" si="241"/>
        <v>0</v>
      </c>
      <c r="DI142" s="35"/>
      <c r="DJ142">
        <v>0</v>
      </c>
      <c r="DK142">
        <v>0</v>
      </c>
      <c r="DL142" s="35"/>
      <c r="EZ142" s="12" t="str">
        <f t="shared" si="242"/>
        <v>Disposals DS6</v>
      </c>
    </row>
    <row r="143" spans="1:156" x14ac:dyDescent="0.35">
      <c r="A143" s="220" cm="1">
        <f t="array" aca="1" ref="A143" ca="1">HYPERLINK(CONCATENATE("#",CELL("address",IF(MAX($CM143:$CZ143)=0,A143,INDEX($CM143:$CZ143,MATCH(1,$CM143:$CZ143,0))))),MAX($CM143:$CZ143))</f>
        <v>0</v>
      </c>
      <c r="C143" s="309" t="s">
        <v>869</v>
      </c>
      <c r="D143" s="114"/>
      <c r="E143" s="113"/>
      <c r="F143" s="110"/>
      <c r="G143" s="114"/>
      <c r="H143" s="111"/>
      <c r="V143" s="12">
        <f>0-IF(AND($F143&gt;=Timeline!$V$8,$F143 &lt;=V$5), $G143, 0)</f>
        <v>0</v>
      </c>
      <c r="W143" s="10">
        <f t="shared" si="225"/>
        <v>0</v>
      </c>
      <c r="X143" s="10">
        <f t="shared" si="225"/>
        <v>0</v>
      </c>
      <c r="Y143" s="10">
        <f t="shared" si="225"/>
        <v>0</v>
      </c>
      <c r="AA143" s="12">
        <f t="shared" si="226"/>
        <v>0</v>
      </c>
      <c r="AB143" s="10">
        <f t="shared" ref="AB143:BJ143" si="253">0-IF(AND($F143&gt;AA$5,$F143 &lt;=AB$5), $G143, 0)</f>
        <v>0</v>
      </c>
      <c r="AC143" s="10">
        <f t="shared" si="253"/>
        <v>0</v>
      </c>
      <c r="AD143" s="10">
        <f t="shared" si="253"/>
        <v>0</v>
      </c>
      <c r="AE143" s="10">
        <f t="shared" si="253"/>
        <v>0</v>
      </c>
      <c r="AF143" s="10">
        <f t="shared" si="253"/>
        <v>0</v>
      </c>
      <c r="AG143" s="10">
        <f t="shared" si="253"/>
        <v>0</v>
      </c>
      <c r="AH143" s="10">
        <f t="shared" si="253"/>
        <v>0</v>
      </c>
      <c r="AI143" s="10">
        <f t="shared" si="253"/>
        <v>0</v>
      </c>
      <c r="AJ143" s="10">
        <f t="shared" si="253"/>
        <v>0</v>
      </c>
      <c r="AK143" s="10">
        <f t="shared" si="253"/>
        <v>0</v>
      </c>
      <c r="AL143" s="10">
        <f t="shared" si="253"/>
        <v>0</v>
      </c>
      <c r="AM143" s="10">
        <f t="shared" si="253"/>
        <v>0</v>
      </c>
      <c r="AN143" s="10">
        <f t="shared" si="253"/>
        <v>0</v>
      </c>
      <c r="AO143" s="10">
        <f t="shared" si="253"/>
        <v>0</v>
      </c>
      <c r="AP143" s="10">
        <f t="shared" si="253"/>
        <v>0</v>
      </c>
      <c r="AQ143" s="10">
        <f t="shared" si="253"/>
        <v>0</v>
      </c>
      <c r="AR143" s="10">
        <f t="shared" si="253"/>
        <v>0</v>
      </c>
      <c r="AS143" s="10">
        <f t="shared" si="253"/>
        <v>0</v>
      </c>
      <c r="AT143" s="10">
        <f t="shared" si="253"/>
        <v>0</v>
      </c>
      <c r="AU143" s="10">
        <f t="shared" si="253"/>
        <v>0</v>
      </c>
      <c r="AV143" s="10">
        <f t="shared" si="253"/>
        <v>0</v>
      </c>
      <c r="AW143" s="10">
        <f t="shared" si="253"/>
        <v>0</v>
      </c>
      <c r="AX143" s="10">
        <f t="shared" si="253"/>
        <v>0</v>
      </c>
      <c r="AY143" s="10">
        <f t="shared" si="253"/>
        <v>0</v>
      </c>
      <c r="AZ143" s="10">
        <f t="shared" si="253"/>
        <v>0</v>
      </c>
      <c r="BA143" s="10">
        <f t="shared" si="253"/>
        <v>0</v>
      </c>
      <c r="BB143" s="10">
        <f t="shared" si="253"/>
        <v>0</v>
      </c>
      <c r="BC143" s="10">
        <f t="shared" si="253"/>
        <v>0</v>
      </c>
      <c r="BD143" s="10">
        <f t="shared" si="253"/>
        <v>0</v>
      </c>
      <c r="BE143" s="10">
        <f t="shared" si="253"/>
        <v>0</v>
      </c>
      <c r="BF143" s="10">
        <f t="shared" si="253"/>
        <v>0</v>
      </c>
      <c r="BG143" s="10">
        <f t="shared" si="253"/>
        <v>0</v>
      </c>
      <c r="BH143" s="10">
        <f t="shared" si="253"/>
        <v>0</v>
      </c>
      <c r="BI143" s="10">
        <f t="shared" si="253"/>
        <v>0</v>
      </c>
      <c r="BJ143" s="10">
        <f t="shared" si="253"/>
        <v>0</v>
      </c>
      <c r="BK143" s="1"/>
      <c r="BL143" s="1"/>
      <c r="BM143" s="1"/>
      <c r="BN143" s="1"/>
      <c r="BO143" s="1"/>
      <c r="BP143" s="1"/>
      <c r="BQ143" s="1"/>
      <c r="BR143" s="1"/>
      <c r="BS143" s="1"/>
      <c r="BT143" s="1"/>
      <c r="BU143" s="1"/>
      <c r="BV143" s="1"/>
      <c r="BX143" s="12">
        <f t="shared" si="228"/>
        <v>0</v>
      </c>
      <c r="BY143" s="10">
        <f t="shared" ref="BY143:CI143" si="254">0-IF(AND($F143&gt;BX$5,$F143 &lt;=BY$5), $G143, 0)</f>
        <v>0</v>
      </c>
      <c r="BZ143" s="10">
        <f t="shared" si="254"/>
        <v>0</v>
      </c>
      <c r="CA143" s="10">
        <f t="shared" si="254"/>
        <v>0</v>
      </c>
      <c r="CB143" s="10">
        <f t="shared" si="254"/>
        <v>0</v>
      </c>
      <c r="CC143" s="10">
        <f t="shared" si="254"/>
        <v>0</v>
      </c>
      <c r="CD143" s="10">
        <f t="shared" si="254"/>
        <v>0</v>
      </c>
      <c r="CE143" s="10">
        <f t="shared" si="254"/>
        <v>0</v>
      </c>
      <c r="CF143" s="10">
        <f t="shared" si="254"/>
        <v>0</v>
      </c>
      <c r="CG143" s="10">
        <f t="shared" si="254"/>
        <v>0</v>
      </c>
      <c r="CH143" s="10">
        <f t="shared" si="254"/>
        <v>0</v>
      </c>
      <c r="CI143" s="10">
        <f t="shared" si="254"/>
        <v>0</v>
      </c>
      <c r="CK143" s="11"/>
      <c r="CL143" s="221">
        <f t="shared" si="230"/>
        <v>0</v>
      </c>
      <c r="CM143" s="11"/>
      <c r="CN143" s="7">
        <f t="shared" si="231"/>
        <v>0</v>
      </c>
      <c r="CO143" s="7">
        <f>IF(AND(G143&lt;&gt;0, IFERROR(MATCH(E143, Parameters!$D$45:$D$49, 0), "N/A")="N/A"), 1, 0)</f>
        <v>0</v>
      </c>
      <c r="CQ143" s="7">
        <f>IF($F143="", 0, IF(AND($F143&lt;=$CI$5, $F143&gt;=Timeline!$V$8), 0, 1))</f>
        <v>0</v>
      </c>
      <c r="CU143" s="7" cm="1">
        <f t="array" ref="CU143">SUMPRODUCT(--NOT(ISNUMBER(G143:H143)),--NOT(ISBLANK(G143:H143)))</f>
        <v>0</v>
      </c>
      <c r="CW143" s="7">
        <f t="shared" si="232"/>
        <v>0</v>
      </c>
      <c r="CX143" s="7">
        <f t="shared" si="233"/>
        <v>0</v>
      </c>
      <c r="CY143" s="7">
        <f t="shared" si="234"/>
        <v>0</v>
      </c>
      <c r="CZ143" s="650"/>
      <c r="DA143" s="35"/>
      <c r="DB143" s="215">
        <f t="shared" si="235"/>
        <v>0</v>
      </c>
      <c r="DC143" s="215">
        <f t="shared" si="236"/>
        <v>0</v>
      </c>
      <c r="DD143" s="215">
        <f t="shared" si="237"/>
        <v>0</v>
      </c>
      <c r="DE143" s="215">
        <f t="shared" si="238"/>
        <v>0</v>
      </c>
      <c r="DF143" s="215">
        <f t="shared" si="239"/>
        <v>0</v>
      </c>
      <c r="DG143" s="215">
        <f t="shared" si="240"/>
        <v>0</v>
      </c>
      <c r="DH143" s="215">
        <f t="shared" si="241"/>
        <v>0</v>
      </c>
      <c r="DI143" s="35"/>
      <c r="DJ143">
        <v>0</v>
      </c>
      <c r="DK143">
        <v>0</v>
      </c>
      <c r="DL143" s="35"/>
      <c r="EZ143" s="12" t="str">
        <f t="shared" si="242"/>
        <v>Disposals DS7</v>
      </c>
    </row>
    <row r="144" spans="1:156" x14ac:dyDescent="0.35">
      <c r="A144" s="220" cm="1">
        <f t="array" aca="1" ref="A144" ca="1">HYPERLINK(CONCATENATE("#",CELL("address",IF(MAX($CM144:$CZ144)=0,A144,INDEX($CM144:$CZ144,MATCH(1,$CM144:$CZ144,0))))),MAX($CM144:$CZ144))</f>
        <v>0</v>
      </c>
      <c r="C144" s="309" t="s">
        <v>870</v>
      </c>
      <c r="D144" s="114"/>
      <c r="E144" s="113"/>
      <c r="F144" s="110"/>
      <c r="G144" s="114"/>
      <c r="H144" s="111"/>
      <c r="V144" s="12">
        <f>0-IF(AND($F144&gt;=Timeline!$V$8,$F144 &lt;=V$5), $G144, 0)</f>
        <v>0</v>
      </c>
      <c r="W144" s="10">
        <f t="shared" si="225"/>
        <v>0</v>
      </c>
      <c r="X144" s="10">
        <f t="shared" si="225"/>
        <v>0</v>
      </c>
      <c r="Y144" s="10">
        <f t="shared" si="225"/>
        <v>0</v>
      </c>
      <c r="AA144" s="12">
        <f t="shared" si="226"/>
        <v>0</v>
      </c>
      <c r="AB144" s="10">
        <f t="shared" ref="AB144:BJ144" si="255">0-IF(AND($F144&gt;AA$5,$F144 &lt;=AB$5), $G144, 0)</f>
        <v>0</v>
      </c>
      <c r="AC144" s="10">
        <f t="shared" si="255"/>
        <v>0</v>
      </c>
      <c r="AD144" s="10">
        <f t="shared" si="255"/>
        <v>0</v>
      </c>
      <c r="AE144" s="10">
        <f t="shared" si="255"/>
        <v>0</v>
      </c>
      <c r="AF144" s="10">
        <f t="shared" si="255"/>
        <v>0</v>
      </c>
      <c r="AG144" s="10">
        <f t="shared" si="255"/>
        <v>0</v>
      </c>
      <c r="AH144" s="10">
        <f t="shared" si="255"/>
        <v>0</v>
      </c>
      <c r="AI144" s="10">
        <f t="shared" si="255"/>
        <v>0</v>
      </c>
      <c r="AJ144" s="10">
        <f t="shared" si="255"/>
        <v>0</v>
      </c>
      <c r="AK144" s="10">
        <f t="shared" si="255"/>
        <v>0</v>
      </c>
      <c r="AL144" s="10">
        <f t="shared" si="255"/>
        <v>0</v>
      </c>
      <c r="AM144" s="10">
        <f t="shared" si="255"/>
        <v>0</v>
      </c>
      <c r="AN144" s="10">
        <f t="shared" si="255"/>
        <v>0</v>
      </c>
      <c r="AO144" s="10">
        <f t="shared" si="255"/>
        <v>0</v>
      </c>
      <c r="AP144" s="10">
        <f t="shared" si="255"/>
        <v>0</v>
      </c>
      <c r="AQ144" s="10">
        <f t="shared" si="255"/>
        <v>0</v>
      </c>
      <c r="AR144" s="10">
        <f t="shared" si="255"/>
        <v>0</v>
      </c>
      <c r="AS144" s="10">
        <f t="shared" si="255"/>
        <v>0</v>
      </c>
      <c r="AT144" s="10">
        <f t="shared" si="255"/>
        <v>0</v>
      </c>
      <c r="AU144" s="10">
        <f t="shared" si="255"/>
        <v>0</v>
      </c>
      <c r="AV144" s="10">
        <f t="shared" si="255"/>
        <v>0</v>
      </c>
      <c r="AW144" s="10">
        <f t="shared" si="255"/>
        <v>0</v>
      </c>
      <c r="AX144" s="10">
        <f t="shared" si="255"/>
        <v>0</v>
      </c>
      <c r="AY144" s="10">
        <f t="shared" si="255"/>
        <v>0</v>
      </c>
      <c r="AZ144" s="10">
        <f t="shared" si="255"/>
        <v>0</v>
      </c>
      <c r="BA144" s="10">
        <f t="shared" si="255"/>
        <v>0</v>
      </c>
      <c r="BB144" s="10">
        <f t="shared" si="255"/>
        <v>0</v>
      </c>
      <c r="BC144" s="10">
        <f t="shared" si="255"/>
        <v>0</v>
      </c>
      <c r="BD144" s="10">
        <f t="shared" si="255"/>
        <v>0</v>
      </c>
      <c r="BE144" s="10">
        <f t="shared" si="255"/>
        <v>0</v>
      </c>
      <c r="BF144" s="10">
        <f t="shared" si="255"/>
        <v>0</v>
      </c>
      <c r="BG144" s="10">
        <f t="shared" si="255"/>
        <v>0</v>
      </c>
      <c r="BH144" s="10">
        <f t="shared" si="255"/>
        <v>0</v>
      </c>
      <c r="BI144" s="10">
        <f t="shared" si="255"/>
        <v>0</v>
      </c>
      <c r="BJ144" s="10">
        <f t="shared" si="255"/>
        <v>0</v>
      </c>
      <c r="BK144" s="1"/>
      <c r="BL144" s="1"/>
      <c r="BM144" s="1"/>
      <c r="BN144" s="1"/>
      <c r="BO144" s="1"/>
      <c r="BP144" s="1"/>
      <c r="BQ144" s="1"/>
      <c r="BR144" s="1"/>
      <c r="BS144" s="1"/>
      <c r="BT144" s="1"/>
      <c r="BU144" s="1"/>
      <c r="BV144" s="1"/>
      <c r="BX144" s="12">
        <f t="shared" si="228"/>
        <v>0</v>
      </c>
      <c r="BY144" s="10">
        <f t="shared" ref="BY144:CI144" si="256">0-IF(AND($F144&gt;BX$5,$F144 &lt;=BY$5), $G144, 0)</f>
        <v>0</v>
      </c>
      <c r="BZ144" s="10">
        <f t="shared" si="256"/>
        <v>0</v>
      </c>
      <c r="CA144" s="10">
        <f t="shared" si="256"/>
        <v>0</v>
      </c>
      <c r="CB144" s="10">
        <f t="shared" si="256"/>
        <v>0</v>
      </c>
      <c r="CC144" s="10">
        <f t="shared" si="256"/>
        <v>0</v>
      </c>
      <c r="CD144" s="10">
        <f t="shared" si="256"/>
        <v>0</v>
      </c>
      <c r="CE144" s="10">
        <f t="shared" si="256"/>
        <v>0</v>
      </c>
      <c r="CF144" s="10">
        <f t="shared" si="256"/>
        <v>0</v>
      </c>
      <c r="CG144" s="10">
        <f t="shared" si="256"/>
        <v>0</v>
      </c>
      <c r="CH144" s="10">
        <f t="shared" si="256"/>
        <v>0</v>
      </c>
      <c r="CI144" s="10">
        <f t="shared" si="256"/>
        <v>0</v>
      </c>
      <c r="CK144" s="11"/>
      <c r="CL144" s="221">
        <f t="shared" si="230"/>
        <v>0</v>
      </c>
      <c r="CM144" s="11"/>
      <c r="CN144" s="7">
        <f t="shared" si="231"/>
        <v>0</v>
      </c>
      <c r="CO144" s="7">
        <f>IF(AND(G144&lt;&gt;0, IFERROR(MATCH(E144, Parameters!$D$45:$D$49, 0), "N/A")="N/A"), 1, 0)</f>
        <v>0</v>
      </c>
      <c r="CQ144" s="7">
        <f>IF($F144="", 0, IF(AND($F144&lt;=$CI$5, $F144&gt;=Timeline!$V$8), 0, 1))</f>
        <v>0</v>
      </c>
      <c r="CU144" s="7" cm="1">
        <f t="array" ref="CU144">SUMPRODUCT(--NOT(ISNUMBER(G144:H144)),--NOT(ISBLANK(G144:H144)))</f>
        <v>0</v>
      </c>
      <c r="CW144" s="7">
        <f t="shared" si="232"/>
        <v>0</v>
      </c>
      <c r="CX144" s="7">
        <f t="shared" si="233"/>
        <v>0</v>
      </c>
      <c r="CY144" s="7">
        <f t="shared" si="234"/>
        <v>0</v>
      </c>
      <c r="CZ144" s="650"/>
      <c r="DA144" s="35"/>
      <c r="DB144" s="215">
        <f t="shared" si="235"/>
        <v>0</v>
      </c>
      <c r="DC144" s="215">
        <f t="shared" si="236"/>
        <v>0</v>
      </c>
      <c r="DD144" s="215">
        <f t="shared" si="237"/>
        <v>0</v>
      </c>
      <c r="DE144" s="215">
        <f t="shared" si="238"/>
        <v>0</v>
      </c>
      <c r="DF144" s="215">
        <f t="shared" si="239"/>
        <v>0</v>
      </c>
      <c r="DG144" s="215">
        <f t="shared" si="240"/>
        <v>0</v>
      </c>
      <c r="DH144" s="215">
        <f t="shared" si="241"/>
        <v>0</v>
      </c>
      <c r="DI144" s="35"/>
      <c r="DJ144">
        <v>0</v>
      </c>
      <c r="DK144">
        <v>0</v>
      </c>
      <c r="DL144" s="35"/>
      <c r="EZ144" s="12" t="str">
        <f t="shared" si="242"/>
        <v>Disposals DS8</v>
      </c>
    </row>
    <row r="145" spans="1:156" x14ac:dyDescent="0.35">
      <c r="A145" s="220" cm="1">
        <f t="array" aca="1" ref="A145" ca="1">HYPERLINK(CONCATENATE("#",CELL("address",IF(MAX($CM145:$CZ145)=0,A145,INDEX($CM145:$CZ145,MATCH(1,$CM145:$CZ145,0))))),MAX($CM145:$CZ145))</f>
        <v>0</v>
      </c>
      <c r="C145" s="309" t="s">
        <v>871</v>
      </c>
      <c r="D145" s="114"/>
      <c r="E145" s="113"/>
      <c r="F145" s="110"/>
      <c r="G145" s="114"/>
      <c r="H145" s="111"/>
      <c r="V145" s="12">
        <f>0-IF(AND($F145&gt;=Timeline!$V$8,$F145 &lt;=V$5), $G145, 0)</f>
        <v>0</v>
      </c>
      <c r="W145" s="10">
        <f t="shared" si="225"/>
        <v>0</v>
      </c>
      <c r="X145" s="10">
        <f t="shared" si="225"/>
        <v>0</v>
      </c>
      <c r="Y145" s="10">
        <f t="shared" si="225"/>
        <v>0</v>
      </c>
      <c r="AA145" s="12">
        <f t="shared" si="226"/>
        <v>0</v>
      </c>
      <c r="AB145" s="10">
        <f t="shared" ref="AB145:BJ145" si="257">0-IF(AND($F145&gt;AA$5,$F145 &lt;=AB$5), $G145, 0)</f>
        <v>0</v>
      </c>
      <c r="AC145" s="10">
        <f t="shared" si="257"/>
        <v>0</v>
      </c>
      <c r="AD145" s="10">
        <f t="shared" si="257"/>
        <v>0</v>
      </c>
      <c r="AE145" s="10">
        <f t="shared" si="257"/>
        <v>0</v>
      </c>
      <c r="AF145" s="10">
        <f t="shared" si="257"/>
        <v>0</v>
      </c>
      <c r="AG145" s="10">
        <f t="shared" si="257"/>
        <v>0</v>
      </c>
      <c r="AH145" s="10">
        <f t="shared" si="257"/>
        <v>0</v>
      </c>
      <c r="AI145" s="10">
        <f t="shared" si="257"/>
        <v>0</v>
      </c>
      <c r="AJ145" s="10">
        <f t="shared" si="257"/>
        <v>0</v>
      </c>
      <c r="AK145" s="10">
        <f t="shared" si="257"/>
        <v>0</v>
      </c>
      <c r="AL145" s="10">
        <f t="shared" si="257"/>
        <v>0</v>
      </c>
      <c r="AM145" s="10">
        <f t="shared" si="257"/>
        <v>0</v>
      </c>
      <c r="AN145" s="10">
        <f t="shared" si="257"/>
        <v>0</v>
      </c>
      <c r="AO145" s="10">
        <f t="shared" si="257"/>
        <v>0</v>
      </c>
      <c r="AP145" s="10">
        <f t="shared" si="257"/>
        <v>0</v>
      </c>
      <c r="AQ145" s="10">
        <f t="shared" si="257"/>
        <v>0</v>
      </c>
      <c r="AR145" s="10">
        <f t="shared" si="257"/>
        <v>0</v>
      </c>
      <c r="AS145" s="10">
        <f t="shared" si="257"/>
        <v>0</v>
      </c>
      <c r="AT145" s="10">
        <f t="shared" si="257"/>
        <v>0</v>
      </c>
      <c r="AU145" s="10">
        <f t="shared" si="257"/>
        <v>0</v>
      </c>
      <c r="AV145" s="10">
        <f t="shared" si="257"/>
        <v>0</v>
      </c>
      <c r="AW145" s="10">
        <f t="shared" si="257"/>
        <v>0</v>
      </c>
      <c r="AX145" s="10">
        <f t="shared" si="257"/>
        <v>0</v>
      </c>
      <c r="AY145" s="10">
        <f t="shared" si="257"/>
        <v>0</v>
      </c>
      <c r="AZ145" s="10">
        <f t="shared" si="257"/>
        <v>0</v>
      </c>
      <c r="BA145" s="10">
        <f t="shared" si="257"/>
        <v>0</v>
      </c>
      <c r="BB145" s="10">
        <f t="shared" si="257"/>
        <v>0</v>
      </c>
      <c r="BC145" s="10">
        <f t="shared" si="257"/>
        <v>0</v>
      </c>
      <c r="BD145" s="10">
        <f t="shared" si="257"/>
        <v>0</v>
      </c>
      <c r="BE145" s="10">
        <f t="shared" si="257"/>
        <v>0</v>
      </c>
      <c r="BF145" s="10">
        <f t="shared" si="257"/>
        <v>0</v>
      </c>
      <c r="BG145" s="10">
        <f t="shared" si="257"/>
        <v>0</v>
      </c>
      <c r="BH145" s="10">
        <f t="shared" si="257"/>
        <v>0</v>
      </c>
      <c r="BI145" s="10">
        <f t="shared" si="257"/>
        <v>0</v>
      </c>
      <c r="BJ145" s="10">
        <f t="shared" si="257"/>
        <v>0</v>
      </c>
      <c r="BK145" s="1"/>
      <c r="BL145" s="1"/>
      <c r="BM145" s="1"/>
      <c r="BN145" s="1"/>
      <c r="BO145" s="1"/>
      <c r="BP145" s="1"/>
      <c r="BQ145" s="1"/>
      <c r="BR145" s="1"/>
      <c r="BS145" s="1"/>
      <c r="BT145" s="1"/>
      <c r="BU145" s="1"/>
      <c r="BV145" s="1"/>
      <c r="BX145" s="12">
        <f t="shared" si="228"/>
        <v>0</v>
      </c>
      <c r="BY145" s="10">
        <f t="shared" ref="BY145:CI145" si="258">0-IF(AND($F145&gt;BX$5,$F145 &lt;=BY$5), $G145, 0)</f>
        <v>0</v>
      </c>
      <c r="BZ145" s="10">
        <f t="shared" si="258"/>
        <v>0</v>
      </c>
      <c r="CA145" s="10">
        <f t="shared" si="258"/>
        <v>0</v>
      </c>
      <c r="CB145" s="10">
        <f t="shared" si="258"/>
        <v>0</v>
      </c>
      <c r="CC145" s="10">
        <f t="shared" si="258"/>
        <v>0</v>
      </c>
      <c r="CD145" s="10">
        <f t="shared" si="258"/>
        <v>0</v>
      </c>
      <c r="CE145" s="10">
        <f t="shared" si="258"/>
        <v>0</v>
      </c>
      <c r="CF145" s="10">
        <f t="shared" si="258"/>
        <v>0</v>
      </c>
      <c r="CG145" s="10">
        <f t="shared" si="258"/>
        <v>0</v>
      </c>
      <c r="CH145" s="10">
        <f t="shared" si="258"/>
        <v>0</v>
      </c>
      <c r="CI145" s="10">
        <f t="shared" si="258"/>
        <v>0</v>
      </c>
      <c r="CK145" s="11"/>
      <c r="CL145" s="221">
        <f t="shared" si="230"/>
        <v>0</v>
      </c>
      <c r="CM145" s="11"/>
      <c r="CN145" s="7">
        <f t="shared" si="231"/>
        <v>0</v>
      </c>
      <c r="CO145" s="7">
        <f>IF(AND(G145&lt;&gt;0, IFERROR(MATCH(E145, Parameters!$D$45:$D$49, 0), "N/A")="N/A"), 1, 0)</f>
        <v>0</v>
      </c>
      <c r="CQ145" s="7">
        <f>IF($F145="", 0, IF(AND($F145&lt;=$CI$5, $F145&gt;=Timeline!$V$8), 0, 1))</f>
        <v>0</v>
      </c>
      <c r="CU145" s="7" cm="1">
        <f t="array" ref="CU145">SUMPRODUCT(--NOT(ISNUMBER(G145:H145)),--NOT(ISBLANK(G145:H145)))</f>
        <v>0</v>
      </c>
      <c r="CW145" s="7">
        <f t="shared" si="232"/>
        <v>0</v>
      </c>
      <c r="CX145" s="7">
        <f t="shared" si="233"/>
        <v>0</v>
      </c>
      <c r="CY145" s="7">
        <f t="shared" si="234"/>
        <v>0</v>
      </c>
      <c r="CZ145" s="650"/>
      <c r="DA145" s="35"/>
      <c r="DB145" s="215">
        <f t="shared" si="235"/>
        <v>0</v>
      </c>
      <c r="DC145" s="215">
        <f t="shared" si="236"/>
        <v>0</v>
      </c>
      <c r="DD145" s="215">
        <f t="shared" si="237"/>
        <v>0</v>
      </c>
      <c r="DE145" s="215">
        <f t="shared" si="238"/>
        <v>0</v>
      </c>
      <c r="DF145" s="215">
        <f t="shared" si="239"/>
        <v>0</v>
      </c>
      <c r="DG145" s="215">
        <f t="shared" si="240"/>
        <v>0</v>
      </c>
      <c r="DH145" s="215">
        <f t="shared" si="241"/>
        <v>0</v>
      </c>
      <c r="DI145" s="35"/>
      <c r="DJ145">
        <v>0</v>
      </c>
      <c r="DK145">
        <v>0</v>
      </c>
      <c r="DL145" s="35"/>
      <c r="EZ145" s="12" t="str">
        <f t="shared" si="242"/>
        <v>Disposals DS9</v>
      </c>
    </row>
    <row r="146" spans="1:156" x14ac:dyDescent="0.35">
      <c r="A146" s="220" cm="1">
        <f t="array" aca="1" ref="A146" ca="1">HYPERLINK(CONCATENATE("#",CELL("address",IF(MAX($CM146:$CZ146)=0,A146,INDEX($CM146:$CZ146,MATCH(1,$CM146:$CZ146,0))))),MAX($CM146:$CZ146))</f>
        <v>0</v>
      </c>
      <c r="C146" s="309" t="s">
        <v>872</v>
      </c>
      <c r="D146" s="114"/>
      <c r="E146" s="113"/>
      <c r="F146" s="110"/>
      <c r="G146" s="114"/>
      <c r="H146" s="111"/>
      <c r="V146" s="12">
        <f>0-IF(AND($F146&gt;=Timeline!$V$8,$F146 &lt;=V$5), $G146, 0)</f>
        <v>0</v>
      </c>
      <c r="W146" s="10">
        <f t="shared" si="225"/>
        <v>0</v>
      </c>
      <c r="X146" s="10">
        <f t="shared" si="225"/>
        <v>0</v>
      </c>
      <c r="Y146" s="10">
        <f t="shared" si="225"/>
        <v>0</v>
      </c>
      <c r="AA146" s="12">
        <f t="shared" si="226"/>
        <v>0</v>
      </c>
      <c r="AB146" s="10">
        <f t="shared" ref="AB146:BJ146" si="259">0-IF(AND($F146&gt;AA$5,$F146 &lt;=AB$5), $G146, 0)</f>
        <v>0</v>
      </c>
      <c r="AC146" s="10">
        <f t="shared" si="259"/>
        <v>0</v>
      </c>
      <c r="AD146" s="10">
        <f t="shared" si="259"/>
        <v>0</v>
      </c>
      <c r="AE146" s="10">
        <f t="shared" si="259"/>
        <v>0</v>
      </c>
      <c r="AF146" s="10">
        <f t="shared" si="259"/>
        <v>0</v>
      </c>
      <c r="AG146" s="10">
        <f t="shared" si="259"/>
        <v>0</v>
      </c>
      <c r="AH146" s="10">
        <f t="shared" si="259"/>
        <v>0</v>
      </c>
      <c r="AI146" s="10">
        <f t="shared" si="259"/>
        <v>0</v>
      </c>
      <c r="AJ146" s="10">
        <f t="shared" si="259"/>
        <v>0</v>
      </c>
      <c r="AK146" s="10">
        <f t="shared" si="259"/>
        <v>0</v>
      </c>
      <c r="AL146" s="10">
        <f t="shared" si="259"/>
        <v>0</v>
      </c>
      <c r="AM146" s="10">
        <f t="shared" si="259"/>
        <v>0</v>
      </c>
      <c r="AN146" s="10">
        <f t="shared" si="259"/>
        <v>0</v>
      </c>
      <c r="AO146" s="10">
        <f t="shared" si="259"/>
        <v>0</v>
      </c>
      <c r="AP146" s="10">
        <f t="shared" si="259"/>
        <v>0</v>
      </c>
      <c r="AQ146" s="10">
        <f t="shared" si="259"/>
        <v>0</v>
      </c>
      <c r="AR146" s="10">
        <f t="shared" si="259"/>
        <v>0</v>
      </c>
      <c r="AS146" s="10">
        <f t="shared" si="259"/>
        <v>0</v>
      </c>
      <c r="AT146" s="10">
        <f t="shared" si="259"/>
        <v>0</v>
      </c>
      <c r="AU146" s="10">
        <f t="shared" si="259"/>
        <v>0</v>
      </c>
      <c r="AV146" s="10">
        <f t="shared" si="259"/>
        <v>0</v>
      </c>
      <c r="AW146" s="10">
        <f t="shared" si="259"/>
        <v>0</v>
      </c>
      <c r="AX146" s="10">
        <f t="shared" si="259"/>
        <v>0</v>
      </c>
      <c r="AY146" s="10">
        <f t="shared" si="259"/>
        <v>0</v>
      </c>
      <c r="AZ146" s="10">
        <f t="shared" si="259"/>
        <v>0</v>
      </c>
      <c r="BA146" s="10">
        <f t="shared" si="259"/>
        <v>0</v>
      </c>
      <c r="BB146" s="10">
        <f t="shared" si="259"/>
        <v>0</v>
      </c>
      <c r="BC146" s="10">
        <f t="shared" si="259"/>
        <v>0</v>
      </c>
      <c r="BD146" s="10">
        <f t="shared" si="259"/>
        <v>0</v>
      </c>
      <c r="BE146" s="10">
        <f t="shared" si="259"/>
        <v>0</v>
      </c>
      <c r="BF146" s="10">
        <f t="shared" si="259"/>
        <v>0</v>
      </c>
      <c r="BG146" s="10">
        <f t="shared" si="259"/>
        <v>0</v>
      </c>
      <c r="BH146" s="10">
        <f t="shared" si="259"/>
        <v>0</v>
      </c>
      <c r="BI146" s="10">
        <f t="shared" si="259"/>
        <v>0</v>
      </c>
      <c r="BJ146" s="10">
        <f t="shared" si="259"/>
        <v>0</v>
      </c>
      <c r="BK146" s="1"/>
      <c r="BL146" s="1"/>
      <c r="BM146" s="1"/>
      <c r="BN146" s="1"/>
      <c r="BO146" s="1"/>
      <c r="BP146" s="1"/>
      <c r="BQ146" s="1"/>
      <c r="BR146" s="1"/>
      <c r="BS146" s="1"/>
      <c r="BT146" s="1"/>
      <c r="BU146" s="1"/>
      <c r="BV146" s="1"/>
      <c r="BX146" s="12">
        <f t="shared" si="228"/>
        <v>0</v>
      </c>
      <c r="BY146" s="10">
        <f t="shared" ref="BY146:CI146" si="260">0-IF(AND($F146&gt;BX$5,$F146 &lt;=BY$5), $G146, 0)</f>
        <v>0</v>
      </c>
      <c r="BZ146" s="10">
        <f t="shared" si="260"/>
        <v>0</v>
      </c>
      <c r="CA146" s="10">
        <f t="shared" si="260"/>
        <v>0</v>
      </c>
      <c r="CB146" s="10">
        <f t="shared" si="260"/>
        <v>0</v>
      </c>
      <c r="CC146" s="10">
        <f t="shared" si="260"/>
        <v>0</v>
      </c>
      <c r="CD146" s="10">
        <f t="shared" si="260"/>
        <v>0</v>
      </c>
      <c r="CE146" s="10">
        <f t="shared" si="260"/>
        <v>0</v>
      </c>
      <c r="CF146" s="10">
        <f t="shared" si="260"/>
        <v>0</v>
      </c>
      <c r="CG146" s="10">
        <f t="shared" si="260"/>
        <v>0</v>
      </c>
      <c r="CH146" s="10">
        <f t="shared" si="260"/>
        <v>0</v>
      </c>
      <c r="CI146" s="10">
        <f t="shared" si="260"/>
        <v>0</v>
      </c>
      <c r="CK146" s="11"/>
      <c r="CL146" s="221">
        <f t="shared" si="230"/>
        <v>0</v>
      </c>
      <c r="CM146" s="11"/>
      <c r="CN146" s="7">
        <f t="shared" si="231"/>
        <v>0</v>
      </c>
      <c r="CO146" s="7">
        <f>IF(AND(G146&lt;&gt;0, IFERROR(MATCH(E146, Parameters!$D$45:$D$49, 0), "N/A")="N/A"), 1, 0)</f>
        <v>0</v>
      </c>
      <c r="CQ146" s="7">
        <f>IF($F146="", 0, IF(AND($F146&lt;=$CI$5, $F146&gt;=Timeline!$V$8), 0, 1))</f>
        <v>0</v>
      </c>
      <c r="CU146" s="7" cm="1">
        <f t="array" ref="CU146">SUMPRODUCT(--NOT(ISNUMBER(G146:H146)),--NOT(ISBLANK(G146:H146)))</f>
        <v>0</v>
      </c>
      <c r="CW146" s="7">
        <f t="shared" si="232"/>
        <v>0</v>
      </c>
      <c r="CX146" s="7">
        <f t="shared" si="233"/>
        <v>0</v>
      </c>
      <c r="CY146" s="7">
        <f t="shared" si="234"/>
        <v>0</v>
      </c>
      <c r="CZ146" s="650"/>
      <c r="DA146" s="35"/>
      <c r="DB146" s="215">
        <f t="shared" si="235"/>
        <v>0</v>
      </c>
      <c r="DC146" s="215">
        <f t="shared" si="236"/>
        <v>0</v>
      </c>
      <c r="DD146" s="215">
        <f t="shared" si="237"/>
        <v>0</v>
      </c>
      <c r="DE146" s="215">
        <f t="shared" si="238"/>
        <v>0</v>
      </c>
      <c r="DF146" s="215">
        <f t="shared" si="239"/>
        <v>0</v>
      </c>
      <c r="DG146" s="215">
        <f t="shared" si="240"/>
        <v>0</v>
      </c>
      <c r="DH146" s="215">
        <f t="shared" si="241"/>
        <v>0</v>
      </c>
      <c r="DI146" s="35"/>
      <c r="DJ146">
        <v>0</v>
      </c>
      <c r="DK146">
        <v>0</v>
      </c>
      <c r="DL146" s="35"/>
      <c r="EZ146" s="12" t="str">
        <f t="shared" si="242"/>
        <v>Disposals DS10</v>
      </c>
    </row>
    <row r="147" spans="1:156" x14ac:dyDescent="0.35">
      <c r="A147" s="220" cm="1">
        <f t="array" aca="1" ref="A147" ca="1">HYPERLINK(CONCATENATE("#",CELL("address",IF(MAX($CM147:$CZ147)=0,A147,INDEX($CM147:$CZ147,MATCH(1,$CM147:$CZ147,0))))),MAX($CM147:$CZ147))</f>
        <v>0</v>
      </c>
      <c r="C147" s="309" t="s">
        <v>873</v>
      </c>
      <c r="D147" s="114"/>
      <c r="E147" s="113"/>
      <c r="F147" s="110"/>
      <c r="G147" s="114"/>
      <c r="H147" s="111"/>
      <c r="V147" s="12">
        <f>0-IF(AND($F147&gt;=Timeline!$V$8,$F147 &lt;=V$5), $G147, 0)</f>
        <v>0</v>
      </c>
      <c r="W147" s="10">
        <f t="shared" si="225"/>
        <v>0</v>
      </c>
      <c r="X147" s="10">
        <f t="shared" si="225"/>
        <v>0</v>
      </c>
      <c r="Y147" s="10">
        <f t="shared" si="225"/>
        <v>0</v>
      </c>
      <c r="AA147" s="12">
        <f t="shared" si="226"/>
        <v>0</v>
      </c>
      <c r="AB147" s="10">
        <f t="shared" ref="AB147:BJ147" si="261">0-IF(AND($F147&gt;AA$5,$F147 &lt;=AB$5), $G147, 0)</f>
        <v>0</v>
      </c>
      <c r="AC147" s="10">
        <f t="shared" si="261"/>
        <v>0</v>
      </c>
      <c r="AD147" s="10">
        <f t="shared" si="261"/>
        <v>0</v>
      </c>
      <c r="AE147" s="10">
        <f t="shared" si="261"/>
        <v>0</v>
      </c>
      <c r="AF147" s="10">
        <f t="shared" si="261"/>
        <v>0</v>
      </c>
      <c r="AG147" s="10">
        <f t="shared" si="261"/>
        <v>0</v>
      </c>
      <c r="AH147" s="10">
        <f t="shared" si="261"/>
        <v>0</v>
      </c>
      <c r="AI147" s="10">
        <f t="shared" si="261"/>
        <v>0</v>
      </c>
      <c r="AJ147" s="10">
        <f t="shared" si="261"/>
        <v>0</v>
      </c>
      <c r="AK147" s="10">
        <f t="shared" si="261"/>
        <v>0</v>
      </c>
      <c r="AL147" s="10">
        <f t="shared" si="261"/>
        <v>0</v>
      </c>
      <c r="AM147" s="10">
        <f t="shared" si="261"/>
        <v>0</v>
      </c>
      <c r="AN147" s="10">
        <f t="shared" si="261"/>
        <v>0</v>
      </c>
      <c r="AO147" s="10">
        <f t="shared" si="261"/>
        <v>0</v>
      </c>
      <c r="AP147" s="10">
        <f t="shared" si="261"/>
        <v>0</v>
      </c>
      <c r="AQ147" s="10">
        <f t="shared" si="261"/>
        <v>0</v>
      </c>
      <c r="AR147" s="10">
        <f t="shared" si="261"/>
        <v>0</v>
      </c>
      <c r="AS147" s="10">
        <f t="shared" si="261"/>
        <v>0</v>
      </c>
      <c r="AT147" s="10">
        <f t="shared" si="261"/>
        <v>0</v>
      </c>
      <c r="AU147" s="10">
        <f t="shared" si="261"/>
        <v>0</v>
      </c>
      <c r="AV147" s="10">
        <f t="shared" si="261"/>
        <v>0</v>
      </c>
      <c r="AW147" s="10">
        <f t="shared" si="261"/>
        <v>0</v>
      </c>
      <c r="AX147" s="10">
        <f t="shared" si="261"/>
        <v>0</v>
      </c>
      <c r="AY147" s="10">
        <f t="shared" si="261"/>
        <v>0</v>
      </c>
      <c r="AZ147" s="10">
        <f t="shared" si="261"/>
        <v>0</v>
      </c>
      <c r="BA147" s="10">
        <f t="shared" si="261"/>
        <v>0</v>
      </c>
      <c r="BB147" s="10">
        <f t="shared" si="261"/>
        <v>0</v>
      </c>
      <c r="BC147" s="10">
        <f t="shared" si="261"/>
        <v>0</v>
      </c>
      <c r="BD147" s="10">
        <f t="shared" si="261"/>
        <v>0</v>
      </c>
      <c r="BE147" s="10">
        <f t="shared" si="261"/>
        <v>0</v>
      </c>
      <c r="BF147" s="10">
        <f t="shared" si="261"/>
        <v>0</v>
      </c>
      <c r="BG147" s="10">
        <f t="shared" si="261"/>
        <v>0</v>
      </c>
      <c r="BH147" s="10">
        <f t="shared" si="261"/>
        <v>0</v>
      </c>
      <c r="BI147" s="10">
        <f t="shared" si="261"/>
        <v>0</v>
      </c>
      <c r="BJ147" s="10">
        <f t="shared" si="261"/>
        <v>0</v>
      </c>
      <c r="BK147" s="1"/>
      <c r="BL147" s="1"/>
      <c r="BM147" s="1"/>
      <c r="BN147" s="1"/>
      <c r="BO147" s="1"/>
      <c r="BP147" s="1"/>
      <c r="BQ147" s="1"/>
      <c r="BR147" s="1"/>
      <c r="BS147" s="1"/>
      <c r="BT147" s="1"/>
      <c r="BU147" s="1"/>
      <c r="BV147" s="1"/>
      <c r="BX147" s="12">
        <f t="shared" si="228"/>
        <v>0</v>
      </c>
      <c r="BY147" s="10">
        <f t="shared" ref="BY147:CI147" si="262">0-IF(AND($F147&gt;BX$5,$F147 &lt;=BY$5), $G147, 0)</f>
        <v>0</v>
      </c>
      <c r="BZ147" s="10">
        <f t="shared" si="262"/>
        <v>0</v>
      </c>
      <c r="CA147" s="10">
        <f t="shared" si="262"/>
        <v>0</v>
      </c>
      <c r="CB147" s="10">
        <f t="shared" si="262"/>
        <v>0</v>
      </c>
      <c r="CC147" s="10">
        <f t="shared" si="262"/>
        <v>0</v>
      </c>
      <c r="CD147" s="10">
        <f t="shared" si="262"/>
        <v>0</v>
      </c>
      <c r="CE147" s="10">
        <f t="shared" si="262"/>
        <v>0</v>
      </c>
      <c r="CF147" s="10">
        <f t="shared" si="262"/>
        <v>0</v>
      </c>
      <c r="CG147" s="10">
        <f t="shared" si="262"/>
        <v>0</v>
      </c>
      <c r="CH147" s="10">
        <f t="shared" si="262"/>
        <v>0</v>
      </c>
      <c r="CI147" s="10">
        <f t="shared" si="262"/>
        <v>0</v>
      </c>
      <c r="CK147" s="11"/>
      <c r="CL147" s="221">
        <f t="shared" si="230"/>
        <v>0</v>
      </c>
      <c r="CM147" s="11"/>
      <c r="CN147" s="7">
        <f t="shared" si="231"/>
        <v>0</v>
      </c>
      <c r="CO147" s="7">
        <f>IF(AND(G147&lt;&gt;0, IFERROR(MATCH(E147, Parameters!$D$45:$D$49, 0), "N/A")="N/A"), 1, 0)</f>
        <v>0</v>
      </c>
      <c r="CQ147" s="7">
        <f>IF($F147="", 0, IF(AND($F147&lt;=$CI$5, $F147&gt;=Timeline!$V$8), 0, 1))</f>
        <v>0</v>
      </c>
      <c r="CU147" s="7" cm="1">
        <f t="array" ref="CU147">SUMPRODUCT(--NOT(ISNUMBER(G147:H147)),--NOT(ISBLANK(G147:H147)))</f>
        <v>0</v>
      </c>
      <c r="CW147" s="7">
        <f t="shared" si="232"/>
        <v>0</v>
      </c>
      <c r="CX147" s="7">
        <f t="shared" si="233"/>
        <v>0</v>
      </c>
      <c r="CY147" s="7">
        <f t="shared" si="234"/>
        <v>0</v>
      </c>
      <c r="CZ147" s="650"/>
      <c r="DA147" s="35"/>
      <c r="DB147" s="215">
        <f t="shared" si="235"/>
        <v>0</v>
      </c>
      <c r="DC147" s="215">
        <f t="shared" si="236"/>
        <v>0</v>
      </c>
      <c r="DD147" s="215">
        <f t="shared" si="237"/>
        <v>0</v>
      </c>
      <c r="DE147" s="215">
        <f t="shared" si="238"/>
        <v>0</v>
      </c>
      <c r="DF147" s="215">
        <f t="shared" si="239"/>
        <v>0</v>
      </c>
      <c r="DG147" s="215">
        <f t="shared" si="240"/>
        <v>0</v>
      </c>
      <c r="DH147" s="215">
        <f t="shared" si="241"/>
        <v>0</v>
      </c>
      <c r="DI147" s="35"/>
      <c r="DJ147">
        <v>0</v>
      </c>
      <c r="DK147">
        <v>0</v>
      </c>
      <c r="DL147" s="35"/>
      <c r="EZ147" s="12" t="str">
        <f t="shared" si="242"/>
        <v>Disposals DS11</v>
      </c>
    </row>
    <row r="148" spans="1:156" x14ac:dyDescent="0.35">
      <c r="A148" s="220" cm="1">
        <f t="array" aca="1" ref="A148" ca="1">HYPERLINK(CONCATENATE("#",CELL("address",IF(MAX($CM148:$CZ148)=0,A148,INDEX($CM148:$CZ148,MATCH(1,$CM148:$CZ148,0))))),MAX($CM148:$CZ148))</f>
        <v>0</v>
      </c>
      <c r="C148" s="309" t="s">
        <v>874</v>
      </c>
      <c r="D148" s="114"/>
      <c r="E148" s="113"/>
      <c r="F148" s="110"/>
      <c r="G148" s="114"/>
      <c r="H148" s="111"/>
      <c r="V148" s="12">
        <f>0-IF(AND($F148&gt;=Timeline!$V$8,$F148 &lt;=V$5), $G148, 0)</f>
        <v>0</v>
      </c>
      <c r="W148" s="10">
        <f t="shared" si="225"/>
        <v>0</v>
      </c>
      <c r="X148" s="10">
        <f t="shared" si="225"/>
        <v>0</v>
      </c>
      <c r="Y148" s="10">
        <f t="shared" si="225"/>
        <v>0</v>
      </c>
      <c r="AA148" s="12">
        <f t="shared" si="226"/>
        <v>0</v>
      </c>
      <c r="AB148" s="10">
        <f t="shared" ref="AB148:BJ148" si="263">0-IF(AND($F148&gt;AA$5,$F148 &lt;=AB$5), $G148, 0)</f>
        <v>0</v>
      </c>
      <c r="AC148" s="10">
        <f t="shared" si="263"/>
        <v>0</v>
      </c>
      <c r="AD148" s="10">
        <f t="shared" si="263"/>
        <v>0</v>
      </c>
      <c r="AE148" s="10">
        <f t="shared" si="263"/>
        <v>0</v>
      </c>
      <c r="AF148" s="10">
        <f t="shared" si="263"/>
        <v>0</v>
      </c>
      <c r="AG148" s="10">
        <f t="shared" si="263"/>
        <v>0</v>
      </c>
      <c r="AH148" s="10">
        <f t="shared" si="263"/>
        <v>0</v>
      </c>
      <c r="AI148" s="10">
        <f t="shared" si="263"/>
        <v>0</v>
      </c>
      <c r="AJ148" s="10">
        <f t="shared" si="263"/>
        <v>0</v>
      </c>
      <c r="AK148" s="10">
        <f t="shared" si="263"/>
        <v>0</v>
      </c>
      <c r="AL148" s="10">
        <f t="shared" si="263"/>
        <v>0</v>
      </c>
      <c r="AM148" s="10">
        <f t="shared" si="263"/>
        <v>0</v>
      </c>
      <c r="AN148" s="10">
        <f t="shared" si="263"/>
        <v>0</v>
      </c>
      <c r="AO148" s="10">
        <f t="shared" si="263"/>
        <v>0</v>
      </c>
      <c r="AP148" s="10">
        <f t="shared" si="263"/>
        <v>0</v>
      </c>
      <c r="AQ148" s="10">
        <f t="shared" si="263"/>
        <v>0</v>
      </c>
      <c r="AR148" s="10">
        <f t="shared" si="263"/>
        <v>0</v>
      </c>
      <c r="AS148" s="10">
        <f t="shared" si="263"/>
        <v>0</v>
      </c>
      <c r="AT148" s="10">
        <f t="shared" si="263"/>
        <v>0</v>
      </c>
      <c r="AU148" s="10">
        <f t="shared" si="263"/>
        <v>0</v>
      </c>
      <c r="AV148" s="10">
        <f t="shared" si="263"/>
        <v>0</v>
      </c>
      <c r="AW148" s="10">
        <f t="shared" si="263"/>
        <v>0</v>
      </c>
      <c r="AX148" s="10">
        <f t="shared" si="263"/>
        <v>0</v>
      </c>
      <c r="AY148" s="10">
        <f t="shared" si="263"/>
        <v>0</v>
      </c>
      <c r="AZ148" s="10">
        <f t="shared" si="263"/>
        <v>0</v>
      </c>
      <c r="BA148" s="10">
        <f t="shared" si="263"/>
        <v>0</v>
      </c>
      <c r="BB148" s="10">
        <f t="shared" si="263"/>
        <v>0</v>
      </c>
      <c r="BC148" s="10">
        <f t="shared" si="263"/>
        <v>0</v>
      </c>
      <c r="BD148" s="10">
        <f t="shared" si="263"/>
        <v>0</v>
      </c>
      <c r="BE148" s="10">
        <f t="shared" si="263"/>
        <v>0</v>
      </c>
      <c r="BF148" s="10">
        <f t="shared" si="263"/>
        <v>0</v>
      </c>
      <c r="BG148" s="10">
        <f t="shared" si="263"/>
        <v>0</v>
      </c>
      <c r="BH148" s="10">
        <f t="shared" si="263"/>
        <v>0</v>
      </c>
      <c r="BI148" s="10">
        <f t="shared" si="263"/>
        <v>0</v>
      </c>
      <c r="BJ148" s="10">
        <f t="shared" si="263"/>
        <v>0</v>
      </c>
      <c r="BK148" s="1"/>
      <c r="BL148" s="1"/>
      <c r="BM148" s="1"/>
      <c r="BN148" s="1"/>
      <c r="BO148" s="1"/>
      <c r="BP148" s="1"/>
      <c r="BQ148" s="1"/>
      <c r="BR148" s="1"/>
      <c r="BS148" s="1"/>
      <c r="BT148" s="1"/>
      <c r="BU148" s="1"/>
      <c r="BV148" s="1"/>
      <c r="BX148" s="12">
        <f t="shared" si="228"/>
        <v>0</v>
      </c>
      <c r="BY148" s="10">
        <f t="shared" ref="BY148:CI148" si="264">0-IF(AND($F148&gt;BX$5,$F148 &lt;=BY$5), $G148, 0)</f>
        <v>0</v>
      </c>
      <c r="BZ148" s="10">
        <f t="shared" si="264"/>
        <v>0</v>
      </c>
      <c r="CA148" s="10">
        <f t="shared" si="264"/>
        <v>0</v>
      </c>
      <c r="CB148" s="10">
        <f t="shared" si="264"/>
        <v>0</v>
      </c>
      <c r="CC148" s="10">
        <f t="shared" si="264"/>
        <v>0</v>
      </c>
      <c r="CD148" s="10">
        <f t="shared" si="264"/>
        <v>0</v>
      </c>
      <c r="CE148" s="10">
        <f t="shared" si="264"/>
        <v>0</v>
      </c>
      <c r="CF148" s="10">
        <f t="shared" si="264"/>
        <v>0</v>
      </c>
      <c r="CG148" s="10">
        <f t="shared" si="264"/>
        <v>0</v>
      </c>
      <c r="CH148" s="10">
        <f t="shared" si="264"/>
        <v>0</v>
      </c>
      <c r="CI148" s="10">
        <f t="shared" si="264"/>
        <v>0</v>
      </c>
      <c r="CK148" s="11"/>
      <c r="CL148" s="221">
        <f t="shared" si="230"/>
        <v>0</v>
      </c>
      <c r="CM148" s="11"/>
      <c r="CN148" s="7">
        <f t="shared" si="231"/>
        <v>0</v>
      </c>
      <c r="CO148" s="7">
        <f>IF(AND(G148&lt;&gt;0, IFERROR(MATCH(E148, Parameters!$D$45:$D$49, 0), "N/A")="N/A"), 1, 0)</f>
        <v>0</v>
      </c>
      <c r="CQ148" s="7">
        <f>IF($F148="", 0, IF(AND($F148&lt;=$CI$5, $F148&gt;=Timeline!$V$8), 0, 1))</f>
        <v>0</v>
      </c>
      <c r="CU148" s="7" cm="1">
        <f t="array" ref="CU148">SUMPRODUCT(--NOT(ISNUMBER(G148:H148)),--NOT(ISBLANK(G148:H148)))</f>
        <v>0</v>
      </c>
      <c r="CW148" s="7">
        <f t="shared" si="232"/>
        <v>0</v>
      </c>
      <c r="CX148" s="7">
        <f t="shared" si="233"/>
        <v>0</v>
      </c>
      <c r="CY148" s="7">
        <f t="shared" si="234"/>
        <v>0</v>
      </c>
      <c r="CZ148" s="650"/>
      <c r="DA148" s="35"/>
      <c r="DB148" s="215">
        <f t="shared" si="235"/>
        <v>0</v>
      </c>
      <c r="DC148" s="215">
        <f t="shared" si="236"/>
        <v>0</v>
      </c>
      <c r="DD148" s="215">
        <f t="shared" si="237"/>
        <v>0</v>
      </c>
      <c r="DE148" s="215">
        <f t="shared" si="238"/>
        <v>0</v>
      </c>
      <c r="DF148" s="215">
        <f t="shared" si="239"/>
        <v>0</v>
      </c>
      <c r="DG148" s="215">
        <f t="shared" si="240"/>
        <v>0</v>
      </c>
      <c r="DH148" s="215">
        <f t="shared" si="241"/>
        <v>0</v>
      </c>
      <c r="DI148" s="35"/>
      <c r="DJ148">
        <v>0</v>
      </c>
      <c r="DK148">
        <v>0</v>
      </c>
      <c r="DL148" s="35"/>
      <c r="EZ148" s="12" t="str">
        <f t="shared" si="242"/>
        <v>Disposals DS12</v>
      </c>
    </row>
    <row r="149" spans="1:156" x14ac:dyDescent="0.35">
      <c r="A149" s="220" cm="1">
        <f t="array" aca="1" ref="A149" ca="1">HYPERLINK(CONCATENATE("#",CELL("address",IF(MAX($CM149:$CZ149)=0,A149,INDEX($CM149:$CZ149,MATCH(1,$CM149:$CZ149,0))))),MAX($CM149:$CZ149))</f>
        <v>0</v>
      </c>
      <c r="C149" s="309" t="s">
        <v>875</v>
      </c>
      <c r="D149" s="114"/>
      <c r="E149" s="113"/>
      <c r="F149" s="110"/>
      <c r="G149" s="114"/>
      <c r="H149" s="111"/>
      <c r="V149" s="12">
        <f>0-IF(AND($F149&gt;=Timeline!$V$8,$F149 &lt;=V$5), $G149, 0)</f>
        <v>0</v>
      </c>
      <c r="W149" s="10">
        <f t="shared" si="225"/>
        <v>0</v>
      </c>
      <c r="X149" s="10">
        <f t="shared" si="225"/>
        <v>0</v>
      </c>
      <c r="Y149" s="10">
        <f t="shared" si="225"/>
        <v>0</v>
      </c>
      <c r="AA149" s="12">
        <f t="shared" si="226"/>
        <v>0</v>
      </c>
      <c r="AB149" s="10">
        <f t="shared" ref="AB149:BJ149" si="265">0-IF(AND($F149&gt;AA$5,$F149 &lt;=AB$5), $G149, 0)</f>
        <v>0</v>
      </c>
      <c r="AC149" s="10">
        <f t="shared" si="265"/>
        <v>0</v>
      </c>
      <c r="AD149" s="10">
        <f t="shared" si="265"/>
        <v>0</v>
      </c>
      <c r="AE149" s="10">
        <f t="shared" si="265"/>
        <v>0</v>
      </c>
      <c r="AF149" s="10">
        <f t="shared" si="265"/>
        <v>0</v>
      </c>
      <c r="AG149" s="10">
        <f t="shared" si="265"/>
        <v>0</v>
      </c>
      <c r="AH149" s="10">
        <f t="shared" si="265"/>
        <v>0</v>
      </c>
      <c r="AI149" s="10">
        <f t="shared" si="265"/>
        <v>0</v>
      </c>
      <c r="AJ149" s="10">
        <f t="shared" si="265"/>
        <v>0</v>
      </c>
      <c r="AK149" s="10">
        <f t="shared" si="265"/>
        <v>0</v>
      </c>
      <c r="AL149" s="10">
        <f t="shared" si="265"/>
        <v>0</v>
      </c>
      <c r="AM149" s="10">
        <f t="shared" si="265"/>
        <v>0</v>
      </c>
      <c r="AN149" s="10">
        <f t="shared" si="265"/>
        <v>0</v>
      </c>
      <c r="AO149" s="10">
        <f t="shared" si="265"/>
        <v>0</v>
      </c>
      <c r="AP149" s="10">
        <f t="shared" si="265"/>
        <v>0</v>
      </c>
      <c r="AQ149" s="10">
        <f t="shared" si="265"/>
        <v>0</v>
      </c>
      <c r="AR149" s="10">
        <f t="shared" si="265"/>
        <v>0</v>
      </c>
      <c r="AS149" s="10">
        <f t="shared" si="265"/>
        <v>0</v>
      </c>
      <c r="AT149" s="10">
        <f t="shared" si="265"/>
        <v>0</v>
      </c>
      <c r="AU149" s="10">
        <f t="shared" si="265"/>
        <v>0</v>
      </c>
      <c r="AV149" s="10">
        <f t="shared" si="265"/>
        <v>0</v>
      </c>
      <c r="AW149" s="10">
        <f t="shared" si="265"/>
        <v>0</v>
      </c>
      <c r="AX149" s="10">
        <f t="shared" si="265"/>
        <v>0</v>
      </c>
      <c r="AY149" s="10">
        <f t="shared" si="265"/>
        <v>0</v>
      </c>
      <c r="AZ149" s="10">
        <f t="shared" si="265"/>
        <v>0</v>
      </c>
      <c r="BA149" s="10">
        <f t="shared" si="265"/>
        <v>0</v>
      </c>
      <c r="BB149" s="10">
        <f t="shared" si="265"/>
        <v>0</v>
      </c>
      <c r="BC149" s="10">
        <f t="shared" si="265"/>
        <v>0</v>
      </c>
      <c r="BD149" s="10">
        <f t="shared" si="265"/>
        <v>0</v>
      </c>
      <c r="BE149" s="10">
        <f t="shared" si="265"/>
        <v>0</v>
      </c>
      <c r="BF149" s="10">
        <f t="shared" si="265"/>
        <v>0</v>
      </c>
      <c r="BG149" s="10">
        <f t="shared" si="265"/>
        <v>0</v>
      </c>
      <c r="BH149" s="10">
        <f t="shared" si="265"/>
        <v>0</v>
      </c>
      <c r="BI149" s="10">
        <f t="shared" si="265"/>
        <v>0</v>
      </c>
      <c r="BJ149" s="10">
        <f t="shared" si="265"/>
        <v>0</v>
      </c>
      <c r="BK149" s="1"/>
      <c r="BL149" s="1"/>
      <c r="BM149" s="1"/>
      <c r="BN149" s="1"/>
      <c r="BO149" s="1"/>
      <c r="BP149" s="1"/>
      <c r="BQ149" s="1"/>
      <c r="BR149" s="1"/>
      <c r="BS149" s="1"/>
      <c r="BT149" s="1"/>
      <c r="BU149" s="1"/>
      <c r="BV149" s="1"/>
      <c r="BX149" s="12">
        <f t="shared" si="228"/>
        <v>0</v>
      </c>
      <c r="BY149" s="10">
        <f t="shared" ref="BY149:CI149" si="266">0-IF(AND($F149&gt;BX$5,$F149 &lt;=BY$5), $G149, 0)</f>
        <v>0</v>
      </c>
      <c r="BZ149" s="10">
        <f t="shared" si="266"/>
        <v>0</v>
      </c>
      <c r="CA149" s="10">
        <f t="shared" si="266"/>
        <v>0</v>
      </c>
      <c r="CB149" s="10">
        <f t="shared" si="266"/>
        <v>0</v>
      </c>
      <c r="CC149" s="10">
        <f t="shared" si="266"/>
        <v>0</v>
      </c>
      <c r="CD149" s="10">
        <f t="shared" si="266"/>
        <v>0</v>
      </c>
      <c r="CE149" s="10">
        <f t="shared" si="266"/>
        <v>0</v>
      </c>
      <c r="CF149" s="10">
        <f t="shared" si="266"/>
        <v>0</v>
      </c>
      <c r="CG149" s="10">
        <f t="shared" si="266"/>
        <v>0</v>
      </c>
      <c r="CH149" s="10">
        <f t="shared" si="266"/>
        <v>0</v>
      </c>
      <c r="CI149" s="10">
        <f t="shared" si="266"/>
        <v>0</v>
      </c>
      <c r="CK149" s="11"/>
      <c r="CL149" s="221">
        <f t="shared" si="230"/>
        <v>0</v>
      </c>
      <c r="CM149" s="11"/>
      <c r="CN149" s="7">
        <f t="shared" si="231"/>
        <v>0</v>
      </c>
      <c r="CO149" s="7">
        <f>IF(AND(G149&lt;&gt;0, IFERROR(MATCH(E149, Parameters!$D$45:$D$49, 0), "N/A")="N/A"), 1, 0)</f>
        <v>0</v>
      </c>
      <c r="CQ149" s="7">
        <f>IF($F149="", 0, IF(AND($F149&lt;=$CI$5, $F149&gt;=Timeline!$V$8), 0, 1))</f>
        <v>0</v>
      </c>
      <c r="CU149" s="7" cm="1">
        <f t="array" ref="CU149">SUMPRODUCT(--NOT(ISNUMBER(G149:H149)),--NOT(ISBLANK(G149:H149)))</f>
        <v>0</v>
      </c>
      <c r="CW149" s="7">
        <f t="shared" si="232"/>
        <v>0</v>
      </c>
      <c r="CX149" s="7">
        <f t="shared" si="233"/>
        <v>0</v>
      </c>
      <c r="CY149" s="7">
        <f t="shared" si="234"/>
        <v>0</v>
      </c>
      <c r="CZ149" s="650"/>
      <c r="DA149" s="35"/>
      <c r="DB149" s="215">
        <f t="shared" si="235"/>
        <v>0</v>
      </c>
      <c r="DC149" s="215">
        <f t="shared" si="236"/>
        <v>0</v>
      </c>
      <c r="DD149" s="215">
        <f t="shared" si="237"/>
        <v>0</v>
      </c>
      <c r="DE149" s="215">
        <f t="shared" si="238"/>
        <v>0</v>
      </c>
      <c r="DF149" s="215">
        <f t="shared" si="239"/>
        <v>0</v>
      </c>
      <c r="DG149" s="215">
        <f t="shared" si="240"/>
        <v>0</v>
      </c>
      <c r="DH149" s="215">
        <f t="shared" si="241"/>
        <v>0</v>
      </c>
      <c r="DI149" s="35"/>
      <c r="DJ149">
        <v>0</v>
      </c>
      <c r="DK149">
        <v>0</v>
      </c>
      <c r="DL149" s="35"/>
      <c r="EZ149" s="12" t="str">
        <f t="shared" si="242"/>
        <v>Disposals DS13</v>
      </c>
    </row>
    <row r="150" spans="1:156" x14ac:dyDescent="0.35">
      <c r="A150" s="220" cm="1">
        <f t="array" aca="1" ref="A150" ca="1">HYPERLINK(CONCATENATE("#",CELL("address",IF(MAX($CM150:$CZ150)=0,A150,INDEX($CM150:$CZ150,MATCH(1,$CM150:$CZ150,0))))),MAX($CM150:$CZ150))</f>
        <v>0</v>
      </c>
      <c r="C150" s="309" t="s">
        <v>876</v>
      </c>
      <c r="D150" s="114"/>
      <c r="E150" s="113"/>
      <c r="F150" s="110"/>
      <c r="G150" s="114"/>
      <c r="H150" s="111"/>
      <c r="V150" s="12">
        <f>0-IF(AND($F150&gt;=Timeline!$V$8,$F150 &lt;=V$5), $G150, 0)</f>
        <v>0</v>
      </c>
      <c r="W150" s="10">
        <f t="shared" si="225"/>
        <v>0</v>
      </c>
      <c r="X150" s="10">
        <f t="shared" si="225"/>
        <v>0</v>
      </c>
      <c r="Y150" s="10">
        <f t="shared" si="225"/>
        <v>0</v>
      </c>
      <c r="AA150" s="12">
        <f t="shared" si="226"/>
        <v>0</v>
      </c>
      <c r="AB150" s="10">
        <f t="shared" ref="AB150:BJ150" si="267">0-IF(AND($F150&gt;AA$5,$F150 &lt;=AB$5), $G150, 0)</f>
        <v>0</v>
      </c>
      <c r="AC150" s="10">
        <f t="shared" si="267"/>
        <v>0</v>
      </c>
      <c r="AD150" s="10">
        <f t="shared" si="267"/>
        <v>0</v>
      </c>
      <c r="AE150" s="10">
        <f t="shared" si="267"/>
        <v>0</v>
      </c>
      <c r="AF150" s="10">
        <f t="shared" si="267"/>
        <v>0</v>
      </c>
      <c r="AG150" s="10">
        <f t="shared" si="267"/>
        <v>0</v>
      </c>
      <c r="AH150" s="10">
        <f t="shared" si="267"/>
        <v>0</v>
      </c>
      <c r="AI150" s="10">
        <f t="shared" si="267"/>
        <v>0</v>
      </c>
      <c r="AJ150" s="10">
        <f t="shared" si="267"/>
        <v>0</v>
      </c>
      <c r="AK150" s="10">
        <f t="shared" si="267"/>
        <v>0</v>
      </c>
      <c r="AL150" s="10">
        <f t="shared" si="267"/>
        <v>0</v>
      </c>
      <c r="AM150" s="10">
        <f t="shared" si="267"/>
        <v>0</v>
      </c>
      <c r="AN150" s="10">
        <f t="shared" si="267"/>
        <v>0</v>
      </c>
      <c r="AO150" s="10">
        <f t="shared" si="267"/>
        <v>0</v>
      </c>
      <c r="AP150" s="10">
        <f t="shared" si="267"/>
        <v>0</v>
      </c>
      <c r="AQ150" s="10">
        <f t="shared" si="267"/>
        <v>0</v>
      </c>
      <c r="AR150" s="10">
        <f t="shared" si="267"/>
        <v>0</v>
      </c>
      <c r="AS150" s="10">
        <f t="shared" si="267"/>
        <v>0</v>
      </c>
      <c r="AT150" s="10">
        <f t="shared" si="267"/>
        <v>0</v>
      </c>
      <c r="AU150" s="10">
        <f t="shared" si="267"/>
        <v>0</v>
      </c>
      <c r="AV150" s="10">
        <f t="shared" si="267"/>
        <v>0</v>
      </c>
      <c r="AW150" s="10">
        <f t="shared" si="267"/>
        <v>0</v>
      </c>
      <c r="AX150" s="10">
        <f t="shared" si="267"/>
        <v>0</v>
      </c>
      <c r="AY150" s="10">
        <f t="shared" si="267"/>
        <v>0</v>
      </c>
      <c r="AZ150" s="10">
        <f t="shared" si="267"/>
        <v>0</v>
      </c>
      <c r="BA150" s="10">
        <f t="shared" si="267"/>
        <v>0</v>
      </c>
      <c r="BB150" s="10">
        <f t="shared" si="267"/>
        <v>0</v>
      </c>
      <c r="BC150" s="10">
        <f t="shared" si="267"/>
        <v>0</v>
      </c>
      <c r="BD150" s="10">
        <f t="shared" si="267"/>
        <v>0</v>
      </c>
      <c r="BE150" s="10">
        <f t="shared" si="267"/>
        <v>0</v>
      </c>
      <c r="BF150" s="10">
        <f t="shared" si="267"/>
        <v>0</v>
      </c>
      <c r="BG150" s="10">
        <f t="shared" si="267"/>
        <v>0</v>
      </c>
      <c r="BH150" s="10">
        <f t="shared" si="267"/>
        <v>0</v>
      </c>
      <c r="BI150" s="10">
        <f t="shared" si="267"/>
        <v>0</v>
      </c>
      <c r="BJ150" s="10">
        <f t="shared" si="267"/>
        <v>0</v>
      </c>
      <c r="BK150" s="1"/>
      <c r="BL150" s="1"/>
      <c r="BM150" s="1"/>
      <c r="BN150" s="1"/>
      <c r="BO150" s="1"/>
      <c r="BP150" s="1"/>
      <c r="BQ150" s="1"/>
      <c r="BR150" s="1"/>
      <c r="BS150" s="1"/>
      <c r="BT150" s="1"/>
      <c r="BU150" s="1"/>
      <c r="BV150" s="1"/>
      <c r="BX150" s="12">
        <f t="shared" si="228"/>
        <v>0</v>
      </c>
      <c r="BY150" s="10">
        <f t="shared" ref="BY150:CI150" si="268">0-IF(AND($F150&gt;BX$5,$F150 &lt;=BY$5), $G150, 0)</f>
        <v>0</v>
      </c>
      <c r="BZ150" s="10">
        <f t="shared" si="268"/>
        <v>0</v>
      </c>
      <c r="CA150" s="10">
        <f t="shared" si="268"/>
        <v>0</v>
      </c>
      <c r="CB150" s="10">
        <f t="shared" si="268"/>
        <v>0</v>
      </c>
      <c r="CC150" s="10">
        <f t="shared" si="268"/>
        <v>0</v>
      </c>
      <c r="CD150" s="10">
        <f t="shared" si="268"/>
        <v>0</v>
      </c>
      <c r="CE150" s="10">
        <f t="shared" si="268"/>
        <v>0</v>
      </c>
      <c r="CF150" s="10">
        <f t="shared" si="268"/>
        <v>0</v>
      </c>
      <c r="CG150" s="10">
        <f t="shared" si="268"/>
        <v>0</v>
      </c>
      <c r="CH150" s="10">
        <f t="shared" si="268"/>
        <v>0</v>
      </c>
      <c r="CI150" s="10">
        <f t="shared" si="268"/>
        <v>0</v>
      </c>
      <c r="CK150" s="11"/>
      <c r="CL150" s="221">
        <f t="shared" si="230"/>
        <v>0</v>
      </c>
      <c r="CM150" s="11"/>
      <c r="CN150" s="7">
        <f t="shared" si="231"/>
        <v>0</v>
      </c>
      <c r="CO150" s="7">
        <f>IF(AND(G150&lt;&gt;0, IFERROR(MATCH(E150, Parameters!$D$45:$D$49, 0), "N/A")="N/A"), 1, 0)</f>
        <v>0</v>
      </c>
      <c r="CQ150" s="7">
        <f>IF($F150="", 0, IF(AND($F150&lt;=$CI$5, $F150&gt;=Timeline!$V$8), 0, 1))</f>
        <v>0</v>
      </c>
      <c r="CU150" s="7" cm="1">
        <f t="array" ref="CU150">SUMPRODUCT(--NOT(ISNUMBER(G150:H150)),--NOT(ISBLANK(G150:H150)))</f>
        <v>0</v>
      </c>
      <c r="CW150" s="7">
        <f t="shared" si="232"/>
        <v>0</v>
      </c>
      <c r="CX150" s="7">
        <f t="shared" si="233"/>
        <v>0</v>
      </c>
      <c r="CY150" s="7">
        <f t="shared" si="234"/>
        <v>0</v>
      </c>
      <c r="CZ150" s="650"/>
      <c r="DA150" s="35"/>
      <c r="DB150" s="215">
        <f t="shared" si="235"/>
        <v>0</v>
      </c>
      <c r="DC150" s="215">
        <f t="shared" si="236"/>
        <v>0</v>
      </c>
      <c r="DD150" s="215">
        <f t="shared" si="237"/>
        <v>0</v>
      </c>
      <c r="DE150" s="215">
        <f t="shared" si="238"/>
        <v>0</v>
      </c>
      <c r="DF150" s="215">
        <f t="shared" si="239"/>
        <v>0</v>
      </c>
      <c r="DG150" s="215">
        <f t="shared" si="240"/>
        <v>0</v>
      </c>
      <c r="DH150" s="215">
        <f t="shared" si="241"/>
        <v>0</v>
      </c>
      <c r="DI150" s="35"/>
      <c r="DJ150">
        <v>0</v>
      </c>
      <c r="DK150">
        <v>0</v>
      </c>
      <c r="DL150" s="35"/>
      <c r="EZ150" s="12" t="str">
        <f t="shared" si="242"/>
        <v>Disposals DS14</v>
      </c>
    </row>
    <row r="151" spans="1:156" x14ac:dyDescent="0.35">
      <c r="A151" s="220" cm="1">
        <f t="array" aca="1" ref="A151" ca="1">HYPERLINK(CONCATENATE("#",CELL("address",IF(MAX($CM151:$CZ151)=0,A151,INDEX($CM151:$CZ151,MATCH(1,$CM151:$CZ151,0))))),MAX($CM151:$CZ151))</f>
        <v>0</v>
      </c>
      <c r="C151" s="309" t="s">
        <v>877</v>
      </c>
      <c r="D151" s="114"/>
      <c r="E151" s="113"/>
      <c r="F151" s="110"/>
      <c r="G151" s="114"/>
      <c r="H151" s="111"/>
      <c r="V151" s="12">
        <f>0-IF(AND($F151&gt;=Timeline!$V$8,$F151 &lt;=V$5), $G151, 0)</f>
        <v>0</v>
      </c>
      <c r="W151" s="10">
        <f t="shared" si="225"/>
        <v>0</v>
      </c>
      <c r="X151" s="10">
        <f t="shared" si="225"/>
        <v>0</v>
      </c>
      <c r="Y151" s="10">
        <f t="shared" si="225"/>
        <v>0</v>
      </c>
      <c r="AA151" s="12">
        <f t="shared" si="226"/>
        <v>0</v>
      </c>
      <c r="AB151" s="10">
        <f t="shared" ref="AB151:BJ151" si="269">0-IF(AND($F151&gt;AA$5,$F151 &lt;=AB$5), $G151, 0)</f>
        <v>0</v>
      </c>
      <c r="AC151" s="10">
        <f t="shared" si="269"/>
        <v>0</v>
      </c>
      <c r="AD151" s="10">
        <f t="shared" si="269"/>
        <v>0</v>
      </c>
      <c r="AE151" s="10">
        <f t="shared" si="269"/>
        <v>0</v>
      </c>
      <c r="AF151" s="10">
        <f t="shared" si="269"/>
        <v>0</v>
      </c>
      <c r="AG151" s="10">
        <f t="shared" si="269"/>
        <v>0</v>
      </c>
      <c r="AH151" s="10">
        <f t="shared" si="269"/>
        <v>0</v>
      </c>
      <c r="AI151" s="10">
        <f t="shared" si="269"/>
        <v>0</v>
      </c>
      <c r="AJ151" s="10">
        <f t="shared" si="269"/>
        <v>0</v>
      </c>
      <c r="AK151" s="10">
        <f t="shared" si="269"/>
        <v>0</v>
      </c>
      <c r="AL151" s="10">
        <f t="shared" si="269"/>
        <v>0</v>
      </c>
      <c r="AM151" s="10">
        <f t="shared" si="269"/>
        <v>0</v>
      </c>
      <c r="AN151" s="10">
        <f t="shared" si="269"/>
        <v>0</v>
      </c>
      <c r="AO151" s="10">
        <f t="shared" si="269"/>
        <v>0</v>
      </c>
      <c r="AP151" s="10">
        <f t="shared" si="269"/>
        <v>0</v>
      </c>
      <c r="AQ151" s="10">
        <f t="shared" si="269"/>
        <v>0</v>
      </c>
      <c r="AR151" s="10">
        <f t="shared" si="269"/>
        <v>0</v>
      </c>
      <c r="AS151" s="10">
        <f t="shared" si="269"/>
        <v>0</v>
      </c>
      <c r="AT151" s="10">
        <f t="shared" si="269"/>
        <v>0</v>
      </c>
      <c r="AU151" s="10">
        <f t="shared" si="269"/>
        <v>0</v>
      </c>
      <c r="AV151" s="10">
        <f t="shared" si="269"/>
        <v>0</v>
      </c>
      <c r="AW151" s="10">
        <f t="shared" si="269"/>
        <v>0</v>
      </c>
      <c r="AX151" s="10">
        <f t="shared" si="269"/>
        <v>0</v>
      </c>
      <c r="AY151" s="10">
        <f t="shared" si="269"/>
        <v>0</v>
      </c>
      <c r="AZ151" s="10">
        <f t="shared" si="269"/>
        <v>0</v>
      </c>
      <c r="BA151" s="10">
        <f t="shared" si="269"/>
        <v>0</v>
      </c>
      <c r="BB151" s="10">
        <f t="shared" si="269"/>
        <v>0</v>
      </c>
      <c r="BC151" s="10">
        <f t="shared" si="269"/>
        <v>0</v>
      </c>
      <c r="BD151" s="10">
        <f t="shared" si="269"/>
        <v>0</v>
      </c>
      <c r="BE151" s="10">
        <f t="shared" si="269"/>
        <v>0</v>
      </c>
      <c r="BF151" s="10">
        <f t="shared" si="269"/>
        <v>0</v>
      </c>
      <c r="BG151" s="10">
        <f t="shared" si="269"/>
        <v>0</v>
      </c>
      <c r="BH151" s="10">
        <f t="shared" si="269"/>
        <v>0</v>
      </c>
      <c r="BI151" s="10">
        <f t="shared" si="269"/>
        <v>0</v>
      </c>
      <c r="BJ151" s="10">
        <f t="shared" si="269"/>
        <v>0</v>
      </c>
      <c r="BK151" s="1"/>
      <c r="BL151" s="1"/>
      <c r="BM151" s="1"/>
      <c r="BN151" s="1"/>
      <c r="BO151" s="1"/>
      <c r="BP151" s="1"/>
      <c r="BQ151" s="1"/>
      <c r="BR151" s="1"/>
      <c r="BS151" s="1"/>
      <c r="BT151" s="1"/>
      <c r="BU151" s="1"/>
      <c r="BV151" s="1"/>
      <c r="BX151" s="12">
        <f t="shared" si="228"/>
        <v>0</v>
      </c>
      <c r="BY151" s="10">
        <f t="shared" ref="BY151:CI151" si="270">0-IF(AND($F151&gt;BX$5,$F151 &lt;=BY$5), $G151, 0)</f>
        <v>0</v>
      </c>
      <c r="BZ151" s="10">
        <f t="shared" si="270"/>
        <v>0</v>
      </c>
      <c r="CA151" s="10">
        <f t="shared" si="270"/>
        <v>0</v>
      </c>
      <c r="CB151" s="10">
        <f t="shared" si="270"/>
        <v>0</v>
      </c>
      <c r="CC151" s="10">
        <f t="shared" si="270"/>
        <v>0</v>
      </c>
      <c r="CD151" s="10">
        <f t="shared" si="270"/>
        <v>0</v>
      </c>
      <c r="CE151" s="10">
        <f t="shared" si="270"/>
        <v>0</v>
      </c>
      <c r="CF151" s="10">
        <f t="shared" si="270"/>
        <v>0</v>
      </c>
      <c r="CG151" s="10">
        <f t="shared" si="270"/>
        <v>0</v>
      </c>
      <c r="CH151" s="10">
        <f t="shared" si="270"/>
        <v>0</v>
      </c>
      <c r="CI151" s="10">
        <f t="shared" si="270"/>
        <v>0</v>
      </c>
      <c r="CK151" s="11"/>
      <c r="CL151" s="221">
        <f t="shared" si="230"/>
        <v>0</v>
      </c>
      <c r="CM151" s="11"/>
      <c r="CN151" s="7">
        <f t="shared" si="231"/>
        <v>0</v>
      </c>
      <c r="CO151" s="7">
        <f>IF(AND(G151&lt;&gt;0, IFERROR(MATCH(E151, Parameters!$D$45:$D$49, 0), "N/A")="N/A"), 1, 0)</f>
        <v>0</v>
      </c>
      <c r="CQ151" s="7">
        <f>IF($F151="", 0, IF(AND($F151&lt;=$CI$5, $F151&gt;=Timeline!$V$8), 0, 1))</f>
        <v>0</v>
      </c>
      <c r="CU151" s="7" cm="1">
        <f t="array" ref="CU151">SUMPRODUCT(--NOT(ISNUMBER(G151:H151)),--NOT(ISBLANK(G151:H151)))</f>
        <v>0</v>
      </c>
      <c r="CW151" s="7">
        <f t="shared" si="232"/>
        <v>0</v>
      </c>
      <c r="CX151" s="7">
        <f t="shared" si="233"/>
        <v>0</v>
      </c>
      <c r="CY151" s="7">
        <f t="shared" si="234"/>
        <v>0</v>
      </c>
      <c r="CZ151" s="650"/>
      <c r="DA151" s="35"/>
      <c r="DB151" s="215">
        <f t="shared" si="235"/>
        <v>0</v>
      </c>
      <c r="DC151" s="215">
        <f t="shared" si="236"/>
        <v>0</v>
      </c>
      <c r="DD151" s="215">
        <f t="shared" si="237"/>
        <v>0</v>
      </c>
      <c r="DE151" s="215">
        <f t="shared" si="238"/>
        <v>0</v>
      </c>
      <c r="DF151" s="215">
        <f t="shared" si="239"/>
        <v>0</v>
      </c>
      <c r="DG151" s="215">
        <f t="shared" si="240"/>
        <v>0</v>
      </c>
      <c r="DH151" s="215">
        <f t="shared" si="241"/>
        <v>0</v>
      </c>
      <c r="DI151" s="35"/>
      <c r="DJ151">
        <v>0</v>
      </c>
      <c r="DK151">
        <v>0</v>
      </c>
      <c r="DL151" s="35"/>
      <c r="EZ151" s="12" t="str">
        <f t="shared" si="242"/>
        <v>Disposals DS15</v>
      </c>
    </row>
    <row r="152" spans="1:156" x14ac:dyDescent="0.35">
      <c r="A152" s="220" cm="1">
        <f t="array" aca="1" ref="A152" ca="1">HYPERLINK(CONCATENATE("#",CELL("address",IF(MAX($CM152:$CZ152)=0,A152,INDEX($CM152:$CZ152,MATCH(1,$CM152:$CZ152,0))))),MAX($CM152:$CZ152))</f>
        <v>0</v>
      </c>
      <c r="C152" s="253"/>
      <c r="D152" s="5" t="s">
        <v>774</v>
      </c>
      <c r="E152" s="5" t="str">
        <f>Parameters!$D$45</f>
        <v>Land &amp; Buildings</v>
      </c>
      <c r="I152" s="96"/>
      <c r="V152" s="12">
        <f>SUMIFS(V137:V151, $E137:$E151, $E152)</f>
        <v>0</v>
      </c>
      <c r="W152" s="12">
        <f>SUMIFS(W137:W151, $E137:$E151, $E152)</f>
        <v>0</v>
      </c>
      <c r="X152" s="12">
        <f>SUMIFS(X137:X151, $E137:$E151, $E152)</f>
        <v>0</v>
      </c>
      <c r="Y152" s="12">
        <f>SUMIFS(Y137:Y151, $E137:$E151, $E152)</f>
        <v>0</v>
      </c>
      <c r="AA152" s="12">
        <f t="shared" ref="AA152:BJ152" si="271">SUMIFS(AA137:AA151, $E137:$E151, $E152)</f>
        <v>0</v>
      </c>
      <c r="AB152" s="12">
        <f t="shared" si="271"/>
        <v>0</v>
      </c>
      <c r="AC152" s="12">
        <f t="shared" si="271"/>
        <v>0</v>
      </c>
      <c r="AD152" s="12">
        <f t="shared" si="271"/>
        <v>0</v>
      </c>
      <c r="AE152" s="12">
        <f t="shared" si="271"/>
        <v>0</v>
      </c>
      <c r="AF152" s="12">
        <f t="shared" si="271"/>
        <v>0</v>
      </c>
      <c r="AG152" s="12">
        <f t="shared" si="271"/>
        <v>0</v>
      </c>
      <c r="AH152" s="12">
        <f t="shared" si="271"/>
        <v>0</v>
      </c>
      <c r="AI152" s="12">
        <f t="shared" si="271"/>
        <v>0</v>
      </c>
      <c r="AJ152" s="12">
        <f t="shared" si="271"/>
        <v>0</v>
      </c>
      <c r="AK152" s="12">
        <f t="shared" si="271"/>
        <v>0</v>
      </c>
      <c r="AL152" s="12">
        <f t="shared" si="271"/>
        <v>0</v>
      </c>
      <c r="AM152" s="12">
        <f t="shared" si="271"/>
        <v>0</v>
      </c>
      <c r="AN152" s="12">
        <f t="shared" si="271"/>
        <v>0</v>
      </c>
      <c r="AO152" s="12">
        <f t="shared" si="271"/>
        <v>0</v>
      </c>
      <c r="AP152" s="12">
        <f t="shared" si="271"/>
        <v>0</v>
      </c>
      <c r="AQ152" s="12">
        <f t="shared" si="271"/>
        <v>0</v>
      </c>
      <c r="AR152" s="12">
        <f t="shared" si="271"/>
        <v>0</v>
      </c>
      <c r="AS152" s="12">
        <f t="shared" si="271"/>
        <v>0</v>
      </c>
      <c r="AT152" s="12">
        <f t="shared" si="271"/>
        <v>0</v>
      </c>
      <c r="AU152" s="12">
        <f t="shared" si="271"/>
        <v>0</v>
      </c>
      <c r="AV152" s="12">
        <f t="shared" si="271"/>
        <v>0</v>
      </c>
      <c r="AW152" s="12">
        <f t="shared" si="271"/>
        <v>0</v>
      </c>
      <c r="AX152" s="12">
        <f t="shared" si="271"/>
        <v>0</v>
      </c>
      <c r="AY152" s="12">
        <f t="shared" si="271"/>
        <v>0</v>
      </c>
      <c r="AZ152" s="12">
        <f t="shared" si="271"/>
        <v>0</v>
      </c>
      <c r="BA152" s="12">
        <f t="shared" si="271"/>
        <v>0</v>
      </c>
      <c r="BB152" s="12">
        <f t="shared" si="271"/>
        <v>0</v>
      </c>
      <c r="BC152" s="12">
        <f t="shared" si="271"/>
        <v>0</v>
      </c>
      <c r="BD152" s="12">
        <f t="shared" si="271"/>
        <v>0</v>
      </c>
      <c r="BE152" s="12">
        <f t="shared" si="271"/>
        <v>0</v>
      </c>
      <c r="BF152" s="12">
        <f t="shared" si="271"/>
        <v>0</v>
      </c>
      <c r="BG152" s="12">
        <f t="shared" si="271"/>
        <v>0</v>
      </c>
      <c r="BH152" s="12">
        <f t="shared" si="271"/>
        <v>0</v>
      </c>
      <c r="BI152" s="12">
        <f t="shared" si="271"/>
        <v>0</v>
      </c>
      <c r="BJ152" s="12">
        <f t="shared" si="271"/>
        <v>0</v>
      </c>
      <c r="BK152" s="1"/>
      <c r="BL152" s="1"/>
      <c r="BM152" s="1"/>
      <c r="BN152" s="1"/>
      <c r="BO152" s="1"/>
      <c r="BP152" s="1"/>
      <c r="BQ152" s="1"/>
      <c r="BR152" s="1"/>
      <c r="BS152" s="1"/>
      <c r="BT152" s="1"/>
      <c r="BU152" s="1"/>
      <c r="BV152" s="1"/>
      <c r="BX152" s="12">
        <f t="shared" ref="BX152:CI152" si="272">SUMIFS(BX137:BX151, $E137:$E151, $E152)</f>
        <v>0</v>
      </c>
      <c r="BY152" s="12">
        <f t="shared" si="272"/>
        <v>0</v>
      </c>
      <c r="BZ152" s="12">
        <f t="shared" si="272"/>
        <v>0</v>
      </c>
      <c r="CA152" s="12">
        <f t="shared" si="272"/>
        <v>0</v>
      </c>
      <c r="CB152" s="12">
        <f t="shared" si="272"/>
        <v>0</v>
      </c>
      <c r="CC152" s="12">
        <f t="shared" si="272"/>
        <v>0</v>
      </c>
      <c r="CD152" s="12">
        <f t="shared" si="272"/>
        <v>0</v>
      </c>
      <c r="CE152" s="12">
        <f t="shared" si="272"/>
        <v>0</v>
      </c>
      <c r="CF152" s="12">
        <f t="shared" si="272"/>
        <v>0</v>
      </c>
      <c r="CG152" s="12">
        <f t="shared" si="272"/>
        <v>0</v>
      </c>
      <c r="CH152" s="12">
        <f t="shared" si="272"/>
        <v>0</v>
      </c>
      <c r="CI152" s="12">
        <f t="shared" si="272"/>
        <v>0</v>
      </c>
      <c r="CK152" s="11"/>
      <c r="CL152" s="221">
        <f t="shared" si="230"/>
        <v>0</v>
      </c>
      <c r="CM152" s="11"/>
      <c r="CW152" s="7">
        <f t="shared" si="232"/>
        <v>0</v>
      </c>
      <c r="CX152" s="7">
        <f t="shared" si="233"/>
        <v>0</v>
      </c>
      <c r="CY152" s="7">
        <f t="shared" si="234"/>
        <v>0</v>
      </c>
      <c r="CZ152" s="650"/>
      <c r="DA152" s="35"/>
      <c r="DB152" s="215">
        <f t="shared" si="235"/>
        <v>0</v>
      </c>
      <c r="DC152" s="215">
        <f t="shared" si="236"/>
        <v>0</v>
      </c>
      <c r="DD152" s="215">
        <f t="shared" si="237"/>
        <v>0</v>
      </c>
      <c r="DE152" s="215">
        <f t="shared" si="238"/>
        <v>0</v>
      </c>
      <c r="DF152" s="215">
        <f t="shared" si="239"/>
        <v>0</v>
      </c>
      <c r="DG152" s="215">
        <f t="shared" si="240"/>
        <v>0</v>
      </c>
      <c r="DH152" s="215">
        <f t="shared" si="241"/>
        <v>0</v>
      </c>
      <c r="DI152" s="35"/>
      <c r="DJ152">
        <v>0</v>
      </c>
      <c r="DK152">
        <v>0</v>
      </c>
      <c r="DL152" s="35"/>
      <c r="EZ152" s="10" t="str">
        <f t="shared" ref="EZ152:EZ170" si="273">IF($C152="","",$D152)</f>
        <v/>
      </c>
    </row>
    <row r="153" spans="1:156" x14ac:dyDescent="0.35">
      <c r="A153" s="220" cm="1">
        <f t="array" aca="1" ref="A153" ca="1">HYPERLINK(CONCATENATE("#",CELL("address",IF(MAX($CM153:$CZ153)=0,A153,INDEX($CM153:$CZ153,MATCH(1,$CM153:$CZ153,0))))),MAX($CM153:$CZ153))</f>
        <v>0</v>
      </c>
      <c r="C153" s="253"/>
      <c r="D153" s="5" t="s">
        <v>775</v>
      </c>
      <c r="E153" s="5" t="str">
        <f>Parameters!$D$46</f>
        <v>Equipment</v>
      </c>
      <c r="I153" s="96"/>
      <c r="V153" s="12">
        <f>SUMIFS(V137:V151, $E137:$E151, $E153)</f>
        <v>0</v>
      </c>
      <c r="W153" s="12">
        <f>SUMIFS(W137:W151, $E137:$E151, $E153)</f>
        <v>0</v>
      </c>
      <c r="X153" s="12">
        <f>SUMIFS(X137:X151, $E137:$E151, $E153)</f>
        <v>0</v>
      </c>
      <c r="Y153" s="12">
        <f>SUMIFS(Y137:Y151, $E137:$E151, $E153)</f>
        <v>0</v>
      </c>
      <c r="AA153" s="12">
        <f t="shared" ref="AA153:BJ153" si="274">SUMIFS(AA137:AA151, $E137:$E151, $E153)</f>
        <v>0</v>
      </c>
      <c r="AB153" s="12">
        <f t="shared" si="274"/>
        <v>0</v>
      </c>
      <c r="AC153" s="12">
        <f t="shared" si="274"/>
        <v>0</v>
      </c>
      <c r="AD153" s="12">
        <f t="shared" si="274"/>
        <v>0</v>
      </c>
      <c r="AE153" s="12">
        <f t="shared" si="274"/>
        <v>0</v>
      </c>
      <c r="AF153" s="12">
        <f t="shared" si="274"/>
        <v>0</v>
      </c>
      <c r="AG153" s="12">
        <f t="shared" si="274"/>
        <v>0</v>
      </c>
      <c r="AH153" s="12">
        <f t="shared" si="274"/>
        <v>0</v>
      </c>
      <c r="AI153" s="12">
        <f t="shared" si="274"/>
        <v>0</v>
      </c>
      <c r="AJ153" s="12">
        <f t="shared" si="274"/>
        <v>0</v>
      </c>
      <c r="AK153" s="12">
        <f t="shared" si="274"/>
        <v>0</v>
      </c>
      <c r="AL153" s="12">
        <f t="shared" si="274"/>
        <v>0</v>
      </c>
      <c r="AM153" s="12">
        <f t="shared" si="274"/>
        <v>0</v>
      </c>
      <c r="AN153" s="12">
        <f t="shared" si="274"/>
        <v>0</v>
      </c>
      <c r="AO153" s="12">
        <f t="shared" si="274"/>
        <v>0</v>
      </c>
      <c r="AP153" s="12">
        <f t="shared" si="274"/>
        <v>0</v>
      </c>
      <c r="AQ153" s="12">
        <f t="shared" si="274"/>
        <v>0</v>
      </c>
      <c r="AR153" s="12">
        <f t="shared" si="274"/>
        <v>0</v>
      </c>
      <c r="AS153" s="12">
        <f t="shared" si="274"/>
        <v>0</v>
      </c>
      <c r="AT153" s="12">
        <f t="shared" si="274"/>
        <v>0</v>
      </c>
      <c r="AU153" s="12">
        <f t="shared" si="274"/>
        <v>0</v>
      </c>
      <c r="AV153" s="12">
        <f t="shared" si="274"/>
        <v>0</v>
      </c>
      <c r="AW153" s="12">
        <f t="shared" si="274"/>
        <v>0</v>
      </c>
      <c r="AX153" s="12">
        <f t="shared" si="274"/>
        <v>0</v>
      </c>
      <c r="AY153" s="12">
        <f t="shared" si="274"/>
        <v>0</v>
      </c>
      <c r="AZ153" s="12">
        <f t="shared" si="274"/>
        <v>0</v>
      </c>
      <c r="BA153" s="12">
        <f t="shared" si="274"/>
        <v>0</v>
      </c>
      <c r="BB153" s="12">
        <f t="shared" si="274"/>
        <v>0</v>
      </c>
      <c r="BC153" s="12">
        <f t="shared" si="274"/>
        <v>0</v>
      </c>
      <c r="BD153" s="12">
        <f t="shared" si="274"/>
        <v>0</v>
      </c>
      <c r="BE153" s="12">
        <f t="shared" si="274"/>
        <v>0</v>
      </c>
      <c r="BF153" s="12">
        <f t="shared" si="274"/>
        <v>0</v>
      </c>
      <c r="BG153" s="12">
        <f t="shared" si="274"/>
        <v>0</v>
      </c>
      <c r="BH153" s="12">
        <f t="shared" si="274"/>
        <v>0</v>
      </c>
      <c r="BI153" s="12">
        <f t="shared" si="274"/>
        <v>0</v>
      </c>
      <c r="BJ153" s="12">
        <f t="shared" si="274"/>
        <v>0</v>
      </c>
      <c r="BK153" s="1"/>
      <c r="BL153" s="1"/>
      <c r="BM153" s="1"/>
      <c r="BN153" s="1"/>
      <c r="BO153" s="1"/>
      <c r="BP153" s="1"/>
      <c r="BQ153" s="1"/>
      <c r="BR153" s="1"/>
      <c r="BS153" s="1"/>
      <c r="BT153" s="1"/>
      <c r="BU153" s="1"/>
      <c r="BV153" s="1"/>
      <c r="BX153" s="12">
        <f t="shared" ref="BX153:CI153" si="275">SUMIFS(BX137:BX151, $E137:$E151, $E153)</f>
        <v>0</v>
      </c>
      <c r="BY153" s="12">
        <f t="shared" si="275"/>
        <v>0</v>
      </c>
      <c r="BZ153" s="12">
        <f t="shared" si="275"/>
        <v>0</v>
      </c>
      <c r="CA153" s="12">
        <f t="shared" si="275"/>
        <v>0</v>
      </c>
      <c r="CB153" s="12">
        <f t="shared" si="275"/>
        <v>0</v>
      </c>
      <c r="CC153" s="12">
        <f t="shared" si="275"/>
        <v>0</v>
      </c>
      <c r="CD153" s="12">
        <f t="shared" si="275"/>
        <v>0</v>
      </c>
      <c r="CE153" s="12">
        <f t="shared" si="275"/>
        <v>0</v>
      </c>
      <c r="CF153" s="12">
        <f t="shared" si="275"/>
        <v>0</v>
      </c>
      <c r="CG153" s="12">
        <f t="shared" si="275"/>
        <v>0</v>
      </c>
      <c r="CH153" s="12">
        <f t="shared" si="275"/>
        <v>0</v>
      </c>
      <c r="CI153" s="12">
        <f t="shared" si="275"/>
        <v>0</v>
      </c>
      <c r="CK153" s="11"/>
      <c r="CL153" s="221">
        <f t="shared" si="230"/>
        <v>0</v>
      </c>
      <c r="CM153" s="11"/>
      <c r="CW153" s="7">
        <f t="shared" si="232"/>
        <v>0</v>
      </c>
      <c r="CX153" s="7">
        <f t="shared" si="233"/>
        <v>0</v>
      </c>
      <c r="CY153" s="7">
        <f t="shared" si="234"/>
        <v>0</v>
      </c>
      <c r="CZ153" s="650"/>
      <c r="DA153" s="35"/>
      <c r="DB153" s="215">
        <f t="shared" si="235"/>
        <v>0</v>
      </c>
      <c r="DC153" s="215">
        <f t="shared" si="236"/>
        <v>0</v>
      </c>
      <c r="DD153" s="215">
        <f t="shared" si="237"/>
        <v>0</v>
      </c>
      <c r="DE153" s="215">
        <f t="shared" si="238"/>
        <v>0</v>
      </c>
      <c r="DF153" s="215">
        <f t="shared" si="239"/>
        <v>0</v>
      </c>
      <c r="DG153" s="215">
        <f t="shared" si="240"/>
        <v>0</v>
      </c>
      <c r="DH153" s="215">
        <f t="shared" si="241"/>
        <v>0</v>
      </c>
      <c r="DI153" s="35"/>
      <c r="DJ153">
        <v>0</v>
      </c>
      <c r="DK153">
        <v>0</v>
      </c>
      <c r="DL153" s="35"/>
      <c r="EZ153" s="10" t="str">
        <f t="shared" si="273"/>
        <v/>
      </c>
    </row>
    <row r="154" spans="1:156" x14ac:dyDescent="0.35">
      <c r="A154" s="220" cm="1">
        <f t="array" aca="1" ref="A154" ca="1">HYPERLINK(CONCATENATE("#",CELL("address",IF(MAX($CM154:$CZ154)=0,A154,INDEX($CM154:$CZ154,MATCH(1,$CM154:$CZ154,0))))),MAX($CM154:$CZ154))</f>
        <v>0</v>
      </c>
      <c r="C154" s="253"/>
      <c r="D154" s="5" t="s">
        <v>839</v>
      </c>
      <c r="E154" s="5" t="str">
        <f>Parameters!$D$47</f>
        <v>Investments</v>
      </c>
      <c r="I154" s="96"/>
      <c r="V154" s="12">
        <f>SUMIFS(V137:V151, $E137:$E151, $E154)</f>
        <v>0</v>
      </c>
      <c r="W154" s="12">
        <f>SUMIFS(W137:W151, $E137:$E151, $E154)</f>
        <v>0</v>
      </c>
      <c r="X154" s="12">
        <f>SUMIFS(X137:X151, $E137:$E151, $E154)</f>
        <v>0</v>
      </c>
      <c r="Y154" s="12">
        <f>SUMIFS(Y137:Y151, $E137:$E151, $E154)</f>
        <v>0</v>
      </c>
      <c r="AA154" s="12">
        <f t="shared" ref="AA154:BJ154" si="276">SUMIFS(AA137:AA151, $E137:$E151, $E154)</f>
        <v>0</v>
      </c>
      <c r="AB154" s="12">
        <f t="shared" si="276"/>
        <v>0</v>
      </c>
      <c r="AC154" s="12">
        <f t="shared" si="276"/>
        <v>0</v>
      </c>
      <c r="AD154" s="12">
        <f t="shared" si="276"/>
        <v>0</v>
      </c>
      <c r="AE154" s="12">
        <f t="shared" si="276"/>
        <v>0</v>
      </c>
      <c r="AF154" s="12">
        <f t="shared" si="276"/>
        <v>0</v>
      </c>
      <c r="AG154" s="12">
        <f t="shared" si="276"/>
        <v>0</v>
      </c>
      <c r="AH154" s="12">
        <f t="shared" si="276"/>
        <v>0</v>
      </c>
      <c r="AI154" s="12">
        <f t="shared" si="276"/>
        <v>0</v>
      </c>
      <c r="AJ154" s="12">
        <f t="shared" si="276"/>
        <v>0</v>
      </c>
      <c r="AK154" s="12">
        <f t="shared" si="276"/>
        <v>0</v>
      </c>
      <c r="AL154" s="12">
        <f t="shared" si="276"/>
        <v>0</v>
      </c>
      <c r="AM154" s="12">
        <f t="shared" si="276"/>
        <v>0</v>
      </c>
      <c r="AN154" s="12">
        <f t="shared" si="276"/>
        <v>0</v>
      </c>
      <c r="AO154" s="12">
        <f t="shared" si="276"/>
        <v>0</v>
      </c>
      <c r="AP154" s="12">
        <f t="shared" si="276"/>
        <v>0</v>
      </c>
      <c r="AQ154" s="12">
        <f t="shared" si="276"/>
        <v>0</v>
      </c>
      <c r="AR154" s="12">
        <f t="shared" si="276"/>
        <v>0</v>
      </c>
      <c r="AS154" s="12">
        <f t="shared" si="276"/>
        <v>0</v>
      </c>
      <c r="AT154" s="12">
        <f t="shared" si="276"/>
        <v>0</v>
      </c>
      <c r="AU154" s="12">
        <f t="shared" si="276"/>
        <v>0</v>
      </c>
      <c r="AV154" s="12">
        <f t="shared" si="276"/>
        <v>0</v>
      </c>
      <c r="AW154" s="12">
        <f t="shared" si="276"/>
        <v>0</v>
      </c>
      <c r="AX154" s="12">
        <f t="shared" si="276"/>
        <v>0</v>
      </c>
      <c r="AY154" s="12">
        <f t="shared" si="276"/>
        <v>0</v>
      </c>
      <c r="AZ154" s="12">
        <f t="shared" si="276"/>
        <v>0</v>
      </c>
      <c r="BA154" s="12">
        <f t="shared" si="276"/>
        <v>0</v>
      </c>
      <c r="BB154" s="12">
        <f t="shared" si="276"/>
        <v>0</v>
      </c>
      <c r="BC154" s="12">
        <f t="shared" si="276"/>
        <v>0</v>
      </c>
      <c r="BD154" s="12">
        <f t="shared" si="276"/>
        <v>0</v>
      </c>
      <c r="BE154" s="12">
        <f t="shared" si="276"/>
        <v>0</v>
      </c>
      <c r="BF154" s="12">
        <f t="shared" si="276"/>
        <v>0</v>
      </c>
      <c r="BG154" s="12">
        <f t="shared" si="276"/>
        <v>0</v>
      </c>
      <c r="BH154" s="12">
        <f t="shared" si="276"/>
        <v>0</v>
      </c>
      <c r="BI154" s="12">
        <f t="shared" si="276"/>
        <v>0</v>
      </c>
      <c r="BJ154" s="12">
        <f t="shared" si="276"/>
        <v>0</v>
      </c>
      <c r="BK154" s="1"/>
      <c r="BL154" s="1"/>
      <c r="BM154" s="1"/>
      <c r="BN154" s="1"/>
      <c r="BO154" s="1"/>
      <c r="BP154" s="1"/>
      <c r="BQ154" s="1"/>
      <c r="BR154" s="1"/>
      <c r="BS154" s="1"/>
      <c r="BT154" s="1"/>
      <c r="BU154" s="1"/>
      <c r="BV154" s="1"/>
      <c r="BX154" s="12">
        <f t="shared" ref="BX154:CI154" si="277">SUMIFS(BX137:BX151, $E137:$E151, $E154)</f>
        <v>0</v>
      </c>
      <c r="BY154" s="12">
        <f t="shared" si="277"/>
        <v>0</v>
      </c>
      <c r="BZ154" s="12">
        <f t="shared" si="277"/>
        <v>0</v>
      </c>
      <c r="CA154" s="12">
        <f t="shared" si="277"/>
        <v>0</v>
      </c>
      <c r="CB154" s="12">
        <f t="shared" si="277"/>
        <v>0</v>
      </c>
      <c r="CC154" s="12">
        <f t="shared" si="277"/>
        <v>0</v>
      </c>
      <c r="CD154" s="12">
        <f t="shared" si="277"/>
        <v>0</v>
      </c>
      <c r="CE154" s="12">
        <f t="shared" si="277"/>
        <v>0</v>
      </c>
      <c r="CF154" s="12">
        <f t="shared" si="277"/>
        <v>0</v>
      </c>
      <c r="CG154" s="12">
        <f t="shared" si="277"/>
        <v>0</v>
      </c>
      <c r="CH154" s="12">
        <f t="shared" si="277"/>
        <v>0</v>
      </c>
      <c r="CI154" s="12">
        <f t="shared" si="277"/>
        <v>0</v>
      </c>
      <c r="CK154" s="11"/>
      <c r="CL154" s="221">
        <f t="shared" si="230"/>
        <v>0</v>
      </c>
      <c r="CM154" s="11"/>
      <c r="CW154" s="7">
        <f t="shared" si="232"/>
        <v>0</v>
      </c>
      <c r="CX154" s="7">
        <f t="shared" si="233"/>
        <v>0</v>
      </c>
      <c r="CY154" s="7">
        <f t="shared" si="234"/>
        <v>0</v>
      </c>
      <c r="CZ154" s="650"/>
      <c r="DA154" s="35"/>
      <c r="DB154" s="215">
        <f t="shared" si="235"/>
        <v>0</v>
      </c>
      <c r="DC154" s="215">
        <f t="shared" si="236"/>
        <v>0</v>
      </c>
      <c r="DD154" s="215">
        <f t="shared" si="237"/>
        <v>0</v>
      </c>
      <c r="DE154" s="215">
        <f t="shared" si="238"/>
        <v>0</v>
      </c>
      <c r="DF154" s="215">
        <f t="shared" si="239"/>
        <v>0</v>
      </c>
      <c r="DG154" s="215">
        <f t="shared" si="240"/>
        <v>0</v>
      </c>
      <c r="DH154" s="215">
        <f t="shared" si="241"/>
        <v>0</v>
      </c>
      <c r="DI154" s="35"/>
      <c r="DJ154">
        <v>0</v>
      </c>
      <c r="DK154">
        <v>0</v>
      </c>
      <c r="DL154" s="35"/>
      <c r="EZ154" s="10" t="str">
        <f t="shared" si="273"/>
        <v/>
      </c>
    </row>
    <row r="155" spans="1:156" x14ac:dyDescent="0.35">
      <c r="A155" s="220" cm="1">
        <f t="array" aca="1" ref="A155" ca="1">HYPERLINK(CONCATENATE("#",CELL("address",IF(MAX($CM155:$CZ155)=0,A155,INDEX($CM155:$CZ155,MATCH(1,$CM155:$CZ155,0))))),MAX($CM155:$CZ155))</f>
        <v>0</v>
      </c>
      <c r="C155" s="253"/>
      <c r="D155" s="5" t="s">
        <v>776</v>
      </c>
      <c r="E155" s="5" t="str">
        <f>Parameters!$D$48</f>
        <v>Other NCA</v>
      </c>
      <c r="I155" s="96"/>
      <c r="V155" s="12">
        <f>SUMIFS(V137:V151, $E137:$E151, $E155)</f>
        <v>0</v>
      </c>
      <c r="W155" s="12">
        <f>SUMIFS(W137:W151, $E137:$E151, $E155)</f>
        <v>0</v>
      </c>
      <c r="X155" s="12">
        <f>SUMIFS(X137:X151, $E137:$E151, $E155)</f>
        <v>0</v>
      </c>
      <c r="Y155" s="12">
        <f>SUMIFS(Y137:Y151, $E137:$E151, $E155)</f>
        <v>0</v>
      </c>
      <c r="AA155" s="12">
        <f t="shared" ref="AA155:BJ155" si="278">SUMIFS(AA137:AA151, $E137:$E151, $E155)</f>
        <v>0</v>
      </c>
      <c r="AB155" s="12">
        <f t="shared" si="278"/>
        <v>0</v>
      </c>
      <c r="AC155" s="12">
        <f t="shared" si="278"/>
        <v>0</v>
      </c>
      <c r="AD155" s="12">
        <f t="shared" si="278"/>
        <v>0</v>
      </c>
      <c r="AE155" s="12">
        <f t="shared" si="278"/>
        <v>0</v>
      </c>
      <c r="AF155" s="12">
        <f t="shared" si="278"/>
        <v>0</v>
      </c>
      <c r="AG155" s="12">
        <f t="shared" si="278"/>
        <v>0</v>
      </c>
      <c r="AH155" s="12">
        <f t="shared" si="278"/>
        <v>0</v>
      </c>
      <c r="AI155" s="12">
        <f t="shared" si="278"/>
        <v>0</v>
      </c>
      <c r="AJ155" s="12">
        <f t="shared" si="278"/>
        <v>0</v>
      </c>
      <c r="AK155" s="12">
        <f t="shared" si="278"/>
        <v>0</v>
      </c>
      <c r="AL155" s="12">
        <f t="shared" si="278"/>
        <v>0</v>
      </c>
      <c r="AM155" s="12">
        <f t="shared" si="278"/>
        <v>0</v>
      </c>
      <c r="AN155" s="12">
        <f t="shared" si="278"/>
        <v>0</v>
      </c>
      <c r="AO155" s="12">
        <f t="shared" si="278"/>
        <v>0</v>
      </c>
      <c r="AP155" s="12">
        <f t="shared" si="278"/>
        <v>0</v>
      </c>
      <c r="AQ155" s="12">
        <f t="shared" si="278"/>
        <v>0</v>
      </c>
      <c r="AR155" s="12">
        <f t="shared" si="278"/>
        <v>0</v>
      </c>
      <c r="AS155" s="12">
        <f t="shared" si="278"/>
        <v>0</v>
      </c>
      <c r="AT155" s="12">
        <f t="shared" si="278"/>
        <v>0</v>
      </c>
      <c r="AU155" s="12">
        <f t="shared" si="278"/>
        <v>0</v>
      </c>
      <c r="AV155" s="12">
        <f t="shared" si="278"/>
        <v>0</v>
      </c>
      <c r="AW155" s="12">
        <f t="shared" si="278"/>
        <v>0</v>
      </c>
      <c r="AX155" s="12">
        <f t="shared" si="278"/>
        <v>0</v>
      </c>
      <c r="AY155" s="12">
        <f t="shared" si="278"/>
        <v>0</v>
      </c>
      <c r="AZ155" s="12">
        <f t="shared" si="278"/>
        <v>0</v>
      </c>
      <c r="BA155" s="12">
        <f t="shared" si="278"/>
        <v>0</v>
      </c>
      <c r="BB155" s="12">
        <f t="shared" si="278"/>
        <v>0</v>
      </c>
      <c r="BC155" s="12">
        <f t="shared" si="278"/>
        <v>0</v>
      </c>
      <c r="BD155" s="12">
        <f t="shared" si="278"/>
        <v>0</v>
      </c>
      <c r="BE155" s="12">
        <f t="shared" si="278"/>
        <v>0</v>
      </c>
      <c r="BF155" s="12">
        <f t="shared" si="278"/>
        <v>0</v>
      </c>
      <c r="BG155" s="12">
        <f t="shared" si="278"/>
        <v>0</v>
      </c>
      <c r="BH155" s="12">
        <f t="shared" si="278"/>
        <v>0</v>
      </c>
      <c r="BI155" s="12">
        <f t="shared" si="278"/>
        <v>0</v>
      </c>
      <c r="BJ155" s="12">
        <f t="shared" si="278"/>
        <v>0</v>
      </c>
      <c r="BK155" s="1"/>
      <c r="BL155" s="1"/>
      <c r="BM155" s="1"/>
      <c r="BN155" s="1"/>
      <c r="BO155" s="1"/>
      <c r="BP155" s="1"/>
      <c r="BQ155" s="1"/>
      <c r="BR155" s="1"/>
      <c r="BS155" s="1"/>
      <c r="BT155" s="1"/>
      <c r="BU155" s="1"/>
      <c r="BV155" s="1"/>
      <c r="BX155" s="12">
        <f t="shared" ref="BX155:CI155" si="279">SUMIFS(BX137:BX151, $E137:$E151, $E155)</f>
        <v>0</v>
      </c>
      <c r="BY155" s="12">
        <f t="shared" si="279"/>
        <v>0</v>
      </c>
      <c r="BZ155" s="12">
        <f t="shared" si="279"/>
        <v>0</v>
      </c>
      <c r="CA155" s="12">
        <f t="shared" si="279"/>
        <v>0</v>
      </c>
      <c r="CB155" s="12">
        <f t="shared" si="279"/>
        <v>0</v>
      </c>
      <c r="CC155" s="12">
        <f t="shared" si="279"/>
        <v>0</v>
      </c>
      <c r="CD155" s="12">
        <f t="shared" si="279"/>
        <v>0</v>
      </c>
      <c r="CE155" s="12">
        <f t="shared" si="279"/>
        <v>0</v>
      </c>
      <c r="CF155" s="12">
        <f t="shared" si="279"/>
        <v>0</v>
      </c>
      <c r="CG155" s="12">
        <f t="shared" si="279"/>
        <v>0</v>
      </c>
      <c r="CH155" s="12">
        <f t="shared" si="279"/>
        <v>0</v>
      </c>
      <c r="CI155" s="12">
        <f t="shared" si="279"/>
        <v>0</v>
      </c>
      <c r="CK155" s="11"/>
      <c r="CL155" s="221">
        <f t="shared" si="230"/>
        <v>0</v>
      </c>
      <c r="CM155" s="11"/>
      <c r="CW155" s="7">
        <f t="shared" si="232"/>
        <v>0</v>
      </c>
      <c r="CX155" s="7">
        <f t="shared" si="233"/>
        <v>0</v>
      </c>
      <c r="CY155" s="7">
        <f t="shared" si="234"/>
        <v>0</v>
      </c>
      <c r="CZ155" s="650"/>
      <c r="DA155" s="35"/>
      <c r="DB155" s="215">
        <f t="shared" si="235"/>
        <v>0</v>
      </c>
      <c r="DC155" s="215">
        <f t="shared" si="236"/>
        <v>0</v>
      </c>
      <c r="DD155" s="215">
        <f t="shared" si="237"/>
        <v>0</v>
      </c>
      <c r="DE155" s="215">
        <f t="shared" si="238"/>
        <v>0</v>
      </c>
      <c r="DF155" s="215">
        <f t="shared" si="239"/>
        <v>0</v>
      </c>
      <c r="DG155" s="215">
        <f t="shared" si="240"/>
        <v>0</v>
      </c>
      <c r="DH155" s="215">
        <f t="shared" si="241"/>
        <v>0</v>
      </c>
      <c r="DI155" s="35"/>
      <c r="DJ155">
        <v>0</v>
      </c>
      <c r="DK155">
        <v>0</v>
      </c>
      <c r="DL155" s="35"/>
      <c r="EZ155" s="10" t="str">
        <f t="shared" si="273"/>
        <v/>
      </c>
    </row>
    <row r="156" spans="1:156" x14ac:dyDescent="0.35">
      <c r="A156" s="220" cm="1">
        <f t="array" aca="1" ref="A156" ca="1">HYPERLINK(CONCATENATE("#",CELL("address",IF(MAX($CM156:$CZ156)=0,A156,INDEX($CM156:$CZ156,MATCH(1,$CM156:$CZ156,0))))),MAX($CM156:$CZ156))</f>
        <v>0</v>
      </c>
      <c r="C156" s="253"/>
      <c r="D156" s="5" t="s">
        <v>878</v>
      </c>
      <c r="E156" s="5" t="str">
        <f>Parameters!$D$49</f>
        <v xml:space="preserve">Assets Held for Sale </v>
      </c>
      <c r="I156" s="96"/>
      <c r="V156" s="12">
        <f>SUMIFS(V137:V151, $E137:$E151, $E156)</f>
        <v>0</v>
      </c>
      <c r="W156" s="12">
        <f>SUMIFS(W137:W151, $E137:$E151, $E156)</f>
        <v>0</v>
      </c>
      <c r="X156" s="12">
        <f>SUMIFS(X137:X151, $E137:$E151, $E156)</f>
        <v>0</v>
      </c>
      <c r="Y156" s="12">
        <f>SUMIFS(Y137:Y151, $E137:$E151, $E156)</f>
        <v>0</v>
      </c>
      <c r="AA156" s="12">
        <f t="shared" ref="AA156:BJ156" si="280">SUMIFS(AA137:AA151, $E137:$E151, $E156)</f>
        <v>0</v>
      </c>
      <c r="AB156" s="12">
        <f t="shared" si="280"/>
        <v>0</v>
      </c>
      <c r="AC156" s="12">
        <f t="shared" si="280"/>
        <v>0</v>
      </c>
      <c r="AD156" s="12">
        <f t="shared" si="280"/>
        <v>0</v>
      </c>
      <c r="AE156" s="12">
        <f t="shared" si="280"/>
        <v>0</v>
      </c>
      <c r="AF156" s="12">
        <f t="shared" si="280"/>
        <v>0</v>
      </c>
      <c r="AG156" s="12">
        <f t="shared" si="280"/>
        <v>0</v>
      </c>
      <c r="AH156" s="12">
        <f t="shared" si="280"/>
        <v>0</v>
      </c>
      <c r="AI156" s="12">
        <f t="shared" si="280"/>
        <v>0</v>
      </c>
      <c r="AJ156" s="12">
        <f t="shared" si="280"/>
        <v>0</v>
      </c>
      <c r="AK156" s="12">
        <f t="shared" si="280"/>
        <v>0</v>
      </c>
      <c r="AL156" s="12">
        <f t="shared" si="280"/>
        <v>0</v>
      </c>
      <c r="AM156" s="12">
        <f t="shared" si="280"/>
        <v>0</v>
      </c>
      <c r="AN156" s="12">
        <f t="shared" si="280"/>
        <v>0</v>
      </c>
      <c r="AO156" s="12">
        <f t="shared" si="280"/>
        <v>0</v>
      </c>
      <c r="AP156" s="12">
        <f t="shared" si="280"/>
        <v>0</v>
      </c>
      <c r="AQ156" s="12">
        <f t="shared" si="280"/>
        <v>0</v>
      </c>
      <c r="AR156" s="12">
        <f t="shared" si="280"/>
        <v>0</v>
      </c>
      <c r="AS156" s="12">
        <f t="shared" si="280"/>
        <v>0</v>
      </c>
      <c r="AT156" s="12">
        <f t="shared" si="280"/>
        <v>0</v>
      </c>
      <c r="AU156" s="12">
        <f t="shared" si="280"/>
        <v>0</v>
      </c>
      <c r="AV156" s="12">
        <f t="shared" si="280"/>
        <v>0</v>
      </c>
      <c r="AW156" s="12">
        <f t="shared" si="280"/>
        <v>0</v>
      </c>
      <c r="AX156" s="12">
        <f t="shared" si="280"/>
        <v>0</v>
      </c>
      <c r="AY156" s="12">
        <f t="shared" si="280"/>
        <v>0</v>
      </c>
      <c r="AZ156" s="12">
        <f t="shared" si="280"/>
        <v>0</v>
      </c>
      <c r="BA156" s="12">
        <f t="shared" si="280"/>
        <v>0</v>
      </c>
      <c r="BB156" s="12">
        <f t="shared" si="280"/>
        <v>0</v>
      </c>
      <c r="BC156" s="12">
        <f t="shared" si="280"/>
        <v>0</v>
      </c>
      <c r="BD156" s="12">
        <f t="shared" si="280"/>
        <v>0</v>
      </c>
      <c r="BE156" s="12">
        <f t="shared" si="280"/>
        <v>0</v>
      </c>
      <c r="BF156" s="12">
        <f t="shared" si="280"/>
        <v>0</v>
      </c>
      <c r="BG156" s="12">
        <f t="shared" si="280"/>
        <v>0</v>
      </c>
      <c r="BH156" s="12">
        <f t="shared" si="280"/>
        <v>0</v>
      </c>
      <c r="BI156" s="12">
        <f t="shared" si="280"/>
        <v>0</v>
      </c>
      <c r="BJ156" s="12">
        <f t="shared" si="280"/>
        <v>0</v>
      </c>
      <c r="BK156" s="1"/>
      <c r="BL156" s="1"/>
      <c r="BM156" s="1"/>
      <c r="BN156" s="1"/>
      <c r="BO156" s="1"/>
      <c r="BP156" s="1"/>
      <c r="BQ156" s="1"/>
      <c r="BR156" s="1"/>
      <c r="BS156" s="1"/>
      <c r="BT156" s="1"/>
      <c r="BU156" s="1"/>
      <c r="BV156" s="1"/>
      <c r="BX156" s="12">
        <f t="shared" ref="BX156:CI156" si="281">SUMIFS(BX137:BX151, $E137:$E151, $E156)</f>
        <v>0</v>
      </c>
      <c r="BY156" s="12">
        <f t="shared" si="281"/>
        <v>0</v>
      </c>
      <c r="BZ156" s="12">
        <f t="shared" si="281"/>
        <v>0</v>
      </c>
      <c r="CA156" s="12">
        <f t="shared" si="281"/>
        <v>0</v>
      </c>
      <c r="CB156" s="12">
        <f t="shared" si="281"/>
        <v>0</v>
      </c>
      <c r="CC156" s="12">
        <f t="shared" si="281"/>
        <v>0</v>
      </c>
      <c r="CD156" s="12">
        <f t="shared" si="281"/>
        <v>0</v>
      </c>
      <c r="CE156" s="12">
        <f t="shared" si="281"/>
        <v>0</v>
      </c>
      <c r="CF156" s="12">
        <f t="shared" si="281"/>
        <v>0</v>
      </c>
      <c r="CG156" s="12">
        <f t="shared" si="281"/>
        <v>0</v>
      </c>
      <c r="CH156" s="12">
        <f t="shared" si="281"/>
        <v>0</v>
      </c>
      <c r="CI156" s="12">
        <f t="shared" si="281"/>
        <v>0</v>
      </c>
      <c r="CK156" s="11"/>
      <c r="CL156" s="221">
        <f t="shared" si="230"/>
        <v>0</v>
      </c>
      <c r="CM156" s="11"/>
      <c r="CW156" s="7">
        <f t="shared" si="232"/>
        <v>0</v>
      </c>
      <c r="CX156" s="7">
        <f t="shared" si="233"/>
        <v>0</v>
      </c>
      <c r="CY156" s="7">
        <f t="shared" si="234"/>
        <v>0</v>
      </c>
      <c r="CZ156" s="650"/>
      <c r="DA156" s="35"/>
      <c r="DB156" s="215">
        <f t="shared" si="235"/>
        <v>0</v>
      </c>
      <c r="DC156" s="215">
        <f t="shared" si="236"/>
        <v>0</v>
      </c>
      <c r="DD156" s="215">
        <f t="shared" si="237"/>
        <v>0</v>
      </c>
      <c r="DE156" s="215">
        <f t="shared" si="238"/>
        <v>0</v>
      </c>
      <c r="DF156" s="215">
        <f t="shared" si="239"/>
        <v>0</v>
      </c>
      <c r="DG156" s="215">
        <f t="shared" si="240"/>
        <v>0</v>
      </c>
      <c r="DH156" s="215">
        <f t="shared" si="241"/>
        <v>0</v>
      </c>
      <c r="DI156" s="35"/>
      <c r="DJ156">
        <v>0</v>
      </c>
      <c r="DK156">
        <v>0</v>
      </c>
      <c r="DL156" s="35"/>
      <c r="EZ156" s="10" t="str">
        <f t="shared" si="273"/>
        <v/>
      </c>
    </row>
    <row r="157" spans="1:156" x14ac:dyDescent="0.35">
      <c r="A157" s="220" cm="1">
        <f t="array" aca="1" ref="A157" ca="1">HYPERLINK(CONCATENATE("#",CELL("address",IF(MAX($CM157:$CZ157)=0,A157,INDEX($CM157:$CZ157,MATCH(1,$CM157:$CZ157,0))))),MAX($CM157:$CZ157))</f>
        <v>0</v>
      </c>
      <c r="C157" s="253"/>
      <c r="D157" s="5" t="s">
        <v>879</v>
      </c>
      <c r="E157" s="5" t="s">
        <v>778</v>
      </c>
      <c r="I157" s="96"/>
      <c r="V157" s="12">
        <f>SUM(V152:V156)</f>
        <v>0</v>
      </c>
      <c r="W157" s="12">
        <f>SUM(W152:W156)</f>
        <v>0</v>
      </c>
      <c r="X157" s="12">
        <f>SUM(X152:X156)</f>
        <v>0</v>
      </c>
      <c r="Y157" s="12">
        <f>SUM(Y152:Y156)</f>
        <v>0</v>
      </c>
      <c r="AA157" s="12">
        <f t="shared" ref="AA157:BJ157" si="282">SUM(AA152:AA156)</f>
        <v>0</v>
      </c>
      <c r="AB157" s="12">
        <f t="shared" si="282"/>
        <v>0</v>
      </c>
      <c r="AC157" s="12">
        <f t="shared" si="282"/>
        <v>0</v>
      </c>
      <c r="AD157" s="12">
        <f t="shared" si="282"/>
        <v>0</v>
      </c>
      <c r="AE157" s="12">
        <f t="shared" si="282"/>
        <v>0</v>
      </c>
      <c r="AF157" s="12">
        <f t="shared" si="282"/>
        <v>0</v>
      </c>
      <c r="AG157" s="12">
        <f t="shared" si="282"/>
        <v>0</v>
      </c>
      <c r="AH157" s="12">
        <f t="shared" si="282"/>
        <v>0</v>
      </c>
      <c r="AI157" s="12">
        <f t="shared" si="282"/>
        <v>0</v>
      </c>
      <c r="AJ157" s="12">
        <f t="shared" si="282"/>
        <v>0</v>
      </c>
      <c r="AK157" s="12">
        <f t="shared" si="282"/>
        <v>0</v>
      </c>
      <c r="AL157" s="12">
        <f t="shared" si="282"/>
        <v>0</v>
      </c>
      <c r="AM157" s="12">
        <f t="shared" si="282"/>
        <v>0</v>
      </c>
      <c r="AN157" s="12">
        <f t="shared" si="282"/>
        <v>0</v>
      </c>
      <c r="AO157" s="12">
        <f t="shared" si="282"/>
        <v>0</v>
      </c>
      <c r="AP157" s="12">
        <f t="shared" si="282"/>
        <v>0</v>
      </c>
      <c r="AQ157" s="12">
        <f t="shared" si="282"/>
        <v>0</v>
      </c>
      <c r="AR157" s="12">
        <f t="shared" si="282"/>
        <v>0</v>
      </c>
      <c r="AS157" s="12">
        <f t="shared" si="282"/>
        <v>0</v>
      </c>
      <c r="AT157" s="12">
        <f t="shared" si="282"/>
        <v>0</v>
      </c>
      <c r="AU157" s="12">
        <f t="shared" si="282"/>
        <v>0</v>
      </c>
      <c r="AV157" s="12">
        <f t="shared" si="282"/>
        <v>0</v>
      </c>
      <c r="AW157" s="12">
        <f t="shared" si="282"/>
        <v>0</v>
      </c>
      <c r="AX157" s="12">
        <f t="shared" si="282"/>
        <v>0</v>
      </c>
      <c r="AY157" s="12">
        <f t="shared" si="282"/>
        <v>0</v>
      </c>
      <c r="AZ157" s="12">
        <f t="shared" si="282"/>
        <v>0</v>
      </c>
      <c r="BA157" s="12">
        <f t="shared" si="282"/>
        <v>0</v>
      </c>
      <c r="BB157" s="12">
        <f t="shared" si="282"/>
        <v>0</v>
      </c>
      <c r="BC157" s="12">
        <f t="shared" si="282"/>
        <v>0</v>
      </c>
      <c r="BD157" s="12">
        <f t="shared" si="282"/>
        <v>0</v>
      </c>
      <c r="BE157" s="12">
        <f t="shared" si="282"/>
        <v>0</v>
      </c>
      <c r="BF157" s="12">
        <f t="shared" si="282"/>
        <v>0</v>
      </c>
      <c r="BG157" s="12">
        <f t="shared" si="282"/>
        <v>0</v>
      </c>
      <c r="BH157" s="12">
        <f t="shared" si="282"/>
        <v>0</v>
      </c>
      <c r="BI157" s="12">
        <f t="shared" si="282"/>
        <v>0</v>
      </c>
      <c r="BJ157" s="12">
        <f t="shared" si="282"/>
        <v>0</v>
      </c>
      <c r="BK157" s="1"/>
      <c r="BL157" s="1"/>
      <c r="BM157" s="1"/>
      <c r="BN157" s="1"/>
      <c r="BO157" s="1"/>
      <c r="BP157" s="1"/>
      <c r="BQ157" s="1"/>
      <c r="BR157" s="1"/>
      <c r="BS157" s="1"/>
      <c r="BT157" s="1"/>
      <c r="BU157" s="1"/>
      <c r="BV157" s="1"/>
      <c r="BX157" s="12">
        <f t="shared" ref="BX157:CI157" si="283">SUM(BX152:BX156)</f>
        <v>0</v>
      </c>
      <c r="BY157" s="12">
        <f t="shared" si="283"/>
        <v>0</v>
      </c>
      <c r="BZ157" s="12">
        <f t="shared" si="283"/>
        <v>0</v>
      </c>
      <c r="CA157" s="12">
        <f t="shared" si="283"/>
        <v>0</v>
      </c>
      <c r="CB157" s="12">
        <f t="shared" si="283"/>
        <v>0</v>
      </c>
      <c r="CC157" s="12">
        <f t="shared" si="283"/>
        <v>0</v>
      </c>
      <c r="CD157" s="12">
        <f t="shared" si="283"/>
        <v>0</v>
      </c>
      <c r="CE157" s="12">
        <f t="shared" si="283"/>
        <v>0</v>
      </c>
      <c r="CF157" s="12">
        <f t="shared" si="283"/>
        <v>0</v>
      </c>
      <c r="CG157" s="12">
        <f t="shared" si="283"/>
        <v>0</v>
      </c>
      <c r="CH157" s="12">
        <f t="shared" si="283"/>
        <v>0</v>
      </c>
      <c r="CI157" s="12">
        <f t="shared" si="283"/>
        <v>0</v>
      </c>
      <c r="CK157" s="11"/>
      <c r="CL157" s="221">
        <f t="shared" si="230"/>
        <v>0</v>
      </c>
      <c r="CM157" s="11"/>
      <c r="CV157" s="7">
        <f>IF(ROUND(SUM($V157:$CI157)-SUM($V137:$CI151), rounding)=0, 0, 1)</f>
        <v>0</v>
      </c>
      <c r="CW157" s="7">
        <f t="shared" si="232"/>
        <v>0</v>
      </c>
      <c r="CX157" s="7">
        <f t="shared" si="233"/>
        <v>0</v>
      </c>
      <c r="CY157" s="7">
        <f t="shared" si="234"/>
        <v>0</v>
      </c>
      <c r="CZ157" s="650"/>
      <c r="DA157" s="35"/>
      <c r="DB157" s="215">
        <f t="shared" si="235"/>
        <v>0</v>
      </c>
      <c r="DC157" s="215">
        <f t="shared" si="236"/>
        <v>0</v>
      </c>
      <c r="DD157" s="215">
        <f t="shared" si="237"/>
        <v>0</v>
      </c>
      <c r="DE157" s="215">
        <f t="shared" si="238"/>
        <v>0</v>
      </c>
      <c r="DF157" s="215">
        <f t="shared" si="239"/>
        <v>0</v>
      </c>
      <c r="DG157" s="215">
        <f t="shared" si="240"/>
        <v>0</v>
      </c>
      <c r="DH157" s="215">
        <f t="shared" si="241"/>
        <v>0</v>
      </c>
      <c r="DI157" s="35"/>
      <c r="DJ157">
        <v>0</v>
      </c>
      <c r="DK157">
        <v>0</v>
      </c>
      <c r="DL157" s="35"/>
      <c r="EZ157" s="10" t="str">
        <f t="shared" si="273"/>
        <v/>
      </c>
    </row>
    <row r="158" spans="1:156" ht="6.75" customHeight="1" x14ac:dyDescent="0.35">
      <c r="C158" s="253"/>
      <c r="D158" s="1"/>
      <c r="E158"/>
      <c r="BK158" s="1"/>
      <c r="BL158" s="1"/>
      <c r="BM158" s="1"/>
      <c r="BN158" s="1"/>
      <c r="BO158" s="1"/>
      <c r="BP158" s="1"/>
      <c r="BQ158" s="1"/>
      <c r="BR158" s="1"/>
      <c r="BS158" s="1"/>
      <c r="BT158" s="1"/>
      <c r="BU158" s="1"/>
      <c r="BV158" s="1"/>
      <c r="BY158" s="6"/>
      <c r="CK158" s="35"/>
      <c r="CM158" s="35"/>
      <c r="CZ158" s="650"/>
      <c r="DA158" s="35"/>
      <c r="DB158" s="215"/>
      <c r="DC158" s="215"/>
      <c r="DD158" s="215"/>
      <c r="DE158" s="215"/>
      <c r="DF158" s="215"/>
      <c r="DG158" s="215"/>
      <c r="DH158" s="215"/>
      <c r="DI158" s="35"/>
      <c r="DJ158">
        <v>0</v>
      </c>
      <c r="DK158">
        <v>0</v>
      </c>
      <c r="DL158" s="35"/>
      <c r="EZ158" s="10" t="str">
        <f t="shared" si="273"/>
        <v/>
      </c>
    </row>
    <row r="159" spans="1:156" ht="14.65" customHeight="1" x14ac:dyDescent="0.35">
      <c r="A159" s="220" cm="1">
        <f t="array" aca="1" ref="A159" ca="1">HYPERLINK(CONCATENATE("#",CELL("address",IF(MAX($CM159:$CZ159)=0,A159,INDEX($CM159:$CZ159,MATCH(1,$CM159:$CZ159,0))))),MAX($CM159:$CZ159))</f>
        <v>0</v>
      </c>
      <c r="C159" s="253"/>
      <c r="D159" s="73" t="s">
        <v>880</v>
      </c>
      <c r="E159"/>
      <c r="G159" s="4"/>
      <c r="V159" s="12">
        <f>'Opening Balances'!$W$31</f>
        <v>0</v>
      </c>
      <c r="W159" s="10">
        <f t="shared" ref="W159:Y160" si="284">INDEX($AA159:$BJ159, MATCH(W$5, $AA$5:$BJ$5))</f>
        <v>0</v>
      </c>
      <c r="X159" s="10">
        <f t="shared" si="284"/>
        <v>0</v>
      </c>
      <c r="Y159" s="10">
        <f t="shared" si="284"/>
        <v>0</v>
      </c>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X159" s="10">
        <f t="shared" ref="BX159:CA160" si="285">V159</f>
        <v>0</v>
      </c>
      <c r="BY159" s="10">
        <f t="shared" si="285"/>
        <v>0</v>
      </c>
      <c r="BZ159" s="10">
        <f t="shared" si="285"/>
        <v>0</v>
      </c>
      <c r="CA159" s="10">
        <f t="shared" si="285"/>
        <v>0</v>
      </c>
      <c r="CB159" s="109"/>
      <c r="CC159" s="109"/>
      <c r="CD159" s="109"/>
      <c r="CE159" s="109"/>
      <c r="CF159" s="109"/>
      <c r="CG159" s="109"/>
      <c r="CH159" s="109"/>
      <c r="CI159" s="109"/>
      <c r="CK159" s="11"/>
      <c r="CL159" s="221">
        <f>IF(MIN($V159:$CI159)&lt;0, 1, 0)</f>
        <v>0</v>
      </c>
      <c r="CM159" s="35"/>
      <c r="CU159" s="7" cm="1">
        <f t="array" ref="CU159">SUMPRODUCT(--NOT(ISNUMBER(AA159:CI159)),--NOT(ISBLANK(AA159:CI159)))</f>
        <v>0</v>
      </c>
      <c r="CW159" s="7">
        <f>IF(SUM($DB159:$DD159)=0, 0, 1)</f>
        <v>0</v>
      </c>
      <c r="CX159" s="7">
        <f>IF(SUM($DE159:$DG159)=0, 0, 1)</f>
        <v>0</v>
      </c>
      <c r="CY159" s="7">
        <f>IF($DH159=0, 0, 1)</f>
        <v>0</v>
      </c>
      <c r="CZ159" s="650"/>
      <c r="DA159" s="35"/>
      <c r="DB159" s="215">
        <f t="shared" ref="DB159:DD160" si="286">ROUND(W159-INDEX($AA159:$BJ159, MATCH(W$5,$AA$5:$BJ$5,0)), rounding)</f>
        <v>0</v>
      </c>
      <c r="DC159" s="215">
        <f t="shared" si="286"/>
        <v>0</v>
      </c>
      <c r="DD159" s="215">
        <f t="shared" si="286"/>
        <v>0</v>
      </c>
      <c r="DE159" s="215">
        <f t="shared" ref="DE159:DG160" si="287">ROUND(BY159-INDEX($AA159:$BJ159, MATCH(BY$5,$AA$5:$BJ$5,0)), rounding)</f>
        <v>0</v>
      </c>
      <c r="DF159" s="215">
        <f t="shared" si="287"/>
        <v>0</v>
      </c>
      <c r="DG159" s="215">
        <f t="shared" si="287"/>
        <v>0</v>
      </c>
      <c r="DH159" s="215">
        <f>ROUND($V159-$BX159, rounding)</f>
        <v>0</v>
      </c>
      <c r="DI159" s="35"/>
      <c r="DJ159">
        <v>0</v>
      </c>
      <c r="DK159">
        <v>1</v>
      </c>
      <c r="DL159" s="35"/>
      <c r="EZ159" s="10" t="str">
        <f t="shared" si="273"/>
        <v/>
      </c>
    </row>
    <row r="160" spans="1:156" ht="14.65" customHeight="1" x14ac:dyDescent="0.35">
      <c r="A160" s="220" cm="1">
        <f t="array" aca="1" ref="A160" ca="1">HYPERLINK(CONCATENATE("#",CELL("address",IF(MAX($CM160:$CZ160)=0,A160,INDEX($CM160:$CZ160,MATCH(1,$CM160:$CZ160,0))))),MAX($CM160:$CZ160))</f>
        <v>0</v>
      </c>
      <c r="C160" s="253"/>
      <c r="D160" s="73" t="s">
        <v>881</v>
      </c>
      <c r="E160"/>
      <c r="G160" s="4"/>
      <c r="V160" s="12">
        <f>'Opening Balances'!$W$16</f>
        <v>0</v>
      </c>
      <c r="W160" s="10">
        <f t="shared" si="284"/>
        <v>0</v>
      </c>
      <c r="X160" s="10">
        <f t="shared" si="284"/>
        <v>0</v>
      </c>
      <c r="Y160" s="10">
        <f t="shared" si="284"/>
        <v>0</v>
      </c>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X160" s="10">
        <f t="shared" si="285"/>
        <v>0</v>
      </c>
      <c r="BY160" s="10">
        <f t="shared" si="285"/>
        <v>0</v>
      </c>
      <c r="BZ160" s="10">
        <f t="shared" si="285"/>
        <v>0</v>
      </c>
      <c r="CA160" s="10">
        <f t="shared" si="285"/>
        <v>0</v>
      </c>
      <c r="CB160" s="109"/>
      <c r="CC160" s="109"/>
      <c r="CD160" s="109"/>
      <c r="CE160" s="109"/>
      <c r="CF160" s="109"/>
      <c r="CG160" s="109"/>
      <c r="CH160" s="109"/>
      <c r="CI160" s="109"/>
      <c r="CK160" s="11"/>
      <c r="CL160" s="221">
        <f>IF(MIN($V160:$CI160)&lt;0, 1, 0)</f>
        <v>0</v>
      </c>
      <c r="CM160" s="35"/>
      <c r="CU160" s="7" cm="1">
        <f t="array" ref="CU160">SUMPRODUCT(--NOT(ISNUMBER(AA160:CI160)),--NOT(ISBLANK(AA160:CI160)))</f>
        <v>0</v>
      </c>
      <c r="CW160" s="7">
        <f>IF(SUM($DB160:$DD160)=0, 0, 1)</f>
        <v>0</v>
      </c>
      <c r="CX160" s="7">
        <f>IF(SUM($DE160:$DG160)=0, 0, 1)</f>
        <v>0</v>
      </c>
      <c r="CY160" s="7">
        <f>IF($DH160=0, 0, 1)</f>
        <v>0</v>
      </c>
      <c r="CZ160" s="650"/>
      <c r="DA160" s="35"/>
      <c r="DB160" s="215">
        <f t="shared" si="286"/>
        <v>0</v>
      </c>
      <c r="DC160" s="215">
        <f t="shared" si="286"/>
        <v>0</v>
      </c>
      <c r="DD160" s="215">
        <f t="shared" si="286"/>
        <v>0</v>
      </c>
      <c r="DE160" s="215">
        <f t="shared" si="287"/>
        <v>0</v>
      </c>
      <c r="DF160" s="215">
        <f t="shared" si="287"/>
        <v>0</v>
      </c>
      <c r="DG160" s="215">
        <f t="shared" si="287"/>
        <v>0</v>
      </c>
      <c r="DH160" s="215">
        <f>ROUND($V160-$BX160, rounding)</f>
        <v>0</v>
      </c>
      <c r="DI160" s="35"/>
      <c r="DJ160">
        <v>0</v>
      </c>
      <c r="DK160">
        <v>1</v>
      </c>
      <c r="DL160" s="35"/>
      <c r="EZ160" s="10" t="str">
        <f t="shared" si="273"/>
        <v/>
      </c>
    </row>
    <row r="161" spans="1:156" ht="14.65" customHeight="1" x14ac:dyDescent="0.35">
      <c r="C161" s="253"/>
      <c r="D161" s="72" t="s">
        <v>882</v>
      </c>
      <c r="E161"/>
      <c r="G161" s="4"/>
      <c r="V161" s="12">
        <f>SUM(V159:V160)</f>
        <v>0</v>
      </c>
      <c r="W161" s="12">
        <f>SUM(W159:W160)</f>
        <v>0</v>
      </c>
      <c r="X161" s="12">
        <f>SUM(X159:X160)</f>
        <v>0</v>
      </c>
      <c r="Y161" s="12">
        <f>SUM(Y159:Y160)</f>
        <v>0</v>
      </c>
      <c r="AA161" s="12">
        <f t="shared" ref="AA161:BJ161" si="288">SUM(AA159:AA160)</f>
        <v>0</v>
      </c>
      <c r="AB161" s="12">
        <f t="shared" si="288"/>
        <v>0</v>
      </c>
      <c r="AC161" s="12">
        <f t="shared" si="288"/>
        <v>0</v>
      </c>
      <c r="AD161" s="12">
        <f t="shared" si="288"/>
        <v>0</v>
      </c>
      <c r="AE161" s="12">
        <f t="shared" si="288"/>
        <v>0</v>
      </c>
      <c r="AF161" s="12">
        <f t="shared" si="288"/>
        <v>0</v>
      </c>
      <c r="AG161" s="12">
        <f t="shared" si="288"/>
        <v>0</v>
      </c>
      <c r="AH161" s="12">
        <f t="shared" si="288"/>
        <v>0</v>
      </c>
      <c r="AI161" s="12">
        <f t="shared" si="288"/>
        <v>0</v>
      </c>
      <c r="AJ161" s="12">
        <f t="shared" si="288"/>
        <v>0</v>
      </c>
      <c r="AK161" s="12">
        <f t="shared" si="288"/>
        <v>0</v>
      </c>
      <c r="AL161" s="12">
        <f t="shared" si="288"/>
        <v>0</v>
      </c>
      <c r="AM161" s="12">
        <f t="shared" si="288"/>
        <v>0</v>
      </c>
      <c r="AN161" s="12">
        <f t="shared" si="288"/>
        <v>0</v>
      </c>
      <c r="AO161" s="12">
        <f t="shared" si="288"/>
        <v>0</v>
      </c>
      <c r="AP161" s="12">
        <f t="shared" si="288"/>
        <v>0</v>
      </c>
      <c r="AQ161" s="12">
        <f t="shared" si="288"/>
        <v>0</v>
      </c>
      <c r="AR161" s="12">
        <f t="shared" si="288"/>
        <v>0</v>
      </c>
      <c r="AS161" s="12">
        <f t="shared" si="288"/>
        <v>0</v>
      </c>
      <c r="AT161" s="12">
        <f t="shared" si="288"/>
        <v>0</v>
      </c>
      <c r="AU161" s="12">
        <f t="shared" si="288"/>
        <v>0</v>
      </c>
      <c r="AV161" s="12">
        <f t="shared" si="288"/>
        <v>0</v>
      </c>
      <c r="AW161" s="12">
        <f t="shared" si="288"/>
        <v>0</v>
      </c>
      <c r="AX161" s="12">
        <f t="shared" si="288"/>
        <v>0</v>
      </c>
      <c r="AY161" s="12">
        <f t="shared" si="288"/>
        <v>0</v>
      </c>
      <c r="AZ161" s="12">
        <f t="shared" si="288"/>
        <v>0</v>
      </c>
      <c r="BA161" s="12">
        <f t="shared" si="288"/>
        <v>0</v>
      </c>
      <c r="BB161" s="12">
        <f t="shared" si="288"/>
        <v>0</v>
      </c>
      <c r="BC161" s="12">
        <f t="shared" si="288"/>
        <v>0</v>
      </c>
      <c r="BD161" s="12">
        <f t="shared" si="288"/>
        <v>0</v>
      </c>
      <c r="BE161" s="12">
        <f t="shared" si="288"/>
        <v>0</v>
      </c>
      <c r="BF161" s="12">
        <f t="shared" si="288"/>
        <v>0</v>
      </c>
      <c r="BG161" s="12">
        <f t="shared" si="288"/>
        <v>0</v>
      </c>
      <c r="BH161" s="12">
        <f t="shared" si="288"/>
        <v>0</v>
      </c>
      <c r="BI161" s="12">
        <f t="shared" si="288"/>
        <v>0</v>
      </c>
      <c r="BJ161" s="12">
        <f t="shared" si="288"/>
        <v>0</v>
      </c>
      <c r="BX161" s="12">
        <f t="shared" ref="BX161:CI161" si="289">SUM(BX159:BX160)</f>
        <v>0</v>
      </c>
      <c r="BY161" s="12">
        <f t="shared" si="289"/>
        <v>0</v>
      </c>
      <c r="BZ161" s="12">
        <f t="shared" si="289"/>
        <v>0</v>
      </c>
      <c r="CA161" s="12">
        <f t="shared" si="289"/>
        <v>0</v>
      </c>
      <c r="CB161" s="12">
        <f t="shared" si="289"/>
        <v>0</v>
      </c>
      <c r="CC161" s="12">
        <f t="shared" si="289"/>
        <v>0</v>
      </c>
      <c r="CD161" s="12">
        <f t="shared" si="289"/>
        <v>0</v>
      </c>
      <c r="CE161" s="12">
        <f t="shared" si="289"/>
        <v>0</v>
      </c>
      <c r="CF161" s="12">
        <f t="shared" si="289"/>
        <v>0</v>
      </c>
      <c r="CG161" s="12">
        <f t="shared" si="289"/>
        <v>0</v>
      </c>
      <c r="CH161" s="12">
        <f t="shared" si="289"/>
        <v>0</v>
      </c>
      <c r="CI161" s="12">
        <f t="shared" si="289"/>
        <v>0</v>
      </c>
      <c r="CK161" s="11"/>
      <c r="CL161" s="221">
        <f>IF(MIN($V161:$CI161)&lt;0, 1, 0)</f>
        <v>0</v>
      </c>
      <c r="CM161" s="35"/>
      <c r="CZ161" s="650"/>
      <c r="DA161" s="35"/>
      <c r="DI161" s="35"/>
      <c r="DJ161">
        <v>0</v>
      </c>
      <c r="DK161">
        <v>0</v>
      </c>
      <c r="DL161" s="35"/>
      <c r="EZ161" s="10" t="str">
        <f t="shared" si="273"/>
        <v/>
      </c>
    </row>
    <row r="162" spans="1:156" ht="6.75" customHeight="1" x14ac:dyDescent="0.35">
      <c r="C162" s="253"/>
      <c r="D162" s="1"/>
      <c r="E162"/>
      <c r="BK162" s="1"/>
      <c r="BL162" s="1"/>
      <c r="BM162" s="1"/>
      <c r="BN162" s="1"/>
      <c r="BO162" s="1"/>
      <c r="BP162" s="1"/>
      <c r="BQ162" s="1"/>
      <c r="BR162" s="1"/>
      <c r="BS162" s="1"/>
      <c r="BT162" s="1"/>
      <c r="BU162" s="1"/>
      <c r="BV162" s="1"/>
      <c r="BY162" s="6"/>
      <c r="CK162" s="35"/>
      <c r="CM162" s="35"/>
      <c r="CZ162" s="650"/>
      <c r="DA162" s="35"/>
      <c r="DB162" s="215"/>
      <c r="DC162" s="215"/>
      <c r="DD162" s="215"/>
      <c r="DE162" s="215"/>
      <c r="DF162" s="215"/>
      <c r="DG162" s="215"/>
      <c r="DH162" s="215"/>
      <c r="DI162" s="35"/>
      <c r="DJ162">
        <v>0</v>
      </c>
      <c r="DK162">
        <v>0</v>
      </c>
      <c r="DL162" s="35"/>
      <c r="EZ162" s="10" t="str">
        <f t="shared" si="273"/>
        <v/>
      </c>
    </row>
    <row r="163" spans="1:156" ht="14.65" customHeight="1" x14ac:dyDescent="0.35">
      <c r="A163" s="220" cm="1">
        <f t="array" aca="1" ref="A163" ca="1">HYPERLINK(CONCATENATE("#",CELL("address",IF(MAX($CM163:$CZ163)=0,A163,INDEX($CM163:$CZ163,MATCH(1,$CM163:$CZ163,0))))),MAX($CM163:$CZ163))</f>
        <v>0</v>
      </c>
      <c r="C163" s="253"/>
      <c r="D163" s="73" t="s">
        <v>750</v>
      </c>
      <c r="E163" s="85" t="s">
        <v>122</v>
      </c>
      <c r="G163" s="4"/>
      <c r="AA163" s="125">
        <f>IF(OR(AA161&lt;0, MAX(AA161-V161,0)&gt;ABS(AA157)), 1, 0)</f>
        <v>0</v>
      </c>
      <c r="AB163" s="125">
        <f t="shared" ref="AB163:BJ163" si="290">IF(OR(AB161&lt;0, MAX(AB161-AA161,0)&gt;ABS(AB157)), 1, 0)</f>
        <v>0</v>
      </c>
      <c r="AC163" s="125">
        <f t="shared" si="290"/>
        <v>0</v>
      </c>
      <c r="AD163" s="125">
        <f t="shared" si="290"/>
        <v>0</v>
      </c>
      <c r="AE163" s="125">
        <f t="shared" si="290"/>
        <v>0</v>
      </c>
      <c r="AF163" s="125">
        <f t="shared" si="290"/>
        <v>0</v>
      </c>
      <c r="AG163" s="125">
        <f t="shared" si="290"/>
        <v>0</v>
      </c>
      <c r="AH163" s="125">
        <f t="shared" si="290"/>
        <v>0</v>
      </c>
      <c r="AI163" s="125">
        <f t="shared" si="290"/>
        <v>0</v>
      </c>
      <c r="AJ163" s="125">
        <f t="shared" si="290"/>
        <v>0</v>
      </c>
      <c r="AK163" s="125">
        <f t="shared" si="290"/>
        <v>0</v>
      </c>
      <c r="AL163" s="125">
        <f t="shared" si="290"/>
        <v>0</v>
      </c>
      <c r="AM163" s="125">
        <f t="shared" si="290"/>
        <v>0</v>
      </c>
      <c r="AN163" s="125">
        <f t="shared" si="290"/>
        <v>0</v>
      </c>
      <c r="AO163" s="125">
        <f t="shared" si="290"/>
        <v>0</v>
      </c>
      <c r="AP163" s="125">
        <f t="shared" si="290"/>
        <v>0</v>
      </c>
      <c r="AQ163" s="125">
        <f t="shared" si="290"/>
        <v>0</v>
      </c>
      <c r="AR163" s="125">
        <f t="shared" si="290"/>
        <v>0</v>
      </c>
      <c r="AS163" s="125">
        <f t="shared" si="290"/>
        <v>0</v>
      </c>
      <c r="AT163" s="125">
        <f t="shared" si="290"/>
        <v>0</v>
      </c>
      <c r="AU163" s="125">
        <f t="shared" si="290"/>
        <v>0</v>
      </c>
      <c r="AV163" s="125">
        <f t="shared" si="290"/>
        <v>0</v>
      </c>
      <c r="AW163" s="125">
        <f t="shared" si="290"/>
        <v>0</v>
      </c>
      <c r="AX163" s="125">
        <f t="shared" si="290"/>
        <v>0</v>
      </c>
      <c r="AY163" s="125">
        <f t="shared" si="290"/>
        <v>0</v>
      </c>
      <c r="AZ163" s="125">
        <f t="shared" si="290"/>
        <v>0</v>
      </c>
      <c r="BA163" s="125">
        <f t="shared" si="290"/>
        <v>0</v>
      </c>
      <c r="BB163" s="125">
        <f t="shared" si="290"/>
        <v>0</v>
      </c>
      <c r="BC163" s="125">
        <f t="shared" si="290"/>
        <v>0</v>
      </c>
      <c r="BD163" s="125">
        <f t="shared" si="290"/>
        <v>0</v>
      </c>
      <c r="BE163" s="125">
        <f t="shared" si="290"/>
        <v>0</v>
      </c>
      <c r="BF163" s="125">
        <f t="shared" si="290"/>
        <v>0</v>
      </c>
      <c r="BG163" s="125">
        <f t="shared" si="290"/>
        <v>0</v>
      </c>
      <c r="BH163" s="125">
        <f t="shared" si="290"/>
        <v>0</v>
      </c>
      <c r="BI163" s="125">
        <f t="shared" si="290"/>
        <v>0</v>
      </c>
      <c r="BJ163" s="125">
        <f t="shared" si="290"/>
        <v>0</v>
      </c>
      <c r="BK163" s="1"/>
      <c r="BL163" s="1"/>
      <c r="BM163" s="1"/>
      <c r="BN163" s="1"/>
      <c r="BO163" s="1"/>
      <c r="BP163" s="1"/>
      <c r="BQ163" s="1"/>
      <c r="BR163" s="1"/>
      <c r="BS163" s="1"/>
      <c r="BT163" s="1"/>
      <c r="BU163" s="1"/>
      <c r="BV163" s="1"/>
      <c r="CB163" s="125">
        <f t="shared" ref="CB163:CI163" si="291">IF(OR(CB161&lt;0, MAX(CB161-CA161,0)&gt;ABS(CB157)), 1, 0)</f>
        <v>0</v>
      </c>
      <c r="CC163" s="125">
        <f t="shared" si="291"/>
        <v>0</v>
      </c>
      <c r="CD163" s="125">
        <f t="shared" si="291"/>
        <v>0</v>
      </c>
      <c r="CE163" s="125">
        <f t="shared" si="291"/>
        <v>0</v>
      </c>
      <c r="CF163" s="125">
        <f t="shared" si="291"/>
        <v>0</v>
      </c>
      <c r="CG163" s="125">
        <f t="shared" si="291"/>
        <v>0</v>
      </c>
      <c r="CH163" s="125">
        <f t="shared" si="291"/>
        <v>0</v>
      </c>
      <c r="CI163" s="125">
        <f t="shared" si="291"/>
        <v>0</v>
      </c>
      <c r="CK163" s="35"/>
      <c r="CM163" s="35"/>
      <c r="CT163" s="7">
        <f>IF(SUM(AA163:CI163)&gt;0, 1, 0)</f>
        <v>0</v>
      </c>
      <c r="CZ163" s="650"/>
      <c r="DA163" s="35"/>
      <c r="DI163" s="35"/>
      <c r="DJ163">
        <v>0</v>
      </c>
      <c r="DK163">
        <v>0</v>
      </c>
      <c r="DL163" s="35"/>
      <c r="EZ163" s="10" t="str">
        <f t="shared" si="273"/>
        <v/>
      </c>
    </row>
    <row r="164" spans="1:156" ht="6.75" customHeight="1" x14ac:dyDescent="0.35">
      <c r="C164" s="253"/>
      <c r="D164" s="1"/>
      <c r="E164"/>
      <c r="BK164" s="1"/>
      <c r="BL164" s="1"/>
      <c r="BM164" s="1"/>
      <c r="BN164" s="1"/>
      <c r="BO164" s="1"/>
      <c r="BP164" s="1"/>
      <c r="BQ164" s="1"/>
      <c r="BR164" s="1"/>
      <c r="BS164" s="1"/>
      <c r="BT164" s="1"/>
      <c r="BU164" s="1"/>
      <c r="BV164" s="1"/>
      <c r="BY164" s="6"/>
      <c r="CK164" s="35"/>
      <c r="CM164" s="35"/>
      <c r="CZ164" s="650"/>
      <c r="DA164" s="35"/>
      <c r="DB164" s="215"/>
      <c r="DC164" s="215"/>
      <c r="DD164" s="215"/>
      <c r="DE164" s="215"/>
      <c r="DF164" s="215"/>
      <c r="DG164" s="215"/>
      <c r="DH164" s="215"/>
      <c r="DI164" s="35"/>
      <c r="DJ164">
        <v>0</v>
      </c>
      <c r="DK164">
        <v>0</v>
      </c>
      <c r="DL164" s="35"/>
      <c r="EZ164" s="10" t="str">
        <f t="shared" si="273"/>
        <v/>
      </c>
    </row>
    <row r="165" spans="1:156" ht="14.65" customHeight="1" x14ac:dyDescent="0.35">
      <c r="A165" s="220" cm="1">
        <f t="array" aca="1" ref="A165" ca="1">HYPERLINK(CONCATENATE("#",CELL("address",IF(MAX($CM165:$CZ165)=0,A165,INDEX($CM165:$CZ165,MATCH(1,$CM165:$CZ165,0))))),MAX($CM165:$CZ165))</f>
        <v>0</v>
      </c>
      <c r="C165" s="253"/>
      <c r="D165" s="73" t="s">
        <v>883</v>
      </c>
      <c r="E165"/>
      <c r="G165" s="4"/>
      <c r="V165" s="109"/>
      <c r="W165" s="133">
        <f t="shared" ref="W165:Y166" si="292" xml:space="preserve"> SUMIFS($AA165:$BJ165, $AA$3:$BJ$3, W$3)</f>
        <v>0</v>
      </c>
      <c r="X165" s="133">
        <f t="shared" si="292"/>
        <v>0</v>
      </c>
      <c r="Y165" s="133">
        <f t="shared" si="292"/>
        <v>0</v>
      </c>
      <c r="AA165" s="12">
        <f>0-AA157-MAX(AA161-V161,0)</f>
        <v>0</v>
      </c>
      <c r="AB165" s="10">
        <f t="shared" ref="AB165:BJ165" si="293">0-AB157-MAX(AB161-AA161,0)</f>
        <v>0</v>
      </c>
      <c r="AC165" s="10">
        <f t="shared" si="293"/>
        <v>0</v>
      </c>
      <c r="AD165" s="10">
        <f t="shared" si="293"/>
        <v>0</v>
      </c>
      <c r="AE165" s="10">
        <f t="shared" si="293"/>
        <v>0</v>
      </c>
      <c r="AF165" s="10">
        <f t="shared" si="293"/>
        <v>0</v>
      </c>
      <c r="AG165" s="10">
        <f t="shared" si="293"/>
        <v>0</v>
      </c>
      <c r="AH165" s="10">
        <f t="shared" si="293"/>
        <v>0</v>
      </c>
      <c r="AI165" s="10">
        <f t="shared" si="293"/>
        <v>0</v>
      </c>
      <c r="AJ165" s="10">
        <f t="shared" si="293"/>
        <v>0</v>
      </c>
      <c r="AK165" s="10">
        <f t="shared" si="293"/>
        <v>0</v>
      </c>
      <c r="AL165" s="10">
        <f t="shared" si="293"/>
        <v>0</v>
      </c>
      <c r="AM165" s="10">
        <f t="shared" si="293"/>
        <v>0</v>
      </c>
      <c r="AN165" s="10">
        <f t="shared" si="293"/>
        <v>0</v>
      </c>
      <c r="AO165" s="10">
        <f t="shared" si="293"/>
        <v>0</v>
      </c>
      <c r="AP165" s="10">
        <f t="shared" si="293"/>
        <v>0</v>
      </c>
      <c r="AQ165" s="10">
        <f t="shared" si="293"/>
        <v>0</v>
      </c>
      <c r="AR165" s="10">
        <f t="shared" si="293"/>
        <v>0</v>
      </c>
      <c r="AS165" s="10">
        <f t="shared" si="293"/>
        <v>0</v>
      </c>
      <c r="AT165" s="10">
        <f t="shared" si="293"/>
        <v>0</v>
      </c>
      <c r="AU165" s="10">
        <f t="shared" si="293"/>
        <v>0</v>
      </c>
      <c r="AV165" s="10">
        <f t="shared" si="293"/>
        <v>0</v>
      </c>
      <c r="AW165" s="10">
        <f t="shared" si="293"/>
        <v>0</v>
      </c>
      <c r="AX165" s="10">
        <f t="shared" si="293"/>
        <v>0</v>
      </c>
      <c r="AY165" s="10">
        <f t="shared" si="293"/>
        <v>0</v>
      </c>
      <c r="AZ165" s="10">
        <f t="shared" si="293"/>
        <v>0</v>
      </c>
      <c r="BA165" s="10">
        <f t="shared" si="293"/>
        <v>0</v>
      </c>
      <c r="BB165" s="10">
        <f t="shared" si="293"/>
        <v>0</v>
      </c>
      <c r="BC165" s="10">
        <f t="shared" si="293"/>
        <v>0</v>
      </c>
      <c r="BD165" s="10">
        <f t="shared" si="293"/>
        <v>0</v>
      </c>
      <c r="BE165" s="10">
        <f t="shared" si="293"/>
        <v>0</v>
      </c>
      <c r="BF165" s="10">
        <f t="shared" si="293"/>
        <v>0</v>
      </c>
      <c r="BG165" s="10">
        <f t="shared" si="293"/>
        <v>0</v>
      </c>
      <c r="BH165" s="10">
        <f t="shared" si="293"/>
        <v>0</v>
      </c>
      <c r="BI165" s="10">
        <f t="shared" si="293"/>
        <v>0</v>
      </c>
      <c r="BJ165" s="10">
        <f t="shared" si="293"/>
        <v>0</v>
      </c>
      <c r="BK165" s="1"/>
      <c r="BL165" s="1"/>
      <c r="BM165" s="1"/>
      <c r="BN165" s="1"/>
      <c r="BO165" s="1"/>
      <c r="BP165" s="1"/>
      <c r="BQ165" s="1"/>
      <c r="BR165" s="1"/>
      <c r="BS165" s="1"/>
      <c r="BT165" s="1"/>
      <c r="BU165" s="1"/>
      <c r="BV165" s="1"/>
      <c r="BX165" s="12">
        <f t="shared" ref="BX165:CA166" si="294">V165</f>
        <v>0</v>
      </c>
      <c r="BY165" s="12">
        <f t="shared" si="294"/>
        <v>0</v>
      </c>
      <c r="BZ165" s="12">
        <f t="shared" si="294"/>
        <v>0</v>
      </c>
      <c r="CA165" s="12">
        <f t="shared" si="294"/>
        <v>0</v>
      </c>
      <c r="CB165" s="10">
        <f t="shared" ref="CB165:CI165" si="295">0-CB157-MAX(CB161-CA161,0)</f>
        <v>0</v>
      </c>
      <c r="CC165" s="10">
        <f t="shared" si="295"/>
        <v>0</v>
      </c>
      <c r="CD165" s="10">
        <f t="shared" si="295"/>
        <v>0</v>
      </c>
      <c r="CE165" s="10">
        <f t="shared" si="295"/>
        <v>0</v>
      </c>
      <c r="CF165" s="10">
        <f t="shared" si="295"/>
        <v>0</v>
      </c>
      <c r="CG165" s="10">
        <f t="shared" si="295"/>
        <v>0</v>
      </c>
      <c r="CH165" s="10">
        <f t="shared" si="295"/>
        <v>0</v>
      </c>
      <c r="CI165" s="10">
        <f t="shared" si="295"/>
        <v>0</v>
      </c>
      <c r="CK165" s="35"/>
      <c r="CL165" s="221">
        <f>IF(MIN($V165:$CI165)&lt;0, 1, 0)</f>
        <v>0</v>
      </c>
      <c r="CM165" s="35"/>
      <c r="CU165" s="7" cm="1">
        <f t="array" ref="CU165">SUMPRODUCT(--NOT(ISNUMBER(V165:V165)),--NOT(ISBLANK(V165:V165)))</f>
        <v>0</v>
      </c>
      <c r="CW165" s="7">
        <f>IF(SUM($DB165:$DD165)=0, 0, 1)</f>
        <v>0</v>
      </c>
      <c r="CX165" s="7">
        <f>IF(SUM($DE165:$DG165)=0, 0, 1)</f>
        <v>0</v>
      </c>
      <c r="CY165" s="7">
        <f>IF($DH165=0, 0, 1)</f>
        <v>0</v>
      </c>
      <c r="CZ165" s="650"/>
      <c r="DA165" s="35"/>
      <c r="DB165" s="215">
        <f t="shared" ref="DB165:DD166" si="296">ROUND(W165-SUMIFS($AA165:$BJ165, $AA$3:$BJ$3, W$3), rounding)</f>
        <v>0</v>
      </c>
      <c r="DC165" s="215">
        <f t="shared" si="296"/>
        <v>0</v>
      </c>
      <c r="DD165" s="215">
        <f t="shared" si="296"/>
        <v>0</v>
      </c>
      <c r="DE165" s="215">
        <f>ROUND($BY165-SUMIFS($AA165:$BJ165, $AA$3:$BJ$3, $BY$3), rounding)</f>
        <v>0</v>
      </c>
      <c r="DF165" s="215">
        <f>ROUND($BZ165-SUMIFS($AA165:$BJ165, $AA$3:$BJ$3, $BZ$3), rounding)</f>
        <v>0</v>
      </c>
      <c r="DG165" s="215">
        <f>ROUND($CA165-SUMIFS($AA165:$BJ165, $AA$3:$BJ$3, $CA$3), rounding)</f>
        <v>0</v>
      </c>
      <c r="DH165" s="215">
        <f>ROUND($V165-$BX165, rounding)</f>
        <v>0</v>
      </c>
      <c r="DI165" s="35"/>
      <c r="DJ165">
        <v>1</v>
      </c>
      <c r="DK165">
        <v>0</v>
      </c>
      <c r="DL165" s="35"/>
      <c r="EZ165" s="10" t="str">
        <f t="shared" si="273"/>
        <v/>
      </c>
    </row>
    <row r="166" spans="1:156" ht="14.65" customHeight="1" x14ac:dyDescent="0.35">
      <c r="A166" s="220" cm="1">
        <f t="array" aca="1" ref="A166" ca="1">HYPERLINK(CONCATENATE("#",CELL("address",IF(MAX($CM166:$CZ166)=0,A166,INDEX($CM166:$CZ166,MATCH(1,$CM166:$CZ166,0))))),MAX($CM166:$CZ166))</f>
        <v>0</v>
      </c>
      <c r="C166" s="253"/>
      <c r="D166" s="73" t="s">
        <v>884</v>
      </c>
      <c r="E166" s="85" t="s">
        <v>122</v>
      </c>
      <c r="G166" s="4"/>
      <c r="V166" s="109"/>
      <c r="W166" s="133">
        <f t="shared" si="292"/>
        <v>0</v>
      </c>
      <c r="X166" s="133">
        <f t="shared" si="292"/>
        <v>0</v>
      </c>
      <c r="Y166" s="133">
        <f t="shared" si="292"/>
        <v>0</v>
      </c>
      <c r="AA166" s="12">
        <f>0-MIN(AA161-V161,0)</f>
        <v>0</v>
      </c>
      <c r="AB166" s="10">
        <f t="shared" ref="AB166:BJ166" si="297">0-MIN(AB161-AA161,0)</f>
        <v>0</v>
      </c>
      <c r="AC166" s="10">
        <f t="shared" si="297"/>
        <v>0</v>
      </c>
      <c r="AD166" s="10">
        <f t="shared" si="297"/>
        <v>0</v>
      </c>
      <c r="AE166" s="10">
        <f t="shared" si="297"/>
        <v>0</v>
      </c>
      <c r="AF166" s="10">
        <f t="shared" si="297"/>
        <v>0</v>
      </c>
      <c r="AG166" s="10">
        <f t="shared" si="297"/>
        <v>0</v>
      </c>
      <c r="AH166" s="10">
        <f t="shared" si="297"/>
        <v>0</v>
      </c>
      <c r="AI166" s="10">
        <f t="shared" si="297"/>
        <v>0</v>
      </c>
      <c r="AJ166" s="10">
        <f t="shared" si="297"/>
        <v>0</v>
      </c>
      <c r="AK166" s="10">
        <f t="shared" si="297"/>
        <v>0</v>
      </c>
      <c r="AL166" s="10">
        <f t="shared" si="297"/>
        <v>0</v>
      </c>
      <c r="AM166" s="10">
        <f t="shared" si="297"/>
        <v>0</v>
      </c>
      <c r="AN166" s="10">
        <f t="shared" si="297"/>
        <v>0</v>
      </c>
      <c r="AO166" s="10">
        <f t="shared" si="297"/>
        <v>0</v>
      </c>
      <c r="AP166" s="10">
        <f t="shared" si="297"/>
        <v>0</v>
      </c>
      <c r="AQ166" s="10">
        <f t="shared" si="297"/>
        <v>0</v>
      </c>
      <c r="AR166" s="10">
        <f t="shared" si="297"/>
        <v>0</v>
      </c>
      <c r="AS166" s="10">
        <f t="shared" si="297"/>
        <v>0</v>
      </c>
      <c r="AT166" s="10">
        <f t="shared" si="297"/>
        <v>0</v>
      </c>
      <c r="AU166" s="10">
        <f t="shared" si="297"/>
        <v>0</v>
      </c>
      <c r="AV166" s="10">
        <f t="shared" si="297"/>
        <v>0</v>
      </c>
      <c r="AW166" s="10">
        <f t="shared" si="297"/>
        <v>0</v>
      </c>
      <c r="AX166" s="10">
        <f t="shared" si="297"/>
        <v>0</v>
      </c>
      <c r="AY166" s="10">
        <f t="shared" si="297"/>
        <v>0</v>
      </c>
      <c r="AZ166" s="10">
        <f t="shared" si="297"/>
        <v>0</v>
      </c>
      <c r="BA166" s="10">
        <f t="shared" si="297"/>
        <v>0</v>
      </c>
      <c r="BB166" s="10">
        <f t="shared" si="297"/>
        <v>0</v>
      </c>
      <c r="BC166" s="10">
        <f t="shared" si="297"/>
        <v>0</v>
      </c>
      <c r="BD166" s="10">
        <f t="shared" si="297"/>
        <v>0</v>
      </c>
      <c r="BE166" s="10">
        <f t="shared" si="297"/>
        <v>0</v>
      </c>
      <c r="BF166" s="10">
        <f t="shared" si="297"/>
        <v>0</v>
      </c>
      <c r="BG166" s="10">
        <f t="shared" si="297"/>
        <v>0</v>
      </c>
      <c r="BH166" s="10">
        <f t="shared" si="297"/>
        <v>0</v>
      </c>
      <c r="BI166" s="10">
        <f t="shared" si="297"/>
        <v>0</v>
      </c>
      <c r="BJ166" s="10">
        <f t="shared" si="297"/>
        <v>0</v>
      </c>
      <c r="BK166" s="1"/>
      <c r="BL166" s="1"/>
      <c r="BM166" s="1"/>
      <c r="BN166" s="1"/>
      <c r="BO166" s="1"/>
      <c r="BP166" s="1"/>
      <c r="BQ166" s="1"/>
      <c r="BR166" s="1"/>
      <c r="BS166" s="1"/>
      <c r="BT166" s="1"/>
      <c r="BU166" s="1"/>
      <c r="BV166" s="1"/>
      <c r="BX166" s="12">
        <f t="shared" si="294"/>
        <v>0</v>
      </c>
      <c r="BY166" s="12">
        <f t="shared" si="294"/>
        <v>0</v>
      </c>
      <c r="BZ166" s="12">
        <f t="shared" si="294"/>
        <v>0</v>
      </c>
      <c r="CA166" s="12">
        <f t="shared" si="294"/>
        <v>0</v>
      </c>
      <c r="CB166" s="10">
        <f t="shared" ref="CB166:CI166" si="298">0-MIN(CB161-CA161,0)</f>
        <v>0</v>
      </c>
      <c r="CC166" s="10">
        <f t="shared" si="298"/>
        <v>0</v>
      </c>
      <c r="CD166" s="10">
        <f t="shared" si="298"/>
        <v>0</v>
      </c>
      <c r="CE166" s="10">
        <f t="shared" si="298"/>
        <v>0</v>
      </c>
      <c r="CF166" s="10">
        <f t="shared" si="298"/>
        <v>0</v>
      </c>
      <c r="CG166" s="10">
        <f t="shared" si="298"/>
        <v>0</v>
      </c>
      <c r="CH166" s="10">
        <f t="shared" si="298"/>
        <v>0</v>
      </c>
      <c r="CI166" s="10">
        <f t="shared" si="298"/>
        <v>0</v>
      </c>
      <c r="CK166" s="35"/>
      <c r="CL166" s="221">
        <f>IF(MIN($V166:$CI166)&lt;0, 1, 0)</f>
        <v>0</v>
      </c>
      <c r="CM166" s="35"/>
      <c r="CU166" s="7" cm="1">
        <f t="array" ref="CU166">SUMPRODUCT(--NOT(ISNUMBER(V166:V166)),--NOT(ISBLANK(V166:V166)))</f>
        <v>0</v>
      </c>
      <c r="CW166" s="7">
        <f>IF(SUM($DB166:$DD166)=0, 0, 1)</f>
        <v>0</v>
      </c>
      <c r="CX166" s="7">
        <f>IF(SUM($DE166:$DG166)=0, 0, 1)</f>
        <v>0</v>
      </c>
      <c r="CY166" s="7">
        <f>IF($DH166=0, 0, 1)</f>
        <v>0</v>
      </c>
      <c r="CZ166" s="650"/>
      <c r="DA166" s="35"/>
      <c r="DB166" s="215">
        <f t="shared" si="296"/>
        <v>0</v>
      </c>
      <c r="DC166" s="215">
        <f t="shared" si="296"/>
        <v>0</v>
      </c>
      <c r="DD166" s="215">
        <f t="shared" si="296"/>
        <v>0</v>
      </c>
      <c r="DE166" s="215">
        <f>ROUND($BY166-SUMIFS($AA166:$BJ166, $AA$3:$BJ$3, $BY$3), rounding)</f>
        <v>0</v>
      </c>
      <c r="DF166" s="215">
        <f>ROUND($BZ166-SUMIFS($AA166:$BJ166, $AA$3:$BJ$3, $BZ$3), rounding)</f>
        <v>0</v>
      </c>
      <c r="DG166" s="215">
        <f>ROUND($CA166-SUMIFS($AA166:$BJ166, $AA$3:$BJ$3, $CA$3), rounding)</f>
        <v>0</v>
      </c>
      <c r="DH166" s="215">
        <f>ROUND($V166-$BX166, rounding)</f>
        <v>0</v>
      </c>
      <c r="DI166" s="35"/>
      <c r="DJ166">
        <v>1</v>
      </c>
      <c r="DK166">
        <v>0</v>
      </c>
      <c r="DL166" s="35"/>
      <c r="EZ166" s="10" t="str">
        <f t="shared" si="273"/>
        <v/>
      </c>
    </row>
    <row r="167" spans="1:156" ht="14.65" customHeight="1" x14ac:dyDescent="0.35">
      <c r="C167" s="253"/>
      <c r="D167" s="72" t="s">
        <v>885</v>
      </c>
      <c r="E167"/>
      <c r="G167" s="4"/>
      <c r="V167" s="12">
        <f>SUM(V165:V166)</f>
        <v>0</v>
      </c>
      <c r="W167" s="12">
        <f>SUM(W165:W166)</f>
        <v>0</v>
      </c>
      <c r="X167" s="12">
        <f>SUM(X165:X166)</f>
        <v>0</v>
      </c>
      <c r="Y167" s="12">
        <f>SUM(Y165:Y166)</f>
        <v>0</v>
      </c>
      <c r="AA167" s="12">
        <f t="shared" ref="AA167:BJ167" si="299">SUM(AA165:AA166)</f>
        <v>0</v>
      </c>
      <c r="AB167" s="12">
        <f t="shared" si="299"/>
        <v>0</v>
      </c>
      <c r="AC167" s="12">
        <f t="shared" si="299"/>
        <v>0</v>
      </c>
      <c r="AD167" s="12">
        <f t="shared" si="299"/>
        <v>0</v>
      </c>
      <c r="AE167" s="12">
        <f t="shared" si="299"/>
        <v>0</v>
      </c>
      <c r="AF167" s="12">
        <f t="shared" si="299"/>
        <v>0</v>
      </c>
      <c r="AG167" s="12">
        <f t="shared" si="299"/>
        <v>0</v>
      </c>
      <c r="AH167" s="12">
        <f t="shared" si="299"/>
        <v>0</v>
      </c>
      <c r="AI167" s="12">
        <f t="shared" si="299"/>
        <v>0</v>
      </c>
      <c r="AJ167" s="12">
        <f t="shared" si="299"/>
        <v>0</v>
      </c>
      <c r="AK167" s="12">
        <f t="shared" si="299"/>
        <v>0</v>
      </c>
      <c r="AL167" s="12">
        <f t="shared" si="299"/>
        <v>0</v>
      </c>
      <c r="AM167" s="12">
        <f t="shared" si="299"/>
        <v>0</v>
      </c>
      <c r="AN167" s="12">
        <f t="shared" si="299"/>
        <v>0</v>
      </c>
      <c r="AO167" s="12">
        <f t="shared" si="299"/>
        <v>0</v>
      </c>
      <c r="AP167" s="12">
        <f t="shared" si="299"/>
        <v>0</v>
      </c>
      <c r="AQ167" s="12">
        <f t="shared" si="299"/>
        <v>0</v>
      </c>
      <c r="AR167" s="12">
        <f t="shared" si="299"/>
        <v>0</v>
      </c>
      <c r="AS167" s="12">
        <f t="shared" si="299"/>
        <v>0</v>
      </c>
      <c r="AT167" s="12">
        <f t="shared" si="299"/>
        <v>0</v>
      </c>
      <c r="AU167" s="12">
        <f t="shared" si="299"/>
        <v>0</v>
      </c>
      <c r="AV167" s="12">
        <f t="shared" si="299"/>
        <v>0</v>
      </c>
      <c r="AW167" s="12">
        <f t="shared" si="299"/>
        <v>0</v>
      </c>
      <c r="AX167" s="12">
        <f t="shared" si="299"/>
        <v>0</v>
      </c>
      <c r="AY167" s="12">
        <f t="shared" si="299"/>
        <v>0</v>
      </c>
      <c r="AZ167" s="12">
        <f t="shared" si="299"/>
        <v>0</v>
      </c>
      <c r="BA167" s="12">
        <f t="shared" si="299"/>
        <v>0</v>
      </c>
      <c r="BB167" s="12">
        <f t="shared" si="299"/>
        <v>0</v>
      </c>
      <c r="BC167" s="12">
        <f t="shared" si="299"/>
        <v>0</v>
      </c>
      <c r="BD167" s="12">
        <f t="shared" si="299"/>
        <v>0</v>
      </c>
      <c r="BE167" s="12">
        <f t="shared" si="299"/>
        <v>0</v>
      </c>
      <c r="BF167" s="12">
        <f t="shared" si="299"/>
        <v>0</v>
      </c>
      <c r="BG167" s="12">
        <f t="shared" si="299"/>
        <v>0</v>
      </c>
      <c r="BH167" s="12">
        <f t="shared" si="299"/>
        <v>0</v>
      </c>
      <c r="BI167" s="12">
        <f t="shared" si="299"/>
        <v>0</v>
      </c>
      <c r="BJ167" s="12">
        <f t="shared" si="299"/>
        <v>0</v>
      </c>
      <c r="BX167" s="12">
        <f t="shared" ref="BX167:CI167" si="300">SUM(BX165:BX166)</f>
        <v>0</v>
      </c>
      <c r="BY167" s="12">
        <f t="shared" si="300"/>
        <v>0</v>
      </c>
      <c r="BZ167" s="12">
        <f t="shared" si="300"/>
        <v>0</v>
      </c>
      <c r="CA167" s="12">
        <f t="shared" si="300"/>
        <v>0</v>
      </c>
      <c r="CB167" s="12">
        <f t="shared" si="300"/>
        <v>0</v>
      </c>
      <c r="CC167" s="12">
        <f t="shared" si="300"/>
        <v>0</v>
      </c>
      <c r="CD167" s="12">
        <f t="shared" si="300"/>
        <v>0</v>
      </c>
      <c r="CE167" s="12">
        <f t="shared" si="300"/>
        <v>0</v>
      </c>
      <c r="CF167" s="12">
        <f t="shared" si="300"/>
        <v>0</v>
      </c>
      <c r="CG167" s="12">
        <f t="shared" si="300"/>
        <v>0</v>
      </c>
      <c r="CH167" s="12">
        <f t="shared" si="300"/>
        <v>0</v>
      </c>
      <c r="CI167" s="12">
        <f t="shared" si="300"/>
        <v>0</v>
      </c>
      <c r="CK167" s="11"/>
      <c r="CL167" s="221">
        <f>IF(MIN($V167:$CI167)&lt;0, 1, 0)</f>
        <v>0</v>
      </c>
      <c r="CM167" s="35"/>
      <c r="CZ167" s="650"/>
      <c r="DA167" s="35"/>
      <c r="DI167" s="35"/>
      <c r="DJ167">
        <v>0</v>
      </c>
      <c r="DK167">
        <v>0</v>
      </c>
      <c r="DL167" s="35"/>
      <c r="EZ167" s="10" t="str">
        <f t="shared" si="273"/>
        <v/>
      </c>
    </row>
    <row r="168" spans="1:156" ht="6.75" customHeight="1" x14ac:dyDescent="0.35">
      <c r="C168" s="253"/>
      <c r="D168" s="1"/>
      <c r="E168"/>
      <c r="BK168" s="1"/>
      <c r="BL168" s="1"/>
      <c r="BM168" s="1"/>
      <c r="BN168" s="1"/>
      <c r="BO168" s="1"/>
      <c r="BP168" s="1"/>
      <c r="BQ168" s="1"/>
      <c r="BR168" s="1"/>
      <c r="BS168" s="1"/>
      <c r="BT168" s="1"/>
      <c r="BU168" s="1"/>
      <c r="BV168" s="1"/>
      <c r="BY168" s="6"/>
      <c r="CK168" s="35"/>
      <c r="CM168" s="35"/>
      <c r="CZ168" s="650"/>
      <c r="DA168" s="35"/>
      <c r="DB168" s="215"/>
      <c r="DC168" s="215"/>
      <c r="DD168" s="215"/>
      <c r="DE168" s="215"/>
      <c r="DF168" s="215"/>
      <c r="DG168" s="215"/>
      <c r="DH168" s="215"/>
      <c r="DI168" s="35"/>
      <c r="DJ168">
        <v>0</v>
      </c>
      <c r="DK168">
        <v>0</v>
      </c>
      <c r="DL168" s="35"/>
      <c r="EZ168" s="10" t="str">
        <f t="shared" si="273"/>
        <v/>
      </c>
    </row>
    <row r="169" spans="1:156" ht="14.65" customHeight="1" x14ac:dyDescent="0.35">
      <c r="C169" s="253"/>
      <c r="D169" s="72" t="s">
        <v>886</v>
      </c>
      <c r="E169"/>
      <c r="G169" s="4"/>
      <c r="BK169" s="1"/>
      <c r="BL169" s="1"/>
      <c r="BM169" s="1"/>
      <c r="BN169" s="1"/>
      <c r="BO169" s="1"/>
      <c r="BP169" s="1"/>
      <c r="BQ169" s="1"/>
      <c r="BR169" s="1"/>
      <c r="BS169" s="1"/>
      <c r="BT169" s="1"/>
      <c r="BU169" s="1"/>
      <c r="BV169" s="1"/>
      <c r="BY169" s="6"/>
      <c r="CK169" s="35"/>
      <c r="CM169" s="35"/>
      <c r="CZ169" s="650"/>
      <c r="DA169" s="35"/>
      <c r="DI169" s="35"/>
      <c r="DJ169">
        <v>0</v>
      </c>
      <c r="DK169">
        <v>0</v>
      </c>
      <c r="DL169" s="35"/>
      <c r="EZ169" s="10" t="str">
        <f t="shared" si="273"/>
        <v/>
      </c>
    </row>
    <row r="170" spans="1:156" ht="15" customHeight="1" x14ac:dyDescent="0.35">
      <c r="C170" s="253"/>
      <c r="D170" s="97" t="s">
        <v>842</v>
      </c>
      <c r="E170" s="5" t="s">
        <v>754</v>
      </c>
      <c r="F170" s="5" t="s">
        <v>861</v>
      </c>
      <c r="G170" s="97" t="s">
        <v>801</v>
      </c>
      <c r="AA170" s="506"/>
      <c r="AB170" s="506"/>
      <c r="AC170" s="506"/>
      <c r="AD170" s="506"/>
      <c r="AE170" s="506"/>
      <c r="AF170" s="506"/>
      <c r="AG170" s="506"/>
      <c r="AH170" s="506"/>
      <c r="BK170" s="1"/>
      <c r="BL170" s="1"/>
      <c r="BM170" s="1"/>
      <c r="BN170" s="1"/>
      <c r="BO170" s="1"/>
      <c r="BP170" s="1"/>
      <c r="BQ170" s="1"/>
      <c r="BR170" s="1"/>
      <c r="BS170" s="1"/>
      <c r="BT170" s="1"/>
      <c r="BU170" s="1"/>
      <c r="BV170" s="1"/>
      <c r="BY170" s="6"/>
      <c r="CK170" s="35"/>
      <c r="CM170" s="35"/>
      <c r="CZ170" s="650"/>
      <c r="DA170" s="35"/>
      <c r="DI170" s="35"/>
      <c r="DJ170">
        <v>0</v>
      </c>
      <c r="DK170">
        <v>0</v>
      </c>
      <c r="DL170" s="35"/>
      <c r="EZ170" s="10" t="str">
        <f t="shared" si="273"/>
        <v/>
      </c>
    </row>
    <row r="171" spans="1:156" x14ac:dyDescent="0.35">
      <c r="A171" s="220" cm="1">
        <f t="array" aca="1" ref="A171" ca="1">HYPERLINK(CONCATENATE("#",CELL("address",IF(MAX($CM171:$CZ171)=0,A171,INDEX($CM171:$CZ171,MATCH(1,$CM171:$CZ171,0))))),MAX($CM171:$CZ171))</f>
        <v>0</v>
      </c>
      <c r="C171" s="253"/>
      <c r="D171" s="106">
        <f t="shared" ref="D171:E185" si="301">D137</f>
        <v>0</v>
      </c>
      <c r="E171" s="106">
        <f t="shared" si="301"/>
        <v>0</v>
      </c>
      <c r="F171" s="117" t="str">
        <f t="shared" ref="F171:F185" si="302">IF(F137="", "",F137)</f>
        <v/>
      </c>
      <c r="G171" s="10">
        <f t="shared" ref="G171:G185" si="303">H137</f>
        <v>0</v>
      </c>
      <c r="H171" t="s">
        <v>403</v>
      </c>
      <c r="V171" s="12">
        <f>-IF(AND($F171&gt;=Timeline!$V$8,$F171 &lt;=V$5), $G171, 0)</f>
        <v>0</v>
      </c>
      <c r="W171" s="10">
        <f t="shared" ref="W171:Y185" si="304">-IF(AND($F171&gt;V$5,$F171 &lt;=W$5), $G171, 0)</f>
        <v>0</v>
      </c>
      <c r="X171" s="10">
        <f t="shared" si="304"/>
        <v>0</v>
      </c>
      <c r="Y171" s="10">
        <f t="shared" si="304"/>
        <v>0</v>
      </c>
      <c r="AA171" s="12">
        <f t="shared" ref="AA171:AA185" si="305">-IF(AND($F171&gt;V$5,$F171 &lt;=AA$5), $G171, 0)</f>
        <v>0</v>
      </c>
      <c r="AB171" s="10">
        <f t="shared" ref="AB171:BJ171" si="306">-IF(AND($F171&gt;AA$5,$F171 &lt;=AB$5), $G171, 0)</f>
        <v>0</v>
      </c>
      <c r="AC171" s="10">
        <f t="shared" si="306"/>
        <v>0</v>
      </c>
      <c r="AD171" s="10">
        <f t="shared" si="306"/>
        <v>0</v>
      </c>
      <c r="AE171" s="10">
        <f t="shared" si="306"/>
        <v>0</v>
      </c>
      <c r="AF171" s="10">
        <f t="shared" si="306"/>
        <v>0</v>
      </c>
      <c r="AG171" s="10">
        <f t="shared" si="306"/>
        <v>0</v>
      </c>
      <c r="AH171" s="10">
        <f t="shared" si="306"/>
        <v>0</v>
      </c>
      <c r="AI171" s="10">
        <f t="shared" si="306"/>
        <v>0</v>
      </c>
      <c r="AJ171" s="10">
        <f t="shared" si="306"/>
        <v>0</v>
      </c>
      <c r="AK171" s="10">
        <f t="shared" si="306"/>
        <v>0</v>
      </c>
      <c r="AL171" s="10">
        <f t="shared" si="306"/>
        <v>0</v>
      </c>
      <c r="AM171" s="10">
        <f t="shared" si="306"/>
        <v>0</v>
      </c>
      <c r="AN171" s="10">
        <f t="shared" si="306"/>
        <v>0</v>
      </c>
      <c r="AO171" s="10">
        <f t="shared" si="306"/>
        <v>0</v>
      </c>
      <c r="AP171" s="10">
        <f t="shared" si="306"/>
        <v>0</v>
      </c>
      <c r="AQ171" s="10">
        <f t="shared" si="306"/>
        <v>0</v>
      </c>
      <c r="AR171" s="10">
        <f t="shared" si="306"/>
        <v>0</v>
      </c>
      <c r="AS171" s="10">
        <f t="shared" si="306"/>
        <v>0</v>
      </c>
      <c r="AT171" s="10">
        <f t="shared" si="306"/>
        <v>0</v>
      </c>
      <c r="AU171" s="10">
        <f t="shared" si="306"/>
        <v>0</v>
      </c>
      <c r="AV171" s="10">
        <f t="shared" si="306"/>
        <v>0</v>
      </c>
      <c r="AW171" s="10">
        <f t="shared" si="306"/>
        <v>0</v>
      </c>
      <c r="AX171" s="10">
        <f t="shared" si="306"/>
        <v>0</v>
      </c>
      <c r="AY171" s="10">
        <f t="shared" si="306"/>
        <v>0</v>
      </c>
      <c r="AZ171" s="10">
        <f t="shared" si="306"/>
        <v>0</v>
      </c>
      <c r="BA171" s="10">
        <f t="shared" si="306"/>
        <v>0</v>
      </c>
      <c r="BB171" s="10">
        <f t="shared" si="306"/>
        <v>0</v>
      </c>
      <c r="BC171" s="10">
        <f t="shared" si="306"/>
        <v>0</v>
      </c>
      <c r="BD171" s="10">
        <f t="shared" si="306"/>
        <v>0</v>
      </c>
      <c r="BE171" s="10">
        <f t="shared" si="306"/>
        <v>0</v>
      </c>
      <c r="BF171" s="10">
        <f t="shared" si="306"/>
        <v>0</v>
      </c>
      <c r="BG171" s="10">
        <f t="shared" si="306"/>
        <v>0</v>
      </c>
      <c r="BH171" s="10">
        <f t="shared" si="306"/>
        <v>0</v>
      </c>
      <c r="BI171" s="10">
        <f t="shared" si="306"/>
        <v>0</v>
      </c>
      <c r="BJ171" s="10">
        <f t="shared" si="306"/>
        <v>0</v>
      </c>
      <c r="BK171" s="1"/>
      <c r="BL171" s="1"/>
      <c r="BM171" s="1"/>
      <c r="BN171" s="1"/>
      <c r="BO171" s="1"/>
      <c r="BP171" s="1"/>
      <c r="BQ171" s="1"/>
      <c r="BR171" s="1"/>
      <c r="BS171" s="1"/>
      <c r="BT171" s="1"/>
      <c r="BU171" s="1"/>
      <c r="BV171" s="1"/>
      <c r="BX171" s="12">
        <f t="shared" ref="BX171:BX185" si="307">V171</f>
        <v>0</v>
      </c>
      <c r="BY171" s="10">
        <f t="shared" ref="BY171:CI171" si="308">-IF(AND($F171&gt;BX$5,$F171 &lt;=BY$5), $G171, 0)</f>
        <v>0</v>
      </c>
      <c r="BZ171" s="10">
        <f t="shared" si="308"/>
        <v>0</v>
      </c>
      <c r="CA171" s="10">
        <f t="shared" si="308"/>
        <v>0</v>
      </c>
      <c r="CB171" s="10">
        <f t="shared" si="308"/>
        <v>0</v>
      </c>
      <c r="CC171" s="10">
        <f t="shared" si="308"/>
        <v>0</v>
      </c>
      <c r="CD171" s="10">
        <f t="shared" si="308"/>
        <v>0</v>
      </c>
      <c r="CE171" s="10">
        <f t="shared" si="308"/>
        <v>0</v>
      </c>
      <c r="CF171" s="10">
        <f t="shared" si="308"/>
        <v>0</v>
      </c>
      <c r="CG171" s="10">
        <f t="shared" si="308"/>
        <v>0</v>
      </c>
      <c r="CH171" s="10">
        <f t="shared" si="308"/>
        <v>0</v>
      </c>
      <c r="CI171" s="10">
        <f t="shared" si="308"/>
        <v>0</v>
      </c>
      <c r="CK171" s="11"/>
      <c r="CL171" s="221">
        <f t="shared" ref="CL171:CL191" si="309">IF($G171&lt;0, 1, 0)</f>
        <v>0</v>
      </c>
      <c r="CM171" s="11"/>
      <c r="CW171" s="7">
        <f t="shared" ref="CW171:CW191" si="310">IF(SUM($DB171:$DD171)=0, 0, 1)</f>
        <v>0</v>
      </c>
      <c r="CX171" s="7">
        <f t="shared" ref="CX171:CX191" si="311">IF(SUM($DE171:$DG171)=0, 0, 1)</f>
        <v>0</v>
      </c>
      <c r="CY171" s="7">
        <f t="shared" ref="CY171:CY191" si="312">IF($DH171=0, 0, 1)</f>
        <v>0</v>
      </c>
      <c r="CZ171" s="650"/>
      <c r="DA171" s="35"/>
      <c r="DB171" s="215">
        <f t="shared" ref="DB171:DB191" si="313">ROUND(W171-SUMIFS($AA171:$BJ171, $AA$3:$BJ$3, W$3), rounding)</f>
        <v>0</v>
      </c>
      <c r="DC171" s="215">
        <f t="shared" ref="DC171:DC191" si="314">ROUND(X171-SUMIFS($AA171:$BJ171, $AA$3:$BJ$3, X$3), rounding)</f>
        <v>0</v>
      </c>
      <c r="DD171" s="215">
        <f t="shared" ref="DD171:DD191" si="315">ROUND(Y171-SUMIFS($AA171:$BJ171, $AA$3:$BJ$3, Y$3), rounding)</f>
        <v>0</v>
      </c>
      <c r="DE171" s="215">
        <f t="shared" ref="DE171:DE191" si="316">ROUND($BY171-SUMIFS($AA171:$BJ171, $AA$3:$BJ$3, $BY$3), rounding)</f>
        <v>0</v>
      </c>
      <c r="DF171" s="215">
        <f t="shared" ref="DF171:DF191" si="317">ROUND($BZ171-SUMIFS($AA171:$BJ171, $AA$3:$BJ$3, $BZ$3), rounding)</f>
        <v>0</v>
      </c>
      <c r="DG171" s="215">
        <f t="shared" ref="DG171:DG191" si="318">ROUND($CA171-SUMIFS($AA171:$BJ171, $AA$3:$BJ$3, $CA$3), rounding)</f>
        <v>0</v>
      </c>
      <c r="DH171" s="215">
        <f t="shared" ref="DH171:DH191" si="319">ROUND($V171-$BX171, rounding)</f>
        <v>0</v>
      </c>
      <c r="DI171" s="35"/>
      <c r="DJ171">
        <v>0</v>
      </c>
      <c r="DK171">
        <v>0</v>
      </c>
      <c r="DL171" s="35"/>
      <c r="EZ171" s="12" t="str">
        <f t="shared" ref="EZ171:EZ185" si="320">IF($C171="","",CONCATENATE(D$169, " ",$C171))</f>
        <v/>
      </c>
    </row>
    <row r="172" spans="1:156" x14ac:dyDescent="0.35">
      <c r="A172" s="220" cm="1">
        <f t="array" aca="1" ref="A172" ca="1">HYPERLINK(CONCATENATE("#",CELL("address",IF(MAX($CM172:$CZ172)=0,A172,INDEX($CM172:$CZ172,MATCH(1,$CM172:$CZ172,0))))),MAX($CM172:$CZ172))</f>
        <v>0</v>
      </c>
      <c r="C172" s="253"/>
      <c r="D172" s="106">
        <f t="shared" si="301"/>
        <v>0</v>
      </c>
      <c r="E172" s="106">
        <f t="shared" si="301"/>
        <v>0</v>
      </c>
      <c r="F172" s="117" t="str">
        <f t="shared" si="302"/>
        <v/>
      </c>
      <c r="G172" s="10">
        <f t="shared" si="303"/>
        <v>0</v>
      </c>
      <c r="H172" t="s">
        <v>403</v>
      </c>
      <c r="V172" s="12">
        <f>-IF(AND($F172&gt;=Timeline!$V$8,$F172 &lt;=V$5), $G172, 0)</f>
        <v>0</v>
      </c>
      <c r="W172" s="10">
        <f t="shared" si="304"/>
        <v>0</v>
      </c>
      <c r="X172" s="10">
        <f t="shared" si="304"/>
        <v>0</v>
      </c>
      <c r="Y172" s="10">
        <f t="shared" si="304"/>
        <v>0</v>
      </c>
      <c r="AA172" s="12">
        <f t="shared" si="305"/>
        <v>0</v>
      </c>
      <c r="AB172" s="10">
        <f t="shared" ref="AB172:BJ172" si="321">-IF(AND($F172&gt;AA$5,$F172 &lt;=AB$5), $G172, 0)</f>
        <v>0</v>
      </c>
      <c r="AC172" s="10">
        <f t="shared" si="321"/>
        <v>0</v>
      </c>
      <c r="AD172" s="10">
        <f t="shared" si="321"/>
        <v>0</v>
      </c>
      <c r="AE172" s="10">
        <f t="shared" si="321"/>
        <v>0</v>
      </c>
      <c r="AF172" s="10">
        <f t="shared" si="321"/>
        <v>0</v>
      </c>
      <c r="AG172" s="10">
        <f t="shared" si="321"/>
        <v>0</v>
      </c>
      <c r="AH172" s="10">
        <f t="shared" si="321"/>
        <v>0</v>
      </c>
      <c r="AI172" s="10">
        <f t="shared" si="321"/>
        <v>0</v>
      </c>
      <c r="AJ172" s="10">
        <f t="shared" si="321"/>
        <v>0</v>
      </c>
      <c r="AK172" s="10">
        <f t="shared" si="321"/>
        <v>0</v>
      </c>
      <c r="AL172" s="10">
        <f t="shared" si="321"/>
        <v>0</v>
      </c>
      <c r="AM172" s="10">
        <f t="shared" si="321"/>
        <v>0</v>
      </c>
      <c r="AN172" s="10">
        <f t="shared" si="321"/>
        <v>0</v>
      </c>
      <c r="AO172" s="10">
        <f t="shared" si="321"/>
        <v>0</v>
      </c>
      <c r="AP172" s="10">
        <f t="shared" si="321"/>
        <v>0</v>
      </c>
      <c r="AQ172" s="10">
        <f t="shared" si="321"/>
        <v>0</v>
      </c>
      <c r="AR172" s="10">
        <f t="shared" si="321"/>
        <v>0</v>
      </c>
      <c r="AS172" s="10">
        <f t="shared" si="321"/>
        <v>0</v>
      </c>
      <c r="AT172" s="10">
        <f t="shared" si="321"/>
        <v>0</v>
      </c>
      <c r="AU172" s="10">
        <f t="shared" si="321"/>
        <v>0</v>
      </c>
      <c r="AV172" s="10">
        <f t="shared" si="321"/>
        <v>0</v>
      </c>
      <c r="AW172" s="10">
        <f t="shared" si="321"/>
        <v>0</v>
      </c>
      <c r="AX172" s="10">
        <f t="shared" si="321"/>
        <v>0</v>
      </c>
      <c r="AY172" s="10">
        <f t="shared" si="321"/>
        <v>0</v>
      </c>
      <c r="AZ172" s="10">
        <f t="shared" si="321"/>
        <v>0</v>
      </c>
      <c r="BA172" s="10">
        <f t="shared" si="321"/>
        <v>0</v>
      </c>
      <c r="BB172" s="10">
        <f t="shared" si="321"/>
        <v>0</v>
      </c>
      <c r="BC172" s="10">
        <f t="shared" si="321"/>
        <v>0</v>
      </c>
      <c r="BD172" s="10">
        <f t="shared" si="321"/>
        <v>0</v>
      </c>
      <c r="BE172" s="10">
        <f t="shared" si="321"/>
        <v>0</v>
      </c>
      <c r="BF172" s="10">
        <f t="shared" si="321"/>
        <v>0</v>
      </c>
      <c r="BG172" s="10">
        <f t="shared" si="321"/>
        <v>0</v>
      </c>
      <c r="BH172" s="10">
        <f t="shared" si="321"/>
        <v>0</v>
      </c>
      <c r="BI172" s="10">
        <f t="shared" si="321"/>
        <v>0</v>
      </c>
      <c r="BJ172" s="10">
        <f t="shared" si="321"/>
        <v>0</v>
      </c>
      <c r="BK172" s="1"/>
      <c r="BL172" s="1"/>
      <c r="BM172" s="1"/>
      <c r="BN172" s="1"/>
      <c r="BO172" s="1"/>
      <c r="BP172" s="1"/>
      <c r="BQ172" s="1"/>
      <c r="BR172" s="1"/>
      <c r="BS172" s="1"/>
      <c r="BT172" s="1"/>
      <c r="BU172" s="1"/>
      <c r="BV172" s="1"/>
      <c r="BX172" s="12">
        <f t="shared" si="307"/>
        <v>0</v>
      </c>
      <c r="BY172" s="10">
        <f t="shared" ref="BY172:CI172" si="322">-IF(AND($F172&gt;BX$5,$F172 &lt;=BY$5), $G172, 0)</f>
        <v>0</v>
      </c>
      <c r="BZ172" s="10">
        <f t="shared" si="322"/>
        <v>0</v>
      </c>
      <c r="CA172" s="10">
        <f t="shared" si="322"/>
        <v>0</v>
      </c>
      <c r="CB172" s="10">
        <f t="shared" si="322"/>
        <v>0</v>
      </c>
      <c r="CC172" s="10">
        <f t="shared" si="322"/>
        <v>0</v>
      </c>
      <c r="CD172" s="10">
        <f t="shared" si="322"/>
        <v>0</v>
      </c>
      <c r="CE172" s="10">
        <f t="shared" si="322"/>
        <v>0</v>
      </c>
      <c r="CF172" s="10">
        <f t="shared" si="322"/>
        <v>0</v>
      </c>
      <c r="CG172" s="10">
        <f t="shared" si="322"/>
        <v>0</v>
      </c>
      <c r="CH172" s="10">
        <f t="shared" si="322"/>
        <v>0</v>
      </c>
      <c r="CI172" s="10">
        <f t="shared" si="322"/>
        <v>0</v>
      </c>
      <c r="CK172" s="11"/>
      <c r="CL172" s="221">
        <f t="shared" si="309"/>
        <v>0</v>
      </c>
      <c r="CM172" s="11"/>
      <c r="CW172" s="7">
        <f t="shared" si="310"/>
        <v>0</v>
      </c>
      <c r="CX172" s="7">
        <f t="shared" si="311"/>
        <v>0</v>
      </c>
      <c r="CY172" s="7">
        <f t="shared" si="312"/>
        <v>0</v>
      </c>
      <c r="CZ172" s="650"/>
      <c r="DA172" s="35"/>
      <c r="DB172" s="215">
        <f t="shared" si="313"/>
        <v>0</v>
      </c>
      <c r="DC172" s="215">
        <f t="shared" si="314"/>
        <v>0</v>
      </c>
      <c r="DD172" s="215">
        <f t="shared" si="315"/>
        <v>0</v>
      </c>
      <c r="DE172" s="215">
        <f t="shared" si="316"/>
        <v>0</v>
      </c>
      <c r="DF172" s="215">
        <f t="shared" si="317"/>
        <v>0</v>
      </c>
      <c r="DG172" s="215">
        <f t="shared" si="318"/>
        <v>0</v>
      </c>
      <c r="DH172" s="215">
        <f t="shared" si="319"/>
        <v>0</v>
      </c>
      <c r="DI172" s="35"/>
      <c r="DJ172">
        <v>0</v>
      </c>
      <c r="DK172">
        <v>0</v>
      </c>
      <c r="DL172" s="35"/>
      <c r="EZ172" s="12" t="str">
        <f t="shared" si="320"/>
        <v/>
      </c>
    </row>
    <row r="173" spans="1:156" x14ac:dyDescent="0.35">
      <c r="A173" s="220" cm="1">
        <f t="array" aca="1" ref="A173" ca="1">HYPERLINK(CONCATENATE("#",CELL("address",IF(MAX($CM173:$CZ173)=0,A173,INDEX($CM173:$CZ173,MATCH(1,$CM173:$CZ173,0))))),MAX($CM173:$CZ173))</f>
        <v>0</v>
      </c>
      <c r="C173" s="253"/>
      <c r="D173" s="106">
        <f t="shared" si="301"/>
        <v>0</v>
      </c>
      <c r="E173" s="106">
        <f t="shared" si="301"/>
        <v>0</v>
      </c>
      <c r="F173" s="117" t="str">
        <f t="shared" si="302"/>
        <v/>
      </c>
      <c r="G173" s="10">
        <f t="shared" si="303"/>
        <v>0</v>
      </c>
      <c r="H173" t="s">
        <v>403</v>
      </c>
      <c r="V173" s="12">
        <f>-IF(AND($F173&gt;=Timeline!$V$8,$F173 &lt;=V$5), $G173, 0)</f>
        <v>0</v>
      </c>
      <c r="W173" s="10">
        <f t="shared" si="304"/>
        <v>0</v>
      </c>
      <c r="X173" s="10">
        <f t="shared" si="304"/>
        <v>0</v>
      </c>
      <c r="Y173" s="10">
        <f t="shared" si="304"/>
        <v>0</v>
      </c>
      <c r="AA173" s="12">
        <f t="shared" si="305"/>
        <v>0</v>
      </c>
      <c r="AB173" s="10">
        <f t="shared" ref="AB173:BJ173" si="323">-IF(AND($F173&gt;AA$5,$F173 &lt;=AB$5), $G173, 0)</f>
        <v>0</v>
      </c>
      <c r="AC173" s="10">
        <f t="shared" si="323"/>
        <v>0</v>
      </c>
      <c r="AD173" s="10">
        <f t="shared" si="323"/>
        <v>0</v>
      </c>
      <c r="AE173" s="10">
        <f t="shared" si="323"/>
        <v>0</v>
      </c>
      <c r="AF173" s="10">
        <f t="shared" si="323"/>
        <v>0</v>
      </c>
      <c r="AG173" s="10">
        <f t="shared" si="323"/>
        <v>0</v>
      </c>
      <c r="AH173" s="10">
        <f t="shared" si="323"/>
        <v>0</v>
      </c>
      <c r="AI173" s="10">
        <f t="shared" si="323"/>
        <v>0</v>
      </c>
      <c r="AJ173" s="10">
        <f t="shared" si="323"/>
        <v>0</v>
      </c>
      <c r="AK173" s="10">
        <f t="shared" si="323"/>
        <v>0</v>
      </c>
      <c r="AL173" s="10">
        <f t="shared" si="323"/>
        <v>0</v>
      </c>
      <c r="AM173" s="10">
        <f t="shared" si="323"/>
        <v>0</v>
      </c>
      <c r="AN173" s="10">
        <f t="shared" si="323"/>
        <v>0</v>
      </c>
      <c r="AO173" s="10">
        <f t="shared" si="323"/>
        <v>0</v>
      </c>
      <c r="AP173" s="10">
        <f t="shared" si="323"/>
        <v>0</v>
      </c>
      <c r="AQ173" s="10">
        <f t="shared" si="323"/>
        <v>0</v>
      </c>
      <c r="AR173" s="10">
        <f t="shared" si="323"/>
        <v>0</v>
      </c>
      <c r="AS173" s="10">
        <f t="shared" si="323"/>
        <v>0</v>
      </c>
      <c r="AT173" s="10">
        <f t="shared" si="323"/>
        <v>0</v>
      </c>
      <c r="AU173" s="10">
        <f t="shared" si="323"/>
        <v>0</v>
      </c>
      <c r="AV173" s="10">
        <f t="shared" si="323"/>
        <v>0</v>
      </c>
      <c r="AW173" s="10">
        <f t="shared" si="323"/>
        <v>0</v>
      </c>
      <c r="AX173" s="10">
        <f t="shared" si="323"/>
        <v>0</v>
      </c>
      <c r="AY173" s="10">
        <f t="shared" si="323"/>
        <v>0</v>
      </c>
      <c r="AZ173" s="10">
        <f t="shared" si="323"/>
        <v>0</v>
      </c>
      <c r="BA173" s="10">
        <f t="shared" si="323"/>
        <v>0</v>
      </c>
      <c r="BB173" s="10">
        <f t="shared" si="323"/>
        <v>0</v>
      </c>
      <c r="BC173" s="10">
        <f t="shared" si="323"/>
        <v>0</v>
      </c>
      <c r="BD173" s="10">
        <f t="shared" si="323"/>
        <v>0</v>
      </c>
      <c r="BE173" s="10">
        <f t="shared" si="323"/>
        <v>0</v>
      </c>
      <c r="BF173" s="10">
        <f t="shared" si="323"/>
        <v>0</v>
      </c>
      <c r="BG173" s="10">
        <f t="shared" si="323"/>
        <v>0</v>
      </c>
      <c r="BH173" s="10">
        <f t="shared" si="323"/>
        <v>0</v>
      </c>
      <c r="BI173" s="10">
        <f t="shared" si="323"/>
        <v>0</v>
      </c>
      <c r="BJ173" s="10">
        <f t="shared" si="323"/>
        <v>0</v>
      </c>
      <c r="BK173" s="1"/>
      <c r="BL173" s="1"/>
      <c r="BM173" s="1"/>
      <c r="BN173" s="1"/>
      <c r="BO173" s="1"/>
      <c r="BP173" s="1"/>
      <c r="BQ173" s="1"/>
      <c r="BR173" s="1"/>
      <c r="BS173" s="1"/>
      <c r="BT173" s="1"/>
      <c r="BU173" s="1"/>
      <c r="BV173" s="1"/>
      <c r="BX173" s="12">
        <f t="shared" si="307"/>
        <v>0</v>
      </c>
      <c r="BY173" s="10">
        <f t="shared" ref="BY173:CI173" si="324">-IF(AND($F173&gt;BX$5,$F173 &lt;=BY$5), $G173, 0)</f>
        <v>0</v>
      </c>
      <c r="BZ173" s="10">
        <f t="shared" si="324"/>
        <v>0</v>
      </c>
      <c r="CA173" s="10">
        <f t="shared" si="324"/>
        <v>0</v>
      </c>
      <c r="CB173" s="10">
        <f t="shared" si="324"/>
        <v>0</v>
      </c>
      <c r="CC173" s="10">
        <f t="shared" si="324"/>
        <v>0</v>
      </c>
      <c r="CD173" s="10">
        <f t="shared" si="324"/>
        <v>0</v>
      </c>
      <c r="CE173" s="10">
        <f t="shared" si="324"/>
        <v>0</v>
      </c>
      <c r="CF173" s="10">
        <f t="shared" si="324"/>
        <v>0</v>
      </c>
      <c r="CG173" s="10">
        <f t="shared" si="324"/>
        <v>0</v>
      </c>
      <c r="CH173" s="10">
        <f t="shared" si="324"/>
        <v>0</v>
      </c>
      <c r="CI173" s="10">
        <f t="shared" si="324"/>
        <v>0</v>
      </c>
      <c r="CK173" s="11"/>
      <c r="CL173" s="221">
        <f t="shared" si="309"/>
        <v>0</v>
      </c>
      <c r="CM173" s="11"/>
      <c r="CW173" s="7">
        <f t="shared" si="310"/>
        <v>0</v>
      </c>
      <c r="CX173" s="7">
        <f t="shared" si="311"/>
        <v>0</v>
      </c>
      <c r="CY173" s="7">
        <f t="shared" si="312"/>
        <v>0</v>
      </c>
      <c r="CZ173" s="650"/>
      <c r="DA173" s="129"/>
      <c r="DB173" s="215">
        <f t="shared" si="313"/>
        <v>0</v>
      </c>
      <c r="DC173" s="215">
        <f t="shared" si="314"/>
        <v>0</v>
      </c>
      <c r="DD173" s="215">
        <f t="shared" si="315"/>
        <v>0</v>
      </c>
      <c r="DE173" s="215">
        <f t="shared" si="316"/>
        <v>0</v>
      </c>
      <c r="DF173" s="215">
        <f t="shared" si="317"/>
        <v>0</v>
      </c>
      <c r="DG173" s="215">
        <f t="shared" si="318"/>
        <v>0</v>
      </c>
      <c r="DH173" s="215">
        <f t="shared" si="319"/>
        <v>0</v>
      </c>
      <c r="DI173" s="35"/>
      <c r="DJ173">
        <v>0</v>
      </c>
      <c r="DK173">
        <v>0</v>
      </c>
      <c r="DL173" s="35"/>
      <c r="EZ173" s="12" t="str">
        <f t="shared" si="320"/>
        <v/>
      </c>
    </row>
    <row r="174" spans="1:156" x14ac:dyDescent="0.35">
      <c r="A174" s="220" cm="1">
        <f t="array" aca="1" ref="A174" ca="1">HYPERLINK(CONCATENATE("#",CELL("address",IF(MAX($CM174:$CZ174)=0,A174,INDEX($CM174:$CZ174,MATCH(1,$CM174:$CZ174,0))))),MAX($CM174:$CZ174))</f>
        <v>0</v>
      </c>
      <c r="C174" s="253"/>
      <c r="D174" s="106">
        <f t="shared" si="301"/>
        <v>0</v>
      </c>
      <c r="E174" s="106">
        <f t="shared" si="301"/>
        <v>0</v>
      </c>
      <c r="F174" s="117" t="str">
        <f t="shared" si="302"/>
        <v/>
      </c>
      <c r="G174" s="10">
        <f t="shared" si="303"/>
        <v>0</v>
      </c>
      <c r="H174" t="s">
        <v>403</v>
      </c>
      <c r="V174" s="12">
        <f>-IF(AND($F174&gt;=Timeline!$V$8,$F174 &lt;=V$5), $G174, 0)</f>
        <v>0</v>
      </c>
      <c r="W174" s="10">
        <f t="shared" si="304"/>
        <v>0</v>
      </c>
      <c r="X174" s="10">
        <f t="shared" si="304"/>
        <v>0</v>
      </c>
      <c r="Y174" s="10">
        <f t="shared" si="304"/>
        <v>0</v>
      </c>
      <c r="AA174" s="12">
        <f t="shared" si="305"/>
        <v>0</v>
      </c>
      <c r="AB174" s="10">
        <f t="shared" ref="AB174:BJ174" si="325">-IF(AND($F174&gt;AA$5,$F174 &lt;=AB$5), $G174, 0)</f>
        <v>0</v>
      </c>
      <c r="AC174" s="10">
        <f t="shared" si="325"/>
        <v>0</v>
      </c>
      <c r="AD174" s="10">
        <f t="shared" si="325"/>
        <v>0</v>
      </c>
      <c r="AE174" s="10">
        <f t="shared" si="325"/>
        <v>0</v>
      </c>
      <c r="AF174" s="10">
        <f t="shared" si="325"/>
        <v>0</v>
      </c>
      <c r="AG174" s="10">
        <f t="shared" si="325"/>
        <v>0</v>
      </c>
      <c r="AH174" s="10">
        <f t="shared" si="325"/>
        <v>0</v>
      </c>
      <c r="AI174" s="10">
        <f t="shared" si="325"/>
        <v>0</v>
      </c>
      <c r="AJ174" s="10">
        <f t="shared" si="325"/>
        <v>0</v>
      </c>
      <c r="AK174" s="10">
        <f t="shared" si="325"/>
        <v>0</v>
      </c>
      <c r="AL174" s="10">
        <f t="shared" si="325"/>
        <v>0</v>
      </c>
      <c r="AM174" s="10">
        <f t="shared" si="325"/>
        <v>0</v>
      </c>
      <c r="AN174" s="10">
        <f t="shared" si="325"/>
        <v>0</v>
      </c>
      <c r="AO174" s="10">
        <f t="shared" si="325"/>
        <v>0</v>
      </c>
      <c r="AP174" s="10">
        <f t="shared" si="325"/>
        <v>0</v>
      </c>
      <c r="AQ174" s="10">
        <f t="shared" si="325"/>
        <v>0</v>
      </c>
      <c r="AR174" s="10">
        <f t="shared" si="325"/>
        <v>0</v>
      </c>
      <c r="AS174" s="10">
        <f t="shared" si="325"/>
        <v>0</v>
      </c>
      <c r="AT174" s="10">
        <f t="shared" si="325"/>
        <v>0</v>
      </c>
      <c r="AU174" s="10">
        <f t="shared" si="325"/>
        <v>0</v>
      </c>
      <c r="AV174" s="10">
        <f t="shared" si="325"/>
        <v>0</v>
      </c>
      <c r="AW174" s="10">
        <f t="shared" si="325"/>
        <v>0</v>
      </c>
      <c r="AX174" s="10">
        <f t="shared" si="325"/>
        <v>0</v>
      </c>
      <c r="AY174" s="10">
        <f t="shared" si="325"/>
        <v>0</v>
      </c>
      <c r="AZ174" s="10">
        <f t="shared" si="325"/>
        <v>0</v>
      </c>
      <c r="BA174" s="10">
        <f t="shared" si="325"/>
        <v>0</v>
      </c>
      <c r="BB174" s="10">
        <f t="shared" si="325"/>
        <v>0</v>
      </c>
      <c r="BC174" s="10">
        <f t="shared" si="325"/>
        <v>0</v>
      </c>
      <c r="BD174" s="10">
        <f t="shared" si="325"/>
        <v>0</v>
      </c>
      <c r="BE174" s="10">
        <f t="shared" si="325"/>
        <v>0</v>
      </c>
      <c r="BF174" s="10">
        <f t="shared" si="325"/>
        <v>0</v>
      </c>
      <c r="BG174" s="10">
        <f t="shared" si="325"/>
        <v>0</v>
      </c>
      <c r="BH174" s="10">
        <f t="shared" si="325"/>
        <v>0</v>
      </c>
      <c r="BI174" s="10">
        <f t="shared" si="325"/>
        <v>0</v>
      </c>
      <c r="BJ174" s="10">
        <f t="shared" si="325"/>
        <v>0</v>
      </c>
      <c r="BK174" s="1"/>
      <c r="BL174" s="1"/>
      <c r="BM174" s="1"/>
      <c r="BN174" s="1"/>
      <c r="BO174" s="1"/>
      <c r="BP174" s="1"/>
      <c r="BQ174" s="1"/>
      <c r="BR174" s="1"/>
      <c r="BS174" s="1"/>
      <c r="BT174" s="1"/>
      <c r="BU174" s="1"/>
      <c r="BV174" s="1"/>
      <c r="BX174" s="12">
        <f t="shared" si="307"/>
        <v>0</v>
      </c>
      <c r="BY174" s="10">
        <f t="shared" ref="BY174:CI174" si="326">-IF(AND($F174&gt;BX$5,$F174 &lt;=BY$5), $G174, 0)</f>
        <v>0</v>
      </c>
      <c r="BZ174" s="10">
        <f t="shared" si="326"/>
        <v>0</v>
      </c>
      <c r="CA174" s="10">
        <f t="shared" si="326"/>
        <v>0</v>
      </c>
      <c r="CB174" s="10">
        <f t="shared" si="326"/>
        <v>0</v>
      </c>
      <c r="CC174" s="10">
        <f t="shared" si="326"/>
        <v>0</v>
      </c>
      <c r="CD174" s="10">
        <f t="shared" si="326"/>
        <v>0</v>
      </c>
      <c r="CE174" s="10">
        <f t="shared" si="326"/>
        <v>0</v>
      </c>
      <c r="CF174" s="10">
        <f t="shared" si="326"/>
        <v>0</v>
      </c>
      <c r="CG174" s="10">
        <f t="shared" si="326"/>
        <v>0</v>
      </c>
      <c r="CH174" s="10">
        <f t="shared" si="326"/>
        <v>0</v>
      </c>
      <c r="CI174" s="10">
        <f t="shared" si="326"/>
        <v>0</v>
      </c>
      <c r="CK174" s="11"/>
      <c r="CL174" s="221">
        <f t="shared" si="309"/>
        <v>0</v>
      </c>
      <c r="CM174" s="11"/>
      <c r="CW174" s="7">
        <f t="shared" si="310"/>
        <v>0</v>
      </c>
      <c r="CX174" s="7">
        <f t="shared" si="311"/>
        <v>0</v>
      </c>
      <c r="CY174" s="7">
        <f t="shared" si="312"/>
        <v>0</v>
      </c>
      <c r="CZ174" s="650"/>
      <c r="DA174" s="35"/>
      <c r="DB174" s="215">
        <f t="shared" si="313"/>
        <v>0</v>
      </c>
      <c r="DC174" s="215">
        <f t="shared" si="314"/>
        <v>0</v>
      </c>
      <c r="DD174" s="215">
        <f t="shared" si="315"/>
        <v>0</v>
      </c>
      <c r="DE174" s="215">
        <f t="shared" si="316"/>
        <v>0</v>
      </c>
      <c r="DF174" s="215">
        <f t="shared" si="317"/>
        <v>0</v>
      </c>
      <c r="DG174" s="215">
        <f t="shared" si="318"/>
        <v>0</v>
      </c>
      <c r="DH174" s="215">
        <f t="shared" si="319"/>
        <v>0</v>
      </c>
      <c r="DI174" s="35"/>
      <c r="DJ174">
        <v>0</v>
      </c>
      <c r="DK174">
        <v>0</v>
      </c>
      <c r="DL174" s="35"/>
      <c r="EZ174" s="12" t="str">
        <f t="shared" si="320"/>
        <v/>
      </c>
    </row>
    <row r="175" spans="1:156" x14ac:dyDescent="0.35">
      <c r="A175" s="220" cm="1">
        <f t="array" aca="1" ref="A175" ca="1">HYPERLINK(CONCATENATE("#",CELL("address",IF(MAX($CM175:$CZ175)=0,A175,INDEX($CM175:$CZ175,MATCH(1,$CM175:$CZ175,0))))),MAX($CM175:$CZ175))</f>
        <v>0</v>
      </c>
      <c r="C175" s="253"/>
      <c r="D175" s="106">
        <f t="shared" si="301"/>
        <v>0</v>
      </c>
      <c r="E175" s="106">
        <f t="shared" si="301"/>
        <v>0</v>
      </c>
      <c r="F175" s="117" t="str">
        <f t="shared" si="302"/>
        <v/>
      </c>
      <c r="G175" s="10">
        <f t="shared" si="303"/>
        <v>0</v>
      </c>
      <c r="H175" t="s">
        <v>403</v>
      </c>
      <c r="V175" s="12">
        <f>-IF(AND($F175&gt;=Timeline!$V$8,$F175 &lt;=V$5), $G175, 0)</f>
        <v>0</v>
      </c>
      <c r="W175" s="10">
        <f t="shared" si="304"/>
        <v>0</v>
      </c>
      <c r="X175" s="10">
        <f t="shared" si="304"/>
        <v>0</v>
      </c>
      <c r="Y175" s="10">
        <f t="shared" si="304"/>
        <v>0</v>
      </c>
      <c r="AA175" s="12">
        <f t="shared" si="305"/>
        <v>0</v>
      </c>
      <c r="AB175" s="10">
        <f t="shared" ref="AB175:BJ175" si="327">-IF(AND($F175&gt;AA$5,$F175 &lt;=AB$5), $G175, 0)</f>
        <v>0</v>
      </c>
      <c r="AC175" s="10">
        <f t="shared" si="327"/>
        <v>0</v>
      </c>
      <c r="AD175" s="10">
        <f t="shared" si="327"/>
        <v>0</v>
      </c>
      <c r="AE175" s="10">
        <f t="shared" si="327"/>
        <v>0</v>
      </c>
      <c r="AF175" s="10">
        <f t="shared" si="327"/>
        <v>0</v>
      </c>
      <c r="AG175" s="10">
        <f t="shared" si="327"/>
        <v>0</v>
      </c>
      <c r="AH175" s="10">
        <f t="shared" si="327"/>
        <v>0</v>
      </c>
      <c r="AI175" s="10">
        <f t="shared" si="327"/>
        <v>0</v>
      </c>
      <c r="AJ175" s="10">
        <f t="shared" si="327"/>
        <v>0</v>
      </c>
      <c r="AK175" s="10">
        <f t="shared" si="327"/>
        <v>0</v>
      </c>
      <c r="AL175" s="10">
        <f t="shared" si="327"/>
        <v>0</v>
      </c>
      <c r="AM175" s="10">
        <f t="shared" si="327"/>
        <v>0</v>
      </c>
      <c r="AN175" s="10">
        <f t="shared" si="327"/>
        <v>0</v>
      </c>
      <c r="AO175" s="10">
        <f t="shared" si="327"/>
        <v>0</v>
      </c>
      <c r="AP175" s="10">
        <f t="shared" si="327"/>
        <v>0</v>
      </c>
      <c r="AQ175" s="10">
        <f t="shared" si="327"/>
        <v>0</v>
      </c>
      <c r="AR175" s="10">
        <f t="shared" si="327"/>
        <v>0</v>
      </c>
      <c r="AS175" s="10">
        <f t="shared" si="327"/>
        <v>0</v>
      </c>
      <c r="AT175" s="10">
        <f t="shared" si="327"/>
        <v>0</v>
      </c>
      <c r="AU175" s="10">
        <f t="shared" si="327"/>
        <v>0</v>
      </c>
      <c r="AV175" s="10">
        <f t="shared" si="327"/>
        <v>0</v>
      </c>
      <c r="AW175" s="10">
        <f t="shared" si="327"/>
        <v>0</v>
      </c>
      <c r="AX175" s="10">
        <f t="shared" si="327"/>
        <v>0</v>
      </c>
      <c r="AY175" s="10">
        <f t="shared" si="327"/>
        <v>0</v>
      </c>
      <c r="AZ175" s="10">
        <f t="shared" si="327"/>
        <v>0</v>
      </c>
      <c r="BA175" s="10">
        <f t="shared" si="327"/>
        <v>0</v>
      </c>
      <c r="BB175" s="10">
        <f t="shared" si="327"/>
        <v>0</v>
      </c>
      <c r="BC175" s="10">
        <f t="shared" si="327"/>
        <v>0</v>
      </c>
      <c r="BD175" s="10">
        <f t="shared" si="327"/>
        <v>0</v>
      </c>
      <c r="BE175" s="10">
        <f t="shared" si="327"/>
        <v>0</v>
      </c>
      <c r="BF175" s="10">
        <f t="shared" si="327"/>
        <v>0</v>
      </c>
      <c r="BG175" s="10">
        <f t="shared" si="327"/>
        <v>0</v>
      </c>
      <c r="BH175" s="10">
        <f t="shared" si="327"/>
        <v>0</v>
      </c>
      <c r="BI175" s="10">
        <f t="shared" si="327"/>
        <v>0</v>
      </c>
      <c r="BJ175" s="10">
        <f t="shared" si="327"/>
        <v>0</v>
      </c>
      <c r="BK175" s="1"/>
      <c r="BL175" s="1"/>
      <c r="BM175" s="1"/>
      <c r="BN175" s="1"/>
      <c r="BO175" s="1"/>
      <c r="BP175" s="1"/>
      <c r="BQ175" s="1"/>
      <c r="BR175" s="1"/>
      <c r="BS175" s="1"/>
      <c r="BT175" s="1"/>
      <c r="BU175" s="1"/>
      <c r="BV175" s="1"/>
      <c r="BX175" s="12">
        <f t="shared" si="307"/>
        <v>0</v>
      </c>
      <c r="BY175" s="10">
        <f t="shared" ref="BY175:CI175" si="328">-IF(AND($F175&gt;BX$5,$F175 &lt;=BY$5), $G175, 0)</f>
        <v>0</v>
      </c>
      <c r="BZ175" s="10">
        <f t="shared" si="328"/>
        <v>0</v>
      </c>
      <c r="CA175" s="10">
        <f t="shared" si="328"/>
        <v>0</v>
      </c>
      <c r="CB175" s="10">
        <f t="shared" si="328"/>
        <v>0</v>
      </c>
      <c r="CC175" s="10">
        <f t="shared" si="328"/>
        <v>0</v>
      </c>
      <c r="CD175" s="10">
        <f t="shared" si="328"/>
        <v>0</v>
      </c>
      <c r="CE175" s="10">
        <f t="shared" si="328"/>
        <v>0</v>
      </c>
      <c r="CF175" s="10">
        <f t="shared" si="328"/>
        <v>0</v>
      </c>
      <c r="CG175" s="10">
        <f t="shared" si="328"/>
        <v>0</v>
      </c>
      <c r="CH175" s="10">
        <f t="shared" si="328"/>
        <v>0</v>
      </c>
      <c r="CI175" s="10">
        <f t="shared" si="328"/>
        <v>0</v>
      </c>
      <c r="CK175" s="11"/>
      <c r="CL175" s="221">
        <f t="shared" si="309"/>
        <v>0</v>
      </c>
      <c r="CM175" s="11"/>
      <c r="CW175" s="7">
        <f t="shared" si="310"/>
        <v>0</v>
      </c>
      <c r="CX175" s="7">
        <f t="shared" si="311"/>
        <v>0</v>
      </c>
      <c r="CY175" s="7">
        <f t="shared" si="312"/>
        <v>0</v>
      </c>
      <c r="CZ175" s="650"/>
      <c r="DA175" s="35"/>
      <c r="DB175" s="215">
        <f t="shared" si="313"/>
        <v>0</v>
      </c>
      <c r="DC175" s="215">
        <f t="shared" si="314"/>
        <v>0</v>
      </c>
      <c r="DD175" s="215">
        <f t="shared" si="315"/>
        <v>0</v>
      </c>
      <c r="DE175" s="215">
        <f t="shared" si="316"/>
        <v>0</v>
      </c>
      <c r="DF175" s="215">
        <f t="shared" si="317"/>
        <v>0</v>
      </c>
      <c r="DG175" s="215">
        <f t="shared" si="318"/>
        <v>0</v>
      </c>
      <c r="DH175" s="215">
        <f t="shared" si="319"/>
        <v>0</v>
      </c>
      <c r="DI175" s="35"/>
      <c r="DJ175">
        <v>0</v>
      </c>
      <c r="DK175">
        <v>0</v>
      </c>
      <c r="DL175" s="35"/>
      <c r="EZ175" s="12" t="str">
        <f t="shared" si="320"/>
        <v/>
      </c>
    </row>
    <row r="176" spans="1:156" x14ac:dyDescent="0.35">
      <c r="A176" s="220" cm="1">
        <f t="array" aca="1" ref="A176" ca="1">HYPERLINK(CONCATENATE("#",CELL("address",IF(MAX($CM176:$CZ176)=0,A176,INDEX($CM176:$CZ176,MATCH(1,$CM176:$CZ176,0))))),MAX($CM176:$CZ176))</f>
        <v>0</v>
      </c>
      <c r="C176" s="253"/>
      <c r="D176" s="106">
        <f t="shared" si="301"/>
        <v>0</v>
      </c>
      <c r="E176" s="106">
        <f t="shared" si="301"/>
        <v>0</v>
      </c>
      <c r="F176" s="117" t="str">
        <f t="shared" si="302"/>
        <v/>
      </c>
      <c r="G176" s="10">
        <f t="shared" si="303"/>
        <v>0</v>
      </c>
      <c r="H176" t="s">
        <v>403</v>
      </c>
      <c r="V176" s="12">
        <f>-IF(AND($F176&gt;=Timeline!$V$8,$F176 &lt;=V$5), $G176, 0)</f>
        <v>0</v>
      </c>
      <c r="W176" s="10">
        <f t="shared" si="304"/>
        <v>0</v>
      </c>
      <c r="X176" s="10">
        <f t="shared" si="304"/>
        <v>0</v>
      </c>
      <c r="Y176" s="10">
        <f t="shared" si="304"/>
        <v>0</v>
      </c>
      <c r="AA176" s="12">
        <f t="shared" si="305"/>
        <v>0</v>
      </c>
      <c r="AB176" s="10">
        <f t="shared" ref="AB176:BJ176" si="329">-IF(AND($F176&gt;AA$5,$F176 &lt;=AB$5), $G176, 0)</f>
        <v>0</v>
      </c>
      <c r="AC176" s="10">
        <f t="shared" si="329"/>
        <v>0</v>
      </c>
      <c r="AD176" s="10">
        <f t="shared" si="329"/>
        <v>0</v>
      </c>
      <c r="AE176" s="10">
        <f t="shared" si="329"/>
        <v>0</v>
      </c>
      <c r="AF176" s="10">
        <f t="shared" si="329"/>
        <v>0</v>
      </c>
      <c r="AG176" s="10">
        <f t="shared" si="329"/>
        <v>0</v>
      </c>
      <c r="AH176" s="10">
        <f t="shared" si="329"/>
        <v>0</v>
      </c>
      <c r="AI176" s="10">
        <f t="shared" si="329"/>
        <v>0</v>
      </c>
      <c r="AJ176" s="10">
        <f t="shared" si="329"/>
        <v>0</v>
      </c>
      <c r="AK176" s="10">
        <f t="shared" si="329"/>
        <v>0</v>
      </c>
      <c r="AL176" s="10">
        <f t="shared" si="329"/>
        <v>0</v>
      </c>
      <c r="AM176" s="10">
        <f t="shared" si="329"/>
        <v>0</v>
      </c>
      <c r="AN176" s="10">
        <f t="shared" si="329"/>
        <v>0</v>
      </c>
      <c r="AO176" s="10">
        <f t="shared" si="329"/>
        <v>0</v>
      </c>
      <c r="AP176" s="10">
        <f t="shared" si="329"/>
        <v>0</v>
      </c>
      <c r="AQ176" s="10">
        <f t="shared" si="329"/>
        <v>0</v>
      </c>
      <c r="AR176" s="10">
        <f t="shared" si="329"/>
        <v>0</v>
      </c>
      <c r="AS176" s="10">
        <f t="shared" si="329"/>
        <v>0</v>
      </c>
      <c r="AT176" s="10">
        <f t="shared" si="329"/>
        <v>0</v>
      </c>
      <c r="AU176" s="10">
        <f t="shared" si="329"/>
        <v>0</v>
      </c>
      <c r="AV176" s="10">
        <f t="shared" si="329"/>
        <v>0</v>
      </c>
      <c r="AW176" s="10">
        <f t="shared" si="329"/>
        <v>0</v>
      </c>
      <c r="AX176" s="10">
        <f t="shared" si="329"/>
        <v>0</v>
      </c>
      <c r="AY176" s="10">
        <f t="shared" si="329"/>
        <v>0</v>
      </c>
      <c r="AZ176" s="10">
        <f t="shared" si="329"/>
        <v>0</v>
      </c>
      <c r="BA176" s="10">
        <f t="shared" si="329"/>
        <v>0</v>
      </c>
      <c r="BB176" s="10">
        <f t="shared" si="329"/>
        <v>0</v>
      </c>
      <c r="BC176" s="10">
        <f t="shared" si="329"/>
        <v>0</v>
      </c>
      <c r="BD176" s="10">
        <f t="shared" si="329"/>
        <v>0</v>
      </c>
      <c r="BE176" s="10">
        <f t="shared" si="329"/>
        <v>0</v>
      </c>
      <c r="BF176" s="10">
        <f t="shared" si="329"/>
        <v>0</v>
      </c>
      <c r="BG176" s="10">
        <f t="shared" si="329"/>
        <v>0</v>
      </c>
      <c r="BH176" s="10">
        <f t="shared" si="329"/>
        <v>0</v>
      </c>
      <c r="BI176" s="10">
        <f t="shared" si="329"/>
        <v>0</v>
      </c>
      <c r="BJ176" s="10">
        <f t="shared" si="329"/>
        <v>0</v>
      </c>
      <c r="BK176" s="1"/>
      <c r="BL176" s="1"/>
      <c r="BM176" s="1"/>
      <c r="BN176" s="1"/>
      <c r="BO176" s="1"/>
      <c r="BP176" s="1"/>
      <c r="BQ176" s="1"/>
      <c r="BR176" s="1"/>
      <c r="BS176" s="1"/>
      <c r="BT176" s="1"/>
      <c r="BU176" s="1"/>
      <c r="BV176" s="1"/>
      <c r="BX176" s="12">
        <f t="shared" si="307"/>
        <v>0</v>
      </c>
      <c r="BY176" s="10">
        <f t="shared" ref="BY176:CI176" si="330">-IF(AND($F176&gt;BX$5,$F176 &lt;=BY$5), $G176, 0)</f>
        <v>0</v>
      </c>
      <c r="BZ176" s="10">
        <f t="shared" si="330"/>
        <v>0</v>
      </c>
      <c r="CA176" s="10">
        <f t="shared" si="330"/>
        <v>0</v>
      </c>
      <c r="CB176" s="10">
        <f t="shared" si="330"/>
        <v>0</v>
      </c>
      <c r="CC176" s="10">
        <f t="shared" si="330"/>
        <v>0</v>
      </c>
      <c r="CD176" s="10">
        <f t="shared" si="330"/>
        <v>0</v>
      </c>
      <c r="CE176" s="10">
        <f t="shared" si="330"/>
        <v>0</v>
      </c>
      <c r="CF176" s="10">
        <f t="shared" si="330"/>
        <v>0</v>
      </c>
      <c r="CG176" s="10">
        <f t="shared" si="330"/>
        <v>0</v>
      </c>
      <c r="CH176" s="10">
        <f t="shared" si="330"/>
        <v>0</v>
      </c>
      <c r="CI176" s="10">
        <f t="shared" si="330"/>
        <v>0</v>
      </c>
      <c r="CK176" s="11"/>
      <c r="CL176" s="221">
        <f t="shared" si="309"/>
        <v>0</v>
      </c>
      <c r="CM176" s="11"/>
      <c r="CW176" s="7">
        <f t="shared" si="310"/>
        <v>0</v>
      </c>
      <c r="CX176" s="7">
        <f t="shared" si="311"/>
        <v>0</v>
      </c>
      <c r="CY176" s="7">
        <f t="shared" si="312"/>
        <v>0</v>
      </c>
      <c r="CZ176" s="650"/>
      <c r="DA176" s="35"/>
      <c r="DB176" s="215">
        <f t="shared" si="313"/>
        <v>0</v>
      </c>
      <c r="DC176" s="215">
        <f t="shared" si="314"/>
        <v>0</v>
      </c>
      <c r="DD176" s="215">
        <f t="shared" si="315"/>
        <v>0</v>
      </c>
      <c r="DE176" s="215">
        <f t="shared" si="316"/>
        <v>0</v>
      </c>
      <c r="DF176" s="215">
        <f t="shared" si="317"/>
        <v>0</v>
      </c>
      <c r="DG176" s="215">
        <f t="shared" si="318"/>
        <v>0</v>
      </c>
      <c r="DH176" s="215">
        <f t="shared" si="319"/>
        <v>0</v>
      </c>
      <c r="DI176" s="35"/>
      <c r="DJ176">
        <v>0</v>
      </c>
      <c r="DK176">
        <v>0</v>
      </c>
      <c r="DL176" s="35"/>
      <c r="EZ176" s="12" t="str">
        <f t="shared" si="320"/>
        <v/>
      </c>
    </row>
    <row r="177" spans="1:156" x14ac:dyDescent="0.35">
      <c r="A177" s="220" cm="1">
        <f t="array" aca="1" ref="A177" ca="1">HYPERLINK(CONCATENATE("#",CELL("address",IF(MAX($CM177:$CZ177)=0,A177,INDEX($CM177:$CZ177,MATCH(1,$CM177:$CZ177,0))))),MAX($CM177:$CZ177))</f>
        <v>0</v>
      </c>
      <c r="C177" s="253"/>
      <c r="D177" s="106">
        <f t="shared" si="301"/>
        <v>0</v>
      </c>
      <c r="E177" s="106">
        <f t="shared" si="301"/>
        <v>0</v>
      </c>
      <c r="F177" s="117" t="str">
        <f t="shared" si="302"/>
        <v/>
      </c>
      <c r="G177" s="10">
        <f t="shared" si="303"/>
        <v>0</v>
      </c>
      <c r="H177" t="s">
        <v>403</v>
      </c>
      <c r="V177" s="12">
        <f>-IF(AND($F177&gt;=Timeline!$V$8,$F177 &lt;=V$5), $G177, 0)</f>
        <v>0</v>
      </c>
      <c r="W177" s="10">
        <f t="shared" si="304"/>
        <v>0</v>
      </c>
      <c r="X177" s="10">
        <f t="shared" si="304"/>
        <v>0</v>
      </c>
      <c r="Y177" s="10">
        <f t="shared" si="304"/>
        <v>0</v>
      </c>
      <c r="AA177" s="12">
        <f t="shared" si="305"/>
        <v>0</v>
      </c>
      <c r="AB177" s="10">
        <f t="shared" ref="AB177:BJ177" si="331">-IF(AND($F177&gt;AA$5,$F177 &lt;=AB$5), $G177, 0)</f>
        <v>0</v>
      </c>
      <c r="AC177" s="10">
        <f t="shared" si="331"/>
        <v>0</v>
      </c>
      <c r="AD177" s="10">
        <f t="shared" si="331"/>
        <v>0</v>
      </c>
      <c r="AE177" s="10">
        <f t="shared" si="331"/>
        <v>0</v>
      </c>
      <c r="AF177" s="10">
        <f t="shared" si="331"/>
        <v>0</v>
      </c>
      <c r="AG177" s="10">
        <f t="shared" si="331"/>
        <v>0</v>
      </c>
      <c r="AH177" s="10">
        <f t="shared" si="331"/>
        <v>0</v>
      </c>
      <c r="AI177" s="10">
        <f t="shared" si="331"/>
        <v>0</v>
      </c>
      <c r="AJ177" s="10">
        <f t="shared" si="331"/>
        <v>0</v>
      </c>
      <c r="AK177" s="10">
        <f t="shared" si="331"/>
        <v>0</v>
      </c>
      <c r="AL177" s="10">
        <f t="shared" si="331"/>
        <v>0</v>
      </c>
      <c r="AM177" s="10">
        <f t="shared" si="331"/>
        <v>0</v>
      </c>
      <c r="AN177" s="10">
        <f t="shared" si="331"/>
        <v>0</v>
      </c>
      <c r="AO177" s="10">
        <f t="shared" si="331"/>
        <v>0</v>
      </c>
      <c r="AP177" s="10">
        <f t="shared" si="331"/>
        <v>0</v>
      </c>
      <c r="AQ177" s="10">
        <f t="shared" si="331"/>
        <v>0</v>
      </c>
      <c r="AR177" s="10">
        <f t="shared" si="331"/>
        <v>0</v>
      </c>
      <c r="AS177" s="10">
        <f t="shared" si="331"/>
        <v>0</v>
      </c>
      <c r="AT177" s="10">
        <f t="shared" si="331"/>
        <v>0</v>
      </c>
      <c r="AU177" s="10">
        <f t="shared" si="331"/>
        <v>0</v>
      </c>
      <c r="AV177" s="10">
        <f t="shared" si="331"/>
        <v>0</v>
      </c>
      <c r="AW177" s="10">
        <f t="shared" si="331"/>
        <v>0</v>
      </c>
      <c r="AX177" s="10">
        <f t="shared" si="331"/>
        <v>0</v>
      </c>
      <c r="AY177" s="10">
        <f t="shared" si="331"/>
        <v>0</v>
      </c>
      <c r="AZ177" s="10">
        <f t="shared" si="331"/>
        <v>0</v>
      </c>
      <c r="BA177" s="10">
        <f t="shared" si="331"/>
        <v>0</v>
      </c>
      <c r="BB177" s="10">
        <f t="shared" si="331"/>
        <v>0</v>
      </c>
      <c r="BC177" s="10">
        <f t="shared" si="331"/>
        <v>0</v>
      </c>
      <c r="BD177" s="10">
        <f t="shared" si="331"/>
        <v>0</v>
      </c>
      <c r="BE177" s="10">
        <f t="shared" si="331"/>
        <v>0</v>
      </c>
      <c r="BF177" s="10">
        <f t="shared" si="331"/>
        <v>0</v>
      </c>
      <c r="BG177" s="10">
        <f t="shared" si="331"/>
        <v>0</v>
      </c>
      <c r="BH177" s="10">
        <f t="shared" si="331"/>
        <v>0</v>
      </c>
      <c r="BI177" s="10">
        <f t="shared" si="331"/>
        <v>0</v>
      </c>
      <c r="BJ177" s="10">
        <f t="shared" si="331"/>
        <v>0</v>
      </c>
      <c r="BK177" s="1"/>
      <c r="BL177" s="1"/>
      <c r="BM177" s="1"/>
      <c r="BN177" s="1"/>
      <c r="BO177" s="1"/>
      <c r="BP177" s="1"/>
      <c r="BQ177" s="1"/>
      <c r="BR177" s="1"/>
      <c r="BS177" s="1"/>
      <c r="BT177" s="1"/>
      <c r="BU177" s="1"/>
      <c r="BV177" s="1"/>
      <c r="BX177" s="12">
        <f t="shared" si="307"/>
        <v>0</v>
      </c>
      <c r="BY177" s="10">
        <f t="shared" ref="BY177:CI177" si="332">-IF(AND($F177&gt;BX$5,$F177 &lt;=BY$5), $G177, 0)</f>
        <v>0</v>
      </c>
      <c r="BZ177" s="10">
        <f t="shared" si="332"/>
        <v>0</v>
      </c>
      <c r="CA177" s="10">
        <f t="shared" si="332"/>
        <v>0</v>
      </c>
      <c r="CB177" s="10">
        <f t="shared" si="332"/>
        <v>0</v>
      </c>
      <c r="CC177" s="10">
        <f t="shared" si="332"/>
        <v>0</v>
      </c>
      <c r="CD177" s="10">
        <f t="shared" si="332"/>
        <v>0</v>
      </c>
      <c r="CE177" s="10">
        <f t="shared" si="332"/>
        <v>0</v>
      </c>
      <c r="CF177" s="10">
        <f t="shared" si="332"/>
        <v>0</v>
      </c>
      <c r="CG177" s="10">
        <f t="shared" si="332"/>
        <v>0</v>
      </c>
      <c r="CH177" s="10">
        <f t="shared" si="332"/>
        <v>0</v>
      </c>
      <c r="CI177" s="10">
        <f t="shared" si="332"/>
        <v>0</v>
      </c>
      <c r="CK177" s="11"/>
      <c r="CL177" s="221">
        <f t="shared" si="309"/>
        <v>0</v>
      </c>
      <c r="CM177" s="11"/>
      <c r="CW177" s="7">
        <f t="shared" si="310"/>
        <v>0</v>
      </c>
      <c r="CX177" s="7">
        <f t="shared" si="311"/>
        <v>0</v>
      </c>
      <c r="CY177" s="7">
        <f t="shared" si="312"/>
        <v>0</v>
      </c>
      <c r="CZ177" s="650"/>
      <c r="DA177" s="35"/>
      <c r="DB177" s="215">
        <f t="shared" si="313"/>
        <v>0</v>
      </c>
      <c r="DC177" s="215">
        <f t="shared" si="314"/>
        <v>0</v>
      </c>
      <c r="DD177" s="215">
        <f t="shared" si="315"/>
        <v>0</v>
      </c>
      <c r="DE177" s="215">
        <f t="shared" si="316"/>
        <v>0</v>
      </c>
      <c r="DF177" s="215">
        <f t="shared" si="317"/>
        <v>0</v>
      </c>
      <c r="DG177" s="215">
        <f t="shared" si="318"/>
        <v>0</v>
      </c>
      <c r="DH177" s="215">
        <f t="shared" si="319"/>
        <v>0</v>
      </c>
      <c r="DI177" s="35"/>
      <c r="DJ177">
        <v>0</v>
      </c>
      <c r="DK177">
        <v>0</v>
      </c>
      <c r="DL177" s="35"/>
      <c r="EZ177" s="12" t="str">
        <f t="shared" si="320"/>
        <v/>
      </c>
    </row>
    <row r="178" spans="1:156" x14ac:dyDescent="0.35">
      <c r="A178" s="220" cm="1">
        <f t="array" aca="1" ref="A178" ca="1">HYPERLINK(CONCATENATE("#",CELL("address",IF(MAX($CM178:$CZ178)=0,A178,INDEX($CM178:$CZ178,MATCH(1,$CM178:$CZ178,0))))),MAX($CM178:$CZ178))</f>
        <v>0</v>
      </c>
      <c r="C178" s="253"/>
      <c r="D178" s="106">
        <f t="shared" si="301"/>
        <v>0</v>
      </c>
      <c r="E178" s="106">
        <f t="shared" si="301"/>
        <v>0</v>
      </c>
      <c r="F178" s="117" t="str">
        <f t="shared" si="302"/>
        <v/>
      </c>
      <c r="G178" s="10">
        <f t="shared" si="303"/>
        <v>0</v>
      </c>
      <c r="H178" t="s">
        <v>403</v>
      </c>
      <c r="V178" s="12">
        <f>-IF(AND($F178&gt;=Timeline!$V$8,$F178 &lt;=V$5), $G178, 0)</f>
        <v>0</v>
      </c>
      <c r="W178" s="10">
        <f t="shared" si="304"/>
        <v>0</v>
      </c>
      <c r="X178" s="10">
        <f t="shared" si="304"/>
        <v>0</v>
      </c>
      <c r="Y178" s="10">
        <f t="shared" si="304"/>
        <v>0</v>
      </c>
      <c r="AA178" s="12">
        <f t="shared" si="305"/>
        <v>0</v>
      </c>
      <c r="AB178" s="10">
        <f t="shared" ref="AB178:BJ178" si="333">-IF(AND($F178&gt;AA$5,$F178 &lt;=AB$5), $G178, 0)</f>
        <v>0</v>
      </c>
      <c r="AC178" s="10">
        <f t="shared" si="333"/>
        <v>0</v>
      </c>
      <c r="AD178" s="10">
        <f t="shared" si="333"/>
        <v>0</v>
      </c>
      <c r="AE178" s="10">
        <f t="shared" si="333"/>
        <v>0</v>
      </c>
      <c r="AF178" s="10">
        <f t="shared" si="333"/>
        <v>0</v>
      </c>
      <c r="AG178" s="10">
        <f t="shared" si="333"/>
        <v>0</v>
      </c>
      <c r="AH178" s="10">
        <f t="shared" si="333"/>
        <v>0</v>
      </c>
      <c r="AI178" s="10">
        <f t="shared" si="333"/>
        <v>0</v>
      </c>
      <c r="AJ178" s="10">
        <f t="shared" si="333"/>
        <v>0</v>
      </c>
      <c r="AK178" s="10">
        <f t="shared" si="333"/>
        <v>0</v>
      </c>
      <c r="AL178" s="10">
        <f t="shared" si="333"/>
        <v>0</v>
      </c>
      <c r="AM178" s="10">
        <f t="shared" si="333"/>
        <v>0</v>
      </c>
      <c r="AN178" s="10">
        <f t="shared" si="333"/>
        <v>0</v>
      </c>
      <c r="AO178" s="10">
        <f t="shared" si="333"/>
        <v>0</v>
      </c>
      <c r="AP178" s="10">
        <f t="shared" si="333"/>
        <v>0</v>
      </c>
      <c r="AQ178" s="10">
        <f t="shared" si="333"/>
        <v>0</v>
      </c>
      <c r="AR178" s="10">
        <f t="shared" si="333"/>
        <v>0</v>
      </c>
      <c r="AS178" s="10">
        <f t="shared" si="333"/>
        <v>0</v>
      </c>
      <c r="AT178" s="10">
        <f t="shared" si="333"/>
        <v>0</v>
      </c>
      <c r="AU178" s="10">
        <f t="shared" si="333"/>
        <v>0</v>
      </c>
      <c r="AV178" s="10">
        <f t="shared" si="333"/>
        <v>0</v>
      </c>
      <c r="AW178" s="10">
        <f t="shared" si="333"/>
        <v>0</v>
      </c>
      <c r="AX178" s="10">
        <f t="shared" si="333"/>
        <v>0</v>
      </c>
      <c r="AY178" s="10">
        <f t="shared" si="333"/>
        <v>0</v>
      </c>
      <c r="AZ178" s="10">
        <f t="shared" si="333"/>
        <v>0</v>
      </c>
      <c r="BA178" s="10">
        <f t="shared" si="333"/>
        <v>0</v>
      </c>
      <c r="BB178" s="10">
        <f t="shared" si="333"/>
        <v>0</v>
      </c>
      <c r="BC178" s="10">
        <f t="shared" si="333"/>
        <v>0</v>
      </c>
      <c r="BD178" s="10">
        <f t="shared" si="333"/>
        <v>0</v>
      </c>
      <c r="BE178" s="10">
        <f t="shared" si="333"/>
        <v>0</v>
      </c>
      <c r="BF178" s="10">
        <f t="shared" si="333"/>
        <v>0</v>
      </c>
      <c r="BG178" s="10">
        <f t="shared" si="333"/>
        <v>0</v>
      </c>
      <c r="BH178" s="10">
        <f t="shared" si="333"/>
        <v>0</v>
      </c>
      <c r="BI178" s="10">
        <f t="shared" si="333"/>
        <v>0</v>
      </c>
      <c r="BJ178" s="10">
        <f t="shared" si="333"/>
        <v>0</v>
      </c>
      <c r="BK178" s="1"/>
      <c r="BL178" s="1"/>
      <c r="BM178" s="1"/>
      <c r="BN178" s="1"/>
      <c r="BO178" s="1"/>
      <c r="BP178" s="1"/>
      <c r="BQ178" s="1"/>
      <c r="BR178" s="1"/>
      <c r="BS178" s="1"/>
      <c r="BT178" s="1"/>
      <c r="BU178" s="1"/>
      <c r="BV178" s="1"/>
      <c r="BX178" s="12">
        <f t="shared" si="307"/>
        <v>0</v>
      </c>
      <c r="BY178" s="10">
        <f t="shared" ref="BY178:CI178" si="334">-IF(AND($F178&gt;BX$5,$F178 &lt;=BY$5), $G178, 0)</f>
        <v>0</v>
      </c>
      <c r="BZ178" s="10">
        <f t="shared" si="334"/>
        <v>0</v>
      </c>
      <c r="CA178" s="10">
        <f t="shared" si="334"/>
        <v>0</v>
      </c>
      <c r="CB178" s="10">
        <f t="shared" si="334"/>
        <v>0</v>
      </c>
      <c r="CC178" s="10">
        <f t="shared" si="334"/>
        <v>0</v>
      </c>
      <c r="CD178" s="10">
        <f t="shared" si="334"/>
        <v>0</v>
      </c>
      <c r="CE178" s="10">
        <f t="shared" si="334"/>
        <v>0</v>
      </c>
      <c r="CF178" s="10">
        <f t="shared" si="334"/>
        <v>0</v>
      </c>
      <c r="CG178" s="10">
        <f t="shared" si="334"/>
        <v>0</v>
      </c>
      <c r="CH178" s="10">
        <f t="shared" si="334"/>
        <v>0</v>
      </c>
      <c r="CI178" s="10">
        <f t="shared" si="334"/>
        <v>0</v>
      </c>
      <c r="CK178" s="11"/>
      <c r="CL178" s="221">
        <f t="shared" si="309"/>
        <v>0</v>
      </c>
      <c r="CM178" s="11"/>
      <c r="CW178" s="7">
        <f t="shared" si="310"/>
        <v>0</v>
      </c>
      <c r="CX178" s="7">
        <f t="shared" si="311"/>
        <v>0</v>
      </c>
      <c r="CY178" s="7">
        <f t="shared" si="312"/>
        <v>0</v>
      </c>
      <c r="CZ178" s="650"/>
      <c r="DA178" s="35"/>
      <c r="DB178" s="215">
        <f t="shared" si="313"/>
        <v>0</v>
      </c>
      <c r="DC178" s="215">
        <f t="shared" si="314"/>
        <v>0</v>
      </c>
      <c r="DD178" s="215">
        <f t="shared" si="315"/>
        <v>0</v>
      </c>
      <c r="DE178" s="215">
        <f t="shared" si="316"/>
        <v>0</v>
      </c>
      <c r="DF178" s="215">
        <f t="shared" si="317"/>
        <v>0</v>
      </c>
      <c r="DG178" s="215">
        <f t="shared" si="318"/>
        <v>0</v>
      </c>
      <c r="DH178" s="215">
        <f t="shared" si="319"/>
        <v>0</v>
      </c>
      <c r="DI178" s="35"/>
      <c r="DJ178">
        <v>0</v>
      </c>
      <c r="DK178">
        <v>0</v>
      </c>
      <c r="DL178" s="35"/>
      <c r="EZ178" s="12" t="str">
        <f t="shared" si="320"/>
        <v/>
      </c>
    </row>
    <row r="179" spans="1:156" x14ac:dyDescent="0.35">
      <c r="A179" s="220" cm="1">
        <f t="array" aca="1" ref="A179" ca="1">HYPERLINK(CONCATENATE("#",CELL("address",IF(MAX($CM179:$CZ179)=0,A179,INDEX($CM179:$CZ179,MATCH(1,$CM179:$CZ179,0))))),MAX($CM179:$CZ179))</f>
        <v>0</v>
      </c>
      <c r="C179" s="253"/>
      <c r="D179" s="106">
        <f t="shared" si="301"/>
        <v>0</v>
      </c>
      <c r="E179" s="106">
        <f t="shared" si="301"/>
        <v>0</v>
      </c>
      <c r="F179" s="117" t="str">
        <f t="shared" si="302"/>
        <v/>
      </c>
      <c r="G179" s="10">
        <f t="shared" si="303"/>
        <v>0</v>
      </c>
      <c r="H179" t="s">
        <v>403</v>
      </c>
      <c r="V179" s="12">
        <f>-IF(AND($F179&gt;=Timeline!$V$8,$F179 &lt;=V$5), $G179, 0)</f>
        <v>0</v>
      </c>
      <c r="W179" s="10">
        <f t="shared" si="304"/>
        <v>0</v>
      </c>
      <c r="X179" s="10">
        <f t="shared" si="304"/>
        <v>0</v>
      </c>
      <c r="Y179" s="10">
        <f t="shared" si="304"/>
        <v>0</v>
      </c>
      <c r="AA179" s="12">
        <f t="shared" si="305"/>
        <v>0</v>
      </c>
      <c r="AB179" s="10">
        <f t="shared" ref="AB179:BJ179" si="335">-IF(AND($F179&gt;AA$5,$F179 &lt;=AB$5), $G179, 0)</f>
        <v>0</v>
      </c>
      <c r="AC179" s="10">
        <f t="shared" si="335"/>
        <v>0</v>
      </c>
      <c r="AD179" s="10">
        <f t="shared" si="335"/>
        <v>0</v>
      </c>
      <c r="AE179" s="10">
        <f t="shared" si="335"/>
        <v>0</v>
      </c>
      <c r="AF179" s="10">
        <f t="shared" si="335"/>
        <v>0</v>
      </c>
      <c r="AG179" s="10">
        <f t="shared" si="335"/>
        <v>0</v>
      </c>
      <c r="AH179" s="10">
        <f t="shared" si="335"/>
        <v>0</v>
      </c>
      <c r="AI179" s="10">
        <f t="shared" si="335"/>
        <v>0</v>
      </c>
      <c r="AJ179" s="10">
        <f t="shared" si="335"/>
        <v>0</v>
      </c>
      <c r="AK179" s="10">
        <f t="shared" si="335"/>
        <v>0</v>
      </c>
      <c r="AL179" s="10">
        <f t="shared" si="335"/>
        <v>0</v>
      </c>
      <c r="AM179" s="10">
        <f t="shared" si="335"/>
        <v>0</v>
      </c>
      <c r="AN179" s="10">
        <f t="shared" si="335"/>
        <v>0</v>
      </c>
      <c r="AO179" s="10">
        <f t="shared" si="335"/>
        <v>0</v>
      </c>
      <c r="AP179" s="10">
        <f t="shared" si="335"/>
        <v>0</v>
      </c>
      <c r="AQ179" s="10">
        <f t="shared" si="335"/>
        <v>0</v>
      </c>
      <c r="AR179" s="10">
        <f t="shared" si="335"/>
        <v>0</v>
      </c>
      <c r="AS179" s="10">
        <f t="shared" si="335"/>
        <v>0</v>
      </c>
      <c r="AT179" s="10">
        <f t="shared" si="335"/>
        <v>0</v>
      </c>
      <c r="AU179" s="10">
        <f t="shared" si="335"/>
        <v>0</v>
      </c>
      <c r="AV179" s="10">
        <f t="shared" si="335"/>
        <v>0</v>
      </c>
      <c r="AW179" s="10">
        <f t="shared" si="335"/>
        <v>0</v>
      </c>
      <c r="AX179" s="10">
        <f t="shared" si="335"/>
        <v>0</v>
      </c>
      <c r="AY179" s="10">
        <f t="shared" si="335"/>
        <v>0</v>
      </c>
      <c r="AZ179" s="10">
        <f t="shared" si="335"/>
        <v>0</v>
      </c>
      <c r="BA179" s="10">
        <f t="shared" si="335"/>
        <v>0</v>
      </c>
      <c r="BB179" s="10">
        <f t="shared" si="335"/>
        <v>0</v>
      </c>
      <c r="BC179" s="10">
        <f t="shared" si="335"/>
        <v>0</v>
      </c>
      <c r="BD179" s="10">
        <f t="shared" si="335"/>
        <v>0</v>
      </c>
      <c r="BE179" s="10">
        <f t="shared" si="335"/>
        <v>0</v>
      </c>
      <c r="BF179" s="10">
        <f t="shared" si="335"/>
        <v>0</v>
      </c>
      <c r="BG179" s="10">
        <f t="shared" si="335"/>
        <v>0</v>
      </c>
      <c r="BH179" s="10">
        <f t="shared" si="335"/>
        <v>0</v>
      </c>
      <c r="BI179" s="10">
        <f t="shared" si="335"/>
        <v>0</v>
      </c>
      <c r="BJ179" s="10">
        <f t="shared" si="335"/>
        <v>0</v>
      </c>
      <c r="BK179" s="1"/>
      <c r="BL179" s="1"/>
      <c r="BM179" s="1"/>
      <c r="BN179" s="1"/>
      <c r="BO179" s="1"/>
      <c r="BP179" s="1"/>
      <c r="BQ179" s="1"/>
      <c r="BR179" s="1"/>
      <c r="BS179" s="1"/>
      <c r="BT179" s="1"/>
      <c r="BU179" s="1"/>
      <c r="BV179" s="1"/>
      <c r="BX179" s="12">
        <f t="shared" si="307"/>
        <v>0</v>
      </c>
      <c r="BY179" s="10">
        <f t="shared" ref="BY179:CI179" si="336">-IF(AND($F179&gt;BX$5,$F179 &lt;=BY$5), $G179, 0)</f>
        <v>0</v>
      </c>
      <c r="BZ179" s="10">
        <f t="shared" si="336"/>
        <v>0</v>
      </c>
      <c r="CA179" s="10">
        <f t="shared" si="336"/>
        <v>0</v>
      </c>
      <c r="CB179" s="10">
        <f t="shared" si="336"/>
        <v>0</v>
      </c>
      <c r="CC179" s="10">
        <f t="shared" si="336"/>
        <v>0</v>
      </c>
      <c r="CD179" s="10">
        <f t="shared" si="336"/>
        <v>0</v>
      </c>
      <c r="CE179" s="10">
        <f t="shared" si="336"/>
        <v>0</v>
      </c>
      <c r="CF179" s="10">
        <f t="shared" si="336"/>
        <v>0</v>
      </c>
      <c r="CG179" s="10">
        <f t="shared" si="336"/>
        <v>0</v>
      </c>
      <c r="CH179" s="10">
        <f t="shared" si="336"/>
        <v>0</v>
      </c>
      <c r="CI179" s="10">
        <f t="shared" si="336"/>
        <v>0</v>
      </c>
      <c r="CK179" s="11"/>
      <c r="CL179" s="221">
        <f t="shared" si="309"/>
        <v>0</v>
      </c>
      <c r="CM179" s="11"/>
      <c r="CW179" s="7">
        <f t="shared" si="310"/>
        <v>0</v>
      </c>
      <c r="CX179" s="7">
        <f t="shared" si="311"/>
        <v>0</v>
      </c>
      <c r="CY179" s="7">
        <f t="shared" si="312"/>
        <v>0</v>
      </c>
      <c r="CZ179" s="650"/>
      <c r="DA179" s="35"/>
      <c r="DB179" s="215">
        <f t="shared" si="313"/>
        <v>0</v>
      </c>
      <c r="DC179" s="215">
        <f t="shared" si="314"/>
        <v>0</v>
      </c>
      <c r="DD179" s="215">
        <f t="shared" si="315"/>
        <v>0</v>
      </c>
      <c r="DE179" s="215">
        <f t="shared" si="316"/>
        <v>0</v>
      </c>
      <c r="DF179" s="215">
        <f t="shared" si="317"/>
        <v>0</v>
      </c>
      <c r="DG179" s="215">
        <f t="shared" si="318"/>
        <v>0</v>
      </c>
      <c r="DH179" s="215">
        <f t="shared" si="319"/>
        <v>0</v>
      </c>
      <c r="DI179" s="35"/>
      <c r="DJ179">
        <v>0</v>
      </c>
      <c r="DK179">
        <v>0</v>
      </c>
      <c r="DL179" s="35"/>
      <c r="EZ179" s="12" t="str">
        <f t="shared" si="320"/>
        <v/>
      </c>
    </row>
    <row r="180" spans="1:156" x14ac:dyDescent="0.35">
      <c r="A180" s="220" cm="1">
        <f t="array" aca="1" ref="A180" ca="1">HYPERLINK(CONCATENATE("#",CELL("address",IF(MAX($CM180:$CZ180)=0,A180,INDEX($CM180:$CZ180,MATCH(1,$CM180:$CZ180,0))))),MAX($CM180:$CZ180))</f>
        <v>0</v>
      </c>
      <c r="C180" s="253"/>
      <c r="D180" s="106">
        <f t="shared" si="301"/>
        <v>0</v>
      </c>
      <c r="E180" s="106">
        <f t="shared" si="301"/>
        <v>0</v>
      </c>
      <c r="F180" s="117" t="str">
        <f t="shared" si="302"/>
        <v/>
      </c>
      <c r="G180" s="10">
        <f t="shared" si="303"/>
        <v>0</v>
      </c>
      <c r="H180" t="s">
        <v>403</v>
      </c>
      <c r="V180" s="12">
        <f>-IF(AND($F180&gt;=Timeline!$V$8,$F180 &lt;=V$5), $G180, 0)</f>
        <v>0</v>
      </c>
      <c r="W180" s="10">
        <f t="shared" si="304"/>
        <v>0</v>
      </c>
      <c r="X180" s="10">
        <f t="shared" si="304"/>
        <v>0</v>
      </c>
      <c r="Y180" s="10">
        <f t="shared" si="304"/>
        <v>0</v>
      </c>
      <c r="AA180" s="12">
        <f t="shared" si="305"/>
        <v>0</v>
      </c>
      <c r="AB180" s="10">
        <f t="shared" ref="AB180:BJ180" si="337">-IF(AND($F180&gt;AA$5,$F180 &lt;=AB$5), $G180, 0)</f>
        <v>0</v>
      </c>
      <c r="AC180" s="10">
        <f t="shared" si="337"/>
        <v>0</v>
      </c>
      <c r="AD180" s="10">
        <f t="shared" si="337"/>
        <v>0</v>
      </c>
      <c r="AE180" s="10">
        <f t="shared" si="337"/>
        <v>0</v>
      </c>
      <c r="AF180" s="10">
        <f t="shared" si="337"/>
        <v>0</v>
      </c>
      <c r="AG180" s="10">
        <f t="shared" si="337"/>
        <v>0</v>
      </c>
      <c r="AH180" s="10">
        <f t="shared" si="337"/>
        <v>0</v>
      </c>
      <c r="AI180" s="10">
        <f t="shared" si="337"/>
        <v>0</v>
      </c>
      <c r="AJ180" s="10">
        <f t="shared" si="337"/>
        <v>0</v>
      </c>
      <c r="AK180" s="10">
        <f t="shared" si="337"/>
        <v>0</v>
      </c>
      <c r="AL180" s="10">
        <f t="shared" si="337"/>
        <v>0</v>
      </c>
      <c r="AM180" s="10">
        <f t="shared" si="337"/>
        <v>0</v>
      </c>
      <c r="AN180" s="10">
        <f t="shared" si="337"/>
        <v>0</v>
      </c>
      <c r="AO180" s="10">
        <f t="shared" si="337"/>
        <v>0</v>
      </c>
      <c r="AP180" s="10">
        <f t="shared" si="337"/>
        <v>0</v>
      </c>
      <c r="AQ180" s="10">
        <f t="shared" si="337"/>
        <v>0</v>
      </c>
      <c r="AR180" s="10">
        <f t="shared" si="337"/>
        <v>0</v>
      </c>
      <c r="AS180" s="10">
        <f t="shared" si="337"/>
        <v>0</v>
      </c>
      <c r="AT180" s="10">
        <f t="shared" si="337"/>
        <v>0</v>
      </c>
      <c r="AU180" s="10">
        <f t="shared" si="337"/>
        <v>0</v>
      </c>
      <c r="AV180" s="10">
        <f t="shared" si="337"/>
        <v>0</v>
      </c>
      <c r="AW180" s="10">
        <f t="shared" si="337"/>
        <v>0</v>
      </c>
      <c r="AX180" s="10">
        <f t="shared" si="337"/>
        <v>0</v>
      </c>
      <c r="AY180" s="10">
        <f t="shared" si="337"/>
        <v>0</v>
      </c>
      <c r="AZ180" s="10">
        <f t="shared" si="337"/>
        <v>0</v>
      </c>
      <c r="BA180" s="10">
        <f t="shared" si="337"/>
        <v>0</v>
      </c>
      <c r="BB180" s="10">
        <f t="shared" si="337"/>
        <v>0</v>
      </c>
      <c r="BC180" s="10">
        <f t="shared" si="337"/>
        <v>0</v>
      </c>
      <c r="BD180" s="10">
        <f t="shared" si="337"/>
        <v>0</v>
      </c>
      <c r="BE180" s="10">
        <f t="shared" si="337"/>
        <v>0</v>
      </c>
      <c r="BF180" s="10">
        <f t="shared" si="337"/>
        <v>0</v>
      </c>
      <c r="BG180" s="10">
        <f t="shared" si="337"/>
        <v>0</v>
      </c>
      <c r="BH180" s="10">
        <f t="shared" si="337"/>
        <v>0</v>
      </c>
      <c r="BI180" s="10">
        <f t="shared" si="337"/>
        <v>0</v>
      </c>
      <c r="BJ180" s="10">
        <f t="shared" si="337"/>
        <v>0</v>
      </c>
      <c r="BK180" s="1"/>
      <c r="BL180" s="1"/>
      <c r="BM180" s="1"/>
      <c r="BN180" s="1"/>
      <c r="BO180" s="1"/>
      <c r="BP180" s="1"/>
      <c r="BQ180" s="1"/>
      <c r="BR180" s="1"/>
      <c r="BS180" s="1"/>
      <c r="BT180" s="1"/>
      <c r="BU180" s="1"/>
      <c r="BV180" s="1"/>
      <c r="BX180" s="12">
        <f t="shared" si="307"/>
        <v>0</v>
      </c>
      <c r="BY180" s="10">
        <f t="shared" ref="BY180:CI180" si="338">-IF(AND($F180&gt;BX$5,$F180 &lt;=BY$5), $G180, 0)</f>
        <v>0</v>
      </c>
      <c r="BZ180" s="10">
        <f t="shared" si="338"/>
        <v>0</v>
      </c>
      <c r="CA180" s="10">
        <f t="shared" si="338"/>
        <v>0</v>
      </c>
      <c r="CB180" s="10">
        <f t="shared" si="338"/>
        <v>0</v>
      </c>
      <c r="CC180" s="10">
        <f t="shared" si="338"/>
        <v>0</v>
      </c>
      <c r="CD180" s="10">
        <f t="shared" si="338"/>
        <v>0</v>
      </c>
      <c r="CE180" s="10">
        <f t="shared" si="338"/>
        <v>0</v>
      </c>
      <c r="CF180" s="10">
        <f t="shared" si="338"/>
        <v>0</v>
      </c>
      <c r="CG180" s="10">
        <f t="shared" si="338"/>
        <v>0</v>
      </c>
      <c r="CH180" s="10">
        <f t="shared" si="338"/>
        <v>0</v>
      </c>
      <c r="CI180" s="10">
        <f t="shared" si="338"/>
        <v>0</v>
      </c>
      <c r="CK180" s="11"/>
      <c r="CL180" s="221">
        <f t="shared" si="309"/>
        <v>0</v>
      </c>
      <c r="CM180" s="11"/>
      <c r="CW180" s="7">
        <f t="shared" si="310"/>
        <v>0</v>
      </c>
      <c r="CX180" s="7">
        <f t="shared" si="311"/>
        <v>0</v>
      </c>
      <c r="CY180" s="7">
        <f t="shared" si="312"/>
        <v>0</v>
      </c>
      <c r="CZ180" s="650"/>
      <c r="DA180" s="35"/>
      <c r="DB180" s="215">
        <f t="shared" si="313"/>
        <v>0</v>
      </c>
      <c r="DC180" s="215">
        <f t="shared" si="314"/>
        <v>0</v>
      </c>
      <c r="DD180" s="215">
        <f t="shared" si="315"/>
        <v>0</v>
      </c>
      <c r="DE180" s="215">
        <f t="shared" si="316"/>
        <v>0</v>
      </c>
      <c r="DF180" s="215">
        <f t="shared" si="317"/>
        <v>0</v>
      </c>
      <c r="DG180" s="215">
        <f t="shared" si="318"/>
        <v>0</v>
      </c>
      <c r="DH180" s="215">
        <f t="shared" si="319"/>
        <v>0</v>
      </c>
      <c r="DI180" s="35"/>
      <c r="DJ180">
        <v>0</v>
      </c>
      <c r="DK180">
        <v>0</v>
      </c>
      <c r="DL180" s="35"/>
      <c r="EZ180" s="12" t="str">
        <f t="shared" si="320"/>
        <v/>
      </c>
    </row>
    <row r="181" spans="1:156" x14ac:dyDescent="0.35">
      <c r="A181" s="220" cm="1">
        <f t="array" aca="1" ref="A181" ca="1">HYPERLINK(CONCATENATE("#",CELL("address",IF(MAX($CM181:$CZ181)=0,A181,INDEX($CM181:$CZ181,MATCH(1,$CM181:$CZ181,0))))),MAX($CM181:$CZ181))</f>
        <v>0</v>
      </c>
      <c r="C181" s="253"/>
      <c r="D181" s="106">
        <f t="shared" si="301"/>
        <v>0</v>
      </c>
      <c r="E181" s="106">
        <f t="shared" si="301"/>
        <v>0</v>
      </c>
      <c r="F181" s="117" t="str">
        <f t="shared" si="302"/>
        <v/>
      </c>
      <c r="G181" s="10">
        <f t="shared" si="303"/>
        <v>0</v>
      </c>
      <c r="H181" t="s">
        <v>403</v>
      </c>
      <c r="V181" s="12">
        <f>-IF(AND($F181&gt;=Timeline!$V$8,$F181 &lt;=V$5), $G181, 0)</f>
        <v>0</v>
      </c>
      <c r="W181" s="10">
        <f t="shared" si="304"/>
        <v>0</v>
      </c>
      <c r="X181" s="10">
        <f t="shared" si="304"/>
        <v>0</v>
      </c>
      <c r="Y181" s="10">
        <f t="shared" si="304"/>
        <v>0</v>
      </c>
      <c r="AA181" s="12">
        <f t="shared" si="305"/>
        <v>0</v>
      </c>
      <c r="AB181" s="10">
        <f t="shared" ref="AB181:BJ181" si="339">-IF(AND($F181&gt;AA$5,$F181 &lt;=AB$5), $G181, 0)</f>
        <v>0</v>
      </c>
      <c r="AC181" s="10">
        <f t="shared" si="339"/>
        <v>0</v>
      </c>
      <c r="AD181" s="10">
        <f t="shared" si="339"/>
        <v>0</v>
      </c>
      <c r="AE181" s="10">
        <f t="shared" si="339"/>
        <v>0</v>
      </c>
      <c r="AF181" s="10">
        <f t="shared" si="339"/>
        <v>0</v>
      </c>
      <c r="AG181" s="10">
        <f t="shared" si="339"/>
        <v>0</v>
      </c>
      <c r="AH181" s="10">
        <f t="shared" si="339"/>
        <v>0</v>
      </c>
      <c r="AI181" s="10">
        <f t="shared" si="339"/>
        <v>0</v>
      </c>
      <c r="AJ181" s="10">
        <f t="shared" si="339"/>
        <v>0</v>
      </c>
      <c r="AK181" s="10">
        <f t="shared" si="339"/>
        <v>0</v>
      </c>
      <c r="AL181" s="10">
        <f t="shared" si="339"/>
        <v>0</v>
      </c>
      <c r="AM181" s="10">
        <f t="shared" si="339"/>
        <v>0</v>
      </c>
      <c r="AN181" s="10">
        <f t="shared" si="339"/>
        <v>0</v>
      </c>
      <c r="AO181" s="10">
        <f t="shared" si="339"/>
        <v>0</v>
      </c>
      <c r="AP181" s="10">
        <f t="shared" si="339"/>
        <v>0</v>
      </c>
      <c r="AQ181" s="10">
        <f t="shared" si="339"/>
        <v>0</v>
      </c>
      <c r="AR181" s="10">
        <f t="shared" si="339"/>
        <v>0</v>
      </c>
      <c r="AS181" s="10">
        <f t="shared" si="339"/>
        <v>0</v>
      </c>
      <c r="AT181" s="10">
        <f t="shared" si="339"/>
        <v>0</v>
      </c>
      <c r="AU181" s="10">
        <f t="shared" si="339"/>
        <v>0</v>
      </c>
      <c r="AV181" s="10">
        <f t="shared" si="339"/>
        <v>0</v>
      </c>
      <c r="AW181" s="10">
        <f t="shared" si="339"/>
        <v>0</v>
      </c>
      <c r="AX181" s="10">
        <f t="shared" si="339"/>
        <v>0</v>
      </c>
      <c r="AY181" s="10">
        <f t="shared" si="339"/>
        <v>0</v>
      </c>
      <c r="AZ181" s="10">
        <f t="shared" si="339"/>
        <v>0</v>
      </c>
      <c r="BA181" s="10">
        <f t="shared" si="339"/>
        <v>0</v>
      </c>
      <c r="BB181" s="10">
        <f t="shared" si="339"/>
        <v>0</v>
      </c>
      <c r="BC181" s="10">
        <f t="shared" si="339"/>
        <v>0</v>
      </c>
      <c r="BD181" s="10">
        <f t="shared" si="339"/>
        <v>0</v>
      </c>
      <c r="BE181" s="10">
        <f t="shared" si="339"/>
        <v>0</v>
      </c>
      <c r="BF181" s="10">
        <f t="shared" si="339"/>
        <v>0</v>
      </c>
      <c r="BG181" s="10">
        <f t="shared" si="339"/>
        <v>0</v>
      </c>
      <c r="BH181" s="10">
        <f t="shared" si="339"/>
        <v>0</v>
      </c>
      <c r="BI181" s="10">
        <f t="shared" si="339"/>
        <v>0</v>
      </c>
      <c r="BJ181" s="10">
        <f t="shared" si="339"/>
        <v>0</v>
      </c>
      <c r="BK181" s="1"/>
      <c r="BL181" s="1"/>
      <c r="BM181" s="1"/>
      <c r="BN181" s="1"/>
      <c r="BO181" s="1"/>
      <c r="BP181" s="1"/>
      <c r="BQ181" s="1"/>
      <c r="BR181" s="1"/>
      <c r="BS181" s="1"/>
      <c r="BT181" s="1"/>
      <c r="BU181" s="1"/>
      <c r="BV181" s="1"/>
      <c r="BX181" s="12">
        <f t="shared" si="307"/>
        <v>0</v>
      </c>
      <c r="BY181" s="10">
        <f t="shared" ref="BY181:CI181" si="340">-IF(AND($F181&gt;BX$5,$F181 &lt;=BY$5), $G181, 0)</f>
        <v>0</v>
      </c>
      <c r="BZ181" s="10">
        <f t="shared" si="340"/>
        <v>0</v>
      </c>
      <c r="CA181" s="10">
        <f t="shared" si="340"/>
        <v>0</v>
      </c>
      <c r="CB181" s="10">
        <f t="shared" si="340"/>
        <v>0</v>
      </c>
      <c r="CC181" s="10">
        <f t="shared" si="340"/>
        <v>0</v>
      </c>
      <c r="CD181" s="10">
        <f t="shared" si="340"/>
        <v>0</v>
      </c>
      <c r="CE181" s="10">
        <f t="shared" si="340"/>
        <v>0</v>
      </c>
      <c r="CF181" s="10">
        <f t="shared" si="340"/>
        <v>0</v>
      </c>
      <c r="CG181" s="10">
        <f t="shared" si="340"/>
        <v>0</v>
      </c>
      <c r="CH181" s="10">
        <f t="shared" si="340"/>
        <v>0</v>
      </c>
      <c r="CI181" s="10">
        <f t="shared" si="340"/>
        <v>0</v>
      </c>
      <c r="CK181" s="11"/>
      <c r="CL181" s="221">
        <f t="shared" si="309"/>
        <v>0</v>
      </c>
      <c r="CM181" s="11"/>
      <c r="CW181" s="7">
        <f t="shared" si="310"/>
        <v>0</v>
      </c>
      <c r="CX181" s="7">
        <f t="shared" si="311"/>
        <v>0</v>
      </c>
      <c r="CY181" s="7">
        <f t="shared" si="312"/>
        <v>0</v>
      </c>
      <c r="CZ181" s="650"/>
      <c r="DA181" s="35"/>
      <c r="DB181" s="215">
        <f t="shared" si="313"/>
        <v>0</v>
      </c>
      <c r="DC181" s="215">
        <f t="shared" si="314"/>
        <v>0</v>
      </c>
      <c r="DD181" s="215">
        <f t="shared" si="315"/>
        <v>0</v>
      </c>
      <c r="DE181" s="215">
        <f t="shared" si="316"/>
        <v>0</v>
      </c>
      <c r="DF181" s="215">
        <f t="shared" si="317"/>
        <v>0</v>
      </c>
      <c r="DG181" s="215">
        <f t="shared" si="318"/>
        <v>0</v>
      </c>
      <c r="DH181" s="215">
        <f t="shared" si="319"/>
        <v>0</v>
      </c>
      <c r="DI181" s="35"/>
      <c r="DJ181">
        <v>0</v>
      </c>
      <c r="DK181">
        <v>0</v>
      </c>
      <c r="DL181" s="35"/>
      <c r="EZ181" s="12" t="str">
        <f t="shared" si="320"/>
        <v/>
      </c>
    </row>
    <row r="182" spans="1:156" x14ac:dyDescent="0.35">
      <c r="A182" s="220" cm="1">
        <f t="array" aca="1" ref="A182" ca="1">HYPERLINK(CONCATENATE("#",CELL("address",IF(MAX($CM182:$CZ182)=0,A182,INDEX($CM182:$CZ182,MATCH(1,$CM182:$CZ182,0))))),MAX($CM182:$CZ182))</f>
        <v>0</v>
      </c>
      <c r="C182" s="253"/>
      <c r="D182" s="106">
        <f t="shared" si="301"/>
        <v>0</v>
      </c>
      <c r="E182" s="106">
        <f t="shared" si="301"/>
        <v>0</v>
      </c>
      <c r="F182" s="117" t="str">
        <f t="shared" si="302"/>
        <v/>
      </c>
      <c r="G182" s="10">
        <f t="shared" si="303"/>
        <v>0</v>
      </c>
      <c r="H182" t="s">
        <v>403</v>
      </c>
      <c r="V182" s="12">
        <f>-IF(AND($F182&gt;=Timeline!$V$8,$F182 &lt;=V$5), $G182, 0)</f>
        <v>0</v>
      </c>
      <c r="W182" s="10">
        <f t="shared" si="304"/>
        <v>0</v>
      </c>
      <c r="X182" s="10">
        <f t="shared" si="304"/>
        <v>0</v>
      </c>
      <c r="Y182" s="10">
        <f t="shared" si="304"/>
        <v>0</v>
      </c>
      <c r="AA182" s="12">
        <f t="shared" si="305"/>
        <v>0</v>
      </c>
      <c r="AB182" s="10">
        <f t="shared" ref="AB182:BJ182" si="341">-IF(AND($F182&gt;AA$5,$F182 &lt;=AB$5), $G182, 0)</f>
        <v>0</v>
      </c>
      <c r="AC182" s="10">
        <f t="shared" si="341"/>
        <v>0</v>
      </c>
      <c r="AD182" s="10">
        <f t="shared" si="341"/>
        <v>0</v>
      </c>
      <c r="AE182" s="10">
        <f t="shared" si="341"/>
        <v>0</v>
      </c>
      <c r="AF182" s="10">
        <f t="shared" si="341"/>
        <v>0</v>
      </c>
      <c r="AG182" s="10">
        <f t="shared" si="341"/>
        <v>0</v>
      </c>
      <c r="AH182" s="10">
        <f t="shared" si="341"/>
        <v>0</v>
      </c>
      <c r="AI182" s="10">
        <f t="shared" si="341"/>
        <v>0</v>
      </c>
      <c r="AJ182" s="10">
        <f t="shared" si="341"/>
        <v>0</v>
      </c>
      <c r="AK182" s="10">
        <f t="shared" si="341"/>
        <v>0</v>
      </c>
      <c r="AL182" s="10">
        <f t="shared" si="341"/>
        <v>0</v>
      </c>
      <c r="AM182" s="10">
        <f t="shared" si="341"/>
        <v>0</v>
      </c>
      <c r="AN182" s="10">
        <f t="shared" si="341"/>
        <v>0</v>
      </c>
      <c r="AO182" s="10">
        <f t="shared" si="341"/>
        <v>0</v>
      </c>
      <c r="AP182" s="10">
        <f t="shared" si="341"/>
        <v>0</v>
      </c>
      <c r="AQ182" s="10">
        <f t="shared" si="341"/>
        <v>0</v>
      </c>
      <c r="AR182" s="10">
        <f t="shared" si="341"/>
        <v>0</v>
      </c>
      <c r="AS182" s="10">
        <f t="shared" si="341"/>
        <v>0</v>
      </c>
      <c r="AT182" s="10">
        <f t="shared" si="341"/>
        <v>0</v>
      </c>
      <c r="AU182" s="10">
        <f t="shared" si="341"/>
        <v>0</v>
      </c>
      <c r="AV182" s="10">
        <f t="shared" si="341"/>
        <v>0</v>
      </c>
      <c r="AW182" s="10">
        <f t="shared" si="341"/>
        <v>0</v>
      </c>
      <c r="AX182" s="10">
        <f t="shared" si="341"/>
        <v>0</v>
      </c>
      <c r="AY182" s="10">
        <f t="shared" si="341"/>
        <v>0</v>
      </c>
      <c r="AZ182" s="10">
        <f t="shared" si="341"/>
        <v>0</v>
      </c>
      <c r="BA182" s="10">
        <f t="shared" si="341"/>
        <v>0</v>
      </c>
      <c r="BB182" s="10">
        <f t="shared" si="341"/>
        <v>0</v>
      </c>
      <c r="BC182" s="10">
        <f t="shared" si="341"/>
        <v>0</v>
      </c>
      <c r="BD182" s="10">
        <f t="shared" si="341"/>
        <v>0</v>
      </c>
      <c r="BE182" s="10">
        <f t="shared" si="341"/>
        <v>0</v>
      </c>
      <c r="BF182" s="10">
        <f t="shared" si="341"/>
        <v>0</v>
      </c>
      <c r="BG182" s="10">
        <f t="shared" si="341"/>
        <v>0</v>
      </c>
      <c r="BH182" s="10">
        <f t="shared" si="341"/>
        <v>0</v>
      </c>
      <c r="BI182" s="10">
        <f t="shared" si="341"/>
        <v>0</v>
      </c>
      <c r="BJ182" s="10">
        <f t="shared" si="341"/>
        <v>0</v>
      </c>
      <c r="BK182" s="1"/>
      <c r="BL182" s="1"/>
      <c r="BM182" s="1"/>
      <c r="BN182" s="1"/>
      <c r="BO182" s="1"/>
      <c r="BP182" s="1"/>
      <c r="BQ182" s="1"/>
      <c r="BR182" s="1"/>
      <c r="BS182" s="1"/>
      <c r="BT182" s="1"/>
      <c r="BU182" s="1"/>
      <c r="BV182" s="1"/>
      <c r="BX182" s="12">
        <f t="shared" si="307"/>
        <v>0</v>
      </c>
      <c r="BY182" s="10">
        <f t="shared" ref="BY182:CI182" si="342">-IF(AND($F182&gt;BX$5,$F182 &lt;=BY$5), $G182, 0)</f>
        <v>0</v>
      </c>
      <c r="BZ182" s="10">
        <f t="shared" si="342"/>
        <v>0</v>
      </c>
      <c r="CA182" s="10">
        <f t="shared" si="342"/>
        <v>0</v>
      </c>
      <c r="CB182" s="10">
        <f t="shared" si="342"/>
        <v>0</v>
      </c>
      <c r="CC182" s="10">
        <f t="shared" si="342"/>
        <v>0</v>
      </c>
      <c r="CD182" s="10">
        <f t="shared" si="342"/>
        <v>0</v>
      </c>
      <c r="CE182" s="10">
        <f t="shared" si="342"/>
        <v>0</v>
      </c>
      <c r="CF182" s="10">
        <f t="shared" si="342"/>
        <v>0</v>
      </c>
      <c r="CG182" s="10">
        <f t="shared" si="342"/>
        <v>0</v>
      </c>
      <c r="CH182" s="10">
        <f t="shared" si="342"/>
        <v>0</v>
      </c>
      <c r="CI182" s="10">
        <f t="shared" si="342"/>
        <v>0</v>
      </c>
      <c r="CK182" s="11"/>
      <c r="CL182" s="221">
        <f t="shared" si="309"/>
        <v>0</v>
      </c>
      <c r="CM182" s="11"/>
      <c r="CW182" s="7">
        <f t="shared" si="310"/>
        <v>0</v>
      </c>
      <c r="CX182" s="7">
        <f t="shared" si="311"/>
        <v>0</v>
      </c>
      <c r="CY182" s="7">
        <f t="shared" si="312"/>
        <v>0</v>
      </c>
      <c r="CZ182" s="650"/>
      <c r="DA182" s="35"/>
      <c r="DB182" s="215">
        <f t="shared" si="313"/>
        <v>0</v>
      </c>
      <c r="DC182" s="215">
        <f t="shared" si="314"/>
        <v>0</v>
      </c>
      <c r="DD182" s="215">
        <f t="shared" si="315"/>
        <v>0</v>
      </c>
      <c r="DE182" s="215">
        <f t="shared" si="316"/>
        <v>0</v>
      </c>
      <c r="DF182" s="215">
        <f t="shared" si="317"/>
        <v>0</v>
      </c>
      <c r="DG182" s="215">
        <f t="shared" si="318"/>
        <v>0</v>
      </c>
      <c r="DH182" s="215">
        <f t="shared" si="319"/>
        <v>0</v>
      </c>
      <c r="DI182" s="35"/>
      <c r="DJ182">
        <v>0</v>
      </c>
      <c r="DK182">
        <v>0</v>
      </c>
      <c r="DL182" s="35"/>
      <c r="EZ182" s="12" t="str">
        <f t="shared" si="320"/>
        <v/>
      </c>
    </row>
    <row r="183" spans="1:156" x14ac:dyDescent="0.35">
      <c r="A183" s="220" cm="1">
        <f t="array" aca="1" ref="A183" ca="1">HYPERLINK(CONCATENATE("#",CELL("address",IF(MAX($CM183:$CZ183)=0,A183,INDEX($CM183:$CZ183,MATCH(1,$CM183:$CZ183,0))))),MAX($CM183:$CZ183))</f>
        <v>0</v>
      </c>
      <c r="C183" s="253"/>
      <c r="D183" s="106">
        <f t="shared" si="301"/>
        <v>0</v>
      </c>
      <c r="E183" s="106">
        <f t="shared" si="301"/>
        <v>0</v>
      </c>
      <c r="F183" s="117" t="str">
        <f t="shared" si="302"/>
        <v/>
      </c>
      <c r="G183" s="10">
        <f t="shared" si="303"/>
        <v>0</v>
      </c>
      <c r="H183" t="s">
        <v>403</v>
      </c>
      <c r="V183" s="12">
        <f>-IF(AND($F183&gt;=Timeline!$V$8,$F183 &lt;=V$5), $G183, 0)</f>
        <v>0</v>
      </c>
      <c r="W183" s="10">
        <f t="shared" si="304"/>
        <v>0</v>
      </c>
      <c r="X183" s="10">
        <f t="shared" si="304"/>
        <v>0</v>
      </c>
      <c r="Y183" s="10">
        <f t="shared" si="304"/>
        <v>0</v>
      </c>
      <c r="AA183" s="12">
        <f t="shared" si="305"/>
        <v>0</v>
      </c>
      <c r="AB183" s="10">
        <f t="shared" ref="AB183:BJ183" si="343">-IF(AND($F183&gt;AA$5,$F183 &lt;=AB$5), $G183, 0)</f>
        <v>0</v>
      </c>
      <c r="AC183" s="10">
        <f t="shared" si="343"/>
        <v>0</v>
      </c>
      <c r="AD183" s="10">
        <f t="shared" si="343"/>
        <v>0</v>
      </c>
      <c r="AE183" s="10">
        <f t="shared" si="343"/>
        <v>0</v>
      </c>
      <c r="AF183" s="10">
        <f t="shared" si="343"/>
        <v>0</v>
      </c>
      <c r="AG183" s="10">
        <f t="shared" si="343"/>
        <v>0</v>
      </c>
      <c r="AH183" s="10">
        <f t="shared" si="343"/>
        <v>0</v>
      </c>
      <c r="AI183" s="10">
        <f t="shared" si="343"/>
        <v>0</v>
      </c>
      <c r="AJ183" s="10">
        <f t="shared" si="343"/>
        <v>0</v>
      </c>
      <c r="AK183" s="10">
        <f t="shared" si="343"/>
        <v>0</v>
      </c>
      <c r="AL183" s="10">
        <f t="shared" si="343"/>
        <v>0</v>
      </c>
      <c r="AM183" s="10">
        <f t="shared" si="343"/>
        <v>0</v>
      </c>
      <c r="AN183" s="10">
        <f t="shared" si="343"/>
        <v>0</v>
      </c>
      <c r="AO183" s="10">
        <f t="shared" si="343"/>
        <v>0</v>
      </c>
      <c r="AP183" s="10">
        <f t="shared" si="343"/>
        <v>0</v>
      </c>
      <c r="AQ183" s="10">
        <f t="shared" si="343"/>
        <v>0</v>
      </c>
      <c r="AR183" s="10">
        <f t="shared" si="343"/>
        <v>0</v>
      </c>
      <c r="AS183" s="10">
        <f t="shared" si="343"/>
        <v>0</v>
      </c>
      <c r="AT183" s="10">
        <f t="shared" si="343"/>
        <v>0</v>
      </c>
      <c r="AU183" s="10">
        <f t="shared" si="343"/>
        <v>0</v>
      </c>
      <c r="AV183" s="10">
        <f t="shared" si="343"/>
        <v>0</v>
      </c>
      <c r="AW183" s="10">
        <f t="shared" si="343"/>
        <v>0</v>
      </c>
      <c r="AX183" s="10">
        <f t="shared" si="343"/>
        <v>0</v>
      </c>
      <c r="AY183" s="10">
        <f t="shared" si="343"/>
        <v>0</v>
      </c>
      <c r="AZ183" s="10">
        <f t="shared" si="343"/>
        <v>0</v>
      </c>
      <c r="BA183" s="10">
        <f t="shared" si="343"/>
        <v>0</v>
      </c>
      <c r="BB183" s="10">
        <f t="shared" si="343"/>
        <v>0</v>
      </c>
      <c r="BC183" s="10">
        <f t="shared" si="343"/>
        <v>0</v>
      </c>
      <c r="BD183" s="10">
        <f t="shared" si="343"/>
        <v>0</v>
      </c>
      <c r="BE183" s="10">
        <f t="shared" si="343"/>
        <v>0</v>
      </c>
      <c r="BF183" s="10">
        <f t="shared" si="343"/>
        <v>0</v>
      </c>
      <c r="BG183" s="10">
        <f t="shared" si="343"/>
        <v>0</v>
      </c>
      <c r="BH183" s="10">
        <f t="shared" si="343"/>
        <v>0</v>
      </c>
      <c r="BI183" s="10">
        <f t="shared" si="343"/>
        <v>0</v>
      </c>
      <c r="BJ183" s="10">
        <f t="shared" si="343"/>
        <v>0</v>
      </c>
      <c r="BK183" s="1"/>
      <c r="BL183" s="1"/>
      <c r="BM183" s="1"/>
      <c r="BN183" s="1"/>
      <c r="BO183" s="1"/>
      <c r="BP183" s="1"/>
      <c r="BQ183" s="1"/>
      <c r="BR183" s="1"/>
      <c r="BS183" s="1"/>
      <c r="BT183" s="1"/>
      <c r="BU183" s="1"/>
      <c r="BV183" s="1"/>
      <c r="BX183" s="12">
        <f t="shared" si="307"/>
        <v>0</v>
      </c>
      <c r="BY183" s="10">
        <f t="shared" ref="BY183:CI183" si="344">-IF(AND($F183&gt;BX$5,$F183 &lt;=BY$5), $G183, 0)</f>
        <v>0</v>
      </c>
      <c r="BZ183" s="10">
        <f t="shared" si="344"/>
        <v>0</v>
      </c>
      <c r="CA183" s="10">
        <f t="shared" si="344"/>
        <v>0</v>
      </c>
      <c r="CB183" s="10">
        <f t="shared" si="344"/>
        <v>0</v>
      </c>
      <c r="CC183" s="10">
        <f t="shared" si="344"/>
        <v>0</v>
      </c>
      <c r="CD183" s="10">
        <f t="shared" si="344"/>
        <v>0</v>
      </c>
      <c r="CE183" s="10">
        <f t="shared" si="344"/>
        <v>0</v>
      </c>
      <c r="CF183" s="10">
        <f t="shared" si="344"/>
        <v>0</v>
      </c>
      <c r="CG183" s="10">
        <f t="shared" si="344"/>
        <v>0</v>
      </c>
      <c r="CH183" s="10">
        <f t="shared" si="344"/>
        <v>0</v>
      </c>
      <c r="CI183" s="10">
        <f t="shared" si="344"/>
        <v>0</v>
      </c>
      <c r="CK183" s="11"/>
      <c r="CL183" s="221">
        <f t="shared" si="309"/>
        <v>0</v>
      </c>
      <c r="CM183" s="11"/>
      <c r="CW183" s="7">
        <f t="shared" si="310"/>
        <v>0</v>
      </c>
      <c r="CX183" s="7">
        <f t="shared" si="311"/>
        <v>0</v>
      </c>
      <c r="CY183" s="7">
        <f t="shared" si="312"/>
        <v>0</v>
      </c>
      <c r="CZ183" s="650"/>
      <c r="DA183" s="35"/>
      <c r="DB183" s="215">
        <f t="shared" si="313"/>
        <v>0</v>
      </c>
      <c r="DC183" s="215">
        <f t="shared" si="314"/>
        <v>0</v>
      </c>
      <c r="DD183" s="215">
        <f t="shared" si="315"/>
        <v>0</v>
      </c>
      <c r="DE183" s="215">
        <f t="shared" si="316"/>
        <v>0</v>
      </c>
      <c r="DF183" s="215">
        <f t="shared" si="317"/>
        <v>0</v>
      </c>
      <c r="DG183" s="215">
        <f t="shared" si="318"/>
        <v>0</v>
      </c>
      <c r="DH183" s="215">
        <f t="shared" si="319"/>
        <v>0</v>
      </c>
      <c r="DI183" s="35"/>
      <c r="DJ183">
        <v>0</v>
      </c>
      <c r="DK183">
        <v>0</v>
      </c>
      <c r="DL183" s="35"/>
      <c r="EZ183" s="12" t="str">
        <f t="shared" si="320"/>
        <v/>
      </c>
    </row>
    <row r="184" spans="1:156" x14ac:dyDescent="0.35">
      <c r="A184" s="220" cm="1">
        <f t="array" aca="1" ref="A184" ca="1">HYPERLINK(CONCATENATE("#",CELL("address",IF(MAX($CM184:$CZ184)=0,A184,INDEX($CM184:$CZ184,MATCH(1,$CM184:$CZ184,0))))),MAX($CM184:$CZ184))</f>
        <v>0</v>
      </c>
      <c r="C184" s="253"/>
      <c r="D184" s="106">
        <f t="shared" si="301"/>
        <v>0</v>
      </c>
      <c r="E184" s="106">
        <f t="shared" si="301"/>
        <v>0</v>
      </c>
      <c r="F184" s="117" t="str">
        <f t="shared" si="302"/>
        <v/>
      </c>
      <c r="G184" s="10">
        <f t="shared" si="303"/>
        <v>0</v>
      </c>
      <c r="H184" t="s">
        <v>403</v>
      </c>
      <c r="V184" s="12">
        <f>-IF(AND($F184&gt;=Timeline!$V$8,$F184 &lt;=V$5), $G184, 0)</f>
        <v>0</v>
      </c>
      <c r="W184" s="10">
        <f t="shared" si="304"/>
        <v>0</v>
      </c>
      <c r="X184" s="10">
        <f t="shared" si="304"/>
        <v>0</v>
      </c>
      <c r="Y184" s="10">
        <f t="shared" si="304"/>
        <v>0</v>
      </c>
      <c r="AA184" s="12">
        <f t="shared" si="305"/>
        <v>0</v>
      </c>
      <c r="AB184" s="10">
        <f t="shared" ref="AB184:BJ184" si="345">-IF(AND($F184&gt;AA$5,$F184 &lt;=AB$5), $G184, 0)</f>
        <v>0</v>
      </c>
      <c r="AC184" s="10">
        <f t="shared" si="345"/>
        <v>0</v>
      </c>
      <c r="AD184" s="10">
        <f t="shared" si="345"/>
        <v>0</v>
      </c>
      <c r="AE184" s="10">
        <f t="shared" si="345"/>
        <v>0</v>
      </c>
      <c r="AF184" s="10">
        <f t="shared" si="345"/>
        <v>0</v>
      </c>
      <c r="AG184" s="10">
        <f t="shared" si="345"/>
        <v>0</v>
      </c>
      <c r="AH184" s="10">
        <f t="shared" si="345"/>
        <v>0</v>
      </c>
      <c r="AI184" s="10">
        <f t="shared" si="345"/>
        <v>0</v>
      </c>
      <c r="AJ184" s="10">
        <f t="shared" si="345"/>
        <v>0</v>
      </c>
      <c r="AK184" s="10">
        <f t="shared" si="345"/>
        <v>0</v>
      </c>
      <c r="AL184" s="10">
        <f t="shared" si="345"/>
        <v>0</v>
      </c>
      <c r="AM184" s="10">
        <f t="shared" si="345"/>
        <v>0</v>
      </c>
      <c r="AN184" s="10">
        <f t="shared" si="345"/>
        <v>0</v>
      </c>
      <c r="AO184" s="10">
        <f t="shared" si="345"/>
        <v>0</v>
      </c>
      <c r="AP184" s="10">
        <f t="shared" si="345"/>
        <v>0</v>
      </c>
      <c r="AQ184" s="10">
        <f t="shared" si="345"/>
        <v>0</v>
      </c>
      <c r="AR184" s="10">
        <f t="shared" si="345"/>
        <v>0</v>
      </c>
      <c r="AS184" s="10">
        <f t="shared" si="345"/>
        <v>0</v>
      </c>
      <c r="AT184" s="10">
        <f t="shared" si="345"/>
        <v>0</v>
      </c>
      <c r="AU184" s="10">
        <f t="shared" si="345"/>
        <v>0</v>
      </c>
      <c r="AV184" s="10">
        <f t="shared" si="345"/>
        <v>0</v>
      </c>
      <c r="AW184" s="10">
        <f t="shared" si="345"/>
        <v>0</v>
      </c>
      <c r="AX184" s="10">
        <f t="shared" si="345"/>
        <v>0</v>
      </c>
      <c r="AY184" s="10">
        <f t="shared" si="345"/>
        <v>0</v>
      </c>
      <c r="AZ184" s="10">
        <f t="shared" si="345"/>
        <v>0</v>
      </c>
      <c r="BA184" s="10">
        <f t="shared" si="345"/>
        <v>0</v>
      </c>
      <c r="BB184" s="10">
        <f t="shared" si="345"/>
        <v>0</v>
      </c>
      <c r="BC184" s="10">
        <f t="shared" si="345"/>
        <v>0</v>
      </c>
      <c r="BD184" s="10">
        <f t="shared" si="345"/>
        <v>0</v>
      </c>
      <c r="BE184" s="10">
        <f t="shared" si="345"/>
        <v>0</v>
      </c>
      <c r="BF184" s="10">
        <f t="shared" si="345"/>
        <v>0</v>
      </c>
      <c r="BG184" s="10">
        <f t="shared" si="345"/>
        <v>0</v>
      </c>
      <c r="BH184" s="10">
        <f t="shared" si="345"/>
        <v>0</v>
      </c>
      <c r="BI184" s="10">
        <f t="shared" si="345"/>
        <v>0</v>
      </c>
      <c r="BJ184" s="10">
        <f t="shared" si="345"/>
        <v>0</v>
      </c>
      <c r="BK184" s="1"/>
      <c r="BL184" s="1"/>
      <c r="BM184" s="1"/>
      <c r="BN184" s="1"/>
      <c r="BO184" s="1"/>
      <c r="BP184" s="1"/>
      <c r="BQ184" s="1"/>
      <c r="BR184" s="1"/>
      <c r="BS184" s="1"/>
      <c r="BT184" s="1"/>
      <c r="BU184" s="1"/>
      <c r="BV184" s="1"/>
      <c r="BX184" s="12">
        <f t="shared" si="307"/>
        <v>0</v>
      </c>
      <c r="BY184" s="10">
        <f t="shared" ref="BY184:CI184" si="346">-IF(AND($F184&gt;BX$5,$F184 &lt;=BY$5), $G184, 0)</f>
        <v>0</v>
      </c>
      <c r="BZ184" s="10">
        <f t="shared" si="346"/>
        <v>0</v>
      </c>
      <c r="CA184" s="10">
        <f t="shared" si="346"/>
        <v>0</v>
      </c>
      <c r="CB184" s="10">
        <f t="shared" si="346"/>
        <v>0</v>
      </c>
      <c r="CC184" s="10">
        <f t="shared" si="346"/>
        <v>0</v>
      </c>
      <c r="CD184" s="10">
        <f t="shared" si="346"/>
        <v>0</v>
      </c>
      <c r="CE184" s="10">
        <f t="shared" si="346"/>
        <v>0</v>
      </c>
      <c r="CF184" s="10">
        <f t="shared" si="346"/>
        <v>0</v>
      </c>
      <c r="CG184" s="10">
        <f t="shared" si="346"/>
        <v>0</v>
      </c>
      <c r="CH184" s="10">
        <f t="shared" si="346"/>
        <v>0</v>
      </c>
      <c r="CI184" s="10">
        <f t="shared" si="346"/>
        <v>0</v>
      </c>
      <c r="CK184" s="11"/>
      <c r="CL184" s="221">
        <f t="shared" si="309"/>
        <v>0</v>
      </c>
      <c r="CM184" s="11"/>
      <c r="CW184" s="7">
        <f t="shared" si="310"/>
        <v>0</v>
      </c>
      <c r="CX184" s="7">
        <f t="shared" si="311"/>
        <v>0</v>
      </c>
      <c r="CY184" s="7">
        <f t="shared" si="312"/>
        <v>0</v>
      </c>
      <c r="CZ184" s="650"/>
      <c r="DA184" s="35"/>
      <c r="DB184" s="215">
        <f t="shared" si="313"/>
        <v>0</v>
      </c>
      <c r="DC184" s="215">
        <f t="shared" si="314"/>
        <v>0</v>
      </c>
      <c r="DD184" s="215">
        <f t="shared" si="315"/>
        <v>0</v>
      </c>
      <c r="DE184" s="215">
        <f t="shared" si="316"/>
        <v>0</v>
      </c>
      <c r="DF184" s="215">
        <f t="shared" si="317"/>
        <v>0</v>
      </c>
      <c r="DG184" s="215">
        <f t="shared" si="318"/>
        <v>0</v>
      </c>
      <c r="DH184" s="215">
        <f t="shared" si="319"/>
        <v>0</v>
      </c>
      <c r="DI184" s="35"/>
      <c r="DJ184">
        <v>0</v>
      </c>
      <c r="DK184">
        <v>0</v>
      </c>
      <c r="DL184" s="35"/>
      <c r="EZ184" s="12" t="str">
        <f t="shared" si="320"/>
        <v/>
      </c>
    </row>
    <row r="185" spans="1:156" x14ac:dyDescent="0.35">
      <c r="A185" s="220" cm="1">
        <f t="array" aca="1" ref="A185" ca="1">HYPERLINK(CONCATENATE("#",CELL("address",IF(MAX($CM185:$CZ185)=0,A185,INDEX($CM185:$CZ185,MATCH(1,$CM185:$CZ185,0))))),MAX($CM185:$CZ185))</f>
        <v>0</v>
      </c>
      <c r="C185" s="253"/>
      <c r="D185" s="106">
        <f t="shared" si="301"/>
        <v>0</v>
      </c>
      <c r="E185" s="106">
        <f t="shared" si="301"/>
        <v>0</v>
      </c>
      <c r="F185" s="117" t="str">
        <f t="shared" si="302"/>
        <v/>
      </c>
      <c r="G185" s="10">
        <f t="shared" si="303"/>
        <v>0</v>
      </c>
      <c r="H185" t="s">
        <v>403</v>
      </c>
      <c r="V185" s="12">
        <f>-IF(AND($F185&gt;=Timeline!$V$8,$F185 &lt;=V$5), $G185, 0)</f>
        <v>0</v>
      </c>
      <c r="W185" s="10">
        <f t="shared" si="304"/>
        <v>0</v>
      </c>
      <c r="X185" s="10">
        <f t="shared" si="304"/>
        <v>0</v>
      </c>
      <c r="Y185" s="10">
        <f t="shared" si="304"/>
        <v>0</v>
      </c>
      <c r="AA185" s="12">
        <f t="shared" si="305"/>
        <v>0</v>
      </c>
      <c r="AB185" s="10">
        <f t="shared" ref="AB185:BJ185" si="347">-IF(AND($F185&gt;AA$5,$F185 &lt;=AB$5), $G185, 0)</f>
        <v>0</v>
      </c>
      <c r="AC185" s="10">
        <f t="shared" si="347"/>
        <v>0</v>
      </c>
      <c r="AD185" s="10">
        <f t="shared" si="347"/>
        <v>0</v>
      </c>
      <c r="AE185" s="10">
        <f t="shared" si="347"/>
        <v>0</v>
      </c>
      <c r="AF185" s="10">
        <f t="shared" si="347"/>
        <v>0</v>
      </c>
      <c r="AG185" s="10">
        <f t="shared" si="347"/>
        <v>0</v>
      </c>
      <c r="AH185" s="10">
        <f t="shared" si="347"/>
        <v>0</v>
      </c>
      <c r="AI185" s="10">
        <f t="shared" si="347"/>
        <v>0</v>
      </c>
      <c r="AJ185" s="10">
        <f t="shared" si="347"/>
        <v>0</v>
      </c>
      <c r="AK185" s="10">
        <f t="shared" si="347"/>
        <v>0</v>
      </c>
      <c r="AL185" s="10">
        <f t="shared" si="347"/>
        <v>0</v>
      </c>
      <c r="AM185" s="10">
        <f t="shared" si="347"/>
        <v>0</v>
      </c>
      <c r="AN185" s="10">
        <f t="shared" si="347"/>
        <v>0</v>
      </c>
      <c r="AO185" s="10">
        <f t="shared" si="347"/>
        <v>0</v>
      </c>
      <c r="AP185" s="10">
        <f t="shared" si="347"/>
        <v>0</v>
      </c>
      <c r="AQ185" s="10">
        <f t="shared" si="347"/>
        <v>0</v>
      </c>
      <c r="AR185" s="10">
        <f t="shared" si="347"/>
        <v>0</v>
      </c>
      <c r="AS185" s="10">
        <f t="shared" si="347"/>
        <v>0</v>
      </c>
      <c r="AT185" s="10">
        <f t="shared" si="347"/>
        <v>0</v>
      </c>
      <c r="AU185" s="10">
        <f t="shared" si="347"/>
        <v>0</v>
      </c>
      <c r="AV185" s="10">
        <f t="shared" si="347"/>
        <v>0</v>
      </c>
      <c r="AW185" s="10">
        <f t="shared" si="347"/>
        <v>0</v>
      </c>
      <c r="AX185" s="10">
        <f t="shared" si="347"/>
        <v>0</v>
      </c>
      <c r="AY185" s="10">
        <f t="shared" si="347"/>
        <v>0</v>
      </c>
      <c r="AZ185" s="10">
        <f t="shared" si="347"/>
        <v>0</v>
      </c>
      <c r="BA185" s="10">
        <f t="shared" si="347"/>
        <v>0</v>
      </c>
      <c r="BB185" s="10">
        <f t="shared" si="347"/>
        <v>0</v>
      </c>
      <c r="BC185" s="10">
        <f t="shared" si="347"/>
        <v>0</v>
      </c>
      <c r="BD185" s="10">
        <f t="shared" si="347"/>
        <v>0</v>
      </c>
      <c r="BE185" s="10">
        <f t="shared" si="347"/>
        <v>0</v>
      </c>
      <c r="BF185" s="10">
        <f t="shared" si="347"/>
        <v>0</v>
      </c>
      <c r="BG185" s="10">
        <f t="shared" si="347"/>
        <v>0</v>
      </c>
      <c r="BH185" s="10">
        <f t="shared" si="347"/>
        <v>0</v>
      </c>
      <c r="BI185" s="10">
        <f t="shared" si="347"/>
        <v>0</v>
      </c>
      <c r="BJ185" s="10">
        <f t="shared" si="347"/>
        <v>0</v>
      </c>
      <c r="BK185" s="1"/>
      <c r="BL185" s="1"/>
      <c r="BM185" s="1"/>
      <c r="BN185" s="1"/>
      <c r="BO185" s="1"/>
      <c r="BP185" s="1"/>
      <c r="BQ185" s="1"/>
      <c r="BR185" s="1"/>
      <c r="BS185" s="1"/>
      <c r="BT185" s="1"/>
      <c r="BU185" s="1"/>
      <c r="BV185" s="1"/>
      <c r="BX185" s="12">
        <f t="shared" si="307"/>
        <v>0</v>
      </c>
      <c r="BY185" s="10">
        <f t="shared" ref="BY185:CI185" si="348">-IF(AND($F185&gt;BX$5,$F185 &lt;=BY$5), $G185, 0)</f>
        <v>0</v>
      </c>
      <c r="BZ185" s="10">
        <f t="shared" si="348"/>
        <v>0</v>
      </c>
      <c r="CA185" s="10">
        <f t="shared" si="348"/>
        <v>0</v>
      </c>
      <c r="CB185" s="10">
        <f t="shared" si="348"/>
        <v>0</v>
      </c>
      <c r="CC185" s="10">
        <f t="shared" si="348"/>
        <v>0</v>
      </c>
      <c r="CD185" s="10">
        <f t="shared" si="348"/>
        <v>0</v>
      </c>
      <c r="CE185" s="10">
        <f t="shared" si="348"/>
        <v>0</v>
      </c>
      <c r="CF185" s="10">
        <f t="shared" si="348"/>
        <v>0</v>
      </c>
      <c r="CG185" s="10">
        <f t="shared" si="348"/>
        <v>0</v>
      </c>
      <c r="CH185" s="10">
        <f t="shared" si="348"/>
        <v>0</v>
      </c>
      <c r="CI185" s="10">
        <f t="shared" si="348"/>
        <v>0</v>
      </c>
      <c r="CK185" s="11"/>
      <c r="CL185" s="221">
        <f t="shared" si="309"/>
        <v>0</v>
      </c>
      <c r="CM185" s="11"/>
      <c r="CW185" s="7">
        <f t="shared" si="310"/>
        <v>0</v>
      </c>
      <c r="CX185" s="7">
        <f t="shared" si="311"/>
        <v>0</v>
      </c>
      <c r="CY185" s="7">
        <f t="shared" si="312"/>
        <v>0</v>
      </c>
      <c r="CZ185" s="650"/>
      <c r="DA185" s="35"/>
      <c r="DB185" s="215">
        <f t="shared" si="313"/>
        <v>0</v>
      </c>
      <c r="DC185" s="215">
        <f t="shared" si="314"/>
        <v>0</v>
      </c>
      <c r="DD185" s="215">
        <f t="shared" si="315"/>
        <v>0</v>
      </c>
      <c r="DE185" s="215">
        <f t="shared" si="316"/>
        <v>0</v>
      </c>
      <c r="DF185" s="215">
        <f t="shared" si="317"/>
        <v>0</v>
      </c>
      <c r="DG185" s="215">
        <f t="shared" si="318"/>
        <v>0</v>
      </c>
      <c r="DH185" s="215">
        <f t="shared" si="319"/>
        <v>0</v>
      </c>
      <c r="DI185" s="35"/>
      <c r="DJ185">
        <v>0</v>
      </c>
      <c r="DK185">
        <v>0</v>
      </c>
      <c r="DL185" s="35"/>
      <c r="EZ185" s="12" t="str">
        <f t="shared" si="320"/>
        <v/>
      </c>
    </row>
    <row r="186" spans="1:156" x14ac:dyDescent="0.35">
      <c r="A186" s="220" cm="1">
        <f t="array" aca="1" ref="A186" ca="1">HYPERLINK(CONCATENATE("#",CELL("address",IF(MAX($CM186:$CZ186)=0,A186,INDEX($CM186:$CZ186,MATCH(1,$CM186:$CZ186,0))))),MAX($CM186:$CZ186))</f>
        <v>0</v>
      </c>
      <c r="C186" s="253"/>
      <c r="D186" s="5" t="s">
        <v>774</v>
      </c>
      <c r="E186" s="5" t="str">
        <f>Parameters!$D$45</f>
        <v>Land &amp; Buildings</v>
      </c>
      <c r="I186" s="96"/>
      <c r="V186" s="12">
        <f>SUMIFS(V171:V185, $E171:$E185, $E186)</f>
        <v>0</v>
      </c>
      <c r="W186" s="12">
        <f>SUMIFS(W171:W185, $E171:$E185, $E186)</f>
        <v>0</v>
      </c>
      <c r="X186" s="12">
        <f>SUMIFS(X171:X185, $E171:$E185, $E186)</f>
        <v>0</v>
      </c>
      <c r="Y186" s="12">
        <f>SUMIFS(Y171:Y185, $E171:$E185, $E186)</f>
        <v>0</v>
      </c>
      <c r="AA186" s="12">
        <f t="shared" ref="AA186:BJ186" si="349">SUMIFS(AA171:AA185, $E171:$E185, $E186)</f>
        <v>0</v>
      </c>
      <c r="AB186" s="12">
        <f t="shared" si="349"/>
        <v>0</v>
      </c>
      <c r="AC186" s="12">
        <f t="shared" si="349"/>
        <v>0</v>
      </c>
      <c r="AD186" s="12">
        <f t="shared" si="349"/>
        <v>0</v>
      </c>
      <c r="AE186" s="12">
        <f t="shared" si="349"/>
        <v>0</v>
      </c>
      <c r="AF186" s="12">
        <f t="shared" si="349"/>
        <v>0</v>
      </c>
      <c r="AG186" s="12">
        <f t="shared" si="349"/>
        <v>0</v>
      </c>
      <c r="AH186" s="12">
        <f t="shared" si="349"/>
        <v>0</v>
      </c>
      <c r="AI186" s="12">
        <f t="shared" si="349"/>
        <v>0</v>
      </c>
      <c r="AJ186" s="12">
        <f t="shared" si="349"/>
        <v>0</v>
      </c>
      <c r="AK186" s="12">
        <f t="shared" si="349"/>
        <v>0</v>
      </c>
      <c r="AL186" s="12">
        <f t="shared" si="349"/>
        <v>0</v>
      </c>
      <c r="AM186" s="12">
        <f t="shared" si="349"/>
        <v>0</v>
      </c>
      <c r="AN186" s="12">
        <f t="shared" si="349"/>
        <v>0</v>
      </c>
      <c r="AO186" s="12">
        <f t="shared" si="349"/>
        <v>0</v>
      </c>
      <c r="AP186" s="12">
        <f t="shared" si="349"/>
        <v>0</v>
      </c>
      <c r="AQ186" s="12">
        <f t="shared" si="349"/>
        <v>0</v>
      </c>
      <c r="AR186" s="12">
        <f t="shared" si="349"/>
        <v>0</v>
      </c>
      <c r="AS186" s="12">
        <f t="shared" si="349"/>
        <v>0</v>
      </c>
      <c r="AT186" s="12">
        <f t="shared" si="349"/>
        <v>0</v>
      </c>
      <c r="AU186" s="12">
        <f t="shared" si="349"/>
        <v>0</v>
      </c>
      <c r="AV186" s="12">
        <f t="shared" si="349"/>
        <v>0</v>
      </c>
      <c r="AW186" s="12">
        <f t="shared" si="349"/>
        <v>0</v>
      </c>
      <c r="AX186" s="12">
        <f t="shared" si="349"/>
        <v>0</v>
      </c>
      <c r="AY186" s="12">
        <f t="shared" si="349"/>
        <v>0</v>
      </c>
      <c r="AZ186" s="12">
        <f t="shared" si="349"/>
        <v>0</v>
      </c>
      <c r="BA186" s="12">
        <f t="shared" si="349"/>
        <v>0</v>
      </c>
      <c r="BB186" s="12">
        <f t="shared" si="349"/>
        <v>0</v>
      </c>
      <c r="BC186" s="12">
        <f t="shared" si="349"/>
        <v>0</v>
      </c>
      <c r="BD186" s="12">
        <f t="shared" si="349"/>
        <v>0</v>
      </c>
      <c r="BE186" s="12">
        <f t="shared" si="349"/>
        <v>0</v>
      </c>
      <c r="BF186" s="12">
        <f t="shared" si="349"/>
        <v>0</v>
      </c>
      <c r="BG186" s="12">
        <f t="shared" si="349"/>
        <v>0</v>
      </c>
      <c r="BH186" s="12">
        <f t="shared" si="349"/>
        <v>0</v>
      </c>
      <c r="BI186" s="12">
        <f t="shared" si="349"/>
        <v>0</v>
      </c>
      <c r="BJ186" s="12">
        <f t="shared" si="349"/>
        <v>0</v>
      </c>
      <c r="BK186" s="1"/>
      <c r="BL186" s="1"/>
      <c r="BM186" s="1"/>
      <c r="BN186" s="1"/>
      <c r="BO186" s="1"/>
      <c r="BP186" s="1"/>
      <c r="BQ186" s="1"/>
      <c r="BR186" s="1"/>
      <c r="BS186" s="1"/>
      <c r="BT186" s="1"/>
      <c r="BU186" s="1"/>
      <c r="BV186" s="1"/>
      <c r="BX186" s="12">
        <f t="shared" ref="BX186:CI186" si="350">SUMIFS(BX171:BX185, $E171:$E185, $E186)</f>
        <v>0</v>
      </c>
      <c r="BY186" s="12">
        <f t="shared" si="350"/>
        <v>0</v>
      </c>
      <c r="BZ186" s="12">
        <f t="shared" si="350"/>
        <v>0</v>
      </c>
      <c r="CA186" s="12">
        <f t="shared" si="350"/>
        <v>0</v>
      </c>
      <c r="CB186" s="12">
        <f t="shared" si="350"/>
        <v>0</v>
      </c>
      <c r="CC186" s="12">
        <f t="shared" si="350"/>
        <v>0</v>
      </c>
      <c r="CD186" s="12">
        <f t="shared" si="350"/>
        <v>0</v>
      </c>
      <c r="CE186" s="12">
        <f t="shared" si="350"/>
        <v>0</v>
      </c>
      <c r="CF186" s="12">
        <f t="shared" si="350"/>
        <v>0</v>
      </c>
      <c r="CG186" s="12">
        <f t="shared" si="350"/>
        <v>0</v>
      </c>
      <c r="CH186" s="12">
        <f t="shared" si="350"/>
        <v>0</v>
      </c>
      <c r="CI186" s="12">
        <f t="shared" si="350"/>
        <v>0</v>
      </c>
      <c r="CK186" s="11"/>
      <c r="CL186" s="221">
        <f t="shared" si="309"/>
        <v>0</v>
      </c>
      <c r="CM186" s="11"/>
      <c r="CW186" s="7">
        <f t="shared" si="310"/>
        <v>0</v>
      </c>
      <c r="CX186" s="7">
        <f t="shared" si="311"/>
        <v>0</v>
      </c>
      <c r="CY186" s="7">
        <f t="shared" si="312"/>
        <v>0</v>
      </c>
      <c r="CZ186" s="650"/>
      <c r="DA186" s="35"/>
      <c r="DB186" s="215">
        <f t="shared" si="313"/>
        <v>0</v>
      </c>
      <c r="DC186" s="215">
        <f t="shared" si="314"/>
        <v>0</v>
      </c>
      <c r="DD186" s="215">
        <f t="shared" si="315"/>
        <v>0</v>
      </c>
      <c r="DE186" s="215">
        <f t="shared" si="316"/>
        <v>0</v>
      </c>
      <c r="DF186" s="215">
        <f t="shared" si="317"/>
        <v>0</v>
      </c>
      <c r="DG186" s="215">
        <f t="shared" si="318"/>
        <v>0</v>
      </c>
      <c r="DH186" s="215">
        <f t="shared" si="319"/>
        <v>0</v>
      </c>
      <c r="DI186" s="35"/>
      <c r="DJ186">
        <v>0</v>
      </c>
      <c r="DK186">
        <v>0</v>
      </c>
      <c r="DL186" s="35"/>
      <c r="EZ186" s="10" t="str">
        <f t="shared" ref="EZ186:EZ194" si="351">IF($C186="","",$D186)</f>
        <v/>
      </c>
    </row>
    <row r="187" spans="1:156" x14ac:dyDescent="0.35">
      <c r="A187" s="220" cm="1">
        <f t="array" aca="1" ref="A187" ca="1">HYPERLINK(CONCATENATE("#",CELL("address",IF(MAX($CM187:$CZ187)=0,A187,INDEX($CM187:$CZ187,MATCH(1,$CM187:$CZ187,0))))),MAX($CM187:$CZ187))</f>
        <v>0</v>
      </c>
      <c r="C187" s="253"/>
      <c r="D187" s="5" t="s">
        <v>775</v>
      </c>
      <c r="E187" s="5" t="str">
        <f>Parameters!$D$46</f>
        <v>Equipment</v>
      </c>
      <c r="I187" s="96"/>
      <c r="V187" s="12">
        <f>SUMIFS(V171:V185, $E171:$E185, $E187)</f>
        <v>0</v>
      </c>
      <c r="W187" s="12">
        <f>SUMIFS(W171:W185, $E171:$E185, $E187)</f>
        <v>0</v>
      </c>
      <c r="X187" s="12">
        <f>SUMIFS(X171:X185, $E171:$E185, $E187)</f>
        <v>0</v>
      </c>
      <c r="Y187" s="12">
        <f>SUMIFS(Y171:Y185, $E171:$E185, $E187)</f>
        <v>0</v>
      </c>
      <c r="AA187" s="12">
        <f t="shared" ref="AA187:BJ187" si="352">SUMIFS(AA171:AA185, $E171:$E185, $E187)</f>
        <v>0</v>
      </c>
      <c r="AB187" s="12">
        <f t="shared" si="352"/>
        <v>0</v>
      </c>
      <c r="AC187" s="12">
        <f t="shared" si="352"/>
        <v>0</v>
      </c>
      <c r="AD187" s="12">
        <f t="shared" si="352"/>
        <v>0</v>
      </c>
      <c r="AE187" s="12">
        <f t="shared" si="352"/>
        <v>0</v>
      </c>
      <c r="AF187" s="12">
        <f t="shared" si="352"/>
        <v>0</v>
      </c>
      <c r="AG187" s="12">
        <f t="shared" si="352"/>
        <v>0</v>
      </c>
      <c r="AH187" s="12">
        <f t="shared" si="352"/>
        <v>0</v>
      </c>
      <c r="AI187" s="12">
        <f t="shared" si="352"/>
        <v>0</v>
      </c>
      <c r="AJ187" s="12">
        <f t="shared" si="352"/>
        <v>0</v>
      </c>
      <c r="AK187" s="12">
        <f t="shared" si="352"/>
        <v>0</v>
      </c>
      <c r="AL187" s="12">
        <f t="shared" si="352"/>
        <v>0</v>
      </c>
      <c r="AM187" s="12">
        <f t="shared" si="352"/>
        <v>0</v>
      </c>
      <c r="AN187" s="12">
        <f t="shared" si="352"/>
        <v>0</v>
      </c>
      <c r="AO187" s="12">
        <f t="shared" si="352"/>
        <v>0</v>
      </c>
      <c r="AP187" s="12">
        <f t="shared" si="352"/>
        <v>0</v>
      </c>
      <c r="AQ187" s="12">
        <f t="shared" si="352"/>
        <v>0</v>
      </c>
      <c r="AR187" s="12">
        <f t="shared" si="352"/>
        <v>0</v>
      </c>
      <c r="AS187" s="12">
        <f t="shared" si="352"/>
        <v>0</v>
      </c>
      <c r="AT187" s="12">
        <f t="shared" si="352"/>
        <v>0</v>
      </c>
      <c r="AU187" s="12">
        <f t="shared" si="352"/>
        <v>0</v>
      </c>
      <c r="AV187" s="12">
        <f t="shared" si="352"/>
        <v>0</v>
      </c>
      <c r="AW187" s="12">
        <f t="shared" si="352"/>
        <v>0</v>
      </c>
      <c r="AX187" s="12">
        <f t="shared" si="352"/>
        <v>0</v>
      </c>
      <c r="AY187" s="12">
        <f t="shared" si="352"/>
        <v>0</v>
      </c>
      <c r="AZ187" s="12">
        <f t="shared" si="352"/>
        <v>0</v>
      </c>
      <c r="BA187" s="12">
        <f t="shared" si="352"/>
        <v>0</v>
      </c>
      <c r="BB187" s="12">
        <f t="shared" si="352"/>
        <v>0</v>
      </c>
      <c r="BC187" s="12">
        <f t="shared" si="352"/>
        <v>0</v>
      </c>
      <c r="BD187" s="12">
        <f t="shared" si="352"/>
        <v>0</v>
      </c>
      <c r="BE187" s="12">
        <f t="shared" si="352"/>
        <v>0</v>
      </c>
      <c r="BF187" s="12">
        <f t="shared" si="352"/>
        <v>0</v>
      </c>
      <c r="BG187" s="12">
        <f t="shared" si="352"/>
        <v>0</v>
      </c>
      <c r="BH187" s="12">
        <f t="shared" si="352"/>
        <v>0</v>
      </c>
      <c r="BI187" s="12">
        <f t="shared" si="352"/>
        <v>0</v>
      </c>
      <c r="BJ187" s="12">
        <f t="shared" si="352"/>
        <v>0</v>
      </c>
      <c r="BK187" s="1"/>
      <c r="BL187" s="1"/>
      <c r="BM187" s="1"/>
      <c r="BN187" s="1"/>
      <c r="BO187" s="1"/>
      <c r="BP187" s="1"/>
      <c r="BQ187" s="1"/>
      <c r="BR187" s="1"/>
      <c r="BS187" s="1"/>
      <c r="BT187" s="1"/>
      <c r="BU187" s="1"/>
      <c r="BV187" s="1"/>
      <c r="BX187" s="12">
        <f t="shared" ref="BX187:CI187" si="353">SUMIFS(BX171:BX185, $E171:$E185, $E187)</f>
        <v>0</v>
      </c>
      <c r="BY187" s="12">
        <f t="shared" si="353"/>
        <v>0</v>
      </c>
      <c r="BZ187" s="12">
        <f t="shared" si="353"/>
        <v>0</v>
      </c>
      <c r="CA187" s="12">
        <f t="shared" si="353"/>
        <v>0</v>
      </c>
      <c r="CB187" s="12">
        <f t="shared" si="353"/>
        <v>0</v>
      </c>
      <c r="CC187" s="12">
        <f t="shared" si="353"/>
        <v>0</v>
      </c>
      <c r="CD187" s="12">
        <f t="shared" si="353"/>
        <v>0</v>
      </c>
      <c r="CE187" s="12">
        <f t="shared" si="353"/>
        <v>0</v>
      </c>
      <c r="CF187" s="12">
        <f t="shared" si="353"/>
        <v>0</v>
      </c>
      <c r="CG187" s="12">
        <f t="shared" si="353"/>
        <v>0</v>
      </c>
      <c r="CH187" s="12">
        <f t="shared" si="353"/>
        <v>0</v>
      </c>
      <c r="CI187" s="12">
        <f t="shared" si="353"/>
        <v>0</v>
      </c>
      <c r="CK187" s="11"/>
      <c r="CL187" s="221">
        <f t="shared" si="309"/>
        <v>0</v>
      </c>
      <c r="CM187" s="11"/>
      <c r="CW187" s="7">
        <f t="shared" si="310"/>
        <v>0</v>
      </c>
      <c r="CX187" s="7">
        <f t="shared" si="311"/>
        <v>0</v>
      </c>
      <c r="CY187" s="7">
        <f t="shared" si="312"/>
        <v>0</v>
      </c>
      <c r="CZ187" s="650"/>
      <c r="DA187" s="35"/>
      <c r="DB187" s="215">
        <f t="shared" si="313"/>
        <v>0</v>
      </c>
      <c r="DC187" s="215">
        <f t="shared" si="314"/>
        <v>0</v>
      </c>
      <c r="DD187" s="215">
        <f t="shared" si="315"/>
        <v>0</v>
      </c>
      <c r="DE187" s="215">
        <f t="shared" si="316"/>
        <v>0</v>
      </c>
      <c r="DF187" s="215">
        <f t="shared" si="317"/>
        <v>0</v>
      </c>
      <c r="DG187" s="215">
        <f t="shared" si="318"/>
        <v>0</v>
      </c>
      <c r="DH187" s="215">
        <f t="shared" si="319"/>
        <v>0</v>
      </c>
      <c r="DI187" s="35"/>
      <c r="DJ187">
        <v>0</v>
      </c>
      <c r="DK187">
        <v>0</v>
      </c>
      <c r="DL187" s="35"/>
      <c r="EZ187" s="10" t="str">
        <f t="shared" si="351"/>
        <v/>
      </c>
    </row>
    <row r="188" spans="1:156" x14ac:dyDescent="0.35">
      <c r="A188" s="220" cm="1">
        <f t="array" aca="1" ref="A188" ca="1">HYPERLINK(CONCATENATE("#",CELL("address",IF(MAX($CM188:$CZ188)=0,A188,INDEX($CM188:$CZ188,MATCH(1,$CM188:$CZ188,0))))),MAX($CM188:$CZ188))</f>
        <v>0</v>
      </c>
      <c r="C188" s="253"/>
      <c r="D188" s="5" t="s">
        <v>839</v>
      </c>
      <c r="E188" s="5" t="str">
        <f>Parameters!$D$47</f>
        <v>Investments</v>
      </c>
      <c r="I188" s="96"/>
      <c r="V188" s="12">
        <f>SUMIFS(V171:V185, $E171:$E185, $E188)</f>
        <v>0</v>
      </c>
      <c r="W188" s="12">
        <f>SUMIFS(W171:W185, $E171:$E185, $E188)</f>
        <v>0</v>
      </c>
      <c r="X188" s="12">
        <f>SUMIFS(X171:X185, $E171:$E185, $E188)</f>
        <v>0</v>
      </c>
      <c r="Y188" s="12">
        <f>SUMIFS(Y171:Y185, $E171:$E185, $E188)</f>
        <v>0</v>
      </c>
      <c r="AA188" s="12">
        <f t="shared" ref="AA188:BJ188" si="354">SUMIFS(AA171:AA185, $E171:$E185, $E188)</f>
        <v>0</v>
      </c>
      <c r="AB188" s="12">
        <f t="shared" si="354"/>
        <v>0</v>
      </c>
      <c r="AC188" s="12">
        <f t="shared" si="354"/>
        <v>0</v>
      </c>
      <c r="AD188" s="12">
        <f t="shared" si="354"/>
        <v>0</v>
      </c>
      <c r="AE188" s="12">
        <f t="shared" si="354"/>
        <v>0</v>
      </c>
      <c r="AF188" s="12">
        <f t="shared" si="354"/>
        <v>0</v>
      </c>
      <c r="AG188" s="12">
        <f t="shared" si="354"/>
        <v>0</v>
      </c>
      <c r="AH188" s="12">
        <f t="shared" si="354"/>
        <v>0</v>
      </c>
      <c r="AI188" s="12">
        <f t="shared" si="354"/>
        <v>0</v>
      </c>
      <c r="AJ188" s="12">
        <f t="shared" si="354"/>
        <v>0</v>
      </c>
      <c r="AK188" s="12">
        <f t="shared" si="354"/>
        <v>0</v>
      </c>
      <c r="AL188" s="12">
        <f t="shared" si="354"/>
        <v>0</v>
      </c>
      <c r="AM188" s="12">
        <f t="shared" si="354"/>
        <v>0</v>
      </c>
      <c r="AN188" s="12">
        <f t="shared" si="354"/>
        <v>0</v>
      </c>
      <c r="AO188" s="12">
        <f t="shared" si="354"/>
        <v>0</v>
      </c>
      <c r="AP188" s="12">
        <f t="shared" si="354"/>
        <v>0</v>
      </c>
      <c r="AQ188" s="12">
        <f t="shared" si="354"/>
        <v>0</v>
      </c>
      <c r="AR188" s="12">
        <f t="shared" si="354"/>
        <v>0</v>
      </c>
      <c r="AS188" s="12">
        <f t="shared" si="354"/>
        <v>0</v>
      </c>
      <c r="AT188" s="12">
        <f t="shared" si="354"/>
        <v>0</v>
      </c>
      <c r="AU188" s="12">
        <f t="shared" si="354"/>
        <v>0</v>
      </c>
      <c r="AV188" s="12">
        <f t="shared" si="354"/>
        <v>0</v>
      </c>
      <c r="AW188" s="12">
        <f t="shared" si="354"/>
        <v>0</v>
      </c>
      <c r="AX188" s="12">
        <f t="shared" si="354"/>
        <v>0</v>
      </c>
      <c r="AY188" s="12">
        <f t="shared" si="354"/>
        <v>0</v>
      </c>
      <c r="AZ188" s="12">
        <f t="shared" si="354"/>
        <v>0</v>
      </c>
      <c r="BA188" s="12">
        <f t="shared" si="354"/>
        <v>0</v>
      </c>
      <c r="BB188" s="12">
        <f t="shared" si="354"/>
        <v>0</v>
      </c>
      <c r="BC188" s="12">
        <f t="shared" si="354"/>
        <v>0</v>
      </c>
      <c r="BD188" s="12">
        <f t="shared" si="354"/>
        <v>0</v>
      </c>
      <c r="BE188" s="12">
        <f t="shared" si="354"/>
        <v>0</v>
      </c>
      <c r="BF188" s="12">
        <f t="shared" si="354"/>
        <v>0</v>
      </c>
      <c r="BG188" s="12">
        <f t="shared" si="354"/>
        <v>0</v>
      </c>
      <c r="BH188" s="12">
        <f t="shared" si="354"/>
        <v>0</v>
      </c>
      <c r="BI188" s="12">
        <f t="shared" si="354"/>
        <v>0</v>
      </c>
      <c r="BJ188" s="12">
        <f t="shared" si="354"/>
        <v>0</v>
      </c>
      <c r="BK188" s="1"/>
      <c r="BL188" s="1"/>
      <c r="BM188" s="1"/>
      <c r="BN188" s="1"/>
      <c r="BO188" s="1"/>
      <c r="BP188" s="1"/>
      <c r="BQ188" s="1"/>
      <c r="BR188" s="1"/>
      <c r="BS188" s="1"/>
      <c r="BT188" s="1"/>
      <c r="BU188" s="1"/>
      <c r="BV188" s="1"/>
      <c r="BX188" s="12">
        <f t="shared" ref="BX188:CI188" si="355">SUMIFS(BX171:BX185, $E171:$E185, $E188)</f>
        <v>0</v>
      </c>
      <c r="BY188" s="12">
        <f t="shared" si="355"/>
        <v>0</v>
      </c>
      <c r="BZ188" s="12">
        <f t="shared" si="355"/>
        <v>0</v>
      </c>
      <c r="CA188" s="12">
        <f t="shared" si="355"/>
        <v>0</v>
      </c>
      <c r="CB188" s="12">
        <f t="shared" si="355"/>
        <v>0</v>
      </c>
      <c r="CC188" s="12">
        <f t="shared" si="355"/>
        <v>0</v>
      </c>
      <c r="CD188" s="12">
        <f t="shared" si="355"/>
        <v>0</v>
      </c>
      <c r="CE188" s="12">
        <f t="shared" si="355"/>
        <v>0</v>
      </c>
      <c r="CF188" s="12">
        <f t="shared" si="355"/>
        <v>0</v>
      </c>
      <c r="CG188" s="12">
        <f t="shared" si="355"/>
        <v>0</v>
      </c>
      <c r="CH188" s="12">
        <f t="shared" si="355"/>
        <v>0</v>
      </c>
      <c r="CI188" s="12">
        <f t="shared" si="355"/>
        <v>0</v>
      </c>
      <c r="CK188" s="11"/>
      <c r="CL188" s="221">
        <f t="shared" si="309"/>
        <v>0</v>
      </c>
      <c r="CM188" s="11"/>
      <c r="CW188" s="7">
        <f t="shared" si="310"/>
        <v>0</v>
      </c>
      <c r="CX188" s="7">
        <f t="shared" si="311"/>
        <v>0</v>
      </c>
      <c r="CY188" s="7">
        <f t="shared" si="312"/>
        <v>0</v>
      </c>
      <c r="CZ188" s="650"/>
      <c r="DA188" s="35"/>
      <c r="DB188" s="215">
        <f t="shared" si="313"/>
        <v>0</v>
      </c>
      <c r="DC188" s="215">
        <f t="shared" si="314"/>
        <v>0</v>
      </c>
      <c r="DD188" s="215">
        <f t="shared" si="315"/>
        <v>0</v>
      </c>
      <c r="DE188" s="215">
        <f t="shared" si="316"/>
        <v>0</v>
      </c>
      <c r="DF188" s="215">
        <f t="shared" si="317"/>
        <v>0</v>
      </c>
      <c r="DG188" s="215">
        <f t="shared" si="318"/>
        <v>0</v>
      </c>
      <c r="DH188" s="215">
        <f t="shared" si="319"/>
        <v>0</v>
      </c>
      <c r="DI188" s="35"/>
      <c r="DJ188">
        <v>0</v>
      </c>
      <c r="DK188">
        <v>0</v>
      </c>
      <c r="DL188" s="35"/>
      <c r="EZ188" s="10" t="str">
        <f t="shared" si="351"/>
        <v/>
      </c>
    </row>
    <row r="189" spans="1:156" x14ac:dyDescent="0.35">
      <c r="A189" s="220" cm="1">
        <f t="array" aca="1" ref="A189" ca="1">HYPERLINK(CONCATENATE("#",CELL("address",IF(MAX($CM189:$CZ189)=0,A189,INDEX($CM189:$CZ189,MATCH(1,$CM189:$CZ189,0))))),MAX($CM189:$CZ189))</f>
        <v>0</v>
      </c>
      <c r="C189" s="253"/>
      <c r="D189" s="5" t="s">
        <v>776</v>
      </c>
      <c r="E189" s="5" t="str">
        <f>Parameters!$D$48</f>
        <v>Other NCA</v>
      </c>
      <c r="I189" s="96"/>
      <c r="V189" s="12">
        <f>SUMIFS(V171:V185, $E171:$E185, $E189)</f>
        <v>0</v>
      </c>
      <c r="W189" s="12">
        <f>SUMIFS(W171:W185, $E171:$E185, $E189)</f>
        <v>0</v>
      </c>
      <c r="X189" s="12">
        <f>SUMIFS(X171:X185, $E171:$E185, $E189)</f>
        <v>0</v>
      </c>
      <c r="Y189" s="12">
        <f>SUMIFS(Y171:Y185, $E171:$E185, $E189)</f>
        <v>0</v>
      </c>
      <c r="AA189" s="12">
        <f t="shared" ref="AA189:BJ189" si="356">SUMIFS(AA171:AA185, $E171:$E185, $E189)</f>
        <v>0</v>
      </c>
      <c r="AB189" s="12">
        <f t="shared" si="356"/>
        <v>0</v>
      </c>
      <c r="AC189" s="12">
        <f t="shared" si="356"/>
        <v>0</v>
      </c>
      <c r="AD189" s="12">
        <f t="shared" si="356"/>
        <v>0</v>
      </c>
      <c r="AE189" s="12">
        <f t="shared" si="356"/>
        <v>0</v>
      </c>
      <c r="AF189" s="12">
        <f t="shared" si="356"/>
        <v>0</v>
      </c>
      <c r="AG189" s="12">
        <f t="shared" si="356"/>
        <v>0</v>
      </c>
      <c r="AH189" s="12">
        <f t="shared" si="356"/>
        <v>0</v>
      </c>
      <c r="AI189" s="12">
        <f t="shared" si="356"/>
        <v>0</v>
      </c>
      <c r="AJ189" s="12">
        <f t="shared" si="356"/>
        <v>0</v>
      </c>
      <c r="AK189" s="12">
        <f t="shared" si="356"/>
        <v>0</v>
      </c>
      <c r="AL189" s="12">
        <f t="shared" si="356"/>
        <v>0</v>
      </c>
      <c r="AM189" s="12">
        <f t="shared" si="356"/>
        <v>0</v>
      </c>
      <c r="AN189" s="12">
        <f t="shared" si="356"/>
        <v>0</v>
      </c>
      <c r="AO189" s="12">
        <f t="shared" si="356"/>
        <v>0</v>
      </c>
      <c r="AP189" s="12">
        <f t="shared" si="356"/>
        <v>0</v>
      </c>
      <c r="AQ189" s="12">
        <f t="shared" si="356"/>
        <v>0</v>
      </c>
      <c r="AR189" s="12">
        <f t="shared" si="356"/>
        <v>0</v>
      </c>
      <c r="AS189" s="12">
        <f t="shared" si="356"/>
        <v>0</v>
      </c>
      <c r="AT189" s="12">
        <f t="shared" si="356"/>
        <v>0</v>
      </c>
      <c r="AU189" s="12">
        <f t="shared" si="356"/>
        <v>0</v>
      </c>
      <c r="AV189" s="12">
        <f t="shared" si="356"/>
        <v>0</v>
      </c>
      <c r="AW189" s="12">
        <f t="shared" si="356"/>
        <v>0</v>
      </c>
      <c r="AX189" s="12">
        <f t="shared" si="356"/>
        <v>0</v>
      </c>
      <c r="AY189" s="12">
        <f t="shared" si="356"/>
        <v>0</v>
      </c>
      <c r="AZ189" s="12">
        <f t="shared" si="356"/>
        <v>0</v>
      </c>
      <c r="BA189" s="12">
        <f t="shared" si="356"/>
        <v>0</v>
      </c>
      <c r="BB189" s="12">
        <f t="shared" si="356"/>
        <v>0</v>
      </c>
      <c r="BC189" s="12">
        <f t="shared" si="356"/>
        <v>0</v>
      </c>
      <c r="BD189" s="12">
        <f t="shared" si="356"/>
        <v>0</v>
      </c>
      <c r="BE189" s="12">
        <f t="shared" si="356"/>
        <v>0</v>
      </c>
      <c r="BF189" s="12">
        <f t="shared" si="356"/>
        <v>0</v>
      </c>
      <c r="BG189" s="12">
        <f t="shared" si="356"/>
        <v>0</v>
      </c>
      <c r="BH189" s="12">
        <f t="shared" si="356"/>
        <v>0</v>
      </c>
      <c r="BI189" s="12">
        <f t="shared" si="356"/>
        <v>0</v>
      </c>
      <c r="BJ189" s="12">
        <f t="shared" si="356"/>
        <v>0</v>
      </c>
      <c r="BK189" s="1"/>
      <c r="BL189" s="1"/>
      <c r="BM189" s="1"/>
      <c r="BN189" s="1"/>
      <c r="BO189" s="1"/>
      <c r="BP189" s="1"/>
      <c r="BQ189" s="1"/>
      <c r="BR189" s="1"/>
      <c r="BS189" s="1"/>
      <c r="BT189" s="1"/>
      <c r="BU189" s="1"/>
      <c r="BV189" s="1"/>
      <c r="BX189" s="12">
        <f t="shared" ref="BX189:CI189" si="357">SUMIFS(BX171:BX185, $E171:$E185, $E189)</f>
        <v>0</v>
      </c>
      <c r="BY189" s="12">
        <f t="shared" si="357"/>
        <v>0</v>
      </c>
      <c r="BZ189" s="12">
        <f t="shared" si="357"/>
        <v>0</v>
      </c>
      <c r="CA189" s="12">
        <f t="shared" si="357"/>
        <v>0</v>
      </c>
      <c r="CB189" s="12">
        <f t="shared" si="357"/>
        <v>0</v>
      </c>
      <c r="CC189" s="12">
        <f t="shared" si="357"/>
        <v>0</v>
      </c>
      <c r="CD189" s="12">
        <f t="shared" si="357"/>
        <v>0</v>
      </c>
      <c r="CE189" s="12">
        <f t="shared" si="357"/>
        <v>0</v>
      </c>
      <c r="CF189" s="12">
        <f t="shared" si="357"/>
        <v>0</v>
      </c>
      <c r="CG189" s="12">
        <f t="shared" si="357"/>
        <v>0</v>
      </c>
      <c r="CH189" s="12">
        <f t="shared" si="357"/>
        <v>0</v>
      </c>
      <c r="CI189" s="12">
        <f t="shared" si="357"/>
        <v>0</v>
      </c>
      <c r="CK189" s="11"/>
      <c r="CL189" s="221">
        <f t="shared" si="309"/>
        <v>0</v>
      </c>
      <c r="CM189" s="11"/>
      <c r="CW189" s="7">
        <f t="shared" si="310"/>
        <v>0</v>
      </c>
      <c r="CX189" s="7">
        <f t="shared" si="311"/>
        <v>0</v>
      </c>
      <c r="CY189" s="7">
        <f t="shared" si="312"/>
        <v>0</v>
      </c>
      <c r="CZ189" s="650"/>
      <c r="DA189" s="35"/>
      <c r="DB189" s="215">
        <f t="shared" si="313"/>
        <v>0</v>
      </c>
      <c r="DC189" s="215">
        <f t="shared" si="314"/>
        <v>0</v>
      </c>
      <c r="DD189" s="215">
        <f t="shared" si="315"/>
        <v>0</v>
      </c>
      <c r="DE189" s="215">
        <f t="shared" si="316"/>
        <v>0</v>
      </c>
      <c r="DF189" s="215">
        <f t="shared" si="317"/>
        <v>0</v>
      </c>
      <c r="DG189" s="215">
        <f t="shared" si="318"/>
        <v>0</v>
      </c>
      <c r="DH189" s="215">
        <f t="shared" si="319"/>
        <v>0</v>
      </c>
      <c r="DI189" s="35"/>
      <c r="DJ189">
        <v>0</v>
      </c>
      <c r="DK189">
        <v>0</v>
      </c>
      <c r="DL189" s="35"/>
      <c r="EZ189" s="10" t="str">
        <f t="shared" si="351"/>
        <v/>
      </c>
    </row>
    <row r="190" spans="1:156" x14ac:dyDescent="0.35">
      <c r="A190" s="220" cm="1">
        <f t="array" aca="1" ref="A190" ca="1">HYPERLINK(CONCATENATE("#",CELL("address",IF(MAX($CM190:$CZ190)=0,A190,INDEX($CM190:$CZ190,MATCH(1,$CM190:$CZ190,0))))),MAX($CM190:$CZ190))</f>
        <v>0</v>
      </c>
      <c r="C190" s="253"/>
      <c r="D190" s="5" t="s">
        <v>878</v>
      </c>
      <c r="E190" s="5" t="str">
        <f>Parameters!$D$49</f>
        <v xml:space="preserve">Assets Held for Sale </v>
      </c>
      <c r="I190" s="96"/>
      <c r="V190" s="12">
        <f>SUMIFS(V171:V185, $E171:$E185, $E190)</f>
        <v>0</v>
      </c>
      <c r="W190" s="12">
        <f>SUMIFS(W171:W185, $E171:$E185, $E190)</f>
        <v>0</v>
      </c>
      <c r="X190" s="12">
        <f>SUMIFS(X171:X185, $E171:$E185, $E190)</f>
        <v>0</v>
      </c>
      <c r="Y190" s="12">
        <f>SUMIFS(Y171:Y185, $E171:$E185, $E190)</f>
        <v>0</v>
      </c>
      <c r="AA190" s="12">
        <f t="shared" ref="AA190:BJ190" si="358">SUMIFS(AA171:AA185, $E171:$E185, $E190)</f>
        <v>0</v>
      </c>
      <c r="AB190" s="12">
        <f t="shared" si="358"/>
        <v>0</v>
      </c>
      <c r="AC190" s="12">
        <f t="shared" si="358"/>
        <v>0</v>
      </c>
      <c r="AD190" s="12">
        <f t="shared" si="358"/>
        <v>0</v>
      </c>
      <c r="AE190" s="12">
        <f t="shared" si="358"/>
        <v>0</v>
      </c>
      <c r="AF190" s="12">
        <f t="shared" si="358"/>
        <v>0</v>
      </c>
      <c r="AG190" s="12">
        <f t="shared" si="358"/>
        <v>0</v>
      </c>
      <c r="AH190" s="12">
        <f t="shared" si="358"/>
        <v>0</v>
      </c>
      <c r="AI190" s="12">
        <f t="shared" si="358"/>
        <v>0</v>
      </c>
      <c r="AJ190" s="12">
        <f t="shared" si="358"/>
        <v>0</v>
      </c>
      <c r="AK190" s="12">
        <f t="shared" si="358"/>
        <v>0</v>
      </c>
      <c r="AL190" s="12">
        <f t="shared" si="358"/>
        <v>0</v>
      </c>
      <c r="AM190" s="12">
        <f t="shared" si="358"/>
        <v>0</v>
      </c>
      <c r="AN190" s="12">
        <f t="shared" si="358"/>
        <v>0</v>
      </c>
      <c r="AO190" s="12">
        <f t="shared" si="358"/>
        <v>0</v>
      </c>
      <c r="AP190" s="12">
        <f t="shared" si="358"/>
        <v>0</v>
      </c>
      <c r="AQ190" s="12">
        <f t="shared" si="358"/>
        <v>0</v>
      </c>
      <c r="AR190" s="12">
        <f t="shared" si="358"/>
        <v>0</v>
      </c>
      <c r="AS190" s="12">
        <f t="shared" si="358"/>
        <v>0</v>
      </c>
      <c r="AT190" s="12">
        <f t="shared" si="358"/>
        <v>0</v>
      </c>
      <c r="AU190" s="12">
        <f t="shared" si="358"/>
        <v>0</v>
      </c>
      <c r="AV190" s="12">
        <f t="shared" si="358"/>
        <v>0</v>
      </c>
      <c r="AW190" s="12">
        <f t="shared" si="358"/>
        <v>0</v>
      </c>
      <c r="AX190" s="12">
        <f t="shared" si="358"/>
        <v>0</v>
      </c>
      <c r="AY190" s="12">
        <f t="shared" si="358"/>
        <v>0</v>
      </c>
      <c r="AZ190" s="12">
        <f t="shared" si="358"/>
        <v>0</v>
      </c>
      <c r="BA190" s="12">
        <f t="shared" si="358"/>
        <v>0</v>
      </c>
      <c r="BB190" s="12">
        <f t="shared" si="358"/>
        <v>0</v>
      </c>
      <c r="BC190" s="12">
        <f t="shared" si="358"/>
        <v>0</v>
      </c>
      <c r="BD190" s="12">
        <f t="shared" si="358"/>
        <v>0</v>
      </c>
      <c r="BE190" s="12">
        <f t="shared" si="358"/>
        <v>0</v>
      </c>
      <c r="BF190" s="12">
        <f t="shared" si="358"/>
        <v>0</v>
      </c>
      <c r="BG190" s="12">
        <f t="shared" si="358"/>
        <v>0</v>
      </c>
      <c r="BH190" s="12">
        <f t="shared" si="358"/>
        <v>0</v>
      </c>
      <c r="BI190" s="12">
        <f t="shared" si="358"/>
        <v>0</v>
      </c>
      <c r="BJ190" s="12">
        <f t="shared" si="358"/>
        <v>0</v>
      </c>
      <c r="BK190" s="1"/>
      <c r="BL190" s="1"/>
      <c r="BM190" s="1"/>
      <c r="BN190" s="1"/>
      <c r="BO190" s="1"/>
      <c r="BP190" s="1"/>
      <c r="BQ190" s="1"/>
      <c r="BR190" s="1"/>
      <c r="BS190" s="1"/>
      <c r="BT190" s="1"/>
      <c r="BU190" s="1"/>
      <c r="BV190" s="1"/>
      <c r="BX190" s="12">
        <f t="shared" ref="BX190:CI190" si="359">SUMIFS(BX171:BX185, $E171:$E185, $E190)</f>
        <v>0</v>
      </c>
      <c r="BY190" s="12">
        <f t="shared" si="359"/>
        <v>0</v>
      </c>
      <c r="BZ190" s="12">
        <f t="shared" si="359"/>
        <v>0</v>
      </c>
      <c r="CA190" s="12">
        <f t="shared" si="359"/>
        <v>0</v>
      </c>
      <c r="CB190" s="12">
        <f t="shared" si="359"/>
        <v>0</v>
      </c>
      <c r="CC190" s="12">
        <f t="shared" si="359"/>
        <v>0</v>
      </c>
      <c r="CD190" s="12">
        <f t="shared" si="359"/>
        <v>0</v>
      </c>
      <c r="CE190" s="12">
        <f t="shared" si="359"/>
        <v>0</v>
      </c>
      <c r="CF190" s="12">
        <f t="shared" si="359"/>
        <v>0</v>
      </c>
      <c r="CG190" s="12">
        <f t="shared" si="359"/>
        <v>0</v>
      </c>
      <c r="CH190" s="12">
        <f t="shared" si="359"/>
        <v>0</v>
      </c>
      <c r="CI190" s="12">
        <f t="shared" si="359"/>
        <v>0</v>
      </c>
      <c r="CK190" s="11"/>
      <c r="CL190" s="221">
        <f t="shared" si="309"/>
        <v>0</v>
      </c>
      <c r="CM190" s="11"/>
      <c r="CW190" s="7">
        <f t="shared" si="310"/>
        <v>0</v>
      </c>
      <c r="CX190" s="7">
        <f t="shared" si="311"/>
        <v>0</v>
      </c>
      <c r="CY190" s="7">
        <f t="shared" si="312"/>
        <v>0</v>
      </c>
      <c r="CZ190" s="650"/>
      <c r="DA190" s="35"/>
      <c r="DB190" s="215">
        <f t="shared" si="313"/>
        <v>0</v>
      </c>
      <c r="DC190" s="215">
        <f t="shared" si="314"/>
        <v>0</v>
      </c>
      <c r="DD190" s="215">
        <f t="shared" si="315"/>
        <v>0</v>
      </c>
      <c r="DE190" s="215">
        <f t="shared" si="316"/>
        <v>0</v>
      </c>
      <c r="DF190" s="215">
        <f t="shared" si="317"/>
        <v>0</v>
      </c>
      <c r="DG190" s="215">
        <f t="shared" si="318"/>
        <v>0</v>
      </c>
      <c r="DH190" s="215">
        <f t="shared" si="319"/>
        <v>0</v>
      </c>
      <c r="DI190" s="35"/>
      <c r="DJ190">
        <v>0</v>
      </c>
      <c r="DK190">
        <v>0</v>
      </c>
      <c r="DL190" s="35"/>
      <c r="EZ190" s="10" t="str">
        <f t="shared" si="351"/>
        <v/>
      </c>
    </row>
    <row r="191" spans="1:156" x14ac:dyDescent="0.35">
      <c r="A191" s="220" cm="1">
        <f t="array" aca="1" ref="A191" ca="1">HYPERLINK(CONCATENATE("#",CELL("address",IF(MAX($CM191:$CZ191)=0,A191,INDEX($CM191:$CZ191,MATCH(1,$CM191:$CZ191,0))))),MAX($CM191:$CZ191))</f>
        <v>0</v>
      </c>
      <c r="C191" s="253"/>
      <c r="D191" s="5" t="s">
        <v>887</v>
      </c>
      <c r="E191" s="5" t="s">
        <v>778</v>
      </c>
      <c r="I191" s="96"/>
      <c r="V191" s="12">
        <f>SUM(V186:V190)</f>
        <v>0</v>
      </c>
      <c r="W191" s="12">
        <f>SUM(W186:W190)</f>
        <v>0</v>
      </c>
      <c r="X191" s="12">
        <f>SUM(X186:X190)</f>
        <v>0</v>
      </c>
      <c r="Y191" s="12">
        <f>SUM(Y186:Y190)</f>
        <v>0</v>
      </c>
      <c r="AA191" s="12">
        <f t="shared" ref="AA191:BJ191" si="360">SUM(AA186:AA190)</f>
        <v>0</v>
      </c>
      <c r="AB191" s="12">
        <f t="shared" si="360"/>
        <v>0</v>
      </c>
      <c r="AC191" s="12">
        <f t="shared" si="360"/>
        <v>0</v>
      </c>
      <c r="AD191" s="12">
        <f t="shared" si="360"/>
        <v>0</v>
      </c>
      <c r="AE191" s="12">
        <f t="shared" si="360"/>
        <v>0</v>
      </c>
      <c r="AF191" s="12">
        <f t="shared" si="360"/>
        <v>0</v>
      </c>
      <c r="AG191" s="12">
        <f t="shared" si="360"/>
        <v>0</v>
      </c>
      <c r="AH191" s="12">
        <f t="shared" si="360"/>
        <v>0</v>
      </c>
      <c r="AI191" s="12">
        <f t="shared" si="360"/>
        <v>0</v>
      </c>
      <c r="AJ191" s="12">
        <f t="shared" si="360"/>
        <v>0</v>
      </c>
      <c r="AK191" s="12">
        <f t="shared" si="360"/>
        <v>0</v>
      </c>
      <c r="AL191" s="12">
        <f t="shared" si="360"/>
        <v>0</v>
      </c>
      <c r="AM191" s="12">
        <f t="shared" si="360"/>
        <v>0</v>
      </c>
      <c r="AN191" s="12">
        <f t="shared" si="360"/>
        <v>0</v>
      </c>
      <c r="AO191" s="12">
        <f t="shared" si="360"/>
        <v>0</v>
      </c>
      <c r="AP191" s="12">
        <f t="shared" si="360"/>
        <v>0</v>
      </c>
      <c r="AQ191" s="12">
        <f t="shared" si="360"/>
        <v>0</v>
      </c>
      <c r="AR191" s="12">
        <f t="shared" si="360"/>
        <v>0</v>
      </c>
      <c r="AS191" s="12">
        <f t="shared" si="360"/>
        <v>0</v>
      </c>
      <c r="AT191" s="12">
        <f t="shared" si="360"/>
        <v>0</v>
      </c>
      <c r="AU191" s="12">
        <f t="shared" si="360"/>
        <v>0</v>
      </c>
      <c r="AV191" s="12">
        <f t="shared" si="360"/>
        <v>0</v>
      </c>
      <c r="AW191" s="12">
        <f t="shared" si="360"/>
        <v>0</v>
      </c>
      <c r="AX191" s="12">
        <f t="shared" si="360"/>
        <v>0</v>
      </c>
      <c r="AY191" s="12">
        <f t="shared" si="360"/>
        <v>0</v>
      </c>
      <c r="AZ191" s="12">
        <f t="shared" si="360"/>
        <v>0</v>
      </c>
      <c r="BA191" s="12">
        <f t="shared" si="360"/>
        <v>0</v>
      </c>
      <c r="BB191" s="12">
        <f t="shared" si="360"/>
        <v>0</v>
      </c>
      <c r="BC191" s="12">
        <f t="shared" si="360"/>
        <v>0</v>
      </c>
      <c r="BD191" s="12">
        <f t="shared" si="360"/>
        <v>0</v>
      </c>
      <c r="BE191" s="12">
        <f t="shared" si="360"/>
        <v>0</v>
      </c>
      <c r="BF191" s="12">
        <f t="shared" si="360"/>
        <v>0</v>
      </c>
      <c r="BG191" s="12">
        <f t="shared" si="360"/>
        <v>0</v>
      </c>
      <c r="BH191" s="12">
        <f t="shared" si="360"/>
        <v>0</v>
      </c>
      <c r="BI191" s="12">
        <f t="shared" si="360"/>
        <v>0</v>
      </c>
      <c r="BJ191" s="12">
        <f t="shared" si="360"/>
        <v>0</v>
      </c>
      <c r="BK191" s="1"/>
      <c r="BL191" s="1"/>
      <c r="BM191" s="1"/>
      <c r="BN191" s="1"/>
      <c r="BO191" s="1"/>
      <c r="BP191" s="1"/>
      <c r="BQ191" s="1"/>
      <c r="BR191" s="1"/>
      <c r="BS191" s="1"/>
      <c r="BT191" s="1"/>
      <c r="BU191" s="1"/>
      <c r="BV191" s="1"/>
      <c r="BX191" s="12">
        <f t="shared" ref="BX191:CI191" si="361">SUM(BX186:BX190)</f>
        <v>0</v>
      </c>
      <c r="BY191" s="12">
        <f t="shared" si="361"/>
        <v>0</v>
      </c>
      <c r="BZ191" s="12">
        <f t="shared" si="361"/>
        <v>0</v>
      </c>
      <c r="CA191" s="12">
        <f t="shared" si="361"/>
        <v>0</v>
      </c>
      <c r="CB191" s="12">
        <f t="shared" si="361"/>
        <v>0</v>
      </c>
      <c r="CC191" s="12">
        <f t="shared" si="361"/>
        <v>0</v>
      </c>
      <c r="CD191" s="12">
        <f t="shared" si="361"/>
        <v>0</v>
      </c>
      <c r="CE191" s="12">
        <f t="shared" si="361"/>
        <v>0</v>
      </c>
      <c r="CF191" s="12">
        <f t="shared" si="361"/>
        <v>0</v>
      </c>
      <c r="CG191" s="12">
        <f t="shared" si="361"/>
        <v>0</v>
      </c>
      <c r="CH191" s="12">
        <f t="shared" si="361"/>
        <v>0</v>
      </c>
      <c r="CI191" s="12">
        <f t="shared" si="361"/>
        <v>0</v>
      </c>
      <c r="CK191" s="11"/>
      <c r="CL191" s="221">
        <f t="shared" si="309"/>
        <v>0</v>
      </c>
      <c r="CM191" s="11"/>
      <c r="CV191" s="7">
        <f>IF(ROUND(SUM($V191:$CI191)-SUM($V171:$CI185), rounding)=0, 0, 1)</f>
        <v>0</v>
      </c>
      <c r="CW191" s="7">
        <f t="shared" si="310"/>
        <v>0</v>
      </c>
      <c r="CX191" s="7">
        <f t="shared" si="311"/>
        <v>0</v>
      </c>
      <c r="CY191" s="7">
        <f t="shared" si="312"/>
        <v>0</v>
      </c>
      <c r="CZ191" s="650"/>
      <c r="DA191" s="35"/>
      <c r="DB191" s="215">
        <f t="shared" si="313"/>
        <v>0</v>
      </c>
      <c r="DC191" s="215">
        <f t="shared" si="314"/>
        <v>0</v>
      </c>
      <c r="DD191" s="215">
        <f t="shared" si="315"/>
        <v>0</v>
      </c>
      <c r="DE191" s="215">
        <f t="shared" si="316"/>
        <v>0</v>
      </c>
      <c r="DF191" s="215">
        <f t="shared" si="317"/>
        <v>0</v>
      </c>
      <c r="DG191" s="215">
        <f t="shared" si="318"/>
        <v>0</v>
      </c>
      <c r="DH191" s="215">
        <f t="shared" si="319"/>
        <v>0</v>
      </c>
      <c r="DI191" s="35"/>
      <c r="DJ191">
        <v>0</v>
      </c>
      <c r="DK191">
        <v>0</v>
      </c>
      <c r="DL191" s="35"/>
      <c r="EZ191" s="10" t="str">
        <f t="shared" si="351"/>
        <v/>
      </c>
    </row>
    <row r="192" spans="1:156" ht="6.75" customHeight="1" x14ac:dyDescent="0.35">
      <c r="C192" s="253"/>
      <c r="D192" s="1"/>
      <c r="E192"/>
      <c r="BK192" s="1"/>
      <c r="BL192" s="1"/>
      <c r="BM192" s="1"/>
      <c r="BN192" s="1"/>
      <c r="BO192" s="1"/>
      <c r="BP192" s="1"/>
      <c r="BQ192" s="1"/>
      <c r="BR192" s="1"/>
      <c r="BS192" s="1"/>
      <c r="BT192" s="1"/>
      <c r="BU192" s="1"/>
      <c r="BV192" s="1"/>
      <c r="BY192" s="6"/>
      <c r="CK192" s="35"/>
      <c r="CM192" s="35"/>
      <c r="CZ192" s="650"/>
      <c r="DA192" s="35"/>
      <c r="DB192" s="215"/>
      <c r="DC192" s="215"/>
      <c r="DD192" s="215"/>
      <c r="DE192" s="215"/>
      <c r="DF192" s="215"/>
      <c r="DG192" s="215"/>
      <c r="DH192" s="215"/>
      <c r="DI192" s="35"/>
      <c r="DJ192">
        <v>0</v>
      </c>
      <c r="DK192">
        <v>0</v>
      </c>
      <c r="DL192" s="35"/>
      <c r="EZ192" s="10" t="str">
        <f t="shared" si="351"/>
        <v/>
      </c>
    </row>
    <row r="193" spans="1:156" ht="14.65" customHeight="1" x14ac:dyDescent="0.35">
      <c r="C193" s="253"/>
      <c r="D193" s="24" t="s">
        <v>888</v>
      </c>
      <c r="E193"/>
      <c r="BK193" s="1"/>
      <c r="BL193" s="1"/>
      <c r="BM193" s="1"/>
      <c r="BN193" s="1"/>
      <c r="BO193" s="1"/>
      <c r="BP193" s="1"/>
      <c r="BQ193" s="1"/>
      <c r="BR193" s="1"/>
      <c r="BS193" s="1"/>
      <c r="BT193" s="1"/>
      <c r="BU193" s="1"/>
      <c r="BV193" s="1"/>
      <c r="BY193" s="6"/>
      <c r="CK193" s="35"/>
      <c r="CM193" s="35"/>
      <c r="CZ193" s="650"/>
      <c r="DA193" s="35"/>
      <c r="DI193" s="35"/>
      <c r="DJ193">
        <v>0</v>
      </c>
      <c r="DK193">
        <v>0</v>
      </c>
      <c r="DL193" s="35"/>
      <c r="EZ193" s="10" t="str">
        <f t="shared" si="351"/>
        <v/>
      </c>
    </row>
    <row r="194" spans="1:156" ht="15" customHeight="1" x14ac:dyDescent="0.35">
      <c r="C194" s="253"/>
      <c r="D194" s="5" t="s">
        <v>842</v>
      </c>
      <c r="E194" s="5" t="s">
        <v>754</v>
      </c>
      <c r="F194" s="5" t="s">
        <v>861</v>
      </c>
      <c r="G194" s="5" t="s">
        <v>888</v>
      </c>
      <c r="BK194" s="1"/>
      <c r="BL194" s="1"/>
      <c r="BM194" s="1"/>
      <c r="BN194" s="1"/>
      <c r="BO194" s="1"/>
      <c r="BP194" s="1"/>
      <c r="BQ194" s="1"/>
      <c r="BR194" s="1"/>
      <c r="BS194" s="1"/>
      <c r="BT194" s="1"/>
      <c r="BU194" s="1"/>
      <c r="BV194" s="1"/>
      <c r="BY194" s="6"/>
      <c r="CK194" s="35"/>
      <c r="CM194" s="35"/>
      <c r="CZ194" s="650"/>
      <c r="DA194" s="35"/>
      <c r="DI194" s="35"/>
      <c r="DJ194">
        <v>0</v>
      </c>
      <c r="DK194">
        <v>0</v>
      </c>
      <c r="DL194" s="35"/>
      <c r="EZ194" s="10" t="str">
        <f t="shared" si="351"/>
        <v/>
      </c>
    </row>
    <row r="195" spans="1:156" x14ac:dyDescent="0.35">
      <c r="A195" s="220" cm="1">
        <f t="array" aca="1" ref="A195" ca="1">HYPERLINK(CONCATENATE("#",CELL("address",IF(MAX($CM195:$CZ195)=0,A195,INDEX($CM195:$CZ195,MATCH(1,$CM195:$CZ195,0))))),MAX($CM195:$CZ195))</f>
        <v>0</v>
      </c>
      <c r="C195" s="253"/>
      <c r="D195" s="106">
        <f t="shared" ref="D195:E209" si="362">D137</f>
        <v>0</v>
      </c>
      <c r="E195" s="106">
        <f t="shared" si="362"/>
        <v>0</v>
      </c>
      <c r="F195" s="117" t="str">
        <f t="shared" ref="F195:F209" si="363">IF(F137="", "",F137)</f>
        <v/>
      </c>
      <c r="G195" s="10">
        <f t="shared" ref="G195:G209" si="364">G137-H137</f>
        <v>0</v>
      </c>
      <c r="H195" t="s">
        <v>403</v>
      </c>
      <c r="V195" s="12">
        <f>IF(AND($F195&gt;=Timeline!$V$8,$F195 &lt;=V$5),$G195, 0)</f>
        <v>0</v>
      </c>
      <c r="W195" s="10">
        <f t="shared" ref="W195:Y209" si="365">IF(AND($F195&gt;V$5,$F195 &lt;=W$5),$G195, 0)</f>
        <v>0</v>
      </c>
      <c r="X195" s="10">
        <f t="shared" si="365"/>
        <v>0</v>
      </c>
      <c r="Y195" s="10">
        <f t="shared" si="365"/>
        <v>0</v>
      </c>
      <c r="AA195" s="12">
        <f t="shared" ref="AA195:AA209" si="366">IF(AND($F195&gt;V$5,$F195 &lt;=AA$5),$G195, 0)</f>
        <v>0</v>
      </c>
      <c r="AB195" s="10">
        <f t="shared" ref="AB195:BJ195" si="367">IF(AND($F195&gt;AA$5,$F195 &lt;=AB$5),$G195, 0)</f>
        <v>0</v>
      </c>
      <c r="AC195" s="10">
        <f t="shared" si="367"/>
        <v>0</v>
      </c>
      <c r="AD195" s="10">
        <f t="shared" si="367"/>
        <v>0</v>
      </c>
      <c r="AE195" s="10">
        <f t="shared" si="367"/>
        <v>0</v>
      </c>
      <c r="AF195" s="10">
        <f t="shared" si="367"/>
        <v>0</v>
      </c>
      <c r="AG195" s="10">
        <f t="shared" si="367"/>
        <v>0</v>
      </c>
      <c r="AH195" s="10">
        <f t="shared" si="367"/>
        <v>0</v>
      </c>
      <c r="AI195" s="10">
        <f t="shared" si="367"/>
        <v>0</v>
      </c>
      <c r="AJ195" s="10">
        <f t="shared" si="367"/>
        <v>0</v>
      </c>
      <c r="AK195" s="10">
        <f t="shared" si="367"/>
        <v>0</v>
      </c>
      <c r="AL195" s="10">
        <f t="shared" si="367"/>
        <v>0</v>
      </c>
      <c r="AM195" s="10">
        <f t="shared" si="367"/>
        <v>0</v>
      </c>
      <c r="AN195" s="10">
        <f t="shared" si="367"/>
        <v>0</v>
      </c>
      <c r="AO195" s="10">
        <f t="shared" si="367"/>
        <v>0</v>
      </c>
      <c r="AP195" s="10">
        <f t="shared" si="367"/>
        <v>0</v>
      </c>
      <c r="AQ195" s="10">
        <f t="shared" si="367"/>
        <v>0</v>
      </c>
      <c r="AR195" s="10">
        <f t="shared" si="367"/>
        <v>0</v>
      </c>
      <c r="AS195" s="10">
        <f t="shared" si="367"/>
        <v>0</v>
      </c>
      <c r="AT195" s="10">
        <f t="shared" si="367"/>
        <v>0</v>
      </c>
      <c r="AU195" s="10">
        <f t="shared" si="367"/>
        <v>0</v>
      </c>
      <c r="AV195" s="10">
        <f t="shared" si="367"/>
        <v>0</v>
      </c>
      <c r="AW195" s="10">
        <f t="shared" si="367"/>
        <v>0</v>
      </c>
      <c r="AX195" s="10">
        <f t="shared" si="367"/>
        <v>0</v>
      </c>
      <c r="AY195" s="10">
        <f t="shared" si="367"/>
        <v>0</v>
      </c>
      <c r="AZ195" s="10">
        <f t="shared" si="367"/>
        <v>0</v>
      </c>
      <c r="BA195" s="10">
        <f t="shared" si="367"/>
        <v>0</v>
      </c>
      <c r="BB195" s="10">
        <f t="shared" si="367"/>
        <v>0</v>
      </c>
      <c r="BC195" s="10">
        <f t="shared" si="367"/>
        <v>0</v>
      </c>
      <c r="BD195" s="10">
        <f t="shared" si="367"/>
        <v>0</v>
      </c>
      <c r="BE195" s="10">
        <f t="shared" si="367"/>
        <v>0</v>
      </c>
      <c r="BF195" s="10">
        <f t="shared" si="367"/>
        <v>0</v>
      </c>
      <c r="BG195" s="10">
        <f t="shared" si="367"/>
        <v>0</v>
      </c>
      <c r="BH195" s="10">
        <f t="shared" si="367"/>
        <v>0</v>
      </c>
      <c r="BI195" s="10">
        <f t="shared" si="367"/>
        <v>0</v>
      </c>
      <c r="BJ195" s="10">
        <f t="shared" si="367"/>
        <v>0</v>
      </c>
      <c r="BK195" s="1"/>
      <c r="BL195" s="1"/>
      <c r="BM195" s="1"/>
      <c r="BN195" s="1"/>
      <c r="BO195" s="1"/>
      <c r="BP195" s="1"/>
      <c r="BQ195" s="1"/>
      <c r="BR195" s="1"/>
      <c r="BS195" s="1"/>
      <c r="BT195" s="1"/>
      <c r="BU195" s="1"/>
      <c r="BV195" s="1"/>
      <c r="BX195" s="12">
        <f t="shared" ref="BX195:BX209" si="368">V195</f>
        <v>0</v>
      </c>
      <c r="BY195" s="10">
        <f t="shared" ref="BY195:CI195" si="369">IF(AND($F195&gt;BX$5,$F195 &lt;=BY$5),$G195, 0)</f>
        <v>0</v>
      </c>
      <c r="BZ195" s="10">
        <f t="shared" si="369"/>
        <v>0</v>
      </c>
      <c r="CA195" s="10">
        <f t="shared" si="369"/>
        <v>0</v>
      </c>
      <c r="CB195" s="10">
        <f t="shared" si="369"/>
        <v>0</v>
      </c>
      <c r="CC195" s="10">
        <f t="shared" si="369"/>
        <v>0</v>
      </c>
      <c r="CD195" s="10">
        <f t="shared" si="369"/>
        <v>0</v>
      </c>
      <c r="CE195" s="10">
        <f t="shared" si="369"/>
        <v>0</v>
      </c>
      <c r="CF195" s="10">
        <f t="shared" si="369"/>
        <v>0</v>
      </c>
      <c r="CG195" s="10">
        <f t="shared" si="369"/>
        <v>0</v>
      </c>
      <c r="CH195" s="10">
        <f t="shared" si="369"/>
        <v>0</v>
      </c>
      <c r="CI195" s="10">
        <f t="shared" si="369"/>
        <v>0</v>
      </c>
      <c r="CK195" s="11"/>
      <c r="CM195" s="11"/>
      <c r="CW195" s="7">
        <f t="shared" ref="CW195:CW215" si="370">IF(SUM($DB195:$DD195)=0, 0, 1)</f>
        <v>0</v>
      </c>
      <c r="CX195" s="7">
        <f t="shared" ref="CX195:CX215" si="371">IF(SUM($DE195:$DG195)=0, 0, 1)</f>
        <v>0</v>
      </c>
      <c r="CY195" s="7">
        <f t="shared" ref="CY195:CY215" si="372">IF($DH195=0, 0, 1)</f>
        <v>0</v>
      </c>
      <c r="CZ195" s="650"/>
      <c r="DA195" s="35"/>
      <c r="DB195" s="215">
        <f t="shared" ref="DB195:DB215" si="373">ROUND(W195-SUMIFS($AA195:$BJ195, $AA$3:$BJ$3, W$3), rounding)</f>
        <v>0</v>
      </c>
      <c r="DC195" s="215">
        <f t="shared" ref="DC195:DC215" si="374">ROUND(X195-SUMIFS($AA195:$BJ195, $AA$3:$BJ$3, X$3), rounding)</f>
        <v>0</v>
      </c>
      <c r="DD195" s="215">
        <f t="shared" ref="DD195:DD215" si="375">ROUND(Y195-SUMIFS($AA195:$BJ195, $AA$3:$BJ$3, Y$3), rounding)</f>
        <v>0</v>
      </c>
      <c r="DE195" s="215">
        <f t="shared" ref="DE195:DE215" si="376">ROUND($BY195-SUMIFS($AA195:$BJ195, $AA$3:$BJ$3, $BY$3), rounding)</f>
        <v>0</v>
      </c>
      <c r="DF195" s="215">
        <f t="shared" ref="DF195:DF215" si="377">ROUND($BZ195-SUMIFS($AA195:$BJ195, $AA$3:$BJ$3, $BZ$3), rounding)</f>
        <v>0</v>
      </c>
      <c r="DG195" s="215">
        <f t="shared" ref="DG195:DG215" si="378">ROUND($CA195-SUMIFS($AA195:$BJ195, $AA$3:$BJ$3, $CA$3), rounding)</f>
        <v>0</v>
      </c>
      <c r="DH195" s="215">
        <f t="shared" ref="DH195:DH215" si="379">ROUND($V195-$BX195, rounding)</f>
        <v>0</v>
      </c>
      <c r="DI195" s="35"/>
      <c r="DJ195">
        <v>0</v>
      </c>
      <c r="DK195">
        <v>0</v>
      </c>
      <c r="DL195" s="35"/>
      <c r="EZ195" s="12" t="str">
        <f t="shared" ref="EZ195:EZ210" si="380">IF($C195="","",CONCATENATE(D$193, " ",$C195))</f>
        <v/>
      </c>
    </row>
    <row r="196" spans="1:156" x14ac:dyDescent="0.35">
      <c r="A196" s="220" cm="1">
        <f t="array" aca="1" ref="A196" ca="1">HYPERLINK(CONCATENATE("#",CELL("address",IF(MAX($CM196:$CZ196)=0,A196,INDEX($CM196:$CZ196,MATCH(1,$CM196:$CZ196,0))))),MAX($CM196:$CZ196))</f>
        <v>0</v>
      </c>
      <c r="C196" s="253"/>
      <c r="D196" s="106">
        <f t="shared" si="362"/>
        <v>0</v>
      </c>
      <c r="E196" s="106">
        <f t="shared" si="362"/>
        <v>0</v>
      </c>
      <c r="F196" s="117" t="str">
        <f t="shared" si="363"/>
        <v/>
      </c>
      <c r="G196" s="10">
        <f t="shared" si="364"/>
        <v>0</v>
      </c>
      <c r="H196" t="s">
        <v>403</v>
      </c>
      <c r="V196" s="12">
        <f>IF(AND($F196&gt;=Timeline!$V$8,$F196 &lt;=V$5),$G196, 0)</f>
        <v>0</v>
      </c>
      <c r="W196" s="10">
        <f t="shared" si="365"/>
        <v>0</v>
      </c>
      <c r="X196" s="10">
        <f t="shared" si="365"/>
        <v>0</v>
      </c>
      <c r="Y196" s="10">
        <f t="shared" si="365"/>
        <v>0</v>
      </c>
      <c r="AA196" s="12">
        <f t="shared" si="366"/>
        <v>0</v>
      </c>
      <c r="AB196" s="10">
        <f t="shared" ref="AB196:BJ196" si="381">IF(AND($F196&gt;AA$5,$F196 &lt;=AB$5),$G196, 0)</f>
        <v>0</v>
      </c>
      <c r="AC196" s="10">
        <f t="shared" si="381"/>
        <v>0</v>
      </c>
      <c r="AD196" s="10">
        <f t="shared" si="381"/>
        <v>0</v>
      </c>
      <c r="AE196" s="10">
        <f t="shared" si="381"/>
        <v>0</v>
      </c>
      <c r="AF196" s="10">
        <f t="shared" si="381"/>
        <v>0</v>
      </c>
      <c r="AG196" s="10">
        <f t="shared" si="381"/>
        <v>0</v>
      </c>
      <c r="AH196" s="10">
        <f t="shared" si="381"/>
        <v>0</v>
      </c>
      <c r="AI196" s="10">
        <f t="shared" si="381"/>
        <v>0</v>
      </c>
      <c r="AJ196" s="10">
        <f t="shared" si="381"/>
        <v>0</v>
      </c>
      <c r="AK196" s="10">
        <f t="shared" si="381"/>
        <v>0</v>
      </c>
      <c r="AL196" s="10">
        <f t="shared" si="381"/>
        <v>0</v>
      </c>
      <c r="AM196" s="10">
        <f t="shared" si="381"/>
        <v>0</v>
      </c>
      <c r="AN196" s="10">
        <f t="shared" si="381"/>
        <v>0</v>
      </c>
      <c r="AO196" s="10">
        <f t="shared" si="381"/>
        <v>0</v>
      </c>
      <c r="AP196" s="10">
        <f t="shared" si="381"/>
        <v>0</v>
      </c>
      <c r="AQ196" s="10">
        <f t="shared" si="381"/>
        <v>0</v>
      </c>
      <c r="AR196" s="10">
        <f t="shared" si="381"/>
        <v>0</v>
      </c>
      <c r="AS196" s="10">
        <f t="shared" si="381"/>
        <v>0</v>
      </c>
      <c r="AT196" s="10">
        <f t="shared" si="381"/>
        <v>0</v>
      </c>
      <c r="AU196" s="10">
        <f t="shared" si="381"/>
        <v>0</v>
      </c>
      <c r="AV196" s="10">
        <f t="shared" si="381"/>
        <v>0</v>
      </c>
      <c r="AW196" s="10">
        <f t="shared" si="381"/>
        <v>0</v>
      </c>
      <c r="AX196" s="10">
        <f t="shared" si="381"/>
        <v>0</v>
      </c>
      <c r="AY196" s="10">
        <f t="shared" si="381"/>
        <v>0</v>
      </c>
      <c r="AZ196" s="10">
        <f t="shared" si="381"/>
        <v>0</v>
      </c>
      <c r="BA196" s="10">
        <f t="shared" si="381"/>
        <v>0</v>
      </c>
      <c r="BB196" s="10">
        <f t="shared" si="381"/>
        <v>0</v>
      </c>
      <c r="BC196" s="10">
        <f t="shared" si="381"/>
        <v>0</v>
      </c>
      <c r="BD196" s="10">
        <f t="shared" si="381"/>
        <v>0</v>
      </c>
      <c r="BE196" s="10">
        <f t="shared" si="381"/>
        <v>0</v>
      </c>
      <c r="BF196" s="10">
        <f t="shared" si="381"/>
        <v>0</v>
      </c>
      <c r="BG196" s="10">
        <f t="shared" si="381"/>
        <v>0</v>
      </c>
      <c r="BH196" s="10">
        <f t="shared" si="381"/>
        <v>0</v>
      </c>
      <c r="BI196" s="10">
        <f t="shared" si="381"/>
        <v>0</v>
      </c>
      <c r="BJ196" s="10">
        <f t="shared" si="381"/>
        <v>0</v>
      </c>
      <c r="BK196" s="1"/>
      <c r="BL196" s="1"/>
      <c r="BM196" s="1"/>
      <c r="BN196" s="1"/>
      <c r="BO196" s="1"/>
      <c r="BP196" s="1"/>
      <c r="BQ196" s="1"/>
      <c r="BR196" s="1"/>
      <c r="BS196" s="1"/>
      <c r="BT196" s="1"/>
      <c r="BU196" s="1"/>
      <c r="BV196" s="1"/>
      <c r="BX196" s="12">
        <f t="shared" si="368"/>
        <v>0</v>
      </c>
      <c r="BY196" s="10">
        <f t="shared" ref="BY196:CI196" si="382">IF(AND($F196&gt;BX$5,$F196 &lt;=BY$5),$G196, 0)</f>
        <v>0</v>
      </c>
      <c r="BZ196" s="10">
        <f t="shared" si="382"/>
        <v>0</v>
      </c>
      <c r="CA196" s="10">
        <f t="shared" si="382"/>
        <v>0</v>
      </c>
      <c r="CB196" s="10">
        <f t="shared" si="382"/>
        <v>0</v>
      </c>
      <c r="CC196" s="10">
        <f t="shared" si="382"/>
        <v>0</v>
      </c>
      <c r="CD196" s="10">
        <f t="shared" si="382"/>
        <v>0</v>
      </c>
      <c r="CE196" s="10">
        <f t="shared" si="382"/>
        <v>0</v>
      </c>
      <c r="CF196" s="10">
        <f t="shared" si="382"/>
        <v>0</v>
      </c>
      <c r="CG196" s="10">
        <f t="shared" si="382"/>
        <v>0</v>
      </c>
      <c r="CH196" s="10">
        <f t="shared" si="382"/>
        <v>0</v>
      </c>
      <c r="CI196" s="10">
        <f t="shared" si="382"/>
        <v>0</v>
      </c>
      <c r="CK196" s="11"/>
      <c r="CM196" s="11"/>
      <c r="CW196" s="7">
        <f t="shared" si="370"/>
        <v>0</v>
      </c>
      <c r="CX196" s="7">
        <f t="shared" si="371"/>
        <v>0</v>
      </c>
      <c r="CY196" s="7">
        <f t="shared" si="372"/>
        <v>0</v>
      </c>
      <c r="CZ196" s="650"/>
      <c r="DA196" s="35"/>
      <c r="DB196" s="215">
        <f t="shared" si="373"/>
        <v>0</v>
      </c>
      <c r="DC196" s="215">
        <f t="shared" si="374"/>
        <v>0</v>
      </c>
      <c r="DD196" s="215">
        <f t="shared" si="375"/>
        <v>0</v>
      </c>
      <c r="DE196" s="215">
        <f t="shared" si="376"/>
        <v>0</v>
      </c>
      <c r="DF196" s="215">
        <f t="shared" si="377"/>
        <v>0</v>
      </c>
      <c r="DG196" s="215">
        <f t="shared" si="378"/>
        <v>0</v>
      </c>
      <c r="DH196" s="215">
        <f t="shared" si="379"/>
        <v>0</v>
      </c>
      <c r="DI196" s="35"/>
      <c r="DJ196">
        <v>0</v>
      </c>
      <c r="DK196">
        <v>0</v>
      </c>
      <c r="DL196" s="35"/>
      <c r="EZ196" s="12" t="str">
        <f t="shared" si="380"/>
        <v/>
      </c>
    </row>
    <row r="197" spans="1:156" x14ac:dyDescent="0.35">
      <c r="A197" s="220" cm="1">
        <f t="array" aca="1" ref="A197" ca="1">HYPERLINK(CONCATENATE("#",CELL("address",IF(MAX($CM197:$CZ197)=0,A197,INDEX($CM197:$CZ197,MATCH(1,$CM197:$CZ197,0))))),MAX($CM197:$CZ197))</f>
        <v>0</v>
      </c>
      <c r="C197" s="253"/>
      <c r="D197" s="106">
        <f t="shared" si="362"/>
        <v>0</v>
      </c>
      <c r="E197" s="106">
        <f t="shared" si="362"/>
        <v>0</v>
      </c>
      <c r="F197" s="117" t="str">
        <f t="shared" si="363"/>
        <v/>
      </c>
      <c r="G197" s="10">
        <f t="shared" si="364"/>
        <v>0</v>
      </c>
      <c r="H197" t="s">
        <v>403</v>
      </c>
      <c r="V197" s="12">
        <f>IF(AND($F197&gt;=Timeline!$V$8,$F197 &lt;=V$5),$G197, 0)</f>
        <v>0</v>
      </c>
      <c r="W197" s="10">
        <f t="shared" si="365"/>
        <v>0</v>
      </c>
      <c r="X197" s="10">
        <f t="shared" si="365"/>
        <v>0</v>
      </c>
      <c r="Y197" s="10">
        <f t="shared" si="365"/>
        <v>0</v>
      </c>
      <c r="AA197" s="12">
        <f t="shared" si="366"/>
        <v>0</v>
      </c>
      <c r="AB197" s="10">
        <f t="shared" ref="AB197:BJ197" si="383">IF(AND($F197&gt;AA$5,$F197 &lt;=AB$5),$G197, 0)</f>
        <v>0</v>
      </c>
      <c r="AC197" s="10">
        <f t="shared" si="383"/>
        <v>0</v>
      </c>
      <c r="AD197" s="10">
        <f t="shared" si="383"/>
        <v>0</v>
      </c>
      <c r="AE197" s="10">
        <f t="shared" si="383"/>
        <v>0</v>
      </c>
      <c r="AF197" s="10">
        <f t="shared" si="383"/>
        <v>0</v>
      </c>
      <c r="AG197" s="10">
        <f t="shared" si="383"/>
        <v>0</v>
      </c>
      <c r="AH197" s="10">
        <f t="shared" si="383"/>
        <v>0</v>
      </c>
      <c r="AI197" s="10">
        <f t="shared" si="383"/>
        <v>0</v>
      </c>
      <c r="AJ197" s="10">
        <f t="shared" si="383"/>
        <v>0</v>
      </c>
      <c r="AK197" s="10">
        <f t="shared" si="383"/>
        <v>0</v>
      </c>
      <c r="AL197" s="10">
        <f t="shared" si="383"/>
        <v>0</v>
      </c>
      <c r="AM197" s="10">
        <f t="shared" si="383"/>
        <v>0</v>
      </c>
      <c r="AN197" s="10">
        <f t="shared" si="383"/>
        <v>0</v>
      </c>
      <c r="AO197" s="10">
        <f t="shared" si="383"/>
        <v>0</v>
      </c>
      <c r="AP197" s="10">
        <f t="shared" si="383"/>
        <v>0</v>
      </c>
      <c r="AQ197" s="10">
        <f t="shared" si="383"/>
        <v>0</v>
      </c>
      <c r="AR197" s="10">
        <f t="shared" si="383"/>
        <v>0</v>
      </c>
      <c r="AS197" s="10">
        <f t="shared" si="383"/>
        <v>0</v>
      </c>
      <c r="AT197" s="10">
        <f t="shared" si="383"/>
        <v>0</v>
      </c>
      <c r="AU197" s="10">
        <f t="shared" si="383"/>
        <v>0</v>
      </c>
      <c r="AV197" s="10">
        <f t="shared" si="383"/>
        <v>0</v>
      </c>
      <c r="AW197" s="10">
        <f t="shared" si="383"/>
        <v>0</v>
      </c>
      <c r="AX197" s="10">
        <f t="shared" si="383"/>
        <v>0</v>
      </c>
      <c r="AY197" s="10">
        <f t="shared" si="383"/>
        <v>0</v>
      </c>
      <c r="AZ197" s="10">
        <f t="shared" si="383"/>
        <v>0</v>
      </c>
      <c r="BA197" s="10">
        <f t="shared" si="383"/>
        <v>0</v>
      </c>
      <c r="BB197" s="10">
        <f t="shared" si="383"/>
        <v>0</v>
      </c>
      <c r="BC197" s="10">
        <f t="shared" si="383"/>
        <v>0</v>
      </c>
      <c r="BD197" s="10">
        <f t="shared" si="383"/>
        <v>0</v>
      </c>
      <c r="BE197" s="10">
        <f t="shared" si="383"/>
        <v>0</v>
      </c>
      <c r="BF197" s="10">
        <f t="shared" si="383"/>
        <v>0</v>
      </c>
      <c r="BG197" s="10">
        <f t="shared" si="383"/>
        <v>0</v>
      </c>
      <c r="BH197" s="10">
        <f t="shared" si="383"/>
        <v>0</v>
      </c>
      <c r="BI197" s="10">
        <f t="shared" si="383"/>
        <v>0</v>
      </c>
      <c r="BJ197" s="10">
        <f t="shared" si="383"/>
        <v>0</v>
      </c>
      <c r="BK197" s="1"/>
      <c r="BL197" s="1"/>
      <c r="BM197" s="1"/>
      <c r="BN197" s="1"/>
      <c r="BO197" s="1"/>
      <c r="BP197" s="1"/>
      <c r="BQ197" s="1"/>
      <c r="BR197" s="1"/>
      <c r="BS197" s="1"/>
      <c r="BT197" s="1"/>
      <c r="BU197" s="1"/>
      <c r="BV197" s="1"/>
      <c r="BX197" s="12">
        <f t="shared" si="368"/>
        <v>0</v>
      </c>
      <c r="BY197" s="10">
        <f t="shared" ref="BY197:CI197" si="384">IF(AND($F197&gt;BX$5,$F197 &lt;=BY$5),$G197, 0)</f>
        <v>0</v>
      </c>
      <c r="BZ197" s="10">
        <f t="shared" si="384"/>
        <v>0</v>
      </c>
      <c r="CA197" s="10">
        <f t="shared" si="384"/>
        <v>0</v>
      </c>
      <c r="CB197" s="10">
        <f t="shared" si="384"/>
        <v>0</v>
      </c>
      <c r="CC197" s="10">
        <f t="shared" si="384"/>
        <v>0</v>
      </c>
      <c r="CD197" s="10">
        <f t="shared" si="384"/>
        <v>0</v>
      </c>
      <c r="CE197" s="10">
        <f t="shared" si="384"/>
        <v>0</v>
      </c>
      <c r="CF197" s="10">
        <f t="shared" si="384"/>
        <v>0</v>
      </c>
      <c r="CG197" s="10">
        <f t="shared" si="384"/>
        <v>0</v>
      </c>
      <c r="CH197" s="10">
        <f t="shared" si="384"/>
        <v>0</v>
      </c>
      <c r="CI197" s="10">
        <f t="shared" si="384"/>
        <v>0</v>
      </c>
      <c r="CK197" s="11"/>
      <c r="CM197" s="11"/>
      <c r="CW197" s="7">
        <f t="shared" si="370"/>
        <v>0</v>
      </c>
      <c r="CX197" s="7">
        <f t="shared" si="371"/>
        <v>0</v>
      </c>
      <c r="CY197" s="7">
        <f t="shared" si="372"/>
        <v>0</v>
      </c>
      <c r="CZ197" s="650"/>
      <c r="DA197" s="129"/>
      <c r="DB197" s="215">
        <f t="shared" si="373"/>
        <v>0</v>
      </c>
      <c r="DC197" s="215">
        <f t="shared" si="374"/>
        <v>0</v>
      </c>
      <c r="DD197" s="215">
        <f t="shared" si="375"/>
        <v>0</v>
      </c>
      <c r="DE197" s="215">
        <f t="shared" si="376"/>
        <v>0</v>
      </c>
      <c r="DF197" s="215">
        <f t="shared" si="377"/>
        <v>0</v>
      </c>
      <c r="DG197" s="215">
        <f t="shared" si="378"/>
        <v>0</v>
      </c>
      <c r="DH197" s="215">
        <f t="shared" si="379"/>
        <v>0</v>
      </c>
      <c r="DI197" s="35"/>
      <c r="DJ197">
        <v>0</v>
      </c>
      <c r="DK197">
        <v>0</v>
      </c>
      <c r="DL197" s="35"/>
      <c r="EZ197" s="12" t="str">
        <f t="shared" si="380"/>
        <v/>
      </c>
    </row>
    <row r="198" spans="1:156" x14ac:dyDescent="0.35">
      <c r="A198" s="220" cm="1">
        <f t="array" aca="1" ref="A198" ca="1">HYPERLINK(CONCATENATE("#",CELL("address",IF(MAX($CM198:$CZ198)=0,A198,INDEX($CM198:$CZ198,MATCH(1,$CM198:$CZ198,0))))),MAX($CM198:$CZ198))</f>
        <v>0</v>
      </c>
      <c r="C198" s="253"/>
      <c r="D198" s="106">
        <f t="shared" si="362"/>
        <v>0</v>
      </c>
      <c r="E198" s="106">
        <f t="shared" si="362"/>
        <v>0</v>
      </c>
      <c r="F198" s="117" t="str">
        <f t="shared" si="363"/>
        <v/>
      </c>
      <c r="G198" s="10">
        <f t="shared" si="364"/>
        <v>0</v>
      </c>
      <c r="H198" t="s">
        <v>403</v>
      </c>
      <c r="V198" s="12">
        <f>IF(AND($F198&gt;=Timeline!$V$8,$F198 &lt;=V$5),$G198, 0)</f>
        <v>0</v>
      </c>
      <c r="W198" s="10">
        <f t="shared" si="365"/>
        <v>0</v>
      </c>
      <c r="X198" s="10">
        <f t="shared" si="365"/>
        <v>0</v>
      </c>
      <c r="Y198" s="10">
        <f t="shared" si="365"/>
        <v>0</v>
      </c>
      <c r="AA198" s="12">
        <f t="shared" si="366"/>
        <v>0</v>
      </c>
      <c r="AB198" s="10">
        <f t="shared" ref="AB198:BJ198" si="385">IF(AND($F198&gt;AA$5,$F198 &lt;=AB$5),$G198, 0)</f>
        <v>0</v>
      </c>
      <c r="AC198" s="10">
        <f t="shared" si="385"/>
        <v>0</v>
      </c>
      <c r="AD198" s="10">
        <f t="shared" si="385"/>
        <v>0</v>
      </c>
      <c r="AE198" s="10">
        <f t="shared" si="385"/>
        <v>0</v>
      </c>
      <c r="AF198" s="10">
        <f t="shared" si="385"/>
        <v>0</v>
      </c>
      <c r="AG198" s="10">
        <f t="shared" si="385"/>
        <v>0</v>
      </c>
      <c r="AH198" s="10">
        <f t="shared" si="385"/>
        <v>0</v>
      </c>
      <c r="AI198" s="10">
        <f t="shared" si="385"/>
        <v>0</v>
      </c>
      <c r="AJ198" s="10">
        <f t="shared" si="385"/>
        <v>0</v>
      </c>
      <c r="AK198" s="10">
        <f t="shared" si="385"/>
        <v>0</v>
      </c>
      <c r="AL198" s="10">
        <f t="shared" si="385"/>
        <v>0</v>
      </c>
      <c r="AM198" s="10">
        <f t="shared" si="385"/>
        <v>0</v>
      </c>
      <c r="AN198" s="10">
        <f t="shared" si="385"/>
        <v>0</v>
      </c>
      <c r="AO198" s="10">
        <f t="shared" si="385"/>
        <v>0</v>
      </c>
      <c r="AP198" s="10">
        <f t="shared" si="385"/>
        <v>0</v>
      </c>
      <c r="AQ198" s="10">
        <f t="shared" si="385"/>
        <v>0</v>
      </c>
      <c r="AR198" s="10">
        <f t="shared" si="385"/>
        <v>0</v>
      </c>
      <c r="AS198" s="10">
        <f t="shared" si="385"/>
        <v>0</v>
      </c>
      <c r="AT198" s="10">
        <f t="shared" si="385"/>
        <v>0</v>
      </c>
      <c r="AU198" s="10">
        <f t="shared" si="385"/>
        <v>0</v>
      </c>
      <c r="AV198" s="10">
        <f t="shared" si="385"/>
        <v>0</v>
      </c>
      <c r="AW198" s="10">
        <f t="shared" si="385"/>
        <v>0</v>
      </c>
      <c r="AX198" s="10">
        <f t="shared" si="385"/>
        <v>0</v>
      </c>
      <c r="AY198" s="10">
        <f t="shared" si="385"/>
        <v>0</v>
      </c>
      <c r="AZ198" s="10">
        <f t="shared" si="385"/>
        <v>0</v>
      </c>
      <c r="BA198" s="10">
        <f t="shared" si="385"/>
        <v>0</v>
      </c>
      <c r="BB198" s="10">
        <f t="shared" si="385"/>
        <v>0</v>
      </c>
      <c r="BC198" s="10">
        <f t="shared" si="385"/>
        <v>0</v>
      </c>
      <c r="BD198" s="10">
        <f t="shared" si="385"/>
        <v>0</v>
      </c>
      <c r="BE198" s="10">
        <f t="shared" si="385"/>
        <v>0</v>
      </c>
      <c r="BF198" s="10">
        <f t="shared" si="385"/>
        <v>0</v>
      </c>
      <c r="BG198" s="10">
        <f t="shared" si="385"/>
        <v>0</v>
      </c>
      <c r="BH198" s="10">
        <f t="shared" si="385"/>
        <v>0</v>
      </c>
      <c r="BI198" s="10">
        <f t="shared" si="385"/>
        <v>0</v>
      </c>
      <c r="BJ198" s="10">
        <f t="shared" si="385"/>
        <v>0</v>
      </c>
      <c r="BK198" s="1"/>
      <c r="BL198" s="1"/>
      <c r="BM198" s="1"/>
      <c r="BN198" s="1"/>
      <c r="BO198" s="1"/>
      <c r="BP198" s="1"/>
      <c r="BQ198" s="1"/>
      <c r="BR198" s="1"/>
      <c r="BS198" s="1"/>
      <c r="BT198" s="1"/>
      <c r="BU198" s="1"/>
      <c r="BV198" s="1"/>
      <c r="BX198" s="12">
        <f t="shared" si="368"/>
        <v>0</v>
      </c>
      <c r="BY198" s="10">
        <f t="shared" ref="BY198:CI198" si="386">IF(AND($F198&gt;BX$5,$F198 &lt;=BY$5),$G198, 0)</f>
        <v>0</v>
      </c>
      <c r="BZ198" s="10">
        <f t="shared" si="386"/>
        <v>0</v>
      </c>
      <c r="CA198" s="10">
        <f t="shared" si="386"/>
        <v>0</v>
      </c>
      <c r="CB198" s="10">
        <f t="shared" si="386"/>
        <v>0</v>
      </c>
      <c r="CC198" s="10">
        <f t="shared" si="386"/>
        <v>0</v>
      </c>
      <c r="CD198" s="10">
        <f t="shared" si="386"/>
        <v>0</v>
      </c>
      <c r="CE198" s="10">
        <f t="shared" si="386"/>
        <v>0</v>
      </c>
      <c r="CF198" s="10">
        <f t="shared" si="386"/>
        <v>0</v>
      </c>
      <c r="CG198" s="10">
        <f t="shared" si="386"/>
        <v>0</v>
      </c>
      <c r="CH198" s="10">
        <f t="shared" si="386"/>
        <v>0</v>
      </c>
      <c r="CI198" s="10">
        <f t="shared" si="386"/>
        <v>0</v>
      </c>
      <c r="CK198" s="11"/>
      <c r="CM198" s="11"/>
      <c r="CW198" s="7">
        <f t="shared" si="370"/>
        <v>0</v>
      </c>
      <c r="CX198" s="7">
        <f t="shared" si="371"/>
        <v>0</v>
      </c>
      <c r="CY198" s="7">
        <f t="shared" si="372"/>
        <v>0</v>
      </c>
      <c r="CZ198" s="650"/>
      <c r="DA198" s="35"/>
      <c r="DB198" s="215">
        <f t="shared" si="373"/>
        <v>0</v>
      </c>
      <c r="DC198" s="215">
        <f t="shared" si="374"/>
        <v>0</v>
      </c>
      <c r="DD198" s="215">
        <f t="shared" si="375"/>
        <v>0</v>
      </c>
      <c r="DE198" s="215">
        <f t="shared" si="376"/>
        <v>0</v>
      </c>
      <c r="DF198" s="215">
        <f t="shared" si="377"/>
        <v>0</v>
      </c>
      <c r="DG198" s="215">
        <f t="shared" si="378"/>
        <v>0</v>
      </c>
      <c r="DH198" s="215">
        <f t="shared" si="379"/>
        <v>0</v>
      </c>
      <c r="DI198" s="35"/>
      <c r="DJ198">
        <v>0</v>
      </c>
      <c r="DK198">
        <v>0</v>
      </c>
      <c r="DL198" s="35"/>
      <c r="EZ198" s="12" t="str">
        <f t="shared" si="380"/>
        <v/>
      </c>
    </row>
    <row r="199" spans="1:156" x14ac:dyDescent="0.35">
      <c r="A199" s="220" cm="1">
        <f t="array" aca="1" ref="A199" ca="1">HYPERLINK(CONCATENATE("#",CELL("address",IF(MAX($CM199:$CZ199)=0,A199,INDEX($CM199:$CZ199,MATCH(1,$CM199:$CZ199,0))))),MAX($CM199:$CZ199))</f>
        <v>0</v>
      </c>
      <c r="C199" s="253"/>
      <c r="D199" s="106">
        <f t="shared" si="362"/>
        <v>0</v>
      </c>
      <c r="E199" s="106">
        <f t="shared" si="362"/>
        <v>0</v>
      </c>
      <c r="F199" s="117" t="str">
        <f t="shared" si="363"/>
        <v/>
      </c>
      <c r="G199" s="10">
        <f t="shared" si="364"/>
        <v>0</v>
      </c>
      <c r="H199" t="s">
        <v>403</v>
      </c>
      <c r="V199" s="12">
        <f>IF(AND($F199&gt;=Timeline!$V$8,$F199 &lt;=V$5),$G199, 0)</f>
        <v>0</v>
      </c>
      <c r="W199" s="10">
        <f t="shared" si="365"/>
        <v>0</v>
      </c>
      <c r="X199" s="10">
        <f t="shared" si="365"/>
        <v>0</v>
      </c>
      <c r="Y199" s="10">
        <f t="shared" si="365"/>
        <v>0</v>
      </c>
      <c r="AA199" s="12">
        <f t="shared" si="366"/>
        <v>0</v>
      </c>
      <c r="AB199" s="10">
        <f t="shared" ref="AB199:BJ199" si="387">IF(AND($F199&gt;AA$5,$F199 &lt;=AB$5),$G199, 0)</f>
        <v>0</v>
      </c>
      <c r="AC199" s="10">
        <f t="shared" si="387"/>
        <v>0</v>
      </c>
      <c r="AD199" s="10">
        <f t="shared" si="387"/>
        <v>0</v>
      </c>
      <c r="AE199" s="10">
        <f t="shared" si="387"/>
        <v>0</v>
      </c>
      <c r="AF199" s="10">
        <f t="shared" si="387"/>
        <v>0</v>
      </c>
      <c r="AG199" s="10">
        <f t="shared" si="387"/>
        <v>0</v>
      </c>
      <c r="AH199" s="10">
        <f t="shared" si="387"/>
        <v>0</v>
      </c>
      <c r="AI199" s="10">
        <f t="shared" si="387"/>
        <v>0</v>
      </c>
      <c r="AJ199" s="10">
        <f t="shared" si="387"/>
        <v>0</v>
      </c>
      <c r="AK199" s="10">
        <f t="shared" si="387"/>
        <v>0</v>
      </c>
      <c r="AL199" s="10">
        <f t="shared" si="387"/>
        <v>0</v>
      </c>
      <c r="AM199" s="10">
        <f t="shared" si="387"/>
        <v>0</v>
      </c>
      <c r="AN199" s="10">
        <f t="shared" si="387"/>
        <v>0</v>
      </c>
      <c r="AO199" s="10">
        <f t="shared" si="387"/>
        <v>0</v>
      </c>
      <c r="AP199" s="10">
        <f t="shared" si="387"/>
        <v>0</v>
      </c>
      <c r="AQ199" s="10">
        <f t="shared" si="387"/>
        <v>0</v>
      </c>
      <c r="AR199" s="10">
        <f t="shared" si="387"/>
        <v>0</v>
      </c>
      <c r="AS199" s="10">
        <f t="shared" si="387"/>
        <v>0</v>
      </c>
      <c r="AT199" s="10">
        <f t="shared" si="387"/>
        <v>0</v>
      </c>
      <c r="AU199" s="10">
        <f t="shared" si="387"/>
        <v>0</v>
      </c>
      <c r="AV199" s="10">
        <f t="shared" si="387"/>
        <v>0</v>
      </c>
      <c r="AW199" s="10">
        <f t="shared" si="387"/>
        <v>0</v>
      </c>
      <c r="AX199" s="10">
        <f t="shared" si="387"/>
        <v>0</v>
      </c>
      <c r="AY199" s="10">
        <f t="shared" si="387"/>
        <v>0</v>
      </c>
      <c r="AZ199" s="10">
        <f t="shared" si="387"/>
        <v>0</v>
      </c>
      <c r="BA199" s="10">
        <f t="shared" si="387"/>
        <v>0</v>
      </c>
      <c r="BB199" s="10">
        <f t="shared" si="387"/>
        <v>0</v>
      </c>
      <c r="BC199" s="10">
        <f t="shared" si="387"/>
        <v>0</v>
      </c>
      <c r="BD199" s="10">
        <f t="shared" si="387"/>
        <v>0</v>
      </c>
      <c r="BE199" s="10">
        <f t="shared" si="387"/>
        <v>0</v>
      </c>
      <c r="BF199" s="10">
        <f t="shared" si="387"/>
        <v>0</v>
      </c>
      <c r="BG199" s="10">
        <f t="shared" si="387"/>
        <v>0</v>
      </c>
      <c r="BH199" s="10">
        <f t="shared" si="387"/>
        <v>0</v>
      </c>
      <c r="BI199" s="10">
        <f t="shared" si="387"/>
        <v>0</v>
      </c>
      <c r="BJ199" s="10">
        <f t="shared" si="387"/>
        <v>0</v>
      </c>
      <c r="BK199" s="1"/>
      <c r="BL199" s="1"/>
      <c r="BM199" s="1"/>
      <c r="BN199" s="1"/>
      <c r="BO199" s="1"/>
      <c r="BP199" s="1"/>
      <c r="BQ199" s="1"/>
      <c r="BR199" s="1"/>
      <c r="BS199" s="1"/>
      <c r="BT199" s="1"/>
      <c r="BU199" s="1"/>
      <c r="BV199" s="1"/>
      <c r="BX199" s="12">
        <f t="shared" si="368"/>
        <v>0</v>
      </c>
      <c r="BY199" s="10">
        <f t="shared" ref="BY199:CI199" si="388">IF(AND($F199&gt;BX$5,$F199 &lt;=BY$5),$G199, 0)</f>
        <v>0</v>
      </c>
      <c r="BZ199" s="10">
        <f t="shared" si="388"/>
        <v>0</v>
      </c>
      <c r="CA199" s="10">
        <f t="shared" si="388"/>
        <v>0</v>
      </c>
      <c r="CB199" s="10">
        <f t="shared" si="388"/>
        <v>0</v>
      </c>
      <c r="CC199" s="10">
        <f t="shared" si="388"/>
        <v>0</v>
      </c>
      <c r="CD199" s="10">
        <f t="shared" si="388"/>
        <v>0</v>
      </c>
      <c r="CE199" s="10">
        <f t="shared" si="388"/>
        <v>0</v>
      </c>
      <c r="CF199" s="10">
        <f t="shared" si="388"/>
        <v>0</v>
      </c>
      <c r="CG199" s="10">
        <f t="shared" si="388"/>
        <v>0</v>
      </c>
      <c r="CH199" s="10">
        <f t="shared" si="388"/>
        <v>0</v>
      </c>
      <c r="CI199" s="10">
        <f t="shared" si="388"/>
        <v>0</v>
      </c>
      <c r="CK199" s="11"/>
      <c r="CM199" s="11"/>
      <c r="CW199" s="7">
        <f t="shared" si="370"/>
        <v>0</v>
      </c>
      <c r="CX199" s="7">
        <f t="shared" si="371"/>
        <v>0</v>
      </c>
      <c r="CY199" s="7">
        <f t="shared" si="372"/>
        <v>0</v>
      </c>
      <c r="CZ199" s="650"/>
      <c r="DA199" s="35"/>
      <c r="DB199" s="215">
        <f t="shared" si="373"/>
        <v>0</v>
      </c>
      <c r="DC199" s="215">
        <f t="shared" si="374"/>
        <v>0</v>
      </c>
      <c r="DD199" s="215">
        <f t="shared" si="375"/>
        <v>0</v>
      </c>
      <c r="DE199" s="215">
        <f t="shared" si="376"/>
        <v>0</v>
      </c>
      <c r="DF199" s="215">
        <f t="shared" si="377"/>
        <v>0</v>
      </c>
      <c r="DG199" s="215">
        <f t="shared" si="378"/>
        <v>0</v>
      </c>
      <c r="DH199" s="215">
        <f t="shared" si="379"/>
        <v>0</v>
      </c>
      <c r="DI199" s="35"/>
      <c r="DJ199">
        <v>0</v>
      </c>
      <c r="DK199">
        <v>0</v>
      </c>
      <c r="DL199" s="35"/>
      <c r="EZ199" s="12" t="str">
        <f t="shared" si="380"/>
        <v/>
      </c>
    </row>
    <row r="200" spans="1:156" x14ac:dyDescent="0.35">
      <c r="A200" s="220" cm="1">
        <f t="array" aca="1" ref="A200" ca="1">HYPERLINK(CONCATENATE("#",CELL("address",IF(MAX($CM200:$CZ200)=0,A200,INDEX($CM200:$CZ200,MATCH(1,$CM200:$CZ200,0))))),MAX($CM200:$CZ200))</f>
        <v>0</v>
      </c>
      <c r="C200" s="253"/>
      <c r="D200" s="106">
        <f t="shared" si="362"/>
        <v>0</v>
      </c>
      <c r="E200" s="106">
        <f t="shared" si="362"/>
        <v>0</v>
      </c>
      <c r="F200" s="117" t="str">
        <f t="shared" si="363"/>
        <v/>
      </c>
      <c r="G200" s="10">
        <f t="shared" si="364"/>
        <v>0</v>
      </c>
      <c r="H200" t="s">
        <v>403</v>
      </c>
      <c r="V200" s="12">
        <f>IF(AND($F200&gt;=Timeline!$V$8,$F200 &lt;=V$5),$G200, 0)</f>
        <v>0</v>
      </c>
      <c r="W200" s="10">
        <f t="shared" si="365"/>
        <v>0</v>
      </c>
      <c r="X200" s="10">
        <f t="shared" si="365"/>
        <v>0</v>
      </c>
      <c r="Y200" s="10">
        <f t="shared" si="365"/>
        <v>0</v>
      </c>
      <c r="AA200" s="12">
        <f t="shared" si="366"/>
        <v>0</v>
      </c>
      <c r="AB200" s="10">
        <f t="shared" ref="AB200:BJ200" si="389">IF(AND($F200&gt;AA$5,$F200 &lt;=AB$5),$G200, 0)</f>
        <v>0</v>
      </c>
      <c r="AC200" s="10">
        <f t="shared" si="389"/>
        <v>0</v>
      </c>
      <c r="AD200" s="10">
        <f t="shared" si="389"/>
        <v>0</v>
      </c>
      <c r="AE200" s="10">
        <f t="shared" si="389"/>
        <v>0</v>
      </c>
      <c r="AF200" s="10">
        <f t="shared" si="389"/>
        <v>0</v>
      </c>
      <c r="AG200" s="10">
        <f t="shared" si="389"/>
        <v>0</v>
      </c>
      <c r="AH200" s="10">
        <f t="shared" si="389"/>
        <v>0</v>
      </c>
      <c r="AI200" s="10">
        <f t="shared" si="389"/>
        <v>0</v>
      </c>
      <c r="AJ200" s="10">
        <f t="shared" si="389"/>
        <v>0</v>
      </c>
      <c r="AK200" s="10">
        <f t="shared" si="389"/>
        <v>0</v>
      </c>
      <c r="AL200" s="10">
        <f t="shared" si="389"/>
        <v>0</v>
      </c>
      <c r="AM200" s="10">
        <f t="shared" si="389"/>
        <v>0</v>
      </c>
      <c r="AN200" s="10">
        <f t="shared" si="389"/>
        <v>0</v>
      </c>
      <c r="AO200" s="10">
        <f t="shared" si="389"/>
        <v>0</v>
      </c>
      <c r="AP200" s="10">
        <f t="shared" si="389"/>
        <v>0</v>
      </c>
      <c r="AQ200" s="10">
        <f t="shared" si="389"/>
        <v>0</v>
      </c>
      <c r="AR200" s="10">
        <f t="shared" si="389"/>
        <v>0</v>
      </c>
      <c r="AS200" s="10">
        <f t="shared" si="389"/>
        <v>0</v>
      </c>
      <c r="AT200" s="10">
        <f t="shared" si="389"/>
        <v>0</v>
      </c>
      <c r="AU200" s="10">
        <f t="shared" si="389"/>
        <v>0</v>
      </c>
      <c r="AV200" s="10">
        <f t="shared" si="389"/>
        <v>0</v>
      </c>
      <c r="AW200" s="10">
        <f t="shared" si="389"/>
        <v>0</v>
      </c>
      <c r="AX200" s="10">
        <f t="shared" si="389"/>
        <v>0</v>
      </c>
      <c r="AY200" s="10">
        <f t="shared" si="389"/>
        <v>0</v>
      </c>
      <c r="AZ200" s="10">
        <f t="shared" si="389"/>
        <v>0</v>
      </c>
      <c r="BA200" s="10">
        <f t="shared" si="389"/>
        <v>0</v>
      </c>
      <c r="BB200" s="10">
        <f t="shared" si="389"/>
        <v>0</v>
      </c>
      <c r="BC200" s="10">
        <f t="shared" si="389"/>
        <v>0</v>
      </c>
      <c r="BD200" s="10">
        <f t="shared" si="389"/>
        <v>0</v>
      </c>
      <c r="BE200" s="10">
        <f t="shared" si="389"/>
        <v>0</v>
      </c>
      <c r="BF200" s="10">
        <f t="shared" si="389"/>
        <v>0</v>
      </c>
      <c r="BG200" s="10">
        <f t="shared" si="389"/>
        <v>0</v>
      </c>
      <c r="BH200" s="10">
        <f t="shared" si="389"/>
        <v>0</v>
      </c>
      <c r="BI200" s="10">
        <f t="shared" si="389"/>
        <v>0</v>
      </c>
      <c r="BJ200" s="10">
        <f t="shared" si="389"/>
        <v>0</v>
      </c>
      <c r="BK200" s="1"/>
      <c r="BL200" s="1"/>
      <c r="BM200" s="1"/>
      <c r="BN200" s="1"/>
      <c r="BO200" s="1"/>
      <c r="BP200" s="1"/>
      <c r="BQ200" s="1"/>
      <c r="BR200" s="1"/>
      <c r="BS200" s="1"/>
      <c r="BT200" s="1"/>
      <c r="BU200" s="1"/>
      <c r="BV200" s="1"/>
      <c r="BX200" s="12">
        <f t="shared" si="368"/>
        <v>0</v>
      </c>
      <c r="BY200" s="10">
        <f t="shared" ref="BY200:CI200" si="390">IF(AND($F200&gt;BX$5,$F200 &lt;=BY$5),$G200, 0)</f>
        <v>0</v>
      </c>
      <c r="BZ200" s="10">
        <f t="shared" si="390"/>
        <v>0</v>
      </c>
      <c r="CA200" s="10">
        <f t="shared" si="390"/>
        <v>0</v>
      </c>
      <c r="CB200" s="10">
        <f t="shared" si="390"/>
        <v>0</v>
      </c>
      <c r="CC200" s="10">
        <f t="shared" si="390"/>
        <v>0</v>
      </c>
      <c r="CD200" s="10">
        <f t="shared" si="390"/>
        <v>0</v>
      </c>
      <c r="CE200" s="10">
        <f t="shared" si="390"/>
        <v>0</v>
      </c>
      <c r="CF200" s="10">
        <f t="shared" si="390"/>
        <v>0</v>
      </c>
      <c r="CG200" s="10">
        <f t="shared" si="390"/>
        <v>0</v>
      </c>
      <c r="CH200" s="10">
        <f t="shared" si="390"/>
        <v>0</v>
      </c>
      <c r="CI200" s="10">
        <f t="shared" si="390"/>
        <v>0</v>
      </c>
      <c r="CK200" s="11"/>
      <c r="CM200" s="11"/>
      <c r="CW200" s="7">
        <f t="shared" si="370"/>
        <v>0</v>
      </c>
      <c r="CX200" s="7">
        <f t="shared" si="371"/>
        <v>0</v>
      </c>
      <c r="CY200" s="7">
        <f t="shared" si="372"/>
        <v>0</v>
      </c>
      <c r="CZ200" s="650"/>
      <c r="DA200" s="35"/>
      <c r="DB200" s="215">
        <f t="shared" si="373"/>
        <v>0</v>
      </c>
      <c r="DC200" s="215">
        <f t="shared" si="374"/>
        <v>0</v>
      </c>
      <c r="DD200" s="215">
        <f t="shared" si="375"/>
        <v>0</v>
      </c>
      <c r="DE200" s="215">
        <f t="shared" si="376"/>
        <v>0</v>
      </c>
      <c r="DF200" s="215">
        <f t="shared" si="377"/>
        <v>0</v>
      </c>
      <c r="DG200" s="215">
        <f t="shared" si="378"/>
        <v>0</v>
      </c>
      <c r="DH200" s="215">
        <f t="shared" si="379"/>
        <v>0</v>
      </c>
      <c r="DI200" s="35"/>
      <c r="DJ200">
        <v>0</v>
      </c>
      <c r="DK200">
        <v>0</v>
      </c>
      <c r="DL200" s="35"/>
      <c r="EZ200" s="12" t="str">
        <f t="shared" si="380"/>
        <v/>
      </c>
    </row>
    <row r="201" spans="1:156" x14ac:dyDescent="0.35">
      <c r="A201" s="220" cm="1">
        <f t="array" aca="1" ref="A201" ca="1">HYPERLINK(CONCATENATE("#",CELL("address",IF(MAX($CM201:$CZ201)=0,A201,INDEX($CM201:$CZ201,MATCH(1,$CM201:$CZ201,0))))),MAX($CM201:$CZ201))</f>
        <v>0</v>
      </c>
      <c r="C201" s="253"/>
      <c r="D201" s="106">
        <f t="shared" si="362"/>
        <v>0</v>
      </c>
      <c r="E201" s="106">
        <f t="shared" si="362"/>
        <v>0</v>
      </c>
      <c r="F201" s="117" t="str">
        <f t="shared" si="363"/>
        <v/>
      </c>
      <c r="G201" s="10">
        <f t="shared" si="364"/>
        <v>0</v>
      </c>
      <c r="H201" t="s">
        <v>403</v>
      </c>
      <c r="V201" s="12">
        <f>IF(AND($F201&gt;=Timeline!$V$8,$F201 &lt;=V$5),$G201, 0)</f>
        <v>0</v>
      </c>
      <c r="W201" s="10">
        <f t="shared" si="365"/>
        <v>0</v>
      </c>
      <c r="X201" s="10">
        <f t="shared" si="365"/>
        <v>0</v>
      </c>
      <c r="Y201" s="10">
        <f t="shared" si="365"/>
        <v>0</v>
      </c>
      <c r="AA201" s="12">
        <f t="shared" si="366"/>
        <v>0</v>
      </c>
      <c r="AB201" s="10">
        <f t="shared" ref="AB201:BJ201" si="391">IF(AND($F201&gt;AA$5,$F201 &lt;=AB$5),$G201, 0)</f>
        <v>0</v>
      </c>
      <c r="AC201" s="10">
        <f t="shared" si="391"/>
        <v>0</v>
      </c>
      <c r="AD201" s="10">
        <f t="shared" si="391"/>
        <v>0</v>
      </c>
      <c r="AE201" s="10">
        <f t="shared" si="391"/>
        <v>0</v>
      </c>
      <c r="AF201" s="10">
        <f t="shared" si="391"/>
        <v>0</v>
      </c>
      <c r="AG201" s="10">
        <f t="shared" si="391"/>
        <v>0</v>
      </c>
      <c r="AH201" s="10">
        <f t="shared" si="391"/>
        <v>0</v>
      </c>
      <c r="AI201" s="10">
        <f t="shared" si="391"/>
        <v>0</v>
      </c>
      <c r="AJ201" s="10">
        <f t="shared" si="391"/>
        <v>0</v>
      </c>
      <c r="AK201" s="10">
        <f t="shared" si="391"/>
        <v>0</v>
      </c>
      <c r="AL201" s="10">
        <f t="shared" si="391"/>
        <v>0</v>
      </c>
      <c r="AM201" s="10">
        <f t="shared" si="391"/>
        <v>0</v>
      </c>
      <c r="AN201" s="10">
        <f t="shared" si="391"/>
        <v>0</v>
      </c>
      <c r="AO201" s="10">
        <f t="shared" si="391"/>
        <v>0</v>
      </c>
      <c r="AP201" s="10">
        <f t="shared" si="391"/>
        <v>0</v>
      </c>
      <c r="AQ201" s="10">
        <f t="shared" si="391"/>
        <v>0</v>
      </c>
      <c r="AR201" s="10">
        <f t="shared" si="391"/>
        <v>0</v>
      </c>
      <c r="AS201" s="10">
        <f t="shared" si="391"/>
        <v>0</v>
      </c>
      <c r="AT201" s="10">
        <f t="shared" si="391"/>
        <v>0</v>
      </c>
      <c r="AU201" s="10">
        <f t="shared" si="391"/>
        <v>0</v>
      </c>
      <c r="AV201" s="10">
        <f t="shared" si="391"/>
        <v>0</v>
      </c>
      <c r="AW201" s="10">
        <f t="shared" si="391"/>
        <v>0</v>
      </c>
      <c r="AX201" s="10">
        <f t="shared" si="391"/>
        <v>0</v>
      </c>
      <c r="AY201" s="10">
        <f t="shared" si="391"/>
        <v>0</v>
      </c>
      <c r="AZ201" s="10">
        <f t="shared" si="391"/>
        <v>0</v>
      </c>
      <c r="BA201" s="10">
        <f t="shared" si="391"/>
        <v>0</v>
      </c>
      <c r="BB201" s="10">
        <f t="shared" si="391"/>
        <v>0</v>
      </c>
      <c r="BC201" s="10">
        <f t="shared" si="391"/>
        <v>0</v>
      </c>
      <c r="BD201" s="10">
        <f t="shared" si="391"/>
        <v>0</v>
      </c>
      <c r="BE201" s="10">
        <f t="shared" si="391"/>
        <v>0</v>
      </c>
      <c r="BF201" s="10">
        <f t="shared" si="391"/>
        <v>0</v>
      </c>
      <c r="BG201" s="10">
        <f t="shared" si="391"/>
        <v>0</v>
      </c>
      <c r="BH201" s="10">
        <f t="shared" si="391"/>
        <v>0</v>
      </c>
      <c r="BI201" s="10">
        <f t="shared" si="391"/>
        <v>0</v>
      </c>
      <c r="BJ201" s="10">
        <f t="shared" si="391"/>
        <v>0</v>
      </c>
      <c r="BK201" s="1"/>
      <c r="BL201" s="1"/>
      <c r="BM201" s="1"/>
      <c r="BN201" s="1"/>
      <c r="BO201" s="1"/>
      <c r="BP201" s="1"/>
      <c r="BQ201" s="1"/>
      <c r="BR201" s="1"/>
      <c r="BS201" s="1"/>
      <c r="BT201" s="1"/>
      <c r="BU201" s="1"/>
      <c r="BV201" s="1"/>
      <c r="BX201" s="12">
        <f t="shared" si="368"/>
        <v>0</v>
      </c>
      <c r="BY201" s="10">
        <f t="shared" ref="BY201:CI201" si="392">IF(AND($F201&gt;BX$5,$F201 &lt;=BY$5),$G201, 0)</f>
        <v>0</v>
      </c>
      <c r="BZ201" s="10">
        <f t="shared" si="392"/>
        <v>0</v>
      </c>
      <c r="CA201" s="10">
        <f t="shared" si="392"/>
        <v>0</v>
      </c>
      <c r="CB201" s="10">
        <f t="shared" si="392"/>
        <v>0</v>
      </c>
      <c r="CC201" s="10">
        <f t="shared" si="392"/>
        <v>0</v>
      </c>
      <c r="CD201" s="10">
        <f t="shared" si="392"/>
        <v>0</v>
      </c>
      <c r="CE201" s="10">
        <f t="shared" si="392"/>
        <v>0</v>
      </c>
      <c r="CF201" s="10">
        <f t="shared" si="392"/>
        <v>0</v>
      </c>
      <c r="CG201" s="10">
        <f t="shared" si="392"/>
        <v>0</v>
      </c>
      <c r="CH201" s="10">
        <f t="shared" si="392"/>
        <v>0</v>
      </c>
      <c r="CI201" s="10">
        <f t="shared" si="392"/>
        <v>0</v>
      </c>
      <c r="CK201" s="11"/>
      <c r="CM201" s="11"/>
      <c r="CW201" s="7">
        <f t="shared" si="370"/>
        <v>0</v>
      </c>
      <c r="CX201" s="7">
        <f t="shared" si="371"/>
        <v>0</v>
      </c>
      <c r="CY201" s="7">
        <f t="shared" si="372"/>
        <v>0</v>
      </c>
      <c r="CZ201" s="650"/>
      <c r="DA201" s="35"/>
      <c r="DB201" s="215">
        <f t="shared" si="373"/>
        <v>0</v>
      </c>
      <c r="DC201" s="215">
        <f t="shared" si="374"/>
        <v>0</v>
      </c>
      <c r="DD201" s="215">
        <f t="shared" si="375"/>
        <v>0</v>
      </c>
      <c r="DE201" s="215">
        <f t="shared" si="376"/>
        <v>0</v>
      </c>
      <c r="DF201" s="215">
        <f t="shared" si="377"/>
        <v>0</v>
      </c>
      <c r="DG201" s="215">
        <f t="shared" si="378"/>
        <v>0</v>
      </c>
      <c r="DH201" s="215">
        <f t="shared" si="379"/>
        <v>0</v>
      </c>
      <c r="DI201" s="35"/>
      <c r="DJ201">
        <v>0</v>
      </c>
      <c r="DK201">
        <v>0</v>
      </c>
      <c r="DL201" s="35"/>
      <c r="EZ201" s="12" t="str">
        <f t="shared" si="380"/>
        <v/>
      </c>
    </row>
    <row r="202" spans="1:156" x14ac:dyDescent="0.35">
      <c r="A202" s="220" cm="1">
        <f t="array" aca="1" ref="A202" ca="1">HYPERLINK(CONCATENATE("#",CELL("address",IF(MAX($CM202:$CZ202)=0,A202,INDEX($CM202:$CZ202,MATCH(1,$CM202:$CZ202,0))))),MAX($CM202:$CZ202))</f>
        <v>0</v>
      </c>
      <c r="C202" s="253"/>
      <c r="D202" s="106">
        <f t="shared" si="362"/>
        <v>0</v>
      </c>
      <c r="E202" s="106">
        <f t="shared" si="362"/>
        <v>0</v>
      </c>
      <c r="F202" s="117" t="str">
        <f t="shared" si="363"/>
        <v/>
      </c>
      <c r="G202" s="10">
        <f t="shared" si="364"/>
        <v>0</v>
      </c>
      <c r="H202" t="s">
        <v>403</v>
      </c>
      <c r="V202" s="12">
        <f>IF(AND($F202&gt;=Timeline!$V$8,$F202 &lt;=V$5),$G202, 0)</f>
        <v>0</v>
      </c>
      <c r="W202" s="10">
        <f t="shared" si="365"/>
        <v>0</v>
      </c>
      <c r="X202" s="10">
        <f t="shared" si="365"/>
        <v>0</v>
      </c>
      <c r="Y202" s="10">
        <f t="shared" si="365"/>
        <v>0</v>
      </c>
      <c r="AA202" s="12">
        <f t="shared" si="366"/>
        <v>0</v>
      </c>
      <c r="AB202" s="10">
        <f t="shared" ref="AB202:BJ202" si="393">IF(AND($F202&gt;AA$5,$F202 &lt;=AB$5),$G202, 0)</f>
        <v>0</v>
      </c>
      <c r="AC202" s="10">
        <f t="shared" si="393"/>
        <v>0</v>
      </c>
      <c r="AD202" s="10">
        <f t="shared" si="393"/>
        <v>0</v>
      </c>
      <c r="AE202" s="10">
        <f t="shared" si="393"/>
        <v>0</v>
      </c>
      <c r="AF202" s="10">
        <f t="shared" si="393"/>
        <v>0</v>
      </c>
      <c r="AG202" s="10">
        <f t="shared" si="393"/>
        <v>0</v>
      </c>
      <c r="AH202" s="10">
        <f t="shared" si="393"/>
        <v>0</v>
      </c>
      <c r="AI202" s="10">
        <f t="shared" si="393"/>
        <v>0</v>
      </c>
      <c r="AJ202" s="10">
        <f t="shared" si="393"/>
        <v>0</v>
      </c>
      <c r="AK202" s="10">
        <f t="shared" si="393"/>
        <v>0</v>
      </c>
      <c r="AL202" s="10">
        <f t="shared" si="393"/>
        <v>0</v>
      </c>
      <c r="AM202" s="10">
        <f t="shared" si="393"/>
        <v>0</v>
      </c>
      <c r="AN202" s="10">
        <f t="shared" si="393"/>
        <v>0</v>
      </c>
      <c r="AO202" s="10">
        <f t="shared" si="393"/>
        <v>0</v>
      </c>
      <c r="AP202" s="10">
        <f t="shared" si="393"/>
        <v>0</v>
      </c>
      <c r="AQ202" s="10">
        <f t="shared" si="393"/>
        <v>0</v>
      </c>
      <c r="AR202" s="10">
        <f t="shared" si="393"/>
        <v>0</v>
      </c>
      <c r="AS202" s="10">
        <f t="shared" si="393"/>
        <v>0</v>
      </c>
      <c r="AT202" s="10">
        <f t="shared" si="393"/>
        <v>0</v>
      </c>
      <c r="AU202" s="10">
        <f t="shared" si="393"/>
        <v>0</v>
      </c>
      <c r="AV202" s="10">
        <f t="shared" si="393"/>
        <v>0</v>
      </c>
      <c r="AW202" s="10">
        <f t="shared" si="393"/>
        <v>0</v>
      </c>
      <c r="AX202" s="10">
        <f t="shared" si="393"/>
        <v>0</v>
      </c>
      <c r="AY202" s="10">
        <f t="shared" si="393"/>
        <v>0</v>
      </c>
      <c r="AZ202" s="10">
        <f t="shared" si="393"/>
        <v>0</v>
      </c>
      <c r="BA202" s="10">
        <f t="shared" si="393"/>
        <v>0</v>
      </c>
      <c r="BB202" s="10">
        <f t="shared" si="393"/>
        <v>0</v>
      </c>
      <c r="BC202" s="10">
        <f t="shared" si="393"/>
        <v>0</v>
      </c>
      <c r="BD202" s="10">
        <f t="shared" si="393"/>
        <v>0</v>
      </c>
      <c r="BE202" s="10">
        <f t="shared" si="393"/>
        <v>0</v>
      </c>
      <c r="BF202" s="10">
        <f t="shared" si="393"/>
        <v>0</v>
      </c>
      <c r="BG202" s="10">
        <f t="shared" si="393"/>
        <v>0</v>
      </c>
      <c r="BH202" s="10">
        <f t="shared" si="393"/>
        <v>0</v>
      </c>
      <c r="BI202" s="10">
        <f t="shared" si="393"/>
        <v>0</v>
      </c>
      <c r="BJ202" s="10">
        <f t="shared" si="393"/>
        <v>0</v>
      </c>
      <c r="BK202" s="1"/>
      <c r="BL202" s="1"/>
      <c r="BM202" s="1"/>
      <c r="BN202" s="1"/>
      <c r="BO202" s="1"/>
      <c r="BP202" s="1"/>
      <c r="BQ202" s="1"/>
      <c r="BR202" s="1"/>
      <c r="BS202" s="1"/>
      <c r="BT202" s="1"/>
      <c r="BU202" s="1"/>
      <c r="BV202" s="1"/>
      <c r="BX202" s="12">
        <f t="shared" si="368"/>
        <v>0</v>
      </c>
      <c r="BY202" s="10">
        <f t="shared" ref="BY202:CI202" si="394">IF(AND($F202&gt;BX$5,$F202 &lt;=BY$5),$G202, 0)</f>
        <v>0</v>
      </c>
      <c r="BZ202" s="10">
        <f t="shared" si="394"/>
        <v>0</v>
      </c>
      <c r="CA202" s="10">
        <f t="shared" si="394"/>
        <v>0</v>
      </c>
      <c r="CB202" s="10">
        <f t="shared" si="394"/>
        <v>0</v>
      </c>
      <c r="CC202" s="10">
        <f t="shared" si="394"/>
        <v>0</v>
      </c>
      <c r="CD202" s="10">
        <f t="shared" si="394"/>
        <v>0</v>
      </c>
      <c r="CE202" s="10">
        <f t="shared" si="394"/>
        <v>0</v>
      </c>
      <c r="CF202" s="10">
        <f t="shared" si="394"/>
        <v>0</v>
      </c>
      <c r="CG202" s="10">
        <f t="shared" si="394"/>
        <v>0</v>
      </c>
      <c r="CH202" s="10">
        <f t="shared" si="394"/>
        <v>0</v>
      </c>
      <c r="CI202" s="10">
        <f t="shared" si="394"/>
        <v>0</v>
      </c>
      <c r="CK202" s="11"/>
      <c r="CM202" s="11"/>
      <c r="CW202" s="7">
        <f t="shared" si="370"/>
        <v>0</v>
      </c>
      <c r="CX202" s="7">
        <f t="shared" si="371"/>
        <v>0</v>
      </c>
      <c r="CY202" s="7">
        <f t="shared" si="372"/>
        <v>0</v>
      </c>
      <c r="CZ202" s="650"/>
      <c r="DA202" s="35"/>
      <c r="DB202" s="215">
        <f t="shared" si="373"/>
        <v>0</v>
      </c>
      <c r="DC202" s="215">
        <f t="shared" si="374"/>
        <v>0</v>
      </c>
      <c r="DD202" s="215">
        <f t="shared" si="375"/>
        <v>0</v>
      </c>
      <c r="DE202" s="215">
        <f t="shared" si="376"/>
        <v>0</v>
      </c>
      <c r="DF202" s="215">
        <f t="shared" si="377"/>
        <v>0</v>
      </c>
      <c r="DG202" s="215">
        <f t="shared" si="378"/>
        <v>0</v>
      </c>
      <c r="DH202" s="215">
        <f t="shared" si="379"/>
        <v>0</v>
      </c>
      <c r="DI202" s="35"/>
      <c r="DJ202">
        <v>0</v>
      </c>
      <c r="DK202">
        <v>0</v>
      </c>
      <c r="DL202" s="35"/>
      <c r="EZ202" s="12" t="str">
        <f t="shared" si="380"/>
        <v/>
      </c>
    </row>
    <row r="203" spans="1:156" x14ac:dyDescent="0.35">
      <c r="A203" s="220" cm="1">
        <f t="array" aca="1" ref="A203" ca="1">HYPERLINK(CONCATENATE("#",CELL("address",IF(MAX($CM203:$CZ203)=0,A203,INDEX($CM203:$CZ203,MATCH(1,$CM203:$CZ203,0))))),MAX($CM203:$CZ203))</f>
        <v>0</v>
      </c>
      <c r="C203" s="253"/>
      <c r="D203" s="106">
        <f t="shared" si="362"/>
        <v>0</v>
      </c>
      <c r="E203" s="106">
        <f t="shared" si="362"/>
        <v>0</v>
      </c>
      <c r="F203" s="117" t="str">
        <f t="shared" si="363"/>
        <v/>
      </c>
      <c r="G203" s="10">
        <f t="shared" si="364"/>
        <v>0</v>
      </c>
      <c r="H203" t="s">
        <v>403</v>
      </c>
      <c r="V203" s="12">
        <f>IF(AND($F203&gt;=Timeline!$V$8,$F203 &lt;=V$5),$G203, 0)</f>
        <v>0</v>
      </c>
      <c r="W203" s="10">
        <f t="shared" si="365"/>
        <v>0</v>
      </c>
      <c r="X203" s="10">
        <f t="shared" si="365"/>
        <v>0</v>
      </c>
      <c r="Y203" s="10">
        <f t="shared" si="365"/>
        <v>0</v>
      </c>
      <c r="AA203" s="12">
        <f t="shared" si="366"/>
        <v>0</v>
      </c>
      <c r="AB203" s="10">
        <f t="shared" ref="AB203:BJ203" si="395">IF(AND($F203&gt;AA$5,$F203 &lt;=AB$5),$G203, 0)</f>
        <v>0</v>
      </c>
      <c r="AC203" s="10">
        <f t="shared" si="395"/>
        <v>0</v>
      </c>
      <c r="AD203" s="10">
        <f t="shared" si="395"/>
        <v>0</v>
      </c>
      <c r="AE203" s="10">
        <f t="shared" si="395"/>
        <v>0</v>
      </c>
      <c r="AF203" s="10">
        <f t="shared" si="395"/>
        <v>0</v>
      </c>
      <c r="AG203" s="10">
        <f t="shared" si="395"/>
        <v>0</v>
      </c>
      <c r="AH203" s="10">
        <f t="shared" si="395"/>
        <v>0</v>
      </c>
      <c r="AI203" s="10">
        <f t="shared" si="395"/>
        <v>0</v>
      </c>
      <c r="AJ203" s="10">
        <f t="shared" si="395"/>
        <v>0</v>
      </c>
      <c r="AK203" s="10">
        <f t="shared" si="395"/>
        <v>0</v>
      </c>
      <c r="AL203" s="10">
        <f t="shared" si="395"/>
        <v>0</v>
      </c>
      <c r="AM203" s="10">
        <f t="shared" si="395"/>
        <v>0</v>
      </c>
      <c r="AN203" s="10">
        <f t="shared" si="395"/>
        <v>0</v>
      </c>
      <c r="AO203" s="10">
        <f t="shared" si="395"/>
        <v>0</v>
      </c>
      <c r="AP203" s="10">
        <f t="shared" si="395"/>
        <v>0</v>
      </c>
      <c r="AQ203" s="10">
        <f t="shared" si="395"/>
        <v>0</v>
      </c>
      <c r="AR203" s="10">
        <f t="shared" si="395"/>
        <v>0</v>
      </c>
      <c r="AS203" s="10">
        <f t="shared" si="395"/>
        <v>0</v>
      </c>
      <c r="AT203" s="10">
        <f t="shared" si="395"/>
        <v>0</v>
      </c>
      <c r="AU203" s="10">
        <f t="shared" si="395"/>
        <v>0</v>
      </c>
      <c r="AV203" s="10">
        <f t="shared" si="395"/>
        <v>0</v>
      </c>
      <c r="AW203" s="10">
        <f t="shared" si="395"/>
        <v>0</v>
      </c>
      <c r="AX203" s="10">
        <f t="shared" si="395"/>
        <v>0</v>
      </c>
      <c r="AY203" s="10">
        <f t="shared" si="395"/>
        <v>0</v>
      </c>
      <c r="AZ203" s="10">
        <f t="shared" si="395"/>
        <v>0</v>
      </c>
      <c r="BA203" s="10">
        <f t="shared" si="395"/>
        <v>0</v>
      </c>
      <c r="BB203" s="10">
        <f t="shared" si="395"/>
        <v>0</v>
      </c>
      <c r="BC203" s="10">
        <f t="shared" si="395"/>
        <v>0</v>
      </c>
      <c r="BD203" s="10">
        <f t="shared" si="395"/>
        <v>0</v>
      </c>
      <c r="BE203" s="10">
        <f t="shared" si="395"/>
        <v>0</v>
      </c>
      <c r="BF203" s="10">
        <f t="shared" si="395"/>
        <v>0</v>
      </c>
      <c r="BG203" s="10">
        <f t="shared" si="395"/>
        <v>0</v>
      </c>
      <c r="BH203" s="10">
        <f t="shared" si="395"/>
        <v>0</v>
      </c>
      <c r="BI203" s="10">
        <f t="shared" si="395"/>
        <v>0</v>
      </c>
      <c r="BJ203" s="10">
        <f t="shared" si="395"/>
        <v>0</v>
      </c>
      <c r="BK203" s="1"/>
      <c r="BL203" s="1"/>
      <c r="BM203" s="1"/>
      <c r="BN203" s="1"/>
      <c r="BO203" s="1"/>
      <c r="BP203" s="1"/>
      <c r="BQ203" s="1"/>
      <c r="BR203" s="1"/>
      <c r="BS203" s="1"/>
      <c r="BT203" s="1"/>
      <c r="BU203" s="1"/>
      <c r="BV203" s="1"/>
      <c r="BX203" s="12">
        <f t="shared" si="368"/>
        <v>0</v>
      </c>
      <c r="BY203" s="10">
        <f t="shared" ref="BY203:CI203" si="396">IF(AND($F203&gt;BX$5,$F203 &lt;=BY$5),$G203, 0)</f>
        <v>0</v>
      </c>
      <c r="BZ203" s="10">
        <f t="shared" si="396"/>
        <v>0</v>
      </c>
      <c r="CA203" s="10">
        <f t="shared" si="396"/>
        <v>0</v>
      </c>
      <c r="CB203" s="10">
        <f t="shared" si="396"/>
        <v>0</v>
      </c>
      <c r="CC203" s="10">
        <f t="shared" si="396"/>
        <v>0</v>
      </c>
      <c r="CD203" s="10">
        <f t="shared" si="396"/>
        <v>0</v>
      </c>
      <c r="CE203" s="10">
        <f t="shared" si="396"/>
        <v>0</v>
      </c>
      <c r="CF203" s="10">
        <f t="shared" si="396"/>
        <v>0</v>
      </c>
      <c r="CG203" s="10">
        <f t="shared" si="396"/>
        <v>0</v>
      </c>
      <c r="CH203" s="10">
        <f t="shared" si="396"/>
        <v>0</v>
      </c>
      <c r="CI203" s="10">
        <f t="shared" si="396"/>
        <v>0</v>
      </c>
      <c r="CK203" s="11"/>
      <c r="CM203" s="11"/>
      <c r="CW203" s="7">
        <f t="shared" si="370"/>
        <v>0</v>
      </c>
      <c r="CX203" s="7">
        <f t="shared" si="371"/>
        <v>0</v>
      </c>
      <c r="CY203" s="7">
        <f t="shared" si="372"/>
        <v>0</v>
      </c>
      <c r="CZ203" s="650"/>
      <c r="DA203" s="35"/>
      <c r="DB203" s="215">
        <f t="shared" si="373"/>
        <v>0</v>
      </c>
      <c r="DC203" s="215">
        <f t="shared" si="374"/>
        <v>0</v>
      </c>
      <c r="DD203" s="215">
        <f t="shared" si="375"/>
        <v>0</v>
      </c>
      <c r="DE203" s="215">
        <f t="shared" si="376"/>
        <v>0</v>
      </c>
      <c r="DF203" s="215">
        <f t="shared" si="377"/>
        <v>0</v>
      </c>
      <c r="DG203" s="215">
        <f t="shared" si="378"/>
        <v>0</v>
      </c>
      <c r="DH203" s="215">
        <f t="shared" si="379"/>
        <v>0</v>
      </c>
      <c r="DI203" s="35"/>
      <c r="DJ203">
        <v>0</v>
      </c>
      <c r="DK203">
        <v>0</v>
      </c>
      <c r="DL203" s="35"/>
      <c r="EZ203" s="12" t="str">
        <f t="shared" si="380"/>
        <v/>
      </c>
    </row>
    <row r="204" spans="1:156" x14ac:dyDescent="0.35">
      <c r="A204" s="220" cm="1">
        <f t="array" aca="1" ref="A204" ca="1">HYPERLINK(CONCATENATE("#",CELL("address",IF(MAX($CM204:$CZ204)=0,A204,INDEX($CM204:$CZ204,MATCH(1,$CM204:$CZ204,0))))),MAX($CM204:$CZ204))</f>
        <v>0</v>
      </c>
      <c r="C204" s="253"/>
      <c r="D204" s="106">
        <f t="shared" si="362"/>
        <v>0</v>
      </c>
      <c r="E204" s="106">
        <f t="shared" si="362"/>
        <v>0</v>
      </c>
      <c r="F204" s="117" t="str">
        <f t="shared" si="363"/>
        <v/>
      </c>
      <c r="G204" s="10">
        <f t="shared" si="364"/>
        <v>0</v>
      </c>
      <c r="H204" t="s">
        <v>403</v>
      </c>
      <c r="V204" s="12">
        <f>IF(AND($F204&gt;=Timeline!$V$8,$F204 &lt;=V$5),$G204, 0)</f>
        <v>0</v>
      </c>
      <c r="W204" s="10">
        <f t="shared" si="365"/>
        <v>0</v>
      </c>
      <c r="X204" s="10">
        <f t="shared" si="365"/>
        <v>0</v>
      </c>
      <c r="Y204" s="10">
        <f t="shared" si="365"/>
        <v>0</v>
      </c>
      <c r="AA204" s="12">
        <f t="shared" si="366"/>
        <v>0</v>
      </c>
      <c r="AB204" s="10">
        <f t="shared" ref="AB204:BJ204" si="397">IF(AND($F204&gt;AA$5,$F204 &lt;=AB$5),$G204, 0)</f>
        <v>0</v>
      </c>
      <c r="AC204" s="10">
        <f t="shared" si="397"/>
        <v>0</v>
      </c>
      <c r="AD204" s="10">
        <f t="shared" si="397"/>
        <v>0</v>
      </c>
      <c r="AE204" s="10">
        <f t="shared" si="397"/>
        <v>0</v>
      </c>
      <c r="AF204" s="10">
        <f t="shared" si="397"/>
        <v>0</v>
      </c>
      <c r="AG204" s="10">
        <f t="shared" si="397"/>
        <v>0</v>
      </c>
      <c r="AH204" s="10">
        <f t="shared" si="397"/>
        <v>0</v>
      </c>
      <c r="AI204" s="10">
        <f t="shared" si="397"/>
        <v>0</v>
      </c>
      <c r="AJ204" s="10">
        <f t="shared" si="397"/>
        <v>0</v>
      </c>
      <c r="AK204" s="10">
        <f t="shared" si="397"/>
        <v>0</v>
      </c>
      <c r="AL204" s="10">
        <f t="shared" si="397"/>
        <v>0</v>
      </c>
      <c r="AM204" s="10">
        <f t="shared" si="397"/>
        <v>0</v>
      </c>
      <c r="AN204" s="10">
        <f t="shared" si="397"/>
        <v>0</v>
      </c>
      <c r="AO204" s="10">
        <f t="shared" si="397"/>
        <v>0</v>
      </c>
      <c r="AP204" s="10">
        <f t="shared" si="397"/>
        <v>0</v>
      </c>
      <c r="AQ204" s="10">
        <f t="shared" si="397"/>
        <v>0</v>
      </c>
      <c r="AR204" s="10">
        <f t="shared" si="397"/>
        <v>0</v>
      </c>
      <c r="AS204" s="10">
        <f t="shared" si="397"/>
        <v>0</v>
      </c>
      <c r="AT204" s="10">
        <f t="shared" si="397"/>
        <v>0</v>
      </c>
      <c r="AU204" s="10">
        <f t="shared" si="397"/>
        <v>0</v>
      </c>
      <c r="AV204" s="10">
        <f t="shared" si="397"/>
        <v>0</v>
      </c>
      <c r="AW204" s="10">
        <f t="shared" si="397"/>
        <v>0</v>
      </c>
      <c r="AX204" s="10">
        <f t="shared" si="397"/>
        <v>0</v>
      </c>
      <c r="AY204" s="10">
        <f t="shared" si="397"/>
        <v>0</v>
      </c>
      <c r="AZ204" s="10">
        <f t="shared" si="397"/>
        <v>0</v>
      </c>
      <c r="BA204" s="10">
        <f t="shared" si="397"/>
        <v>0</v>
      </c>
      <c r="BB204" s="10">
        <f t="shared" si="397"/>
        <v>0</v>
      </c>
      <c r="BC204" s="10">
        <f t="shared" si="397"/>
        <v>0</v>
      </c>
      <c r="BD204" s="10">
        <f t="shared" si="397"/>
        <v>0</v>
      </c>
      <c r="BE204" s="10">
        <f t="shared" si="397"/>
        <v>0</v>
      </c>
      <c r="BF204" s="10">
        <f t="shared" si="397"/>
        <v>0</v>
      </c>
      <c r="BG204" s="10">
        <f t="shared" si="397"/>
        <v>0</v>
      </c>
      <c r="BH204" s="10">
        <f t="shared" si="397"/>
        <v>0</v>
      </c>
      <c r="BI204" s="10">
        <f t="shared" si="397"/>
        <v>0</v>
      </c>
      <c r="BJ204" s="10">
        <f t="shared" si="397"/>
        <v>0</v>
      </c>
      <c r="BK204" s="1"/>
      <c r="BL204" s="1"/>
      <c r="BM204" s="1"/>
      <c r="BN204" s="1"/>
      <c r="BO204" s="1"/>
      <c r="BP204" s="1"/>
      <c r="BQ204" s="1"/>
      <c r="BR204" s="1"/>
      <c r="BS204" s="1"/>
      <c r="BT204" s="1"/>
      <c r="BU204" s="1"/>
      <c r="BV204" s="1"/>
      <c r="BX204" s="12">
        <f t="shared" si="368"/>
        <v>0</v>
      </c>
      <c r="BY204" s="10">
        <f t="shared" ref="BY204:CI204" si="398">IF(AND($F204&gt;BX$5,$F204 &lt;=BY$5),$G204, 0)</f>
        <v>0</v>
      </c>
      <c r="BZ204" s="10">
        <f t="shared" si="398"/>
        <v>0</v>
      </c>
      <c r="CA204" s="10">
        <f t="shared" si="398"/>
        <v>0</v>
      </c>
      <c r="CB204" s="10">
        <f t="shared" si="398"/>
        <v>0</v>
      </c>
      <c r="CC204" s="10">
        <f t="shared" si="398"/>
        <v>0</v>
      </c>
      <c r="CD204" s="10">
        <f t="shared" si="398"/>
        <v>0</v>
      </c>
      <c r="CE204" s="10">
        <f t="shared" si="398"/>
        <v>0</v>
      </c>
      <c r="CF204" s="10">
        <f t="shared" si="398"/>
        <v>0</v>
      </c>
      <c r="CG204" s="10">
        <f t="shared" si="398"/>
        <v>0</v>
      </c>
      <c r="CH204" s="10">
        <f t="shared" si="398"/>
        <v>0</v>
      </c>
      <c r="CI204" s="10">
        <f t="shared" si="398"/>
        <v>0</v>
      </c>
      <c r="CK204" s="11"/>
      <c r="CM204" s="11"/>
      <c r="CW204" s="7">
        <f t="shared" si="370"/>
        <v>0</v>
      </c>
      <c r="CX204" s="7">
        <f t="shared" si="371"/>
        <v>0</v>
      </c>
      <c r="CY204" s="7">
        <f t="shared" si="372"/>
        <v>0</v>
      </c>
      <c r="CZ204" s="650"/>
      <c r="DA204" s="35"/>
      <c r="DB204" s="215">
        <f t="shared" si="373"/>
        <v>0</v>
      </c>
      <c r="DC204" s="215">
        <f t="shared" si="374"/>
        <v>0</v>
      </c>
      <c r="DD204" s="215">
        <f t="shared" si="375"/>
        <v>0</v>
      </c>
      <c r="DE204" s="215">
        <f t="shared" si="376"/>
        <v>0</v>
      </c>
      <c r="DF204" s="215">
        <f t="shared" si="377"/>
        <v>0</v>
      </c>
      <c r="DG204" s="215">
        <f t="shared" si="378"/>
        <v>0</v>
      </c>
      <c r="DH204" s="215">
        <f t="shared" si="379"/>
        <v>0</v>
      </c>
      <c r="DI204" s="35"/>
      <c r="DJ204">
        <v>0</v>
      </c>
      <c r="DK204">
        <v>0</v>
      </c>
      <c r="DL204" s="35"/>
      <c r="EZ204" s="12" t="str">
        <f t="shared" si="380"/>
        <v/>
      </c>
    </row>
    <row r="205" spans="1:156" x14ac:dyDescent="0.35">
      <c r="A205" s="220" cm="1">
        <f t="array" aca="1" ref="A205" ca="1">HYPERLINK(CONCATENATE("#",CELL("address",IF(MAX($CM205:$CZ205)=0,A205,INDEX($CM205:$CZ205,MATCH(1,$CM205:$CZ205,0))))),MAX($CM205:$CZ205))</f>
        <v>0</v>
      </c>
      <c r="C205" s="253"/>
      <c r="D205" s="106">
        <f t="shared" si="362"/>
        <v>0</v>
      </c>
      <c r="E205" s="106">
        <f t="shared" si="362"/>
        <v>0</v>
      </c>
      <c r="F205" s="117" t="str">
        <f t="shared" si="363"/>
        <v/>
      </c>
      <c r="G205" s="10">
        <f t="shared" si="364"/>
        <v>0</v>
      </c>
      <c r="H205" t="s">
        <v>403</v>
      </c>
      <c r="V205" s="12">
        <f>IF(AND($F205&gt;=Timeline!$V$8,$F205 &lt;=V$5),$G205, 0)</f>
        <v>0</v>
      </c>
      <c r="W205" s="10">
        <f t="shared" si="365"/>
        <v>0</v>
      </c>
      <c r="X205" s="10">
        <f t="shared" si="365"/>
        <v>0</v>
      </c>
      <c r="Y205" s="10">
        <f t="shared" si="365"/>
        <v>0</v>
      </c>
      <c r="AA205" s="12">
        <f t="shared" si="366"/>
        <v>0</v>
      </c>
      <c r="AB205" s="10">
        <f t="shared" ref="AB205:BJ205" si="399">IF(AND($F205&gt;AA$5,$F205 &lt;=AB$5),$G205, 0)</f>
        <v>0</v>
      </c>
      <c r="AC205" s="10">
        <f t="shared" si="399"/>
        <v>0</v>
      </c>
      <c r="AD205" s="10">
        <f t="shared" si="399"/>
        <v>0</v>
      </c>
      <c r="AE205" s="10">
        <f t="shared" si="399"/>
        <v>0</v>
      </c>
      <c r="AF205" s="10">
        <f t="shared" si="399"/>
        <v>0</v>
      </c>
      <c r="AG205" s="10">
        <f t="shared" si="399"/>
        <v>0</v>
      </c>
      <c r="AH205" s="10">
        <f t="shared" si="399"/>
        <v>0</v>
      </c>
      <c r="AI205" s="10">
        <f t="shared" si="399"/>
        <v>0</v>
      </c>
      <c r="AJ205" s="10">
        <f t="shared" si="399"/>
        <v>0</v>
      </c>
      <c r="AK205" s="10">
        <f t="shared" si="399"/>
        <v>0</v>
      </c>
      <c r="AL205" s="10">
        <f t="shared" si="399"/>
        <v>0</v>
      </c>
      <c r="AM205" s="10">
        <f t="shared" si="399"/>
        <v>0</v>
      </c>
      <c r="AN205" s="10">
        <f t="shared" si="399"/>
        <v>0</v>
      </c>
      <c r="AO205" s="10">
        <f t="shared" si="399"/>
        <v>0</v>
      </c>
      <c r="AP205" s="10">
        <f t="shared" si="399"/>
        <v>0</v>
      </c>
      <c r="AQ205" s="10">
        <f t="shared" si="399"/>
        <v>0</v>
      </c>
      <c r="AR205" s="10">
        <f t="shared" si="399"/>
        <v>0</v>
      </c>
      <c r="AS205" s="10">
        <f t="shared" si="399"/>
        <v>0</v>
      </c>
      <c r="AT205" s="10">
        <f t="shared" si="399"/>
        <v>0</v>
      </c>
      <c r="AU205" s="10">
        <f t="shared" si="399"/>
        <v>0</v>
      </c>
      <c r="AV205" s="10">
        <f t="shared" si="399"/>
        <v>0</v>
      </c>
      <c r="AW205" s="10">
        <f t="shared" si="399"/>
        <v>0</v>
      </c>
      <c r="AX205" s="10">
        <f t="shared" si="399"/>
        <v>0</v>
      </c>
      <c r="AY205" s="10">
        <f t="shared" si="399"/>
        <v>0</v>
      </c>
      <c r="AZ205" s="10">
        <f t="shared" si="399"/>
        <v>0</v>
      </c>
      <c r="BA205" s="10">
        <f t="shared" si="399"/>
        <v>0</v>
      </c>
      <c r="BB205" s="10">
        <f t="shared" si="399"/>
        <v>0</v>
      </c>
      <c r="BC205" s="10">
        <f t="shared" si="399"/>
        <v>0</v>
      </c>
      <c r="BD205" s="10">
        <f t="shared" si="399"/>
        <v>0</v>
      </c>
      <c r="BE205" s="10">
        <f t="shared" si="399"/>
        <v>0</v>
      </c>
      <c r="BF205" s="10">
        <f t="shared" si="399"/>
        <v>0</v>
      </c>
      <c r="BG205" s="10">
        <f t="shared" si="399"/>
        <v>0</v>
      </c>
      <c r="BH205" s="10">
        <f t="shared" si="399"/>
        <v>0</v>
      </c>
      <c r="BI205" s="10">
        <f t="shared" si="399"/>
        <v>0</v>
      </c>
      <c r="BJ205" s="10">
        <f t="shared" si="399"/>
        <v>0</v>
      </c>
      <c r="BK205" s="1"/>
      <c r="BL205" s="1"/>
      <c r="BM205" s="1"/>
      <c r="BN205" s="1"/>
      <c r="BO205" s="1"/>
      <c r="BP205" s="1"/>
      <c r="BQ205" s="1"/>
      <c r="BR205" s="1"/>
      <c r="BS205" s="1"/>
      <c r="BT205" s="1"/>
      <c r="BU205" s="1"/>
      <c r="BV205" s="1"/>
      <c r="BX205" s="12">
        <f t="shared" si="368"/>
        <v>0</v>
      </c>
      <c r="BY205" s="10">
        <f t="shared" ref="BY205:CI205" si="400">IF(AND($F205&gt;BX$5,$F205 &lt;=BY$5),$G205, 0)</f>
        <v>0</v>
      </c>
      <c r="BZ205" s="10">
        <f t="shared" si="400"/>
        <v>0</v>
      </c>
      <c r="CA205" s="10">
        <f t="shared" si="400"/>
        <v>0</v>
      </c>
      <c r="CB205" s="10">
        <f t="shared" si="400"/>
        <v>0</v>
      </c>
      <c r="CC205" s="10">
        <f t="shared" si="400"/>
        <v>0</v>
      </c>
      <c r="CD205" s="10">
        <f t="shared" si="400"/>
        <v>0</v>
      </c>
      <c r="CE205" s="10">
        <f t="shared" si="400"/>
        <v>0</v>
      </c>
      <c r="CF205" s="10">
        <f t="shared" si="400"/>
        <v>0</v>
      </c>
      <c r="CG205" s="10">
        <f t="shared" si="400"/>
        <v>0</v>
      </c>
      <c r="CH205" s="10">
        <f t="shared" si="400"/>
        <v>0</v>
      </c>
      <c r="CI205" s="10">
        <f t="shared" si="400"/>
        <v>0</v>
      </c>
      <c r="CK205" s="11"/>
      <c r="CM205" s="11"/>
      <c r="CW205" s="7">
        <f t="shared" si="370"/>
        <v>0</v>
      </c>
      <c r="CX205" s="7">
        <f t="shared" si="371"/>
        <v>0</v>
      </c>
      <c r="CY205" s="7">
        <f t="shared" si="372"/>
        <v>0</v>
      </c>
      <c r="CZ205" s="650"/>
      <c r="DA205" s="35"/>
      <c r="DB205" s="215">
        <f t="shared" si="373"/>
        <v>0</v>
      </c>
      <c r="DC205" s="215">
        <f t="shared" si="374"/>
        <v>0</v>
      </c>
      <c r="DD205" s="215">
        <f t="shared" si="375"/>
        <v>0</v>
      </c>
      <c r="DE205" s="215">
        <f t="shared" si="376"/>
        <v>0</v>
      </c>
      <c r="DF205" s="215">
        <f t="shared" si="377"/>
        <v>0</v>
      </c>
      <c r="DG205" s="215">
        <f t="shared" si="378"/>
        <v>0</v>
      </c>
      <c r="DH205" s="215">
        <f t="shared" si="379"/>
        <v>0</v>
      </c>
      <c r="DI205" s="35"/>
      <c r="DJ205">
        <v>0</v>
      </c>
      <c r="DK205">
        <v>0</v>
      </c>
      <c r="DL205" s="35"/>
      <c r="EZ205" s="12" t="str">
        <f t="shared" si="380"/>
        <v/>
      </c>
    </row>
    <row r="206" spans="1:156" x14ac:dyDescent="0.35">
      <c r="A206" s="220" cm="1">
        <f t="array" aca="1" ref="A206" ca="1">HYPERLINK(CONCATENATE("#",CELL("address",IF(MAX($CM206:$CZ206)=0,A206,INDEX($CM206:$CZ206,MATCH(1,$CM206:$CZ206,0))))),MAX($CM206:$CZ206))</f>
        <v>0</v>
      </c>
      <c r="C206" s="253"/>
      <c r="D206" s="106">
        <f t="shared" si="362"/>
        <v>0</v>
      </c>
      <c r="E206" s="106">
        <f t="shared" si="362"/>
        <v>0</v>
      </c>
      <c r="F206" s="117" t="str">
        <f t="shared" si="363"/>
        <v/>
      </c>
      <c r="G206" s="10">
        <f t="shared" si="364"/>
        <v>0</v>
      </c>
      <c r="H206" t="s">
        <v>403</v>
      </c>
      <c r="V206" s="12">
        <f>IF(AND($F206&gt;=Timeline!$V$8,$F206 &lt;=V$5),$G206, 0)</f>
        <v>0</v>
      </c>
      <c r="W206" s="10">
        <f t="shared" si="365"/>
        <v>0</v>
      </c>
      <c r="X206" s="10">
        <f t="shared" si="365"/>
        <v>0</v>
      </c>
      <c r="Y206" s="10">
        <f t="shared" si="365"/>
        <v>0</v>
      </c>
      <c r="AA206" s="12">
        <f t="shared" si="366"/>
        <v>0</v>
      </c>
      <c r="AB206" s="10">
        <f t="shared" ref="AB206:BJ206" si="401">IF(AND($F206&gt;AA$5,$F206 &lt;=AB$5),$G206, 0)</f>
        <v>0</v>
      </c>
      <c r="AC206" s="10">
        <f t="shared" si="401"/>
        <v>0</v>
      </c>
      <c r="AD206" s="10">
        <f t="shared" si="401"/>
        <v>0</v>
      </c>
      <c r="AE206" s="10">
        <f t="shared" si="401"/>
        <v>0</v>
      </c>
      <c r="AF206" s="10">
        <f t="shared" si="401"/>
        <v>0</v>
      </c>
      <c r="AG206" s="10">
        <f t="shared" si="401"/>
        <v>0</v>
      </c>
      <c r="AH206" s="10">
        <f t="shared" si="401"/>
        <v>0</v>
      </c>
      <c r="AI206" s="10">
        <f t="shared" si="401"/>
        <v>0</v>
      </c>
      <c r="AJ206" s="10">
        <f t="shared" si="401"/>
        <v>0</v>
      </c>
      <c r="AK206" s="10">
        <f t="shared" si="401"/>
        <v>0</v>
      </c>
      <c r="AL206" s="10">
        <f t="shared" si="401"/>
        <v>0</v>
      </c>
      <c r="AM206" s="10">
        <f t="shared" si="401"/>
        <v>0</v>
      </c>
      <c r="AN206" s="10">
        <f t="shared" si="401"/>
        <v>0</v>
      </c>
      <c r="AO206" s="10">
        <f t="shared" si="401"/>
        <v>0</v>
      </c>
      <c r="AP206" s="10">
        <f t="shared" si="401"/>
        <v>0</v>
      </c>
      <c r="AQ206" s="10">
        <f t="shared" si="401"/>
        <v>0</v>
      </c>
      <c r="AR206" s="10">
        <f t="shared" si="401"/>
        <v>0</v>
      </c>
      <c r="AS206" s="10">
        <f t="shared" si="401"/>
        <v>0</v>
      </c>
      <c r="AT206" s="10">
        <f t="shared" si="401"/>
        <v>0</v>
      </c>
      <c r="AU206" s="10">
        <f t="shared" si="401"/>
        <v>0</v>
      </c>
      <c r="AV206" s="10">
        <f t="shared" si="401"/>
        <v>0</v>
      </c>
      <c r="AW206" s="10">
        <f t="shared" si="401"/>
        <v>0</v>
      </c>
      <c r="AX206" s="10">
        <f t="shared" si="401"/>
        <v>0</v>
      </c>
      <c r="AY206" s="10">
        <f t="shared" si="401"/>
        <v>0</v>
      </c>
      <c r="AZ206" s="10">
        <f t="shared" si="401"/>
        <v>0</v>
      </c>
      <c r="BA206" s="10">
        <f t="shared" si="401"/>
        <v>0</v>
      </c>
      <c r="BB206" s="10">
        <f t="shared" si="401"/>
        <v>0</v>
      </c>
      <c r="BC206" s="10">
        <f t="shared" si="401"/>
        <v>0</v>
      </c>
      <c r="BD206" s="10">
        <f t="shared" si="401"/>
        <v>0</v>
      </c>
      <c r="BE206" s="10">
        <f t="shared" si="401"/>
        <v>0</v>
      </c>
      <c r="BF206" s="10">
        <f t="shared" si="401"/>
        <v>0</v>
      </c>
      <c r="BG206" s="10">
        <f t="shared" si="401"/>
        <v>0</v>
      </c>
      <c r="BH206" s="10">
        <f t="shared" si="401"/>
        <v>0</v>
      </c>
      <c r="BI206" s="10">
        <f t="shared" si="401"/>
        <v>0</v>
      </c>
      <c r="BJ206" s="10">
        <f t="shared" si="401"/>
        <v>0</v>
      </c>
      <c r="BK206" s="1"/>
      <c r="BL206" s="1"/>
      <c r="BM206" s="1"/>
      <c r="BN206" s="1"/>
      <c r="BO206" s="1"/>
      <c r="BP206" s="1"/>
      <c r="BQ206" s="1"/>
      <c r="BR206" s="1"/>
      <c r="BS206" s="1"/>
      <c r="BT206" s="1"/>
      <c r="BU206" s="1"/>
      <c r="BV206" s="1"/>
      <c r="BX206" s="12">
        <f t="shared" si="368"/>
        <v>0</v>
      </c>
      <c r="BY206" s="10">
        <f t="shared" ref="BY206:CI206" si="402">IF(AND($F206&gt;BX$5,$F206 &lt;=BY$5),$G206, 0)</f>
        <v>0</v>
      </c>
      <c r="BZ206" s="10">
        <f t="shared" si="402"/>
        <v>0</v>
      </c>
      <c r="CA206" s="10">
        <f t="shared" si="402"/>
        <v>0</v>
      </c>
      <c r="CB206" s="10">
        <f t="shared" si="402"/>
        <v>0</v>
      </c>
      <c r="CC206" s="10">
        <f t="shared" si="402"/>
        <v>0</v>
      </c>
      <c r="CD206" s="10">
        <f t="shared" si="402"/>
        <v>0</v>
      </c>
      <c r="CE206" s="10">
        <f t="shared" si="402"/>
        <v>0</v>
      </c>
      <c r="CF206" s="10">
        <f t="shared" si="402"/>
        <v>0</v>
      </c>
      <c r="CG206" s="10">
        <f t="shared" si="402"/>
        <v>0</v>
      </c>
      <c r="CH206" s="10">
        <f t="shared" si="402"/>
        <v>0</v>
      </c>
      <c r="CI206" s="10">
        <f t="shared" si="402"/>
        <v>0</v>
      </c>
      <c r="CK206" s="11"/>
      <c r="CM206" s="11"/>
      <c r="CW206" s="7">
        <f t="shared" si="370"/>
        <v>0</v>
      </c>
      <c r="CX206" s="7">
        <f t="shared" si="371"/>
        <v>0</v>
      </c>
      <c r="CY206" s="7">
        <f t="shared" si="372"/>
        <v>0</v>
      </c>
      <c r="CZ206" s="650"/>
      <c r="DA206" s="35"/>
      <c r="DB206" s="215">
        <f t="shared" si="373"/>
        <v>0</v>
      </c>
      <c r="DC206" s="215">
        <f t="shared" si="374"/>
        <v>0</v>
      </c>
      <c r="DD206" s="215">
        <f t="shared" si="375"/>
        <v>0</v>
      </c>
      <c r="DE206" s="215">
        <f t="shared" si="376"/>
        <v>0</v>
      </c>
      <c r="DF206" s="215">
        <f t="shared" si="377"/>
        <v>0</v>
      </c>
      <c r="DG206" s="215">
        <f t="shared" si="378"/>
        <v>0</v>
      </c>
      <c r="DH206" s="215">
        <f t="shared" si="379"/>
        <v>0</v>
      </c>
      <c r="DI206" s="35"/>
      <c r="DJ206">
        <v>0</v>
      </c>
      <c r="DK206">
        <v>0</v>
      </c>
      <c r="DL206" s="35"/>
      <c r="EZ206" s="12" t="str">
        <f t="shared" si="380"/>
        <v/>
      </c>
    </row>
    <row r="207" spans="1:156" x14ac:dyDescent="0.35">
      <c r="A207" s="220" cm="1">
        <f t="array" aca="1" ref="A207" ca="1">HYPERLINK(CONCATENATE("#",CELL("address",IF(MAX($CM207:$CZ207)=0,A207,INDEX($CM207:$CZ207,MATCH(1,$CM207:$CZ207,0))))),MAX($CM207:$CZ207))</f>
        <v>0</v>
      </c>
      <c r="C207" s="253"/>
      <c r="D207" s="106">
        <f t="shared" si="362"/>
        <v>0</v>
      </c>
      <c r="E207" s="106">
        <f t="shared" si="362"/>
        <v>0</v>
      </c>
      <c r="F207" s="117" t="str">
        <f t="shared" si="363"/>
        <v/>
      </c>
      <c r="G207" s="10">
        <f t="shared" si="364"/>
        <v>0</v>
      </c>
      <c r="H207" t="s">
        <v>403</v>
      </c>
      <c r="V207" s="12">
        <f>IF(AND($F207&gt;=Timeline!$V$8,$F207 &lt;=V$5),$G207, 0)</f>
        <v>0</v>
      </c>
      <c r="W207" s="10">
        <f t="shared" si="365"/>
        <v>0</v>
      </c>
      <c r="X207" s="10">
        <f t="shared" si="365"/>
        <v>0</v>
      </c>
      <c r="Y207" s="10">
        <f t="shared" si="365"/>
        <v>0</v>
      </c>
      <c r="AA207" s="12">
        <f t="shared" si="366"/>
        <v>0</v>
      </c>
      <c r="AB207" s="10">
        <f t="shared" ref="AB207:BJ207" si="403">IF(AND($F207&gt;AA$5,$F207 &lt;=AB$5),$G207, 0)</f>
        <v>0</v>
      </c>
      <c r="AC207" s="10">
        <f t="shared" si="403"/>
        <v>0</v>
      </c>
      <c r="AD207" s="10">
        <f t="shared" si="403"/>
        <v>0</v>
      </c>
      <c r="AE207" s="10">
        <f t="shared" si="403"/>
        <v>0</v>
      </c>
      <c r="AF207" s="10">
        <f t="shared" si="403"/>
        <v>0</v>
      </c>
      <c r="AG207" s="10">
        <f t="shared" si="403"/>
        <v>0</v>
      </c>
      <c r="AH207" s="10">
        <f t="shared" si="403"/>
        <v>0</v>
      </c>
      <c r="AI207" s="10">
        <f t="shared" si="403"/>
        <v>0</v>
      </c>
      <c r="AJ207" s="10">
        <f t="shared" si="403"/>
        <v>0</v>
      </c>
      <c r="AK207" s="10">
        <f t="shared" si="403"/>
        <v>0</v>
      </c>
      <c r="AL207" s="10">
        <f t="shared" si="403"/>
        <v>0</v>
      </c>
      <c r="AM207" s="10">
        <f t="shared" si="403"/>
        <v>0</v>
      </c>
      <c r="AN207" s="10">
        <f t="shared" si="403"/>
        <v>0</v>
      </c>
      <c r="AO207" s="10">
        <f t="shared" si="403"/>
        <v>0</v>
      </c>
      <c r="AP207" s="10">
        <f t="shared" si="403"/>
        <v>0</v>
      </c>
      <c r="AQ207" s="10">
        <f t="shared" si="403"/>
        <v>0</v>
      </c>
      <c r="AR207" s="10">
        <f t="shared" si="403"/>
        <v>0</v>
      </c>
      <c r="AS207" s="10">
        <f t="shared" si="403"/>
        <v>0</v>
      </c>
      <c r="AT207" s="10">
        <f t="shared" si="403"/>
        <v>0</v>
      </c>
      <c r="AU207" s="10">
        <f t="shared" si="403"/>
        <v>0</v>
      </c>
      <c r="AV207" s="10">
        <f t="shared" si="403"/>
        <v>0</v>
      </c>
      <c r="AW207" s="10">
        <f t="shared" si="403"/>
        <v>0</v>
      </c>
      <c r="AX207" s="10">
        <f t="shared" si="403"/>
        <v>0</v>
      </c>
      <c r="AY207" s="10">
        <f t="shared" si="403"/>
        <v>0</v>
      </c>
      <c r="AZ207" s="10">
        <f t="shared" si="403"/>
        <v>0</v>
      </c>
      <c r="BA207" s="10">
        <f t="shared" si="403"/>
        <v>0</v>
      </c>
      <c r="BB207" s="10">
        <f t="shared" si="403"/>
        <v>0</v>
      </c>
      <c r="BC207" s="10">
        <f t="shared" si="403"/>
        <v>0</v>
      </c>
      <c r="BD207" s="10">
        <f t="shared" si="403"/>
        <v>0</v>
      </c>
      <c r="BE207" s="10">
        <f t="shared" si="403"/>
        <v>0</v>
      </c>
      <c r="BF207" s="10">
        <f t="shared" si="403"/>
        <v>0</v>
      </c>
      <c r="BG207" s="10">
        <f t="shared" si="403"/>
        <v>0</v>
      </c>
      <c r="BH207" s="10">
        <f t="shared" si="403"/>
        <v>0</v>
      </c>
      <c r="BI207" s="10">
        <f t="shared" si="403"/>
        <v>0</v>
      </c>
      <c r="BJ207" s="10">
        <f t="shared" si="403"/>
        <v>0</v>
      </c>
      <c r="BK207" s="1"/>
      <c r="BL207" s="1"/>
      <c r="BM207" s="1"/>
      <c r="BN207" s="1"/>
      <c r="BO207" s="1"/>
      <c r="BP207" s="1"/>
      <c r="BQ207" s="1"/>
      <c r="BR207" s="1"/>
      <c r="BS207" s="1"/>
      <c r="BT207" s="1"/>
      <c r="BU207" s="1"/>
      <c r="BV207" s="1"/>
      <c r="BX207" s="12">
        <f t="shared" si="368"/>
        <v>0</v>
      </c>
      <c r="BY207" s="10">
        <f t="shared" ref="BY207:CI207" si="404">IF(AND($F207&gt;BX$5,$F207 &lt;=BY$5),$G207, 0)</f>
        <v>0</v>
      </c>
      <c r="BZ207" s="10">
        <f t="shared" si="404"/>
        <v>0</v>
      </c>
      <c r="CA207" s="10">
        <f t="shared" si="404"/>
        <v>0</v>
      </c>
      <c r="CB207" s="10">
        <f t="shared" si="404"/>
        <v>0</v>
      </c>
      <c r="CC207" s="10">
        <f t="shared" si="404"/>
        <v>0</v>
      </c>
      <c r="CD207" s="10">
        <f t="shared" si="404"/>
        <v>0</v>
      </c>
      <c r="CE207" s="10">
        <f t="shared" si="404"/>
        <v>0</v>
      </c>
      <c r="CF207" s="10">
        <f t="shared" si="404"/>
        <v>0</v>
      </c>
      <c r="CG207" s="10">
        <f t="shared" si="404"/>
        <v>0</v>
      </c>
      <c r="CH207" s="10">
        <f t="shared" si="404"/>
        <v>0</v>
      </c>
      <c r="CI207" s="10">
        <f t="shared" si="404"/>
        <v>0</v>
      </c>
      <c r="CK207" s="11"/>
      <c r="CM207" s="11"/>
      <c r="CW207" s="7">
        <f t="shared" si="370"/>
        <v>0</v>
      </c>
      <c r="CX207" s="7">
        <f t="shared" si="371"/>
        <v>0</v>
      </c>
      <c r="CY207" s="7">
        <f t="shared" si="372"/>
        <v>0</v>
      </c>
      <c r="CZ207" s="650"/>
      <c r="DA207" s="35"/>
      <c r="DB207" s="215">
        <f t="shared" si="373"/>
        <v>0</v>
      </c>
      <c r="DC207" s="215">
        <f t="shared" si="374"/>
        <v>0</v>
      </c>
      <c r="DD207" s="215">
        <f t="shared" si="375"/>
        <v>0</v>
      </c>
      <c r="DE207" s="215">
        <f t="shared" si="376"/>
        <v>0</v>
      </c>
      <c r="DF207" s="215">
        <f t="shared" si="377"/>
        <v>0</v>
      </c>
      <c r="DG207" s="215">
        <f t="shared" si="378"/>
        <v>0</v>
      </c>
      <c r="DH207" s="215">
        <f t="shared" si="379"/>
        <v>0</v>
      </c>
      <c r="DI207" s="35"/>
      <c r="DJ207">
        <v>0</v>
      </c>
      <c r="DK207">
        <v>0</v>
      </c>
      <c r="DL207" s="35"/>
      <c r="EZ207" s="12" t="str">
        <f t="shared" si="380"/>
        <v/>
      </c>
    </row>
    <row r="208" spans="1:156" x14ac:dyDescent="0.35">
      <c r="A208" s="220" cm="1">
        <f t="array" aca="1" ref="A208" ca="1">HYPERLINK(CONCATENATE("#",CELL("address",IF(MAX($CM208:$CZ208)=0,A208,INDEX($CM208:$CZ208,MATCH(1,$CM208:$CZ208,0))))),MAX($CM208:$CZ208))</f>
        <v>0</v>
      </c>
      <c r="C208" s="253"/>
      <c r="D208" s="106">
        <f t="shared" si="362"/>
        <v>0</v>
      </c>
      <c r="E208" s="106">
        <f t="shared" si="362"/>
        <v>0</v>
      </c>
      <c r="F208" s="117" t="str">
        <f t="shared" si="363"/>
        <v/>
      </c>
      <c r="G208" s="10">
        <f t="shared" si="364"/>
        <v>0</v>
      </c>
      <c r="H208" t="s">
        <v>403</v>
      </c>
      <c r="V208" s="12">
        <f>IF(AND($F208&gt;=Timeline!$V$8,$F208 &lt;=V$5),$G208, 0)</f>
        <v>0</v>
      </c>
      <c r="W208" s="10">
        <f t="shared" si="365"/>
        <v>0</v>
      </c>
      <c r="X208" s="10">
        <f t="shared" si="365"/>
        <v>0</v>
      </c>
      <c r="Y208" s="10">
        <f t="shared" si="365"/>
        <v>0</v>
      </c>
      <c r="AA208" s="12">
        <f t="shared" si="366"/>
        <v>0</v>
      </c>
      <c r="AB208" s="10">
        <f t="shared" ref="AB208:BJ208" si="405">IF(AND($F208&gt;AA$5,$F208 &lt;=AB$5),$G208, 0)</f>
        <v>0</v>
      </c>
      <c r="AC208" s="10">
        <f t="shared" si="405"/>
        <v>0</v>
      </c>
      <c r="AD208" s="10">
        <f t="shared" si="405"/>
        <v>0</v>
      </c>
      <c r="AE208" s="10">
        <f t="shared" si="405"/>
        <v>0</v>
      </c>
      <c r="AF208" s="10">
        <f t="shared" si="405"/>
        <v>0</v>
      </c>
      <c r="AG208" s="10">
        <f t="shared" si="405"/>
        <v>0</v>
      </c>
      <c r="AH208" s="10">
        <f t="shared" si="405"/>
        <v>0</v>
      </c>
      <c r="AI208" s="10">
        <f t="shared" si="405"/>
        <v>0</v>
      </c>
      <c r="AJ208" s="10">
        <f t="shared" si="405"/>
        <v>0</v>
      </c>
      <c r="AK208" s="10">
        <f t="shared" si="405"/>
        <v>0</v>
      </c>
      <c r="AL208" s="10">
        <f t="shared" si="405"/>
        <v>0</v>
      </c>
      <c r="AM208" s="10">
        <f t="shared" si="405"/>
        <v>0</v>
      </c>
      <c r="AN208" s="10">
        <f t="shared" si="405"/>
        <v>0</v>
      </c>
      <c r="AO208" s="10">
        <f t="shared" si="405"/>
        <v>0</v>
      </c>
      <c r="AP208" s="10">
        <f t="shared" si="405"/>
        <v>0</v>
      </c>
      <c r="AQ208" s="10">
        <f t="shared" si="405"/>
        <v>0</v>
      </c>
      <c r="AR208" s="10">
        <f t="shared" si="405"/>
        <v>0</v>
      </c>
      <c r="AS208" s="10">
        <f t="shared" si="405"/>
        <v>0</v>
      </c>
      <c r="AT208" s="10">
        <f t="shared" si="405"/>
        <v>0</v>
      </c>
      <c r="AU208" s="10">
        <f t="shared" si="405"/>
        <v>0</v>
      </c>
      <c r="AV208" s="10">
        <f t="shared" si="405"/>
        <v>0</v>
      </c>
      <c r="AW208" s="10">
        <f t="shared" si="405"/>
        <v>0</v>
      </c>
      <c r="AX208" s="10">
        <f t="shared" si="405"/>
        <v>0</v>
      </c>
      <c r="AY208" s="10">
        <f t="shared" si="405"/>
        <v>0</v>
      </c>
      <c r="AZ208" s="10">
        <f t="shared" si="405"/>
        <v>0</v>
      </c>
      <c r="BA208" s="10">
        <f t="shared" si="405"/>
        <v>0</v>
      </c>
      <c r="BB208" s="10">
        <f t="shared" si="405"/>
        <v>0</v>
      </c>
      <c r="BC208" s="10">
        <f t="shared" si="405"/>
        <v>0</v>
      </c>
      <c r="BD208" s="10">
        <f t="shared" si="405"/>
        <v>0</v>
      </c>
      <c r="BE208" s="10">
        <f t="shared" si="405"/>
        <v>0</v>
      </c>
      <c r="BF208" s="10">
        <f t="shared" si="405"/>
        <v>0</v>
      </c>
      <c r="BG208" s="10">
        <f t="shared" si="405"/>
        <v>0</v>
      </c>
      <c r="BH208" s="10">
        <f t="shared" si="405"/>
        <v>0</v>
      </c>
      <c r="BI208" s="10">
        <f t="shared" si="405"/>
        <v>0</v>
      </c>
      <c r="BJ208" s="10">
        <f t="shared" si="405"/>
        <v>0</v>
      </c>
      <c r="BK208" s="1"/>
      <c r="BL208" s="1"/>
      <c r="BM208" s="1"/>
      <c r="BN208" s="1"/>
      <c r="BO208" s="1"/>
      <c r="BP208" s="1"/>
      <c r="BQ208" s="1"/>
      <c r="BR208" s="1"/>
      <c r="BS208" s="1"/>
      <c r="BT208" s="1"/>
      <c r="BU208" s="1"/>
      <c r="BV208" s="1"/>
      <c r="BX208" s="12">
        <f t="shared" si="368"/>
        <v>0</v>
      </c>
      <c r="BY208" s="10">
        <f t="shared" ref="BY208:CI208" si="406">IF(AND($F208&gt;BX$5,$F208 &lt;=BY$5),$G208, 0)</f>
        <v>0</v>
      </c>
      <c r="BZ208" s="10">
        <f t="shared" si="406"/>
        <v>0</v>
      </c>
      <c r="CA208" s="10">
        <f t="shared" si="406"/>
        <v>0</v>
      </c>
      <c r="CB208" s="10">
        <f t="shared" si="406"/>
        <v>0</v>
      </c>
      <c r="CC208" s="10">
        <f t="shared" si="406"/>
        <v>0</v>
      </c>
      <c r="CD208" s="10">
        <f t="shared" si="406"/>
        <v>0</v>
      </c>
      <c r="CE208" s="10">
        <f t="shared" si="406"/>
        <v>0</v>
      </c>
      <c r="CF208" s="10">
        <f t="shared" si="406"/>
        <v>0</v>
      </c>
      <c r="CG208" s="10">
        <f t="shared" si="406"/>
        <v>0</v>
      </c>
      <c r="CH208" s="10">
        <f t="shared" si="406"/>
        <v>0</v>
      </c>
      <c r="CI208" s="10">
        <f t="shared" si="406"/>
        <v>0</v>
      </c>
      <c r="CK208" s="11"/>
      <c r="CM208" s="11"/>
      <c r="CW208" s="7">
        <f t="shared" si="370"/>
        <v>0</v>
      </c>
      <c r="CX208" s="7">
        <f t="shared" si="371"/>
        <v>0</v>
      </c>
      <c r="CY208" s="7">
        <f t="shared" si="372"/>
        <v>0</v>
      </c>
      <c r="CZ208" s="650"/>
      <c r="DA208" s="35"/>
      <c r="DB208" s="215">
        <f t="shared" si="373"/>
        <v>0</v>
      </c>
      <c r="DC208" s="215">
        <f t="shared" si="374"/>
        <v>0</v>
      </c>
      <c r="DD208" s="215">
        <f t="shared" si="375"/>
        <v>0</v>
      </c>
      <c r="DE208" s="215">
        <f t="shared" si="376"/>
        <v>0</v>
      </c>
      <c r="DF208" s="215">
        <f t="shared" si="377"/>
        <v>0</v>
      </c>
      <c r="DG208" s="215">
        <f t="shared" si="378"/>
        <v>0</v>
      </c>
      <c r="DH208" s="215">
        <f t="shared" si="379"/>
        <v>0</v>
      </c>
      <c r="DI208" s="35"/>
      <c r="DJ208">
        <v>0</v>
      </c>
      <c r="DK208">
        <v>0</v>
      </c>
      <c r="DL208" s="35"/>
      <c r="EZ208" s="12" t="str">
        <f t="shared" si="380"/>
        <v/>
      </c>
    </row>
    <row r="209" spans="1:156" x14ac:dyDescent="0.35">
      <c r="A209" s="220" cm="1">
        <f t="array" aca="1" ref="A209" ca="1">HYPERLINK(CONCATENATE("#",CELL("address",IF(MAX($CM209:$CZ209)=0,A209,INDEX($CM209:$CZ209,MATCH(1,$CM209:$CZ209,0))))),MAX($CM209:$CZ209))</f>
        <v>0</v>
      </c>
      <c r="C209" s="253"/>
      <c r="D209" s="106">
        <f t="shared" si="362"/>
        <v>0</v>
      </c>
      <c r="E209" s="106">
        <f t="shared" si="362"/>
        <v>0</v>
      </c>
      <c r="F209" s="117" t="str">
        <f t="shared" si="363"/>
        <v/>
      </c>
      <c r="G209" s="10">
        <f t="shared" si="364"/>
        <v>0</v>
      </c>
      <c r="H209" t="s">
        <v>403</v>
      </c>
      <c r="V209" s="12">
        <f>IF(AND($F209&gt;=Timeline!$V$8,$F209 &lt;=V$5),$G209, 0)</f>
        <v>0</v>
      </c>
      <c r="W209" s="10">
        <f t="shared" si="365"/>
        <v>0</v>
      </c>
      <c r="X209" s="10">
        <f t="shared" si="365"/>
        <v>0</v>
      </c>
      <c r="Y209" s="10">
        <f t="shared" si="365"/>
        <v>0</v>
      </c>
      <c r="AA209" s="12">
        <f t="shared" si="366"/>
        <v>0</v>
      </c>
      <c r="AB209" s="10">
        <f t="shared" ref="AB209:BJ209" si="407">IF(AND($F209&gt;AA$5,$F209 &lt;=AB$5),$G209, 0)</f>
        <v>0</v>
      </c>
      <c r="AC209" s="10">
        <f t="shared" si="407"/>
        <v>0</v>
      </c>
      <c r="AD209" s="10">
        <f t="shared" si="407"/>
        <v>0</v>
      </c>
      <c r="AE209" s="10">
        <f t="shared" si="407"/>
        <v>0</v>
      </c>
      <c r="AF209" s="10">
        <f t="shared" si="407"/>
        <v>0</v>
      </c>
      <c r="AG209" s="10">
        <f t="shared" si="407"/>
        <v>0</v>
      </c>
      <c r="AH209" s="10">
        <f t="shared" si="407"/>
        <v>0</v>
      </c>
      <c r="AI209" s="10">
        <f t="shared" si="407"/>
        <v>0</v>
      </c>
      <c r="AJ209" s="10">
        <f t="shared" si="407"/>
        <v>0</v>
      </c>
      <c r="AK209" s="10">
        <f t="shared" si="407"/>
        <v>0</v>
      </c>
      <c r="AL209" s="10">
        <f t="shared" si="407"/>
        <v>0</v>
      </c>
      <c r="AM209" s="10">
        <f t="shared" si="407"/>
        <v>0</v>
      </c>
      <c r="AN209" s="10">
        <f t="shared" si="407"/>
        <v>0</v>
      </c>
      <c r="AO209" s="10">
        <f t="shared" si="407"/>
        <v>0</v>
      </c>
      <c r="AP209" s="10">
        <f t="shared" si="407"/>
        <v>0</v>
      </c>
      <c r="AQ209" s="10">
        <f t="shared" si="407"/>
        <v>0</v>
      </c>
      <c r="AR209" s="10">
        <f t="shared" si="407"/>
        <v>0</v>
      </c>
      <c r="AS209" s="10">
        <f t="shared" si="407"/>
        <v>0</v>
      </c>
      <c r="AT209" s="10">
        <f t="shared" si="407"/>
        <v>0</v>
      </c>
      <c r="AU209" s="10">
        <f t="shared" si="407"/>
        <v>0</v>
      </c>
      <c r="AV209" s="10">
        <f t="shared" si="407"/>
        <v>0</v>
      </c>
      <c r="AW209" s="10">
        <f t="shared" si="407"/>
        <v>0</v>
      </c>
      <c r="AX209" s="10">
        <f t="shared" si="407"/>
        <v>0</v>
      </c>
      <c r="AY209" s="10">
        <f t="shared" si="407"/>
        <v>0</v>
      </c>
      <c r="AZ209" s="10">
        <f t="shared" si="407"/>
        <v>0</v>
      </c>
      <c r="BA209" s="10">
        <f t="shared" si="407"/>
        <v>0</v>
      </c>
      <c r="BB209" s="10">
        <f t="shared" si="407"/>
        <v>0</v>
      </c>
      <c r="BC209" s="10">
        <f t="shared" si="407"/>
        <v>0</v>
      </c>
      <c r="BD209" s="10">
        <f t="shared" si="407"/>
        <v>0</v>
      </c>
      <c r="BE209" s="10">
        <f t="shared" si="407"/>
        <v>0</v>
      </c>
      <c r="BF209" s="10">
        <f t="shared" si="407"/>
        <v>0</v>
      </c>
      <c r="BG209" s="10">
        <f t="shared" si="407"/>
        <v>0</v>
      </c>
      <c r="BH209" s="10">
        <f t="shared" si="407"/>
        <v>0</v>
      </c>
      <c r="BI209" s="10">
        <f t="shared" si="407"/>
        <v>0</v>
      </c>
      <c r="BJ209" s="10">
        <f t="shared" si="407"/>
        <v>0</v>
      </c>
      <c r="BK209" s="1"/>
      <c r="BL209" s="1"/>
      <c r="BM209" s="1"/>
      <c r="BN209" s="1"/>
      <c r="BO209" s="1"/>
      <c r="BP209" s="1"/>
      <c r="BQ209" s="1"/>
      <c r="BR209" s="1"/>
      <c r="BS209" s="1"/>
      <c r="BT209" s="1"/>
      <c r="BU209" s="1"/>
      <c r="BV209" s="1"/>
      <c r="BX209" s="12">
        <f t="shared" si="368"/>
        <v>0</v>
      </c>
      <c r="BY209" s="10">
        <f t="shared" ref="BY209:CI209" si="408">IF(AND($F209&gt;BX$5,$F209 &lt;=BY$5),$G209, 0)</f>
        <v>0</v>
      </c>
      <c r="BZ209" s="10">
        <f t="shared" si="408"/>
        <v>0</v>
      </c>
      <c r="CA209" s="10">
        <f t="shared" si="408"/>
        <v>0</v>
      </c>
      <c r="CB209" s="10">
        <f t="shared" si="408"/>
        <v>0</v>
      </c>
      <c r="CC209" s="10">
        <f t="shared" si="408"/>
        <v>0</v>
      </c>
      <c r="CD209" s="10">
        <f t="shared" si="408"/>
        <v>0</v>
      </c>
      <c r="CE209" s="10">
        <f t="shared" si="408"/>
        <v>0</v>
      </c>
      <c r="CF209" s="10">
        <f t="shared" si="408"/>
        <v>0</v>
      </c>
      <c r="CG209" s="10">
        <f t="shared" si="408"/>
        <v>0</v>
      </c>
      <c r="CH209" s="10">
        <f t="shared" si="408"/>
        <v>0</v>
      </c>
      <c r="CI209" s="10">
        <f t="shared" si="408"/>
        <v>0</v>
      </c>
      <c r="CK209" s="11"/>
      <c r="CM209" s="11"/>
      <c r="CW209" s="7">
        <f t="shared" si="370"/>
        <v>0</v>
      </c>
      <c r="CX209" s="7">
        <f t="shared" si="371"/>
        <v>0</v>
      </c>
      <c r="CY209" s="7">
        <f t="shared" si="372"/>
        <v>0</v>
      </c>
      <c r="CZ209" s="650"/>
      <c r="DA209" s="35"/>
      <c r="DB209" s="215">
        <f t="shared" si="373"/>
        <v>0</v>
      </c>
      <c r="DC209" s="215">
        <f t="shared" si="374"/>
        <v>0</v>
      </c>
      <c r="DD209" s="215">
        <f t="shared" si="375"/>
        <v>0</v>
      </c>
      <c r="DE209" s="215">
        <f t="shared" si="376"/>
        <v>0</v>
      </c>
      <c r="DF209" s="215">
        <f t="shared" si="377"/>
        <v>0</v>
      </c>
      <c r="DG209" s="215">
        <f t="shared" si="378"/>
        <v>0</v>
      </c>
      <c r="DH209" s="215">
        <f t="shared" si="379"/>
        <v>0</v>
      </c>
      <c r="DI209" s="35"/>
      <c r="DJ209">
        <v>0</v>
      </c>
      <c r="DK209">
        <v>0</v>
      </c>
      <c r="DL209" s="35"/>
      <c r="EZ209" s="12" t="str">
        <f t="shared" si="380"/>
        <v/>
      </c>
    </row>
    <row r="210" spans="1:156" x14ac:dyDescent="0.35">
      <c r="A210" s="220" cm="1">
        <f t="array" aca="1" ref="A210" ca="1">HYPERLINK(CONCATENATE("#",CELL("address",IF(MAX($CM210:$CZ210)=0,A210,INDEX($CM210:$CZ210,MATCH(1,$CM210:$CZ210,0))))),MAX($CM210:$CZ210))</f>
        <v>0</v>
      </c>
      <c r="C210" s="253"/>
      <c r="D210" s="5" t="s">
        <v>774</v>
      </c>
      <c r="E210" s="5" t="str">
        <f>Parameters!$D$45</f>
        <v>Land &amp; Buildings</v>
      </c>
      <c r="G210" s="96"/>
      <c r="H210" s="9"/>
      <c r="V210" s="12">
        <f>SUMIFS(V195:V209, $E195:$E209, $E210)</f>
        <v>0</v>
      </c>
      <c r="W210" s="12">
        <f>SUMIFS(W195:W209, $E195:$E209, $E210)</f>
        <v>0</v>
      </c>
      <c r="X210" s="12">
        <f>SUMIFS(X195:X209, $E195:$E209, $E210)</f>
        <v>0</v>
      </c>
      <c r="Y210" s="12">
        <f>SUMIFS(Y195:Y209, $E195:$E209, $E210)</f>
        <v>0</v>
      </c>
      <c r="AA210" s="12">
        <f t="shared" ref="AA210:BJ210" si="409">SUMIFS(AA195:AA209, $E195:$E209, $E210)</f>
        <v>0</v>
      </c>
      <c r="AB210" s="12">
        <f t="shared" si="409"/>
        <v>0</v>
      </c>
      <c r="AC210" s="12">
        <f t="shared" si="409"/>
        <v>0</v>
      </c>
      <c r="AD210" s="12">
        <f t="shared" si="409"/>
        <v>0</v>
      </c>
      <c r="AE210" s="12">
        <f t="shared" si="409"/>
        <v>0</v>
      </c>
      <c r="AF210" s="12">
        <f t="shared" si="409"/>
        <v>0</v>
      </c>
      <c r="AG210" s="12">
        <f t="shared" si="409"/>
        <v>0</v>
      </c>
      <c r="AH210" s="12">
        <f t="shared" si="409"/>
        <v>0</v>
      </c>
      <c r="AI210" s="12">
        <f t="shared" si="409"/>
        <v>0</v>
      </c>
      <c r="AJ210" s="12">
        <f t="shared" si="409"/>
        <v>0</v>
      </c>
      <c r="AK210" s="12">
        <f t="shared" si="409"/>
        <v>0</v>
      </c>
      <c r="AL210" s="12">
        <f t="shared" si="409"/>
        <v>0</v>
      </c>
      <c r="AM210" s="12">
        <f t="shared" si="409"/>
        <v>0</v>
      </c>
      <c r="AN210" s="12">
        <f t="shared" si="409"/>
        <v>0</v>
      </c>
      <c r="AO210" s="12">
        <f t="shared" si="409"/>
        <v>0</v>
      </c>
      <c r="AP210" s="12">
        <f t="shared" si="409"/>
        <v>0</v>
      </c>
      <c r="AQ210" s="12">
        <f t="shared" si="409"/>
        <v>0</v>
      </c>
      <c r="AR210" s="12">
        <f t="shared" si="409"/>
        <v>0</v>
      </c>
      <c r="AS210" s="12">
        <f t="shared" si="409"/>
        <v>0</v>
      </c>
      <c r="AT210" s="12">
        <f t="shared" si="409"/>
        <v>0</v>
      </c>
      <c r="AU210" s="12">
        <f t="shared" si="409"/>
        <v>0</v>
      </c>
      <c r="AV210" s="12">
        <f t="shared" si="409"/>
        <v>0</v>
      </c>
      <c r="AW210" s="12">
        <f t="shared" si="409"/>
        <v>0</v>
      </c>
      <c r="AX210" s="12">
        <f t="shared" si="409"/>
        <v>0</v>
      </c>
      <c r="AY210" s="12">
        <f t="shared" si="409"/>
        <v>0</v>
      </c>
      <c r="AZ210" s="12">
        <f t="shared" si="409"/>
        <v>0</v>
      </c>
      <c r="BA210" s="12">
        <f t="shared" si="409"/>
        <v>0</v>
      </c>
      <c r="BB210" s="12">
        <f t="shared" si="409"/>
        <v>0</v>
      </c>
      <c r="BC210" s="12">
        <f t="shared" si="409"/>
        <v>0</v>
      </c>
      <c r="BD210" s="12">
        <f t="shared" si="409"/>
        <v>0</v>
      </c>
      <c r="BE210" s="12">
        <f t="shared" si="409"/>
        <v>0</v>
      </c>
      <c r="BF210" s="12">
        <f t="shared" si="409"/>
        <v>0</v>
      </c>
      <c r="BG210" s="12">
        <f t="shared" si="409"/>
        <v>0</v>
      </c>
      <c r="BH210" s="12">
        <f t="shared" si="409"/>
        <v>0</v>
      </c>
      <c r="BI210" s="12">
        <f t="shared" si="409"/>
        <v>0</v>
      </c>
      <c r="BJ210" s="12">
        <f t="shared" si="409"/>
        <v>0</v>
      </c>
      <c r="BK210" s="1"/>
      <c r="BL210" s="1"/>
      <c r="BM210" s="1"/>
      <c r="BN210" s="1"/>
      <c r="BO210" s="1"/>
      <c r="BP210" s="1"/>
      <c r="BQ210" s="1"/>
      <c r="BR210" s="1"/>
      <c r="BS210" s="1"/>
      <c r="BT210" s="1"/>
      <c r="BU210" s="1"/>
      <c r="BV210" s="1"/>
      <c r="BX210" s="12">
        <f t="shared" ref="BX210:CI210" si="410">SUMIFS(BX195:BX209, $E195:$E209, $E210)</f>
        <v>0</v>
      </c>
      <c r="BY210" s="12">
        <f t="shared" si="410"/>
        <v>0</v>
      </c>
      <c r="BZ210" s="12">
        <f t="shared" si="410"/>
        <v>0</v>
      </c>
      <c r="CA210" s="12">
        <f t="shared" si="410"/>
        <v>0</v>
      </c>
      <c r="CB210" s="12">
        <f t="shared" si="410"/>
        <v>0</v>
      </c>
      <c r="CC210" s="12">
        <f t="shared" si="410"/>
        <v>0</v>
      </c>
      <c r="CD210" s="12">
        <f t="shared" si="410"/>
        <v>0</v>
      </c>
      <c r="CE210" s="12">
        <f t="shared" si="410"/>
        <v>0</v>
      </c>
      <c r="CF210" s="12">
        <f t="shared" si="410"/>
        <v>0</v>
      </c>
      <c r="CG210" s="12">
        <f t="shared" si="410"/>
        <v>0</v>
      </c>
      <c r="CH210" s="12">
        <f t="shared" si="410"/>
        <v>0</v>
      </c>
      <c r="CI210" s="12">
        <f t="shared" si="410"/>
        <v>0</v>
      </c>
      <c r="CK210" s="11"/>
      <c r="CM210" s="11"/>
      <c r="CW210" s="7">
        <f t="shared" si="370"/>
        <v>0</v>
      </c>
      <c r="CX210" s="7">
        <f t="shared" si="371"/>
        <v>0</v>
      </c>
      <c r="CY210" s="7">
        <f t="shared" si="372"/>
        <v>0</v>
      </c>
      <c r="CZ210" s="650"/>
      <c r="DA210" s="35"/>
      <c r="DB210" s="215">
        <f t="shared" si="373"/>
        <v>0</v>
      </c>
      <c r="DC210" s="215">
        <f t="shared" si="374"/>
        <v>0</v>
      </c>
      <c r="DD210" s="215">
        <f t="shared" si="375"/>
        <v>0</v>
      </c>
      <c r="DE210" s="215">
        <f t="shared" si="376"/>
        <v>0</v>
      </c>
      <c r="DF210" s="215">
        <f t="shared" si="377"/>
        <v>0</v>
      </c>
      <c r="DG210" s="215">
        <f t="shared" si="378"/>
        <v>0</v>
      </c>
      <c r="DH210" s="215">
        <f t="shared" si="379"/>
        <v>0</v>
      </c>
      <c r="DI210" s="35"/>
      <c r="DJ210">
        <v>0</v>
      </c>
      <c r="DK210">
        <v>0</v>
      </c>
      <c r="DL210" s="35"/>
      <c r="EZ210" s="12" t="str">
        <f t="shared" si="380"/>
        <v/>
      </c>
    </row>
    <row r="211" spans="1:156" x14ac:dyDescent="0.35">
      <c r="A211" s="220" cm="1">
        <f t="array" aca="1" ref="A211" ca="1">HYPERLINK(CONCATENATE("#",CELL("address",IF(MAX($CM211:$CZ211)=0,A211,INDEX($CM211:$CZ211,MATCH(1,$CM211:$CZ211,0))))),MAX($CM211:$CZ211))</f>
        <v>0</v>
      </c>
      <c r="C211" s="253"/>
      <c r="D211" s="5" t="s">
        <v>775</v>
      </c>
      <c r="E211" s="5" t="str">
        <f>Parameters!$D$46</f>
        <v>Equipment</v>
      </c>
      <c r="G211" s="96"/>
      <c r="H211" s="9"/>
      <c r="V211" s="12">
        <f>SUMIFS(V195:V209, $E195:$E209, $E211)</f>
        <v>0</v>
      </c>
      <c r="W211" s="12">
        <f>SUMIFS(W195:W209, $E195:$E209, $E211)</f>
        <v>0</v>
      </c>
      <c r="X211" s="12">
        <f>SUMIFS(X195:X209, $E195:$E209, $E211)</f>
        <v>0</v>
      </c>
      <c r="Y211" s="12">
        <f>SUMIFS(Y195:Y209, $E195:$E209, $E211)</f>
        <v>0</v>
      </c>
      <c r="AA211" s="12">
        <f t="shared" ref="AA211:BJ211" si="411">SUMIFS(AA195:AA209, $E195:$E209, $E211)</f>
        <v>0</v>
      </c>
      <c r="AB211" s="12">
        <f t="shared" si="411"/>
        <v>0</v>
      </c>
      <c r="AC211" s="12">
        <f t="shared" si="411"/>
        <v>0</v>
      </c>
      <c r="AD211" s="12">
        <f t="shared" si="411"/>
        <v>0</v>
      </c>
      <c r="AE211" s="12">
        <f t="shared" si="411"/>
        <v>0</v>
      </c>
      <c r="AF211" s="12">
        <f t="shared" si="411"/>
        <v>0</v>
      </c>
      <c r="AG211" s="12">
        <f t="shared" si="411"/>
        <v>0</v>
      </c>
      <c r="AH211" s="12">
        <f t="shared" si="411"/>
        <v>0</v>
      </c>
      <c r="AI211" s="12">
        <f t="shared" si="411"/>
        <v>0</v>
      </c>
      <c r="AJ211" s="12">
        <f t="shared" si="411"/>
        <v>0</v>
      </c>
      <c r="AK211" s="12">
        <f t="shared" si="411"/>
        <v>0</v>
      </c>
      <c r="AL211" s="12">
        <f t="shared" si="411"/>
        <v>0</v>
      </c>
      <c r="AM211" s="12">
        <f t="shared" si="411"/>
        <v>0</v>
      </c>
      <c r="AN211" s="12">
        <f t="shared" si="411"/>
        <v>0</v>
      </c>
      <c r="AO211" s="12">
        <f t="shared" si="411"/>
        <v>0</v>
      </c>
      <c r="AP211" s="12">
        <f t="shared" si="411"/>
        <v>0</v>
      </c>
      <c r="AQ211" s="12">
        <f t="shared" si="411"/>
        <v>0</v>
      </c>
      <c r="AR211" s="12">
        <f t="shared" si="411"/>
        <v>0</v>
      </c>
      <c r="AS211" s="12">
        <f t="shared" si="411"/>
        <v>0</v>
      </c>
      <c r="AT211" s="12">
        <f t="shared" si="411"/>
        <v>0</v>
      </c>
      <c r="AU211" s="12">
        <f t="shared" si="411"/>
        <v>0</v>
      </c>
      <c r="AV211" s="12">
        <f t="shared" si="411"/>
        <v>0</v>
      </c>
      <c r="AW211" s="12">
        <f t="shared" si="411"/>
        <v>0</v>
      </c>
      <c r="AX211" s="12">
        <f t="shared" si="411"/>
        <v>0</v>
      </c>
      <c r="AY211" s="12">
        <f t="shared" si="411"/>
        <v>0</v>
      </c>
      <c r="AZ211" s="12">
        <f t="shared" si="411"/>
        <v>0</v>
      </c>
      <c r="BA211" s="12">
        <f t="shared" si="411"/>
        <v>0</v>
      </c>
      <c r="BB211" s="12">
        <f t="shared" si="411"/>
        <v>0</v>
      </c>
      <c r="BC211" s="12">
        <f t="shared" si="411"/>
        <v>0</v>
      </c>
      <c r="BD211" s="12">
        <f t="shared" si="411"/>
        <v>0</v>
      </c>
      <c r="BE211" s="12">
        <f t="shared" si="411"/>
        <v>0</v>
      </c>
      <c r="BF211" s="12">
        <f t="shared" si="411"/>
        <v>0</v>
      </c>
      <c r="BG211" s="12">
        <f t="shared" si="411"/>
        <v>0</v>
      </c>
      <c r="BH211" s="12">
        <f t="shared" si="411"/>
        <v>0</v>
      </c>
      <c r="BI211" s="12">
        <f t="shared" si="411"/>
        <v>0</v>
      </c>
      <c r="BJ211" s="12">
        <f t="shared" si="411"/>
        <v>0</v>
      </c>
      <c r="BK211" s="1"/>
      <c r="BL211" s="1"/>
      <c r="BM211" s="1"/>
      <c r="BN211" s="1"/>
      <c r="BO211" s="1"/>
      <c r="BP211" s="1"/>
      <c r="BQ211" s="1"/>
      <c r="BR211" s="1"/>
      <c r="BS211" s="1"/>
      <c r="BT211" s="1"/>
      <c r="BU211" s="1"/>
      <c r="BV211" s="1"/>
      <c r="BX211" s="12">
        <f t="shared" ref="BX211:CI211" si="412">SUMIFS(BX195:BX209, $E195:$E209, $E211)</f>
        <v>0</v>
      </c>
      <c r="BY211" s="12">
        <f t="shared" si="412"/>
        <v>0</v>
      </c>
      <c r="BZ211" s="12">
        <f t="shared" si="412"/>
        <v>0</v>
      </c>
      <c r="CA211" s="12">
        <f t="shared" si="412"/>
        <v>0</v>
      </c>
      <c r="CB211" s="12">
        <f t="shared" si="412"/>
        <v>0</v>
      </c>
      <c r="CC211" s="12">
        <f t="shared" si="412"/>
        <v>0</v>
      </c>
      <c r="CD211" s="12">
        <f t="shared" si="412"/>
        <v>0</v>
      </c>
      <c r="CE211" s="12">
        <f t="shared" si="412"/>
        <v>0</v>
      </c>
      <c r="CF211" s="12">
        <f t="shared" si="412"/>
        <v>0</v>
      </c>
      <c r="CG211" s="12">
        <f t="shared" si="412"/>
        <v>0</v>
      </c>
      <c r="CH211" s="12">
        <f t="shared" si="412"/>
        <v>0</v>
      </c>
      <c r="CI211" s="12">
        <f t="shared" si="412"/>
        <v>0</v>
      </c>
      <c r="CK211" s="11"/>
      <c r="CM211" s="11"/>
      <c r="CW211" s="7">
        <f t="shared" si="370"/>
        <v>0</v>
      </c>
      <c r="CX211" s="7">
        <f t="shared" si="371"/>
        <v>0</v>
      </c>
      <c r="CY211" s="7">
        <f t="shared" si="372"/>
        <v>0</v>
      </c>
      <c r="CZ211" s="650"/>
      <c r="DA211" s="35"/>
      <c r="DB211" s="215">
        <f t="shared" si="373"/>
        <v>0</v>
      </c>
      <c r="DC211" s="215">
        <f t="shared" si="374"/>
        <v>0</v>
      </c>
      <c r="DD211" s="215">
        <f t="shared" si="375"/>
        <v>0</v>
      </c>
      <c r="DE211" s="215">
        <f t="shared" si="376"/>
        <v>0</v>
      </c>
      <c r="DF211" s="215">
        <f t="shared" si="377"/>
        <v>0</v>
      </c>
      <c r="DG211" s="215">
        <f t="shared" si="378"/>
        <v>0</v>
      </c>
      <c r="DH211" s="215">
        <f t="shared" si="379"/>
        <v>0</v>
      </c>
      <c r="DI211" s="35"/>
      <c r="DJ211">
        <v>0</v>
      </c>
      <c r="DK211">
        <v>0</v>
      </c>
      <c r="DL211" s="35"/>
      <c r="EZ211" s="10" t="str">
        <f t="shared" ref="EZ211:EZ219" si="413">IF($C211="","",$D211)</f>
        <v/>
      </c>
    </row>
    <row r="212" spans="1:156" x14ac:dyDescent="0.35">
      <c r="A212" s="220" cm="1">
        <f t="array" aca="1" ref="A212" ca="1">HYPERLINK(CONCATENATE("#",CELL("address",IF(MAX($CM212:$CZ212)=0,A212,INDEX($CM212:$CZ212,MATCH(1,$CM212:$CZ212,0))))),MAX($CM212:$CZ212))</f>
        <v>0</v>
      </c>
      <c r="C212" s="253"/>
      <c r="D212" s="5" t="s">
        <v>839</v>
      </c>
      <c r="E212" s="5" t="str">
        <f>Parameters!$D$47</f>
        <v>Investments</v>
      </c>
      <c r="G212" s="96"/>
      <c r="H212" s="9"/>
      <c r="V212" s="12">
        <f>SUMIFS(V195:V209, $E195:$E209, $E212)</f>
        <v>0</v>
      </c>
      <c r="W212" s="12">
        <f>SUMIFS(W195:W209, $E195:$E209, $E212)</f>
        <v>0</v>
      </c>
      <c r="X212" s="12">
        <f>SUMIFS(X195:X209, $E195:$E209, $E212)</f>
        <v>0</v>
      </c>
      <c r="Y212" s="12">
        <f>SUMIFS(Y195:Y209, $E195:$E209, $E212)</f>
        <v>0</v>
      </c>
      <c r="AA212" s="12">
        <f t="shared" ref="AA212:BJ212" si="414">SUMIFS(AA195:AA209, $E195:$E209, $E212)</f>
        <v>0</v>
      </c>
      <c r="AB212" s="12">
        <f t="shared" si="414"/>
        <v>0</v>
      </c>
      <c r="AC212" s="12">
        <f t="shared" si="414"/>
        <v>0</v>
      </c>
      <c r="AD212" s="12">
        <f t="shared" si="414"/>
        <v>0</v>
      </c>
      <c r="AE212" s="12">
        <f t="shared" si="414"/>
        <v>0</v>
      </c>
      <c r="AF212" s="12">
        <f t="shared" si="414"/>
        <v>0</v>
      </c>
      <c r="AG212" s="12">
        <f t="shared" si="414"/>
        <v>0</v>
      </c>
      <c r="AH212" s="12">
        <f t="shared" si="414"/>
        <v>0</v>
      </c>
      <c r="AI212" s="12">
        <f t="shared" si="414"/>
        <v>0</v>
      </c>
      <c r="AJ212" s="12">
        <f t="shared" si="414"/>
        <v>0</v>
      </c>
      <c r="AK212" s="12">
        <f t="shared" si="414"/>
        <v>0</v>
      </c>
      <c r="AL212" s="12">
        <f t="shared" si="414"/>
        <v>0</v>
      </c>
      <c r="AM212" s="12">
        <f t="shared" si="414"/>
        <v>0</v>
      </c>
      <c r="AN212" s="12">
        <f t="shared" si="414"/>
        <v>0</v>
      </c>
      <c r="AO212" s="12">
        <f t="shared" si="414"/>
        <v>0</v>
      </c>
      <c r="AP212" s="12">
        <f t="shared" si="414"/>
        <v>0</v>
      </c>
      <c r="AQ212" s="12">
        <f t="shared" si="414"/>
        <v>0</v>
      </c>
      <c r="AR212" s="12">
        <f t="shared" si="414"/>
        <v>0</v>
      </c>
      <c r="AS212" s="12">
        <f t="shared" si="414"/>
        <v>0</v>
      </c>
      <c r="AT212" s="12">
        <f t="shared" si="414"/>
        <v>0</v>
      </c>
      <c r="AU212" s="12">
        <f t="shared" si="414"/>
        <v>0</v>
      </c>
      <c r="AV212" s="12">
        <f t="shared" si="414"/>
        <v>0</v>
      </c>
      <c r="AW212" s="12">
        <f t="shared" si="414"/>
        <v>0</v>
      </c>
      <c r="AX212" s="12">
        <f t="shared" si="414"/>
        <v>0</v>
      </c>
      <c r="AY212" s="12">
        <f t="shared" si="414"/>
        <v>0</v>
      </c>
      <c r="AZ212" s="12">
        <f t="shared" si="414"/>
        <v>0</v>
      </c>
      <c r="BA212" s="12">
        <f t="shared" si="414"/>
        <v>0</v>
      </c>
      <c r="BB212" s="12">
        <f t="shared" si="414"/>
        <v>0</v>
      </c>
      <c r="BC212" s="12">
        <f t="shared" si="414"/>
        <v>0</v>
      </c>
      <c r="BD212" s="12">
        <f t="shared" si="414"/>
        <v>0</v>
      </c>
      <c r="BE212" s="12">
        <f t="shared" si="414"/>
        <v>0</v>
      </c>
      <c r="BF212" s="12">
        <f t="shared" si="414"/>
        <v>0</v>
      </c>
      <c r="BG212" s="12">
        <f t="shared" si="414"/>
        <v>0</v>
      </c>
      <c r="BH212" s="12">
        <f t="shared" si="414"/>
        <v>0</v>
      </c>
      <c r="BI212" s="12">
        <f t="shared" si="414"/>
        <v>0</v>
      </c>
      <c r="BJ212" s="12">
        <f t="shared" si="414"/>
        <v>0</v>
      </c>
      <c r="BK212" s="1"/>
      <c r="BL212" s="1"/>
      <c r="BM212" s="1"/>
      <c r="BN212" s="1"/>
      <c r="BO212" s="1"/>
      <c r="BP212" s="1"/>
      <c r="BQ212" s="1"/>
      <c r="BR212" s="1"/>
      <c r="BS212" s="1"/>
      <c r="BT212" s="1"/>
      <c r="BU212" s="1"/>
      <c r="BV212" s="1"/>
      <c r="BX212" s="12">
        <f t="shared" ref="BX212:CI212" si="415">SUMIFS(BX195:BX209, $E195:$E209, $E212)</f>
        <v>0</v>
      </c>
      <c r="BY212" s="12">
        <f t="shared" si="415"/>
        <v>0</v>
      </c>
      <c r="BZ212" s="12">
        <f t="shared" si="415"/>
        <v>0</v>
      </c>
      <c r="CA212" s="12">
        <f t="shared" si="415"/>
        <v>0</v>
      </c>
      <c r="CB212" s="12">
        <f t="shared" si="415"/>
        <v>0</v>
      </c>
      <c r="CC212" s="12">
        <f t="shared" si="415"/>
        <v>0</v>
      </c>
      <c r="CD212" s="12">
        <f t="shared" si="415"/>
        <v>0</v>
      </c>
      <c r="CE212" s="12">
        <f t="shared" si="415"/>
        <v>0</v>
      </c>
      <c r="CF212" s="12">
        <f t="shared" si="415"/>
        <v>0</v>
      </c>
      <c r="CG212" s="12">
        <f t="shared" si="415"/>
        <v>0</v>
      </c>
      <c r="CH212" s="12">
        <f t="shared" si="415"/>
        <v>0</v>
      </c>
      <c r="CI212" s="12">
        <f t="shared" si="415"/>
        <v>0</v>
      </c>
      <c r="CK212" s="11"/>
      <c r="CM212" s="11"/>
      <c r="CW212" s="7">
        <f t="shared" si="370"/>
        <v>0</v>
      </c>
      <c r="CX212" s="7">
        <f t="shared" si="371"/>
        <v>0</v>
      </c>
      <c r="CY212" s="7">
        <f t="shared" si="372"/>
        <v>0</v>
      </c>
      <c r="CZ212" s="650"/>
      <c r="DA212" s="35"/>
      <c r="DB212" s="215">
        <f t="shared" si="373"/>
        <v>0</v>
      </c>
      <c r="DC212" s="215">
        <f t="shared" si="374"/>
        <v>0</v>
      </c>
      <c r="DD212" s="215">
        <f t="shared" si="375"/>
        <v>0</v>
      </c>
      <c r="DE212" s="215">
        <f t="shared" si="376"/>
        <v>0</v>
      </c>
      <c r="DF212" s="215">
        <f t="shared" si="377"/>
        <v>0</v>
      </c>
      <c r="DG212" s="215">
        <f t="shared" si="378"/>
        <v>0</v>
      </c>
      <c r="DH212" s="215">
        <f t="shared" si="379"/>
        <v>0</v>
      </c>
      <c r="DI212" s="35"/>
      <c r="DJ212">
        <v>0</v>
      </c>
      <c r="DK212">
        <v>0</v>
      </c>
      <c r="DL212" s="35"/>
      <c r="EZ212" s="10" t="str">
        <f t="shared" si="413"/>
        <v/>
      </c>
    </row>
    <row r="213" spans="1:156" x14ac:dyDescent="0.35">
      <c r="A213" s="220" cm="1">
        <f t="array" aca="1" ref="A213" ca="1">HYPERLINK(CONCATENATE("#",CELL("address",IF(MAX($CM213:$CZ213)=0,A213,INDEX($CM213:$CZ213,MATCH(1,$CM213:$CZ213,0))))),MAX($CM213:$CZ213))</f>
        <v>0</v>
      </c>
      <c r="C213" s="253"/>
      <c r="D213" s="5" t="s">
        <v>776</v>
      </c>
      <c r="E213" s="5" t="str">
        <f>Parameters!$D$48</f>
        <v>Other NCA</v>
      </c>
      <c r="G213" s="96"/>
      <c r="H213" s="9"/>
      <c r="V213" s="12">
        <f>SUMIFS(V195:V209, $E195:$E209, $E213)</f>
        <v>0</v>
      </c>
      <c r="W213" s="12">
        <f>SUMIFS(W195:W209, $E195:$E209, $E213)</f>
        <v>0</v>
      </c>
      <c r="X213" s="12">
        <f>SUMIFS(X195:X209, $E195:$E209, $E213)</f>
        <v>0</v>
      </c>
      <c r="Y213" s="12">
        <f>SUMIFS(Y195:Y209, $E195:$E209, $E213)</f>
        <v>0</v>
      </c>
      <c r="AA213" s="12">
        <f t="shared" ref="AA213:BJ213" si="416">SUMIFS(AA195:AA209, $E195:$E209, $E213)</f>
        <v>0</v>
      </c>
      <c r="AB213" s="12">
        <f t="shared" si="416"/>
        <v>0</v>
      </c>
      <c r="AC213" s="12">
        <f t="shared" si="416"/>
        <v>0</v>
      </c>
      <c r="AD213" s="12">
        <f t="shared" si="416"/>
        <v>0</v>
      </c>
      <c r="AE213" s="12">
        <f t="shared" si="416"/>
        <v>0</v>
      </c>
      <c r="AF213" s="12">
        <f t="shared" si="416"/>
        <v>0</v>
      </c>
      <c r="AG213" s="12">
        <f t="shared" si="416"/>
        <v>0</v>
      </c>
      <c r="AH213" s="12">
        <f t="shared" si="416"/>
        <v>0</v>
      </c>
      <c r="AI213" s="12">
        <f t="shared" si="416"/>
        <v>0</v>
      </c>
      <c r="AJ213" s="12">
        <f t="shared" si="416"/>
        <v>0</v>
      </c>
      <c r="AK213" s="12">
        <f t="shared" si="416"/>
        <v>0</v>
      </c>
      <c r="AL213" s="12">
        <f t="shared" si="416"/>
        <v>0</v>
      </c>
      <c r="AM213" s="12">
        <f t="shared" si="416"/>
        <v>0</v>
      </c>
      <c r="AN213" s="12">
        <f t="shared" si="416"/>
        <v>0</v>
      </c>
      <c r="AO213" s="12">
        <f t="shared" si="416"/>
        <v>0</v>
      </c>
      <c r="AP213" s="12">
        <f t="shared" si="416"/>
        <v>0</v>
      </c>
      <c r="AQ213" s="12">
        <f t="shared" si="416"/>
        <v>0</v>
      </c>
      <c r="AR213" s="12">
        <f t="shared" si="416"/>
        <v>0</v>
      </c>
      <c r="AS213" s="12">
        <f t="shared" si="416"/>
        <v>0</v>
      </c>
      <c r="AT213" s="12">
        <f t="shared" si="416"/>
        <v>0</v>
      </c>
      <c r="AU213" s="12">
        <f t="shared" si="416"/>
        <v>0</v>
      </c>
      <c r="AV213" s="12">
        <f t="shared" si="416"/>
        <v>0</v>
      </c>
      <c r="AW213" s="12">
        <f t="shared" si="416"/>
        <v>0</v>
      </c>
      <c r="AX213" s="12">
        <f t="shared" si="416"/>
        <v>0</v>
      </c>
      <c r="AY213" s="12">
        <f t="shared" si="416"/>
        <v>0</v>
      </c>
      <c r="AZ213" s="12">
        <f t="shared" si="416"/>
        <v>0</v>
      </c>
      <c r="BA213" s="12">
        <f t="shared" si="416"/>
        <v>0</v>
      </c>
      <c r="BB213" s="12">
        <f t="shared" si="416"/>
        <v>0</v>
      </c>
      <c r="BC213" s="12">
        <f t="shared" si="416"/>
        <v>0</v>
      </c>
      <c r="BD213" s="12">
        <f t="shared" si="416"/>
        <v>0</v>
      </c>
      <c r="BE213" s="12">
        <f t="shared" si="416"/>
        <v>0</v>
      </c>
      <c r="BF213" s="12">
        <f t="shared" si="416"/>
        <v>0</v>
      </c>
      <c r="BG213" s="12">
        <f t="shared" si="416"/>
        <v>0</v>
      </c>
      <c r="BH213" s="12">
        <f t="shared" si="416"/>
        <v>0</v>
      </c>
      <c r="BI213" s="12">
        <f t="shared" si="416"/>
        <v>0</v>
      </c>
      <c r="BJ213" s="12">
        <f t="shared" si="416"/>
        <v>0</v>
      </c>
      <c r="BK213" s="1"/>
      <c r="BL213" s="1"/>
      <c r="BM213" s="1"/>
      <c r="BN213" s="1"/>
      <c r="BO213" s="1"/>
      <c r="BP213" s="1"/>
      <c r="BQ213" s="1"/>
      <c r="BR213" s="1"/>
      <c r="BS213" s="1"/>
      <c r="BT213" s="1"/>
      <c r="BU213" s="1"/>
      <c r="BV213" s="1"/>
      <c r="BX213" s="12">
        <f t="shared" ref="BX213:CI213" si="417">SUMIFS(BX195:BX209, $E195:$E209, $E213)</f>
        <v>0</v>
      </c>
      <c r="BY213" s="12">
        <f t="shared" si="417"/>
        <v>0</v>
      </c>
      <c r="BZ213" s="12">
        <f t="shared" si="417"/>
        <v>0</v>
      </c>
      <c r="CA213" s="12">
        <f t="shared" si="417"/>
        <v>0</v>
      </c>
      <c r="CB213" s="12">
        <f t="shared" si="417"/>
        <v>0</v>
      </c>
      <c r="CC213" s="12">
        <f t="shared" si="417"/>
        <v>0</v>
      </c>
      <c r="CD213" s="12">
        <f t="shared" si="417"/>
        <v>0</v>
      </c>
      <c r="CE213" s="12">
        <f t="shared" si="417"/>
        <v>0</v>
      </c>
      <c r="CF213" s="12">
        <f t="shared" si="417"/>
        <v>0</v>
      </c>
      <c r="CG213" s="12">
        <f t="shared" si="417"/>
        <v>0</v>
      </c>
      <c r="CH213" s="12">
        <f t="shared" si="417"/>
        <v>0</v>
      </c>
      <c r="CI213" s="12">
        <f t="shared" si="417"/>
        <v>0</v>
      </c>
      <c r="CK213" s="11"/>
      <c r="CM213" s="11"/>
      <c r="CW213" s="7">
        <f t="shared" si="370"/>
        <v>0</v>
      </c>
      <c r="CX213" s="7">
        <f t="shared" si="371"/>
        <v>0</v>
      </c>
      <c r="CY213" s="7">
        <f t="shared" si="372"/>
        <v>0</v>
      </c>
      <c r="CZ213" s="650"/>
      <c r="DA213" s="35"/>
      <c r="DB213" s="215">
        <f t="shared" si="373"/>
        <v>0</v>
      </c>
      <c r="DC213" s="215">
        <f t="shared" si="374"/>
        <v>0</v>
      </c>
      <c r="DD213" s="215">
        <f t="shared" si="375"/>
        <v>0</v>
      </c>
      <c r="DE213" s="215">
        <f t="shared" si="376"/>
        <v>0</v>
      </c>
      <c r="DF213" s="215">
        <f t="shared" si="377"/>
        <v>0</v>
      </c>
      <c r="DG213" s="215">
        <f t="shared" si="378"/>
        <v>0</v>
      </c>
      <c r="DH213" s="215">
        <f t="shared" si="379"/>
        <v>0</v>
      </c>
      <c r="DI213" s="35"/>
      <c r="DJ213">
        <v>0</v>
      </c>
      <c r="DK213">
        <v>0</v>
      </c>
      <c r="DL213" s="35"/>
      <c r="EZ213" s="10" t="str">
        <f t="shared" si="413"/>
        <v/>
      </c>
    </row>
    <row r="214" spans="1:156" x14ac:dyDescent="0.35">
      <c r="A214" s="220" cm="1">
        <f t="array" aca="1" ref="A214" ca="1">HYPERLINK(CONCATENATE("#",CELL("address",IF(MAX($CM214:$CZ214)=0,A214,INDEX($CM214:$CZ214,MATCH(1,$CM214:$CZ214,0))))),MAX($CM214:$CZ214))</f>
        <v>0</v>
      </c>
      <c r="C214" s="253"/>
      <c r="D214" s="5" t="s">
        <v>878</v>
      </c>
      <c r="E214" s="5" t="str">
        <f>Parameters!$D$49</f>
        <v xml:space="preserve">Assets Held for Sale </v>
      </c>
      <c r="G214" s="96"/>
      <c r="H214" s="9"/>
      <c r="V214" s="12">
        <f>SUMIFS(V195:V209, $E195:$E209, $E214)</f>
        <v>0</v>
      </c>
      <c r="W214" s="12">
        <f>SUMIFS(W195:W209, $E195:$E209, $E214)</f>
        <v>0</v>
      </c>
      <c r="X214" s="12">
        <f>SUMIFS(X195:X209, $E195:$E209, $E214)</f>
        <v>0</v>
      </c>
      <c r="Y214" s="12">
        <f>SUMIFS(Y195:Y209, $E195:$E209, $E214)</f>
        <v>0</v>
      </c>
      <c r="AA214" s="12">
        <f t="shared" ref="AA214:BJ214" si="418">SUMIFS(AA195:AA209, $E195:$E209, $E214)</f>
        <v>0</v>
      </c>
      <c r="AB214" s="12">
        <f t="shared" si="418"/>
        <v>0</v>
      </c>
      <c r="AC214" s="12">
        <f t="shared" si="418"/>
        <v>0</v>
      </c>
      <c r="AD214" s="12">
        <f t="shared" si="418"/>
        <v>0</v>
      </c>
      <c r="AE214" s="12">
        <f t="shared" si="418"/>
        <v>0</v>
      </c>
      <c r="AF214" s="12">
        <f t="shared" si="418"/>
        <v>0</v>
      </c>
      <c r="AG214" s="12">
        <f t="shared" si="418"/>
        <v>0</v>
      </c>
      <c r="AH214" s="12">
        <f t="shared" si="418"/>
        <v>0</v>
      </c>
      <c r="AI214" s="12">
        <f t="shared" si="418"/>
        <v>0</v>
      </c>
      <c r="AJ214" s="12">
        <f t="shared" si="418"/>
        <v>0</v>
      </c>
      <c r="AK214" s="12">
        <f t="shared" si="418"/>
        <v>0</v>
      </c>
      <c r="AL214" s="12">
        <f t="shared" si="418"/>
        <v>0</v>
      </c>
      <c r="AM214" s="12">
        <f t="shared" si="418"/>
        <v>0</v>
      </c>
      <c r="AN214" s="12">
        <f t="shared" si="418"/>
        <v>0</v>
      </c>
      <c r="AO214" s="12">
        <f t="shared" si="418"/>
        <v>0</v>
      </c>
      <c r="AP214" s="12">
        <f t="shared" si="418"/>
        <v>0</v>
      </c>
      <c r="AQ214" s="12">
        <f t="shared" si="418"/>
        <v>0</v>
      </c>
      <c r="AR214" s="12">
        <f t="shared" si="418"/>
        <v>0</v>
      </c>
      <c r="AS214" s="12">
        <f t="shared" si="418"/>
        <v>0</v>
      </c>
      <c r="AT214" s="12">
        <f t="shared" si="418"/>
        <v>0</v>
      </c>
      <c r="AU214" s="12">
        <f t="shared" si="418"/>
        <v>0</v>
      </c>
      <c r="AV214" s="12">
        <f t="shared" si="418"/>
        <v>0</v>
      </c>
      <c r="AW214" s="12">
        <f t="shared" si="418"/>
        <v>0</v>
      </c>
      <c r="AX214" s="12">
        <f t="shared" si="418"/>
        <v>0</v>
      </c>
      <c r="AY214" s="12">
        <f t="shared" si="418"/>
        <v>0</v>
      </c>
      <c r="AZ214" s="12">
        <f t="shared" si="418"/>
        <v>0</v>
      </c>
      <c r="BA214" s="12">
        <f t="shared" si="418"/>
        <v>0</v>
      </c>
      <c r="BB214" s="12">
        <f t="shared" si="418"/>
        <v>0</v>
      </c>
      <c r="BC214" s="12">
        <f t="shared" si="418"/>
        <v>0</v>
      </c>
      <c r="BD214" s="12">
        <f t="shared" si="418"/>
        <v>0</v>
      </c>
      <c r="BE214" s="12">
        <f t="shared" si="418"/>
        <v>0</v>
      </c>
      <c r="BF214" s="12">
        <f t="shared" si="418"/>
        <v>0</v>
      </c>
      <c r="BG214" s="12">
        <f t="shared" si="418"/>
        <v>0</v>
      </c>
      <c r="BH214" s="12">
        <f t="shared" si="418"/>
        <v>0</v>
      </c>
      <c r="BI214" s="12">
        <f t="shared" si="418"/>
        <v>0</v>
      </c>
      <c r="BJ214" s="12">
        <f t="shared" si="418"/>
        <v>0</v>
      </c>
      <c r="BK214" s="1"/>
      <c r="BL214" s="1"/>
      <c r="BM214" s="1"/>
      <c r="BN214" s="1"/>
      <c r="BO214" s="1"/>
      <c r="BP214" s="1"/>
      <c r="BQ214" s="1"/>
      <c r="BR214" s="1"/>
      <c r="BS214" s="1"/>
      <c r="BT214" s="1"/>
      <c r="BU214" s="1"/>
      <c r="BV214" s="1"/>
      <c r="BX214" s="12">
        <f t="shared" ref="BX214:CI214" si="419">SUMIFS(BX195:BX209, $E195:$E209, $E214)</f>
        <v>0</v>
      </c>
      <c r="BY214" s="12">
        <f t="shared" si="419"/>
        <v>0</v>
      </c>
      <c r="BZ214" s="12">
        <f t="shared" si="419"/>
        <v>0</v>
      </c>
      <c r="CA214" s="12">
        <f t="shared" si="419"/>
        <v>0</v>
      </c>
      <c r="CB214" s="12">
        <f t="shared" si="419"/>
        <v>0</v>
      </c>
      <c r="CC214" s="12">
        <f t="shared" si="419"/>
        <v>0</v>
      </c>
      <c r="CD214" s="12">
        <f t="shared" si="419"/>
        <v>0</v>
      </c>
      <c r="CE214" s="12">
        <f t="shared" si="419"/>
        <v>0</v>
      </c>
      <c r="CF214" s="12">
        <f t="shared" si="419"/>
        <v>0</v>
      </c>
      <c r="CG214" s="12">
        <f t="shared" si="419"/>
        <v>0</v>
      </c>
      <c r="CH214" s="12">
        <f t="shared" si="419"/>
        <v>0</v>
      </c>
      <c r="CI214" s="12">
        <f t="shared" si="419"/>
        <v>0</v>
      </c>
      <c r="CK214" s="11"/>
      <c r="CM214" s="11"/>
      <c r="CW214" s="7">
        <f t="shared" si="370"/>
        <v>0</v>
      </c>
      <c r="CX214" s="7">
        <f t="shared" si="371"/>
        <v>0</v>
      </c>
      <c r="CY214" s="7">
        <f t="shared" si="372"/>
        <v>0</v>
      </c>
      <c r="CZ214" s="650"/>
      <c r="DA214" s="35"/>
      <c r="DB214" s="215">
        <f t="shared" si="373"/>
        <v>0</v>
      </c>
      <c r="DC214" s="215">
        <f t="shared" si="374"/>
        <v>0</v>
      </c>
      <c r="DD214" s="215">
        <f t="shared" si="375"/>
        <v>0</v>
      </c>
      <c r="DE214" s="215">
        <f t="shared" si="376"/>
        <v>0</v>
      </c>
      <c r="DF214" s="215">
        <f t="shared" si="377"/>
        <v>0</v>
      </c>
      <c r="DG214" s="215">
        <f t="shared" si="378"/>
        <v>0</v>
      </c>
      <c r="DH214" s="215">
        <f t="shared" si="379"/>
        <v>0</v>
      </c>
      <c r="DI214" s="35"/>
      <c r="DJ214">
        <v>0</v>
      </c>
      <c r="DK214">
        <v>0</v>
      </c>
      <c r="DL214" s="35"/>
      <c r="EZ214" s="10" t="str">
        <f t="shared" si="413"/>
        <v/>
      </c>
    </row>
    <row r="215" spans="1:156" x14ac:dyDescent="0.35">
      <c r="A215" s="220" cm="1">
        <f t="array" aca="1" ref="A215" ca="1">HYPERLINK(CONCATENATE("#",CELL("address",IF(MAX($CM215:$CZ215)=0,A215,INDEX($CM215:$CZ215,MATCH(1,$CM215:$CZ215,0))))),MAX($CM215:$CZ215))</f>
        <v>0</v>
      </c>
      <c r="C215" s="253"/>
      <c r="D215" s="5" t="s">
        <v>887</v>
      </c>
      <c r="E215" s="5" t="s">
        <v>778</v>
      </c>
      <c r="G215" s="96"/>
      <c r="H215" s="9"/>
      <c r="V215" s="12">
        <f>SUM(V210:V214)</f>
        <v>0</v>
      </c>
      <c r="W215" s="12">
        <f>SUM(W210:W214)</f>
        <v>0</v>
      </c>
      <c r="X215" s="12">
        <f>SUM(X210:X214)</f>
        <v>0</v>
      </c>
      <c r="Y215" s="12">
        <f>SUM(Y210:Y214)</f>
        <v>0</v>
      </c>
      <c r="AA215" s="12">
        <f t="shared" ref="AA215:BJ215" si="420">SUM(AA210:AA214)</f>
        <v>0</v>
      </c>
      <c r="AB215" s="12">
        <f t="shared" si="420"/>
        <v>0</v>
      </c>
      <c r="AC215" s="12">
        <f t="shared" si="420"/>
        <v>0</v>
      </c>
      <c r="AD215" s="12">
        <f t="shared" si="420"/>
        <v>0</v>
      </c>
      <c r="AE215" s="12">
        <f t="shared" si="420"/>
        <v>0</v>
      </c>
      <c r="AF215" s="12">
        <f t="shared" si="420"/>
        <v>0</v>
      </c>
      <c r="AG215" s="12">
        <f t="shared" si="420"/>
        <v>0</v>
      </c>
      <c r="AH215" s="12">
        <f t="shared" si="420"/>
        <v>0</v>
      </c>
      <c r="AI215" s="12">
        <f t="shared" si="420"/>
        <v>0</v>
      </c>
      <c r="AJ215" s="12">
        <f t="shared" si="420"/>
        <v>0</v>
      </c>
      <c r="AK215" s="12">
        <f t="shared" si="420"/>
        <v>0</v>
      </c>
      <c r="AL215" s="12">
        <f t="shared" si="420"/>
        <v>0</v>
      </c>
      <c r="AM215" s="12">
        <f t="shared" si="420"/>
        <v>0</v>
      </c>
      <c r="AN215" s="12">
        <f t="shared" si="420"/>
        <v>0</v>
      </c>
      <c r="AO215" s="12">
        <f t="shared" si="420"/>
        <v>0</v>
      </c>
      <c r="AP215" s="12">
        <f t="shared" si="420"/>
        <v>0</v>
      </c>
      <c r="AQ215" s="12">
        <f t="shared" si="420"/>
        <v>0</v>
      </c>
      <c r="AR215" s="12">
        <f t="shared" si="420"/>
        <v>0</v>
      </c>
      <c r="AS215" s="12">
        <f t="shared" si="420"/>
        <v>0</v>
      </c>
      <c r="AT215" s="12">
        <f t="shared" si="420"/>
        <v>0</v>
      </c>
      <c r="AU215" s="12">
        <f t="shared" si="420"/>
        <v>0</v>
      </c>
      <c r="AV215" s="12">
        <f t="shared" si="420"/>
        <v>0</v>
      </c>
      <c r="AW215" s="12">
        <f t="shared" si="420"/>
        <v>0</v>
      </c>
      <c r="AX215" s="12">
        <f t="shared" si="420"/>
        <v>0</v>
      </c>
      <c r="AY215" s="12">
        <f t="shared" si="420"/>
        <v>0</v>
      </c>
      <c r="AZ215" s="12">
        <f t="shared" si="420"/>
        <v>0</v>
      </c>
      <c r="BA215" s="12">
        <f t="shared" si="420"/>
        <v>0</v>
      </c>
      <c r="BB215" s="12">
        <f t="shared" si="420"/>
        <v>0</v>
      </c>
      <c r="BC215" s="12">
        <f t="shared" si="420"/>
        <v>0</v>
      </c>
      <c r="BD215" s="12">
        <f t="shared" si="420"/>
        <v>0</v>
      </c>
      <c r="BE215" s="12">
        <f t="shared" si="420"/>
        <v>0</v>
      </c>
      <c r="BF215" s="12">
        <f t="shared" si="420"/>
        <v>0</v>
      </c>
      <c r="BG215" s="12">
        <f t="shared" si="420"/>
        <v>0</v>
      </c>
      <c r="BH215" s="12">
        <f t="shared" si="420"/>
        <v>0</v>
      </c>
      <c r="BI215" s="12">
        <f t="shared" si="420"/>
        <v>0</v>
      </c>
      <c r="BJ215" s="12">
        <f t="shared" si="420"/>
        <v>0</v>
      </c>
      <c r="BK215" s="1"/>
      <c r="BL215" s="1"/>
      <c r="BM215" s="1"/>
      <c r="BN215" s="1"/>
      <c r="BO215" s="1"/>
      <c r="BP215" s="1"/>
      <c r="BQ215" s="1"/>
      <c r="BR215" s="1"/>
      <c r="BS215" s="1"/>
      <c r="BT215" s="1"/>
      <c r="BU215" s="1"/>
      <c r="BV215" s="1"/>
      <c r="BX215" s="12">
        <f t="shared" ref="BX215:CI215" si="421">SUM(BX210:BX214)</f>
        <v>0</v>
      </c>
      <c r="BY215" s="12">
        <f t="shared" si="421"/>
        <v>0</v>
      </c>
      <c r="BZ215" s="12">
        <f t="shared" si="421"/>
        <v>0</v>
      </c>
      <c r="CA215" s="12">
        <f t="shared" si="421"/>
        <v>0</v>
      </c>
      <c r="CB215" s="12">
        <f t="shared" si="421"/>
        <v>0</v>
      </c>
      <c r="CC215" s="12">
        <f t="shared" si="421"/>
        <v>0</v>
      </c>
      <c r="CD215" s="12">
        <f t="shared" si="421"/>
        <v>0</v>
      </c>
      <c r="CE215" s="12">
        <f t="shared" si="421"/>
        <v>0</v>
      </c>
      <c r="CF215" s="12">
        <f t="shared" si="421"/>
        <v>0</v>
      </c>
      <c r="CG215" s="12">
        <f t="shared" si="421"/>
        <v>0</v>
      </c>
      <c r="CH215" s="12">
        <f t="shared" si="421"/>
        <v>0</v>
      </c>
      <c r="CI215" s="12">
        <f t="shared" si="421"/>
        <v>0</v>
      </c>
      <c r="CK215" s="11"/>
      <c r="CM215" s="11"/>
      <c r="CV215" s="7">
        <f>IF(ROUND(SUM($V215:$CI215)-SUM($V195:$CI209), rounding)=0, 0, 1)</f>
        <v>0</v>
      </c>
      <c r="CW215" s="7">
        <f t="shared" si="370"/>
        <v>0</v>
      </c>
      <c r="CX215" s="7">
        <f t="shared" si="371"/>
        <v>0</v>
      </c>
      <c r="CY215" s="7">
        <f t="shared" si="372"/>
        <v>0</v>
      </c>
      <c r="CZ215" s="650"/>
      <c r="DA215" s="35"/>
      <c r="DB215" s="215">
        <f t="shared" si="373"/>
        <v>0</v>
      </c>
      <c r="DC215" s="215">
        <f t="shared" si="374"/>
        <v>0</v>
      </c>
      <c r="DD215" s="215">
        <f t="shared" si="375"/>
        <v>0</v>
      </c>
      <c r="DE215" s="215">
        <f t="shared" si="376"/>
        <v>0</v>
      </c>
      <c r="DF215" s="215">
        <f t="shared" si="377"/>
        <v>0</v>
      </c>
      <c r="DG215" s="215">
        <f t="shared" si="378"/>
        <v>0</v>
      </c>
      <c r="DH215" s="215">
        <f t="shared" si="379"/>
        <v>0</v>
      </c>
      <c r="DI215" s="35"/>
      <c r="DJ215">
        <v>0</v>
      </c>
      <c r="DK215">
        <v>0</v>
      </c>
      <c r="DL215" s="35"/>
      <c r="EZ215" s="10" t="str">
        <f t="shared" si="413"/>
        <v/>
      </c>
    </row>
    <row r="216" spans="1:156" ht="6.75" customHeight="1" x14ac:dyDescent="0.35">
      <c r="C216" s="253"/>
      <c r="D216" s="1"/>
      <c r="E216"/>
      <c r="BY216" s="6"/>
      <c r="CK216" s="35"/>
      <c r="CM216" s="35"/>
      <c r="CZ216" s="650"/>
      <c r="DA216" s="35"/>
      <c r="DB216" s="215"/>
      <c r="DC216" s="215"/>
      <c r="DD216" s="215"/>
      <c r="DE216" s="215"/>
      <c r="DF216" s="215"/>
      <c r="DG216" s="215"/>
      <c r="DH216" s="215"/>
      <c r="DI216" s="35"/>
      <c r="DJ216">
        <v>0</v>
      </c>
      <c r="DK216">
        <v>0</v>
      </c>
      <c r="DL216" s="35"/>
      <c r="EZ216" s="10" t="str">
        <f t="shared" si="413"/>
        <v/>
      </c>
    </row>
    <row r="217" spans="1:156" x14ac:dyDescent="0.35">
      <c r="A217" s="34"/>
      <c r="B217" s="34"/>
      <c r="C217" s="252"/>
      <c r="D217" s="34" t="s">
        <v>889</v>
      </c>
      <c r="E217" s="34"/>
      <c r="F217" s="34"/>
      <c r="G217" s="34"/>
      <c r="H217" s="34"/>
      <c r="I217" s="34"/>
      <c r="J217" s="34"/>
      <c r="K217" s="34"/>
      <c r="L217" s="34"/>
      <c r="M217" s="34"/>
      <c r="N217" s="34"/>
      <c r="O217" s="34"/>
      <c r="P217" s="34"/>
      <c r="Q217" s="34"/>
      <c r="R217" s="34"/>
      <c r="S217" s="34"/>
      <c r="T217" s="34"/>
      <c r="U217" s="34"/>
      <c r="V217" s="34"/>
      <c r="W217" s="34"/>
      <c r="X217" s="34"/>
      <c r="Y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5"/>
      <c r="CM217" s="35"/>
      <c r="CZ217" s="650"/>
      <c r="DA217" s="35"/>
      <c r="DI217" s="35"/>
      <c r="DJ217">
        <v>0</v>
      </c>
      <c r="DK217">
        <v>0</v>
      </c>
      <c r="DL217" s="35"/>
      <c r="EZ217" s="10" t="str">
        <f t="shared" si="413"/>
        <v/>
      </c>
    </row>
    <row r="218" spans="1:156" ht="6.75" customHeight="1" x14ac:dyDescent="0.35">
      <c r="C218" s="256"/>
      <c r="D218" s="1"/>
      <c r="E218"/>
      <c r="BY218" s="6"/>
      <c r="CK218" s="35"/>
      <c r="CM218" s="35"/>
      <c r="CZ218" s="650"/>
      <c r="DA218" s="35"/>
      <c r="DB218" s="5"/>
      <c r="DC218" s="5"/>
      <c r="DD218" s="5"/>
      <c r="DE218" s="5"/>
      <c r="DF218" s="5"/>
      <c r="DG218" s="5"/>
      <c r="DH218" s="5"/>
      <c r="DI218" s="35"/>
      <c r="DJ218">
        <v>0</v>
      </c>
      <c r="DK218">
        <v>0</v>
      </c>
      <c r="DL218" s="35"/>
      <c r="EZ218" s="10" t="str">
        <f t="shared" si="413"/>
        <v/>
      </c>
    </row>
    <row r="219" spans="1:156" x14ac:dyDescent="0.35">
      <c r="B219" s="5"/>
      <c r="C219" s="234"/>
      <c r="D219" s="24" t="str">
        <f>'Opening Balances'!D10</f>
        <v>Land &amp; Buildings</v>
      </c>
      <c r="E219"/>
      <c r="CK219" s="11"/>
      <c r="CM219" s="11"/>
      <c r="CZ219" s="650"/>
      <c r="DA219" s="35"/>
      <c r="DI219" s="35"/>
      <c r="DJ219">
        <v>0</v>
      </c>
      <c r="DK219">
        <v>0</v>
      </c>
      <c r="DL219" s="35"/>
      <c r="EZ219" s="10" t="str">
        <f t="shared" si="413"/>
        <v/>
      </c>
    </row>
    <row r="220" spans="1:156" s="5" customFormat="1" x14ac:dyDescent="0.35">
      <c r="A220"/>
      <c r="B220"/>
      <c r="C220" s="213" t="str">
        <f>CONCATENATE("II-",'Opening Balances'!$C$10)</f>
        <v>II-B-1a-OB</v>
      </c>
      <c r="D220" s="33" t="s">
        <v>890</v>
      </c>
      <c r="E220" s="33"/>
      <c r="F220"/>
      <c r="G220" s="8"/>
      <c r="H220" s="9" t="s">
        <v>620</v>
      </c>
      <c r="I220"/>
      <c r="J220"/>
      <c r="K220"/>
      <c r="L220"/>
      <c r="M220"/>
      <c r="N220"/>
      <c r="O220"/>
      <c r="P220"/>
      <c r="Q220"/>
      <c r="R220"/>
      <c r="S220"/>
      <c r="T220"/>
      <c r="U220"/>
      <c r="V220" s="12">
        <f>'Opening Balances'!$V$10</f>
        <v>0</v>
      </c>
      <c r="W220" s="10">
        <f>V229</f>
        <v>0</v>
      </c>
      <c r="X220" s="10">
        <f>W229</f>
        <v>0</v>
      </c>
      <c r="Y220" s="10">
        <f>X229</f>
        <v>0</v>
      </c>
      <c r="Z220"/>
      <c r="AA220" s="10">
        <f>W220</f>
        <v>0</v>
      </c>
      <c r="AB220" s="10">
        <f t="shared" ref="AB220:BJ220" si="422">AA229</f>
        <v>0</v>
      </c>
      <c r="AC220" s="10">
        <f t="shared" si="422"/>
        <v>0</v>
      </c>
      <c r="AD220" s="10">
        <f t="shared" si="422"/>
        <v>0</v>
      </c>
      <c r="AE220" s="10">
        <f t="shared" si="422"/>
        <v>0</v>
      </c>
      <c r="AF220" s="10">
        <f t="shared" si="422"/>
        <v>0</v>
      </c>
      <c r="AG220" s="10">
        <f t="shared" si="422"/>
        <v>0</v>
      </c>
      <c r="AH220" s="10">
        <f t="shared" si="422"/>
        <v>0</v>
      </c>
      <c r="AI220" s="10">
        <f t="shared" si="422"/>
        <v>0</v>
      </c>
      <c r="AJ220" s="10">
        <f t="shared" si="422"/>
        <v>0</v>
      </c>
      <c r="AK220" s="10">
        <f t="shared" si="422"/>
        <v>0</v>
      </c>
      <c r="AL220" s="10">
        <f t="shared" si="422"/>
        <v>0</v>
      </c>
      <c r="AM220" s="10">
        <f t="shared" si="422"/>
        <v>0</v>
      </c>
      <c r="AN220" s="10">
        <f t="shared" si="422"/>
        <v>0</v>
      </c>
      <c r="AO220" s="10">
        <f t="shared" si="422"/>
        <v>0</v>
      </c>
      <c r="AP220" s="10">
        <f t="shared" si="422"/>
        <v>0</v>
      </c>
      <c r="AQ220" s="10">
        <f t="shared" si="422"/>
        <v>0</v>
      </c>
      <c r="AR220" s="10">
        <f t="shared" si="422"/>
        <v>0</v>
      </c>
      <c r="AS220" s="10">
        <f t="shared" si="422"/>
        <v>0</v>
      </c>
      <c r="AT220" s="10">
        <f t="shared" si="422"/>
        <v>0</v>
      </c>
      <c r="AU220" s="10">
        <f t="shared" si="422"/>
        <v>0</v>
      </c>
      <c r="AV220" s="10">
        <f t="shared" si="422"/>
        <v>0</v>
      </c>
      <c r="AW220" s="10">
        <f t="shared" si="422"/>
        <v>0</v>
      </c>
      <c r="AX220" s="10">
        <f t="shared" si="422"/>
        <v>0</v>
      </c>
      <c r="AY220" s="10">
        <f t="shared" si="422"/>
        <v>0</v>
      </c>
      <c r="AZ220" s="10">
        <f t="shared" si="422"/>
        <v>0</v>
      </c>
      <c r="BA220" s="10">
        <f t="shared" si="422"/>
        <v>0</v>
      </c>
      <c r="BB220" s="10">
        <f t="shared" si="422"/>
        <v>0</v>
      </c>
      <c r="BC220" s="10">
        <f t="shared" si="422"/>
        <v>0</v>
      </c>
      <c r="BD220" s="10">
        <f t="shared" si="422"/>
        <v>0</v>
      </c>
      <c r="BE220" s="10">
        <f t="shared" si="422"/>
        <v>0</v>
      </c>
      <c r="BF220" s="10">
        <f t="shared" si="422"/>
        <v>0</v>
      </c>
      <c r="BG220" s="10">
        <f t="shared" si="422"/>
        <v>0</v>
      </c>
      <c r="BH220" s="10">
        <f t="shared" si="422"/>
        <v>0</v>
      </c>
      <c r="BI220" s="10">
        <f t="shared" si="422"/>
        <v>0</v>
      </c>
      <c r="BJ220" s="10">
        <f t="shared" si="422"/>
        <v>0</v>
      </c>
      <c r="BK220"/>
      <c r="BL220"/>
      <c r="BM220"/>
      <c r="BN220"/>
      <c r="BO220"/>
      <c r="BP220"/>
      <c r="BQ220"/>
      <c r="BR220"/>
      <c r="BS220"/>
      <c r="BT220"/>
      <c r="BU220"/>
      <c r="BV220"/>
      <c r="BW220"/>
      <c r="BX220" s="12">
        <f>V220</f>
        <v>0</v>
      </c>
      <c r="BY220" s="12">
        <f>W220</f>
        <v>0</v>
      </c>
      <c r="BZ220" s="12">
        <f>X220</f>
        <v>0</v>
      </c>
      <c r="CA220" s="12">
        <f>Y220</f>
        <v>0</v>
      </c>
      <c r="CB220" s="10">
        <f t="shared" ref="CB220:CI220" si="423">CA229</f>
        <v>0</v>
      </c>
      <c r="CC220" s="10">
        <f t="shared" si="423"/>
        <v>0</v>
      </c>
      <c r="CD220" s="10">
        <f t="shared" si="423"/>
        <v>0</v>
      </c>
      <c r="CE220" s="10">
        <f t="shared" si="423"/>
        <v>0</v>
      </c>
      <c r="CF220" s="10">
        <f t="shared" si="423"/>
        <v>0</v>
      </c>
      <c r="CG220" s="10">
        <f t="shared" si="423"/>
        <v>0</v>
      </c>
      <c r="CH220" s="10">
        <f t="shared" si="423"/>
        <v>0</v>
      </c>
      <c r="CI220" s="10">
        <f t="shared" si="423"/>
        <v>0</v>
      </c>
      <c r="CJ220"/>
      <c r="CK220" s="11"/>
      <c r="CL220"/>
      <c r="CM220" s="11"/>
      <c r="CN220"/>
      <c r="CO220"/>
      <c r="CP220"/>
      <c r="CQ220"/>
      <c r="CR220"/>
      <c r="CS220"/>
      <c r="CT220"/>
      <c r="CU220"/>
      <c r="CV220"/>
      <c r="CW220"/>
      <c r="CX220"/>
      <c r="CY220"/>
      <c r="CZ220" s="650"/>
      <c r="DA220" s="35"/>
      <c r="DB220"/>
      <c r="DC220"/>
      <c r="DD220"/>
      <c r="DE220"/>
      <c r="DF220"/>
      <c r="DG220"/>
      <c r="DH220"/>
      <c r="DI220" s="35"/>
      <c r="DJ220" s="5">
        <v>0</v>
      </c>
      <c r="DK220" s="5">
        <v>0</v>
      </c>
      <c r="DL220" s="35"/>
      <c r="EZ220" s="12" t="str">
        <f t="shared" ref="EZ220:EZ229" si="424">IF($C220="","",CONCATENATE(D$219, " ",$D220))</f>
        <v>Land &amp; Buildings Opening Balance</v>
      </c>
    </row>
    <row r="221" spans="1:156" x14ac:dyDescent="0.35">
      <c r="A221" s="220" cm="1">
        <f t="array" aca="1" ref="A221" ca="1">HYPERLINK(CONCATENATE("#",CELL("address",IF(MAX($CM221:$CZ221)=0,A221,INDEX($CM221:$CZ221,MATCH(1,$CM221:$CZ221,0))))),MAX($CM221:$CZ221))</f>
        <v>0</v>
      </c>
      <c r="C221" s="211" t="s">
        <v>891</v>
      </c>
      <c r="D221" s="33" t="s">
        <v>892</v>
      </c>
      <c r="E221" s="33"/>
      <c r="G221" s="8"/>
      <c r="H221" s="9" t="s">
        <v>620</v>
      </c>
      <c r="V221" s="133">
        <f>V$28</f>
        <v>0</v>
      </c>
      <c r="W221" s="10">
        <f>W$28</f>
        <v>0</v>
      </c>
      <c r="X221" s="10">
        <f>X$28</f>
        <v>0</v>
      </c>
      <c r="Y221" s="10">
        <f>Y$28</f>
        <v>0</v>
      </c>
      <c r="AA221" s="10">
        <f t="shared" ref="AA221:BJ221" si="425">AA$28</f>
        <v>0</v>
      </c>
      <c r="AB221" s="10">
        <f t="shared" si="425"/>
        <v>0</v>
      </c>
      <c r="AC221" s="10">
        <f t="shared" si="425"/>
        <v>0</v>
      </c>
      <c r="AD221" s="10">
        <f t="shared" si="425"/>
        <v>0</v>
      </c>
      <c r="AE221" s="10">
        <f t="shared" si="425"/>
        <v>0</v>
      </c>
      <c r="AF221" s="10">
        <f t="shared" si="425"/>
        <v>0</v>
      </c>
      <c r="AG221" s="10">
        <f t="shared" si="425"/>
        <v>0</v>
      </c>
      <c r="AH221" s="10">
        <f t="shared" si="425"/>
        <v>0</v>
      </c>
      <c r="AI221" s="10">
        <f t="shared" si="425"/>
        <v>0</v>
      </c>
      <c r="AJ221" s="10">
        <f t="shared" si="425"/>
        <v>0</v>
      </c>
      <c r="AK221" s="10">
        <f t="shared" si="425"/>
        <v>0</v>
      </c>
      <c r="AL221" s="10">
        <f t="shared" si="425"/>
        <v>0</v>
      </c>
      <c r="AM221" s="10">
        <f t="shared" si="425"/>
        <v>0</v>
      </c>
      <c r="AN221" s="10">
        <f t="shared" si="425"/>
        <v>0</v>
      </c>
      <c r="AO221" s="10">
        <f t="shared" si="425"/>
        <v>0</v>
      </c>
      <c r="AP221" s="10">
        <f t="shared" si="425"/>
        <v>0</v>
      </c>
      <c r="AQ221" s="10">
        <f t="shared" si="425"/>
        <v>0</v>
      </c>
      <c r="AR221" s="10">
        <f t="shared" si="425"/>
        <v>0</v>
      </c>
      <c r="AS221" s="10">
        <f t="shared" si="425"/>
        <v>0</v>
      </c>
      <c r="AT221" s="10">
        <f t="shared" si="425"/>
        <v>0</v>
      </c>
      <c r="AU221" s="10">
        <f t="shared" si="425"/>
        <v>0</v>
      </c>
      <c r="AV221" s="10">
        <f t="shared" si="425"/>
        <v>0</v>
      </c>
      <c r="AW221" s="10">
        <f t="shared" si="425"/>
        <v>0</v>
      </c>
      <c r="AX221" s="10">
        <f t="shared" si="425"/>
        <v>0</v>
      </c>
      <c r="AY221" s="10">
        <f t="shared" si="425"/>
        <v>0</v>
      </c>
      <c r="AZ221" s="10">
        <f t="shared" si="425"/>
        <v>0</v>
      </c>
      <c r="BA221" s="10">
        <f t="shared" si="425"/>
        <v>0</v>
      </c>
      <c r="BB221" s="10">
        <f t="shared" si="425"/>
        <v>0</v>
      </c>
      <c r="BC221" s="10">
        <f t="shared" si="425"/>
        <v>0</v>
      </c>
      <c r="BD221" s="10">
        <f t="shared" si="425"/>
        <v>0</v>
      </c>
      <c r="BE221" s="10">
        <f t="shared" si="425"/>
        <v>0</v>
      </c>
      <c r="BF221" s="10">
        <f t="shared" si="425"/>
        <v>0</v>
      </c>
      <c r="BG221" s="10">
        <f t="shared" si="425"/>
        <v>0</v>
      </c>
      <c r="BH221" s="10">
        <f t="shared" si="425"/>
        <v>0</v>
      </c>
      <c r="BI221" s="10">
        <f t="shared" si="425"/>
        <v>0</v>
      </c>
      <c r="BJ221" s="10">
        <f t="shared" si="425"/>
        <v>0</v>
      </c>
      <c r="BX221" s="10">
        <f t="shared" ref="BX221:CI221" si="426">BX$28</f>
        <v>0</v>
      </c>
      <c r="BY221" s="10">
        <f t="shared" si="426"/>
        <v>0</v>
      </c>
      <c r="BZ221" s="10">
        <f t="shared" si="426"/>
        <v>0</v>
      </c>
      <c r="CA221" s="10">
        <f t="shared" si="426"/>
        <v>0</v>
      </c>
      <c r="CB221" s="10">
        <f t="shared" si="426"/>
        <v>0</v>
      </c>
      <c r="CC221" s="10">
        <f t="shared" si="426"/>
        <v>0</v>
      </c>
      <c r="CD221" s="10">
        <f t="shared" si="426"/>
        <v>0</v>
      </c>
      <c r="CE221" s="10">
        <f t="shared" si="426"/>
        <v>0</v>
      </c>
      <c r="CF221" s="10">
        <f t="shared" si="426"/>
        <v>0</v>
      </c>
      <c r="CG221" s="10">
        <f t="shared" si="426"/>
        <v>0</v>
      </c>
      <c r="CH221" s="10">
        <f t="shared" si="426"/>
        <v>0</v>
      </c>
      <c r="CI221" s="10">
        <f t="shared" si="426"/>
        <v>0</v>
      </c>
      <c r="CK221" s="11"/>
      <c r="CL221" s="221">
        <f>IF(MIN($V221:$CI221)&lt;0, 1, 0)</f>
        <v>0</v>
      </c>
      <c r="CM221" s="11"/>
      <c r="CW221" s="7">
        <f t="shared" ref="CW221:CW229" si="427">IF(SUM($DB221:$DD221)=0, 0, 1)</f>
        <v>0</v>
      </c>
      <c r="CX221" s="7">
        <f t="shared" ref="CX221:CX229" si="428">IF(SUM($DE221:$DG221)=0, 0, 1)</f>
        <v>0</v>
      </c>
      <c r="CY221" s="7">
        <f t="shared" ref="CY221:CY229" si="429">IF($DH221=0, 0, 1)</f>
        <v>0</v>
      </c>
      <c r="CZ221" s="650"/>
      <c r="DA221" s="35"/>
      <c r="DB221" s="215">
        <f t="shared" ref="DB221:DD228" si="430">ROUND(W221-SUMIFS($AA221:$BJ221, $AA$3:$BJ$3, W$3), rounding)</f>
        <v>0</v>
      </c>
      <c r="DC221" s="215">
        <f t="shared" si="430"/>
        <v>0</v>
      </c>
      <c r="DD221" s="215">
        <f t="shared" si="430"/>
        <v>0</v>
      </c>
      <c r="DE221" s="215">
        <f t="shared" ref="DE221:DE228" si="431">ROUND($BY221-SUMIFS($AA221:$BJ221, $AA$3:$BJ$3, $BY$3), rounding)</f>
        <v>0</v>
      </c>
      <c r="DF221" s="215">
        <f t="shared" ref="DF221:DF228" si="432">ROUND($BZ221-SUMIFS($AA221:$BJ221, $AA$3:$BJ$3, $BZ$3), rounding)</f>
        <v>0</v>
      </c>
      <c r="DG221" s="215">
        <f t="shared" ref="DG221:DG228" si="433">ROUND($CA221-SUMIFS($AA221:$BJ221, $AA$3:$BJ$3, $CA$3), rounding)</f>
        <v>0</v>
      </c>
      <c r="DH221" s="215">
        <f t="shared" ref="DH221:DH229" si="434">ROUND($V221-$BX221, rounding)</f>
        <v>0</v>
      </c>
      <c r="DI221" s="35"/>
      <c r="DJ221">
        <v>0</v>
      </c>
      <c r="DK221">
        <v>0</v>
      </c>
      <c r="DL221" s="35"/>
      <c r="EZ221" s="12" t="str">
        <f t="shared" si="424"/>
        <v>Land &amp; Buildings Additions (incl. donations)</v>
      </c>
    </row>
    <row r="222" spans="1:156" x14ac:dyDescent="0.35">
      <c r="A222" s="220" cm="1">
        <f t="array" aca="1" ref="A222" ca="1">HYPERLINK(CONCATENATE("#",CELL("address",IF(MAX($CM222:$CZ222)=0,A222,INDEX($CM222:$CZ222,MATCH(1,$CM222:$CZ222,0))))),MAX($CM222:$CZ222))</f>
        <v>0</v>
      </c>
      <c r="C222" s="211" t="s">
        <v>893</v>
      </c>
      <c r="D222" s="33" t="s">
        <v>798</v>
      </c>
      <c r="E222" s="33"/>
      <c r="G222" s="8"/>
      <c r="H222" s="9" t="s">
        <v>620</v>
      </c>
      <c r="V222" s="133">
        <f>V$75</f>
        <v>0</v>
      </c>
      <c r="W222" s="10">
        <f>W$75</f>
        <v>0</v>
      </c>
      <c r="X222" s="10">
        <f>X$75</f>
        <v>0</v>
      </c>
      <c r="Y222" s="10">
        <f>Y$75</f>
        <v>0</v>
      </c>
      <c r="AA222" s="10">
        <f t="shared" ref="AA222:BJ222" si="435">AA$75</f>
        <v>0</v>
      </c>
      <c r="AB222" s="10">
        <f t="shared" si="435"/>
        <v>0</v>
      </c>
      <c r="AC222" s="10">
        <f t="shared" si="435"/>
        <v>0</v>
      </c>
      <c r="AD222" s="10">
        <f t="shared" si="435"/>
        <v>0</v>
      </c>
      <c r="AE222" s="10">
        <f t="shared" si="435"/>
        <v>0</v>
      </c>
      <c r="AF222" s="10">
        <f t="shared" si="435"/>
        <v>0</v>
      </c>
      <c r="AG222" s="10">
        <f t="shared" si="435"/>
        <v>0</v>
      </c>
      <c r="AH222" s="10">
        <f t="shared" si="435"/>
        <v>0</v>
      </c>
      <c r="AI222" s="10">
        <f t="shared" si="435"/>
        <v>0</v>
      </c>
      <c r="AJ222" s="10">
        <f t="shared" si="435"/>
        <v>0</v>
      </c>
      <c r="AK222" s="10">
        <f t="shared" si="435"/>
        <v>0</v>
      </c>
      <c r="AL222" s="10">
        <f t="shared" si="435"/>
        <v>0</v>
      </c>
      <c r="AM222" s="10">
        <f t="shared" si="435"/>
        <v>0</v>
      </c>
      <c r="AN222" s="10">
        <f t="shared" si="435"/>
        <v>0</v>
      </c>
      <c r="AO222" s="10">
        <f t="shared" si="435"/>
        <v>0</v>
      </c>
      <c r="AP222" s="10">
        <f t="shared" si="435"/>
        <v>0</v>
      </c>
      <c r="AQ222" s="10">
        <f t="shared" si="435"/>
        <v>0</v>
      </c>
      <c r="AR222" s="10">
        <f t="shared" si="435"/>
        <v>0</v>
      </c>
      <c r="AS222" s="10">
        <f t="shared" si="435"/>
        <v>0</v>
      </c>
      <c r="AT222" s="10">
        <f t="shared" si="435"/>
        <v>0</v>
      </c>
      <c r="AU222" s="10">
        <f t="shared" si="435"/>
        <v>0</v>
      </c>
      <c r="AV222" s="10">
        <f t="shared" si="435"/>
        <v>0</v>
      </c>
      <c r="AW222" s="10">
        <f t="shared" si="435"/>
        <v>0</v>
      </c>
      <c r="AX222" s="10">
        <f t="shared" si="435"/>
        <v>0</v>
      </c>
      <c r="AY222" s="10">
        <f t="shared" si="435"/>
        <v>0</v>
      </c>
      <c r="AZ222" s="10">
        <f t="shared" si="435"/>
        <v>0</v>
      </c>
      <c r="BA222" s="10">
        <f t="shared" si="435"/>
        <v>0</v>
      </c>
      <c r="BB222" s="10">
        <f t="shared" si="435"/>
        <v>0</v>
      </c>
      <c r="BC222" s="10">
        <f t="shared" si="435"/>
        <v>0</v>
      </c>
      <c r="BD222" s="10">
        <f t="shared" si="435"/>
        <v>0</v>
      </c>
      <c r="BE222" s="10">
        <f t="shared" si="435"/>
        <v>0</v>
      </c>
      <c r="BF222" s="10">
        <f t="shared" si="435"/>
        <v>0</v>
      </c>
      <c r="BG222" s="10">
        <f t="shared" si="435"/>
        <v>0</v>
      </c>
      <c r="BH222" s="10">
        <f t="shared" si="435"/>
        <v>0</v>
      </c>
      <c r="BI222" s="10">
        <f t="shared" si="435"/>
        <v>0</v>
      </c>
      <c r="BJ222" s="10">
        <f t="shared" si="435"/>
        <v>0</v>
      </c>
      <c r="BX222" s="10">
        <f t="shared" ref="BX222:CI222" si="436">BX$75</f>
        <v>0</v>
      </c>
      <c r="BY222" s="10">
        <f t="shared" si="436"/>
        <v>0</v>
      </c>
      <c r="BZ222" s="10">
        <f t="shared" si="436"/>
        <v>0</v>
      </c>
      <c r="CA222" s="10">
        <f t="shared" si="436"/>
        <v>0</v>
      </c>
      <c r="CB222" s="10">
        <f t="shared" si="436"/>
        <v>0</v>
      </c>
      <c r="CC222" s="10">
        <f t="shared" si="436"/>
        <v>0</v>
      </c>
      <c r="CD222" s="10">
        <f t="shared" si="436"/>
        <v>0</v>
      </c>
      <c r="CE222" s="10">
        <f t="shared" si="436"/>
        <v>0</v>
      </c>
      <c r="CF222" s="10">
        <f t="shared" si="436"/>
        <v>0</v>
      </c>
      <c r="CG222" s="10">
        <f t="shared" si="436"/>
        <v>0</v>
      </c>
      <c r="CH222" s="10">
        <f t="shared" si="436"/>
        <v>0</v>
      </c>
      <c r="CI222" s="10">
        <f t="shared" si="436"/>
        <v>0</v>
      </c>
      <c r="CK222" s="11"/>
      <c r="CL222" s="221">
        <f>IF(MIN($V222:$CI222)&lt;0, 1, 0)</f>
        <v>0</v>
      </c>
      <c r="CM222" s="11"/>
      <c r="CW222" s="7">
        <f t="shared" si="427"/>
        <v>0</v>
      </c>
      <c r="CX222" s="7">
        <f t="shared" si="428"/>
        <v>0</v>
      </c>
      <c r="CY222" s="7">
        <f t="shared" si="429"/>
        <v>0</v>
      </c>
      <c r="CZ222" s="650"/>
      <c r="DA222" s="35"/>
      <c r="DB222" s="215">
        <f t="shared" si="430"/>
        <v>0</v>
      </c>
      <c r="DC222" s="215">
        <f t="shared" si="430"/>
        <v>0</v>
      </c>
      <c r="DD222" s="215">
        <f t="shared" si="430"/>
        <v>0</v>
      </c>
      <c r="DE222" s="215">
        <f t="shared" si="431"/>
        <v>0</v>
      </c>
      <c r="DF222" s="215">
        <f t="shared" si="432"/>
        <v>0</v>
      </c>
      <c r="DG222" s="215">
        <f t="shared" si="433"/>
        <v>0</v>
      </c>
      <c r="DH222" s="215">
        <f t="shared" si="434"/>
        <v>0</v>
      </c>
      <c r="DI222" s="35"/>
      <c r="DJ222">
        <v>0</v>
      </c>
      <c r="DK222">
        <v>0</v>
      </c>
      <c r="DL222" s="35"/>
      <c r="EZ222" s="12" t="str">
        <f t="shared" si="424"/>
        <v>Land &amp; Buildings Movement from Assets under Construction</v>
      </c>
    </row>
    <row r="223" spans="1:156" x14ac:dyDescent="0.35">
      <c r="A223" s="220" cm="1">
        <f t="array" aca="1" ref="A223" ca="1">HYPERLINK(CONCATENATE("#",CELL("address",IF(MAX($CM223:$CZ223)=0,A223,INDEX($CM223:$CZ223,MATCH(1,$CM223:$CZ223,0))))),MAX($CM223:$CZ223))</f>
        <v>0</v>
      </c>
      <c r="C223" s="211" t="s">
        <v>894</v>
      </c>
      <c r="D223" s="33" t="s">
        <v>895</v>
      </c>
      <c r="E223" s="33"/>
      <c r="G223" s="8"/>
      <c r="H223" s="9" t="s">
        <v>620</v>
      </c>
      <c r="V223" s="10">
        <f>V$100</f>
        <v>0</v>
      </c>
      <c r="W223" s="10">
        <f>W$100</f>
        <v>0</v>
      </c>
      <c r="X223" s="10">
        <f>X$100</f>
        <v>0</v>
      </c>
      <c r="Y223" s="10">
        <f>Y$100</f>
        <v>0</v>
      </c>
      <c r="AA223" s="10">
        <f t="shared" ref="AA223:BJ223" si="437">AA$100</f>
        <v>0</v>
      </c>
      <c r="AB223" s="10">
        <f t="shared" si="437"/>
        <v>0</v>
      </c>
      <c r="AC223" s="10">
        <f t="shared" si="437"/>
        <v>0</v>
      </c>
      <c r="AD223" s="10">
        <f t="shared" si="437"/>
        <v>0</v>
      </c>
      <c r="AE223" s="10">
        <f t="shared" si="437"/>
        <v>0</v>
      </c>
      <c r="AF223" s="10">
        <f t="shared" si="437"/>
        <v>0</v>
      </c>
      <c r="AG223" s="10">
        <f t="shared" si="437"/>
        <v>0</v>
      </c>
      <c r="AH223" s="10">
        <f t="shared" si="437"/>
        <v>0</v>
      </c>
      <c r="AI223" s="10">
        <f t="shared" si="437"/>
        <v>0</v>
      </c>
      <c r="AJ223" s="10">
        <f t="shared" si="437"/>
        <v>0</v>
      </c>
      <c r="AK223" s="10">
        <f t="shared" si="437"/>
        <v>0</v>
      </c>
      <c r="AL223" s="10">
        <f t="shared" si="437"/>
        <v>0</v>
      </c>
      <c r="AM223" s="10">
        <f t="shared" si="437"/>
        <v>0</v>
      </c>
      <c r="AN223" s="10">
        <f t="shared" si="437"/>
        <v>0</v>
      </c>
      <c r="AO223" s="10">
        <f t="shared" si="437"/>
        <v>0</v>
      </c>
      <c r="AP223" s="10">
        <f t="shared" si="437"/>
        <v>0</v>
      </c>
      <c r="AQ223" s="10">
        <f t="shared" si="437"/>
        <v>0</v>
      </c>
      <c r="AR223" s="10">
        <f t="shared" si="437"/>
        <v>0</v>
      </c>
      <c r="AS223" s="10">
        <f t="shared" si="437"/>
        <v>0</v>
      </c>
      <c r="AT223" s="10">
        <f t="shared" si="437"/>
        <v>0</v>
      </c>
      <c r="AU223" s="10">
        <f t="shared" si="437"/>
        <v>0</v>
      </c>
      <c r="AV223" s="10">
        <f t="shared" si="437"/>
        <v>0</v>
      </c>
      <c r="AW223" s="10">
        <f t="shared" si="437"/>
        <v>0</v>
      </c>
      <c r="AX223" s="10">
        <f t="shared" si="437"/>
        <v>0</v>
      </c>
      <c r="AY223" s="10">
        <f t="shared" si="437"/>
        <v>0</v>
      </c>
      <c r="AZ223" s="10">
        <f t="shared" si="437"/>
        <v>0</v>
      </c>
      <c r="BA223" s="10">
        <f t="shared" si="437"/>
        <v>0</v>
      </c>
      <c r="BB223" s="10">
        <f t="shared" si="437"/>
        <v>0</v>
      </c>
      <c r="BC223" s="10">
        <f t="shared" si="437"/>
        <v>0</v>
      </c>
      <c r="BD223" s="10">
        <f t="shared" si="437"/>
        <v>0</v>
      </c>
      <c r="BE223" s="10">
        <f t="shared" si="437"/>
        <v>0</v>
      </c>
      <c r="BF223" s="10">
        <f t="shared" si="437"/>
        <v>0</v>
      </c>
      <c r="BG223" s="10">
        <f t="shared" si="437"/>
        <v>0</v>
      </c>
      <c r="BH223" s="10">
        <f t="shared" si="437"/>
        <v>0</v>
      </c>
      <c r="BI223" s="10">
        <f t="shared" si="437"/>
        <v>0</v>
      </c>
      <c r="BJ223" s="10">
        <f t="shared" si="437"/>
        <v>0</v>
      </c>
      <c r="BX223" s="10">
        <f t="shared" ref="BX223:CI223" si="438">BX$100</f>
        <v>0</v>
      </c>
      <c r="BY223" s="10">
        <f t="shared" si="438"/>
        <v>0</v>
      </c>
      <c r="BZ223" s="10">
        <f t="shared" si="438"/>
        <v>0</v>
      </c>
      <c r="CA223" s="10">
        <f t="shared" si="438"/>
        <v>0</v>
      </c>
      <c r="CB223" s="10">
        <f t="shared" si="438"/>
        <v>0</v>
      </c>
      <c r="CC223" s="10">
        <f t="shared" si="438"/>
        <v>0</v>
      </c>
      <c r="CD223" s="10">
        <f t="shared" si="438"/>
        <v>0</v>
      </c>
      <c r="CE223" s="10">
        <f t="shared" si="438"/>
        <v>0</v>
      </c>
      <c r="CF223" s="10">
        <f t="shared" si="438"/>
        <v>0</v>
      </c>
      <c r="CG223" s="10">
        <f t="shared" si="438"/>
        <v>0</v>
      </c>
      <c r="CH223" s="10">
        <f t="shared" si="438"/>
        <v>0</v>
      </c>
      <c r="CI223" s="10">
        <f t="shared" si="438"/>
        <v>0</v>
      </c>
      <c r="CK223" s="11"/>
      <c r="CM223" s="11"/>
      <c r="CW223" s="7">
        <f t="shared" si="427"/>
        <v>0</v>
      </c>
      <c r="CX223" s="7">
        <f t="shared" si="428"/>
        <v>0</v>
      </c>
      <c r="CY223" s="7">
        <f t="shared" si="429"/>
        <v>0</v>
      </c>
      <c r="CZ223" s="650"/>
      <c r="DA223" s="35"/>
      <c r="DB223" s="215">
        <f t="shared" si="430"/>
        <v>0</v>
      </c>
      <c r="DC223" s="215">
        <f t="shared" si="430"/>
        <v>0</v>
      </c>
      <c r="DD223" s="215">
        <f t="shared" si="430"/>
        <v>0</v>
      </c>
      <c r="DE223" s="215">
        <f t="shared" si="431"/>
        <v>0</v>
      </c>
      <c r="DF223" s="215">
        <f t="shared" si="432"/>
        <v>0</v>
      </c>
      <c r="DG223" s="215">
        <f t="shared" si="433"/>
        <v>0</v>
      </c>
      <c r="DH223" s="215">
        <f t="shared" si="434"/>
        <v>0</v>
      </c>
      <c r="DI223" s="35"/>
      <c r="DJ223">
        <v>0</v>
      </c>
      <c r="DK223">
        <v>0</v>
      </c>
      <c r="DL223" s="35"/>
      <c r="EZ223" s="12" t="str">
        <f t="shared" si="424"/>
        <v>Land &amp; Buildings Surplus/Loss on Revaluation</v>
      </c>
    </row>
    <row r="224" spans="1:156" x14ac:dyDescent="0.35">
      <c r="A224" s="220" cm="1">
        <f t="array" aca="1" ref="A224" ca="1">HYPERLINK(CONCATENATE("#",CELL("address",IF(MAX($CM224:$CZ224)=0,A224,INDEX($CM224:$CZ224,MATCH(1,$CM224:$CZ224,0))))),MAX($CM224:$CZ224))</f>
        <v>0</v>
      </c>
      <c r="C224" s="211" t="s">
        <v>896</v>
      </c>
      <c r="D224" s="33" t="s">
        <v>841</v>
      </c>
      <c r="E224" s="33"/>
      <c r="G224" s="8"/>
      <c r="H224" s="9" t="s">
        <v>646</v>
      </c>
      <c r="V224" s="10">
        <f>V$126</f>
        <v>0</v>
      </c>
      <c r="W224" s="10">
        <f>W$126</f>
        <v>0</v>
      </c>
      <c r="X224" s="10">
        <f>X$126</f>
        <v>0</v>
      </c>
      <c r="Y224" s="10">
        <f>Y$126</f>
        <v>0</v>
      </c>
      <c r="AA224" s="10">
        <f t="shared" ref="AA224:BJ224" si="439">AA$126</f>
        <v>0</v>
      </c>
      <c r="AB224" s="10">
        <f t="shared" si="439"/>
        <v>0</v>
      </c>
      <c r="AC224" s="10">
        <f t="shared" si="439"/>
        <v>0</v>
      </c>
      <c r="AD224" s="10">
        <f t="shared" si="439"/>
        <v>0</v>
      </c>
      <c r="AE224" s="10">
        <f t="shared" si="439"/>
        <v>0</v>
      </c>
      <c r="AF224" s="10">
        <f t="shared" si="439"/>
        <v>0</v>
      </c>
      <c r="AG224" s="10">
        <f t="shared" si="439"/>
        <v>0</v>
      </c>
      <c r="AH224" s="10">
        <f t="shared" si="439"/>
        <v>0</v>
      </c>
      <c r="AI224" s="10">
        <f t="shared" si="439"/>
        <v>0</v>
      </c>
      <c r="AJ224" s="10">
        <f t="shared" si="439"/>
        <v>0</v>
      </c>
      <c r="AK224" s="10">
        <f t="shared" si="439"/>
        <v>0</v>
      </c>
      <c r="AL224" s="10">
        <f t="shared" si="439"/>
        <v>0</v>
      </c>
      <c r="AM224" s="10">
        <f t="shared" si="439"/>
        <v>0</v>
      </c>
      <c r="AN224" s="10">
        <f t="shared" si="439"/>
        <v>0</v>
      </c>
      <c r="AO224" s="10">
        <f t="shared" si="439"/>
        <v>0</v>
      </c>
      <c r="AP224" s="10">
        <f t="shared" si="439"/>
        <v>0</v>
      </c>
      <c r="AQ224" s="10">
        <f t="shared" si="439"/>
        <v>0</v>
      </c>
      <c r="AR224" s="10">
        <f t="shared" si="439"/>
        <v>0</v>
      </c>
      <c r="AS224" s="10">
        <f t="shared" si="439"/>
        <v>0</v>
      </c>
      <c r="AT224" s="10">
        <f t="shared" si="439"/>
        <v>0</v>
      </c>
      <c r="AU224" s="10">
        <f t="shared" si="439"/>
        <v>0</v>
      </c>
      <c r="AV224" s="10">
        <f t="shared" si="439"/>
        <v>0</v>
      </c>
      <c r="AW224" s="10">
        <f t="shared" si="439"/>
        <v>0</v>
      </c>
      <c r="AX224" s="10">
        <f t="shared" si="439"/>
        <v>0</v>
      </c>
      <c r="AY224" s="10">
        <f t="shared" si="439"/>
        <v>0</v>
      </c>
      <c r="AZ224" s="10">
        <f t="shared" si="439"/>
        <v>0</v>
      </c>
      <c r="BA224" s="10">
        <f t="shared" si="439"/>
        <v>0</v>
      </c>
      <c r="BB224" s="10">
        <f t="shared" si="439"/>
        <v>0</v>
      </c>
      <c r="BC224" s="10">
        <f t="shared" si="439"/>
        <v>0</v>
      </c>
      <c r="BD224" s="10">
        <f t="shared" si="439"/>
        <v>0</v>
      </c>
      <c r="BE224" s="10">
        <f t="shared" si="439"/>
        <v>0</v>
      </c>
      <c r="BF224" s="10">
        <f t="shared" si="439"/>
        <v>0</v>
      </c>
      <c r="BG224" s="10">
        <f t="shared" si="439"/>
        <v>0</v>
      </c>
      <c r="BH224" s="10">
        <f t="shared" si="439"/>
        <v>0</v>
      </c>
      <c r="BI224" s="10">
        <f t="shared" si="439"/>
        <v>0</v>
      </c>
      <c r="BJ224" s="10">
        <f t="shared" si="439"/>
        <v>0</v>
      </c>
      <c r="BX224" s="10">
        <f t="shared" ref="BX224:CI224" si="440">BX$126</f>
        <v>0</v>
      </c>
      <c r="BY224" s="10">
        <f t="shared" si="440"/>
        <v>0</v>
      </c>
      <c r="BZ224" s="10">
        <f t="shared" si="440"/>
        <v>0</v>
      </c>
      <c r="CA224" s="10">
        <f t="shared" si="440"/>
        <v>0</v>
      </c>
      <c r="CB224" s="10">
        <f t="shared" si="440"/>
        <v>0</v>
      </c>
      <c r="CC224" s="10">
        <f t="shared" si="440"/>
        <v>0</v>
      </c>
      <c r="CD224" s="10">
        <f t="shared" si="440"/>
        <v>0</v>
      </c>
      <c r="CE224" s="10">
        <f t="shared" si="440"/>
        <v>0</v>
      </c>
      <c r="CF224" s="10">
        <f t="shared" si="440"/>
        <v>0</v>
      </c>
      <c r="CG224" s="10">
        <f t="shared" si="440"/>
        <v>0</v>
      </c>
      <c r="CH224" s="10">
        <f t="shared" si="440"/>
        <v>0</v>
      </c>
      <c r="CI224" s="10">
        <f t="shared" si="440"/>
        <v>0</v>
      </c>
      <c r="CK224" s="11"/>
      <c r="CL224" s="221">
        <f>IF(MAX($V224:$CI224)&gt;0, 1, 0)</f>
        <v>0</v>
      </c>
      <c r="CM224" s="11"/>
      <c r="CW224" s="7">
        <f t="shared" si="427"/>
        <v>0</v>
      </c>
      <c r="CX224" s="7">
        <f t="shared" si="428"/>
        <v>0</v>
      </c>
      <c r="CY224" s="7">
        <f t="shared" si="429"/>
        <v>0</v>
      </c>
      <c r="CZ224" s="650"/>
      <c r="DA224" s="35"/>
      <c r="DB224" s="215">
        <f t="shared" si="430"/>
        <v>0</v>
      </c>
      <c r="DC224" s="215">
        <f t="shared" si="430"/>
        <v>0</v>
      </c>
      <c r="DD224" s="215">
        <f t="shared" si="430"/>
        <v>0</v>
      </c>
      <c r="DE224" s="215">
        <f t="shared" si="431"/>
        <v>0</v>
      </c>
      <c r="DF224" s="215">
        <f t="shared" si="432"/>
        <v>0</v>
      </c>
      <c r="DG224" s="215">
        <f t="shared" si="433"/>
        <v>0</v>
      </c>
      <c r="DH224" s="215">
        <f t="shared" si="434"/>
        <v>0</v>
      </c>
      <c r="DI224" s="35"/>
      <c r="DJ224">
        <v>0</v>
      </c>
      <c r="DK224">
        <v>0</v>
      </c>
      <c r="DL224" s="35"/>
      <c r="EZ224" s="12" t="str">
        <f t="shared" si="424"/>
        <v>Land &amp; Buildings Moved to Assets Held for Sale</v>
      </c>
    </row>
    <row r="225" spans="1:156" x14ac:dyDescent="0.35">
      <c r="A225" s="220" cm="1">
        <f t="array" aca="1" ref="A225" ca="1">HYPERLINK(CONCATENATE("#",CELL("address",IF(MAX($CM225:$CZ225)=0,A225,INDEX($CM225:$CZ225,MATCH(1,$CM225:$CZ225,0))))),MAX($CM225:$CZ225))</f>
        <v>0</v>
      </c>
      <c r="C225" s="211" t="s">
        <v>897</v>
      </c>
      <c r="D225" s="33" t="s">
        <v>860</v>
      </c>
      <c r="E225" s="33"/>
      <c r="G225" s="8"/>
      <c r="H225" s="9" t="s">
        <v>646</v>
      </c>
      <c r="V225" s="10">
        <f>V$186</f>
        <v>0</v>
      </c>
      <c r="W225" s="10">
        <f>W$186</f>
        <v>0</v>
      </c>
      <c r="X225" s="10">
        <f>X$186</f>
        <v>0</v>
      </c>
      <c r="Y225" s="10">
        <f>Y$186</f>
        <v>0</v>
      </c>
      <c r="AA225" s="10">
        <f t="shared" ref="AA225:BJ225" si="441">AA$186</f>
        <v>0</v>
      </c>
      <c r="AB225" s="10">
        <f t="shared" si="441"/>
        <v>0</v>
      </c>
      <c r="AC225" s="10">
        <f t="shared" si="441"/>
        <v>0</v>
      </c>
      <c r="AD225" s="10">
        <f t="shared" si="441"/>
        <v>0</v>
      </c>
      <c r="AE225" s="10">
        <f t="shared" si="441"/>
        <v>0</v>
      </c>
      <c r="AF225" s="10">
        <f t="shared" si="441"/>
        <v>0</v>
      </c>
      <c r="AG225" s="10">
        <f t="shared" si="441"/>
        <v>0</v>
      </c>
      <c r="AH225" s="10">
        <f t="shared" si="441"/>
        <v>0</v>
      </c>
      <c r="AI225" s="10">
        <f t="shared" si="441"/>
        <v>0</v>
      </c>
      <c r="AJ225" s="10">
        <f t="shared" si="441"/>
        <v>0</v>
      </c>
      <c r="AK225" s="10">
        <f t="shared" si="441"/>
        <v>0</v>
      </c>
      <c r="AL225" s="10">
        <f t="shared" si="441"/>
        <v>0</v>
      </c>
      <c r="AM225" s="10">
        <f t="shared" si="441"/>
        <v>0</v>
      </c>
      <c r="AN225" s="10">
        <f t="shared" si="441"/>
        <v>0</v>
      </c>
      <c r="AO225" s="10">
        <f t="shared" si="441"/>
        <v>0</v>
      </c>
      <c r="AP225" s="10">
        <f t="shared" si="441"/>
        <v>0</v>
      </c>
      <c r="AQ225" s="10">
        <f t="shared" si="441"/>
        <v>0</v>
      </c>
      <c r="AR225" s="10">
        <f t="shared" si="441"/>
        <v>0</v>
      </c>
      <c r="AS225" s="10">
        <f t="shared" si="441"/>
        <v>0</v>
      </c>
      <c r="AT225" s="10">
        <f t="shared" si="441"/>
        <v>0</v>
      </c>
      <c r="AU225" s="10">
        <f t="shared" si="441"/>
        <v>0</v>
      </c>
      <c r="AV225" s="10">
        <f t="shared" si="441"/>
        <v>0</v>
      </c>
      <c r="AW225" s="10">
        <f t="shared" si="441"/>
        <v>0</v>
      </c>
      <c r="AX225" s="10">
        <f t="shared" si="441"/>
        <v>0</v>
      </c>
      <c r="AY225" s="10">
        <f t="shared" si="441"/>
        <v>0</v>
      </c>
      <c r="AZ225" s="10">
        <f t="shared" si="441"/>
        <v>0</v>
      </c>
      <c r="BA225" s="10">
        <f t="shared" si="441"/>
        <v>0</v>
      </c>
      <c r="BB225" s="10">
        <f t="shared" si="441"/>
        <v>0</v>
      </c>
      <c r="BC225" s="10">
        <f t="shared" si="441"/>
        <v>0</v>
      </c>
      <c r="BD225" s="10">
        <f t="shared" si="441"/>
        <v>0</v>
      </c>
      <c r="BE225" s="10">
        <f t="shared" si="441"/>
        <v>0</v>
      </c>
      <c r="BF225" s="10">
        <f t="shared" si="441"/>
        <v>0</v>
      </c>
      <c r="BG225" s="10">
        <f t="shared" si="441"/>
        <v>0</v>
      </c>
      <c r="BH225" s="10">
        <f t="shared" si="441"/>
        <v>0</v>
      </c>
      <c r="BI225" s="10">
        <f t="shared" si="441"/>
        <v>0</v>
      </c>
      <c r="BJ225" s="10">
        <f t="shared" si="441"/>
        <v>0</v>
      </c>
      <c r="BX225" s="10">
        <f t="shared" ref="BX225:CI225" si="442">BX$186</f>
        <v>0</v>
      </c>
      <c r="BY225" s="10">
        <f t="shared" si="442"/>
        <v>0</v>
      </c>
      <c r="BZ225" s="10">
        <f t="shared" si="442"/>
        <v>0</v>
      </c>
      <c r="CA225" s="10">
        <f t="shared" si="442"/>
        <v>0</v>
      </c>
      <c r="CB225" s="10">
        <f t="shared" si="442"/>
        <v>0</v>
      </c>
      <c r="CC225" s="10">
        <f t="shared" si="442"/>
        <v>0</v>
      </c>
      <c r="CD225" s="10">
        <f t="shared" si="442"/>
        <v>0</v>
      </c>
      <c r="CE225" s="10">
        <f t="shared" si="442"/>
        <v>0</v>
      </c>
      <c r="CF225" s="10">
        <f t="shared" si="442"/>
        <v>0</v>
      </c>
      <c r="CG225" s="10">
        <f t="shared" si="442"/>
        <v>0</v>
      </c>
      <c r="CH225" s="10">
        <f t="shared" si="442"/>
        <v>0</v>
      </c>
      <c r="CI225" s="10">
        <f t="shared" si="442"/>
        <v>0</v>
      </c>
      <c r="CK225" s="11"/>
      <c r="CL225" s="221">
        <f>IF(MAX($V225:$CI225)&gt;0, 1, 0)</f>
        <v>0</v>
      </c>
      <c r="CM225" s="11"/>
      <c r="CW225" s="7">
        <f t="shared" si="427"/>
        <v>0</v>
      </c>
      <c r="CX225" s="7">
        <f t="shared" si="428"/>
        <v>0</v>
      </c>
      <c r="CY225" s="7">
        <f t="shared" si="429"/>
        <v>0</v>
      </c>
      <c r="CZ225" s="650"/>
      <c r="DA225" s="35"/>
      <c r="DB225" s="215">
        <f t="shared" si="430"/>
        <v>0</v>
      </c>
      <c r="DC225" s="215">
        <f t="shared" si="430"/>
        <v>0</v>
      </c>
      <c r="DD225" s="215">
        <f t="shared" si="430"/>
        <v>0</v>
      </c>
      <c r="DE225" s="215">
        <f t="shared" si="431"/>
        <v>0</v>
      </c>
      <c r="DF225" s="215">
        <f t="shared" si="432"/>
        <v>0</v>
      </c>
      <c r="DG225" s="215">
        <f t="shared" si="433"/>
        <v>0</v>
      </c>
      <c r="DH225" s="215">
        <f t="shared" si="434"/>
        <v>0</v>
      </c>
      <c r="DI225" s="35"/>
      <c r="DJ225">
        <v>0</v>
      </c>
      <c r="DK225">
        <v>0</v>
      </c>
      <c r="DL225" s="35"/>
      <c r="EZ225" s="12" t="str">
        <f t="shared" si="424"/>
        <v>Land &amp; Buildings Disposals</v>
      </c>
    </row>
    <row r="226" spans="1:156" x14ac:dyDescent="0.35">
      <c r="A226" s="220" cm="1">
        <f t="array" aca="1" ref="A226" ca="1">HYPERLINK(CONCATENATE("#",CELL("address",IF(MAX($CM226:$CZ226)=0,A226,INDEX($CM226:$CZ226,MATCH(1,$CM226:$CZ226,0))))),MAX($CM226:$CZ226))</f>
        <v>0</v>
      </c>
      <c r="C226" s="211" t="s">
        <v>898</v>
      </c>
      <c r="D226" s="33" t="s">
        <v>899</v>
      </c>
      <c r="E226" s="33"/>
      <c r="G226" s="8"/>
      <c r="H226" s="9" t="s">
        <v>646</v>
      </c>
      <c r="V226" s="109"/>
      <c r="W226" s="133">
        <f t="shared" ref="W226:Y227" si="443" xml:space="preserve"> SUMIFS($AA226:$BJ226, $AA$3:$BJ$3, W$3)</f>
        <v>0</v>
      </c>
      <c r="X226" s="133">
        <f t="shared" si="443"/>
        <v>0</v>
      </c>
      <c r="Y226" s="133">
        <f t="shared" si="443"/>
        <v>0</v>
      </c>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X226" s="12">
        <f t="shared" ref="BX226:CA227" si="444">V226</f>
        <v>0</v>
      </c>
      <c r="BY226" s="12">
        <f t="shared" si="444"/>
        <v>0</v>
      </c>
      <c r="BZ226" s="12">
        <f t="shared" si="444"/>
        <v>0</v>
      </c>
      <c r="CA226" s="12">
        <f t="shared" si="444"/>
        <v>0</v>
      </c>
      <c r="CB226" s="109"/>
      <c r="CC226" s="109"/>
      <c r="CD226" s="109"/>
      <c r="CE226" s="109"/>
      <c r="CF226" s="109"/>
      <c r="CG226" s="109"/>
      <c r="CH226" s="109"/>
      <c r="CI226" s="109"/>
      <c r="CK226" s="11"/>
      <c r="CL226" s="221">
        <f>IF(MAX($V226:$CI226)&gt;0, 1, 0)</f>
        <v>0</v>
      </c>
      <c r="CM226" s="11"/>
      <c r="CU226" s="7" cm="1">
        <f t="array" ref="CU226">SUMPRODUCT(--NOT(ISNUMBER(V226:CI226)),--NOT(ISBLANK(V226:CI226)))</f>
        <v>0</v>
      </c>
      <c r="CW226" s="7">
        <f t="shared" si="427"/>
        <v>0</v>
      </c>
      <c r="CX226" s="7">
        <f t="shared" si="428"/>
        <v>0</v>
      </c>
      <c r="CY226" s="7">
        <f t="shared" si="429"/>
        <v>0</v>
      </c>
      <c r="CZ226" s="650"/>
      <c r="DA226" s="35"/>
      <c r="DB226" s="215">
        <f t="shared" si="430"/>
        <v>0</v>
      </c>
      <c r="DC226" s="215">
        <f t="shared" si="430"/>
        <v>0</v>
      </c>
      <c r="DD226" s="215">
        <f t="shared" si="430"/>
        <v>0</v>
      </c>
      <c r="DE226" s="215">
        <f t="shared" si="431"/>
        <v>0</v>
      </c>
      <c r="DF226" s="215">
        <f t="shared" si="432"/>
        <v>0</v>
      </c>
      <c r="DG226" s="215">
        <f t="shared" si="433"/>
        <v>0</v>
      </c>
      <c r="DH226" s="215">
        <f t="shared" si="434"/>
        <v>0</v>
      </c>
      <c r="DI226" s="35"/>
      <c r="DJ226">
        <v>1</v>
      </c>
      <c r="DK226">
        <v>1</v>
      </c>
      <c r="DL226" s="35"/>
      <c r="EZ226" s="12" t="str">
        <f t="shared" si="424"/>
        <v>Land &amp; Buildings Depreciation</v>
      </c>
    </row>
    <row r="227" spans="1:156" x14ac:dyDescent="0.35">
      <c r="A227" s="220" cm="1">
        <f t="array" aca="1" ref="A227" ca="1">HYPERLINK(CONCATENATE("#",CELL("address",IF(MAX($CM227:$CZ227)=0,A227,INDEX($CM227:$CZ227,MATCH(1,$CM227:$CZ227,0))))),MAX($CM227:$CZ227))</f>
        <v>0</v>
      </c>
      <c r="C227" s="211" t="s">
        <v>900</v>
      </c>
      <c r="D227" s="1" t="s">
        <v>901</v>
      </c>
      <c r="E227" s="85" t="s">
        <v>122</v>
      </c>
      <c r="G227" s="8"/>
      <c r="H227" s="9" t="s">
        <v>403</v>
      </c>
      <c r="V227" s="109"/>
      <c r="W227" s="133">
        <f t="shared" si="443"/>
        <v>0</v>
      </c>
      <c r="X227" s="133">
        <f t="shared" si="443"/>
        <v>0</v>
      </c>
      <c r="Y227" s="133">
        <f t="shared" si="443"/>
        <v>0</v>
      </c>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X227" s="12">
        <f t="shared" si="444"/>
        <v>0</v>
      </c>
      <c r="BY227" s="12">
        <f t="shared" si="444"/>
        <v>0</v>
      </c>
      <c r="BZ227" s="12">
        <f t="shared" si="444"/>
        <v>0</v>
      </c>
      <c r="CA227" s="12">
        <f t="shared" si="444"/>
        <v>0</v>
      </c>
      <c r="CB227" s="109"/>
      <c r="CC227" s="109"/>
      <c r="CD227" s="109"/>
      <c r="CE227" s="109"/>
      <c r="CF227" s="109"/>
      <c r="CG227" s="109"/>
      <c r="CH227" s="109"/>
      <c r="CI227" s="109"/>
      <c r="CK227" s="11"/>
      <c r="CM227" s="11"/>
      <c r="CU227" s="7" cm="1">
        <f t="array" ref="CU227">SUMPRODUCT(--NOT(ISNUMBER(V227:CI227)),--NOT(ISBLANK(V227:CI227)))</f>
        <v>0</v>
      </c>
      <c r="CW227" s="7">
        <f t="shared" si="427"/>
        <v>0</v>
      </c>
      <c r="CX227" s="7">
        <f t="shared" si="428"/>
        <v>0</v>
      </c>
      <c r="CY227" s="7">
        <f t="shared" si="429"/>
        <v>0</v>
      </c>
      <c r="CZ227" s="650"/>
      <c r="DA227" s="35"/>
      <c r="DB227" s="215">
        <f t="shared" si="430"/>
        <v>0</v>
      </c>
      <c r="DC227" s="215">
        <f t="shared" si="430"/>
        <v>0</v>
      </c>
      <c r="DD227" s="215">
        <f t="shared" si="430"/>
        <v>0</v>
      </c>
      <c r="DE227" s="215">
        <f t="shared" si="431"/>
        <v>0</v>
      </c>
      <c r="DF227" s="215">
        <f t="shared" si="432"/>
        <v>0</v>
      </c>
      <c r="DG227" s="215">
        <f t="shared" si="433"/>
        <v>0</v>
      </c>
      <c r="DH227" s="215">
        <f t="shared" si="434"/>
        <v>0</v>
      </c>
      <c r="DI227" s="35"/>
      <c r="DJ227">
        <v>1</v>
      </c>
      <c r="DK227">
        <v>1</v>
      </c>
      <c r="DL227" s="35"/>
      <c r="EZ227" s="12" t="str">
        <f t="shared" si="424"/>
        <v>Land &amp; Buildings Movement due to mergers</v>
      </c>
    </row>
    <row r="228" spans="1:156" x14ac:dyDescent="0.35">
      <c r="A228" s="220" cm="1">
        <f t="array" aca="1" ref="A228" ca="1">HYPERLINK(CONCATENATE("#",CELL("address",IF(MAX($CM228:$CZ228)=0,A228,INDEX($CM228:$CZ228,MATCH(1,$CM228:$CZ228,0))))),MAX($CM228:$CZ228))</f>
        <v>0</v>
      </c>
      <c r="C228" s="211" t="s">
        <v>902</v>
      </c>
      <c r="D228" s="33" t="s">
        <v>903</v>
      </c>
      <c r="E228" s="33" t="s">
        <v>904</v>
      </c>
      <c r="G228" s="8"/>
      <c r="H228" s="9" t="s">
        <v>646</v>
      </c>
      <c r="V228" s="10">
        <f>V$349</f>
        <v>0</v>
      </c>
      <c r="W228" s="10">
        <f>W$349</f>
        <v>0</v>
      </c>
      <c r="X228" s="10">
        <f>X$349</f>
        <v>0</v>
      </c>
      <c r="Y228" s="10">
        <f>Y$349</f>
        <v>0</v>
      </c>
      <c r="AA228" s="10">
        <f t="shared" ref="AA228:BJ228" si="445">AA$349</f>
        <v>0</v>
      </c>
      <c r="AB228" s="10">
        <f t="shared" si="445"/>
        <v>0</v>
      </c>
      <c r="AC228" s="10">
        <f t="shared" si="445"/>
        <v>0</v>
      </c>
      <c r="AD228" s="10">
        <f t="shared" si="445"/>
        <v>0</v>
      </c>
      <c r="AE228" s="10">
        <f t="shared" si="445"/>
        <v>0</v>
      </c>
      <c r="AF228" s="10">
        <f t="shared" si="445"/>
        <v>0</v>
      </c>
      <c r="AG228" s="10">
        <f t="shared" si="445"/>
        <v>0</v>
      </c>
      <c r="AH228" s="10">
        <f t="shared" si="445"/>
        <v>0</v>
      </c>
      <c r="AI228" s="10">
        <f t="shared" si="445"/>
        <v>0</v>
      </c>
      <c r="AJ228" s="10">
        <f t="shared" si="445"/>
        <v>0</v>
      </c>
      <c r="AK228" s="10">
        <f t="shared" si="445"/>
        <v>0</v>
      </c>
      <c r="AL228" s="10">
        <f t="shared" si="445"/>
        <v>0</v>
      </c>
      <c r="AM228" s="10">
        <f t="shared" si="445"/>
        <v>0</v>
      </c>
      <c r="AN228" s="10">
        <f t="shared" si="445"/>
        <v>0</v>
      </c>
      <c r="AO228" s="10">
        <f t="shared" si="445"/>
        <v>0</v>
      </c>
      <c r="AP228" s="10">
        <f t="shared" si="445"/>
        <v>0</v>
      </c>
      <c r="AQ228" s="10">
        <f t="shared" si="445"/>
        <v>0</v>
      </c>
      <c r="AR228" s="10">
        <f t="shared" si="445"/>
        <v>0</v>
      </c>
      <c r="AS228" s="10">
        <f t="shared" si="445"/>
        <v>0</v>
      </c>
      <c r="AT228" s="10">
        <f t="shared" si="445"/>
        <v>0</v>
      </c>
      <c r="AU228" s="10">
        <f t="shared" si="445"/>
        <v>0</v>
      </c>
      <c r="AV228" s="10">
        <f t="shared" si="445"/>
        <v>0</v>
      </c>
      <c r="AW228" s="10">
        <f t="shared" si="445"/>
        <v>0</v>
      </c>
      <c r="AX228" s="10">
        <f t="shared" si="445"/>
        <v>0</v>
      </c>
      <c r="AY228" s="10">
        <f t="shared" si="445"/>
        <v>0</v>
      </c>
      <c r="AZ228" s="10">
        <f t="shared" si="445"/>
        <v>0</v>
      </c>
      <c r="BA228" s="10">
        <f t="shared" si="445"/>
        <v>0</v>
      </c>
      <c r="BB228" s="10">
        <f t="shared" si="445"/>
        <v>0</v>
      </c>
      <c r="BC228" s="10">
        <f t="shared" si="445"/>
        <v>0</v>
      </c>
      <c r="BD228" s="10">
        <f t="shared" si="445"/>
        <v>0</v>
      </c>
      <c r="BE228" s="10">
        <f t="shared" si="445"/>
        <v>0</v>
      </c>
      <c r="BF228" s="10">
        <f t="shared" si="445"/>
        <v>0</v>
      </c>
      <c r="BG228" s="10">
        <f t="shared" si="445"/>
        <v>0</v>
      </c>
      <c r="BH228" s="10">
        <f t="shared" si="445"/>
        <v>0</v>
      </c>
      <c r="BI228" s="10">
        <f t="shared" si="445"/>
        <v>0</v>
      </c>
      <c r="BJ228" s="10">
        <f t="shared" si="445"/>
        <v>0</v>
      </c>
      <c r="BX228" s="10">
        <f t="shared" ref="BX228:CI228" si="446">BX$349</f>
        <v>0</v>
      </c>
      <c r="BY228" s="10">
        <f t="shared" si="446"/>
        <v>0</v>
      </c>
      <c r="BZ228" s="10">
        <f t="shared" si="446"/>
        <v>0</v>
      </c>
      <c r="CA228" s="10">
        <f t="shared" si="446"/>
        <v>0</v>
      </c>
      <c r="CB228" s="10">
        <f t="shared" si="446"/>
        <v>0</v>
      </c>
      <c r="CC228" s="10">
        <f t="shared" si="446"/>
        <v>0</v>
      </c>
      <c r="CD228" s="10">
        <f t="shared" si="446"/>
        <v>0</v>
      </c>
      <c r="CE228" s="10">
        <f t="shared" si="446"/>
        <v>0</v>
      </c>
      <c r="CF228" s="10">
        <f t="shared" si="446"/>
        <v>0</v>
      </c>
      <c r="CG228" s="10">
        <f t="shared" si="446"/>
        <v>0</v>
      </c>
      <c r="CH228" s="10">
        <f t="shared" si="446"/>
        <v>0</v>
      </c>
      <c r="CI228" s="10">
        <f t="shared" si="446"/>
        <v>0</v>
      </c>
      <c r="CK228" s="11"/>
      <c r="CM228" s="11"/>
      <c r="CW228" s="7">
        <f t="shared" si="427"/>
        <v>0</v>
      </c>
      <c r="CX228" s="7">
        <f t="shared" si="428"/>
        <v>0</v>
      </c>
      <c r="CY228" s="7">
        <f t="shared" si="429"/>
        <v>0</v>
      </c>
      <c r="CZ228" s="650"/>
      <c r="DA228" s="35"/>
      <c r="DB228" s="215">
        <f t="shared" si="430"/>
        <v>0</v>
      </c>
      <c r="DC228" s="215">
        <f t="shared" si="430"/>
        <v>0</v>
      </c>
      <c r="DD228" s="215">
        <f t="shared" si="430"/>
        <v>0</v>
      </c>
      <c r="DE228" s="215">
        <f t="shared" si="431"/>
        <v>0</v>
      </c>
      <c r="DF228" s="215">
        <f t="shared" si="432"/>
        <v>0</v>
      </c>
      <c r="DG228" s="215">
        <f t="shared" si="433"/>
        <v>0</v>
      </c>
      <c r="DH228" s="215">
        <f t="shared" si="434"/>
        <v>0</v>
      </c>
      <c r="DI228" s="35"/>
      <c r="DJ228">
        <v>0</v>
      </c>
      <c r="DK228">
        <v>0</v>
      </c>
      <c r="DL228" s="35"/>
      <c r="EZ228" s="12" t="str">
        <f t="shared" si="424"/>
        <v>Land &amp; Buildings NCA Reclassification</v>
      </c>
    </row>
    <row r="229" spans="1:156" x14ac:dyDescent="0.35">
      <c r="A229" s="220" cm="1">
        <f t="array" aca="1" ref="A229" ca="1">HYPERLINK(CONCATENATE("#",CELL("address",IF(MAX($CM229:$CZ229)=0,A229,INDEX($CM229:$CZ229,MATCH(1,$CM229:$CZ229,0))))),MAX($CM229:$CZ229))</f>
        <v>0</v>
      </c>
      <c r="C229" s="211" t="s">
        <v>905</v>
      </c>
      <c r="D229" s="33" t="s">
        <v>906</v>
      </c>
      <c r="E229" s="215">
        <f>ROUND(V229-SUM(V220:V228), rounding)*'Fin Stat'!$V$9</f>
        <v>0</v>
      </c>
      <c r="G229" s="8"/>
      <c r="H229" s="9" t="s">
        <v>620</v>
      </c>
      <c r="V229" s="135">
        <f>'Opening Balances'!W10</f>
        <v>0</v>
      </c>
      <c r="W229" s="10">
        <f>SUM(W220:W228)</f>
        <v>0</v>
      </c>
      <c r="X229" s="10">
        <f>SUM(X220:X228)</f>
        <v>0</v>
      </c>
      <c r="Y229" s="10">
        <f>SUM(Y220:Y228)</f>
        <v>0</v>
      </c>
      <c r="AA229" s="10">
        <f t="shared" ref="AA229:BJ229" si="447">SUM(AA220:AA228)</f>
        <v>0</v>
      </c>
      <c r="AB229" s="10">
        <f t="shared" si="447"/>
        <v>0</v>
      </c>
      <c r="AC229" s="10">
        <f t="shared" si="447"/>
        <v>0</v>
      </c>
      <c r="AD229" s="10">
        <f t="shared" si="447"/>
        <v>0</v>
      </c>
      <c r="AE229" s="10">
        <f t="shared" si="447"/>
        <v>0</v>
      </c>
      <c r="AF229" s="10">
        <f t="shared" si="447"/>
        <v>0</v>
      </c>
      <c r="AG229" s="10">
        <f t="shared" si="447"/>
        <v>0</v>
      </c>
      <c r="AH229" s="10">
        <f t="shared" si="447"/>
        <v>0</v>
      </c>
      <c r="AI229" s="10">
        <f t="shared" si="447"/>
        <v>0</v>
      </c>
      <c r="AJ229" s="10">
        <f t="shared" si="447"/>
        <v>0</v>
      </c>
      <c r="AK229" s="10">
        <f t="shared" si="447"/>
        <v>0</v>
      </c>
      <c r="AL229" s="10">
        <f t="shared" si="447"/>
        <v>0</v>
      </c>
      <c r="AM229" s="10">
        <f t="shared" si="447"/>
        <v>0</v>
      </c>
      <c r="AN229" s="10">
        <f t="shared" si="447"/>
        <v>0</v>
      </c>
      <c r="AO229" s="10">
        <f t="shared" si="447"/>
        <v>0</v>
      </c>
      <c r="AP229" s="10">
        <f t="shared" si="447"/>
        <v>0</v>
      </c>
      <c r="AQ229" s="10">
        <f t="shared" si="447"/>
        <v>0</v>
      </c>
      <c r="AR229" s="10">
        <f t="shared" si="447"/>
        <v>0</v>
      </c>
      <c r="AS229" s="10">
        <f t="shared" si="447"/>
        <v>0</v>
      </c>
      <c r="AT229" s="10">
        <f t="shared" si="447"/>
        <v>0</v>
      </c>
      <c r="AU229" s="10">
        <f t="shared" si="447"/>
        <v>0</v>
      </c>
      <c r="AV229" s="10">
        <f t="shared" si="447"/>
        <v>0</v>
      </c>
      <c r="AW229" s="10">
        <f t="shared" si="447"/>
        <v>0</v>
      </c>
      <c r="AX229" s="10">
        <f t="shared" si="447"/>
        <v>0</v>
      </c>
      <c r="AY229" s="10">
        <f t="shared" si="447"/>
        <v>0</v>
      </c>
      <c r="AZ229" s="10">
        <f t="shared" si="447"/>
        <v>0</v>
      </c>
      <c r="BA229" s="10">
        <f t="shared" si="447"/>
        <v>0</v>
      </c>
      <c r="BB229" s="10">
        <f t="shared" si="447"/>
        <v>0</v>
      </c>
      <c r="BC229" s="10">
        <f t="shared" si="447"/>
        <v>0</v>
      </c>
      <c r="BD229" s="10">
        <f t="shared" si="447"/>
        <v>0</v>
      </c>
      <c r="BE229" s="10">
        <f t="shared" si="447"/>
        <v>0</v>
      </c>
      <c r="BF229" s="10">
        <f t="shared" si="447"/>
        <v>0</v>
      </c>
      <c r="BG229" s="10">
        <f t="shared" si="447"/>
        <v>0</v>
      </c>
      <c r="BH229" s="10">
        <f t="shared" si="447"/>
        <v>0</v>
      </c>
      <c r="BI229" s="10">
        <f t="shared" si="447"/>
        <v>0</v>
      </c>
      <c r="BJ229" s="10">
        <f t="shared" si="447"/>
        <v>0</v>
      </c>
      <c r="BX229" s="12">
        <f>V229</f>
        <v>0</v>
      </c>
      <c r="BY229" s="10">
        <f t="shared" ref="BY229:CI229" si="448">SUM(BY220:BY228)</f>
        <v>0</v>
      </c>
      <c r="BZ229" s="10">
        <f t="shared" si="448"/>
        <v>0</v>
      </c>
      <c r="CA229" s="10">
        <f t="shared" si="448"/>
        <v>0</v>
      </c>
      <c r="CB229" s="10">
        <f t="shared" si="448"/>
        <v>0</v>
      </c>
      <c r="CC229" s="10">
        <f t="shared" si="448"/>
        <v>0</v>
      </c>
      <c r="CD229" s="10">
        <f t="shared" si="448"/>
        <v>0</v>
      </c>
      <c r="CE229" s="10">
        <f t="shared" si="448"/>
        <v>0</v>
      </c>
      <c r="CF229" s="10">
        <f t="shared" si="448"/>
        <v>0</v>
      </c>
      <c r="CG229" s="10">
        <f t="shared" si="448"/>
        <v>0</v>
      </c>
      <c r="CH229" s="10">
        <f t="shared" si="448"/>
        <v>0</v>
      </c>
      <c r="CI229" s="10">
        <f t="shared" si="448"/>
        <v>0</v>
      </c>
      <c r="CK229" s="11"/>
      <c r="CM229" s="11"/>
      <c r="CS229" s="7">
        <f>IF(ABS($E229)&gt;Parameters!$D$33, 1, 0)</f>
        <v>0</v>
      </c>
      <c r="CW229" s="7">
        <f t="shared" si="427"/>
        <v>0</v>
      </c>
      <c r="CX229" s="7">
        <f t="shared" si="428"/>
        <v>0</v>
      </c>
      <c r="CY229" s="7">
        <f t="shared" si="429"/>
        <v>0</v>
      </c>
      <c r="CZ229" s="650"/>
      <c r="DA229" s="35"/>
      <c r="DB229" s="215">
        <f>ROUND(W229-INDEX($AA229:$BJ229, MATCH(W$5,$AA$5:$BJ$5,0)), rounding)</f>
        <v>0</v>
      </c>
      <c r="DC229" s="215">
        <f>ROUND(X229-INDEX($AA229:$BJ229, MATCH(X$5,$AA$5:$BJ$5,0)), rounding)</f>
        <v>0</v>
      </c>
      <c r="DD229" s="215">
        <f>ROUND(Y229-INDEX($AA229:$BJ229, MATCH(Y$5,$AA$5:$BJ$5,0)), rounding)</f>
        <v>0</v>
      </c>
      <c r="DE229" s="215">
        <f>ROUND(BY229-INDEX($AA229:$BJ229, MATCH(BY$5,$AA$5:$BJ$5,0)), rounding)</f>
        <v>0</v>
      </c>
      <c r="DF229" s="215">
        <f>ROUND(BZ229-INDEX($AA229:$BJ229, MATCH(BZ$5,$AA$5:$BJ$5,0)), rounding)</f>
        <v>0</v>
      </c>
      <c r="DG229" s="215">
        <f>ROUND(CA229-INDEX($AA229:$BJ229, MATCH(CA$5,$AA$5:$BJ$5,0)), rounding)</f>
        <v>0</v>
      </c>
      <c r="DH229" s="215">
        <f t="shared" si="434"/>
        <v>0</v>
      </c>
      <c r="DI229" s="35"/>
      <c r="DJ229">
        <v>0</v>
      </c>
      <c r="DK229">
        <v>0</v>
      </c>
      <c r="DL229" s="35"/>
      <c r="EZ229" s="12" t="str">
        <f t="shared" si="424"/>
        <v>Land &amp; Buildings Closing Balance</v>
      </c>
    </row>
    <row r="230" spans="1:156" ht="6.75" customHeight="1" x14ac:dyDescent="0.35">
      <c r="C230" s="234"/>
      <c r="D230" s="1"/>
      <c r="E230"/>
      <c r="BY230" s="6"/>
      <c r="CK230" s="35"/>
      <c r="CM230" s="35"/>
      <c r="CZ230" s="650"/>
      <c r="DA230" s="35"/>
      <c r="DI230" s="35"/>
      <c r="DJ230">
        <v>0</v>
      </c>
      <c r="DK230">
        <v>0</v>
      </c>
      <c r="DL230" s="35"/>
      <c r="EZ230" s="10" t="str">
        <f>IF($C230="","",$D230)</f>
        <v/>
      </c>
    </row>
    <row r="231" spans="1:156" x14ac:dyDescent="0.35">
      <c r="A231" s="220" cm="1">
        <f t="array" aca="1" ref="A231" ca="1">HYPERLINK(CONCATENATE("#",CELL("address",IF(MAX($CM231:$CZ231)=0,A231,INDEX($CM231:$CZ231,MATCH(1,$CM231:$CZ231,0))))),MAX($CM231:$CZ231))</f>
        <v>0</v>
      </c>
      <c r="C231" s="234"/>
      <c r="D231" s="1" t="s">
        <v>907</v>
      </c>
      <c r="E231"/>
      <c r="V231" s="7">
        <f>IF(V229&lt;0, 1, 0)*'BS Forecasts'!V$10</f>
        <v>0</v>
      </c>
      <c r="W231" s="7">
        <f>IF(W229&lt;0, 1, 0)*'BS Forecasts'!W$10</f>
        <v>0</v>
      </c>
      <c r="X231" s="7">
        <f>IF(X229&lt;0, 1, 0)*'BS Forecasts'!X$10</f>
        <v>0</v>
      </c>
      <c r="Y231" s="7">
        <f>IF(Y229&lt;0, 1, 0)*'BS Forecasts'!Y$10</f>
        <v>0</v>
      </c>
      <c r="AA231" s="7">
        <f>IF(AA229&lt;0, 1, 0)*'BS Forecasts'!AA$10</f>
        <v>0</v>
      </c>
      <c r="AB231" s="7">
        <f>IF(AB229&lt;0, 1, 0)*'BS Forecasts'!AB$10</f>
        <v>0</v>
      </c>
      <c r="AC231" s="7">
        <f>IF(AC229&lt;0, 1, 0)*'BS Forecasts'!AC$10</f>
        <v>0</v>
      </c>
      <c r="AD231" s="7">
        <f>IF(AD229&lt;0, 1, 0)*'BS Forecasts'!AD$10</f>
        <v>0</v>
      </c>
      <c r="AE231" s="7">
        <f>IF(AE229&lt;0, 1, 0)*'BS Forecasts'!AE$10</f>
        <v>0</v>
      </c>
      <c r="AF231" s="7">
        <f>IF(AF229&lt;0, 1, 0)*'BS Forecasts'!AF$10</f>
        <v>0</v>
      </c>
      <c r="AG231" s="7">
        <f>IF(AG229&lt;0, 1, 0)*'BS Forecasts'!AG$10</f>
        <v>0</v>
      </c>
      <c r="AH231" s="7">
        <f>IF(AH229&lt;0, 1, 0)*'BS Forecasts'!AH$10</f>
        <v>0</v>
      </c>
      <c r="AI231" s="7">
        <f>IF(AI229&lt;0, 1, 0)*'BS Forecasts'!AI$10</f>
        <v>0</v>
      </c>
      <c r="AJ231" s="7">
        <f>IF(AJ229&lt;0, 1, 0)*'BS Forecasts'!AJ$10</f>
        <v>0</v>
      </c>
      <c r="AK231" s="7">
        <f>IF(AK229&lt;0, 1, 0)*'BS Forecasts'!AK$10</f>
        <v>0</v>
      </c>
      <c r="AL231" s="7">
        <f>IF(AL229&lt;0, 1, 0)*'BS Forecasts'!AL$10</f>
        <v>0</v>
      </c>
      <c r="AM231" s="7">
        <f>IF(AM229&lt;0, 1, 0)*'BS Forecasts'!AM$10</f>
        <v>0</v>
      </c>
      <c r="AN231" s="7">
        <f>IF(AN229&lt;0, 1, 0)*'BS Forecasts'!AN$10</f>
        <v>0</v>
      </c>
      <c r="AO231" s="7">
        <f>IF(AO229&lt;0, 1, 0)*'BS Forecasts'!AO$10</f>
        <v>0</v>
      </c>
      <c r="AP231" s="7">
        <f>IF(AP229&lt;0, 1, 0)*'BS Forecasts'!AP$10</f>
        <v>0</v>
      </c>
      <c r="AQ231" s="7">
        <f>IF(AQ229&lt;0, 1, 0)*'BS Forecasts'!AQ$10</f>
        <v>0</v>
      </c>
      <c r="AR231" s="7">
        <f>IF(AR229&lt;0, 1, 0)*'BS Forecasts'!AR$10</f>
        <v>0</v>
      </c>
      <c r="AS231" s="7">
        <f>IF(AS229&lt;0, 1, 0)*'BS Forecasts'!AS$10</f>
        <v>0</v>
      </c>
      <c r="AT231" s="7">
        <f>IF(AT229&lt;0, 1, 0)*'BS Forecasts'!AT$10</f>
        <v>0</v>
      </c>
      <c r="AU231" s="7">
        <f>IF(AU229&lt;0, 1, 0)*'BS Forecasts'!AU$10</f>
        <v>0</v>
      </c>
      <c r="AV231" s="7">
        <f>IF(AV229&lt;0, 1, 0)*'BS Forecasts'!AV$10</f>
        <v>0</v>
      </c>
      <c r="AW231" s="7">
        <f>IF(AW229&lt;0, 1, 0)*'BS Forecasts'!AW$10</f>
        <v>0</v>
      </c>
      <c r="AX231" s="7">
        <f>IF(AX229&lt;0, 1, 0)*'BS Forecasts'!AX$10</f>
        <v>0</v>
      </c>
      <c r="AY231" s="7">
        <f>IF(AY229&lt;0, 1, 0)*'BS Forecasts'!AY$10</f>
        <v>0</v>
      </c>
      <c r="AZ231" s="7">
        <f>IF(AZ229&lt;0, 1, 0)*'BS Forecasts'!AZ$10</f>
        <v>0</v>
      </c>
      <c r="BA231" s="7">
        <f>IF(BA229&lt;0, 1, 0)*'BS Forecasts'!BA$10</f>
        <v>0</v>
      </c>
      <c r="BB231" s="7">
        <f>IF(BB229&lt;0, 1, 0)*'BS Forecasts'!BB$10</f>
        <v>0</v>
      </c>
      <c r="BC231" s="7">
        <f>IF(BC229&lt;0, 1, 0)*'BS Forecasts'!BC$10</f>
        <v>0</v>
      </c>
      <c r="BD231" s="7">
        <f>IF(BD229&lt;0, 1, 0)*'BS Forecasts'!BD$10</f>
        <v>0</v>
      </c>
      <c r="BE231" s="7">
        <f>IF(BE229&lt;0, 1, 0)*'BS Forecasts'!BE$10</f>
        <v>0</v>
      </c>
      <c r="BF231" s="7">
        <f>IF(BF229&lt;0, 1, 0)*'BS Forecasts'!BF$10</f>
        <v>0</v>
      </c>
      <c r="BG231" s="7">
        <f>IF(BG229&lt;0, 1, 0)*'BS Forecasts'!BG$10</f>
        <v>0</v>
      </c>
      <c r="BH231" s="7">
        <f>IF(BH229&lt;0, 1, 0)*'BS Forecasts'!BH$10</f>
        <v>0</v>
      </c>
      <c r="BI231" s="7">
        <f>IF(BI229&lt;0, 1, 0)*'BS Forecasts'!BI$10</f>
        <v>0</v>
      </c>
      <c r="BJ231" s="7">
        <f>IF(BJ229&lt;0, 1, 0)*'BS Forecasts'!BJ$10</f>
        <v>0</v>
      </c>
      <c r="BX231" s="7">
        <f>IF(BX229&lt;0, 1, 0)*'BS Forecasts'!BX$10</f>
        <v>0</v>
      </c>
      <c r="BY231" s="7">
        <f>IF(BY229&lt;0, 1, 0)*'BS Forecasts'!BY$10</f>
        <v>0</v>
      </c>
      <c r="BZ231" s="7">
        <f>IF(BZ229&lt;0, 1, 0)*'BS Forecasts'!BZ$10</f>
        <v>0</v>
      </c>
      <c r="CA231" s="7">
        <f>IF(CA229&lt;0, 1, 0)*'BS Forecasts'!CA$10</f>
        <v>0</v>
      </c>
      <c r="CB231" s="7">
        <f>IF(CB229&lt;0, 1, 0)*'BS Forecasts'!CB$10</f>
        <v>0</v>
      </c>
      <c r="CC231" s="7">
        <f>IF(CC229&lt;0, 1, 0)*'BS Forecasts'!CC$10</f>
        <v>0</v>
      </c>
      <c r="CD231" s="7">
        <f>IF(CD229&lt;0, 1, 0)*'BS Forecasts'!CD$10</f>
        <v>0</v>
      </c>
      <c r="CE231" s="7">
        <f>IF(CE229&lt;0, 1, 0)*'BS Forecasts'!CE$10</f>
        <v>0</v>
      </c>
      <c r="CF231" s="7">
        <f>IF(CF229&lt;0, 1, 0)*'BS Forecasts'!CF$10</f>
        <v>0</v>
      </c>
      <c r="CG231" s="7">
        <f>IF(CG229&lt;0, 1, 0)*'BS Forecasts'!CG$10</f>
        <v>0</v>
      </c>
      <c r="CH231" s="7">
        <f>IF(CH229&lt;0, 1, 0)*'BS Forecasts'!CH$10</f>
        <v>0</v>
      </c>
      <c r="CI231" s="7">
        <f>IF(CI229&lt;0, 1, 0)*'BS Forecasts'!CI$10</f>
        <v>0</v>
      </c>
      <c r="CK231" s="11"/>
      <c r="CM231" s="11"/>
      <c r="CR231" s="7">
        <f>IF(SUM(V231:CI231)=0, 0, 1)</f>
        <v>0</v>
      </c>
      <c r="CZ231" s="650"/>
      <c r="DA231" s="35"/>
      <c r="DI231" s="35"/>
      <c r="DJ231">
        <v>0</v>
      </c>
      <c r="DK231">
        <v>0</v>
      </c>
      <c r="DL231" s="35"/>
      <c r="EZ231" s="10" t="str">
        <f>IF($C231="","",$D231)</f>
        <v/>
      </c>
    </row>
    <row r="232" spans="1:156" ht="6.75" customHeight="1" x14ac:dyDescent="0.35">
      <c r="C232" s="234"/>
      <c r="D232" s="1"/>
      <c r="E232"/>
      <c r="BY232" s="6"/>
      <c r="CK232" s="35"/>
      <c r="CM232" s="35"/>
      <c r="CZ232" s="650"/>
      <c r="DA232" s="35"/>
      <c r="DI232" s="35"/>
      <c r="DJ232">
        <v>0</v>
      </c>
      <c r="DK232">
        <v>0</v>
      </c>
      <c r="DL232" s="35"/>
      <c r="EZ232" s="10" t="str">
        <f>IF($C232="","",$D232)</f>
        <v/>
      </c>
    </row>
    <row r="233" spans="1:156" x14ac:dyDescent="0.35">
      <c r="B233" s="5"/>
      <c r="C233" s="234"/>
      <c r="D233" s="24" t="str">
        <f>'Opening Balances'!D11</f>
        <v>Equipment</v>
      </c>
      <c r="E233"/>
      <c r="CK233" s="11"/>
      <c r="CM233" s="11"/>
      <c r="CZ233" s="650"/>
      <c r="DA233" s="35"/>
      <c r="DI233" s="35"/>
      <c r="DJ233">
        <v>0</v>
      </c>
      <c r="DK233">
        <v>0</v>
      </c>
      <c r="DL233" s="35"/>
      <c r="EZ233" s="10" t="str">
        <f>IF($C233="","",$D233)</f>
        <v/>
      </c>
    </row>
    <row r="234" spans="1:156" x14ac:dyDescent="0.35">
      <c r="C234" s="211" t="str">
        <f>CONCATENATE("II-",'Opening Balances'!$C$11)</f>
        <v>II-B-1b-OB</v>
      </c>
      <c r="D234" s="33" t="s">
        <v>890</v>
      </c>
      <c r="E234" s="33"/>
      <c r="G234" s="8"/>
      <c r="H234" s="9" t="s">
        <v>620</v>
      </c>
      <c r="V234" s="12">
        <f>'Opening Balances'!$V$11</f>
        <v>0</v>
      </c>
      <c r="W234" s="133">
        <f>V243</f>
        <v>0</v>
      </c>
      <c r="X234" s="10">
        <f>W243</f>
        <v>0</v>
      </c>
      <c r="Y234" s="10">
        <f>X243</f>
        <v>0</v>
      </c>
      <c r="AA234" s="10">
        <f>W234</f>
        <v>0</v>
      </c>
      <c r="AB234" s="10">
        <f t="shared" ref="AB234:BJ234" si="449">AA243</f>
        <v>0</v>
      </c>
      <c r="AC234" s="10">
        <f t="shared" si="449"/>
        <v>0</v>
      </c>
      <c r="AD234" s="10">
        <f t="shared" si="449"/>
        <v>0</v>
      </c>
      <c r="AE234" s="10">
        <f t="shared" si="449"/>
        <v>0</v>
      </c>
      <c r="AF234" s="10">
        <f t="shared" si="449"/>
        <v>0</v>
      </c>
      <c r="AG234" s="10">
        <f t="shared" si="449"/>
        <v>0</v>
      </c>
      <c r="AH234" s="10">
        <f t="shared" si="449"/>
        <v>0</v>
      </c>
      <c r="AI234" s="10">
        <f t="shared" si="449"/>
        <v>0</v>
      </c>
      <c r="AJ234" s="10">
        <f t="shared" si="449"/>
        <v>0</v>
      </c>
      <c r="AK234" s="10">
        <f t="shared" si="449"/>
        <v>0</v>
      </c>
      <c r="AL234" s="10">
        <f t="shared" si="449"/>
        <v>0</v>
      </c>
      <c r="AM234" s="10">
        <f t="shared" si="449"/>
        <v>0</v>
      </c>
      <c r="AN234" s="10">
        <f t="shared" si="449"/>
        <v>0</v>
      </c>
      <c r="AO234" s="10">
        <f t="shared" si="449"/>
        <v>0</v>
      </c>
      <c r="AP234" s="10">
        <f t="shared" si="449"/>
        <v>0</v>
      </c>
      <c r="AQ234" s="10">
        <f t="shared" si="449"/>
        <v>0</v>
      </c>
      <c r="AR234" s="10">
        <f t="shared" si="449"/>
        <v>0</v>
      </c>
      <c r="AS234" s="10">
        <f t="shared" si="449"/>
        <v>0</v>
      </c>
      <c r="AT234" s="10">
        <f t="shared" si="449"/>
        <v>0</v>
      </c>
      <c r="AU234" s="10">
        <f t="shared" si="449"/>
        <v>0</v>
      </c>
      <c r="AV234" s="10">
        <f t="shared" si="449"/>
        <v>0</v>
      </c>
      <c r="AW234" s="10">
        <f t="shared" si="449"/>
        <v>0</v>
      </c>
      <c r="AX234" s="10">
        <f t="shared" si="449"/>
        <v>0</v>
      </c>
      <c r="AY234" s="10">
        <f t="shared" si="449"/>
        <v>0</v>
      </c>
      <c r="AZ234" s="10">
        <f t="shared" si="449"/>
        <v>0</v>
      </c>
      <c r="BA234" s="10">
        <f t="shared" si="449"/>
        <v>0</v>
      </c>
      <c r="BB234" s="10">
        <f t="shared" si="449"/>
        <v>0</v>
      </c>
      <c r="BC234" s="10">
        <f t="shared" si="449"/>
        <v>0</v>
      </c>
      <c r="BD234" s="10">
        <f t="shared" si="449"/>
        <v>0</v>
      </c>
      <c r="BE234" s="10">
        <f t="shared" si="449"/>
        <v>0</v>
      </c>
      <c r="BF234" s="10">
        <f t="shared" si="449"/>
        <v>0</v>
      </c>
      <c r="BG234" s="10">
        <f t="shared" si="449"/>
        <v>0</v>
      </c>
      <c r="BH234" s="10">
        <f t="shared" si="449"/>
        <v>0</v>
      </c>
      <c r="BI234" s="10">
        <f t="shared" si="449"/>
        <v>0</v>
      </c>
      <c r="BJ234" s="10">
        <f t="shared" si="449"/>
        <v>0</v>
      </c>
      <c r="BX234" s="12">
        <f>V234</f>
        <v>0</v>
      </c>
      <c r="BY234" s="12">
        <f>W234</f>
        <v>0</v>
      </c>
      <c r="BZ234" s="12">
        <f>X234</f>
        <v>0</v>
      </c>
      <c r="CA234" s="12">
        <f>Y234</f>
        <v>0</v>
      </c>
      <c r="CB234" s="10">
        <f t="shared" ref="CB234:CI234" si="450">CA243</f>
        <v>0</v>
      </c>
      <c r="CC234" s="10">
        <f t="shared" si="450"/>
        <v>0</v>
      </c>
      <c r="CD234" s="133">
        <f t="shared" si="450"/>
        <v>0</v>
      </c>
      <c r="CE234" s="10">
        <f t="shared" si="450"/>
        <v>0</v>
      </c>
      <c r="CF234" s="10">
        <f t="shared" si="450"/>
        <v>0</v>
      </c>
      <c r="CG234" s="10">
        <f t="shared" si="450"/>
        <v>0</v>
      </c>
      <c r="CH234" s="10">
        <f t="shared" si="450"/>
        <v>0</v>
      </c>
      <c r="CI234" s="10">
        <f t="shared" si="450"/>
        <v>0</v>
      </c>
      <c r="CK234" s="11"/>
      <c r="CM234" s="11"/>
      <c r="CZ234" s="650"/>
      <c r="DA234" s="35"/>
      <c r="DI234" s="35"/>
      <c r="DJ234">
        <v>0</v>
      </c>
      <c r="DK234">
        <v>0</v>
      </c>
      <c r="DL234" s="35"/>
      <c r="EZ234" s="12" t="str">
        <f t="shared" ref="EZ234:EZ243" si="451">IF($C234="","",CONCATENATE(D$233, " ",$D234))</f>
        <v>Equipment Opening Balance</v>
      </c>
    </row>
    <row r="235" spans="1:156" x14ac:dyDescent="0.35">
      <c r="A235" s="220" cm="1">
        <f t="array" aca="1" ref="A235" ca="1">HYPERLINK(CONCATENATE("#",CELL("address",IF(MAX($CM235:$CZ235)=0,A235,INDEX($CM235:$CZ235,MATCH(1,$CM235:$CZ235,0))))),MAX($CM235:$CZ235))</f>
        <v>0</v>
      </c>
      <c r="C235" s="211" t="s">
        <v>908</v>
      </c>
      <c r="D235" s="33" t="s">
        <v>892</v>
      </c>
      <c r="E235" s="33"/>
      <c r="G235" s="8"/>
      <c r="H235" s="9" t="s">
        <v>620</v>
      </c>
      <c r="V235" s="10">
        <f>V$29</f>
        <v>0</v>
      </c>
      <c r="W235" s="133">
        <f>W$29</f>
        <v>0</v>
      </c>
      <c r="X235" s="10">
        <f>X$29</f>
        <v>0</v>
      </c>
      <c r="Y235" s="10">
        <f>Y$29</f>
        <v>0</v>
      </c>
      <c r="AA235" s="10">
        <f t="shared" ref="AA235:BJ235" si="452">AA$29</f>
        <v>0</v>
      </c>
      <c r="AB235" s="10">
        <f t="shared" si="452"/>
        <v>0</v>
      </c>
      <c r="AC235" s="10">
        <f t="shared" si="452"/>
        <v>0</v>
      </c>
      <c r="AD235" s="10">
        <f t="shared" si="452"/>
        <v>0</v>
      </c>
      <c r="AE235" s="10">
        <f t="shared" si="452"/>
        <v>0</v>
      </c>
      <c r="AF235" s="10">
        <f t="shared" si="452"/>
        <v>0</v>
      </c>
      <c r="AG235" s="10">
        <f t="shared" si="452"/>
        <v>0</v>
      </c>
      <c r="AH235" s="10">
        <f t="shared" si="452"/>
        <v>0</v>
      </c>
      <c r="AI235" s="10">
        <f t="shared" si="452"/>
        <v>0</v>
      </c>
      <c r="AJ235" s="10">
        <f t="shared" si="452"/>
        <v>0</v>
      </c>
      <c r="AK235" s="10">
        <f t="shared" si="452"/>
        <v>0</v>
      </c>
      <c r="AL235" s="10">
        <f t="shared" si="452"/>
        <v>0</v>
      </c>
      <c r="AM235" s="10">
        <f t="shared" si="452"/>
        <v>0</v>
      </c>
      <c r="AN235" s="10">
        <f t="shared" si="452"/>
        <v>0</v>
      </c>
      <c r="AO235" s="10">
        <f t="shared" si="452"/>
        <v>0</v>
      </c>
      <c r="AP235" s="10">
        <f t="shared" si="452"/>
        <v>0</v>
      </c>
      <c r="AQ235" s="10">
        <f t="shared" si="452"/>
        <v>0</v>
      </c>
      <c r="AR235" s="10">
        <f t="shared" si="452"/>
        <v>0</v>
      </c>
      <c r="AS235" s="10">
        <f t="shared" si="452"/>
        <v>0</v>
      </c>
      <c r="AT235" s="10">
        <f t="shared" si="452"/>
        <v>0</v>
      </c>
      <c r="AU235" s="10">
        <f t="shared" si="452"/>
        <v>0</v>
      </c>
      <c r="AV235" s="10">
        <f t="shared" si="452"/>
        <v>0</v>
      </c>
      <c r="AW235" s="10">
        <f t="shared" si="452"/>
        <v>0</v>
      </c>
      <c r="AX235" s="10">
        <f t="shared" si="452"/>
        <v>0</v>
      </c>
      <c r="AY235" s="10">
        <f t="shared" si="452"/>
        <v>0</v>
      </c>
      <c r="AZ235" s="10">
        <f t="shared" si="452"/>
        <v>0</v>
      </c>
      <c r="BA235" s="10">
        <f t="shared" si="452"/>
        <v>0</v>
      </c>
      <c r="BB235" s="10">
        <f t="shared" si="452"/>
        <v>0</v>
      </c>
      <c r="BC235" s="10">
        <f t="shared" si="452"/>
        <v>0</v>
      </c>
      <c r="BD235" s="10">
        <f t="shared" si="452"/>
        <v>0</v>
      </c>
      <c r="BE235" s="10">
        <f t="shared" si="452"/>
        <v>0</v>
      </c>
      <c r="BF235" s="10">
        <f t="shared" si="452"/>
        <v>0</v>
      </c>
      <c r="BG235" s="10">
        <f t="shared" si="452"/>
        <v>0</v>
      </c>
      <c r="BH235" s="10">
        <f t="shared" si="452"/>
        <v>0</v>
      </c>
      <c r="BI235" s="10">
        <f t="shared" si="452"/>
        <v>0</v>
      </c>
      <c r="BJ235" s="10">
        <f t="shared" si="452"/>
        <v>0</v>
      </c>
      <c r="BX235" s="10">
        <f t="shared" ref="BX235:CI235" si="453">BX$29</f>
        <v>0</v>
      </c>
      <c r="BY235" s="10">
        <f t="shared" si="453"/>
        <v>0</v>
      </c>
      <c r="BZ235" s="10">
        <f t="shared" si="453"/>
        <v>0</v>
      </c>
      <c r="CA235" s="10">
        <f t="shared" si="453"/>
        <v>0</v>
      </c>
      <c r="CB235" s="10">
        <f t="shared" si="453"/>
        <v>0</v>
      </c>
      <c r="CC235" s="10">
        <f t="shared" si="453"/>
        <v>0</v>
      </c>
      <c r="CD235" s="133">
        <f t="shared" si="453"/>
        <v>0</v>
      </c>
      <c r="CE235" s="10">
        <f t="shared" si="453"/>
        <v>0</v>
      </c>
      <c r="CF235" s="10">
        <f t="shared" si="453"/>
        <v>0</v>
      </c>
      <c r="CG235" s="10">
        <f t="shared" si="453"/>
        <v>0</v>
      </c>
      <c r="CH235" s="10">
        <f t="shared" si="453"/>
        <v>0</v>
      </c>
      <c r="CI235" s="10">
        <f t="shared" si="453"/>
        <v>0</v>
      </c>
      <c r="CK235" s="11"/>
      <c r="CL235" s="221">
        <f>IF(MIN($V235:$CI235)&lt;0, 1, 0)</f>
        <v>0</v>
      </c>
      <c r="CM235" s="11"/>
      <c r="CW235" s="7">
        <f t="shared" ref="CW235:CW243" si="454">IF(SUM($DB235:$DD235)=0, 0, 1)</f>
        <v>0</v>
      </c>
      <c r="CX235" s="7">
        <f t="shared" ref="CX235:CX243" si="455">IF(SUM($DE235:$DG235)=0, 0, 1)</f>
        <v>0</v>
      </c>
      <c r="CY235" s="7">
        <f t="shared" ref="CY235:CY243" si="456">IF($DH235=0, 0, 1)</f>
        <v>0</v>
      </c>
      <c r="CZ235" s="650"/>
      <c r="DA235" s="35"/>
      <c r="DB235" s="215">
        <f t="shared" ref="DB235:DD242" si="457">ROUND(W235-SUMIFS($AA235:$BJ235, $AA$3:$BJ$3, W$3), rounding)</f>
        <v>0</v>
      </c>
      <c r="DC235" s="215">
        <f t="shared" si="457"/>
        <v>0</v>
      </c>
      <c r="DD235" s="215">
        <f t="shared" si="457"/>
        <v>0</v>
      </c>
      <c r="DE235" s="215">
        <f t="shared" ref="DE235:DE242" si="458">ROUND($BY235-SUMIFS($AA235:$BJ235, $AA$3:$BJ$3, $BY$3), rounding)</f>
        <v>0</v>
      </c>
      <c r="DF235" s="215">
        <f t="shared" ref="DF235:DF242" si="459">ROUND($BZ235-SUMIFS($AA235:$BJ235, $AA$3:$BJ$3, $BZ$3), rounding)</f>
        <v>0</v>
      </c>
      <c r="DG235" s="215">
        <f t="shared" ref="DG235:DG242" si="460">ROUND($CA235-SUMIFS($AA235:$BJ235, $AA$3:$BJ$3, $CA$3), rounding)</f>
        <v>0</v>
      </c>
      <c r="DH235" s="215">
        <f t="shared" ref="DH235:DH243" si="461">ROUND($V235-$BX235, rounding)</f>
        <v>0</v>
      </c>
      <c r="DI235" s="35"/>
      <c r="DJ235">
        <v>0</v>
      </c>
      <c r="DK235">
        <v>0</v>
      </c>
      <c r="DL235" s="35"/>
      <c r="EZ235" s="12" t="str">
        <f t="shared" si="451"/>
        <v>Equipment Additions (incl. donations)</v>
      </c>
    </row>
    <row r="236" spans="1:156" x14ac:dyDescent="0.35">
      <c r="A236" s="220" cm="1">
        <f t="array" aca="1" ref="A236" ca="1">HYPERLINK(CONCATENATE("#",CELL("address",IF(MAX($CM236:$CZ236)=0,A236,INDEX($CM236:$CZ236,MATCH(1,$CM236:$CZ236,0))))),MAX($CM236:$CZ236))</f>
        <v>0</v>
      </c>
      <c r="C236" s="211" t="s">
        <v>909</v>
      </c>
      <c r="D236" s="33" t="s">
        <v>798</v>
      </c>
      <c r="E236" s="33"/>
      <c r="G236" s="8"/>
      <c r="H236" s="9" t="s">
        <v>620</v>
      </c>
      <c r="V236" s="10">
        <f>V$76</f>
        <v>0</v>
      </c>
      <c r="W236" s="133">
        <f>W$76</f>
        <v>0</v>
      </c>
      <c r="X236" s="10">
        <f>X$76</f>
        <v>0</v>
      </c>
      <c r="Y236" s="10">
        <f>Y$76</f>
        <v>0</v>
      </c>
      <c r="AA236" s="10">
        <f t="shared" ref="AA236:BJ236" si="462">AA$76</f>
        <v>0</v>
      </c>
      <c r="AB236" s="10">
        <f t="shared" si="462"/>
        <v>0</v>
      </c>
      <c r="AC236" s="10">
        <f t="shared" si="462"/>
        <v>0</v>
      </c>
      <c r="AD236" s="10">
        <f t="shared" si="462"/>
        <v>0</v>
      </c>
      <c r="AE236" s="10">
        <f t="shared" si="462"/>
        <v>0</v>
      </c>
      <c r="AF236" s="10">
        <f t="shared" si="462"/>
        <v>0</v>
      </c>
      <c r="AG236" s="10">
        <f t="shared" si="462"/>
        <v>0</v>
      </c>
      <c r="AH236" s="10">
        <f t="shared" si="462"/>
        <v>0</v>
      </c>
      <c r="AI236" s="10">
        <f t="shared" si="462"/>
        <v>0</v>
      </c>
      <c r="AJ236" s="10">
        <f t="shared" si="462"/>
        <v>0</v>
      </c>
      <c r="AK236" s="10">
        <f t="shared" si="462"/>
        <v>0</v>
      </c>
      <c r="AL236" s="10">
        <f t="shared" si="462"/>
        <v>0</v>
      </c>
      <c r="AM236" s="10">
        <f t="shared" si="462"/>
        <v>0</v>
      </c>
      <c r="AN236" s="10">
        <f t="shared" si="462"/>
        <v>0</v>
      </c>
      <c r="AO236" s="10">
        <f t="shared" si="462"/>
        <v>0</v>
      </c>
      <c r="AP236" s="10">
        <f t="shared" si="462"/>
        <v>0</v>
      </c>
      <c r="AQ236" s="10">
        <f t="shared" si="462"/>
        <v>0</v>
      </c>
      <c r="AR236" s="10">
        <f t="shared" si="462"/>
        <v>0</v>
      </c>
      <c r="AS236" s="10">
        <f t="shared" si="462"/>
        <v>0</v>
      </c>
      <c r="AT236" s="10">
        <f t="shared" si="462"/>
        <v>0</v>
      </c>
      <c r="AU236" s="10">
        <f t="shared" si="462"/>
        <v>0</v>
      </c>
      <c r="AV236" s="10">
        <f t="shared" si="462"/>
        <v>0</v>
      </c>
      <c r="AW236" s="10">
        <f t="shared" si="462"/>
        <v>0</v>
      </c>
      <c r="AX236" s="10">
        <f t="shared" si="462"/>
        <v>0</v>
      </c>
      <c r="AY236" s="10">
        <f t="shared" si="462"/>
        <v>0</v>
      </c>
      <c r="AZ236" s="10">
        <f t="shared" si="462"/>
        <v>0</v>
      </c>
      <c r="BA236" s="10">
        <f t="shared" si="462"/>
        <v>0</v>
      </c>
      <c r="BB236" s="10">
        <f t="shared" si="462"/>
        <v>0</v>
      </c>
      <c r="BC236" s="10">
        <f t="shared" si="462"/>
        <v>0</v>
      </c>
      <c r="BD236" s="10">
        <f t="shared" si="462"/>
        <v>0</v>
      </c>
      <c r="BE236" s="10">
        <f t="shared" si="462"/>
        <v>0</v>
      </c>
      <c r="BF236" s="10">
        <f t="shared" si="462"/>
        <v>0</v>
      </c>
      <c r="BG236" s="10">
        <f t="shared" si="462"/>
        <v>0</v>
      </c>
      <c r="BH236" s="10">
        <f t="shared" si="462"/>
        <v>0</v>
      </c>
      <c r="BI236" s="10">
        <f t="shared" si="462"/>
        <v>0</v>
      </c>
      <c r="BJ236" s="10">
        <f t="shared" si="462"/>
        <v>0</v>
      </c>
      <c r="BX236" s="10">
        <f t="shared" ref="BX236:CI236" si="463">BX$76</f>
        <v>0</v>
      </c>
      <c r="BY236" s="10">
        <f t="shared" si="463"/>
        <v>0</v>
      </c>
      <c r="BZ236" s="10">
        <f t="shared" si="463"/>
        <v>0</v>
      </c>
      <c r="CA236" s="10">
        <f t="shared" si="463"/>
        <v>0</v>
      </c>
      <c r="CB236" s="10">
        <f t="shared" si="463"/>
        <v>0</v>
      </c>
      <c r="CC236" s="10">
        <f t="shared" si="463"/>
        <v>0</v>
      </c>
      <c r="CD236" s="133">
        <f t="shared" si="463"/>
        <v>0</v>
      </c>
      <c r="CE236" s="10">
        <f t="shared" si="463"/>
        <v>0</v>
      </c>
      <c r="CF236" s="10">
        <f t="shared" si="463"/>
        <v>0</v>
      </c>
      <c r="CG236" s="10">
        <f t="shared" si="463"/>
        <v>0</v>
      </c>
      <c r="CH236" s="10">
        <f t="shared" si="463"/>
        <v>0</v>
      </c>
      <c r="CI236" s="10">
        <f t="shared" si="463"/>
        <v>0</v>
      </c>
      <c r="CK236" s="11"/>
      <c r="CL236" s="221">
        <f>IF(MIN($V236:$CI236)&lt;0, 1, 0)</f>
        <v>0</v>
      </c>
      <c r="CM236" s="11"/>
      <c r="CW236" s="7">
        <f t="shared" si="454"/>
        <v>0</v>
      </c>
      <c r="CX236" s="7">
        <f t="shared" si="455"/>
        <v>0</v>
      </c>
      <c r="CY236" s="7">
        <f t="shared" si="456"/>
        <v>0</v>
      </c>
      <c r="CZ236" s="650"/>
      <c r="DA236" s="35"/>
      <c r="DB236" s="215">
        <f t="shared" si="457"/>
        <v>0</v>
      </c>
      <c r="DC236" s="215">
        <f t="shared" si="457"/>
        <v>0</v>
      </c>
      <c r="DD236" s="215">
        <f t="shared" si="457"/>
        <v>0</v>
      </c>
      <c r="DE236" s="215">
        <f t="shared" si="458"/>
        <v>0</v>
      </c>
      <c r="DF236" s="215">
        <f t="shared" si="459"/>
        <v>0</v>
      </c>
      <c r="DG236" s="215">
        <f t="shared" si="460"/>
        <v>0</v>
      </c>
      <c r="DH236" s="215">
        <f t="shared" si="461"/>
        <v>0</v>
      </c>
      <c r="DI236" s="35"/>
      <c r="DJ236">
        <v>0</v>
      </c>
      <c r="DK236">
        <v>0</v>
      </c>
      <c r="DL236" s="35"/>
      <c r="EZ236" s="12" t="str">
        <f t="shared" si="451"/>
        <v>Equipment Movement from Assets under Construction</v>
      </c>
    </row>
    <row r="237" spans="1:156" x14ac:dyDescent="0.35">
      <c r="A237" s="220" cm="1">
        <f t="array" aca="1" ref="A237" ca="1">HYPERLINK(CONCATENATE("#",CELL("address",IF(MAX($CM237:$CZ237)=0,A237,INDEX($CM237:$CZ237,MATCH(1,$CM237:$CZ237,0))))),MAX($CM237:$CZ237))</f>
        <v>0</v>
      </c>
      <c r="C237" s="211" t="s">
        <v>910</v>
      </c>
      <c r="D237" s="33" t="s">
        <v>895</v>
      </c>
      <c r="E237" s="33"/>
      <c r="G237" s="8"/>
      <c r="H237" s="9" t="s">
        <v>620</v>
      </c>
      <c r="V237" s="10">
        <f>V$101</f>
        <v>0</v>
      </c>
      <c r="W237" s="133">
        <f>W$101</f>
        <v>0</v>
      </c>
      <c r="X237" s="133">
        <f>X$101</f>
        <v>0</v>
      </c>
      <c r="Y237" s="10">
        <f>Y$101</f>
        <v>0</v>
      </c>
      <c r="AA237" s="10">
        <f t="shared" ref="AA237:BJ237" si="464">AA$101</f>
        <v>0</v>
      </c>
      <c r="AB237" s="10">
        <f t="shared" si="464"/>
        <v>0</v>
      </c>
      <c r="AC237" s="10">
        <f t="shared" si="464"/>
        <v>0</v>
      </c>
      <c r="AD237" s="10">
        <f t="shared" si="464"/>
        <v>0</v>
      </c>
      <c r="AE237" s="10">
        <f t="shared" si="464"/>
        <v>0</v>
      </c>
      <c r="AF237" s="10">
        <f t="shared" si="464"/>
        <v>0</v>
      </c>
      <c r="AG237" s="10">
        <f t="shared" si="464"/>
        <v>0</v>
      </c>
      <c r="AH237" s="10">
        <f t="shared" si="464"/>
        <v>0</v>
      </c>
      <c r="AI237" s="10">
        <f t="shared" si="464"/>
        <v>0</v>
      </c>
      <c r="AJ237" s="10">
        <f t="shared" si="464"/>
        <v>0</v>
      </c>
      <c r="AK237" s="10">
        <f t="shared" si="464"/>
        <v>0</v>
      </c>
      <c r="AL237" s="10">
        <f t="shared" si="464"/>
        <v>0</v>
      </c>
      <c r="AM237" s="10">
        <f t="shared" si="464"/>
        <v>0</v>
      </c>
      <c r="AN237" s="10">
        <f t="shared" si="464"/>
        <v>0</v>
      </c>
      <c r="AO237" s="10">
        <f t="shared" si="464"/>
        <v>0</v>
      </c>
      <c r="AP237" s="10">
        <f t="shared" si="464"/>
        <v>0</v>
      </c>
      <c r="AQ237" s="10">
        <f t="shared" si="464"/>
        <v>0</v>
      </c>
      <c r="AR237" s="10">
        <f t="shared" si="464"/>
        <v>0</v>
      </c>
      <c r="AS237" s="10">
        <f t="shared" si="464"/>
        <v>0</v>
      </c>
      <c r="AT237" s="10">
        <f t="shared" si="464"/>
        <v>0</v>
      </c>
      <c r="AU237" s="10">
        <f t="shared" si="464"/>
        <v>0</v>
      </c>
      <c r="AV237" s="10">
        <f t="shared" si="464"/>
        <v>0</v>
      </c>
      <c r="AW237" s="10">
        <f t="shared" si="464"/>
        <v>0</v>
      </c>
      <c r="AX237" s="10">
        <f t="shared" si="464"/>
        <v>0</v>
      </c>
      <c r="AY237" s="10">
        <f t="shared" si="464"/>
        <v>0</v>
      </c>
      <c r="AZ237" s="10">
        <f t="shared" si="464"/>
        <v>0</v>
      </c>
      <c r="BA237" s="10">
        <f t="shared" si="464"/>
        <v>0</v>
      </c>
      <c r="BB237" s="10">
        <f t="shared" si="464"/>
        <v>0</v>
      </c>
      <c r="BC237" s="10">
        <f t="shared" si="464"/>
        <v>0</v>
      </c>
      <c r="BD237" s="10">
        <f t="shared" si="464"/>
        <v>0</v>
      </c>
      <c r="BE237" s="10">
        <f t="shared" si="464"/>
        <v>0</v>
      </c>
      <c r="BF237" s="10">
        <f t="shared" si="464"/>
        <v>0</v>
      </c>
      <c r="BG237" s="10">
        <f t="shared" si="464"/>
        <v>0</v>
      </c>
      <c r="BH237" s="10">
        <f t="shared" si="464"/>
        <v>0</v>
      </c>
      <c r="BI237" s="10">
        <f t="shared" si="464"/>
        <v>0</v>
      </c>
      <c r="BJ237" s="10">
        <f t="shared" si="464"/>
        <v>0</v>
      </c>
      <c r="BX237" s="10">
        <f t="shared" ref="BX237:CI237" si="465">BX$101</f>
        <v>0</v>
      </c>
      <c r="BY237" s="10">
        <f t="shared" si="465"/>
        <v>0</v>
      </c>
      <c r="BZ237" s="10">
        <f t="shared" si="465"/>
        <v>0</v>
      </c>
      <c r="CA237" s="10">
        <f t="shared" si="465"/>
        <v>0</v>
      </c>
      <c r="CB237" s="10">
        <f t="shared" si="465"/>
        <v>0</v>
      </c>
      <c r="CC237" s="10">
        <f t="shared" si="465"/>
        <v>0</v>
      </c>
      <c r="CD237" s="133">
        <f t="shared" si="465"/>
        <v>0</v>
      </c>
      <c r="CE237" s="10">
        <f t="shared" si="465"/>
        <v>0</v>
      </c>
      <c r="CF237" s="10">
        <f t="shared" si="465"/>
        <v>0</v>
      </c>
      <c r="CG237" s="10">
        <f t="shared" si="465"/>
        <v>0</v>
      </c>
      <c r="CH237" s="10">
        <f t="shared" si="465"/>
        <v>0</v>
      </c>
      <c r="CI237" s="10">
        <f t="shared" si="465"/>
        <v>0</v>
      </c>
      <c r="CK237" s="11"/>
      <c r="CM237" s="11"/>
      <c r="CW237" s="7">
        <f t="shared" si="454"/>
        <v>0</v>
      </c>
      <c r="CX237" s="7">
        <f t="shared" si="455"/>
        <v>0</v>
      </c>
      <c r="CY237" s="7">
        <f t="shared" si="456"/>
        <v>0</v>
      </c>
      <c r="CZ237" s="650"/>
      <c r="DA237" s="35"/>
      <c r="DB237" s="215">
        <f t="shared" si="457"/>
        <v>0</v>
      </c>
      <c r="DC237" s="215">
        <f t="shared" si="457"/>
        <v>0</v>
      </c>
      <c r="DD237" s="215">
        <f t="shared" si="457"/>
        <v>0</v>
      </c>
      <c r="DE237" s="215">
        <f t="shared" si="458"/>
        <v>0</v>
      </c>
      <c r="DF237" s="215">
        <f t="shared" si="459"/>
        <v>0</v>
      </c>
      <c r="DG237" s="215">
        <f t="shared" si="460"/>
        <v>0</v>
      </c>
      <c r="DH237" s="215">
        <f t="shared" si="461"/>
        <v>0</v>
      </c>
      <c r="DI237" s="35"/>
      <c r="DJ237">
        <v>0</v>
      </c>
      <c r="DK237">
        <v>0</v>
      </c>
      <c r="DL237" s="35"/>
      <c r="EZ237" s="12" t="str">
        <f t="shared" si="451"/>
        <v>Equipment Surplus/Loss on Revaluation</v>
      </c>
    </row>
    <row r="238" spans="1:156" x14ac:dyDescent="0.35">
      <c r="A238" s="220" cm="1">
        <f t="array" aca="1" ref="A238" ca="1">HYPERLINK(CONCATENATE("#",CELL("address",IF(MAX($CM238:$CZ238)=0,A238,INDEX($CM238:$CZ238,MATCH(1,$CM238:$CZ238,0))))),MAX($CM238:$CZ238))</f>
        <v>0</v>
      </c>
      <c r="C238" s="211" t="s">
        <v>911</v>
      </c>
      <c r="D238" s="33" t="s">
        <v>841</v>
      </c>
      <c r="E238" s="33"/>
      <c r="G238" s="8"/>
      <c r="H238" s="9" t="s">
        <v>646</v>
      </c>
      <c r="V238" s="10">
        <f>V$127</f>
        <v>0</v>
      </c>
      <c r="W238" s="133">
        <f>W$127</f>
        <v>0</v>
      </c>
      <c r="X238" s="10">
        <f>X$127</f>
        <v>0</v>
      </c>
      <c r="Y238" s="10">
        <f>Y$127</f>
        <v>0</v>
      </c>
      <c r="AA238" s="10">
        <f t="shared" ref="AA238:BJ238" si="466">AA$127</f>
        <v>0</v>
      </c>
      <c r="AB238" s="10">
        <f t="shared" si="466"/>
        <v>0</v>
      </c>
      <c r="AC238" s="10">
        <f t="shared" si="466"/>
        <v>0</v>
      </c>
      <c r="AD238" s="10">
        <f t="shared" si="466"/>
        <v>0</v>
      </c>
      <c r="AE238" s="10">
        <f t="shared" si="466"/>
        <v>0</v>
      </c>
      <c r="AF238" s="10">
        <f t="shared" si="466"/>
        <v>0</v>
      </c>
      <c r="AG238" s="10">
        <f t="shared" si="466"/>
        <v>0</v>
      </c>
      <c r="AH238" s="10">
        <f t="shared" si="466"/>
        <v>0</v>
      </c>
      <c r="AI238" s="10">
        <f t="shared" si="466"/>
        <v>0</v>
      </c>
      <c r="AJ238" s="10">
        <f t="shared" si="466"/>
        <v>0</v>
      </c>
      <c r="AK238" s="10">
        <f t="shared" si="466"/>
        <v>0</v>
      </c>
      <c r="AL238" s="10">
        <f t="shared" si="466"/>
        <v>0</v>
      </c>
      <c r="AM238" s="10">
        <f t="shared" si="466"/>
        <v>0</v>
      </c>
      <c r="AN238" s="10">
        <f t="shared" si="466"/>
        <v>0</v>
      </c>
      <c r="AO238" s="10">
        <f t="shared" si="466"/>
        <v>0</v>
      </c>
      <c r="AP238" s="10">
        <f t="shared" si="466"/>
        <v>0</v>
      </c>
      <c r="AQ238" s="10">
        <f t="shared" si="466"/>
        <v>0</v>
      </c>
      <c r="AR238" s="10">
        <f t="shared" si="466"/>
        <v>0</v>
      </c>
      <c r="AS238" s="10">
        <f t="shared" si="466"/>
        <v>0</v>
      </c>
      <c r="AT238" s="10">
        <f t="shared" si="466"/>
        <v>0</v>
      </c>
      <c r="AU238" s="10">
        <f t="shared" si="466"/>
        <v>0</v>
      </c>
      <c r="AV238" s="10">
        <f t="shared" si="466"/>
        <v>0</v>
      </c>
      <c r="AW238" s="10">
        <f t="shared" si="466"/>
        <v>0</v>
      </c>
      <c r="AX238" s="10">
        <f t="shared" si="466"/>
        <v>0</v>
      </c>
      <c r="AY238" s="10">
        <f t="shared" si="466"/>
        <v>0</v>
      </c>
      <c r="AZ238" s="10">
        <f t="shared" si="466"/>
        <v>0</v>
      </c>
      <c r="BA238" s="10">
        <f t="shared" si="466"/>
        <v>0</v>
      </c>
      <c r="BB238" s="10">
        <f t="shared" si="466"/>
        <v>0</v>
      </c>
      <c r="BC238" s="10">
        <f t="shared" si="466"/>
        <v>0</v>
      </c>
      <c r="BD238" s="10">
        <f t="shared" si="466"/>
        <v>0</v>
      </c>
      <c r="BE238" s="10">
        <f t="shared" si="466"/>
        <v>0</v>
      </c>
      <c r="BF238" s="10">
        <f t="shared" si="466"/>
        <v>0</v>
      </c>
      <c r="BG238" s="10">
        <f t="shared" si="466"/>
        <v>0</v>
      </c>
      <c r="BH238" s="10">
        <f t="shared" si="466"/>
        <v>0</v>
      </c>
      <c r="BI238" s="10">
        <f t="shared" si="466"/>
        <v>0</v>
      </c>
      <c r="BJ238" s="10">
        <f t="shared" si="466"/>
        <v>0</v>
      </c>
      <c r="BX238" s="10">
        <f t="shared" ref="BX238:CI238" si="467">BX$127</f>
        <v>0</v>
      </c>
      <c r="BY238" s="10">
        <f t="shared" si="467"/>
        <v>0</v>
      </c>
      <c r="BZ238" s="10">
        <f t="shared" si="467"/>
        <v>0</v>
      </c>
      <c r="CA238" s="10">
        <f t="shared" si="467"/>
        <v>0</v>
      </c>
      <c r="CB238" s="10">
        <f t="shared" si="467"/>
        <v>0</v>
      </c>
      <c r="CC238" s="10">
        <f t="shared" si="467"/>
        <v>0</v>
      </c>
      <c r="CD238" s="133">
        <f t="shared" si="467"/>
        <v>0</v>
      </c>
      <c r="CE238" s="10">
        <f t="shared" si="467"/>
        <v>0</v>
      </c>
      <c r="CF238" s="10">
        <f t="shared" si="467"/>
        <v>0</v>
      </c>
      <c r="CG238" s="10">
        <f t="shared" si="467"/>
        <v>0</v>
      </c>
      <c r="CH238" s="10">
        <f t="shared" si="467"/>
        <v>0</v>
      </c>
      <c r="CI238" s="10">
        <f t="shared" si="467"/>
        <v>0</v>
      </c>
      <c r="CK238" s="11"/>
      <c r="CL238" s="221">
        <f>IF(MAX($V238:$CI238)&gt;0, 1, 0)</f>
        <v>0</v>
      </c>
      <c r="CM238" s="11"/>
      <c r="CW238" s="7">
        <f t="shared" si="454"/>
        <v>0</v>
      </c>
      <c r="CX238" s="7">
        <f t="shared" si="455"/>
        <v>0</v>
      </c>
      <c r="CY238" s="7">
        <f t="shared" si="456"/>
        <v>0</v>
      </c>
      <c r="CZ238" s="650"/>
      <c r="DA238" s="35"/>
      <c r="DB238" s="215">
        <f t="shared" si="457"/>
        <v>0</v>
      </c>
      <c r="DC238" s="215">
        <f t="shared" si="457"/>
        <v>0</v>
      </c>
      <c r="DD238" s="215">
        <f t="shared" si="457"/>
        <v>0</v>
      </c>
      <c r="DE238" s="215">
        <f t="shared" si="458"/>
        <v>0</v>
      </c>
      <c r="DF238" s="215">
        <f t="shared" si="459"/>
        <v>0</v>
      </c>
      <c r="DG238" s="215">
        <f t="shared" si="460"/>
        <v>0</v>
      </c>
      <c r="DH238" s="215">
        <f t="shared" si="461"/>
        <v>0</v>
      </c>
      <c r="DI238" s="35"/>
      <c r="DJ238">
        <v>0</v>
      </c>
      <c r="DK238">
        <v>0</v>
      </c>
      <c r="DL238" s="35"/>
      <c r="EZ238" s="12" t="str">
        <f t="shared" si="451"/>
        <v>Equipment Moved to Assets Held for Sale</v>
      </c>
    </row>
    <row r="239" spans="1:156" s="5" customFormat="1" x14ac:dyDescent="0.35">
      <c r="A239" s="220" cm="1">
        <f t="array" aca="1" ref="A239" ca="1">HYPERLINK(CONCATENATE("#",CELL("address",IF(MAX($CM239:$CZ239)=0,A239,INDEX($CM239:$CZ239,MATCH(1,$CM239:$CZ239,0))))),MAX($CM239:$CZ239))</f>
        <v>0</v>
      </c>
      <c r="B239"/>
      <c r="C239" s="211" t="s">
        <v>912</v>
      </c>
      <c r="D239" s="33" t="s">
        <v>860</v>
      </c>
      <c r="E239" s="33"/>
      <c r="F239"/>
      <c r="G239" s="8"/>
      <c r="H239" s="9" t="s">
        <v>646</v>
      </c>
      <c r="I239"/>
      <c r="J239"/>
      <c r="K239"/>
      <c r="L239"/>
      <c r="M239"/>
      <c r="N239"/>
      <c r="O239"/>
      <c r="P239"/>
      <c r="Q239"/>
      <c r="R239"/>
      <c r="S239"/>
      <c r="T239"/>
      <c r="U239"/>
      <c r="V239" s="10">
        <f>V$187</f>
        <v>0</v>
      </c>
      <c r="W239" s="10">
        <f>W$187</f>
        <v>0</v>
      </c>
      <c r="X239" s="10">
        <f>X$187</f>
        <v>0</v>
      </c>
      <c r="Y239" s="10">
        <f>Y$187</f>
        <v>0</v>
      </c>
      <c r="Z239"/>
      <c r="AA239" s="10">
        <f t="shared" ref="AA239:BJ239" si="468">AA$187</f>
        <v>0</v>
      </c>
      <c r="AB239" s="10">
        <f t="shared" si="468"/>
        <v>0</v>
      </c>
      <c r="AC239" s="10">
        <f t="shared" si="468"/>
        <v>0</v>
      </c>
      <c r="AD239" s="10">
        <f t="shared" si="468"/>
        <v>0</v>
      </c>
      <c r="AE239" s="10">
        <f t="shared" si="468"/>
        <v>0</v>
      </c>
      <c r="AF239" s="10">
        <f t="shared" si="468"/>
        <v>0</v>
      </c>
      <c r="AG239" s="10">
        <f t="shared" si="468"/>
        <v>0</v>
      </c>
      <c r="AH239" s="10">
        <f t="shared" si="468"/>
        <v>0</v>
      </c>
      <c r="AI239" s="10">
        <f t="shared" si="468"/>
        <v>0</v>
      </c>
      <c r="AJ239" s="10">
        <f t="shared" si="468"/>
        <v>0</v>
      </c>
      <c r="AK239" s="10">
        <f t="shared" si="468"/>
        <v>0</v>
      </c>
      <c r="AL239" s="10">
        <f t="shared" si="468"/>
        <v>0</v>
      </c>
      <c r="AM239" s="10">
        <f t="shared" si="468"/>
        <v>0</v>
      </c>
      <c r="AN239" s="10">
        <f t="shared" si="468"/>
        <v>0</v>
      </c>
      <c r="AO239" s="10">
        <f t="shared" si="468"/>
        <v>0</v>
      </c>
      <c r="AP239" s="10">
        <f t="shared" si="468"/>
        <v>0</v>
      </c>
      <c r="AQ239" s="10">
        <f t="shared" si="468"/>
        <v>0</v>
      </c>
      <c r="AR239" s="10">
        <f t="shared" si="468"/>
        <v>0</v>
      </c>
      <c r="AS239" s="10">
        <f t="shared" si="468"/>
        <v>0</v>
      </c>
      <c r="AT239" s="10">
        <f t="shared" si="468"/>
        <v>0</v>
      </c>
      <c r="AU239" s="10">
        <f t="shared" si="468"/>
        <v>0</v>
      </c>
      <c r="AV239" s="10">
        <f t="shared" si="468"/>
        <v>0</v>
      </c>
      <c r="AW239" s="10">
        <f t="shared" si="468"/>
        <v>0</v>
      </c>
      <c r="AX239" s="10">
        <f t="shared" si="468"/>
        <v>0</v>
      </c>
      <c r="AY239" s="10">
        <f t="shared" si="468"/>
        <v>0</v>
      </c>
      <c r="AZ239" s="10">
        <f t="shared" si="468"/>
        <v>0</v>
      </c>
      <c r="BA239" s="10">
        <f t="shared" si="468"/>
        <v>0</v>
      </c>
      <c r="BB239" s="10">
        <f t="shared" si="468"/>
        <v>0</v>
      </c>
      <c r="BC239" s="10">
        <f t="shared" si="468"/>
        <v>0</v>
      </c>
      <c r="BD239" s="10">
        <f t="shared" si="468"/>
        <v>0</v>
      </c>
      <c r="BE239" s="10">
        <f t="shared" si="468"/>
        <v>0</v>
      </c>
      <c r="BF239" s="10">
        <f t="shared" si="468"/>
        <v>0</v>
      </c>
      <c r="BG239" s="10">
        <f t="shared" si="468"/>
        <v>0</v>
      </c>
      <c r="BH239" s="10">
        <f t="shared" si="468"/>
        <v>0</v>
      </c>
      <c r="BI239" s="10">
        <f t="shared" si="468"/>
        <v>0</v>
      </c>
      <c r="BJ239" s="10">
        <f t="shared" si="468"/>
        <v>0</v>
      </c>
      <c r="BK239"/>
      <c r="BL239"/>
      <c r="BM239"/>
      <c r="BN239"/>
      <c r="BO239"/>
      <c r="BP239"/>
      <c r="BQ239"/>
      <c r="BR239"/>
      <c r="BS239"/>
      <c r="BT239"/>
      <c r="BU239"/>
      <c r="BV239"/>
      <c r="BW239"/>
      <c r="BX239" s="10">
        <f t="shared" ref="BX239:CI239" si="469">BX$187</f>
        <v>0</v>
      </c>
      <c r="BY239" s="10">
        <f t="shared" si="469"/>
        <v>0</v>
      </c>
      <c r="BZ239" s="10">
        <f t="shared" si="469"/>
        <v>0</v>
      </c>
      <c r="CA239" s="10">
        <f t="shared" si="469"/>
        <v>0</v>
      </c>
      <c r="CB239" s="10">
        <f t="shared" si="469"/>
        <v>0</v>
      </c>
      <c r="CC239" s="10">
        <f t="shared" si="469"/>
        <v>0</v>
      </c>
      <c r="CD239" s="10">
        <f t="shared" si="469"/>
        <v>0</v>
      </c>
      <c r="CE239" s="10">
        <f t="shared" si="469"/>
        <v>0</v>
      </c>
      <c r="CF239" s="10">
        <f t="shared" si="469"/>
        <v>0</v>
      </c>
      <c r="CG239" s="10">
        <f t="shared" si="469"/>
        <v>0</v>
      </c>
      <c r="CH239" s="10">
        <f t="shared" si="469"/>
        <v>0</v>
      </c>
      <c r="CI239" s="10">
        <f t="shared" si="469"/>
        <v>0</v>
      </c>
      <c r="CJ239"/>
      <c r="CK239" s="11"/>
      <c r="CL239" s="221">
        <f>IF(MAX($V239:$CI239)&gt;0, 1, 0)</f>
        <v>0</v>
      </c>
      <c r="CM239" s="11"/>
      <c r="CN239"/>
      <c r="CO239"/>
      <c r="CP239"/>
      <c r="CQ239"/>
      <c r="CR239"/>
      <c r="CS239"/>
      <c r="CT239"/>
      <c r="CU239"/>
      <c r="CV239"/>
      <c r="CW239" s="7">
        <f t="shared" si="454"/>
        <v>0</v>
      </c>
      <c r="CX239" s="7">
        <f t="shared" si="455"/>
        <v>0</v>
      </c>
      <c r="CY239" s="7">
        <f t="shared" si="456"/>
        <v>0</v>
      </c>
      <c r="CZ239" s="650"/>
      <c r="DA239" s="35"/>
      <c r="DB239" s="215">
        <f t="shared" si="457"/>
        <v>0</v>
      </c>
      <c r="DC239" s="215">
        <f t="shared" si="457"/>
        <v>0</v>
      </c>
      <c r="DD239" s="215">
        <f t="shared" si="457"/>
        <v>0</v>
      </c>
      <c r="DE239" s="215">
        <f t="shared" si="458"/>
        <v>0</v>
      </c>
      <c r="DF239" s="215">
        <f t="shared" si="459"/>
        <v>0</v>
      </c>
      <c r="DG239" s="215">
        <f t="shared" si="460"/>
        <v>0</v>
      </c>
      <c r="DH239" s="215">
        <f t="shared" si="461"/>
        <v>0</v>
      </c>
      <c r="DI239" s="35"/>
      <c r="DJ239" s="5">
        <v>0</v>
      </c>
      <c r="DK239" s="5">
        <v>0</v>
      </c>
      <c r="DL239" s="35"/>
      <c r="EZ239" s="12" t="str">
        <f t="shared" si="451"/>
        <v>Equipment Disposals</v>
      </c>
    </row>
    <row r="240" spans="1:156" x14ac:dyDescent="0.35">
      <c r="A240" s="220" cm="1">
        <f t="array" aca="1" ref="A240" ca="1">HYPERLINK(CONCATENATE("#",CELL("address",IF(MAX($CM240:$CZ240)=0,A240,INDEX($CM240:$CZ240,MATCH(1,$CM240:$CZ240,0))))),MAX($CM240:$CZ240))</f>
        <v>0</v>
      </c>
      <c r="C240" s="211" t="s">
        <v>913</v>
      </c>
      <c r="D240" s="33" t="s">
        <v>899</v>
      </c>
      <c r="E240" s="33"/>
      <c r="G240" s="8"/>
      <c r="H240" s="9" t="s">
        <v>646</v>
      </c>
      <c r="V240" s="109"/>
      <c r="W240" s="133">
        <f t="shared" ref="W240:Y241" si="470" xml:space="preserve"> SUMIFS($AA240:$BJ240, $AA$3:$BJ$3, W$3)</f>
        <v>0</v>
      </c>
      <c r="X240" s="133">
        <f t="shared" si="470"/>
        <v>0</v>
      </c>
      <c r="Y240" s="133">
        <f t="shared" si="470"/>
        <v>0</v>
      </c>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X240" s="135">
        <f t="shared" ref="BX240:CA241" si="471">V240</f>
        <v>0</v>
      </c>
      <c r="BY240" s="12">
        <f t="shared" si="471"/>
        <v>0</v>
      </c>
      <c r="BZ240" s="12">
        <f t="shared" si="471"/>
        <v>0</v>
      </c>
      <c r="CA240" s="12">
        <f t="shared" si="471"/>
        <v>0</v>
      </c>
      <c r="CB240" s="109"/>
      <c r="CC240" s="109"/>
      <c r="CD240" s="109"/>
      <c r="CE240" s="109"/>
      <c r="CF240" s="109"/>
      <c r="CG240" s="109"/>
      <c r="CH240" s="109"/>
      <c r="CI240" s="109"/>
      <c r="CK240" s="128"/>
      <c r="CL240" s="221">
        <f>IF(MAX($V240:$CI240)&gt;0, 1, 0)</f>
        <v>0</v>
      </c>
      <c r="CM240" s="128"/>
      <c r="CU240" s="7" cm="1">
        <f t="array" ref="CU240">SUMPRODUCT(--NOT(ISNUMBER(V240:CI240)),--NOT(ISBLANK(V240:CI240)))</f>
        <v>0</v>
      </c>
      <c r="CW240" s="7">
        <f t="shared" si="454"/>
        <v>0</v>
      </c>
      <c r="CX240" s="7">
        <f t="shared" si="455"/>
        <v>0</v>
      </c>
      <c r="CY240" s="7">
        <f t="shared" si="456"/>
        <v>0</v>
      </c>
      <c r="CZ240" s="650"/>
      <c r="DA240" s="35"/>
      <c r="DB240" s="215">
        <f t="shared" si="457"/>
        <v>0</v>
      </c>
      <c r="DC240" s="215">
        <f t="shared" si="457"/>
        <v>0</v>
      </c>
      <c r="DD240" s="215">
        <f t="shared" si="457"/>
        <v>0</v>
      </c>
      <c r="DE240" s="215">
        <f t="shared" si="458"/>
        <v>0</v>
      </c>
      <c r="DF240" s="215">
        <f t="shared" si="459"/>
        <v>0</v>
      </c>
      <c r="DG240" s="215">
        <f t="shared" si="460"/>
        <v>0</v>
      </c>
      <c r="DH240" s="215">
        <f t="shared" si="461"/>
        <v>0</v>
      </c>
      <c r="DI240" s="129"/>
      <c r="DJ240">
        <v>1</v>
      </c>
      <c r="DK240">
        <v>1</v>
      </c>
      <c r="DL240" s="129"/>
      <c r="EZ240" s="12" t="str">
        <f t="shared" si="451"/>
        <v>Equipment Depreciation</v>
      </c>
    </row>
    <row r="241" spans="1:156" x14ac:dyDescent="0.35">
      <c r="A241" s="220" cm="1">
        <f t="array" aca="1" ref="A241" ca="1">HYPERLINK(CONCATENATE("#",CELL("address",IF(MAX($CM241:$CZ241)=0,A241,INDEX($CM241:$CZ241,MATCH(1,$CM241:$CZ241,0))))),MAX($CM241:$CZ241))</f>
        <v>0</v>
      </c>
      <c r="C241" s="211" t="s">
        <v>914</v>
      </c>
      <c r="D241" s="1" t="s">
        <v>901</v>
      </c>
      <c r="E241" s="85" t="s">
        <v>122</v>
      </c>
      <c r="G241" s="8"/>
      <c r="H241" s="9" t="s">
        <v>403</v>
      </c>
      <c r="V241" s="109"/>
      <c r="W241" s="133">
        <f t="shared" si="470"/>
        <v>0</v>
      </c>
      <c r="X241" s="133">
        <f t="shared" si="470"/>
        <v>0</v>
      </c>
      <c r="Y241" s="133">
        <f t="shared" si="470"/>
        <v>0</v>
      </c>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X241" s="12">
        <f t="shared" si="471"/>
        <v>0</v>
      </c>
      <c r="BY241" s="12">
        <f t="shared" si="471"/>
        <v>0</v>
      </c>
      <c r="BZ241" s="12">
        <f t="shared" si="471"/>
        <v>0</v>
      </c>
      <c r="CA241" s="12">
        <f t="shared" si="471"/>
        <v>0</v>
      </c>
      <c r="CB241" s="109"/>
      <c r="CC241" s="109"/>
      <c r="CD241" s="109"/>
      <c r="CE241" s="109"/>
      <c r="CF241" s="109"/>
      <c r="CG241" s="109"/>
      <c r="CH241" s="109"/>
      <c r="CI241" s="109"/>
      <c r="CK241" s="11"/>
      <c r="CM241" s="11"/>
      <c r="CU241" s="7" cm="1">
        <f t="array" ref="CU241">SUMPRODUCT(--NOT(ISNUMBER(V241:CI241)),--NOT(ISBLANK(V241:CI241)))</f>
        <v>0</v>
      </c>
      <c r="CW241" s="7">
        <f t="shared" si="454"/>
        <v>0</v>
      </c>
      <c r="CX241" s="7">
        <f t="shared" si="455"/>
        <v>0</v>
      </c>
      <c r="CY241" s="7">
        <f t="shared" si="456"/>
        <v>0</v>
      </c>
      <c r="CZ241" s="650"/>
      <c r="DA241" s="35"/>
      <c r="DB241" s="215">
        <f t="shared" si="457"/>
        <v>0</v>
      </c>
      <c r="DC241" s="215">
        <f t="shared" si="457"/>
        <v>0</v>
      </c>
      <c r="DD241" s="215">
        <f t="shared" si="457"/>
        <v>0</v>
      </c>
      <c r="DE241" s="215">
        <f t="shared" si="458"/>
        <v>0</v>
      </c>
      <c r="DF241" s="215">
        <f t="shared" si="459"/>
        <v>0</v>
      </c>
      <c r="DG241" s="215">
        <f t="shared" si="460"/>
        <v>0</v>
      </c>
      <c r="DH241" s="215">
        <f t="shared" si="461"/>
        <v>0</v>
      </c>
      <c r="DI241" s="35"/>
      <c r="DJ241">
        <v>1</v>
      </c>
      <c r="DK241">
        <v>1</v>
      </c>
      <c r="DL241" s="35"/>
      <c r="EZ241" s="12" t="str">
        <f t="shared" si="451"/>
        <v>Equipment Movement due to mergers</v>
      </c>
    </row>
    <row r="242" spans="1:156" x14ac:dyDescent="0.35">
      <c r="A242" s="220" cm="1">
        <f t="array" aca="1" ref="A242" ca="1">HYPERLINK(CONCATENATE("#",CELL("address",IF(MAX($CM242:$CZ242)=0,A242,INDEX($CM242:$CZ242,MATCH(1,$CM242:$CZ242,0))))),MAX($CM242:$CZ242))</f>
        <v>0</v>
      </c>
      <c r="C242" s="211" t="s">
        <v>915</v>
      </c>
      <c r="D242" s="33" t="s">
        <v>903</v>
      </c>
      <c r="E242" s="33" t="s">
        <v>904</v>
      </c>
      <c r="G242" s="8"/>
      <c r="H242" s="9" t="s">
        <v>646</v>
      </c>
      <c r="V242" s="10">
        <f>V$350</f>
        <v>0</v>
      </c>
      <c r="W242" s="10">
        <f>W$350</f>
        <v>0</v>
      </c>
      <c r="X242" s="10">
        <f>X$350</f>
        <v>0</v>
      </c>
      <c r="Y242" s="10">
        <f>Y$350</f>
        <v>0</v>
      </c>
      <c r="AA242" s="10">
        <f t="shared" ref="AA242:BJ242" si="472">AA$350</f>
        <v>0</v>
      </c>
      <c r="AB242" s="10">
        <f t="shared" si="472"/>
        <v>0</v>
      </c>
      <c r="AC242" s="10">
        <f t="shared" si="472"/>
        <v>0</v>
      </c>
      <c r="AD242" s="10">
        <f t="shared" si="472"/>
        <v>0</v>
      </c>
      <c r="AE242" s="10">
        <f t="shared" si="472"/>
        <v>0</v>
      </c>
      <c r="AF242" s="10">
        <f t="shared" si="472"/>
        <v>0</v>
      </c>
      <c r="AG242" s="10">
        <f t="shared" si="472"/>
        <v>0</v>
      </c>
      <c r="AH242" s="10">
        <f t="shared" si="472"/>
        <v>0</v>
      </c>
      <c r="AI242" s="10">
        <f t="shared" si="472"/>
        <v>0</v>
      </c>
      <c r="AJ242" s="10">
        <f t="shared" si="472"/>
        <v>0</v>
      </c>
      <c r="AK242" s="10">
        <f t="shared" si="472"/>
        <v>0</v>
      </c>
      <c r="AL242" s="10">
        <f t="shared" si="472"/>
        <v>0</v>
      </c>
      <c r="AM242" s="10">
        <f t="shared" si="472"/>
        <v>0</v>
      </c>
      <c r="AN242" s="10">
        <f t="shared" si="472"/>
        <v>0</v>
      </c>
      <c r="AO242" s="10">
        <f t="shared" si="472"/>
        <v>0</v>
      </c>
      <c r="AP242" s="10">
        <f t="shared" si="472"/>
        <v>0</v>
      </c>
      <c r="AQ242" s="10">
        <f t="shared" si="472"/>
        <v>0</v>
      </c>
      <c r="AR242" s="10">
        <f t="shared" si="472"/>
        <v>0</v>
      </c>
      <c r="AS242" s="10">
        <f t="shared" si="472"/>
        <v>0</v>
      </c>
      <c r="AT242" s="10">
        <f t="shared" si="472"/>
        <v>0</v>
      </c>
      <c r="AU242" s="10">
        <f t="shared" si="472"/>
        <v>0</v>
      </c>
      <c r="AV242" s="10">
        <f t="shared" si="472"/>
        <v>0</v>
      </c>
      <c r="AW242" s="10">
        <f t="shared" si="472"/>
        <v>0</v>
      </c>
      <c r="AX242" s="10">
        <f t="shared" si="472"/>
        <v>0</v>
      </c>
      <c r="AY242" s="10">
        <f t="shared" si="472"/>
        <v>0</v>
      </c>
      <c r="AZ242" s="10">
        <f t="shared" si="472"/>
        <v>0</v>
      </c>
      <c r="BA242" s="10">
        <f t="shared" si="472"/>
        <v>0</v>
      </c>
      <c r="BB242" s="10">
        <f t="shared" si="472"/>
        <v>0</v>
      </c>
      <c r="BC242" s="10">
        <f t="shared" si="472"/>
        <v>0</v>
      </c>
      <c r="BD242" s="10">
        <f t="shared" si="472"/>
        <v>0</v>
      </c>
      <c r="BE242" s="10">
        <f t="shared" si="472"/>
        <v>0</v>
      </c>
      <c r="BF242" s="10">
        <f t="shared" si="472"/>
        <v>0</v>
      </c>
      <c r="BG242" s="10">
        <f t="shared" si="472"/>
        <v>0</v>
      </c>
      <c r="BH242" s="10">
        <f t="shared" si="472"/>
        <v>0</v>
      </c>
      <c r="BI242" s="10">
        <f t="shared" si="472"/>
        <v>0</v>
      </c>
      <c r="BJ242" s="10">
        <f t="shared" si="472"/>
        <v>0</v>
      </c>
      <c r="BX242" s="10">
        <f t="shared" ref="BX242:CI242" si="473">BX$350</f>
        <v>0</v>
      </c>
      <c r="BY242" s="10">
        <f t="shared" si="473"/>
        <v>0</v>
      </c>
      <c r="BZ242" s="10">
        <f t="shared" si="473"/>
        <v>0</v>
      </c>
      <c r="CA242" s="10">
        <f t="shared" si="473"/>
        <v>0</v>
      </c>
      <c r="CB242" s="10">
        <f t="shared" si="473"/>
        <v>0</v>
      </c>
      <c r="CC242" s="10">
        <f t="shared" si="473"/>
        <v>0</v>
      </c>
      <c r="CD242" s="10">
        <f t="shared" si="473"/>
        <v>0</v>
      </c>
      <c r="CE242" s="10">
        <f t="shared" si="473"/>
        <v>0</v>
      </c>
      <c r="CF242" s="10">
        <f t="shared" si="473"/>
        <v>0</v>
      </c>
      <c r="CG242" s="10">
        <f t="shared" si="473"/>
        <v>0</v>
      </c>
      <c r="CH242" s="10">
        <f t="shared" si="473"/>
        <v>0</v>
      </c>
      <c r="CI242" s="10">
        <f t="shared" si="473"/>
        <v>0</v>
      </c>
      <c r="CK242" s="11"/>
      <c r="CM242" s="11"/>
      <c r="CW242" s="7">
        <f t="shared" si="454"/>
        <v>0</v>
      </c>
      <c r="CX242" s="7">
        <f t="shared" si="455"/>
        <v>0</v>
      </c>
      <c r="CY242" s="7">
        <f t="shared" si="456"/>
        <v>0</v>
      </c>
      <c r="CZ242" s="650"/>
      <c r="DA242" s="35"/>
      <c r="DB242" s="215">
        <f t="shared" si="457"/>
        <v>0</v>
      </c>
      <c r="DC242" s="215">
        <f t="shared" si="457"/>
        <v>0</v>
      </c>
      <c r="DD242" s="215">
        <f t="shared" si="457"/>
        <v>0</v>
      </c>
      <c r="DE242" s="215">
        <f t="shared" si="458"/>
        <v>0</v>
      </c>
      <c r="DF242" s="215">
        <f t="shared" si="459"/>
        <v>0</v>
      </c>
      <c r="DG242" s="215">
        <f t="shared" si="460"/>
        <v>0</v>
      </c>
      <c r="DH242" s="215">
        <f t="shared" si="461"/>
        <v>0</v>
      </c>
      <c r="DI242" s="35"/>
      <c r="DJ242">
        <v>0</v>
      </c>
      <c r="DK242">
        <v>0</v>
      </c>
      <c r="DL242" s="35"/>
      <c r="EZ242" s="12" t="str">
        <f t="shared" si="451"/>
        <v>Equipment NCA Reclassification</v>
      </c>
    </row>
    <row r="243" spans="1:156" x14ac:dyDescent="0.35">
      <c r="A243" s="220" cm="1">
        <f t="array" aca="1" ref="A243" ca="1">HYPERLINK(CONCATENATE("#",CELL("address",IF(MAX($CM243:$CZ243)=0,A243,INDEX($CM243:$CZ243,MATCH(1,$CM243:$CZ243,0))))),MAX($CM243:$CZ243))</f>
        <v>0</v>
      </c>
      <c r="C243" s="211" t="s">
        <v>916</v>
      </c>
      <c r="D243" s="33" t="s">
        <v>906</v>
      </c>
      <c r="E243" s="215">
        <f>ROUND(V243-SUM(V234:V242), rounding)*'Fin Stat'!$V$9</f>
        <v>0</v>
      </c>
      <c r="G243" s="8"/>
      <c r="V243" s="135">
        <f>'Opening Balances'!W11</f>
        <v>0</v>
      </c>
      <c r="W243" s="133">
        <f>SUM(W234:W242)</f>
        <v>0</v>
      </c>
      <c r="X243" s="133">
        <f>SUM(X234:X242)</f>
        <v>0</v>
      </c>
      <c r="Y243" s="133">
        <f>SUM(Y234:Y242)</f>
        <v>0</v>
      </c>
      <c r="AA243" s="133">
        <f t="shared" ref="AA243:BJ243" si="474">SUM(AA234:AA242)</f>
        <v>0</v>
      </c>
      <c r="AB243" s="133">
        <f t="shared" si="474"/>
        <v>0</v>
      </c>
      <c r="AC243" s="133">
        <f t="shared" si="474"/>
        <v>0</v>
      </c>
      <c r="AD243" s="133">
        <f t="shared" si="474"/>
        <v>0</v>
      </c>
      <c r="AE243" s="133">
        <f t="shared" si="474"/>
        <v>0</v>
      </c>
      <c r="AF243" s="133">
        <f t="shared" si="474"/>
        <v>0</v>
      </c>
      <c r="AG243" s="133">
        <f t="shared" si="474"/>
        <v>0</v>
      </c>
      <c r="AH243" s="133">
        <f t="shared" si="474"/>
        <v>0</v>
      </c>
      <c r="AI243" s="133">
        <f t="shared" si="474"/>
        <v>0</v>
      </c>
      <c r="AJ243" s="133">
        <f t="shared" si="474"/>
        <v>0</v>
      </c>
      <c r="AK243" s="133">
        <f t="shared" si="474"/>
        <v>0</v>
      </c>
      <c r="AL243" s="133">
        <f t="shared" si="474"/>
        <v>0</v>
      </c>
      <c r="AM243" s="133">
        <f t="shared" si="474"/>
        <v>0</v>
      </c>
      <c r="AN243" s="133">
        <f t="shared" si="474"/>
        <v>0</v>
      </c>
      <c r="AO243" s="133">
        <f t="shared" si="474"/>
        <v>0</v>
      </c>
      <c r="AP243" s="133">
        <f t="shared" si="474"/>
        <v>0</v>
      </c>
      <c r="AQ243" s="133">
        <f t="shared" si="474"/>
        <v>0</v>
      </c>
      <c r="AR243" s="133">
        <f t="shared" si="474"/>
        <v>0</v>
      </c>
      <c r="AS243" s="133">
        <f t="shared" si="474"/>
        <v>0</v>
      </c>
      <c r="AT243" s="133">
        <f t="shared" si="474"/>
        <v>0</v>
      </c>
      <c r="AU243" s="133">
        <f t="shared" si="474"/>
        <v>0</v>
      </c>
      <c r="AV243" s="133">
        <f t="shared" si="474"/>
        <v>0</v>
      </c>
      <c r="AW243" s="133">
        <f t="shared" si="474"/>
        <v>0</v>
      </c>
      <c r="AX243" s="133">
        <f t="shared" si="474"/>
        <v>0</v>
      </c>
      <c r="AY243" s="133">
        <f t="shared" si="474"/>
        <v>0</v>
      </c>
      <c r="AZ243" s="133">
        <f t="shared" si="474"/>
        <v>0</v>
      </c>
      <c r="BA243" s="133">
        <f t="shared" si="474"/>
        <v>0</v>
      </c>
      <c r="BB243" s="133">
        <f t="shared" si="474"/>
        <v>0</v>
      </c>
      <c r="BC243" s="133">
        <f t="shared" si="474"/>
        <v>0</v>
      </c>
      <c r="BD243" s="133">
        <f t="shared" si="474"/>
        <v>0</v>
      </c>
      <c r="BE243" s="133">
        <f t="shared" si="474"/>
        <v>0</v>
      </c>
      <c r="BF243" s="133">
        <f t="shared" si="474"/>
        <v>0</v>
      </c>
      <c r="BG243" s="133">
        <f t="shared" si="474"/>
        <v>0</v>
      </c>
      <c r="BH243" s="133">
        <f t="shared" si="474"/>
        <v>0</v>
      </c>
      <c r="BI243" s="133">
        <f t="shared" si="474"/>
        <v>0</v>
      </c>
      <c r="BJ243" s="133">
        <f t="shared" si="474"/>
        <v>0</v>
      </c>
      <c r="BX243" s="12">
        <f>V243</f>
        <v>0</v>
      </c>
      <c r="BY243" s="133">
        <f t="shared" ref="BY243:CI243" si="475">SUM(BY234:BY242)</f>
        <v>0</v>
      </c>
      <c r="BZ243" s="133">
        <f t="shared" si="475"/>
        <v>0</v>
      </c>
      <c r="CA243" s="133">
        <f t="shared" si="475"/>
        <v>0</v>
      </c>
      <c r="CB243" s="133">
        <f t="shared" si="475"/>
        <v>0</v>
      </c>
      <c r="CC243" s="133">
        <f t="shared" si="475"/>
        <v>0</v>
      </c>
      <c r="CD243" s="133">
        <f t="shared" si="475"/>
        <v>0</v>
      </c>
      <c r="CE243" s="133">
        <f t="shared" si="475"/>
        <v>0</v>
      </c>
      <c r="CF243" s="133">
        <f t="shared" si="475"/>
        <v>0</v>
      </c>
      <c r="CG243" s="133">
        <f t="shared" si="475"/>
        <v>0</v>
      </c>
      <c r="CH243" s="133">
        <f t="shared" si="475"/>
        <v>0</v>
      </c>
      <c r="CI243" s="133">
        <f t="shared" si="475"/>
        <v>0</v>
      </c>
      <c r="CK243" s="128"/>
      <c r="CM243" s="128"/>
      <c r="CS243" s="7">
        <f>IF(ABS($E243)&gt;Parameters!$D$33, 1, 0)</f>
        <v>0</v>
      </c>
      <c r="CW243" s="7">
        <f t="shared" si="454"/>
        <v>0</v>
      </c>
      <c r="CX243" s="7">
        <f t="shared" si="455"/>
        <v>0</v>
      </c>
      <c r="CY243" s="7">
        <f t="shared" si="456"/>
        <v>0</v>
      </c>
      <c r="CZ243" s="650"/>
      <c r="DA243" s="35"/>
      <c r="DB243" s="215">
        <f>ROUND(W243-INDEX($AA243:$BJ243, MATCH(W$5,$AA$5:$BJ$5,0)), rounding)</f>
        <v>0</v>
      </c>
      <c r="DC243" s="215">
        <f>ROUND(X243-INDEX($AA243:$BJ243, MATCH(X$5,$AA$5:$BJ$5,0)), rounding)</f>
        <v>0</v>
      </c>
      <c r="DD243" s="215">
        <f>ROUND(Y243-INDEX($AA243:$BJ243, MATCH(Y$5,$AA$5:$BJ$5,0)), rounding)</f>
        <v>0</v>
      </c>
      <c r="DE243" s="215">
        <f>ROUND(BY243-INDEX($AA243:$BJ243, MATCH(BY$5,$AA$5:$BJ$5,0)), rounding)</f>
        <v>0</v>
      </c>
      <c r="DF243" s="215">
        <f>ROUND(BZ243-INDEX($AA243:$BJ243, MATCH(BZ$5,$AA$5:$BJ$5,0)), rounding)</f>
        <v>0</v>
      </c>
      <c r="DG243" s="215">
        <f>ROUND(CA243-INDEX($AA243:$BJ243, MATCH(CA$5,$AA$5:$BJ$5,0)), rounding)</f>
        <v>0</v>
      </c>
      <c r="DH243" s="215">
        <f t="shared" si="461"/>
        <v>0</v>
      </c>
      <c r="DI243" s="129"/>
      <c r="DJ243">
        <v>0</v>
      </c>
      <c r="DK243">
        <v>0</v>
      </c>
      <c r="DL243" s="129"/>
      <c r="EZ243" s="12" t="str">
        <f t="shared" si="451"/>
        <v>Equipment Closing Balance</v>
      </c>
    </row>
    <row r="244" spans="1:156" ht="6.75" customHeight="1" x14ac:dyDescent="0.35">
      <c r="C244" s="234"/>
      <c r="D244" s="1"/>
      <c r="E244"/>
      <c r="BY244" s="6"/>
      <c r="CK244" s="35"/>
      <c r="CM244" s="35"/>
      <c r="CZ244" s="650"/>
      <c r="DA244" s="35"/>
      <c r="DI244" s="35"/>
      <c r="DJ244">
        <v>0</v>
      </c>
      <c r="DK244">
        <v>0</v>
      </c>
      <c r="DL244" s="35"/>
      <c r="EZ244" s="10" t="str">
        <f>IF($C244="","",$D244)</f>
        <v/>
      </c>
    </row>
    <row r="245" spans="1:156" x14ac:dyDescent="0.35">
      <c r="A245" s="220" cm="1">
        <f t="array" aca="1" ref="A245" ca="1">HYPERLINK(CONCATENATE("#",CELL("address",IF(MAX($CM245:$CZ245)=0,A245,INDEX($CM245:$CZ245,MATCH(1,$CM245:$CZ245,0))))),MAX($CM245:$CZ245))</f>
        <v>0</v>
      </c>
      <c r="C245" s="234"/>
      <c r="D245" s="1" t="s">
        <v>917</v>
      </c>
      <c r="E245"/>
      <c r="V245" s="7">
        <f>IF(V243&lt;0, 1, 0)*'BS Forecasts'!V$10</f>
        <v>0</v>
      </c>
      <c r="W245" s="7">
        <f>IF(W243&lt;0, 1, 0)*'BS Forecasts'!W$10</f>
        <v>0</v>
      </c>
      <c r="X245" s="7">
        <f>IF(X243&lt;0, 1, 0)*'BS Forecasts'!X$10</f>
        <v>0</v>
      </c>
      <c r="Y245" s="7">
        <f>IF(Y243&lt;0, 1, 0)*'BS Forecasts'!Y$10</f>
        <v>0</v>
      </c>
      <c r="AA245" s="7">
        <f>IF(AA243&lt;0, 1, 0)*'BS Forecasts'!AA$10</f>
        <v>0</v>
      </c>
      <c r="AB245" s="7">
        <f>IF(AB243&lt;0, 1, 0)*'BS Forecasts'!AB$10</f>
        <v>0</v>
      </c>
      <c r="AC245" s="7">
        <f>IF(AC243&lt;0, 1, 0)*'BS Forecasts'!AC$10</f>
        <v>0</v>
      </c>
      <c r="AD245" s="7">
        <f>IF(AD243&lt;0, 1, 0)*'BS Forecasts'!AD$10</f>
        <v>0</v>
      </c>
      <c r="AE245" s="7">
        <f>IF(AE243&lt;0, 1, 0)*'BS Forecasts'!AE$10</f>
        <v>0</v>
      </c>
      <c r="AF245" s="7">
        <f>IF(AF243&lt;0, 1, 0)*'BS Forecasts'!AF$10</f>
        <v>0</v>
      </c>
      <c r="AG245" s="7">
        <f>IF(AG243&lt;0, 1, 0)*'BS Forecasts'!AG$10</f>
        <v>0</v>
      </c>
      <c r="AH245" s="7">
        <f>IF(AH243&lt;0, 1, 0)*'BS Forecasts'!AH$10</f>
        <v>0</v>
      </c>
      <c r="AI245" s="7">
        <f>IF(AI243&lt;0, 1, 0)*'BS Forecasts'!AI$10</f>
        <v>0</v>
      </c>
      <c r="AJ245" s="7">
        <f>IF(AJ243&lt;0, 1, 0)*'BS Forecasts'!AJ$10</f>
        <v>0</v>
      </c>
      <c r="AK245" s="7">
        <f>IF(AK243&lt;0, 1, 0)*'BS Forecasts'!AK$10</f>
        <v>0</v>
      </c>
      <c r="AL245" s="7">
        <f>IF(AL243&lt;0, 1, 0)*'BS Forecasts'!AL$10</f>
        <v>0</v>
      </c>
      <c r="AM245" s="7">
        <f>IF(AM243&lt;0, 1, 0)*'BS Forecasts'!AM$10</f>
        <v>0</v>
      </c>
      <c r="AN245" s="7">
        <f>IF(AN243&lt;0, 1, 0)*'BS Forecasts'!AN$10</f>
        <v>0</v>
      </c>
      <c r="AO245" s="7">
        <f>IF(AO243&lt;0, 1, 0)*'BS Forecasts'!AO$10</f>
        <v>0</v>
      </c>
      <c r="AP245" s="7">
        <f>IF(AP243&lt;0, 1, 0)*'BS Forecasts'!AP$10</f>
        <v>0</v>
      </c>
      <c r="AQ245" s="7">
        <f>IF(AQ243&lt;0, 1, 0)*'BS Forecasts'!AQ$10</f>
        <v>0</v>
      </c>
      <c r="AR245" s="7">
        <f>IF(AR243&lt;0, 1, 0)*'BS Forecasts'!AR$10</f>
        <v>0</v>
      </c>
      <c r="AS245" s="7">
        <f>IF(AS243&lt;0, 1, 0)*'BS Forecasts'!AS$10</f>
        <v>0</v>
      </c>
      <c r="AT245" s="7">
        <f>IF(AT243&lt;0, 1, 0)*'BS Forecasts'!AT$10</f>
        <v>0</v>
      </c>
      <c r="AU245" s="7">
        <f>IF(AU243&lt;0, 1, 0)*'BS Forecasts'!AU$10</f>
        <v>0</v>
      </c>
      <c r="AV245" s="7">
        <f>IF(AV243&lt;0, 1, 0)*'BS Forecasts'!AV$10</f>
        <v>0</v>
      </c>
      <c r="AW245" s="7">
        <f>IF(AW243&lt;0, 1, 0)*'BS Forecasts'!AW$10</f>
        <v>0</v>
      </c>
      <c r="AX245" s="7">
        <f>IF(AX243&lt;0, 1, 0)*'BS Forecasts'!AX$10</f>
        <v>0</v>
      </c>
      <c r="AY245" s="7">
        <f>IF(AY243&lt;0, 1, 0)*'BS Forecasts'!AY$10</f>
        <v>0</v>
      </c>
      <c r="AZ245" s="7">
        <f>IF(AZ243&lt;0, 1, 0)*'BS Forecasts'!AZ$10</f>
        <v>0</v>
      </c>
      <c r="BA245" s="7">
        <f>IF(BA243&lt;0, 1, 0)*'BS Forecasts'!BA$10</f>
        <v>0</v>
      </c>
      <c r="BB245" s="7">
        <f>IF(BB243&lt;0, 1, 0)*'BS Forecasts'!BB$10</f>
        <v>0</v>
      </c>
      <c r="BC245" s="7">
        <f>IF(BC243&lt;0, 1, 0)*'BS Forecasts'!BC$10</f>
        <v>0</v>
      </c>
      <c r="BD245" s="7">
        <f>IF(BD243&lt;0, 1, 0)*'BS Forecasts'!BD$10</f>
        <v>0</v>
      </c>
      <c r="BE245" s="7">
        <f>IF(BE243&lt;0, 1, 0)*'BS Forecasts'!BE$10</f>
        <v>0</v>
      </c>
      <c r="BF245" s="7">
        <f>IF(BF243&lt;0, 1, 0)*'BS Forecasts'!BF$10</f>
        <v>0</v>
      </c>
      <c r="BG245" s="7">
        <f>IF(BG243&lt;0, 1, 0)*'BS Forecasts'!BG$10</f>
        <v>0</v>
      </c>
      <c r="BH245" s="7">
        <f>IF(BH243&lt;0, 1, 0)*'BS Forecasts'!BH$10</f>
        <v>0</v>
      </c>
      <c r="BI245" s="7">
        <f>IF(BI243&lt;0, 1, 0)*'BS Forecasts'!BI$10</f>
        <v>0</v>
      </c>
      <c r="BJ245" s="7">
        <f>IF(BJ243&lt;0, 1, 0)*'BS Forecasts'!BJ$10</f>
        <v>0</v>
      </c>
      <c r="BX245" s="7">
        <f>IF(BX243&lt;0, 1, 0)*'BS Forecasts'!BX$10</f>
        <v>0</v>
      </c>
      <c r="BY245" s="7">
        <f>IF(BY243&lt;0, 1, 0)*'BS Forecasts'!BY$10</f>
        <v>0</v>
      </c>
      <c r="BZ245" s="7">
        <f>IF(BZ243&lt;0, 1, 0)*'BS Forecasts'!BZ$10</f>
        <v>0</v>
      </c>
      <c r="CA245" s="7">
        <f>IF(CA243&lt;0, 1, 0)*'BS Forecasts'!CA$10</f>
        <v>0</v>
      </c>
      <c r="CB245" s="7">
        <f>IF(CB243&lt;0, 1, 0)*'BS Forecasts'!CB$10</f>
        <v>0</v>
      </c>
      <c r="CC245" s="7">
        <f>IF(CC243&lt;0, 1, 0)*'BS Forecasts'!CC$10</f>
        <v>0</v>
      </c>
      <c r="CD245" s="7">
        <f>IF(CD243&lt;0, 1, 0)*'BS Forecasts'!CD$10</f>
        <v>0</v>
      </c>
      <c r="CE245" s="7">
        <f>IF(CE243&lt;0, 1, 0)*'BS Forecasts'!CE$10</f>
        <v>0</v>
      </c>
      <c r="CF245" s="7">
        <f>IF(CF243&lt;0, 1, 0)*'BS Forecasts'!CF$10</f>
        <v>0</v>
      </c>
      <c r="CG245" s="7">
        <f>IF(CG243&lt;0, 1, 0)*'BS Forecasts'!CG$10</f>
        <v>0</v>
      </c>
      <c r="CH245" s="7">
        <f>IF(CH243&lt;0, 1, 0)*'BS Forecasts'!CH$10</f>
        <v>0</v>
      </c>
      <c r="CI245" s="7">
        <f>IF(CI243&lt;0, 1, 0)*'BS Forecasts'!CI$10</f>
        <v>0</v>
      </c>
      <c r="CK245" s="11"/>
      <c r="CM245" s="11"/>
      <c r="CR245" s="7">
        <f>IF(SUM(V245:CI245)=0, 0, 1)</f>
        <v>0</v>
      </c>
      <c r="CZ245" s="650"/>
      <c r="DA245" s="35"/>
      <c r="DI245" s="35"/>
      <c r="DJ245">
        <v>0</v>
      </c>
      <c r="DK245">
        <v>0</v>
      </c>
      <c r="DL245" s="35"/>
      <c r="EZ245" s="10" t="str">
        <f>IF($C245="","",$D245)</f>
        <v/>
      </c>
    </row>
    <row r="246" spans="1:156" ht="6.75" customHeight="1" x14ac:dyDescent="0.35">
      <c r="C246" s="234"/>
      <c r="D246" s="1"/>
      <c r="E246"/>
      <c r="BY246" s="6"/>
      <c r="CK246" s="35"/>
      <c r="CM246" s="35"/>
      <c r="CZ246" s="650"/>
      <c r="DA246" s="35"/>
      <c r="DI246" s="35"/>
      <c r="DJ246">
        <v>0</v>
      </c>
      <c r="DK246">
        <v>0</v>
      </c>
      <c r="DL246" s="35"/>
      <c r="EZ246" s="10" t="str">
        <f>IF($C246="","",$D246)</f>
        <v/>
      </c>
    </row>
    <row r="247" spans="1:156" x14ac:dyDescent="0.35">
      <c r="B247" s="5"/>
      <c r="C247" s="234"/>
      <c r="D247" s="24" t="str">
        <f>'Opening Balances'!D12</f>
        <v>Other NCA</v>
      </c>
      <c r="E247"/>
      <c r="CK247" s="11"/>
      <c r="CM247" s="11"/>
      <c r="CZ247" s="650"/>
      <c r="DA247" s="35"/>
      <c r="DI247" s="35"/>
      <c r="DJ247">
        <v>0</v>
      </c>
      <c r="DK247">
        <v>0</v>
      </c>
      <c r="DL247" s="35"/>
      <c r="EZ247" s="10" t="str">
        <f>IF($C247="","",$D247)</f>
        <v/>
      </c>
    </row>
    <row r="248" spans="1:156" x14ac:dyDescent="0.35">
      <c r="C248" s="211" t="str">
        <f>CONCATENATE("II-",'Opening Balances'!$C$12)</f>
        <v>II-B-1c-OB</v>
      </c>
      <c r="D248" s="33" t="s">
        <v>890</v>
      </c>
      <c r="E248" s="33"/>
      <c r="G248" s="8"/>
      <c r="H248" s="9" t="s">
        <v>620</v>
      </c>
      <c r="V248" s="12">
        <f>'Opening Balances'!$V$12</f>
        <v>0</v>
      </c>
      <c r="W248" s="10">
        <f>V257</f>
        <v>0</v>
      </c>
      <c r="X248" s="10">
        <f>W257</f>
        <v>0</v>
      </c>
      <c r="Y248" s="10">
        <f>X257</f>
        <v>0</v>
      </c>
      <c r="AA248" s="10">
        <f>W248</f>
        <v>0</v>
      </c>
      <c r="AB248" s="10">
        <f t="shared" ref="AB248:BJ248" si="476">AA257</f>
        <v>0</v>
      </c>
      <c r="AC248" s="10">
        <f t="shared" si="476"/>
        <v>0</v>
      </c>
      <c r="AD248" s="10">
        <f t="shared" si="476"/>
        <v>0</v>
      </c>
      <c r="AE248" s="10">
        <f t="shared" si="476"/>
        <v>0</v>
      </c>
      <c r="AF248" s="10">
        <f t="shared" si="476"/>
        <v>0</v>
      </c>
      <c r="AG248" s="10">
        <f t="shared" si="476"/>
        <v>0</v>
      </c>
      <c r="AH248" s="10">
        <f t="shared" si="476"/>
        <v>0</v>
      </c>
      <c r="AI248" s="10">
        <f t="shared" si="476"/>
        <v>0</v>
      </c>
      <c r="AJ248" s="10">
        <f t="shared" si="476"/>
        <v>0</v>
      </c>
      <c r="AK248" s="10">
        <f t="shared" si="476"/>
        <v>0</v>
      </c>
      <c r="AL248" s="10">
        <f t="shared" si="476"/>
        <v>0</v>
      </c>
      <c r="AM248" s="10">
        <f t="shared" si="476"/>
        <v>0</v>
      </c>
      <c r="AN248" s="10">
        <f t="shared" si="476"/>
        <v>0</v>
      </c>
      <c r="AO248" s="10">
        <f t="shared" si="476"/>
        <v>0</v>
      </c>
      <c r="AP248" s="10">
        <f t="shared" si="476"/>
        <v>0</v>
      </c>
      <c r="AQ248" s="10">
        <f t="shared" si="476"/>
        <v>0</v>
      </c>
      <c r="AR248" s="10">
        <f t="shared" si="476"/>
        <v>0</v>
      </c>
      <c r="AS248" s="10">
        <f t="shared" si="476"/>
        <v>0</v>
      </c>
      <c r="AT248" s="10">
        <f t="shared" si="476"/>
        <v>0</v>
      </c>
      <c r="AU248" s="10">
        <f t="shared" si="476"/>
        <v>0</v>
      </c>
      <c r="AV248" s="10">
        <f t="shared" si="476"/>
        <v>0</v>
      </c>
      <c r="AW248" s="10">
        <f t="shared" si="476"/>
        <v>0</v>
      </c>
      <c r="AX248" s="10">
        <f t="shared" si="476"/>
        <v>0</v>
      </c>
      <c r="AY248" s="10">
        <f t="shared" si="476"/>
        <v>0</v>
      </c>
      <c r="AZ248" s="10">
        <f t="shared" si="476"/>
        <v>0</v>
      </c>
      <c r="BA248" s="10">
        <f t="shared" si="476"/>
        <v>0</v>
      </c>
      <c r="BB248" s="10">
        <f t="shared" si="476"/>
        <v>0</v>
      </c>
      <c r="BC248" s="10">
        <f t="shared" si="476"/>
        <v>0</v>
      </c>
      <c r="BD248" s="10">
        <f t="shared" si="476"/>
        <v>0</v>
      </c>
      <c r="BE248" s="10">
        <f t="shared" si="476"/>
        <v>0</v>
      </c>
      <c r="BF248" s="10">
        <f t="shared" si="476"/>
        <v>0</v>
      </c>
      <c r="BG248" s="10">
        <f t="shared" si="476"/>
        <v>0</v>
      </c>
      <c r="BH248" s="10">
        <f t="shared" si="476"/>
        <v>0</v>
      </c>
      <c r="BI248" s="10">
        <f t="shared" si="476"/>
        <v>0</v>
      </c>
      <c r="BJ248" s="10">
        <f t="shared" si="476"/>
        <v>0</v>
      </c>
      <c r="BX248" s="12">
        <f>V248</f>
        <v>0</v>
      </c>
      <c r="BY248" s="12">
        <f>W248</f>
        <v>0</v>
      </c>
      <c r="BZ248" s="12">
        <f>X248</f>
        <v>0</v>
      </c>
      <c r="CA248" s="12">
        <f>Y248</f>
        <v>0</v>
      </c>
      <c r="CB248" s="10">
        <f t="shared" ref="CB248:CI248" si="477">CA257</f>
        <v>0</v>
      </c>
      <c r="CC248" s="10">
        <f t="shared" si="477"/>
        <v>0</v>
      </c>
      <c r="CD248" s="10">
        <f t="shared" si="477"/>
        <v>0</v>
      </c>
      <c r="CE248" s="10">
        <f t="shared" si="477"/>
        <v>0</v>
      </c>
      <c r="CF248" s="10">
        <f t="shared" si="477"/>
        <v>0</v>
      </c>
      <c r="CG248" s="10">
        <f t="shared" si="477"/>
        <v>0</v>
      </c>
      <c r="CH248" s="10">
        <f t="shared" si="477"/>
        <v>0</v>
      </c>
      <c r="CI248" s="10">
        <f t="shared" si="477"/>
        <v>0</v>
      </c>
      <c r="CK248" s="11"/>
      <c r="CM248" s="11"/>
      <c r="CZ248" s="650"/>
      <c r="DA248" s="35"/>
      <c r="DI248" s="35"/>
      <c r="DJ248">
        <v>0</v>
      </c>
      <c r="DK248">
        <v>0</v>
      </c>
      <c r="DL248" s="35"/>
      <c r="EZ248" s="12" t="str">
        <f t="shared" ref="EZ248:EZ257" si="478">IF($C248="","",CONCATENATE(D$247, " ",$D248))</f>
        <v>Other NCA Opening Balance</v>
      </c>
    </row>
    <row r="249" spans="1:156" x14ac:dyDescent="0.35">
      <c r="A249" s="220" cm="1">
        <f t="array" aca="1" ref="A249" ca="1">HYPERLINK(CONCATENATE("#",CELL("address",IF(MAX($CM249:$CZ249)=0,A249,INDEX($CM249:$CZ249,MATCH(1,$CM249:$CZ249,0))))),MAX($CM249:$CZ249))</f>
        <v>0</v>
      </c>
      <c r="C249" s="211" t="s">
        <v>918</v>
      </c>
      <c r="D249" s="33" t="s">
        <v>919</v>
      </c>
      <c r="E249" s="33"/>
      <c r="G249" s="8"/>
      <c r="H249" s="9" t="s">
        <v>620</v>
      </c>
      <c r="V249" s="10">
        <f>V$30</f>
        <v>0</v>
      </c>
      <c r="W249" s="10">
        <f>W$30</f>
        <v>0</v>
      </c>
      <c r="X249" s="10">
        <f>X$30</f>
        <v>0</v>
      </c>
      <c r="Y249" s="10">
        <f>Y$30</f>
        <v>0</v>
      </c>
      <c r="AA249" s="10">
        <f t="shared" ref="AA249:BJ249" si="479">AA$30</f>
        <v>0</v>
      </c>
      <c r="AB249" s="10">
        <f t="shared" si="479"/>
        <v>0</v>
      </c>
      <c r="AC249" s="10">
        <f t="shared" si="479"/>
        <v>0</v>
      </c>
      <c r="AD249" s="10">
        <f t="shared" si="479"/>
        <v>0</v>
      </c>
      <c r="AE249" s="10">
        <f t="shared" si="479"/>
        <v>0</v>
      </c>
      <c r="AF249" s="10">
        <f t="shared" si="479"/>
        <v>0</v>
      </c>
      <c r="AG249" s="10">
        <f t="shared" si="479"/>
        <v>0</v>
      </c>
      <c r="AH249" s="10">
        <f t="shared" si="479"/>
        <v>0</v>
      </c>
      <c r="AI249" s="10">
        <f t="shared" si="479"/>
        <v>0</v>
      </c>
      <c r="AJ249" s="10">
        <f t="shared" si="479"/>
        <v>0</v>
      </c>
      <c r="AK249" s="10">
        <f t="shared" si="479"/>
        <v>0</v>
      </c>
      <c r="AL249" s="10">
        <f t="shared" si="479"/>
        <v>0</v>
      </c>
      <c r="AM249" s="10">
        <f t="shared" si="479"/>
        <v>0</v>
      </c>
      <c r="AN249" s="10">
        <f t="shared" si="479"/>
        <v>0</v>
      </c>
      <c r="AO249" s="10">
        <f t="shared" si="479"/>
        <v>0</v>
      </c>
      <c r="AP249" s="10">
        <f t="shared" si="479"/>
        <v>0</v>
      </c>
      <c r="AQ249" s="10">
        <f t="shared" si="479"/>
        <v>0</v>
      </c>
      <c r="AR249" s="10">
        <f t="shared" si="479"/>
        <v>0</v>
      </c>
      <c r="AS249" s="10">
        <f t="shared" si="479"/>
        <v>0</v>
      </c>
      <c r="AT249" s="10">
        <f t="shared" si="479"/>
        <v>0</v>
      </c>
      <c r="AU249" s="10">
        <f t="shared" si="479"/>
        <v>0</v>
      </c>
      <c r="AV249" s="10">
        <f t="shared" si="479"/>
        <v>0</v>
      </c>
      <c r="AW249" s="10">
        <f t="shared" si="479"/>
        <v>0</v>
      </c>
      <c r="AX249" s="10">
        <f t="shared" si="479"/>
        <v>0</v>
      </c>
      <c r="AY249" s="10">
        <f t="shared" si="479"/>
        <v>0</v>
      </c>
      <c r="AZ249" s="10">
        <f t="shared" si="479"/>
        <v>0</v>
      </c>
      <c r="BA249" s="10">
        <f t="shared" si="479"/>
        <v>0</v>
      </c>
      <c r="BB249" s="10">
        <f t="shared" si="479"/>
        <v>0</v>
      </c>
      <c r="BC249" s="10">
        <f t="shared" si="479"/>
        <v>0</v>
      </c>
      <c r="BD249" s="10">
        <f t="shared" si="479"/>
        <v>0</v>
      </c>
      <c r="BE249" s="10">
        <f t="shared" si="479"/>
        <v>0</v>
      </c>
      <c r="BF249" s="10">
        <f t="shared" si="479"/>
        <v>0</v>
      </c>
      <c r="BG249" s="10">
        <f t="shared" si="479"/>
        <v>0</v>
      </c>
      <c r="BH249" s="10">
        <f t="shared" si="479"/>
        <v>0</v>
      </c>
      <c r="BI249" s="10">
        <f t="shared" si="479"/>
        <v>0</v>
      </c>
      <c r="BJ249" s="10">
        <f t="shared" si="479"/>
        <v>0</v>
      </c>
      <c r="BX249" s="10">
        <f t="shared" ref="BX249:CI249" si="480">BX$30</f>
        <v>0</v>
      </c>
      <c r="BY249" s="10">
        <f t="shared" si="480"/>
        <v>0</v>
      </c>
      <c r="BZ249" s="10">
        <f t="shared" si="480"/>
        <v>0</v>
      </c>
      <c r="CA249" s="10">
        <f t="shared" si="480"/>
        <v>0</v>
      </c>
      <c r="CB249" s="10">
        <f t="shared" si="480"/>
        <v>0</v>
      </c>
      <c r="CC249" s="10">
        <f t="shared" si="480"/>
        <v>0</v>
      </c>
      <c r="CD249" s="10">
        <f t="shared" si="480"/>
        <v>0</v>
      </c>
      <c r="CE249" s="10">
        <f t="shared" si="480"/>
        <v>0</v>
      </c>
      <c r="CF249" s="10">
        <f t="shared" si="480"/>
        <v>0</v>
      </c>
      <c r="CG249" s="10">
        <f t="shared" si="480"/>
        <v>0</v>
      </c>
      <c r="CH249" s="10">
        <f t="shared" si="480"/>
        <v>0</v>
      </c>
      <c r="CI249" s="10">
        <f t="shared" si="480"/>
        <v>0</v>
      </c>
      <c r="CK249" s="11"/>
      <c r="CL249" s="221">
        <f>IF(MIN($V249:$CI249)&lt;0, 1, 0)</f>
        <v>0</v>
      </c>
      <c r="CM249" s="11"/>
      <c r="CW249" s="7">
        <f t="shared" ref="CW249:CW257" si="481">IF(SUM($DB249:$DD249)=0, 0, 1)</f>
        <v>0</v>
      </c>
      <c r="CX249" s="7">
        <f t="shared" ref="CX249:CX257" si="482">IF(SUM($DE249:$DG249)=0, 0, 1)</f>
        <v>0</v>
      </c>
      <c r="CY249" s="7">
        <f t="shared" ref="CY249:CY257" si="483">IF($DH249=0, 0, 1)</f>
        <v>0</v>
      </c>
      <c r="CZ249" s="650"/>
      <c r="DA249" s="35"/>
      <c r="DB249" s="215">
        <f t="shared" ref="DB249:DD256" si="484">ROUND(W249-SUMIFS($AA249:$BJ249, $AA$3:$BJ$3, W$3), rounding)</f>
        <v>0</v>
      </c>
      <c r="DC249" s="215">
        <f t="shared" si="484"/>
        <v>0</v>
      </c>
      <c r="DD249" s="215">
        <f t="shared" si="484"/>
        <v>0</v>
      </c>
      <c r="DE249" s="215">
        <f t="shared" ref="DE249:DE256" si="485">ROUND($BY249-SUMIFS($AA249:$BJ249, $AA$3:$BJ$3, $BY$3), rounding)</f>
        <v>0</v>
      </c>
      <c r="DF249" s="215">
        <f t="shared" ref="DF249:DF256" si="486">ROUND($BZ249-SUMIFS($AA249:$BJ249, $AA$3:$BJ$3, $BZ$3), rounding)</f>
        <v>0</v>
      </c>
      <c r="DG249" s="215">
        <f t="shared" ref="DG249:DG256" si="487">ROUND($CA249-SUMIFS($AA249:$BJ249, $AA$3:$BJ$3, $CA$3), rounding)</f>
        <v>0</v>
      </c>
      <c r="DH249" s="215">
        <f t="shared" ref="DH249:DH257" si="488">ROUND($V249-$BX249, rounding)</f>
        <v>0</v>
      </c>
      <c r="DI249" s="35"/>
      <c r="DJ249">
        <v>0</v>
      </c>
      <c r="DK249">
        <v>0</v>
      </c>
      <c r="DL249" s="35"/>
      <c r="EZ249" s="12" t="str">
        <f t="shared" si="478"/>
        <v>Other NCA Additions</v>
      </c>
    </row>
    <row r="250" spans="1:156" x14ac:dyDescent="0.35">
      <c r="A250" s="220" cm="1">
        <f t="array" aca="1" ref="A250" ca="1">HYPERLINK(CONCATENATE("#",CELL("address",IF(MAX($CM250:$CZ250)=0,A250,INDEX($CM250:$CZ250,MATCH(1,$CM250:$CZ250,0))))),MAX($CM250:$CZ250))</f>
        <v>0</v>
      </c>
      <c r="C250" s="211" t="s">
        <v>920</v>
      </c>
      <c r="D250" s="33" t="s">
        <v>798</v>
      </c>
      <c r="E250" s="33"/>
      <c r="G250" s="8"/>
      <c r="H250" s="9" t="s">
        <v>620</v>
      </c>
      <c r="V250" s="10">
        <f>V$77</f>
        <v>0</v>
      </c>
      <c r="W250" s="10">
        <f>W$77</f>
        <v>0</v>
      </c>
      <c r="X250" s="10">
        <f>X$77</f>
        <v>0</v>
      </c>
      <c r="Y250" s="10">
        <f>Y$77</f>
        <v>0</v>
      </c>
      <c r="AA250" s="10">
        <f t="shared" ref="AA250:BJ250" si="489">AA$77</f>
        <v>0</v>
      </c>
      <c r="AB250" s="10">
        <f t="shared" si="489"/>
        <v>0</v>
      </c>
      <c r="AC250" s="10">
        <f t="shared" si="489"/>
        <v>0</v>
      </c>
      <c r="AD250" s="10">
        <f t="shared" si="489"/>
        <v>0</v>
      </c>
      <c r="AE250" s="10">
        <f t="shared" si="489"/>
        <v>0</v>
      </c>
      <c r="AF250" s="10">
        <f t="shared" si="489"/>
        <v>0</v>
      </c>
      <c r="AG250" s="10">
        <f t="shared" si="489"/>
        <v>0</v>
      </c>
      <c r="AH250" s="10">
        <f t="shared" si="489"/>
        <v>0</v>
      </c>
      <c r="AI250" s="10">
        <f t="shared" si="489"/>
        <v>0</v>
      </c>
      <c r="AJ250" s="10">
        <f t="shared" si="489"/>
        <v>0</v>
      </c>
      <c r="AK250" s="10">
        <f t="shared" si="489"/>
        <v>0</v>
      </c>
      <c r="AL250" s="10">
        <f t="shared" si="489"/>
        <v>0</v>
      </c>
      <c r="AM250" s="10">
        <f t="shared" si="489"/>
        <v>0</v>
      </c>
      <c r="AN250" s="10">
        <f t="shared" si="489"/>
        <v>0</v>
      </c>
      <c r="AO250" s="10">
        <f t="shared" si="489"/>
        <v>0</v>
      </c>
      <c r="AP250" s="10">
        <f t="shared" si="489"/>
        <v>0</v>
      </c>
      <c r="AQ250" s="10">
        <f t="shared" si="489"/>
        <v>0</v>
      </c>
      <c r="AR250" s="10">
        <f t="shared" si="489"/>
        <v>0</v>
      </c>
      <c r="AS250" s="10">
        <f t="shared" si="489"/>
        <v>0</v>
      </c>
      <c r="AT250" s="10">
        <f t="shared" si="489"/>
        <v>0</v>
      </c>
      <c r="AU250" s="10">
        <f t="shared" si="489"/>
        <v>0</v>
      </c>
      <c r="AV250" s="10">
        <f t="shared" si="489"/>
        <v>0</v>
      </c>
      <c r="AW250" s="10">
        <f t="shared" si="489"/>
        <v>0</v>
      </c>
      <c r="AX250" s="10">
        <f t="shared" si="489"/>
        <v>0</v>
      </c>
      <c r="AY250" s="10">
        <f t="shared" si="489"/>
        <v>0</v>
      </c>
      <c r="AZ250" s="10">
        <f t="shared" si="489"/>
        <v>0</v>
      </c>
      <c r="BA250" s="10">
        <f t="shared" si="489"/>
        <v>0</v>
      </c>
      <c r="BB250" s="10">
        <f t="shared" si="489"/>
        <v>0</v>
      </c>
      <c r="BC250" s="10">
        <f t="shared" si="489"/>
        <v>0</v>
      </c>
      <c r="BD250" s="10">
        <f t="shared" si="489"/>
        <v>0</v>
      </c>
      <c r="BE250" s="10">
        <f t="shared" si="489"/>
        <v>0</v>
      </c>
      <c r="BF250" s="10">
        <f t="shared" si="489"/>
        <v>0</v>
      </c>
      <c r="BG250" s="10">
        <f t="shared" si="489"/>
        <v>0</v>
      </c>
      <c r="BH250" s="10">
        <f t="shared" si="489"/>
        <v>0</v>
      </c>
      <c r="BI250" s="10">
        <f t="shared" si="489"/>
        <v>0</v>
      </c>
      <c r="BJ250" s="10">
        <f t="shared" si="489"/>
        <v>0</v>
      </c>
      <c r="BX250" s="10">
        <f t="shared" ref="BX250:CI250" si="490">BX$77</f>
        <v>0</v>
      </c>
      <c r="BY250" s="10">
        <f t="shared" si="490"/>
        <v>0</v>
      </c>
      <c r="BZ250" s="10">
        <f t="shared" si="490"/>
        <v>0</v>
      </c>
      <c r="CA250" s="10">
        <f t="shared" si="490"/>
        <v>0</v>
      </c>
      <c r="CB250" s="10">
        <f t="shared" si="490"/>
        <v>0</v>
      </c>
      <c r="CC250" s="10">
        <f t="shared" si="490"/>
        <v>0</v>
      </c>
      <c r="CD250" s="10">
        <f t="shared" si="490"/>
        <v>0</v>
      </c>
      <c r="CE250" s="10">
        <f t="shared" si="490"/>
        <v>0</v>
      </c>
      <c r="CF250" s="10">
        <f t="shared" si="490"/>
        <v>0</v>
      </c>
      <c r="CG250" s="10">
        <f t="shared" si="490"/>
        <v>0</v>
      </c>
      <c r="CH250" s="10">
        <f t="shared" si="490"/>
        <v>0</v>
      </c>
      <c r="CI250" s="10">
        <f t="shared" si="490"/>
        <v>0</v>
      </c>
      <c r="CK250" s="11"/>
      <c r="CL250" s="221">
        <f>IF(MIN($V250:$CI250)&lt;0, 1, 0)</f>
        <v>0</v>
      </c>
      <c r="CM250" s="11"/>
      <c r="CW250" s="7">
        <f t="shared" si="481"/>
        <v>0</v>
      </c>
      <c r="CX250" s="7">
        <f t="shared" si="482"/>
        <v>0</v>
      </c>
      <c r="CY250" s="7">
        <f t="shared" si="483"/>
        <v>0</v>
      </c>
      <c r="CZ250" s="650"/>
      <c r="DA250" s="35"/>
      <c r="DB250" s="215">
        <f t="shared" si="484"/>
        <v>0</v>
      </c>
      <c r="DC250" s="215">
        <f t="shared" si="484"/>
        <v>0</v>
      </c>
      <c r="DD250" s="215">
        <f t="shared" si="484"/>
        <v>0</v>
      </c>
      <c r="DE250" s="215">
        <f t="shared" si="485"/>
        <v>0</v>
      </c>
      <c r="DF250" s="215">
        <f t="shared" si="486"/>
        <v>0</v>
      </c>
      <c r="DG250" s="215">
        <f t="shared" si="487"/>
        <v>0</v>
      </c>
      <c r="DH250" s="215">
        <f t="shared" si="488"/>
        <v>0</v>
      </c>
      <c r="DI250" s="35"/>
      <c r="DJ250">
        <v>0</v>
      </c>
      <c r="DK250">
        <v>0</v>
      </c>
      <c r="DL250" s="35"/>
      <c r="EZ250" s="12" t="str">
        <f t="shared" si="478"/>
        <v>Other NCA Movement from Assets under Construction</v>
      </c>
    </row>
    <row r="251" spans="1:156" x14ac:dyDescent="0.35">
      <c r="A251" s="220" cm="1">
        <f t="array" aca="1" ref="A251" ca="1">HYPERLINK(CONCATENATE("#",CELL("address",IF(MAX($CM251:$CZ251)=0,A251,INDEX($CM251:$CZ251,MATCH(1,$CM251:$CZ251,0))))),MAX($CM251:$CZ251))</f>
        <v>0</v>
      </c>
      <c r="C251" s="211" t="s">
        <v>921</v>
      </c>
      <c r="D251" s="33" t="s">
        <v>895</v>
      </c>
      <c r="E251" s="33"/>
      <c r="G251" s="8"/>
      <c r="H251" s="9" t="s">
        <v>403</v>
      </c>
      <c r="V251" s="10">
        <f>V$103</f>
        <v>0</v>
      </c>
      <c r="W251" s="10">
        <f>W$103</f>
        <v>0</v>
      </c>
      <c r="X251" s="10">
        <f>X$103</f>
        <v>0</v>
      </c>
      <c r="Y251" s="10">
        <f>Y$103</f>
        <v>0</v>
      </c>
      <c r="AA251" s="10">
        <f t="shared" ref="AA251:BJ251" si="491">AA$103</f>
        <v>0</v>
      </c>
      <c r="AB251" s="10">
        <f t="shared" si="491"/>
        <v>0</v>
      </c>
      <c r="AC251" s="10">
        <f t="shared" si="491"/>
        <v>0</v>
      </c>
      <c r="AD251" s="10">
        <f t="shared" si="491"/>
        <v>0</v>
      </c>
      <c r="AE251" s="10">
        <f t="shared" si="491"/>
        <v>0</v>
      </c>
      <c r="AF251" s="10">
        <f t="shared" si="491"/>
        <v>0</v>
      </c>
      <c r="AG251" s="10">
        <f t="shared" si="491"/>
        <v>0</v>
      </c>
      <c r="AH251" s="10">
        <f t="shared" si="491"/>
        <v>0</v>
      </c>
      <c r="AI251" s="10">
        <f t="shared" si="491"/>
        <v>0</v>
      </c>
      <c r="AJ251" s="10">
        <f t="shared" si="491"/>
        <v>0</v>
      </c>
      <c r="AK251" s="10">
        <f t="shared" si="491"/>
        <v>0</v>
      </c>
      <c r="AL251" s="10">
        <f t="shared" si="491"/>
        <v>0</v>
      </c>
      <c r="AM251" s="10">
        <f t="shared" si="491"/>
        <v>0</v>
      </c>
      <c r="AN251" s="10">
        <f t="shared" si="491"/>
        <v>0</v>
      </c>
      <c r="AO251" s="10">
        <f t="shared" si="491"/>
        <v>0</v>
      </c>
      <c r="AP251" s="10">
        <f t="shared" si="491"/>
        <v>0</v>
      </c>
      <c r="AQ251" s="10">
        <f t="shared" si="491"/>
        <v>0</v>
      </c>
      <c r="AR251" s="10">
        <f t="shared" si="491"/>
        <v>0</v>
      </c>
      <c r="AS251" s="10">
        <f t="shared" si="491"/>
        <v>0</v>
      </c>
      <c r="AT251" s="10">
        <f t="shared" si="491"/>
        <v>0</v>
      </c>
      <c r="AU251" s="10">
        <f t="shared" si="491"/>
        <v>0</v>
      </c>
      <c r="AV251" s="10">
        <f t="shared" si="491"/>
        <v>0</v>
      </c>
      <c r="AW251" s="10">
        <f t="shared" si="491"/>
        <v>0</v>
      </c>
      <c r="AX251" s="10">
        <f t="shared" si="491"/>
        <v>0</v>
      </c>
      <c r="AY251" s="10">
        <f t="shared" si="491"/>
        <v>0</v>
      </c>
      <c r="AZ251" s="10">
        <f t="shared" si="491"/>
        <v>0</v>
      </c>
      <c r="BA251" s="10">
        <f t="shared" si="491"/>
        <v>0</v>
      </c>
      <c r="BB251" s="10">
        <f t="shared" si="491"/>
        <v>0</v>
      </c>
      <c r="BC251" s="10">
        <f t="shared" si="491"/>
        <v>0</v>
      </c>
      <c r="BD251" s="10">
        <f t="shared" si="491"/>
        <v>0</v>
      </c>
      <c r="BE251" s="10">
        <f t="shared" si="491"/>
        <v>0</v>
      </c>
      <c r="BF251" s="10">
        <f t="shared" si="491"/>
        <v>0</v>
      </c>
      <c r="BG251" s="10">
        <f t="shared" si="491"/>
        <v>0</v>
      </c>
      <c r="BH251" s="10">
        <f t="shared" si="491"/>
        <v>0</v>
      </c>
      <c r="BI251" s="10">
        <f t="shared" si="491"/>
        <v>0</v>
      </c>
      <c r="BJ251" s="10">
        <f t="shared" si="491"/>
        <v>0</v>
      </c>
      <c r="BX251" s="10">
        <f t="shared" ref="BX251:CI251" si="492">BX$103</f>
        <v>0</v>
      </c>
      <c r="BY251" s="10">
        <f t="shared" si="492"/>
        <v>0</v>
      </c>
      <c r="BZ251" s="10">
        <f t="shared" si="492"/>
        <v>0</v>
      </c>
      <c r="CA251" s="10">
        <f t="shared" si="492"/>
        <v>0</v>
      </c>
      <c r="CB251" s="10">
        <f t="shared" si="492"/>
        <v>0</v>
      </c>
      <c r="CC251" s="10">
        <f t="shared" si="492"/>
        <v>0</v>
      </c>
      <c r="CD251" s="10">
        <f t="shared" si="492"/>
        <v>0</v>
      </c>
      <c r="CE251" s="10">
        <f t="shared" si="492"/>
        <v>0</v>
      </c>
      <c r="CF251" s="10">
        <f t="shared" si="492"/>
        <v>0</v>
      </c>
      <c r="CG251" s="10">
        <f t="shared" si="492"/>
        <v>0</v>
      </c>
      <c r="CH251" s="10">
        <f t="shared" si="492"/>
        <v>0</v>
      </c>
      <c r="CI251" s="10">
        <f t="shared" si="492"/>
        <v>0</v>
      </c>
      <c r="CK251" s="11"/>
      <c r="CM251" s="11"/>
      <c r="CW251" s="7">
        <f t="shared" si="481"/>
        <v>0</v>
      </c>
      <c r="CX251" s="7">
        <f t="shared" si="482"/>
        <v>0</v>
      </c>
      <c r="CY251" s="7">
        <f t="shared" si="483"/>
        <v>0</v>
      </c>
      <c r="CZ251" s="650"/>
      <c r="DA251" s="35"/>
      <c r="DB251" s="215">
        <f t="shared" si="484"/>
        <v>0</v>
      </c>
      <c r="DC251" s="215">
        <f t="shared" si="484"/>
        <v>0</v>
      </c>
      <c r="DD251" s="215">
        <f t="shared" si="484"/>
        <v>0</v>
      </c>
      <c r="DE251" s="215">
        <f t="shared" si="485"/>
        <v>0</v>
      </c>
      <c r="DF251" s="215">
        <f t="shared" si="486"/>
        <v>0</v>
      </c>
      <c r="DG251" s="215">
        <f t="shared" si="487"/>
        <v>0</v>
      </c>
      <c r="DH251" s="215">
        <f t="shared" si="488"/>
        <v>0</v>
      </c>
      <c r="DI251" s="35"/>
      <c r="DJ251">
        <v>0</v>
      </c>
      <c r="DK251">
        <v>0</v>
      </c>
      <c r="DL251" s="35"/>
      <c r="EZ251" s="12" t="str">
        <f t="shared" si="478"/>
        <v>Other NCA Surplus/Loss on Revaluation</v>
      </c>
    </row>
    <row r="252" spans="1:156" x14ac:dyDescent="0.35">
      <c r="A252" s="220" cm="1">
        <f t="array" aca="1" ref="A252" ca="1">HYPERLINK(CONCATENATE("#",CELL("address",IF(MAX($CM252:$CZ252)=0,A252,INDEX($CM252:$CZ252,MATCH(1,$CM252:$CZ252,0))))),MAX($CM252:$CZ252))</f>
        <v>0</v>
      </c>
      <c r="C252" s="211" t="s">
        <v>922</v>
      </c>
      <c r="D252" s="33" t="s">
        <v>841</v>
      </c>
      <c r="E252" s="33"/>
      <c r="G252" s="8"/>
      <c r="H252" s="9" t="s">
        <v>646</v>
      </c>
      <c r="V252" s="10">
        <f>V$129</f>
        <v>0</v>
      </c>
      <c r="W252" s="10">
        <f>W$129</f>
        <v>0</v>
      </c>
      <c r="X252" s="10">
        <f>X$129</f>
        <v>0</v>
      </c>
      <c r="Y252" s="10">
        <f>Y$129</f>
        <v>0</v>
      </c>
      <c r="AA252" s="10">
        <f t="shared" ref="AA252:BJ252" si="493">AA$129</f>
        <v>0</v>
      </c>
      <c r="AB252" s="10">
        <f t="shared" si="493"/>
        <v>0</v>
      </c>
      <c r="AC252" s="10">
        <f t="shared" si="493"/>
        <v>0</v>
      </c>
      <c r="AD252" s="10">
        <f t="shared" si="493"/>
        <v>0</v>
      </c>
      <c r="AE252" s="10">
        <f t="shared" si="493"/>
        <v>0</v>
      </c>
      <c r="AF252" s="10">
        <f t="shared" si="493"/>
        <v>0</v>
      </c>
      <c r="AG252" s="10">
        <f t="shared" si="493"/>
        <v>0</v>
      </c>
      <c r="AH252" s="10">
        <f t="shared" si="493"/>
        <v>0</v>
      </c>
      <c r="AI252" s="10">
        <f t="shared" si="493"/>
        <v>0</v>
      </c>
      <c r="AJ252" s="10">
        <f t="shared" si="493"/>
        <v>0</v>
      </c>
      <c r="AK252" s="10">
        <f t="shared" si="493"/>
        <v>0</v>
      </c>
      <c r="AL252" s="10">
        <f t="shared" si="493"/>
        <v>0</v>
      </c>
      <c r="AM252" s="10">
        <f t="shared" si="493"/>
        <v>0</v>
      </c>
      <c r="AN252" s="10">
        <f t="shared" si="493"/>
        <v>0</v>
      </c>
      <c r="AO252" s="10">
        <f t="shared" si="493"/>
        <v>0</v>
      </c>
      <c r="AP252" s="10">
        <f t="shared" si="493"/>
        <v>0</v>
      </c>
      <c r="AQ252" s="10">
        <f t="shared" si="493"/>
        <v>0</v>
      </c>
      <c r="AR252" s="10">
        <f t="shared" si="493"/>
        <v>0</v>
      </c>
      <c r="AS252" s="10">
        <f t="shared" si="493"/>
        <v>0</v>
      </c>
      <c r="AT252" s="10">
        <f t="shared" si="493"/>
        <v>0</v>
      </c>
      <c r="AU252" s="10">
        <f t="shared" si="493"/>
        <v>0</v>
      </c>
      <c r="AV252" s="10">
        <f t="shared" si="493"/>
        <v>0</v>
      </c>
      <c r="AW252" s="10">
        <f t="shared" si="493"/>
        <v>0</v>
      </c>
      <c r="AX252" s="10">
        <f t="shared" si="493"/>
        <v>0</v>
      </c>
      <c r="AY252" s="10">
        <f t="shared" si="493"/>
        <v>0</v>
      </c>
      <c r="AZ252" s="10">
        <f t="shared" si="493"/>
        <v>0</v>
      </c>
      <c r="BA252" s="10">
        <f t="shared" si="493"/>
        <v>0</v>
      </c>
      <c r="BB252" s="10">
        <f t="shared" si="493"/>
        <v>0</v>
      </c>
      <c r="BC252" s="10">
        <f t="shared" si="493"/>
        <v>0</v>
      </c>
      <c r="BD252" s="10">
        <f t="shared" si="493"/>
        <v>0</v>
      </c>
      <c r="BE252" s="10">
        <f t="shared" si="493"/>
        <v>0</v>
      </c>
      <c r="BF252" s="10">
        <f t="shared" si="493"/>
        <v>0</v>
      </c>
      <c r="BG252" s="10">
        <f t="shared" si="493"/>
        <v>0</v>
      </c>
      <c r="BH252" s="10">
        <f t="shared" si="493"/>
        <v>0</v>
      </c>
      <c r="BI252" s="10">
        <f t="shared" si="493"/>
        <v>0</v>
      </c>
      <c r="BJ252" s="10">
        <f t="shared" si="493"/>
        <v>0</v>
      </c>
      <c r="BX252" s="10">
        <f t="shared" ref="BX252:CI252" si="494">BX$129</f>
        <v>0</v>
      </c>
      <c r="BY252" s="10">
        <f t="shared" si="494"/>
        <v>0</v>
      </c>
      <c r="BZ252" s="10">
        <f t="shared" si="494"/>
        <v>0</v>
      </c>
      <c r="CA252" s="10">
        <f t="shared" si="494"/>
        <v>0</v>
      </c>
      <c r="CB252" s="10">
        <f t="shared" si="494"/>
        <v>0</v>
      </c>
      <c r="CC252" s="10">
        <f t="shared" si="494"/>
        <v>0</v>
      </c>
      <c r="CD252" s="10">
        <f t="shared" si="494"/>
        <v>0</v>
      </c>
      <c r="CE252" s="10">
        <f t="shared" si="494"/>
        <v>0</v>
      </c>
      <c r="CF252" s="10">
        <f t="shared" si="494"/>
        <v>0</v>
      </c>
      <c r="CG252" s="10">
        <f t="shared" si="494"/>
        <v>0</v>
      </c>
      <c r="CH252" s="10">
        <f t="shared" si="494"/>
        <v>0</v>
      </c>
      <c r="CI252" s="10">
        <f t="shared" si="494"/>
        <v>0</v>
      </c>
      <c r="CK252" s="11"/>
      <c r="CL252" s="221">
        <f>IF(MAX($V252:$CI252)&gt;0, 1, 0)</f>
        <v>0</v>
      </c>
      <c r="CM252" s="11"/>
      <c r="CW252" s="7">
        <f t="shared" si="481"/>
        <v>0</v>
      </c>
      <c r="CX252" s="7">
        <f t="shared" si="482"/>
        <v>0</v>
      </c>
      <c r="CY252" s="7">
        <f t="shared" si="483"/>
        <v>0</v>
      </c>
      <c r="CZ252" s="650"/>
      <c r="DA252" s="35"/>
      <c r="DB252" s="215">
        <f t="shared" si="484"/>
        <v>0</v>
      </c>
      <c r="DC252" s="215">
        <f t="shared" si="484"/>
        <v>0</v>
      </c>
      <c r="DD252" s="215">
        <f t="shared" si="484"/>
        <v>0</v>
      </c>
      <c r="DE252" s="215">
        <f t="shared" si="485"/>
        <v>0</v>
      </c>
      <c r="DF252" s="215">
        <f t="shared" si="486"/>
        <v>0</v>
      </c>
      <c r="DG252" s="215">
        <f t="shared" si="487"/>
        <v>0</v>
      </c>
      <c r="DH252" s="215">
        <f t="shared" si="488"/>
        <v>0</v>
      </c>
      <c r="DI252" s="35"/>
      <c r="DJ252">
        <v>0</v>
      </c>
      <c r="DK252">
        <v>0</v>
      </c>
      <c r="DL252" s="35"/>
      <c r="EZ252" s="12" t="str">
        <f t="shared" si="478"/>
        <v>Other NCA Moved to Assets Held for Sale</v>
      </c>
    </row>
    <row r="253" spans="1:156" x14ac:dyDescent="0.35">
      <c r="A253" s="220" cm="1">
        <f t="array" aca="1" ref="A253" ca="1">HYPERLINK(CONCATENATE("#",CELL("address",IF(MAX($CM253:$CZ253)=0,A253,INDEX($CM253:$CZ253,MATCH(1,$CM253:$CZ253,0))))),MAX($CM253:$CZ253))</f>
        <v>0</v>
      </c>
      <c r="C253" s="211" t="s">
        <v>923</v>
      </c>
      <c r="D253" s="33" t="s">
        <v>860</v>
      </c>
      <c r="E253" s="33"/>
      <c r="G253" s="8"/>
      <c r="H253" s="9" t="s">
        <v>646</v>
      </c>
      <c r="V253" s="10">
        <f>V$189</f>
        <v>0</v>
      </c>
      <c r="W253" s="10">
        <f>W$189</f>
        <v>0</v>
      </c>
      <c r="X253" s="10">
        <f>X$189</f>
        <v>0</v>
      </c>
      <c r="Y253" s="10">
        <f>Y$189</f>
        <v>0</v>
      </c>
      <c r="AA253" s="10">
        <f t="shared" ref="AA253:BJ253" si="495">AA$189</f>
        <v>0</v>
      </c>
      <c r="AB253" s="10">
        <f t="shared" si="495"/>
        <v>0</v>
      </c>
      <c r="AC253" s="10">
        <f t="shared" si="495"/>
        <v>0</v>
      </c>
      <c r="AD253" s="10">
        <f t="shared" si="495"/>
        <v>0</v>
      </c>
      <c r="AE253" s="10">
        <f t="shared" si="495"/>
        <v>0</v>
      </c>
      <c r="AF253" s="10">
        <f t="shared" si="495"/>
        <v>0</v>
      </c>
      <c r="AG253" s="10">
        <f t="shared" si="495"/>
        <v>0</v>
      </c>
      <c r="AH253" s="10">
        <f t="shared" si="495"/>
        <v>0</v>
      </c>
      <c r="AI253" s="10">
        <f t="shared" si="495"/>
        <v>0</v>
      </c>
      <c r="AJ253" s="10">
        <f t="shared" si="495"/>
        <v>0</v>
      </c>
      <c r="AK253" s="10">
        <f t="shared" si="495"/>
        <v>0</v>
      </c>
      <c r="AL253" s="10">
        <f t="shared" si="495"/>
        <v>0</v>
      </c>
      <c r="AM253" s="10">
        <f t="shared" si="495"/>
        <v>0</v>
      </c>
      <c r="AN253" s="10">
        <f t="shared" si="495"/>
        <v>0</v>
      </c>
      <c r="AO253" s="10">
        <f t="shared" si="495"/>
        <v>0</v>
      </c>
      <c r="AP253" s="10">
        <f t="shared" si="495"/>
        <v>0</v>
      </c>
      <c r="AQ253" s="10">
        <f t="shared" si="495"/>
        <v>0</v>
      </c>
      <c r="AR253" s="10">
        <f t="shared" si="495"/>
        <v>0</v>
      </c>
      <c r="AS253" s="10">
        <f t="shared" si="495"/>
        <v>0</v>
      </c>
      <c r="AT253" s="10">
        <f t="shared" si="495"/>
        <v>0</v>
      </c>
      <c r="AU253" s="10">
        <f t="shared" si="495"/>
        <v>0</v>
      </c>
      <c r="AV253" s="10">
        <f t="shared" si="495"/>
        <v>0</v>
      </c>
      <c r="AW253" s="10">
        <f t="shared" si="495"/>
        <v>0</v>
      </c>
      <c r="AX253" s="10">
        <f t="shared" si="495"/>
        <v>0</v>
      </c>
      <c r="AY253" s="10">
        <f t="shared" si="495"/>
        <v>0</v>
      </c>
      <c r="AZ253" s="10">
        <f t="shared" si="495"/>
        <v>0</v>
      </c>
      <c r="BA253" s="10">
        <f t="shared" si="495"/>
        <v>0</v>
      </c>
      <c r="BB253" s="10">
        <f t="shared" si="495"/>
        <v>0</v>
      </c>
      <c r="BC253" s="10">
        <f t="shared" si="495"/>
        <v>0</v>
      </c>
      <c r="BD253" s="10">
        <f t="shared" si="495"/>
        <v>0</v>
      </c>
      <c r="BE253" s="10">
        <f t="shared" si="495"/>
        <v>0</v>
      </c>
      <c r="BF253" s="10">
        <f t="shared" si="495"/>
        <v>0</v>
      </c>
      <c r="BG253" s="10">
        <f t="shared" si="495"/>
        <v>0</v>
      </c>
      <c r="BH253" s="10">
        <f t="shared" si="495"/>
        <v>0</v>
      </c>
      <c r="BI253" s="10">
        <f t="shared" si="495"/>
        <v>0</v>
      </c>
      <c r="BJ253" s="10">
        <f t="shared" si="495"/>
        <v>0</v>
      </c>
      <c r="BX253" s="10">
        <f t="shared" ref="BX253:CI253" si="496">BX$189</f>
        <v>0</v>
      </c>
      <c r="BY253" s="10">
        <f t="shared" si="496"/>
        <v>0</v>
      </c>
      <c r="BZ253" s="10">
        <f t="shared" si="496"/>
        <v>0</v>
      </c>
      <c r="CA253" s="10">
        <f t="shared" si="496"/>
        <v>0</v>
      </c>
      <c r="CB253" s="10">
        <f t="shared" si="496"/>
        <v>0</v>
      </c>
      <c r="CC253" s="10">
        <f t="shared" si="496"/>
        <v>0</v>
      </c>
      <c r="CD253" s="10">
        <f t="shared" si="496"/>
        <v>0</v>
      </c>
      <c r="CE253" s="10">
        <f t="shared" si="496"/>
        <v>0</v>
      </c>
      <c r="CF253" s="10">
        <f t="shared" si="496"/>
        <v>0</v>
      </c>
      <c r="CG253" s="10">
        <f t="shared" si="496"/>
        <v>0</v>
      </c>
      <c r="CH253" s="10">
        <f t="shared" si="496"/>
        <v>0</v>
      </c>
      <c r="CI253" s="10">
        <f t="shared" si="496"/>
        <v>0</v>
      </c>
      <c r="CK253" s="11"/>
      <c r="CL253" s="221">
        <f>IF(MAX($V253:$CI253)&gt;0, 1, 0)</f>
        <v>0</v>
      </c>
      <c r="CM253" s="11"/>
      <c r="CW253" s="7">
        <f t="shared" si="481"/>
        <v>0</v>
      </c>
      <c r="CX253" s="7">
        <f t="shared" si="482"/>
        <v>0</v>
      </c>
      <c r="CY253" s="7">
        <f t="shared" si="483"/>
        <v>0</v>
      </c>
      <c r="CZ253" s="650"/>
      <c r="DA253" s="35"/>
      <c r="DB253" s="215">
        <f t="shared" si="484"/>
        <v>0</v>
      </c>
      <c r="DC253" s="215">
        <f t="shared" si="484"/>
        <v>0</v>
      </c>
      <c r="DD253" s="215">
        <f t="shared" si="484"/>
        <v>0</v>
      </c>
      <c r="DE253" s="215">
        <f t="shared" si="485"/>
        <v>0</v>
      </c>
      <c r="DF253" s="215">
        <f t="shared" si="486"/>
        <v>0</v>
      </c>
      <c r="DG253" s="215">
        <f t="shared" si="487"/>
        <v>0</v>
      </c>
      <c r="DH253" s="215">
        <f t="shared" si="488"/>
        <v>0</v>
      </c>
      <c r="DI253" s="35"/>
      <c r="DJ253">
        <v>0</v>
      </c>
      <c r="DK253">
        <v>0</v>
      </c>
      <c r="DL253" s="35"/>
      <c r="EZ253" s="12" t="str">
        <f t="shared" si="478"/>
        <v>Other NCA Disposals</v>
      </c>
    </row>
    <row r="254" spans="1:156" x14ac:dyDescent="0.35">
      <c r="A254" s="220" cm="1">
        <f t="array" aca="1" ref="A254" ca="1">HYPERLINK(CONCATENATE("#",CELL("address",IF(MAX($CM254:$CZ254)=0,A254,INDEX($CM254:$CZ254,MATCH(1,$CM254:$CZ254,0))))),MAX($CM254:$CZ254))</f>
        <v>0</v>
      </c>
      <c r="C254" s="211" t="s">
        <v>924</v>
      </c>
      <c r="D254" s="33" t="s">
        <v>899</v>
      </c>
      <c r="E254" s="33"/>
      <c r="G254" s="8"/>
      <c r="H254" s="9" t="s">
        <v>646</v>
      </c>
      <c r="V254" s="109"/>
      <c r="W254" s="133">
        <f t="shared" ref="W254:Y255" si="497" xml:space="preserve"> SUMIFS($AA254:$BJ254, $AA$3:$BJ$3, W$3)</f>
        <v>0</v>
      </c>
      <c r="X254" s="133">
        <f t="shared" si="497"/>
        <v>0</v>
      </c>
      <c r="Y254" s="133">
        <f t="shared" si="497"/>
        <v>0</v>
      </c>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X254" s="12">
        <f t="shared" ref="BX254:CA255" si="498">V254</f>
        <v>0</v>
      </c>
      <c r="BY254" s="12">
        <f t="shared" si="498"/>
        <v>0</v>
      </c>
      <c r="BZ254" s="12">
        <f t="shared" si="498"/>
        <v>0</v>
      </c>
      <c r="CA254" s="12">
        <f t="shared" si="498"/>
        <v>0</v>
      </c>
      <c r="CB254" s="109"/>
      <c r="CC254" s="109"/>
      <c r="CD254" s="109"/>
      <c r="CE254" s="109"/>
      <c r="CF254" s="109"/>
      <c r="CG254" s="109"/>
      <c r="CH254" s="109"/>
      <c r="CI254" s="109"/>
      <c r="CK254" s="11"/>
      <c r="CL254" s="221">
        <f>IF(MAX($V254:$CI254)&gt;0, 1, 0)</f>
        <v>0</v>
      </c>
      <c r="CM254" s="11"/>
      <c r="CU254" s="7" cm="1">
        <f t="array" ref="CU254">SUMPRODUCT(--NOT(ISNUMBER(V254:CI254)),--NOT(ISBLANK(V254:CI254)))</f>
        <v>0</v>
      </c>
      <c r="CW254" s="7">
        <f t="shared" si="481"/>
        <v>0</v>
      </c>
      <c r="CX254" s="7">
        <f t="shared" si="482"/>
        <v>0</v>
      </c>
      <c r="CY254" s="7">
        <f t="shared" si="483"/>
        <v>0</v>
      </c>
      <c r="CZ254" s="650"/>
      <c r="DA254" s="35"/>
      <c r="DB254" s="215">
        <f t="shared" si="484"/>
        <v>0</v>
      </c>
      <c r="DC254" s="215">
        <f t="shared" si="484"/>
        <v>0</v>
      </c>
      <c r="DD254" s="215">
        <f t="shared" si="484"/>
        <v>0</v>
      </c>
      <c r="DE254" s="215">
        <f t="shared" si="485"/>
        <v>0</v>
      </c>
      <c r="DF254" s="215">
        <f t="shared" si="486"/>
        <v>0</v>
      </c>
      <c r="DG254" s="215">
        <f t="shared" si="487"/>
        <v>0</v>
      </c>
      <c r="DH254" s="215">
        <f t="shared" si="488"/>
        <v>0</v>
      </c>
      <c r="DI254" s="35"/>
      <c r="DJ254">
        <v>1</v>
      </c>
      <c r="DK254">
        <v>1</v>
      </c>
      <c r="DL254" s="35"/>
      <c r="EZ254" s="12" t="str">
        <f t="shared" si="478"/>
        <v>Other NCA Depreciation</v>
      </c>
    </row>
    <row r="255" spans="1:156" x14ac:dyDescent="0.35">
      <c r="A255" s="220" cm="1">
        <f t="array" aca="1" ref="A255" ca="1">HYPERLINK(CONCATENATE("#",CELL("address",IF(MAX($CM255:$CZ255)=0,A255,INDEX($CM255:$CZ255,MATCH(1,$CM255:$CZ255,0))))),MAX($CM255:$CZ255))</f>
        <v>0</v>
      </c>
      <c r="C255" s="211" t="s">
        <v>925</v>
      </c>
      <c r="D255" s="1" t="s">
        <v>901</v>
      </c>
      <c r="E255" s="85" t="s">
        <v>122</v>
      </c>
      <c r="G255" s="8"/>
      <c r="H255" s="9" t="s">
        <v>403</v>
      </c>
      <c r="V255" s="109"/>
      <c r="W255" s="133">
        <f t="shared" si="497"/>
        <v>0</v>
      </c>
      <c r="X255" s="133">
        <f t="shared" si="497"/>
        <v>0</v>
      </c>
      <c r="Y255" s="133">
        <f t="shared" si="497"/>
        <v>0</v>
      </c>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X255" s="12">
        <f t="shared" si="498"/>
        <v>0</v>
      </c>
      <c r="BY255" s="12">
        <f t="shared" si="498"/>
        <v>0</v>
      </c>
      <c r="BZ255" s="12">
        <f t="shared" si="498"/>
        <v>0</v>
      </c>
      <c r="CA255" s="12">
        <f t="shared" si="498"/>
        <v>0</v>
      </c>
      <c r="CB255" s="109"/>
      <c r="CC255" s="109"/>
      <c r="CD255" s="109"/>
      <c r="CE255" s="109"/>
      <c r="CF255" s="109"/>
      <c r="CG255" s="109"/>
      <c r="CH255" s="109"/>
      <c r="CI255" s="109"/>
      <c r="CK255" s="11"/>
      <c r="CM255" s="11"/>
      <c r="CU255" s="7" cm="1">
        <f t="array" ref="CU255">SUMPRODUCT(--NOT(ISNUMBER(V255:CI255)),--NOT(ISBLANK(V255:CI255)))</f>
        <v>0</v>
      </c>
      <c r="CW255" s="7">
        <f t="shared" si="481"/>
        <v>0</v>
      </c>
      <c r="CX255" s="7">
        <f t="shared" si="482"/>
        <v>0</v>
      </c>
      <c r="CY255" s="7">
        <f t="shared" si="483"/>
        <v>0</v>
      </c>
      <c r="CZ255" s="650"/>
      <c r="DA255" s="35"/>
      <c r="DB255" s="215">
        <f t="shared" si="484"/>
        <v>0</v>
      </c>
      <c r="DC255" s="215">
        <f t="shared" si="484"/>
        <v>0</v>
      </c>
      <c r="DD255" s="215">
        <f t="shared" si="484"/>
        <v>0</v>
      </c>
      <c r="DE255" s="215">
        <f t="shared" si="485"/>
        <v>0</v>
      </c>
      <c r="DF255" s="215">
        <f t="shared" si="486"/>
        <v>0</v>
      </c>
      <c r="DG255" s="215">
        <f t="shared" si="487"/>
        <v>0</v>
      </c>
      <c r="DH255" s="215">
        <f t="shared" si="488"/>
        <v>0</v>
      </c>
      <c r="DI255" s="35"/>
      <c r="DJ255">
        <v>1</v>
      </c>
      <c r="DK255">
        <v>1</v>
      </c>
      <c r="DL255" s="35"/>
      <c r="EZ255" s="12" t="str">
        <f t="shared" si="478"/>
        <v>Other NCA Movement due to mergers</v>
      </c>
    </row>
    <row r="256" spans="1:156" x14ac:dyDescent="0.35">
      <c r="A256" s="220" cm="1">
        <f t="array" aca="1" ref="A256" ca="1">HYPERLINK(CONCATENATE("#",CELL("address",IF(MAX($CM256:$CZ256)=0,A256,INDEX($CM256:$CZ256,MATCH(1,$CM256:$CZ256,0))))),MAX($CM256:$CZ256))</f>
        <v>0</v>
      </c>
      <c r="C256" s="211" t="s">
        <v>926</v>
      </c>
      <c r="D256" s="33" t="s">
        <v>903</v>
      </c>
      <c r="E256" s="33" t="s">
        <v>904</v>
      </c>
      <c r="G256" s="8"/>
      <c r="H256" s="9" t="s">
        <v>646</v>
      </c>
      <c r="V256" s="10">
        <f>V$352</f>
        <v>0</v>
      </c>
      <c r="W256" s="10">
        <f>W$352</f>
        <v>0</v>
      </c>
      <c r="X256" s="10">
        <f>X$352</f>
        <v>0</v>
      </c>
      <c r="Y256" s="10">
        <f>Y$352</f>
        <v>0</v>
      </c>
      <c r="AA256" s="10">
        <f t="shared" ref="AA256:BJ256" si="499">AA$352</f>
        <v>0</v>
      </c>
      <c r="AB256" s="10">
        <f t="shared" si="499"/>
        <v>0</v>
      </c>
      <c r="AC256" s="10">
        <f t="shared" si="499"/>
        <v>0</v>
      </c>
      <c r="AD256" s="10">
        <f t="shared" si="499"/>
        <v>0</v>
      </c>
      <c r="AE256" s="10">
        <f t="shared" si="499"/>
        <v>0</v>
      </c>
      <c r="AF256" s="10">
        <f t="shared" si="499"/>
        <v>0</v>
      </c>
      <c r="AG256" s="10">
        <f t="shared" si="499"/>
        <v>0</v>
      </c>
      <c r="AH256" s="10">
        <f t="shared" si="499"/>
        <v>0</v>
      </c>
      <c r="AI256" s="10">
        <f t="shared" si="499"/>
        <v>0</v>
      </c>
      <c r="AJ256" s="10">
        <f t="shared" si="499"/>
        <v>0</v>
      </c>
      <c r="AK256" s="10">
        <f t="shared" si="499"/>
        <v>0</v>
      </c>
      <c r="AL256" s="10">
        <f t="shared" si="499"/>
        <v>0</v>
      </c>
      <c r="AM256" s="10">
        <f t="shared" si="499"/>
        <v>0</v>
      </c>
      <c r="AN256" s="10">
        <f t="shared" si="499"/>
        <v>0</v>
      </c>
      <c r="AO256" s="10">
        <f t="shared" si="499"/>
        <v>0</v>
      </c>
      <c r="AP256" s="10">
        <f t="shared" si="499"/>
        <v>0</v>
      </c>
      <c r="AQ256" s="10">
        <f t="shared" si="499"/>
        <v>0</v>
      </c>
      <c r="AR256" s="10">
        <f t="shared" si="499"/>
        <v>0</v>
      </c>
      <c r="AS256" s="10">
        <f t="shared" si="499"/>
        <v>0</v>
      </c>
      <c r="AT256" s="10">
        <f t="shared" si="499"/>
        <v>0</v>
      </c>
      <c r="AU256" s="10">
        <f t="shared" si="499"/>
        <v>0</v>
      </c>
      <c r="AV256" s="10">
        <f t="shared" si="499"/>
        <v>0</v>
      </c>
      <c r="AW256" s="10">
        <f t="shared" si="499"/>
        <v>0</v>
      </c>
      <c r="AX256" s="10">
        <f t="shared" si="499"/>
        <v>0</v>
      </c>
      <c r="AY256" s="10">
        <f t="shared" si="499"/>
        <v>0</v>
      </c>
      <c r="AZ256" s="10">
        <f t="shared" si="499"/>
        <v>0</v>
      </c>
      <c r="BA256" s="10">
        <f t="shared" si="499"/>
        <v>0</v>
      </c>
      <c r="BB256" s="10">
        <f t="shared" si="499"/>
        <v>0</v>
      </c>
      <c r="BC256" s="10">
        <f t="shared" si="499"/>
        <v>0</v>
      </c>
      <c r="BD256" s="10">
        <f t="shared" si="499"/>
        <v>0</v>
      </c>
      <c r="BE256" s="10">
        <f t="shared" si="499"/>
        <v>0</v>
      </c>
      <c r="BF256" s="10">
        <f t="shared" si="499"/>
        <v>0</v>
      </c>
      <c r="BG256" s="10">
        <f t="shared" si="499"/>
        <v>0</v>
      </c>
      <c r="BH256" s="10">
        <f t="shared" si="499"/>
        <v>0</v>
      </c>
      <c r="BI256" s="10">
        <f t="shared" si="499"/>
        <v>0</v>
      </c>
      <c r="BJ256" s="10">
        <f t="shared" si="499"/>
        <v>0</v>
      </c>
      <c r="BX256" s="10">
        <f t="shared" ref="BX256:CI256" si="500">BX$352</f>
        <v>0</v>
      </c>
      <c r="BY256" s="10">
        <f t="shared" si="500"/>
        <v>0</v>
      </c>
      <c r="BZ256" s="10">
        <f t="shared" si="500"/>
        <v>0</v>
      </c>
      <c r="CA256" s="10">
        <f t="shared" si="500"/>
        <v>0</v>
      </c>
      <c r="CB256" s="10">
        <f t="shared" si="500"/>
        <v>0</v>
      </c>
      <c r="CC256" s="10">
        <f t="shared" si="500"/>
        <v>0</v>
      </c>
      <c r="CD256" s="10">
        <f t="shared" si="500"/>
        <v>0</v>
      </c>
      <c r="CE256" s="10">
        <f t="shared" si="500"/>
        <v>0</v>
      </c>
      <c r="CF256" s="10">
        <f t="shared" si="500"/>
        <v>0</v>
      </c>
      <c r="CG256" s="10">
        <f t="shared" si="500"/>
        <v>0</v>
      </c>
      <c r="CH256" s="10">
        <f t="shared" si="500"/>
        <v>0</v>
      </c>
      <c r="CI256" s="10">
        <f t="shared" si="500"/>
        <v>0</v>
      </c>
      <c r="CK256" s="11"/>
      <c r="CM256" s="11"/>
      <c r="CW256" s="7">
        <f t="shared" si="481"/>
        <v>0</v>
      </c>
      <c r="CX256" s="7">
        <f t="shared" si="482"/>
        <v>0</v>
      </c>
      <c r="CY256" s="7">
        <f t="shared" si="483"/>
        <v>0</v>
      </c>
      <c r="CZ256" s="650"/>
      <c r="DA256" s="35"/>
      <c r="DB256" s="215">
        <f t="shared" si="484"/>
        <v>0</v>
      </c>
      <c r="DC256" s="215">
        <f t="shared" si="484"/>
        <v>0</v>
      </c>
      <c r="DD256" s="215">
        <f t="shared" si="484"/>
        <v>0</v>
      </c>
      <c r="DE256" s="215">
        <f t="shared" si="485"/>
        <v>0</v>
      </c>
      <c r="DF256" s="215">
        <f t="shared" si="486"/>
        <v>0</v>
      </c>
      <c r="DG256" s="215">
        <f t="shared" si="487"/>
        <v>0</v>
      </c>
      <c r="DH256" s="215">
        <f t="shared" si="488"/>
        <v>0</v>
      </c>
      <c r="DI256" s="35"/>
      <c r="DJ256">
        <v>0</v>
      </c>
      <c r="DK256">
        <v>0</v>
      </c>
      <c r="DL256" s="35"/>
      <c r="EZ256" s="12" t="str">
        <f t="shared" si="478"/>
        <v>Other NCA NCA Reclassification</v>
      </c>
    </row>
    <row r="257" spans="1:156" x14ac:dyDescent="0.35">
      <c r="A257" s="220" cm="1">
        <f t="array" aca="1" ref="A257" ca="1">HYPERLINK(CONCATENATE("#",CELL("address",IF(MAX($CM257:$CZ257)=0,A257,INDEX($CM257:$CZ257,MATCH(1,$CM257:$CZ257,0))))),MAX($CM257:$CZ257))</f>
        <v>0</v>
      </c>
      <c r="C257" s="211" t="s">
        <v>927</v>
      </c>
      <c r="D257" s="33" t="s">
        <v>906</v>
      </c>
      <c r="E257" s="215">
        <f>ROUND(V257-SUM(V248:V256), rounding)*'Fin Stat'!$V$9</f>
        <v>0</v>
      </c>
      <c r="G257" s="8"/>
      <c r="V257" s="12">
        <f>'Opening Balances'!W12</f>
        <v>0</v>
      </c>
      <c r="W257" s="10">
        <f>SUM(W248:W256)</f>
        <v>0</v>
      </c>
      <c r="X257" s="10">
        <f>SUM(X248:X256)</f>
        <v>0</v>
      </c>
      <c r="Y257" s="10">
        <f>SUM(Y248:Y256)</f>
        <v>0</v>
      </c>
      <c r="AA257" s="10">
        <f t="shared" ref="AA257:BJ257" si="501">SUM(AA248:AA256)</f>
        <v>0</v>
      </c>
      <c r="AB257" s="10">
        <f t="shared" si="501"/>
        <v>0</v>
      </c>
      <c r="AC257" s="10">
        <f t="shared" si="501"/>
        <v>0</v>
      </c>
      <c r="AD257" s="10">
        <f t="shared" si="501"/>
        <v>0</v>
      </c>
      <c r="AE257" s="10">
        <f t="shared" si="501"/>
        <v>0</v>
      </c>
      <c r="AF257" s="10">
        <f t="shared" si="501"/>
        <v>0</v>
      </c>
      <c r="AG257" s="10">
        <f t="shared" si="501"/>
        <v>0</v>
      </c>
      <c r="AH257" s="10">
        <f t="shared" si="501"/>
        <v>0</v>
      </c>
      <c r="AI257" s="10">
        <f t="shared" si="501"/>
        <v>0</v>
      </c>
      <c r="AJ257" s="10">
        <f t="shared" si="501"/>
        <v>0</v>
      </c>
      <c r="AK257" s="10">
        <f t="shared" si="501"/>
        <v>0</v>
      </c>
      <c r="AL257" s="10">
        <f t="shared" si="501"/>
        <v>0</v>
      </c>
      <c r="AM257" s="10">
        <f t="shared" si="501"/>
        <v>0</v>
      </c>
      <c r="AN257" s="10">
        <f t="shared" si="501"/>
        <v>0</v>
      </c>
      <c r="AO257" s="10">
        <f t="shared" si="501"/>
        <v>0</v>
      </c>
      <c r="AP257" s="10">
        <f t="shared" si="501"/>
        <v>0</v>
      </c>
      <c r="AQ257" s="10">
        <f t="shared" si="501"/>
        <v>0</v>
      </c>
      <c r="AR257" s="10">
        <f t="shared" si="501"/>
        <v>0</v>
      </c>
      <c r="AS257" s="10">
        <f t="shared" si="501"/>
        <v>0</v>
      </c>
      <c r="AT257" s="10">
        <f t="shared" si="501"/>
        <v>0</v>
      </c>
      <c r="AU257" s="10">
        <f t="shared" si="501"/>
        <v>0</v>
      </c>
      <c r="AV257" s="10">
        <f t="shared" si="501"/>
        <v>0</v>
      </c>
      <c r="AW257" s="10">
        <f t="shared" si="501"/>
        <v>0</v>
      </c>
      <c r="AX257" s="10">
        <f t="shared" si="501"/>
        <v>0</v>
      </c>
      <c r="AY257" s="10">
        <f t="shared" si="501"/>
        <v>0</v>
      </c>
      <c r="AZ257" s="10">
        <f t="shared" si="501"/>
        <v>0</v>
      </c>
      <c r="BA257" s="10">
        <f t="shared" si="501"/>
        <v>0</v>
      </c>
      <c r="BB257" s="10">
        <f t="shared" si="501"/>
        <v>0</v>
      </c>
      <c r="BC257" s="10">
        <f t="shared" si="501"/>
        <v>0</v>
      </c>
      <c r="BD257" s="10">
        <f t="shared" si="501"/>
        <v>0</v>
      </c>
      <c r="BE257" s="10">
        <f t="shared" si="501"/>
        <v>0</v>
      </c>
      <c r="BF257" s="10">
        <f t="shared" si="501"/>
        <v>0</v>
      </c>
      <c r="BG257" s="10">
        <f t="shared" si="501"/>
        <v>0</v>
      </c>
      <c r="BH257" s="10">
        <f t="shared" si="501"/>
        <v>0</v>
      </c>
      <c r="BI257" s="10">
        <f t="shared" si="501"/>
        <v>0</v>
      </c>
      <c r="BJ257" s="10">
        <f t="shared" si="501"/>
        <v>0</v>
      </c>
      <c r="BX257" s="12">
        <f>V257</f>
        <v>0</v>
      </c>
      <c r="BY257" s="10">
        <f t="shared" ref="BY257:CI257" si="502">SUM(BY248:BY256)</f>
        <v>0</v>
      </c>
      <c r="BZ257" s="10">
        <f t="shared" si="502"/>
        <v>0</v>
      </c>
      <c r="CA257" s="10">
        <f t="shared" si="502"/>
        <v>0</v>
      </c>
      <c r="CB257" s="10">
        <f t="shared" si="502"/>
        <v>0</v>
      </c>
      <c r="CC257" s="10">
        <f t="shared" si="502"/>
        <v>0</v>
      </c>
      <c r="CD257" s="10">
        <f t="shared" si="502"/>
        <v>0</v>
      </c>
      <c r="CE257" s="10">
        <f t="shared" si="502"/>
        <v>0</v>
      </c>
      <c r="CF257" s="10">
        <f t="shared" si="502"/>
        <v>0</v>
      </c>
      <c r="CG257" s="10">
        <f t="shared" si="502"/>
        <v>0</v>
      </c>
      <c r="CH257" s="10">
        <f t="shared" si="502"/>
        <v>0</v>
      </c>
      <c r="CI257" s="10">
        <f t="shared" si="502"/>
        <v>0</v>
      </c>
      <c r="CK257" s="11"/>
      <c r="CM257" s="11"/>
      <c r="CS257" s="7">
        <f>IF(ABS($E257)&gt;Parameters!$D$33, 1, 0)</f>
        <v>0</v>
      </c>
      <c r="CW257" s="7">
        <f t="shared" si="481"/>
        <v>0</v>
      </c>
      <c r="CX257" s="7">
        <f t="shared" si="482"/>
        <v>0</v>
      </c>
      <c r="CY257" s="7">
        <f t="shared" si="483"/>
        <v>0</v>
      </c>
      <c r="CZ257" s="650"/>
      <c r="DA257" s="35"/>
      <c r="DB257" s="215">
        <f>ROUND(W257-INDEX($AA257:$BJ257, MATCH(W$5,$AA$5:$BJ$5,0)), rounding)</f>
        <v>0</v>
      </c>
      <c r="DC257" s="215">
        <f>ROUND(X257-INDEX($AA257:$BJ257, MATCH(X$5,$AA$5:$BJ$5,0)), rounding)</f>
        <v>0</v>
      </c>
      <c r="DD257" s="215">
        <f>ROUND(Y257-INDEX($AA257:$BJ257, MATCH(Y$5,$AA$5:$BJ$5,0)), rounding)</f>
        <v>0</v>
      </c>
      <c r="DE257" s="215">
        <f>ROUND(BY257-INDEX($AA257:$BJ257, MATCH(BY$5,$AA$5:$BJ$5,0)), rounding)</f>
        <v>0</v>
      </c>
      <c r="DF257" s="215">
        <f>ROUND(BZ257-INDEX($AA257:$BJ257, MATCH(BZ$5,$AA$5:$BJ$5,0)), rounding)</f>
        <v>0</v>
      </c>
      <c r="DG257" s="215">
        <f>ROUND(CA257-INDEX($AA257:$BJ257, MATCH(CA$5,$AA$5:$BJ$5,0)), rounding)</f>
        <v>0</v>
      </c>
      <c r="DH257" s="215">
        <f t="shared" si="488"/>
        <v>0</v>
      </c>
      <c r="DI257" s="35"/>
      <c r="DJ257">
        <v>0</v>
      </c>
      <c r="DK257">
        <v>0</v>
      </c>
      <c r="DL257" s="35"/>
      <c r="EZ257" s="12" t="str">
        <f t="shared" si="478"/>
        <v>Other NCA Closing Balance</v>
      </c>
    </row>
    <row r="258" spans="1:156" ht="6.75" customHeight="1" x14ac:dyDescent="0.35">
      <c r="C258" s="234"/>
      <c r="D258" s="1"/>
      <c r="E258"/>
      <c r="BY258" s="6"/>
      <c r="CK258" s="35"/>
      <c r="CM258" s="35"/>
      <c r="CZ258" s="650"/>
      <c r="DA258" s="35"/>
      <c r="DI258" s="35"/>
      <c r="DJ258">
        <v>0</v>
      </c>
      <c r="DK258">
        <v>0</v>
      </c>
      <c r="DL258" s="35"/>
      <c r="EZ258" s="10" t="str">
        <f>IF($C258="","",$D258)</f>
        <v/>
      </c>
    </row>
    <row r="259" spans="1:156" x14ac:dyDescent="0.35">
      <c r="A259" s="220" cm="1">
        <f t="array" aca="1" ref="A259" ca="1">HYPERLINK(CONCATENATE("#",CELL("address",IF(MAX($CM259:$CZ259)=0,A259,INDEX($CM259:$CZ259,MATCH(1,$CM259:$CZ259,0))))),MAX($CM259:$CZ259))</f>
        <v>0</v>
      </c>
      <c r="C259" s="234"/>
      <c r="D259" s="1" t="s">
        <v>928</v>
      </c>
      <c r="E259"/>
      <c r="V259" s="7">
        <f>IF(V257&lt;0, 1, 0)*'BS Forecasts'!V$10</f>
        <v>0</v>
      </c>
      <c r="W259" s="7">
        <f>IF(W257&lt;0, 1, 0)*'BS Forecasts'!W$10</f>
        <v>0</v>
      </c>
      <c r="X259" s="7">
        <f>IF(X257&lt;0, 1, 0)*'BS Forecasts'!X$10</f>
        <v>0</v>
      </c>
      <c r="Y259" s="7">
        <f>IF(Y257&lt;0, 1, 0)*'BS Forecasts'!Y$10</f>
        <v>0</v>
      </c>
      <c r="AA259" s="7">
        <f>IF(AA257&lt;0, 1, 0)*'BS Forecasts'!AA$10</f>
        <v>0</v>
      </c>
      <c r="AB259" s="7">
        <f>IF(AB257&lt;0, 1, 0)*'BS Forecasts'!AB$10</f>
        <v>0</v>
      </c>
      <c r="AC259" s="7">
        <f>IF(AC257&lt;0, 1, 0)*'BS Forecasts'!AC$10</f>
        <v>0</v>
      </c>
      <c r="AD259" s="7">
        <f>IF(AD257&lt;0, 1, 0)*'BS Forecasts'!AD$10</f>
        <v>0</v>
      </c>
      <c r="AE259" s="7">
        <f>IF(AE257&lt;0, 1, 0)*'BS Forecasts'!AE$10</f>
        <v>0</v>
      </c>
      <c r="AF259" s="7">
        <f>IF(AF257&lt;0, 1, 0)*'BS Forecasts'!AF$10</f>
        <v>0</v>
      </c>
      <c r="AG259" s="7">
        <f>IF(AG257&lt;0, 1, 0)*'BS Forecasts'!AG$10</f>
        <v>0</v>
      </c>
      <c r="AH259" s="7">
        <f>IF(AH257&lt;0, 1, 0)*'BS Forecasts'!AH$10</f>
        <v>0</v>
      </c>
      <c r="AI259" s="7">
        <f>IF(AI257&lt;0, 1, 0)*'BS Forecasts'!AI$10</f>
        <v>0</v>
      </c>
      <c r="AJ259" s="7">
        <f>IF(AJ257&lt;0, 1, 0)*'BS Forecasts'!AJ$10</f>
        <v>0</v>
      </c>
      <c r="AK259" s="7">
        <f>IF(AK257&lt;0, 1, 0)*'BS Forecasts'!AK$10</f>
        <v>0</v>
      </c>
      <c r="AL259" s="7">
        <f>IF(AL257&lt;0, 1, 0)*'BS Forecasts'!AL$10</f>
        <v>0</v>
      </c>
      <c r="AM259" s="7">
        <f>IF(AM257&lt;0, 1, 0)*'BS Forecasts'!AM$10</f>
        <v>0</v>
      </c>
      <c r="AN259" s="7">
        <f>IF(AN257&lt;0, 1, 0)*'BS Forecasts'!AN$10</f>
        <v>0</v>
      </c>
      <c r="AO259" s="7">
        <f>IF(AO257&lt;0, 1, 0)*'BS Forecasts'!AO$10</f>
        <v>0</v>
      </c>
      <c r="AP259" s="7">
        <f>IF(AP257&lt;0, 1, 0)*'BS Forecasts'!AP$10</f>
        <v>0</v>
      </c>
      <c r="AQ259" s="7">
        <f>IF(AQ257&lt;0, 1, 0)*'BS Forecasts'!AQ$10</f>
        <v>0</v>
      </c>
      <c r="AR259" s="7">
        <f>IF(AR257&lt;0, 1, 0)*'BS Forecasts'!AR$10</f>
        <v>0</v>
      </c>
      <c r="AS259" s="7">
        <f>IF(AS257&lt;0, 1, 0)*'BS Forecasts'!AS$10</f>
        <v>0</v>
      </c>
      <c r="AT259" s="7">
        <f>IF(AT257&lt;0, 1, 0)*'BS Forecasts'!AT$10</f>
        <v>0</v>
      </c>
      <c r="AU259" s="7">
        <f>IF(AU257&lt;0, 1, 0)*'BS Forecasts'!AU$10</f>
        <v>0</v>
      </c>
      <c r="AV259" s="7">
        <f>IF(AV257&lt;0, 1, 0)*'BS Forecasts'!AV$10</f>
        <v>0</v>
      </c>
      <c r="AW259" s="7">
        <f>IF(AW257&lt;0, 1, 0)*'BS Forecasts'!AW$10</f>
        <v>0</v>
      </c>
      <c r="AX259" s="7">
        <f>IF(AX257&lt;0, 1, 0)*'BS Forecasts'!AX$10</f>
        <v>0</v>
      </c>
      <c r="AY259" s="7">
        <f>IF(AY257&lt;0, 1, 0)*'BS Forecasts'!AY$10</f>
        <v>0</v>
      </c>
      <c r="AZ259" s="7">
        <f>IF(AZ257&lt;0, 1, 0)*'BS Forecasts'!AZ$10</f>
        <v>0</v>
      </c>
      <c r="BA259" s="7">
        <f>IF(BA257&lt;0, 1, 0)*'BS Forecasts'!BA$10</f>
        <v>0</v>
      </c>
      <c r="BB259" s="7">
        <f>IF(BB257&lt;0, 1, 0)*'BS Forecasts'!BB$10</f>
        <v>0</v>
      </c>
      <c r="BC259" s="7">
        <f>IF(BC257&lt;0, 1, 0)*'BS Forecasts'!BC$10</f>
        <v>0</v>
      </c>
      <c r="BD259" s="7">
        <f>IF(BD257&lt;0, 1, 0)*'BS Forecasts'!BD$10</f>
        <v>0</v>
      </c>
      <c r="BE259" s="7">
        <f>IF(BE257&lt;0, 1, 0)*'BS Forecasts'!BE$10</f>
        <v>0</v>
      </c>
      <c r="BF259" s="7">
        <f>IF(BF257&lt;0, 1, 0)*'BS Forecasts'!BF$10</f>
        <v>0</v>
      </c>
      <c r="BG259" s="7">
        <f>IF(BG257&lt;0, 1, 0)*'BS Forecasts'!BG$10</f>
        <v>0</v>
      </c>
      <c r="BH259" s="7">
        <f>IF(BH257&lt;0, 1, 0)*'BS Forecasts'!BH$10</f>
        <v>0</v>
      </c>
      <c r="BI259" s="7">
        <f>IF(BI257&lt;0, 1, 0)*'BS Forecasts'!BI$10</f>
        <v>0</v>
      </c>
      <c r="BJ259" s="7">
        <f>IF(BJ257&lt;0, 1, 0)*'BS Forecasts'!BJ$10</f>
        <v>0</v>
      </c>
      <c r="BX259" s="7">
        <f>IF(BX257&lt;0, 1, 0)*'BS Forecasts'!BX$10</f>
        <v>0</v>
      </c>
      <c r="BY259" s="7">
        <f>IF(BY257&lt;0, 1, 0)*'BS Forecasts'!BY$10</f>
        <v>0</v>
      </c>
      <c r="BZ259" s="7">
        <f>IF(BZ257&lt;0, 1, 0)*'BS Forecasts'!BZ$10</f>
        <v>0</v>
      </c>
      <c r="CA259" s="7">
        <f>IF(CA257&lt;0, 1, 0)*'BS Forecasts'!CA$10</f>
        <v>0</v>
      </c>
      <c r="CB259" s="7">
        <f>IF(CB257&lt;0, 1, 0)*'BS Forecasts'!CB$10</f>
        <v>0</v>
      </c>
      <c r="CC259" s="7">
        <f>IF(CC257&lt;0, 1, 0)*'BS Forecasts'!CC$10</f>
        <v>0</v>
      </c>
      <c r="CD259" s="7">
        <f>IF(CD257&lt;0, 1, 0)*'BS Forecasts'!CD$10</f>
        <v>0</v>
      </c>
      <c r="CE259" s="7">
        <f>IF(CE257&lt;0, 1, 0)*'BS Forecasts'!CE$10</f>
        <v>0</v>
      </c>
      <c r="CF259" s="7">
        <f>IF(CF257&lt;0, 1, 0)*'BS Forecasts'!CF$10</f>
        <v>0</v>
      </c>
      <c r="CG259" s="7">
        <f>IF(CG257&lt;0, 1, 0)*'BS Forecasts'!CG$10</f>
        <v>0</v>
      </c>
      <c r="CH259" s="7">
        <f>IF(CH257&lt;0, 1, 0)*'BS Forecasts'!CH$10</f>
        <v>0</v>
      </c>
      <c r="CI259" s="7">
        <f>IF(CI257&lt;0, 1, 0)*'BS Forecasts'!CI$10</f>
        <v>0</v>
      </c>
      <c r="CK259" s="11"/>
      <c r="CM259" s="11"/>
      <c r="CR259" s="7">
        <f>IF(SUM(V259:CI259)=0, 0, 1)</f>
        <v>0</v>
      </c>
      <c r="CZ259" s="650"/>
      <c r="DA259" s="35"/>
      <c r="DI259" s="35"/>
      <c r="DJ259">
        <v>0</v>
      </c>
      <c r="DK259">
        <v>0</v>
      </c>
      <c r="DL259" s="35"/>
      <c r="EZ259" s="10" t="str">
        <f>IF($C259="","",$D259)</f>
        <v/>
      </c>
    </row>
    <row r="260" spans="1:156" ht="6.75" customHeight="1" x14ac:dyDescent="0.35">
      <c r="C260" s="234"/>
      <c r="D260" s="1"/>
      <c r="E260"/>
      <c r="CK260" s="35"/>
      <c r="CM260" s="35"/>
      <c r="CZ260" s="650"/>
      <c r="DA260" s="35"/>
      <c r="DI260" s="35"/>
      <c r="DJ260">
        <v>0</v>
      </c>
      <c r="DK260">
        <v>0</v>
      </c>
      <c r="DL260" s="35"/>
      <c r="EZ260" s="10" t="str">
        <f>IF($C260="","",$D260)</f>
        <v/>
      </c>
    </row>
    <row r="261" spans="1:156" x14ac:dyDescent="0.35">
      <c r="B261" s="5"/>
      <c r="C261" s="234"/>
      <c r="D261" s="24" t="str">
        <f>'Opening Balances'!D14</f>
        <v>Investments</v>
      </c>
      <c r="E261"/>
      <c r="CK261" s="11"/>
      <c r="CM261" s="11"/>
      <c r="CZ261" s="650"/>
      <c r="DA261" s="35"/>
      <c r="DI261" s="35"/>
      <c r="DJ261">
        <v>0</v>
      </c>
      <c r="DK261">
        <v>0</v>
      </c>
      <c r="DL261" s="35"/>
      <c r="EZ261" s="10" t="str">
        <f>IF($C261="","",$D261)</f>
        <v/>
      </c>
    </row>
    <row r="262" spans="1:156" x14ac:dyDescent="0.35">
      <c r="C262" s="211" t="str">
        <f>CONCATENATE("II-",'Opening Balances'!$C$14)</f>
        <v>II-B-1e-OB</v>
      </c>
      <c r="D262" s="33" t="s">
        <v>890</v>
      </c>
      <c r="E262" s="33"/>
      <c r="G262" s="8"/>
      <c r="H262" s="9" t="s">
        <v>620</v>
      </c>
      <c r="V262" s="12">
        <f>'Opening Balances'!$V$14</f>
        <v>0</v>
      </c>
      <c r="W262" s="10">
        <f>V269</f>
        <v>0</v>
      </c>
      <c r="X262" s="10">
        <f>W269</f>
        <v>0</v>
      </c>
      <c r="Y262" s="10">
        <f>X269</f>
        <v>0</v>
      </c>
      <c r="AA262" s="10">
        <f>W262</f>
        <v>0</v>
      </c>
      <c r="AB262" s="10">
        <f t="shared" ref="AB262:BJ262" si="503">AA269</f>
        <v>0</v>
      </c>
      <c r="AC262" s="10">
        <f t="shared" si="503"/>
        <v>0</v>
      </c>
      <c r="AD262" s="10">
        <f t="shared" si="503"/>
        <v>0</v>
      </c>
      <c r="AE262" s="10">
        <f t="shared" si="503"/>
        <v>0</v>
      </c>
      <c r="AF262" s="10">
        <f t="shared" si="503"/>
        <v>0</v>
      </c>
      <c r="AG262" s="10">
        <f t="shared" si="503"/>
        <v>0</v>
      </c>
      <c r="AH262" s="10">
        <f t="shared" si="503"/>
        <v>0</v>
      </c>
      <c r="AI262" s="10">
        <f t="shared" si="503"/>
        <v>0</v>
      </c>
      <c r="AJ262" s="10">
        <f t="shared" si="503"/>
        <v>0</v>
      </c>
      <c r="AK262" s="10">
        <f t="shared" si="503"/>
        <v>0</v>
      </c>
      <c r="AL262" s="10">
        <f t="shared" si="503"/>
        <v>0</v>
      </c>
      <c r="AM262" s="10">
        <f t="shared" si="503"/>
        <v>0</v>
      </c>
      <c r="AN262" s="10">
        <f t="shared" si="503"/>
        <v>0</v>
      </c>
      <c r="AO262" s="10">
        <f t="shared" si="503"/>
        <v>0</v>
      </c>
      <c r="AP262" s="10">
        <f t="shared" si="503"/>
        <v>0</v>
      </c>
      <c r="AQ262" s="10">
        <f t="shared" si="503"/>
        <v>0</v>
      </c>
      <c r="AR262" s="10">
        <f t="shared" si="503"/>
        <v>0</v>
      </c>
      <c r="AS262" s="10">
        <f t="shared" si="503"/>
        <v>0</v>
      </c>
      <c r="AT262" s="10">
        <f t="shared" si="503"/>
        <v>0</v>
      </c>
      <c r="AU262" s="10">
        <f t="shared" si="503"/>
        <v>0</v>
      </c>
      <c r="AV262" s="10">
        <f t="shared" si="503"/>
        <v>0</v>
      </c>
      <c r="AW262" s="10">
        <f t="shared" si="503"/>
        <v>0</v>
      </c>
      <c r="AX262" s="10">
        <f t="shared" si="503"/>
        <v>0</v>
      </c>
      <c r="AY262" s="10">
        <f t="shared" si="503"/>
        <v>0</v>
      </c>
      <c r="AZ262" s="10">
        <f t="shared" si="503"/>
        <v>0</v>
      </c>
      <c r="BA262" s="10">
        <f t="shared" si="503"/>
        <v>0</v>
      </c>
      <c r="BB262" s="10">
        <f t="shared" si="503"/>
        <v>0</v>
      </c>
      <c r="BC262" s="10">
        <f t="shared" si="503"/>
        <v>0</v>
      </c>
      <c r="BD262" s="10">
        <f t="shared" si="503"/>
        <v>0</v>
      </c>
      <c r="BE262" s="10">
        <f t="shared" si="503"/>
        <v>0</v>
      </c>
      <c r="BF262" s="10">
        <f t="shared" si="503"/>
        <v>0</v>
      </c>
      <c r="BG262" s="10">
        <f t="shared" si="503"/>
        <v>0</v>
      </c>
      <c r="BH262" s="10">
        <f t="shared" si="503"/>
        <v>0</v>
      </c>
      <c r="BI262" s="10">
        <f t="shared" si="503"/>
        <v>0</v>
      </c>
      <c r="BJ262" s="10">
        <f t="shared" si="503"/>
        <v>0</v>
      </c>
      <c r="BX262" s="12">
        <f t="shared" ref="BX262:CA263" si="504">V262</f>
        <v>0</v>
      </c>
      <c r="BY262" s="12">
        <f t="shared" si="504"/>
        <v>0</v>
      </c>
      <c r="BZ262" s="12">
        <f t="shared" si="504"/>
        <v>0</v>
      </c>
      <c r="CA262" s="12">
        <f t="shared" si="504"/>
        <v>0</v>
      </c>
      <c r="CB262" s="10">
        <f t="shared" ref="CB262:CI262" si="505">CA269</f>
        <v>0</v>
      </c>
      <c r="CC262" s="10">
        <f t="shared" si="505"/>
        <v>0</v>
      </c>
      <c r="CD262" s="10">
        <f t="shared" si="505"/>
        <v>0</v>
      </c>
      <c r="CE262" s="10">
        <f t="shared" si="505"/>
        <v>0</v>
      </c>
      <c r="CF262" s="10">
        <f t="shared" si="505"/>
        <v>0</v>
      </c>
      <c r="CG262" s="10">
        <f t="shared" si="505"/>
        <v>0</v>
      </c>
      <c r="CH262" s="10">
        <f t="shared" si="505"/>
        <v>0</v>
      </c>
      <c r="CI262" s="10">
        <f t="shared" si="505"/>
        <v>0</v>
      </c>
      <c r="CK262" s="11"/>
      <c r="CM262" s="11"/>
      <c r="CZ262" s="650"/>
      <c r="DA262" s="35"/>
      <c r="DI262" s="35"/>
      <c r="DJ262">
        <v>0</v>
      </c>
      <c r="DK262">
        <v>0</v>
      </c>
      <c r="DL262" s="35"/>
      <c r="EZ262" s="12" t="str">
        <f t="shared" ref="EZ262:EZ269" si="506">IF($C262="","",CONCATENATE(D$261, " ",$D262))</f>
        <v>Investments Opening Balance</v>
      </c>
    </row>
    <row r="263" spans="1:156" x14ac:dyDescent="0.35">
      <c r="A263" s="220" cm="1">
        <f t="array" aca="1" ref="A263" ca="1">HYPERLINK(CONCATENATE("#",CELL("address",IF(MAX($CM263:$CZ263)=0,A263,INDEX($CM263:$CZ263,MATCH(1,$CM263:$CZ263,0))))),MAX($CM263:$CZ263))</f>
        <v>0</v>
      </c>
      <c r="C263" s="211" t="s">
        <v>929</v>
      </c>
      <c r="D263" s="33" t="s">
        <v>919</v>
      </c>
      <c r="E263" s="33"/>
      <c r="G263" s="8"/>
      <c r="H263" s="9" t="s">
        <v>620</v>
      </c>
      <c r="V263" s="109"/>
      <c r="W263" s="133">
        <f xml:space="preserve"> SUMIFS($AA263:$BJ263, $AA$3:$BJ$3, W$3)</f>
        <v>0</v>
      </c>
      <c r="X263" s="133">
        <f xml:space="preserve"> SUMIFS($AA263:$BJ263, $AA$3:$BJ$3, X$3)</f>
        <v>0</v>
      </c>
      <c r="Y263" s="133">
        <f xml:space="preserve"> SUMIFS($AA263:$BJ263, $AA$3:$BJ$3, Y$3)</f>
        <v>0</v>
      </c>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X263" s="12">
        <f t="shared" si="504"/>
        <v>0</v>
      </c>
      <c r="BY263" s="12">
        <f t="shared" si="504"/>
        <v>0</v>
      </c>
      <c r="BZ263" s="12">
        <f t="shared" si="504"/>
        <v>0</v>
      </c>
      <c r="CA263" s="12">
        <f t="shared" si="504"/>
        <v>0</v>
      </c>
      <c r="CB263" s="109"/>
      <c r="CC263" s="109"/>
      <c r="CD263" s="109"/>
      <c r="CE263" s="109"/>
      <c r="CF263" s="109"/>
      <c r="CG263" s="109"/>
      <c r="CH263" s="109"/>
      <c r="CI263" s="109"/>
      <c r="CK263" s="11"/>
      <c r="CL263" s="221">
        <f>IF(MIN($V263:$CI263)&lt;0, 1, 0)</f>
        <v>0</v>
      </c>
      <c r="CM263" s="11"/>
      <c r="CU263" s="7" cm="1">
        <f t="array" ref="CU263">SUMPRODUCT(--NOT(ISNUMBER(V263:CI263)),--NOT(ISBLANK(V263:CI263)))</f>
        <v>0</v>
      </c>
      <c r="CW263" s="7">
        <f t="shared" ref="CW263:CW269" si="507">IF(SUM($DB263:$DD263)=0, 0, 1)</f>
        <v>0</v>
      </c>
      <c r="CX263" s="7">
        <f t="shared" ref="CX263:CX269" si="508">IF(SUM($DE263:$DG263)=0, 0, 1)</f>
        <v>0</v>
      </c>
      <c r="CY263" s="7">
        <f t="shared" ref="CY263:CY269" si="509">IF($DH263=0, 0, 1)</f>
        <v>0</v>
      </c>
      <c r="CZ263" s="650"/>
      <c r="DA263" s="35"/>
      <c r="DB263" s="215">
        <f t="shared" ref="DB263:DD268" si="510">ROUND(W263-SUMIFS($AA263:$BJ263, $AA$3:$BJ$3, W$3), rounding)</f>
        <v>0</v>
      </c>
      <c r="DC263" s="215">
        <f t="shared" si="510"/>
        <v>0</v>
      </c>
      <c r="DD263" s="215">
        <f t="shared" si="510"/>
        <v>0</v>
      </c>
      <c r="DE263" s="215">
        <f t="shared" ref="DE263:DE268" si="511">ROUND($BY263-SUMIFS($AA263:$BJ263, $AA$3:$BJ$3, $BY$3), rounding)</f>
        <v>0</v>
      </c>
      <c r="DF263" s="215">
        <f t="shared" ref="DF263:DF268" si="512">ROUND($BZ263-SUMIFS($AA263:$BJ263, $AA$3:$BJ$3, $BZ$3), rounding)</f>
        <v>0</v>
      </c>
      <c r="DG263" s="215">
        <f t="shared" ref="DG263:DG268" si="513">ROUND($CA263-SUMIFS($AA263:$BJ263, $AA$3:$BJ$3, $CA$3), rounding)</f>
        <v>0</v>
      </c>
      <c r="DH263" s="215">
        <f t="shared" ref="DH263:DH269" si="514">ROUND($V263-$BX263, rounding)</f>
        <v>0</v>
      </c>
      <c r="DI263" s="35"/>
      <c r="DJ263">
        <v>1</v>
      </c>
      <c r="DK263">
        <v>1</v>
      </c>
      <c r="DL263" s="35"/>
      <c r="EZ263" s="12" t="str">
        <f t="shared" si="506"/>
        <v>Investments Additions</v>
      </c>
    </row>
    <row r="264" spans="1:156" x14ac:dyDescent="0.35">
      <c r="A264" s="220" cm="1">
        <f t="array" aca="1" ref="A264" ca="1">HYPERLINK(CONCATENATE("#",CELL("address",IF(MAX($CM264:$CZ264)=0,A264,INDEX($CM264:$CZ264,MATCH(1,$CM264:$CZ264,0))))),MAX($CM264:$CZ264))</f>
        <v>0</v>
      </c>
      <c r="C264" s="211" t="s">
        <v>930</v>
      </c>
      <c r="D264" s="33" t="s">
        <v>895</v>
      </c>
      <c r="E264" s="33"/>
      <c r="G264" s="8"/>
      <c r="H264" s="9" t="s">
        <v>403</v>
      </c>
      <c r="V264" s="10">
        <f>V$102</f>
        <v>0</v>
      </c>
      <c r="W264" s="10">
        <f>W$102</f>
        <v>0</v>
      </c>
      <c r="X264" s="10">
        <f>X$102</f>
        <v>0</v>
      </c>
      <c r="Y264" s="10">
        <f>Y$102</f>
        <v>0</v>
      </c>
      <c r="AA264" s="10">
        <f t="shared" ref="AA264:BJ264" si="515">AA$102</f>
        <v>0</v>
      </c>
      <c r="AB264" s="10">
        <f t="shared" si="515"/>
        <v>0</v>
      </c>
      <c r="AC264" s="10">
        <f t="shared" si="515"/>
        <v>0</v>
      </c>
      <c r="AD264" s="10">
        <f t="shared" si="515"/>
        <v>0</v>
      </c>
      <c r="AE264" s="10">
        <f t="shared" si="515"/>
        <v>0</v>
      </c>
      <c r="AF264" s="10">
        <f t="shared" si="515"/>
        <v>0</v>
      </c>
      <c r="AG264" s="10">
        <f t="shared" si="515"/>
        <v>0</v>
      </c>
      <c r="AH264" s="10">
        <f t="shared" si="515"/>
        <v>0</v>
      </c>
      <c r="AI264" s="10">
        <f t="shared" si="515"/>
        <v>0</v>
      </c>
      <c r="AJ264" s="10">
        <f t="shared" si="515"/>
        <v>0</v>
      </c>
      <c r="AK264" s="10">
        <f t="shared" si="515"/>
        <v>0</v>
      </c>
      <c r="AL264" s="10">
        <f t="shared" si="515"/>
        <v>0</v>
      </c>
      <c r="AM264" s="10">
        <f t="shared" si="515"/>
        <v>0</v>
      </c>
      <c r="AN264" s="10">
        <f t="shared" si="515"/>
        <v>0</v>
      </c>
      <c r="AO264" s="10">
        <f t="shared" si="515"/>
        <v>0</v>
      </c>
      <c r="AP264" s="10">
        <f t="shared" si="515"/>
        <v>0</v>
      </c>
      <c r="AQ264" s="10">
        <f t="shared" si="515"/>
        <v>0</v>
      </c>
      <c r="AR264" s="10">
        <f t="shared" si="515"/>
        <v>0</v>
      </c>
      <c r="AS264" s="10">
        <f t="shared" si="515"/>
        <v>0</v>
      </c>
      <c r="AT264" s="10">
        <f t="shared" si="515"/>
        <v>0</v>
      </c>
      <c r="AU264" s="10">
        <f t="shared" si="515"/>
        <v>0</v>
      </c>
      <c r="AV264" s="10">
        <f t="shared" si="515"/>
        <v>0</v>
      </c>
      <c r="AW264" s="10">
        <f t="shared" si="515"/>
        <v>0</v>
      </c>
      <c r="AX264" s="10">
        <f t="shared" si="515"/>
        <v>0</v>
      </c>
      <c r="AY264" s="10">
        <f t="shared" si="515"/>
        <v>0</v>
      </c>
      <c r="AZ264" s="10">
        <f t="shared" si="515"/>
        <v>0</v>
      </c>
      <c r="BA264" s="10">
        <f t="shared" si="515"/>
        <v>0</v>
      </c>
      <c r="BB264" s="10">
        <f t="shared" si="515"/>
        <v>0</v>
      </c>
      <c r="BC264" s="10">
        <f t="shared" si="515"/>
        <v>0</v>
      </c>
      <c r="BD264" s="10">
        <f t="shared" si="515"/>
        <v>0</v>
      </c>
      <c r="BE264" s="10">
        <f t="shared" si="515"/>
        <v>0</v>
      </c>
      <c r="BF264" s="10">
        <f t="shared" si="515"/>
        <v>0</v>
      </c>
      <c r="BG264" s="10">
        <f t="shared" si="515"/>
        <v>0</v>
      </c>
      <c r="BH264" s="10">
        <f t="shared" si="515"/>
        <v>0</v>
      </c>
      <c r="BI264" s="10">
        <f t="shared" si="515"/>
        <v>0</v>
      </c>
      <c r="BJ264" s="10">
        <f t="shared" si="515"/>
        <v>0</v>
      </c>
      <c r="BX264" s="10">
        <f t="shared" ref="BX264:CI264" si="516">BX$102</f>
        <v>0</v>
      </c>
      <c r="BY264" s="10">
        <f t="shared" si="516"/>
        <v>0</v>
      </c>
      <c r="BZ264" s="10">
        <f t="shared" si="516"/>
        <v>0</v>
      </c>
      <c r="CA264" s="10">
        <f t="shared" si="516"/>
        <v>0</v>
      </c>
      <c r="CB264" s="10">
        <f t="shared" si="516"/>
        <v>0</v>
      </c>
      <c r="CC264" s="10">
        <f t="shared" si="516"/>
        <v>0</v>
      </c>
      <c r="CD264" s="10">
        <f t="shared" si="516"/>
        <v>0</v>
      </c>
      <c r="CE264" s="10">
        <f t="shared" si="516"/>
        <v>0</v>
      </c>
      <c r="CF264" s="10">
        <f t="shared" si="516"/>
        <v>0</v>
      </c>
      <c r="CG264" s="10">
        <f t="shared" si="516"/>
        <v>0</v>
      </c>
      <c r="CH264" s="10">
        <f t="shared" si="516"/>
        <v>0</v>
      </c>
      <c r="CI264" s="10">
        <f t="shared" si="516"/>
        <v>0</v>
      </c>
      <c r="CK264" s="11"/>
      <c r="CM264" s="11"/>
      <c r="CW264" s="7">
        <f t="shared" si="507"/>
        <v>0</v>
      </c>
      <c r="CX264" s="7">
        <f t="shared" si="508"/>
        <v>0</v>
      </c>
      <c r="CY264" s="7">
        <f t="shared" si="509"/>
        <v>0</v>
      </c>
      <c r="CZ264" s="650"/>
      <c r="DA264" s="35"/>
      <c r="DB264" s="215">
        <f t="shared" si="510"/>
        <v>0</v>
      </c>
      <c r="DC264" s="215">
        <f t="shared" si="510"/>
        <v>0</v>
      </c>
      <c r="DD264" s="215">
        <f t="shared" si="510"/>
        <v>0</v>
      </c>
      <c r="DE264" s="215">
        <f t="shared" si="511"/>
        <v>0</v>
      </c>
      <c r="DF264" s="215">
        <f t="shared" si="512"/>
        <v>0</v>
      </c>
      <c r="DG264" s="215">
        <f t="shared" si="513"/>
        <v>0</v>
      </c>
      <c r="DH264" s="215">
        <f t="shared" si="514"/>
        <v>0</v>
      </c>
      <c r="DI264" s="35"/>
      <c r="DJ264">
        <v>0</v>
      </c>
      <c r="DK264">
        <v>0</v>
      </c>
      <c r="DL264" s="35"/>
      <c r="EZ264" s="12" t="str">
        <f t="shared" si="506"/>
        <v>Investments Surplus/Loss on Revaluation</v>
      </c>
    </row>
    <row r="265" spans="1:156" x14ac:dyDescent="0.35">
      <c r="A265" s="220" cm="1">
        <f t="array" aca="1" ref="A265" ca="1">HYPERLINK(CONCATENATE("#",CELL("address",IF(MAX($CM265:$CZ265)=0,A265,INDEX($CM265:$CZ265,MATCH(1,$CM265:$CZ265,0))))),MAX($CM265:$CZ265))</f>
        <v>0</v>
      </c>
      <c r="C265" s="211" t="s">
        <v>931</v>
      </c>
      <c r="D265" s="33" t="s">
        <v>841</v>
      </c>
      <c r="E265" s="33"/>
      <c r="G265" s="8"/>
      <c r="H265" s="9" t="s">
        <v>646</v>
      </c>
      <c r="V265" s="10">
        <f>V$128</f>
        <v>0</v>
      </c>
      <c r="W265" s="10">
        <f>W$128</f>
        <v>0</v>
      </c>
      <c r="X265" s="10">
        <f>X$128</f>
        <v>0</v>
      </c>
      <c r="Y265" s="10">
        <f>Y$128</f>
        <v>0</v>
      </c>
      <c r="AA265" s="10">
        <f t="shared" ref="AA265:BJ265" si="517">AA$128</f>
        <v>0</v>
      </c>
      <c r="AB265" s="10">
        <f t="shared" si="517"/>
        <v>0</v>
      </c>
      <c r="AC265" s="10">
        <f t="shared" si="517"/>
        <v>0</v>
      </c>
      <c r="AD265" s="10">
        <f t="shared" si="517"/>
        <v>0</v>
      </c>
      <c r="AE265" s="10">
        <f t="shared" si="517"/>
        <v>0</v>
      </c>
      <c r="AF265" s="10">
        <f t="shared" si="517"/>
        <v>0</v>
      </c>
      <c r="AG265" s="10">
        <f t="shared" si="517"/>
        <v>0</v>
      </c>
      <c r="AH265" s="10">
        <f t="shared" si="517"/>
        <v>0</v>
      </c>
      <c r="AI265" s="10">
        <f t="shared" si="517"/>
        <v>0</v>
      </c>
      <c r="AJ265" s="10">
        <f t="shared" si="517"/>
        <v>0</v>
      </c>
      <c r="AK265" s="10">
        <f t="shared" si="517"/>
        <v>0</v>
      </c>
      <c r="AL265" s="10">
        <f t="shared" si="517"/>
        <v>0</v>
      </c>
      <c r="AM265" s="10">
        <f t="shared" si="517"/>
        <v>0</v>
      </c>
      <c r="AN265" s="10">
        <f t="shared" si="517"/>
        <v>0</v>
      </c>
      <c r="AO265" s="10">
        <f t="shared" si="517"/>
        <v>0</v>
      </c>
      <c r="AP265" s="10">
        <f t="shared" si="517"/>
        <v>0</v>
      </c>
      <c r="AQ265" s="10">
        <f t="shared" si="517"/>
        <v>0</v>
      </c>
      <c r="AR265" s="10">
        <f t="shared" si="517"/>
        <v>0</v>
      </c>
      <c r="AS265" s="10">
        <f t="shared" si="517"/>
        <v>0</v>
      </c>
      <c r="AT265" s="10">
        <f t="shared" si="517"/>
        <v>0</v>
      </c>
      <c r="AU265" s="10">
        <f t="shared" si="517"/>
        <v>0</v>
      </c>
      <c r="AV265" s="10">
        <f t="shared" si="517"/>
        <v>0</v>
      </c>
      <c r="AW265" s="10">
        <f t="shared" si="517"/>
        <v>0</v>
      </c>
      <c r="AX265" s="10">
        <f t="shared" si="517"/>
        <v>0</v>
      </c>
      <c r="AY265" s="10">
        <f t="shared" si="517"/>
        <v>0</v>
      </c>
      <c r="AZ265" s="10">
        <f t="shared" si="517"/>
        <v>0</v>
      </c>
      <c r="BA265" s="10">
        <f t="shared" si="517"/>
        <v>0</v>
      </c>
      <c r="BB265" s="10">
        <f t="shared" si="517"/>
        <v>0</v>
      </c>
      <c r="BC265" s="10">
        <f t="shared" si="517"/>
        <v>0</v>
      </c>
      <c r="BD265" s="10">
        <f t="shared" si="517"/>
        <v>0</v>
      </c>
      <c r="BE265" s="10">
        <f t="shared" si="517"/>
        <v>0</v>
      </c>
      <c r="BF265" s="10">
        <f t="shared" si="517"/>
        <v>0</v>
      </c>
      <c r="BG265" s="10">
        <f t="shared" si="517"/>
        <v>0</v>
      </c>
      <c r="BH265" s="10">
        <f t="shared" si="517"/>
        <v>0</v>
      </c>
      <c r="BI265" s="10">
        <f t="shared" si="517"/>
        <v>0</v>
      </c>
      <c r="BJ265" s="10">
        <f t="shared" si="517"/>
        <v>0</v>
      </c>
      <c r="BX265" s="10">
        <f t="shared" ref="BX265:CI265" si="518">BX$128</f>
        <v>0</v>
      </c>
      <c r="BY265" s="10">
        <f t="shared" si="518"/>
        <v>0</v>
      </c>
      <c r="BZ265" s="10">
        <f t="shared" si="518"/>
        <v>0</v>
      </c>
      <c r="CA265" s="10">
        <f t="shared" si="518"/>
        <v>0</v>
      </c>
      <c r="CB265" s="10">
        <f t="shared" si="518"/>
        <v>0</v>
      </c>
      <c r="CC265" s="10">
        <f t="shared" si="518"/>
        <v>0</v>
      </c>
      <c r="CD265" s="10">
        <f t="shared" si="518"/>
        <v>0</v>
      </c>
      <c r="CE265" s="10">
        <f t="shared" si="518"/>
        <v>0</v>
      </c>
      <c r="CF265" s="10">
        <f t="shared" si="518"/>
        <v>0</v>
      </c>
      <c r="CG265" s="10">
        <f t="shared" si="518"/>
        <v>0</v>
      </c>
      <c r="CH265" s="10">
        <f t="shared" si="518"/>
        <v>0</v>
      </c>
      <c r="CI265" s="10">
        <f t="shared" si="518"/>
        <v>0</v>
      </c>
      <c r="CK265" s="11"/>
      <c r="CL265" s="221">
        <f>IF(MAX($V265:$CI265)&gt;0, 1, 0)</f>
        <v>0</v>
      </c>
      <c r="CM265" s="11"/>
      <c r="CW265" s="7">
        <f t="shared" si="507"/>
        <v>0</v>
      </c>
      <c r="CX265" s="7">
        <f t="shared" si="508"/>
        <v>0</v>
      </c>
      <c r="CY265" s="7">
        <f t="shared" si="509"/>
        <v>0</v>
      </c>
      <c r="CZ265" s="650"/>
      <c r="DA265" s="35"/>
      <c r="DB265" s="215">
        <f t="shared" si="510"/>
        <v>0</v>
      </c>
      <c r="DC265" s="215">
        <f t="shared" si="510"/>
        <v>0</v>
      </c>
      <c r="DD265" s="215">
        <f t="shared" si="510"/>
        <v>0</v>
      </c>
      <c r="DE265" s="215">
        <f t="shared" si="511"/>
        <v>0</v>
      </c>
      <c r="DF265" s="215">
        <f t="shared" si="512"/>
        <v>0</v>
      </c>
      <c r="DG265" s="215">
        <f t="shared" si="513"/>
        <v>0</v>
      </c>
      <c r="DH265" s="215">
        <f t="shared" si="514"/>
        <v>0</v>
      </c>
      <c r="DI265" s="35"/>
      <c r="DJ265">
        <v>0</v>
      </c>
      <c r="DK265">
        <v>0</v>
      </c>
      <c r="DL265" s="35"/>
      <c r="EZ265" s="12" t="str">
        <f t="shared" si="506"/>
        <v>Investments Moved to Assets Held for Sale</v>
      </c>
    </row>
    <row r="266" spans="1:156" x14ac:dyDescent="0.35">
      <c r="A266" s="220" cm="1">
        <f t="array" aca="1" ref="A266" ca="1">HYPERLINK(CONCATENATE("#",CELL("address",IF(MAX($CM266:$CZ266)=0,A266,INDEX($CM266:$CZ266,MATCH(1,$CM266:$CZ266,0))))),MAX($CM266:$CZ266))</f>
        <v>0</v>
      </c>
      <c r="C266" s="211" t="s">
        <v>932</v>
      </c>
      <c r="D266" s="33" t="s">
        <v>860</v>
      </c>
      <c r="E266" s="33"/>
      <c r="G266" s="8"/>
      <c r="H266" s="9" t="s">
        <v>646</v>
      </c>
      <c r="V266" s="10">
        <f>V$188</f>
        <v>0</v>
      </c>
      <c r="W266" s="10">
        <f>W$188</f>
        <v>0</v>
      </c>
      <c r="X266" s="10">
        <f>X$188</f>
        <v>0</v>
      </c>
      <c r="Y266" s="10">
        <f>Y$188</f>
        <v>0</v>
      </c>
      <c r="AA266" s="10">
        <f t="shared" ref="AA266:BJ266" si="519">AA$188</f>
        <v>0</v>
      </c>
      <c r="AB266" s="10">
        <f t="shared" si="519"/>
        <v>0</v>
      </c>
      <c r="AC266" s="10">
        <f t="shared" si="519"/>
        <v>0</v>
      </c>
      <c r="AD266" s="10">
        <f t="shared" si="519"/>
        <v>0</v>
      </c>
      <c r="AE266" s="10">
        <f t="shared" si="519"/>
        <v>0</v>
      </c>
      <c r="AF266" s="10">
        <f t="shared" si="519"/>
        <v>0</v>
      </c>
      <c r="AG266" s="10">
        <f t="shared" si="519"/>
        <v>0</v>
      </c>
      <c r="AH266" s="10">
        <f t="shared" si="519"/>
        <v>0</v>
      </c>
      <c r="AI266" s="10">
        <f t="shared" si="519"/>
        <v>0</v>
      </c>
      <c r="AJ266" s="10">
        <f t="shared" si="519"/>
        <v>0</v>
      </c>
      <c r="AK266" s="10">
        <f t="shared" si="519"/>
        <v>0</v>
      </c>
      <c r="AL266" s="10">
        <f t="shared" si="519"/>
        <v>0</v>
      </c>
      <c r="AM266" s="10">
        <f t="shared" si="519"/>
        <v>0</v>
      </c>
      <c r="AN266" s="10">
        <f t="shared" si="519"/>
        <v>0</v>
      </c>
      <c r="AO266" s="10">
        <f t="shared" si="519"/>
        <v>0</v>
      </c>
      <c r="AP266" s="10">
        <f t="shared" si="519"/>
        <v>0</v>
      </c>
      <c r="AQ266" s="10">
        <f t="shared" si="519"/>
        <v>0</v>
      </c>
      <c r="AR266" s="10">
        <f t="shared" si="519"/>
        <v>0</v>
      </c>
      <c r="AS266" s="10">
        <f t="shared" si="519"/>
        <v>0</v>
      </c>
      <c r="AT266" s="10">
        <f t="shared" si="519"/>
        <v>0</v>
      </c>
      <c r="AU266" s="10">
        <f t="shared" si="519"/>
        <v>0</v>
      </c>
      <c r="AV266" s="10">
        <f t="shared" si="519"/>
        <v>0</v>
      </c>
      <c r="AW266" s="10">
        <f t="shared" si="519"/>
        <v>0</v>
      </c>
      <c r="AX266" s="10">
        <f t="shared" si="519"/>
        <v>0</v>
      </c>
      <c r="AY266" s="10">
        <f t="shared" si="519"/>
        <v>0</v>
      </c>
      <c r="AZ266" s="10">
        <f t="shared" si="519"/>
        <v>0</v>
      </c>
      <c r="BA266" s="10">
        <f t="shared" si="519"/>
        <v>0</v>
      </c>
      <c r="BB266" s="10">
        <f t="shared" si="519"/>
        <v>0</v>
      </c>
      <c r="BC266" s="10">
        <f t="shared" si="519"/>
        <v>0</v>
      </c>
      <c r="BD266" s="10">
        <f t="shared" si="519"/>
        <v>0</v>
      </c>
      <c r="BE266" s="10">
        <f t="shared" si="519"/>
        <v>0</v>
      </c>
      <c r="BF266" s="10">
        <f t="shared" si="519"/>
        <v>0</v>
      </c>
      <c r="BG266" s="10">
        <f t="shared" si="519"/>
        <v>0</v>
      </c>
      <c r="BH266" s="10">
        <f t="shared" si="519"/>
        <v>0</v>
      </c>
      <c r="BI266" s="10">
        <f t="shared" si="519"/>
        <v>0</v>
      </c>
      <c r="BJ266" s="10">
        <f t="shared" si="519"/>
        <v>0</v>
      </c>
      <c r="BX266" s="10">
        <f t="shared" ref="BX266:CI266" si="520">BX$188</f>
        <v>0</v>
      </c>
      <c r="BY266" s="10">
        <f t="shared" si="520"/>
        <v>0</v>
      </c>
      <c r="BZ266" s="10">
        <f t="shared" si="520"/>
        <v>0</v>
      </c>
      <c r="CA266" s="10">
        <f t="shared" si="520"/>
        <v>0</v>
      </c>
      <c r="CB266" s="10">
        <f t="shared" si="520"/>
        <v>0</v>
      </c>
      <c r="CC266" s="10">
        <f t="shared" si="520"/>
        <v>0</v>
      </c>
      <c r="CD266" s="10">
        <f t="shared" si="520"/>
        <v>0</v>
      </c>
      <c r="CE266" s="10">
        <f t="shared" si="520"/>
        <v>0</v>
      </c>
      <c r="CF266" s="10">
        <f t="shared" si="520"/>
        <v>0</v>
      </c>
      <c r="CG266" s="10">
        <f t="shared" si="520"/>
        <v>0</v>
      </c>
      <c r="CH266" s="10">
        <f t="shared" si="520"/>
        <v>0</v>
      </c>
      <c r="CI266" s="10">
        <f t="shared" si="520"/>
        <v>0</v>
      </c>
      <c r="CK266" s="11"/>
      <c r="CL266" s="221">
        <f>IF(MAX($V266:$CI266)&gt;0, 1, 0)</f>
        <v>0</v>
      </c>
      <c r="CM266" s="11"/>
      <c r="CW266" s="7">
        <f t="shared" si="507"/>
        <v>0</v>
      </c>
      <c r="CX266" s="7">
        <f t="shared" si="508"/>
        <v>0</v>
      </c>
      <c r="CY266" s="7">
        <f t="shared" si="509"/>
        <v>0</v>
      </c>
      <c r="CZ266" s="650"/>
      <c r="DA266" s="35"/>
      <c r="DB266" s="215">
        <f t="shared" si="510"/>
        <v>0</v>
      </c>
      <c r="DC266" s="215">
        <f t="shared" si="510"/>
        <v>0</v>
      </c>
      <c r="DD266" s="215">
        <f t="shared" si="510"/>
        <v>0</v>
      </c>
      <c r="DE266" s="215">
        <f t="shared" si="511"/>
        <v>0</v>
      </c>
      <c r="DF266" s="215">
        <f t="shared" si="512"/>
        <v>0</v>
      </c>
      <c r="DG266" s="215">
        <f t="shared" si="513"/>
        <v>0</v>
      </c>
      <c r="DH266" s="215">
        <f t="shared" si="514"/>
        <v>0</v>
      </c>
      <c r="DI266" s="35"/>
      <c r="DJ266">
        <v>0</v>
      </c>
      <c r="DK266">
        <v>0</v>
      </c>
      <c r="DL266" s="35"/>
      <c r="EZ266" s="12" t="str">
        <f t="shared" si="506"/>
        <v>Investments Disposals</v>
      </c>
    </row>
    <row r="267" spans="1:156" x14ac:dyDescent="0.35">
      <c r="A267" s="220" cm="1">
        <f t="array" aca="1" ref="A267" ca="1">HYPERLINK(CONCATENATE("#",CELL("address",IF(MAX($CM267:$CZ267)=0,A267,INDEX($CM267:$CZ267,MATCH(1,$CM267:$CZ267,0))))),MAX($CM267:$CZ267))</f>
        <v>0</v>
      </c>
      <c r="C267" s="211" t="s">
        <v>933</v>
      </c>
      <c r="D267" s="1" t="s">
        <v>901</v>
      </c>
      <c r="E267" s="85" t="s">
        <v>122</v>
      </c>
      <c r="G267" s="8"/>
      <c r="H267" s="9" t="s">
        <v>403</v>
      </c>
      <c r="V267" s="109"/>
      <c r="W267" s="133">
        <f xml:space="preserve"> SUMIFS($AA267:$BJ267, $AA$3:$BJ$3, W$3)</f>
        <v>0</v>
      </c>
      <c r="X267" s="133">
        <f xml:space="preserve"> SUMIFS($AA267:$BJ267, $AA$3:$BJ$3, X$3)</f>
        <v>0</v>
      </c>
      <c r="Y267" s="133">
        <f xml:space="preserve"> SUMIFS($AA267:$BJ267, $AA$3:$BJ$3, Y$3)</f>
        <v>0</v>
      </c>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X267" s="12">
        <f>V267</f>
        <v>0</v>
      </c>
      <c r="BY267" s="12">
        <f>W267</f>
        <v>0</v>
      </c>
      <c r="BZ267" s="12">
        <f>X267</f>
        <v>0</v>
      </c>
      <c r="CA267" s="12">
        <f>Y267</f>
        <v>0</v>
      </c>
      <c r="CB267" s="109"/>
      <c r="CC267" s="109"/>
      <c r="CD267" s="109"/>
      <c r="CE267" s="109"/>
      <c r="CF267" s="109"/>
      <c r="CG267" s="109"/>
      <c r="CH267" s="109"/>
      <c r="CI267" s="109"/>
      <c r="CK267" s="11"/>
      <c r="CM267" s="11"/>
      <c r="CU267" s="7" cm="1">
        <f t="array" ref="CU267">SUMPRODUCT(--NOT(ISNUMBER(V267:CI267)),--NOT(ISBLANK(V267:CI267)))</f>
        <v>0</v>
      </c>
      <c r="CW267" s="7">
        <f t="shared" si="507"/>
        <v>0</v>
      </c>
      <c r="CX267" s="7">
        <f t="shared" si="508"/>
        <v>0</v>
      </c>
      <c r="CY267" s="7">
        <f t="shared" si="509"/>
        <v>0</v>
      </c>
      <c r="CZ267" s="650"/>
      <c r="DA267" s="35"/>
      <c r="DB267" s="215">
        <f t="shared" si="510"/>
        <v>0</v>
      </c>
      <c r="DC267" s="215">
        <f t="shared" si="510"/>
        <v>0</v>
      </c>
      <c r="DD267" s="215">
        <f t="shared" si="510"/>
        <v>0</v>
      </c>
      <c r="DE267" s="215">
        <f t="shared" si="511"/>
        <v>0</v>
      </c>
      <c r="DF267" s="215">
        <f t="shared" si="512"/>
        <v>0</v>
      </c>
      <c r="DG267" s="215">
        <f t="shared" si="513"/>
        <v>0</v>
      </c>
      <c r="DH267" s="215">
        <f t="shared" si="514"/>
        <v>0</v>
      </c>
      <c r="DI267" s="35"/>
      <c r="DJ267">
        <v>1</v>
      </c>
      <c r="DK267">
        <v>1</v>
      </c>
      <c r="DL267" s="35"/>
      <c r="EZ267" s="12" t="str">
        <f t="shared" si="506"/>
        <v>Investments Movement due to mergers</v>
      </c>
    </row>
    <row r="268" spans="1:156" x14ac:dyDescent="0.35">
      <c r="A268" s="220" cm="1">
        <f t="array" aca="1" ref="A268" ca="1">HYPERLINK(CONCATENATE("#",CELL("address",IF(MAX($CM268:$CZ268)=0,A268,INDEX($CM268:$CZ268,MATCH(1,$CM268:$CZ268,0))))),MAX($CM268:$CZ268))</f>
        <v>0</v>
      </c>
      <c r="C268" s="211" t="s">
        <v>934</v>
      </c>
      <c r="D268" s="33" t="s">
        <v>903</v>
      </c>
      <c r="E268" s="33" t="s">
        <v>904</v>
      </c>
      <c r="G268" s="8"/>
      <c r="H268" s="9" t="s">
        <v>646</v>
      </c>
      <c r="V268" s="10">
        <f>V$351</f>
        <v>0</v>
      </c>
      <c r="W268" s="10">
        <f>W$351</f>
        <v>0</v>
      </c>
      <c r="X268" s="10">
        <f>X$351</f>
        <v>0</v>
      </c>
      <c r="Y268" s="10">
        <f>Y$351</f>
        <v>0</v>
      </c>
      <c r="AA268" s="10">
        <f t="shared" ref="AA268:BJ268" si="521">AA$351</f>
        <v>0</v>
      </c>
      <c r="AB268" s="10">
        <f t="shared" si="521"/>
        <v>0</v>
      </c>
      <c r="AC268" s="10">
        <f t="shared" si="521"/>
        <v>0</v>
      </c>
      <c r="AD268" s="10">
        <f t="shared" si="521"/>
        <v>0</v>
      </c>
      <c r="AE268" s="10">
        <f t="shared" si="521"/>
        <v>0</v>
      </c>
      <c r="AF268" s="10">
        <f t="shared" si="521"/>
        <v>0</v>
      </c>
      <c r="AG268" s="10">
        <f t="shared" si="521"/>
        <v>0</v>
      </c>
      <c r="AH268" s="10">
        <f t="shared" si="521"/>
        <v>0</v>
      </c>
      <c r="AI268" s="10">
        <f t="shared" si="521"/>
        <v>0</v>
      </c>
      <c r="AJ268" s="10">
        <f t="shared" si="521"/>
        <v>0</v>
      </c>
      <c r="AK268" s="10">
        <f t="shared" si="521"/>
        <v>0</v>
      </c>
      <c r="AL268" s="10">
        <f t="shared" si="521"/>
        <v>0</v>
      </c>
      <c r="AM268" s="10">
        <f t="shared" si="521"/>
        <v>0</v>
      </c>
      <c r="AN268" s="10">
        <f t="shared" si="521"/>
        <v>0</v>
      </c>
      <c r="AO268" s="10">
        <f t="shared" si="521"/>
        <v>0</v>
      </c>
      <c r="AP268" s="10">
        <f t="shared" si="521"/>
        <v>0</v>
      </c>
      <c r="AQ268" s="10">
        <f t="shared" si="521"/>
        <v>0</v>
      </c>
      <c r="AR268" s="10">
        <f t="shared" si="521"/>
        <v>0</v>
      </c>
      <c r="AS268" s="10">
        <f t="shared" si="521"/>
        <v>0</v>
      </c>
      <c r="AT268" s="10">
        <f t="shared" si="521"/>
        <v>0</v>
      </c>
      <c r="AU268" s="10">
        <f t="shared" si="521"/>
        <v>0</v>
      </c>
      <c r="AV268" s="10">
        <f t="shared" si="521"/>
        <v>0</v>
      </c>
      <c r="AW268" s="10">
        <f t="shared" si="521"/>
        <v>0</v>
      </c>
      <c r="AX268" s="10">
        <f t="shared" si="521"/>
        <v>0</v>
      </c>
      <c r="AY268" s="10">
        <f t="shared" si="521"/>
        <v>0</v>
      </c>
      <c r="AZ268" s="10">
        <f t="shared" si="521"/>
        <v>0</v>
      </c>
      <c r="BA268" s="10">
        <f t="shared" si="521"/>
        <v>0</v>
      </c>
      <c r="BB268" s="10">
        <f t="shared" si="521"/>
        <v>0</v>
      </c>
      <c r="BC268" s="10">
        <f t="shared" si="521"/>
        <v>0</v>
      </c>
      <c r="BD268" s="10">
        <f t="shared" si="521"/>
        <v>0</v>
      </c>
      <c r="BE268" s="10">
        <f t="shared" si="521"/>
        <v>0</v>
      </c>
      <c r="BF268" s="10">
        <f t="shared" si="521"/>
        <v>0</v>
      </c>
      <c r="BG268" s="10">
        <f t="shared" si="521"/>
        <v>0</v>
      </c>
      <c r="BH268" s="10">
        <f t="shared" si="521"/>
        <v>0</v>
      </c>
      <c r="BI268" s="10">
        <f t="shared" si="521"/>
        <v>0</v>
      </c>
      <c r="BJ268" s="10">
        <f t="shared" si="521"/>
        <v>0</v>
      </c>
      <c r="BX268" s="10">
        <f t="shared" ref="BX268:CI268" si="522">BX$351</f>
        <v>0</v>
      </c>
      <c r="BY268" s="10">
        <f t="shared" si="522"/>
        <v>0</v>
      </c>
      <c r="BZ268" s="10">
        <f t="shared" si="522"/>
        <v>0</v>
      </c>
      <c r="CA268" s="10">
        <f t="shared" si="522"/>
        <v>0</v>
      </c>
      <c r="CB268" s="10">
        <f t="shared" si="522"/>
        <v>0</v>
      </c>
      <c r="CC268" s="10">
        <f t="shared" si="522"/>
        <v>0</v>
      </c>
      <c r="CD268" s="10">
        <f t="shared" si="522"/>
        <v>0</v>
      </c>
      <c r="CE268" s="10">
        <f t="shared" si="522"/>
        <v>0</v>
      </c>
      <c r="CF268" s="10">
        <f t="shared" si="522"/>
        <v>0</v>
      </c>
      <c r="CG268" s="10">
        <f t="shared" si="522"/>
        <v>0</v>
      </c>
      <c r="CH268" s="10">
        <f t="shared" si="522"/>
        <v>0</v>
      </c>
      <c r="CI268" s="10">
        <f t="shared" si="522"/>
        <v>0</v>
      </c>
      <c r="CK268" s="11"/>
      <c r="CM268" s="11"/>
      <c r="CW268" s="7">
        <f t="shared" si="507"/>
        <v>0</v>
      </c>
      <c r="CX268" s="7">
        <f t="shared" si="508"/>
        <v>0</v>
      </c>
      <c r="CY268" s="7">
        <f t="shared" si="509"/>
        <v>0</v>
      </c>
      <c r="CZ268" s="650"/>
      <c r="DA268" s="35"/>
      <c r="DB268" s="215">
        <f t="shared" si="510"/>
        <v>0</v>
      </c>
      <c r="DC268" s="215">
        <f t="shared" si="510"/>
        <v>0</v>
      </c>
      <c r="DD268" s="215">
        <f t="shared" si="510"/>
        <v>0</v>
      </c>
      <c r="DE268" s="215">
        <f t="shared" si="511"/>
        <v>0</v>
      </c>
      <c r="DF268" s="215">
        <f t="shared" si="512"/>
        <v>0</v>
      </c>
      <c r="DG268" s="215">
        <f t="shared" si="513"/>
        <v>0</v>
      </c>
      <c r="DH268" s="215">
        <f t="shared" si="514"/>
        <v>0</v>
      </c>
      <c r="DI268" s="35"/>
      <c r="DJ268">
        <v>0</v>
      </c>
      <c r="DK268">
        <v>0</v>
      </c>
      <c r="DL268" s="35"/>
      <c r="EZ268" s="12" t="str">
        <f t="shared" si="506"/>
        <v>Investments NCA Reclassification</v>
      </c>
    </row>
    <row r="269" spans="1:156" x14ac:dyDescent="0.35">
      <c r="A269" s="220" cm="1">
        <f t="array" aca="1" ref="A269" ca="1">HYPERLINK(CONCATENATE("#",CELL("address",IF(MAX($CM269:$CZ269)=0,A269,INDEX($CM269:$CZ269,MATCH(1,$CM269:$CZ269,0))))),MAX($CM269:$CZ269))</f>
        <v>0</v>
      </c>
      <c r="C269" s="211" t="s">
        <v>935</v>
      </c>
      <c r="D269" s="33" t="s">
        <v>906</v>
      </c>
      <c r="E269" s="215">
        <f>ROUND(V269-SUM(V262:V268), rounding)*'Fin Stat'!$V$9</f>
        <v>0</v>
      </c>
      <c r="G269" s="8"/>
      <c r="V269" s="12">
        <f>'Opening Balances'!$W$14</f>
        <v>0</v>
      </c>
      <c r="W269" s="10">
        <f>SUM(W262:W268)</f>
        <v>0</v>
      </c>
      <c r="X269" s="10">
        <f>SUM(X262:X268)</f>
        <v>0</v>
      </c>
      <c r="Y269" s="10">
        <f>SUM(Y262:Y268)</f>
        <v>0</v>
      </c>
      <c r="AA269" s="10">
        <f t="shared" ref="AA269:BJ269" si="523">SUM(AA262:AA268)</f>
        <v>0</v>
      </c>
      <c r="AB269" s="10">
        <f t="shared" si="523"/>
        <v>0</v>
      </c>
      <c r="AC269" s="10">
        <f t="shared" si="523"/>
        <v>0</v>
      </c>
      <c r="AD269" s="10">
        <f t="shared" si="523"/>
        <v>0</v>
      </c>
      <c r="AE269" s="10">
        <f t="shared" si="523"/>
        <v>0</v>
      </c>
      <c r="AF269" s="10">
        <f t="shared" si="523"/>
        <v>0</v>
      </c>
      <c r="AG269" s="10">
        <f t="shared" si="523"/>
        <v>0</v>
      </c>
      <c r="AH269" s="10">
        <f t="shared" si="523"/>
        <v>0</v>
      </c>
      <c r="AI269" s="10">
        <f t="shared" si="523"/>
        <v>0</v>
      </c>
      <c r="AJ269" s="10">
        <f t="shared" si="523"/>
        <v>0</v>
      </c>
      <c r="AK269" s="10">
        <f t="shared" si="523"/>
        <v>0</v>
      </c>
      <c r="AL269" s="10">
        <f t="shared" si="523"/>
        <v>0</v>
      </c>
      <c r="AM269" s="10">
        <f t="shared" si="523"/>
        <v>0</v>
      </c>
      <c r="AN269" s="10">
        <f t="shared" si="523"/>
        <v>0</v>
      </c>
      <c r="AO269" s="10">
        <f t="shared" si="523"/>
        <v>0</v>
      </c>
      <c r="AP269" s="10">
        <f t="shared" si="523"/>
        <v>0</v>
      </c>
      <c r="AQ269" s="10">
        <f t="shared" si="523"/>
        <v>0</v>
      </c>
      <c r="AR269" s="10">
        <f t="shared" si="523"/>
        <v>0</v>
      </c>
      <c r="AS269" s="10">
        <f t="shared" si="523"/>
        <v>0</v>
      </c>
      <c r="AT269" s="10">
        <f t="shared" si="523"/>
        <v>0</v>
      </c>
      <c r="AU269" s="10">
        <f t="shared" si="523"/>
        <v>0</v>
      </c>
      <c r="AV269" s="10">
        <f t="shared" si="523"/>
        <v>0</v>
      </c>
      <c r="AW269" s="10">
        <f t="shared" si="523"/>
        <v>0</v>
      </c>
      <c r="AX269" s="10">
        <f t="shared" si="523"/>
        <v>0</v>
      </c>
      <c r="AY269" s="10">
        <f t="shared" si="523"/>
        <v>0</v>
      </c>
      <c r="AZ269" s="10">
        <f t="shared" si="523"/>
        <v>0</v>
      </c>
      <c r="BA269" s="10">
        <f t="shared" si="523"/>
        <v>0</v>
      </c>
      <c r="BB269" s="10">
        <f t="shared" si="523"/>
        <v>0</v>
      </c>
      <c r="BC269" s="10">
        <f t="shared" si="523"/>
        <v>0</v>
      </c>
      <c r="BD269" s="10">
        <f t="shared" si="523"/>
        <v>0</v>
      </c>
      <c r="BE269" s="10">
        <f t="shared" si="523"/>
        <v>0</v>
      </c>
      <c r="BF269" s="10">
        <f t="shared" si="523"/>
        <v>0</v>
      </c>
      <c r="BG269" s="10">
        <f t="shared" si="523"/>
        <v>0</v>
      </c>
      <c r="BH269" s="10">
        <f t="shared" si="523"/>
        <v>0</v>
      </c>
      <c r="BI269" s="10">
        <f t="shared" si="523"/>
        <v>0</v>
      </c>
      <c r="BJ269" s="10">
        <f t="shared" si="523"/>
        <v>0</v>
      </c>
      <c r="BX269" s="12">
        <f>V269</f>
        <v>0</v>
      </c>
      <c r="BY269" s="10">
        <f t="shared" ref="BY269:CI269" si="524">SUM(BY262:BY268)</f>
        <v>0</v>
      </c>
      <c r="BZ269" s="10">
        <f t="shared" si="524"/>
        <v>0</v>
      </c>
      <c r="CA269" s="10">
        <f t="shared" si="524"/>
        <v>0</v>
      </c>
      <c r="CB269" s="10">
        <f t="shared" si="524"/>
        <v>0</v>
      </c>
      <c r="CC269" s="10">
        <f t="shared" si="524"/>
        <v>0</v>
      </c>
      <c r="CD269" s="10">
        <f t="shared" si="524"/>
        <v>0</v>
      </c>
      <c r="CE269" s="10">
        <f t="shared" si="524"/>
        <v>0</v>
      </c>
      <c r="CF269" s="10">
        <f t="shared" si="524"/>
        <v>0</v>
      </c>
      <c r="CG269" s="10">
        <f t="shared" si="524"/>
        <v>0</v>
      </c>
      <c r="CH269" s="10">
        <f t="shared" si="524"/>
        <v>0</v>
      </c>
      <c r="CI269" s="10">
        <f t="shared" si="524"/>
        <v>0</v>
      </c>
      <c r="CK269" s="11"/>
      <c r="CM269" s="11"/>
      <c r="CS269" s="7">
        <f>IF(ABS($E269)&gt;Parameters!$D$33, 1, 0)</f>
        <v>0</v>
      </c>
      <c r="CW269" s="7">
        <f t="shared" si="507"/>
        <v>0</v>
      </c>
      <c r="CX269" s="7">
        <f t="shared" si="508"/>
        <v>0</v>
      </c>
      <c r="CY269" s="7">
        <f t="shared" si="509"/>
        <v>0</v>
      </c>
      <c r="CZ269" s="650"/>
      <c r="DA269" s="35"/>
      <c r="DB269" s="215">
        <f>ROUND(W269-INDEX($AA269:$BJ269, MATCH(W$5,$AA$5:$BJ$5,0)), rounding)</f>
        <v>0</v>
      </c>
      <c r="DC269" s="215">
        <f>ROUND(X269-INDEX($AA269:$BJ269, MATCH(X$5,$AA$5:$BJ$5,0)), rounding)</f>
        <v>0</v>
      </c>
      <c r="DD269" s="215">
        <f>ROUND(Y269-INDEX($AA269:$BJ269, MATCH(Y$5,$AA$5:$BJ$5,0)), rounding)</f>
        <v>0</v>
      </c>
      <c r="DE269" s="215">
        <f>ROUND(BY269-INDEX($AA269:$BJ269, MATCH(BY$5,$AA$5:$BJ$5,0)), rounding)</f>
        <v>0</v>
      </c>
      <c r="DF269" s="215">
        <f>ROUND(BZ269-INDEX($AA269:$BJ269, MATCH(BZ$5,$AA$5:$BJ$5,0)), rounding)</f>
        <v>0</v>
      </c>
      <c r="DG269" s="215">
        <f>ROUND(CA269-INDEX($AA269:$BJ269, MATCH(CA$5,$AA$5:$BJ$5,0)), rounding)</f>
        <v>0</v>
      </c>
      <c r="DH269" s="215">
        <f t="shared" si="514"/>
        <v>0</v>
      </c>
      <c r="DI269" s="35"/>
      <c r="DJ269">
        <v>0</v>
      </c>
      <c r="DK269">
        <v>0</v>
      </c>
      <c r="DL269" s="35"/>
      <c r="EZ269" s="12" t="str">
        <f t="shared" si="506"/>
        <v>Investments Closing Balance</v>
      </c>
    </row>
    <row r="270" spans="1:156" ht="6.75" customHeight="1" x14ac:dyDescent="0.35">
      <c r="C270" s="234"/>
      <c r="D270" s="1"/>
      <c r="E270"/>
      <c r="BY270" s="6"/>
      <c r="CK270" s="35"/>
      <c r="CM270" s="35"/>
      <c r="CZ270" s="650"/>
      <c r="DA270" s="35"/>
      <c r="DI270" s="35"/>
      <c r="DJ270">
        <v>0</v>
      </c>
      <c r="DK270">
        <v>0</v>
      </c>
      <c r="DL270" s="35"/>
      <c r="EZ270" s="10" t="str">
        <f>IF($C270="","",$D270)</f>
        <v/>
      </c>
    </row>
    <row r="271" spans="1:156" x14ac:dyDescent="0.35">
      <c r="A271" s="220" cm="1">
        <f t="array" aca="1" ref="A271" ca="1">HYPERLINK(CONCATENATE("#",CELL("address",IF(MAX($CM271:$CZ271)=0,A271,INDEX($CM271:$CZ271,MATCH(1,$CM271:$CZ271,0))))),MAX($CM271:$CZ271))</f>
        <v>0</v>
      </c>
      <c r="C271" s="234"/>
      <c r="D271" s="1" t="s">
        <v>936</v>
      </c>
      <c r="E271"/>
      <c r="V271" s="7">
        <f>IF(V269&lt;0, 1, 0)*'BS Forecasts'!V$10</f>
        <v>0</v>
      </c>
      <c r="W271" s="7">
        <f>IF(W269&lt;0, 1, 0)*'BS Forecasts'!W$10</f>
        <v>0</v>
      </c>
      <c r="X271" s="7">
        <f>IF(X269&lt;0, 1, 0)*'BS Forecasts'!X$10</f>
        <v>0</v>
      </c>
      <c r="Y271" s="7">
        <f>IF(Y269&lt;0, 1, 0)*'BS Forecasts'!Y$10</f>
        <v>0</v>
      </c>
      <c r="AA271" s="7">
        <f>IF(AA269&lt;0, 1, 0)*'BS Forecasts'!AA$10</f>
        <v>0</v>
      </c>
      <c r="AB271" s="7">
        <f>IF(AB269&lt;0, 1, 0)*'BS Forecasts'!AB$10</f>
        <v>0</v>
      </c>
      <c r="AC271" s="7">
        <f>IF(AC269&lt;0, 1, 0)*'BS Forecasts'!AC$10</f>
        <v>0</v>
      </c>
      <c r="AD271" s="7">
        <f>IF(AD269&lt;0, 1, 0)*'BS Forecasts'!AD$10</f>
        <v>0</v>
      </c>
      <c r="AE271" s="7">
        <f>IF(AE269&lt;0, 1, 0)*'BS Forecasts'!AE$10</f>
        <v>0</v>
      </c>
      <c r="AF271" s="7">
        <f>IF(AF269&lt;0, 1, 0)*'BS Forecasts'!AF$10</f>
        <v>0</v>
      </c>
      <c r="AG271" s="7">
        <f>IF(AG269&lt;0, 1, 0)*'BS Forecasts'!AG$10</f>
        <v>0</v>
      </c>
      <c r="AH271" s="7">
        <f>IF(AH269&lt;0, 1, 0)*'BS Forecasts'!AH$10</f>
        <v>0</v>
      </c>
      <c r="AI271" s="7">
        <f>IF(AI269&lt;0, 1, 0)*'BS Forecasts'!AI$10</f>
        <v>0</v>
      </c>
      <c r="AJ271" s="7">
        <f>IF(AJ269&lt;0, 1, 0)*'BS Forecasts'!AJ$10</f>
        <v>0</v>
      </c>
      <c r="AK271" s="7">
        <f>IF(AK269&lt;0, 1, 0)*'BS Forecasts'!AK$10</f>
        <v>0</v>
      </c>
      <c r="AL271" s="7">
        <f>IF(AL269&lt;0, 1, 0)*'BS Forecasts'!AL$10</f>
        <v>0</v>
      </c>
      <c r="AM271" s="7">
        <f>IF(AM269&lt;0, 1, 0)*'BS Forecasts'!AM$10</f>
        <v>0</v>
      </c>
      <c r="AN271" s="7">
        <f>IF(AN269&lt;0, 1, 0)*'BS Forecasts'!AN$10</f>
        <v>0</v>
      </c>
      <c r="AO271" s="7">
        <f>IF(AO269&lt;0, 1, 0)*'BS Forecasts'!AO$10</f>
        <v>0</v>
      </c>
      <c r="AP271" s="7">
        <f>IF(AP269&lt;0, 1, 0)*'BS Forecasts'!AP$10</f>
        <v>0</v>
      </c>
      <c r="AQ271" s="7">
        <f>IF(AQ269&lt;0, 1, 0)*'BS Forecasts'!AQ$10</f>
        <v>0</v>
      </c>
      <c r="AR271" s="7">
        <f>IF(AR269&lt;0, 1, 0)*'BS Forecasts'!AR$10</f>
        <v>0</v>
      </c>
      <c r="AS271" s="7">
        <f>IF(AS269&lt;0, 1, 0)*'BS Forecasts'!AS$10</f>
        <v>0</v>
      </c>
      <c r="AT271" s="7">
        <f>IF(AT269&lt;0, 1, 0)*'BS Forecasts'!AT$10</f>
        <v>0</v>
      </c>
      <c r="AU271" s="7">
        <f>IF(AU269&lt;0, 1, 0)*'BS Forecasts'!AU$10</f>
        <v>0</v>
      </c>
      <c r="AV271" s="7">
        <f>IF(AV269&lt;0, 1, 0)*'BS Forecasts'!AV$10</f>
        <v>0</v>
      </c>
      <c r="AW271" s="7">
        <f>IF(AW269&lt;0, 1, 0)*'BS Forecasts'!AW$10</f>
        <v>0</v>
      </c>
      <c r="AX271" s="7">
        <f>IF(AX269&lt;0, 1, 0)*'BS Forecasts'!AX$10</f>
        <v>0</v>
      </c>
      <c r="AY271" s="7">
        <f>IF(AY269&lt;0, 1, 0)*'BS Forecasts'!AY$10</f>
        <v>0</v>
      </c>
      <c r="AZ271" s="7">
        <f>IF(AZ269&lt;0, 1, 0)*'BS Forecasts'!AZ$10</f>
        <v>0</v>
      </c>
      <c r="BA271" s="7">
        <f>IF(BA269&lt;0, 1, 0)*'BS Forecasts'!BA$10</f>
        <v>0</v>
      </c>
      <c r="BB271" s="7">
        <f>IF(BB269&lt;0, 1, 0)*'BS Forecasts'!BB$10</f>
        <v>0</v>
      </c>
      <c r="BC271" s="7">
        <f>IF(BC269&lt;0, 1, 0)*'BS Forecasts'!BC$10</f>
        <v>0</v>
      </c>
      <c r="BD271" s="7">
        <f>IF(BD269&lt;0, 1, 0)*'BS Forecasts'!BD$10</f>
        <v>0</v>
      </c>
      <c r="BE271" s="7">
        <f>IF(BE269&lt;0, 1, 0)*'BS Forecasts'!BE$10</f>
        <v>0</v>
      </c>
      <c r="BF271" s="7">
        <f>IF(BF269&lt;0, 1, 0)*'BS Forecasts'!BF$10</f>
        <v>0</v>
      </c>
      <c r="BG271" s="7">
        <f>IF(BG269&lt;0, 1, 0)*'BS Forecasts'!BG$10</f>
        <v>0</v>
      </c>
      <c r="BH271" s="7">
        <f>IF(BH269&lt;0, 1, 0)*'BS Forecasts'!BH$10</f>
        <v>0</v>
      </c>
      <c r="BI271" s="7">
        <f>IF(BI269&lt;0, 1, 0)*'BS Forecasts'!BI$10</f>
        <v>0</v>
      </c>
      <c r="BJ271" s="7">
        <f>IF(BJ269&lt;0, 1, 0)*'BS Forecasts'!BJ$10</f>
        <v>0</v>
      </c>
      <c r="BX271" s="7">
        <f>IF(BX269&lt;0, 1, 0)*'BS Forecasts'!BX$10</f>
        <v>0</v>
      </c>
      <c r="BY271" s="7">
        <f>IF(BY269&lt;0, 1, 0)*'BS Forecasts'!BY$10</f>
        <v>0</v>
      </c>
      <c r="BZ271" s="7">
        <f>IF(BZ269&lt;0, 1, 0)*'BS Forecasts'!BZ$10</f>
        <v>0</v>
      </c>
      <c r="CA271" s="7">
        <f>IF(CA269&lt;0, 1, 0)*'BS Forecasts'!CA$10</f>
        <v>0</v>
      </c>
      <c r="CB271" s="7">
        <f>IF(CB269&lt;0, 1, 0)*'BS Forecasts'!CB$10</f>
        <v>0</v>
      </c>
      <c r="CC271" s="7">
        <f>IF(CC269&lt;0, 1, 0)*'BS Forecasts'!CC$10</f>
        <v>0</v>
      </c>
      <c r="CD271" s="7">
        <f>IF(CD269&lt;0, 1, 0)*'BS Forecasts'!CD$10</f>
        <v>0</v>
      </c>
      <c r="CE271" s="7">
        <f>IF(CE269&lt;0, 1, 0)*'BS Forecasts'!CE$10</f>
        <v>0</v>
      </c>
      <c r="CF271" s="7">
        <f>IF(CF269&lt;0, 1, 0)*'BS Forecasts'!CF$10</f>
        <v>0</v>
      </c>
      <c r="CG271" s="7">
        <f>IF(CG269&lt;0, 1, 0)*'BS Forecasts'!CG$10</f>
        <v>0</v>
      </c>
      <c r="CH271" s="7">
        <f>IF(CH269&lt;0, 1, 0)*'BS Forecasts'!CH$10</f>
        <v>0</v>
      </c>
      <c r="CI271" s="7">
        <f>IF(CI269&lt;0, 1, 0)*'BS Forecasts'!CI$10</f>
        <v>0</v>
      </c>
      <c r="CK271" s="11"/>
      <c r="CM271" s="11"/>
      <c r="CR271" s="7">
        <f>IF(SUM(V271:CI271)=0, 0, 1)</f>
        <v>0</v>
      </c>
      <c r="CZ271" s="650"/>
      <c r="DA271" s="35"/>
      <c r="DI271" s="35"/>
      <c r="DJ271">
        <v>0</v>
      </c>
      <c r="DK271">
        <v>0</v>
      </c>
      <c r="DL271" s="35"/>
      <c r="EZ271" s="10" t="str">
        <f>IF($C271="","",$D271)</f>
        <v/>
      </c>
    </row>
    <row r="272" spans="1:156" ht="6.75" customHeight="1" x14ac:dyDescent="0.35">
      <c r="C272" s="234"/>
      <c r="D272" s="1"/>
      <c r="E272"/>
      <c r="BY272" s="6"/>
      <c r="CK272" s="35"/>
      <c r="CM272" s="35"/>
      <c r="CZ272" s="650"/>
      <c r="DA272" s="35"/>
      <c r="DI272" s="35"/>
      <c r="DJ272">
        <v>0</v>
      </c>
      <c r="DK272">
        <v>0</v>
      </c>
      <c r="DL272" s="35"/>
      <c r="EZ272" s="10" t="str">
        <f>IF($C272="","",$D272)</f>
        <v/>
      </c>
    </row>
    <row r="273" spans="1:156" x14ac:dyDescent="0.35">
      <c r="B273" s="5"/>
      <c r="C273" s="234"/>
      <c r="D273" s="24" t="str">
        <f>'Opening Balances'!D13</f>
        <v>Assets under Construction</v>
      </c>
      <c r="E273"/>
      <c r="CK273" s="11"/>
      <c r="CM273" s="11"/>
      <c r="CZ273" s="650"/>
      <c r="DA273" s="35"/>
      <c r="DI273" s="35"/>
      <c r="DJ273">
        <v>0</v>
      </c>
      <c r="DK273">
        <v>0</v>
      </c>
      <c r="DL273" s="35"/>
      <c r="EZ273" s="10" t="str">
        <f>IF($C273="","",$D273)</f>
        <v/>
      </c>
    </row>
    <row r="274" spans="1:156" x14ac:dyDescent="0.35">
      <c r="C274" s="211" t="str">
        <f>CONCATENATE("II-",'Opening Balances'!$C$13)</f>
        <v>II-B-1d-OB</v>
      </c>
      <c r="D274" s="33" t="s">
        <v>890</v>
      </c>
      <c r="E274" s="33"/>
      <c r="G274" s="8"/>
      <c r="H274" s="9" t="s">
        <v>620</v>
      </c>
      <c r="V274" s="12">
        <f>'Opening Balances'!$V$13</f>
        <v>0</v>
      </c>
      <c r="W274" s="10">
        <f>V278</f>
        <v>0</v>
      </c>
      <c r="X274" s="10">
        <f>W278</f>
        <v>0</v>
      </c>
      <c r="Y274" s="10">
        <f>X278</f>
        <v>0</v>
      </c>
      <c r="AA274" s="10">
        <f>W274</f>
        <v>0</v>
      </c>
      <c r="AB274" s="10">
        <f t="shared" ref="AB274:BJ274" si="525">AA278</f>
        <v>0</v>
      </c>
      <c r="AC274" s="10">
        <f t="shared" si="525"/>
        <v>0</v>
      </c>
      <c r="AD274" s="10">
        <f t="shared" si="525"/>
        <v>0</v>
      </c>
      <c r="AE274" s="10">
        <f t="shared" si="525"/>
        <v>0</v>
      </c>
      <c r="AF274" s="10">
        <f t="shared" si="525"/>
        <v>0</v>
      </c>
      <c r="AG274" s="10">
        <f t="shared" si="525"/>
        <v>0</v>
      </c>
      <c r="AH274" s="10">
        <f t="shared" si="525"/>
        <v>0</v>
      </c>
      <c r="AI274" s="10">
        <f t="shared" si="525"/>
        <v>0</v>
      </c>
      <c r="AJ274" s="10">
        <f t="shared" si="525"/>
        <v>0</v>
      </c>
      <c r="AK274" s="10">
        <f t="shared" si="525"/>
        <v>0</v>
      </c>
      <c r="AL274" s="10">
        <f t="shared" si="525"/>
        <v>0</v>
      </c>
      <c r="AM274" s="10">
        <f t="shared" si="525"/>
        <v>0</v>
      </c>
      <c r="AN274" s="10">
        <f t="shared" si="525"/>
        <v>0</v>
      </c>
      <c r="AO274" s="10">
        <f t="shared" si="525"/>
        <v>0</v>
      </c>
      <c r="AP274" s="10">
        <f t="shared" si="525"/>
        <v>0</v>
      </c>
      <c r="AQ274" s="10">
        <f t="shared" si="525"/>
        <v>0</v>
      </c>
      <c r="AR274" s="10">
        <f t="shared" si="525"/>
        <v>0</v>
      </c>
      <c r="AS274" s="10">
        <f t="shared" si="525"/>
        <v>0</v>
      </c>
      <c r="AT274" s="10">
        <f t="shared" si="525"/>
        <v>0</v>
      </c>
      <c r="AU274" s="10">
        <f t="shared" si="525"/>
        <v>0</v>
      </c>
      <c r="AV274" s="10">
        <f t="shared" si="525"/>
        <v>0</v>
      </c>
      <c r="AW274" s="10">
        <f t="shared" si="525"/>
        <v>0</v>
      </c>
      <c r="AX274" s="10">
        <f t="shared" si="525"/>
        <v>0</v>
      </c>
      <c r="AY274" s="10">
        <f t="shared" si="525"/>
        <v>0</v>
      </c>
      <c r="AZ274" s="10">
        <f t="shared" si="525"/>
        <v>0</v>
      </c>
      <c r="BA274" s="10">
        <f t="shared" si="525"/>
        <v>0</v>
      </c>
      <c r="BB274" s="10">
        <f t="shared" si="525"/>
        <v>0</v>
      </c>
      <c r="BC274" s="10">
        <f t="shared" si="525"/>
        <v>0</v>
      </c>
      <c r="BD274" s="10">
        <f t="shared" si="525"/>
        <v>0</v>
      </c>
      <c r="BE274" s="10">
        <f t="shared" si="525"/>
        <v>0</v>
      </c>
      <c r="BF274" s="10">
        <f t="shared" si="525"/>
        <v>0</v>
      </c>
      <c r="BG274" s="10">
        <f t="shared" si="525"/>
        <v>0</v>
      </c>
      <c r="BH274" s="10">
        <f t="shared" si="525"/>
        <v>0</v>
      </c>
      <c r="BI274" s="10">
        <f t="shared" si="525"/>
        <v>0</v>
      </c>
      <c r="BJ274" s="10">
        <f t="shared" si="525"/>
        <v>0</v>
      </c>
      <c r="BX274" s="12">
        <f>V274</f>
        <v>0</v>
      </c>
      <c r="BY274" s="12">
        <f>W274</f>
        <v>0</v>
      </c>
      <c r="BZ274" s="12">
        <f>X274</f>
        <v>0</v>
      </c>
      <c r="CA274" s="12">
        <f>Y274</f>
        <v>0</v>
      </c>
      <c r="CB274" s="10">
        <f t="shared" ref="CB274:CI274" si="526">CA278</f>
        <v>0</v>
      </c>
      <c r="CC274" s="10">
        <f t="shared" si="526"/>
        <v>0</v>
      </c>
      <c r="CD274" s="10">
        <f t="shared" si="526"/>
        <v>0</v>
      </c>
      <c r="CE274" s="10">
        <f t="shared" si="526"/>
        <v>0</v>
      </c>
      <c r="CF274" s="10">
        <f t="shared" si="526"/>
        <v>0</v>
      </c>
      <c r="CG274" s="10">
        <f t="shared" si="526"/>
        <v>0</v>
      </c>
      <c r="CH274" s="10">
        <f t="shared" si="526"/>
        <v>0</v>
      </c>
      <c r="CI274" s="10">
        <f t="shared" si="526"/>
        <v>0</v>
      </c>
      <c r="CK274" s="11"/>
      <c r="CM274" s="11"/>
      <c r="CZ274" s="650"/>
      <c r="DA274" s="35"/>
      <c r="DI274" s="35"/>
      <c r="DJ274">
        <v>0</v>
      </c>
      <c r="DK274">
        <v>0</v>
      </c>
      <c r="DL274" s="35"/>
      <c r="EZ274" s="12" t="str">
        <f>IF($C274="","",CONCATENATE(D$273, " ",$D274))</f>
        <v>Assets under Construction Opening Balance</v>
      </c>
    </row>
    <row r="275" spans="1:156" x14ac:dyDescent="0.35">
      <c r="A275" s="220" cm="1">
        <f t="array" aca="1" ref="A275" ca="1">HYPERLINK(CONCATENATE("#",CELL("address",IF(MAX($CM275:$CZ275)=0,A275,INDEX($CM275:$CZ275,MATCH(1,$CM275:$CZ275,0))))),MAX($CM275:$CZ275))</f>
        <v>0</v>
      </c>
      <c r="C275" s="211" t="s">
        <v>937</v>
      </c>
      <c r="D275" s="33" t="s">
        <v>919</v>
      </c>
      <c r="E275" s="33"/>
      <c r="G275" s="8"/>
      <c r="H275" s="9" t="s">
        <v>620</v>
      </c>
      <c r="V275" s="10">
        <f>V$31</f>
        <v>0</v>
      </c>
      <c r="W275" s="10">
        <f>W$31</f>
        <v>0</v>
      </c>
      <c r="X275" s="10">
        <f>X$31</f>
        <v>0</v>
      </c>
      <c r="Y275" s="10">
        <f>Y$31</f>
        <v>0</v>
      </c>
      <c r="AA275" s="10">
        <f t="shared" ref="AA275:BJ275" si="527">AA$31</f>
        <v>0</v>
      </c>
      <c r="AB275" s="10">
        <f t="shared" si="527"/>
        <v>0</v>
      </c>
      <c r="AC275" s="10">
        <f t="shared" si="527"/>
        <v>0</v>
      </c>
      <c r="AD275" s="10">
        <f t="shared" si="527"/>
        <v>0</v>
      </c>
      <c r="AE275" s="10">
        <f t="shared" si="527"/>
        <v>0</v>
      </c>
      <c r="AF275" s="10">
        <f t="shared" si="527"/>
        <v>0</v>
      </c>
      <c r="AG275" s="10">
        <f t="shared" si="527"/>
        <v>0</v>
      </c>
      <c r="AH275" s="10">
        <f t="shared" si="527"/>
        <v>0</v>
      </c>
      <c r="AI275" s="10">
        <f t="shared" si="527"/>
        <v>0</v>
      </c>
      <c r="AJ275" s="10">
        <f t="shared" si="527"/>
        <v>0</v>
      </c>
      <c r="AK275" s="10">
        <f t="shared" si="527"/>
        <v>0</v>
      </c>
      <c r="AL275" s="10">
        <f t="shared" si="527"/>
        <v>0</v>
      </c>
      <c r="AM275" s="10">
        <f t="shared" si="527"/>
        <v>0</v>
      </c>
      <c r="AN275" s="10">
        <f t="shared" si="527"/>
        <v>0</v>
      </c>
      <c r="AO275" s="10">
        <f t="shared" si="527"/>
        <v>0</v>
      </c>
      <c r="AP275" s="10">
        <f t="shared" si="527"/>
        <v>0</v>
      </c>
      <c r="AQ275" s="10">
        <f t="shared" si="527"/>
        <v>0</v>
      </c>
      <c r="AR275" s="10">
        <f t="shared" si="527"/>
        <v>0</v>
      </c>
      <c r="AS275" s="10">
        <f t="shared" si="527"/>
        <v>0</v>
      </c>
      <c r="AT275" s="10">
        <f t="shared" si="527"/>
        <v>0</v>
      </c>
      <c r="AU275" s="10">
        <f t="shared" si="527"/>
        <v>0</v>
      </c>
      <c r="AV275" s="10">
        <f t="shared" si="527"/>
        <v>0</v>
      </c>
      <c r="AW275" s="10">
        <f t="shared" si="527"/>
        <v>0</v>
      </c>
      <c r="AX275" s="10">
        <f t="shared" si="527"/>
        <v>0</v>
      </c>
      <c r="AY275" s="10">
        <f t="shared" si="527"/>
        <v>0</v>
      </c>
      <c r="AZ275" s="10">
        <f t="shared" si="527"/>
        <v>0</v>
      </c>
      <c r="BA275" s="10">
        <f t="shared" si="527"/>
        <v>0</v>
      </c>
      <c r="BB275" s="10">
        <f t="shared" si="527"/>
        <v>0</v>
      </c>
      <c r="BC275" s="10">
        <f t="shared" si="527"/>
        <v>0</v>
      </c>
      <c r="BD275" s="10">
        <f t="shared" si="527"/>
        <v>0</v>
      </c>
      <c r="BE275" s="10">
        <f t="shared" si="527"/>
        <v>0</v>
      </c>
      <c r="BF275" s="10">
        <f t="shared" si="527"/>
        <v>0</v>
      </c>
      <c r="BG275" s="10">
        <f t="shared" si="527"/>
        <v>0</v>
      </c>
      <c r="BH275" s="10">
        <f t="shared" si="527"/>
        <v>0</v>
      </c>
      <c r="BI275" s="10">
        <f t="shared" si="527"/>
        <v>0</v>
      </c>
      <c r="BJ275" s="10">
        <f t="shared" si="527"/>
        <v>0</v>
      </c>
      <c r="BX275" s="10">
        <f t="shared" ref="BX275:CI275" si="528">BX$31</f>
        <v>0</v>
      </c>
      <c r="BY275" s="10">
        <f t="shared" si="528"/>
        <v>0</v>
      </c>
      <c r="BZ275" s="10">
        <f t="shared" si="528"/>
        <v>0</v>
      </c>
      <c r="CA275" s="10">
        <f t="shared" si="528"/>
        <v>0</v>
      </c>
      <c r="CB275" s="10">
        <f t="shared" si="528"/>
        <v>0</v>
      </c>
      <c r="CC275" s="10">
        <f t="shared" si="528"/>
        <v>0</v>
      </c>
      <c r="CD275" s="10">
        <f t="shared" si="528"/>
        <v>0</v>
      </c>
      <c r="CE275" s="10">
        <f t="shared" si="528"/>
        <v>0</v>
      </c>
      <c r="CF275" s="10">
        <f t="shared" si="528"/>
        <v>0</v>
      </c>
      <c r="CG275" s="10">
        <f t="shared" si="528"/>
        <v>0</v>
      </c>
      <c r="CH275" s="10">
        <f t="shared" si="528"/>
        <v>0</v>
      </c>
      <c r="CI275" s="10">
        <f t="shared" si="528"/>
        <v>0</v>
      </c>
      <c r="CK275" s="11"/>
      <c r="CL275" s="221">
        <f>IF(MIN($V275:$CI275)&lt;0, 1, 0)</f>
        <v>0</v>
      </c>
      <c r="CM275" s="11"/>
      <c r="CW275" s="7">
        <f>IF(SUM($DB275:$DD275)=0, 0, 1)</f>
        <v>0</v>
      </c>
      <c r="CX275" s="7">
        <f>IF(SUM($DE275:$DG275)=0, 0, 1)</f>
        <v>0</v>
      </c>
      <c r="CY275" s="7">
        <f>IF($DH275=0, 0, 1)</f>
        <v>0</v>
      </c>
      <c r="CZ275" s="650"/>
      <c r="DA275" s="35"/>
      <c r="DB275" s="215">
        <f t="shared" ref="DB275:DD277" si="529">ROUND(W275-SUMIFS($AA275:$BJ275, $AA$3:$BJ$3, W$3), rounding)</f>
        <v>0</v>
      </c>
      <c r="DC275" s="215">
        <f t="shared" si="529"/>
        <v>0</v>
      </c>
      <c r="DD275" s="215">
        <f t="shared" si="529"/>
        <v>0</v>
      </c>
      <c r="DE275" s="215">
        <f>ROUND($BY275-SUMIFS($AA275:$BJ275, $AA$3:$BJ$3, $BY$3), rounding)</f>
        <v>0</v>
      </c>
      <c r="DF275" s="215">
        <f>ROUND($BZ275-SUMIFS($AA275:$BJ275, $AA$3:$BJ$3, $BZ$3), rounding)</f>
        <v>0</v>
      </c>
      <c r="DG275" s="215">
        <f>ROUND($CA275-SUMIFS($AA275:$BJ275, $AA$3:$BJ$3, $CA$3), rounding)</f>
        <v>0</v>
      </c>
      <c r="DH275" s="215">
        <f>ROUND($V275-$BX275, rounding)</f>
        <v>0</v>
      </c>
      <c r="DI275" s="35"/>
      <c r="DJ275">
        <v>0</v>
      </c>
      <c r="DK275">
        <v>0</v>
      </c>
      <c r="DL275" s="35"/>
      <c r="EZ275" s="12" t="str">
        <f>IF($C275="","",CONCATENATE(D$273, " ",$D275))</f>
        <v>Assets under Construction Additions</v>
      </c>
    </row>
    <row r="276" spans="1:156" x14ac:dyDescent="0.35">
      <c r="A276" s="220" cm="1">
        <f t="array" aca="1" ref="A276" ca="1">HYPERLINK(CONCATENATE("#",CELL("address",IF(MAX($CM276:$CZ276)=0,A276,INDEX($CM276:$CZ276,MATCH(1,$CM276:$CZ276,0))))),MAX($CM276:$CZ276))</f>
        <v>0</v>
      </c>
      <c r="C276" s="211" t="s">
        <v>938</v>
      </c>
      <c r="D276" s="33" t="s">
        <v>939</v>
      </c>
      <c r="E276" s="85" t="s">
        <v>122</v>
      </c>
      <c r="G276" s="8"/>
      <c r="H276" s="9" t="s">
        <v>646</v>
      </c>
      <c r="V276" s="10">
        <f>0-V78</f>
        <v>0</v>
      </c>
      <c r="W276" s="10">
        <f>0-W78</f>
        <v>0</v>
      </c>
      <c r="X276" s="10">
        <f>0-X78</f>
        <v>0</v>
      </c>
      <c r="Y276" s="10">
        <f>0-Y78</f>
        <v>0</v>
      </c>
      <c r="AA276" s="10">
        <f t="shared" ref="AA276:BJ276" si="530">0-AA78</f>
        <v>0</v>
      </c>
      <c r="AB276" s="10">
        <f t="shared" si="530"/>
        <v>0</v>
      </c>
      <c r="AC276" s="10">
        <f t="shared" si="530"/>
        <v>0</v>
      </c>
      <c r="AD276" s="10">
        <f t="shared" si="530"/>
        <v>0</v>
      </c>
      <c r="AE276" s="10">
        <f t="shared" si="530"/>
        <v>0</v>
      </c>
      <c r="AF276" s="10">
        <f t="shared" si="530"/>
        <v>0</v>
      </c>
      <c r="AG276" s="10">
        <f t="shared" si="530"/>
        <v>0</v>
      </c>
      <c r="AH276" s="10">
        <f t="shared" si="530"/>
        <v>0</v>
      </c>
      <c r="AI276" s="10">
        <f t="shared" si="530"/>
        <v>0</v>
      </c>
      <c r="AJ276" s="10">
        <f t="shared" si="530"/>
        <v>0</v>
      </c>
      <c r="AK276" s="10">
        <f t="shared" si="530"/>
        <v>0</v>
      </c>
      <c r="AL276" s="10">
        <f t="shared" si="530"/>
        <v>0</v>
      </c>
      <c r="AM276" s="10">
        <f t="shared" si="530"/>
        <v>0</v>
      </c>
      <c r="AN276" s="10">
        <f t="shared" si="530"/>
        <v>0</v>
      </c>
      <c r="AO276" s="10">
        <f t="shared" si="530"/>
        <v>0</v>
      </c>
      <c r="AP276" s="10">
        <f t="shared" si="530"/>
        <v>0</v>
      </c>
      <c r="AQ276" s="10">
        <f t="shared" si="530"/>
        <v>0</v>
      </c>
      <c r="AR276" s="10">
        <f t="shared" si="530"/>
        <v>0</v>
      </c>
      <c r="AS276" s="10">
        <f t="shared" si="530"/>
        <v>0</v>
      </c>
      <c r="AT276" s="10">
        <f t="shared" si="530"/>
        <v>0</v>
      </c>
      <c r="AU276" s="10">
        <f t="shared" si="530"/>
        <v>0</v>
      </c>
      <c r="AV276" s="10">
        <f t="shared" si="530"/>
        <v>0</v>
      </c>
      <c r="AW276" s="10">
        <f t="shared" si="530"/>
        <v>0</v>
      </c>
      <c r="AX276" s="10">
        <f t="shared" si="530"/>
        <v>0</v>
      </c>
      <c r="AY276" s="10">
        <f t="shared" si="530"/>
        <v>0</v>
      </c>
      <c r="AZ276" s="10">
        <f t="shared" si="530"/>
        <v>0</v>
      </c>
      <c r="BA276" s="10">
        <f t="shared" si="530"/>
        <v>0</v>
      </c>
      <c r="BB276" s="10">
        <f t="shared" si="530"/>
        <v>0</v>
      </c>
      <c r="BC276" s="10">
        <f t="shared" si="530"/>
        <v>0</v>
      </c>
      <c r="BD276" s="10">
        <f t="shared" si="530"/>
        <v>0</v>
      </c>
      <c r="BE276" s="10">
        <f t="shared" si="530"/>
        <v>0</v>
      </c>
      <c r="BF276" s="10">
        <f t="shared" si="530"/>
        <v>0</v>
      </c>
      <c r="BG276" s="10">
        <f t="shared" si="530"/>
        <v>0</v>
      </c>
      <c r="BH276" s="10">
        <f t="shared" si="530"/>
        <v>0</v>
      </c>
      <c r="BI276" s="10">
        <f t="shared" si="530"/>
        <v>0</v>
      </c>
      <c r="BJ276" s="10">
        <f t="shared" si="530"/>
        <v>0</v>
      </c>
      <c r="BX276" s="10">
        <f t="shared" ref="BX276:CI276" si="531">0-BX78</f>
        <v>0</v>
      </c>
      <c r="BY276" s="10">
        <f t="shared" si="531"/>
        <v>0</v>
      </c>
      <c r="BZ276" s="10">
        <f t="shared" si="531"/>
        <v>0</v>
      </c>
      <c r="CA276" s="10">
        <f t="shared" si="531"/>
        <v>0</v>
      </c>
      <c r="CB276" s="10">
        <f t="shared" si="531"/>
        <v>0</v>
      </c>
      <c r="CC276" s="10">
        <f t="shared" si="531"/>
        <v>0</v>
      </c>
      <c r="CD276" s="10">
        <f t="shared" si="531"/>
        <v>0</v>
      </c>
      <c r="CE276" s="10">
        <f t="shared" si="531"/>
        <v>0</v>
      </c>
      <c r="CF276" s="10">
        <f t="shared" si="531"/>
        <v>0</v>
      </c>
      <c r="CG276" s="10">
        <f t="shared" si="531"/>
        <v>0</v>
      </c>
      <c r="CH276" s="10">
        <f t="shared" si="531"/>
        <v>0</v>
      </c>
      <c r="CI276" s="10">
        <f t="shared" si="531"/>
        <v>0</v>
      </c>
      <c r="CK276" s="11"/>
      <c r="CL276" s="221">
        <f>IF(MAX($V276:$CI276)&gt;0, 1, 0)</f>
        <v>0</v>
      </c>
      <c r="CM276" s="11"/>
      <c r="CW276" s="7">
        <f>IF(SUM($DB276:$DD276)=0, 0, 1)</f>
        <v>0</v>
      </c>
      <c r="CX276" s="7">
        <f>IF(SUM($DE276:$DG276)=0, 0, 1)</f>
        <v>0</v>
      </c>
      <c r="CY276" s="7">
        <f>IF($DH276=0, 0, 1)</f>
        <v>0</v>
      </c>
      <c r="CZ276" s="650"/>
      <c r="DA276" s="35"/>
      <c r="DB276" s="215">
        <f t="shared" si="529"/>
        <v>0</v>
      </c>
      <c r="DC276" s="215">
        <f t="shared" si="529"/>
        <v>0</v>
      </c>
      <c r="DD276" s="215">
        <f t="shared" si="529"/>
        <v>0</v>
      </c>
      <c r="DE276" s="215">
        <f>ROUND($BY276-SUMIFS($AA276:$BJ276, $AA$3:$BJ$3, $BY$3), rounding)</f>
        <v>0</v>
      </c>
      <c r="DF276" s="215">
        <f>ROUND($BZ276-SUMIFS($AA276:$BJ276, $AA$3:$BJ$3, $BZ$3), rounding)</f>
        <v>0</v>
      </c>
      <c r="DG276" s="215">
        <f>ROUND($CA276-SUMIFS($AA276:$BJ276, $AA$3:$BJ$3, $CA$3), rounding)</f>
        <v>0</v>
      </c>
      <c r="DH276" s="215">
        <f>ROUND($V276-$BX276, rounding)</f>
        <v>0</v>
      </c>
      <c r="DI276" s="35"/>
      <c r="DJ276">
        <v>0</v>
      </c>
      <c r="DK276">
        <v>0</v>
      </c>
      <c r="DL276" s="35"/>
      <c r="EZ276" s="12" t="str">
        <f>IF($C276="","",CONCATENATE(D$273, " ",$D276))</f>
        <v>Assets under Construction Moved to Non-Current Assets</v>
      </c>
    </row>
    <row r="277" spans="1:156" x14ac:dyDescent="0.35">
      <c r="A277" s="220" cm="1">
        <f t="array" aca="1" ref="A277" ca="1">HYPERLINK(CONCATENATE("#",CELL("address",IF(MAX($CM277:$CZ277)=0,A277,INDEX($CM277:$CZ277,MATCH(1,$CM277:$CZ277,0))))),MAX($CM277:$CZ277))</f>
        <v>0</v>
      </c>
      <c r="C277" s="211" t="s">
        <v>940</v>
      </c>
      <c r="D277" s="1" t="s">
        <v>901</v>
      </c>
      <c r="E277" s="33" t="s">
        <v>904</v>
      </c>
      <c r="G277" s="8"/>
      <c r="H277" s="9" t="s">
        <v>403</v>
      </c>
      <c r="V277" s="109"/>
      <c r="W277" s="133">
        <f xml:space="preserve"> SUMIFS($AA277:$BJ277, $AA$3:$BJ$3, W$3)</f>
        <v>0</v>
      </c>
      <c r="X277" s="133">
        <f xml:space="preserve"> SUMIFS($AA277:$BJ277, $AA$3:$BJ$3, X$3)</f>
        <v>0</v>
      </c>
      <c r="Y277" s="133">
        <f xml:space="preserve"> SUMIFS($AA277:$BJ277, $AA$3:$BJ$3, Y$3)</f>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X277" s="12">
        <f>V277</f>
        <v>0</v>
      </c>
      <c r="BY277" s="12">
        <f>W277</f>
        <v>0</v>
      </c>
      <c r="BZ277" s="12">
        <f>X277</f>
        <v>0</v>
      </c>
      <c r="CA277" s="12">
        <f>Y277</f>
        <v>0</v>
      </c>
      <c r="CB277" s="109"/>
      <c r="CC277" s="109"/>
      <c r="CD277" s="109"/>
      <c r="CE277" s="109"/>
      <c r="CF277" s="109"/>
      <c r="CG277" s="109"/>
      <c r="CH277" s="109"/>
      <c r="CI277" s="109"/>
      <c r="CK277" s="11"/>
      <c r="CM277" s="11"/>
      <c r="CU277" s="7" cm="1">
        <f t="array" ref="CU277">SUMPRODUCT(--NOT(ISNUMBER(V277:CI277)),--NOT(ISBLANK(V277:CI277)))</f>
        <v>0</v>
      </c>
      <c r="CW277" s="7">
        <f>IF(SUM($DB277:$DD277)=0, 0, 1)</f>
        <v>0</v>
      </c>
      <c r="CX277" s="7">
        <f>IF(SUM($DE277:$DG277)=0, 0, 1)</f>
        <v>0</v>
      </c>
      <c r="CY277" s="7">
        <f>IF($DH277=0, 0, 1)</f>
        <v>0</v>
      </c>
      <c r="CZ277" s="650"/>
      <c r="DA277" s="35"/>
      <c r="DB277" s="215">
        <f t="shared" si="529"/>
        <v>0</v>
      </c>
      <c r="DC277" s="215">
        <f t="shared" si="529"/>
        <v>0</v>
      </c>
      <c r="DD277" s="215">
        <f t="shared" si="529"/>
        <v>0</v>
      </c>
      <c r="DE277" s="215">
        <f>ROUND($BY277-SUMIFS($AA277:$BJ277, $AA$3:$BJ$3, $BY$3), rounding)</f>
        <v>0</v>
      </c>
      <c r="DF277" s="215">
        <f>ROUND($BZ277-SUMIFS($AA277:$BJ277, $AA$3:$BJ$3, $BZ$3), rounding)</f>
        <v>0</v>
      </c>
      <c r="DG277" s="215">
        <f>ROUND($CA277-SUMIFS($AA277:$BJ277, $AA$3:$BJ$3, $CA$3), rounding)</f>
        <v>0</v>
      </c>
      <c r="DH277" s="215">
        <f>ROUND($V277-$BX277, rounding)</f>
        <v>0</v>
      </c>
      <c r="DI277" s="35"/>
      <c r="DJ277">
        <v>1</v>
      </c>
      <c r="DK277">
        <v>1</v>
      </c>
      <c r="DL277" s="35"/>
      <c r="EZ277" s="12" t="str">
        <f>IF($C277="","",CONCATENATE(D$273, " ",$D277))</f>
        <v>Assets under Construction Movement due to mergers</v>
      </c>
    </row>
    <row r="278" spans="1:156" x14ac:dyDescent="0.35">
      <c r="A278" s="220" cm="1">
        <f t="array" aca="1" ref="A278" ca="1">HYPERLINK(CONCATENATE("#",CELL("address",IF(MAX($CM278:$CZ278)=0,A278,INDEX($CM278:$CZ278,MATCH(1,$CM278:$CZ278,0))))),MAX($CM278:$CZ278))</f>
        <v>0</v>
      </c>
      <c r="C278" s="211" t="s">
        <v>941</v>
      </c>
      <c r="D278" s="33" t="s">
        <v>906</v>
      </c>
      <c r="E278" s="215">
        <f>ROUND(V278-SUM(V274:V277), rounding)*'Fin Stat'!$V$9</f>
        <v>0</v>
      </c>
      <c r="G278" s="8"/>
      <c r="V278" s="12">
        <f>'Opening Balances'!W13</f>
        <v>0</v>
      </c>
      <c r="W278" s="10">
        <f>SUM(W274:W277)</f>
        <v>0</v>
      </c>
      <c r="X278" s="10">
        <f>SUM(X274:X277)</f>
        <v>0</v>
      </c>
      <c r="Y278" s="10">
        <f>SUM(Y274:Y277)</f>
        <v>0</v>
      </c>
      <c r="AA278" s="10">
        <f t="shared" ref="AA278:BJ278" si="532">SUM(AA274:AA277)</f>
        <v>0</v>
      </c>
      <c r="AB278" s="10">
        <f t="shared" si="532"/>
        <v>0</v>
      </c>
      <c r="AC278" s="10">
        <f t="shared" si="532"/>
        <v>0</v>
      </c>
      <c r="AD278" s="10">
        <f t="shared" si="532"/>
        <v>0</v>
      </c>
      <c r="AE278" s="10">
        <f t="shared" si="532"/>
        <v>0</v>
      </c>
      <c r="AF278" s="10">
        <f t="shared" si="532"/>
        <v>0</v>
      </c>
      <c r="AG278" s="10">
        <f t="shared" si="532"/>
        <v>0</v>
      </c>
      <c r="AH278" s="10">
        <f t="shared" si="532"/>
        <v>0</v>
      </c>
      <c r="AI278" s="10">
        <f t="shared" si="532"/>
        <v>0</v>
      </c>
      <c r="AJ278" s="10">
        <f t="shared" si="532"/>
        <v>0</v>
      </c>
      <c r="AK278" s="10">
        <f t="shared" si="532"/>
        <v>0</v>
      </c>
      <c r="AL278" s="10">
        <f t="shared" si="532"/>
        <v>0</v>
      </c>
      <c r="AM278" s="10">
        <f t="shared" si="532"/>
        <v>0</v>
      </c>
      <c r="AN278" s="10">
        <f t="shared" si="532"/>
        <v>0</v>
      </c>
      <c r="AO278" s="10">
        <f t="shared" si="532"/>
        <v>0</v>
      </c>
      <c r="AP278" s="10">
        <f t="shared" si="532"/>
        <v>0</v>
      </c>
      <c r="AQ278" s="10">
        <f t="shared" si="532"/>
        <v>0</v>
      </c>
      <c r="AR278" s="10">
        <f t="shared" si="532"/>
        <v>0</v>
      </c>
      <c r="AS278" s="10">
        <f t="shared" si="532"/>
        <v>0</v>
      </c>
      <c r="AT278" s="10">
        <f t="shared" si="532"/>
        <v>0</v>
      </c>
      <c r="AU278" s="10">
        <f t="shared" si="532"/>
        <v>0</v>
      </c>
      <c r="AV278" s="10">
        <f t="shared" si="532"/>
        <v>0</v>
      </c>
      <c r="AW278" s="10">
        <f t="shared" si="532"/>
        <v>0</v>
      </c>
      <c r="AX278" s="10">
        <f t="shared" si="532"/>
        <v>0</v>
      </c>
      <c r="AY278" s="10">
        <f t="shared" si="532"/>
        <v>0</v>
      </c>
      <c r="AZ278" s="10">
        <f t="shared" si="532"/>
        <v>0</v>
      </c>
      <c r="BA278" s="10">
        <f t="shared" si="532"/>
        <v>0</v>
      </c>
      <c r="BB278" s="10">
        <f t="shared" si="532"/>
        <v>0</v>
      </c>
      <c r="BC278" s="10">
        <f t="shared" si="532"/>
        <v>0</v>
      </c>
      <c r="BD278" s="10">
        <f t="shared" si="532"/>
        <v>0</v>
      </c>
      <c r="BE278" s="10">
        <f t="shared" si="532"/>
        <v>0</v>
      </c>
      <c r="BF278" s="10">
        <f t="shared" si="532"/>
        <v>0</v>
      </c>
      <c r="BG278" s="10">
        <f t="shared" si="532"/>
        <v>0</v>
      </c>
      <c r="BH278" s="10">
        <f t="shared" si="532"/>
        <v>0</v>
      </c>
      <c r="BI278" s="10">
        <f t="shared" si="532"/>
        <v>0</v>
      </c>
      <c r="BJ278" s="10">
        <f t="shared" si="532"/>
        <v>0</v>
      </c>
      <c r="BX278" s="12">
        <f>V278</f>
        <v>0</v>
      </c>
      <c r="BY278" s="10">
        <f t="shared" ref="BY278:CI278" si="533">SUM(BY274:BY277)</f>
        <v>0</v>
      </c>
      <c r="BZ278" s="10">
        <f t="shared" si="533"/>
        <v>0</v>
      </c>
      <c r="CA278" s="10">
        <f t="shared" si="533"/>
        <v>0</v>
      </c>
      <c r="CB278" s="10">
        <f t="shared" si="533"/>
        <v>0</v>
      </c>
      <c r="CC278" s="10">
        <f t="shared" si="533"/>
        <v>0</v>
      </c>
      <c r="CD278" s="10">
        <f t="shared" si="533"/>
        <v>0</v>
      </c>
      <c r="CE278" s="10">
        <f t="shared" si="533"/>
        <v>0</v>
      </c>
      <c r="CF278" s="10">
        <f t="shared" si="533"/>
        <v>0</v>
      </c>
      <c r="CG278" s="10">
        <f t="shared" si="533"/>
        <v>0</v>
      </c>
      <c r="CH278" s="10">
        <f t="shared" si="533"/>
        <v>0</v>
      </c>
      <c r="CI278" s="10">
        <f t="shared" si="533"/>
        <v>0</v>
      </c>
      <c r="CK278" s="11"/>
      <c r="CM278" s="11"/>
      <c r="CS278" s="7">
        <f>IF(ABS($E278)&gt;Parameters!$D$33, 1, 0)</f>
        <v>0</v>
      </c>
      <c r="CW278" s="7">
        <f>IF(SUM($DB278:$DD278)=0, 0, 1)</f>
        <v>0</v>
      </c>
      <c r="CX278" s="7">
        <f>IF(SUM($DE278:$DG278)=0, 0, 1)</f>
        <v>0</v>
      </c>
      <c r="CY278" s="7">
        <f>IF($DH278=0, 0, 1)</f>
        <v>0</v>
      </c>
      <c r="CZ278" s="650"/>
      <c r="DA278" s="35"/>
      <c r="DB278" s="215">
        <f>ROUND(W278-INDEX($AA278:$BJ278, MATCH(W$5,$AA$5:$BJ$5,0)), rounding)</f>
        <v>0</v>
      </c>
      <c r="DC278" s="215">
        <f>ROUND(X278-INDEX($AA278:$BJ278, MATCH(X$5,$AA$5:$BJ$5,0)), rounding)</f>
        <v>0</v>
      </c>
      <c r="DD278" s="215">
        <f>ROUND(Y278-INDEX($AA278:$BJ278, MATCH(Y$5,$AA$5:$BJ$5,0)), rounding)</f>
        <v>0</v>
      </c>
      <c r="DE278" s="215">
        <f>ROUND(BY278-INDEX($AA278:$BJ278, MATCH(BY$5,$AA$5:$BJ$5,0)), rounding)</f>
        <v>0</v>
      </c>
      <c r="DF278" s="215">
        <f>ROUND(BZ278-INDEX($AA278:$BJ278, MATCH(BZ$5,$AA$5:$BJ$5,0)), rounding)</f>
        <v>0</v>
      </c>
      <c r="DG278" s="215">
        <f>ROUND(CA278-INDEX($AA278:$BJ278, MATCH(CA$5,$AA$5:$BJ$5,0)), rounding)</f>
        <v>0</v>
      </c>
      <c r="DH278" s="215">
        <f>ROUND($V278-$BX278, rounding)</f>
        <v>0</v>
      </c>
      <c r="DI278" s="35"/>
      <c r="DJ278">
        <v>0</v>
      </c>
      <c r="DK278">
        <v>0</v>
      </c>
      <c r="DL278" s="35"/>
      <c r="EZ278" s="12" t="str">
        <f>IF($C278="","",CONCATENATE(D$273, " ",$D278))</f>
        <v>Assets under Construction Closing Balance</v>
      </c>
    </row>
    <row r="279" spans="1:156" ht="6.75" customHeight="1" x14ac:dyDescent="0.35">
      <c r="B279" s="2"/>
      <c r="C279" s="234"/>
      <c r="D279" s="1"/>
      <c r="E279"/>
      <c r="CK279" s="35"/>
      <c r="CM279" s="35"/>
      <c r="CZ279" s="650"/>
      <c r="DA279" s="35"/>
      <c r="DI279" s="35"/>
      <c r="DJ279">
        <v>0</v>
      </c>
      <c r="DK279">
        <v>0</v>
      </c>
      <c r="DL279" s="35"/>
      <c r="EZ279" s="10" t="str">
        <f>IF($C279="","",$D279)</f>
        <v/>
      </c>
    </row>
    <row r="280" spans="1:156" x14ac:dyDescent="0.35">
      <c r="A280" s="220" cm="1">
        <f t="array" aca="1" ref="A280" ca="1">HYPERLINK(CONCATENATE("#",CELL("address",IF(MAX($CM280:$CZ280)=0,A280,INDEX($CM280:$CZ280,MATCH(1,$CM280:$CZ280,0))))),MAX($CM280:$CZ280))</f>
        <v>0</v>
      </c>
      <c r="C280" s="234"/>
      <c r="D280" s="1" t="s">
        <v>942</v>
      </c>
      <c r="E280"/>
      <c r="V280" s="7">
        <f>IF(V278&lt;0, 1, 0)*'BS Forecasts'!V$10</f>
        <v>0</v>
      </c>
      <c r="W280" s="7">
        <f>IF(W278&lt;0, 1, 0)*'BS Forecasts'!W$10</f>
        <v>0</v>
      </c>
      <c r="X280" s="7">
        <f>IF(X278&lt;0, 1, 0)*'BS Forecasts'!X$10</f>
        <v>0</v>
      </c>
      <c r="Y280" s="7">
        <f>IF(Y278&lt;0, 1, 0)*'BS Forecasts'!Y$10</f>
        <v>0</v>
      </c>
      <c r="AA280" s="7">
        <f>IF(AA278&lt;0, 1, 0)*'BS Forecasts'!AA$10</f>
        <v>0</v>
      </c>
      <c r="AB280" s="7">
        <f>IF(AB278&lt;0, 1, 0)*'BS Forecasts'!AB$10</f>
        <v>0</v>
      </c>
      <c r="AC280" s="7">
        <f>IF(AC278&lt;0, 1, 0)*'BS Forecasts'!AC$10</f>
        <v>0</v>
      </c>
      <c r="AD280" s="7">
        <f>IF(AD278&lt;0, 1, 0)*'BS Forecasts'!AD$10</f>
        <v>0</v>
      </c>
      <c r="AE280" s="7">
        <f>IF(AE278&lt;0, 1, 0)*'BS Forecasts'!AE$10</f>
        <v>0</v>
      </c>
      <c r="AF280" s="7">
        <f>IF(AF278&lt;0, 1, 0)*'BS Forecasts'!AF$10</f>
        <v>0</v>
      </c>
      <c r="AG280" s="7">
        <f>IF(AG278&lt;0, 1, 0)*'BS Forecasts'!AG$10</f>
        <v>0</v>
      </c>
      <c r="AH280" s="7">
        <f>IF(AH278&lt;0, 1, 0)*'BS Forecasts'!AH$10</f>
        <v>0</v>
      </c>
      <c r="AI280" s="7">
        <f>IF(AI278&lt;0, 1, 0)*'BS Forecasts'!AI$10</f>
        <v>0</v>
      </c>
      <c r="AJ280" s="7">
        <f>IF(AJ278&lt;0, 1, 0)*'BS Forecasts'!AJ$10</f>
        <v>0</v>
      </c>
      <c r="AK280" s="7">
        <f>IF(AK278&lt;0, 1, 0)*'BS Forecasts'!AK$10</f>
        <v>0</v>
      </c>
      <c r="AL280" s="7">
        <f>IF(AL278&lt;0, 1, 0)*'BS Forecasts'!AL$10</f>
        <v>0</v>
      </c>
      <c r="AM280" s="7">
        <f>IF(AM278&lt;0, 1, 0)*'BS Forecasts'!AM$10</f>
        <v>0</v>
      </c>
      <c r="AN280" s="7">
        <f>IF(AN278&lt;0, 1, 0)*'BS Forecasts'!AN$10</f>
        <v>0</v>
      </c>
      <c r="AO280" s="7">
        <f>IF(AO278&lt;0, 1, 0)*'BS Forecasts'!AO$10</f>
        <v>0</v>
      </c>
      <c r="AP280" s="7">
        <f>IF(AP278&lt;0, 1, 0)*'BS Forecasts'!AP$10</f>
        <v>0</v>
      </c>
      <c r="AQ280" s="7">
        <f>IF(AQ278&lt;0, 1, 0)*'BS Forecasts'!AQ$10</f>
        <v>0</v>
      </c>
      <c r="AR280" s="7">
        <f>IF(AR278&lt;0, 1, 0)*'BS Forecasts'!AR$10</f>
        <v>0</v>
      </c>
      <c r="AS280" s="7">
        <f>IF(AS278&lt;0, 1, 0)*'BS Forecasts'!AS$10</f>
        <v>0</v>
      </c>
      <c r="AT280" s="7">
        <f>IF(AT278&lt;0, 1, 0)*'BS Forecasts'!AT$10</f>
        <v>0</v>
      </c>
      <c r="AU280" s="7">
        <f>IF(AU278&lt;0, 1, 0)*'BS Forecasts'!AU$10</f>
        <v>0</v>
      </c>
      <c r="AV280" s="7">
        <f>IF(AV278&lt;0, 1, 0)*'BS Forecasts'!AV$10</f>
        <v>0</v>
      </c>
      <c r="AW280" s="7">
        <f>IF(AW278&lt;0, 1, 0)*'BS Forecasts'!AW$10</f>
        <v>0</v>
      </c>
      <c r="AX280" s="7">
        <f>IF(AX278&lt;0, 1, 0)*'BS Forecasts'!AX$10</f>
        <v>0</v>
      </c>
      <c r="AY280" s="7">
        <f>IF(AY278&lt;0, 1, 0)*'BS Forecasts'!AY$10</f>
        <v>0</v>
      </c>
      <c r="AZ280" s="7">
        <f>IF(AZ278&lt;0, 1, 0)*'BS Forecasts'!AZ$10</f>
        <v>0</v>
      </c>
      <c r="BA280" s="7">
        <f>IF(BA278&lt;0, 1, 0)*'BS Forecasts'!BA$10</f>
        <v>0</v>
      </c>
      <c r="BB280" s="7">
        <f>IF(BB278&lt;0, 1, 0)*'BS Forecasts'!BB$10</f>
        <v>0</v>
      </c>
      <c r="BC280" s="7">
        <f>IF(BC278&lt;0, 1, 0)*'BS Forecasts'!BC$10</f>
        <v>0</v>
      </c>
      <c r="BD280" s="7">
        <f>IF(BD278&lt;0, 1, 0)*'BS Forecasts'!BD$10</f>
        <v>0</v>
      </c>
      <c r="BE280" s="7">
        <f>IF(BE278&lt;0, 1, 0)*'BS Forecasts'!BE$10</f>
        <v>0</v>
      </c>
      <c r="BF280" s="7">
        <f>IF(BF278&lt;0, 1, 0)*'BS Forecasts'!BF$10</f>
        <v>0</v>
      </c>
      <c r="BG280" s="7">
        <f>IF(BG278&lt;0, 1, 0)*'BS Forecasts'!BG$10</f>
        <v>0</v>
      </c>
      <c r="BH280" s="7">
        <f>IF(BH278&lt;0, 1, 0)*'BS Forecasts'!BH$10</f>
        <v>0</v>
      </c>
      <c r="BI280" s="7">
        <f>IF(BI278&lt;0, 1, 0)*'BS Forecasts'!BI$10</f>
        <v>0</v>
      </c>
      <c r="BJ280" s="7">
        <f>IF(BJ278&lt;0, 1, 0)*'BS Forecasts'!BJ$10</f>
        <v>0</v>
      </c>
      <c r="BX280" s="7">
        <f>IF(BX278&lt;0, 1, 0)*'BS Forecasts'!BX$10</f>
        <v>0</v>
      </c>
      <c r="BY280" s="7">
        <f>IF(BY278&lt;0, 1, 0)*'BS Forecasts'!BY$10</f>
        <v>0</v>
      </c>
      <c r="BZ280" s="7">
        <f>IF(BZ278&lt;0, 1, 0)*'BS Forecasts'!BZ$10</f>
        <v>0</v>
      </c>
      <c r="CA280" s="7">
        <f>IF(CA278&lt;0, 1, 0)*'BS Forecasts'!CA$10</f>
        <v>0</v>
      </c>
      <c r="CB280" s="7">
        <f>IF(CB278&lt;0, 1, 0)*'BS Forecasts'!CB$10</f>
        <v>0</v>
      </c>
      <c r="CC280" s="7">
        <f>IF(CC278&lt;0, 1, 0)*'BS Forecasts'!CC$10</f>
        <v>0</v>
      </c>
      <c r="CD280" s="7">
        <f>IF(CD278&lt;0, 1, 0)*'BS Forecasts'!CD$10</f>
        <v>0</v>
      </c>
      <c r="CE280" s="7">
        <f>IF(CE278&lt;0, 1, 0)*'BS Forecasts'!CE$10</f>
        <v>0</v>
      </c>
      <c r="CF280" s="7">
        <f>IF(CF278&lt;0, 1, 0)*'BS Forecasts'!CF$10</f>
        <v>0</v>
      </c>
      <c r="CG280" s="7">
        <f>IF(CG278&lt;0, 1, 0)*'BS Forecasts'!CG$10</f>
        <v>0</v>
      </c>
      <c r="CH280" s="7">
        <f>IF(CH278&lt;0, 1, 0)*'BS Forecasts'!CH$10</f>
        <v>0</v>
      </c>
      <c r="CI280" s="7">
        <f>IF(CI278&lt;0, 1, 0)*'BS Forecasts'!CI$10</f>
        <v>0</v>
      </c>
      <c r="CK280" s="11"/>
      <c r="CM280" s="11"/>
      <c r="CR280" s="7">
        <f>IF(SUM(V280:CI280)=0, 0, 1)</f>
        <v>0</v>
      </c>
      <c r="CZ280" s="650"/>
      <c r="DA280" s="35"/>
      <c r="DI280" s="35"/>
      <c r="DJ280">
        <v>0</v>
      </c>
      <c r="DK280">
        <v>0</v>
      </c>
      <c r="DL280" s="35"/>
      <c r="EZ280" s="10" t="str">
        <f>IF($C280="","",$D280)</f>
        <v/>
      </c>
    </row>
    <row r="281" spans="1:156" ht="6.75" customHeight="1" x14ac:dyDescent="0.35">
      <c r="C281" s="234"/>
      <c r="D281" s="1"/>
      <c r="E281"/>
      <c r="BY281" s="6"/>
      <c r="CK281" s="35"/>
      <c r="CM281" s="35"/>
      <c r="CZ281" s="650"/>
      <c r="DA281" s="35"/>
      <c r="DI281" s="35"/>
      <c r="DJ281">
        <v>0</v>
      </c>
      <c r="DK281">
        <v>0</v>
      </c>
      <c r="DL281" s="35"/>
      <c r="EZ281" s="10" t="str">
        <f>IF($C281="","",$D281)</f>
        <v/>
      </c>
    </row>
    <row r="282" spans="1:156" x14ac:dyDescent="0.35">
      <c r="B282" s="97"/>
      <c r="C282" s="234"/>
      <c r="D282" s="24" t="str">
        <f>'Opening Balances'!D21</f>
        <v xml:space="preserve">Assets Held for Sale </v>
      </c>
      <c r="E282"/>
      <c r="CK282" s="11"/>
      <c r="CM282" s="11"/>
      <c r="CZ282" s="650"/>
      <c r="DA282" s="35"/>
      <c r="DI282" s="35"/>
      <c r="DJ282">
        <v>0</v>
      </c>
      <c r="DK282">
        <v>0</v>
      </c>
      <c r="DL282" s="35"/>
      <c r="EZ282" s="10" t="str">
        <f>IF($C282="","",$D282)</f>
        <v/>
      </c>
    </row>
    <row r="283" spans="1:156" x14ac:dyDescent="0.35">
      <c r="B283" s="4"/>
      <c r="C283" s="211" t="str">
        <f>CONCATENATE("II-",'Opening Balances'!$C$21)</f>
        <v>II-B-2a-OB</v>
      </c>
      <c r="D283" s="33" t="s">
        <v>890</v>
      </c>
      <c r="E283" s="33"/>
      <c r="G283" s="8"/>
      <c r="H283" s="9" t="s">
        <v>620</v>
      </c>
      <c r="V283" s="12">
        <f>'Opening Balances'!$V$21</f>
        <v>0</v>
      </c>
      <c r="W283" s="10">
        <f>V288</f>
        <v>0</v>
      </c>
      <c r="X283" s="10">
        <f>W288</f>
        <v>0</v>
      </c>
      <c r="Y283" s="10">
        <f>X288</f>
        <v>0</v>
      </c>
      <c r="AA283" s="10">
        <f>W283</f>
        <v>0</v>
      </c>
      <c r="AB283" s="10">
        <f t="shared" ref="AB283:BJ283" si="534">AA288</f>
        <v>0</v>
      </c>
      <c r="AC283" s="10">
        <f t="shared" si="534"/>
        <v>0</v>
      </c>
      <c r="AD283" s="10">
        <f t="shared" si="534"/>
        <v>0</v>
      </c>
      <c r="AE283" s="10">
        <f t="shared" si="534"/>
        <v>0</v>
      </c>
      <c r="AF283" s="10">
        <f t="shared" si="534"/>
        <v>0</v>
      </c>
      <c r="AG283" s="10">
        <f t="shared" si="534"/>
        <v>0</v>
      </c>
      <c r="AH283" s="10">
        <f t="shared" si="534"/>
        <v>0</v>
      </c>
      <c r="AI283" s="10">
        <f t="shared" si="534"/>
        <v>0</v>
      </c>
      <c r="AJ283" s="10">
        <f t="shared" si="534"/>
        <v>0</v>
      </c>
      <c r="AK283" s="10">
        <f t="shared" si="534"/>
        <v>0</v>
      </c>
      <c r="AL283" s="10">
        <f t="shared" si="534"/>
        <v>0</v>
      </c>
      <c r="AM283" s="10">
        <f t="shared" si="534"/>
        <v>0</v>
      </c>
      <c r="AN283" s="10">
        <f t="shared" si="534"/>
        <v>0</v>
      </c>
      <c r="AO283" s="10">
        <f t="shared" si="534"/>
        <v>0</v>
      </c>
      <c r="AP283" s="10">
        <f t="shared" si="534"/>
        <v>0</v>
      </c>
      <c r="AQ283" s="10">
        <f t="shared" si="534"/>
        <v>0</v>
      </c>
      <c r="AR283" s="10">
        <f t="shared" si="534"/>
        <v>0</v>
      </c>
      <c r="AS283" s="10">
        <f t="shared" si="534"/>
        <v>0</v>
      </c>
      <c r="AT283" s="10">
        <f t="shared" si="534"/>
        <v>0</v>
      </c>
      <c r="AU283" s="10">
        <f t="shared" si="534"/>
        <v>0</v>
      </c>
      <c r="AV283" s="10">
        <f t="shared" si="534"/>
        <v>0</v>
      </c>
      <c r="AW283" s="10">
        <f t="shared" si="534"/>
        <v>0</v>
      </c>
      <c r="AX283" s="10">
        <f t="shared" si="534"/>
        <v>0</v>
      </c>
      <c r="AY283" s="10">
        <f t="shared" si="534"/>
        <v>0</v>
      </c>
      <c r="AZ283" s="10">
        <f t="shared" si="534"/>
        <v>0</v>
      </c>
      <c r="BA283" s="10">
        <f t="shared" si="534"/>
        <v>0</v>
      </c>
      <c r="BB283" s="10">
        <f t="shared" si="534"/>
        <v>0</v>
      </c>
      <c r="BC283" s="10">
        <f t="shared" si="534"/>
        <v>0</v>
      </c>
      <c r="BD283" s="10">
        <f t="shared" si="534"/>
        <v>0</v>
      </c>
      <c r="BE283" s="10">
        <f t="shared" si="534"/>
        <v>0</v>
      </c>
      <c r="BF283" s="10">
        <f t="shared" si="534"/>
        <v>0</v>
      </c>
      <c r="BG283" s="10">
        <f t="shared" si="534"/>
        <v>0</v>
      </c>
      <c r="BH283" s="10">
        <f t="shared" si="534"/>
        <v>0</v>
      </c>
      <c r="BI283" s="10">
        <f t="shared" si="534"/>
        <v>0</v>
      </c>
      <c r="BJ283" s="10">
        <f t="shared" si="534"/>
        <v>0</v>
      </c>
      <c r="BX283" s="12">
        <f>V283</f>
        <v>0</v>
      </c>
      <c r="BY283" s="12">
        <f>W283</f>
        <v>0</v>
      </c>
      <c r="BZ283" s="12">
        <f>X283</f>
        <v>0</v>
      </c>
      <c r="CA283" s="12">
        <f>Y283</f>
        <v>0</v>
      </c>
      <c r="CB283" s="10">
        <f t="shared" ref="CB283:CI283" si="535">CA288</f>
        <v>0</v>
      </c>
      <c r="CC283" s="10">
        <f t="shared" si="535"/>
        <v>0</v>
      </c>
      <c r="CD283" s="10">
        <f t="shared" si="535"/>
        <v>0</v>
      </c>
      <c r="CE283" s="10">
        <f t="shared" si="535"/>
        <v>0</v>
      </c>
      <c r="CF283" s="10">
        <f t="shared" si="535"/>
        <v>0</v>
      </c>
      <c r="CG283" s="10">
        <f t="shared" si="535"/>
        <v>0</v>
      </c>
      <c r="CH283" s="10">
        <f t="shared" si="535"/>
        <v>0</v>
      </c>
      <c r="CI283" s="10">
        <f t="shared" si="535"/>
        <v>0</v>
      </c>
      <c r="CK283" s="11"/>
      <c r="CM283" s="11"/>
      <c r="CZ283" s="650"/>
      <c r="DA283" s="35"/>
      <c r="DI283" s="35"/>
      <c r="DJ283">
        <v>0</v>
      </c>
      <c r="DK283">
        <v>0</v>
      </c>
      <c r="DL283" s="35"/>
      <c r="EZ283" s="12" t="str">
        <f t="shared" ref="EZ283:EZ288" si="536">IF($C283="","",CONCATENATE(D$282, " ",$D283))</f>
        <v>Assets Held for Sale  Opening Balance</v>
      </c>
    </row>
    <row r="284" spans="1:156" x14ac:dyDescent="0.35">
      <c r="A284" s="220" cm="1">
        <f t="array" aca="1" ref="A284" ca="1">HYPERLINK(CONCATENATE("#",CELL("address",IF(MAX($CM284:$CZ284)=0,A284,INDEX($CM284:$CZ284,MATCH(1,$CM284:$CZ284,0))))),MAX($CM284:$CZ284))</f>
        <v>0</v>
      </c>
      <c r="B284" s="4"/>
      <c r="C284" s="211" t="s">
        <v>943</v>
      </c>
      <c r="D284" s="33" t="s">
        <v>944</v>
      </c>
      <c r="E284" s="33"/>
      <c r="G284" s="8"/>
      <c r="H284" s="9" t="s">
        <v>620</v>
      </c>
      <c r="V284" s="10">
        <f>0-V130</f>
        <v>0</v>
      </c>
      <c r="W284" s="10">
        <f>0-W130</f>
        <v>0</v>
      </c>
      <c r="X284" s="10">
        <f>0-X130</f>
        <v>0</v>
      </c>
      <c r="Y284" s="10">
        <f>0-Y130</f>
        <v>0</v>
      </c>
      <c r="AA284" s="10">
        <f t="shared" ref="AA284:BJ284" si="537">0-AA130</f>
        <v>0</v>
      </c>
      <c r="AB284" s="10">
        <f t="shared" si="537"/>
        <v>0</v>
      </c>
      <c r="AC284" s="10">
        <f t="shared" si="537"/>
        <v>0</v>
      </c>
      <c r="AD284" s="10">
        <f t="shared" si="537"/>
        <v>0</v>
      </c>
      <c r="AE284" s="10">
        <f t="shared" si="537"/>
        <v>0</v>
      </c>
      <c r="AF284" s="10">
        <f t="shared" si="537"/>
        <v>0</v>
      </c>
      <c r="AG284" s="10">
        <f t="shared" si="537"/>
        <v>0</v>
      </c>
      <c r="AH284" s="10">
        <f t="shared" si="537"/>
        <v>0</v>
      </c>
      <c r="AI284" s="10">
        <f t="shared" si="537"/>
        <v>0</v>
      </c>
      <c r="AJ284" s="10">
        <f t="shared" si="537"/>
        <v>0</v>
      </c>
      <c r="AK284" s="10">
        <f t="shared" si="537"/>
        <v>0</v>
      </c>
      <c r="AL284" s="10">
        <f t="shared" si="537"/>
        <v>0</v>
      </c>
      <c r="AM284" s="10">
        <f t="shared" si="537"/>
        <v>0</v>
      </c>
      <c r="AN284" s="10">
        <f t="shared" si="537"/>
        <v>0</v>
      </c>
      <c r="AO284" s="10">
        <f t="shared" si="537"/>
        <v>0</v>
      </c>
      <c r="AP284" s="10">
        <f t="shared" si="537"/>
        <v>0</v>
      </c>
      <c r="AQ284" s="10">
        <f t="shared" si="537"/>
        <v>0</v>
      </c>
      <c r="AR284" s="10">
        <f t="shared" si="537"/>
        <v>0</v>
      </c>
      <c r="AS284" s="10">
        <f t="shared" si="537"/>
        <v>0</v>
      </c>
      <c r="AT284" s="10">
        <f t="shared" si="537"/>
        <v>0</v>
      </c>
      <c r="AU284" s="10">
        <f t="shared" si="537"/>
        <v>0</v>
      </c>
      <c r="AV284" s="10">
        <f t="shared" si="537"/>
        <v>0</v>
      </c>
      <c r="AW284" s="10">
        <f t="shared" si="537"/>
        <v>0</v>
      </c>
      <c r="AX284" s="10">
        <f t="shared" si="537"/>
        <v>0</v>
      </c>
      <c r="AY284" s="10">
        <f t="shared" si="537"/>
        <v>0</v>
      </c>
      <c r="AZ284" s="10">
        <f t="shared" si="537"/>
        <v>0</v>
      </c>
      <c r="BA284" s="10">
        <f t="shared" si="537"/>
        <v>0</v>
      </c>
      <c r="BB284" s="10">
        <f t="shared" si="537"/>
        <v>0</v>
      </c>
      <c r="BC284" s="10">
        <f t="shared" si="537"/>
        <v>0</v>
      </c>
      <c r="BD284" s="10">
        <f t="shared" si="537"/>
        <v>0</v>
      </c>
      <c r="BE284" s="10">
        <f t="shared" si="537"/>
        <v>0</v>
      </c>
      <c r="BF284" s="10">
        <f t="shared" si="537"/>
        <v>0</v>
      </c>
      <c r="BG284" s="10">
        <f t="shared" si="537"/>
        <v>0</v>
      </c>
      <c r="BH284" s="10">
        <f t="shared" si="537"/>
        <v>0</v>
      </c>
      <c r="BI284" s="10">
        <f t="shared" si="537"/>
        <v>0</v>
      </c>
      <c r="BJ284" s="10">
        <f t="shared" si="537"/>
        <v>0</v>
      </c>
      <c r="BX284" s="10">
        <f t="shared" ref="BX284:CI284" si="538">0-BX130</f>
        <v>0</v>
      </c>
      <c r="BY284" s="10">
        <f t="shared" si="538"/>
        <v>0</v>
      </c>
      <c r="BZ284" s="10">
        <f t="shared" si="538"/>
        <v>0</v>
      </c>
      <c r="CA284" s="10">
        <f t="shared" si="538"/>
        <v>0</v>
      </c>
      <c r="CB284" s="10">
        <f t="shared" si="538"/>
        <v>0</v>
      </c>
      <c r="CC284" s="10">
        <f t="shared" si="538"/>
        <v>0</v>
      </c>
      <c r="CD284" s="10">
        <f t="shared" si="538"/>
        <v>0</v>
      </c>
      <c r="CE284" s="10">
        <f t="shared" si="538"/>
        <v>0</v>
      </c>
      <c r="CF284" s="10">
        <f t="shared" si="538"/>
        <v>0</v>
      </c>
      <c r="CG284" s="10">
        <f t="shared" si="538"/>
        <v>0</v>
      </c>
      <c r="CH284" s="10">
        <f t="shared" si="538"/>
        <v>0</v>
      </c>
      <c r="CI284" s="10">
        <f t="shared" si="538"/>
        <v>0</v>
      </c>
      <c r="CK284" s="11"/>
      <c r="CL284" s="221">
        <f>IF(MIN($V284:$CI284)&lt;0, 1, 0)</f>
        <v>0</v>
      </c>
      <c r="CM284" s="11"/>
      <c r="CW284" s="7">
        <f>IF(SUM($DB284:$DD284)=0, 0, 1)</f>
        <v>0</v>
      </c>
      <c r="CX284" s="7">
        <f>IF(SUM($DE284:$DG284)=0, 0, 1)</f>
        <v>0</v>
      </c>
      <c r="CY284" s="7">
        <f>IF($DH284=0, 0, 1)</f>
        <v>0</v>
      </c>
      <c r="CZ284" s="650"/>
      <c r="DA284" s="35"/>
      <c r="DB284" s="215">
        <f t="shared" ref="DB284:DD287" si="539">ROUND(W284-SUMIFS($AA284:$BJ284, $AA$3:$BJ$3, W$3), rounding)</f>
        <v>0</v>
      </c>
      <c r="DC284" s="215">
        <f t="shared" si="539"/>
        <v>0</v>
      </c>
      <c r="DD284" s="215">
        <f t="shared" si="539"/>
        <v>0</v>
      </c>
      <c r="DE284" s="215">
        <f>ROUND($BY284-SUMIFS($AA284:$BJ284, $AA$3:$BJ$3, $BY$3), rounding)</f>
        <v>0</v>
      </c>
      <c r="DF284" s="215">
        <f>ROUND($BZ284-SUMIFS($AA284:$BJ284, $AA$3:$BJ$3, $BZ$3), rounding)</f>
        <v>0</v>
      </c>
      <c r="DG284" s="215">
        <f>ROUND($CA284-SUMIFS($AA284:$BJ284, $AA$3:$BJ$3, $CA$3), rounding)</f>
        <v>0</v>
      </c>
      <c r="DH284" s="215">
        <f>ROUND($V284-$BX284, rounding)</f>
        <v>0</v>
      </c>
      <c r="DI284" s="35"/>
      <c r="DJ284">
        <v>0</v>
      </c>
      <c r="DK284">
        <v>0</v>
      </c>
      <c r="DL284" s="35"/>
      <c r="EZ284" s="12" t="str">
        <f t="shared" si="536"/>
        <v>Assets Held for Sale  Movement from Fixed Assets</v>
      </c>
    </row>
    <row r="285" spans="1:156" x14ac:dyDescent="0.35">
      <c r="A285" s="220" cm="1">
        <f t="array" aca="1" ref="A285" ca="1">HYPERLINK(CONCATENATE("#",CELL("address",IF(MAX($CM285:$CZ285)=0,A285,INDEX($CM285:$CZ285,MATCH(1,$CM285:$CZ285,0))))),MAX($CM285:$CZ285))</f>
        <v>0</v>
      </c>
      <c r="B285" s="4"/>
      <c r="C285" s="211" t="s">
        <v>945</v>
      </c>
      <c r="D285" s="33" t="s">
        <v>860</v>
      </c>
      <c r="E285" s="33"/>
      <c r="G285" s="8"/>
      <c r="H285" s="9" t="s">
        <v>646</v>
      </c>
      <c r="V285" s="10">
        <f>V$190</f>
        <v>0</v>
      </c>
      <c r="W285" s="10">
        <f>W$190</f>
        <v>0</v>
      </c>
      <c r="X285" s="10">
        <f>X$190</f>
        <v>0</v>
      </c>
      <c r="Y285" s="10">
        <f>Y$190</f>
        <v>0</v>
      </c>
      <c r="AA285" s="10">
        <f t="shared" ref="AA285:BJ285" si="540">AA$190</f>
        <v>0</v>
      </c>
      <c r="AB285" s="10">
        <f t="shared" si="540"/>
        <v>0</v>
      </c>
      <c r="AC285" s="10">
        <f t="shared" si="540"/>
        <v>0</v>
      </c>
      <c r="AD285" s="10">
        <f t="shared" si="540"/>
        <v>0</v>
      </c>
      <c r="AE285" s="10">
        <f t="shared" si="540"/>
        <v>0</v>
      </c>
      <c r="AF285" s="10">
        <f t="shared" si="540"/>
        <v>0</v>
      </c>
      <c r="AG285" s="10">
        <f t="shared" si="540"/>
        <v>0</v>
      </c>
      <c r="AH285" s="10">
        <f t="shared" si="540"/>
        <v>0</v>
      </c>
      <c r="AI285" s="10">
        <f t="shared" si="540"/>
        <v>0</v>
      </c>
      <c r="AJ285" s="10">
        <f t="shared" si="540"/>
        <v>0</v>
      </c>
      <c r="AK285" s="10">
        <f t="shared" si="540"/>
        <v>0</v>
      </c>
      <c r="AL285" s="10">
        <f t="shared" si="540"/>
        <v>0</v>
      </c>
      <c r="AM285" s="10">
        <f t="shared" si="540"/>
        <v>0</v>
      </c>
      <c r="AN285" s="10">
        <f t="shared" si="540"/>
        <v>0</v>
      </c>
      <c r="AO285" s="10">
        <f t="shared" si="540"/>
        <v>0</v>
      </c>
      <c r="AP285" s="10">
        <f t="shared" si="540"/>
        <v>0</v>
      </c>
      <c r="AQ285" s="10">
        <f t="shared" si="540"/>
        <v>0</v>
      </c>
      <c r="AR285" s="10">
        <f t="shared" si="540"/>
        <v>0</v>
      </c>
      <c r="AS285" s="10">
        <f t="shared" si="540"/>
        <v>0</v>
      </c>
      <c r="AT285" s="10">
        <f t="shared" si="540"/>
        <v>0</v>
      </c>
      <c r="AU285" s="10">
        <f t="shared" si="540"/>
        <v>0</v>
      </c>
      <c r="AV285" s="10">
        <f t="shared" si="540"/>
        <v>0</v>
      </c>
      <c r="AW285" s="10">
        <f t="shared" si="540"/>
        <v>0</v>
      </c>
      <c r="AX285" s="10">
        <f t="shared" si="540"/>
        <v>0</v>
      </c>
      <c r="AY285" s="10">
        <f t="shared" si="540"/>
        <v>0</v>
      </c>
      <c r="AZ285" s="10">
        <f t="shared" si="540"/>
        <v>0</v>
      </c>
      <c r="BA285" s="10">
        <f t="shared" si="540"/>
        <v>0</v>
      </c>
      <c r="BB285" s="10">
        <f t="shared" si="540"/>
        <v>0</v>
      </c>
      <c r="BC285" s="10">
        <f t="shared" si="540"/>
        <v>0</v>
      </c>
      <c r="BD285" s="10">
        <f t="shared" si="540"/>
        <v>0</v>
      </c>
      <c r="BE285" s="10">
        <f t="shared" si="540"/>
        <v>0</v>
      </c>
      <c r="BF285" s="10">
        <f t="shared" si="540"/>
        <v>0</v>
      </c>
      <c r="BG285" s="10">
        <f t="shared" si="540"/>
        <v>0</v>
      </c>
      <c r="BH285" s="10">
        <f t="shared" si="540"/>
        <v>0</v>
      </c>
      <c r="BI285" s="10">
        <f t="shared" si="540"/>
        <v>0</v>
      </c>
      <c r="BJ285" s="10">
        <f t="shared" si="540"/>
        <v>0</v>
      </c>
      <c r="BX285" s="10">
        <f t="shared" ref="BX285:CI285" si="541">BX$190</f>
        <v>0</v>
      </c>
      <c r="BY285" s="10">
        <f t="shared" si="541"/>
        <v>0</v>
      </c>
      <c r="BZ285" s="10">
        <f t="shared" si="541"/>
        <v>0</v>
      </c>
      <c r="CA285" s="10">
        <f t="shared" si="541"/>
        <v>0</v>
      </c>
      <c r="CB285" s="10">
        <f t="shared" si="541"/>
        <v>0</v>
      </c>
      <c r="CC285" s="10">
        <f t="shared" si="541"/>
        <v>0</v>
      </c>
      <c r="CD285" s="10">
        <f t="shared" si="541"/>
        <v>0</v>
      </c>
      <c r="CE285" s="10">
        <f t="shared" si="541"/>
        <v>0</v>
      </c>
      <c r="CF285" s="10">
        <f t="shared" si="541"/>
        <v>0</v>
      </c>
      <c r="CG285" s="10">
        <f t="shared" si="541"/>
        <v>0</v>
      </c>
      <c r="CH285" s="10">
        <f t="shared" si="541"/>
        <v>0</v>
      </c>
      <c r="CI285" s="10">
        <f t="shared" si="541"/>
        <v>0</v>
      </c>
      <c r="CK285" s="11"/>
      <c r="CL285" s="221">
        <f>IF(MAX($V285:$CI285)&gt;0, 1, 0)</f>
        <v>0</v>
      </c>
      <c r="CM285" s="11"/>
      <c r="CW285" s="7">
        <f>IF(SUM($DB285:$DD285)=0, 0, 1)</f>
        <v>0</v>
      </c>
      <c r="CX285" s="7">
        <f>IF(SUM($DE285:$DG285)=0, 0, 1)</f>
        <v>0</v>
      </c>
      <c r="CY285" s="7">
        <f>IF($DH285=0, 0, 1)</f>
        <v>0</v>
      </c>
      <c r="CZ285" s="650"/>
      <c r="DA285" s="35"/>
      <c r="DB285" s="215">
        <f t="shared" si="539"/>
        <v>0</v>
      </c>
      <c r="DC285" s="215">
        <f t="shared" si="539"/>
        <v>0</v>
      </c>
      <c r="DD285" s="215">
        <f t="shared" si="539"/>
        <v>0</v>
      </c>
      <c r="DE285" s="215">
        <f>ROUND($BY285-SUMIFS($AA285:$BJ285, $AA$3:$BJ$3, $BY$3), rounding)</f>
        <v>0</v>
      </c>
      <c r="DF285" s="215">
        <f>ROUND($BZ285-SUMIFS($AA285:$BJ285, $AA$3:$BJ$3, $BZ$3), rounding)</f>
        <v>0</v>
      </c>
      <c r="DG285" s="215">
        <f>ROUND($CA285-SUMIFS($AA285:$BJ285, $AA$3:$BJ$3, $CA$3), rounding)</f>
        <v>0</v>
      </c>
      <c r="DH285" s="215">
        <f>ROUND($V285-$BX285, rounding)</f>
        <v>0</v>
      </c>
      <c r="DI285" s="35"/>
      <c r="DJ285">
        <v>0</v>
      </c>
      <c r="DK285">
        <v>0</v>
      </c>
      <c r="DL285" s="35"/>
      <c r="EZ285" s="12" t="str">
        <f t="shared" si="536"/>
        <v>Assets Held for Sale  Disposals</v>
      </c>
    </row>
    <row r="286" spans="1:156" x14ac:dyDescent="0.35">
      <c r="A286" s="220" cm="1">
        <f t="array" aca="1" ref="A286" ca="1">HYPERLINK(CONCATENATE("#",CELL("address",IF(MAX($CM286:$CZ286)=0,A286,INDEX($CM286:$CZ286,MATCH(1,$CM286:$CZ286,0))))),MAX($CM286:$CZ286))</f>
        <v>0</v>
      </c>
      <c r="C286" s="211" t="s">
        <v>946</v>
      </c>
      <c r="D286" s="1" t="s">
        <v>901</v>
      </c>
      <c r="E286" s="85" t="s">
        <v>122</v>
      </c>
      <c r="G286" s="8"/>
      <c r="H286" s="9" t="s">
        <v>403</v>
      </c>
      <c r="V286" s="109"/>
      <c r="W286" s="133">
        <f xml:space="preserve"> SUMIFS($AA286:$BJ286, $AA$3:$BJ$3, W$3)</f>
        <v>0</v>
      </c>
      <c r="X286" s="133">
        <f xml:space="preserve"> SUMIFS($AA286:$BJ286, $AA$3:$BJ$3, X$3)</f>
        <v>0</v>
      </c>
      <c r="Y286" s="133">
        <f xml:space="preserve"> SUMIFS($AA286:$BJ286, $AA$3:$BJ$3, Y$3)</f>
        <v>0</v>
      </c>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X286" s="12">
        <f>V286</f>
        <v>0</v>
      </c>
      <c r="BY286" s="12">
        <f>W286</f>
        <v>0</v>
      </c>
      <c r="BZ286" s="12">
        <f>X286</f>
        <v>0</v>
      </c>
      <c r="CA286" s="12">
        <f>Y286</f>
        <v>0</v>
      </c>
      <c r="CB286" s="109"/>
      <c r="CC286" s="109"/>
      <c r="CD286" s="109"/>
      <c r="CE286" s="109"/>
      <c r="CF286" s="109"/>
      <c r="CG286" s="109"/>
      <c r="CH286" s="109"/>
      <c r="CI286" s="109"/>
      <c r="CK286" s="11"/>
      <c r="CM286" s="11"/>
      <c r="CU286" s="7" cm="1">
        <f t="array" ref="CU286">SUMPRODUCT(--NOT(ISNUMBER(V286:CI286)),--NOT(ISBLANK(V286:CI286)))</f>
        <v>0</v>
      </c>
      <c r="CW286" s="7">
        <f>IF(SUM($DB286:$DD286)=0, 0, 1)</f>
        <v>0</v>
      </c>
      <c r="CX286" s="7">
        <f>IF(SUM($DE286:$DG286)=0, 0, 1)</f>
        <v>0</v>
      </c>
      <c r="CY286" s="7">
        <f>IF($DH286=0, 0, 1)</f>
        <v>0</v>
      </c>
      <c r="CZ286" s="650"/>
      <c r="DA286" s="35"/>
      <c r="DB286" s="215">
        <f t="shared" si="539"/>
        <v>0</v>
      </c>
      <c r="DC286" s="215">
        <f t="shared" si="539"/>
        <v>0</v>
      </c>
      <c r="DD286" s="215">
        <f t="shared" si="539"/>
        <v>0</v>
      </c>
      <c r="DE286" s="215">
        <f>ROUND($BY286-SUMIFS($AA286:$BJ286, $AA$3:$BJ$3, $BY$3), rounding)</f>
        <v>0</v>
      </c>
      <c r="DF286" s="215">
        <f>ROUND($BZ286-SUMIFS($AA286:$BJ286, $AA$3:$BJ$3, $BZ$3), rounding)</f>
        <v>0</v>
      </c>
      <c r="DG286" s="215">
        <f>ROUND($CA286-SUMIFS($AA286:$BJ286, $AA$3:$BJ$3, $CA$3), rounding)</f>
        <v>0</v>
      </c>
      <c r="DH286" s="215">
        <f>ROUND($V286-$BX286, rounding)</f>
        <v>0</v>
      </c>
      <c r="DI286" s="35"/>
      <c r="DJ286">
        <v>1</v>
      </c>
      <c r="DK286">
        <v>1</v>
      </c>
      <c r="DL286" s="35"/>
      <c r="EZ286" s="12" t="str">
        <f t="shared" si="536"/>
        <v>Assets Held for Sale  Movement due to mergers</v>
      </c>
    </row>
    <row r="287" spans="1:156" x14ac:dyDescent="0.35">
      <c r="A287" s="220" cm="1">
        <f t="array" aca="1" ref="A287" ca="1">HYPERLINK(CONCATENATE("#",CELL("address",IF(MAX($CM287:$CZ287)=0,A287,INDEX($CM287:$CZ287,MATCH(1,$CM287:$CZ287,0))))),MAX($CM287:$CZ287))</f>
        <v>0</v>
      </c>
      <c r="C287" s="211" t="s">
        <v>947</v>
      </c>
      <c r="D287" s="33" t="s">
        <v>903</v>
      </c>
      <c r="E287" s="33" t="s">
        <v>904</v>
      </c>
      <c r="G287" s="8"/>
      <c r="H287" s="9" t="s">
        <v>646</v>
      </c>
      <c r="V287" s="10">
        <f>V$353</f>
        <v>0</v>
      </c>
      <c r="W287" s="10">
        <f>W$353</f>
        <v>0</v>
      </c>
      <c r="X287" s="10">
        <f>X$353</f>
        <v>0</v>
      </c>
      <c r="Y287" s="10">
        <f>Y$353</f>
        <v>0</v>
      </c>
      <c r="AA287" s="10">
        <f t="shared" ref="AA287:BJ287" si="542">AA$353</f>
        <v>0</v>
      </c>
      <c r="AB287" s="10">
        <f t="shared" si="542"/>
        <v>0</v>
      </c>
      <c r="AC287" s="10">
        <f t="shared" si="542"/>
        <v>0</v>
      </c>
      <c r="AD287" s="10">
        <f t="shared" si="542"/>
        <v>0</v>
      </c>
      <c r="AE287" s="10">
        <f t="shared" si="542"/>
        <v>0</v>
      </c>
      <c r="AF287" s="10">
        <f t="shared" si="542"/>
        <v>0</v>
      </c>
      <c r="AG287" s="10">
        <f t="shared" si="542"/>
        <v>0</v>
      </c>
      <c r="AH287" s="10">
        <f t="shared" si="542"/>
        <v>0</v>
      </c>
      <c r="AI287" s="10">
        <f t="shared" si="542"/>
        <v>0</v>
      </c>
      <c r="AJ287" s="10">
        <f t="shared" si="542"/>
        <v>0</v>
      </c>
      <c r="AK287" s="10">
        <f t="shared" si="542"/>
        <v>0</v>
      </c>
      <c r="AL287" s="10">
        <f t="shared" si="542"/>
        <v>0</v>
      </c>
      <c r="AM287" s="10">
        <f t="shared" si="542"/>
        <v>0</v>
      </c>
      <c r="AN287" s="10">
        <f t="shared" si="542"/>
        <v>0</v>
      </c>
      <c r="AO287" s="10">
        <f t="shared" si="542"/>
        <v>0</v>
      </c>
      <c r="AP287" s="10">
        <f t="shared" si="542"/>
        <v>0</v>
      </c>
      <c r="AQ287" s="10">
        <f t="shared" si="542"/>
        <v>0</v>
      </c>
      <c r="AR287" s="10">
        <f t="shared" si="542"/>
        <v>0</v>
      </c>
      <c r="AS287" s="10">
        <f t="shared" si="542"/>
        <v>0</v>
      </c>
      <c r="AT287" s="10">
        <f t="shared" si="542"/>
        <v>0</v>
      </c>
      <c r="AU287" s="10">
        <f t="shared" si="542"/>
        <v>0</v>
      </c>
      <c r="AV287" s="10">
        <f t="shared" si="542"/>
        <v>0</v>
      </c>
      <c r="AW287" s="10">
        <f t="shared" si="542"/>
        <v>0</v>
      </c>
      <c r="AX287" s="10">
        <f t="shared" si="542"/>
        <v>0</v>
      </c>
      <c r="AY287" s="10">
        <f t="shared" si="542"/>
        <v>0</v>
      </c>
      <c r="AZ287" s="10">
        <f t="shared" si="542"/>
        <v>0</v>
      </c>
      <c r="BA287" s="10">
        <f t="shared" si="542"/>
        <v>0</v>
      </c>
      <c r="BB287" s="10">
        <f t="shared" si="542"/>
        <v>0</v>
      </c>
      <c r="BC287" s="10">
        <f t="shared" si="542"/>
        <v>0</v>
      </c>
      <c r="BD287" s="10">
        <f t="shared" si="542"/>
        <v>0</v>
      </c>
      <c r="BE287" s="10">
        <f t="shared" si="542"/>
        <v>0</v>
      </c>
      <c r="BF287" s="10">
        <f t="shared" si="542"/>
        <v>0</v>
      </c>
      <c r="BG287" s="10">
        <f t="shared" si="542"/>
        <v>0</v>
      </c>
      <c r="BH287" s="10">
        <f t="shared" si="542"/>
        <v>0</v>
      </c>
      <c r="BI287" s="10">
        <f t="shared" si="542"/>
        <v>0</v>
      </c>
      <c r="BJ287" s="10">
        <f t="shared" si="542"/>
        <v>0</v>
      </c>
      <c r="BX287" s="10">
        <f t="shared" ref="BX287:CI287" si="543">BX$353</f>
        <v>0</v>
      </c>
      <c r="BY287" s="10">
        <f t="shared" si="543"/>
        <v>0</v>
      </c>
      <c r="BZ287" s="10">
        <f t="shared" si="543"/>
        <v>0</v>
      </c>
      <c r="CA287" s="10">
        <f t="shared" si="543"/>
        <v>0</v>
      </c>
      <c r="CB287" s="10">
        <f t="shared" si="543"/>
        <v>0</v>
      </c>
      <c r="CC287" s="10">
        <f t="shared" si="543"/>
        <v>0</v>
      </c>
      <c r="CD287" s="10">
        <f t="shared" si="543"/>
        <v>0</v>
      </c>
      <c r="CE287" s="10">
        <f t="shared" si="543"/>
        <v>0</v>
      </c>
      <c r="CF287" s="10">
        <f t="shared" si="543"/>
        <v>0</v>
      </c>
      <c r="CG287" s="10">
        <f t="shared" si="543"/>
        <v>0</v>
      </c>
      <c r="CH287" s="10">
        <f t="shared" si="543"/>
        <v>0</v>
      </c>
      <c r="CI287" s="10">
        <f t="shared" si="543"/>
        <v>0</v>
      </c>
      <c r="CK287" s="11"/>
      <c r="CM287" s="11"/>
      <c r="CW287" s="7">
        <f>IF(SUM($DB287:$DD287)=0, 0, 1)</f>
        <v>0</v>
      </c>
      <c r="CX287" s="7">
        <f>IF(SUM($DE287:$DG287)=0, 0, 1)</f>
        <v>0</v>
      </c>
      <c r="CY287" s="7">
        <f>IF($DH287=0, 0, 1)</f>
        <v>0</v>
      </c>
      <c r="CZ287" s="650"/>
      <c r="DA287" s="35"/>
      <c r="DB287" s="215">
        <f t="shared" si="539"/>
        <v>0</v>
      </c>
      <c r="DC287" s="215">
        <f t="shared" si="539"/>
        <v>0</v>
      </c>
      <c r="DD287" s="215">
        <f t="shared" si="539"/>
        <v>0</v>
      </c>
      <c r="DE287" s="215">
        <f>ROUND($BY287-SUMIFS($AA287:$BJ287, $AA$3:$BJ$3, $BY$3), rounding)</f>
        <v>0</v>
      </c>
      <c r="DF287" s="215">
        <f>ROUND($BZ287-SUMIFS($AA287:$BJ287, $AA$3:$BJ$3, $BZ$3), rounding)</f>
        <v>0</v>
      </c>
      <c r="DG287" s="215">
        <f>ROUND($CA287-SUMIFS($AA287:$BJ287, $AA$3:$BJ$3, $CA$3), rounding)</f>
        <v>0</v>
      </c>
      <c r="DH287" s="215">
        <f>ROUND($V287-$BX287, rounding)</f>
        <v>0</v>
      </c>
      <c r="DI287" s="35"/>
      <c r="DJ287">
        <v>0</v>
      </c>
      <c r="DK287">
        <v>0</v>
      </c>
      <c r="DL287" s="35"/>
      <c r="EZ287" s="12" t="str">
        <f t="shared" si="536"/>
        <v>Assets Held for Sale  NCA Reclassification</v>
      </c>
    </row>
    <row r="288" spans="1:156" x14ac:dyDescent="0.35">
      <c r="A288" s="220" cm="1">
        <f t="array" aca="1" ref="A288" ca="1">HYPERLINK(CONCATENATE("#",CELL("address",IF(MAX($CM288:$CZ288)=0,A288,INDEX($CM288:$CZ288,MATCH(1,$CM288:$CZ288,0))))),MAX($CM288:$CZ288))</f>
        <v>0</v>
      </c>
      <c r="B288" s="4"/>
      <c r="C288" s="211" t="s">
        <v>948</v>
      </c>
      <c r="D288" s="33" t="s">
        <v>906</v>
      </c>
      <c r="E288" s="215">
        <f>ROUND(V288-SUM(V283:V287), rounding)*'Fin Stat'!$V$9</f>
        <v>0</v>
      </c>
      <c r="G288" s="8"/>
      <c r="V288" s="12">
        <f>'Opening Balances'!W21</f>
        <v>0</v>
      </c>
      <c r="W288" s="10">
        <f>SUM(W283:W287)</f>
        <v>0</v>
      </c>
      <c r="X288" s="10">
        <f>SUM(X283:X287)</f>
        <v>0</v>
      </c>
      <c r="Y288" s="10">
        <f>SUM(Y283:Y287)</f>
        <v>0</v>
      </c>
      <c r="AA288" s="10">
        <f t="shared" ref="AA288:BJ288" si="544">SUM(AA283:AA287)</f>
        <v>0</v>
      </c>
      <c r="AB288" s="10">
        <f t="shared" si="544"/>
        <v>0</v>
      </c>
      <c r="AC288" s="10">
        <f t="shared" si="544"/>
        <v>0</v>
      </c>
      <c r="AD288" s="10">
        <f t="shared" si="544"/>
        <v>0</v>
      </c>
      <c r="AE288" s="10">
        <f t="shared" si="544"/>
        <v>0</v>
      </c>
      <c r="AF288" s="10">
        <f t="shared" si="544"/>
        <v>0</v>
      </c>
      <c r="AG288" s="10">
        <f t="shared" si="544"/>
        <v>0</v>
      </c>
      <c r="AH288" s="10">
        <f t="shared" si="544"/>
        <v>0</v>
      </c>
      <c r="AI288" s="10">
        <f t="shared" si="544"/>
        <v>0</v>
      </c>
      <c r="AJ288" s="10">
        <f t="shared" si="544"/>
        <v>0</v>
      </c>
      <c r="AK288" s="10">
        <f t="shared" si="544"/>
        <v>0</v>
      </c>
      <c r="AL288" s="10">
        <f t="shared" si="544"/>
        <v>0</v>
      </c>
      <c r="AM288" s="10">
        <f t="shared" si="544"/>
        <v>0</v>
      </c>
      <c r="AN288" s="10">
        <f t="shared" si="544"/>
        <v>0</v>
      </c>
      <c r="AO288" s="10">
        <f t="shared" si="544"/>
        <v>0</v>
      </c>
      <c r="AP288" s="10">
        <f t="shared" si="544"/>
        <v>0</v>
      </c>
      <c r="AQ288" s="10">
        <f t="shared" si="544"/>
        <v>0</v>
      </c>
      <c r="AR288" s="10">
        <f t="shared" si="544"/>
        <v>0</v>
      </c>
      <c r="AS288" s="10">
        <f t="shared" si="544"/>
        <v>0</v>
      </c>
      <c r="AT288" s="10">
        <f t="shared" si="544"/>
        <v>0</v>
      </c>
      <c r="AU288" s="10">
        <f t="shared" si="544"/>
        <v>0</v>
      </c>
      <c r="AV288" s="10">
        <f t="shared" si="544"/>
        <v>0</v>
      </c>
      <c r="AW288" s="10">
        <f t="shared" si="544"/>
        <v>0</v>
      </c>
      <c r="AX288" s="10">
        <f t="shared" si="544"/>
        <v>0</v>
      </c>
      <c r="AY288" s="10">
        <f t="shared" si="544"/>
        <v>0</v>
      </c>
      <c r="AZ288" s="10">
        <f t="shared" si="544"/>
        <v>0</v>
      </c>
      <c r="BA288" s="10">
        <f t="shared" si="544"/>
        <v>0</v>
      </c>
      <c r="BB288" s="10">
        <f t="shared" si="544"/>
        <v>0</v>
      </c>
      <c r="BC288" s="10">
        <f t="shared" si="544"/>
        <v>0</v>
      </c>
      <c r="BD288" s="10">
        <f t="shared" si="544"/>
        <v>0</v>
      </c>
      <c r="BE288" s="10">
        <f t="shared" si="544"/>
        <v>0</v>
      </c>
      <c r="BF288" s="10">
        <f t="shared" si="544"/>
        <v>0</v>
      </c>
      <c r="BG288" s="10">
        <f t="shared" si="544"/>
        <v>0</v>
      </c>
      <c r="BH288" s="10">
        <f t="shared" si="544"/>
        <v>0</v>
      </c>
      <c r="BI288" s="10">
        <f t="shared" si="544"/>
        <v>0</v>
      </c>
      <c r="BJ288" s="10">
        <f t="shared" si="544"/>
        <v>0</v>
      </c>
      <c r="BX288" s="12">
        <f>V288</f>
        <v>0</v>
      </c>
      <c r="BY288" s="10">
        <f t="shared" ref="BY288:CI288" si="545">SUM(BY283:BY287)</f>
        <v>0</v>
      </c>
      <c r="BZ288" s="10">
        <f t="shared" si="545"/>
        <v>0</v>
      </c>
      <c r="CA288" s="10">
        <f t="shared" si="545"/>
        <v>0</v>
      </c>
      <c r="CB288" s="10">
        <f t="shared" si="545"/>
        <v>0</v>
      </c>
      <c r="CC288" s="10">
        <f t="shared" si="545"/>
        <v>0</v>
      </c>
      <c r="CD288" s="10">
        <f t="shared" si="545"/>
        <v>0</v>
      </c>
      <c r="CE288" s="10">
        <f t="shared" si="545"/>
        <v>0</v>
      </c>
      <c r="CF288" s="10">
        <f t="shared" si="545"/>
        <v>0</v>
      </c>
      <c r="CG288" s="10">
        <f t="shared" si="545"/>
        <v>0</v>
      </c>
      <c r="CH288" s="10">
        <f t="shared" si="545"/>
        <v>0</v>
      </c>
      <c r="CI288" s="10">
        <f t="shared" si="545"/>
        <v>0</v>
      </c>
      <c r="CK288" s="11"/>
      <c r="CM288" s="11"/>
      <c r="CS288" s="7">
        <f>IF(ABS($E288)&gt;Parameters!$D$33, 1, 0)</f>
        <v>0</v>
      </c>
      <c r="CW288" s="7">
        <f>IF(SUM($DB288:$DD288)=0, 0, 1)</f>
        <v>0</v>
      </c>
      <c r="CX288" s="7">
        <f>IF(SUM($DE288:$DG288)=0, 0, 1)</f>
        <v>0</v>
      </c>
      <c r="CY288" s="7">
        <f>IF($DH288=0, 0, 1)</f>
        <v>0</v>
      </c>
      <c r="CZ288" s="650"/>
      <c r="DA288" s="35"/>
      <c r="DB288" s="215">
        <f>ROUND(W288-INDEX($AA288:$BJ288, MATCH(W$5,$AA$5:$BJ$5,0)), rounding)</f>
        <v>0</v>
      </c>
      <c r="DC288" s="215">
        <f>ROUND(X288-INDEX($AA288:$BJ288, MATCH(X$5,$AA$5:$BJ$5,0)), rounding)</f>
        <v>0</v>
      </c>
      <c r="DD288" s="215">
        <f>ROUND(Y288-INDEX($AA288:$BJ288, MATCH(Y$5,$AA$5:$BJ$5,0)), rounding)</f>
        <v>0</v>
      </c>
      <c r="DE288" s="215">
        <f>ROUND(BY288-INDEX($AA288:$BJ288, MATCH(BY$5,$AA$5:$BJ$5,0)), rounding)</f>
        <v>0</v>
      </c>
      <c r="DF288" s="215">
        <f>ROUND(BZ288-INDEX($AA288:$BJ288, MATCH(BZ$5,$AA$5:$BJ$5,0)), rounding)</f>
        <v>0</v>
      </c>
      <c r="DG288" s="215">
        <f>ROUND(CA288-INDEX($AA288:$BJ288, MATCH(CA$5,$AA$5:$BJ$5,0)), rounding)</f>
        <v>0</v>
      </c>
      <c r="DH288" s="215">
        <f>ROUND($V288-$BX288, rounding)</f>
        <v>0</v>
      </c>
      <c r="DI288" s="35"/>
      <c r="DJ288">
        <v>0</v>
      </c>
      <c r="DK288">
        <v>0</v>
      </c>
      <c r="DL288" s="35"/>
      <c r="EZ288" s="12" t="str">
        <f t="shared" si="536"/>
        <v>Assets Held for Sale  Closing Balance</v>
      </c>
    </row>
    <row r="289" spans="1:156" ht="6.75" customHeight="1" x14ac:dyDescent="0.35">
      <c r="B289" s="2"/>
      <c r="C289" s="234"/>
      <c r="D289" s="1"/>
      <c r="E289"/>
      <c r="CK289" s="35"/>
      <c r="CM289" s="35"/>
      <c r="CZ289" s="650"/>
      <c r="DA289" s="35"/>
      <c r="DI289" s="35"/>
      <c r="DJ289">
        <v>0</v>
      </c>
      <c r="DK289">
        <v>0</v>
      </c>
      <c r="DL289" s="35"/>
      <c r="EZ289" s="10" t="str">
        <f>IF($C289="","",$D289)</f>
        <v/>
      </c>
    </row>
    <row r="290" spans="1:156" x14ac:dyDescent="0.35">
      <c r="A290" s="220" cm="1">
        <f t="array" aca="1" ref="A290" ca="1">HYPERLINK(CONCATENATE("#",CELL("address",IF(MAX($CM290:$CZ290)=0,A290,INDEX($CM290:$CZ290,MATCH(1,$CM290:$CZ290,0))))),MAX($CM290:$CZ290))</f>
        <v>0</v>
      </c>
      <c r="B290" s="2"/>
      <c r="C290" s="234"/>
      <c r="D290" s="1" t="s">
        <v>949</v>
      </c>
      <c r="E290"/>
      <c r="V290" s="7">
        <f>IF(V288&lt;0, 1, 0)*'BS Forecasts'!V$10</f>
        <v>0</v>
      </c>
      <c r="W290" s="7">
        <f>IF(W288&lt;0, 1, 0)*'BS Forecasts'!W$10</f>
        <v>0</v>
      </c>
      <c r="X290" s="7">
        <f>IF(X288&lt;0, 1, 0)*'BS Forecasts'!X$10</f>
        <v>0</v>
      </c>
      <c r="Y290" s="7">
        <f>IF(Y288&lt;0, 1, 0)*'BS Forecasts'!Y$10</f>
        <v>0</v>
      </c>
      <c r="AA290" s="7">
        <f>IF(AA288&lt;0, 1, 0)*'BS Forecasts'!AA$10</f>
        <v>0</v>
      </c>
      <c r="AB290" s="7">
        <f>IF(AB288&lt;0, 1, 0)*'BS Forecasts'!AB$10</f>
        <v>0</v>
      </c>
      <c r="AC290" s="7">
        <f>IF(AC288&lt;0, 1, 0)*'BS Forecasts'!AC$10</f>
        <v>0</v>
      </c>
      <c r="AD290" s="7">
        <f>IF(AD288&lt;0, 1, 0)*'BS Forecasts'!AD$10</f>
        <v>0</v>
      </c>
      <c r="AE290" s="7">
        <f>IF(AE288&lt;0, 1, 0)*'BS Forecasts'!AE$10</f>
        <v>0</v>
      </c>
      <c r="AF290" s="7">
        <f>IF(AF288&lt;0, 1, 0)*'BS Forecasts'!AF$10</f>
        <v>0</v>
      </c>
      <c r="AG290" s="7">
        <f>IF(AG288&lt;0, 1, 0)*'BS Forecasts'!AG$10</f>
        <v>0</v>
      </c>
      <c r="AH290" s="7">
        <f>IF(AH288&lt;0, 1, 0)*'BS Forecasts'!AH$10</f>
        <v>0</v>
      </c>
      <c r="AI290" s="7">
        <f>IF(AI288&lt;0, 1, 0)*'BS Forecasts'!AI$10</f>
        <v>0</v>
      </c>
      <c r="AJ290" s="7">
        <f>IF(AJ288&lt;0, 1, 0)*'BS Forecasts'!AJ$10</f>
        <v>0</v>
      </c>
      <c r="AK290" s="7">
        <f>IF(AK288&lt;0, 1, 0)*'BS Forecasts'!AK$10</f>
        <v>0</v>
      </c>
      <c r="AL290" s="7">
        <f>IF(AL288&lt;0, 1, 0)*'BS Forecasts'!AL$10</f>
        <v>0</v>
      </c>
      <c r="AM290" s="7">
        <f>IF(AM288&lt;0, 1, 0)*'BS Forecasts'!AM$10</f>
        <v>0</v>
      </c>
      <c r="AN290" s="7">
        <f>IF(AN288&lt;0, 1, 0)*'BS Forecasts'!AN$10</f>
        <v>0</v>
      </c>
      <c r="AO290" s="7">
        <f>IF(AO288&lt;0, 1, 0)*'BS Forecasts'!AO$10</f>
        <v>0</v>
      </c>
      <c r="AP290" s="7">
        <f>IF(AP288&lt;0, 1, 0)*'BS Forecasts'!AP$10</f>
        <v>0</v>
      </c>
      <c r="AQ290" s="7">
        <f>IF(AQ288&lt;0, 1, 0)*'BS Forecasts'!AQ$10</f>
        <v>0</v>
      </c>
      <c r="AR290" s="7">
        <f>IF(AR288&lt;0, 1, 0)*'BS Forecasts'!AR$10</f>
        <v>0</v>
      </c>
      <c r="AS290" s="7">
        <f>IF(AS288&lt;0, 1, 0)*'BS Forecasts'!AS$10</f>
        <v>0</v>
      </c>
      <c r="AT290" s="7">
        <f>IF(AT288&lt;0, 1, 0)*'BS Forecasts'!AT$10</f>
        <v>0</v>
      </c>
      <c r="AU290" s="7">
        <f>IF(AU288&lt;0, 1, 0)*'BS Forecasts'!AU$10</f>
        <v>0</v>
      </c>
      <c r="AV290" s="7">
        <f>IF(AV288&lt;0, 1, 0)*'BS Forecasts'!AV$10</f>
        <v>0</v>
      </c>
      <c r="AW290" s="7">
        <f>IF(AW288&lt;0, 1, 0)*'BS Forecasts'!AW$10</f>
        <v>0</v>
      </c>
      <c r="AX290" s="7">
        <f>IF(AX288&lt;0, 1, 0)*'BS Forecasts'!AX$10</f>
        <v>0</v>
      </c>
      <c r="AY290" s="7">
        <f>IF(AY288&lt;0, 1, 0)*'BS Forecasts'!AY$10</f>
        <v>0</v>
      </c>
      <c r="AZ290" s="7">
        <f>IF(AZ288&lt;0, 1, 0)*'BS Forecasts'!AZ$10</f>
        <v>0</v>
      </c>
      <c r="BA290" s="7">
        <f>IF(BA288&lt;0, 1, 0)*'BS Forecasts'!BA$10</f>
        <v>0</v>
      </c>
      <c r="BB290" s="7">
        <f>IF(BB288&lt;0, 1, 0)*'BS Forecasts'!BB$10</f>
        <v>0</v>
      </c>
      <c r="BC290" s="7">
        <f>IF(BC288&lt;0, 1, 0)*'BS Forecasts'!BC$10</f>
        <v>0</v>
      </c>
      <c r="BD290" s="7">
        <f>IF(BD288&lt;0, 1, 0)*'BS Forecasts'!BD$10</f>
        <v>0</v>
      </c>
      <c r="BE290" s="7">
        <f>IF(BE288&lt;0, 1, 0)*'BS Forecasts'!BE$10</f>
        <v>0</v>
      </c>
      <c r="BF290" s="7">
        <f>IF(BF288&lt;0, 1, 0)*'BS Forecasts'!BF$10</f>
        <v>0</v>
      </c>
      <c r="BG290" s="7">
        <f>IF(BG288&lt;0, 1, 0)*'BS Forecasts'!BG$10</f>
        <v>0</v>
      </c>
      <c r="BH290" s="7">
        <f>IF(BH288&lt;0, 1, 0)*'BS Forecasts'!BH$10</f>
        <v>0</v>
      </c>
      <c r="BI290" s="7">
        <f>IF(BI288&lt;0, 1, 0)*'BS Forecasts'!BI$10</f>
        <v>0</v>
      </c>
      <c r="BJ290" s="7">
        <f>IF(BJ288&lt;0, 1, 0)*'BS Forecasts'!BJ$10</f>
        <v>0</v>
      </c>
      <c r="BX290" s="7">
        <f>IF(BX288&lt;0, 1, 0)*'BS Forecasts'!BX$10</f>
        <v>0</v>
      </c>
      <c r="BY290" s="7">
        <f>IF(BY288&lt;0, 1, 0)*'BS Forecasts'!BY$10</f>
        <v>0</v>
      </c>
      <c r="BZ290" s="7">
        <f>IF(BZ288&lt;0, 1, 0)*'BS Forecasts'!BZ$10</f>
        <v>0</v>
      </c>
      <c r="CA290" s="7">
        <f>IF(CA288&lt;0, 1, 0)*'BS Forecasts'!CA$10</f>
        <v>0</v>
      </c>
      <c r="CB290" s="7">
        <f>IF(CB288&lt;0, 1, 0)*'BS Forecasts'!CB$10</f>
        <v>0</v>
      </c>
      <c r="CC290" s="7">
        <f>IF(CC288&lt;0, 1, 0)*'BS Forecasts'!CC$10</f>
        <v>0</v>
      </c>
      <c r="CD290" s="7">
        <f>IF(CD288&lt;0, 1, 0)*'BS Forecasts'!CD$10</f>
        <v>0</v>
      </c>
      <c r="CE290" s="7">
        <f>IF(CE288&lt;0, 1, 0)*'BS Forecasts'!CE$10</f>
        <v>0</v>
      </c>
      <c r="CF290" s="7">
        <f>IF(CF288&lt;0, 1, 0)*'BS Forecasts'!CF$10</f>
        <v>0</v>
      </c>
      <c r="CG290" s="7">
        <f>IF(CG288&lt;0, 1, 0)*'BS Forecasts'!CG$10</f>
        <v>0</v>
      </c>
      <c r="CH290" s="7">
        <f>IF(CH288&lt;0, 1, 0)*'BS Forecasts'!CH$10</f>
        <v>0</v>
      </c>
      <c r="CI290" s="7">
        <f>IF(CI288&lt;0, 1, 0)*'BS Forecasts'!CI$10</f>
        <v>0</v>
      </c>
      <c r="CK290" s="11"/>
      <c r="CM290" s="11"/>
      <c r="CR290" s="7">
        <f>IF(SUM(V290:CI290)=0, 0, 1)</f>
        <v>0</v>
      </c>
      <c r="CZ290" s="650"/>
      <c r="DA290" s="35"/>
      <c r="DI290" s="35"/>
      <c r="DJ290">
        <v>0</v>
      </c>
      <c r="DK290">
        <v>0</v>
      </c>
      <c r="DL290" s="35"/>
      <c r="EZ290" s="10" t="str">
        <f>IF($C290="","",$D290)</f>
        <v/>
      </c>
    </row>
    <row r="291" spans="1:156" ht="6.75" customHeight="1" x14ac:dyDescent="0.35">
      <c r="B291" s="2"/>
      <c r="C291" s="234"/>
      <c r="D291" s="1"/>
      <c r="E291"/>
      <c r="CK291" s="35"/>
      <c r="CM291" s="35"/>
      <c r="CZ291" s="650"/>
      <c r="DA291" s="35"/>
      <c r="DI291" s="35"/>
      <c r="DJ291">
        <v>0</v>
      </c>
      <c r="DK291">
        <v>0</v>
      </c>
      <c r="DL291" s="35"/>
      <c r="EZ291" s="10" t="str">
        <f>IF($C291="","",$D291)</f>
        <v/>
      </c>
    </row>
    <row r="292" spans="1:156" x14ac:dyDescent="0.35">
      <c r="B292" s="97"/>
      <c r="C292" s="234"/>
      <c r="D292" s="24" t="s">
        <v>687</v>
      </c>
      <c r="E292"/>
      <c r="CK292" s="11"/>
      <c r="CM292" s="11"/>
      <c r="CZ292" s="650"/>
      <c r="DA292" s="35"/>
      <c r="DI292" s="35"/>
      <c r="DJ292">
        <v>0</v>
      </c>
      <c r="DK292">
        <v>0</v>
      </c>
      <c r="DL292" s="35"/>
      <c r="EZ292" s="10" t="str">
        <f>IF($C292="","",$D292)</f>
        <v/>
      </c>
    </row>
    <row r="293" spans="1:156" x14ac:dyDescent="0.35">
      <c r="B293" s="2"/>
      <c r="C293" s="211" t="str">
        <f>CONCATENATE("II-",'Opening Balances'!$C$48)</f>
        <v>II-B-3j-OB</v>
      </c>
      <c r="D293" s="33" t="s">
        <v>890</v>
      </c>
      <c r="E293" s="33"/>
      <c r="G293" s="8"/>
      <c r="H293" s="9" t="s">
        <v>665</v>
      </c>
      <c r="V293" s="12">
        <f>'Opening Balances'!$V$48</f>
        <v>0</v>
      </c>
      <c r="W293" s="10">
        <f>V298</f>
        <v>0</v>
      </c>
      <c r="X293" s="10">
        <f>W298</f>
        <v>0</v>
      </c>
      <c r="Y293" s="10">
        <f>X298</f>
        <v>0</v>
      </c>
      <c r="AA293" s="10">
        <f>W293</f>
        <v>0</v>
      </c>
      <c r="AB293" s="10">
        <f t="shared" ref="AB293:BJ293" si="546">AA298</f>
        <v>0</v>
      </c>
      <c r="AC293" s="10">
        <f t="shared" si="546"/>
        <v>0</v>
      </c>
      <c r="AD293" s="10">
        <f t="shared" si="546"/>
        <v>0</v>
      </c>
      <c r="AE293" s="10">
        <f t="shared" si="546"/>
        <v>0</v>
      </c>
      <c r="AF293" s="10">
        <f t="shared" si="546"/>
        <v>0</v>
      </c>
      <c r="AG293" s="10">
        <f t="shared" si="546"/>
        <v>0</v>
      </c>
      <c r="AH293" s="10">
        <f t="shared" si="546"/>
        <v>0</v>
      </c>
      <c r="AI293" s="10">
        <f t="shared" si="546"/>
        <v>0</v>
      </c>
      <c r="AJ293" s="10">
        <f t="shared" si="546"/>
        <v>0</v>
      </c>
      <c r="AK293" s="10">
        <f t="shared" si="546"/>
        <v>0</v>
      </c>
      <c r="AL293" s="10">
        <f t="shared" si="546"/>
        <v>0</v>
      </c>
      <c r="AM293" s="10">
        <f t="shared" si="546"/>
        <v>0</v>
      </c>
      <c r="AN293" s="10">
        <f t="shared" si="546"/>
        <v>0</v>
      </c>
      <c r="AO293" s="10">
        <f t="shared" si="546"/>
        <v>0</v>
      </c>
      <c r="AP293" s="10">
        <f t="shared" si="546"/>
        <v>0</v>
      </c>
      <c r="AQ293" s="10">
        <f t="shared" si="546"/>
        <v>0</v>
      </c>
      <c r="AR293" s="10">
        <f t="shared" si="546"/>
        <v>0</v>
      </c>
      <c r="AS293" s="10">
        <f t="shared" si="546"/>
        <v>0</v>
      </c>
      <c r="AT293" s="10">
        <f t="shared" si="546"/>
        <v>0</v>
      </c>
      <c r="AU293" s="10">
        <f t="shared" si="546"/>
        <v>0</v>
      </c>
      <c r="AV293" s="10">
        <f t="shared" si="546"/>
        <v>0</v>
      </c>
      <c r="AW293" s="10">
        <f t="shared" si="546"/>
        <v>0</v>
      </c>
      <c r="AX293" s="10">
        <f t="shared" si="546"/>
        <v>0</v>
      </c>
      <c r="AY293" s="10">
        <f t="shared" si="546"/>
        <v>0</v>
      </c>
      <c r="AZ293" s="10">
        <f t="shared" si="546"/>
        <v>0</v>
      </c>
      <c r="BA293" s="10">
        <f t="shared" si="546"/>
        <v>0</v>
      </c>
      <c r="BB293" s="10">
        <f t="shared" si="546"/>
        <v>0</v>
      </c>
      <c r="BC293" s="10">
        <f t="shared" si="546"/>
        <v>0</v>
      </c>
      <c r="BD293" s="10">
        <f t="shared" si="546"/>
        <v>0</v>
      </c>
      <c r="BE293" s="10">
        <f t="shared" si="546"/>
        <v>0</v>
      </c>
      <c r="BF293" s="10">
        <f t="shared" si="546"/>
        <v>0</v>
      </c>
      <c r="BG293" s="10">
        <f t="shared" si="546"/>
        <v>0</v>
      </c>
      <c r="BH293" s="10">
        <f t="shared" si="546"/>
        <v>0</v>
      </c>
      <c r="BI293" s="10">
        <f t="shared" si="546"/>
        <v>0</v>
      </c>
      <c r="BJ293" s="10">
        <f t="shared" si="546"/>
        <v>0</v>
      </c>
      <c r="BX293" s="12">
        <f t="shared" ref="BX293:CA298" si="547">V293</f>
        <v>0</v>
      </c>
      <c r="BY293" s="12">
        <f t="shared" si="547"/>
        <v>0</v>
      </c>
      <c r="BZ293" s="12">
        <f t="shared" si="547"/>
        <v>0</v>
      </c>
      <c r="CA293" s="12">
        <f t="shared" si="547"/>
        <v>0</v>
      </c>
      <c r="CB293" s="10">
        <f t="shared" ref="CB293:CI293" si="548">CA298</f>
        <v>0</v>
      </c>
      <c r="CC293" s="10">
        <f t="shared" si="548"/>
        <v>0</v>
      </c>
      <c r="CD293" s="10">
        <f t="shared" si="548"/>
        <v>0</v>
      </c>
      <c r="CE293" s="10">
        <f t="shared" si="548"/>
        <v>0</v>
      </c>
      <c r="CF293" s="10">
        <f t="shared" si="548"/>
        <v>0</v>
      </c>
      <c r="CG293" s="10">
        <f t="shared" si="548"/>
        <v>0</v>
      </c>
      <c r="CH293" s="10">
        <f t="shared" si="548"/>
        <v>0</v>
      </c>
      <c r="CI293" s="10">
        <f t="shared" si="548"/>
        <v>0</v>
      </c>
      <c r="CK293" s="11"/>
      <c r="CM293" s="11"/>
      <c r="CZ293" s="650"/>
      <c r="DA293" s="35"/>
      <c r="DI293" s="35"/>
      <c r="DJ293">
        <v>0</v>
      </c>
      <c r="DK293">
        <v>0</v>
      </c>
      <c r="DL293" s="35"/>
      <c r="EZ293" s="12" t="str">
        <f t="shared" ref="EZ293:EZ298" si="549">IF($C293="","",CONCATENATE(D$292, " ",$D293))</f>
        <v>Fixed Asset Retentions Opening Balance</v>
      </c>
    </row>
    <row r="294" spans="1:156" x14ac:dyDescent="0.35">
      <c r="A294" s="220" cm="1">
        <f t="array" aca="1" ref="A294" ca="1">HYPERLINK(CONCATENATE("#",CELL("address",IF(MAX($CM294:$CZ294)=0,A294,INDEX($CM294:$CZ294,MATCH(1,$CM294:$CZ294,0))))),MAX($CM294:$CZ294))</f>
        <v>0</v>
      </c>
      <c r="B294" s="4"/>
      <c r="C294" s="211" t="s">
        <v>950</v>
      </c>
      <c r="D294" s="33" t="str">
        <f>Parameters!$D$45</f>
        <v>Land &amp; Buildings</v>
      </c>
      <c r="E294" s="33"/>
      <c r="G294" s="8"/>
      <c r="H294" s="9" t="s">
        <v>317</v>
      </c>
      <c r="V294" s="109"/>
      <c r="W294" s="133">
        <f t="shared" ref="W294:Y297" si="550" xml:space="preserve"> SUMIFS($AA294:$BJ294, $AA$3:$BJ$3, W$3)</f>
        <v>0</v>
      </c>
      <c r="X294" s="133">
        <f t="shared" si="550"/>
        <v>0</v>
      </c>
      <c r="Y294" s="133">
        <f t="shared" si="550"/>
        <v>0</v>
      </c>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c r="AU294" s="114"/>
      <c r="AV294" s="114"/>
      <c r="AW294" s="114"/>
      <c r="AX294" s="114"/>
      <c r="AY294" s="114"/>
      <c r="AZ294" s="114"/>
      <c r="BA294" s="114"/>
      <c r="BB294" s="114"/>
      <c r="BC294" s="114"/>
      <c r="BD294" s="114"/>
      <c r="BE294" s="114"/>
      <c r="BF294" s="114"/>
      <c r="BG294" s="114"/>
      <c r="BH294" s="114"/>
      <c r="BI294" s="114"/>
      <c r="BJ294" s="114"/>
      <c r="BX294" s="12">
        <f t="shared" si="547"/>
        <v>0</v>
      </c>
      <c r="BY294" s="12">
        <f t="shared" si="547"/>
        <v>0</v>
      </c>
      <c r="BZ294" s="12">
        <f t="shared" si="547"/>
        <v>0</v>
      </c>
      <c r="CA294" s="12">
        <f t="shared" si="547"/>
        <v>0</v>
      </c>
      <c r="CB294" s="109"/>
      <c r="CC294" s="109"/>
      <c r="CD294" s="109"/>
      <c r="CE294" s="109"/>
      <c r="CF294" s="109"/>
      <c r="CG294" s="109"/>
      <c r="CH294" s="109"/>
      <c r="CI294" s="109"/>
      <c r="CK294" s="11"/>
      <c r="CM294" s="11"/>
      <c r="CU294" s="7" cm="1">
        <f t="array" ref="CU294">SUMPRODUCT(--NOT(ISNUMBER(V294:CI294)),--NOT(ISBLANK(V294:CI294)))</f>
        <v>0</v>
      </c>
      <c r="CW294" s="7">
        <f>IF(SUM($DB294:$DD294)=0, 0, 1)</f>
        <v>0</v>
      </c>
      <c r="CX294" s="7">
        <f>IF(SUM($DE294:$DG294)=0, 0, 1)</f>
        <v>0</v>
      </c>
      <c r="CY294" s="7">
        <f>IF($DH294=0, 0, 1)</f>
        <v>0</v>
      </c>
      <c r="CZ294" s="650"/>
      <c r="DA294" s="35"/>
      <c r="DB294" s="215">
        <f t="shared" ref="DB294:DD297" si="551">ROUND(W294-SUMIFS($AA294:$BJ294, $AA$3:$BJ$3, W$3), rounding)</f>
        <v>0</v>
      </c>
      <c r="DC294" s="215">
        <f t="shared" si="551"/>
        <v>0</v>
      </c>
      <c r="DD294" s="215">
        <f t="shared" si="551"/>
        <v>0</v>
      </c>
      <c r="DE294" s="215">
        <f>ROUND($BY294-SUMIFS($AA294:$BJ294, $AA$3:$BJ$3, $BY$3), rounding)</f>
        <v>0</v>
      </c>
      <c r="DF294" s="215">
        <f>ROUND($BZ294-SUMIFS($AA294:$BJ294, $AA$3:$BJ$3, $BZ$3), rounding)</f>
        <v>0</v>
      </c>
      <c r="DG294" s="215">
        <f>ROUND($CA294-SUMIFS($AA294:$BJ294, $AA$3:$BJ$3, $CA$3), rounding)</f>
        <v>0</v>
      </c>
      <c r="DH294" s="215">
        <f>ROUND($V294-$BX294, rounding)</f>
        <v>0</v>
      </c>
      <c r="DI294" s="35"/>
      <c r="DJ294">
        <v>1</v>
      </c>
      <c r="DK294">
        <v>1</v>
      </c>
      <c r="DL294" s="35"/>
      <c r="EZ294" s="12" t="str">
        <f t="shared" si="549"/>
        <v>Fixed Asset Retentions Land &amp; Buildings</v>
      </c>
    </row>
    <row r="295" spans="1:156" x14ac:dyDescent="0.35">
      <c r="A295" s="220" cm="1">
        <f t="array" aca="1" ref="A295" ca="1">HYPERLINK(CONCATENATE("#",CELL("address",IF(MAX($CM295:$CZ295)=0,A295,INDEX($CM295:$CZ295,MATCH(1,$CM295:$CZ295,0))))),MAX($CM295:$CZ295))</f>
        <v>0</v>
      </c>
      <c r="B295" s="4"/>
      <c r="C295" s="211" t="s">
        <v>951</v>
      </c>
      <c r="D295" s="33" t="str">
        <f>Parameters!$D$46</f>
        <v>Equipment</v>
      </c>
      <c r="E295" s="33"/>
      <c r="G295" s="8"/>
      <c r="H295" s="9" t="s">
        <v>317</v>
      </c>
      <c r="V295" s="109"/>
      <c r="W295" s="133">
        <f t="shared" si="550"/>
        <v>0</v>
      </c>
      <c r="X295" s="133">
        <f t="shared" si="550"/>
        <v>0</v>
      </c>
      <c r="Y295" s="133">
        <f t="shared" si="550"/>
        <v>0</v>
      </c>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X295" s="12">
        <f t="shared" si="547"/>
        <v>0</v>
      </c>
      <c r="BY295" s="12">
        <f t="shared" si="547"/>
        <v>0</v>
      </c>
      <c r="BZ295" s="12">
        <f t="shared" si="547"/>
        <v>0</v>
      </c>
      <c r="CA295" s="12">
        <f t="shared" si="547"/>
        <v>0</v>
      </c>
      <c r="CB295" s="109"/>
      <c r="CC295" s="109"/>
      <c r="CD295" s="109"/>
      <c r="CE295" s="109"/>
      <c r="CF295" s="109"/>
      <c r="CG295" s="109"/>
      <c r="CH295" s="109"/>
      <c r="CI295" s="109"/>
      <c r="CK295" s="11"/>
      <c r="CM295" s="11"/>
      <c r="CU295" s="7" cm="1">
        <f t="array" ref="CU295">SUMPRODUCT(--NOT(ISNUMBER(V295:CI295)),--NOT(ISBLANK(V295:CI295)))</f>
        <v>0</v>
      </c>
      <c r="CW295" s="7">
        <f>IF(SUM($DB295:$DD295)=0, 0, 1)</f>
        <v>0</v>
      </c>
      <c r="CX295" s="7">
        <f>IF(SUM($DE295:$DG295)=0, 0, 1)</f>
        <v>0</v>
      </c>
      <c r="CY295" s="7">
        <f>IF($DH295=0, 0, 1)</f>
        <v>0</v>
      </c>
      <c r="CZ295" s="650"/>
      <c r="DA295" s="35"/>
      <c r="DB295" s="215">
        <f t="shared" si="551"/>
        <v>0</v>
      </c>
      <c r="DC295" s="215">
        <f t="shared" si="551"/>
        <v>0</v>
      </c>
      <c r="DD295" s="215">
        <f t="shared" si="551"/>
        <v>0</v>
      </c>
      <c r="DE295" s="215">
        <f>ROUND($BY295-SUMIFS($AA295:$BJ295, $AA$3:$BJ$3, $BY$3), rounding)</f>
        <v>0</v>
      </c>
      <c r="DF295" s="215">
        <f>ROUND($BZ295-SUMIFS($AA295:$BJ295, $AA$3:$BJ$3, $BZ$3), rounding)</f>
        <v>0</v>
      </c>
      <c r="DG295" s="215">
        <f>ROUND($CA295-SUMIFS($AA295:$BJ295, $AA$3:$BJ$3, $CA$3), rounding)</f>
        <v>0</v>
      </c>
      <c r="DH295" s="215">
        <f>ROUND($V295-$BX295, rounding)</f>
        <v>0</v>
      </c>
      <c r="DI295" s="35"/>
      <c r="DJ295">
        <v>1</v>
      </c>
      <c r="DK295">
        <v>1</v>
      </c>
      <c r="DL295" s="35"/>
      <c r="EZ295" s="12" t="str">
        <f t="shared" si="549"/>
        <v>Fixed Asset Retentions Equipment</v>
      </c>
    </row>
    <row r="296" spans="1:156" x14ac:dyDescent="0.35">
      <c r="A296" s="220" cm="1">
        <f t="array" aca="1" ref="A296" ca="1">HYPERLINK(CONCATENATE("#",CELL("address",IF(MAX($CM296:$CZ296)=0,A296,INDEX($CM296:$CZ296,MATCH(1,$CM296:$CZ296,0))))),MAX($CM296:$CZ296))</f>
        <v>0</v>
      </c>
      <c r="B296" s="4"/>
      <c r="C296" s="211" t="s">
        <v>952</v>
      </c>
      <c r="D296" s="33" t="str">
        <f>Parameters!$D$47</f>
        <v>Investments</v>
      </c>
      <c r="E296" s="85" t="s">
        <v>122</v>
      </c>
      <c r="G296" s="8"/>
      <c r="H296" s="9" t="s">
        <v>317</v>
      </c>
      <c r="V296" s="109"/>
      <c r="W296" s="133">
        <f t="shared" si="550"/>
        <v>0</v>
      </c>
      <c r="X296" s="133">
        <f t="shared" si="550"/>
        <v>0</v>
      </c>
      <c r="Y296" s="133">
        <f t="shared" si="550"/>
        <v>0</v>
      </c>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X296" s="12">
        <f t="shared" si="547"/>
        <v>0</v>
      </c>
      <c r="BY296" s="12">
        <f t="shared" si="547"/>
        <v>0</v>
      </c>
      <c r="BZ296" s="12">
        <f t="shared" si="547"/>
        <v>0</v>
      </c>
      <c r="CA296" s="12">
        <f t="shared" si="547"/>
        <v>0</v>
      </c>
      <c r="CB296" s="109"/>
      <c r="CC296" s="109"/>
      <c r="CD296" s="109"/>
      <c r="CE296" s="109"/>
      <c r="CF296" s="109"/>
      <c r="CG296" s="109"/>
      <c r="CH296" s="109"/>
      <c r="CI296" s="109"/>
      <c r="CK296" s="11"/>
      <c r="CM296" s="11"/>
      <c r="CU296" s="7" cm="1">
        <f t="array" ref="CU296">SUMPRODUCT(--NOT(ISNUMBER(V296:CI296)),--NOT(ISBLANK(V296:CI296)))</f>
        <v>0</v>
      </c>
      <c r="CW296" s="7">
        <f>IF(SUM($DB296:$DD296)=0, 0, 1)</f>
        <v>0</v>
      </c>
      <c r="CX296" s="7">
        <f>IF(SUM($DE296:$DG296)=0, 0, 1)</f>
        <v>0</v>
      </c>
      <c r="CY296" s="7">
        <f>IF($DH296=0, 0, 1)</f>
        <v>0</v>
      </c>
      <c r="CZ296" s="650"/>
      <c r="DA296" s="35"/>
      <c r="DB296" s="215">
        <f t="shared" si="551"/>
        <v>0</v>
      </c>
      <c r="DC296" s="215">
        <f t="shared" si="551"/>
        <v>0</v>
      </c>
      <c r="DD296" s="215">
        <f t="shared" si="551"/>
        <v>0</v>
      </c>
      <c r="DE296" s="215">
        <f>ROUND($BY296-SUMIFS($AA296:$BJ296, $AA$3:$BJ$3, $BY$3), rounding)</f>
        <v>0</v>
      </c>
      <c r="DF296" s="215">
        <f>ROUND($BZ296-SUMIFS($AA296:$BJ296, $AA$3:$BJ$3, $BZ$3), rounding)</f>
        <v>0</v>
      </c>
      <c r="DG296" s="215">
        <f>ROUND($CA296-SUMIFS($AA296:$BJ296, $AA$3:$BJ$3, $CA$3), rounding)</f>
        <v>0</v>
      </c>
      <c r="DH296" s="215">
        <f>ROUND($V296-$BX296, rounding)</f>
        <v>0</v>
      </c>
      <c r="DI296" s="35"/>
      <c r="DJ296">
        <v>1</v>
      </c>
      <c r="DK296">
        <v>1</v>
      </c>
      <c r="DL296" s="35"/>
      <c r="EZ296" s="12" t="str">
        <f t="shared" si="549"/>
        <v>Fixed Asset Retentions Investments</v>
      </c>
    </row>
    <row r="297" spans="1:156" x14ac:dyDescent="0.35">
      <c r="A297" s="220" cm="1">
        <f t="array" aca="1" ref="A297" ca="1">HYPERLINK(CONCATENATE("#",CELL("address",IF(MAX($CM297:$CZ297)=0,A297,INDEX($CM297:$CZ297,MATCH(1,$CM297:$CZ297,0))))),MAX($CM297:$CZ297))</f>
        <v>0</v>
      </c>
      <c r="B297" s="4"/>
      <c r="C297" s="211" t="s">
        <v>953</v>
      </c>
      <c r="D297" s="33" t="str">
        <f>Parameters!$D$48</f>
        <v>Other NCA</v>
      </c>
      <c r="E297" s="33" t="s">
        <v>904</v>
      </c>
      <c r="G297" s="8"/>
      <c r="H297" s="9" t="s">
        <v>317</v>
      </c>
      <c r="V297" s="109"/>
      <c r="W297" s="133">
        <f t="shared" si="550"/>
        <v>0</v>
      </c>
      <c r="X297" s="133">
        <f t="shared" si="550"/>
        <v>0</v>
      </c>
      <c r="Y297" s="133">
        <f t="shared" si="550"/>
        <v>0</v>
      </c>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X297" s="12">
        <f t="shared" si="547"/>
        <v>0</v>
      </c>
      <c r="BY297" s="12">
        <f t="shared" si="547"/>
        <v>0</v>
      </c>
      <c r="BZ297" s="12">
        <f t="shared" si="547"/>
        <v>0</v>
      </c>
      <c r="CA297" s="12">
        <f t="shared" si="547"/>
        <v>0</v>
      </c>
      <c r="CB297" s="109"/>
      <c r="CC297" s="109"/>
      <c r="CD297" s="109"/>
      <c r="CE297" s="109"/>
      <c r="CF297" s="109"/>
      <c r="CG297" s="109"/>
      <c r="CH297" s="109"/>
      <c r="CI297" s="109"/>
      <c r="CK297" s="11"/>
      <c r="CM297" s="11"/>
      <c r="CU297" s="7" cm="1">
        <f t="array" ref="CU297">SUMPRODUCT(--NOT(ISNUMBER(V297:CI297)),--NOT(ISBLANK(V297:CI297)))</f>
        <v>0</v>
      </c>
      <c r="CW297" s="7">
        <f>IF(SUM($DB297:$DD297)=0, 0, 1)</f>
        <v>0</v>
      </c>
      <c r="CX297" s="7">
        <f>IF(SUM($DE297:$DG297)=0, 0, 1)</f>
        <v>0</v>
      </c>
      <c r="CY297" s="7">
        <f>IF($DH297=0, 0, 1)</f>
        <v>0</v>
      </c>
      <c r="CZ297" s="650"/>
      <c r="DA297" s="35"/>
      <c r="DB297" s="215">
        <f t="shared" si="551"/>
        <v>0</v>
      </c>
      <c r="DC297" s="215">
        <f t="shared" si="551"/>
        <v>0</v>
      </c>
      <c r="DD297" s="215">
        <f t="shared" si="551"/>
        <v>0</v>
      </c>
      <c r="DE297" s="215">
        <f>ROUND($BY297-SUMIFS($AA297:$BJ297, $AA$3:$BJ$3, $BY$3), rounding)</f>
        <v>0</v>
      </c>
      <c r="DF297" s="215">
        <f>ROUND($BZ297-SUMIFS($AA297:$BJ297, $AA$3:$BJ$3, $BZ$3), rounding)</f>
        <v>0</v>
      </c>
      <c r="DG297" s="215">
        <f>ROUND($CA297-SUMIFS($AA297:$BJ297, $AA$3:$BJ$3, $CA$3), rounding)</f>
        <v>0</v>
      </c>
      <c r="DH297" s="215">
        <f>ROUND($V297-$BX297, rounding)</f>
        <v>0</v>
      </c>
      <c r="DI297" s="35"/>
      <c r="DJ297">
        <v>1</v>
      </c>
      <c r="DK297">
        <v>1</v>
      </c>
      <c r="DL297" s="35"/>
      <c r="EZ297" s="12" t="str">
        <f t="shared" si="549"/>
        <v>Fixed Asset Retentions Other NCA</v>
      </c>
    </row>
    <row r="298" spans="1:156" x14ac:dyDescent="0.35">
      <c r="A298" s="220" cm="1">
        <f t="array" aca="1" ref="A298" ca="1">HYPERLINK(CONCATENATE("#",CELL("address",IF(MAX($CM298:$CZ298)=0,A298,INDEX($CM298:$CZ298,MATCH(1,$CM298:$CZ298,0))))),MAX($CM298:$CZ298))</f>
        <v>0</v>
      </c>
      <c r="B298" s="4"/>
      <c r="C298" s="211" t="s">
        <v>954</v>
      </c>
      <c r="D298" s="1" t="s">
        <v>906</v>
      </c>
      <c r="E298" s="215">
        <f>ROUND(V298-SUM(V293:V297), rounding)*'Fin Stat'!$V$9</f>
        <v>0</v>
      </c>
      <c r="G298" s="8"/>
      <c r="H298" s="9" t="s">
        <v>665</v>
      </c>
      <c r="V298" s="12">
        <f>'Opening Balances'!W48</f>
        <v>0</v>
      </c>
      <c r="W298" s="10">
        <f>SUM(W293:W297)</f>
        <v>0</v>
      </c>
      <c r="X298" s="10">
        <f>SUM(X293:X297)</f>
        <v>0</v>
      </c>
      <c r="Y298" s="10">
        <f>SUM(Y293:Y297)</f>
        <v>0</v>
      </c>
      <c r="AA298" s="10">
        <f t="shared" ref="AA298:BJ298" si="552">SUM(AA293:AA297)</f>
        <v>0</v>
      </c>
      <c r="AB298" s="10">
        <f t="shared" si="552"/>
        <v>0</v>
      </c>
      <c r="AC298" s="10">
        <f t="shared" si="552"/>
        <v>0</v>
      </c>
      <c r="AD298" s="10">
        <f t="shared" si="552"/>
        <v>0</v>
      </c>
      <c r="AE298" s="10">
        <f t="shared" si="552"/>
        <v>0</v>
      </c>
      <c r="AF298" s="10">
        <f t="shared" si="552"/>
        <v>0</v>
      </c>
      <c r="AG298" s="10">
        <f t="shared" si="552"/>
        <v>0</v>
      </c>
      <c r="AH298" s="10">
        <f t="shared" si="552"/>
        <v>0</v>
      </c>
      <c r="AI298" s="10">
        <f t="shared" si="552"/>
        <v>0</v>
      </c>
      <c r="AJ298" s="10">
        <f t="shared" si="552"/>
        <v>0</v>
      </c>
      <c r="AK298" s="10">
        <f t="shared" si="552"/>
        <v>0</v>
      </c>
      <c r="AL298" s="10">
        <f t="shared" si="552"/>
        <v>0</v>
      </c>
      <c r="AM298" s="10">
        <f t="shared" si="552"/>
        <v>0</v>
      </c>
      <c r="AN298" s="10">
        <f t="shared" si="552"/>
        <v>0</v>
      </c>
      <c r="AO298" s="10">
        <f t="shared" si="552"/>
        <v>0</v>
      </c>
      <c r="AP298" s="10">
        <f t="shared" si="552"/>
        <v>0</v>
      </c>
      <c r="AQ298" s="10">
        <f t="shared" si="552"/>
        <v>0</v>
      </c>
      <c r="AR298" s="10">
        <f t="shared" si="552"/>
        <v>0</v>
      </c>
      <c r="AS298" s="10">
        <f t="shared" si="552"/>
        <v>0</v>
      </c>
      <c r="AT298" s="10">
        <f t="shared" si="552"/>
        <v>0</v>
      </c>
      <c r="AU298" s="10">
        <f t="shared" si="552"/>
        <v>0</v>
      </c>
      <c r="AV298" s="10">
        <f t="shared" si="552"/>
        <v>0</v>
      </c>
      <c r="AW298" s="10">
        <f t="shared" si="552"/>
        <v>0</v>
      </c>
      <c r="AX298" s="10">
        <f t="shared" si="552"/>
        <v>0</v>
      </c>
      <c r="AY298" s="10">
        <f t="shared" si="552"/>
        <v>0</v>
      </c>
      <c r="AZ298" s="10">
        <f t="shared" si="552"/>
        <v>0</v>
      </c>
      <c r="BA298" s="10">
        <f t="shared" si="552"/>
        <v>0</v>
      </c>
      <c r="BB298" s="10">
        <f t="shared" si="552"/>
        <v>0</v>
      </c>
      <c r="BC298" s="10">
        <f t="shared" si="552"/>
        <v>0</v>
      </c>
      <c r="BD298" s="10">
        <f t="shared" si="552"/>
        <v>0</v>
      </c>
      <c r="BE298" s="10">
        <f t="shared" si="552"/>
        <v>0</v>
      </c>
      <c r="BF298" s="10">
        <f t="shared" si="552"/>
        <v>0</v>
      </c>
      <c r="BG298" s="10">
        <f t="shared" si="552"/>
        <v>0</v>
      </c>
      <c r="BH298" s="10">
        <f t="shared" si="552"/>
        <v>0</v>
      </c>
      <c r="BI298" s="10">
        <f t="shared" si="552"/>
        <v>0</v>
      </c>
      <c r="BJ298" s="10">
        <f t="shared" si="552"/>
        <v>0</v>
      </c>
      <c r="BX298" s="12">
        <f t="shared" si="547"/>
        <v>0</v>
      </c>
      <c r="BY298" s="12">
        <f t="shared" si="547"/>
        <v>0</v>
      </c>
      <c r="BZ298" s="12">
        <f t="shared" si="547"/>
        <v>0</v>
      </c>
      <c r="CA298" s="12">
        <f t="shared" si="547"/>
        <v>0</v>
      </c>
      <c r="CB298" s="10">
        <f t="shared" ref="CB298:CI298" si="553">SUM(CB293:CB297)</f>
        <v>0</v>
      </c>
      <c r="CC298" s="10">
        <f t="shared" si="553"/>
        <v>0</v>
      </c>
      <c r="CD298" s="10">
        <f t="shared" si="553"/>
        <v>0</v>
      </c>
      <c r="CE298" s="10">
        <f t="shared" si="553"/>
        <v>0</v>
      </c>
      <c r="CF298" s="10">
        <f t="shared" si="553"/>
        <v>0</v>
      </c>
      <c r="CG298" s="10">
        <f t="shared" si="553"/>
        <v>0</v>
      </c>
      <c r="CH298" s="10">
        <f t="shared" si="553"/>
        <v>0</v>
      </c>
      <c r="CI298" s="10">
        <f t="shared" si="553"/>
        <v>0</v>
      </c>
      <c r="CK298" s="11"/>
      <c r="CM298" s="11"/>
      <c r="CW298" s="7">
        <f>IF(SUM($DB298:$DD298)=0, 0, 1)</f>
        <v>0</v>
      </c>
      <c r="CX298" s="7">
        <f>IF(SUM($DE298:$DG298)=0, 0, 1)</f>
        <v>0</v>
      </c>
      <c r="CY298" s="7">
        <f>IF($DH298=0, 0, 1)</f>
        <v>0</v>
      </c>
      <c r="CZ298" s="650"/>
      <c r="DA298" s="35"/>
      <c r="DB298" s="215">
        <f>ROUND(W298-INDEX($AA298:$BJ298, MATCH(W$5,$AA$5:$BJ$5,0)), rounding)</f>
        <v>0</v>
      </c>
      <c r="DC298" s="215">
        <f>ROUND(X298-INDEX($AA298:$BJ298, MATCH(X$5,$AA$5:$BJ$5,0)), rounding)</f>
        <v>0</v>
      </c>
      <c r="DD298" s="215">
        <f>ROUND(Y298-INDEX($AA298:$BJ298, MATCH(Y$5,$AA$5:$BJ$5,0)), rounding)</f>
        <v>0</v>
      </c>
      <c r="DE298" s="215">
        <f>ROUND(BY298-INDEX($AA298:$BJ298, MATCH(BY$5,$AA$5:$BJ$5,0)), rounding)</f>
        <v>0</v>
      </c>
      <c r="DF298" s="215">
        <f>ROUND(BZ298-INDEX($AA298:$BJ298, MATCH(BZ$5,$AA$5:$BJ$5,0)), rounding)</f>
        <v>0</v>
      </c>
      <c r="DG298" s="215">
        <f>ROUND(CA298-INDEX($AA298:$BJ298, MATCH(CA$5,$AA$5:$BJ$5,0)), rounding)</f>
        <v>0</v>
      </c>
      <c r="DH298" s="215">
        <f>ROUND($V298-$BX298, rounding)</f>
        <v>0</v>
      </c>
      <c r="DI298" s="35"/>
      <c r="DJ298">
        <v>0</v>
      </c>
      <c r="DK298">
        <v>0</v>
      </c>
      <c r="DL298" s="35"/>
      <c r="EZ298" s="12" t="str">
        <f t="shared" si="549"/>
        <v>Fixed Asset Retentions Closing Balance</v>
      </c>
    </row>
    <row r="299" spans="1:156" ht="6.75" customHeight="1" x14ac:dyDescent="0.35">
      <c r="B299" s="2"/>
      <c r="C299" s="234"/>
      <c r="D299" s="1"/>
      <c r="E299"/>
      <c r="CK299" s="35"/>
      <c r="CM299" s="35"/>
      <c r="CZ299" s="650"/>
      <c r="DA299" s="35"/>
      <c r="DI299" s="35"/>
      <c r="DJ299">
        <v>0</v>
      </c>
      <c r="DK299">
        <v>0</v>
      </c>
      <c r="DL299" s="35"/>
      <c r="EZ299" s="10" t="str">
        <f>IF($C299="","",$D299)</f>
        <v/>
      </c>
    </row>
    <row r="300" spans="1:156" x14ac:dyDescent="0.35">
      <c r="B300" s="97"/>
      <c r="C300" s="234"/>
      <c r="D300" s="24" t="s">
        <v>955</v>
      </c>
      <c r="E300"/>
      <c r="CK300" s="11"/>
      <c r="CM300" s="11"/>
      <c r="CZ300" s="650"/>
      <c r="DA300" s="35"/>
      <c r="DI300" s="35"/>
      <c r="DJ300">
        <v>0</v>
      </c>
      <c r="DK300">
        <v>0</v>
      </c>
      <c r="DL300" s="35"/>
      <c r="EZ300" s="10" t="str">
        <f>IF($C300="","",$D300)</f>
        <v/>
      </c>
    </row>
    <row r="301" spans="1:156" x14ac:dyDescent="0.35">
      <c r="A301" s="220" cm="1">
        <f t="array" aca="1" ref="A301" ca="1">HYPERLINK(CONCATENATE("#",CELL("address",IF(MAX($CM301:$CZ301)=0,A301,INDEX($CM301:$CZ301,MATCH(1,$CM301:$CZ301,0))))),MAX($CM301:$CZ301))</f>
        <v>0</v>
      </c>
      <c r="B301" s="4"/>
      <c r="C301" s="211" t="s">
        <v>956</v>
      </c>
      <c r="D301" s="33" t="str">
        <f>Parameters!$D$39</f>
        <v>Land &amp; Buildings</v>
      </c>
      <c r="E301" s="33"/>
      <c r="G301" s="8"/>
      <c r="H301" s="9" t="s">
        <v>403</v>
      </c>
      <c r="V301" s="10">
        <f t="shared" ref="V301:Y304" si="554">V42</f>
        <v>0</v>
      </c>
      <c r="W301" s="10">
        <f t="shared" si="554"/>
        <v>0</v>
      </c>
      <c r="X301" s="10">
        <f t="shared" si="554"/>
        <v>0</v>
      </c>
      <c r="Y301" s="10">
        <f t="shared" si="554"/>
        <v>0</v>
      </c>
      <c r="AA301" s="10">
        <f t="shared" ref="AA301:BJ301" si="555">AA42</f>
        <v>0</v>
      </c>
      <c r="AB301" s="10">
        <f t="shared" si="555"/>
        <v>0</v>
      </c>
      <c r="AC301" s="10">
        <f t="shared" si="555"/>
        <v>0</v>
      </c>
      <c r="AD301" s="10">
        <f t="shared" si="555"/>
        <v>0</v>
      </c>
      <c r="AE301" s="10">
        <f t="shared" si="555"/>
        <v>0</v>
      </c>
      <c r="AF301" s="10">
        <f t="shared" si="555"/>
        <v>0</v>
      </c>
      <c r="AG301" s="10">
        <f t="shared" si="555"/>
        <v>0</v>
      </c>
      <c r="AH301" s="10">
        <f t="shared" si="555"/>
        <v>0</v>
      </c>
      <c r="AI301" s="10">
        <f t="shared" si="555"/>
        <v>0</v>
      </c>
      <c r="AJ301" s="10">
        <f t="shared" si="555"/>
        <v>0</v>
      </c>
      <c r="AK301" s="10">
        <f t="shared" si="555"/>
        <v>0</v>
      </c>
      <c r="AL301" s="10">
        <f t="shared" si="555"/>
        <v>0</v>
      </c>
      <c r="AM301" s="10">
        <f t="shared" si="555"/>
        <v>0</v>
      </c>
      <c r="AN301" s="10">
        <f t="shared" si="555"/>
        <v>0</v>
      </c>
      <c r="AO301" s="10">
        <f t="shared" si="555"/>
        <v>0</v>
      </c>
      <c r="AP301" s="10">
        <f t="shared" si="555"/>
        <v>0</v>
      </c>
      <c r="AQ301" s="10">
        <f t="shared" si="555"/>
        <v>0</v>
      </c>
      <c r="AR301" s="10">
        <f t="shared" si="555"/>
        <v>0</v>
      </c>
      <c r="AS301" s="10">
        <f t="shared" si="555"/>
        <v>0</v>
      </c>
      <c r="AT301" s="10">
        <f t="shared" si="555"/>
        <v>0</v>
      </c>
      <c r="AU301" s="10">
        <f t="shared" si="555"/>
        <v>0</v>
      </c>
      <c r="AV301" s="10">
        <f t="shared" si="555"/>
        <v>0</v>
      </c>
      <c r="AW301" s="10">
        <f t="shared" si="555"/>
        <v>0</v>
      </c>
      <c r="AX301" s="10">
        <f t="shared" si="555"/>
        <v>0</v>
      </c>
      <c r="AY301" s="10">
        <f t="shared" si="555"/>
        <v>0</v>
      </c>
      <c r="AZ301" s="10">
        <f t="shared" si="555"/>
        <v>0</v>
      </c>
      <c r="BA301" s="10">
        <f t="shared" si="555"/>
        <v>0</v>
      </c>
      <c r="BB301" s="10">
        <f t="shared" si="555"/>
        <v>0</v>
      </c>
      <c r="BC301" s="10">
        <f t="shared" si="555"/>
        <v>0</v>
      </c>
      <c r="BD301" s="10">
        <f t="shared" si="555"/>
        <v>0</v>
      </c>
      <c r="BE301" s="10">
        <f t="shared" si="555"/>
        <v>0</v>
      </c>
      <c r="BF301" s="10">
        <f t="shared" si="555"/>
        <v>0</v>
      </c>
      <c r="BG301" s="10">
        <f t="shared" si="555"/>
        <v>0</v>
      </c>
      <c r="BH301" s="10">
        <f t="shared" si="555"/>
        <v>0</v>
      </c>
      <c r="BI301" s="10">
        <f t="shared" si="555"/>
        <v>0</v>
      </c>
      <c r="BJ301" s="10">
        <f t="shared" si="555"/>
        <v>0</v>
      </c>
      <c r="BX301" s="10">
        <f t="shared" ref="BX301:CI301" si="556">BX42</f>
        <v>0</v>
      </c>
      <c r="BY301" s="10">
        <f t="shared" si="556"/>
        <v>0</v>
      </c>
      <c r="BZ301" s="10">
        <f t="shared" si="556"/>
        <v>0</v>
      </c>
      <c r="CA301" s="10">
        <f t="shared" si="556"/>
        <v>0</v>
      </c>
      <c r="CB301" s="10">
        <f t="shared" si="556"/>
        <v>0</v>
      </c>
      <c r="CC301" s="10">
        <f t="shared" si="556"/>
        <v>0</v>
      </c>
      <c r="CD301" s="10">
        <f t="shared" si="556"/>
        <v>0</v>
      </c>
      <c r="CE301" s="10">
        <f t="shared" si="556"/>
        <v>0</v>
      </c>
      <c r="CF301" s="10">
        <f t="shared" si="556"/>
        <v>0</v>
      </c>
      <c r="CG301" s="10">
        <f t="shared" si="556"/>
        <v>0</v>
      </c>
      <c r="CH301" s="10">
        <f t="shared" si="556"/>
        <v>0</v>
      </c>
      <c r="CI301" s="10">
        <f t="shared" si="556"/>
        <v>0</v>
      </c>
      <c r="CK301" s="11"/>
      <c r="CM301" s="11"/>
      <c r="CW301" s="7">
        <f t="shared" ref="CW301:CW306" si="557">IF(SUM($DB301:$DD301)=0, 0, 1)</f>
        <v>0</v>
      </c>
      <c r="CX301" s="7">
        <f t="shared" ref="CX301:CX306" si="558">IF(SUM($DE301:$DG301)=0, 0, 1)</f>
        <v>0</v>
      </c>
      <c r="CY301" s="7">
        <f t="shared" ref="CY301:CY306" si="559">IF($DH301=0, 0, 1)</f>
        <v>0</v>
      </c>
      <c r="CZ301" s="650"/>
      <c r="DA301" s="35"/>
      <c r="DB301" s="215">
        <f t="shared" ref="DB301:DD306" si="560">ROUND(W301-SUMIFS($AA301:$BJ301, $AA$3:$BJ$3, W$3), rounding)</f>
        <v>0</v>
      </c>
      <c r="DC301" s="215">
        <f t="shared" si="560"/>
        <v>0</v>
      </c>
      <c r="DD301" s="215">
        <f t="shared" si="560"/>
        <v>0</v>
      </c>
      <c r="DE301" s="215">
        <f t="shared" ref="DE301:DE306" si="561">ROUND($BY301-SUMIFS($AA301:$BJ301, $AA$3:$BJ$3, $BY$3), rounding)</f>
        <v>0</v>
      </c>
      <c r="DF301" s="215">
        <f t="shared" ref="DF301:DF306" si="562">ROUND($BZ301-SUMIFS($AA301:$BJ301, $AA$3:$BJ$3, $BZ$3), rounding)</f>
        <v>0</v>
      </c>
      <c r="DG301" s="215">
        <f t="shared" ref="DG301:DG306" si="563">ROUND($CA301-SUMIFS($AA301:$BJ301, $AA$3:$BJ$3, $CA$3), rounding)</f>
        <v>0</v>
      </c>
      <c r="DH301" s="215">
        <f t="shared" ref="DH301:DH306" si="564">ROUND($V301-$BX301, rounding)</f>
        <v>0</v>
      </c>
      <c r="DI301" s="35"/>
      <c r="DJ301">
        <v>0</v>
      </c>
      <c r="DK301">
        <v>0</v>
      </c>
      <c r="DL301" s="35"/>
      <c r="EZ301" s="12" t="str">
        <f t="shared" ref="EZ301:EZ306" si="565">IF($C301="","",CONCATENATE(D$300, " ",$D301))</f>
        <v>Finance Lease Additions Land &amp; Buildings</v>
      </c>
    </row>
    <row r="302" spans="1:156" x14ac:dyDescent="0.35">
      <c r="A302" s="220" cm="1">
        <f t="array" aca="1" ref="A302" ca="1">HYPERLINK(CONCATENATE("#",CELL("address",IF(MAX($CM302:$CZ302)=0,A302,INDEX($CM302:$CZ302,MATCH(1,$CM302:$CZ302,0))))),MAX($CM302:$CZ302))</f>
        <v>0</v>
      </c>
      <c r="B302" s="4"/>
      <c r="C302" s="211" t="s">
        <v>957</v>
      </c>
      <c r="D302" s="33" t="str">
        <f>Parameters!$D$40</f>
        <v>Equipment</v>
      </c>
      <c r="E302" s="33"/>
      <c r="G302" s="8"/>
      <c r="H302" s="9" t="s">
        <v>403</v>
      </c>
      <c r="V302" s="99">
        <f t="shared" si="554"/>
        <v>0</v>
      </c>
      <c r="W302" s="10">
        <f t="shared" si="554"/>
        <v>0</v>
      </c>
      <c r="X302" s="10">
        <f t="shared" si="554"/>
        <v>0</v>
      </c>
      <c r="Y302" s="10">
        <f t="shared" si="554"/>
        <v>0</v>
      </c>
      <c r="AA302" s="10">
        <f t="shared" ref="AA302:BJ302" si="566">AA43</f>
        <v>0</v>
      </c>
      <c r="AB302" s="10">
        <f t="shared" si="566"/>
        <v>0</v>
      </c>
      <c r="AC302" s="10">
        <f t="shared" si="566"/>
        <v>0</v>
      </c>
      <c r="AD302" s="10">
        <f t="shared" si="566"/>
        <v>0</v>
      </c>
      <c r="AE302" s="10">
        <f t="shared" si="566"/>
        <v>0</v>
      </c>
      <c r="AF302" s="10">
        <f t="shared" si="566"/>
        <v>0</v>
      </c>
      <c r="AG302" s="10">
        <f t="shared" si="566"/>
        <v>0</v>
      </c>
      <c r="AH302" s="10">
        <f t="shared" si="566"/>
        <v>0</v>
      </c>
      <c r="AI302" s="10">
        <f t="shared" si="566"/>
        <v>0</v>
      </c>
      <c r="AJ302" s="10">
        <f t="shared" si="566"/>
        <v>0</v>
      </c>
      <c r="AK302" s="10">
        <f t="shared" si="566"/>
        <v>0</v>
      </c>
      <c r="AL302" s="10">
        <f t="shared" si="566"/>
        <v>0</v>
      </c>
      <c r="AM302" s="10">
        <f t="shared" si="566"/>
        <v>0</v>
      </c>
      <c r="AN302" s="10">
        <f t="shared" si="566"/>
        <v>0</v>
      </c>
      <c r="AO302" s="10">
        <f t="shared" si="566"/>
        <v>0</v>
      </c>
      <c r="AP302" s="10">
        <f t="shared" si="566"/>
        <v>0</v>
      </c>
      <c r="AQ302" s="10">
        <f t="shared" si="566"/>
        <v>0</v>
      </c>
      <c r="AR302" s="10">
        <f t="shared" si="566"/>
        <v>0</v>
      </c>
      <c r="AS302" s="10">
        <f t="shared" si="566"/>
        <v>0</v>
      </c>
      <c r="AT302" s="10">
        <f t="shared" si="566"/>
        <v>0</v>
      </c>
      <c r="AU302" s="10">
        <f t="shared" si="566"/>
        <v>0</v>
      </c>
      <c r="AV302" s="10">
        <f t="shared" si="566"/>
        <v>0</v>
      </c>
      <c r="AW302" s="10">
        <f t="shared" si="566"/>
        <v>0</v>
      </c>
      <c r="AX302" s="10">
        <f t="shared" si="566"/>
        <v>0</v>
      </c>
      <c r="AY302" s="10">
        <f t="shared" si="566"/>
        <v>0</v>
      </c>
      <c r="AZ302" s="10">
        <f t="shared" si="566"/>
        <v>0</v>
      </c>
      <c r="BA302" s="10">
        <f t="shared" si="566"/>
        <v>0</v>
      </c>
      <c r="BB302" s="10">
        <f t="shared" si="566"/>
        <v>0</v>
      </c>
      <c r="BC302" s="10">
        <f t="shared" si="566"/>
        <v>0</v>
      </c>
      <c r="BD302" s="10">
        <f t="shared" si="566"/>
        <v>0</v>
      </c>
      <c r="BE302" s="10">
        <f t="shared" si="566"/>
        <v>0</v>
      </c>
      <c r="BF302" s="10">
        <f t="shared" si="566"/>
        <v>0</v>
      </c>
      <c r="BG302" s="10">
        <f t="shared" si="566"/>
        <v>0</v>
      </c>
      <c r="BH302" s="10">
        <f t="shared" si="566"/>
        <v>0</v>
      </c>
      <c r="BI302" s="10">
        <f t="shared" si="566"/>
        <v>0</v>
      </c>
      <c r="BJ302" s="10">
        <f t="shared" si="566"/>
        <v>0</v>
      </c>
      <c r="BX302" s="10">
        <f t="shared" ref="BX302:CI302" si="567">BX43</f>
        <v>0</v>
      </c>
      <c r="BY302" s="10">
        <f t="shared" si="567"/>
        <v>0</v>
      </c>
      <c r="BZ302" s="10">
        <f t="shared" si="567"/>
        <v>0</v>
      </c>
      <c r="CA302" s="10">
        <f t="shared" si="567"/>
        <v>0</v>
      </c>
      <c r="CB302" s="10">
        <f t="shared" si="567"/>
        <v>0</v>
      </c>
      <c r="CC302" s="10">
        <f t="shared" si="567"/>
        <v>0</v>
      </c>
      <c r="CD302" s="10">
        <f t="shared" si="567"/>
        <v>0</v>
      </c>
      <c r="CE302" s="10">
        <f t="shared" si="567"/>
        <v>0</v>
      </c>
      <c r="CF302" s="10">
        <f t="shared" si="567"/>
        <v>0</v>
      </c>
      <c r="CG302" s="10">
        <f t="shared" si="567"/>
        <v>0</v>
      </c>
      <c r="CH302" s="10">
        <f t="shared" si="567"/>
        <v>0</v>
      </c>
      <c r="CI302" s="10">
        <f t="shared" si="567"/>
        <v>0</v>
      </c>
      <c r="CK302" s="11"/>
      <c r="CM302" s="11"/>
      <c r="CW302" s="7">
        <f t="shared" si="557"/>
        <v>0</v>
      </c>
      <c r="CX302" s="7">
        <f t="shared" si="558"/>
        <v>0</v>
      </c>
      <c r="CY302" s="7">
        <f t="shared" si="559"/>
        <v>0</v>
      </c>
      <c r="CZ302" s="650"/>
      <c r="DA302" s="35"/>
      <c r="DB302" s="215">
        <f t="shared" si="560"/>
        <v>0</v>
      </c>
      <c r="DC302" s="215">
        <f t="shared" si="560"/>
        <v>0</v>
      </c>
      <c r="DD302" s="215">
        <f t="shared" si="560"/>
        <v>0</v>
      </c>
      <c r="DE302" s="215">
        <f t="shared" si="561"/>
        <v>0</v>
      </c>
      <c r="DF302" s="215">
        <f t="shared" si="562"/>
        <v>0</v>
      </c>
      <c r="DG302" s="215">
        <f t="shared" si="563"/>
        <v>0</v>
      </c>
      <c r="DH302" s="215">
        <f t="shared" si="564"/>
        <v>0</v>
      </c>
      <c r="DI302" s="35"/>
      <c r="DJ302">
        <v>0</v>
      </c>
      <c r="DK302">
        <v>0</v>
      </c>
      <c r="DL302" s="35"/>
      <c r="EZ302" s="12" t="str">
        <f t="shared" si="565"/>
        <v>Finance Lease Additions Equipment</v>
      </c>
    </row>
    <row r="303" spans="1:156" x14ac:dyDescent="0.35">
      <c r="A303" s="220" cm="1">
        <f t="array" aca="1" ref="A303" ca="1">HYPERLINK(CONCATENATE("#",CELL("address",IF(MAX($CM303:$CZ303)=0,A303,INDEX($CM303:$CZ303,MATCH(1,$CM303:$CZ303,0))))),MAX($CM303:$CZ303))</f>
        <v>0</v>
      </c>
      <c r="B303" s="4"/>
      <c r="C303" s="211" t="s">
        <v>958</v>
      </c>
      <c r="D303" s="33" t="str">
        <f>Parameters!$D$41</f>
        <v>Other NCA</v>
      </c>
      <c r="E303" s="33"/>
      <c r="G303" s="8"/>
      <c r="H303" s="9"/>
      <c r="V303" s="99">
        <f t="shared" si="554"/>
        <v>0</v>
      </c>
      <c r="W303" s="10">
        <f t="shared" si="554"/>
        <v>0</v>
      </c>
      <c r="X303" s="10">
        <f t="shared" si="554"/>
        <v>0</v>
      </c>
      <c r="Y303" s="10">
        <f t="shared" si="554"/>
        <v>0</v>
      </c>
      <c r="AA303" s="10">
        <f t="shared" ref="AA303:BJ303" si="568">AA44</f>
        <v>0</v>
      </c>
      <c r="AB303" s="10">
        <f t="shared" si="568"/>
        <v>0</v>
      </c>
      <c r="AC303" s="10">
        <f t="shared" si="568"/>
        <v>0</v>
      </c>
      <c r="AD303" s="10">
        <f t="shared" si="568"/>
        <v>0</v>
      </c>
      <c r="AE303" s="10">
        <f t="shared" si="568"/>
        <v>0</v>
      </c>
      <c r="AF303" s="10">
        <f t="shared" si="568"/>
        <v>0</v>
      </c>
      <c r="AG303" s="10">
        <f t="shared" si="568"/>
        <v>0</v>
      </c>
      <c r="AH303" s="10">
        <f t="shared" si="568"/>
        <v>0</v>
      </c>
      <c r="AI303" s="10">
        <f t="shared" si="568"/>
        <v>0</v>
      </c>
      <c r="AJ303" s="10">
        <f t="shared" si="568"/>
        <v>0</v>
      </c>
      <c r="AK303" s="10">
        <f t="shared" si="568"/>
        <v>0</v>
      </c>
      <c r="AL303" s="10">
        <f t="shared" si="568"/>
        <v>0</v>
      </c>
      <c r="AM303" s="10">
        <f t="shared" si="568"/>
        <v>0</v>
      </c>
      <c r="AN303" s="10">
        <f t="shared" si="568"/>
        <v>0</v>
      </c>
      <c r="AO303" s="10">
        <f t="shared" si="568"/>
        <v>0</v>
      </c>
      <c r="AP303" s="10">
        <f t="shared" si="568"/>
        <v>0</v>
      </c>
      <c r="AQ303" s="10">
        <f t="shared" si="568"/>
        <v>0</v>
      </c>
      <c r="AR303" s="10">
        <f t="shared" si="568"/>
        <v>0</v>
      </c>
      <c r="AS303" s="10">
        <f t="shared" si="568"/>
        <v>0</v>
      </c>
      <c r="AT303" s="10">
        <f t="shared" si="568"/>
        <v>0</v>
      </c>
      <c r="AU303" s="10">
        <f t="shared" si="568"/>
        <v>0</v>
      </c>
      <c r="AV303" s="10">
        <f t="shared" si="568"/>
        <v>0</v>
      </c>
      <c r="AW303" s="10">
        <f t="shared" si="568"/>
        <v>0</v>
      </c>
      <c r="AX303" s="10">
        <f t="shared" si="568"/>
        <v>0</v>
      </c>
      <c r="AY303" s="10">
        <f t="shared" si="568"/>
        <v>0</v>
      </c>
      <c r="AZ303" s="10">
        <f t="shared" si="568"/>
        <v>0</v>
      </c>
      <c r="BA303" s="10">
        <f t="shared" si="568"/>
        <v>0</v>
      </c>
      <c r="BB303" s="10">
        <f t="shared" si="568"/>
        <v>0</v>
      </c>
      <c r="BC303" s="10">
        <f t="shared" si="568"/>
        <v>0</v>
      </c>
      <c r="BD303" s="10">
        <f t="shared" si="568"/>
        <v>0</v>
      </c>
      <c r="BE303" s="10">
        <f t="shared" si="568"/>
        <v>0</v>
      </c>
      <c r="BF303" s="10">
        <f t="shared" si="568"/>
        <v>0</v>
      </c>
      <c r="BG303" s="10">
        <f t="shared" si="568"/>
        <v>0</v>
      </c>
      <c r="BH303" s="10">
        <f t="shared" si="568"/>
        <v>0</v>
      </c>
      <c r="BI303" s="10">
        <f t="shared" si="568"/>
        <v>0</v>
      </c>
      <c r="BJ303" s="10">
        <f t="shared" si="568"/>
        <v>0</v>
      </c>
      <c r="BX303" s="10">
        <f t="shared" ref="BX303:CI303" si="569">BX44</f>
        <v>0</v>
      </c>
      <c r="BY303" s="10">
        <f t="shared" si="569"/>
        <v>0</v>
      </c>
      <c r="BZ303" s="10">
        <f t="shared" si="569"/>
        <v>0</v>
      </c>
      <c r="CA303" s="10">
        <f t="shared" si="569"/>
        <v>0</v>
      </c>
      <c r="CB303" s="10">
        <f t="shared" si="569"/>
        <v>0</v>
      </c>
      <c r="CC303" s="10">
        <f t="shared" si="569"/>
        <v>0</v>
      </c>
      <c r="CD303" s="10">
        <f t="shared" si="569"/>
        <v>0</v>
      </c>
      <c r="CE303" s="10">
        <f t="shared" si="569"/>
        <v>0</v>
      </c>
      <c r="CF303" s="10">
        <f t="shared" si="569"/>
        <v>0</v>
      </c>
      <c r="CG303" s="10">
        <f t="shared" si="569"/>
        <v>0</v>
      </c>
      <c r="CH303" s="10">
        <f t="shared" si="569"/>
        <v>0</v>
      </c>
      <c r="CI303" s="10">
        <f t="shared" si="569"/>
        <v>0</v>
      </c>
      <c r="CK303" s="11"/>
      <c r="CM303" s="11"/>
      <c r="CW303" s="7">
        <f t="shared" si="557"/>
        <v>0</v>
      </c>
      <c r="CX303" s="7">
        <f t="shared" si="558"/>
        <v>0</v>
      </c>
      <c r="CY303" s="7">
        <f t="shared" si="559"/>
        <v>0</v>
      </c>
      <c r="CZ303" s="650"/>
      <c r="DA303" s="35"/>
      <c r="DB303" s="215">
        <f t="shared" si="560"/>
        <v>0</v>
      </c>
      <c r="DC303" s="215">
        <f t="shared" si="560"/>
        <v>0</v>
      </c>
      <c r="DD303" s="215">
        <f t="shared" si="560"/>
        <v>0</v>
      </c>
      <c r="DE303" s="215">
        <f t="shared" si="561"/>
        <v>0</v>
      </c>
      <c r="DF303" s="215">
        <f t="shared" si="562"/>
        <v>0</v>
      </c>
      <c r="DG303" s="215">
        <f t="shared" si="563"/>
        <v>0</v>
      </c>
      <c r="DH303" s="215">
        <f t="shared" si="564"/>
        <v>0</v>
      </c>
      <c r="DI303" s="35"/>
      <c r="DJ303">
        <v>0</v>
      </c>
      <c r="DK303">
        <v>0</v>
      </c>
      <c r="DL303" s="35"/>
      <c r="EZ303" s="12" t="str">
        <f t="shared" si="565"/>
        <v>Finance Lease Additions Other NCA</v>
      </c>
    </row>
    <row r="304" spans="1:156" x14ac:dyDescent="0.35">
      <c r="A304" s="220" cm="1">
        <f t="array" aca="1" ref="A304" ca="1">HYPERLINK(CONCATENATE("#",CELL("address",IF(MAX($CM304:$CZ304)=0,A304,INDEX($CM304:$CZ304,MATCH(1,$CM304:$CZ304,0))))),MAX($CM304:$CZ304))</f>
        <v>0</v>
      </c>
      <c r="B304" s="4"/>
      <c r="C304" s="211" t="s">
        <v>959</v>
      </c>
      <c r="D304" s="33" t="str">
        <f>Parameters!$D$42</f>
        <v>Assets under Construction</v>
      </c>
      <c r="E304" s="33"/>
      <c r="G304" s="8"/>
      <c r="H304" s="9"/>
      <c r="V304" s="99">
        <f t="shared" si="554"/>
        <v>0</v>
      </c>
      <c r="W304" s="10">
        <f t="shared" si="554"/>
        <v>0</v>
      </c>
      <c r="X304" s="10">
        <f t="shared" si="554"/>
        <v>0</v>
      </c>
      <c r="Y304" s="10">
        <f t="shared" si="554"/>
        <v>0</v>
      </c>
      <c r="AA304" s="10">
        <f t="shared" ref="AA304:BJ304" si="570">AA45</f>
        <v>0</v>
      </c>
      <c r="AB304" s="10">
        <f t="shared" si="570"/>
        <v>0</v>
      </c>
      <c r="AC304" s="10">
        <f t="shared" si="570"/>
        <v>0</v>
      </c>
      <c r="AD304" s="10">
        <f t="shared" si="570"/>
        <v>0</v>
      </c>
      <c r="AE304" s="10">
        <f t="shared" si="570"/>
        <v>0</v>
      </c>
      <c r="AF304" s="10">
        <f t="shared" si="570"/>
        <v>0</v>
      </c>
      <c r="AG304" s="10">
        <f t="shared" si="570"/>
        <v>0</v>
      </c>
      <c r="AH304" s="10">
        <f t="shared" si="570"/>
        <v>0</v>
      </c>
      <c r="AI304" s="10">
        <f t="shared" si="570"/>
        <v>0</v>
      </c>
      <c r="AJ304" s="10">
        <f t="shared" si="570"/>
        <v>0</v>
      </c>
      <c r="AK304" s="10">
        <f t="shared" si="570"/>
        <v>0</v>
      </c>
      <c r="AL304" s="10">
        <f t="shared" si="570"/>
        <v>0</v>
      </c>
      <c r="AM304" s="10">
        <f t="shared" si="570"/>
        <v>0</v>
      </c>
      <c r="AN304" s="10">
        <f t="shared" si="570"/>
        <v>0</v>
      </c>
      <c r="AO304" s="10">
        <f t="shared" si="570"/>
        <v>0</v>
      </c>
      <c r="AP304" s="10">
        <f t="shared" si="570"/>
        <v>0</v>
      </c>
      <c r="AQ304" s="10">
        <f t="shared" si="570"/>
        <v>0</v>
      </c>
      <c r="AR304" s="10">
        <f t="shared" si="570"/>
        <v>0</v>
      </c>
      <c r="AS304" s="10">
        <f t="shared" si="570"/>
        <v>0</v>
      </c>
      <c r="AT304" s="10">
        <f t="shared" si="570"/>
        <v>0</v>
      </c>
      <c r="AU304" s="10">
        <f t="shared" si="570"/>
        <v>0</v>
      </c>
      <c r="AV304" s="10">
        <f t="shared" si="570"/>
        <v>0</v>
      </c>
      <c r="AW304" s="10">
        <f t="shared" si="570"/>
        <v>0</v>
      </c>
      <c r="AX304" s="10">
        <f t="shared" si="570"/>
        <v>0</v>
      </c>
      <c r="AY304" s="10">
        <f t="shared" si="570"/>
        <v>0</v>
      </c>
      <c r="AZ304" s="10">
        <f t="shared" si="570"/>
        <v>0</v>
      </c>
      <c r="BA304" s="10">
        <f t="shared" si="570"/>
        <v>0</v>
      </c>
      <c r="BB304" s="10">
        <f t="shared" si="570"/>
        <v>0</v>
      </c>
      <c r="BC304" s="10">
        <f t="shared" si="570"/>
        <v>0</v>
      </c>
      <c r="BD304" s="10">
        <f t="shared" si="570"/>
        <v>0</v>
      </c>
      <c r="BE304" s="10">
        <f t="shared" si="570"/>
        <v>0</v>
      </c>
      <c r="BF304" s="10">
        <f t="shared" si="570"/>
        <v>0</v>
      </c>
      <c r="BG304" s="10">
        <f t="shared" si="570"/>
        <v>0</v>
      </c>
      <c r="BH304" s="10">
        <f t="shared" si="570"/>
        <v>0</v>
      </c>
      <c r="BI304" s="10">
        <f t="shared" si="570"/>
        <v>0</v>
      </c>
      <c r="BJ304" s="10">
        <f t="shared" si="570"/>
        <v>0</v>
      </c>
      <c r="BX304" s="10">
        <f t="shared" ref="BX304:CI304" si="571">BX45</f>
        <v>0</v>
      </c>
      <c r="BY304" s="10">
        <f t="shared" si="571"/>
        <v>0</v>
      </c>
      <c r="BZ304" s="10">
        <f t="shared" si="571"/>
        <v>0</v>
      </c>
      <c r="CA304" s="10">
        <f t="shared" si="571"/>
        <v>0</v>
      </c>
      <c r="CB304" s="10">
        <f t="shared" si="571"/>
        <v>0</v>
      </c>
      <c r="CC304" s="10">
        <f t="shared" si="571"/>
        <v>0</v>
      </c>
      <c r="CD304" s="10">
        <f t="shared" si="571"/>
        <v>0</v>
      </c>
      <c r="CE304" s="10">
        <f t="shared" si="571"/>
        <v>0</v>
      </c>
      <c r="CF304" s="10">
        <f t="shared" si="571"/>
        <v>0</v>
      </c>
      <c r="CG304" s="10">
        <f t="shared" si="571"/>
        <v>0</v>
      </c>
      <c r="CH304" s="10">
        <f t="shared" si="571"/>
        <v>0</v>
      </c>
      <c r="CI304" s="10">
        <f t="shared" si="571"/>
        <v>0</v>
      </c>
      <c r="CK304" s="11"/>
      <c r="CM304" s="11"/>
      <c r="CW304" s="7">
        <f t="shared" si="557"/>
        <v>0</v>
      </c>
      <c r="CX304" s="7">
        <f t="shared" si="558"/>
        <v>0</v>
      </c>
      <c r="CY304" s="7">
        <f t="shared" si="559"/>
        <v>0</v>
      </c>
      <c r="CZ304" s="650"/>
      <c r="DA304" s="35"/>
      <c r="DB304" s="215">
        <f t="shared" si="560"/>
        <v>0</v>
      </c>
      <c r="DC304" s="215">
        <f t="shared" si="560"/>
        <v>0</v>
      </c>
      <c r="DD304" s="215">
        <f t="shared" si="560"/>
        <v>0</v>
      </c>
      <c r="DE304" s="215">
        <f t="shared" si="561"/>
        <v>0</v>
      </c>
      <c r="DF304" s="215">
        <f t="shared" si="562"/>
        <v>0</v>
      </c>
      <c r="DG304" s="215">
        <f t="shared" si="563"/>
        <v>0</v>
      </c>
      <c r="DH304" s="215">
        <f t="shared" si="564"/>
        <v>0</v>
      </c>
      <c r="DI304" s="35"/>
      <c r="DJ304">
        <v>0</v>
      </c>
      <c r="DK304">
        <v>0</v>
      </c>
      <c r="DL304" s="35"/>
      <c r="EZ304" s="12" t="str">
        <f t="shared" si="565"/>
        <v>Finance Lease Additions Assets under Construction</v>
      </c>
    </row>
    <row r="305" spans="1:156" x14ac:dyDescent="0.35">
      <c r="A305" s="220" cm="1">
        <f t="array" aca="1" ref="A305" ca="1">HYPERLINK(CONCATENATE("#",CELL("address",IF(MAX($CM305:$CZ305)=0,A305,INDEX($CM305:$CZ305,MATCH(1,$CM305:$CZ305,0))))),MAX($CM305:$CZ305))</f>
        <v>0</v>
      </c>
      <c r="C305" s="211" t="s">
        <v>960</v>
      </c>
      <c r="D305" s="1" t="s">
        <v>901</v>
      </c>
      <c r="E305" s="33"/>
      <c r="G305" s="8"/>
      <c r="H305" s="9" t="s">
        <v>403</v>
      </c>
      <c r="V305" s="109"/>
      <c r="W305" s="133">
        <f xml:space="preserve"> SUMIFS($AA305:$BJ305, $AA$3:$BJ$3, W$3)</f>
        <v>0</v>
      </c>
      <c r="X305" s="133">
        <f xml:space="preserve"> SUMIFS($AA305:$BJ305, $AA$3:$BJ$3, X$3)</f>
        <v>0</v>
      </c>
      <c r="Y305" s="133">
        <f xml:space="preserve"> SUMIFS($AA305:$BJ305, $AA$3:$BJ$3, Y$3)</f>
        <v>0</v>
      </c>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X305" s="12">
        <f>V305</f>
        <v>0</v>
      </c>
      <c r="BY305" s="12">
        <f>W305</f>
        <v>0</v>
      </c>
      <c r="BZ305" s="12">
        <f>X305</f>
        <v>0</v>
      </c>
      <c r="CA305" s="12">
        <f>Y305</f>
        <v>0</v>
      </c>
      <c r="CB305" s="109"/>
      <c r="CC305" s="109"/>
      <c r="CD305" s="109"/>
      <c r="CE305" s="109"/>
      <c r="CF305" s="109"/>
      <c r="CG305" s="109"/>
      <c r="CH305" s="109"/>
      <c r="CI305" s="109"/>
      <c r="CK305" s="11"/>
      <c r="CM305" s="11"/>
      <c r="CU305" s="7" cm="1">
        <f t="array" ref="CU305">SUMPRODUCT(--NOT(ISNUMBER(V305:CI305)),--NOT(ISBLANK(V305:CI305)))</f>
        <v>0</v>
      </c>
      <c r="CW305" s="7">
        <f t="shared" si="557"/>
        <v>0</v>
      </c>
      <c r="CX305" s="7">
        <f t="shared" si="558"/>
        <v>0</v>
      </c>
      <c r="CY305" s="7">
        <f t="shared" si="559"/>
        <v>0</v>
      </c>
      <c r="CZ305" s="650"/>
      <c r="DA305" s="35"/>
      <c r="DB305" s="215">
        <f t="shared" si="560"/>
        <v>0</v>
      </c>
      <c r="DC305" s="215">
        <f t="shared" si="560"/>
        <v>0</v>
      </c>
      <c r="DD305" s="215">
        <f t="shared" si="560"/>
        <v>0</v>
      </c>
      <c r="DE305" s="215">
        <f t="shared" si="561"/>
        <v>0</v>
      </c>
      <c r="DF305" s="215">
        <f t="shared" si="562"/>
        <v>0</v>
      </c>
      <c r="DG305" s="215">
        <f t="shared" si="563"/>
        <v>0</v>
      </c>
      <c r="DH305" s="215">
        <f t="shared" si="564"/>
        <v>0</v>
      </c>
      <c r="DI305" s="35"/>
      <c r="DJ305">
        <v>1</v>
      </c>
      <c r="DK305">
        <v>1</v>
      </c>
      <c r="DL305" s="35"/>
      <c r="EZ305" s="12" t="str">
        <f t="shared" si="565"/>
        <v>Finance Lease Additions Movement due to mergers</v>
      </c>
    </row>
    <row r="306" spans="1:156" x14ac:dyDescent="0.35">
      <c r="A306" s="220" cm="1">
        <f t="array" aca="1" ref="A306" ca="1">HYPERLINK(CONCATENATE("#",CELL("address",IF(MAX($CM306:$CZ306)=0,A306,INDEX($CM306:$CZ306,MATCH(1,$CM306:$CZ306,0))))),MAX($CM306:$CZ306))</f>
        <v>0</v>
      </c>
      <c r="B306" s="4"/>
      <c r="C306" s="211" t="s">
        <v>961</v>
      </c>
      <c r="D306" s="24" t="s">
        <v>962</v>
      </c>
      <c r="E306" s="33"/>
      <c r="G306" s="8"/>
      <c r="H306" s="9" t="s">
        <v>403</v>
      </c>
      <c r="V306" s="12">
        <f>SUM(V301:V305)</f>
        <v>0</v>
      </c>
      <c r="W306" s="12">
        <f>SUM(W301:W305)</f>
        <v>0</v>
      </c>
      <c r="X306" s="12">
        <f>SUM(X301:X305)</f>
        <v>0</v>
      </c>
      <c r="Y306" s="12">
        <f>SUM(Y301:Y305)</f>
        <v>0</v>
      </c>
      <c r="AA306" s="12">
        <f t="shared" ref="AA306:BJ306" si="572">SUM(AA301:AA305)</f>
        <v>0</v>
      </c>
      <c r="AB306" s="12">
        <f t="shared" si="572"/>
        <v>0</v>
      </c>
      <c r="AC306" s="12">
        <f t="shared" si="572"/>
        <v>0</v>
      </c>
      <c r="AD306" s="12">
        <f t="shared" si="572"/>
        <v>0</v>
      </c>
      <c r="AE306" s="12">
        <f t="shared" si="572"/>
        <v>0</v>
      </c>
      <c r="AF306" s="12">
        <f t="shared" si="572"/>
        <v>0</v>
      </c>
      <c r="AG306" s="12">
        <f t="shared" si="572"/>
        <v>0</v>
      </c>
      <c r="AH306" s="12">
        <f t="shared" si="572"/>
        <v>0</v>
      </c>
      <c r="AI306" s="12">
        <f t="shared" si="572"/>
        <v>0</v>
      </c>
      <c r="AJ306" s="12">
        <f t="shared" si="572"/>
        <v>0</v>
      </c>
      <c r="AK306" s="12">
        <f t="shared" si="572"/>
        <v>0</v>
      </c>
      <c r="AL306" s="12">
        <f t="shared" si="572"/>
        <v>0</v>
      </c>
      <c r="AM306" s="12">
        <f t="shared" si="572"/>
        <v>0</v>
      </c>
      <c r="AN306" s="12">
        <f t="shared" si="572"/>
        <v>0</v>
      </c>
      <c r="AO306" s="12">
        <f t="shared" si="572"/>
        <v>0</v>
      </c>
      <c r="AP306" s="12">
        <f t="shared" si="572"/>
        <v>0</v>
      </c>
      <c r="AQ306" s="12">
        <f t="shared" si="572"/>
        <v>0</v>
      </c>
      <c r="AR306" s="12">
        <f t="shared" si="572"/>
        <v>0</v>
      </c>
      <c r="AS306" s="12">
        <f t="shared" si="572"/>
        <v>0</v>
      </c>
      <c r="AT306" s="12">
        <f t="shared" si="572"/>
        <v>0</v>
      </c>
      <c r="AU306" s="12">
        <f t="shared" si="572"/>
        <v>0</v>
      </c>
      <c r="AV306" s="12">
        <f t="shared" si="572"/>
        <v>0</v>
      </c>
      <c r="AW306" s="12">
        <f t="shared" si="572"/>
        <v>0</v>
      </c>
      <c r="AX306" s="12">
        <f t="shared" si="572"/>
        <v>0</v>
      </c>
      <c r="AY306" s="12">
        <f t="shared" si="572"/>
        <v>0</v>
      </c>
      <c r="AZ306" s="12">
        <f t="shared" si="572"/>
        <v>0</v>
      </c>
      <c r="BA306" s="12">
        <f t="shared" si="572"/>
        <v>0</v>
      </c>
      <c r="BB306" s="12">
        <f t="shared" si="572"/>
        <v>0</v>
      </c>
      <c r="BC306" s="12">
        <f t="shared" si="572"/>
        <v>0</v>
      </c>
      <c r="BD306" s="12">
        <f t="shared" si="572"/>
        <v>0</v>
      </c>
      <c r="BE306" s="12">
        <f t="shared" si="572"/>
        <v>0</v>
      </c>
      <c r="BF306" s="12">
        <f t="shared" si="572"/>
        <v>0</v>
      </c>
      <c r="BG306" s="12">
        <f t="shared" si="572"/>
        <v>0</v>
      </c>
      <c r="BH306" s="12">
        <f t="shared" si="572"/>
        <v>0</v>
      </c>
      <c r="BI306" s="12">
        <f t="shared" si="572"/>
        <v>0</v>
      </c>
      <c r="BJ306" s="12">
        <f t="shared" si="572"/>
        <v>0</v>
      </c>
      <c r="BX306" s="12">
        <f t="shared" ref="BX306:CI306" si="573">SUM(BX301:BX305)</f>
        <v>0</v>
      </c>
      <c r="BY306" s="12">
        <f t="shared" si="573"/>
        <v>0</v>
      </c>
      <c r="BZ306" s="12">
        <f t="shared" si="573"/>
        <v>0</v>
      </c>
      <c r="CA306" s="12">
        <f t="shared" si="573"/>
        <v>0</v>
      </c>
      <c r="CB306" s="12">
        <f t="shared" si="573"/>
        <v>0</v>
      </c>
      <c r="CC306" s="12">
        <f t="shared" si="573"/>
        <v>0</v>
      </c>
      <c r="CD306" s="12">
        <f t="shared" si="573"/>
        <v>0</v>
      </c>
      <c r="CE306" s="12">
        <f t="shared" si="573"/>
        <v>0</v>
      </c>
      <c r="CF306" s="12">
        <f t="shared" si="573"/>
        <v>0</v>
      </c>
      <c r="CG306" s="12">
        <f t="shared" si="573"/>
        <v>0</v>
      </c>
      <c r="CH306" s="12">
        <f t="shared" si="573"/>
        <v>0</v>
      </c>
      <c r="CI306" s="12">
        <f t="shared" si="573"/>
        <v>0</v>
      </c>
      <c r="CK306" s="11"/>
      <c r="CM306" s="11"/>
      <c r="CW306" s="7">
        <f t="shared" si="557"/>
        <v>0</v>
      </c>
      <c r="CX306" s="7">
        <f t="shared" si="558"/>
        <v>0</v>
      </c>
      <c r="CY306" s="7">
        <f t="shared" si="559"/>
        <v>0</v>
      </c>
      <c r="CZ306" s="650"/>
      <c r="DA306" s="35"/>
      <c r="DB306" s="215">
        <f t="shared" si="560"/>
        <v>0</v>
      </c>
      <c r="DC306" s="215">
        <f t="shared" si="560"/>
        <v>0</v>
      </c>
      <c r="DD306" s="215">
        <f t="shared" si="560"/>
        <v>0</v>
      </c>
      <c r="DE306" s="215">
        <f t="shared" si="561"/>
        <v>0</v>
      </c>
      <c r="DF306" s="215">
        <f t="shared" si="562"/>
        <v>0</v>
      </c>
      <c r="DG306" s="215">
        <f t="shared" si="563"/>
        <v>0</v>
      </c>
      <c r="DH306" s="215">
        <f t="shared" si="564"/>
        <v>0</v>
      </c>
      <c r="DI306" s="35"/>
      <c r="DJ306">
        <v>0</v>
      </c>
      <c r="DK306">
        <v>0</v>
      </c>
      <c r="DL306" s="35"/>
      <c r="EZ306" s="12" t="str">
        <f t="shared" si="565"/>
        <v>Finance Lease Additions Total Finance Lease Additions</v>
      </c>
    </row>
    <row r="307" spans="1:156" x14ac:dyDescent="0.35">
      <c r="C307" s="234"/>
      <c r="D307" s="1"/>
      <c r="E307"/>
      <c r="BY307" s="6"/>
      <c r="CK307" s="35"/>
      <c r="CM307" s="35"/>
      <c r="CZ307" s="650"/>
      <c r="DA307" s="35"/>
      <c r="DI307" s="35"/>
      <c r="DJ307">
        <v>0</v>
      </c>
      <c r="DK307">
        <v>0</v>
      </c>
      <c r="DL307" s="35"/>
      <c r="EZ307" s="10" t="str">
        <f>IF($C307="","",$D307)</f>
        <v/>
      </c>
    </row>
    <row r="308" spans="1:156" x14ac:dyDescent="0.35">
      <c r="A308" s="220" cm="1">
        <f t="array" aca="1" ref="A308" ca="1">HYPERLINK(CONCATENATE("#",CELL("address",IF(MAX($CM308:$CZ308)=0,A308,INDEX($CM308:$CZ308,MATCH(1,$CM308:$CZ308,0))))),MAX($CM308:$CZ308))</f>
        <v>0</v>
      </c>
      <c r="C308" s="234"/>
      <c r="D308" t="str">
        <f>Parameters!$D$56</f>
        <v>Finance Lease</v>
      </c>
      <c r="V308" s="10">
        <f>(SUMIFS(V$13:V$27,$F$13:$F$27,$D308)-V306)*'BS Forecasts'!V$10</f>
        <v>0</v>
      </c>
      <c r="W308" s="10">
        <f>(SUMIFS(W$13:W$27,$F$13:$F$27,$D308)-W306)*'BS Forecasts'!W$10</f>
        <v>0</v>
      </c>
      <c r="X308" s="10">
        <f>(SUMIFS(X$13:X$27,$F$13:$F$27,$D308)-X306)*'BS Forecasts'!X$10</f>
        <v>0</v>
      </c>
      <c r="Y308" s="10">
        <f>(SUMIFS(Y$13:Y$27,$F$13:$F$27,$D308)-Y306)*'BS Forecasts'!Y$10</f>
        <v>0</v>
      </c>
      <c r="AA308" s="10">
        <f>(SUMIFS(AA13:AA27,$F13:$F27,$D308)-AA306)*'BS Forecasts'!AA$10</f>
        <v>0</v>
      </c>
      <c r="AB308" s="10">
        <f>(SUMIFS(AB13:AB27,$F13:$F27,$D308)-AB306)*'BS Forecasts'!AB$10</f>
        <v>0</v>
      </c>
      <c r="AC308" s="10">
        <f>(SUMIFS(AC13:AC27,$F13:$F27,$D308)-AC306)*'BS Forecasts'!AC$10</f>
        <v>0</v>
      </c>
      <c r="AD308" s="10">
        <f>(SUMIFS(AD13:AD27,$F13:$F27,$D308)-AD306)*'BS Forecasts'!AD$10</f>
        <v>0</v>
      </c>
      <c r="AE308" s="10">
        <f>(SUMIFS(AE13:AE27,$F13:$F27,$D308)-AE306)*'BS Forecasts'!AE$10</f>
        <v>0</v>
      </c>
      <c r="AF308" s="10">
        <f>(SUMIFS(AF13:AF27,$F13:$F27,$D308)-AF306)*'BS Forecasts'!AF$10</f>
        <v>0</v>
      </c>
      <c r="AG308" s="10">
        <f>(SUMIFS(AG13:AG27,$F13:$F27,$D308)-AG306)*'BS Forecasts'!AG$10</f>
        <v>0</v>
      </c>
      <c r="AH308" s="10">
        <f>(SUMIFS(AH13:AH27,$F13:$F27,$D308)-AH306)*'BS Forecasts'!AH$10</f>
        <v>0</v>
      </c>
      <c r="AI308" s="10">
        <f>(SUMIFS(AI13:AI27,$F13:$F27,$D308)-AI306)*'BS Forecasts'!AI$10</f>
        <v>0</v>
      </c>
      <c r="AJ308" s="10">
        <f>(SUMIFS(AJ13:AJ27,$F13:$F27,$D308)-AJ306)*'BS Forecasts'!AJ$10</f>
        <v>0</v>
      </c>
      <c r="AK308" s="10">
        <f>(SUMIFS(AK13:AK27,$F13:$F27,$D308)-AK306)*'BS Forecasts'!AK$10</f>
        <v>0</v>
      </c>
      <c r="AL308" s="10">
        <f>(SUMIFS(AL13:AL27,$F13:$F27,$D308)-AL306)*'BS Forecasts'!AL$10</f>
        <v>0</v>
      </c>
      <c r="AM308" s="10">
        <f>(SUMIFS(AM13:AM27,$F13:$F27,$D308)-AM306)*'BS Forecasts'!AM$10</f>
        <v>0</v>
      </c>
      <c r="AN308" s="10">
        <f>(SUMIFS(AN13:AN27,$F13:$F27,$D308)-AN306)*'BS Forecasts'!AN$10</f>
        <v>0</v>
      </c>
      <c r="AO308" s="10">
        <f>(SUMIFS(AO13:AO27,$F13:$F27,$D308)-AO306)*'BS Forecasts'!AO$10</f>
        <v>0</v>
      </c>
      <c r="AP308" s="10">
        <f>(SUMIFS(AP13:AP27,$F13:$F27,$D308)-AP306)*'BS Forecasts'!AP$10</f>
        <v>0</v>
      </c>
      <c r="AQ308" s="10">
        <f>(SUMIFS(AQ13:AQ27,$F13:$F27,$D308)-AQ306)*'BS Forecasts'!AQ$10</f>
        <v>0</v>
      </c>
      <c r="AR308" s="10">
        <f>(SUMIFS(AR13:AR27,$F13:$F27,$D308)-AR306)*'BS Forecasts'!AR$10</f>
        <v>0</v>
      </c>
      <c r="AS308" s="10">
        <f>(SUMIFS(AS13:AS27,$F13:$F27,$D308)-AS306)*'BS Forecasts'!AS$10</f>
        <v>0</v>
      </c>
      <c r="AT308" s="10">
        <f>(SUMIFS(AT13:AT27,$F13:$F27,$D308)-AT306)*'BS Forecasts'!AT$10</f>
        <v>0</v>
      </c>
      <c r="AU308" s="10">
        <f>(SUMIFS(AU13:AU27,$F13:$F27,$D308)-AU306)*'BS Forecasts'!AU$10</f>
        <v>0</v>
      </c>
      <c r="AV308" s="10">
        <f>(SUMIFS(AV13:AV27,$F13:$F27,$D308)-AV306)*'BS Forecasts'!AV$10</f>
        <v>0</v>
      </c>
      <c r="AW308" s="10">
        <f>(SUMIFS(AW13:AW27,$F13:$F27,$D308)-AW306)*'BS Forecasts'!AW$10</f>
        <v>0</v>
      </c>
      <c r="AX308" s="10">
        <f>(SUMIFS(AX13:AX27,$F13:$F27,$D308)-AX306)*'BS Forecasts'!AX$10</f>
        <v>0</v>
      </c>
      <c r="AY308" s="10">
        <f>(SUMIFS(AY13:AY27,$F13:$F27,$D308)-AY306)*'BS Forecasts'!AY$10</f>
        <v>0</v>
      </c>
      <c r="AZ308" s="10">
        <f>(SUMIFS(AZ13:AZ27,$F13:$F27,$D308)-AZ306)*'BS Forecasts'!AZ$10</f>
        <v>0</v>
      </c>
      <c r="BA308" s="10">
        <f>(SUMIFS(BA13:BA27,$F13:$F27,$D308)-BA306)*'BS Forecasts'!BA$10</f>
        <v>0</v>
      </c>
      <c r="BB308" s="10">
        <f>(SUMIFS(BB13:BB27,$F13:$F27,$D308)-BB306)*'BS Forecasts'!BB$10</f>
        <v>0</v>
      </c>
      <c r="BC308" s="10">
        <f>(SUMIFS(BC13:BC27,$F13:$F27,$D308)-BC306)*'BS Forecasts'!BC$10</f>
        <v>0</v>
      </c>
      <c r="BD308" s="10">
        <f>(SUMIFS(BD13:BD27,$F13:$F27,$D308)-BD306)*'BS Forecasts'!BD$10</f>
        <v>0</v>
      </c>
      <c r="BE308" s="10">
        <f>(SUMIFS(BE13:BE27,$F13:$F27,$D308)-BE306)*'BS Forecasts'!BE$10</f>
        <v>0</v>
      </c>
      <c r="BF308" s="10">
        <f>(SUMIFS(BF13:BF27,$F13:$F27,$D308)-BF306)*'BS Forecasts'!BF$10</f>
        <v>0</v>
      </c>
      <c r="BG308" s="10">
        <f>(SUMIFS(BG13:BG27,$F13:$F27,$D308)-BG306)*'BS Forecasts'!BG$10</f>
        <v>0</v>
      </c>
      <c r="BH308" s="10">
        <f>(SUMIFS(BH13:BH27,$F13:$F27,$D308)-BH306)*'BS Forecasts'!BH$10</f>
        <v>0</v>
      </c>
      <c r="BI308" s="10">
        <f>(SUMIFS(BI13:BI27,$F13:$F27,$D308)-BI306)*'BS Forecasts'!BI$10</f>
        <v>0</v>
      </c>
      <c r="BJ308" s="10">
        <f>(SUMIFS(BJ13:BJ27,$F13:$F27,$D308)-BJ306)*'BS Forecasts'!BJ$10</f>
        <v>0</v>
      </c>
      <c r="BX308" s="10">
        <f>(SUMIFS(BX13:BX27,$F13:$F27,$D308)-BX306)*'BS Forecasts'!BX$10</f>
        <v>0</v>
      </c>
      <c r="BY308" s="10">
        <f>(SUMIFS(BY13:BY27,$F13:$F27,$D308)-BY306)*'BS Forecasts'!BY$10</f>
        <v>0</v>
      </c>
      <c r="BZ308" s="10">
        <f>(SUMIFS(BZ13:BZ27,$F13:$F27,$D308)-BZ306)*'BS Forecasts'!BZ$10</f>
        <v>0</v>
      </c>
      <c r="CA308" s="10">
        <f>(SUMIFS(CA13:CA27,$F13:$F27,$D308)-CA306)*'BS Forecasts'!CA$10</f>
        <v>0</v>
      </c>
      <c r="CB308" s="10">
        <f>(SUMIFS(CB13:CB27,$F13:$F27,$D308)-CB306)*'BS Forecasts'!CB$10</f>
        <v>0</v>
      </c>
      <c r="CC308" s="10">
        <f>(SUMIFS(CC13:CC27,$F13:$F27,$D308)-CC306)*'BS Forecasts'!CC$10</f>
        <v>0</v>
      </c>
      <c r="CD308" s="10">
        <f>(SUMIFS(CD13:CD27,$F13:$F27,$D308)-CD306)*'BS Forecasts'!CD$10</f>
        <v>0</v>
      </c>
      <c r="CE308" s="10">
        <f>(SUMIFS(CE13:CE27,$F13:$F27,$D308)-CE306)*'BS Forecasts'!CE$10</f>
        <v>0</v>
      </c>
      <c r="CF308" s="10">
        <f>(SUMIFS(CF13:CF27,$F13:$F27,$D308)-CF306)*'BS Forecasts'!CF$10</f>
        <v>0</v>
      </c>
      <c r="CG308" s="10">
        <f>(SUMIFS(CG13:CG27,$F13:$F27,$D308)-CG306)*'BS Forecasts'!CG$10</f>
        <v>0</v>
      </c>
      <c r="CH308" s="10">
        <f>(SUMIFS(CH13:CH27,$F13:$F27,$D308)-CH306)*'BS Forecasts'!CH$10</f>
        <v>0</v>
      </c>
      <c r="CI308" s="10">
        <f>(SUMIFS(CI13:CI27,$F13:$F27,$D308)-CI306)*'BS Forecasts'!CI$10</f>
        <v>0</v>
      </c>
      <c r="CK308" s="11"/>
      <c r="CM308" s="11"/>
      <c r="CZ308" s="650"/>
      <c r="DA308" s="35"/>
      <c r="DI308" s="35"/>
      <c r="DJ308">
        <v>0</v>
      </c>
      <c r="DK308">
        <v>0</v>
      </c>
      <c r="DL308" s="35"/>
      <c r="EZ308" s="10" t="str">
        <f>IF($C308="","",$D308)</f>
        <v/>
      </c>
    </row>
    <row r="309" spans="1:156" ht="6.75" customHeight="1" x14ac:dyDescent="0.35">
      <c r="B309" s="2"/>
      <c r="C309" s="234"/>
      <c r="D309" s="1"/>
      <c r="E309"/>
      <c r="CK309" s="35"/>
      <c r="CM309" s="35"/>
      <c r="CZ309" s="650"/>
      <c r="DA309" s="35"/>
      <c r="DI309" s="35"/>
      <c r="DJ309">
        <v>0</v>
      </c>
      <c r="DK309">
        <v>0</v>
      </c>
      <c r="DL309" s="35"/>
      <c r="EZ309" s="10" t="str">
        <f>IF($C309="","",$D309)</f>
        <v/>
      </c>
    </row>
    <row r="310" spans="1:156" x14ac:dyDescent="0.35">
      <c r="B310" s="97"/>
      <c r="C310" s="643"/>
      <c r="D310" s="72" t="s">
        <v>963</v>
      </c>
      <c r="E310"/>
      <c r="CK310" s="11"/>
      <c r="CM310" s="11"/>
      <c r="CZ310" s="650"/>
      <c r="DA310" s="35"/>
      <c r="DI310" s="35"/>
      <c r="DJ310">
        <v>0</v>
      </c>
      <c r="DK310">
        <v>0</v>
      </c>
      <c r="DL310" s="35"/>
      <c r="EZ310" s="10" t="str">
        <f>IF($C310="","",$D310)</f>
        <v/>
      </c>
    </row>
    <row r="311" spans="1:156" x14ac:dyDescent="0.35">
      <c r="A311" s="220" cm="1">
        <f t="array" aca="1" ref="A311" ca="1">HYPERLINK(CONCATENATE("#",CELL("address",IF(MAX($CM311:$CZ311)=0,A311,INDEX($CM311:$CZ311,MATCH(1,$CM311:$CZ311,0))))),MAX($CM311:$CZ311))</f>
        <v>0</v>
      </c>
      <c r="B311" s="4"/>
      <c r="C311" s="234" t="s">
        <v>964</v>
      </c>
      <c r="D311" s="74" t="str">
        <f>Parameters!$D$39</f>
        <v>Land &amp; Buildings</v>
      </c>
      <c r="E311" s="33"/>
      <c r="G311" s="8"/>
      <c r="H311" s="9" t="s">
        <v>403</v>
      </c>
      <c r="V311" s="653">
        <f>V49</f>
        <v>0</v>
      </c>
      <c r="W311" s="653">
        <f t="shared" ref="W311:Y311" si="574">W49</f>
        <v>0</v>
      </c>
      <c r="X311" s="10">
        <f t="shared" si="574"/>
        <v>0</v>
      </c>
      <c r="Y311" s="10">
        <f t="shared" si="574"/>
        <v>0</v>
      </c>
      <c r="AA311" s="653">
        <f t="shared" ref="AA311:BJ311" si="575">AA49</f>
        <v>0</v>
      </c>
      <c r="AB311" s="653">
        <f t="shared" si="575"/>
        <v>0</v>
      </c>
      <c r="AC311" s="653">
        <f t="shared" si="575"/>
        <v>0</v>
      </c>
      <c r="AD311" s="653">
        <f t="shared" si="575"/>
        <v>0</v>
      </c>
      <c r="AE311" s="653">
        <f t="shared" si="575"/>
        <v>0</v>
      </c>
      <c r="AF311" s="653">
        <f t="shared" si="575"/>
        <v>0</v>
      </c>
      <c r="AG311" s="653">
        <f t="shared" si="575"/>
        <v>0</v>
      </c>
      <c r="AH311" s="653">
        <f t="shared" si="575"/>
        <v>0</v>
      </c>
      <c r="AI311" s="653">
        <f t="shared" si="575"/>
        <v>0</v>
      </c>
      <c r="AJ311" s="653">
        <f t="shared" si="575"/>
        <v>0</v>
      </c>
      <c r="AK311" s="653">
        <f t="shared" si="575"/>
        <v>0</v>
      </c>
      <c r="AL311" s="653">
        <f t="shared" si="575"/>
        <v>0</v>
      </c>
      <c r="AM311" s="10">
        <f t="shared" si="575"/>
        <v>0</v>
      </c>
      <c r="AN311" s="10">
        <f t="shared" si="575"/>
        <v>0</v>
      </c>
      <c r="AO311" s="10">
        <f t="shared" si="575"/>
        <v>0</v>
      </c>
      <c r="AP311" s="10">
        <f t="shared" si="575"/>
        <v>0</v>
      </c>
      <c r="AQ311" s="10">
        <f t="shared" si="575"/>
        <v>0</v>
      </c>
      <c r="AR311" s="10">
        <f t="shared" si="575"/>
        <v>0</v>
      </c>
      <c r="AS311" s="10">
        <f t="shared" si="575"/>
        <v>0</v>
      </c>
      <c r="AT311" s="10">
        <f t="shared" si="575"/>
        <v>0</v>
      </c>
      <c r="AU311" s="10">
        <f t="shared" si="575"/>
        <v>0</v>
      </c>
      <c r="AV311" s="10">
        <f t="shared" si="575"/>
        <v>0</v>
      </c>
      <c r="AW311" s="10">
        <f t="shared" si="575"/>
        <v>0</v>
      </c>
      <c r="AX311" s="10">
        <f t="shared" si="575"/>
        <v>0</v>
      </c>
      <c r="AY311" s="10">
        <f t="shared" si="575"/>
        <v>0</v>
      </c>
      <c r="AZ311" s="10">
        <f t="shared" si="575"/>
        <v>0</v>
      </c>
      <c r="BA311" s="10">
        <f t="shared" si="575"/>
        <v>0</v>
      </c>
      <c r="BB311" s="10">
        <f t="shared" si="575"/>
        <v>0</v>
      </c>
      <c r="BC311" s="10">
        <f t="shared" si="575"/>
        <v>0</v>
      </c>
      <c r="BD311" s="10">
        <f t="shared" si="575"/>
        <v>0</v>
      </c>
      <c r="BE311" s="10">
        <f t="shared" si="575"/>
        <v>0</v>
      </c>
      <c r="BF311" s="10">
        <f t="shared" si="575"/>
        <v>0</v>
      </c>
      <c r="BG311" s="10">
        <f t="shared" si="575"/>
        <v>0</v>
      </c>
      <c r="BH311" s="10">
        <f t="shared" si="575"/>
        <v>0</v>
      </c>
      <c r="BI311" s="10">
        <f t="shared" si="575"/>
        <v>0</v>
      </c>
      <c r="BJ311" s="10">
        <f t="shared" si="575"/>
        <v>0</v>
      </c>
      <c r="BX311" s="653">
        <f t="shared" ref="BX311:CI311" si="576">BX49</f>
        <v>0</v>
      </c>
      <c r="BY311" s="653">
        <f t="shared" si="576"/>
        <v>0</v>
      </c>
      <c r="BZ311" s="10">
        <f t="shared" si="576"/>
        <v>0</v>
      </c>
      <c r="CA311" s="10">
        <f t="shared" si="576"/>
        <v>0</v>
      </c>
      <c r="CB311" s="10">
        <f t="shared" si="576"/>
        <v>0</v>
      </c>
      <c r="CC311" s="10">
        <f t="shared" si="576"/>
        <v>0</v>
      </c>
      <c r="CD311" s="10">
        <f t="shared" si="576"/>
        <v>0</v>
      </c>
      <c r="CE311" s="10">
        <f t="shared" si="576"/>
        <v>0</v>
      </c>
      <c r="CF311" s="10">
        <f t="shared" si="576"/>
        <v>0</v>
      </c>
      <c r="CG311" s="10">
        <f t="shared" si="576"/>
        <v>0</v>
      </c>
      <c r="CH311" s="10">
        <f t="shared" si="576"/>
        <v>0</v>
      </c>
      <c r="CI311" s="10">
        <f t="shared" si="576"/>
        <v>0</v>
      </c>
      <c r="CK311" s="11"/>
      <c r="CM311" s="11"/>
      <c r="CW311" s="7">
        <f t="shared" ref="CW311:CW316" si="577">IF(SUM($DB311:$DD311)=0, 0, 1)</f>
        <v>0</v>
      </c>
      <c r="CX311" s="7">
        <f t="shared" ref="CX311:CX316" si="578">IF(SUM($DE311:$DG311)=0, 0, 1)</f>
        <v>0</v>
      </c>
      <c r="CY311" s="7">
        <f t="shared" ref="CY311:CY316" si="579">IF($DH311=0, 0, 1)</f>
        <v>0</v>
      </c>
      <c r="CZ311" s="650"/>
      <c r="DA311" s="35"/>
      <c r="DB311" s="215">
        <f t="shared" ref="DB311:DB316" si="580">ROUND(W311-SUMIFS($AA311:$BJ311, $AA$3:$BJ$3, W$3), rounding)</f>
        <v>0</v>
      </c>
      <c r="DC311" s="215">
        <f t="shared" ref="DC311:DC316" si="581">ROUND(X311-SUMIFS($AA311:$BJ311, $AA$3:$BJ$3, X$3), rounding)</f>
        <v>0</v>
      </c>
      <c r="DD311" s="215">
        <f t="shared" ref="DD311:DD316" si="582">ROUND(Y311-SUMIFS($AA311:$BJ311, $AA$3:$BJ$3, Y$3), rounding)</f>
        <v>0</v>
      </c>
      <c r="DE311" s="215">
        <f t="shared" ref="DE311:DE316" si="583">ROUND($BY311-SUMIFS($AA311:$BJ311, $AA$3:$BJ$3, $BY$3), rounding)</f>
        <v>0</v>
      </c>
      <c r="DF311" s="215">
        <f t="shared" ref="DF311:DF316" si="584">ROUND($BZ311-SUMIFS($AA311:$BJ311, $AA$3:$BJ$3, $BZ$3), rounding)</f>
        <v>0</v>
      </c>
      <c r="DG311" s="215">
        <f t="shared" ref="DG311:DG316" si="585">ROUND($CA311-SUMIFS($AA311:$BJ311, $AA$3:$BJ$3, $CA$3), rounding)</f>
        <v>0</v>
      </c>
      <c r="DH311" s="215">
        <f t="shared" ref="DH311:DH316" si="586">ROUND($V311-$BX311, rounding)</f>
        <v>0</v>
      </c>
      <c r="DI311" s="35"/>
      <c r="DJ311">
        <v>0</v>
      </c>
      <c r="DK311">
        <v>0</v>
      </c>
      <c r="DL311" s="35"/>
      <c r="EZ311" s="12" t="str">
        <f t="shared" ref="EZ311:EZ316" si="587">IF($C311="","",CONCATENATE(D$300, " ",$D311))</f>
        <v>Finance Lease Additions Land &amp; Buildings</v>
      </c>
    </row>
    <row r="312" spans="1:156" x14ac:dyDescent="0.35">
      <c r="A312" s="220" cm="1">
        <f t="array" aca="1" ref="A312" ca="1">HYPERLINK(CONCATENATE("#",CELL("address",IF(MAX($CM312:$CZ312)=0,A312,INDEX($CM312:$CZ312,MATCH(1,$CM312:$CZ312,0))))),MAX($CM312:$CZ312))</f>
        <v>0</v>
      </c>
      <c r="B312" s="4"/>
      <c r="C312" s="234" t="s">
        <v>965</v>
      </c>
      <c r="D312" s="74" t="str">
        <f>Parameters!$D$40</f>
        <v>Equipment</v>
      </c>
      <c r="E312" s="33"/>
      <c r="G312" s="8"/>
      <c r="H312" s="9" t="s">
        <v>403</v>
      </c>
      <c r="V312" s="653">
        <f t="shared" ref="V312:Y314" si="588">V50</f>
        <v>0</v>
      </c>
      <c r="W312" s="653">
        <f t="shared" si="588"/>
        <v>0</v>
      </c>
      <c r="X312" s="10">
        <f t="shared" si="588"/>
        <v>0</v>
      </c>
      <c r="Y312" s="10">
        <f t="shared" si="588"/>
        <v>0</v>
      </c>
      <c r="AA312" s="653">
        <f t="shared" ref="AA312:BJ312" si="589">AA50</f>
        <v>0</v>
      </c>
      <c r="AB312" s="653">
        <f t="shared" si="589"/>
        <v>0</v>
      </c>
      <c r="AC312" s="653">
        <f t="shared" si="589"/>
        <v>0</v>
      </c>
      <c r="AD312" s="653">
        <f t="shared" si="589"/>
        <v>0</v>
      </c>
      <c r="AE312" s="653">
        <f t="shared" si="589"/>
        <v>0</v>
      </c>
      <c r="AF312" s="653">
        <f t="shared" si="589"/>
        <v>0</v>
      </c>
      <c r="AG312" s="653">
        <f t="shared" si="589"/>
        <v>0</v>
      </c>
      <c r="AH312" s="653">
        <f t="shared" si="589"/>
        <v>0</v>
      </c>
      <c r="AI312" s="653">
        <f t="shared" si="589"/>
        <v>0</v>
      </c>
      <c r="AJ312" s="653">
        <f t="shared" si="589"/>
        <v>0</v>
      </c>
      <c r="AK312" s="653">
        <f t="shared" si="589"/>
        <v>0</v>
      </c>
      <c r="AL312" s="653">
        <f t="shared" si="589"/>
        <v>0</v>
      </c>
      <c r="AM312" s="10">
        <f t="shared" si="589"/>
        <v>0</v>
      </c>
      <c r="AN312" s="10">
        <f t="shared" si="589"/>
        <v>0</v>
      </c>
      <c r="AO312" s="10">
        <f t="shared" si="589"/>
        <v>0</v>
      </c>
      <c r="AP312" s="10">
        <f t="shared" si="589"/>
        <v>0</v>
      </c>
      <c r="AQ312" s="10">
        <f t="shared" si="589"/>
        <v>0</v>
      </c>
      <c r="AR312" s="10">
        <f t="shared" si="589"/>
        <v>0</v>
      </c>
      <c r="AS312" s="10">
        <f t="shared" si="589"/>
        <v>0</v>
      </c>
      <c r="AT312" s="10">
        <f t="shared" si="589"/>
        <v>0</v>
      </c>
      <c r="AU312" s="10">
        <f t="shared" si="589"/>
        <v>0</v>
      </c>
      <c r="AV312" s="10">
        <f t="shared" si="589"/>
        <v>0</v>
      </c>
      <c r="AW312" s="10">
        <f t="shared" si="589"/>
        <v>0</v>
      </c>
      <c r="AX312" s="10">
        <f t="shared" si="589"/>
        <v>0</v>
      </c>
      <c r="AY312" s="10">
        <f t="shared" si="589"/>
        <v>0</v>
      </c>
      <c r="AZ312" s="10">
        <f t="shared" si="589"/>
        <v>0</v>
      </c>
      <c r="BA312" s="10">
        <f t="shared" si="589"/>
        <v>0</v>
      </c>
      <c r="BB312" s="10">
        <f t="shared" si="589"/>
        <v>0</v>
      </c>
      <c r="BC312" s="10">
        <f t="shared" si="589"/>
        <v>0</v>
      </c>
      <c r="BD312" s="10">
        <f t="shared" si="589"/>
        <v>0</v>
      </c>
      <c r="BE312" s="10">
        <f t="shared" si="589"/>
        <v>0</v>
      </c>
      <c r="BF312" s="10">
        <f t="shared" si="589"/>
        <v>0</v>
      </c>
      <c r="BG312" s="10">
        <f t="shared" si="589"/>
        <v>0</v>
      </c>
      <c r="BH312" s="10">
        <f t="shared" si="589"/>
        <v>0</v>
      </c>
      <c r="BI312" s="10">
        <f t="shared" si="589"/>
        <v>0</v>
      </c>
      <c r="BJ312" s="10">
        <f t="shared" si="589"/>
        <v>0</v>
      </c>
      <c r="BX312" s="653">
        <f t="shared" ref="BX312:CI312" si="590">BX50</f>
        <v>0</v>
      </c>
      <c r="BY312" s="653">
        <f t="shared" si="590"/>
        <v>0</v>
      </c>
      <c r="BZ312" s="10">
        <f t="shared" si="590"/>
        <v>0</v>
      </c>
      <c r="CA312" s="10">
        <f t="shared" si="590"/>
        <v>0</v>
      </c>
      <c r="CB312" s="10">
        <f t="shared" si="590"/>
        <v>0</v>
      </c>
      <c r="CC312" s="10">
        <f t="shared" si="590"/>
        <v>0</v>
      </c>
      <c r="CD312" s="10">
        <f t="shared" si="590"/>
        <v>0</v>
      </c>
      <c r="CE312" s="10">
        <f t="shared" si="590"/>
        <v>0</v>
      </c>
      <c r="CF312" s="10">
        <f t="shared" si="590"/>
        <v>0</v>
      </c>
      <c r="CG312" s="10">
        <f t="shared" si="590"/>
        <v>0</v>
      </c>
      <c r="CH312" s="10">
        <f t="shared" si="590"/>
        <v>0</v>
      </c>
      <c r="CI312" s="10">
        <f t="shared" si="590"/>
        <v>0</v>
      </c>
      <c r="CK312" s="11"/>
      <c r="CM312" s="11"/>
      <c r="CW312" s="7">
        <f t="shared" si="577"/>
        <v>0</v>
      </c>
      <c r="CX312" s="7">
        <f t="shared" si="578"/>
        <v>0</v>
      </c>
      <c r="CY312" s="7">
        <f t="shared" si="579"/>
        <v>0</v>
      </c>
      <c r="CZ312" s="650"/>
      <c r="DA312" s="35"/>
      <c r="DB312" s="215">
        <f t="shared" si="580"/>
        <v>0</v>
      </c>
      <c r="DC312" s="215">
        <f t="shared" si="581"/>
        <v>0</v>
      </c>
      <c r="DD312" s="215">
        <f t="shared" si="582"/>
        <v>0</v>
      </c>
      <c r="DE312" s="215">
        <f t="shared" si="583"/>
        <v>0</v>
      </c>
      <c r="DF312" s="215">
        <f t="shared" si="584"/>
        <v>0</v>
      </c>
      <c r="DG312" s="215">
        <f t="shared" si="585"/>
        <v>0</v>
      </c>
      <c r="DH312" s="215">
        <f t="shared" si="586"/>
        <v>0</v>
      </c>
      <c r="DI312" s="35"/>
      <c r="DJ312">
        <v>0</v>
      </c>
      <c r="DK312">
        <v>0</v>
      </c>
      <c r="DL312" s="35"/>
      <c r="EZ312" s="12" t="str">
        <f t="shared" si="587"/>
        <v>Finance Lease Additions Equipment</v>
      </c>
    </row>
    <row r="313" spans="1:156" x14ac:dyDescent="0.35">
      <c r="A313" s="220" cm="1">
        <f t="array" aca="1" ref="A313" ca="1">HYPERLINK(CONCATENATE("#",CELL("address",IF(MAX($CM313:$CZ313)=0,A313,INDEX($CM313:$CZ313,MATCH(1,$CM313:$CZ313,0))))),MAX($CM313:$CZ313))</f>
        <v>0</v>
      </c>
      <c r="B313" s="4"/>
      <c r="C313" s="234" t="s">
        <v>966</v>
      </c>
      <c r="D313" s="74" t="str">
        <f>Parameters!$D$41</f>
        <v>Other NCA</v>
      </c>
      <c r="E313" s="33"/>
      <c r="G313" s="8"/>
      <c r="H313" s="9"/>
      <c r="V313" s="653">
        <f t="shared" si="588"/>
        <v>0</v>
      </c>
      <c r="W313" s="653">
        <f t="shared" si="588"/>
        <v>0</v>
      </c>
      <c r="X313" s="10">
        <f t="shared" si="588"/>
        <v>0</v>
      </c>
      <c r="Y313" s="10">
        <f t="shared" si="588"/>
        <v>0</v>
      </c>
      <c r="AA313" s="653">
        <f t="shared" ref="AA313:BJ313" si="591">AA51</f>
        <v>0</v>
      </c>
      <c r="AB313" s="653">
        <f t="shared" si="591"/>
        <v>0</v>
      </c>
      <c r="AC313" s="653">
        <f t="shared" si="591"/>
        <v>0</v>
      </c>
      <c r="AD313" s="653">
        <f t="shared" si="591"/>
        <v>0</v>
      </c>
      <c r="AE313" s="653">
        <f t="shared" si="591"/>
        <v>0</v>
      </c>
      <c r="AF313" s="653">
        <f t="shared" si="591"/>
        <v>0</v>
      </c>
      <c r="AG313" s="653">
        <f t="shared" si="591"/>
        <v>0</v>
      </c>
      <c r="AH313" s="653">
        <f t="shared" si="591"/>
        <v>0</v>
      </c>
      <c r="AI313" s="653">
        <f t="shared" si="591"/>
        <v>0</v>
      </c>
      <c r="AJ313" s="653">
        <f t="shared" si="591"/>
        <v>0</v>
      </c>
      <c r="AK313" s="653">
        <f t="shared" si="591"/>
        <v>0</v>
      </c>
      <c r="AL313" s="653">
        <f t="shared" si="591"/>
        <v>0</v>
      </c>
      <c r="AM313" s="10">
        <f t="shared" si="591"/>
        <v>0</v>
      </c>
      <c r="AN313" s="10">
        <f t="shared" si="591"/>
        <v>0</v>
      </c>
      <c r="AO313" s="10">
        <f t="shared" si="591"/>
        <v>0</v>
      </c>
      <c r="AP313" s="10">
        <f t="shared" si="591"/>
        <v>0</v>
      </c>
      <c r="AQ313" s="10">
        <f t="shared" si="591"/>
        <v>0</v>
      </c>
      <c r="AR313" s="10">
        <f t="shared" si="591"/>
        <v>0</v>
      </c>
      <c r="AS313" s="10">
        <f t="shared" si="591"/>
        <v>0</v>
      </c>
      <c r="AT313" s="10">
        <f t="shared" si="591"/>
        <v>0</v>
      </c>
      <c r="AU313" s="10">
        <f t="shared" si="591"/>
        <v>0</v>
      </c>
      <c r="AV313" s="10">
        <f t="shared" si="591"/>
        <v>0</v>
      </c>
      <c r="AW313" s="10">
        <f t="shared" si="591"/>
        <v>0</v>
      </c>
      <c r="AX313" s="10">
        <f t="shared" si="591"/>
        <v>0</v>
      </c>
      <c r="AY313" s="10">
        <f t="shared" si="591"/>
        <v>0</v>
      </c>
      <c r="AZ313" s="10">
        <f t="shared" si="591"/>
        <v>0</v>
      </c>
      <c r="BA313" s="10">
        <f t="shared" si="591"/>
        <v>0</v>
      </c>
      <c r="BB313" s="10">
        <f t="shared" si="591"/>
        <v>0</v>
      </c>
      <c r="BC313" s="10">
        <f t="shared" si="591"/>
        <v>0</v>
      </c>
      <c r="BD313" s="10">
        <f t="shared" si="591"/>
        <v>0</v>
      </c>
      <c r="BE313" s="10">
        <f t="shared" si="591"/>
        <v>0</v>
      </c>
      <c r="BF313" s="10">
        <f t="shared" si="591"/>
        <v>0</v>
      </c>
      <c r="BG313" s="10">
        <f t="shared" si="591"/>
        <v>0</v>
      </c>
      <c r="BH313" s="10">
        <f t="shared" si="591"/>
        <v>0</v>
      </c>
      <c r="BI313" s="10">
        <f t="shared" si="591"/>
        <v>0</v>
      </c>
      <c r="BJ313" s="10">
        <f t="shared" si="591"/>
        <v>0</v>
      </c>
      <c r="BX313" s="653">
        <f t="shared" ref="BX313:CI313" si="592">BX51</f>
        <v>0</v>
      </c>
      <c r="BY313" s="653">
        <f t="shared" si="592"/>
        <v>0</v>
      </c>
      <c r="BZ313" s="10">
        <f t="shared" si="592"/>
        <v>0</v>
      </c>
      <c r="CA313" s="10">
        <f t="shared" si="592"/>
        <v>0</v>
      </c>
      <c r="CB313" s="10">
        <f t="shared" si="592"/>
        <v>0</v>
      </c>
      <c r="CC313" s="10">
        <f t="shared" si="592"/>
        <v>0</v>
      </c>
      <c r="CD313" s="10">
        <f t="shared" si="592"/>
        <v>0</v>
      </c>
      <c r="CE313" s="10">
        <f t="shared" si="592"/>
        <v>0</v>
      </c>
      <c r="CF313" s="10">
        <f t="shared" si="592"/>
        <v>0</v>
      </c>
      <c r="CG313" s="10">
        <f t="shared" si="592"/>
        <v>0</v>
      </c>
      <c r="CH313" s="10">
        <f t="shared" si="592"/>
        <v>0</v>
      </c>
      <c r="CI313" s="10">
        <f t="shared" si="592"/>
        <v>0</v>
      </c>
      <c r="CK313" s="11"/>
      <c r="CM313" s="11"/>
      <c r="CW313" s="7">
        <f t="shared" si="577"/>
        <v>0</v>
      </c>
      <c r="CX313" s="7">
        <f t="shared" si="578"/>
        <v>0</v>
      </c>
      <c r="CY313" s="7">
        <f t="shared" si="579"/>
        <v>0</v>
      </c>
      <c r="CZ313" s="650"/>
      <c r="DA313" s="35"/>
      <c r="DB313" s="215">
        <f t="shared" si="580"/>
        <v>0</v>
      </c>
      <c r="DC313" s="215">
        <f t="shared" si="581"/>
        <v>0</v>
      </c>
      <c r="DD313" s="215">
        <f t="shared" si="582"/>
        <v>0</v>
      </c>
      <c r="DE313" s="215">
        <f t="shared" si="583"/>
        <v>0</v>
      </c>
      <c r="DF313" s="215">
        <f t="shared" si="584"/>
        <v>0</v>
      </c>
      <c r="DG313" s="215">
        <f t="shared" si="585"/>
        <v>0</v>
      </c>
      <c r="DH313" s="215">
        <f t="shared" si="586"/>
        <v>0</v>
      </c>
      <c r="DI313" s="35"/>
      <c r="DJ313">
        <v>0</v>
      </c>
      <c r="DK313">
        <v>0</v>
      </c>
      <c r="DL313" s="35"/>
      <c r="EZ313" s="12" t="str">
        <f t="shared" si="587"/>
        <v>Finance Lease Additions Other NCA</v>
      </c>
    </row>
    <row r="314" spans="1:156" x14ac:dyDescent="0.35">
      <c r="A314" s="220" cm="1">
        <f t="array" aca="1" ref="A314" ca="1">HYPERLINK(CONCATENATE("#",CELL("address",IF(MAX($CM314:$CZ314)=0,A314,INDEX($CM314:$CZ314,MATCH(1,$CM314:$CZ314,0))))),MAX($CM314:$CZ314))</f>
        <v>0</v>
      </c>
      <c r="B314" s="4"/>
      <c r="C314" s="234" t="s">
        <v>967</v>
      </c>
      <c r="D314" s="74" t="str">
        <f>Parameters!$D$42</f>
        <v>Assets under Construction</v>
      </c>
      <c r="E314" s="33"/>
      <c r="G314" s="8"/>
      <c r="H314" s="9"/>
      <c r="V314" s="653">
        <f t="shared" si="588"/>
        <v>0</v>
      </c>
      <c r="W314" s="653">
        <f t="shared" si="588"/>
        <v>0</v>
      </c>
      <c r="X314" s="10">
        <f t="shared" si="588"/>
        <v>0</v>
      </c>
      <c r="Y314" s="10">
        <f t="shared" si="588"/>
        <v>0</v>
      </c>
      <c r="AA314" s="653">
        <f t="shared" ref="AA314:BJ314" si="593">AA52</f>
        <v>0</v>
      </c>
      <c r="AB314" s="653">
        <f t="shared" si="593"/>
        <v>0</v>
      </c>
      <c r="AC314" s="653">
        <f t="shared" si="593"/>
        <v>0</v>
      </c>
      <c r="AD314" s="653">
        <f t="shared" si="593"/>
        <v>0</v>
      </c>
      <c r="AE314" s="653">
        <f t="shared" si="593"/>
        <v>0</v>
      </c>
      <c r="AF314" s="653">
        <f t="shared" si="593"/>
        <v>0</v>
      </c>
      <c r="AG314" s="653">
        <f t="shared" si="593"/>
        <v>0</v>
      </c>
      <c r="AH314" s="653">
        <f t="shared" si="593"/>
        <v>0</v>
      </c>
      <c r="AI314" s="653">
        <f t="shared" si="593"/>
        <v>0</v>
      </c>
      <c r="AJ314" s="653">
        <f t="shared" si="593"/>
        <v>0</v>
      </c>
      <c r="AK314" s="653">
        <f t="shared" si="593"/>
        <v>0</v>
      </c>
      <c r="AL314" s="653">
        <f t="shared" si="593"/>
        <v>0</v>
      </c>
      <c r="AM314" s="10">
        <f t="shared" si="593"/>
        <v>0</v>
      </c>
      <c r="AN314" s="10">
        <f t="shared" si="593"/>
        <v>0</v>
      </c>
      <c r="AO314" s="10">
        <f t="shared" si="593"/>
        <v>0</v>
      </c>
      <c r="AP314" s="10">
        <f t="shared" si="593"/>
        <v>0</v>
      </c>
      <c r="AQ314" s="10">
        <f t="shared" si="593"/>
        <v>0</v>
      </c>
      <c r="AR314" s="10">
        <f t="shared" si="593"/>
        <v>0</v>
      </c>
      <c r="AS314" s="10">
        <f t="shared" si="593"/>
        <v>0</v>
      </c>
      <c r="AT314" s="10">
        <f t="shared" si="593"/>
        <v>0</v>
      </c>
      <c r="AU314" s="10">
        <f t="shared" si="593"/>
        <v>0</v>
      </c>
      <c r="AV314" s="10">
        <f t="shared" si="593"/>
        <v>0</v>
      </c>
      <c r="AW314" s="10">
        <f t="shared" si="593"/>
        <v>0</v>
      </c>
      <c r="AX314" s="10">
        <f t="shared" si="593"/>
        <v>0</v>
      </c>
      <c r="AY314" s="10">
        <f t="shared" si="593"/>
        <v>0</v>
      </c>
      <c r="AZ314" s="10">
        <f t="shared" si="593"/>
        <v>0</v>
      </c>
      <c r="BA314" s="10">
        <f t="shared" si="593"/>
        <v>0</v>
      </c>
      <c r="BB314" s="10">
        <f t="shared" si="593"/>
        <v>0</v>
      </c>
      <c r="BC314" s="10">
        <f t="shared" si="593"/>
        <v>0</v>
      </c>
      <c r="BD314" s="10">
        <f t="shared" si="593"/>
        <v>0</v>
      </c>
      <c r="BE314" s="10">
        <f t="shared" si="593"/>
        <v>0</v>
      </c>
      <c r="BF314" s="10">
        <f t="shared" si="593"/>
        <v>0</v>
      </c>
      <c r="BG314" s="10">
        <f t="shared" si="593"/>
        <v>0</v>
      </c>
      <c r="BH314" s="10">
        <f t="shared" si="593"/>
        <v>0</v>
      </c>
      <c r="BI314" s="10">
        <f t="shared" si="593"/>
        <v>0</v>
      </c>
      <c r="BJ314" s="10">
        <f t="shared" si="593"/>
        <v>0</v>
      </c>
      <c r="BX314" s="653">
        <f t="shared" ref="BX314:CI314" si="594">BX52</f>
        <v>0</v>
      </c>
      <c r="BY314" s="653">
        <f t="shared" si="594"/>
        <v>0</v>
      </c>
      <c r="BZ314" s="10">
        <f t="shared" si="594"/>
        <v>0</v>
      </c>
      <c r="CA314" s="10">
        <f t="shared" si="594"/>
        <v>0</v>
      </c>
      <c r="CB314" s="10">
        <f t="shared" si="594"/>
        <v>0</v>
      </c>
      <c r="CC314" s="10">
        <f t="shared" si="594"/>
        <v>0</v>
      </c>
      <c r="CD314" s="10">
        <f t="shared" si="594"/>
        <v>0</v>
      </c>
      <c r="CE314" s="10">
        <f t="shared" si="594"/>
        <v>0</v>
      </c>
      <c r="CF314" s="10">
        <f t="shared" si="594"/>
        <v>0</v>
      </c>
      <c r="CG314" s="10">
        <f t="shared" si="594"/>
        <v>0</v>
      </c>
      <c r="CH314" s="10">
        <f t="shared" si="594"/>
        <v>0</v>
      </c>
      <c r="CI314" s="10">
        <f t="shared" si="594"/>
        <v>0</v>
      </c>
      <c r="CK314" s="11"/>
      <c r="CM314" s="11"/>
      <c r="CW314" s="7">
        <f t="shared" si="577"/>
        <v>0</v>
      </c>
      <c r="CX314" s="7">
        <f t="shared" si="578"/>
        <v>0</v>
      </c>
      <c r="CY314" s="7">
        <f t="shared" si="579"/>
        <v>0</v>
      </c>
      <c r="CZ314" s="650"/>
      <c r="DA314" s="35"/>
      <c r="DB314" s="215">
        <f t="shared" si="580"/>
        <v>0</v>
      </c>
      <c r="DC314" s="215">
        <f t="shared" si="581"/>
        <v>0</v>
      </c>
      <c r="DD314" s="215">
        <f t="shared" si="582"/>
        <v>0</v>
      </c>
      <c r="DE314" s="215">
        <f t="shared" si="583"/>
        <v>0</v>
      </c>
      <c r="DF314" s="215">
        <f t="shared" si="584"/>
        <v>0</v>
      </c>
      <c r="DG314" s="215">
        <f t="shared" si="585"/>
        <v>0</v>
      </c>
      <c r="DH314" s="215">
        <f t="shared" si="586"/>
        <v>0</v>
      </c>
      <c r="DI314" s="35"/>
      <c r="DJ314">
        <v>0</v>
      </c>
      <c r="DK314">
        <v>0</v>
      </c>
      <c r="DL314" s="35"/>
      <c r="EZ314" s="12" t="str">
        <f t="shared" si="587"/>
        <v>Finance Lease Additions Assets under Construction</v>
      </c>
    </row>
    <row r="315" spans="1:156" x14ac:dyDescent="0.35">
      <c r="A315" s="220" cm="1">
        <f t="array" aca="1" ref="A315" ca="1">HYPERLINK(CONCATENATE("#",CELL("address",IF(MAX($CM315:$CZ315)=0,A315,INDEX($CM315:$CZ315,MATCH(1,$CM315:$CZ315,0))))),MAX($CM315:$CZ315))</f>
        <v>0</v>
      </c>
      <c r="B315" s="85" t="s">
        <v>122</v>
      </c>
      <c r="C315" s="234" t="s">
        <v>968</v>
      </c>
      <c r="D315" s="73" t="s">
        <v>901</v>
      </c>
      <c r="E315" s="33"/>
      <c r="G315" s="8"/>
      <c r="H315" s="9" t="s">
        <v>403</v>
      </c>
      <c r="V315" s="648"/>
      <c r="W315" s="653">
        <f xml:space="preserve"> SUMIFS($AA315:$BJ315, $AA$3:$BJ$3, W$3)</f>
        <v>0</v>
      </c>
      <c r="X315" s="133">
        <f xml:space="preserve"> SUMIFS($AA315:$BJ315, $AA$3:$BJ$3, X$3)</f>
        <v>0</v>
      </c>
      <c r="Y315" s="133">
        <f xml:space="preserve"> SUMIFS($AA315:$BJ315, $AA$3:$BJ$3, Y$3)</f>
        <v>0</v>
      </c>
      <c r="AA315" s="649"/>
      <c r="AB315" s="649"/>
      <c r="AC315" s="649"/>
      <c r="AD315" s="649"/>
      <c r="AE315" s="649"/>
      <c r="AF315" s="649"/>
      <c r="AG315" s="649"/>
      <c r="AH315" s="649"/>
      <c r="AI315" s="649"/>
      <c r="AJ315" s="649"/>
      <c r="AK315" s="649"/>
      <c r="AL315" s="649"/>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X315" s="654">
        <f>V315</f>
        <v>0</v>
      </c>
      <c r="BY315" s="654">
        <f>W315</f>
        <v>0</v>
      </c>
      <c r="BZ315" s="12">
        <f>X315</f>
        <v>0</v>
      </c>
      <c r="CA315" s="12">
        <f>Y315</f>
        <v>0</v>
      </c>
      <c r="CB315" s="109"/>
      <c r="CC315" s="109"/>
      <c r="CD315" s="109"/>
      <c r="CE315" s="109"/>
      <c r="CF315" s="109"/>
      <c r="CG315" s="109"/>
      <c r="CH315" s="109"/>
      <c r="CI315" s="109"/>
      <c r="CK315" s="11"/>
      <c r="CM315" s="11"/>
      <c r="CU315" s="7" cm="1">
        <f t="array" ref="CU315">SUMPRODUCT(--NOT(ISNUMBER(V315:CI315)),--NOT(ISBLANK(V315:CI315)))</f>
        <v>0</v>
      </c>
      <c r="CW315" s="7">
        <f t="shared" si="577"/>
        <v>0</v>
      </c>
      <c r="CX315" s="7">
        <f t="shared" si="578"/>
        <v>0</v>
      </c>
      <c r="CY315" s="7">
        <f t="shared" si="579"/>
        <v>0</v>
      </c>
      <c r="CZ315" s="650"/>
      <c r="DA315" s="35"/>
      <c r="DB315" s="215">
        <f t="shared" si="580"/>
        <v>0</v>
      </c>
      <c r="DC315" s="215">
        <f t="shared" si="581"/>
        <v>0</v>
      </c>
      <c r="DD315" s="215">
        <f t="shared" si="582"/>
        <v>0</v>
      </c>
      <c r="DE315" s="215">
        <f t="shared" si="583"/>
        <v>0</v>
      </c>
      <c r="DF315" s="215">
        <f t="shared" si="584"/>
        <v>0</v>
      </c>
      <c r="DG315" s="215">
        <f t="shared" si="585"/>
        <v>0</v>
      </c>
      <c r="DH315" s="215">
        <f t="shared" si="586"/>
        <v>0</v>
      </c>
      <c r="DI315" s="35"/>
      <c r="DJ315">
        <v>1</v>
      </c>
      <c r="DK315">
        <v>1</v>
      </c>
      <c r="DL315" s="35"/>
      <c r="EZ315" s="12" t="str">
        <f t="shared" si="587"/>
        <v>Finance Lease Additions Movement due to mergers</v>
      </c>
    </row>
    <row r="316" spans="1:156" x14ac:dyDescent="0.35">
      <c r="A316" s="220" cm="1">
        <f t="array" aca="1" ref="A316" ca="1">HYPERLINK(CONCATENATE("#",CELL("address",IF(MAX($CM316:$CZ316)=0,A316,INDEX($CM316:$CZ316,MATCH(1,$CM316:$CZ316,0))))),MAX($CM316:$CZ316))</f>
        <v>0</v>
      </c>
      <c r="B316" s="4"/>
      <c r="C316" s="234" t="s">
        <v>969</v>
      </c>
      <c r="D316" s="72" t="s">
        <v>970</v>
      </c>
      <c r="E316" s="33"/>
      <c r="G316" s="8"/>
      <c r="H316" s="9" t="s">
        <v>403</v>
      </c>
      <c r="V316" s="12">
        <f>SUM(V311:V315)</f>
        <v>0</v>
      </c>
      <c r="W316" s="12">
        <f>SUM(W311:W315)</f>
        <v>0</v>
      </c>
      <c r="X316" s="12">
        <f>SUM(X311:X315)</f>
        <v>0</v>
      </c>
      <c r="Y316" s="12">
        <f>SUM(Y311:Y315)</f>
        <v>0</v>
      </c>
      <c r="AA316" s="12">
        <f t="shared" ref="AA316:BJ316" si="595">SUM(AA311:AA315)</f>
        <v>0</v>
      </c>
      <c r="AB316" s="12">
        <f t="shared" si="595"/>
        <v>0</v>
      </c>
      <c r="AC316" s="12">
        <f t="shared" si="595"/>
        <v>0</v>
      </c>
      <c r="AD316" s="12">
        <f t="shared" si="595"/>
        <v>0</v>
      </c>
      <c r="AE316" s="12">
        <f t="shared" si="595"/>
        <v>0</v>
      </c>
      <c r="AF316" s="12">
        <f t="shared" si="595"/>
        <v>0</v>
      </c>
      <c r="AG316" s="12">
        <f t="shared" si="595"/>
        <v>0</v>
      </c>
      <c r="AH316" s="12">
        <f t="shared" si="595"/>
        <v>0</v>
      </c>
      <c r="AI316" s="12">
        <f t="shared" si="595"/>
        <v>0</v>
      </c>
      <c r="AJ316" s="12">
        <f t="shared" si="595"/>
        <v>0</v>
      </c>
      <c r="AK316" s="12">
        <f t="shared" si="595"/>
        <v>0</v>
      </c>
      <c r="AL316" s="12">
        <f t="shared" si="595"/>
        <v>0</v>
      </c>
      <c r="AM316" s="12">
        <f t="shared" si="595"/>
        <v>0</v>
      </c>
      <c r="AN316" s="12">
        <f t="shared" si="595"/>
        <v>0</v>
      </c>
      <c r="AO316" s="12">
        <f t="shared" si="595"/>
        <v>0</v>
      </c>
      <c r="AP316" s="12">
        <f t="shared" si="595"/>
        <v>0</v>
      </c>
      <c r="AQ316" s="12">
        <f t="shared" si="595"/>
        <v>0</v>
      </c>
      <c r="AR316" s="12">
        <f t="shared" si="595"/>
        <v>0</v>
      </c>
      <c r="AS316" s="12">
        <f t="shared" si="595"/>
        <v>0</v>
      </c>
      <c r="AT316" s="12">
        <f t="shared" si="595"/>
        <v>0</v>
      </c>
      <c r="AU316" s="12">
        <f t="shared" si="595"/>
        <v>0</v>
      </c>
      <c r="AV316" s="12">
        <f t="shared" si="595"/>
        <v>0</v>
      </c>
      <c r="AW316" s="12">
        <f t="shared" si="595"/>
        <v>0</v>
      </c>
      <c r="AX316" s="12">
        <f t="shared" si="595"/>
        <v>0</v>
      </c>
      <c r="AY316" s="12">
        <f t="shared" si="595"/>
        <v>0</v>
      </c>
      <c r="AZ316" s="12">
        <f t="shared" si="595"/>
        <v>0</v>
      </c>
      <c r="BA316" s="12">
        <f t="shared" si="595"/>
        <v>0</v>
      </c>
      <c r="BB316" s="12">
        <f t="shared" si="595"/>
        <v>0</v>
      </c>
      <c r="BC316" s="12">
        <f t="shared" si="595"/>
        <v>0</v>
      </c>
      <c r="BD316" s="12">
        <f t="shared" si="595"/>
        <v>0</v>
      </c>
      <c r="BE316" s="12">
        <f t="shared" si="595"/>
        <v>0</v>
      </c>
      <c r="BF316" s="12">
        <f t="shared" si="595"/>
        <v>0</v>
      </c>
      <c r="BG316" s="12">
        <f t="shared" si="595"/>
        <v>0</v>
      </c>
      <c r="BH316" s="12">
        <f t="shared" si="595"/>
        <v>0</v>
      </c>
      <c r="BI316" s="12">
        <f t="shared" si="595"/>
        <v>0</v>
      </c>
      <c r="BJ316" s="12">
        <f t="shared" si="595"/>
        <v>0</v>
      </c>
      <c r="BX316" s="654">
        <f>SUM(BX311:BX315)</f>
        <v>0</v>
      </c>
      <c r="BY316" s="654">
        <f t="shared" ref="BY316:CI316" si="596">SUM(BY311:BY315)</f>
        <v>0</v>
      </c>
      <c r="BZ316" s="12">
        <f t="shared" si="596"/>
        <v>0</v>
      </c>
      <c r="CA316" s="12">
        <f t="shared" si="596"/>
        <v>0</v>
      </c>
      <c r="CB316" s="12">
        <f t="shared" si="596"/>
        <v>0</v>
      </c>
      <c r="CC316" s="12">
        <f t="shared" si="596"/>
        <v>0</v>
      </c>
      <c r="CD316" s="12">
        <f t="shared" si="596"/>
        <v>0</v>
      </c>
      <c r="CE316" s="12">
        <f t="shared" si="596"/>
        <v>0</v>
      </c>
      <c r="CF316" s="12">
        <f t="shared" si="596"/>
        <v>0</v>
      </c>
      <c r="CG316" s="12">
        <f t="shared" si="596"/>
        <v>0</v>
      </c>
      <c r="CH316" s="12">
        <f t="shared" si="596"/>
        <v>0</v>
      </c>
      <c r="CI316" s="12">
        <f t="shared" si="596"/>
        <v>0</v>
      </c>
      <c r="CK316" s="11"/>
      <c r="CM316" s="11"/>
      <c r="CW316" s="7">
        <f t="shared" si="577"/>
        <v>0</v>
      </c>
      <c r="CX316" s="7">
        <f t="shared" si="578"/>
        <v>0</v>
      </c>
      <c r="CY316" s="7">
        <f t="shared" si="579"/>
        <v>0</v>
      </c>
      <c r="CZ316" s="650"/>
      <c r="DA316" s="35"/>
      <c r="DB316" s="215">
        <f t="shared" si="580"/>
        <v>0</v>
      </c>
      <c r="DC316" s="215">
        <f t="shared" si="581"/>
        <v>0</v>
      </c>
      <c r="DD316" s="215">
        <f t="shared" si="582"/>
        <v>0</v>
      </c>
      <c r="DE316" s="215">
        <f t="shared" si="583"/>
        <v>0</v>
      </c>
      <c r="DF316" s="215">
        <f t="shared" si="584"/>
        <v>0</v>
      </c>
      <c r="DG316" s="215">
        <f t="shared" si="585"/>
        <v>0</v>
      </c>
      <c r="DH316" s="215">
        <f t="shared" si="586"/>
        <v>0</v>
      </c>
      <c r="DI316" s="35"/>
      <c r="DJ316">
        <v>0</v>
      </c>
      <c r="DK316">
        <v>0</v>
      </c>
      <c r="DL316" s="35"/>
      <c r="EZ316" s="12" t="str">
        <f t="shared" si="587"/>
        <v>Finance Lease Additions Total Operating Lease Additions (right of use)</v>
      </c>
    </row>
    <row r="317" spans="1:156" x14ac:dyDescent="0.35">
      <c r="C317" s="643"/>
      <c r="D317" s="73"/>
      <c r="E317"/>
      <c r="BY317" s="6"/>
      <c r="CK317" s="35"/>
      <c r="CM317" s="35"/>
      <c r="CZ317" s="650"/>
      <c r="DA317" s="35"/>
      <c r="DI317" s="35"/>
      <c r="DJ317">
        <v>0</v>
      </c>
      <c r="DK317">
        <v>0</v>
      </c>
      <c r="DL317" s="35"/>
      <c r="EZ317" s="10" t="str">
        <f>IF($C317="","",$D317)</f>
        <v/>
      </c>
    </row>
    <row r="318" spans="1:156" x14ac:dyDescent="0.35">
      <c r="A318" s="220" cm="1">
        <f t="array" aca="1" ref="A318" ca="1">HYPERLINK(CONCATENATE("#",CELL("address",IF(MAX($CM318:$CZ318)=0,A318,INDEX($CM318:$CZ318,MATCH(1,$CM318:$CZ318,0))))),MAX($CM318:$CZ318))</f>
        <v>0</v>
      </c>
      <c r="C318" s="643"/>
      <c r="D318" s="4" t="str">
        <f>Parameters!$D$57</f>
        <v>Operating Lease (Right of use)</v>
      </c>
      <c r="V318" s="10">
        <f>(SUMIFS(V$13:V$27,$F$13:$F$27,$D318)-V316)*'BS Forecasts'!V$10</f>
        <v>0</v>
      </c>
      <c r="W318" s="10">
        <f>(SUMIFS(W$13:W$27,$F$13:$F$27,$D318)-W316)*'BS Forecasts'!W$10</f>
        <v>0</v>
      </c>
      <c r="X318" s="10">
        <f>(SUMIFS(X$13:X$27,$F$13:$F$27,$D318)-X316)*'BS Forecasts'!X$10</f>
        <v>0</v>
      </c>
      <c r="Y318" s="10">
        <f>(SUMIFS(Y$13:Y$27,$F$13:$F$27,$D318)-Y316)*'BS Forecasts'!Y$10</f>
        <v>0</v>
      </c>
      <c r="AA318" s="10">
        <f>(SUMIFS(AA$13:AA$27,$F$13:$F$27,$D318)-AA316)*'BS Forecasts'!AA$10</f>
        <v>0</v>
      </c>
      <c r="AB318" s="10">
        <f>(SUMIFS(AB$13:AB$27,$F$13:$F$27,$D318)-AB316)*'BS Forecasts'!AB$10</f>
        <v>0</v>
      </c>
      <c r="AC318" s="10">
        <f>(SUMIFS(AC$13:AC$27,$F$13:$F$27,$D318)-AC316)*'BS Forecasts'!AC$10</f>
        <v>0</v>
      </c>
      <c r="AD318" s="10">
        <f>(SUMIFS(AD$13:AD$27,$F$13:$F$27,$D318)-AD316)*'BS Forecasts'!AD$10</f>
        <v>0</v>
      </c>
      <c r="AE318" s="10">
        <f>(SUMIFS(AE$13:AE$27,$F$13:$F$27,$D318)-AE316)*'BS Forecasts'!AE$10</f>
        <v>0</v>
      </c>
      <c r="AF318" s="10">
        <f>(SUMIFS(AF$13:AF$27,$F$13:$F$27,$D318)-AF316)*'BS Forecasts'!AF$10</f>
        <v>0</v>
      </c>
      <c r="AG318" s="10">
        <f>(SUMIFS(AG$13:AG$27,$F$13:$F$27,$D318)-AG316)*'BS Forecasts'!AG$10</f>
        <v>0</v>
      </c>
      <c r="AH318" s="10">
        <f>(SUMIFS(AH$13:AH$27,$F$13:$F$27,$D318)-AH316)*'BS Forecasts'!AH$10</f>
        <v>0</v>
      </c>
      <c r="AI318" s="10">
        <f>(SUMIFS(AI$13:AI$27,$F$13:$F$27,$D318)-AI316)*'BS Forecasts'!AI$10</f>
        <v>0</v>
      </c>
      <c r="AJ318" s="10">
        <f>(SUMIFS(AJ$13:AJ$27,$F$13:$F$27,$D318)-AJ316)*'BS Forecasts'!AJ$10</f>
        <v>0</v>
      </c>
      <c r="AK318" s="10">
        <f>(SUMIFS(AK$13:AK$27,$F$13:$F$27,$D318)-AK316)*'BS Forecasts'!AK$10</f>
        <v>0</v>
      </c>
      <c r="AL318" s="10">
        <f>(SUMIFS(AL$13:AL$27,$F$13:$F$27,$D318)-AL316)*'BS Forecasts'!AL$10</f>
        <v>0</v>
      </c>
      <c r="AM318" s="10">
        <f>(SUMIFS(AM$13:AM$27,$F$13:$F$27,$D318)-AM316)*'BS Forecasts'!AM$10</f>
        <v>0</v>
      </c>
      <c r="AN318" s="10">
        <f>(SUMIFS(AN$13:AN$27,$F$13:$F$27,$D318)-AN316)*'BS Forecasts'!AN$10</f>
        <v>0</v>
      </c>
      <c r="AO318" s="10">
        <f>(SUMIFS(AO$13:AO$27,$F$13:$F$27,$D318)-AO316)*'BS Forecasts'!AO$10</f>
        <v>0</v>
      </c>
      <c r="AP318" s="10">
        <f>(SUMIFS(AP$13:AP$27,$F$13:$F$27,$D318)-AP316)*'BS Forecasts'!AP$10</f>
        <v>0</v>
      </c>
      <c r="AQ318" s="10">
        <f>(SUMIFS(AQ$13:AQ$27,$F$13:$F$27,$D318)-AQ316)*'BS Forecasts'!AQ$10</f>
        <v>0</v>
      </c>
      <c r="AR318" s="10">
        <f>(SUMIFS(AR$13:AR$27,$F$13:$F$27,$D318)-AR316)*'BS Forecasts'!AR$10</f>
        <v>0</v>
      </c>
      <c r="AS318" s="10">
        <f>(SUMIFS(AS$13:AS$27,$F$13:$F$27,$D318)-AS316)*'BS Forecasts'!AS$10</f>
        <v>0</v>
      </c>
      <c r="AT318" s="10">
        <f>(SUMIFS(AT$13:AT$27,$F$13:$F$27,$D318)-AT316)*'BS Forecasts'!AT$10</f>
        <v>0</v>
      </c>
      <c r="AU318" s="10">
        <f>(SUMIFS(AU$13:AU$27,$F$13:$F$27,$D318)-AU316)*'BS Forecasts'!AU$10</f>
        <v>0</v>
      </c>
      <c r="AV318" s="10">
        <f>(SUMIFS(AV$13:AV$27,$F$13:$F$27,$D318)-AV316)*'BS Forecasts'!AV$10</f>
        <v>0</v>
      </c>
      <c r="AW318" s="10">
        <f>(SUMIFS(AW$13:AW$27,$F$13:$F$27,$D318)-AW316)*'BS Forecasts'!AW$10</f>
        <v>0</v>
      </c>
      <c r="AX318" s="10">
        <f>(SUMIFS(AX$13:AX$27,$F$13:$F$27,$D318)-AX316)*'BS Forecasts'!AX$10</f>
        <v>0</v>
      </c>
      <c r="AY318" s="10">
        <f>(SUMIFS(AY$13:AY$27,$F$13:$F$27,$D318)-AY316)*'BS Forecasts'!AY$10</f>
        <v>0</v>
      </c>
      <c r="AZ318" s="10">
        <f>(SUMIFS(AZ$13:AZ$27,$F$13:$F$27,$D318)-AZ316)*'BS Forecasts'!AZ$10</f>
        <v>0</v>
      </c>
      <c r="BA318" s="10">
        <f>(SUMIFS(BA$13:BA$27,$F$13:$F$27,$D318)-BA316)*'BS Forecasts'!BA$10</f>
        <v>0</v>
      </c>
      <c r="BB318" s="10">
        <f>(SUMIFS(BB$13:BB$27,$F$13:$F$27,$D318)-BB316)*'BS Forecasts'!BB$10</f>
        <v>0</v>
      </c>
      <c r="BC318" s="10">
        <f>(SUMIFS(BC$13:BC$27,$F$13:$F$27,$D318)-BC316)*'BS Forecasts'!BC$10</f>
        <v>0</v>
      </c>
      <c r="BD318" s="10">
        <f>(SUMIFS(BD$13:BD$27,$F$13:$F$27,$D318)-BD316)*'BS Forecasts'!BD$10</f>
        <v>0</v>
      </c>
      <c r="BE318" s="10">
        <f>(SUMIFS(BE$13:BE$27,$F$13:$F$27,$D318)-BE316)*'BS Forecasts'!BE$10</f>
        <v>0</v>
      </c>
      <c r="BF318" s="10">
        <f>(SUMIFS(BF$13:BF$27,$F$13:$F$27,$D318)-BF316)*'BS Forecasts'!BF$10</f>
        <v>0</v>
      </c>
      <c r="BG318" s="10">
        <f>(SUMIFS(BG$13:BG$27,$F$13:$F$27,$D318)-BG316)*'BS Forecasts'!BG$10</f>
        <v>0</v>
      </c>
      <c r="BH318" s="10">
        <f>(SUMIFS(BH$13:BH$27,$F$13:$F$27,$D318)-BH316)*'BS Forecasts'!BH$10</f>
        <v>0</v>
      </c>
      <c r="BI318" s="10">
        <f>(SUMIFS(BI$13:BI$27,$F$13:$F$27,$D318)-BI316)*'BS Forecasts'!BI$10</f>
        <v>0</v>
      </c>
      <c r="BJ318" s="10">
        <f>(SUMIFS(BJ$13:BJ$27,$F$13:$F$27,$D318)-BJ316)*'BS Forecasts'!BJ$10</f>
        <v>0</v>
      </c>
      <c r="BX318" s="10">
        <f>(SUMIFS(BX$13:BX$27,$F$13:$F$27,$D318)-BX316)*'BS Forecasts'!BX$10</f>
        <v>0</v>
      </c>
      <c r="BY318" s="10">
        <f>(SUMIFS(BY$13:BY$27,$F$13:$F$27,$D318)-BY316)*'BS Forecasts'!BY$10</f>
        <v>0</v>
      </c>
      <c r="BZ318" s="10">
        <f>(SUMIFS(BZ$13:BZ$27,$F$13:$F$27,$D318)-BZ316)*'BS Forecasts'!BZ$10</f>
        <v>0</v>
      </c>
      <c r="CA318" s="10">
        <f>(SUMIFS(CA$13:CA$27,$F$13:$F$27,$D318)-CA316)*'BS Forecasts'!CA$10</f>
        <v>0</v>
      </c>
      <c r="CB318" s="10">
        <f>(SUMIFS(CB$13:CB$27,$F$13:$F$27,$D318)-CB316)*'BS Forecasts'!CB$10</f>
        <v>0</v>
      </c>
      <c r="CC318" s="10">
        <f>(SUMIFS(CC$13:CC$27,$F$13:$F$27,$D318)-CC316)*'BS Forecasts'!CC$10</f>
        <v>0</v>
      </c>
      <c r="CD318" s="10">
        <f>(SUMIFS(CD$13:CD$27,$F$13:$F$27,$D318)-CD316)*'BS Forecasts'!CD$10</f>
        <v>0</v>
      </c>
      <c r="CE318" s="10">
        <f>(SUMIFS(CE$13:CE$27,$F$13:$F$27,$D318)-CE316)*'BS Forecasts'!CE$10</f>
        <v>0</v>
      </c>
      <c r="CF318" s="10">
        <f>(SUMIFS(CF$13:CF$27,$F$13:$F$27,$D318)-CF316)*'BS Forecasts'!CF$10</f>
        <v>0</v>
      </c>
      <c r="CG318" s="10">
        <f>(SUMIFS(CG$13:CG$27,$F$13:$F$27,$D318)-CG316)*'BS Forecasts'!CG$10</f>
        <v>0</v>
      </c>
      <c r="CH318" s="10">
        <f>(SUMIFS(CH$13:CH$27,$F$13:$F$27,$D318)-CH316)*'BS Forecasts'!CH$10</f>
        <v>0</v>
      </c>
      <c r="CI318" s="10">
        <f>(SUMIFS(CI$13:CI$27,$F$13:$F$27,$D318)-CI316)*'BS Forecasts'!CI$10</f>
        <v>0</v>
      </c>
      <c r="CK318" s="11"/>
      <c r="CM318" s="11"/>
      <c r="CZ318" s="650"/>
      <c r="DA318" s="35"/>
      <c r="DI318" s="35"/>
      <c r="DJ318">
        <v>0</v>
      </c>
      <c r="DK318">
        <v>0</v>
      </c>
      <c r="DL318" s="35"/>
      <c r="EZ318" s="10" t="str">
        <f>IF($C318="","",$D318)</f>
        <v/>
      </c>
    </row>
    <row r="319" spans="1:156" ht="6.75" customHeight="1" x14ac:dyDescent="0.35">
      <c r="B319" s="2"/>
      <c r="C319" s="234"/>
      <c r="D319" s="1"/>
      <c r="E319"/>
      <c r="CK319" s="35"/>
      <c r="CM319" s="35"/>
      <c r="CZ319" s="650"/>
      <c r="DA319" s="35"/>
      <c r="DI319" s="35"/>
      <c r="DJ319">
        <v>0</v>
      </c>
      <c r="DK319">
        <v>0</v>
      </c>
      <c r="DL319" s="35"/>
      <c r="EZ319" s="10" t="str">
        <f>IF($C319="","",$D319)</f>
        <v/>
      </c>
    </row>
    <row r="320" spans="1:156" x14ac:dyDescent="0.35">
      <c r="B320" s="97"/>
      <c r="C320" s="234"/>
      <c r="D320" s="24" t="s">
        <v>971</v>
      </c>
      <c r="E320"/>
      <c r="CK320" s="11"/>
      <c r="CM320" s="11"/>
      <c r="CZ320" s="650"/>
      <c r="DA320" s="35"/>
      <c r="DI320" s="35"/>
      <c r="DJ320">
        <v>0</v>
      </c>
      <c r="DK320">
        <v>0</v>
      </c>
      <c r="DL320" s="35"/>
      <c r="EZ320" s="10" t="str">
        <f>IF($C320="","",$D320)</f>
        <v/>
      </c>
    </row>
    <row r="321" spans="1:156" x14ac:dyDescent="0.35">
      <c r="A321" s="220" cm="1">
        <f t="array" aca="1" ref="A321" ca="1">HYPERLINK(CONCATENATE("#",CELL("address",IF(MAX($CM321:$CZ321)=0,A321,INDEX($CM321:$CZ321,MATCH(1,$CM321:$CZ321,0))))),MAX($CM321:$CZ321))</f>
        <v>0</v>
      </c>
      <c r="B321" s="4"/>
      <c r="C321" s="211" t="s">
        <v>972</v>
      </c>
      <c r="D321" s="33" t="str">
        <f>Parameters!$D$45</f>
        <v>Land &amp; Buildings</v>
      </c>
      <c r="E321" s="33"/>
      <c r="G321" s="8"/>
      <c r="H321" s="9" t="s">
        <v>403</v>
      </c>
      <c r="V321" s="10">
        <f t="shared" ref="V321:Y325" si="597">V210</f>
        <v>0</v>
      </c>
      <c r="W321" s="10">
        <f t="shared" si="597"/>
        <v>0</v>
      </c>
      <c r="X321" s="10">
        <f t="shared" si="597"/>
        <v>0</v>
      </c>
      <c r="Y321" s="10">
        <f t="shared" si="597"/>
        <v>0</v>
      </c>
      <c r="AA321" s="10">
        <f t="shared" ref="AA321:BJ321" si="598">AA210</f>
        <v>0</v>
      </c>
      <c r="AB321" s="10">
        <f t="shared" si="598"/>
        <v>0</v>
      </c>
      <c r="AC321" s="10">
        <f t="shared" si="598"/>
        <v>0</v>
      </c>
      <c r="AD321" s="10">
        <f t="shared" si="598"/>
        <v>0</v>
      </c>
      <c r="AE321" s="10">
        <f t="shared" si="598"/>
        <v>0</v>
      </c>
      <c r="AF321" s="10">
        <f t="shared" si="598"/>
        <v>0</v>
      </c>
      <c r="AG321" s="10">
        <f t="shared" si="598"/>
        <v>0</v>
      </c>
      <c r="AH321" s="10">
        <f t="shared" si="598"/>
        <v>0</v>
      </c>
      <c r="AI321" s="10">
        <f t="shared" si="598"/>
        <v>0</v>
      </c>
      <c r="AJ321" s="10">
        <f t="shared" si="598"/>
        <v>0</v>
      </c>
      <c r="AK321" s="10">
        <f t="shared" si="598"/>
        <v>0</v>
      </c>
      <c r="AL321" s="10">
        <f t="shared" si="598"/>
        <v>0</v>
      </c>
      <c r="AM321" s="10">
        <f t="shared" si="598"/>
        <v>0</v>
      </c>
      <c r="AN321" s="10">
        <f t="shared" si="598"/>
        <v>0</v>
      </c>
      <c r="AO321" s="10">
        <f t="shared" si="598"/>
        <v>0</v>
      </c>
      <c r="AP321" s="10">
        <f t="shared" si="598"/>
        <v>0</v>
      </c>
      <c r="AQ321" s="10">
        <f t="shared" si="598"/>
        <v>0</v>
      </c>
      <c r="AR321" s="10">
        <f t="shared" si="598"/>
        <v>0</v>
      </c>
      <c r="AS321" s="10">
        <f t="shared" si="598"/>
        <v>0</v>
      </c>
      <c r="AT321" s="10">
        <f t="shared" si="598"/>
        <v>0</v>
      </c>
      <c r="AU321" s="10">
        <f t="shared" si="598"/>
        <v>0</v>
      </c>
      <c r="AV321" s="10">
        <f t="shared" si="598"/>
        <v>0</v>
      </c>
      <c r="AW321" s="10">
        <f t="shared" si="598"/>
        <v>0</v>
      </c>
      <c r="AX321" s="10">
        <f t="shared" si="598"/>
        <v>0</v>
      </c>
      <c r="AY321" s="10">
        <f t="shared" si="598"/>
        <v>0</v>
      </c>
      <c r="AZ321" s="10">
        <f t="shared" si="598"/>
        <v>0</v>
      </c>
      <c r="BA321" s="10">
        <f t="shared" si="598"/>
        <v>0</v>
      </c>
      <c r="BB321" s="10">
        <f t="shared" si="598"/>
        <v>0</v>
      </c>
      <c r="BC321" s="10">
        <f t="shared" si="598"/>
        <v>0</v>
      </c>
      <c r="BD321" s="10">
        <f t="shared" si="598"/>
        <v>0</v>
      </c>
      <c r="BE321" s="10">
        <f t="shared" si="598"/>
        <v>0</v>
      </c>
      <c r="BF321" s="10">
        <f t="shared" si="598"/>
        <v>0</v>
      </c>
      <c r="BG321" s="10">
        <f t="shared" si="598"/>
        <v>0</v>
      </c>
      <c r="BH321" s="10">
        <f t="shared" si="598"/>
        <v>0</v>
      </c>
      <c r="BI321" s="10">
        <f t="shared" si="598"/>
        <v>0</v>
      </c>
      <c r="BJ321" s="10">
        <f t="shared" si="598"/>
        <v>0</v>
      </c>
      <c r="BX321" s="10">
        <f t="shared" ref="BX321:CI321" si="599">BX210</f>
        <v>0</v>
      </c>
      <c r="BY321" s="10">
        <f t="shared" si="599"/>
        <v>0</v>
      </c>
      <c r="BZ321" s="10">
        <f t="shared" si="599"/>
        <v>0</v>
      </c>
      <c r="CA321" s="10">
        <f t="shared" si="599"/>
        <v>0</v>
      </c>
      <c r="CB321" s="10">
        <f t="shared" si="599"/>
        <v>0</v>
      </c>
      <c r="CC321" s="10">
        <f t="shared" si="599"/>
        <v>0</v>
      </c>
      <c r="CD321" s="10">
        <f t="shared" si="599"/>
        <v>0</v>
      </c>
      <c r="CE321" s="10">
        <f t="shared" si="599"/>
        <v>0</v>
      </c>
      <c r="CF321" s="10">
        <f t="shared" si="599"/>
        <v>0</v>
      </c>
      <c r="CG321" s="10">
        <f t="shared" si="599"/>
        <v>0</v>
      </c>
      <c r="CH321" s="10">
        <f t="shared" si="599"/>
        <v>0</v>
      </c>
      <c r="CI321" s="10">
        <f t="shared" si="599"/>
        <v>0</v>
      </c>
      <c r="CK321" s="11"/>
      <c r="CM321" s="11"/>
      <c r="CW321" s="7">
        <f t="shared" ref="CW321:CW326" si="600">IF(SUM($DB321:$DD321)=0, 0, 1)</f>
        <v>0</v>
      </c>
      <c r="CX321" s="7">
        <f t="shared" ref="CX321:CX326" si="601">IF(SUM($DE321:$DG321)=0, 0, 1)</f>
        <v>0</v>
      </c>
      <c r="CY321" s="7">
        <f t="shared" ref="CY321:CY326" si="602">IF($DH321=0, 0, 1)</f>
        <v>0</v>
      </c>
      <c r="CZ321" s="650"/>
      <c r="DA321" s="35"/>
      <c r="DB321" s="215">
        <f t="shared" ref="DB321:DD326" si="603">ROUND(W321-SUMIFS($AA321:$BJ321, $AA$3:$BJ$3, W$3), rounding)</f>
        <v>0</v>
      </c>
      <c r="DC321" s="215">
        <f t="shared" si="603"/>
        <v>0</v>
      </c>
      <c r="DD321" s="215">
        <f t="shared" si="603"/>
        <v>0</v>
      </c>
      <c r="DE321" s="215">
        <f t="shared" ref="DE321:DE326" si="604">ROUND($BY321-SUMIFS($AA321:$BJ321, $AA$3:$BJ$3, $BY$3), rounding)</f>
        <v>0</v>
      </c>
      <c r="DF321" s="215">
        <f t="shared" ref="DF321:DF326" si="605">ROUND($BZ321-SUMIFS($AA321:$BJ321, $AA$3:$BJ$3, $BZ$3), rounding)</f>
        <v>0</v>
      </c>
      <c r="DG321" s="215">
        <f t="shared" ref="DG321:DG326" si="606">ROUND($CA321-SUMIFS($AA321:$BJ321, $AA$3:$BJ$3, $CA$3), rounding)</f>
        <v>0</v>
      </c>
      <c r="DH321" s="215">
        <f t="shared" ref="DH321:DH326" si="607">ROUND($V321-$BX321, rounding)</f>
        <v>0</v>
      </c>
      <c r="DI321" s="35"/>
      <c r="DJ321">
        <v>0</v>
      </c>
      <c r="DK321">
        <v>0</v>
      </c>
      <c r="DL321" s="35"/>
      <c r="EZ321" s="12" t="str">
        <f>IF($C321="","",CONCATENATE(D$320, " of  ",$D321))</f>
        <v>Gain/Loss on Disposal  of  Land &amp; Buildings</v>
      </c>
    </row>
    <row r="322" spans="1:156" x14ac:dyDescent="0.35">
      <c r="A322" s="220" cm="1">
        <f t="array" aca="1" ref="A322" ca="1">HYPERLINK(CONCATENATE("#",CELL("address",IF(MAX($CM322:$CZ322)=0,A322,INDEX($CM322:$CZ322,MATCH(1,$CM322:$CZ322,0))))),MAX($CM322:$CZ322))</f>
        <v>0</v>
      </c>
      <c r="B322" s="4"/>
      <c r="C322" s="211" t="s">
        <v>973</v>
      </c>
      <c r="D322" s="33" t="str">
        <f>Parameters!$D$46</f>
        <v>Equipment</v>
      </c>
      <c r="E322" s="33"/>
      <c r="G322" s="8"/>
      <c r="H322" s="9" t="s">
        <v>403</v>
      </c>
      <c r="V322" s="10">
        <f t="shared" si="597"/>
        <v>0</v>
      </c>
      <c r="W322" s="10">
        <f t="shared" si="597"/>
        <v>0</v>
      </c>
      <c r="X322" s="10">
        <f t="shared" si="597"/>
        <v>0</v>
      </c>
      <c r="Y322" s="10">
        <f t="shared" si="597"/>
        <v>0</v>
      </c>
      <c r="AA322" s="10">
        <f t="shared" ref="AA322:BJ322" si="608">AA211</f>
        <v>0</v>
      </c>
      <c r="AB322" s="10">
        <f t="shared" si="608"/>
        <v>0</v>
      </c>
      <c r="AC322" s="10">
        <f t="shared" si="608"/>
        <v>0</v>
      </c>
      <c r="AD322" s="10">
        <f t="shared" si="608"/>
        <v>0</v>
      </c>
      <c r="AE322" s="10">
        <f t="shared" si="608"/>
        <v>0</v>
      </c>
      <c r="AF322" s="10">
        <f t="shared" si="608"/>
        <v>0</v>
      </c>
      <c r="AG322" s="10">
        <f t="shared" si="608"/>
        <v>0</v>
      </c>
      <c r="AH322" s="10">
        <f t="shared" si="608"/>
        <v>0</v>
      </c>
      <c r="AI322" s="10">
        <f t="shared" si="608"/>
        <v>0</v>
      </c>
      <c r="AJ322" s="10">
        <f t="shared" si="608"/>
        <v>0</v>
      </c>
      <c r="AK322" s="10">
        <f t="shared" si="608"/>
        <v>0</v>
      </c>
      <c r="AL322" s="10">
        <f t="shared" si="608"/>
        <v>0</v>
      </c>
      <c r="AM322" s="10">
        <f t="shared" si="608"/>
        <v>0</v>
      </c>
      <c r="AN322" s="10">
        <f t="shared" si="608"/>
        <v>0</v>
      </c>
      <c r="AO322" s="10">
        <f t="shared" si="608"/>
        <v>0</v>
      </c>
      <c r="AP322" s="10">
        <f t="shared" si="608"/>
        <v>0</v>
      </c>
      <c r="AQ322" s="10">
        <f t="shared" si="608"/>
        <v>0</v>
      </c>
      <c r="AR322" s="10">
        <f t="shared" si="608"/>
        <v>0</v>
      </c>
      <c r="AS322" s="10">
        <f t="shared" si="608"/>
        <v>0</v>
      </c>
      <c r="AT322" s="10">
        <f t="shared" si="608"/>
        <v>0</v>
      </c>
      <c r="AU322" s="10">
        <f t="shared" si="608"/>
        <v>0</v>
      </c>
      <c r="AV322" s="10">
        <f t="shared" si="608"/>
        <v>0</v>
      </c>
      <c r="AW322" s="10">
        <f t="shared" si="608"/>
        <v>0</v>
      </c>
      <c r="AX322" s="10">
        <f t="shared" si="608"/>
        <v>0</v>
      </c>
      <c r="AY322" s="10">
        <f t="shared" si="608"/>
        <v>0</v>
      </c>
      <c r="AZ322" s="10">
        <f t="shared" si="608"/>
        <v>0</v>
      </c>
      <c r="BA322" s="10">
        <f t="shared" si="608"/>
        <v>0</v>
      </c>
      <c r="BB322" s="10">
        <f t="shared" si="608"/>
        <v>0</v>
      </c>
      <c r="BC322" s="10">
        <f t="shared" si="608"/>
        <v>0</v>
      </c>
      <c r="BD322" s="10">
        <f t="shared" si="608"/>
        <v>0</v>
      </c>
      <c r="BE322" s="10">
        <f t="shared" si="608"/>
        <v>0</v>
      </c>
      <c r="BF322" s="10">
        <f t="shared" si="608"/>
        <v>0</v>
      </c>
      <c r="BG322" s="10">
        <f t="shared" si="608"/>
        <v>0</v>
      </c>
      <c r="BH322" s="10">
        <f t="shared" si="608"/>
        <v>0</v>
      </c>
      <c r="BI322" s="10">
        <f t="shared" si="608"/>
        <v>0</v>
      </c>
      <c r="BJ322" s="10">
        <f t="shared" si="608"/>
        <v>0</v>
      </c>
      <c r="BX322" s="10">
        <f t="shared" ref="BX322:CI322" si="609">BX211</f>
        <v>0</v>
      </c>
      <c r="BY322" s="10">
        <f t="shared" si="609"/>
        <v>0</v>
      </c>
      <c r="BZ322" s="10">
        <f t="shared" si="609"/>
        <v>0</v>
      </c>
      <c r="CA322" s="10">
        <f t="shared" si="609"/>
        <v>0</v>
      </c>
      <c r="CB322" s="10">
        <f t="shared" si="609"/>
        <v>0</v>
      </c>
      <c r="CC322" s="10">
        <f t="shared" si="609"/>
        <v>0</v>
      </c>
      <c r="CD322" s="10">
        <f t="shared" si="609"/>
        <v>0</v>
      </c>
      <c r="CE322" s="10">
        <f t="shared" si="609"/>
        <v>0</v>
      </c>
      <c r="CF322" s="10">
        <f t="shared" si="609"/>
        <v>0</v>
      </c>
      <c r="CG322" s="10">
        <f t="shared" si="609"/>
        <v>0</v>
      </c>
      <c r="CH322" s="10">
        <f t="shared" si="609"/>
        <v>0</v>
      </c>
      <c r="CI322" s="10">
        <f t="shared" si="609"/>
        <v>0</v>
      </c>
      <c r="CK322" s="11"/>
      <c r="CM322" s="11"/>
      <c r="CW322" s="7">
        <f t="shared" si="600"/>
        <v>0</v>
      </c>
      <c r="CX322" s="7">
        <f t="shared" si="601"/>
        <v>0</v>
      </c>
      <c r="CY322" s="7">
        <f t="shared" si="602"/>
        <v>0</v>
      </c>
      <c r="CZ322" s="650"/>
      <c r="DA322" s="35"/>
      <c r="DB322" s="215">
        <f t="shared" si="603"/>
        <v>0</v>
      </c>
      <c r="DC322" s="215">
        <f t="shared" si="603"/>
        <v>0</v>
      </c>
      <c r="DD322" s="215">
        <f t="shared" si="603"/>
        <v>0</v>
      </c>
      <c r="DE322" s="215">
        <f t="shared" si="604"/>
        <v>0</v>
      </c>
      <c r="DF322" s="215">
        <f t="shared" si="605"/>
        <v>0</v>
      </c>
      <c r="DG322" s="215">
        <f t="shared" si="606"/>
        <v>0</v>
      </c>
      <c r="DH322" s="215">
        <f t="shared" si="607"/>
        <v>0</v>
      </c>
      <c r="DI322" s="35"/>
      <c r="DJ322">
        <v>0</v>
      </c>
      <c r="DK322">
        <v>0</v>
      </c>
      <c r="DL322" s="35"/>
      <c r="EZ322" s="12" t="str">
        <f>IF($C322="","",CONCATENATE(D$320, " of  ",$D322))</f>
        <v>Gain/Loss on Disposal  of  Equipment</v>
      </c>
    </row>
    <row r="323" spans="1:156" x14ac:dyDescent="0.35">
      <c r="A323" s="220" cm="1">
        <f t="array" aca="1" ref="A323" ca="1">HYPERLINK(CONCATENATE("#",CELL("address",IF(MAX($CM323:$CZ323)=0,A323,INDEX($CM323:$CZ323,MATCH(1,$CM323:$CZ323,0))))),MAX($CM323:$CZ323))</f>
        <v>0</v>
      </c>
      <c r="B323" s="4"/>
      <c r="C323" s="211" t="s">
        <v>591</v>
      </c>
      <c r="D323" s="33" t="str">
        <f>Parameters!$D$47</f>
        <v>Investments</v>
      </c>
      <c r="E323" s="33"/>
      <c r="G323" s="8"/>
      <c r="H323" s="9" t="s">
        <v>403</v>
      </c>
      <c r="V323" s="10">
        <f t="shared" si="597"/>
        <v>0</v>
      </c>
      <c r="W323" s="10">
        <f t="shared" si="597"/>
        <v>0</v>
      </c>
      <c r="X323" s="10">
        <f t="shared" si="597"/>
        <v>0</v>
      </c>
      <c r="Y323" s="10">
        <f t="shared" si="597"/>
        <v>0</v>
      </c>
      <c r="AA323" s="10">
        <f t="shared" ref="AA323:BJ323" si="610">AA212</f>
        <v>0</v>
      </c>
      <c r="AB323" s="10">
        <f t="shared" si="610"/>
        <v>0</v>
      </c>
      <c r="AC323" s="10">
        <f t="shared" si="610"/>
        <v>0</v>
      </c>
      <c r="AD323" s="10">
        <f t="shared" si="610"/>
        <v>0</v>
      </c>
      <c r="AE323" s="10">
        <f t="shared" si="610"/>
        <v>0</v>
      </c>
      <c r="AF323" s="10">
        <f t="shared" si="610"/>
        <v>0</v>
      </c>
      <c r="AG323" s="10">
        <f t="shared" si="610"/>
        <v>0</v>
      </c>
      <c r="AH323" s="10">
        <f t="shared" si="610"/>
        <v>0</v>
      </c>
      <c r="AI323" s="10">
        <f t="shared" si="610"/>
        <v>0</v>
      </c>
      <c r="AJ323" s="10">
        <f t="shared" si="610"/>
        <v>0</v>
      </c>
      <c r="AK323" s="10">
        <f t="shared" si="610"/>
        <v>0</v>
      </c>
      <c r="AL323" s="10">
        <f t="shared" si="610"/>
        <v>0</v>
      </c>
      <c r="AM323" s="10">
        <f t="shared" si="610"/>
        <v>0</v>
      </c>
      <c r="AN323" s="10">
        <f t="shared" si="610"/>
        <v>0</v>
      </c>
      <c r="AO323" s="10">
        <f t="shared" si="610"/>
        <v>0</v>
      </c>
      <c r="AP323" s="10">
        <f t="shared" si="610"/>
        <v>0</v>
      </c>
      <c r="AQ323" s="10">
        <f t="shared" si="610"/>
        <v>0</v>
      </c>
      <c r="AR323" s="10">
        <f t="shared" si="610"/>
        <v>0</v>
      </c>
      <c r="AS323" s="10">
        <f t="shared" si="610"/>
        <v>0</v>
      </c>
      <c r="AT323" s="10">
        <f t="shared" si="610"/>
        <v>0</v>
      </c>
      <c r="AU323" s="10">
        <f t="shared" si="610"/>
        <v>0</v>
      </c>
      <c r="AV323" s="10">
        <f t="shared" si="610"/>
        <v>0</v>
      </c>
      <c r="AW323" s="10">
        <f t="shared" si="610"/>
        <v>0</v>
      </c>
      <c r="AX323" s="10">
        <f t="shared" si="610"/>
        <v>0</v>
      </c>
      <c r="AY323" s="10">
        <f t="shared" si="610"/>
        <v>0</v>
      </c>
      <c r="AZ323" s="10">
        <f t="shared" si="610"/>
        <v>0</v>
      </c>
      <c r="BA323" s="10">
        <f t="shared" si="610"/>
        <v>0</v>
      </c>
      <c r="BB323" s="10">
        <f t="shared" si="610"/>
        <v>0</v>
      </c>
      <c r="BC323" s="10">
        <f t="shared" si="610"/>
        <v>0</v>
      </c>
      <c r="BD323" s="10">
        <f t="shared" si="610"/>
        <v>0</v>
      </c>
      <c r="BE323" s="10">
        <f t="shared" si="610"/>
        <v>0</v>
      </c>
      <c r="BF323" s="10">
        <f t="shared" si="610"/>
        <v>0</v>
      </c>
      <c r="BG323" s="10">
        <f t="shared" si="610"/>
        <v>0</v>
      </c>
      <c r="BH323" s="10">
        <f t="shared" si="610"/>
        <v>0</v>
      </c>
      <c r="BI323" s="10">
        <f t="shared" si="610"/>
        <v>0</v>
      </c>
      <c r="BJ323" s="10">
        <f t="shared" si="610"/>
        <v>0</v>
      </c>
      <c r="BX323" s="10">
        <f t="shared" ref="BX323:CI323" si="611">BX212</f>
        <v>0</v>
      </c>
      <c r="BY323" s="10">
        <f t="shared" si="611"/>
        <v>0</v>
      </c>
      <c r="BZ323" s="10">
        <f t="shared" si="611"/>
        <v>0</v>
      </c>
      <c r="CA323" s="10">
        <f t="shared" si="611"/>
        <v>0</v>
      </c>
      <c r="CB323" s="10">
        <f t="shared" si="611"/>
        <v>0</v>
      </c>
      <c r="CC323" s="10">
        <f t="shared" si="611"/>
        <v>0</v>
      </c>
      <c r="CD323" s="10">
        <f t="shared" si="611"/>
        <v>0</v>
      </c>
      <c r="CE323" s="10">
        <f t="shared" si="611"/>
        <v>0</v>
      </c>
      <c r="CF323" s="10">
        <f t="shared" si="611"/>
        <v>0</v>
      </c>
      <c r="CG323" s="10">
        <f t="shared" si="611"/>
        <v>0</v>
      </c>
      <c r="CH323" s="10">
        <f t="shared" si="611"/>
        <v>0</v>
      </c>
      <c r="CI323" s="10">
        <f t="shared" si="611"/>
        <v>0</v>
      </c>
      <c r="CK323" s="11"/>
      <c r="CM323" s="11"/>
      <c r="CW323" s="7">
        <f t="shared" si="600"/>
        <v>0</v>
      </c>
      <c r="CX323" s="7">
        <f t="shared" si="601"/>
        <v>0</v>
      </c>
      <c r="CY323" s="7">
        <f t="shared" si="602"/>
        <v>0</v>
      </c>
      <c r="CZ323" s="650"/>
      <c r="DA323" s="35"/>
      <c r="DB323" s="215">
        <f t="shared" si="603"/>
        <v>0</v>
      </c>
      <c r="DC323" s="215">
        <f t="shared" si="603"/>
        <v>0</v>
      </c>
      <c r="DD323" s="215">
        <f t="shared" si="603"/>
        <v>0</v>
      </c>
      <c r="DE323" s="215">
        <f t="shared" si="604"/>
        <v>0</v>
      </c>
      <c r="DF323" s="215">
        <f t="shared" si="605"/>
        <v>0</v>
      </c>
      <c r="DG323" s="215">
        <f t="shared" si="606"/>
        <v>0</v>
      </c>
      <c r="DH323" s="215">
        <f t="shared" si="607"/>
        <v>0</v>
      </c>
      <c r="DI323" s="35"/>
      <c r="DJ323">
        <v>0</v>
      </c>
      <c r="DK323">
        <v>0</v>
      </c>
      <c r="DL323" s="35"/>
      <c r="EZ323" s="12" t="str">
        <f>IF($C323="","",CONCATENATE(D$320, " of  ",$D323))</f>
        <v>Gain/Loss on Disposal  of  Investments</v>
      </c>
    </row>
    <row r="324" spans="1:156" x14ac:dyDescent="0.35">
      <c r="A324" s="220" cm="1">
        <f t="array" aca="1" ref="A324" ca="1">HYPERLINK(CONCATENATE("#",CELL("address",IF(MAX($CM324:$CZ324)=0,A324,INDEX($CM324:$CZ324,MATCH(1,$CM324:$CZ324,0))))),MAX($CM324:$CZ324))</f>
        <v>0</v>
      </c>
      <c r="B324" s="4"/>
      <c r="C324" s="211" t="s">
        <v>974</v>
      </c>
      <c r="D324" s="33" t="str">
        <f>Parameters!$D$48</f>
        <v>Other NCA</v>
      </c>
      <c r="E324" s="33"/>
      <c r="G324" s="8"/>
      <c r="H324" s="9" t="s">
        <v>403</v>
      </c>
      <c r="V324" s="10">
        <f t="shared" si="597"/>
        <v>0</v>
      </c>
      <c r="W324" s="10">
        <f t="shared" si="597"/>
        <v>0</v>
      </c>
      <c r="X324" s="10">
        <f t="shared" si="597"/>
        <v>0</v>
      </c>
      <c r="Y324" s="10">
        <f t="shared" si="597"/>
        <v>0</v>
      </c>
      <c r="AA324" s="10">
        <f t="shared" ref="AA324:BJ324" si="612">AA213</f>
        <v>0</v>
      </c>
      <c r="AB324" s="10">
        <f t="shared" si="612"/>
        <v>0</v>
      </c>
      <c r="AC324" s="10">
        <f t="shared" si="612"/>
        <v>0</v>
      </c>
      <c r="AD324" s="10">
        <f t="shared" si="612"/>
        <v>0</v>
      </c>
      <c r="AE324" s="10">
        <f t="shared" si="612"/>
        <v>0</v>
      </c>
      <c r="AF324" s="10">
        <f t="shared" si="612"/>
        <v>0</v>
      </c>
      <c r="AG324" s="10">
        <f t="shared" si="612"/>
        <v>0</v>
      </c>
      <c r="AH324" s="10">
        <f t="shared" si="612"/>
        <v>0</v>
      </c>
      <c r="AI324" s="10">
        <f t="shared" si="612"/>
        <v>0</v>
      </c>
      <c r="AJ324" s="10">
        <f t="shared" si="612"/>
        <v>0</v>
      </c>
      <c r="AK324" s="10">
        <f t="shared" si="612"/>
        <v>0</v>
      </c>
      <c r="AL324" s="10">
        <f t="shared" si="612"/>
        <v>0</v>
      </c>
      <c r="AM324" s="10">
        <f t="shared" si="612"/>
        <v>0</v>
      </c>
      <c r="AN324" s="10">
        <f t="shared" si="612"/>
        <v>0</v>
      </c>
      <c r="AO324" s="10">
        <f t="shared" si="612"/>
        <v>0</v>
      </c>
      <c r="AP324" s="10">
        <f t="shared" si="612"/>
        <v>0</v>
      </c>
      <c r="AQ324" s="10">
        <f t="shared" si="612"/>
        <v>0</v>
      </c>
      <c r="AR324" s="10">
        <f t="shared" si="612"/>
        <v>0</v>
      </c>
      <c r="AS324" s="10">
        <f t="shared" si="612"/>
        <v>0</v>
      </c>
      <c r="AT324" s="10">
        <f t="shared" si="612"/>
        <v>0</v>
      </c>
      <c r="AU324" s="10">
        <f t="shared" si="612"/>
        <v>0</v>
      </c>
      <c r="AV324" s="10">
        <f t="shared" si="612"/>
        <v>0</v>
      </c>
      <c r="AW324" s="10">
        <f t="shared" si="612"/>
        <v>0</v>
      </c>
      <c r="AX324" s="10">
        <f t="shared" si="612"/>
        <v>0</v>
      </c>
      <c r="AY324" s="10">
        <f t="shared" si="612"/>
        <v>0</v>
      </c>
      <c r="AZ324" s="10">
        <f t="shared" si="612"/>
        <v>0</v>
      </c>
      <c r="BA324" s="10">
        <f t="shared" si="612"/>
        <v>0</v>
      </c>
      <c r="BB324" s="10">
        <f t="shared" si="612"/>
        <v>0</v>
      </c>
      <c r="BC324" s="10">
        <f t="shared" si="612"/>
        <v>0</v>
      </c>
      <c r="BD324" s="10">
        <f t="shared" si="612"/>
        <v>0</v>
      </c>
      <c r="BE324" s="10">
        <f t="shared" si="612"/>
        <v>0</v>
      </c>
      <c r="BF324" s="10">
        <f t="shared" si="612"/>
        <v>0</v>
      </c>
      <c r="BG324" s="10">
        <f t="shared" si="612"/>
        <v>0</v>
      </c>
      <c r="BH324" s="10">
        <f t="shared" si="612"/>
        <v>0</v>
      </c>
      <c r="BI324" s="10">
        <f t="shared" si="612"/>
        <v>0</v>
      </c>
      <c r="BJ324" s="10">
        <f t="shared" si="612"/>
        <v>0</v>
      </c>
      <c r="BX324" s="10">
        <f t="shared" ref="BX324:CI324" si="613">BX213</f>
        <v>0</v>
      </c>
      <c r="BY324" s="10">
        <f t="shared" si="613"/>
        <v>0</v>
      </c>
      <c r="BZ324" s="10">
        <f t="shared" si="613"/>
        <v>0</v>
      </c>
      <c r="CA324" s="10">
        <f t="shared" si="613"/>
        <v>0</v>
      </c>
      <c r="CB324" s="10">
        <f t="shared" si="613"/>
        <v>0</v>
      </c>
      <c r="CC324" s="10">
        <f t="shared" si="613"/>
        <v>0</v>
      </c>
      <c r="CD324" s="10">
        <f t="shared" si="613"/>
        <v>0</v>
      </c>
      <c r="CE324" s="10">
        <f t="shared" si="613"/>
        <v>0</v>
      </c>
      <c r="CF324" s="10">
        <f t="shared" si="613"/>
        <v>0</v>
      </c>
      <c r="CG324" s="10">
        <f t="shared" si="613"/>
        <v>0</v>
      </c>
      <c r="CH324" s="10">
        <f t="shared" si="613"/>
        <v>0</v>
      </c>
      <c r="CI324" s="10">
        <f t="shared" si="613"/>
        <v>0</v>
      </c>
      <c r="CK324" s="11"/>
      <c r="CM324" s="11"/>
      <c r="CW324" s="7">
        <f t="shared" si="600"/>
        <v>0</v>
      </c>
      <c r="CX324" s="7">
        <f t="shared" si="601"/>
        <v>0</v>
      </c>
      <c r="CY324" s="7">
        <f t="shared" si="602"/>
        <v>0</v>
      </c>
      <c r="CZ324" s="650"/>
      <c r="DA324" s="35"/>
      <c r="DB324" s="215">
        <f t="shared" si="603"/>
        <v>0</v>
      </c>
      <c r="DC324" s="215">
        <f t="shared" si="603"/>
        <v>0</v>
      </c>
      <c r="DD324" s="215">
        <f t="shared" si="603"/>
        <v>0</v>
      </c>
      <c r="DE324" s="215">
        <f t="shared" si="604"/>
        <v>0</v>
      </c>
      <c r="DF324" s="215">
        <f t="shared" si="605"/>
        <v>0</v>
      </c>
      <c r="DG324" s="215">
        <f t="shared" si="606"/>
        <v>0</v>
      </c>
      <c r="DH324" s="215">
        <f t="shared" si="607"/>
        <v>0</v>
      </c>
      <c r="DI324" s="35"/>
      <c r="DJ324">
        <v>0</v>
      </c>
      <c r="DK324">
        <v>0</v>
      </c>
      <c r="DL324" s="35"/>
      <c r="EZ324" s="12" t="str">
        <f>IF($C324="","",CONCATENATE(D$320, " of  ",$D324))</f>
        <v>Gain/Loss on Disposal  of  Other NCA</v>
      </c>
    </row>
    <row r="325" spans="1:156" x14ac:dyDescent="0.35">
      <c r="A325" s="220" cm="1">
        <f t="array" aca="1" ref="A325" ca="1">HYPERLINK(CONCATENATE("#",CELL("address",IF(MAX($CM325:$CZ325)=0,A325,INDEX($CM325:$CZ325,MATCH(1,$CM325:$CZ325,0))))),MAX($CM325:$CZ325))</f>
        <v>0</v>
      </c>
      <c r="B325" s="4"/>
      <c r="C325" s="211" t="s">
        <v>975</v>
      </c>
      <c r="D325" s="33" t="str">
        <f>Parameters!$D$49</f>
        <v xml:space="preserve">Assets Held for Sale </v>
      </c>
      <c r="E325" s="33"/>
      <c r="G325" s="8"/>
      <c r="H325" s="9" t="s">
        <v>403</v>
      </c>
      <c r="V325" s="10">
        <f t="shared" si="597"/>
        <v>0</v>
      </c>
      <c r="W325" s="10">
        <f t="shared" si="597"/>
        <v>0</v>
      </c>
      <c r="X325" s="10">
        <f t="shared" si="597"/>
        <v>0</v>
      </c>
      <c r="Y325" s="10">
        <f t="shared" si="597"/>
        <v>0</v>
      </c>
      <c r="AA325" s="10">
        <f t="shared" ref="AA325:BJ325" si="614">AA214</f>
        <v>0</v>
      </c>
      <c r="AB325" s="10">
        <f t="shared" si="614"/>
        <v>0</v>
      </c>
      <c r="AC325" s="10">
        <f t="shared" si="614"/>
        <v>0</v>
      </c>
      <c r="AD325" s="10">
        <f t="shared" si="614"/>
        <v>0</v>
      </c>
      <c r="AE325" s="10">
        <f t="shared" si="614"/>
        <v>0</v>
      </c>
      <c r="AF325" s="10">
        <f t="shared" si="614"/>
        <v>0</v>
      </c>
      <c r="AG325" s="10">
        <f t="shared" si="614"/>
        <v>0</v>
      </c>
      <c r="AH325" s="10">
        <f t="shared" si="614"/>
        <v>0</v>
      </c>
      <c r="AI325" s="10">
        <f t="shared" si="614"/>
        <v>0</v>
      </c>
      <c r="AJ325" s="10">
        <f t="shared" si="614"/>
        <v>0</v>
      </c>
      <c r="AK325" s="10">
        <f t="shared" si="614"/>
        <v>0</v>
      </c>
      <c r="AL325" s="10">
        <f t="shared" si="614"/>
        <v>0</v>
      </c>
      <c r="AM325" s="10">
        <f t="shared" si="614"/>
        <v>0</v>
      </c>
      <c r="AN325" s="10">
        <f t="shared" si="614"/>
        <v>0</v>
      </c>
      <c r="AO325" s="10">
        <f t="shared" si="614"/>
        <v>0</v>
      </c>
      <c r="AP325" s="10">
        <f t="shared" si="614"/>
        <v>0</v>
      </c>
      <c r="AQ325" s="10">
        <f t="shared" si="614"/>
        <v>0</v>
      </c>
      <c r="AR325" s="10">
        <f t="shared" si="614"/>
        <v>0</v>
      </c>
      <c r="AS325" s="10">
        <f t="shared" si="614"/>
        <v>0</v>
      </c>
      <c r="AT325" s="10">
        <f t="shared" si="614"/>
        <v>0</v>
      </c>
      <c r="AU325" s="10">
        <f t="shared" si="614"/>
        <v>0</v>
      </c>
      <c r="AV325" s="10">
        <f t="shared" si="614"/>
        <v>0</v>
      </c>
      <c r="AW325" s="10">
        <f t="shared" si="614"/>
        <v>0</v>
      </c>
      <c r="AX325" s="10">
        <f t="shared" si="614"/>
        <v>0</v>
      </c>
      <c r="AY325" s="10">
        <f t="shared" si="614"/>
        <v>0</v>
      </c>
      <c r="AZ325" s="10">
        <f t="shared" si="614"/>
        <v>0</v>
      </c>
      <c r="BA325" s="10">
        <f t="shared" si="614"/>
        <v>0</v>
      </c>
      <c r="BB325" s="10">
        <f t="shared" si="614"/>
        <v>0</v>
      </c>
      <c r="BC325" s="10">
        <f t="shared" si="614"/>
        <v>0</v>
      </c>
      <c r="BD325" s="10">
        <f t="shared" si="614"/>
        <v>0</v>
      </c>
      <c r="BE325" s="10">
        <f t="shared" si="614"/>
        <v>0</v>
      </c>
      <c r="BF325" s="10">
        <f t="shared" si="614"/>
        <v>0</v>
      </c>
      <c r="BG325" s="10">
        <f t="shared" si="614"/>
        <v>0</v>
      </c>
      <c r="BH325" s="10">
        <f t="shared" si="614"/>
        <v>0</v>
      </c>
      <c r="BI325" s="10">
        <f t="shared" si="614"/>
        <v>0</v>
      </c>
      <c r="BJ325" s="10">
        <f t="shared" si="614"/>
        <v>0</v>
      </c>
      <c r="BX325" s="10">
        <f t="shared" ref="BX325:CI325" si="615">BX214</f>
        <v>0</v>
      </c>
      <c r="BY325" s="10">
        <f t="shared" si="615"/>
        <v>0</v>
      </c>
      <c r="BZ325" s="10">
        <f t="shared" si="615"/>
        <v>0</v>
      </c>
      <c r="CA325" s="10">
        <f t="shared" si="615"/>
        <v>0</v>
      </c>
      <c r="CB325" s="10">
        <f t="shared" si="615"/>
        <v>0</v>
      </c>
      <c r="CC325" s="10">
        <f t="shared" si="615"/>
        <v>0</v>
      </c>
      <c r="CD325" s="10">
        <f t="shared" si="615"/>
        <v>0</v>
      </c>
      <c r="CE325" s="10">
        <f t="shared" si="615"/>
        <v>0</v>
      </c>
      <c r="CF325" s="10">
        <f t="shared" si="615"/>
        <v>0</v>
      </c>
      <c r="CG325" s="10">
        <f t="shared" si="615"/>
        <v>0</v>
      </c>
      <c r="CH325" s="10">
        <f t="shared" si="615"/>
        <v>0</v>
      </c>
      <c r="CI325" s="10">
        <f t="shared" si="615"/>
        <v>0</v>
      </c>
      <c r="CK325" s="11"/>
      <c r="CM325" s="11"/>
      <c r="CW325" s="7">
        <f t="shared" si="600"/>
        <v>0</v>
      </c>
      <c r="CX325" s="7">
        <f t="shared" si="601"/>
        <v>0</v>
      </c>
      <c r="CY325" s="7">
        <f t="shared" si="602"/>
        <v>0</v>
      </c>
      <c r="CZ325" s="650"/>
      <c r="DA325" s="35"/>
      <c r="DB325" s="215">
        <f t="shared" si="603"/>
        <v>0</v>
      </c>
      <c r="DC325" s="215">
        <f t="shared" si="603"/>
        <v>0</v>
      </c>
      <c r="DD325" s="215">
        <f t="shared" si="603"/>
        <v>0</v>
      </c>
      <c r="DE325" s="215">
        <f t="shared" si="604"/>
        <v>0</v>
      </c>
      <c r="DF325" s="215">
        <f t="shared" si="605"/>
        <v>0</v>
      </c>
      <c r="DG325" s="215">
        <f t="shared" si="606"/>
        <v>0</v>
      </c>
      <c r="DH325" s="215">
        <f t="shared" si="607"/>
        <v>0</v>
      </c>
      <c r="DI325" s="35"/>
      <c r="DJ325">
        <v>0</v>
      </c>
      <c r="DK325">
        <v>0</v>
      </c>
      <c r="DL325" s="35"/>
      <c r="EZ325" s="12" t="str">
        <f>IF($C325="","",CONCATENATE(D$320, " of  ",$D325))</f>
        <v xml:space="preserve">Gain/Loss on Disposal  of  Assets Held for Sale </v>
      </c>
    </row>
    <row r="326" spans="1:156" x14ac:dyDescent="0.35">
      <c r="A326" s="220" cm="1">
        <f t="array" aca="1" ref="A326" ca="1">HYPERLINK(CONCATENATE("#",CELL("address",IF(MAX($CM326:$CZ326)=0,A326,INDEX($CM326:$CZ326,MATCH(1,$CM326:$CZ326,0))))),MAX($CM326:$CZ326))</f>
        <v>0</v>
      </c>
      <c r="B326" s="4"/>
      <c r="C326" s="211" t="s">
        <v>976</v>
      </c>
      <c r="D326" s="24" t="s">
        <v>977</v>
      </c>
      <c r="E326" s="33"/>
      <c r="G326" s="8"/>
      <c r="H326" s="9" t="s">
        <v>403</v>
      </c>
      <c r="V326" s="12">
        <f>SUM(V321:V325)</f>
        <v>0</v>
      </c>
      <c r="W326" s="12">
        <f>SUM(W321:W325)</f>
        <v>0</v>
      </c>
      <c r="X326" s="12">
        <f>SUM(X321:X325)</f>
        <v>0</v>
      </c>
      <c r="Y326" s="12">
        <f>SUM(Y321:Y325)</f>
        <v>0</v>
      </c>
      <c r="AA326" s="12">
        <f t="shared" ref="AA326:BJ326" si="616">SUM(AA321:AA325)</f>
        <v>0</v>
      </c>
      <c r="AB326" s="12">
        <f t="shared" si="616"/>
        <v>0</v>
      </c>
      <c r="AC326" s="12">
        <f t="shared" si="616"/>
        <v>0</v>
      </c>
      <c r="AD326" s="12">
        <f t="shared" si="616"/>
        <v>0</v>
      </c>
      <c r="AE326" s="12">
        <f t="shared" si="616"/>
        <v>0</v>
      </c>
      <c r="AF326" s="12">
        <f t="shared" si="616"/>
        <v>0</v>
      </c>
      <c r="AG326" s="12">
        <f t="shared" si="616"/>
        <v>0</v>
      </c>
      <c r="AH326" s="12">
        <f t="shared" si="616"/>
        <v>0</v>
      </c>
      <c r="AI326" s="12">
        <f t="shared" si="616"/>
        <v>0</v>
      </c>
      <c r="AJ326" s="12">
        <f t="shared" si="616"/>
        <v>0</v>
      </c>
      <c r="AK326" s="12">
        <f t="shared" si="616"/>
        <v>0</v>
      </c>
      <c r="AL326" s="12">
        <f t="shared" si="616"/>
        <v>0</v>
      </c>
      <c r="AM326" s="12">
        <f t="shared" si="616"/>
        <v>0</v>
      </c>
      <c r="AN326" s="12">
        <f t="shared" si="616"/>
        <v>0</v>
      </c>
      <c r="AO326" s="12">
        <f t="shared" si="616"/>
        <v>0</v>
      </c>
      <c r="AP326" s="12">
        <f t="shared" si="616"/>
        <v>0</v>
      </c>
      <c r="AQ326" s="12">
        <f t="shared" si="616"/>
        <v>0</v>
      </c>
      <c r="AR326" s="12">
        <f t="shared" si="616"/>
        <v>0</v>
      </c>
      <c r="AS326" s="12">
        <f t="shared" si="616"/>
        <v>0</v>
      </c>
      <c r="AT326" s="12">
        <f t="shared" si="616"/>
        <v>0</v>
      </c>
      <c r="AU326" s="12">
        <f t="shared" si="616"/>
        <v>0</v>
      </c>
      <c r="AV326" s="12">
        <f t="shared" si="616"/>
        <v>0</v>
      </c>
      <c r="AW326" s="12">
        <f t="shared" si="616"/>
        <v>0</v>
      </c>
      <c r="AX326" s="12">
        <f t="shared" si="616"/>
        <v>0</v>
      </c>
      <c r="AY326" s="12">
        <f t="shared" si="616"/>
        <v>0</v>
      </c>
      <c r="AZ326" s="12">
        <f t="shared" si="616"/>
        <v>0</v>
      </c>
      <c r="BA326" s="12">
        <f t="shared" si="616"/>
        <v>0</v>
      </c>
      <c r="BB326" s="12">
        <f t="shared" si="616"/>
        <v>0</v>
      </c>
      <c r="BC326" s="12">
        <f t="shared" si="616"/>
        <v>0</v>
      </c>
      <c r="BD326" s="12">
        <f t="shared" si="616"/>
        <v>0</v>
      </c>
      <c r="BE326" s="12">
        <f t="shared" si="616"/>
        <v>0</v>
      </c>
      <c r="BF326" s="12">
        <f t="shared" si="616"/>
        <v>0</v>
      </c>
      <c r="BG326" s="12">
        <f t="shared" si="616"/>
        <v>0</v>
      </c>
      <c r="BH326" s="12">
        <f t="shared" si="616"/>
        <v>0</v>
      </c>
      <c r="BI326" s="12">
        <f t="shared" si="616"/>
        <v>0</v>
      </c>
      <c r="BJ326" s="12">
        <f t="shared" si="616"/>
        <v>0</v>
      </c>
      <c r="BX326" s="12">
        <f t="shared" ref="BX326:CI326" si="617">SUM(BX321:BX325)</f>
        <v>0</v>
      </c>
      <c r="BY326" s="12">
        <f t="shared" si="617"/>
        <v>0</v>
      </c>
      <c r="BZ326" s="12">
        <f t="shared" si="617"/>
        <v>0</v>
      </c>
      <c r="CA326" s="12">
        <f t="shared" si="617"/>
        <v>0</v>
      </c>
      <c r="CB326" s="12">
        <f t="shared" si="617"/>
        <v>0</v>
      </c>
      <c r="CC326" s="12">
        <f t="shared" si="617"/>
        <v>0</v>
      </c>
      <c r="CD326" s="12">
        <f t="shared" si="617"/>
        <v>0</v>
      </c>
      <c r="CE326" s="12">
        <f t="shared" si="617"/>
        <v>0</v>
      </c>
      <c r="CF326" s="12">
        <f t="shared" si="617"/>
        <v>0</v>
      </c>
      <c r="CG326" s="12">
        <f t="shared" si="617"/>
        <v>0</v>
      </c>
      <c r="CH326" s="12">
        <f t="shared" si="617"/>
        <v>0</v>
      </c>
      <c r="CI326" s="12">
        <f t="shared" si="617"/>
        <v>0</v>
      </c>
      <c r="CK326" s="11"/>
      <c r="CM326" s="11"/>
      <c r="CW326" s="7">
        <f t="shared" si="600"/>
        <v>0</v>
      </c>
      <c r="CX326" s="7">
        <f t="shared" si="601"/>
        <v>0</v>
      </c>
      <c r="CY326" s="7">
        <f t="shared" si="602"/>
        <v>0</v>
      </c>
      <c r="CZ326" s="650"/>
      <c r="DA326" s="35"/>
      <c r="DB326" s="215">
        <f t="shared" si="603"/>
        <v>0</v>
      </c>
      <c r="DC326" s="215">
        <f t="shared" si="603"/>
        <v>0</v>
      </c>
      <c r="DD326" s="215">
        <f t="shared" si="603"/>
        <v>0</v>
      </c>
      <c r="DE326" s="215">
        <f t="shared" si="604"/>
        <v>0</v>
      </c>
      <c r="DF326" s="215">
        <f t="shared" si="605"/>
        <v>0</v>
      </c>
      <c r="DG326" s="215">
        <f t="shared" si="606"/>
        <v>0</v>
      </c>
      <c r="DH326" s="215">
        <f t="shared" si="607"/>
        <v>0</v>
      </c>
      <c r="DI326" s="35"/>
      <c r="DJ326">
        <v>0</v>
      </c>
      <c r="DK326">
        <v>0</v>
      </c>
      <c r="DL326" s="35"/>
      <c r="EZ326" s="12" t="str">
        <f>IF($C326="","",CONCATENATE(D$320, " ",$D326))</f>
        <v>Gain/Loss on Disposal  Total Gain/Loss on Disposal</v>
      </c>
    </row>
    <row r="327" spans="1:156" ht="8.25" customHeight="1" x14ac:dyDescent="0.35">
      <c r="C327" s="234"/>
      <c r="D327" s="1"/>
      <c r="E327"/>
      <c r="CK327" s="11"/>
      <c r="CM327" s="11"/>
      <c r="CZ327" s="650"/>
      <c r="DA327" s="35"/>
      <c r="DI327" s="35"/>
      <c r="DJ327">
        <v>0</v>
      </c>
      <c r="DK327">
        <v>0</v>
      </c>
      <c r="DL327" s="35"/>
      <c r="EZ327" s="10" t="str">
        <f>IF($C327="","",$D327)</f>
        <v/>
      </c>
    </row>
    <row r="328" spans="1:156" x14ac:dyDescent="0.35">
      <c r="A328" s="34"/>
      <c r="B328" s="34"/>
      <c r="C328" s="230"/>
      <c r="D328" s="34" t="s">
        <v>978</v>
      </c>
      <c r="E328" s="34"/>
      <c r="F328" s="34"/>
      <c r="G328" s="34"/>
      <c r="H328" s="34"/>
      <c r="I328" s="34"/>
      <c r="J328" s="34"/>
      <c r="K328" s="34"/>
      <c r="L328" s="34"/>
      <c r="M328" s="34"/>
      <c r="N328" s="34"/>
      <c r="O328" s="34"/>
      <c r="P328" s="34"/>
      <c r="Q328" s="34"/>
      <c r="R328" s="34"/>
      <c r="S328" s="34"/>
      <c r="T328" s="34"/>
      <c r="U328" s="34"/>
      <c r="V328" s="34"/>
      <c r="W328" s="34"/>
      <c r="X328" s="34"/>
      <c r="Y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4"/>
      <c r="CC328" s="34"/>
      <c r="CD328" s="34"/>
      <c r="CE328" s="34"/>
      <c r="CF328" s="34"/>
      <c r="CG328" s="34"/>
      <c r="CH328" s="34"/>
      <c r="CI328" s="34"/>
      <c r="CJ328" s="34"/>
      <c r="CK328" s="35"/>
      <c r="CM328" s="35"/>
      <c r="CZ328" s="650"/>
      <c r="DA328" s="35"/>
      <c r="DI328" s="35"/>
      <c r="DJ328">
        <v>0</v>
      </c>
      <c r="DK328">
        <v>0</v>
      </c>
      <c r="DL328" s="35"/>
      <c r="EZ328" s="10" t="str">
        <f>IF($C328="","",$D328)</f>
        <v/>
      </c>
    </row>
    <row r="329" spans="1:156" ht="6.75" customHeight="1" x14ac:dyDescent="0.35">
      <c r="C329" s="256"/>
      <c r="D329" s="1"/>
      <c r="E329"/>
      <c r="BY329" s="6"/>
      <c r="CK329" s="35"/>
      <c r="CM329" s="35"/>
      <c r="CZ329" s="650"/>
      <c r="DA329" s="35"/>
      <c r="DI329" s="35"/>
      <c r="DJ329">
        <v>0</v>
      </c>
      <c r="DK329">
        <v>0</v>
      </c>
      <c r="DL329" s="35"/>
      <c r="EZ329" s="10" t="str">
        <f>IF($C329="","",$D329)</f>
        <v/>
      </c>
    </row>
    <row r="330" spans="1:156" x14ac:dyDescent="0.35">
      <c r="C330" s="211" t="s">
        <v>979</v>
      </c>
      <c r="D330" s="24" t="s">
        <v>980</v>
      </c>
      <c r="E330"/>
      <c r="CK330" s="11"/>
      <c r="CM330" s="11"/>
      <c r="CZ330" s="650"/>
      <c r="DA330" s="35"/>
      <c r="DI330" s="35"/>
      <c r="DJ330">
        <v>0</v>
      </c>
      <c r="DK330">
        <v>0</v>
      </c>
      <c r="DL330" s="35"/>
      <c r="EZ330" s="10" t="str">
        <f>IF($C330="","",$D330)</f>
        <v>NCA Reclassification 1 - Movements between NCA Accounts</v>
      </c>
    </row>
    <row r="331" spans="1:156" x14ac:dyDescent="0.35">
      <c r="C331" s="234"/>
      <c r="D331" s="1" t="s">
        <v>981</v>
      </c>
      <c r="E331"/>
      <c r="CK331" s="11"/>
      <c r="CM331" s="11"/>
      <c r="CZ331" s="650"/>
      <c r="DA331" s="35"/>
      <c r="DI331" s="35"/>
      <c r="DJ331">
        <v>0</v>
      </c>
      <c r="DK331">
        <v>0</v>
      </c>
      <c r="DL331" s="35"/>
      <c r="EZ331" s="10" t="str">
        <f>IF($C331="","",$D331)</f>
        <v/>
      </c>
    </row>
    <row r="332" spans="1:156" x14ac:dyDescent="0.35">
      <c r="A332" s="220" cm="1">
        <f t="array" aca="1" ref="A332" ca="1">HYPERLINK(CONCATENATE("#",CELL("address",IF(MAX($CM332:$CZ332)=0,A332,INDEX($CM332:$CZ332,MATCH(1,$CM332:$CZ332,0))))),MAX($CM332:$CZ332))</f>
        <v>0</v>
      </c>
      <c r="C332" s="211" t="s">
        <v>982</v>
      </c>
      <c r="D332" s="113"/>
      <c r="E332"/>
      <c r="H332" s="9" t="s">
        <v>403</v>
      </c>
      <c r="V332" s="109"/>
      <c r="W332" s="133">
        <f xml:space="preserve"> SUMIFS($AA332:$BJ332, $AA$3:$BJ$3, W$3)</f>
        <v>0</v>
      </c>
      <c r="X332" s="133">
        <f xml:space="preserve"> SUMIFS($AA332:$BJ332, $AA$3:$BJ$3, X$3)</f>
        <v>0</v>
      </c>
      <c r="Y332" s="133">
        <f xml:space="preserve"> SUMIFS($AA332:$BJ332, $AA$3:$BJ$3, Y$3)</f>
        <v>0</v>
      </c>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c r="AV332" s="114"/>
      <c r="AW332" s="114"/>
      <c r="AX332" s="114"/>
      <c r="AY332" s="114"/>
      <c r="AZ332" s="114"/>
      <c r="BA332" s="114"/>
      <c r="BB332" s="114"/>
      <c r="BC332" s="114"/>
      <c r="BD332" s="114"/>
      <c r="BE332" s="114"/>
      <c r="BF332" s="114"/>
      <c r="BG332" s="114"/>
      <c r="BH332" s="114"/>
      <c r="BI332" s="114"/>
      <c r="BJ332" s="114"/>
      <c r="BX332" s="10">
        <f>V332</f>
        <v>0</v>
      </c>
      <c r="BY332" s="10">
        <f>W332</f>
        <v>0</v>
      </c>
      <c r="BZ332" s="10">
        <f>X332</f>
        <v>0</v>
      </c>
      <c r="CA332" s="10">
        <f>Y332</f>
        <v>0</v>
      </c>
      <c r="CB332" s="109"/>
      <c r="CC332" s="109"/>
      <c r="CD332" s="109"/>
      <c r="CE332" s="109"/>
      <c r="CF332" s="109"/>
      <c r="CG332" s="109"/>
      <c r="CH332" s="109"/>
      <c r="CI332" s="109"/>
      <c r="CK332" s="11"/>
      <c r="CL332" s="221">
        <f>IF(MAX($V332:$CI332)&lt;0, 1, 0)</f>
        <v>0</v>
      </c>
      <c r="CM332" s="11"/>
      <c r="CU332" s="7" cm="1">
        <f t="array" ref="CU332">SUMPRODUCT(--NOT(ISNUMBER(V332:CI332)),--NOT(ISBLANK(V332:CI332)))</f>
        <v>0</v>
      </c>
      <c r="CW332" s="7">
        <f>IF(SUM($DB332:$DD332)=0, 0, 1)</f>
        <v>0</v>
      </c>
      <c r="CX332" s="7">
        <f>IF(SUM($DE332:$DG332)=0, 0, 1)</f>
        <v>0</v>
      </c>
      <c r="CY332" s="7">
        <f>IF($DH332=0, 0, 1)</f>
        <v>0</v>
      </c>
      <c r="CZ332" s="650"/>
      <c r="DA332" s="35"/>
      <c r="DB332" s="215">
        <f>ROUND(W332-SUMIFS($AA332:$BJ332, $AA$3:$BJ$3, W$3), rounding)</f>
        <v>0</v>
      </c>
      <c r="DC332" s="215">
        <f>ROUND(X332-SUMIFS($AA332:$BJ332, $AA$3:$BJ$3, X$3), rounding)</f>
        <v>0</v>
      </c>
      <c r="DD332" s="215">
        <f>ROUND(Y332-SUMIFS($AA332:$BJ332, $AA$3:$BJ$3, Y$3), rounding)</f>
        <v>0</v>
      </c>
      <c r="DE332" s="215">
        <f>ROUND($BY332-SUMIFS($AA332:$BJ332, $AA$3:$BJ$3, $BY$3), rounding)</f>
        <v>0</v>
      </c>
      <c r="DF332" s="215">
        <f>ROUND($BZ332-SUMIFS($AA332:$BJ332, $AA$3:$BJ$3, $BZ$3), rounding)</f>
        <v>0</v>
      </c>
      <c r="DG332" s="215">
        <f>ROUND($CA332-SUMIFS($AA332:$BJ332, $AA$3:$BJ$3, $CA$3), rounding)</f>
        <v>0</v>
      </c>
      <c r="DH332" s="215">
        <f>ROUND($V332-$BX332, rounding)</f>
        <v>0</v>
      </c>
      <c r="DI332" s="35"/>
      <c r="DJ332">
        <v>1</v>
      </c>
      <c r="DK332">
        <v>1</v>
      </c>
      <c r="DL332" s="35"/>
      <c r="EZ332" s="12" t="str">
        <f>IF($C332="","",CONCATENATE(D$330, " ",$D332))</f>
        <v xml:space="preserve">NCA Reclassification 1 - Movements between NCA Accounts </v>
      </c>
    </row>
    <row r="333" spans="1:156" x14ac:dyDescent="0.35">
      <c r="C333" s="234"/>
      <c r="D333" s="1" t="s">
        <v>983</v>
      </c>
      <c r="E333"/>
      <c r="H333" s="9"/>
      <c r="CK333" s="11"/>
      <c r="CM333" s="11"/>
      <c r="CZ333" s="650"/>
      <c r="DA333" s="35"/>
      <c r="DI333" s="35"/>
      <c r="DJ333">
        <v>0</v>
      </c>
      <c r="DK333">
        <v>0</v>
      </c>
      <c r="DL333" s="35"/>
      <c r="EZ333" s="10" t="str">
        <f>IF($C333="","",$D333)</f>
        <v/>
      </c>
    </row>
    <row r="334" spans="1:156" x14ac:dyDescent="0.35">
      <c r="A334" s="220" cm="1">
        <f t="array" aca="1" ref="A334" ca="1">HYPERLINK(CONCATENATE("#",CELL("address",IF(MAX($CM334:$CZ334)=0,A334,INDEX($CM334:$CZ334,MATCH(1,$CM334:$CZ334,0))))),MAX($CM334:$CZ334))</f>
        <v>0</v>
      </c>
      <c r="C334" s="211" t="s">
        <v>984</v>
      </c>
      <c r="D334" s="113"/>
      <c r="E334"/>
      <c r="H334" s="9"/>
      <c r="V334" s="10">
        <f>0-V332</f>
        <v>0</v>
      </c>
      <c r="W334" s="10">
        <f>0-W332</f>
        <v>0</v>
      </c>
      <c r="X334" s="10">
        <f>0-X332</f>
        <v>0</v>
      </c>
      <c r="Y334" s="10">
        <f>0-Y332</f>
        <v>0</v>
      </c>
      <c r="AA334" s="10">
        <f t="shared" ref="AA334:BJ334" si="618">0-AA332</f>
        <v>0</v>
      </c>
      <c r="AB334" s="10">
        <f t="shared" si="618"/>
        <v>0</v>
      </c>
      <c r="AC334" s="10">
        <f t="shared" si="618"/>
        <v>0</v>
      </c>
      <c r="AD334" s="10">
        <f t="shared" si="618"/>
        <v>0</v>
      </c>
      <c r="AE334" s="10">
        <f t="shared" si="618"/>
        <v>0</v>
      </c>
      <c r="AF334" s="10">
        <f t="shared" si="618"/>
        <v>0</v>
      </c>
      <c r="AG334" s="10">
        <f t="shared" si="618"/>
        <v>0</v>
      </c>
      <c r="AH334" s="10">
        <f t="shared" si="618"/>
        <v>0</v>
      </c>
      <c r="AI334" s="10">
        <f t="shared" si="618"/>
        <v>0</v>
      </c>
      <c r="AJ334" s="10">
        <f t="shared" si="618"/>
        <v>0</v>
      </c>
      <c r="AK334" s="10">
        <f t="shared" si="618"/>
        <v>0</v>
      </c>
      <c r="AL334" s="10">
        <f t="shared" si="618"/>
        <v>0</v>
      </c>
      <c r="AM334" s="10">
        <f t="shared" si="618"/>
        <v>0</v>
      </c>
      <c r="AN334" s="10">
        <f t="shared" si="618"/>
        <v>0</v>
      </c>
      <c r="AO334" s="10">
        <f t="shared" si="618"/>
        <v>0</v>
      </c>
      <c r="AP334" s="10">
        <f t="shared" si="618"/>
        <v>0</v>
      </c>
      <c r="AQ334" s="10">
        <f t="shared" si="618"/>
        <v>0</v>
      </c>
      <c r="AR334" s="10">
        <f t="shared" si="618"/>
        <v>0</v>
      </c>
      <c r="AS334" s="10">
        <f t="shared" si="618"/>
        <v>0</v>
      </c>
      <c r="AT334" s="10">
        <f t="shared" si="618"/>
        <v>0</v>
      </c>
      <c r="AU334" s="10">
        <f t="shared" si="618"/>
        <v>0</v>
      </c>
      <c r="AV334" s="10">
        <f t="shared" si="618"/>
        <v>0</v>
      </c>
      <c r="AW334" s="10">
        <f t="shared" si="618"/>
        <v>0</v>
      </c>
      <c r="AX334" s="10">
        <f t="shared" si="618"/>
        <v>0</v>
      </c>
      <c r="AY334" s="10">
        <f t="shared" si="618"/>
        <v>0</v>
      </c>
      <c r="AZ334" s="10">
        <f t="shared" si="618"/>
        <v>0</v>
      </c>
      <c r="BA334" s="10">
        <f t="shared" si="618"/>
        <v>0</v>
      </c>
      <c r="BB334" s="10">
        <f t="shared" si="618"/>
        <v>0</v>
      </c>
      <c r="BC334" s="10">
        <f t="shared" si="618"/>
        <v>0</v>
      </c>
      <c r="BD334" s="10">
        <f t="shared" si="618"/>
        <v>0</v>
      </c>
      <c r="BE334" s="10">
        <f t="shared" si="618"/>
        <v>0</v>
      </c>
      <c r="BF334" s="10">
        <f t="shared" si="618"/>
        <v>0</v>
      </c>
      <c r="BG334" s="10">
        <f t="shared" si="618"/>
        <v>0</v>
      </c>
      <c r="BH334" s="10">
        <f t="shared" si="618"/>
        <v>0</v>
      </c>
      <c r="BI334" s="10">
        <f t="shared" si="618"/>
        <v>0</v>
      </c>
      <c r="BJ334" s="10">
        <f t="shared" si="618"/>
        <v>0</v>
      </c>
      <c r="BX334" s="10">
        <f t="shared" ref="BX334:CI334" si="619">0-BX332</f>
        <v>0</v>
      </c>
      <c r="BY334" s="10">
        <f t="shared" si="619"/>
        <v>0</v>
      </c>
      <c r="BZ334" s="10">
        <f t="shared" si="619"/>
        <v>0</v>
      </c>
      <c r="CA334" s="10">
        <f t="shared" si="619"/>
        <v>0</v>
      </c>
      <c r="CB334" s="10">
        <f t="shared" si="619"/>
        <v>0</v>
      </c>
      <c r="CC334" s="10">
        <f t="shared" si="619"/>
        <v>0</v>
      </c>
      <c r="CD334" s="10">
        <f t="shared" si="619"/>
        <v>0</v>
      </c>
      <c r="CE334" s="10">
        <f t="shared" si="619"/>
        <v>0</v>
      </c>
      <c r="CF334" s="10">
        <f t="shared" si="619"/>
        <v>0</v>
      </c>
      <c r="CG334" s="10">
        <f t="shared" si="619"/>
        <v>0</v>
      </c>
      <c r="CH334" s="10">
        <f t="shared" si="619"/>
        <v>0</v>
      </c>
      <c r="CI334" s="10">
        <f t="shared" si="619"/>
        <v>0</v>
      </c>
      <c r="CK334" s="11"/>
      <c r="CM334" s="11"/>
      <c r="CW334" s="7">
        <f>IF(SUM($DB334:$DD334)=0, 0, 1)</f>
        <v>0</v>
      </c>
      <c r="CX334" s="7">
        <f>IF(SUM($DE334:$DG334)=0, 0, 1)</f>
        <v>0</v>
      </c>
      <c r="CY334" s="7">
        <f>IF($DH334=0, 0, 1)</f>
        <v>0</v>
      </c>
      <c r="CZ334" s="650"/>
      <c r="DA334" s="35"/>
      <c r="DB334" s="215">
        <f>ROUND(W334-SUMIFS($AA334:$BJ334, $AA$3:$BJ$3, W$3), rounding)</f>
        <v>0</v>
      </c>
      <c r="DC334" s="215">
        <f>ROUND(X334-SUMIFS($AA334:$BJ334, $AA$3:$BJ$3, X$3), rounding)</f>
        <v>0</v>
      </c>
      <c r="DD334" s="215">
        <f>ROUND(Y334-SUMIFS($AA334:$BJ334, $AA$3:$BJ$3, Y$3), rounding)</f>
        <v>0</v>
      </c>
      <c r="DE334" s="215">
        <f>ROUND($BY334-SUMIFS($AA334:$BJ334, $AA$3:$BJ$3, $BY$3), rounding)</f>
        <v>0</v>
      </c>
      <c r="DF334" s="215">
        <f>ROUND($BZ334-SUMIFS($AA334:$BJ334, $AA$3:$BJ$3, $BZ$3), rounding)</f>
        <v>0</v>
      </c>
      <c r="DG334" s="215">
        <f>ROUND($CA334-SUMIFS($AA334:$BJ334, $AA$3:$BJ$3, $CA$3), rounding)</f>
        <v>0</v>
      </c>
      <c r="DH334" s="215">
        <f>ROUND($V334-$BX334, rounding)</f>
        <v>0</v>
      </c>
      <c r="DI334" s="35"/>
      <c r="DJ334">
        <v>0</v>
      </c>
      <c r="DK334">
        <v>0</v>
      </c>
      <c r="DL334" s="35"/>
      <c r="EZ334" s="12" t="str">
        <f>IF($C334="","",CONCATENATE(D$330, " ",$D334))</f>
        <v xml:space="preserve">NCA Reclassification 1 - Movements between NCA Accounts </v>
      </c>
    </row>
    <row r="335" spans="1:156" ht="8.25" customHeight="1" x14ac:dyDescent="0.35">
      <c r="C335" s="234"/>
      <c r="D335" s="1"/>
      <c r="E335"/>
      <c r="CK335" s="11"/>
      <c r="CM335" s="11"/>
      <c r="CZ335" s="650"/>
      <c r="DA335" s="35"/>
      <c r="DI335" s="35"/>
      <c r="DJ335">
        <v>0</v>
      </c>
      <c r="DK335">
        <v>0</v>
      </c>
      <c r="DL335" s="35"/>
      <c r="EZ335" s="10" t="str">
        <f>IF($C335="","",$D335)</f>
        <v/>
      </c>
    </row>
    <row r="336" spans="1:156" x14ac:dyDescent="0.35">
      <c r="C336" s="211" t="s">
        <v>985</v>
      </c>
      <c r="D336" s="24" t="s">
        <v>986</v>
      </c>
      <c r="E336"/>
      <c r="CK336" s="11"/>
      <c r="CM336" s="11"/>
      <c r="CZ336" s="650"/>
      <c r="DA336" s="35"/>
      <c r="DI336" s="35"/>
      <c r="DJ336">
        <v>0</v>
      </c>
      <c r="DK336">
        <v>0</v>
      </c>
      <c r="DL336" s="35"/>
      <c r="EZ336" s="10" t="str">
        <f>IF($C336="","",$D336)</f>
        <v>NCA Reclassification 2 - Movements between NCA Accounts</v>
      </c>
    </row>
    <row r="337" spans="1:156" x14ac:dyDescent="0.35">
      <c r="C337" s="234"/>
      <c r="D337" s="1" t="s">
        <v>981</v>
      </c>
      <c r="E337"/>
      <c r="CK337" s="11"/>
      <c r="CM337" s="11"/>
      <c r="CZ337" s="650"/>
      <c r="DA337" s="35"/>
      <c r="DI337" s="35"/>
      <c r="DJ337">
        <v>0</v>
      </c>
      <c r="DK337">
        <v>0</v>
      </c>
      <c r="DL337" s="35"/>
      <c r="EZ337" s="10" t="str">
        <f>IF($C337="","",$D337)</f>
        <v/>
      </c>
    </row>
    <row r="338" spans="1:156" x14ac:dyDescent="0.35">
      <c r="A338" s="220" cm="1">
        <f t="array" aca="1" ref="A338" ca="1">HYPERLINK(CONCATENATE("#",CELL("address",IF(MAX($CM338:$CZ338)=0,A338,INDEX($CM338:$CZ338,MATCH(1,$CM338:$CZ338,0))))),MAX($CM338:$CZ338))</f>
        <v>0</v>
      </c>
      <c r="C338" s="211" t="s">
        <v>987</v>
      </c>
      <c r="D338" s="113"/>
      <c r="E338"/>
      <c r="H338" s="9" t="s">
        <v>403</v>
      </c>
      <c r="V338" s="109"/>
      <c r="W338" s="133">
        <f xml:space="preserve"> SUMIFS($AA338:$BJ338, $AA$3:$BJ$3, W$3)</f>
        <v>0</v>
      </c>
      <c r="X338" s="133">
        <f xml:space="preserve"> SUMIFS($AA338:$BJ338, $AA$3:$BJ$3, X$3)</f>
        <v>0</v>
      </c>
      <c r="Y338" s="133">
        <f xml:space="preserve"> SUMIFS($AA338:$BJ338, $AA$3:$BJ$3, Y$3)</f>
        <v>0</v>
      </c>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c r="BX338" s="10">
        <f>V338</f>
        <v>0</v>
      </c>
      <c r="BY338" s="10">
        <f>W338</f>
        <v>0</v>
      </c>
      <c r="BZ338" s="10">
        <f>X338</f>
        <v>0</v>
      </c>
      <c r="CA338" s="10">
        <f>Y338</f>
        <v>0</v>
      </c>
      <c r="CB338" s="109"/>
      <c r="CC338" s="109"/>
      <c r="CD338" s="109"/>
      <c r="CE338" s="109"/>
      <c r="CF338" s="109"/>
      <c r="CG338" s="109"/>
      <c r="CH338" s="109"/>
      <c r="CI338" s="109"/>
      <c r="CK338" s="11"/>
      <c r="CL338" s="221">
        <f>IF(MAX($V338:$CI338)&lt;0, 1, 0)</f>
        <v>0</v>
      </c>
      <c r="CM338" s="11"/>
      <c r="CU338" s="7" cm="1">
        <f t="array" ref="CU338">SUMPRODUCT(--NOT(ISNUMBER(V338:CI338)),--NOT(ISBLANK(V338:CI338)))</f>
        <v>0</v>
      </c>
      <c r="CW338" s="7">
        <f>IF(SUM($DB338:$DD338)=0, 0, 1)</f>
        <v>0</v>
      </c>
      <c r="CX338" s="7">
        <f>IF(SUM($DE338:$DG338)=0, 0, 1)</f>
        <v>0</v>
      </c>
      <c r="CY338" s="7">
        <f>IF($DH338=0, 0, 1)</f>
        <v>0</v>
      </c>
      <c r="CZ338" s="650"/>
      <c r="DA338" s="35"/>
      <c r="DB338" s="215">
        <f>ROUND(W338-SUMIFS($AA338:$BJ338, $AA$3:$BJ$3, W$3), rounding)</f>
        <v>0</v>
      </c>
      <c r="DC338" s="215">
        <f>ROUND(X338-SUMIFS($AA338:$BJ338, $AA$3:$BJ$3, X$3), rounding)</f>
        <v>0</v>
      </c>
      <c r="DD338" s="215">
        <f>ROUND(Y338-SUMIFS($AA338:$BJ338, $AA$3:$BJ$3, Y$3), rounding)</f>
        <v>0</v>
      </c>
      <c r="DE338" s="215">
        <f>ROUND($BY338-SUMIFS($AA338:$BJ338, $AA$3:$BJ$3, $BY$3), rounding)</f>
        <v>0</v>
      </c>
      <c r="DF338" s="215">
        <f>ROUND($BZ338-SUMIFS($AA338:$BJ338, $AA$3:$BJ$3, $BZ$3), rounding)</f>
        <v>0</v>
      </c>
      <c r="DG338" s="215">
        <f>ROUND($CA338-SUMIFS($AA338:$BJ338, $AA$3:$BJ$3, $CA$3), rounding)</f>
        <v>0</v>
      </c>
      <c r="DH338" s="215">
        <f>ROUND($V338-$BX338, rounding)</f>
        <v>0</v>
      </c>
      <c r="DI338" s="35"/>
      <c r="DJ338">
        <v>1</v>
      </c>
      <c r="DK338">
        <v>1</v>
      </c>
      <c r="DL338" s="35"/>
      <c r="EZ338" s="12" t="str">
        <f>IF($C338="","",CONCATENATE(D$336, " ",$D338))</f>
        <v xml:space="preserve">NCA Reclassification 2 - Movements between NCA Accounts </v>
      </c>
    </row>
    <row r="339" spans="1:156" x14ac:dyDescent="0.35">
      <c r="C339" s="234"/>
      <c r="D339" s="1" t="s">
        <v>983</v>
      </c>
      <c r="E339"/>
      <c r="H339" s="9"/>
      <c r="CK339" s="11"/>
      <c r="CM339" s="11"/>
      <c r="CZ339" s="650"/>
      <c r="DA339" s="35"/>
      <c r="DI339" s="35"/>
      <c r="DJ339">
        <v>0</v>
      </c>
      <c r="DK339">
        <v>0</v>
      </c>
      <c r="DL339" s="35"/>
      <c r="EZ339" s="10" t="str">
        <f>IF($C339="","",$D339)</f>
        <v/>
      </c>
    </row>
    <row r="340" spans="1:156" x14ac:dyDescent="0.35">
      <c r="A340" s="220" cm="1">
        <f t="array" aca="1" ref="A340" ca="1">HYPERLINK(CONCATENATE("#",CELL("address",IF(MAX($CM340:$CZ340)=0,A340,INDEX($CM340:$CZ340,MATCH(1,$CM340:$CZ340,0))))),MAX($CM340:$CZ340))</f>
        <v>0</v>
      </c>
      <c r="C340" s="211" t="s">
        <v>988</v>
      </c>
      <c r="D340" s="113"/>
      <c r="E340"/>
      <c r="H340" s="9"/>
      <c r="V340" s="10">
        <f>0-V338</f>
        <v>0</v>
      </c>
      <c r="W340" s="10">
        <f>0-W338</f>
        <v>0</v>
      </c>
      <c r="X340" s="10">
        <f>0-X338</f>
        <v>0</v>
      </c>
      <c r="Y340" s="10">
        <f>0-Y338</f>
        <v>0</v>
      </c>
      <c r="AA340" s="10">
        <f t="shared" ref="AA340:BJ340" si="620">0-AA338</f>
        <v>0</v>
      </c>
      <c r="AB340" s="10">
        <f t="shared" si="620"/>
        <v>0</v>
      </c>
      <c r="AC340" s="10">
        <f t="shared" si="620"/>
        <v>0</v>
      </c>
      <c r="AD340" s="10">
        <f t="shared" si="620"/>
        <v>0</v>
      </c>
      <c r="AE340" s="10">
        <f t="shared" si="620"/>
        <v>0</v>
      </c>
      <c r="AF340" s="10">
        <f t="shared" si="620"/>
        <v>0</v>
      </c>
      <c r="AG340" s="10">
        <f t="shared" si="620"/>
        <v>0</v>
      </c>
      <c r="AH340" s="10">
        <f t="shared" si="620"/>
        <v>0</v>
      </c>
      <c r="AI340" s="10">
        <f t="shared" si="620"/>
        <v>0</v>
      </c>
      <c r="AJ340" s="10">
        <f t="shared" si="620"/>
        <v>0</v>
      </c>
      <c r="AK340" s="10">
        <f t="shared" si="620"/>
        <v>0</v>
      </c>
      <c r="AL340" s="10">
        <f t="shared" si="620"/>
        <v>0</v>
      </c>
      <c r="AM340" s="10">
        <f t="shared" si="620"/>
        <v>0</v>
      </c>
      <c r="AN340" s="10">
        <f t="shared" si="620"/>
        <v>0</v>
      </c>
      <c r="AO340" s="10">
        <f t="shared" si="620"/>
        <v>0</v>
      </c>
      <c r="AP340" s="10">
        <f t="shared" si="620"/>
        <v>0</v>
      </c>
      <c r="AQ340" s="10">
        <f t="shared" si="620"/>
        <v>0</v>
      </c>
      <c r="AR340" s="10">
        <f t="shared" si="620"/>
        <v>0</v>
      </c>
      <c r="AS340" s="10">
        <f t="shared" si="620"/>
        <v>0</v>
      </c>
      <c r="AT340" s="10">
        <f t="shared" si="620"/>
        <v>0</v>
      </c>
      <c r="AU340" s="10">
        <f t="shared" si="620"/>
        <v>0</v>
      </c>
      <c r="AV340" s="10">
        <f t="shared" si="620"/>
        <v>0</v>
      </c>
      <c r="AW340" s="10">
        <f t="shared" si="620"/>
        <v>0</v>
      </c>
      <c r="AX340" s="10">
        <f t="shared" si="620"/>
        <v>0</v>
      </c>
      <c r="AY340" s="10">
        <f t="shared" si="620"/>
        <v>0</v>
      </c>
      <c r="AZ340" s="10">
        <f t="shared" si="620"/>
        <v>0</v>
      </c>
      <c r="BA340" s="10">
        <f t="shared" si="620"/>
        <v>0</v>
      </c>
      <c r="BB340" s="10">
        <f t="shared" si="620"/>
        <v>0</v>
      </c>
      <c r="BC340" s="10">
        <f t="shared" si="620"/>
        <v>0</v>
      </c>
      <c r="BD340" s="10">
        <f t="shared" si="620"/>
        <v>0</v>
      </c>
      <c r="BE340" s="10">
        <f t="shared" si="620"/>
        <v>0</v>
      </c>
      <c r="BF340" s="10">
        <f t="shared" si="620"/>
        <v>0</v>
      </c>
      <c r="BG340" s="10">
        <f t="shared" si="620"/>
        <v>0</v>
      </c>
      <c r="BH340" s="10">
        <f t="shared" si="620"/>
        <v>0</v>
      </c>
      <c r="BI340" s="10">
        <f t="shared" si="620"/>
        <v>0</v>
      </c>
      <c r="BJ340" s="10">
        <f t="shared" si="620"/>
        <v>0</v>
      </c>
      <c r="BX340" s="10">
        <f t="shared" ref="BX340:CI340" si="621">0-BX338</f>
        <v>0</v>
      </c>
      <c r="BY340" s="10">
        <f t="shared" si="621"/>
        <v>0</v>
      </c>
      <c r="BZ340" s="10">
        <f t="shared" si="621"/>
        <v>0</v>
      </c>
      <c r="CA340" s="10">
        <f t="shared" si="621"/>
        <v>0</v>
      </c>
      <c r="CB340" s="10">
        <f t="shared" si="621"/>
        <v>0</v>
      </c>
      <c r="CC340" s="10">
        <f t="shared" si="621"/>
        <v>0</v>
      </c>
      <c r="CD340" s="10">
        <f t="shared" si="621"/>
        <v>0</v>
      </c>
      <c r="CE340" s="10">
        <f t="shared" si="621"/>
        <v>0</v>
      </c>
      <c r="CF340" s="10">
        <f t="shared" si="621"/>
        <v>0</v>
      </c>
      <c r="CG340" s="10">
        <f t="shared" si="621"/>
        <v>0</v>
      </c>
      <c r="CH340" s="10">
        <f t="shared" si="621"/>
        <v>0</v>
      </c>
      <c r="CI340" s="10">
        <f t="shared" si="621"/>
        <v>0</v>
      </c>
      <c r="CK340" s="11"/>
      <c r="CM340" s="11"/>
      <c r="CW340" s="7">
        <f>IF(SUM($DB340:$DD340)=0, 0, 1)</f>
        <v>0</v>
      </c>
      <c r="CX340" s="7">
        <f>IF(SUM($DE340:$DG340)=0, 0, 1)</f>
        <v>0</v>
      </c>
      <c r="CY340" s="7">
        <f>IF($DH340=0, 0, 1)</f>
        <v>0</v>
      </c>
      <c r="CZ340" s="650"/>
      <c r="DA340" s="35"/>
      <c r="DB340" s="215">
        <f>ROUND(W340-SUMIFS($AA340:$BJ340, $AA$3:$BJ$3, W$3), rounding)</f>
        <v>0</v>
      </c>
      <c r="DC340" s="215">
        <f>ROUND(X340-SUMIFS($AA340:$BJ340, $AA$3:$BJ$3, X$3), rounding)</f>
        <v>0</v>
      </c>
      <c r="DD340" s="215">
        <f>ROUND(Y340-SUMIFS($AA340:$BJ340, $AA$3:$BJ$3, Y$3), rounding)</f>
        <v>0</v>
      </c>
      <c r="DE340" s="215">
        <f>ROUND($BY340-SUMIFS($AA340:$BJ340, $AA$3:$BJ$3, $BY$3), rounding)</f>
        <v>0</v>
      </c>
      <c r="DF340" s="215">
        <f>ROUND($BZ340-SUMIFS($AA340:$BJ340, $AA$3:$BJ$3, $BZ$3), rounding)</f>
        <v>0</v>
      </c>
      <c r="DG340" s="215">
        <f>ROUND($CA340-SUMIFS($AA340:$BJ340, $AA$3:$BJ$3, $CA$3), rounding)</f>
        <v>0</v>
      </c>
      <c r="DH340" s="215">
        <f>ROUND($V340-$BX340, rounding)</f>
        <v>0</v>
      </c>
      <c r="DI340" s="35"/>
      <c r="DJ340">
        <v>0</v>
      </c>
      <c r="DK340">
        <v>0</v>
      </c>
      <c r="DL340" s="35"/>
      <c r="EZ340" s="12" t="str">
        <f>IF($C340="","",CONCATENATE(D$336, " ",$D340))</f>
        <v xml:space="preserve">NCA Reclassification 2 - Movements between NCA Accounts </v>
      </c>
    </row>
    <row r="341" spans="1:156" ht="8.25" customHeight="1" x14ac:dyDescent="0.35">
      <c r="C341" s="234"/>
      <c r="D341" s="1"/>
      <c r="E341"/>
      <c r="CK341" s="11"/>
      <c r="CM341" s="11"/>
      <c r="CZ341" s="650"/>
      <c r="DA341" s="35"/>
      <c r="DI341" s="35"/>
      <c r="DJ341">
        <v>0</v>
      </c>
      <c r="DK341">
        <v>0</v>
      </c>
      <c r="DL341" s="35"/>
      <c r="EZ341" s="10" t="str">
        <f>IF($C341="","",$D341)</f>
        <v/>
      </c>
    </row>
    <row r="342" spans="1:156" x14ac:dyDescent="0.35">
      <c r="C342" s="211" t="s">
        <v>989</v>
      </c>
      <c r="D342" s="24" t="s">
        <v>990</v>
      </c>
      <c r="E342"/>
      <c r="CK342" s="11"/>
      <c r="CM342" s="11"/>
      <c r="CZ342" s="650"/>
      <c r="DA342" s="35"/>
      <c r="DI342" s="35"/>
      <c r="DJ342">
        <v>0</v>
      </c>
      <c r="DK342">
        <v>0</v>
      </c>
      <c r="DL342" s="35"/>
      <c r="EZ342" s="10" t="str">
        <f>IF($C342="","",$D342)</f>
        <v>NCA Reclassification 3 - Movements between NCA Accounts</v>
      </c>
    </row>
    <row r="343" spans="1:156" x14ac:dyDescent="0.35">
      <c r="C343" s="234"/>
      <c r="D343" s="1" t="s">
        <v>981</v>
      </c>
      <c r="E343"/>
      <c r="CK343" s="11"/>
      <c r="CM343" s="11"/>
      <c r="CZ343" s="650"/>
      <c r="DA343" s="35"/>
      <c r="DI343" s="35"/>
      <c r="DJ343">
        <v>0</v>
      </c>
      <c r="DK343">
        <v>0</v>
      </c>
      <c r="DL343" s="35"/>
      <c r="EZ343" s="10" t="str">
        <f>IF($C343="","",$D343)</f>
        <v/>
      </c>
    </row>
    <row r="344" spans="1:156" x14ac:dyDescent="0.35">
      <c r="A344" s="220" cm="1">
        <f t="array" aca="1" ref="A344" ca="1">HYPERLINK(CONCATENATE("#",CELL("address",IF(MAX($CM344:$CZ344)=0,A344,INDEX($CM344:$CZ344,MATCH(1,$CM344:$CZ344,0))))),MAX($CM344:$CZ344))</f>
        <v>0</v>
      </c>
      <c r="C344" s="211" t="s">
        <v>991</v>
      </c>
      <c r="D344" s="113"/>
      <c r="E344"/>
      <c r="H344" s="9" t="s">
        <v>403</v>
      </c>
      <c r="V344" s="109"/>
      <c r="W344" s="133">
        <f xml:space="preserve"> SUMIFS($AA344:$BJ344, $AA$3:$BJ$3, W$3)</f>
        <v>0</v>
      </c>
      <c r="X344" s="133">
        <f xml:space="preserve"> SUMIFS($AA344:$BJ344, $AA$3:$BJ$3, X$3)</f>
        <v>0</v>
      </c>
      <c r="Y344" s="133">
        <f xml:space="preserve"> SUMIFS($AA344:$BJ344, $AA$3:$BJ$3, Y$3)</f>
        <v>0</v>
      </c>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X344" s="10">
        <f>V344</f>
        <v>0</v>
      </c>
      <c r="BY344" s="10">
        <f>W344</f>
        <v>0</v>
      </c>
      <c r="BZ344" s="10">
        <f>X344</f>
        <v>0</v>
      </c>
      <c r="CA344" s="10">
        <f>Y344</f>
        <v>0</v>
      </c>
      <c r="CB344" s="109"/>
      <c r="CC344" s="109"/>
      <c r="CD344" s="109"/>
      <c r="CE344" s="109"/>
      <c r="CF344" s="109"/>
      <c r="CG344" s="109"/>
      <c r="CH344" s="109"/>
      <c r="CI344" s="109"/>
      <c r="CK344" s="11"/>
      <c r="CL344" s="221">
        <f>IF(MAX($V344:$CI344)&lt;0, 1, 0)</f>
        <v>0</v>
      </c>
      <c r="CM344" s="11"/>
      <c r="CU344" s="7" cm="1">
        <f t="array" ref="CU344">SUMPRODUCT(--NOT(ISNUMBER(V344:CI344)),--NOT(ISBLANK(V344:CI344)))</f>
        <v>0</v>
      </c>
      <c r="CW344" s="7">
        <f>IF(SUM($DB344:$DD344)=0, 0, 1)</f>
        <v>0</v>
      </c>
      <c r="CX344" s="7">
        <f>IF(SUM($DE344:$DG344)=0, 0, 1)</f>
        <v>0</v>
      </c>
      <c r="CY344" s="7">
        <f>IF($DH344=0, 0, 1)</f>
        <v>0</v>
      </c>
      <c r="CZ344" s="650"/>
      <c r="DA344" s="35"/>
      <c r="DB344" s="215">
        <v>0</v>
      </c>
      <c r="DC344" s="215">
        <v>0</v>
      </c>
      <c r="DD344" s="215">
        <v>0</v>
      </c>
      <c r="DE344" s="215">
        <v>0</v>
      </c>
      <c r="DF344" s="215">
        <v>0</v>
      </c>
      <c r="DG344" s="215">
        <v>0</v>
      </c>
      <c r="DH344" s="215">
        <v>0</v>
      </c>
      <c r="DI344" s="35"/>
      <c r="DJ344">
        <v>1</v>
      </c>
      <c r="DK344">
        <v>1</v>
      </c>
      <c r="DL344" s="35"/>
      <c r="EZ344" s="12" t="str">
        <f>IF($C344="","",CONCATENATE(D$342, " ",$D344))</f>
        <v xml:space="preserve">NCA Reclassification 3 - Movements between NCA Accounts </v>
      </c>
    </row>
    <row r="345" spans="1:156" x14ac:dyDescent="0.35">
      <c r="C345" s="234"/>
      <c r="D345" s="1" t="s">
        <v>983</v>
      </c>
      <c r="E345"/>
      <c r="H345" s="9"/>
      <c r="CK345" s="11"/>
      <c r="CM345" s="11"/>
      <c r="CZ345" s="650"/>
      <c r="DA345" s="35"/>
      <c r="DI345" s="35"/>
      <c r="DJ345">
        <v>0</v>
      </c>
      <c r="DK345">
        <v>0</v>
      </c>
      <c r="DL345" s="35"/>
      <c r="EZ345" s="10" t="str">
        <f>IF($C345="","",$D345)</f>
        <v/>
      </c>
    </row>
    <row r="346" spans="1:156" x14ac:dyDescent="0.35">
      <c r="A346" s="220" cm="1">
        <f t="array" aca="1" ref="A346" ca="1">HYPERLINK(CONCATENATE("#",CELL("address",IF(MAX($CM346:$CZ346)=0,A346,INDEX($CM346:$CZ346,MATCH(1,$CM346:$CZ346,0))))),MAX($CM346:$CZ346))</f>
        <v>0</v>
      </c>
      <c r="C346" s="211" t="s">
        <v>992</v>
      </c>
      <c r="D346" s="113"/>
      <c r="E346"/>
      <c r="H346" s="9"/>
      <c r="V346" s="10">
        <f>0-V344</f>
        <v>0</v>
      </c>
      <c r="W346" s="10">
        <f>0-W344</f>
        <v>0</v>
      </c>
      <c r="X346" s="10">
        <f>0-X344</f>
        <v>0</v>
      </c>
      <c r="Y346" s="10">
        <f>0-Y344</f>
        <v>0</v>
      </c>
      <c r="AA346" s="10">
        <f t="shared" ref="AA346:BJ346" si="622">0-AA344</f>
        <v>0</v>
      </c>
      <c r="AB346" s="10">
        <f t="shared" si="622"/>
        <v>0</v>
      </c>
      <c r="AC346" s="10">
        <f t="shared" si="622"/>
        <v>0</v>
      </c>
      <c r="AD346" s="10">
        <f t="shared" si="622"/>
        <v>0</v>
      </c>
      <c r="AE346" s="10">
        <f t="shared" si="622"/>
        <v>0</v>
      </c>
      <c r="AF346" s="10">
        <f t="shared" si="622"/>
        <v>0</v>
      </c>
      <c r="AG346" s="10">
        <f t="shared" si="622"/>
        <v>0</v>
      </c>
      <c r="AH346" s="10">
        <f t="shared" si="622"/>
        <v>0</v>
      </c>
      <c r="AI346" s="10">
        <f t="shared" si="622"/>
        <v>0</v>
      </c>
      <c r="AJ346" s="10">
        <f t="shared" si="622"/>
        <v>0</v>
      </c>
      <c r="AK346" s="10">
        <f t="shared" si="622"/>
        <v>0</v>
      </c>
      <c r="AL346" s="10">
        <f t="shared" si="622"/>
        <v>0</v>
      </c>
      <c r="AM346" s="10">
        <f t="shared" si="622"/>
        <v>0</v>
      </c>
      <c r="AN346" s="10">
        <f t="shared" si="622"/>
        <v>0</v>
      </c>
      <c r="AO346" s="10">
        <f t="shared" si="622"/>
        <v>0</v>
      </c>
      <c r="AP346" s="10">
        <f t="shared" si="622"/>
        <v>0</v>
      </c>
      <c r="AQ346" s="10">
        <f t="shared" si="622"/>
        <v>0</v>
      </c>
      <c r="AR346" s="10">
        <f t="shared" si="622"/>
        <v>0</v>
      </c>
      <c r="AS346" s="10">
        <f t="shared" si="622"/>
        <v>0</v>
      </c>
      <c r="AT346" s="10">
        <f t="shared" si="622"/>
        <v>0</v>
      </c>
      <c r="AU346" s="10">
        <f t="shared" si="622"/>
        <v>0</v>
      </c>
      <c r="AV346" s="10">
        <f t="shared" si="622"/>
        <v>0</v>
      </c>
      <c r="AW346" s="10">
        <f t="shared" si="622"/>
        <v>0</v>
      </c>
      <c r="AX346" s="10">
        <f t="shared" si="622"/>
        <v>0</v>
      </c>
      <c r="AY346" s="10">
        <f t="shared" si="622"/>
        <v>0</v>
      </c>
      <c r="AZ346" s="10">
        <f t="shared" si="622"/>
        <v>0</v>
      </c>
      <c r="BA346" s="10">
        <f t="shared" si="622"/>
        <v>0</v>
      </c>
      <c r="BB346" s="10">
        <f t="shared" si="622"/>
        <v>0</v>
      </c>
      <c r="BC346" s="10">
        <f t="shared" si="622"/>
        <v>0</v>
      </c>
      <c r="BD346" s="10">
        <f t="shared" si="622"/>
        <v>0</v>
      </c>
      <c r="BE346" s="10">
        <f t="shared" si="622"/>
        <v>0</v>
      </c>
      <c r="BF346" s="10">
        <f t="shared" si="622"/>
        <v>0</v>
      </c>
      <c r="BG346" s="10">
        <f t="shared" si="622"/>
        <v>0</v>
      </c>
      <c r="BH346" s="10">
        <f t="shared" si="622"/>
        <v>0</v>
      </c>
      <c r="BI346" s="10">
        <f t="shared" si="622"/>
        <v>0</v>
      </c>
      <c r="BJ346" s="10">
        <f t="shared" si="622"/>
        <v>0</v>
      </c>
      <c r="BX346" s="10">
        <f t="shared" ref="BX346:CI346" si="623">0-BX344</f>
        <v>0</v>
      </c>
      <c r="BY346" s="10">
        <f t="shared" si="623"/>
        <v>0</v>
      </c>
      <c r="BZ346" s="10">
        <f t="shared" si="623"/>
        <v>0</v>
      </c>
      <c r="CA346" s="10">
        <f t="shared" si="623"/>
        <v>0</v>
      </c>
      <c r="CB346" s="10">
        <f t="shared" si="623"/>
        <v>0</v>
      </c>
      <c r="CC346" s="10">
        <f t="shared" si="623"/>
        <v>0</v>
      </c>
      <c r="CD346" s="10">
        <f t="shared" si="623"/>
        <v>0</v>
      </c>
      <c r="CE346" s="10">
        <f t="shared" si="623"/>
        <v>0</v>
      </c>
      <c r="CF346" s="10">
        <f t="shared" si="623"/>
        <v>0</v>
      </c>
      <c r="CG346" s="10">
        <f t="shared" si="623"/>
        <v>0</v>
      </c>
      <c r="CH346" s="10">
        <f t="shared" si="623"/>
        <v>0</v>
      </c>
      <c r="CI346" s="10">
        <f t="shared" si="623"/>
        <v>0</v>
      </c>
      <c r="CK346" s="11"/>
      <c r="CM346" s="11"/>
      <c r="CW346" s="7">
        <f>IF(SUM($DB346:$DD346)=0, 0, 1)</f>
        <v>0</v>
      </c>
      <c r="CX346" s="7">
        <f>IF(SUM($DE346:$DG346)=0, 0, 1)</f>
        <v>0</v>
      </c>
      <c r="CY346" s="7">
        <f>IF($DH346=0, 0, 1)</f>
        <v>0</v>
      </c>
      <c r="CZ346" s="650"/>
      <c r="DA346" s="35"/>
      <c r="DB346" s="215">
        <v>0</v>
      </c>
      <c r="DC346" s="215">
        <v>0</v>
      </c>
      <c r="DD346" s="215">
        <v>0</v>
      </c>
      <c r="DE346" s="215">
        <v>0</v>
      </c>
      <c r="DF346" s="215">
        <v>0</v>
      </c>
      <c r="DG346" s="215">
        <v>0</v>
      </c>
      <c r="DH346" s="215">
        <v>0</v>
      </c>
      <c r="DI346" s="35"/>
      <c r="DJ346">
        <v>0</v>
      </c>
      <c r="DK346">
        <v>0</v>
      </c>
      <c r="DL346" s="35"/>
      <c r="EZ346" s="12" t="str">
        <f>IF($C346="","",CONCATENATE(D$342, " ",$D346))</f>
        <v xml:space="preserve">NCA Reclassification 3 - Movements between NCA Accounts </v>
      </c>
    </row>
    <row r="347" spans="1:156" ht="8.25" customHeight="1" x14ac:dyDescent="0.35">
      <c r="C347" s="234"/>
      <c r="D347" s="1"/>
      <c r="E347"/>
      <c r="CK347" s="11"/>
      <c r="CM347" s="11"/>
      <c r="CZ347" s="650"/>
      <c r="DA347" s="35"/>
      <c r="DI347" s="35"/>
      <c r="DJ347">
        <v>0</v>
      </c>
      <c r="DK347">
        <v>0</v>
      </c>
      <c r="DL347" s="35"/>
      <c r="EZ347" s="10" t="str">
        <f t="shared" ref="EZ347:EZ358" si="624">IF($C347="","",$D347)</f>
        <v/>
      </c>
    </row>
    <row r="348" spans="1:156" x14ac:dyDescent="0.35">
      <c r="C348" s="234"/>
      <c r="D348" s="24" t="s">
        <v>993</v>
      </c>
      <c r="E348"/>
      <c r="CK348" s="11"/>
      <c r="CM348" s="11"/>
      <c r="CZ348" s="650"/>
      <c r="DA348" s="35"/>
      <c r="DI348" s="35"/>
      <c r="DJ348">
        <v>0</v>
      </c>
      <c r="DK348">
        <v>0</v>
      </c>
      <c r="DL348" s="35"/>
      <c r="EZ348" s="10" t="str">
        <f t="shared" si="624"/>
        <v/>
      </c>
    </row>
    <row r="349" spans="1:156" x14ac:dyDescent="0.35">
      <c r="A349" s="220" cm="1">
        <f t="array" aca="1" ref="A349" ca="1">HYPERLINK(CONCATENATE("#",CELL("address",IF(MAX($CM349:$CZ349)=0,A349,INDEX($CM349:$CZ349,MATCH(1,$CM349:$CZ349,0))))),MAX($CM349:$CZ349))</f>
        <v>0</v>
      </c>
      <c r="C349" s="234"/>
      <c r="D349" t="str">
        <f>Parameters!D$45</f>
        <v>Land &amp; Buildings</v>
      </c>
      <c r="E349"/>
      <c r="H349" s="9" t="s">
        <v>403</v>
      </c>
      <c r="V349" s="10">
        <f t="shared" ref="V349:Y353" si="625">SUMIFS(V$332:V$346, $D$332:$D$346, $D349)</f>
        <v>0</v>
      </c>
      <c r="W349" s="10">
        <f t="shared" si="625"/>
        <v>0</v>
      </c>
      <c r="X349" s="10">
        <f t="shared" si="625"/>
        <v>0</v>
      </c>
      <c r="Y349" s="10">
        <f t="shared" si="625"/>
        <v>0</v>
      </c>
      <c r="AA349" s="10">
        <f t="shared" ref="AA349:AJ353" si="626">SUMIFS(AA$332:AA$346, $D$332:$D$346, $D349)</f>
        <v>0</v>
      </c>
      <c r="AB349" s="10">
        <f t="shared" si="626"/>
        <v>0</v>
      </c>
      <c r="AC349" s="10">
        <f t="shared" si="626"/>
        <v>0</v>
      </c>
      <c r="AD349" s="10">
        <f t="shared" si="626"/>
        <v>0</v>
      </c>
      <c r="AE349" s="10">
        <f t="shared" si="626"/>
        <v>0</v>
      </c>
      <c r="AF349" s="10">
        <f t="shared" si="626"/>
        <v>0</v>
      </c>
      <c r="AG349" s="10">
        <f t="shared" si="626"/>
        <v>0</v>
      </c>
      <c r="AH349" s="10">
        <f t="shared" si="626"/>
        <v>0</v>
      </c>
      <c r="AI349" s="10">
        <f t="shared" si="626"/>
        <v>0</v>
      </c>
      <c r="AJ349" s="10">
        <f t="shared" si="626"/>
        <v>0</v>
      </c>
      <c r="AK349" s="10">
        <f t="shared" ref="AK349:AT353" si="627">SUMIFS(AK$332:AK$346, $D$332:$D$346, $D349)</f>
        <v>0</v>
      </c>
      <c r="AL349" s="10">
        <f t="shared" si="627"/>
        <v>0</v>
      </c>
      <c r="AM349" s="10">
        <f t="shared" si="627"/>
        <v>0</v>
      </c>
      <c r="AN349" s="10">
        <f t="shared" si="627"/>
        <v>0</v>
      </c>
      <c r="AO349" s="10">
        <f t="shared" si="627"/>
        <v>0</v>
      </c>
      <c r="AP349" s="10">
        <f t="shared" si="627"/>
        <v>0</v>
      </c>
      <c r="AQ349" s="10">
        <f t="shared" si="627"/>
        <v>0</v>
      </c>
      <c r="AR349" s="10">
        <f t="shared" si="627"/>
        <v>0</v>
      </c>
      <c r="AS349" s="10">
        <f t="shared" si="627"/>
        <v>0</v>
      </c>
      <c r="AT349" s="10">
        <f t="shared" si="627"/>
        <v>0</v>
      </c>
      <c r="AU349" s="10">
        <f t="shared" ref="AU349:BD353" si="628">SUMIFS(AU$332:AU$346, $D$332:$D$346, $D349)</f>
        <v>0</v>
      </c>
      <c r="AV349" s="10">
        <f t="shared" si="628"/>
        <v>0</v>
      </c>
      <c r="AW349" s="10">
        <f t="shared" si="628"/>
        <v>0</v>
      </c>
      <c r="AX349" s="10">
        <f t="shared" si="628"/>
        <v>0</v>
      </c>
      <c r="AY349" s="10">
        <f t="shared" si="628"/>
        <v>0</v>
      </c>
      <c r="AZ349" s="10">
        <f t="shared" si="628"/>
        <v>0</v>
      </c>
      <c r="BA349" s="10">
        <f t="shared" si="628"/>
        <v>0</v>
      </c>
      <c r="BB349" s="10">
        <f t="shared" si="628"/>
        <v>0</v>
      </c>
      <c r="BC349" s="10">
        <f t="shared" si="628"/>
        <v>0</v>
      </c>
      <c r="BD349" s="10">
        <f t="shared" si="628"/>
        <v>0</v>
      </c>
      <c r="BE349" s="10">
        <f t="shared" ref="BE349:BJ353" si="629">SUMIFS(BE$332:BE$346, $D$332:$D$346, $D349)</f>
        <v>0</v>
      </c>
      <c r="BF349" s="10">
        <f t="shared" si="629"/>
        <v>0</v>
      </c>
      <c r="BG349" s="10">
        <f t="shared" si="629"/>
        <v>0</v>
      </c>
      <c r="BH349" s="10">
        <f t="shared" si="629"/>
        <v>0</v>
      </c>
      <c r="BI349" s="10">
        <f t="shared" si="629"/>
        <v>0</v>
      </c>
      <c r="BJ349" s="10">
        <f t="shared" si="629"/>
        <v>0</v>
      </c>
      <c r="BX349" s="10">
        <f t="shared" ref="BX349:CI353" si="630">SUMIFS(BX$332:BX$346, $D$332:$D$346, $D349)</f>
        <v>0</v>
      </c>
      <c r="BY349" s="10">
        <f t="shared" si="630"/>
        <v>0</v>
      </c>
      <c r="BZ349" s="10">
        <f t="shared" si="630"/>
        <v>0</v>
      </c>
      <c r="CA349" s="10">
        <f t="shared" si="630"/>
        <v>0</v>
      </c>
      <c r="CB349" s="10">
        <f t="shared" si="630"/>
        <v>0</v>
      </c>
      <c r="CC349" s="10">
        <f t="shared" si="630"/>
        <v>0</v>
      </c>
      <c r="CD349" s="10">
        <f t="shared" si="630"/>
        <v>0</v>
      </c>
      <c r="CE349" s="10">
        <f t="shared" si="630"/>
        <v>0</v>
      </c>
      <c r="CF349" s="10">
        <f t="shared" si="630"/>
        <v>0</v>
      </c>
      <c r="CG349" s="10">
        <f t="shared" si="630"/>
        <v>0</v>
      </c>
      <c r="CH349" s="10">
        <f t="shared" si="630"/>
        <v>0</v>
      </c>
      <c r="CI349" s="10">
        <f t="shared" si="630"/>
        <v>0</v>
      </c>
      <c r="CK349" s="11"/>
      <c r="CM349" s="11"/>
      <c r="CW349" s="7">
        <f>IF(SUM($DB349:$DD349)=0, 0, 1)</f>
        <v>0</v>
      </c>
      <c r="CX349" s="7">
        <f>IF(SUM($DE349:$DG349)=0, 0, 1)</f>
        <v>0</v>
      </c>
      <c r="CY349" s="7">
        <f>IF($DH349=0, 0, 1)</f>
        <v>0</v>
      </c>
      <c r="CZ349" s="650"/>
      <c r="DA349" s="35"/>
      <c r="DB349" s="215">
        <v>0</v>
      </c>
      <c r="DC349" s="215">
        <v>0</v>
      </c>
      <c r="DD349" s="215">
        <v>0</v>
      </c>
      <c r="DE349" s="215">
        <v>0</v>
      </c>
      <c r="DF349" s="215">
        <v>0</v>
      </c>
      <c r="DG349" s="215">
        <v>0</v>
      </c>
      <c r="DH349" s="215">
        <v>0</v>
      </c>
      <c r="DI349" s="35"/>
      <c r="DJ349">
        <v>0</v>
      </c>
      <c r="DK349">
        <v>0</v>
      </c>
      <c r="DL349" s="35"/>
      <c r="EZ349" s="10" t="str">
        <f t="shared" si="624"/>
        <v/>
      </c>
    </row>
    <row r="350" spans="1:156" x14ac:dyDescent="0.35">
      <c r="A350" s="220" cm="1">
        <f t="array" aca="1" ref="A350" ca="1">HYPERLINK(CONCATENATE("#",CELL("address",IF(MAX($CM350:$CZ350)=0,A350,INDEX($CM350:$CZ350,MATCH(1,$CM350:$CZ350,0))))),MAX($CM350:$CZ350))</f>
        <v>0</v>
      </c>
      <c r="C350" s="234"/>
      <c r="D350" t="str">
        <f>Parameters!D$46</f>
        <v>Equipment</v>
      </c>
      <c r="E350"/>
      <c r="H350" s="9" t="s">
        <v>403</v>
      </c>
      <c r="V350" s="10">
        <f t="shared" si="625"/>
        <v>0</v>
      </c>
      <c r="W350" s="10">
        <f t="shared" si="625"/>
        <v>0</v>
      </c>
      <c r="X350" s="10">
        <f t="shared" si="625"/>
        <v>0</v>
      </c>
      <c r="Y350" s="10">
        <f t="shared" si="625"/>
        <v>0</v>
      </c>
      <c r="AA350" s="10">
        <f t="shared" si="626"/>
        <v>0</v>
      </c>
      <c r="AB350" s="10">
        <f t="shared" si="626"/>
        <v>0</v>
      </c>
      <c r="AC350" s="10">
        <f t="shared" si="626"/>
        <v>0</v>
      </c>
      <c r="AD350" s="10">
        <f t="shared" si="626"/>
        <v>0</v>
      </c>
      <c r="AE350" s="10">
        <f t="shared" si="626"/>
        <v>0</v>
      </c>
      <c r="AF350" s="10">
        <f t="shared" si="626"/>
        <v>0</v>
      </c>
      <c r="AG350" s="10">
        <f t="shared" si="626"/>
        <v>0</v>
      </c>
      <c r="AH350" s="10">
        <f t="shared" si="626"/>
        <v>0</v>
      </c>
      <c r="AI350" s="10">
        <f t="shared" si="626"/>
        <v>0</v>
      </c>
      <c r="AJ350" s="10">
        <f t="shared" si="626"/>
        <v>0</v>
      </c>
      <c r="AK350" s="10">
        <f t="shared" si="627"/>
        <v>0</v>
      </c>
      <c r="AL350" s="10">
        <f t="shared" si="627"/>
        <v>0</v>
      </c>
      <c r="AM350" s="10">
        <f t="shared" si="627"/>
        <v>0</v>
      </c>
      <c r="AN350" s="10">
        <f t="shared" si="627"/>
        <v>0</v>
      </c>
      <c r="AO350" s="10">
        <f t="shared" si="627"/>
        <v>0</v>
      </c>
      <c r="AP350" s="10">
        <f t="shared" si="627"/>
        <v>0</v>
      </c>
      <c r="AQ350" s="10">
        <f t="shared" si="627"/>
        <v>0</v>
      </c>
      <c r="AR350" s="10">
        <f t="shared" si="627"/>
        <v>0</v>
      </c>
      <c r="AS350" s="10">
        <f t="shared" si="627"/>
        <v>0</v>
      </c>
      <c r="AT350" s="10">
        <f t="shared" si="627"/>
        <v>0</v>
      </c>
      <c r="AU350" s="10">
        <f t="shared" si="628"/>
        <v>0</v>
      </c>
      <c r="AV350" s="10">
        <f t="shared" si="628"/>
        <v>0</v>
      </c>
      <c r="AW350" s="10">
        <f t="shared" si="628"/>
        <v>0</v>
      </c>
      <c r="AX350" s="10">
        <f t="shared" si="628"/>
        <v>0</v>
      </c>
      <c r="AY350" s="10">
        <f t="shared" si="628"/>
        <v>0</v>
      </c>
      <c r="AZ350" s="10">
        <f t="shared" si="628"/>
        <v>0</v>
      </c>
      <c r="BA350" s="10">
        <f t="shared" si="628"/>
        <v>0</v>
      </c>
      <c r="BB350" s="10">
        <f t="shared" si="628"/>
        <v>0</v>
      </c>
      <c r="BC350" s="10">
        <f t="shared" si="628"/>
        <v>0</v>
      </c>
      <c r="BD350" s="10">
        <f t="shared" si="628"/>
        <v>0</v>
      </c>
      <c r="BE350" s="10">
        <f t="shared" si="629"/>
        <v>0</v>
      </c>
      <c r="BF350" s="10">
        <f t="shared" si="629"/>
        <v>0</v>
      </c>
      <c r="BG350" s="10">
        <f t="shared" si="629"/>
        <v>0</v>
      </c>
      <c r="BH350" s="10">
        <f t="shared" si="629"/>
        <v>0</v>
      </c>
      <c r="BI350" s="10">
        <f t="shared" si="629"/>
        <v>0</v>
      </c>
      <c r="BJ350" s="10">
        <f t="shared" si="629"/>
        <v>0</v>
      </c>
      <c r="BX350" s="10">
        <f t="shared" si="630"/>
        <v>0</v>
      </c>
      <c r="BY350" s="10">
        <f t="shared" si="630"/>
        <v>0</v>
      </c>
      <c r="BZ350" s="10">
        <f t="shared" si="630"/>
        <v>0</v>
      </c>
      <c r="CA350" s="10">
        <f t="shared" si="630"/>
        <v>0</v>
      </c>
      <c r="CB350" s="10">
        <f t="shared" si="630"/>
        <v>0</v>
      </c>
      <c r="CC350" s="10">
        <f t="shared" si="630"/>
        <v>0</v>
      </c>
      <c r="CD350" s="10">
        <f t="shared" si="630"/>
        <v>0</v>
      </c>
      <c r="CE350" s="10">
        <f t="shared" si="630"/>
        <v>0</v>
      </c>
      <c r="CF350" s="10">
        <f t="shared" si="630"/>
        <v>0</v>
      </c>
      <c r="CG350" s="10">
        <f t="shared" si="630"/>
        <v>0</v>
      </c>
      <c r="CH350" s="10">
        <f t="shared" si="630"/>
        <v>0</v>
      </c>
      <c r="CI350" s="10">
        <f t="shared" si="630"/>
        <v>0</v>
      </c>
      <c r="CK350" s="11"/>
      <c r="CM350" s="11"/>
      <c r="CW350" s="7">
        <f>IF(SUM($DB350:$DD350)=0, 0, 1)</f>
        <v>0</v>
      </c>
      <c r="CX350" s="7">
        <f>IF(SUM($DE350:$DG350)=0, 0, 1)</f>
        <v>0</v>
      </c>
      <c r="CY350" s="7">
        <f>IF($DH350=0, 0, 1)</f>
        <v>0</v>
      </c>
      <c r="CZ350" s="650"/>
      <c r="DA350" s="35"/>
      <c r="DB350" s="215">
        <v>0</v>
      </c>
      <c r="DC350" s="215">
        <v>0</v>
      </c>
      <c r="DD350" s="215">
        <v>0</v>
      </c>
      <c r="DE350" s="215">
        <v>0</v>
      </c>
      <c r="DF350" s="215">
        <v>0</v>
      </c>
      <c r="DG350" s="215">
        <v>0</v>
      </c>
      <c r="DH350" s="215">
        <v>0</v>
      </c>
      <c r="DI350" s="35"/>
      <c r="DJ350">
        <v>0</v>
      </c>
      <c r="DK350">
        <v>0</v>
      </c>
      <c r="DL350" s="35"/>
      <c r="EZ350" s="10" t="str">
        <f t="shared" si="624"/>
        <v/>
      </c>
    </row>
    <row r="351" spans="1:156" x14ac:dyDescent="0.35">
      <c r="A351" s="220" cm="1">
        <f t="array" aca="1" ref="A351" ca="1">HYPERLINK(CONCATENATE("#",CELL("address",IF(MAX($CM351:$CZ351)=0,A351,INDEX($CM351:$CZ351,MATCH(1,$CM351:$CZ351,0))))),MAX($CM351:$CZ351))</f>
        <v>0</v>
      </c>
      <c r="C351" s="234"/>
      <c r="D351" t="str">
        <f>Parameters!D$47</f>
        <v>Investments</v>
      </c>
      <c r="E351"/>
      <c r="H351" s="9" t="s">
        <v>403</v>
      </c>
      <c r="V351" s="10">
        <f t="shared" si="625"/>
        <v>0</v>
      </c>
      <c r="W351" s="10">
        <f t="shared" si="625"/>
        <v>0</v>
      </c>
      <c r="X351" s="10">
        <f t="shared" si="625"/>
        <v>0</v>
      </c>
      <c r="Y351" s="10">
        <f t="shared" si="625"/>
        <v>0</v>
      </c>
      <c r="AA351" s="10">
        <f t="shared" si="626"/>
        <v>0</v>
      </c>
      <c r="AB351" s="10">
        <f t="shared" si="626"/>
        <v>0</v>
      </c>
      <c r="AC351" s="10">
        <f t="shared" si="626"/>
        <v>0</v>
      </c>
      <c r="AD351" s="10">
        <f t="shared" si="626"/>
        <v>0</v>
      </c>
      <c r="AE351" s="10">
        <f t="shared" si="626"/>
        <v>0</v>
      </c>
      <c r="AF351" s="10">
        <f t="shared" si="626"/>
        <v>0</v>
      </c>
      <c r="AG351" s="10">
        <f t="shared" si="626"/>
        <v>0</v>
      </c>
      <c r="AH351" s="10">
        <f t="shared" si="626"/>
        <v>0</v>
      </c>
      <c r="AI351" s="10">
        <f t="shared" si="626"/>
        <v>0</v>
      </c>
      <c r="AJ351" s="10">
        <f t="shared" si="626"/>
        <v>0</v>
      </c>
      <c r="AK351" s="10">
        <f t="shared" si="627"/>
        <v>0</v>
      </c>
      <c r="AL351" s="10">
        <f t="shared" si="627"/>
        <v>0</v>
      </c>
      <c r="AM351" s="10">
        <f t="shared" si="627"/>
        <v>0</v>
      </c>
      <c r="AN351" s="10">
        <f t="shared" si="627"/>
        <v>0</v>
      </c>
      <c r="AO351" s="10">
        <f t="shared" si="627"/>
        <v>0</v>
      </c>
      <c r="AP351" s="10">
        <f t="shared" si="627"/>
        <v>0</v>
      </c>
      <c r="AQ351" s="10">
        <f t="shared" si="627"/>
        <v>0</v>
      </c>
      <c r="AR351" s="10">
        <f t="shared" si="627"/>
        <v>0</v>
      </c>
      <c r="AS351" s="10">
        <f t="shared" si="627"/>
        <v>0</v>
      </c>
      <c r="AT351" s="10">
        <f t="shared" si="627"/>
        <v>0</v>
      </c>
      <c r="AU351" s="10">
        <f t="shared" si="628"/>
        <v>0</v>
      </c>
      <c r="AV351" s="10">
        <f t="shared" si="628"/>
        <v>0</v>
      </c>
      <c r="AW351" s="10">
        <f t="shared" si="628"/>
        <v>0</v>
      </c>
      <c r="AX351" s="10">
        <f t="shared" si="628"/>
        <v>0</v>
      </c>
      <c r="AY351" s="10">
        <f t="shared" si="628"/>
        <v>0</v>
      </c>
      <c r="AZ351" s="10">
        <f t="shared" si="628"/>
        <v>0</v>
      </c>
      <c r="BA351" s="10">
        <f t="shared" si="628"/>
        <v>0</v>
      </c>
      <c r="BB351" s="10">
        <f t="shared" si="628"/>
        <v>0</v>
      </c>
      <c r="BC351" s="10">
        <f t="shared" si="628"/>
        <v>0</v>
      </c>
      <c r="BD351" s="10">
        <f t="shared" si="628"/>
        <v>0</v>
      </c>
      <c r="BE351" s="10">
        <f t="shared" si="629"/>
        <v>0</v>
      </c>
      <c r="BF351" s="10">
        <f t="shared" si="629"/>
        <v>0</v>
      </c>
      <c r="BG351" s="10">
        <f t="shared" si="629"/>
        <v>0</v>
      </c>
      <c r="BH351" s="10">
        <f t="shared" si="629"/>
        <v>0</v>
      </c>
      <c r="BI351" s="10">
        <f t="shared" si="629"/>
        <v>0</v>
      </c>
      <c r="BJ351" s="10">
        <f t="shared" si="629"/>
        <v>0</v>
      </c>
      <c r="BX351" s="10">
        <f t="shared" si="630"/>
        <v>0</v>
      </c>
      <c r="BY351" s="10">
        <f t="shared" si="630"/>
        <v>0</v>
      </c>
      <c r="BZ351" s="10">
        <f t="shared" si="630"/>
        <v>0</v>
      </c>
      <c r="CA351" s="10">
        <f t="shared" si="630"/>
        <v>0</v>
      </c>
      <c r="CB351" s="10">
        <f t="shared" si="630"/>
        <v>0</v>
      </c>
      <c r="CC351" s="10">
        <f t="shared" si="630"/>
        <v>0</v>
      </c>
      <c r="CD351" s="10">
        <f t="shared" si="630"/>
        <v>0</v>
      </c>
      <c r="CE351" s="10">
        <f t="shared" si="630"/>
        <v>0</v>
      </c>
      <c r="CF351" s="10">
        <f t="shared" si="630"/>
        <v>0</v>
      </c>
      <c r="CG351" s="10">
        <f t="shared" si="630"/>
        <v>0</v>
      </c>
      <c r="CH351" s="10">
        <f t="shared" si="630"/>
        <v>0</v>
      </c>
      <c r="CI351" s="10">
        <f t="shared" si="630"/>
        <v>0</v>
      </c>
      <c r="CK351" s="11"/>
      <c r="CM351" s="11"/>
      <c r="CW351" s="7">
        <f>IF(SUM($DB351:$DD351)=0, 0, 1)</f>
        <v>0</v>
      </c>
      <c r="CX351" s="7">
        <f>IF(SUM($DE351:$DG351)=0, 0, 1)</f>
        <v>0</v>
      </c>
      <c r="CY351" s="7">
        <f>IF($DH351=0, 0, 1)</f>
        <v>0</v>
      </c>
      <c r="CZ351" s="650"/>
      <c r="DA351" s="35"/>
      <c r="DB351" s="215">
        <v>0</v>
      </c>
      <c r="DC351" s="215">
        <v>0</v>
      </c>
      <c r="DD351" s="215">
        <v>0</v>
      </c>
      <c r="DE351" s="215">
        <v>0</v>
      </c>
      <c r="DF351" s="215">
        <v>0</v>
      </c>
      <c r="DG351" s="215">
        <v>0</v>
      </c>
      <c r="DH351" s="215">
        <v>0</v>
      </c>
      <c r="DI351" s="35"/>
      <c r="DJ351">
        <v>0</v>
      </c>
      <c r="DK351">
        <v>0</v>
      </c>
      <c r="DL351" s="35"/>
      <c r="EZ351" s="10" t="str">
        <f t="shared" si="624"/>
        <v/>
      </c>
    </row>
    <row r="352" spans="1:156" x14ac:dyDescent="0.35">
      <c r="A352" s="220" cm="1">
        <f t="array" aca="1" ref="A352" ca="1">HYPERLINK(CONCATENATE("#",CELL("address",IF(MAX($CM352:$CZ352)=0,A352,INDEX($CM352:$CZ352,MATCH(1,$CM352:$CZ352,0))))),MAX($CM352:$CZ352))</f>
        <v>0</v>
      </c>
      <c r="C352" s="234"/>
      <c r="D352" t="str">
        <f>Parameters!D$48</f>
        <v>Other NCA</v>
      </c>
      <c r="E352"/>
      <c r="H352" s="9" t="s">
        <v>403</v>
      </c>
      <c r="V352" s="10">
        <f t="shared" si="625"/>
        <v>0</v>
      </c>
      <c r="W352" s="10">
        <f t="shared" si="625"/>
        <v>0</v>
      </c>
      <c r="X352" s="10">
        <f t="shared" si="625"/>
        <v>0</v>
      </c>
      <c r="Y352" s="10">
        <f t="shared" si="625"/>
        <v>0</v>
      </c>
      <c r="AA352" s="10">
        <f t="shared" si="626"/>
        <v>0</v>
      </c>
      <c r="AB352" s="10">
        <f t="shared" si="626"/>
        <v>0</v>
      </c>
      <c r="AC352" s="10">
        <f t="shared" si="626"/>
        <v>0</v>
      </c>
      <c r="AD352" s="10">
        <f t="shared" si="626"/>
        <v>0</v>
      </c>
      <c r="AE352" s="10">
        <f t="shared" si="626"/>
        <v>0</v>
      </c>
      <c r="AF352" s="10">
        <f t="shared" si="626"/>
        <v>0</v>
      </c>
      <c r="AG352" s="10">
        <f t="shared" si="626"/>
        <v>0</v>
      </c>
      <c r="AH352" s="10">
        <f t="shared" si="626"/>
        <v>0</v>
      </c>
      <c r="AI352" s="10">
        <f t="shared" si="626"/>
        <v>0</v>
      </c>
      <c r="AJ352" s="10">
        <f t="shared" si="626"/>
        <v>0</v>
      </c>
      <c r="AK352" s="10">
        <f t="shared" si="627"/>
        <v>0</v>
      </c>
      <c r="AL352" s="10">
        <f t="shared" si="627"/>
        <v>0</v>
      </c>
      <c r="AM352" s="10">
        <f t="shared" si="627"/>
        <v>0</v>
      </c>
      <c r="AN352" s="10">
        <f t="shared" si="627"/>
        <v>0</v>
      </c>
      <c r="AO352" s="10">
        <f t="shared" si="627"/>
        <v>0</v>
      </c>
      <c r="AP352" s="10">
        <f t="shared" si="627"/>
        <v>0</v>
      </c>
      <c r="AQ352" s="10">
        <f t="shared" si="627"/>
        <v>0</v>
      </c>
      <c r="AR352" s="10">
        <f t="shared" si="627"/>
        <v>0</v>
      </c>
      <c r="AS352" s="10">
        <f t="shared" si="627"/>
        <v>0</v>
      </c>
      <c r="AT352" s="10">
        <f t="shared" si="627"/>
        <v>0</v>
      </c>
      <c r="AU352" s="10">
        <f t="shared" si="628"/>
        <v>0</v>
      </c>
      <c r="AV352" s="10">
        <f t="shared" si="628"/>
        <v>0</v>
      </c>
      <c r="AW352" s="10">
        <f t="shared" si="628"/>
        <v>0</v>
      </c>
      <c r="AX352" s="10">
        <f t="shared" si="628"/>
        <v>0</v>
      </c>
      <c r="AY352" s="10">
        <f t="shared" si="628"/>
        <v>0</v>
      </c>
      <c r="AZ352" s="10">
        <f t="shared" si="628"/>
        <v>0</v>
      </c>
      <c r="BA352" s="10">
        <f t="shared" si="628"/>
        <v>0</v>
      </c>
      <c r="BB352" s="10">
        <f t="shared" si="628"/>
        <v>0</v>
      </c>
      <c r="BC352" s="10">
        <f t="shared" si="628"/>
        <v>0</v>
      </c>
      <c r="BD352" s="10">
        <f t="shared" si="628"/>
        <v>0</v>
      </c>
      <c r="BE352" s="10">
        <f t="shared" si="629"/>
        <v>0</v>
      </c>
      <c r="BF352" s="10">
        <f t="shared" si="629"/>
        <v>0</v>
      </c>
      <c r="BG352" s="10">
        <f t="shared" si="629"/>
        <v>0</v>
      </c>
      <c r="BH352" s="10">
        <f t="shared" si="629"/>
        <v>0</v>
      </c>
      <c r="BI352" s="10">
        <f t="shared" si="629"/>
        <v>0</v>
      </c>
      <c r="BJ352" s="10">
        <f t="shared" si="629"/>
        <v>0</v>
      </c>
      <c r="BX352" s="10">
        <f t="shared" si="630"/>
        <v>0</v>
      </c>
      <c r="BY352" s="10">
        <f t="shared" si="630"/>
        <v>0</v>
      </c>
      <c r="BZ352" s="10">
        <f t="shared" si="630"/>
        <v>0</v>
      </c>
      <c r="CA352" s="10">
        <f t="shared" si="630"/>
        <v>0</v>
      </c>
      <c r="CB352" s="10">
        <f t="shared" si="630"/>
        <v>0</v>
      </c>
      <c r="CC352" s="10">
        <f t="shared" si="630"/>
        <v>0</v>
      </c>
      <c r="CD352" s="10">
        <f t="shared" si="630"/>
        <v>0</v>
      </c>
      <c r="CE352" s="10">
        <f t="shared" si="630"/>
        <v>0</v>
      </c>
      <c r="CF352" s="10">
        <f t="shared" si="630"/>
        <v>0</v>
      </c>
      <c r="CG352" s="10">
        <f t="shared" si="630"/>
        <v>0</v>
      </c>
      <c r="CH352" s="10">
        <f t="shared" si="630"/>
        <v>0</v>
      </c>
      <c r="CI352" s="10">
        <f t="shared" si="630"/>
        <v>0</v>
      </c>
      <c r="CK352" s="11"/>
      <c r="CM352" s="11"/>
      <c r="CW352" s="7">
        <f>IF(SUM($DB352:$DD352)=0, 0, 1)</f>
        <v>0</v>
      </c>
      <c r="CX352" s="7">
        <f>IF(SUM($DE352:$DG352)=0, 0, 1)</f>
        <v>0</v>
      </c>
      <c r="CY352" s="7">
        <f>IF($DH352=0, 0, 1)</f>
        <v>0</v>
      </c>
      <c r="CZ352" s="650"/>
      <c r="DA352" s="35"/>
      <c r="DB352" s="215">
        <v>0</v>
      </c>
      <c r="DC352" s="215">
        <v>0</v>
      </c>
      <c r="DD352" s="215">
        <v>0</v>
      </c>
      <c r="DE352" s="215">
        <v>0</v>
      </c>
      <c r="DF352" s="215">
        <v>0</v>
      </c>
      <c r="DG352" s="215">
        <v>0</v>
      </c>
      <c r="DH352" s="215">
        <v>0</v>
      </c>
      <c r="DI352" s="35"/>
      <c r="DJ352">
        <v>0</v>
      </c>
      <c r="DK352">
        <v>0</v>
      </c>
      <c r="DL352" s="35"/>
      <c r="EZ352" s="10" t="str">
        <f t="shared" si="624"/>
        <v/>
      </c>
    </row>
    <row r="353" spans="1:156" x14ac:dyDescent="0.35">
      <c r="A353" s="220" cm="1">
        <f t="array" aca="1" ref="A353" ca="1">HYPERLINK(CONCATENATE("#",CELL("address",IF(MAX($CM353:$CZ353)=0,A353,INDEX($CM353:$CZ353,MATCH(1,$CM353:$CZ353,0))))),MAX($CM353:$CZ353))</f>
        <v>0</v>
      </c>
      <c r="C353" s="234"/>
      <c r="D353" t="str">
        <f>Parameters!D$49</f>
        <v xml:space="preserve">Assets Held for Sale </v>
      </c>
      <c r="E353"/>
      <c r="H353" s="9" t="s">
        <v>403</v>
      </c>
      <c r="V353" s="10">
        <f t="shared" si="625"/>
        <v>0</v>
      </c>
      <c r="W353" s="10">
        <f t="shared" si="625"/>
        <v>0</v>
      </c>
      <c r="X353" s="10">
        <f t="shared" si="625"/>
        <v>0</v>
      </c>
      <c r="Y353" s="10">
        <f t="shared" si="625"/>
        <v>0</v>
      </c>
      <c r="AA353" s="10">
        <f t="shared" si="626"/>
        <v>0</v>
      </c>
      <c r="AB353" s="10">
        <f t="shared" si="626"/>
        <v>0</v>
      </c>
      <c r="AC353" s="10">
        <f t="shared" si="626"/>
        <v>0</v>
      </c>
      <c r="AD353" s="10">
        <f t="shared" si="626"/>
        <v>0</v>
      </c>
      <c r="AE353" s="10">
        <f t="shared" si="626"/>
        <v>0</v>
      </c>
      <c r="AF353" s="10">
        <f t="shared" si="626"/>
        <v>0</v>
      </c>
      <c r="AG353" s="10">
        <f t="shared" si="626"/>
        <v>0</v>
      </c>
      <c r="AH353" s="10">
        <f t="shared" si="626"/>
        <v>0</v>
      </c>
      <c r="AI353" s="10">
        <f t="shared" si="626"/>
        <v>0</v>
      </c>
      <c r="AJ353" s="10">
        <f t="shared" si="626"/>
        <v>0</v>
      </c>
      <c r="AK353" s="10">
        <f t="shared" si="627"/>
        <v>0</v>
      </c>
      <c r="AL353" s="10">
        <f t="shared" si="627"/>
        <v>0</v>
      </c>
      <c r="AM353" s="10">
        <f t="shared" si="627"/>
        <v>0</v>
      </c>
      <c r="AN353" s="10">
        <f t="shared" si="627"/>
        <v>0</v>
      </c>
      <c r="AO353" s="10">
        <f t="shared" si="627"/>
        <v>0</v>
      </c>
      <c r="AP353" s="10">
        <f t="shared" si="627"/>
        <v>0</v>
      </c>
      <c r="AQ353" s="10">
        <f t="shared" si="627"/>
        <v>0</v>
      </c>
      <c r="AR353" s="10">
        <f t="shared" si="627"/>
        <v>0</v>
      </c>
      <c r="AS353" s="10">
        <f t="shared" si="627"/>
        <v>0</v>
      </c>
      <c r="AT353" s="10">
        <f t="shared" si="627"/>
        <v>0</v>
      </c>
      <c r="AU353" s="10">
        <f t="shared" si="628"/>
        <v>0</v>
      </c>
      <c r="AV353" s="10">
        <f t="shared" si="628"/>
        <v>0</v>
      </c>
      <c r="AW353" s="10">
        <f t="shared" si="628"/>
        <v>0</v>
      </c>
      <c r="AX353" s="10">
        <f t="shared" si="628"/>
        <v>0</v>
      </c>
      <c r="AY353" s="10">
        <f t="shared" si="628"/>
        <v>0</v>
      </c>
      <c r="AZ353" s="10">
        <f t="shared" si="628"/>
        <v>0</v>
      </c>
      <c r="BA353" s="10">
        <f t="shared" si="628"/>
        <v>0</v>
      </c>
      <c r="BB353" s="10">
        <f t="shared" si="628"/>
        <v>0</v>
      </c>
      <c r="BC353" s="10">
        <f t="shared" si="628"/>
        <v>0</v>
      </c>
      <c r="BD353" s="10">
        <f t="shared" si="628"/>
        <v>0</v>
      </c>
      <c r="BE353" s="10">
        <f t="shared" si="629"/>
        <v>0</v>
      </c>
      <c r="BF353" s="10">
        <f t="shared" si="629"/>
        <v>0</v>
      </c>
      <c r="BG353" s="10">
        <f t="shared" si="629"/>
        <v>0</v>
      </c>
      <c r="BH353" s="10">
        <f t="shared" si="629"/>
        <v>0</v>
      </c>
      <c r="BI353" s="10">
        <f t="shared" si="629"/>
        <v>0</v>
      </c>
      <c r="BJ353" s="10">
        <f t="shared" si="629"/>
        <v>0</v>
      </c>
      <c r="BX353" s="10">
        <f t="shared" si="630"/>
        <v>0</v>
      </c>
      <c r="BY353" s="10">
        <f t="shared" si="630"/>
        <v>0</v>
      </c>
      <c r="BZ353" s="10">
        <f t="shared" si="630"/>
        <v>0</v>
      </c>
      <c r="CA353" s="10">
        <f t="shared" si="630"/>
        <v>0</v>
      </c>
      <c r="CB353" s="10">
        <f t="shared" si="630"/>
        <v>0</v>
      </c>
      <c r="CC353" s="10">
        <f t="shared" si="630"/>
        <v>0</v>
      </c>
      <c r="CD353" s="10">
        <f t="shared" si="630"/>
        <v>0</v>
      </c>
      <c r="CE353" s="10">
        <f t="shared" si="630"/>
        <v>0</v>
      </c>
      <c r="CF353" s="10">
        <f t="shared" si="630"/>
        <v>0</v>
      </c>
      <c r="CG353" s="10">
        <f t="shared" si="630"/>
        <v>0</v>
      </c>
      <c r="CH353" s="10">
        <f t="shared" si="630"/>
        <v>0</v>
      </c>
      <c r="CI353" s="10">
        <f t="shared" si="630"/>
        <v>0</v>
      </c>
      <c r="CK353" s="11"/>
      <c r="CM353" s="11"/>
      <c r="CW353" s="7">
        <f>IF(SUM($DB353:$DD353)=0, 0, 1)</f>
        <v>0</v>
      </c>
      <c r="CX353" s="7">
        <f>IF(SUM($DE353:$DG353)=0, 0, 1)</f>
        <v>0</v>
      </c>
      <c r="CY353" s="7">
        <f>IF($DH353=0, 0, 1)</f>
        <v>0</v>
      </c>
      <c r="CZ353" s="650"/>
      <c r="DA353" s="35"/>
      <c r="DB353" s="215">
        <v>0</v>
      </c>
      <c r="DC353" s="215">
        <v>0</v>
      </c>
      <c r="DD353" s="215">
        <v>0</v>
      </c>
      <c r="DE353" s="215">
        <v>0</v>
      </c>
      <c r="DF353" s="215">
        <v>0</v>
      </c>
      <c r="DG353" s="215">
        <v>0</v>
      </c>
      <c r="DH353" s="215">
        <v>0</v>
      </c>
      <c r="DI353" s="35"/>
      <c r="DJ353">
        <v>0</v>
      </c>
      <c r="DK353">
        <v>0</v>
      </c>
      <c r="DL353" s="35"/>
      <c r="EZ353" s="10" t="str">
        <f t="shared" si="624"/>
        <v/>
      </c>
    </row>
    <row r="354" spans="1:156" ht="8.25" customHeight="1" x14ac:dyDescent="0.35">
      <c r="C354" s="234"/>
      <c r="D354" s="1"/>
      <c r="E354"/>
      <c r="CK354" s="11"/>
      <c r="CM354" s="11"/>
      <c r="CZ354" s="650"/>
      <c r="DA354" s="35"/>
      <c r="DI354" s="35"/>
      <c r="DL354" s="35"/>
      <c r="EZ354" s="10" t="str">
        <f t="shared" si="624"/>
        <v/>
      </c>
    </row>
    <row r="355" spans="1:156" s="5" customFormat="1" x14ac:dyDescent="0.35">
      <c r="A355"/>
      <c r="C355" s="249"/>
      <c r="D355" s="61" t="s">
        <v>994</v>
      </c>
      <c r="E355" t="s">
        <v>462</v>
      </c>
      <c r="F355" t="s">
        <v>995</v>
      </c>
      <c r="R355"/>
      <c r="S355"/>
      <c r="T355"/>
      <c r="U355"/>
      <c r="V355" s="12">
        <f>1*(SUMIFS(V13:V353, $DJ$13:$DJ$353, 1)&lt;&gt;0)</f>
        <v>0</v>
      </c>
      <c r="W355" s="106"/>
      <c r="X355" s="106"/>
      <c r="Y355" s="106"/>
      <c r="Z355"/>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c r="BL355"/>
      <c r="BM355"/>
      <c r="BN355"/>
      <c r="BO355"/>
      <c r="BP355"/>
      <c r="BQ355"/>
      <c r="BR355"/>
      <c r="BS355"/>
      <c r="BT355"/>
      <c r="BU355"/>
      <c r="BV355"/>
      <c r="BW355"/>
      <c r="BX355" s="106"/>
      <c r="BY355" s="106"/>
      <c r="BZ355" s="106"/>
      <c r="CA355" s="106"/>
      <c r="CB355" s="12">
        <f t="shared" ref="CB355:CI355" si="631">1*(SUMIFS(CB13:CB353, $DK$13:$DK$353, 1)&lt;&gt;0)</f>
        <v>0</v>
      </c>
      <c r="CC355" s="12">
        <f t="shared" si="631"/>
        <v>0</v>
      </c>
      <c r="CD355" s="12">
        <f t="shared" si="631"/>
        <v>0</v>
      </c>
      <c r="CE355" s="12">
        <f t="shared" si="631"/>
        <v>0</v>
      </c>
      <c r="CF355" s="12">
        <f t="shared" si="631"/>
        <v>0</v>
      </c>
      <c r="CG355" s="12">
        <f t="shared" si="631"/>
        <v>0</v>
      </c>
      <c r="CH355" s="12">
        <f t="shared" si="631"/>
        <v>0</v>
      </c>
      <c r="CI355" s="12">
        <f t="shared" si="631"/>
        <v>0</v>
      </c>
      <c r="CK355" s="11"/>
      <c r="CL355"/>
      <c r="CM355" s="11"/>
      <c r="CN355"/>
      <c r="CO355"/>
      <c r="CP355"/>
      <c r="CQ355"/>
      <c r="CR355"/>
      <c r="CS355"/>
      <c r="CT355"/>
      <c r="CU355"/>
      <c r="CV355"/>
      <c r="CW355"/>
      <c r="CX355"/>
      <c r="CY355"/>
      <c r="CZ355" s="650"/>
      <c r="DA355" s="35"/>
      <c r="DB355"/>
      <c r="DC355"/>
      <c r="DD355"/>
      <c r="DE355"/>
      <c r="DF355"/>
      <c r="DG355"/>
      <c r="DH355"/>
      <c r="DI355" s="35"/>
      <c r="DL355" s="35"/>
      <c r="EZ355" s="10" t="str">
        <f t="shared" si="624"/>
        <v/>
      </c>
    </row>
    <row r="356" spans="1:156" x14ac:dyDescent="0.35">
      <c r="B356" s="85" t="s">
        <v>122</v>
      </c>
      <c r="C356" s="234"/>
      <c r="D356" s="61" t="s">
        <v>996</v>
      </c>
      <c r="E356" s="38">
        <v>1</v>
      </c>
      <c r="F356" s="38">
        <f>IF(COUNTA(AA13:BJ27,G60:G74,G85:G99,G111:G125,G137:H151)=0, 1,0)</f>
        <v>1</v>
      </c>
      <c r="G356" s="5"/>
      <c r="H356" s="5"/>
      <c r="I356" s="5"/>
      <c r="J356" s="5"/>
      <c r="K356" s="5"/>
      <c r="L356" s="5"/>
      <c r="M356" s="5"/>
      <c r="N356" s="5"/>
      <c r="O356" s="5"/>
      <c r="P356" s="5"/>
      <c r="Q356" s="5"/>
      <c r="R356" s="5"/>
      <c r="V356" s="12">
        <f>IF($F356=1, 1, IF(V355=0, 0, 1))</f>
        <v>1</v>
      </c>
      <c r="W356" s="38">
        <f>$E356</f>
        <v>1</v>
      </c>
      <c r="X356" s="38">
        <f>$E356</f>
        <v>1</v>
      </c>
      <c r="Y356" s="38">
        <f>$E356</f>
        <v>1</v>
      </c>
      <c r="AA356" s="38">
        <f t="shared" ref="AA356:BJ356" si="632">$E356</f>
        <v>1</v>
      </c>
      <c r="AB356" s="38">
        <f t="shared" si="632"/>
        <v>1</v>
      </c>
      <c r="AC356" s="38">
        <f t="shared" si="632"/>
        <v>1</v>
      </c>
      <c r="AD356" s="38">
        <f t="shared" si="632"/>
        <v>1</v>
      </c>
      <c r="AE356" s="38">
        <f t="shared" si="632"/>
        <v>1</v>
      </c>
      <c r="AF356" s="38">
        <f t="shared" si="632"/>
        <v>1</v>
      </c>
      <c r="AG356" s="38">
        <f t="shared" si="632"/>
        <v>1</v>
      </c>
      <c r="AH356" s="38">
        <f t="shared" si="632"/>
        <v>1</v>
      </c>
      <c r="AI356" s="38">
        <f t="shared" si="632"/>
        <v>1</v>
      </c>
      <c r="AJ356" s="38">
        <f t="shared" si="632"/>
        <v>1</v>
      </c>
      <c r="AK356" s="38">
        <f t="shared" si="632"/>
        <v>1</v>
      </c>
      <c r="AL356" s="38">
        <f t="shared" si="632"/>
        <v>1</v>
      </c>
      <c r="AM356" s="38">
        <f t="shared" si="632"/>
        <v>1</v>
      </c>
      <c r="AN356" s="38">
        <f t="shared" si="632"/>
        <v>1</v>
      </c>
      <c r="AO356" s="38">
        <f t="shared" si="632"/>
        <v>1</v>
      </c>
      <c r="AP356" s="38">
        <f t="shared" si="632"/>
        <v>1</v>
      </c>
      <c r="AQ356" s="38">
        <f t="shared" si="632"/>
        <v>1</v>
      </c>
      <c r="AR356" s="38">
        <f t="shared" si="632"/>
        <v>1</v>
      </c>
      <c r="AS356" s="38">
        <f t="shared" si="632"/>
        <v>1</v>
      </c>
      <c r="AT356" s="38">
        <f t="shared" si="632"/>
        <v>1</v>
      </c>
      <c r="AU356" s="38">
        <f t="shared" si="632"/>
        <v>1</v>
      </c>
      <c r="AV356" s="38">
        <f t="shared" si="632"/>
        <v>1</v>
      </c>
      <c r="AW356" s="38">
        <f t="shared" si="632"/>
        <v>1</v>
      </c>
      <c r="AX356" s="38">
        <f t="shared" si="632"/>
        <v>1</v>
      </c>
      <c r="AY356" s="38">
        <f t="shared" si="632"/>
        <v>1</v>
      </c>
      <c r="AZ356" s="38">
        <f t="shared" si="632"/>
        <v>1</v>
      </c>
      <c r="BA356" s="38">
        <f t="shared" si="632"/>
        <v>1</v>
      </c>
      <c r="BB356" s="38">
        <f t="shared" si="632"/>
        <v>1</v>
      </c>
      <c r="BC356" s="38">
        <f t="shared" si="632"/>
        <v>1</v>
      </c>
      <c r="BD356" s="38">
        <f t="shared" si="632"/>
        <v>1</v>
      </c>
      <c r="BE356" s="38">
        <f t="shared" si="632"/>
        <v>1</v>
      </c>
      <c r="BF356" s="38">
        <f t="shared" si="632"/>
        <v>1</v>
      </c>
      <c r="BG356" s="38">
        <f t="shared" si="632"/>
        <v>1</v>
      </c>
      <c r="BH356" s="38">
        <f t="shared" si="632"/>
        <v>1</v>
      </c>
      <c r="BI356" s="38">
        <f t="shared" si="632"/>
        <v>1</v>
      </c>
      <c r="BJ356" s="38">
        <f t="shared" si="632"/>
        <v>1</v>
      </c>
      <c r="BX356" s="257">
        <f>V356</f>
        <v>1</v>
      </c>
      <c r="BY356" s="257">
        <f>W356</f>
        <v>1</v>
      </c>
      <c r="BZ356" s="257">
        <f>X356</f>
        <v>1</v>
      </c>
      <c r="CA356" s="257">
        <f>Y356</f>
        <v>1</v>
      </c>
      <c r="CB356" s="12">
        <f t="shared" ref="CB356:CI356" si="633">IF($F356=1, 1, IF(SUM($CB355:$CI355)=0, 0, 1))</f>
        <v>1</v>
      </c>
      <c r="CC356" s="12">
        <f t="shared" si="633"/>
        <v>1</v>
      </c>
      <c r="CD356" s="12">
        <f t="shared" si="633"/>
        <v>1</v>
      </c>
      <c r="CE356" s="12">
        <f t="shared" si="633"/>
        <v>1</v>
      </c>
      <c r="CF356" s="12">
        <f t="shared" si="633"/>
        <v>1</v>
      </c>
      <c r="CG356" s="12">
        <f t="shared" si="633"/>
        <v>1</v>
      </c>
      <c r="CH356" s="12">
        <f t="shared" si="633"/>
        <v>1</v>
      </c>
      <c r="CI356" s="12">
        <f t="shared" si="633"/>
        <v>1</v>
      </c>
      <c r="CK356" s="11"/>
      <c r="CM356" s="11"/>
      <c r="CZ356" s="650"/>
      <c r="DA356" s="35"/>
      <c r="DI356" s="35"/>
      <c r="DL356" s="35"/>
      <c r="EZ356" s="10" t="str">
        <f t="shared" si="624"/>
        <v/>
      </c>
    </row>
    <row r="357" spans="1:156" ht="8.25" customHeight="1" x14ac:dyDescent="0.35">
      <c r="C357" s="234"/>
      <c r="D357" s="1"/>
      <c r="E357"/>
      <c r="CK357" s="11"/>
      <c r="CM357" s="11"/>
      <c r="CZ357" s="650"/>
      <c r="DA357" s="35"/>
      <c r="DI357" s="35"/>
      <c r="DL357" s="35"/>
      <c r="EZ357" s="10" t="str">
        <f t="shared" si="624"/>
        <v/>
      </c>
    </row>
    <row r="358" spans="1:156" x14ac:dyDescent="0.35">
      <c r="A358" s="11" t="s">
        <v>16</v>
      </c>
      <c r="B358" s="11" t="s">
        <v>16</v>
      </c>
      <c r="C358" s="35" t="s">
        <v>16</v>
      </c>
      <c r="D358" s="11" t="s">
        <v>16</v>
      </c>
      <c r="E358" s="25" t="s">
        <v>16</v>
      </c>
      <c r="F358" s="11" t="s">
        <v>16</v>
      </c>
      <c r="G358" s="11" t="s">
        <v>16</v>
      </c>
      <c r="H358" s="11" t="s">
        <v>16</v>
      </c>
      <c r="I358" s="11" t="s">
        <v>16</v>
      </c>
      <c r="J358" s="11" t="s">
        <v>16</v>
      </c>
      <c r="K358" s="11" t="s">
        <v>16</v>
      </c>
      <c r="L358" s="11" t="s">
        <v>16</v>
      </c>
      <c r="M358" s="11" t="s">
        <v>16</v>
      </c>
      <c r="N358" s="11" t="s">
        <v>16</v>
      </c>
      <c r="O358" s="11" t="s">
        <v>16</v>
      </c>
      <c r="P358" s="11" t="s">
        <v>16</v>
      </c>
      <c r="Q358" s="11" t="s">
        <v>16</v>
      </c>
      <c r="R358" s="11" t="s">
        <v>16</v>
      </c>
      <c r="S358" s="11"/>
      <c r="T358" s="11" t="s">
        <v>16</v>
      </c>
      <c r="U358" s="11" t="s">
        <v>16</v>
      </c>
      <c r="V358" s="11" t="s">
        <v>16</v>
      </c>
      <c r="W358" s="11" t="s">
        <v>16</v>
      </c>
      <c r="X358" s="11"/>
      <c r="Y358" s="11"/>
      <c r="Z358" s="11" t="s">
        <v>16</v>
      </c>
      <c r="AA358" s="11" t="s">
        <v>16</v>
      </c>
      <c r="AB358" s="11" t="s">
        <v>16</v>
      </c>
      <c r="AC358" s="11" t="s">
        <v>16</v>
      </c>
      <c r="AD358" s="11" t="s">
        <v>16</v>
      </c>
      <c r="AE358" s="11" t="s">
        <v>16</v>
      </c>
      <c r="AF358" s="11" t="s">
        <v>16</v>
      </c>
      <c r="AG358" s="11" t="s">
        <v>16</v>
      </c>
      <c r="AH358" s="11" t="s">
        <v>16</v>
      </c>
      <c r="AI358" s="11" t="s">
        <v>16</v>
      </c>
      <c r="AJ358" s="11" t="s">
        <v>16</v>
      </c>
      <c r="AK358" s="11" t="s">
        <v>16</v>
      </c>
      <c r="AL358" s="11" t="s">
        <v>16</v>
      </c>
      <c r="AM358" s="11" t="s">
        <v>16</v>
      </c>
      <c r="AN358" s="11" t="s">
        <v>16</v>
      </c>
      <c r="AO358" s="11" t="s">
        <v>16</v>
      </c>
      <c r="AP358" s="11" t="s">
        <v>16</v>
      </c>
      <c r="AQ358" s="11" t="s">
        <v>16</v>
      </c>
      <c r="AR358" s="11" t="s">
        <v>16</v>
      </c>
      <c r="AS358" s="11" t="s">
        <v>16</v>
      </c>
      <c r="AT358" s="11" t="s">
        <v>16</v>
      </c>
      <c r="AU358" s="11" t="s">
        <v>16</v>
      </c>
      <c r="AV358" s="11" t="s">
        <v>16</v>
      </c>
      <c r="AW358" s="11" t="s">
        <v>16</v>
      </c>
      <c r="AX358" s="11" t="s">
        <v>16</v>
      </c>
      <c r="AY358" s="11" t="s">
        <v>16</v>
      </c>
      <c r="AZ358" s="11" t="s">
        <v>16</v>
      </c>
      <c r="BA358" s="11" t="s">
        <v>16</v>
      </c>
      <c r="BB358" s="11" t="s">
        <v>16</v>
      </c>
      <c r="BC358" s="11" t="s">
        <v>16</v>
      </c>
      <c r="BD358" s="11" t="s">
        <v>16</v>
      </c>
      <c r="BE358" s="11" t="s">
        <v>16</v>
      </c>
      <c r="BF358" s="11" t="s">
        <v>16</v>
      </c>
      <c r="BG358" s="11" t="s">
        <v>16</v>
      </c>
      <c r="BH358" s="11" t="s">
        <v>16</v>
      </c>
      <c r="BI358" s="11" t="s">
        <v>16</v>
      </c>
      <c r="BJ358" s="11" t="s">
        <v>16</v>
      </c>
      <c r="BK358" s="11" t="s">
        <v>16</v>
      </c>
      <c r="BL358" s="11" t="s">
        <v>16</v>
      </c>
      <c r="BM358" s="11" t="s">
        <v>16</v>
      </c>
      <c r="BN358" s="11" t="s">
        <v>16</v>
      </c>
      <c r="BO358" s="11" t="s">
        <v>16</v>
      </c>
      <c r="BP358" s="11" t="s">
        <v>16</v>
      </c>
      <c r="BQ358" s="11" t="s">
        <v>16</v>
      </c>
      <c r="BR358" s="11" t="s">
        <v>16</v>
      </c>
      <c r="BS358" s="11" t="s">
        <v>16</v>
      </c>
      <c r="BT358" s="11" t="s">
        <v>16</v>
      </c>
      <c r="BU358" s="11" t="s">
        <v>16</v>
      </c>
      <c r="BV358" s="11" t="s">
        <v>16</v>
      </c>
      <c r="BW358" s="11" t="s">
        <v>16</v>
      </c>
      <c r="BX358" s="11" t="s">
        <v>16</v>
      </c>
      <c r="BY358" s="11" t="s">
        <v>16</v>
      </c>
      <c r="BZ358" s="11" t="s">
        <v>16</v>
      </c>
      <c r="CA358" s="11" t="s">
        <v>16</v>
      </c>
      <c r="CB358" s="11" t="s">
        <v>16</v>
      </c>
      <c r="CC358" s="11" t="s">
        <v>16</v>
      </c>
      <c r="CD358" s="11" t="s">
        <v>16</v>
      </c>
      <c r="CE358" s="11" t="s">
        <v>16</v>
      </c>
      <c r="CF358" s="11" t="s">
        <v>16</v>
      </c>
      <c r="CG358" s="11" t="s">
        <v>16</v>
      </c>
      <c r="CH358" s="11" t="s">
        <v>16</v>
      </c>
      <c r="CI358" s="11" t="s">
        <v>16</v>
      </c>
      <c r="CJ358" s="11" t="s">
        <v>16</v>
      </c>
      <c r="CK358" s="11" t="s">
        <v>16</v>
      </c>
      <c r="CL358" s="11" t="s">
        <v>16</v>
      </c>
      <c r="CM358" s="11" t="s">
        <v>16</v>
      </c>
      <c r="CN358" s="11" t="s">
        <v>16</v>
      </c>
      <c r="CO358" s="11" t="s">
        <v>16</v>
      </c>
      <c r="CP358" s="11" t="s">
        <v>16</v>
      </c>
      <c r="CQ358" s="11" t="s">
        <v>16</v>
      </c>
      <c r="CR358" s="11" t="s">
        <v>16</v>
      </c>
      <c r="CS358" s="11"/>
      <c r="CT358" s="11"/>
      <c r="CU358" s="11"/>
      <c r="CV358" s="11" t="s">
        <v>16</v>
      </c>
      <c r="CW358" s="11"/>
      <c r="CX358" s="11"/>
      <c r="CY358" s="11"/>
      <c r="CZ358" s="652" t="s">
        <v>16</v>
      </c>
      <c r="DA358" s="11" t="s">
        <v>16</v>
      </c>
      <c r="DB358" s="11" t="s">
        <v>16</v>
      </c>
      <c r="DC358" s="11" t="s">
        <v>16</v>
      </c>
      <c r="DD358" s="11" t="s">
        <v>16</v>
      </c>
      <c r="DE358" s="11" t="s">
        <v>16</v>
      </c>
      <c r="DF358" s="11" t="s">
        <v>16</v>
      </c>
      <c r="DG358" s="11" t="s">
        <v>16</v>
      </c>
      <c r="DH358" s="11" t="s">
        <v>16</v>
      </c>
      <c r="DI358" s="11" t="s">
        <v>16</v>
      </c>
      <c r="DL358" s="11" t="s">
        <v>16</v>
      </c>
      <c r="EZ358" s="10" t="str">
        <f t="shared" si="624"/>
        <v>*</v>
      </c>
    </row>
  </sheetData>
  <sheetProtection algorithmName="SHA-512" hashValue="V4fic33L3mZ2kZQG51mnSt9ZxsElbCeOpfHBiNXp+/f1uBBEMUFZLt+FCkpA7OWn7yt53lMwqQHGZXd08VcW4Q==" saltValue="AktqWpYc3j0S5UlPmLqigQ==" spinCount="100000" sheet="1" objects="1" scenarios="1"/>
  <mergeCells count="28">
    <mergeCell ref="DL1:DL6"/>
    <mergeCell ref="DA1:DA6"/>
    <mergeCell ref="CZ2:CZ6"/>
    <mergeCell ref="CK1:CK6"/>
    <mergeCell ref="CL3:CL6"/>
    <mergeCell ref="CQ3:CQ6"/>
    <mergeCell ref="CV3:CV6"/>
    <mergeCell ref="CP3:CP6"/>
    <mergeCell ref="CM1:CM6"/>
    <mergeCell ref="CO3:CO6"/>
    <mergeCell ref="CN3:CN6"/>
    <mergeCell ref="CR3:CR6"/>
    <mergeCell ref="CT3:CT6"/>
    <mergeCell ref="CS3:CS6"/>
    <mergeCell ref="CU3:CU6"/>
    <mergeCell ref="DJ2:DJ6"/>
    <mergeCell ref="DK2:DK6"/>
    <mergeCell ref="DI1:DI6"/>
    <mergeCell ref="DB2:DB6"/>
    <mergeCell ref="DH2:DH6"/>
    <mergeCell ref="DE2:DE6"/>
    <mergeCell ref="DF2:DF6"/>
    <mergeCell ref="DG2:DG6"/>
    <mergeCell ref="CW2:CW6"/>
    <mergeCell ref="CX2:CX6"/>
    <mergeCell ref="CY2:CY6"/>
    <mergeCell ref="DC2:DC6"/>
    <mergeCell ref="DD2:DD6"/>
  </mergeCells>
  <phoneticPr fontId="9" type="noConversion"/>
  <conditionalFormatting sqref="A1:A2">
    <cfRule type="cellIs" dxfId="1343" priority="655" operator="equal">
      <formula>0</formula>
    </cfRule>
    <cfRule type="cellIs" dxfId="1342" priority="656" operator="greaterThan">
      <formula>0</formula>
    </cfRule>
  </conditionalFormatting>
  <conditionalFormatting sqref="A13:A32 A60:A78 A85:A104 A111:A130 A137:A157 A171:A191 A231 A245 A259 A271 A275:A278 A280 A284:A288 A290 A308 A332 A334 A338 A340 A344 A346">
    <cfRule type="cellIs" dxfId="1341" priority="651" operator="equal">
      <formula>0</formula>
    </cfRule>
    <cfRule type="cellIs" dxfId="1340" priority="652" operator="greaterThan">
      <formula>0</formula>
    </cfRule>
  </conditionalFormatting>
  <conditionalFormatting sqref="A35:A39">
    <cfRule type="cellIs" dxfId="1339" priority="555" operator="equal">
      <formula>0</formula>
    </cfRule>
    <cfRule type="cellIs" dxfId="1338" priority="556" operator="greaterThan">
      <formula>0</formula>
    </cfRule>
  </conditionalFormatting>
  <conditionalFormatting sqref="A42:A46">
    <cfRule type="cellIs" dxfId="1337" priority="553" operator="equal">
      <formula>0</formula>
    </cfRule>
    <cfRule type="cellIs" dxfId="1336" priority="554" operator="greaterThan">
      <formula>0</formula>
    </cfRule>
  </conditionalFormatting>
  <conditionalFormatting sqref="A49:A53">
    <cfRule type="cellIs" dxfId="1335" priority="35" operator="equal">
      <formula>0</formula>
    </cfRule>
    <cfRule type="cellIs" dxfId="1334" priority="36" operator="greaterThan">
      <formula>0</formula>
    </cfRule>
  </conditionalFormatting>
  <conditionalFormatting sqref="A159:A160">
    <cfRule type="cellIs" dxfId="1333" priority="91" operator="equal">
      <formula>0</formula>
    </cfRule>
    <cfRule type="cellIs" dxfId="1332" priority="92" operator="greaterThan">
      <formula>0</formula>
    </cfRule>
  </conditionalFormatting>
  <conditionalFormatting sqref="A163">
    <cfRule type="cellIs" dxfId="1331" priority="144" operator="greaterThan">
      <formula>0</formula>
    </cfRule>
    <cfRule type="cellIs" dxfId="1330" priority="143" operator="equal">
      <formula>0</formula>
    </cfRule>
  </conditionalFormatting>
  <conditionalFormatting sqref="A165:A166">
    <cfRule type="cellIs" dxfId="1329" priority="110" operator="greaterThan">
      <formula>0</formula>
    </cfRule>
    <cfRule type="cellIs" dxfId="1328" priority="109" operator="equal">
      <formula>0</formula>
    </cfRule>
  </conditionalFormatting>
  <conditionalFormatting sqref="A195:A215">
    <cfRule type="cellIs" dxfId="1327" priority="495" operator="equal">
      <formula>0</formula>
    </cfRule>
    <cfRule type="cellIs" dxfId="1326" priority="496" operator="greaterThan">
      <formula>0</formula>
    </cfRule>
  </conditionalFormatting>
  <conditionalFormatting sqref="A221:A229 A235:A243 A249:A257 A263:A269 A294:A298 A301:A306 A321:A326 A349:A353">
    <cfRule type="cellIs" dxfId="1325" priority="212" operator="greaterThan">
      <formula>0</formula>
    </cfRule>
    <cfRule type="cellIs" dxfId="1324" priority="211" operator="equal">
      <formula>0</formula>
    </cfRule>
  </conditionalFormatting>
  <conditionalFormatting sqref="A311:A316">
    <cfRule type="cellIs" dxfId="1323" priority="19" operator="equal">
      <formula>0</formula>
    </cfRule>
    <cfRule type="cellIs" dxfId="1322" priority="20" operator="greaterThan">
      <formula>0</formula>
    </cfRule>
  </conditionalFormatting>
  <conditionalFormatting sqref="A318">
    <cfRule type="cellIs" dxfId="1321" priority="26" operator="equal">
      <formula>0</formula>
    </cfRule>
    <cfRule type="cellIs" dxfId="1320" priority="27" operator="greaterThan">
      <formula>0</formula>
    </cfRule>
  </conditionalFormatting>
  <conditionalFormatting sqref="E229">
    <cfRule type="cellIs" dxfId="1319" priority="699" operator="equal">
      <formula>0</formula>
    </cfRule>
    <cfRule type="cellIs" dxfId="1318" priority="697" operator="lessThan">
      <formula>0</formula>
    </cfRule>
    <cfRule type="cellIs" dxfId="1317" priority="698" operator="greaterThan">
      <formula>0</formula>
    </cfRule>
  </conditionalFormatting>
  <conditionalFormatting sqref="E243">
    <cfRule type="cellIs" dxfId="1316" priority="692" operator="equal">
      <formula>0</formula>
    </cfRule>
    <cfRule type="cellIs" dxfId="1315" priority="691" operator="greaterThan">
      <formula>0</formula>
    </cfRule>
    <cfRule type="cellIs" dxfId="1314" priority="690" operator="lessThan">
      <formula>0</formula>
    </cfRule>
  </conditionalFormatting>
  <conditionalFormatting sqref="E257">
    <cfRule type="cellIs" dxfId="1313" priority="687" operator="lessThan">
      <formula>0</formula>
    </cfRule>
    <cfRule type="cellIs" dxfId="1312" priority="688" operator="greaterThan">
      <formula>0</formula>
    </cfRule>
    <cfRule type="cellIs" dxfId="1311" priority="689" operator="equal">
      <formula>0</formula>
    </cfRule>
  </conditionalFormatting>
  <conditionalFormatting sqref="E269">
    <cfRule type="cellIs" dxfId="1310" priority="684" operator="lessThan">
      <formula>0</formula>
    </cfRule>
    <cfRule type="cellIs" dxfId="1309" priority="685" operator="greaterThan">
      <formula>0</formula>
    </cfRule>
    <cfRule type="cellIs" dxfId="1308" priority="686" operator="equal">
      <formula>0</formula>
    </cfRule>
  </conditionalFormatting>
  <conditionalFormatting sqref="E278">
    <cfRule type="cellIs" dxfId="1307" priority="682" operator="greaterThan">
      <formula>0</formula>
    </cfRule>
    <cfRule type="cellIs" dxfId="1306" priority="681" operator="lessThan">
      <formula>0</formula>
    </cfRule>
    <cfRule type="cellIs" dxfId="1305" priority="683" operator="equal">
      <formula>0</formula>
    </cfRule>
  </conditionalFormatting>
  <conditionalFormatting sqref="E288">
    <cfRule type="cellIs" dxfId="1304" priority="678" operator="lessThan">
      <formula>0</formula>
    </cfRule>
    <cfRule type="cellIs" dxfId="1303" priority="679" operator="greaterThan">
      <formula>0</formula>
    </cfRule>
    <cfRule type="cellIs" dxfId="1302" priority="680" operator="equal">
      <formula>0</formula>
    </cfRule>
  </conditionalFormatting>
  <conditionalFormatting sqref="E298">
    <cfRule type="cellIs" dxfId="1301" priority="677" operator="equal">
      <formula>0</formula>
    </cfRule>
    <cfRule type="cellIs" dxfId="1300" priority="675" operator="lessThan">
      <formula>0</formula>
    </cfRule>
    <cfRule type="cellIs" dxfId="1299" priority="676" operator="greaterThan">
      <formula>0</formula>
    </cfRule>
  </conditionalFormatting>
  <conditionalFormatting sqref="V231:Y231 AA231:BJ231 BX231:CI231">
    <cfRule type="cellIs" dxfId="1298" priority="1269" operator="equal">
      <formula>1</formula>
    </cfRule>
    <cfRule type="cellIs" dxfId="1297" priority="1268" operator="equal">
      <formula>0</formula>
    </cfRule>
  </conditionalFormatting>
  <conditionalFormatting sqref="V245:Y245 AA245:BJ245 BX245:CI245">
    <cfRule type="cellIs" dxfId="1296" priority="1163" operator="equal">
      <formula>1</formula>
    </cfRule>
    <cfRule type="cellIs" dxfId="1295" priority="1162" operator="equal">
      <formula>0</formula>
    </cfRule>
  </conditionalFormatting>
  <conditionalFormatting sqref="V259:Y259 AA259:BJ259 BX259:CI259 V271:Y271 AA271:BJ271 BX271:CI271">
    <cfRule type="cellIs" dxfId="1294" priority="1125" operator="equal">
      <formula>0</formula>
    </cfRule>
    <cfRule type="cellIs" dxfId="1293" priority="1126" operator="equal">
      <formula>1</formula>
    </cfRule>
  </conditionalFormatting>
  <conditionalFormatting sqref="V280:Y280 AA280:BJ280 BX280:CI280">
    <cfRule type="cellIs" dxfId="1292" priority="1092" operator="equal">
      <formula>0</formula>
    </cfRule>
    <cfRule type="cellIs" dxfId="1291" priority="1093" operator="equal">
      <formula>1</formula>
    </cfRule>
  </conditionalFormatting>
  <conditionalFormatting sqref="V290:Y290 AA290:BJ290 BX290:CI290">
    <cfRule type="cellIs" dxfId="1290" priority="1052" operator="equal">
      <formula>1</formula>
    </cfRule>
    <cfRule type="cellIs" dxfId="1289" priority="1051" operator="equal">
      <formula>0</formula>
    </cfRule>
  </conditionalFormatting>
  <conditionalFormatting sqref="V308:Y308 AA308:BJ308 BX308:CI308">
    <cfRule type="cellIs" dxfId="1288" priority="955" operator="equal">
      <formula>0</formula>
    </cfRule>
    <cfRule type="cellIs" dxfId="1287" priority="954" operator="greaterThan">
      <formula>0</formula>
    </cfRule>
    <cfRule type="cellIs" dxfId="1286" priority="953" operator="lessThan">
      <formula>0</formula>
    </cfRule>
  </conditionalFormatting>
  <conditionalFormatting sqref="V318:Y318">
    <cfRule type="cellIs" dxfId="1285" priority="11" operator="equal">
      <formula>0</formula>
    </cfRule>
    <cfRule type="cellIs" dxfId="1284" priority="10" operator="greaterThan">
      <formula>0</formula>
    </cfRule>
    <cfRule type="cellIs" dxfId="1283" priority="9" operator="lessThan">
      <formula>0</formula>
    </cfRule>
  </conditionalFormatting>
  <conditionalFormatting sqref="AA13:AG27 AJ13:BI27 AA226:AG227 AJ226:BI227 AA240:AG241 AJ240:BI241 AA254:AG255 AJ254:BI255 AA263:AG263 AJ263:BI263 AA267:AG267 AJ267:BI267 AA277:AG277 AJ277:BI277 AA286:AG286 AJ286:BI286 AA294:AG297 AJ294:BI297 AA305:AG305 AJ305:BI305 AA332:AG332 AJ332:BI332 AA338:AG338 AJ338:BI338 AA344:AG344 AJ344:BI344">
    <cfRule type="expression" dxfId="1282" priority="208">
      <formula>AND(AA$4=0,AB$4=1)</formula>
    </cfRule>
  </conditionalFormatting>
  <conditionalFormatting sqref="AA159:AG160 AJ159:BJ160">
    <cfRule type="expression" dxfId="1281" priority="148">
      <formula>AND(AA$4=0,AB$4=1)</formula>
    </cfRule>
  </conditionalFormatting>
  <conditionalFormatting sqref="AA315:AG315 AJ315:BI315">
    <cfRule type="expression" dxfId="1280" priority="18">
      <formula>AND(AA$4=0,AB$4=1)</formula>
    </cfRule>
  </conditionalFormatting>
  <conditionalFormatting sqref="AA163:BJ163">
    <cfRule type="cellIs" dxfId="1279" priority="137" operator="equal">
      <formula>0</formula>
    </cfRule>
    <cfRule type="cellIs" dxfId="1278" priority="138" operator="greaterThan">
      <formula>0</formula>
    </cfRule>
  </conditionalFormatting>
  <conditionalFormatting sqref="AA318:BJ318">
    <cfRule type="cellIs" dxfId="1277" priority="8" operator="equal">
      <formula>0</formula>
    </cfRule>
    <cfRule type="cellIs" dxfId="1276" priority="7" operator="greaterThan">
      <formula>0</formula>
    </cfRule>
    <cfRule type="cellIs" dxfId="1275" priority="6" operator="lessThan">
      <formula>0</formula>
    </cfRule>
  </conditionalFormatting>
  <conditionalFormatting sqref="BJ13:BJ27 BJ226:BJ227 BJ240:BJ241 BJ254:BJ255 BJ263 BJ267 BJ277 BJ286 BJ294:BJ297 BJ305 BJ332 BJ338 BJ344">
    <cfRule type="expression" dxfId="1274" priority="2805">
      <formula>AND(BJ$4=0,BW$4=1)</formula>
    </cfRule>
  </conditionalFormatting>
  <conditionalFormatting sqref="BJ315">
    <cfRule type="expression" dxfId="1273" priority="31">
      <formula>AND(BJ$4=0,BW$4=1)</formula>
    </cfRule>
  </conditionalFormatting>
  <conditionalFormatting sqref="BX318:CI318">
    <cfRule type="cellIs" dxfId="1272" priority="5" operator="equal">
      <formula>0</formula>
    </cfRule>
    <cfRule type="cellIs" dxfId="1271" priority="4" operator="greaterThan">
      <formula>0</formula>
    </cfRule>
    <cfRule type="cellIs" dxfId="1270" priority="3" operator="lessThan">
      <formula>0</formula>
    </cfRule>
  </conditionalFormatting>
  <conditionalFormatting sqref="CB163:CI163">
    <cfRule type="cellIs" dxfId="1269" priority="139" operator="equal">
      <formula>0</formula>
    </cfRule>
    <cfRule type="cellIs" dxfId="1268" priority="140" operator="greaterThan">
      <formula>0</formula>
    </cfRule>
  </conditionalFormatting>
  <conditionalFormatting sqref="CL2">
    <cfRule type="cellIs" dxfId="1267" priority="824" operator="greaterThan">
      <formula>0</formula>
    </cfRule>
    <cfRule type="cellIs" dxfId="1266" priority="825" operator="equal">
      <formula>0</formula>
    </cfRule>
  </conditionalFormatting>
  <conditionalFormatting sqref="CL13:CL32">
    <cfRule type="cellIs" dxfId="1265" priority="823" operator="equal">
      <formula>0</formula>
    </cfRule>
    <cfRule type="cellIs" dxfId="1264" priority="822" operator="greaterThan">
      <formula>0</formula>
    </cfRule>
  </conditionalFormatting>
  <conditionalFormatting sqref="CL35:CL39">
    <cfRule type="cellIs" dxfId="1263" priority="206" operator="equal">
      <formula>0</formula>
    </cfRule>
    <cfRule type="cellIs" dxfId="1262" priority="205" operator="greaterThan">
      <formula>0</formula>
    </cfRule>
  </conditionalFormatting>
  <conditionalFormatting sqref="CL42:CL46">
    <cfRule type="cellIs" dxfId="1261" priority="204" operator="equal">
      <formula>0</formula>
    </cfRule>
    <cfRule type="cellIs" dxfId="1260" priority="203" operator="greaterThan">
      <formula>0</formula>
    </cfRule>
  </conditionalFormatting>
  <conditionalFormatting sqref="CL49:CL53">
    <cfRule type="cellIs" dxfId="1259" priority="34" operator="equal">
      <formula>0</formula>
    </cfRule>
    <cfRule type="cellIs" dxfId="1258" priority="33" operator="greaterThan">
      <formula>0</formula>
    </cfRule>
  </conditionalFormatting>
  <conditionalFormatting sqref="CL60:CL78">
    <cfRule type="cellIs" dxfId="1257" priority="821" operator="equal">
      <formula>0</formula>
    </cfRule>
    <cfRule type="cellIs" dxfId="1256" priority="820" operator="greaterThan">
      <formula>0</formula>
    </cfRule>
  </conditionalFormatting>
  <conditionalFormatting sqref="CL111:CL130">
    <cfRule type="cellIs" dxfId="1255" priority="819" operator="equal">
      <formula>0</formula>
    </cfRule>
    <cfRule type="cellIs" dxfId="1254" priority="818" operator="greaterThan">
      <formula>0</formula>
    </cfRule>
  </conditionalFormatting>
  <conditionalFormatting sqref="CL137:CL157">
    <cfRule type="cellIs" dxfId="1253" priority="816" operator="greaterThan">
      <formula>0</formula>
    </cfRule>
    <cfRule type="cellIs" dxfId="1252" priority="817" operator="equal">
      <formula>0</formula>
    </cfRule>
  </conditionalFormatting>
  <conditionalFormatting sqref="CL159:CL161">
    <cfRule type="cellIs" dxfId="1251" priority="149" operator="greaterThan">
      <formula>0</formula>
    </cfRule>
    <cfRule type="cellIs" dxfId="1250" priority="150" operator="equal">
      <formula>0</formula>
    </cfRule>
  </conditionalFormatting>
  <conditionalFormatting sqref="CL165:CL167">
    <cfRule type="cellIs" dxfId="1249" priority="124" operator="equal">
      <formula>0</formula>
    </cfRule>
    <cfRule type="cellIs" dxfId="1248" priority="123" operator="greaterThan">
      <formula>0</formula>
    </cfRule>
  </conditionalFormatting>
  <conditionalFormatting sqref="CL171:CL191">
    <cfRule type="cellIs" dxfId="1247" priority="814" operator="greaterThan">
      <formula>0</formula>
    </cfRule>
    <cfRule type="cellIs" dxfId="1246" priority="815" operator="equal">
      <formula>0</formula>
    </cfRule>
  </conditionalFormatting>
  <conditionalFormatting sqref="CL221:CL222">
    <cfRule type="cellIs" dxfId="1245" priority="813" operator="equal">
      <formula>0</formula>
    </cfRule>
    <cfRule type="cellIs" dxfId="1244" priority="812" operator="greaterThan">
      <formula>0</formula>
    </cfRule>
  </conditionalFormatting>
  <conditionalFormatting sqref="CL224:CL226">
    <cfRule type="cellIs" dxfId="1243" priority="811" operator="equal">
      <formula>0</formula>
    </cfRule>
    <cfRule type="cellIs" dxfId="1242" priority="810" operator="greaterThan">
      <formula>0</formula>
    </cfRule>
  </conditionalFormatting>
  <conditionalFormatting sqref="CL235:CL236">
    <cfRule type="cellIs" dxfId="1241" priority="809" operator="equal">
      <formula>0</formula>
    </cfRule>
    <cfRule type="cellIs" dxfId="1240" priority="808" operator="greaterThan">
      <formula>0</formula>
    </cfRule>
  </conditionalFormatting>
  <conditionalFormatting sqref="CL238:CL240">
    <cfRule type="cellIs" dxfId="1239" priority="805" operator="equal">
      <formula>0</formula>
    </cfRule>
    <cfRule type="cellIs" dxfId="1238" priority="804" operator="greaterThan">
      <formula>0</formula>
    </cfRule>
  </conditionalFormatting>
  <conditionalFormatting sqref="CL249:CL250">
    <cfRule type="cellIs" dxfId="1237" priority="799" operator="equal">
      <formula>0</formula>
    </cfRule>
    <cfRule type="cellIs" dxfId="1236" priority="798" operator="greaterThan">
      <formula>0</formula>
    </cfRule>
  </conditionalFormatting>
  <conditionalFormatting sqref="CL252:CL254">
    <cfRule type="cellIs" dxfId="1235" priority="795" operator="equal">
      <formula>0</formula>
    </cfRule>
    <cfRule type="cellIs" dxfId="1234" priority="794" operator="greaterThan">
      <formula>0</formula>
    </cfRule>
  </conditionalFormatting>
  <conditionalFormatting sqref="CL263">
    <cfRule type="cellIs" dxfId="1233" priority="201" operator="greaterThan">
      <formula>0</formula>
    </cfRule>
    <cfRule type="cellIs" dxfId="1232" priority="202" operator="equal">
      <formula>0</formula>
    </cfRule>
  </conditionalFormatting>
  <conditionalFormatting sqref="CL265:CL266">
    <cfRule type="cellIs" dxfId="1231" priority="200" operator="equal">
      <formula>0</formula>
    </cfRule>
    <cfRule type="cellIs" dxfId="1230" priority="199" operator="greaterThan">
      <formula>0</formula>
    </cfRule>
  </conditionalFormatting>
  <conditionalFormatting sqref="CL275:CL276">
    <cfRule type="cellIs" dxfId="1229" priority="793" operator="equal">
      <formula>0</formula>
    </cfRule>
    <cfRule type="cellIs" dxfId="1228" priority="792" operator="greaterThan">
      <formula>0</formula>
    </cfRule>
  </conditionalFormatting>
  <conditionalFormatting sqref="CL284:CL285">
    <cfRule type="cellIs" dxfId="1227" priority="789" operator="equal">
      <formula>0</formula>
    </cfRule>
    <cfRule type="cellIs" dxfId="1226" priority="788" operator="greaterThan">
      <formula>0</formula>
    </cfRule>
  </conditionalFormatting>
  <conditionalFormatting sqref="CL332">
    <cfRule type="cellIs" dxfId="1225" priority="750" operator="greaterThan">
      <formula>0</formula>
    </cfRule>
    <cfRule type="cellIs" dxfId="1224" priority="751" operator="equal">
      <formula>0</formula>
    </cfRule>
  </conditionalFormatting>
  <conditionalFormatting sqref="CL338">
    <cfRule type="cellIs" dxfId="1223" priority="748" operator="greaterThan">
      <formula>0</formula>
    </cfRule>
    <cfRule type="cellIs" dxfId="1222" priority="749" operator="equal">
      <formula>0</formula>
    </cfRule>
  </conditionalFormatting>
  <conditionalFormatting sqref="CL344">
    <cfRule type="cellIs" dxfId="1221" priority="738" operator="greaterThan">
      <formula>0</formula>
    </cfRule>
    <cfRule type="cellIs" dxfId="1220" priority="739" operator="equal">
      <formula>0</formula>
    </cfRule>
  </conditionalFormatting>
  <conditionalFormatting sqref="CN60:CO74">
    <cfRule type="cellIs" dxfId="1219" priority="1077" operator="equal">
      <formula>1</formula>
    </cfRule>
    <cfRule type="cellIs" dxfId="1218" priority="1076" operator="equal">
      <formula>0</formula>
    </cfRule>
  </conditionalFormatting>
  <conditionalFormatting sqref="CN85:CO99">
    <cfRule type="cellIs" dxfId="1217" priority="1337" operator="equal">
      <formula>1</formula>
    </cfRule>
    <cfRule type="cellIs" dxfId="1216" priority="1336" operator="equal">
      <formula>0</formula>
    </cfRule>
  </conditionalFormatting>
  <conditionalFormatting sqref="CN111:CO125">
    <cfRule type="cellIs" dxfId="1215" priority="1330" operator="equal">
      <formula>0</formula>
    </cfRule>
    <cfRule type="cellIs" dxfId="1214" priority="1331" operator="equal">
      <formula>1</formula>
    </cfRule>
  </conditionalFormatting>
  <conditionalFormatting sqref="CN137:CO151">
    <cfRule type="cellIs" dxfId="1213" priority="1322" operator="equal">
      <formula>0</formula>
    </cfRule>
    <cfRule type="cellIs" dxfId="1212" priority="1323" operator="equal">
      <formula>1</formula>
    </cfRule>
  </conditionalFormatting>
  <conditionalFormatting sqref="CN13:CP27">
    <cfRule type="cellIs" dxfId="1211" priority="932" operator="equal">
      <formula>1</formula>
    </cfRule>
    <cfRule type="cellIs" dxfId="1210" priority="931" operator="equal">
      <formula>0</formula>
    </cfRule>
  </conditionalFormatting>
  <conditionalFormatting sqref="CQ60:CQ74">
    <cfRule type="cellIs" dxfId="1209" priority="773" operator="equal">
      <formula>1</formula>
    </cfRule>
    <cfRule type="cellIs" dxfId="1208" priority="772" operator="equal">
      <formula>0</formula>
    </cfRule>
  </conditionalFormatting>
  <conditionalFormatting sqref="CQ85:CQ99">
    <cfRule type="cellIs" dxfId="1207" priority="770" operator="equal">
      <formula>0</formula>
    </cfRule>
    <cfRule type="cellIs" dxfId="1206" priority="771" operator="equal">
      <formula>1</formula>
    </cfRule>
  </conditionalFormatting>
  <conditionalFormatting sqref="CQ111:CQ125">
    <cfRule type="cellIs" dxfId="1205" priority="769" operator="equal">
      <formula>1</formula>
    </cfRule>
    <cfRule type="cellIs" dxfId="1204" priority="768" operator="equal">
      <formula>0</formula>
    </cfRule>
  </conditionalFormatting>
  <conditionalFormatting sqref="CQ137:CQ151">
    <cfRule type="cellIs" dxfId="1203" priority="767" operator="equal">
      <formula>1</formula>
    </cfRule>
    <cfRule type="cellIs" dxfId="1202" priority="766" operator="equal">
      <formula>0</formula>
    </cfRule>
  </conditionalFormatting>
  <conditionalFormatting sqref="CR231">
    <cfRule type="cellIs" dxfId="1201" priority="1276" operator="equal">
      <formula>0</formula>
    </cfRule>
    <cfRule type="cellIs" dxfId="1200" priority="1277" operator="equal">
      <formula>1</formula>
    </cfRule>
  </conditionalFormatting>
  <conditionalFormatting sqref="CR245">
    <cfRule type="cellIs" dxfId="1199" priority="1254" operator="equal">
      <formula>0</formula>
    </cfRule>
    <cfRule type="cellIs" dxfId="1198" priority="1255" operator="equal">
      <formula>1</formula>
    </cfRule>
  </conditionalFormatting>
  <conditionalFormatting sqref="CR259:CR260 CR271">
    <cfRule type="cellIs" dxfId="1197" priority="1141" operator="equal">
      <formula>1</formula>
    </cfRule>
    <cfRule type="cellIs" dxfId="1196" priority="1140" operator="equal">
      <formula>0</formula>
    </cfRule>
  </conditionalFormatting>
  <conditionalFormatting sqref="CR280">
    <cfRule type="cellIs" dxfId="1195" priority="1108" operator="equal">
      <formula>1</formula>
    </cfRule>
    <cfRule type="cellIs" dxfId="1194" priority="1107" operator="equal">
      <formula>0</formula>
    </cfRule>
  </conditionalFormatting>
  <conditionalFormatting sqref="CR290">
    <cfRule type="cellIs" dxfId="1193" priority="1066" operator="equal">
      <formula>0</formula>
    </cfRule>
    <cfRule type="cellIs" dxfId="1192" priority="1067" operator="equal">
      <formula>1</formula>
    </cfRule>
  </conditionalFormatting>
  <conditionalFormatting sqref="CS229">
    <cfRule type="cellIs" dxfId="1191" priority="694" operator="equal">
      <formula>1</formula>
    </cfRule>
    <cfRule type="cellIs" dxfId="1190" priority="693" operator="equal">
      <formula>0</formula>
    </cfRule>
  </conditionalFormatting>
  <conditionalFormatting sqref="CS243">
    <cfRule type="cellIs" dxfId="1189" priority="674" operator="equal">
      <formula>1</formula>
    </cfRule>
    <cfRule type="cellIs" dxfId="1188" priority="673" operator="equal">
      <formula>0</formula>
    </cfRule>
  </conditionalFormatting>
  <conditionalFormatting sqref="CS257 CS269 CS278 CS288">
    <cfRule type="cellIs" dxfId="1187" priority="672" operator="equal">
      <formula>1</formula>
    </cfRule>
    <cfRule type="cellIs" dxfId="1186" priority="671" operator="equal">
      <formula>0</formula>
    </cfRule>
  </conditionalFormatting>
  <conditionalFormatting sqref="CT163">
    <cfRule type="cellIs" dxfId="1185" priority="135" operator="equal">
      <formula>0</formula>
    </cfRule>
    <cfRule type="cellIs" dxfId="1184" priority="136" operator="equal">
      <formula>1</formula>
    </cfRule>
  </conditionalFormatting>
  <conditionalFormatting sqref="CU13:CU27">
    <cfRule type="cellIs" dxfId="1183" priority="82" operator="equal">
      <formula>0</formula>
    </cfRule>
    <cfRule type="cellIs" dxfId="1182" priority="83" operator="equal">
      <formula>1</formula>
    </cfRule>
  </conditionalFormatting>
  <conditionalFormatting sqref="CU60:CU74">
    <cfRule type="cellIs" dxfId="1181" priority="81" operator="equal">
      <formula>1</formula>
    </cfRule>
    <cfRule type="cellIs" dxfId="1180" priority="80" operator="equal">
      <formula>0</formula>
    </cfRule>
  </conditionalFormatting>
  <conditionalFormatting sqref="CU85:CU99">
    <cfRule type="cellIs" dxfId="1179" priority="79" operator="equal">
      <formula>1</formula>
    </cfRule>
    <cfRule type="cellIs" dxfId="1178" priority="78" operator="equal">
      <formula>0</formula>
    </cfRule>
  </conditionalFormatting>
  <conditionalFormatting sqref="CU111:CU125">
    <cfRule type="cellIs" dxfId="1177" priority="76" operator="equal">
      <formula>0</formula>
    </cfRule>
    <cfRule type="cellIs" dxfId="1176" priority="77" operator="equal">
      <formula>1</formula>
    </cfRule>
  </conditionalFormatting>
  <conditionalFormatting sqref="CU137:CU151">
    <cfRule type="cellIs" dxfId="1175" priority="75" operator="equal">
      <formula>1</formula>
    </cfRule>
    <cfRule type="cellIs" dxfId="1174" priority="74" operator="equal">
      <formula>0</formula>
    </cfRule>
  </conditionalFormatting>
  <conditionalFormatting sqref="CU159:CU160">
    <cfRule type="cellIs" dxfId="1173" priority="73" operator="equal">
      <formula>1</formula>
    </cfRule>
    <cfRule type="cellIs" dxfId="1172" priority="72" operator="equal">
      <formula>0</formula>
    </cfRule>
  </conditionalFormatting>
  <conditionalFormatting sqref="CU165:CU166">
    <cfRule type="cellIs" dxfId="1171" priority="71" operator="equal">
      <formula>1</formula>
    </cfRule>
    <cfRule type="cellIs" dxfId="1170" priority="70" operator="equal">
      <formula>0</formula>
    </cfRule>
  </conditionalFormatting>
  <conditionalFormatting sqref="CU226:CU227">
    <cfRule type="cellIs" dxfId="1169" priority="69" operator="equal">
      <formula>1</formula>
    </cfRule>
    <cfRule type="cellIs" dxfId="1168" priority="68" operator="equal">
      <formula>0</formula>
    </cfRule>
  </conditionalFormatting>
  <conditionalFormatting sqref="CU240:CU241">
    <cfRule type="cellIs" dxfId="1167" priority="65" operator="equal">
      <formula>1</formula>
    </cfRule>
    <cfRule type="cellIs" dxfId="1166" priority="64" operator="equal">
      <formula>0</formula>
    </cfRule>
  </conditionalFormatting>
  <conditionalFormatting sqref="CU254:CU255">
    <cfRule type="cellIs" dxfId="1165" priority="61" operator="equal">
      <formula>1</formula>
    </cfRule>
    <cfRule type="cellIs" dxfId="1164" priority="60" operator="equal">
      <formula>0</formula>
    </cfRule>
  </conditionalFormatting>
  <conditionalFormatting sqref="CU263">
    <cfRule type="cellIs" dxfId="1163" priority="59" operator="equal">
      <formula>1</formula>
    </cfRule>
    <cfRule type="cellIs" dxfId="1162" priority="58" operator="equal">
      <formula>0</formula>
    </cfRule>
  </conditionalFormatting>
  <conditionalFormatting sqref="CU267">
    <cfRule type="cellIs" dxfId="1161" priority="56" operator="equal">
      <formula>0</formula>
    </cfRule>
    <cfRule type="cellIs" dxfId="1160" priority="57" operator="equal">
      <formula>1</formula>
    </cfRule>
  </conditionalFormatting>
  <conditionalFormatting sqref="CU277">
    <cfRule type="cellIs" dxfId="1159" priority="54" operator="equal">
      <formula>0</formula>
    </cfRule>
    <cfRule type="cellIs" dxfId="1158" priority="55" operator="equal">
      <formula>1</formula>
    </cfRule>
  </conditionalFormatting>
  <conditionalFormatting sqref="CU286">
    <cfRule type="cellIs" dxfId="1157" priority="52" operator="equal">
      <formula>0</formula>
    </cfRule>
    <cfRule type="cellIs" dxfId="1156" priority="53" operator="equal">
      <formula>1</formula>
    </cfRule>
  </conditionalFormatting>
  <conditionalFormatting sqref="CU294:CU297">
    <cfRule type="cellIs" dxfId="1155" priority="50" operator="equal">
      <formula>0</formula>
    </cfRule>
    <cfRule type="cellIs" dxfId="1154" priority="51" operator="equal">
      <formula>1</formula>
    </cfRule>
  </conditionalFormatting>
  <conditionalFormatting sqref="CU305">
    <cfRule type="cellIs" dxfId="1153" priority="49" operator="equal">
      <formula>1</formula>
    </cfRule>
    <cfRule type="cellIs" dxfId="1152" priority="48" operator="equal">
      <formula>0</formula>
    </cfRule>
  </conditionalFormatting>
  <conditionalFormatting sqref="CU315">
    <cfRule type="cellIs" dxfId="1151" priority="15" operator="equal">
      <formula>0</formula>
    </cfRule>
    <cfRule type="cellIs" dxfId="1150" priority="16" operator="equal">
      <formula>1</formula>
    </cfRule>
  </conditionalFormatting>
  <conditionalFormatting sqref="CU332">
    <cfRule type="cellIs" dxfId="1149" priority="46" operator="equal">
      <formula>0</formula>
    </cfRule>
    <cfRule type="cellIs" dxfId="1148" priority="47" operator="equal">
      <formula>1</formula>
    </cfRule>
  </conditionalFormatting>
  <conditionalFormatting sqref="CU338">
    <cfRule type="cellIs" dxfId="1147" priority="44" operator="equal">
      <formula>0</formula>
    </cfRule>
    <cfRule type="cellIs" dxfId="1146" priority="45" operator="equal">
      <formula>1</formula>
    </cfRule>
  </conditionalFormatting>
  <conditionalFormatting sqref="CU344">
    <cfRule type="cellIs" dxfId="1145" priority="42" operator="equal">
      <formula>0</formula>
    </cfRule>
    <cfRule type="cellIs" dxfId="1144" priority="43" operator="equal">
      <formula>1</formula>
    </cfRule>
  </conditionalFormatting>
  <conditionalFormatting sqref="CV32">
    <cfRule type="cellIs" dxfId="1143" priority="906" operator="equal">
      <formula>1</formula>
    </cfRule>
    <cfRule type="cellIs" dxfId="1142" priority="905" operator="equal">
      <formula>0</formula>
    </cfRule>
  </conditionalFormatting>
  <conditionalFormatting sqref="CV78">
    <cfRule type="cellIs" dxfId="1141" priority="667" operator="equal">
      <formula>0</formula>
    </cfRule>
    <cfRule type="cellIs" dxfId="1140" priority="668" operator="equal">
      <formula>1</formula>
    </cfRule>
  </conditionalFormatting>
  <conditionalFormatting sqref="CV104">
    <cfRule type="cellIs" dxfId="1139" priority="665" operator="equal">
      <formula>0</formula>
    </cfRule>
    <cfRule type="cellIs" dxfId="1138" priority="666" operator="equal">
      <formula>1</formula>
    </cfRule>
  </conditionalFormatting>
  <conditionalFormatting sqref="CV130">
    <cfRule type="cellIs" dxfId="1137" priority="663" operator="equal">
      <formula>0</formula>
    </cfRule>
    <cfRule type="cellIs" dxfId="1136" priority="664" operator="equal">
      <formula>1</formula>
    </cfRule>
  </conditionalFormatting>
  <conditionalFormatting sqref="CV157">
    <cfRule type="cellIs" dxfId="1135" priority="662" operator="equal">
      <formula>1</formula>
    </cfRule>
    <cfRule type="cellIs" dxfId="1134" priority="661" operator="equal">
      <formula>0</formula>
    </cfRule>
  </conditionalFormatting>
  <conditionalFormatting sqref="CV191">
    <cfRule type="cellIs" dxfId="1133" priority="660" operator="equal">
      <formula>1</formula>
    </cfRule>
    <cfRule type="cellIs" dxfId="1132" priority="659" operator="equal">
      <formula>0</formula>
    </cfRule>
  </conditionalFormatting>
  <conditionalFormatting sqref="CV215">
    <cfRule type="cellIs" dxfId="1131" priority="658" operator="equal">
      <formula>1</formula>
    </cfRule>
    <cfRule type="cellIs" dxfId="1130" priority="657" operator="equal">
      <formula>0</formula>
    </cfRule>
  </conditionalFormatting>
  <conditionalFormatting sqref="CW13:CY32">
    <cfRule type="cellIs" dxfId="1129" priority="613" operator="equal">
      <formula>0</formula>
    </cfRule>
    <cfRule type="cellIs" dxfId="1128" priority="614" operator="greaterThan">
      <formula>0</formula>
    </cfRule>
  </conditionalFormatting>
  <conditionalFormatting sqref="CW35:CY39">
    <cfRule type="cellIs" dxfId="1127" priority="599" operator="equal">
      <formula>0</formula>
    </cfRule>
    <cfRule type="cellIs" dxfId="1126" priority="600" operator="greaterThan">
      <formula>0</formula>
    </cfRule>
  </conditionalFormatting>
  <conditionalFormatting sqref="CW42:CY46">
    <cfRule type="cellIs" dxfId="1125" priority="586" operator="greaterThan">
      <formula>0</formula>
    </cfRule>
    <cfRule type="cellIs" dxfId="1124" priority="585" operator="equal">
      <formula>0</formula>
    </cfRule>
  </conditionalFormatting>
  <conditionalFormatting sqref="CW49:CY53">
    <cfRule type="cellIs" dxfId="1123" priority="38" operator="greaterThan">
      <formula>0</formula>
    </cfRule>
    <cfRule type="cellIs" dxfId="1122" priority="37" operator="equal">
      <formula>0</formula>
    </cfRule>
  </conditionalFormatting>
  <conditionalFormatting sqref="CW60:CY78">
    <cfRule type="cellIs" dxfId="1121" priority="572" operator="greaterThan">
      <formula>0</formula>
    </cfRule>
    <cfRule type="cellIs" dxfId="1120" priority="571" operator="equal">
      <formula>0</formula>
    </cfRule>
  </conditionalFormatting>
  <conditionalFormatting sqref="CW85:CY104">
    <cfRule type="cellIs" dxfId="1119" priority="558" operator="greaterThan">
      <formula>0</formula>
    </cfRule>
    <cfRule type="cellIs" dxfId="1118" priority="557" operator="equal">
      <formula>0</formula>
    </cfRule>
  </conditionalFormatting>
  <conditionalFormatting sqref="CW111:CY130">
    <cfRule type="cellIs" dxfId="1117" priority="539" operator="equal">
      <formula>0</formula>
    </cfRule>
    <cfRule type="cellIs" dxfId="1116" priority="540" operator="greaterThan">
      <formula>0</formula>
    </cfRule>
  </conditionalFormatting>
  <conditionalFormatting sqref="CW137:CY157">
    <cfRule type="cellIs" dxfId="1115" priority="525" operator="equal">
      <formula>0</formula>
    </cfRule>
    <cfRule type="cellIs" dxfId="1114" priority="526" operator="greaterThan">
      <formula>0</formula>
    </cfRule>
  </conditionalFormatting>
  <conditionalFormatting sqref="CW159:CY160">
    <cfRule type="cellIs" dxfId="1113" priority="93" operator="equal">
      <formula>0</formula>
    </cfRule>
    <cfRule type="cellIs" dxfId="1112" priority="94" operator="greaterThan">
      <formula>0</formula>
    </cfRule>
  </conditionalFormatting>
  <conditionalFormatting sqref="CW165:CY166">
    <cfRule type="cellIs" dxfId="1111" priority="107" operator="equal">
      <formula>0</formula>
    </cfRule>
    <cfRule type="cellIs" dxfId="1110" priority="108" operator="greaterThan">
      <formula>0</formula>
    </cfRule>
  </conditionalFormatting>
  <conditionalFormatting sqref="CW171:CY191">
    <cfRule type="cellIs" dxfId="1109" priority="511" operator="equal">
      <formula>0</formula>
    </cfRule>
    <cfRule type="cellIs" dxfId="1108" priority="512" operator="greaterThan">
      <formula>0</formula>
    </cfRule>
  </conditionalFormatting>
  <conditionalFormatting sqref="CW195:CY215">
    <cfRule type="cellIs" dxfId="1107" priority="497" operator="equal">
      <formula>0</formula>
    </cfRule>
    <cfRule type="cellIs" dxfId="1106" priority="498" operator="greaterThan">
      <formula>0</formula>
    </cfRule>
  </conditionalFormatting>
  <conditionalFormatting sqref="CW221:CY229">
    <cfRule type="cellIs" dxfId="1105" priority="481" operator="equal">
      <formula>0</formula>
    </cfRule>
    <cfRule type="cellIs" dxfId="1104" priority="482" operator="greaterThan">
      <formula>0</formula>
    </cfRule>
  </conditionalFormatting>
  <conditionalFormatting sqref="CW235:CY243">
    <cfRule type="cellIs" dxfId="1103" priority="467" operator="equal">
      <formula>0</formula>
    </cfRule>
    <cfRule type="cellIs" dxfId="1102" priority="468" operator="greaterThan">
      <formula>0</formula>
    </cfRule>
  </conditionalFormatting>
  <conditionalFormatting sqref="CW249:CY257">
    <cfRule type="cellIs" dxfId="1101" priority="454" operator="greaterThan">
      <formula>0</formula>
    </cfRule>
    <cfRule type="cellIs" dxfId="1100" priority="453" operator="equal">
      <formula>0</formula>
    </cfRule>
  </conditionalFormatting>
  <conditionalFormatting sqref="CW263:CY269">
    <cfRule type="cellIs" dxfId="1099" priority="432" operator="greaterThan">
      <formula>0</formula>
    </cfRule>
    <cfRule type="cellIs" dxfId="1098" priority="431" operator="equal">
      <formula>0</formula>
    </cfRule>
  </conditionalFormatting>
  <conditionalFormatting sqref="CW275:CY278">
    <cfRule type="cellIs" dxfId="1097" priority="402" operator="greaterThan">
      <formula>0</formula>
    </cfRule>
    <cfRule type="cellIs" dxfId="1096" priority="401" operator="equal">
      <formula>0</formula>
    </cfRule>
  </conditionalFormatting>
  <conditionalFormatting sqref="CW284:CY288">
    <cfRule type="cellIs" dxfId="1095" priority="349" operator="equal">
      <formula>0</formula>
    </cfRule>
    <cfRule type="cellIs" dxfId="1094" priority="350" operator="greaterThan">
      <formula>0</formula>
    </cfRule>
  </conditionalFormatting>
  <conditionalFormatting sqref="CW294:CY298">
    <cfRule type="cellIs" dxfId="1093" priority="327" operator="equal">
      <formula>0</formula>
    </cfRule>
    <cfRule type="cellIs" dxfId="1092" priority="328" operator="greaterThan">
      <formula>0</formula>
    </cfRule>
  </conditionalFormatting>
  <conditionalFormatting sqref="CW301:CY306">
    <cfRule type="cellIs" dxfId="1091" priority="314" operator="greaterThan">
      <formula>0</formula>
    </cfRule>
    <cfRule type="cellIs" dxfId="1090" priority="313" operator="equal">
      <formula>0</formula>
    </cfRule>
  </conditionalFormatting>
  <conditionalFormatting sqref="CW311:CY316">
    <cfRule type="cellIs" dxfId="1089" priority="21" operator="equal">
      <formula>0</formula>
    </cfRule>
    <cfRule type="cellIs" dxfId="1088" priority="22" operator="greaterThan">
      <formula>0</formula>
    </cfRule>
  </conditionalFormatting>
  <conditionalFormatting sqref="CW321:CY326">
    <cfRule type="cellIs" dxfId="1087" priority="299" operator="equal">
      <formula>0</formula>
    </cfRule>
    <cfRule type="cellIs" dxfId="1086" priority="300" operator="greaterThan">
      <formula>0</formula>
    </cfRule>
  </conditionalFormatting>
  <conditionalFormatting sqref="CW332:CY332">
    <cfRule type="cellIs" dxfId="1085" priority="286" operator="greaterThan">
      <formula>0</formula>
    </cfRule>
    <cfRule type="cellIs" dxfId="1084" priority="285" operator="equal">
      <formula>0</formula>
    </cfRule>
  </conditionalFormatting>
  <conditionalFormatting sqref="CW334:CY334">
    <cfRule type="cellIs" dxfId="1083" priority="272" operator="greaterThan">
      <formula>0</formula>
    </cfRule>
    <cfRule type="cellIs" dxfId="1082" priority="271" operator="equal">
      <formula>0</formula>
    </cfRule>
  </conditionalFormatting>
  <conditionalFormatting sqref="CW338:CY338 CW340:CY340">
    <cfRule type="cellIs" dxfId="1081" priority="258" operator="greaterThan">
      <formula>0</formula>
    </cfRule>
    <cfRule type="cellIs" dxfId="1080" priority="257" operator="equal">
      <formula>0</formula>
    </cfRule>
  </conditionalFormatting>
  <conditionalFormatting sqref="CW344:CY344 CW346:CY346 CW349:CY353">
    <cfRule type="cellIs" dxfId="1079" priority="213" operator="equal">
      <formula>0</formula>
    </cfRule>
    <cfRule type="cellIs" dxfId="1078" priority="214" operator="greaterThan">
      <formula>0</formula>
    </cfRule>
  </conditionalFormatting>
  <conditionalFormatting sqref="CZ53">
    <cfRule type="cellIs" dxfId="1077" priority="1" operator="equal">
      <formula>0</formula>
    </cfRule>
    <cfRule type="cellIs" dxfId="1076" priority="2" operator="greaterThan">
      <formula>0</formula>
    </cfRule>
  </conditionalFormatting>
  <conditionalFormatting sqref="DB13:DH32">
    <cfRule type="cellIs" dxfId="1075" priority="640" operator="greaterThan">
      <formula>0</formula>
    </cfRule>
    <cfRule type="cellIs" dxfId="1074" priority="641" operator="equal">
      <formula>0</formula>
    </cfRule>
    <cfRule type="cellIs" dxfId="1073" priority="639" operator="lessThan">
      <formula>0</formula>
    </cfRule>
  </conditionalFormatting>
  <conditionalFormatting sqref="DB35:DH39">
    <cfRule type="cellIs" dxfId="1072" priority="603" operator="equal">
      <formula>0</formula>
    </cfRule>
    <cfRule type="cellIs" dxfId="1071" priority="602" operator="greaterThan">
      <formula>0</formula>
    </cfRule>
    <cfRule type="cellIs" dxfId="1070" priority="601" operator="lessThan">
      <formula>0</formula>
    </cfRule>
  </conditionalFormatting>
  <conditionalFormatting sqref="DB42:DH46">
    <cfRule type="cellIs" dxfId="1069" priority="587" operator="lessThan">
      <formula>0</formula>
    </cfRule>
    <cfRule type="cellIs" dxfId="1068" priority="589" operator="equal">
      <formula>0</formula>
    </cfRule>
    <cfRule type="cellIs" dxfId="1067" priority="588" operator="greaterThan">
      <formula>0</formula>
    </cfRule>
  </conditionalFormatting>
  <conditionalFormatting sqref="DB49:DH53">
    <cfRule type="cellIs" dxfId="1066" priority="41" operator="equal">
      <formula>0</formula>
    </cfRule>
    <cfRule type="cellIs" dxfId="1065" priority="39" operator="lessThan">
      <formula>0</formula>
    </cfRule>
    <cfRule type="cellIs" dxfId="1064" priority="40" operator="greaterThan">
      <formula>0</formula>
    </cfRule>
  </conditionalFormatting>
  <conditionalFormatting sqref="DB60:DH78">
    <cfRule type="cellIs" dxfId="1063" priority="575" operator="equal">
      <formula>0</formula>
    </cfRule>
    <cfRule type="cellIs" dxfId="1062" priority="574" operator="greaterThan">
      <formula>0</formula>
    </cfRule>
    <cfRule type="cellIs" dxfId="1061" priority="573" operator="lessThan">
      <formula>0</formula>
    </cfRule>
  </conditionalFormatting>
  <conditionalFormatting sqref="DB85:DH104">
    <cfRule type="cellIs" dxfId="1060" priority="561" operator="equal">
      <formula>0</formula>
    </cfRule>
    <cfRule type="cellIs" dxfId="1059" priority="560" operator="greaterThan">
      <formula>0</formula>
    </cfRule>
    <cfRule type="cellIs" dxfId="1058" priority="559" operator="lessThan">
      <formula>0</formula>
    </cfRule>
  </conditionalFormatting>
  <conditionalFormatting sqref="DB111:DH130">
    <cfRule type="cellIs" dxfId="1057" priority="543" operator="equal">
      <formula>0</formula>
    </cfRule>
    <cfRule type="cellIs" dxfId="1056" priority="542" operator="greaterThan">
      <formula>0</formula>
    </cfRule>
    <cfRule type="cellIs" dxfId="1055" priority="541" operator="lessThan">
      <formula>0</formula>
    </cfRule>
  </conditionalFormatting>
  <conditionalFormatting sqref="DB137:DH157">
    <cfRule type="cellIs" dxfId="1054" priority="527" operator="lessThan">
      <formula>0</formula>
    </cfRule>
    <cfRule type="cellIs" dxfId="1053" priority="529" operator="equal">
      <formula>0</formula>
    </cfRule>
    <cfRule type="cellIs" dxfId="1052" priority="528" operator="greaterThan">
      <formula>0</formula>
    </cfRule>
  </conditionalFormatting>
  <conditionalFormatting sqref="DB159:DH160">
    <cfRule type="cellIs" dxfId="1051" priority="85" operator="lessThan">
      <formula>0</formula>
    </cfRule>
    <cfRule type="cellIs" dxfId="1050" priority="86" operator="greaterThan">
      <formula>0</formula>
    </cfRule>
    <cfRule type="cellIs" dxfId="1049" priority="87" operator="equal">
      <formula>0</formula>
    </cfRule>
  </conditionalFormatting>
  <conditionalFormatting sqref="DB165:DH166">
    <cfRule type="cellIs" dxfId="1048" priority="111" operator="lessThan">
      <formula>0</formula>
    </cfRule>
    <cfRule type="cellIs" dxfId="1047" priority="112" operator="greaterThan">
      <formula>0</formula>
    </cfRule>
    <cfRule type="cellIs" dxfId="1046" priority="113" operator="equal">
      <formula>0</formula>
    </cfRule>
  </conditionalFormatting>
  <conditionalFormatting sqref="DB171:DH191">
    <cfRule type="cellIs" dxfId="1045" priority="515" operator="equal">
      <formula>0</formula>
    </cfRule>
    <cfRule type="cellIs" dxfId="1044" priority="513" operator="lessThan">
      <formula>0</formula>
    </cfRule>
    <cfRule type="cellIs" dxfId="1043" priority="514" operator="greaterThan">
      <formula>0</formula>
    </cfRule>
  </conditionalFormatting>
  <conditionalFormatting sqref="DB195:DH215">
    <cfRule type="cellIs" dxfId="1042" priority="499" operator="lessThan">
      <formula>0</formula>
    </cfRule>
    <cfRule type="cellIs" dxfId="1041" priority="501" operator="equal">
      <formula>0</formula>
    </cfRule>
    <cfRule type="cellIs" dxfId="1040" priority="500" operator="greaterThan">
      <formula>0</formula>
    </cfRule>
  </conditionalFormatting>
  <conditionalFormatting sqref="DB221:DH229">
    <cfRule type="cellIs" dxfId="1039" priority="485" operator="equal">
      <formula>0</formula>
    </cfRule>
    <cfRule type="cellIs" dxfId="1038" priority="484" operator="greaterThan">
      <formula>0</formula>
    </cfRule>
    <cfRule type="cellIs" dxfId="1037" priority="483" operator="lessThan">
      <formula>0</formula>
    </cfRule>
  </conditionalFormatting>
  <conditionalFormatting sqref="DB235:DH243">
    <cfRule type="cellIs" dxfId="1036" priority="471" operator="equal">
      <formula>0</formula>
    </cfRule>
    <cfRule type="cellIs" dxfId="1035" priority="469" operator="lessThan">
      <formula>0</formula>
    </cfRule>
    <cfRule type="cellIs" dxfId="1034" priority="470" operator="greaterThan">
      <formula>0</formula>
    </cfRule>
  </conditionalFormatting>
  <conditionalFormatting sqref="DB249:DH257">
    <cfRule type="cellIs" dxfId="1033" priority="455" operator="lessThan">
      <formula>0</formula>
    </cfRule>
    <cfRule type="cellIs" dxfId="1032" priority="456" operator="greaterThan">
      <formula>0</formula>
    </cfRule>
    <cfRule type="cellIs" dxfId="1031" priority="457" operator="equal">
      <formula>0</formula>
    </cfRule>
  </conditionalFormatting>
  <conditionalFormatting sqref="DB263:DH269">
    <cfRule type="cellIs" dxfId="1030" priority="433" operator="lessThan">
      <formula>0</formula>
    </cfRule>
    <cfRule type="cellIs" dxfId="1029" priority="434" operator="greaterThan">
      <formula>0</formula>
    </cfRule>
    <cfRule type="cellIs" dxfId="1028" priority="435" operator="equal">
      <formula>0</formula>
    </cfRule>
  </conditionalFormatting>
  <conditionalFormatting sqref="DB275:DH278">
    <cfRule type="cellIs" dxfId="1027" priority="404" operator="greaterThan">
      <formula>0</formula>
    </cfRule>
    <cfRule type="cellIs" dxfId="1026" priority="405" operator="equal">
      <formula>0</formula>
    </cfRule>
    <cfRule type="cellIs" dxfId="1025" priority="403" operator="lessThan">
      <formula>0</formula>
    </cfRule>
  </conditionalFormatting>
  <conditionalFormatting sqref="DB284:DH288">
    <cfRule type="cellIs" dxfId="1024" priority="353" operator="equal">
      <formula>0</formula>
    </cfRule>
    <cfRule type="cellIs" dxfId="1023" priority="351" operator="lessThan">
      <formula>0</formula>
    </cfRule>
    <cfRule type="cellIs" dxfId="1022" priority="352" operator="greaterThan">
      <formula>0</formula>
    </cfRule>
  </conditionalFormatting>
  <conditionalFormatting sqref="DB294:DH298">
    <cfRule type="cellIs" dxfId="1021" priority="330" operator="greaterThan">
      <formula>0</formula>
    </cfRule>
    <cfRule type="cellIs" dxfId="1020" priority="329" operator="lessThan">
      <formula>0</formula>
    </cfRule>
    <cfRule type="cellIs" dxfId="1019" priority="331" operator="equal">
      <formula>0</formula>
    </cfRule>
  </conditionalFormatting>
  <conditionalFormatting sqref="DB301:DH306">
    <cfRule type="cellIs" dxfId="1018" priority="315" operator="lessThan">
      <formula>0</formula>
    </cfRule>
    <cfRule type="cellIs" dxfId="1017" priority="316" operator="greaterThan">
      <formula>0</formula>
    </cfRule>
    <cfRule type="cellIs" dxfId="1016" priority="317" operator="equal">
      <formula>0</formula>
    </cfRule>
  </conditionalFormatting>
  <conditionalFormatting sqref="DB311:DH316">
    <cfRule type="cellIs" dxfId="1015" priority="25" operator="equal">
      <formula>0</formula>
    </cfRule>
    <cfRule type="cellIs" dxfId="1014" priority="24" operator="greaterThan">
      <formula>0</formula>
    </cfRule>
    <cfRule type="cellIs" dxfId="1013" priority="23" operator="lessThan">
      <formula>0</formula>
    </cfRule>
  </conditionalFormatting>
  <conditionalFormatting sqref="DB321:DH326">
    <cfRule type="cellIs" dxfId="1012" priority="303" operator="equal">
      <formula>0</formula>
    </cfRule>
    <cfRule type="cellIs" dxfId="1011" priority="302" operator="greaterThan">
      <formula>0</formula>
    </cfRule>
    <cfRule type="cellIs" dxfId="1010" priority="301" operator="lessThan">
      <formula>0</formula>
    </cfRule>
  </conditionalFormatting>
  <conditionalFormatting sqref="DB332:DH332">
    <cfRule type="cellIs" dxfId="1009" priority="289" operator="equal">
      <formula>0</formula>
    </cfRule>
    <cfRule type="cellIs" dxfId="1008" priority="288" operator="greaterThan">
      <formula>0</formula>
    </cfRule>
    <cfRule type="cellIs" dxfId="1007" priority="287" operator="lessThan">
      <formula>0</formula>
    </cfRule>
  </conditionalFormatting>
  <conditionalFormatting sqref="DB334:DH334">
    <cfRule type="cellIs" dxfId="1006" priority="273" operator="lessThan">
      <formula>0</formula>
    </cfRule>
    <cfRule type="cellIs" dxfId="1005" priority="274" operator="greaterThan">
      <formula>0</formula>
    </cfRule>
    <cfRule type="cellIs" dxfId="1004" priority="275" operator="equal">
      <formula>0</formula>
    </cfRule>
  </conditionalFormatting>
  <conditionalFormatting sqref="DB338:DH338 DB340:DH340">
    <cfRule type="cellIs" dxfId="1003" priority="260" operator="greaterThan">
      <formula>0</formula>
    </cfRule>
    <cfRule type="cellIs" dxfId="1002" priority="261" operator="equal">
      <formula>0</formula>
    </cfRule>
    <cfRule type="cellIs" dxfId="1001" priority="259" operator="lessThan">
      <formula>0</formula>
    </cfRule>
  </conditionalFormatting>
  <conditionalFormatting sqref="DB344:DH344">
    <cfRule type="cellIs" dxfId="1000" priority="246" operator="greaterThan">
      <formula>0</formula>
    </cfRule>
    <cfRule type="cellIs" dxfId="999" priority="247" operator="equal">
      <formula>0</formula>
    </cfRule>
    <cfRule type="cellIs" dxfId="998" priority="245" operator="lessThan">
      <formula>0</formula>
    </cfRule>
  </conditionalFormatting>
  <conditionalFormatting sqref="DB346:DH346">
    <cfRule type="cellIs" dxfId="997" priority="233" operator="equal">
      <formula>0</formula>
    </cfRule>
    <cfRule type="cellIs" dxfId="996" priority="232" operator="greaterThan">
      <formula>0</formula>
    </cfRule>
    <cfRule type="cellIs" dxfId="995" priority="231" operator="lessThan">
      <formula>0</formula>
    </cfRule>
  </conditionalFormatting>
  <conditionalFormatting sqref="DB349:DH353">
    <cfRule type="cellIs" dxfId="994" priority="219" operator="equal">
      <formula>0</formula>
    </cfRule>
    <cfRule type="cellIs" dxfId="993" priority="218" operator="greaterThan">
      <formula>0</formula>
    </cfRule>
    <cfRule type="cellIs" dxfId="992" priority="217" operator="lessThan">
      <formula>0</formula>
    </cfRule>
  </conditionalFormatting>
  <dataValidations count="28">
    <dataValidation allowBlank="1" showInputMessage="1" promptTitle="Select Fin Source" prompt="Use the dropdown menu to select funding source. If not selected or the entry is not matching the Funding Source parameters, it will be marked as an error._x000a__x000a_It may also not feed in the I&amp;E (donations) or Cash Flow (donations &amp; finance leases) correctly." sqref="F10" xr:uid="{77607C9E-F25A-46B2-B8C8-8F1016F0DC94}"/>
    <dataValidation allowBlank="1" showInputMessage="1" promptTitle="Select Asset Type" prompt="Use the dropdown menu to select asset type._x000a__x000a_If not selected or not matching with the available asset types, it will be marked as an error. It will also not feed into the Balance Sheet." sqref="E10" xr:uid="{9927A5E4-6583-447E-B765-E46FE2FEB137}"/>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E8E40B27-2A67-43EB-B896-AA6F4D6303F0}"/>
    <dataValidation allowBlank="1" showInputMessage="1" promptTitle="Transaction date" prompt="Checks if the inputted transaction date is within the model timeline. _x000a__x000a_The earliest possible date is the START date of the optional previous year period (column S)._x000a__x000a_The last possible date is the END date of the optional 8 year forecast (column BW)._x000a_" sqref="CQ7" xr:uid="{2A59862E-F023-4B11-9014-2F33DB2E273B}"/>
    <dataValidation allowBlank="1" showInputMessage="1" promptTitle="Select Asset Type" prompt="Use the dropdown menu to select asset type._x000a__x000a_If for any used row, asset type is not selected or not matching with the available asset types, this will be marked as an error._x000a__x000a_It will also not feed into the BS." sqref="E57 E82 E108 E134" xr:uid="{27C6CA44-67BF-4621-99A0-B0FD027EA371}"/>
    <dataValidation allowBlank="1" showInputMessage="1" promptTitle="Transaction date" prompt="Provide the transaction date. It must be within the model timeline including optional periods if used._x000a__x000a_&gt;The earliest possible date is the START date of the optional prior year._x000a_&gt;The last possible date is the END date of the optional 8 year forecast._x000a_" sqref="F134 F57 F82 F108" xr:uid="{F2FF239E-C492-4AB5-BF3C-8EE3A043EF3D}"/>
    <dataValidation allowBlank="1" showInputMessage="1" promptTitle="Transaction value" prompt="Provide the value of the transaction as a positiove amount. It will be:_x000a__x000a_&gt; deducted from Assets under Construction balance_x000a_&gt; added to the respective NCA balance that it is classified as (in column E)._x000a_" sqref="G57" xr:uid="{9FE441EC-2477-4786-80C0-FC3F8012D3AE}"/>
    <dataValidation allowBlank="1" showInputMessage="1" promptTitle="Transaction value" prompt="Enter revaluation surpluses as positive amounts and revaluation losses as negative amounts._x000a_" sqref="G82" xr:uid="{F783314A-5DCB-4D2C-A5A1-C7B0E4FB275D}"/>
    <dataValidation allowBlank="1" showInputMessage="1" promptTitle="Transaction value" prompt="Provide the value of the transaction as a positiove amount. It will be:_x000a__x000a_&gt; added to the Assets Held for Sale balance_x000a_&gt; deducted from the respective NCA balance that it is classified as (in column E)._x000a_" sqref="G108" xr:uid="{7561FCAD-A5D1-451F-950A-AFF7E31BF162}"/>
    <dataValidation allowBlank="1" showInputMessage="1" promptTitle="Transaction value" prompt="Provide the value of the disposal as a positive amount. _x000a__x000a_&gt;the sale amount will be recorded as a cash inflow on the Cash flow statement_x000a_&gt; the net gain/(loss) will be recorded as a gain/(loss) on disposal of NCA on the I&amp;E._x000a_" sqref="G134" xr:uid="{32ECFBBA-E6A6-48AF-B086-605549D147D4}"/>
    <dataValidation allowBlank="1" showInputMessage="1" promptTitle="Transaction value" prompt="Provide the Net Book Value of the asset as a positive amount. It will be:_x000a__x000a_&gt; deducted from the respective NCA balance that it is classified as (in column E)._x000a__x000a_&gt; the net gain/loss will be recorded as a gain/(loss) on disposal of NCA in the I&amp;E._x000a_" sqref="H134" xr:uid="{E743C932-9DE1-417D-89DB-11E2DA1F87C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356" xr:uid="{78795018-D932-4359-BA1D-1532F3DC731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S7" xr:uid="{488A38A2-39BB-417C-9B65-E495D31FFF16}"/>
    <dataValidation allowBlank="1" showInputMessage="1" promptTitle="Negative NCA Balance check" prompt="Checks for negative NCA balances. Flags up in case of a negative NCA balance." sqref="CR7" xr:uid="{95F1947E-0EE9-414E-83C0-9B8D672C4F59}"/>
    <dataValidation allowBlank="1" showInputMessage="1" promptTitle="Select Asset Type" prompt="Checks if the selected asset type matches the available asset types._x000a__x000a_If the asset type value is not valid (not matching with the available asset types), it will be marked as an error." sqref="CO7" xr:uid="{A236B2CA-2628-42BB-86F8-DFC9C9D2C127}"/>
    <dataValidation allowBlank="1" showInputMessage="1" promptTitle="Select Asset Type" prompt="Checks if asset type is selected for lines in use._x000a__x000a_If a line item is used but no asset type is selected, the error flag will be triggerred." sqref="CN7" xr:uid="{EE5862CE-14D1-495C-887A-059BA46C8CFF}"/>
    <dataValidation allowBlank="1" showInputMessage="1" promptTitle="Select Asset Type" prompt="Checks if the selected Fin Source matches the available Fin source options._x000a__x000a_If the Fin Source value is not valid (not matching with the available Fin Source parameters), it will be marked as an error." sqref="CP7" xr:uid="{37236428-DDA9-4240-AA7D-85EE76641B5C}"/>
    <dataValidation allowBlank="1" showInputMessage="1" promptTitle="Prior Year Balance check" prompt="Checks that the Total sum for each of the NCA tables reconciles against the input amounts." sqref="CV7" xr:uid="{9255A167-BED4-424A-8E22-2073AAC350E2}"/>
    <dataValidation allowBlank="1" showInputMessage="1" promptTitle="Previous Year Reconciliation" prompt="Checks if the previous year amount on the 4 Year timeline (column V) = Previous year amount on the 12 Year timeline (column BL)._x000a__x000a_Refer to Differences section (column CS) in case of flags." sqref="CY7" xr:uid="{0FA6B147-6421-482D-8337-F57B5CA04628}"/>
    <dataValidation allowBlank="1" showInputMessage="1" promptTitle="Reconciliation to 12 year values" prompt="Checks if the monthly amounts = annual amounts on the 12 Year timeline for all 3 years._x000a__x000a_Refer to Differences section (columns CP - CR) in case of flags." sqref="CX7" xr:uid="{BF3E6C2D-51CE-44FB-AE36-C79308889A16}"/>
    <dataValidation allowBlank="1" showInputMessage="1" promptTitle="Reconciliation to 4 year values" prompt="Checks if the monthly amounts = annual amounts on the 4 Year timeline._x000a__x000a_Refer to Differences section (columns CM - CO) in case of flags." sqref="CW7" xr:uid="{0F03B1E3-087F-47BA-AE13-DA2EDC5CD8E3}"/>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nces inputs are aligned with movements in Prior Year." sqref="E227 E241 E255 E267 E276 E286 E296" xr:uid="{70AF45FF-8779-4971-B8CA-AAA355E796BB}"/>
    <dataValidation type="date" operator="greaterThan" allowBlank="1" showInputMessage="1" showErrorMessage="1" error="Please enter your date in dd/mm/yyyy or dd-mon-yy format." sqref="F60:F74 F85:F99 F137:F151 F111:F125" xr:uid="{1CAF9200-A1C7-4557-9778-B88E6616EAB9}">
      <formula1>18264</formula1>
    </dataValidation>
    <dataValidation allowBlank="1" showInputMessage="1" promptTitle="Cash from Asset Disposals" prompt="Any decrease in Asset Debtors is assumed to be due to reciept of payment." sqref="E166" xr:uid="{A3AB8020-31EC-4FC8-AC2C-FDB7B1CB7CE3}"/>
    <dataValidation allowBlank="1" showInputMessage="1" promptTitle="Asset Debtors" prompt="Flags up if:_x000a_- the Asset Debtors balance is negative_x000a_- the increase in Asset Debtors in a period exceeds the value of asset disposals in that period." sqref="E163 CT7" xr:uid="{86F054C7-ADB3-442A-B8C7-4482067E1C04}"/>
    <dataValidation allowBlank="1" showInputMessage="1" promptTitle="Input validation check" prompt="Flags where a cell contains invalid characters, such as full stops, dashes and spaces._x000a_" sqref="CU7" xr:uid="{B6B9768C-D67A-4054-933A-BB5B314A2D27}"/>
    <dataValidation allowBlank="1" showInputMessage="1" promptTitle="Operating Lease (Right of use)" prompt="Operating Lease (Right of use) should only be in use from the 2026/27 college FY. Ensure that there are no entries in columns V or AA to AL for Capital Expenditure projects with &quot;Operating Lease (Right of use)&quot; as the Fin Source._x000a_" sqref="CZ7" xr:uid="{57AE8D51-7979-492C-AED7-ED2852DA97D2}"/>
    <dataValidation allowBlank="1" showInputMessage="1" promptTitle="In use from 2026/27" prompt="Line in use from cell AM315 (2026/27). Locked cells will be unlocked in CFFR27. Please see paragraphs 16 and 17 of the College Financial Planning Handbook." sqref="B315" xr:uid="{9C8B3776-50CF-44A1-A440-9EEBA86FF4D6}"/>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 - FOR PUBLIC RELEASE&amp;1#_x000D_</oddHeader>
    <oddFooter>&amp;C_x000D_&amp;1#&amp;"Aptos"&amp;11&amp;K000000 OFFICIAL - FOR PUBLIC RELEASE</oddFooter>
  </headerFooter>
  <extLst>
    <ext xmlns:x14="http://schemas.microsoft.com/office/spreadsheetml/2009/9/main" uri="{78C0D931-6437-407d-A8EE-F0AAD7539E65}">
      <x14:conditionalFormattings>
        <x14:conditionalFormatting xmlns:xm="http://schemas.microsoft.com/office/excel/2006/main">
          <x14:cfRule type="expression" priority="84" id="{446E7C9D-78F2-4A50-BA6D-98CF293580A4}">
            <xm:f>OR($D$2='Dash Data'!$D$95, $D$2='Dash Data'!$D$96, $D$2='Dash Data'!$D$98)</xm:f>
            <x14:dxf>
              <numFmt numFmtId="14" formatCode="0.00%"/>
            </x14:dxf>
          </x14:cfRule>
          <xm:sqref>V2:Y2</xm:sqref>
        </x14:conditionalFormatting>
        <x14:conditionalFormatting xmlns:xm="http://schemas.microsoft.com/office/excel/2006/main">
          <x14:cfRule type="expression" priority="207" id="{311792DA-A275-457B-B176-7EFBD6903D6B}">
            <xm:f>AND('Cover Sheet'!$E$29=0, AA$4=0, AB$4=0)</xm:f>
            <x14:dxf>
              <fill>
                <patternFill>
                  <bgColor theme="0"/>
                </patternFill>
              </fill>
            </x14:dxf>
          </x14:cfRule>
          <xm:sqref>AA13:AG27 AJ13:BI27 AA226:AG227 AJ226:BI227 AA240:AG241 AJ240:BI241 AA254:AG255 AJ254:BI255 AA263:AG263 AJ263:BI263 AA267:AG267 AJ267:BI267 AA277:AG277 AJ277:BI277 AA286:AG286 AJ286:BI286 AA294:AG297 AJ294:BI297 AA305:AG305 AJ305:BI305 AA332:AG332 AJ332:BI332 AA338:AG338 AJ338:BI338 AA344:AG344 AJ344:BI344</xm:sqref>
        </x14:conditionalFormatting>
        <x14:conditionalFormatting xmlns:xm="http://schemas.microsoft.com/office/excel/2006/main">
          <x14:cfRule type="expression" priority="147" id="{AADF2CE4-4C5D-418A-8F02-156882C57F58}">
            <xm:f>AND('Cover Sheet'!$E$29=0, AA$4=0, AB$4=0)</xm:f>
            <x14:dxf>
              <fill>
                <patternFill>
                  <bgColor theme="0"/>
                </patternFill>
              </fill>
            </x14:dxf>
          </x14:cfRule>
          <xm:sqref>AA159:AG160 AJ159:BJ160</xm:sqref>
        </x14:conditionalFormatting>
        <x14:conditionalFormatting xmlns:xm="http://schemas.microsoft.com/office/excel/2006/main">
          <x14:cfRule type="expression" priority="17" id="{830C0700-3CC5-4A7E-BD0F-E9290C0CB5BD}">
            <xm:f>AND('Cover Sheet'!$E$29=0, AA$4=0, AB$4=0)</xm:f>
            <x14:dxf>
              <fill>
                <patternFill>
                  <bgColor theme="0"/>
                </patternFill>
              </fill>
            </x14:dxf>
          </x14:cfRule>
          <xm:sqref>AA315:AG315 AJ315:BI315</xm:sqref>
        </x14:conditionalFormatting>
        <x14:conditionalFormatting xmlns:xm="http://schemas.microsoft.com/office/excel/2006/main">
          <x14:cfRule type="expression" priority="2818" id="{311792DA-A275-457B-B176-7EFBD6903D6B}">
            <xm:f>AND('Cover Sheet'!$E$29=0, BJ$4=0, BW$4=0)</xm:f>
            <x14:dxf>
              <fill>
                <patternFill>
                  <bgColor theme="0"/>
                </patternFill>
              </fill>
            </x14:dxf>
          </x14:cfRule>
          <xm:sqref>BJ13:BJ27 BJ226:BJ227 BJ240:BJ241 BJ254:BJ255 BJ263 BJ267 BJ277 BJ286 BJ294:BJ297 BJ305 BJ332 BJ338 BJ344</xm:sqref>
        </x14:conditionalFormatting>
        <x14:conditionalFormatting xmlns:xm="http://schemas.microsoft.com/office/excel/2006/main">
          <x14:cfRule type="expression" priority="32" id="{83630EA0-DD20-4824-8E64-D0D823A98108}">
            <xm:f>AND('Cover Sheet'!$E$29=0, BJ$4=0, BW$4=0)</xm:f>
            <x14:dxf>
              <fill>
                <patternFill>
                  <bgColor theme="0"/>
                </patternFill>
              </fill>
            </x14:dxf>
          </x14:cfRule>
          <xm:sqref>BJ315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B5E7AD1-60AB-41F5-9142-A5A26DE5469C}">
          <x14:formula1>
            <xm:f>Parameters!$D$52:$D$59</xm:f>
          </x14:formula1>
          <xm:sqref>F13:F27</xm:sqref>
        </x14:dataValidation>
        <x14:dataValidation type="list" allowBlank="1" showInputMessage="1" showErrorMessage="1" xr:uid="{18404E34-EF7D-407B-9382-78467E940670}">
          <x14:formula1>
            <xm:f>Parameters!$D$39:$D$42</xm:f>
          </x14:formula1>
          <xm:sqref>E13:E27</xm:sqref>
        </x14:dataValidation>
        <x14:dataValidation type="list" allowBlank="1" showInputMessage="1" showErrorMessage="1" xr:uid="{F84C6217-F6C7-4946-8C87-08265279A191}">
          <x14:formula1>
            <xm:f>Parameters!$D$45:$D$48</xm:f>
          </x14:formula1>
          <xm:sqref>E111:E125 E85:E99</xm:sqref>
        </x14:dataValidation>
        <x14:dataValidation type="list" allowBlank="1" showInputMessage="1" showErrorMessage="1" xr:uid="{D2920FC0-EACE-4C9E-8B98-C834019BF4C5}">
          <x14:formula1>
            <xm:f>Parameters!$D$45:$D$49</xm:f>
          </x14:formula1>
          <xm:sqref>E137:E151 D332 D334 D338 D340 D344 D346</xm:sqref>
        </x14:dataValidation>
        <x14:dataValidation type="list" allowBlank="1" showInputMessage="1" showErrorMessage="1" xr:uid="{5912255A-0DF5-45F8-8E07-4427EC67BA7D}">
          <x14:formula1>
            <xm:f>Parameters!$D$39:$D$41</xm:f>
          </x14:formula1>
          <xm:sqref>E60:E74</xm:sqref>
        </x14:dataValidation>
        <x14:dataValidation type="list" allowBlank="1" showInputMessage="1" showErrorMessage="1" xr:uid="{10D547B6-DC30-4F24-8117-D8C55FADE346}">
          <x14:formula1>
            <xm:f>'Dash Data'!$D$93:$D$100</xm:f>
          </x14:formula1>
          <xm:sqref>D2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93ad3e4-0aea-48b5-9ed0-d77a162c7cb2">
      <Terms xmlns="http://schemas.microsoft.com/office/infopath/2007/PartnerControls"/>
    </lcf76f155ced4ddcb4097134ff3c332f>
    <TaxCatchAll xmlns="d14e1538-553a-400f-b5f5-8f462b015c20" xsi:nil="true"/>
    <_ip_UnifiedCompliancePolicyUIAction xmlns="http://schemas.microsoft.com/sharepoint/v3" xsi:nil="true"/>
    <_ip_UnifiedCompliancePolicyProperties xmlns="http://schemas.microsoft.com/sharepoint/v3" xsi:nil="true"/>
    <Notes xmlns="993ad3e4-0aea-48b5-9ed0-d77a162c7cb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F95EE34FC04BD498F2F07D0EF34E2D6" ma:contentTypeVersion="15" ma:contentTypeDescription="Create a new document." ma:contentTypeScope="" ma:versionID="eb574c2495a37eb325753877d28ac165">
  <xsd:schema xmlns:xsd="http://www.w3.org/2001/XMLSchema" xmlns:xs="http://www.w3.org/2001/XMLSchema" xmlns:p="http://schemas.microsoft.com/office/2006/metadata/properties" xmlns:ns1="http://schemas.microsoft.com/sharepoint/v3" xmlns:ns2="993ad3e4-0aea-48b5-9ed0-d77a162c7cb2" xmlns:ns3="d14e1538-553a-400f-b5f5-8f462b015c20" targetNamespace="http://schemas.microsoft.com/office/2006/metadata/properties" ma:root="true" ma:fieldsID="8e619c543ecb7ac25d0602289698f93c" ns1:_="" ns2:_="" ns3:_="">
    <xsd:import namespace="http://schemas.microsoft.com/sharepoint/v3"/>
    <xsd:import namespace="993ad3e4-0aea-48b5-9ed0-d77a162c7cb2"/>
    <xsd:import namespace="d14e1538-553a-400f-b5f5-8f462b015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BillingMetadata" minOccurs="0"/>
                <xsd:element ref="ns1:_ip_UnifiedCompliancePolicyProperties" minOccurs="0"/>
                <xsd:element ref="ns1:_ip_UnifiedCompliancePolicyUIAction"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3ad3e4-0aea-48b5-9ed0-d77a162c7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BillingMetadata" ma:index="19" nillable="true" ma:displayName="MediaServiceBillingMetadata" ma:hidden="true" ma:internalName="MediaServiceBillingMetadata" ma:readOnly="true">
      <xsd:simpleType>
        <xsd:restriction base="dms:Note"/>
      </xsd:simpleType>
    </xsd:element>
    <xsd:element name="Notes" ma:index="22"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14e1538-553a-400f-b5f5-8f462b015c2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a2a5046-6163-4fb7-837b-0cc46daf7570}" ma:internalName="TaxCatchAll" ma:showField="CatchAllData" ma:web="d14e1538-553a-400f-b5f5-8f462b015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EE4A6C-C597-40DD-969C-D2D489EB4F35}">
  <ds:schemaRefs>
    <ds:schemaRef ds:uri="http://purl.org/dc/terms/"/>
    <ds:schemaRef ds:uri="http://schemas.microsoft.com/office/2006/metadata/properties"/>
    <ds:schemaRef ds:uri="http://schemas.microsoft.com/office/2006/documentManagement/types"/>
    <ds:schemaRef ds:uri="http://www.w3.org/XML/1998/namespace"/>
    <ds:schemaRef ds:uri="http://purl.org/dc/elements/1.1/"/>
    <ds:schemaRef ds:uri="http://schemas.microsoft.com/office/infopath/2007/PartnerControls"/>
    <ds:schemaRef ds:uri="http://schemas.openxmlformats.org/package/2006/metadata/core-properties"/>
    <ds:schemaRef ds:uri="d14e1538-553a-400f-b5f5-8f462b015c20"/>
    <ds:schemaRef ds:uri="993ad3e4-0aea-48b5-9ed0-d77a162c7cb2"/>
    <ds:schemaRef ds:uri="http://schemas.microsoft.com/sharepoint/v3"/>
    <ds:schemaRef ds:uri="http://purl.org/dc/dcmitype/"/>
  </ds:schemaRefs>
</ds:datastoreItem>
</file>

<file path=customXml/itemProps2.xml><?xml version="1.0" encoding="utf-8"?>
<ds:datastoreItem xmlns:ds="http://schemas.openxmlformats.org/officeDocument/2006/customXml" ds:itemID="{DEFFB2BE-26DB-4246-800F-1B2D1B93DE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93ad3e4-0aea-48b5-9ed0-d77a162c7cb2"/>
    <ds:schemaRef ds:uri="d14e1538-553a-400f-b5f5-8f462b015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6C0693-A58B-4EF0-A761-6CF79F56F943}">
  <ds:schemaRefs>
    <ds:schemaRef ds:uri="http://schemas.microsoft.com/sharepoint/v3/contenttype/forms"/>
  </ds:schemaRefs>
</ds:datastoreItem>
</file>

<file path=docMetadata/LabelInfo.xml><?xml version="1.0" encoding="utf-8"?>
<clbl:labelList xmlns:clbl="http://schemas.microsoft.com/office/2020/mipLabelMetadata">
  <clbl:label id="{dbf2ff9d-e249-40e2-b463-0b922d4f2f25}" enabled="1" method="Privileged" siteId="{fad277c9-c60a-4da1-b5f3-b3b8b34a82f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90</vt:i4>
      </vt:variant>
    </vt:vector>
  </HeadingPairs>
  <TitlesOfParts>
    <vt:vector size="118" baseType="lpstr">
      <vt:lpstr>ToC</vt:lpstr>
      <vt:lpstr>Guide</vt:lpstr>
      <vt:lpstr>Cover Sheet</vt:lpstr>
      <vt:lpstr>Learners and Staff</vt:lpstr>
      <vt:lpstr>I&amp;E Monthly</vt:lpstr>
      <vt:lpstr>I&amp;E Annual</vt:lpstr>
      <vt:lpstr>I&amp;E Profiles</vt:lpstr>
      <vt:lpstr>Opening Balances</vt:lpstr>
      <vt:lpstr>Investing Inputs</vt:lpstr>
      <vt:lpstr>Loans</vt:lpstr>
      <vt:lpstr>BS Forecasts</vt:lpstr>
      <vt:lpstr>User Template</vt:lpstr>
      <vt:lpstr>Fin Stat</vt:lpstr>
      <vt:lpstr>Ratios</vt:lpstr>
      <vt:lpstr>Financial Health</vt:lpstr>
      <vt:lpstr>Cash Flow Summary</vt:lpstr>
      <vt:lpstr>WC Dashboard</vt:lpstr>
      <vt:lpstr>Dashboard</vt:lpstr>
      <vt:lpstr>Dash Data</vt:lpstr>
      <vt:lpstr>Timeline</vt:lpstr>
      <vt:lpstr>Parameters</vt:lpstr>
      <vt:lpstr>List of Colleges</vt:lpstr>
      <vt:lpstr>Monitoring Guide</vt:lpstr>
      <vt:lpstr>Direct CF</vt:lpstr>
      <vt:lpstr>Cash Profile</vt:lpstr>
      <vt:lpstr>I&amp;E Summary</vt:lpstr>
      <vt:lpstr>I&amp;E variances</vt:lpstr>
      <vt:lpstr>Cash summary</vt:lpstr>
      <vt:lpstr>al</vt:lpstr>
      <vt:lpstr>Annual</vt:lpstr>
      <vt:lpstr>Annual_IE</vt:lpstr>
      <vt:lpstr>CollegeNameInput</vt:lpstr>
      <vt:lpstr>'Cash Profile'!creditor_signage</vt:lpstr>
      <vt:lpstr>'Cover Sheet'!creditor_signage</vt:lpstr>
      <vt:lpstr>Dashboard!creditor_signage</vt:lpstr>
      <vt:lpstr>'Direct CF'!creditor_signage</vt:lpstr>
      <vt:lpstr>'Fin Stat'!creditor_signage</vt:lpstr>
      <vt:lpstr>'Financial Health'!creditor_signage</vt:lpstr>
      <vt:lpstr>'I&amp;E Profiles'!creditor_signage</vt:lpstr>
      <vt:lpstr>Ratios!creditor_signage</vt:lpstr>
      <vt:lpstr>'User Template'!creditor_signage</vt:lpstr>
      <vt:lpstr>'WC Dashboard'!creditor_signage</vt:lpstr>
      <vt:lpstr>'Cash Profile'!debtor_signage</vt:lpstr>
      <vt:lpstr>'Cover Sheet'!debtor_signage</vt:lpstr>
      <vt:lpstr>Dashboard!debtor_signage</vt:lpstr>
      <vt:lpstr>'Direct CF'!debtor_signage</vt:lpstr>
      <vt:lpstr>'Financial Health'!debtor_signage</vt:lpstr>
      <vt:lpstr>'I&amp;E Profiles'!debtor_signage</vt:lpstr>
      <vt:lpstr>Loans!debtor_signage</vt:lpstr>
      <vt:lpstr>Ratios!debtor_signage</vt:lpstr>
      <vt:lpstr>'User Template'!debtor_signage</vt:lpstr>
      <vt:lpstr>'WC Dashboard'!debtor_signage</vt:lpstr>
      <vt:lpstr>first_FY_month</vt:lpstr>
      <vt:lpstr>last_FY_month</vt:lpstr>
      <vt:lpstr>list_Capex</vt:lpstr>
      <vt:lpstr>List_YesNo</vt:lpstr>
      <vt:lpstr>'Cash Flow Summary'!monetary_units</vt:lpstr>
      <vt:lpstr>'Cash Profile'!monetary_units</vt:lpstr>
      <vt:lpstr>'Cover Sheet'!monetary_units</vt:lpstr>
      <vt:lpstr>'Fin Stat'!monetary_units</vt:lpstr>
      <vt:lpstr>'I&amp;E Profiles'!monetary_units</vt:lpstr>
      <vt:lpstr>'Investing Inputs'!monetary_units</vt:lpstr>
      <vt:lpstr>'Learners and Staff'!monetary_units</vt:lpstr>
      <vt:lpstr>Loans!monetary_units</vt:lpstr>
      <vt:lpstr>Ratios!monetary_units</vt:lpstr>
      <vt:lpstr>'User Template'!monetary_units</vt:lpstr>
      <vt:lpstr>'WC Dashboard'!monetary_units</vt:lpstr>
      <vt:lpstr>Monthly</vt:lpstr>
      <vt:lpstr>Monthly_IE</vt:lpstr>
      <vt:lpstr>'BS Forecasts'!Print_Area</vt:lpstr>
      <vt:lpstr>'Cash Flow Summary'!Print_Area</vt:lpstr>
      <vt:lpstr>'Cash Profile'!Print_Area</vt:lpstr>
      <vt:lpstr>'Cover Sheet'!Print_Area</vt:lpstr>
      <vt:lpstr>'Dash Data'!Print_Area</vt:lpstr>
      <vt:lpstr>Dashboard!Print_Area</vt:lpstr>
      <vt:lpstr>'Direct CF'!Print_Area</vt:lpstr>
      <vt:lpstr>'Fin Stat'!Print_Area</vt:lpstr>
      <vt:lpstr>'Financial Health'!Print_Area</vt:lpstr>
      <vt:lpstr>Guide!Print_Area</vt:lpstr>
      <vt:lpstr>'I&amp;E Annual'!Print_Area</vt:lpstr>
      <vt:lpstr>'I&amp;E Monthly'!Print_Area</vt:lpstr>
      <vt:lpstr>'I&amp;E Profiles'!Print_Area</vt:lpstr>
      <vt:lpstr>'Investing Inputs'!Print_Area</vt:lpstr>
      <vt:lpstr>'Learners and Staff'!Print_Area</vt:lpstr>
      <vt:lpstr>Loans!Print_Area</vt:lpstr>
      <vt:lpstr>'Monitoring Guide'!Print_Area</vt:lpstr>
      <vt:lpstr>'Opening Balances'!Print_Area</vt:lpstr>
      <vt:lpstr>Parameters!Print_Area</vt:lpstr>
      <vt:lpstr>Ratios!Print_Area</vt:lpstr>
      <vt:lpstr>Timeline!Print_Area</vt:lpstr>
      <vt:lpstr>ToC!Print_Area</vt:lpstr>
      <vt:lpstr>'User Template'!Print_Area</vt:lpstr>
      <vt:lpstr>'WC Dashboard'!Print_Area</vt:lpstr>
      <vt:lpstr>'BS Forecasts'!Print_Titles</vt:lpstr>
      <vt:lpstr>'Cash Flow Summary'!Print_Titles</vt:lpstr>
      <vt:lpstr>'Cash Profile'!Print_Titles</vt:lpstr>
      <vt:lpstr>'Cover Sheet'!Print_Titles</vt:lpstr>
      <vt:lpstr>'Dash Data'!Print_Titles</vt:lpstr>
      <vt:lpstr>Dashboard!Print_Titles</vt:lpstr>
      <vt:lpstr>'Direct CF'!Print_Titles</vt:lpstr>
      <vt:lpstr>'Fin Stat'!Print_Titles</vt:lpstr>
      <vt:lpstr>'Financial Health'!Print_Titles</vt:lpstr>
      <vt:lpstr>'I&amp;E Annual'!Print_Titles</vt:lpstr>
      <vt:lpstr>'I&amp;E Monthly'!Print_Titles</vt:lpstr>
      <vt:lpstr>'I&amp;E Profiles'!Print_Titles</vt:lpstr>
      <vt:lpstr>'Investing Inputs'!Print_Titles</vt:lpstr>
      <vt:lpstr>'Learners and Staff'!Print_Titles</vt:lpstr>
      <vt:lpstr>Loans!Print_Titles</vt:lpstr>
      <vt:lpstr>'Opening Balances'!Print_Titles</vt:lpstr>
      <vt:lpstr>Parameters!Print_Titles</vt:lpstr>
      <vt:lpstr>Ratios!Print_Titles</vt:lpstr>
      <vt:lpstr>Timeline!Print_Titles</vt:lpstr>
      <vt:lpstr>'User Template'!Print_Titles</vt:lpstr>
      <vt:lpstr>'WC Dashboard'!Print_Titles</vt:lpstr>
      <vt:lpstr>rounding</vt:lpstr>
      <vt:lpstr>tbl_Loans</vt:lpstr>
      <vt:lpstr>zColLetter</vt:lpstr>
      <vt:lpstr>zYearLabel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College Financial Forecasting Return (CFFR)</dc:title>
  <dc:subject/>
  <dc:creator>Department for Education</dc:creator>
  <cp:keywords/>
  <dc:description/>
  <cp:lastModifiedBy>RATCLIFFE, Emma</cp:lastModifiedBy>
  <cp:revision/>
  <dcterms:created xsi:type="dcterms:W3CDTF">2021-02-12T09:59:56Z</dcterms:created>
  <dcterms:modified xsi:type="dcterms:W3CDTF">2026-05-26T12:49:22Z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0x010100DF95EE34FC04BD498F2F07D0EF34E2D6</vt:lpwstr>
  </property>
  <property fmtid="{D5CDD505-2E9C-101B-9397-08002B2CF9AE}" pid="3" name="Jet Reports Function Literals">
    <vt:lpwstr>, ; , { } [@[{0}]] 1033 2057</vt:lpwstr>
  </property>
  <property fmtid="{D5CDD505-2E9C-101B-9397-08002B2CF9AE}" pid="4" name="MediaServiceImageTags">
    <vt:lpwstr/>
  </property>
  <property fmtid="{D5CDD505-2E9C-101B-9397-08002B2CF9AE}" pid="5" name="Order">
    <vt:r8>332300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